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defaultThemeVersion="124226"/>
  <xr:revisionPtr revIDLastSave="0" documentId="13_ncr:1_{6247E2D3-B5A0-4E5D-A3E8-752E7C81550C}" xr6:coauthVersionLast="47" xr6:coauthVersionMax="47" xr10:uidLastSave="{00000000-0000-0000-0000-000000000000}"/>
  <bookViews>
    <workbookView xWindow="-108" yWindow="-108" windowWidth="23256" windowHeight="12576" tabRatio="796" activeTab="1" xr2:uid="{00000000-000D-0000-FFFF-FFFF00000000}"/>
  </bookViews>
  <sheets>
    <sheet name="Data_soil core" sheetId="13" r:id="rId1"/>
    <sheet name="Data_in-situ" sheetId="7" r:id="rId2"/>
    <sheet name="Annual flux from Data_in-situ"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1" hidden="1">'Data_in-situ'!$A$1:$WF$493</definedName>
    <definedName name="_xlnm._FilterDatabase" localSheetId="0" hidden="1">'Data_soil core'!$A$1:$TZ$61</definedName>
  </definedNames>
  <calcPr calcId="181029"/>
</workbook>
</file>

<file path=xl/calcChain.xml><?xml version="1.0" encoding="utf-8"?>
<calcChain xmlns="http://schemas.openxmlformats.org/spreadsheetml/2006/main">
  <c r="DI454" i="7" l="1"/>
  <c r="AC139" i="15"/>
  <c r="AD139" i="15"/>
  <c r="AE139" i="15"/>
  <c r="Z139" i="15"/>
  <c r="AA139" i="15"/>
  <c r="AB139" i="15"/>
  <c r="W325" i="15"/>
  <c r="X325" i="15"/>
  <c r="Y325" i="15"/>
  <c r="W326" i="15"/>
  <c r="X326" i="15"/>
  <c r="Y326" i="15"/>
  <c r="W327" i="15"/>
  <c r="X327" i="15"/>
  <c r="Y327" i="15"/>
  <c r="T325" i="15"/>
  <c r="U325" i="15"/>
  <c r="V325" i="15"/>
  <c r="T326" i="15"/>
  <c r="U326" i="15"/>
  <c r="V326" i="15"/>
  <c r="T327" i="15"/>
  <c r="U327" i="15"/>
  <c r="V327" i="15"/>
  <c r="Q145" i="15"/>
  <c r="R145" i="15"/>
  <c r="S145" i="15"/>
  <c r="Q146" i="15"/>
  <c r="R146" i="15"/>
  <c r="S146" i="15"/>
  <c r="Q147" i="15"/>
  <c r="R147" i="15"/>
  <c r="S147" i="15"/>
  <c r="N145" i="15"/>
  <c r="O145" i="15"/>
  <c r="P145" i="15"/>
  <c r="N146" i="15"/>
  <c r="O146" i="15"/>
  <c r="P146" i="15"/>
  <c r="N147" i="15"/>
  <c r="O147" i="15"/>
  <c r="P147" i="15"/>
  <c r="NR471" i="7" l="1"/>
  <c r="NV471" i="7"/>
  <c r="NW471" i="7"/>
  <c r="NX471" i="7"/>
  <c r="NR472" i="7"/>
  <c r="NV472" i="7"/>
  <c r="NW472" i="7"/>
  <c r="NX472" i="7"/>
  <c r="NX470" i="7"/>
  <c r="NW470" i="7"/>
  <c r="NV470" i="7"/>
  <c r="NR470" i="7"/>
  <c r="NF471" i="7"/>
  <c r="NJ471" i="7"/>
  <c r="NK471" i="7"/>
  <c r="NL471" i="7"/>
  <c r="NF472" i="7"/>
  <c r="NJ472" i="7"/>
  <c r="NK472" i="7"/>
  <c r="NL472" i="7"/>
  <c r="NL470" i="7"/>
  <c r="NK470" i="7"/>
  <c r="NJ470" i="7"/>
  <c r="NF470" i="7"/>
  <c r="LT471" i="7"/>
  <c r="LU471" i="7"/>
  <c r="LV471" i="7"/>
  <c r="LW471" i="7"/>
  <c r="LY471" i="7"/>
  <c r="LZ471" i="7"/>
  <c r="MA471" i="7"/>
  <c r="LT472" i="7"/>
  <c r="LU472" i="7"/>
  <c r="LV472" i="7"/>
  <c r="LW472" i="7"/>
  <c r="LY472" i="7"/>
  <c r="LZ472" i="7"/>
  <c r="MA472" i="7"/>
  <c r="MA470" i="7"/>
  <c r="LZ470" i="7"/>
  <c r="LY470" i="7"/>
  <c r="LW470" i="7"/>
  <c r="LV470" i="7"/>
  <c r="LU470" i="7"/>
  <c r="LT470" i="7"/>
  <c r="LU448" i="7"/>
  <c r="KV472" i="7"/>
  <c r="KU472" i="7"/>
  <c r="KV471" i="7"/>
  <c r="KU471" i="7"/>
  <c r="KV470" i="7"/>
  <c r="KU470" i="7"/>
  <c r="KT472" i="7"/>
  <c r="KT471" i="7"/>
  <c r="KT470" i="7"/>
  <c r="KP472" i="7"/>
  <c r="KP471" i="7"/>
  <c r="KP470" i="7"/>
  <c r="HL472" i="7"/>
  <c r="HK472" i="7"/>
  <c r="HL471" i="7"/>
  <c r="HK471" i="7"/>
  <c r="HL470" i="7"/>
  <c r="HK470" i="7"/>
  <c r="HJ472" i="7"/>
  <c r="HJ471" i="7"/>
  <c r="HJ470" i="7"/>
  <c r="HF472" i="7"/>
  <c r="HF471" i="7"/>
  <c r="HF470" i="7"/>
  <c r="GZ472" i="7"/>
  <c r="GY472" i="7"/>
  <c r="GZ471" i="7"/>
  <c r="GY471" i="7"/>
  <c r="GZ470" i="7"/>
  <c r="GY470" i="7"/>
  <c r="GX472" i="7"/>
  <c r="GX471" i="7"/>
  <c r="GX470" i="7"/>
  <c r="GT471" i="7"/>
  <c r="GT472" i="7"/>
  <c r="GT470" i="7"/>
  <c r="EV472" i="7"/>
  <c r="EY472" i="7"/>
  <c r="EX472" i="7"/>
  <c r="EW472" i="7"/>
  <c r="EY471" i="7"/>
  <c r="EX471" i="7"/>
  <c r="EW471" i="7"/>
  <c r="EV471" i="7"/>
  <c r="EY470" i="7"/>
  <c r="EX470" i="7"/>
  <c r="EW470" i="7"/>
  <c r="EV470" i="7"/>
  <c r="EU472" i="7"/>
  <c r="EU471" i="7"/>
  <c r="EU470" i="7"/>
  <c r="EQ472" i="7"/>
  <c r="EQ471" i="7"/>
  <c r="EQ470" i="7"/>
  <c r="EL472" i="7"/>
  <c r="EK472" i="7"/>
  <c r="EJ472" i="7"/>
  <c r="EI472" i="7"/>
  <c r="EH472" i="7"/>
  <c r="ED472" i="7"/>
  <c r="DY472" i="7"/>
  <c r="DX472" i="7"/>
  <c r="DW472" i="7"/>
  <c r="DV472" i="7"/>
  <c r="DY471" i="7"/>
  <c r="DX471" i="7"/>
  <c r="DW471" i="7"/>
  <c r="DV471" i="7"/>
  <c r="DY470" i="7"/>
  <c r="DX470" i="7"/>
  <c r="DW470" i="7"/>
  <c r="DV470" i="7"/>
  <c r="DU472" i="7"/>
  <c r="DU471" i="7"/>
  <c r="DU470" i="7"/>
  <c r="DQ472" i="7"/>
  <c r="DQ471" i="7"/>
  <c r="DQ470" i="7"/>
  <c r="DI470" i="7"/>
  <c r="DJ470" i="7"/>
  <c r="DK470" i="7"/>
  <c r="DL470" i="7"/>
  <c r="DI471" i="7"/>
  <c r="DJ471" i="7"/>
  <c r="DK471" i="7"/>
  <c r="DL471" i="7"/>
  <c r="DI472" i="7"/>
  <c r="DJ472" i="7"/>
  <c r="DK472" i="7"/>
  <c r="DL472" i="7"/>
  <c r="DH472" i="7"/>
  <c r="DH471" i="7"/>
  <c r="DH470" i="7"/>
  <c r="DD472" i="7"/>
  <c r="DD471" i="7"/>
  <c r="DD470" i="7"/>
  <c r="BA472" i="7"/>
  <c r="BA471" i="7"/>
  <c r="BA470" i="7"/>
  <c r="AW471" i="7"/>
  <c r="AW472" i="7"/>
  <c r="AW470" i="7"/>
  <c r="AK471" i="7"/>
  <c r="AK472" i="7"/>
  <c r="AK470" i="7"/>
  <c r="M414" i="15"/>
  <c r="L414" i="15"/>
  <c r="K414" i="15"/>
  <c r="J414" i="15"/>
  <c r="I414" i="15"/>
  <c r="H414" i="15"/>
  <c r="G414" i="15"/>
  <c r="F414" i="15"/>
  <c r="E414" i="15"/>
  <c r="D414" i="15"/>
  <c r="C414" i="15"/>
  <c r="B414" i="15"/>
  <c r="MC470" i="7" l="1"/>
  <c r="MC472" i="7"/>
  <c r="MB471" i="7"/>
  <c r="LX470" i="7"/>
  <c r="LX471" i="7"/>
  <c r="MD472" i="7"/>
  <c r="MD470" i="7"/>
  <c r="MB472" i="7"/>
  <c r="MC471" i="7"/>
  <c r="MB470" i="7"/>
  <c r="LX472" i="7"/>
  <c r="MD471" i="7"/>
  <c r="AI3261" i="15" l="1"/>
  <c r="AJ3261" i="15"/>
  <c r="AK3261" i="15"/>
  <c r="AI3262" i="15"/>
  <c r="AJ3262" i="15"/>
  <c r="AK3262" i="15"/>
  <c r="AI3259" i="15"/>
  <c r="AJ3259" i="15"/>
  <c r="AK3259" i="15"/>
  <c r="AI3260" i="15"/>
  <c r="AJ3260" i="15"/>
  <c r="AK3260" i="15"/>
  <c r="AI3254" i="15"/>
  <c r="AK3254" i="15"/>
  <c r="AI3255" i="15"/>
  <c r="AJ3255" i="15"/>
  <c r="AK3255" i="15"/>
  <c r="AI3256" i="15"/>
  <c r="AJ3256" i="15"/>
  <c r="AK3256" i="15"/>
  <c r="AI3257" i="15"/>
  <c r="AJ3257" i="15"/>
  <c r="AK3257" i="15"/>
  <c r="AI3258" i="15"/>
  <c r="AJ3258" i="15"/>
  <c r="AK3258" i="15"/>
  <c r="AK3252" i="15"/>
  <c r="AK3253" i="15"/>
  <c r="AK3244" i="15"/>
  <c r="AK3245" i="15"/>
  <c r="AK3246" i="15"/>
  <c r="AK3247" i="15"/>
  <c r="AK3248" i="15"/>
  <c r="AK3249" i="15"/>
  <c r="AI3250" i="15"/>
  <c r="AJ3250" i="15"/>
  <c r="AK3250" i="15"/>
  <c r="AI3251" i="15"/>
  <c r="AJ3251" i="15"/>
  <c r="AK3251" i="15"/>
  <c r="AK3232" i="15"/>
  <c r="AK3233" i="15"/>
  <c r="AK3234" i="15"/>
  <c r="AK3235" i="15"/>
  <c r="AK3236" i="15"/>
  <c r="AK3237" i="15"/>
  <c r="AI3238" i="15"/>
  <c r="AJ3238" i="15"/>
  <c r="AK3238" i="15"/>
  <c r="AI3239" i="15"/>
  <c r="AJ3239" i="15"/>
  <c r="AK3239" i="15"/>
  <c r="AJ3240" i="15"/>
  <c r="AK3240" i="15"/>
  <c r="AJ3241" i="15"/>
  <c r="AK3241" i="15"/>
  <c r="AJ3242" i="15"/>
  <c r="AK3242" i="15"/>
  <c r="AJ3243" i="15"/>
  <c r="AK3243" i="15"/>
  <c r="AI3226" i="15"/>
  <c r="AJ3226" i="15"/>
  <c r="AK3226" i="15"/>
  <c r="AI3227" i="15"/>
  <c r="AJ3227" i="15"/>
  <c r="AK3227" i="15"/>
  <c r="AJ3228" i="15"/>
  <c r="AK3228" i="15"/>
  <c r="AJ3229" i="15"/>
  <c r="AK3229" i="15"/>
  <c r="AJ3230" i="15"/>
  <c r="AK3230" i="15"/>
  <c r="AJ3231" i="15"/>
  <c r="AK3231" i="15"/>
  <c r="AI3222" i="15"/>
  <c r="AJ3222" i="15"/>
  <c r="AK3222" i="15"/>
  <c r="AI3223" i="15"/>
  <c r="AJ3223" i="15"/>
  <c r="AK3223" i="15"/>
  <c r="AI3224" i="15"/>
  <c r="AJ3224" i="15"/>
  <c r="AK3224" i="15"/>
  <c r="AI3225" i="15"/>
  <c r="AJ3225" i="15"/>
  <c r="AK3225" i="15"/>
  <c r="AI3220" i="15"/>
  <c r="AJ3220" i="15"/>
  <c r="AK3220" i="15"/>
  <c r="AI3221" i="15"/>
  <c r="AJ3221" i="15"/>
  <c r="AK3221" i="15"/>
  <c r="AF3261" i="15"/>
  <c r="AG3261" i="15"/>
  <c r="AH3261" i="15"/>
  <c r="AF3262" i="15"/>
  <c r="AG3262" i="15"/>
  <c r="AH3262" i="15"/>
  <c r="AF3259" i="15"/>
  <c r="AG3259" i="15"/>
  <c r="AH3259" i="15"/>
  <c r="AF3260" i="15"/>
  <c r="AG3260" i="15"/>
  <c r="AH3260" i="15"/>
  <c r="AF3254" i="15"/>
  <c r="AH3254" i="15"/>
  <c r="AF3255" i="15"/>
  <c r="AG3255" i="15"/>
  <c r="AH3255" i="15"/>
  <c r="AF3256" i="15"/>
  <c r="AG3256" i="15"/>
  <c r="AH3256" i="15"/>
  <c r="AF3257" i="15"/>
  <c r="AG3257" i="15"/>
  <c r="AH3257" i="15"/>
  <c r="AF3258" i="15"/>
  <c r="AG3258" i="15"/>
  <c r="AH3258" i="15"/>
  <c r="AH3252" i="15"/>
  <c r="AH3253" i="15"/>
  <c r="AH3244" i="15"/>
  <c r="AH3245" i="15"/>
  <c r="AH3246" i="15"/>
  <c r="AH3247" i="15"/>
  <c r="AH3248" i="15"/>
  <c r="AH3249" i="15"/>
  <c r="AF3250" i="15"/>
  <c r="AG3250" i="15"/>
  <c r="AH3250" i="15"/>
  <c r="AF3251" i="15"/>
  <c r="AG3251" i="15"/>
  <c r="AH3251" i="15"/>
  <c r="AH3232" i="15"/>
  <c r="AH3233" i="15"/>
  <c r="AH3234" i="15"/>
  <c r="AH3235" i="15"/>
  <c r="AH3236" i="15"/>
  <c r="AH3237" i="15"/>
  <c r="AF3238" i="15"/>
  <c r="AG3238" i="15"/>
  <c r="AH3238" i="15"/>
  <c r="AF3239" i="15"/>
  <c r="AG3239" i="15"/>
  <c r="AH3239" i="15"/>
  <c r="AG3240" i="15"/>
  <c r="AH3240" i="15"/>
  <c r="AG3241" i="15"/>
  <c r="AH3241" i="15"/>
  <c r="AG3242" i="15"/>
  <c r="AH3242" i="15"/>
  <c r="AG3243" i="15"/>
  <c r="AH3243" i="15"/>
  <c r="AF3226" i="15"/>
  <c r="AG3226" i="15"/>
  <c r="AH3226" i="15"/>
  <c r="AF3227" i="15"/>
  <c r="AG3227" i="15"/>
  <c r="AH3227" i="15"/>
  <c r="AG3228" i="15"/>
  <c r="AH3228" i="15"/>
  <c r="AG3229" i="15"/>
  <c r="AH3229" i="15"/>
  <c r="AG3230" i="15"/>
  <c r="AH3230" i="15"/>
  <c r="AG3231" i="15"/>
  <c r="AH3231" i="15"/>
  <c r="AF3222" i="15"/>
  <c r="AG3222" i="15"/>
  <c r="AH3222" i="15"/>
  <c r="AF3223" i="15"/>
  <c r="AG3223" i="15"/>
  <c r="AH3223" i="15"/>
  <c r="AF3224" i="15"/>
  <c r="AG3224" i="15"/>
  <c r="AH3224" i="15"/>
  <c r="AF3225" i="15"/>
  <c r="AG3225" i="15"/>
  <c r="AH3225" i="15"/>
  <c r="AF3220" i="15"/>
  <c r="AG3220" i="15"/>
  <c r="AH3220" i="15"/>
  <c r="AF3221" i="15"/>
  <c r="AG3221" i="15"/>
  <c r="AH3221" i="15"/>
  <c r="AC3222" i="15"/>
  <c r="AD3222" i="15"/>
  <c r="AE3222" i="15"/>
  <c r="AC3223" i="15"/>
  <c r="AD3223" i="15"/>
  <c r="AE3223" i="15"/>
  <c r="Z3222" i="15"/>
  <c r="AA3222" i="15"/>
  <c r="AB3222" i="15"/>
  <c r="Z3223" i="15"/>
  <c r="AA3223" i="15"/>
  <c r="AB3223" i="15"/>
  <c r="AE3220" i="15"/>
  <c r="AE3221" i="15"/>
  <c r="AB3220" i="15"/>
  <c r="AB3221" i="15"/>
  <c r="W3247" i="15"/>
  <c r="X3247" i="15"/>
  <c r="Y3247" i="15"/>
  <c r="W3248" i="15"/>
  <c r="X3248" i="15"/>
  <c r="Y3248" i="15"/>
  <c r="Y3245" i="15"/>
  <c r="Y3246" i="15"/>
  <c r="Y3243" i="15"/>
  <c r="Y3244" i="15"/>
  <c r="Y3238" i="15"/>
  <c r="Y3239" i="15"/>
  <c r="Y3240" i="15"/>
  <c r="Y3241" i="15"/>
  <c r="Y3242" i="15"/>
  <c r="Y3232" i="15"/>
  <c r="Y3233" i="15"/>
  <c r="Y3234" i="15"/>
  <c r="Y3235" i="15"/>
  <c r="Y3236" i="15"/>
  <c r="Y3237" i="15"/>
  <c r="Y3226" i="15"/>
  <c r="Y3227" i="15"/>
  <c r="Y3228" i="15"/>
  <c r="Y3229" i="15"/>
  <c r="Y3230" i="15"/>
  <c r="Y3231" i="15"/>
  <c r="Y3222" i="15"/>
  <c r="Y3223" i="15"/>
  <c r="Y3224" i="15"/>
  <c r="Y3225" i="15"/>
  <c r="Y3220" i="15"/>
  <c r="Y3221" i="15"/>
  <c r="T3247" i="15"/>
  <c r="U3247" i="15"/>
  <c r="V3247" i="15"/>
  <c r="T3248" i="15"/>
  <c r="U3248" i="15"/>
  <c r="V3248" i="15"/>
  <c r="V3245" i="15"/>
  <c r="V3246" i="15"/>
  <c r="V3243" i="15"/>
  <c r="V3244" i="15"/>
  <c r="V3238" i="15"/>
  <c r="V3239" i="15"/>
  <c r="V3240" i="15"/>
  <c r="V3241" i="15"/>
  <c r="V3242" i="15"/>
  <c r="V3232" i="15"/>
  <c r="V3233" i="15"/>
  <c r="V3234" i="15"/>
  <c r="V3235" i="15"/>
  <c r="V3236" i="15"/>
  <c r="V3237" i="15"/>
  <c r="V3226" i="15"/>
  <c r="V3227" i="15"/>
  <c r="V3228" i="15"/>
  <c r="V3229" i="15"/>
  <c r="V3230" i="15"/>
  <c r="V3231" i="15"/>
  <c r="V3222" i="15"/>
  <c r="V3223" i="15"/>
  <c r="V3224" i="15"/>
  <c r="V3225" i="15"/>
  <c r="V3220" i="15"/>
  <c r="V3221" i="15"/>
  <c r="S3244" i="15"/>
  <c r="S3245" i="15"/>
  <c r="S3246" i="15"/>
  <c r="S3242" i="15"/>
  <c r="S3243" i="15"/>
  <c r="S3240" i="15"/>
  <c r="S3241" i="15"/>
  <c r="S3236" i="15"/>
  <c r="S3237" i="15"/>
  <c r="S3238" i="15"/>
  <c r="S3239" i="15"/>
  <c r="S3234" i="15"/>
  <c r="S3235" i="15"/>
  <c r="S3232" i="15"/>
  <c r="S3233" i="15"/>
  <c r="S3226" i="15"/>
  <c r="S3227" i="15"/>
  <c r="S3228" i="15"/>
  <c r="S3229" i="15"/>
  <c r="S3230" i="15"/>
  <c r="S3231" i="15"/>
  <c r="S3220" i="15"/>
  <c r="S3221" i="15"/>
  <c r="S3222" i="15"/>
  <c r="S3223" i="15"/>
  <c r="S3224" i="15"/>
  <c r="S3225" i="15"/>
  <c r="P3244" i="15"/>
  <c r="P3245" i="15"/>
  <c r="P3246" i="15"/>
  <c r="P3242" i="15"/>
  <c r="P3243" i="15"/>
  <c r="P3240" i="15"/>
  <c r="P3241" i="15"/>
  <c r="P3236" i="15"/>
  <c r="P3237" i="15"/>
  <c r="P3238" i="15"/>
  <c r="P3239" i="15"/>
  <c r="P3234" i="15"/>
  <c r="P3235" i="15"/>
  <c r="P3232" i="15"/>
  <c r="P3233" i="15"/>
  <c r="P3226" i="15"/>
  <c r="P3227" i="15"/>
  <c r="P3228" i="15"/>
  <c r="P3229" i="15"/>
  <c r="P3230" i="15"/>
  <c r="P3231" i="15"/>
  <c r="P3220" i="15"/>
  <c r="P3221" i="15"/>
  <c r="P3222" i="15"/>
  <c r="P3223" i="15"/>
  <c r="P3224" i="15"/>
  <c r="P3225" i="15"/>
  <c r="M3240" i="15"/>
  <c r="M3241" i="15"/>
  <c r="M3242" i="15"/>
  <c r="M3238" i="15"/>
  <c r="M3239" i="15"/>
  <c r="M3236" i="15"/>
  <c r="M3237" i="15"/>
  <c r="M3234" i="15"/>
  <c r="M3235" i="15"/>
  <c r="M3232" i="15"/>
  <c r="M3233" i="15"/>
  <c r="M3226" i="15"/>
  <c r="M3227" i="15"/>
  <c r="M3228" i="15"/>
  <c r="M3229" i="15"/>
  <c r="M3230" i="15"/>
  <c r="M3231" i="15"/>
  <c r="M3220" i="15"/>
  <c r="M3221" i="15"/>
  <c r="M3222" i="15"/>
  <c r="M3223" i="15"/>
  <c r="M3224" i="15"/>
  <c r="M3225" i="15"/>
  <c r="J3240" i="15"/>
  <c r="J3241" i="15"/>
  <c r="J3242" i="15"/>
  <c r="J3238" i="15"/>
  <c r="J3239" i="15"/>
  <c r="J3236" i="15"/>
  <c r="J3237" i="15"/>
  <c r="J3234" i="15"/>
  <c r="J3235" i="15"/>
  <c r="J3232" i="15"/>
  <c r="J3233" i="15"/>
  <c r="J3226" i="15"/>
  <c r="J3227" i="15"/>
  <c r="J3228" i="15"/>
  <c r="J3229" i="15"/>
  <c r="J3230" i="15"/>
  <c r="J3231" i="15"/>
  <c r="J3220" i="15"/>
  <c r="J3221" i="15"/>
  <c r="J3222" i="15"/>
  <c r="J3223" i="15"/>
  <c r="J3224" i="15"/>
  <c r="J3225" i="15"/>
  <c r="G3240" i="15"/>
  <c r="G3241" i="15"/>
  <c r="G3242" i="15"/>
  <c r="G3238" i="15"/>
  <c r="G3239" i="15"/>
  <c r="G3236" i="15"/>
  <c r="G3237" i="15"/>
  <c r="G3234" i="15"/>
  <c r="G3235" i="15"/>
  <c r="G3232" i="15"/>
  <c r="G3233" i="15"/>
  <c r="G3226" i="15"/>
  <c r="G3227" i="15"/>
  <c r="G3228" i="15"/>
  <c r="G3229" i="15"/>
  <c r="G3230" i="15"/>
  <c r="G3231" i="15"/>
  <c r="G3220" i="15"/>
  <c r="G3221" i="15"/>
  <c r="G3222" i="15"/>
  <c r="G3223" i="15"/>
  <c r="G3224" i="15"/>
  <c r="G3225" i="15"/>
  <c r="D3240" i="15"/>
  <c r="D3241" i="15"/>
  <c r="D3242" i="15"/>
  <c r="D3238" i="15"/>
  <c r="D3239" i="15"/>
  <c r="D3236" i="15"/>
  <c r="D3237" i="15"/>
  <c r="D3234" i="15"/>
  <c r="D3235" i="15"/>
  <c r="D3232" i="15"/>
  <c r="D3233" i="15"/>
  <c r="D3226" i="15"/>
  <c r="D3227" i="15"/>
  <c r="D3228" i="15"/>
  <c r="D3229" i="15"/>
  <c r="D3230" i="15"/>
  <c r="D3231" i="15"/>
  <c r="D3220" i="15"/>
  <c r="D3221" i="15"/>
  <c r="D3222" i="15"/>
  <c r="D3223" i="15"/>
  <c r="D3224" i="15"/>
  <c r="D3225" i="15"/>
  <c r="AI3216" i="15"/>
  <c r="AK3216" i="15"/>
  <c r="AI3215" i="15"/>
  <c r="AJ3215" i="15"/>
  <c r="AK3215" i="15"/>
  <c r="AI3214" i="15"/>
  <c r="AJ3214" i="15"/>
  <c r="AK3214" i="15"/>
  <c r="AI3213" i="15"/>
  <c r="AJ3213" i="15"/>
  <c r="AK3213" i="15"/>
  <c r="AI3211" i="15"/>
  <c r="AJ3211" i="15"/>
  <c r="AK3211" i="15"/>
  <c r="AI3212" i="15"/>
  <c r="AJ3212" i="15"/>
  <c r="AK3212" i="15"/>
  <c r="AI3209" i="15"/>
  <c r="AK3209" i="15"/>
  <c r="AI3210" i="15"/>
  <c r="AK3210" i="15"/>
  <c r="AI3208" i="15"/>
  <c r="AK3208" i="15"/>
  <c r="AK3202" i="15"/>
  <c r="AK3203" i="15"/>
  <c r="AK3204" i="15"/>
  <c r="AK3205" i="15"/>
  <c r="AK3206" i="15"/>
  <c r="AK3207" i="15"/>
  <c r="AI3193" i="15"/>
  <c r="AK3193" i="15"/>
  <c r="AI3194" i="15"/>
  <c r="AK3194" i="15"/>
  <c r="AI3195" i="15"/>
  <c r="AK3195" i="15"/>
  <c r="AI3196" i="15"/>
  <c r="AJ3196" i="15"/>
  <c r="AK3196" i="15"/>
  <c r="AI3197" i="15"/>
  <c r="AJ3197" i="15"/>
  <c r="AK3197" i="15"/>
  <c r="AI3198" i="15"/>
  <c r="AJ3198" i="15"/>
  <c r="AK3198" i="15"/>
  <c r="AI3199" i="15"/>
  <c r="AJ3199" i="15"/>
  <c r="AK3199" i="15"/>
  <c r="AI3200" i="15"/>
  <c r="AJ3200" i="15"/>
  <c r="AK3200" i="15"/>
  <c r="AI3201" i="15"/>
  <c r="AJ3201" i="15"/>
  <c r="AK3201" i="15"/>
  <c r="AI3191" i="15"/>
  <c r="AJ3191" i="15"/>
  <c r="AK3191" i="15"/>
  <c r="AI3192" i="15"/>
  <c r="AJ3192" i="15"/>
  <c r="AK3192" i="15"/>
  <c r="AI3149" i="15"/>
  <c r="AJ3149" i="15"/>
  <c r="AK3149" i="15"/>
  <c r="AI3150" i="15"/>
  <c r="AJ3150" i="15"/>
  <c r="AK3150" i="15"/>
  <c r="AI3151" i="15"/>
  <c r="AJ3151" i="15"/>
  <c r="AK3151" i="15"/>
  <c r="AI3152" i="15"/>
  <c r="AJ3152" i="15"/>
  <c r="AK3152" i="15"/>
  <c r="AI3153" i="15"/>
  <c r="AJ3153" i="15"/>
  <c r="AK3153" i="15"/>
  <c r="AI3154" i="15"/>
  <c r="AJ3154" i="15"/>
  <c r="AK3154" i="15"/>
  <c r="AI3155" i="15"/>
  <c r="AK3155" i="15"/>
  <c r="AI3156" i="15"/>
  <c r="AK3156" i="15"/>
  <c r="AI3157" i="15"/>
  <c r="AK3157" i="15"/>
  <c r="AI3158" i="15"/>
  <c r="AK3158" i="15"/>
  <c r="AI3159" i="15"/>
  <c r="AK3159" i="15"/>
  <c r="AI3160" i="15"/>
  <c r="AK3160" i="15"/>
  <c r="AI3161" i="15"/>
  <c r="AK3161" i="15"/>
  <c r="AI3162" i="15"/>
  <c r="AK3162" i="15"/>
  <c r="AI3163" i="15"/>
  <c r="AK3163" i="15"/>
  <c r="AI3164" i="15"/>
  <c r="AK3164" i="15"/>
  <c r="AI3165" i="15"/>
  <c r="AK3165" i="15"/>
  <c r="AI3166" i="15"/>
  <c r="AK3166" i="15"/>
  <c r="AI3167" i="15"/>
  <c r="AK3167" i="15"/>
  <c r="AI3168" i="15"/>
  <c r="AK3168" i="15"/>
  <c r="AI3169" i="15"/>
  <c r="AK3169" i="15"/>
  <c r="AI3170" i="15"/>
  <c r="AK3170" i="15"/>
  <c r="AI3171" i="15"/>
  <c r="AK3171" i="15"/>
  <c r="AI3172" i="15"/>
  <c r="AK3172" i="15"/>
  <c r="AI3173" i="15"/>
  <c r="AK3173" i="15"/>
  <c r="AI3174" i="15"/>
  <c r="AK3174" i="15"/>
  <c r="AI3175" i="15"/>
  <c r="AK3175" i="15"/>
  <c r="AI3176" i="15"/>
  <c r="AK3176" i="15"/>
  <c r="AI3177" i="15"/>
  <c r="AK3177" i="15"/>
  <c r="AI3178" i="15"/>
  <c r="AK3178" i="15"/>
  <c r="AI3179" i="15"/>
  <c r="AK3179" i="15"/>
  <c r="AI3180" i="15"/>
  <c r="AK3180" i="15"/>
  <c r="AI3181" i="15"/>
  <c r="AK3181" i="15"/>
  <c r="AI3182" i="15"/>
  <c r="AK3182" i="15"/>
  <c r="AI3183" i="15"/>
  <c r="AK3183" i="15"/>
  <c r="AI3184" i="15"/>
  <c r="AK3184" i="15"/>
  <c r="AI3185" i="15"/>
  <c r="AK3185" i="15"/>
  <c r="AI3186" i="15"/>
  <c r="AK3186" i="15"/>
  <c r="AI3187" i="15"/>
  <c r="AK3187" i="15"/>
  <c r="AI3188" i="15"/>
  <c r="AK3188" i="15"/>
  <c r="AI3189" i="15"/>
  <c r="AK3189" i="15"/>
  <c r="AI3190" i="15"/>
  <c r="AK3190" i="15"/>
  <c r="AI3148" i="15"/>
  <c r="AK3148" i="15"/>
  <c r="AI3143" i="15"/>
  <c r="AK3143" i="15"/>
  <c r="AI3144" i="15"/>
  <c r="AK3144" i="15"/>
  <c r="AI3145" i="15"/>
  <c r="AK3145" i="15"/>
  <c r="AI3146" i="15"/>
  <c r="AK3146" i="15"/>
  <c r="AI3147" i="15"/>
  <c r="AK3147" i="15"/>
  <c r="AI3138" i="15"/>
  <c r="AK3138" i="15"/>
  <c r="AI3139" i="15"/>
  <c r="AK3139" i="15"/>
  <c r="AI3140" i="15"/>
  <c r="AK3140" i="15"/>
  <c r="AI3141" i="15"/>
  <c r="AK3141" i="15"/>
  <c r="AI3142" i="15"/>
  <c r="AK3142" i="15"/>
  <c r="AI3136" i="15"/>
  <c r="AK3136" i="15"/>
  <c r="AI3137" i="15"/>
  <c r="AK3137" i="15"/>
  <c r="AI3135" i="15"/>
  <c r="AK3135" i="15"/>
  <c r="AI3131" i="15"/>
  <c r="AJ3131" i="15"/>
  <c r="AK3131" i="15"/>
  <c r="AI3132" i="15"/>
  <c r="AJ3132" i="15"/>
  <c r="AK3132" i="15"/>
  <c r="AI3133" i="15"/>
  <c r="AJ3133" i="15"/>
  <c r="AK3133" i="15"/>
  <c r="AI3134" i="15"/>
  <c r="AJ3134" i="15"/>
  <c r="AK3134" i="15"/>
  <c r="AI3123" i="15"/>
  <c r="AJ3123" i="15"/>
  <c r="AK3123" i="15"/>
  <c r="AI3124" i="15"/>
  <c r="AJ3124" i="15"/>
  <c r="AK3124" i="15"/>
  <c r="AI3125" i="15"/>
  <c r="AJ3125" i="15"/>
  <c r="AK3125" i="15"/>
  <c r="AI3126" i="15"/>
  <c r="AJ3126" i="15"/>
  <c r="AK3126" i="15"/>
  <c r="AI3127" i="15"/>
  <c r="AK3127" i="15"/>
  <c r="AI3128" i="15"/>
  <c r="AK3128" i="15"/>
  <c r="AI3129" i="15"/>
  <c r="AK3129" i="15"/>
  <c r="AI3130" i="15"/>
  <c r="AK3130" i="15"/>
  <c r="AK3119" i="15"/>
  <c r="AK3120" i="15"/>
  <c r="AK3121" i="15"/>
  <c r="AK3122" i="15"/>
  <c r="AI3115" i="15"/>
  <c r="AJ3115" i="15"/>
  <c r="AK3115" i="15"/>
  <c r="AI3116" i="15"/>
  <c r="AJ3116" i="15"/>
  <c r="AK3116" i="15"/>
  <c r="AI3117" i="15"/>
  <c r="AJ3117" i="15"/>
  <c r="AK3117" i="15"/>
  <c r="AI3118" i="15"/>
  <c r="AJ3118" i="15"/>
  <c r="AK3118" i="15"/>
  <c r="AI3114" i="15"/>
  <c r="AJ3114" i="15"/>
  <c r="AK3114" i="15"/>
  <c r="AI3107" i="15"/>
  <c r="AK3107" i="15"/>
  <c r="AI3108" i="15"/>
  <c r="AK3108" i="15"/>
  <c r="AI3109" i="15"/>
  <c r="AK3109" i="15"/>
  <c r="AI3110" i="15"/>
  <c r="AJ3110" i="15"/>
  <c r="AK3110" i="15"/>
  <c r="AI3111" i="15"/>
  <c r="AJ3111" i="15"/>
  <c r="AK3111" i="15"/>
  <c r="AI3112" i="15"/>
  <c r="AJ3112" i="15"/>
  <c r="AK3112" i="15"/>
  <c r="AI3113" i="15"/>
  <c r="AJ3113" i="15"/>
  <c r="AK3113" i="15"/>
  <c r="AK3105" i="15"/>
  <c r="AK3106" i="15"/>
  <c r="AI3103" i="15"/>
  <c r="AJ3103" i="15"/>
  <c r="AK3103" i="15"/>
  <c r="AI3104" i="15"/>
  <c r="AJ3104" i="15"/>
  <c r="AK3104" i="15"/>
  <c r="AI3097" i="15"/>
  <c r="AJ3097" i="15"/>
  <c r="AK3097" i="15"/>
  <c r="AI3098" i="15"/>
  <c r="AJ3098" i="15"/>
  <c r="AK3098" i="15"/>
  <c r="AJ3099" i="15"/>
  <c r="AK3099" i="15"/>
  <c r="AJ3100" i="15"/>
  <c r="AK3100" i="15"/>
  <c r="AJ3101" i="15"/>
  <c r="AK3101" i="15"/>
  <c r="AJ3102" i="15"/>
  <c r="AK3102" i="15"/>
  <c r="AI3091" i="15"/>
  <c r="AJ3091" i="15"/>
  <c r="AK3091" i="15"/>
  <c r="AI3092" i="15"/>
  <c r="AJ3092" i="15"/>
  <c r="AK3092" i="15"/>
  <c r="AJ3093" i="15"/>
  <c r="AK3093" i="15"/>
  <c r="AJ3094" i="15"/>
  <c r="AK3094" i="15"/>
  <c r="AJ3095" i="15"/>
  <c r="AK3095" i="15"/>
  <c r="AJ3096" i="15"/>
  <c r="AK3096" i="15"/>
  <c r="AI3090" i="15"/>
  <c r="AJ3090" i="15"/>
  <c r="AK3090" i="15"/>
  <c r="AF3216" i="15"/>
  <c r="AH3216" i="15"/>
  <c r="AF3215" i="15"/>
  <c r="AG3215" i="15"/>
  <c r="AH3215" i="15"/>
  <c r="AF3214" i="15"/>
  <c r="AG3214" i="15"/>
  <c r="AH3214" i="15"/>
  <c r="AF3213" i="15"/>
  <c r="AG3213" i="15"/>
  <c r="AH3213" i="15"/>
  <c r="AF3211" i="15"/>
  <c r="AG3211" i="15"/>
  <c r="AH3211" i="15"/>
  <c r="AF3212" i="15"/>
  <c r="AG3212" i="15"/>
  <c r="AH3212" i="15"/>
  <c r="AF3209" i="15"/>
  <c r="AH3209" i="15"/>
  <c r="AF3210" i="15"/>
  <c r="AH3210" i="15"/>
  <c r="AF3208" i="15"/>
  <c r="AH3208" i="15"/>
  <c r="AH3202" i="15"/>
  <c r="AH3203" i="15"/>
  <c r="AH3204" i="15"/>
  <c r="AH3205" i="15"/>
  <c r="AH3206" i="15"/>
  <c r="AH3207" i="15"/>
  <c r="AF3193" i="15"/>
  <c r="AH3193" i="15"/>
  <c r="AF3194" i="15"/>
  <c r="AH3194" i="15"/>
  <c r="AF3195" i="15"/>
  <c r="AH3195" i="15"/>
  <c r="AF3196" i="15"/>
  <c r="AG3196" i="15"/>
  <c r="AH3196" i="15"/>
  <c r="AF3197" i="15"/>
  <c r="AG3197" i="15"/>
  <c r="AH3197" i="15"/>
  <c r="AF3198" i="15"/>
  <c r="AG3198" i="15"/>
  <c r="AH3198" i="15"/>
  <c r="AF3199" i="15"/>
  <c r="AG3199" i="15"/>
  <c r="AH3199" i="15"/>
  <c r="AF3200" i="15"/>
  <c r="AG3200" i="15"/>
  <c r="AH3200" i="15"/>
  <c r="AF3201" i="15"/>
  <c r="AG3201" i="15"/>
  <c r="AH3201" i="15"/>
  <c r="AF3191" i="15"/>
  <c r="AG3191" i="15"/>
  <c r="AH3191" i="15"/>
  <c r="AF3192" i="15"/>
  <c r="AG3192" i="15"/>
  <c r="AH3192" i="15"/>
  <c r="AF3149" i="15"/>
  <c r="AG3149" i="15"/>
  <c r="AH3149" i="15"/>
  <c r="AF3150" i="15"/>
  <c r="AG3150" i="15"/>
  <c r="AH3150" i="15"/>
  <c r="AF3151" i="15"/>
  <c r="AG3151" i="15"/>
  <c r="AH3151" i="15"/>
  <c r="AF3152" i="15"/>
  <c r="AG3152" i="15"/>
  <c r="AH3152" i="15"/>
  <c r="AF3153" i="15"/>
  <c r="AG3153" i="15"/>
  <c r="AH3153" i="15"/>
  <c r="AF3154" i="15"/>
  <c r="AG3154" i="15"/>
  <c r="AH3154" i="15"/>
  <c r="AF3155" i="15"/>
  <c r="AH3155" i="15"/>
  <c r="AF3156" i="15"/>
  <c r="AH3156" i="15"/>
  <c r="AF3157" i="15"/>
  <c r="AH3157" i="15"/>
  <c r="AF3158" i="15"/>
  <c r="AH3158" i="15"/>
  <c r="AF3159" i="15"/>
  <c r="AH3159" i="15"/>
  <c r="AF3160" i="15"/>
  <c r="AH3160" i="15"/>
  <c r="AF3161" i="15"/>
  <c r="AH3161" i="15"/>
  <c r="AF3162" i="15"/>
  <c r="AH3162" i="15"/>
  <c r="AF3163" i="15"/>
  <c r="AH3163" i="15"/>
  <c r="AF3164" i="15"/>
  <c r="AH3164" i="15"/>
  <c r="AF3165" i="15"/>
  <c r="AH3165" i="15"/>
  <c r="AF3166" i="15"/>
  <c r="AH3166" i="15"/>
  <c r="AF3167" i="15"/>
  <c r="AH3167" i="15"/>
  <c r="AF3168" i="15"/>
  <c r="AH3168" i="15"/>
  <c r="AF3169" i="15"/>
  <c r="AH3169" i="15"/>
  <c r="AF3170" i="15"/>
  <c r="AH3170" i="15"/>
  <c r="AF3171" i="15"/>
  <c r="AH3171" i="15"/>
  <c r="AF3172" i="15"/>
  <c r="AH3172" i="15"/>
  <c r="AF3173" i="15"/>
  <c r="AH3173" i="15"/>
  <c r="AF3174" i="15"/>
  <c r="AH3174" i="15"/>
  <c r="AF3175" i="15"/>
  <c r="AH3175" i="15"/>
  <c r="AF3176" i="15"/>
  <c r="AH3176" i="15"/>
  <c r="AF3177" i="15"/>
  <c r="AH3177" i="15"/>
  <c r="AF3178" i="15"/>
  <c r="AH3178" i="15"/>
  <c r="AF3179" i="15"/>
  <c r="AH3179" i="15"/>
  <c r="AF3180" i="15"/>
  <c r="AH3180" i="15"/>
  <c r="AF3181" i="15"/>
  <c r="AH3181" i="15"/>
  <c r="AF3182" i="15"/>
  <c r="AH3182" i="15"/>
  <c r="AF3183" i="15"/>
  <c r="AH3183" i="15"/>
  <c r="AF3184" i="15"/>
  <c r="AH3184" i="15"/>
  <c r="AF3185" i="15"/>
  <c r="AH3185" i="15"/>
  <c r="AF3186" i="15"/>
  <c r="AH3186" i="15"/>
  <c r="AF3187" i="15"/>
  <c r="AH3187" i="15"/>
  <c r="AF3188" i="15"/>
  <c r="AH3188" i="15"/>
  <c r="AF3189" i="15"/>
  <c r="AH3189" i="15"/>
  <c r="AF3190" i="15"/>
  <c r="AH3190" i="15"/>
  <c r="AF3148" i="15"/>
  <c r="AH3148" i="15"/>
  <c r="AF3143" i="15"/>
  <c r="AH3143" i="15"/>
  <c r="AF3144" i="15"/>
  <c r="AH3144" i="15"/>
  <c r="AF3145" i="15"/>
  <c r="AH3145" i="15"/>
  <c r="AF3146" i="15"/>
  <c r="AH3146" i="15"/>
  <c r="AF3147" i="15"/>
  <c r="AH3147" i="15"/>
  <c r="AF3138" i="15"/>
  <c r="AH3138" i="15"/>
  <c r="AF3139" i="15"/>
  <c r="AH3139" i="15"/>
  <c r="AF3140" i="15"/>
  <c r="AH3140" i="15"/>
  <c r="AF3141" i="15"/>
  <c r="AH3141" i="15"/>
  <c r="AF3142" i="15"/>
  <c r="AH3142" i="15"/>
  <c r="AF3136" i="15"/>
  <c r="AH3136" i="15"/>
  <c r="AF3137" i="15"/>
  <c r="AH3137" i="15"/>
  <c r="AF3135" i="15"/>
  <c r="AH3135" i="15"/>
  <c r="AF3131" i="15"/>
  <c r="AG3131" i="15"/>
  <c r="AH3131" i="15"/>
  <c r="AF3132" i="15"/>
  <c r="AG3132" i="15"/>
  <c r="AH3132" i="15"/>
  <c r="AF3133" i="15"/>
  <c r="AG3133" i="15"/>
  <c r="AH3133" i="15"/>
  <c r="AF3134" i="15"/>
  <c r="AG3134" i="15"/>
  <c r="AH3134" i="15"/>
  <c r="AF3123" i="15"/>
  <c r="AG3123" i="15"/>
  <c r="AH3123" i="15"/>
  <c r="AF3124" i="15"/>
  <c r="AG3124" i="15"/>
  <c r="AH3124" i="15"/>
  <c r="AF3125" i="15"/>
  <c r="AG3125" i="15"/>
  <c r="AH3125" i="15"/>
  <c r="AF3126" i="15"/>
  <c r="AG3126" i="15"/>
  <c r="AH3126" i="15"/>
  <c r="AF3127" i="15"/>
  <c r="AH3127" i="15"/>
  <c r="AF3128" i="15"/>
  <c r="AH3128" i="15"/>
  <c r="AF3129" i="15"/>
  <c r="AH3129" i="15"/>
  <c r="AF3130" i="15"/>
  <c r="AH3130" i="15"/>
  <c r="AH3119" i="15"/>
  <c r="AH3120" i="15"/>
  <c r="AH3121" i="15"/>
  <c r="AH3122" i="15"/>
  <c r="AF3115" i="15"/>
  <c r="AG3115" i="15"/>
  <c r="AH3115" i="15"/>
  <c r="AF3116" i="15"/>
  <c r="AG3116" i="15"/>
  <c r="AH3116" i="15"/>
  <c r="AF3117" i="15"/>
  <c r="AG3117" i="15"/>
  <c r="AH3117" i="15"/>
  <c r="AF3118" i="15"/>
  <c r="AG3118" i="15"/>
  <c r="AH3118" i="15"/>
  <c r="AF3114" i="15"/>
  <c r="AG3114" i="15"/>
  <c r="AH3114" i="15"/>
  <c r="AF3107" i="15"/>
  <c r="AH3107" i="15"/>
  <c r="AF3108" i="15"/>
  <c r="AH3108" i="15"/>
  <c r="AF3109" i="15"/>
  <c r="AH3109" i="15"/>
  <c r="AF3110" i="15"/>
  <c r="AG3110" i="15"/>
  <c r="AH3110" i="15"/>
  <c r="AF3111" i="15"/>
  <c r="AG3111" i="15"/>
  <c r="AH3111" i="15"/>
  <c r="AF3112" i="15"/>
  <c r="AG3112" i="15"/>
  <c r="AH3112" i="15"/>
  <c r="AF3113" i="15"/>
  <c r="AG3113" i="15"/>
  <c r="AH3113" i="15"/>
  <c r="AH3105" i="15"/>
  <c r="AH3106" i="15"/>
  <c r="AF3103" i="15"/>
  <c r="AG3103" i="15"/>
  <c r="AH3103" i="15"/>
  <c r="AF3104" i="15"/>
  <c r="AG3104" i="15"/>
  <c r="AH3104" i="15"/>
  <c r="AF3097" i="15"/>
  <c r="AG3097" i="15"/>
  <c r="AH3097" i="15"/>
  <c r="AF3098" i="15"/>
  <c r="AG3098" i="15"/>
  <c r="AH3098" i="15"/>
  <c r="AG3099" i="15"/>
  <c r="AH3099" i="15"/>
  <c r="AG3100" i="15"/>
  <c r="AH3100" i="15"/>
  <c r="AG3101" i="15"/>
  <c r="AH3101" i="15"/>
  <c r="AG3102" i="15"/>
  <c r="AH3102" i="15"/>
  <c r="AF3091" i="15"/>
  <c r="AG3091" i="15"/>
  <c r="AH3091" i="15"/>
  <c r="AF3092" i="15"/>
  <c r="AG3092" i="15"/>
  <c r="AH3092" i="15"/>
  <c r="AG3093" i="15"/>
  <c r="AH3093" i="15"/>
  <c r="AG3094" i="15"/>
  <c r="AH3094" i="15"/>
  <c r="AG3095" i="15"/>
  <c r="AH3095" i="15"/>
  <c r="AG3096" i="15"/>
  <c r="AH3096" i="15"/>
  <c r="AF3090" i="15"/>
  <c r="AG3090" i="15"/>
  <c r="AH3090" i="15"/>
  <c r="AE3116" i="15"/>
  <c r="AE3115" i="15"/>
  <c r="AE3114" i="15"/>
  <c r="AE3111" i="15"/>
  <c r="AE3112" i="15"/>
  <c r="AE3113" i="15"/>
  <c r="AE3105" i="15"/>
  <c r="AE3106" i="15"/>
  <c r="AE3107" i="15"/>
  <c r="AE3108" i="15"/>
  <c r="AE3109" i="15"/>
  <c r="AE3110" i="15"/>
  <c r="AE3104" i="15"/>
  <c r="AC3103" i="15"/>
  <c r="AE3103" i="15"/>
  <c r="AE3101" i="15"/>
  <c r="AE3102" i="15"/>
  <c r="AC3099" i="15"/>
  <c r="AE3099" i="15"/>
  <c r="AC3100" i="15"/>
  <c r="AE3100" i="15"/>
  <c r="AE3095" i="15"/>
  <c r="AE3096" i="15"/>
  <c r="AE3097" i="15"/>
  <c r="AE3098" i="15"/>
  <c r="AE3094" i="15"/>
  <c r="AE3090" i="15"/>
  <c r="AE3091" i="15"/>
  <c r="AE3092" i="15"/>
  <c r="AE3093" i="15"/>
  <c r="AB3116" i="15"/>
  <c r="AB3115" i="15"/>
  <c r="AB3114" i="15"/>
  <c r="AB3111" i="15"/>
  <c r="AB3112" i="15"/>
  <c r="AB3113" i="15"/>
  <c r="AB3105" i="15"/>
  <c r="AB3106" i="15"/>
  <c r="AB3107" i="15"/>
  <c r="AB3108" i="15"/>
  <c r="AB3109" i="15"/>
  <c r="AB3110" i="15"/>
  <c r="AB3104" i="15"/>
  <c r="Z3103" i="15"/>
  <c r="AB3103" i="15"/>
  <c r="AB3101" i="15"/>
  <c r="AB3102" i="15"/>
  <c r="Z3099" i="15"/>
  <c r="AB3099" i="15"/>
  <c r="Z3100" i="15"/>
  <c r="AB3100" i="15"/>
  <c r="AB3095" i="15"/>
  <c r="AB3096" i="15"/>
  <c r="AB3097" i="15"/>
  <c r="AB3098" i="15"/>
  <c r="AB3094" i="15"/>
  <c r="AB3090" i="15"/>
  <c r="AB3091" i="15"/>
  <c r="AB3092" i="15"/>
  <c r="AB3093" i="15"/>
  <c r="Y3180" i="15"/>
  <c r="Y3179" i="15"/>
  <c r="W3177" i="15"/>
  <c r="X3177" i="15"/>
  <c r="Y3177" i="15"/>
  <c r="W3178" i="15"/>
  <c r="X3178" i="15"/>
  <c r="Y3178" i="15"/>
  <c r="Y3176" i="15"/>
  <c r="Y3167" i="15"/>
  <c r="Y3168" i="15"/>
  <c r="Y3169" i="15"/>
  <c r="Y3170" i="15"/>
  <c r="Y3171" i="15"/>
  <c r="Y3172" i="15"/>
  <c r="Y3173" i="15"/>
  <c r="Y3174" i="15"/>
  <c r="Y3175" i="15"/>
  <c r="W3165" i="15"/>
  <c r="Y3165" i="15"/>
  <c r="W3166" i="15"/>
  <c r="Y3166" i="15"/>
  <c r="W3123" i="15"/>
  <c r="X3123" i="15"/>
  <c r="Y3123" i="15"/>
  <c r="W3124" i="15"/>
  <c r="X3124" i="15"/>
  <c r="Y3124" i="15"/>
  <c r="W3125" i="15"/>
  <c r="X3125" i="15"/>
  <c r="Y3125" i="15"/>
  <c r="W3126" i="15"/>
  <c r="X3126" i="15"/>
  <c r="Y3126" i="15"/>
  <c r="W3127" i="15"/>
  <c r="X3127" i="15"/>
  <c r="Y3127" i="15"/>
  <c r="W3128" i="15"/>
  <c r="X3128" i="15"/>
  <c r="Y3128" i="15"/>
  <c r="Y3129" i="15"/>
  <c r="Y3130" i="15"/>
  <c r="Y3131" i="15"/>
  <c r="Y3132" i="15"/>
  <c r="Y3133" i="15"/>
  <c r="Y3134" i="15"/>
  <c r="Y3135" i="15"/>
  <c r="Y3136" i="15"/>
  <c r="Y3137" i="15"/>
  <c r="Y3138" i="15"/>
  <c r="Y3139" i="15"/>
  <c r="Y3140" i="15"/>
  <c r="Y3141" i="15"/>
  <c r="Y3142" i="15"/>
  <c r="Y3143" i="15"/>
  <c r="Y3144" i="15"/>
  <c r="Y3145" i="15"/>
  <c r="Y3146" i="15"/>
  <c r="Y3147" i="15"/>
  <c r="Y3148" i="15"/>
  <c r="Y3149" i="15"/>
  <c r="Y3150" i="15"/>
  <c r="Y3151" i="15"/>
  <c r="Y3152" i="15"/>
  <c r="Y3153" i="15"/>
  <c r="Y3154" i="15"/>
  <c r="Y3155" i="15"/>
  <c r="Y3156" i="15"/>
  <c r="Y3157" i="15"/>
  <c r="Y3158" i="15"/>
  <c r="Y3159" i="15"/>
  <c r="Y3160" i="15"/>
  <c r="Y3161" i="15"/>
  <c r="Y3162" i="15"/>
  <c r="Y3163" i="15"/>
  <c r="Y3164" i="15"/>
  <c r="Y3122" i="15"/>
  <c r="Y3121" i="15"/>
  <c r="Y3117" i="15"/>
  <c r="Y3118" i="15"/>
  <c r="W3119" i="15"/>
  <c r="Y3119" i="15"/>
  <c r="W3120" i="15"/>
  <c r="Y3120" i="15"/>
  <c r="Y3114" i="15"/>
  <c r="W3115" i="15"/>
  <c r="Y3115" i="15"/>
  <c r="W3116" i="15"/>
  <c r="Y3116" i="15"/>
  <c r="Y3110" i="15"/>
  <c r="Y3111" i="15"/>
  <c r="Y3112" i="15"/>
  <c r="Y3113" i="15"/>
  <c r="Y3106" i="15"/>
  <c r="Y3107" i="15"/>
  <c r="Y3108" i="15"/>
  <c r="Y3109" i="15"/>
  <c r="Y3099" i="15"/>
  <c r="Y3100" i="15"/>
  <c r="Y3101" i="15"/>
  <c r="Y3102" i="15"/>
  <c r="Y3103" i="15"/>
  <c r="Y3104" i="15"/>
  <c r="Y3105" i="15"/>
  <c r="Y3097" i="15"/>
  <c r="Y3098" i="15"/>
  <c r="Y3091" i="15"/>
  <c r="Y3092" i="15"/>
  <c r="Y3093" i="15"/>
  <c r="Y3094" i="15"/>
  <c r="Y3095" i="15"/>
  <c r="Y3096" i="15"/>
  <c r="W3090" i="15"/>
  <c r="X3090" i="15"/>
  <c r="Y3090" i="15"/>
  <c r="V3180" i="15"/>
  <c r="V3179" i="15"/>
  <c r="T3177" i="15"/>
  <c r="U3177" i="15"/>
  <c r="V3177" i="15"/>
  <c r="T3178" i="15"/>
  <c r="U3178" i="15"/>
  <c r="V3178" i="15"/>
  <c r="V3176" i="15"/>
  <c r="V3167" i="15"/>
  <c r="V3168" i="15"/>
  <c r="V3169" i="15"/>
  <c r="V3170" i="15"/>
  <c r="V3171" i="15"/>
  <c r="V3172" i="15"/>
  <c r="V3173" i="15"/>
  <c r="V3174" i="15"/>
  <c r="V3175" i="15"/>
  <c r="T3165" i="15"/>
  <c r="V3165" i="15"/>
  <c r="T3166" i="15"/>
  <c r="V3166" i="15"/>
  <c r="T3123" i="15"/>
  <c r="U3123" i="15"/>
  <c r="V3123" i="15"/>
  <c r="T3124" i="15"/>
  <c r="U3124" i="15"/>
  <c r="V3124" i="15"/>
  <c r="T3125" i="15"/>
  <c r="U3125" i="15"/>
  <c r="V3125" i="15"/>
  <c r="T3126" i="15"/>
  <c r="U3126" i="15"/>
  <c r="V3126" i="15"/>
  <c r="T3127" i="15"/>
  <c r="U3127" i="15"/>
  <c r="V3127" i="15"/>
  <c r="T3128" i="15"/>
  <c r="U3128" i="15"/>
  <c r="V3128" i="15"/>
  <c r="V3129" i="15"/>
  <c r="V3130" i="15"/>
  <c r="V3131" i="15"/>
  <c r="V3132" i="15"/>
  <c r="V3133" i="15"/>
  <c r="V3134" i="15"/>
  <c r="V3135" i="15"/>
  <c r="V3136" i="15"/>
  <c r="V3137" i="15"/>
  <c r="V3138" i="15"/>
  <c r="V3139" i="15"/>
  <c r="V3140" i="15"/>
  <c r="V3141" i="15"/>
  <c r="V3142" i="15"/>
  <c r="V3143" i="15"/>
  <c r="V3144" i="15"/>
  <c r="V3145" i="15"/>
  <c r="V3146" i="15"/>
  <c r="V3147" i="15"/>
  <c r="V3148" i="15"/>
  <c r="V3149" i="15"/>
  <c r="V3150" i="15"/>
  <c r="V3151" i="15"/>
  <c r="V3152" i="15"/>
  <c r="V3153" i="15"/>
  <c r="V3154" i="15"/>
  <c r="V3155" i="15"/>
  <c r="V3156" i="15"/>
  <c r="V3157" i="15"/>
  <c r="V3158" i="15"/>
  <c r="V3159" i="15"/>
  <c r="V3160" i="15"/>
  <c r="V3161" i="15"/>
  <c r="V3162" i="15"/>
  <c r="V3163" i="15"/>
  <c r="V3164" i="15"/>
  <c r="V3122" i="15"/>
  <c r="V3121" i="15"/>
  <c r="V3117" i="15"/>
  <c r="V3118" i="15"/>
  <c r="T3119" i="15"/>
  <c r="V3119" i="15"/>
  <c r="T3120" i="15"/>
  <c r="V3120" i="15"/>
  <c r="V3114" i="15"/>
  <c r="V3115" i="15"/>
  <c r="V3116" i="15"/>
  <c r="V3110" i="15"/>
  <c r="V3111" i="15"/>
  <c r="V3112" i="15"/>
  <c r="V3113" i="15"/>
  <c r="V3106" i="15"/>
  <c r="V3107" i="15"/>
  <c r="V3108" i="15"/>
  <c r="V3109" i="15"/>
  <c r="V3099" i="15"/>
  <c r="V3100" i="15"/>
  <c r="V3101" i="15"/>
  <c r="V3102" i="15"/>
  <c r="V3103" i="15"/>
  <c r="V3104" i="15"/>
  <c r="V3105" i="15"/>
  <c r="V3097" i="15"/>
  <c r="V3098" i="15"/>
  <c r="V3091" i="15"/>
  <c r="V3092" i="15"/>
  <c r="V3093" i="15"/>
  <c r="V3094" i="15"/>
  <c r="V3095" i="15"/>
  <c r="V3096" i="15"/>
  <c r="T3090" i="15"/>
  <c r="U3090" i="15"/>
  <c r="V3090" i="15"/>
  <c r="Q3125" i="15"/>
  <c r="R3125" i="15"/>
  <c r="S3125" i="15"/>
  <c r="S3124" i="15"/>
  <c r="S3123" i="15"/>
  <c r="S3122" i="15"/>
  <c r="S3120" i="15"/>
  <c r="S3121" i="15"/>
  <c r="S3114" i="15"/>
  <c r="S3115" i="15"/>
  <c r="S3116" i="15"/>
  <c r="S3117" i="15"/>
  <c r="S3118" i="15"/>
  <c r="S3119" i="15"/>
  <c r="S3108" i="15"/>
  <c r="S3109" i="15"/>
  <c r="S3110" i="15"/>
  <c r="S3111" i="15"/>
  <c r="S3112" i="15"/>
  <c r="S3113" i="15"/>
  <c r="S3107" i="15"/>
  <c r="Q3105" i="15"/>
  <c r="S3105" i="15"/>
  <c r="Q3106" i="15"/>
  <c r="S3106" i="15"/>
  <c r="S3099" i="15"/>
  <c r="S3100" i="15"/>
  <c r="S3101" i="15"/>
  <c r="S3102" i="15"/>
  <c r="Q3103" i="15"/>
  <c r="S3103" i="15"/>
  <c r="Q3104" i="15"/>
  <c r="S3104" i="15"/>
  <c r="S3097" i="15"/>
  <c r="S3098" i="15"/>
  <c r="S3091" i="15"/>
  <c r="S3092" i="15"/>
  <c r="S3093" i="15"/>
  <c r="S3094" i="15"/>
  <c r="S3095" i="15"/>
  <c r="S3096" i="15"/>
  <c r="Q3090" i="15"/>
  <c r="R3090" i="15"/>
  <c r="S3090" i="15"/>
  <c r="N3125" i="15"/>
  <c r="O3125" i="15"/>
  <c r="P3125" i="15"/>
  <c r="P3124" i="15"/>
  <c r="P3123" i="15"/>
  <c r="P3122" i="15"/>
  <c r="P3120" i="15"/>
  <c r="P3121" i="15"/>
  <c r="P3114" i="15"/>
  <c r="P3115" i="15"/>
  <c r="P3116" i="15"/>
  <c r="P3117" i="15"/>
  <c r="P3118" i="15"/>
  <c r="P3119" i="15"/>
  <c r="P3108" i="15"/>
  <c r="P3109" i="15"/>
  <c r="P3110" i="15"/>
  <c r="P3111" i="15"/>
  <c r="P3112" i="15"/>
  <c r="P3113" i="15"/>
  <c r="P3107" i="15"/>
  <c r="N3105" i="15"/>
  <c r="P3105" i="15"/>
  <c r="N3106" i="15"/>
  <c r="P3106" i="15"/>
  <c r="P3099" i="15"/>
  <c r="P3100" i="15"/>
  <c r="P3101" i="15"/>
  <c r="P3102" i="15"/>
  <c r="P3103" i="15"/>
  <c r="P3104" i="15"/>
  <c r="P3097" i="15"/>
  <c r="P3098" i="15"/>
  <c r="P3091" i="15"/>
  <c r="P3092" i="15"/>
  <c r="P3093" i="15"/>
  <c r="P3094" i="15"/>
  <c r="P3095" i="15"/>
  <c r="P3096" i="15"/>
  <c r="N3090" i="15"/>
  <c r="O3090" i="15"/>
  <c r="P3090" i="15"/>
  <c r="K3117" i="15"/>
  <c r="L3117" i="15"/>
  <c r="M3117" i="15"/>
  <c r="M3116" i="15"/>
  <c r="M3115" i="15"/>
  <c r="M3114" i="15"/>
  <c r="M3112" i="15"/>
  <c r="M3113" i="15"/>
  <c r="M3106" i="15"/>
  <c r="M3107" i="15"/>
  <c r="M3108" i="15"/>
  <c r="M3109" i="15"/>
  <c r="M3110" i="15"/>
  <c r="M3111" i="15"/>
  <c r="M3100" i="15"/>
  <c r="M3101" i="15"/>
  <c r="M3102" i="15"/>
  <c r="M3103" i="15"/>
  <c r="M3104" i="15"/>
  <c r="M3105" i="15"/>
  <c r="M3098" i="15"/>
  <c r="M3099" i="15"/>
  <c r="M3096" i="15"/>
  <c r="M3097" i="15"/>
  <c r="M3090" i="15"/>
  <c r="M3091" i="15"/>
  <c r="M3092" i="15"/>
  <c r="M3093" i="15"/>
  <c r="M3094" i="15"/>
  <c r="M3095" i="15"/>
  <c r="H3117" i="15"/>
  <c r="I3117" i="15"/>
  <c r="J3117" i="15"/>
  <c r="J3116" i="15"/>
  <c r="J3115" i="15"/>
  <c r="J3114" i="15"/>
  <c r="J3112" i="15"/>
  <c r="J3113" i="15"/>
  <c r="J3106" i="15"/>
  <c r="J3107" i="15"/>
  <c r="J3108" i="15"/>
  <c r="J3109" i="15"/>
  <c r="J3110" i="15"/>
  <c r="J3111" i="15"/>
  <c r="J3100" i="15"/>
  <c r="J3101" i="15"/>
  <c r="J3102" i="15"/>
  <c r="J3103" i="15"/>
  <c r="J3104" i="15"/>
  <c r="J3105" i="15"/>
  <c r="J3098" i="15"/>
  <c r="J3099" i="15"/>
  <c r="J3096" i="15"/>
  <c r="J3097" i="15"/>
  <c r="J3090" i="15"/>
  <c r="J3091" i="15"/>
  <c r="J3092" i="15"/>
  <c r="J3093" i="15"/>
  <c r="J3094" i="15"/>
  <c r="J3095" i="15"/>
  <c r="E3117" i="15"/>
  <c r="F3117" i="15"/>
  <c r="G3117" i="15"/>
  <c r="G3116" i="15"/>
  <c r="G3115" i="15"/>
  <c r="G3114" i="15"/>
  <c r="G3112" i="15"/>
  <c r="G3113" i="15"/>
  <c r="G3106" i="15"/>
  <c r="G3107" i="15"/>
  <c r="G3108" i="15"/>
  <c r="G3109" i="15"/>
  <c r="G3110" i="15"/>
  <c r="G3111" i="15"/>
  <c r="G3100" i="15"/>
  <c r="G3101" i="15"/>
  <c r="G3102" i="15"/>
  <c r="G3103" i="15"/>
  <c r="G3104" i="15"/>
  <c r="G3105" i="15"/>
  <c r="G3098" i="15"/>
  <c r="G3099" i="15"/>
  <c r="G3096" i="15"/>
  <c r="G3097" i="15"/>
  <c r="G3090" i="15"/>
  <c r="G3091" i="15"/>
  <c r="G3092" i="15"/>
  <c r="G3093" i="15"/>
  <c r="G3094" i="15"/>
  <c r="G3095" i="15"/>
  <c r="B3117" i="15"/>
  <c r="D3117" i="15"/>
  <c r="D3116" i="15"/>
  <c r="D3115" i="15"/>
  <c r="D3114" i="15"/>
  <c r="D3112" i="15"/>
  <c r="D3113" i="15"/>
  <c r="D3106" i="15"/>
  <c r="D3107" i="15"/>
  <c r="D3108" i="15"/>
  <c r="D3109" i="15"/>
  <c r="D3110" i="15"/>
  <c r="D3111" i="15"/>
  <c r="D3100" i="15"/>
  <c r="D3101" i="15"/>
  <c r="D3102" i="15"/>
  <c r="D3103" i="15"/>
  <c r="D3104" i="15"/>
  <c r="D3105" i="15"/>
  <c r="D3098" i="15"/>
  <c r="D3099" i="15"/>
  <c r="D3096" i="15"/>
  <c r="D3097" i="15"/>
  <c r="D3090" i="15"/>
  <c r="D3091" i="15"/>
  <c r="D3092" i="15"/>
  <c r="D3093" i="15"/>
  <c r="D3094" i="15"/>
  <c r="D3095" i="15"/>
  <c r="AI3081" i="15"/>
  <c r="AJ3081" i="15"/>
  <c r="AK3081" i="15"/>
  <c r="AI3082" i="15"/>
  <c r="AJ3082" i="15"/>
  <c r="AK3082" i="15"/>
  <c r="AF3081" i="15"/>
  <c r="AG3081" i="15"/>
  <c r="AH3081" i="15"/>
  <c r="AF3082" i="15"/>
  <c r="AG3082" i="15"/>
  <c r="AH3082" i="15"/>
  <c r="AI3080" i="15"/>
  <c r="AJ3080" i="15"/>
  <c r="AK3080" i="15"/>
  <c r="AF3080" i="15"/>
  <c r="AG3080" i="15"/>
  <c r="AH3080" i="15"/>
  <c r="AI3078" i="15"/>
  <c r="AK3078" i="15"/>
  <c r="AI3079" i="15"/>
  <c r="AK3079" i="15"/>
  <c r="AF3078" i="15"/>
  <c r="AH3078" i="15"/>
  <c r="AF3079" i="15"/>
  <c r="AH3079" i="15"/>
  <c r="AK3077" i="15"/>
  <c r="AF3077" i="15"/>
  <c r="AG3077" i="15"/>
  <c r="AH3077" i="15"/>
  <c r="AI3075" i="15"/>
  <c r="AK3075" i="15"/>
  <c r="AI3076" i="15"/>
  <c r="AK3076" i="15"/>
  <c r="AF3075" i="15"/>
  <c r="AH3075" i="15"/>
  <c r="AF3076" i="15"/>
  <c r="AH3076" i="15"/>
  <c r="AI3071" i="15"/>
  <c r="AK3071" i="15"/>
  <c r="AI3072" i="15"/>
  <c r="AK3072" i="15"/>
  <c r="AI3073" i="15"/>
  <c r="AK3073" i="15"/>
  <c r="AI3074" i="15"/>
  <c r="AK3074" i="15"/>
  <c r="AF3071" i="15"/>
  <c r="AH3071" i="15"/>
  <c r="AF3072" i="15"/>
  <c r="AH3072" i="15"/>
  <c r="AF3073" i="15"/>
  <c r="AH3073" i="15"/>
  <c r="AF3074" i="15"/>
  <c r="AH3074" i="15"/>
  <c r="AE3081" i="15"/>
  <c r="AB3081" i="15"/>
  <c r="AE3079" i="15"/>
  <c r="AE3080" i="15"/>
  <c r="AB3079" i="15"/>
  <c r="AB3080" i="15"/>
  <c r="AE3078" i="15"/>
  <c r="AB3078" i="15"/>
  <c r="AE3076" i="15"/>
  <c r="AE3077" i="15"/>
  <c r="AB3076" i="15"/>
  <c r="AB3077" i="15"/>
  <c r="AE3071" i="15"/>
  <c r="AE3072" i="15"/>
  <c r="AE3073" i="15"/>
  <c r="AE3074" i="15"/>
  <c r="AE3075" i="15"/>
  <c r="AB3071" i="15"/>
  <c r="AB3072" i="15"/>
  <c r="AB3073" i="15"/>
  <c r="AB3074" i="15"/>
  <c r="AB3075" i="15"/>
  <c r="W3086" i="15"/>
  <c r="X3086" i="15"/>
  <c r="Y3086" i="15"/>
  <c r="T3086" i="15"/>
  <c r="U3086" i="15"/>
  <c r="V3086" i="15"/>
  <c r="Y3085" i="15"/>
  <c r="V3085" i="15"/>
  <c r="W3083" i="15"/>
  <c r="X3083" i="15"/>
  <c r="Y3083" i="15"/>
  <c r="W3084" i="15"/>
  <c r="X3084" i="15"/>
  <c r="Y3084" i="15"/>
  <c r="T3083" i="15"/>
  <c r="U3083" i="15"/>
  <c r="V3083" i="15"/>
  <c r="T3084" i="15"/>
  <c r="U3084" i="15"/>
  <c r="V3084" i="15"/>
  <c r="Y3080" i="15"/>
  <c r="Y3081" i="15"/>
  <c r="Y3082" i="15"/>
  <c r="V3080" i="15"/>
  <c r="V3081" i="15"/>
  <c r="V3082" i="15"/>
  <c r="W3078" i="15"/>
  <c r="Y3078" i="15"/>
  <c r="W3079" i="15"/>
  <c r="Y3079" i="15"/>
  <c r="T3078" i="15"/>
  <c r="V3078" i="15"/>
  <c r="T3079" i="15"/>
  <c r="V3079" i="15"/>
  <c r="Y3077" i="15"/>
  <c r="V3077" i="15"/>
  <c r="Y3076" i="15"/>
  <c r="V3076" i="15"/>
  <c r="Y3071" i="15"/>
  <c r="Y3072" i="15"/>
  <c r="Y3073" i="15"/>
  <c r="Y3074" i="15"/>
  <c r="Y3075" i="15"/>
  <c r="V3071" i="15"/>
  <c r="V3072" i="15"/>
  <c r="V3073" i="15"/>
  <c r="V3074" i="15"/>
  <c r="V3075" i="15"/>
  <c r="Q3080" i="15"/>
  <c r="S3080" i="15"/>
  <c r="N3080" i="15"/>
  <c r="P3080" i="15"/>
  <c r="S3074" i="15"/>
  <c r="S3075" i="15"/>
  <c r="S3076" i="15"/>
  <c r="S3077" i="15"/>
  <c r="S3078" i="15"/>
  <c r="S3079" i="15"/>
  <c r="P3074" i="15"/>
  <c r="P3075" i="15"/>
  <c r="P3076" i="15"/>
  <c r="P3077" i="15"/>
  <c r="P3078" i="15"/>
  <c r="P3079" i="15"/>
  <c r="Q3072" i="15"/>
  <c r="R3072" i="15"/>
  <c r="S3072" i="15"/>
  <c r="Q3073" i="15"/>
  <c r="R3073" i="15"/>
  <c r="S3073" i="15"/>
  <c r="N3072" i="15"/>
  <c r="O3072" i="15"/>
  <c r="P3072" i="15"/>
  <c r="N3073" i="15"/>
  <c r="O3073" i="15"/>
  <c r="P3073" i="15"/>
  <c r="S3071" i="15"/>
  <c r="P3071" i="15"/>
  <c r="K3080" i="15"/>
  <c r="M3080" i="15"/>
  <c r="H3080" i="15"/>
  <c r="J3080" i="15"/>
  <c r="M3074" i="15"/>
  <c r="M3075" i="15"/>
  <c r="M3076" i="15"/>
  <c r="M3077" i="15"/>
  <c r="K3078" i="15"/>
  <c r="M3078" i="15"/>
  <c r="K3079" i="15"/>
  <c r="M3079" i="15"/>
  <c r="J3074" i="15"/>
  <c r="J3075" i="15"/>
  <c r="J3076" i="15"/>
  <c r="J3077" i="15"/>
  <c r="H3078" i="15"/>
  <c r="J3078" i="15"/>
  <c r="H3079" i="15"/>
  <c r="J3079" i="15"/>
  <c r="M3072" i="15"/>
  <c r="M3073" i="15"/>
  <c r="J3072" i="15"/>
  <c r="J3073" i="15"/>
  <c r="M3071" i="15"/>
  <c r="J3071" i="15"/>
  <c r="E3080" i="15"/>
  <c r="G3080" i="15"/>
  <c r="B3080" i="15"/>
  <c r="D3080" i="15"/>
  <c r="G3074" i="15"/>
  <c r="G3075" i="15"/>
  <c r="G3076" i="15"/>
  <c r="G3077" i="15"/>
  <c r="G3078" i="15"/>
  <c r="G3079" i="15"/>
  <c r="D3074" i="15"/>
  <c r="D3075" i="15"/>
  <c r="D3076" i="15"/>
  <c r="D3077" i="15"/>
  <c r="D3078" i="15"/>
  <c r="D3079" i="15"/>
  <c r="E3072" i="15"/>
  <c r="F3072" i="15"/>
  <c r="G3072" i="15"/>
  <c r="E3073" i="15"/>
  <c r="F3073" i="15"/>
  <c r="G3073" i="15"/>
  <c r="B3072" i="15"/>
  <c r="C3072" i="15"/>
  <c r="D3072" i="15"/>
  <c r="B3073" i="15"/>
  <c r="C3073" i="15"/>
  <c r="D3073" i="15"/>
  <c r="G3071" i="15"/>
  <c r="D3071" i="15"/>
  <c r="AI3062" i="15"/>
  <c r="AK3062" i="15"/>
  <c r="AI3063" i="15"/>
  <c r="AK3063" i="15"/>
  <c r="AI3064" i="15"/>
  <c r="AK3064" i="15"/>
  <c r="AI3065" i="15"/>
  <c r="AK3065" i="15"/>
  <c r="AI3066" i="15"/>
  <c r="AK3066" i="15"/>
  <c r="AI3067" i="15"/>
  <c r="AK3067" i="15"/>
  <c r="AI3056" i="15"/>
  <c r="AJ3056" i="15"/>
  <c r="AK3056" i="15"/>
  <c r="AI3057" i="15"/>
  <c r="AJ3057" i="15"/>
  <c r="AK3057" i="15"/>
  <c r="AI3058" i="15"/>
  <c r="AK3058" i="15"/>
  <c r="AI3059" i="15"/>
  <c r="AK3059" i="15"/>
  <c r="AI3060" i="15"/>
  <c r="AK3060" i="15"/>
  <c r="AI3061" i="15"/>
  <c r="AK3061" i="15"/>
  <c r="AI3054" i="15"/>
  <c r="AJ3054" i="15"/>
  <c r="AK3054" i="15"/>
  <c r="AI3055" i="15"/>
  <c r="AJ3055" i="15"/>
  <c r="AK3055" i="15"/>
  <c r="AI3052" i="15"/>
  <c r="AJ3052" i="15"/>
  <c r="AK3052" i="15"/>
  <c r="AI3053" i="15"/>
  <c r="AK3053" i="15"/>
  <c r="AI3050" i="15"/>
  <c r="AJ3050" i="15"/>
  <c r="AK3050" i="15"/>
  <c r="AI3051" i="15"/>
  <c r="AJ3051" i="15"/>
  <c r="AK3051" i="15"/>
  <c r="AI3049" i="15"/>
  <c r="AJ3049" i="15"/>
  <c r="AK3049" i="15"/>
  <c r="AI3046" i="15"/>
  <c r="AK3046" i="15"/>
  <c r="AI3047" i="15"/>
  <c r="AK3047" i="15"/>
  <c r="AI3048" i="15"/>
  <c r="AK3048" i="15"/>
  <c r="AI3041" i="15"/>
  <c r="AK3041" i="15"/>
  <c r="AI3042" i="15"/>
  <c r="AK3042" i="15"/>
  <c r="AI3043" i="15"/>
  <c r="AK3043" i="15"/>
  <c r="AI3044" i="15"/>
  <c r="AK3044" i="15"/>
  <c r="AI3045" i="15"/>
  <c r="AK3045" i="15"/>
  <c r="AI3040" i="15"/>
  <c r="AJ3040" i="15"/>
  <c r="AK3040" i="15"/>
  <c r="AI3039" i="15"/>
  <c r="AJ3039" i="15"/>
  <c r="AK3039" i="15"/>
  <c r="AI3038" i="15"/>
  <c r="AJ3038" i="15"/>
  <c r="AK3038" i="15"/>
  <c r="AI3034" i="15"/>
  <c r="AJ3034" i="15"/>
  <c r="AK3034" i="15"/>
  <c r="AI3035" i="15"/>
  <c r="AJ3035" i="15"/>
  <c r="AK3035" i="15"/>
  <c r="AI3036" i="15"/>
  <c r="AJ3036" i="15"/>
  <c r="AK3036" i="15"/>
  <c r="AI3037" i="15"/>
  <c r="AJ3037" i="15"/>
  <c r="AK3037" i="15"/>
  <c r="AK3032" i="15"/>
  <c r="AK3033" i="15"/>
  <c r="AI3031" i="15"/>
  <c r="AK3031" i="15"/>
  <c r="AI3029" i="15"/>
  <c r="AJ3029" i="15"/>
  <c r="AK3029" i="15"/>
  <c r="AI3030" i="15"/>
  <c r="AJ3030" i="15"/>
  <c r="AK3030" i="15"/>
  <c r="AF3062" i="15"/>
  <c r="AH3062" i="15"/>
  <c r="AF3063" i="15"/>
  <c r="AH3063" i="15"/>
  <c r="AF3064" i="15"/>
  <c r="AH3064" i="15"/>
  <c r="AF3065" i="15"/>
  <c r="AH3065" i="15"/>
  <c r="AF3066" i="15"/>
  <c r="AH3066" i="15"/>
  <c r="AF3067" i="15"/>
  <c r="AH3067" i="15"/>
  <c r="AF3056" i="15"/>
  <c r="AG3056" i="15"/>
  <c r="AH3056" i="15"/>
  <c r="AF3057" i="15"/>
  <c r="AG3057" i="15"/>
  <c r="AH3057" i="15"/>
  <c r="AF3058" i="15"/>
  <c r="AH3058" i="15"/>
  <c r="AF3059" i="15"/>
  <c r="AH3059" i="15"/>
  <c r="AF3060" i="15"/>
  <c r="AH3060" i="15"/>
  <c r="AF3061" i="15"/>
  <c r="AH3061" i="15"/>
  <c r="AF3054" i="15"/>
  <c r="AG3054" i="15"/>
  <c r="AH3054" i="15"/>
  <c r="AF3055" i="15"/>
  <c r="AG3055" i="15"/>
  <c r="AH3055" i="15"/>
  <c r="AF3052" i="15"/>
  <c r="AG3052" i="15"/>
  <c r="AH3052" i="15"/>
  <c r="AF3053" i="15"/>
  <c r="AG3053" i="15"/>
  <c r="AH3053" i="15"/>
  <c r="AF3050" i="15"/>
  <c r="AG3050" i="15"/>
  <c r="AH3050" i="15"/>
  <c r="AF3051" i="15"/>
  <c r="AG3051" i="15"/>
  <c r="AH3051" i="15"/>
  <c r="AF3049" i="15"/>
  <c r="AG3049" i="15"/>
  <c r="AH3049" i="15"/>
  <c r="AF3046" i="15"/>
  <c r="AH3046" i="15"/>
  <c r="AF3047" i="15"/>
  <c r="AH3047" i="15"/>
  <c r="AF3048" i="15"/>
  <c r="AH3048" i="15"/>
  <c r="AF3041" i="15"/>
  <c r="AH3041" i="15"/>
  <c r="AF3042" i="15"/>
  <c r="AH3042" i="15"/>
  <c r="AF3043" i="15"/>
  <c r="AH3043" i="15"/>
  <c r="AF3044" i="15"/>
  <c r="AH3044" i="15"/>
  <c r="AF3045" i="15"/>
  <c r="AH3045" i="15"/>
  <c r="AF3040" i="15"/>
  <c r="AG3040" i="15"/>
  <c r="AH3040" i="15"/>
  <c r="AF3039" i="15"/>
  <c r="AG3039" i="15"/>
  <c r="AH3039" i="15"/>
  <c r="AF3038" i="15"/>
  <c r="AG3038" i="15"/>
  <c r="AH3038" i="15"/>
  <c r="AF3034" i="15"/>
  <c r="AG3034" i="15"/>
  <c r="AH3034" i="15"/>
  <c r="AF3035" i="15"/>
  <c r="AG3035" i="15"/>
  <c r="AH3035" i="15"/>
  <c r="AF3036" i="15"/>
  <c r="AG3036" i="15"/>
  <c r="AH3036" i="15"/>
  <c r="AF3037" i="15"/>
  <c r="AG3037" i="15"/>
  <c r="AH3037" i="15"/>
  <c r="AH3032" i="15"/>
  <c r="AH3033" i="15"/>
  <c r="AF3031" i="15"/>
  <c r="AH3031" i="15"/>
  <c r="AH3029" i="15"/>
  <c r="AF3030" i="15"/>
  <c r="AG3030" i="15"/>
  <c r="AH3030" i="15"/>
  <c r="AE3043" i="15"/>
  <c r="AE3044" i="15"/>
  <c r="AB3043" i="15"/>
  <c r="AB3044" i="15"/>
  <c r="AE3041" i="15"/>
  <c r="AE3042" i="15"/>
  <c r="AB3041" i="15"/>
  <c r="AB3042" i="15"/>
  <c r="AE3040" i="15"/>
  <c r="AB3040" i="15"/>
  <c r="AE3039" i="15"/>
  <c r="AB3039" i="15"/>
  <c r="AE3038" i="15"/>
  <c r="AB3038" i="15"/>
  <c r="AE3035" i="15"/>
  <c r="AE3036" i="15"/>
  <c r="AE3037" i="15"/>
  <c r="AB3035" i="15"/>
  <c r="AB3036" i="15"/>
  <c r="AB3037" i="15"/>
  <c r="AE3031" i="15"/>
  <c r="AE3032" i="15"/>
  <c r="AC3033" i="15"/>
  <c r="AD3033" i="15"/>
  <c r="AE3033" i="15"/>
  <c r="AC3034" i="15"/>
  <c r="AD3034" i="15"/>
  <c r="AE3034" i="15"/>
  <c r="AB3031" i="15"/>
  <c r="AB3032" i="15"/>
  <c r="Z3033" i="15"/>
  <c r="AA3033" i="15"/>
  <c r="AB3033" i="15"/>
  <c r="Z3034" i="15"/>
  <c r="AA3034" i="15"/>
  <c r="AB3034" i="15"/>
  <c r="AE3029" i="15"/>
  <c r="AE3030" i="15"/>
  <c r="AB3029" i="15"/>
  <c r="AB3030" i="15"/>
  <c r="Y3062" i="15"/>
  <c r="Y3063" i="15"/>
  <c r="Y3064" i="15"/>
  <c r="Y3065" i="15"/>
  <c r="Y3066" i="15"/>
  <c r="Y3067" i="15"/>
  <c r="Y3060" i="15"/>
  <c r="Y3061" i="15"/>
  <c r="W3058" i="15"/>
  <c r="X3058" i="15"/>
  <c r="Y3058" i="15"/>
  <c r="W3059" i="15"/>
  <c r="X3059" i="15"/>
  <c r="Y3059" i="15"/>
  <c r="Y3057" i="15"/>
  <c r="Y3056" i="15"/>
  <c r="Y3055" i="15"/>
  <c r="Y3054" i="15"/>
  <c r="Y3051" i="15"/>
  <c r="Y3052" i="15"/>
  <c r="Y3053" i="15"/>
  <c r="Y3046" i="15"/>
  <c r="Y3047" i="15"/>
  <c r="Y3048" i="15"/>
  <c r="Y3049" i="15"/>
  <c r="Y3050" i="15"/>
  <c r="Y3045" i="15"/>
  <c r="Y3044" i="15"/>
  <c r="W3040" i="15"/>
  <c r="X3040" i="15"/>
  <c r="Y3040" i="15"/>
  <c r="Y3041" i="15"/>
  <c r="Y3042" i="15"/>
  <c r="Y3043" i="15"/>
  <c r="Y3036" i="15"/>
  <c r="Y3037" i="15"/>
  <c r="W3038" i="15"/>
  <c r="X3038" i="15"/>
  <c r="Y3038" i="15"/>
  <c r="W3039" i="15"/>
  <c r="X3039" i="15"/>
  <c r="Y3039" i="15"/>
  <c r="Y3035" i="15"/>
  <c r="Y3033" i="15"/>
  <c r="Y3034" i="15"/>
  <c r="Y3031" i="15"/>
  <c r="Y3032" i="15"/>
  <c r="Y3030" i="15"/>
  <c r="W3029" i="15"/>
  <c r="X3029" i="15"/>
  <c r="Y3029" i="15"/>
  <c r="V3062" i="15"/>
  <c r="V3063" i="15"/>
  <c r="V3064" i="15"/>
  <c r="V3065" i="15"/>
  <c r="V3066" i="15"/>
  <c r="V3067" i="15"/>
  <c r="V3060" i="15"/>
  <c r="V3061" i="15"/>
  <c r="T3058" i="15"/>
  <c r="U3058" i="15"/>
  <c r="V3058" i="15"/>
  <c r="T3059" i="15"/>
  <c r="U3059" i="15"/>
  <c r="V3059" i="15"/>
  <c r="V3057" i="15"/>
  <c r="V3056" i="15"/>
  <c r="V3055" i="15"/>
  <c r="V3054" i="15"/>
  <c r="V3051" i="15"/>
  <c r="V3052" i="15"/>
  <c r="V3053" i="15"/>
  <c r="V3046" i="15"/>
  <c r="V3047" i="15"/>
  <c r="V3048" i="15"/>
  <c r="V3049" i="15"/>
  <c r="V3050" i="15"/>
  <c r="V3045" i="15"/>
  <c r="T3044" i="15"/>
  <c r="V3044" i="15"/>
  <c r="T3040" i="15"/>
  <c r="U3040" i="15"/>
  <c r="V3040" i="15"/>
  <c r="T3041" i="15"/>
  <c r="U3041" i="15"/>
  <c r="V3041" i="15"/>
  <c r="T3042" i="15"/>
  <c r="U3042" i="15"/>
  <c r="V3042" i="15"/>
  <c r="T3043" i="15"/>
  <c r="U3043" i="15"/>
  <c r="V3043" i="15"/>
  <c r="V3036" i="15"/>
  <c r="V3037" i="15"/>
  <c r="T3038" i="15"/>
  <c r="U3038" i="15"/>
  <c r="V3038" i="15"/>
  <c r="T3039" i="15"/>
  <c r="U3039" i="15"/>
  <c r="V3039" i="15"/>
  <c r="V3035" i="15"/>
  <c r="V3033" i="15"/>
  <c r="V3034" i="15"/>
  <c r="V3031" i="15"/>
  <c r="V3032" i="15"/>
  <c r="V3030" i="15"/>
  <c r="T3029" i="15"/>
  <c r="U3029" i="15"/>
  <c r="V3029" i="15"/>
  <c r="R3045" i="15"/>
  <c r="S3045" i="15"/>
  <c r="R3046" i="15"/>
  <c r="S3046" i="15"/>
  <c r="S3047" i="15"/>
  <c r="S3048" i="15"/>
  <c r="S3049" i="15"/>
  <c r="S3050" i="15"/>
  <c r="O3045" i="15"/>
  <c r="P3045" i="15"/>
  <c r="O3046" i="15"/>
  <c r="P3046" i="15"/>
  <c r="P3047" i="15"/>
  <c r="P3048" i="15"/>
  <c r="P3049" i="15"/>
  <c r="P3050" i="15"/>
  <c r="Q3044" i="15"/>
  <c r="R3044" i="15"/>
  <c r="S3044" i="15"/>
  <c r="N3044" i="15"/>
  <c r="O3044" i="15"/>
  <c r="P3044" i="15"/>
  <c r="Q3042" i="15"/>
  <c r="R3042" i="15"/>
  <c r="S3042" i="15"/>
  <c r="Q3043" i="15"/>
  <c r="R3043" i="15"/>
  <c r="S3043" i="15"/>
  <c r="N3042" i="15"/>
  <c r="O3042" i="15"/>
  <c r="P3042" i="15"/>
  <c r="N3043" i="15"/>
  <c r="O3043" i="15"/>
  <c r="P3043" i="15"/>
  <c r="S3040" i="15"/>
  <c r="S3041" i="15"/>
  <c r="P3040" i="15"/>
  <c r="P3041" i="15"/>
  <c r="S3036" i="15"/>
  <c r="S3037" i="15"/>
  <c r="S3038" i="15"/>
  <c r="S3039" i="15"/>
  <c r="P3036" i="15"/>
  <c r="P3037" i="15"/>
  <c r="P3038" i="15"/>
  <c r="P3039" i="15"/>
  <c r="S3031" i="15"/>
  <c r="S3032" i="15"/>
  <c r="S3033" i="15"/>
  <c r="S3034" i="15"/>
  <c r="S3035" i="15"/>
  <c r="P3031" i="15"/>
  <c r="P3032" i="15"/>
  <c r="P3033" i="15"/>
  <c r="P3034" i="15"/>
  <c r="P3035" i="15"/>
  <c r="Q3029" i="15"/>
  <c r="R3029" i="15"/>
  <c r="S3029" i="15"/>
  <c r="Q3030" i="15"/>
  <c r="R3030" i="15"/>
  <c r="S3030" i="15"/>
  <c r="N3029" i="15"/>
  <c r="O3029" i="15"/>
  <c r="P3029" i="15"/>
  <c r="N3030" i="15"/>
  <c r="O3030" i="15"/>
  <c r="P3030" i="15"/>
  <c r="L3035" i="15"/>
  <c r="M3035" i="15"/>
  <c r="L3036" i="15"/>
  <c r="M3036" i="15"/>
  <c r="M3037" i="15"/>
  <c r="M3038" i="15"/>
  <c r="M3039" i="15"/>
  <c r="M3040" i="15"/>
  <c r="I3035" i="15"/>
  <c r="J3035" i="15"/>
  <c r="I3036" i="15"/>
  <c r="J3036" i="15"/>
  <c r="J3037" i="15"/>
  <c r="J3038" i="15"/>
  <c r="J3039" i="15"/>
  <c r="J3040" i="15"/>
  <c r="M3033" i="15"/>
  <c r="M3034" i="15"/>
  <c r="J3033" i="15"/>
  <c r="J3034" i="15"/>
  <c r="M3029" i="15"/>
  <c r="M3030" i="15"/>
  <c r="M3031" i="15"/>
  <c r="M3032" i="15"/>
  <c r="J3029" i="15"/>
  <c r="J3030" i="15"/>
  <c r="J3031" i="15"/>
  <c r="J3032" i="15"/>
  <c r="F3035" i="15"/>
  <c r="G3035" i="15"/>
  <c r="F3036" i="15"/>
  <c r="G3036" i="15"/>
  <c r="G3037" i="15"/>
  <c r="G3038" i="15"/>
  <c r="G3039" i="15"/>
  <c r="G3040" i="15"/>
  <c r="C3035" i="15"/>
  <c r="D3035" i="15"/>
  <c r="C3036" i="15"/>
  <c r="D3036" i="15"/>
  <c r="D3037" i="15"/>
  <c r="D3038" i="15"/>
  <c r="D3039" i="15"/>
  <c r="D3040" i="15"/>
  <c r="G3033" i="15"/>
  <c r="G3034" i="15"/>
  <c r="D3033" i="15"/>
  <c r="D3034" i="15"/>
  <c r="G3029" i="15"/>
  <c r="G3030" i="15"/>
  <c r="G3031" i="15"/>
  <c r="G3032" i="15"/>
  <c r="D3029" i="15"/>
  <c r="D3030" i="15"/>
  <c r="D3031" i="15"/>
  <c r="D3032" i="15"/>
  <c r="AI3025" i="15"/>
  <c r="AJ3025" i="15"/>
  <c r="AK3025" i="15"/>
  <c r="AI3023" i="15"/>
  <c r="AJ3023" i="15"/>
  <c r="AK3023" i="15"/>
  <c r="AI3024" i="15"/>
  <c r="AJ3024" i="15"/>
  <c r="AK3024" i="15"/>
  <c r="AI3022" i="15"/>
  <c r="AJ3022" i="15"/>
  <c r="AK3022" i="15"/>
  <c r="AI3021" i="15"/>
  <c r="AJ3021" i="15"/>
  <c r="AK3021" i="15"/>
  <c r="AI3020" i="15"/>
  <c r="AK3020" i="15"/>
  <c r="AI3012" i="15"/>
  <c r="AJ3012" i="15"/>
  <c r="AK3012" i="15"/>
  <c r="AI3013" i="15"/>
  <c r="AJ3013" i="15"/>
  <c r="AK3013" i="15"/>
  <c r="AI3014" i="15"/>
  <c r="AJ3014" i="15"/>
  <c r="AK3014" i="15"/>
  <c r="AI3015" i="15"/>
  <c r="AJ3015" i="15"/>
  <c r="AK3015" i="15"/>
  <c r="AI3016" i="15"/>
  <c r="AJ3016" i="15"/>
  <c r="AK3016" i="15"/>
  <c r="AI3017" i="15"/>
  <c r="AJ3017" i="15"/>
  <c r="AK3017" i="15"/>
  <c r="AI3018" i="15"/>
  <c r="AJ3018" i="15"/>
  <c r="AK3018" i="15"/>
  <c r="AI3019" i="15"/>
  <c r="AJ3019" i="15"/>
  <c r="AK3019" i="15"/>
  <c r="AI3011" i="15"/>
  <c r="AJ3011" i="15"/>
  <c r="AK3011" i="15"/>
  <c r="AI3010" i="15"/>
  <c r="AJ3010" i="15"/>
  <c r="AK3010" i="15"/>
  <c r="AI3007" i="15"/>
  <c r="AJ3007" i="15"/>
  <c r="AK3007" i="15"/>
  <c r="AI3008" i="15"/>
  <c r="AJ3008" i="15"/>
  <c r="AK3008" i="15"/>
  <c r="AI3009" i="15"/>
  <c r="AJ3009" i="15"/>
  <c r="AK3009" i="15"/>
  <c r="AI2995" i="15"/>
  <c r="AJ2995" i="15"/>
  <c r="AK2995" i="15"/>
  <c r="AI2996" i="15"/>
  <c r="AJ2996" i="15"/>
  <c r="AK2996" i="15"/>
  <c r="AI2997" i="15"/>
  <c r="AJ2997" i="15"/>
  <c r="AK2997" i="15"/>
  <c r="AI2998" i="15"/>
  <c r="AJ2998" i="15"/>
  <c r="AK2998" i="15"/>
  <c r="AI2999" i="15"/>
  <c r="AJ2999" i="15"/>
  <c r="AK2999" i="15"/>
  <c r="AI3000" i="15"/>
  <c r="AJ3000" i="15"/>
  <c r="AK3000" i="15"/>
  <c r="AI3001" i="15"/>
  <c r="AJ3001" i="15"/>
  <c r="AK3001" i="15"/>
  <c r="AI3002" i="15"/>
  <c r="AJ3002" i="15"/>
  <c r="AK3002" i="15"/>
  <c r="AI3003" i="15"/>
  <c r="AJ3003" i="15"/>
  <c r="AK3003" i="15"/>
  <c r="AI3004" i="15"/>
  <c r="AK3004" i="15"/>
  <c r="AI3005" i="15"/>
  <c r="AK3005" i="15"/>
  <c r="AI3006" i="15"/>
  <c r="AK3006" i="15"/>
  <c r="AI2989" i="15"/>
  <c r="AJ2989" i="15"/>
  <c r="AK2989" i="15"/>
  <c r="AI2990" i="15"/>
  <c r="AJ2990" i="15"/>
  <c r="AK2990" i="15"/>
  <c r="AI2991" i="15"/>
  <c r="AJ2991" i="15"/>
  <c r="AK2991" i="15"/>
  <c r="AI2992" i="15"/>
  <c r="AJ2992" i="15"/>
  <c r="AK2992" i="15"/>
  <c r="AI2993" i="15"/>
  <c r="AJ2993" i="15"/>
  <c r="AK2993" i="15"/>
  <c r="AI2994" i="15"/>
  <c r="AJ2994" i="15"/>
  <c r="AK2994" i="15"/>
  <c r="AI2986" i="15"/>
  <c r="AK2986" i="15"/>
  <c r="AI2987" i="15"/>
  <c r="AK2987" i="15"/>
  <c r="AI2988" i="15"/>
  <c r="AK2988" i="15"/>
  <c r="AI2983" i="15"/>
  <c r="AK2983" i="15"/>
  <c r="AI2984" i="15"/>
  <c r="AK2984" i="15"/>
  <c r="AI2985" i="15"/>
  <c r="AK2985" i="15"/>
  <c r="AI2970" i="15"/>
  <c r="AK2970" i="15"/>
  <c r="AI2971" i="15"/>
  <c r="AK2971" i="15"/>
  <c r="AI2972" i="15"/>
  <c r="AK2972" i="15"/>
  <c r="AI2973" i="15"/>
  <c r="AK2973" i="15"/>
  <c r="AI2974" i="15"/>
  <c r="AK2974" i="15"/>
  <c r="AI2975" i="15"/>
  <c r="AK2975" i="15"/>
  <c r="AI2976" i="15"/>
  <c r="AK2976" i="15"/>
  <c r="AI2977" i="15"/>
  <c r="AK2977" i="15"/>
  <c r="AI2978" i="15"/>
  <c r="AK2978" i="15"/>
  <c r="AI2979" i="15"/>
  <c r="AK2979" i="15"/>
  <c r="AI2980" i="15"/>
  <c r="AK2980" i="15"/>
  <c r="AI2981" i="15"/>
  <c r="AK2981" i="15"/>
  <c r="AI2982" i="15"/>
  <c r="AK2982" i="15"/>
  <c r="AI2968" i="15"/>
  <c r="AJ2968" i="15"/>
  <c r="AK2968" i="15"/>
  <c r="AI2969" i="15"/>
  <c r="AJ2969" i="15"/>
  <c r="AK2969" i="15"/>
  <c r="AI2964" i="15"/>
  <c r="AJ2964" i="15"/>
  <c r="AK2964" i="15"/>
  <c r="AI2965" i="15"/>
  <c r="AJ2965" i="15"/>
  <c r="AK2965" i="15"/>
  <c r="AI2966" i="15"/>
  <c r="AJ2966" i="15"/>
  <c r="AK2966" i="15"/>
  <c r="AI2967" i="15"/>
  <c r="AJ2967" i="15"/>
  <c r="AK2967" i="15"/>
  <c r="AK2954" i="15"/>
  <c r="AK2955" i="15"/>
  <c r="AK2956" i="15"/>
  <c r="AK2957" i="15"/>
  <c r="AK2958" i="15"/>
  <c r="AK2959" i="15"/>
  <c r="AK2960" i="15"/>
  <c r="AK2961" i="15"/>
  <c r="AK2962" i="15"/>
  <c r="AK2963" i="15"/>
  <c r="AI2947" i="15"/>
  <c r="AJ2947" i="15"/>
  <c r="AK2947" i="15"/>
  <c r="AI2948" i="15"/>
  <c r="AJ2948" i="15"/>
  <c r="AK2948" i="15"/>
  <c r="AI2949" i="15"/>
  <c r="AJ2949" i="15"/>
  <c r="AK2949" i="15"/>
  <c r="AI2950" i="15"/>
  <c r="AJ2950" i="15"/>
  <c r="AK2950" i="15"/>
  <c r="AI2951" i="15"/>
  <c r="AJ2951" i="15"/>
  <c r="AK2951" i="15"/>
  <c r="AI2952" i="15"/>
  <c r="AJ2952" i="15"/>
  <c r="AK2952" i="15"/>
  <c r="AK2953" i="15"/>
  <c r="AI2937" i="15"/>
  <c r="AJ2937" i="15"/>
  <c r="AK2937" i="15"/>
  <c r="AI2938" i="15"/>
  <c r="AJ2938" i="15"/>
  <c r="AK2938" i="15"/>
  <c r="AI2939" i="15"/>
  <c r="AJ2939" i="15"/>
  <c r="AK2939" i="15"/>
  <c r="AI2940" i="15"/>
  <c r="AJ2940" i="15"/>
  <c r="AK2940" i="15"/>
  <c r="AI2941" i="15"/>
  <c r="AJ2941" i="15"/>
  <c r="AK2941" i="15"/>
  <c r="AI2942" i="15"/>
  <c r="AJ2942" i="15"/>
  <c r="AK2942" i="15"/>
  <c r="AI2943" i="15"/>
  <c r="AJ2943" i="15"/>
  <c r="AK2943" i="15"/>
  <c r="AI2944" i="15"/>
  <c r="AJ2944" i="15"/>
  <c r="AK2944" i="15"/>
  <c r="AI2945" i="15"/>
  <c r="AJ2945" i="15"/>
  <c r="AK2945" i="15"/>
  <c r="AI2946" i="15"/>
  <c r="AJ2946" i="15"/>
  <c r="AK2946" i="15"/>
  <c r="AI2931" i="15"/>
  <c r="AK2931" i="15"/>
  <c r="AI2932" i="15"/>
  <c r="AK2932" i="15"/>
  <c r="AI2933" i="15"/>
  <c r="AK2933" i="15"/>
  <c r="AI2934" i="15"/>
  <c r="AK2934" i="15"/>
  <c r="AI2935" i="15"/>
  <c r="AK2935" i="15"/>
  <c r="AI2936" i="15"/>
  <c r="AK2936" i="15"/>
  <c r="AI2929" i="15"/>
  <c r="AJ2929" i="15"/>
  <c r="AK2929" i="15"/>
  <c r="AI2930" i="15"/>
  <c r="AJ2930" i="15"/>
  <c r="AK2930" i="15"/>
  <c r="AI2928" i="15"/>
  <c r="AJ2928" i="15"/>
  <c r="AK2928" i="15"/>
  <c r="AI2924" i="15"/>
  <c r="AJ2924" i="15"/>
  <c r="AK2924" i="15"/>
  <c r="AI2925" i="15"/>
  <c r="AJ2925" i="15"/>
  <c r="AK2925" i="15"/>
  <c r="AI2926" i="15"/>
  <c r="AJ2926" i="15"/>
  <c r="AK2926" i="15"/>
  <c r="AI2927" i="15"/>
  <c r="AJ2927" i="15"/>
  <c r="AK2927" i="15"/>
  <c r="AI2921" i="15"/>
  <c r="AJ2921" i="15"/>
  <c r="AK2921" i="15"/>
  <c r="AI2922" i="15"/>
  <c r="AJ2922" i="15"/>
  <c r="AK2922" i="15"/>
  <c r="AI2923" i="15"/>
  <c r="AJ2923" i="15"/>
  <c r="AK2923" i="15"/>
  <c r="AI2919" i="15"/>
  <c r="AJ2919" i="15"/>
  <c r="AK2919" i="15"/>
  <c r="AI2920" i="15"/>
  <c r="AJ2920" i="15"/>
  <c r="AK2920" i="15"/>
  <c r="AF3025" i="15"/>
  <c r="AG3025" i="15"/>
  <c r="AH3025" i="15"/>
  <c r="AF3023" i="15"/>
  <c r="AG3023" i="15"/>
  <c r="AH3023" i="15"/>
  <c r="AF3024" i="15"/>
  <c r="AG3024" i="15"/>
  <c r="AH3024" i="15"/>
  <c r="AF3022" i="15"/>
  <c r="AG3022" i="15"/>
  <c r="AH3022" i="15"/>
  <c r="AF3021" i="15"/>
  <c r="AG3021" i="15"/>
  <c r="AH3021" i="15"/>
  <c r="AF3020" i="15"/>
  <c r="AH3020" i="15"/>
  <c r="AF3012" i="15"/>
  <c r="AG3012" i="15"/>
  <c r="AH3012" i="15"/>
  <c r="AF3013" i="15"/>
  <c r="AG3013" i="15"/>
  <c r="AH3013" i="15"/>
  <c r="AF3014" i="15"/>
  <c r="AG3014" i="15"/>
  <c r="AH3014" i="15"/>
  <c r="AF3015" i="15"/>
  <c r="AG3015" i="15"/>
  <c r="AH3015" i="15"/>
  <c r="AF3016" i="15"/>
  <c r="AG3016" i="15"/>
  <c r="AH3016" i="15"/>
  <c r="AF3017" i="15"/>
  <c r="AG3017" i="15"/>
  <c r="AH3017" i="15"/>
  <c r="AF3018" i="15"/>
  <c r="AG3018" i="15"/>
  <c r="AH3018" i="15"/>
  <c r="AF3019" i="15"/>
  <c r="AG3019" i="15"/>
  <c r="AH3019" i="15"/>
  <c r="AF3011" i="15"/>
  <c r="AG3011" i="15"/>
  <c r="AH3011" i="15"/>
  <c r="AF3010" i="15"/>
  <c r="AG3010" i="15"/>
  <c r="AH3010" i="15"/>
  <c r="AF3007" i="15"/>
  <c r="AG3007" i="15"/>
  <c r="AH3007" i="15"/>
  <c r="AF3008" i="15"/>
  <c r="AG3008" i="15"/>
  <c r="AH3008" i="15"/>
  <c r="AF3009" i="15"/>
  <c r="AG3009" i="15"/>
  <c r="AH3009" i="15"/>
  <c r="AF2995" i="15"/>
  <c r="AG2995" i="15"/>
  <c r="AH2995" i="15"/>
  <c r="AF2996" i="15"/>
  <c r="AG2996" i="15"/>
  <c r="AH2996" i="15"/>
  <c r="AF2997" i="15"/>
  <c r="AG2997" i="15"/>
  <c r="AH2997" i="15"/>
  <c r="AF2998" i="15"/>
  <c r="AG2998" i="15"/>
  <c r="AH2998" i="15"/>
  <c r="AF2999" i="15"/>
  <c r="AG2999" i="15"/>
  <c r="AH2999" i="15"/>
  <c r="AF3000" i="15"/>
  <c r="AG3000" i="15"/>
  <c r="AH3000" i="15"/>
  <c r="AF3001" i="15"/>
  <c r="AG3001" i="15"/>
  <c r="AH3001" i="15"/>
  <c r="AF3002" i="15"/>
  <c r="AG3002" i="15"/>
  <c r="AH3002" i="15"/>
  <c r="AF3003" i="15"/>
  <c r="AG3003" i="15"/>
  <c r="AH3003" i="15"/>
  <c r="AF3004" i="15"/>
  <c r="AH3004" i="15"/>
  <c r="AF3005" i="15"/>
  <c r="AH3005" i="15"/>
  <c r="AF3006" i="15"/>
  <c r="AH3006" i="15"/>
  <c r="AF2989" i="15"/>
  <c r="AG2989" i="15"/>
  <c r="AH2989" i="15"/>
  <c r="AF2990" i="15"/>
  <c r="AG2990" i="15"/>
  <c r="AH2990" i="15"/>
  <c r="AF2991" i="15"/>
  <c r="AG2991" i="15"/>
  <c r="AH2991" i="15"/>
  <c r="AF2992" i="15"/>
  <c r="AG2992" i="15"/>
  <c r="AH2992" i="15"/>
  <c r="AF2993" i="15"/>
  <c r="AG2993" i="15"/>
  <c r="AH2993" i="15"/>
  <c r="AF2994" i="15"/>
  <c r="AG2994" i="15"/>
  <c r="AH2994" i="15"/>
  <c r="AF2986" i="15"/>
  <c r="AH2986" i="15"/>
  <c r="AF2987" i="15"/>
  <c r="AH2987" i="15"/>
  <c r="AF2988" i="15"/>
  <c r="AH2988" i="15"/>
  <c r="AF2983" i="15"/>
  <c r="AH2983" i="15"/>
  <c r="AF2984" i="15"/>
  <c r="AH2984" i="15"/>
  <c r="AF2985" i="15"/>
  <c r="AH2985" i="15"/>
  <c r="AF2970" i="15"/>
  <c r="AH2970" i="15"/>
  <c r="AF2971" i="15"/>
  <c r="AH2971" i="15"/>
  <c r="AF2972" i="15"/>
  <c r="AH2972" i="15"/>
  <c r="AF2973" i="15"/>
  <c r="AH2973" i="15"/>
  <c r="AF2974" i="15"/>
  <c r="AH2974" i="15"/>
  <c r="AF2975" i="15"/>
  <c r="AH2975" i="15"/>
  <c r="AF2976" i="15"/>
  <c r="AH2976" i="15"/>
  <c r="AF2977" i="15"/>
  <c r="AH2977" i="15"/>
  <c r="AF2978" i="15"/>
  <c r="AH2978" i="15"/>
  <c r="AF2979" i="15"/>
  <c r="AH2979" i="15"/>
  <c r="AF2980" i="15"/>
  <c r="AH2980" i="15"/>
  <c r="AF2981" i="15"/>
  <c r="AH2981" i="15"/>
  <c r="AF2982" i="15"/>
  <c r="AH2982" i="15"/>
  <c r="AF2968" i="15"/>
  <c r="AG2968" i="15"/>
  <c r="AH2968" i="15"/>
  <c r="AF2969" i="15"/>
  <c r="AG2969" i="15"/>
  <c r="AH2969" i="15"/>
  <c r="AF2964" i="15"/>
  <c r="AG2964" i="15"/>
  <c r="AH2964" i="15"/>
  <c r="AF2965" i="15"/>
  <c r="AG2965" i="15"/>
  <c r="AH2965" i="15"/>
  <c r="AF2966" i="15"/>
  <c r="AG2966" i="15"/>
  <c r="AH2966" i="15"/>
  <c r="AF2967" i="15"/>
  <c r="AG2967" i="15"/>
  <c r="AH2967" i="15"/>
  <c r="AH2954" i="15"/>
  <c r="AF2955" i="15"/>
  <c r="AG2955" i="15"/>
  <c r="AH2955" i="15"/>
  <c r="AF2956" i="15"/>
  <c r="AG2956" i="15"/>
  <c r="AH2956" i="15"/>
  <c r="AH2957" i="15"/>
  <c r="AF2947" i="15"/>
  <c r="AG2947" i="15"/>
  <c r="AH2947" i="15"/>
  <c r="AF2948" i="15"/>
  <c r="AG2948" i="15"/>
  <c r="AH2948" i="15"/>
  <c r="AF2949" i="15"/>
  <c r="AG2949" i="15"/>
  <c r="AH2949" i="15"/>
  <c r="AH2950" i="15"/>
  <c r="AH2951" i="15"/>
  <c r="AH2952" i="15"/>
  <c r="AH2953" i="15"/>
  <c r="AF2937" i="15"/>
  <c r="AG2937" i="15"/>
  <c r="AH2937" i="15"/>
  <c r="AF2938" i="15"/>
  <c r="AG2938" i="15"/>
  <c r="AH2938" i="15"/>
  <c r="AF2939" i="15"/>
  <c r="AG2939" i="15"/>
  <c r="AH2939" i="15"/>
  <c r="AF2940" i="15"/>
  <c r="AG2940" i="15"/>
  <c r="AH2940" i="15"/>
  <c r="AF2941" i="15"/>
  <c r="AG2941" i="15"/>
  <c r="AH2941" i="15"/>
  <c r="AF2942" i="15"/>
  <c r="AG2942" i="15"/>
  <c r="AH2942" i="15"/>
  <c r="AF2943" i="15"/>
  <c r="AG2943" i="15"/>
  <c r="AH2943" i="15"/>
  <c r="AF2944" i="15"/>
  <c r="AG2944" i="15"/>
  <c r="AH2944" i="15"/>
  <c r="AF2945" i="15"/>
  <c r="AG2945" i="15"/>
  <c r="AH2945" i="15"/>
  <c r="AF2946" i="15"/>
  <c r="AG2946" i="15"/>
  <c r="AH2946" i="15"/>
  <c r="AF2931" i="15"/>
  <c r="AH2931" i="15"/>
  <c r="AF2932" i="15"/>
  <c r="AH2932" i="15"/>
  <c r="AF2933" i="15"/>
  <c r="AH2933" i="15"/>
  <c r="AF2934" i="15"/>
  <c r="AH2934" i="15"/>
  <c r="AF2935" i="15"/>
  <c r="AH2935" i="15"/>
  <c r="AF2936" i="15"/>
  <c r="AH2936" i="15"/>
  <c r="AF2929" i="15"/>
  <c r="AG2929" i="15"/>
  <c r="AH2929" i="15"/>
  <c r="AF2930" i="15"/>
  <c r="AG2930" i="15"/>
  <c r="AH2930" i="15"/>
  <c r="AF2928" i="15"/>
  <c r="AG2928" i="15"/>
  <c r="AH2928" i="15"/>
  <c r="AF2924" i="15"/>
  <c r="AG2924" i="15"/>
  <c r="AH2924" i="15"/>
  <c r="AF2925" i="15"/>
  <c r="AG2925" i="15"/>
  <c r="AH2925" i="15"/>
  <c r="AF2926" i="15"/>
  <c r="AG2926" i="15"/>
  <c r="AH2926" i="15"/>
  <c r="AF2927" i="15"/>
  <c r="AG2927" i="15"/>
  <c r="AH2927" i="15"/>
  <c r="AH2921" i="15"/>
  <c r="AF2922" i="15"/>
  <c r="AG2922" i="15"/>
  <c r="AH2922" i="15"/>
  <c r="AF2923" i="15"/>
  <c r="AG2923" i="15"/>
  <c r="AH2923" i="15"/>
  <c r="AH2919" i="15"/>
  <c r="AH2920" i="15"/>
  <c r="AC2960" i="15"/>
  <c r="AD2960" i="15"/>
  <c r="AE2960" i="15"/>
  <c r="AC2961" i="15"/>
  <c r="AD2961" i="15"/>
  <c r="AE2961" i="15"/>
  <c r="AC2962" i="15"/>
  <c r="AD2962" i="15"/>
  <c r="AE2962" i="15"/>
  <c r="AC2956" i="15"/>
  <c r="AD2956" i="15"/>
  <c r="AE2956" i="15"/>
  <c r="AC2957" i="15"/>
  <c r="AD2957" i="15"/>
  <c r="AE2957" i="15"/>
  <c r="AC2958" i="15"/>
  <c r="AE2958" i="15"/>
  <c r="AC2959" i="15"/>
  <c r="AE2959" i="15"/>
  <c r="AE2954" i="15"/>
  <c r="AE2955" i="15"/>
  <c r="AE2952" i="15"/>
  <c r="AE2953" i="15"/>
  <c r="AC2950" i="15"/>
  <c r="AD2950" i="15"/>
  <c r="AE2950" i="15"/>
  <c r="AC2951" i="15"/>
  <c r="AD2951" i="15"/>
  <c r="AE2951" i="15"/>
  <c r="AE2944" i="15"/>
  <c r="AE2945" i="15"/>
  <c r="AE2946" i="15"/>
  <c r="AE2947" i="15"/>
  <c r="AE2948" i="15"/>
  <c r="AE2949" i="15"/>
  <c r="AC2934" i="15"/>
  <c r="AE2934" i="15"/>
  <c r="AC2935" i="15"/>
  <c r="AE2935" i="15"/>
  <c r="AC2936" i="15"/>
  <c r="AE2936" i="15"/>
  <c r="AC2937" i="15"/>
  <c r="AE2937" i="15"/>
  <c r="AC2938" i="15"/>
  <c r="AE2938" i="15"/>
  <c r="AC2939" i="15"/>
  <c r="AE2939" i="15"/>
  <c r="AC2940" i="15"/>
  <c r="AE2940" i="15"/>
  <c r="AC2941" i="15"/>
  <c r="AE2941" i="15"/>
  <c r="AC2942" i="15"/>
  <c r="AE2942" i="15"/>
  <c r="AC2943" i="15"/>
  <c r="AE2943" i="15"/>
  <c r="AE2928" i="15"/>
  <c r="AE2929" i="15"/>
  <c r="AE2930" i="15"/>
  <c r="AE2931" i="15"/>
  <c r="AE2932" i="15"/>
  <c r="AE2933" i="15"/>
  <c r="AE2926" i="15"/>
  <c r="AE2927" i="15"/>
  <c r="AC2925" i="15"/>
  <c r="AE2925" i="15"/>
  <c r="AE2919" i="15"/>
  <c r="AE2920" i="15"/>
  <c r="AE2921" i="15"/>
  <c r="AE2922" i="15"/>
  <c r="AE2923" i="15"/>
  <c r="AE2924" i="15"/>
  <c r="Z2960" i="15"/>
  <c r="AA2960" i="15"/>
  <c r="AB2960" i="15"/>
  <c r="Z2961" i="15"/>
  <c r="AA2961" i="15"/>
  <c r="AB2961" i="15"/>
  <c r="Z2962" i="15"/>
  <c r="AA2962" i="15"/>
  <c r="AB2962" i="15"/>
  <c r="Z2956" i="15"/>
  <c r="AA2956" i="15"/>
  <c r="AB2956" i="15"/>
  <c r="Z2957" i="15"/>
  <c r="AA2957" i="15"/>
  <c r="AB2957" i="15"/>
  <c r="Z2958" i="15"/>
  <c r="AB2958" i="15"/>
  <c r="Z2959" i="15"/>
  <c r="AB2959" i="15"/>
  <c r="AB2954" i="15"/>
  <c r="AB2955" i="15"/>
  <c r="AB2952" i="15"/>
  <c r="AB2953" i="15"/>
  <c r="Z2950" i="15"/>
  <c r="AA2950" i="15"/>
  <c r="AB2950" i="15"/>
  <c r="Z2951" i="15"/>
  <c r="AA2951" i="15"/>
  <c r="AB2951" i="15"/>
  <c r="AB2944" i="15"/>
  <c r="AB2945" i="15"/>
  <c r="AB2946" i="15"/>
  <c r="AB2947" i="15"/>
  <c r="AB2948" i="15"/>
  <c r="AB2949" i="15"/>
  <c r="Z2934" i="15"/>
  <c r="AB2934" i="15"/>
  <c r="Z2935" i="15"/>
  <c r="AB2935" i="15"/>
  <c r="Z2936" i="15"/>
  <c r="AB2936" i="15"/>
  <c r="Z2937" i="15"/>
  <c r="AB2937" i="15"/>
  <c r="Z2938" i="15"/>
  <c r="AB2938" i="15"/>
  <c r="Z2939" i="15"/>
  <c r="AB2939" i="15"/>
  <c r="Z2940" i="15"/>
  <c r="AB2940" i="15"/>
  <c r="Z2941" i="15"/>
  <c r="AB2941" i="15"/>
  <c r="Z2942" i="15"/>
  <c r="AB2942" i="15"/>
  <c r="Z2943" i="15"/>
  <c r="AB2943" i="15"/>
  <c r="AB2928" i="15"/>
  <c r="AB2929" i="15"/>
  <c r="AB2930" i="15"/>
  <c r="AB2931" i="15"/>
  <c r="AB2932" i="15"/>
  <c r="AB2933" i="15"/>
  <c r="AB2926" i="15"/>
  <c r="AB2927" i="15"/>
  <c r="Z2925" i="15"/>
  <c r="AB2925" i="15"/>
  <c r="AB2919" i="15"/>
  <c r="AB2920" i="15"/>
  <c r="AB2921" i="15"/>
  <c r="AB2922" i="15"/>
  <c r="AB2923" i="15"/>
  <c r="AB2924" i="15"/>
  <c r="W3023" i="15"/>
  <c r="X3023" i="15"/>
  <c r="Y3023" i="15"/>
  <c r="W3024" i="15"/>
  <c r="X3024" i="15"/>
  <c r="Y3024" i="15"/>
  <c r="W3025" i="15"/>
  <c r="X3025" i="15"/>
  <c r="Y3025" i="15"/>
  <c r="W3019" i="15"/>
  <c r="X3019" i="15"/>
  <c r="Y3019" i="15"/>
  <c r="W3020" i="15"/>
  <c r="X3020" i="15"/>
  <c r="Y3020" i="15"/>
  <c r="W3021" i="15"/>
  <c r="Y3021" i="15"/>
  <c r="W3022" i="15"/>
  <c r="Y3022" i="15"/>
  <c r="Y3018" i="15"/>
  <c r="W3014" i="15"/>
  <c r="Y3014" i="15"/>
  <c r="W3015" i="15"/>
  <c r="Y3015" i="15"/>
  <c r="W3016" i="15"/>
  <c r="Y3016" i="15"/>
  <c r="Y3017" i="15"/>
  <c r="W3013" i="15"/>
  <c r="X3013" i="15"/>
  <c r="Y3013" i="15"/>
  <c r="Y3012" i="15"/>
  <c r="Y3011" i="15"/>
  <c r="Y3008" i="15"/>
  <c r="Y3009" i="15"/>
  <c r="Y3010" i="15"/>
  <c r="W2996" i="15"/>
  <c r="Y2996" i="15"/>
  <c r="W2997" i="15"/>
  <c r="Y2997" i="15"/>
  <c r="W2998" i="15"/>
  <c r="Y2998" i="15"/>
  <c r="W2999" i="15"/>
  <c r="Y2999" i="15"/>
  <c r="W3000" i="15"/>
  <c r="Y3000" i="15"/>
  <c r="W3001" i="15"/>
  <c r="Y3001" i="15"/>
  <c r="W3002" i="15"/>
  <c r="Y3002" i="15"/>
  <c r="Y3003" i="15"/>
  <c r="Y3004" i="15"/>
  <c r="Y3005" i="15"/>
  <c r="Y3006" i="15"/>
  <c r="Y3007" i="15"/>
  <c r="W2990" i="15"/>
  <c r="Y2990" i="15"/>
  <c r="W2991" i="15"/>
  <c r="Y2991" i="15"/>
  <c r="W2992" i="15"/>
  <c r="Y2992" i="15"/>
  <c r="W2993" i="15"/>
  <c r="Y2993" i="15"/>
  <c r="W2994" i="15"/>
  <c r="Y2994" i="15"/>
  <c r="W2995" i="15"/>
  <c r="Y2995" i="15"/>
  <c r="W2988" i="15"/>
  <c r="X2988" i="15"/>
  <c r="Y2988" i="15"/>
  <c r="W2989" i="15"/>
  <c r="X2989" i="15"/>
  <c r="Y2989" i="15"/>
  <c r="Y2983" i="15"/>
  <c r="Y2984" i="15"/>
  <c r="Y2985" i="15"/>
  <c r="Y2986" i="15"/>
  <c r="Y2987" i="15"/>
  <c r="Y2973" i="15"/>
  <c r="Y2974" i="15"/>
  <c r="Y2975" i="15"/>
  <c r="Y2976" i="15"/>
  <c r="Y2977" i="15"/>
  <c r="Y2978" i="15"/>
  <c r="Y2979" i="15"/>
  <c r="Y2980" i="15"/>
  <c r="Y2981" i="15"/>
  <c r="Y2982" i="15"/>
  <c r="Y2966" i="15"/>
  <c r="Y2967" i="15"/>
  <c r="Y2968" i="15"/>
  <c r="Y2969" i="15"/>
  <c r="Y2970" i="15"/>
  <c r="Y2971" i="15"/>
  <c r="Y2972" i="15"/>
  <c r="Y2960" i="15"/>
  <c r="Y2961" i="15"/>
  <c r="Y2962" i="15"/>
  <c r="Y2963" i="15"/>
  <c r="Y2964" i="15"/>
  <c r="Y2965" i="15"/>
  <c r="W2950" i="15"/>
  <c r="Y2950" i="15"/>
  <c r="W2951" i="15"/>
  <c r="Y2951" i="15"/>
  <c r="W2952" i="15"/>
  <c r="Y2952" i="15"/>
  <c r="W2953" i="15"/>
  <c r="Y2953" i="15"/>
  <c r="W2954" i="15"/>
  <c r="Y2954" i="15"/>
  <c r="W2955" i="15"/>
  <c r="Y2955" i="15"/>
  <c r="W2956" i="15"/>
  <c r="Y2956" i="15"/>
  <c r="W2957" i="15"/>
  <c r="Y2957" i="15"/>
  <c r="W2958" i="15"/>
  <c r="Y2958" i="15"/>
  <c r="W2959" i="15"/>
  <c r="Y2959" i="15"/>
  <c r="Y2944" i="15"/>
  <c r="Y2945" i="15"/>
  <c r="Y2946" i="15"/>
  <c r="Y2947" i="15"/>
  <c r="Y2948" i="15"/>
  <c r="Y2949" i="15"/>
  <c r="W2943" i="15"/>
  <c r="Y2943" i="15"/>
  <c r="Y2941" i="15"/>
  <c r="Y2942" i="15"/>
  <c r="Y2937" i="15"/>
  <c r="Y2938" i="15"/>
  <c r="Y2939" i="15"/>
  <c r="Y2940" i="15"/>
  <c r="Y2919" i="15"/>
  <c r="Y2920" i="15"/>
  <c r="W2921" i="15"/>
  <c r="X2921" i="15"/>
  <c r="Y2921" i="15"/>
  <c r="W2922" i="15"/>
  <c r="X2922" i="15"/>
  <c r="Y2922" i="15"/>
  <c r="W2923" i="15"/>
  <c r="X2923" i="15"/>
  <c r="Y2923" i="15"/>
  <c r="W2924" i="15"/>
  <c r="X2924" i="15"/>
  <c r="Y2924" i="15"/>
  <c r="Y2925" i="15"/>
  <c r="Y2926" i="15"/>
  <c r="Y2927" i="15"/>
  <c r="Y2928" i="15"/>
  <c r="Y2929" i="15"/>
  <c r="Y2930" i="15"/>
  <c r="Y2931" i="15"/>
  <c r="Y2932" i="15"/>
  <c r="Y2933" i="15"/>
  <c r="Y2934" i="15"/>
  <c r="Y2935" i="15"/>
  <c r="Y2936" i="15"/>
  <c r="T3023" i="15"/>
  <c r="U3023" i="15"/>
  <c r="V3023" i="15"/>
  <c r="T3024" i="15"/>
  <c r="U3024" i="15"/>
  <c r="V3024" i="15"/>
  <c r="T3025" i="15"/>
  <c r="U3025" i="15"/>
  <c r="V3025" i="15"/>
  <c r="T3019" i="15"/>
  <c r="U3019" i="15"/>
  <c r="V3019" i="15"/>
  <c r="T3020" i="15"/>
  <c r="U3020" i="15"/>
  <c r="V3020" i="15"/>
  <c r="T3021" i="15"/>
  <c r="V3021" i="15"/>
  <c r="T3022" i="15"/>
  <c r="V3022" i="15"/>
  <c r="V3018" i="15"/>
  <c r="T3014" i="15"/>
  <c r="V3014" i="15"/>
  <c r="T3015" i="15"/>
  <c r="V3015" i="15"/>
  <c r="T3016" i="15"/>
  <c r="V3016" i="15"/>
  <c r="V3017" i="15"/>
  <c r="T3013" i="15"/>
  <c r="U3013" i="15"/>
  <c r="V3013" i="15"/>
  <c r="V3012" i="15"/>
  <c r="V3011" i="15"/>
  <c r="V3008" i="15"/>
  <c r="V3009" i="15"/>
  <c r="V3010" i="15"/>
  <c r="T2996" i="15"/>
  <c r="V2996" i="15"/>
  <c r="T2997" i="15"/>
  <c r="V2997" i="15"/>
  <c r="T2998" i="15"/>
  <c r="V2998" i="15"/>
  <c r="T2999" i="15"/>
  <c r="V2999" i="15"/>
  <c r="T3000" i="15"/>
  <c r="V3000" i="15"/>
  <c r="T3001" i="15"/>
  <c r="V3001" i="15"/>
  <c r="T3002" i="15"/>
  <c r="V3002" i="15"/>
  <c r="V3003" i="15"/>
  <c r="V3004" i="15"/>
  <c r="V3005" i="15"/>
  <c r="V3006" i="15"/>
  <c r="V3007" i="15"/>
  <c r="T2990" i="15"/>
  <c r="V2990" i="15"/>
  <c r="T2991" i="15"/>
  <c r="V2991" i="15"/>
  <c r="T2992" i="15"/>
  <c r="V2992" i="15"/>
  <c r="T2993" i="15"/>
  <c r="V2993" i="15"/>
  <c r="T2994" i="15"/>
  <c r="V2994" i="15"/>
  <c r="T2995" i="15"/>
  <c r="V2995" i="15"/>
  <c r="T2988" i="15"/>
  <c r="U2988" i="15"/>
  <c r="V2988" i="15"/>
  <c r="T2989" i="15"/>
  <c r="U2989" i="15"/>
  <c r="V2989" i="15"/>
  <c r="V2983" i="15"/>
  <c r="V2984" i="15"/>
  <c r="V2985" i="15"/>
  <c r="V2986" i="15"/>
  <c r="V2987" i="15"/>
  <c r="V2973" i="15"/>
  <c r="V2974" i="15"/>
  <c r="V2975" i="15"/>
  <c r="V2976" i="15"/>
  <c r="V2977" i="15"/>
  <c r="V2978" i="15"/>
  <c r="V2979" i="15"/>
  <c r="V2980" i="15"/>
  <c r="V2981" i="15"/>
  <c r="V2982" i="15"/>
  <c r="V2966" i="15"/>
  <c r="V2967" i="15"/>
  <c r="V2968" i="15"/>
  <c r="V2969" i="15"/>
  <c r="V2970" i="15"/>
  <c r="V2971" i="15"/>
  <c r="V2972" i="15"/>
  <c r="V2960" i="15"/>
  <c r="V2961" i="15"/>
  <c r="V2962" i="15"/>
  <c r="V2963" i="15"/>
  <c r="V2964" i="15"/>
  <c r="V2965" i="15"/>
  <c r="T2950" i="15"/>
  <c r="V2950" i="15"/>
  <c r="T2951" i="15"/>
  <c r="V2951" i="15"/>
  <c r="T2952" i="15"/>
  <c r="V2952" i="15"/>
  <c r="T2953" i="15"/>
  <c r="V2953" i="15"/>
  <c r="T2954" i="15"/>
  <c r="V2954" i="15"/>
  <c r="T2955" i="15"/>
  <c r="V2955" i="15"/>
  <c r="T2956" i="15"/>
  <c r="V2956" i="15"/>
  <c r="T2957" i="15"/>
  <c r="V2957" i="15"/>
  <c r="T2958" i="15"/>
  <c r="V2958" i="15"/>
  <c r="T2959" i="15"/>
  <c r="V2959" i="15"/>
  <c r="V2944" i="15"/>
  <c r="V2945" i="15"/>
  <c r="V2946" i="15"/>
  <c r="V2947" i="15"/>
  <c r="V2948" i="15"/>
  <c r="V2949" i="15"/>
  <c r="T2943" i="15"/>
  <c r="V2943" i="15"/>
  <c r="V2941" i="15"/>
  <c r="V2942" i="15"/>
  <c r="V2937" i="15"/>
  <c r="V2938" i="15"/>
  <c r="V2939" i="15"/>
  <c r="V2940" i="15"/>
  <c r="T2919" i="15"/>
  <c r="U2919" i="15"/>
  <c r="V2919" i="15"/>
  <c r="T2920" i="15"/>
  <c r="U2920" i="15"/>
  <c r="V2920" i="15"/>
  <c r="T2921" i="15"/>
  <c r="U2921" i="15"/>
  <c r="V2921" i="15"/>
  <c r="T2922" i="15"/>
  <c r="U2922" i="15"/>
  <c r="V2922" i="15"/>
  <c r="T2923" i="15"/>
  <c r="U2923" i="15"/>
  <c r="V2923" i="15"/>
  <c r="T2924" i="15"/>
  <c r="U2924" i="15"/>
  <c r="V2924" i="15"/>
  <c r="V2925" i="15"/>
  <c r="V2926" i="15"/>
  <c r="V2927" i="15"/>
  <c r="V2928" i="15"/>
  <c r="V2929" i="15"/>
  <c r="V2930" i="15"/>
  <c r="V2931" i="15"/>
  <c r="V2932" i="15"/>
  <c r="V2933" i="15"/>
  <c r="V2934" i="15"/>
  <c r="V2935" i="15"/>
  <c r="V2936" i="15"/>
  <c r="Q2955" i="15"/>
  <c r="R2955" i="15"/>
  <c r="S2955" i="15"/>
  <c r="Q2956" i="15"/>
  <c r="R2956" i="15"/>
  <c r="S2956" i="15"/>
  <c r="S2954" i="15"/>
  <c r="S2953" i="15"/>
  <c r="Q2944" i="15"/>
  <c r="S2944" i="15"/>
  <c r="Q2945" i="15"/>
  <c r="S2945" i="15"/>
  <c r="Q2946" i="15"/>
  <c r="S2946" i="15"/>
  <c r="Q2947" i="15"/>
  <c r="S2947" i="15"/>
  <c r="S2948" i="15"/>
  <c r="S2949" i="15"/>
  <c r="S2950" i="15"/>
  <c r="S2951" i="15"/>
  <c r="S2952" i="15"/>
  <c r="S2943" i="15"/>
  <c r="S2942" i="15"/>
  <c r="S2939" i="15"/>
  <c r="S2940" i="15"/>
  <c r="S2941" i="15"/>
  <c r="S2935" i="15"/>
  <c r="S2936" i="15"/>
  <c r="S2937" i="15"/>
  <c r="S2938" i="15"/>
  <c r="Q2929" i="15"/>
  <c r="S2929" i="15"/>
  <c r="Q2930" i="15"/>
  <c r="S2930" i="15"/>
  <c r="Q2931" i="15"/>
  <c r="S2931" i="15"/>
  <c r="Q2932" i="15"/>
  <c r="S2932" i="15"/>
  <c r="Q2933" i="15"/>
  <c r="S2933" i="15"/>
  <c r="Q2934" i="15"/>
  <c r="S2934" i="15"/>
  <c r="S2923" i="15"/>
  <c r="S2924" i="15"/>
  <c r="S2925" i="15"/>
  <c r="S2926" i="15"/>
  <c r="S2927" i="15"/>
  <c r="S2928" i="15"/>
  <c r="S2921" i="15"/>
  <c r="S2922" i="15"/>
  <c r="S2919" i="15"/>
  <c r="S2920" i="15"/>
  <c r="N2955" i="15"/>
  <c r="O2955" i="15"/>
  <c r="P2955" i="15"/>
  <c r="N2956" i="15"/>
  <c r="O2956" i="15"/>
  <c r="P2956" i="15"/>
  <c r="P2954" i="15"/>
  <c r="P2953" i="15"/>
  <c r="N2944" i="15"/>
  <c r="P2944" i="15"/>
  <c r="N2945" i="15"/>
  <c r="P2945" i="15"/>
  <c r="N2946" i="15"/>
  <c r="P2946" i="15"/>
  <c r="N2947" i="15"/>
  <c r="P2947" i="15"/>
  <c r="P2948" i="15"/>
  <c r="P2949" i="15"/>
  <c r="P2950" i="15"/>
  <c r="P2951" i="15"/>
  <c r="P2952" i="15"/>
  <c r="P2943" i="15"/>
  <c r="P2942" i="15"/>
  <c r="P2939" i="15"/>
  <c r="P2940" i="15"/>
  <c r="P2941" i="15"/>
  <c r="P2935" i="15"/>
  <c r="P2936" i="15"/>
  <c r="P2937" i="15"/>
  <c r="P2938" i="15"/>
  <c r="N2929" i="15"/>
  <c r="P2929" i="15"/>
  <c r="N2930" i="15"/>
  <c r="P2930" i="15"/>
  <c r="N2931" i="15"/>
  <c r="P2931" i="15"/>
  <c r="N2932" i="15"/>
  <c r="P2932" i="15"/>
  <c r="N2933" i="15"/>
  <c r="P2933" i="15"/>
  <c r="N2934" i="15"/>
  <c r="P2934" i="15"/>
  <c r="P2923" i="15"/>
  <c r="P2924" i="15"/>
  <c r="P2925" i="15"/>
  <c r="P2926" i="15"/>
  <c r="P2927" i="15"/>
  <c r="P2928" i="15"/>
  <c r="P2921" i="15"/>
  <c r="P2922" i="15"/>
  <c r="P2919" i="15"/>
  <c r="P2920" i="15"/>
  <c r="K2942" i="15"/>
  <c r="L2942" i="15"/>
  <c r="M2942" i="15"/>
  <c r="K2943" i="15"/>
  <c r="L2943" i="15"/>
  <c r="M2943" i="15"/>
  <c r="M2941" i="15"/>
  <c r="M2940" i="15"/>
  <c r="M2936" i="15"/>
  <c r="M2937" i="15"/>
  <c r="M2938" i="15"/>
  <c r="M2939" i="15"/>
  <c r="M2935" i="15"/>
  <c r="M2934" i="15"/>
  <c r="M2931" i="15"/>
  <c r="M2932" i="15"/>
  <c r="M2933" i="15"/>
  <c r="M2927" i="15"/>
  <c r="M2928" i="15"/>
  <c r="M2929" i="15"/>
  <c r="M2930" i="15"/>
  <c r="M2921" i="15"/>
  <c r="M2922" i="15"/>
  <c r="M2923" i="15"/>
  <c r="M2924" i="15"/>
  <c r="M2925" i="15"/>
  <c r="M2926" i="15"/>
  <c r="M2919" i="15"/>
  <c r="M2920" i="15"/>
  <c r="E2942" i="15"/>
  <c r="F2942" i="15"/>
  <c r="G2942" i="15"/>
  <c r="E2943" i="15"/>
  <c r="F2943" i="15"/>
  <c r="G2943" i="15"/>
  <c r="G2941" i="15"/>
  <c r="G2940" i="15"/>
  <c r="G2936" i="15"/>
  <c r="G2937" i="15"/>
  <c r="G2938" i="15"/>
  <c r="G2939" i="15"/>
  <c r="G2935" i="15"/>
  <c r="G2934" i="15"/>
  <c r="G2931" i="15"/>
  <c r="G2932" i="15"/>
  <c r="G2933" i="15"/>
  <c r="G2927" i="15"/>
  <c r="G2928" i="15"/>
  <c r="G2929" i="15"/>
  <c r="G2930" i="15"/>
  <c r="G2921" i="15"/>
  <c r="G2922" i="15"/>
  <c r="G2923" i="15"/>
  <c r="G2924" i="15"/>
  <c r="G2925" i="15"/>
  <c r="G2926" i="15"/>
  <c r="G2919" i="15"/>
  <c r="G2920" i="15"/>
  <c r="H2942" i="15"/>
  <c r="I2942" i="15"/>
  <c r="J2942" i="15"/>
  <c r="H2943" i="15"/>
  <c r="I2943" i="15"/>
  <c r="J2943" i="15"/>
  <c r="J2941" i="15"/>
  <c r="J2940" i="15"/>
  <c r="J2936" i="15"/>
  <c r="J2937" i="15"/>
  <c r="J2938" i="15"/>
  <c r="J2939" i="15"/>
  <c r="J2935" i="15"/>
  <c r="J2934" i="15"/>
  <c r="J2931" i="15"/>
  <c r="J2932" i="15"/>
  <c r="J2933" i="15"/>
  <c r="J2927" i="15"/>
  <c r="J2928" i="15"/>
  <c r="J2929" i="15"/>
  <c r="J2930" i="15"/>
  <c r="J2921" i="15"/>
  <c r="J2922" i="15"/>
  <c r="J2923" i="15"/>
  <c r="J2924" i="15"/>
  <c r="J2925" i="15"/>
  <c r="J2926" i="15"/>
  <c r="J2919" i="15"/>
  <c r="J2920" i="15"/>
  <c r="B2942" i="15"/>
  <c r="C2942" i="15"/>
  <c r="D2942" i="15"/>
  <c r="B2943" i="15"/>
  <c r="C2943" i="15"/>
  <c r="D2943" i="15"/>
  <c r="D2941" i="15"/>
  <c r="D2940" i="15"/>
  <c r="D2936" i="15"/>
  <c r="D2937" i="15"/>
  <c r="D2938" i="15"/>
  <c r="D2939" i="15"/>
  <c r="D2935" i="15"/>
  <c r="D2934" i="15"/>
  <c r="D2931" i="15"/>
  <c r="D2932" i="15"/>
  <c r="D2933" i="15"/>
  <c r="D2927" i="15"/>
  <c r="D2928" i="15"/>
  <c r="D2929" i="15"/>
  <c r="D2930" i="15"/>
  <c r="D2921" i="15"/>
  <c r="D2922" i="15"/>
  <c r="D2923" i="15"/>
  <c r="D2924" i="15"/>
  <c r="D2925" i="15"/>
  <c r="D2926" i="15"/>
  <c r="D2919" i="15"/>
  <c r="D2920" i="15"/>
  <c r="AI2902" i="15"/>
  <c r="AJ2902" i="15"/>
  <c r="AK2902" i="15"/>
  <c r="AI2903" i="15"/>
  <c r="AJ2903" i="15"/>
  <c r="AK2903" i="15"/>
  <c r="AI2904" i="15"/>
  <c r="AK2904" i="15"/>
  <c r="AI2905" i="15"/>
  <c r="AK2905" i="15"/>
  <c r="AI2906" i="15"/>
  <c r="AK2906" i="15"/>
  <c r="AI2907" i="15"/>
  <c r="AK2907" i="15"/>
  <c r="AI2908" i="15"/>
  <c r="AJ2908" i="15"/>
  <c r="AK2908" i="15"/>
  <c r="AI2909" i="15"/>
  <c r="AJ2909" i="15"/>
  <c r="AK2909" i="15"/>
  <c r="AI2910" i="15"/>
  <c r="AK2910" i="15"/>
  <c r="AI2911" i="15"/>
  <c r="AK2911" i="15"/>
  <c r="AI2912" i="15"/>
  <c r="AK2912" i="15"/>
  <c r="AI2913" i="15"/>
  <c r="AK2913" i="15"/>
  <c r="AI2914" i="15"/>
  <c r="AK2914" i="15"/>
  <c r="AI2915" i="15"/>
  <c r="AK2915" i="15"/>
  <c r="AI2898" i="15"/>
  <c r="AJ2898" i="15"/>
  <c r="AK2898" i="15"/>
  <c r="AI2899" i="15"/>
  <c r="AJ2899" i="15"/>
  <c r="AK2899" i="15"/>
  <c r="AI2900" i="15"/>
  <c r="AJ2900" i="15"/>
  <c r="AK2900" i="15"/>
  <c r="AI2901" i="15"/>
  <c r="AJ2901" i="15"/>
  <c r="AK2901" i="15"/>
  <c r="AI2896" i="15"/>
  <c r="AJ2896" i="15"/>
  <c r="AK2896" i="15"/>
  <c r="AI2897" i="15"/>
  <c r="AK2897" i="15"/>
  <c r="AI2894" i="15"/>
  <c r="AJ2894" i="15"/>
  <c r="AK2894" i="15"/>
  <c r="AI2895" i="15"/>
  <c r="AJ2895" i="15"/>
  <c r="AK2895" i="15"/>
  <c r="AI2886" i="15"/>
  <c r="AJ2886" i="15"/>
  <c r="AK2886" i="15"/>
  <c r="AI2887" i="15"/>
  <c r="AJ2887" i="15"/>
  <c r="AK2887" i="15"/>
  <c r="AI2888" i="15"/>
  <c r="AJ2888" i="15"/>
  <c r="AK2888" i="15"/>
  <c r="AI2889" i="15"/>
  <c r="AJ2889" i="15"/>
  <c r="AK2889" i="15"/>
  <c r="AI2890" i="15"/>
  <c r="AJ2890" i="15"/>
  <c r="AK2890" i="15"/>
  <c r="AI2891" i="15"/>
  <c r="AJ2891" i="15"/>
  <c r="AK2891" i="15"/>
  <c r="AI2892" i="15"/>
  <c r="AJ2892" i="15"/>
  <c r="AK2892" i="15"/>
  <c r="AI2893" i="15"/>
  <c r="AJ2893" i="15"/>
  <c r="AK2893" i="15"/>
  <c r="AI2883" i="15"/>
  <c r="AK2883" i="15"/>
  <c r="AI2884" i="15"/>
  <c r="AK2884" i="15"/>
  <c r="AI2885" i="15"/>
  <c r="AK2885" i="15"/>
  <c r="AI2875" i="15"/>
  <c r="AJ2875" i="15"/>
  <c r="AK2875" i="15"/>
  <c r="AI2876" i="15"/>
  <c r="AJ2876" i="15"/>
  <c r="AK2876" i="15"/>
  <c r="AI2877" i="15"/>
  <c r="AJ2877" i="15"/>
  <c r="AK2877" i="15"/>
  <c r="AI2878" i="15"/>
  <c r="AJ2878" i="15"/>
  <c r="AK2878" i="15"/>
  <c r="AI2879" i="15"/>
  <c r="AJ2879" i="15"/>
  <c r="AK2879" i="15"/>
  <c r="AI2880" i="15"/>
  <c r="AJ2880" i="15"/>
  <c r="AK2880" i="15"/>
  <c r="AI2881" i="15"/>
  <c r="AJ2881" i="15"/>
  <c r="AK2881" i="15"/>
  <c r="AI2882" i="15"/>
  <c r="AJ2882" i="15"/>
  <c r="AK2882" i="15"/>
  <c r="AI2785" i="15"/>
  <c r="AJ2785" i="15"/>
  <c r="AK2785" i="15"/>
  <c r="AI2786" i="15"/>
  <c r="AJ2786" i="15"/>
  <c r="AK2786" i="15"/>
  <c r="AI2787" i="15"/>
  <c r="AJ2787" i="15"/>
  <c r="AK2787" i="15"/>
  <c r="AI2788" i="15"/>
  <c r="AJ2788" i="15"/>
  <c r="AK2788" i="15"/>
  <c r="AI2789" i="15"/>
  <c r="AJ2789" i="15"/>
  <c r="AK2789" i="15"/>
  <c r="AI2790" i="15"/>
  <c r="AJ2790" i="15"/>
  <c r="AK2790" i="15"/>
  <c r="AI2791" i="15"/>
  <c r="AK2791" i="15"/>
  <c r="AI2792" i="15"/>
  <c r="AK2792" i="15"/>
  <c r="AI2793" i="15"/>
  <c r="AK2793" i="15"/>
  <c r="AI2794" i="15"/>
  <c r="AK2794" i="15"/>
  <c r="AI2795" i="15"/>
  <c r="AK2795" i="15"/>
  <c r="AI2796" i="15"/>
  <c r="AK2796" i="15"/>
  <c r="AI2797" i="15"/>
  <c r="AK2797" i="15"/>
  <c r="AI2798" i="15"/>
  <c r="AK2798" i="15"/>
  <c r="AI2799" i="15"/>
  <c r="AK2799" i="15"/>
  <c r="AI2800" i="15"/>
  <c r="AK2800" i="15"/>
  <c r="AI2801" i="15"/>
  <c r="AK2801" i="15"/>
  <c r="AI2802" i="15"/>
  <c r="AK2802" i="15"/>
  <c r="AI2803" i="15"/>
  <c r="AK2803" i="15"/>
  <c r="AI2804" i="15"/>
  <c r="AK2804" i="15"/>
  <c r="AI2805" i="15"/>
  <c r="AK2805" i="15"/>
  <c r="AI2806" i="15"/>
  <c r="AK2806" i="15"/>
  <c r="AI2807" i="15"/>
  <c r="AK2807" i="15"/>
  <c r="AI2808" i="15"/>
  <c r="AK2808" i="15"/>
  <c r="AI2809" i="15"/>
  <c r="AK2809" i="15"/>
  <c r="AI2810" i="15"/>
  <c r="AK2810" i="15"/>
  <c r="AI2811" i="15"/>
  <c r="AK2811" i="15"/>
  <c r="AI2812" i="15"/>
  <c r="AK2812" i="15"/>
  <c r="AI2813" i="15"/>
  <c r="AK2813" i="15"/>
  <c r="AI2814" i="15"/>
  <c r="AK2814" i="15"/>
  <c r="AI2815" i="15"/>
  <c r="AK2815" i="15"/>
  <c r="AI2816" i="15"/>
  <c r="AK2816" i="15"/>
  <c r="AI2817" i="15"/>
  <c r="AK2817" i="15"/>
  <c r="AI2818" i="15"/>
  <c r="AK2818" i="15"/>
  <c r="AI2819" i="15"/>
  <c r="AK2819" i="15"/>
  <c r="AI2820" i="15"/>
  <c r="AK2820" i="15"/>
  <c r="AI2821" i="15"/>
  <c r="AK2821" i="15"/>
  <c r="AI2822" i="15"/>
  <c r="AK2822" i="15"/>
  <c r="AI2823" i="15"/>
  <c r="AK2823" i="15"/>
  <c r="AI2824" i="15"/>
  <c r="AK2824" i="15"/>
  <c r="AI2825" i="15"/>
  <c r="AK2825" i="15"/>
  <c r="AI2826" i="15"/>
  <c r="AK2826" i="15"/>
  <c r="AI2827" i="15"/>
  <c r="AJ2827" i="15"/>
  <c r="AK2827" i="15"/>
  <c r="AI2828" i="15"/>
  <c r="AJ2828" i="15"/>
  <c r="AK2828" i="15"/>
  <c r="AI2829" i="15"/>
  <c r="AJ2829" i="15"/>
  <c r="AK2829" i="15"/>
  <c r="AI2830" i="15"/>
  <c r="AJ2830" i="15"/>
  <c r="AK2830" i="15"/>
  <c r="AI2831" i="15"/>
  <c r="AJ2831" i="15"/>
  <c r="AK2831" i="15"/>
  <c r="AI2832" i="15"/>
  <c r="AJ2832" i="15"/>
  <c r="AK2832" i="15"/>
  <c r="AI2833" i="15"/>
  <c r="AJ2833" i="15"/>
  <c r="AK2833" i="15"/>
  <c r="AI2834" i="15"/>
  <c r="AJ2834" i="15"/>
  <c r="AK2834" i="15"/>
  <c r="AI2835" i="15"/>
  <c r="AJ2835" i="15"/>
  <c r="AK2835" i="15"/>
  <c r="AI2836" i="15"/>
  <c r="AJ2836" i="15"/>
  <c r="AK2836" i="15"/>
  <c r="AI2837" i="15"/>
  <c r="AJ2837" i="15"/>
  <c r="AK2837" i="15"/>
  <c r="AI2838" i="15"/>
  <c r="AJ2838" i="15"/>
  <c r="AK2838" i="15"/>
  <c r="AI2839" i="15"/>
  <c r="AJ2839" i="15"/>
  <c r="AK2839" i="15"/>
  <c r="AI2840" i="15"/>
  <c r="AJ2840" i="15"/>
  <c r="AK2840" i="15"/>
  <c r="AI2841" i="15"/>
  <c r="AJ2841" i="15"/>
  <c r="AK2841" i="15"/>
  <c r="AI2842" i="15"/>
  <c r="AJ2842" i="15"/>
  <c r="AK2842" i="15"/>
  <c r="AI2843" i="15"/>
  <c r="AJ2843" i="15"/>
  <c r="AK2843" i="15"/>
  <c r="AI2844" i="15"/>
  <c r="AK2844" i="15"/>
  <c r="AI2845" i="15"/>
  <c r="AK2845" i="15"/>
  <c r="AI2846" i="15"/>
  <c r="AK2846" i="15"/>
  <c r="AI2847" i="15"/>
  <c r="AK2847" i="15"/>
  <c r="AI2848" i="15"/>
  <c r="AK2848" i="15"/>
  <c r="AI2849" i="15"/>
  <c r="AK2849" i="15"/>
  <c r="AI2850" i="15"/>
  <c r="AJ2850" i="15"/>
  <c r="AK2850" i="15"/>
  <c r="AI2851" i="15"/>
  <c r="AJ2851" i="15"/>
  <c r="AK2851" i="15"/>
  <c r="AI2852" i="15"/>
  <c r="AJ2852" i="15"/>
  <c r="AK2852" i="15"/>
  <c r="AI2853" i="15"/>
  <c r="AJ2853" i="15"/>
  <c r="AK2853" i="15"/>
  <c r="AI2854" i="15"/>
  <c r="AJ2854" i="15"/>
  <c r="AK2854" i="15"/>
  <c r="AI2855" i="15"/>
  <c r="AJ2855" i="15"/>
  <c r="AK2855" i="15"/>
  <c r="AI2856" i="15"/>
  <c r="AJ2856" i="15"/>
  <c r="AK2856" i="15"/>
  <c r="AI2857" i="15"/>
  <c r="AJ2857" i="15"/>
  <c r="AK2857" i="15"/>
  <c r="AI2858" i="15"/>
  <c r="AJ2858" i="15"/>
  <c r="AK2858" i="15"/>
  <c r="AK2859" i="15"/>
  <c r="AK2860" i="15"/>
  <c r="AK2861" i="15"/>
  <c r="AK2862" i="15"/>
  <c r="AK2863" i="15"/>
  <c r="AK2864" i="15"/>
  <c r="AI2865" i="15"/>
  <c r="AJ2865" i="15"/>
  <c r="AK2865" i="15"/>
  <c r="AI2866" i="15"/>
  <c r="AJ2866" i="15"/>
  <c r="AK2866" i="15"/>
  <c r="AI2867" i="15"/>
  <c r="AJ2867" i="15"/>
  <c r="AK2867" i="15"/>
  <c r="AI2868" i="15"/>
  <c r="AJ2868" i="15"/>
  <c r="AK2868" i="15"/>
  <c r="AI2869" i="15"/>
  <c r="AJ2869" i="15"/>
  <c r="AK2869" i="15"/>
  <c r="AI2870" i="15"/>
  <c r="AJ2870" i="15"/>
  <c r="AK2870" i="15"/>
  <c r="AI2871" i="15"/>
  <c r="AK2871" i="15"/>
  <c r="AI2872" i="15"/>
  <c r="AK2872" i="15"/>
  <c r="AI2873" i="15"/>
  <c r="AK2873" i="15"/>
  <c r="AI2874" i="15"/>
  <c r="AK2874" i="15"/>
  <c r="AI2783" i="15"/>
  <c r="AK2783" i="15"/>
  <c r="AI2784" i="15"/>
  <c r="AJ2784" i="15"/>
  <c r="AK2784" i="15"/>
  <c r="AI2778" i="15"/>
  <c r="AK2778" i="15"/>
  <c r="AI2779" i="15"/>
  <c r="AK2779" i="15"/>
  <c r="AI2780" i="15"/>
  <c r="AK2780" i="15"/>
  <c r="AI2781" i="15"/>
  <c r="AK2781" i="15"/>
  <c r="AI2782" i="15"/>
  <c r="AK2782" i="15"/>
  <c r="AI2775" i="15"/>
  <c r="AK2775" i="15"/>
  <c r="AI2776" i="15"/>
  <c r="AK2776" i="15"/>
  <c r="AI2777" i="15"/>
  <c r="AK2777" i="15"/>
  <c r="AI2770" i="15"/>
  <c r="AK2770" i="15"/>
  <c r="AI2771" i="15"/>
  <c r="AK2771" i="15"/>
  <c r="AI2772" i="15"/>
  <c r="AK2772" i="15"/>
  <c r="AI2773" i="15"/>
  <c r="AK2773" i="15"/>
  <c r="AI2774" i="15"/>
  <c r="AK2774" i="15"/>
  <c r="AI2767" i="15"/>
  <c r="AK2767" i="15"/>
  <c r="AI2768" i="15"/>
  <c r="AK2768" i="15"/>
  <c r="AI2769" i="15"/>
  <c r="AK2769" i="15"/>
  <c r="AI2747" i="15"/>
  <c r="AK2747" i="15"/>
  <c r="AI2748" i="15"/>
  <c r="AK2748" i="15"/>
  <c r="AI2749" i="15"/>
  <c r="AK2749" i="15"/>
  <c r="AI2750" i="15"/>
  <c r="AK2750" i="15"/>
  <c r="AI2751" i="15"/>
  <c r="AK2751" i="15"/>
  <c r="AI2752" i="15"/>
  <c r="AK2752" i="15"/>
  <c r="AI2753" i="15"/>
  <c r="AK2753" i="15"/>
  <c r="AI2754" i="15"/>
  <c r="AK2754" i="15"/>
  <c r="AI2755" i="15"/>
  <c r="AK2755" i="15"/>
  <c r="AI2756" i="15"/>
  <c r="AK2756" i="15"/>
  <c r="AI2757" i="15"/>
  <c r="AK2757" i="15"/>
  <c r="AI2758" i="15"/>
  <c r="AK2758" i="15"/>
  <c r="AI2759" i="15"/>
  <c r="AK2759" i="15"/>
  <c r="AI2760" i="15"/>
  <c r="AK2760" i="15"/>
  <c r="AI2761" i="15"/>
  <c r="AK2761" i="15"/>
  <c r="AI2762" i="15"/>
  <c r="AK2762" i="15"/>
  <c r="AI2763" i="15"/>
  <c r="AK2763" i="15"/>
  <c r="AI2764" i="15"/>
  <c r="AK2764" i="15"/>
  <c r="AI2765" i="15"/>
  <c r="AK2765" i="15"/>
  <c r="AI2766" i="15"/>
  <c r="AK2766" i="15"/>
  <c r="AI2746" i="15"/>
  <c r="AJ2746" i="15"/>
  <c r="AK2746" i="15"/>
  <c r="AI2743" i="15"/>
  <c r="AK2743" i="15"/>
  <c r="AI2744" i="15"/>
  <c r="AJ2744" i="15"/>
  <c r="AK2744" i="15"/>
  <c r="AI2745" i="15"/>
  <c r="AJ2745" i="15"/>
  <c r="AK2745" i="15"/>
  <c r="AI2739" i="15"/>
  <c r="AJ2739" i="15"/>
  <c r="AK2739" i="15"/>
  <c r="AI2740" i="15"/>
  <c r="AJ2740" i="15"/>
  <c r="AK2740" i="15"/>
  <c r="AI2741" i="15"/>
  <c r="AJ2741" i="15"/>
  <c r="AK2741" i="15"/>
  <c r="AI2742" i="15"/>
  <c r="AJ2742" i="15"/>
  <c r="AK2742" i="15"/>
  <c r="AI2724" i="15"/>
  <c r="AJ2724" i="15"/>
  <c r="AK2724" i="15"/>
  <c r="AI2725" i="15"/>
  <c r="AJ2725" i="15"/>
  <c r="AK2725" i="15"/>
  <c r="AI2726" i="15"/>
  <c r="AJ2726" i="15"/>
  <c r="AK2726" i="15"/>
  <c r="AI2727" i="15"/>
  <c r="AJ2727" i="15"/>
  <c r="AK2727" i="15"/>
  <c r="AI2728" i="15"/>
  <c r="AK2728" i="15"/>
  <c r="AI2729" i="15"/>
  <c r="AK2729" i="15"/>
  <c r="AI2730" i="15"/>
  <c r="AK2730" i="15"/>
  <c r="AI2731" i="15"/>
  <c r="AK2731" i="15"/>
  <c r="AI2732" i="15"/>
  <c r="AK2732" i="15"/>
  <c r="AI2733" i="15"/>
  <c r="AK2733" i="15"/>
  <c r="AI2734" i="15"/>
  <c r="AJ2734" i="15"/>
  <c r="AK2734" i="15"/>
  <c r="AI2735" i="15"/>
  <c r="AJ2735" i="15"/>
  <c r="AK2735" i="15"/>
  <c r="AI2736" i="15"/>
  <c r="AJ2736" i="15"/>
  <c r="AK2736" i="15"/>
  <c r="AI2737" i="15"/>
  <c r="AJ2737" i="15"/>
  <c r="AK2737" i="15"/>
  <c r="AI2738" i="15"/>
  <c r="AJ2738" i="15"/>
  <c r="AK2738" i="15"/>
  <c r="AK2721" i="15"/>
  <c r="AK2722" i="15"/>
  <c r="AK2723" i="15"/>
  <c r="AK2718" i="15"/>
  <c r="AK2719" i="15"/>
  <c r="AK2720" i="15"/>
  <c r="AI2709" i="15"/>
  <c r="AJ2709" i="15"/>
  <c r="AK2709" i="15"/>
  <c r="AI2710" i="15"/>
  <c r="AK2710" i="15"/>
  <c r="AI2711" i="15"/>
  <c r="AK2711" i="15"/>
  <c r="AI2712" i="15"/>
  <c r="AJ2712" i="15"/>
  <c r="AK2712" i="15"/>
  <c r="AI2713" i="15"/>
  <c r="AJ2713" i="15"/>
  <c r="AK2713" i="15"/>
  <c r="AI2714" i="15"/>
  <c r="AJ2714" i="15"/>
  <c r="AK2714" i="15"/>
  <c r="AI2715" i="15"/>
  <c r="AJ2715" i="15"/>
  <c r="AK2715" i="15"/>
  <c r="AI2716" i="15"/>
  <c r="AJ2716" i="15"/>
  <c r="AK2716" i="15"/>
  <c r="AI2717" i="15"/>
  <c r="AJ2717" i="15"/>
  <c r="AK2717" i="15"/>
  <c r="AI2700" i="15"/>
  <c r="AK2700" i="15"/>
  <c r="AI2701" i="15"/>
  <c r="AK2701" i="15"/>
  <c r="AI2702" i="15"/>
  <c r="AK2702" i="15"/>
  <c r="AI2703" i="15"/>
  <c r="AK2703" i="15"/>
  <c r="AI2704" i="15"/>
  <c r="AK2704" i="15"/>
  <c r="AI2705" i="15"/>
  <c r="AJ2705" i="15"/>
  <c r="AK2705" i="15"/>
  <c r="AI2706" i="15"/>
  <c r="AJ2706" i="15"/>
  <c r="AK2706" i="15"/>
  <c r="AI2707" i="15"/>
  <c r="AJ2707" i="15"/>
  <c r="AK2707" i="15"/>
  <c r="AI2708" i="15"/>
  <c r="AJ2708" i="15"/>
  <c r="AK2708" i="15"/>
  <c r="AI2681" i="15"/>
  <c r="AK2681" i="15"/>
  <c r="AI2682" i="15"/>
  <c r="AK2682" i="15"/>
  <c r="AI2683" i="15"/>
  <c r="AK2683" i="15"/>
  <c r="AI2684" i="15"/>
  <c r="AK2684" i="15"/>
  <c r="AI2685" i="15"/>
  <c r="AK2685" i="15"/>
  <c r="AI2686" i="15"/>
  <c r="AK2686" i="15"/>
  <c r="AI2687" i="15"/>
  <c r="AK2687" i="15"/>
  <c r="AI2688" i="15"/>
  <c r="AJ2688" i="15"/>
  <c r="AK2688" i="15"/>
  <c r="AI2689" i="15"/>
  <c r="AJ2689" i="15"/>
  <c r="AK2689" i="15"/>
  <c r="AI2690" i="15"/>
  <c r="AJ2690" i="15"/>
  <c r="AK2690" i="15"/>
  <c r="AI2691" i="15"/>
  <c r="AJ2691" i="15"/>
  <c r="AK2691" i="15"/>
  <c r="AI2692" i="15"/>
  <c r="AJ2692" i="15"/>
  <c r="AK2692" i="15"/>
  <c r="AI2693" i="15"/>
  <c r="AJ2693" i="15"/>
  <c r="AK2693" i="15"/>
  <c r="AI2694" i="15"/>
  <c r="AJ2694" i="15"/>
  <c r="AK2694" i="15"/>
  <c r="AI2695" i="15"/>
  <c r="AJ2695" i="15"/>
  <c r="AK2695" i="15"/>
  <c r="AI2696" i="15"/>
  <c r="AJ2696" i="15"/>
  <c r="AK2696" i="15"/>
  <c r="AI2697" i="15"/>
  <c r="AJ2697" i="15"/>
  <c r="AK2697" i="15"/>
  <c r="AK2698" i="15"/>
  <c r="AK2699" i="15"/>
  <c r="AI2679" i="15"/>
  <c r="AK2679" i="15"/>
  <c r="AI2680" i="15"/>
  <c r="AK2680" i="15"/>
  <c r="AI2677" i="15"/>
  <c r="AK2677" i="15"/>
  <c r="AI2678" i="15"/>
  <c r="AK2678" i="15"/>
  <c r="AI2665" i="15"/>
  <c r="AJ2665" i="15"/>
  <c r="AK2665" i="15"/>
  <c r="AI2666" i="15"/>
  <c r="AJ2666" i="15"/>
  <c r="AK2666" i="15"/>
  <c r="AI2667" i="15"/>
  <c r="AJ2667" i="15"/>
  <c r="AK2667" i="15"/>
  <c r="AI2668" i="15"/>
  <c r="AJ2668" i="15"/>
  <c r="AK2668" i="15"/>
  <c r="AI2669" i="15"/>
  <c r="AJ2669" i="15"/>
  <c r="AK2669" i="15"/>
  <c r="AI2670" i="15"/>
  <c r="AJ2670" i="15"/>
  <c r="AK2670" i="15"/>
  <c r="AI2671" i="15"/>
  <c r="AJ2671" i="15"/>
  <c r="AK2671" i="15"/>
  <c r="AI2672" i="15"/>
  <c r="AJ2672" i="15"/>
  <c r="AK2672" i="15"/>
  <c r="AI2673" i="15"/>
  <c r="AK2673" i="15"/>
  <c r="AI2674" i="15"/>
  <c r="AK2674" i="15"/>
  <c r="AI2675" i="15"/>
  <c r="AK2675" i="15"/>
  <c r="AI2676" i="15"/>
  <c r="AK2676" i="15"/>
  <c r="AI2652" i="15"/>
  <c r="AK2652" i="15"/>
  <c r="AI2653" i="15"/>
  <c r="AJ2653" i="15"/>
  <c r="AK2653" i="15"/>
  <c r="AI2654" i="15"/>
  <c r="AJ2654" i="15"/>
  <c r="AK2654" i="15"/>
  <c r="AI2655" i="15"/>
  <c r="AJ2655" i="15"/>
  <c r="AK2655" i="15"/>
  <c r="AI2656" i="15"/>
  <c r="AJ2656" i="15"/>
  <c r="AK2656" i="15"/>
  <c r="AI2657" i="15"/>
  <c r="AJ2657" i="15"/>
  <c r="AK2657" i="15"/>
  <c r="AI2658" i="15"/>
  <c r="AJ2658" i="15"/>
  <c r="AK2658" i="15"/>
  <c r="AI2659" i="15"/>
  <c r="AJ2659" i="15"/>
  <c r="AK2659" i="15"/>
  <c r="AI2660" i="15"/>
  <c r="AJ2660" i="15"/>
  <c r="AK2660" i="15"/>
  <c r="AI2661" i="15"/>
  <c r="AJ2661" i="15"/>
  <c r="AK2661" i="15"/>
  <c r="AK2662" i="15"/>
  <c r="AK2663" i="15"/>
  <c r="AK2664" i="15"/>
  <c r="AI2645" i="15"/>
  <c r="AK2645" i="15"/>
  <c r="AI2646" i="15"/>
  <c r="AK2646" i="15"/>
  <c r="AI2647" i="15"/>
  <c r="AK2647" i="15"/>
  <c r="AI2648" i="15"/>
  <c r="AJ2648" i="15"/>
  <c r="AK2648" i="15"/>
  <c r="AI2649" i="15"/>
  <c r="AJ2649" i="15"/>
  <c r="AK2649" i="15"/>
  <c r="AI2650" i="15"/>
  <c r="AJ2650" i="15"/>
  <c r="AK2650" i="15"/>
  <c r="AI2651" i="15"/>
  <c r="AJ2651" i="15"/>
  <c r="AK2651" i="15"/>
  <c r="AI2601" i="15"/>
  <c r="AJ2601" i="15"/>
  <c r="AK2601" i="15"/>
  <c r="AI2602" i="15"/>
  <c r="AJ2602" i="15"/>
  <c r="AK2602" i="15"/>
  <c r="AJ2603" i="15"/>
  <c r="AK2603" i="15"/>
  <c r="AJ2604" i="15"/>
  <c r="AK2604" i="15"/>
  <c r="AJ2605" i="15"/>
  <c r="AK2605" i="15"/>
  <c r="AJ2606" i="15"/>
  <c r="AK2606" i="15"/>
  <c r="AI2607" i="15"/>
  <c r="AJ2607" i="15"/>
  <c r="AK2607" i="15"/>
  <c r="AI2608" i="15"/>
  <c r="AJ2608" i="15"/>
  <c r="AK2608" i="15"/>
  <c r="AJ2609" i="15"/>
  <c r="AK2609" i="15"/>
  <c r="AJ2610" i="15"/>
  <c r="AK2610" i="15"/>
  <c r="AJ2611" i="15"/>
  <c r="AK2611" i="15"/>
  <c r="AJ2612" i="15"/>
  <c r="AK2612" i="15"/>
  <c r="AK2613" i="15"/>
  <c r="AK2614" i="15"/>
  <c r="AK2615" i="15"/>
  <c r="AK2616" i="15"/>
  <c r="AK2617" i="15"/>
  <c r="AK2618" i="15"/>
  <c r="AI2619" i="15"/>
  <c r="AJ2619" i="15"/>
  <c r="AK2619" i="15"/>
  <c r="AI2620" i="15"/>
  <c r="AJ2620" i="15"/>
  <c r="AK2620" i="15"/>
  <c r="AJ2621" i="15"/>
  <c r="AK2621" i="15"/>
  <c r="AJ2622" i="15"/>
  <c r="AK2622" i="15"/>
  <c r="AJ2623" i="15"/>
  <c r="AK2623" i="15"/>
  <c r="AJ2624" i="15"/>
  <c r="AK2624" i="15"/>
  <c r="AI2625" i="15"/>
  <c r="AJ2625" i="15"/>
  <c r="AK2625" i="15"/>
  <c r="AI2626" i="15"/>
  <c r="AJ2626" i="15"/>
  <c r="AK2626" i="15"/>
  <c r="AJ2627" i="15"/>
  <c r="AK2627" i="15"/>
  <c r="AJ2628" i="15"/>
  <c r="AK2628" i="15"/>
  <c r="AJ2629" i="15"/>
  <c r="AK2629" i="15"/>
  <c r="AJ2630" i="15"/>
  <c r="AK2630" i="15"/>
  <c r="AK2631" i="15"/>
  <c r="AK2632" i="15"/>
  <c r="AK2633" i="15"/>
  <c r="AK2634" i="15"/>
  <c r="AK2635" i="15"/>
  <c r="AK2636" i="15"/>
  <c r="AI2637" i="15"/>
  <c r="AJ2637" i="15"/>
  <c r="AK2637" i="15"/>
  <c r="AI2638" i="15"/>
  <c r="AJ2638" i="15"/>
  <c r="AK2638" i="15"/>
  <c r="AI2639" i="15"/>
  <c r="AJ2639" i="15"/>
  <c r="AK2639" i="15"/>
  <c r="AI2640" i="15"/>
  <c r="AJ2640" i="15"/>
  <c r="AK2640" i="15"/>
  <c r="AK2641" i="15"/>
  <c r="AK2642" i="15"/>
  <c r="AK2643" i="15"/>
  <c r="AK2644" i="15"/>
  <c r="AI2599" i="15"/>
  <c r="AJ2599" i="15"/>
  <c r="AK2599" i="15"/>
  <c r="AI2600" i="15"/>
  <c r="AJ2600" i="15"/>
  <c r="AK2600" i="15"/>
  <c r="AI2586" i="15"/>
  <c r="AJ2586" i="15"/>
  <c r="AK2586" i="15"/>
  <c r="AI2587" i="15"/>
  <c r="AJ2587" i="15"/>
  <c r="AK2587" i="15"/>
  <c r="AI2588" i="15"/>
  <c r="AJ2588" i="15"/>
  <c r="AK2588" i="15"/>
  <c r="AI2589" i="15"/>
  <c r="AJ2589" i="15"/>
  <c r="AK2589" i="15"/>
  <c r="AI2590" i="15"/>
  <c r="AJ2590" i="15"/>
  <c r="AK2590" i="15"/>
  <c r="AI2591" i="15"/>
  <c r="AJ2591" i="15"/>
  <c r="AK2591" i="15"/>
  <c r="AI2592" i="15"/>
  <c r="AJ2592" i="15"/>
  <c r="AK2592" i="15"/>
  <c r="AI2593" i="15"/>
  <c r="AJ2593" i="15"/>
  <c r="AK2593" i="15"/>
  <c r="AI2594" i="15"/>
  <c r="AJ2594" i="15"/>
  <c r="AK2594" i="15"/>
  <c r="AI2595" i="15"/>
  <c r="AJ2595" i="15"/>
  <c r="AK2595" i="15"/>
  <c r="AI2596" i="15"/>
  <c r="AJ2596" i="15"/>
  <c r="AK2596" i="15"/>
  <c r="AI2597" i="15"/>
  <c r="AJ2597" i="15"/>
  <c r="AK2597" i="15"/>
  <c r="AI2598" i="15"/>
  <c r="AJ2598" i="15"/>
  <c r="AK2598" i="15"/>
  <c r="AF2902" i="15"/>
  <c r="AG2902" i="15"/>
  <c r="AH2902" i="15"/>
  <c r="AF2903" i="15"/>
  <c r="AG2903" i="15"/>
  <c r="AH2903" i="15"/>
  <c r="AF2904" i="15"/>
  <c r="AH2904" i="15"/>
  <c r="AF2905" i="15"/>
  <c r="AH2905" i="15"/>
  <c r="AF2906" i="15"/>
  <c r="AH2906" i="15"/>
  <c r="AF2907" i="15"/>
  <c r="AH2907" i="15"/>
  <c r="AF2908" i="15"/>
  <c r="AG2908" i="15"/>
  <c r="AH2908" i="15"/>
  <c r="AF2909" i="15"/>
  <c r="AG2909" i="15"/>
  <c r="AH2909" i="15"/>
  <c r="AF2910" i="15"/>
  <c r="AH2910" i="15"/>
  <c r="AF2911" i="15"/>
  <c r="AH2911" i="15"/>
  <c r="AF2912" i="15"/>
  <c r="AH2912" i="15"/>
  <c r="AF2913" i="15"/>
  <c r="AH2913" i="15"/>
  <c r="AF2914" i="15"/>
  <c r="AH2914" i="15"/>
  <c r="AF2915" i="15"/>
  <c r="AH2915" i="15"/>
  <c r="AF2898" i="15"/>
  <c r="AG2898" i="15"/>
  <c r="AH2898" i="15"/>
  <c r="AF2899" i="15"/>
  <c r="AG2899" i="15"/>
  <c r="AH2899" i="15"/>
  <c r="AF2900" i="15"/>
  <c r="AG2900" i="15"/>
  <c r="AH2900" i="15"/>
  <c r="AF2901" i="15"/>
  <c r="AG2901" i="15"/>
  <c r="AH2901" i="15"/>
  <c r="AF2896" i="15"/>
  <c r="AG2896" i="15"/>
  <c r="AH2896" i="15"/>
  <c r="AF2897" i="15"/>
  <c r="AG2897" i="15"/>
  <c r="AH2897" i="15"/>
  <c r="AF2894" i="15"/>
  <c r="AG2894" i="15"/>
  <c r="AH2894" i="15"/>
  <c r="AF2895" i="15"/>
  <c r="AG2895" i="15"/>
  <c r="AH2895" i="15"/>
  <c r="AF2886" i="15"/>
  <c r="AG2886" i="15"/>
  <c r="AH2886" i="15"/>
  <c r="AF2887" i="15"/>
  <c r="AG2887" i="15"/>
  <c r="AH2887" i="15"/>
  <c r="AF2888" i="15"/>
  <c r="AG2888" i="15"/>
  <c r="AH2888" i="15"/>
  <c r="AF2889" i="15"/>
  <c r="AG2889" i="15"/>
  <c r="AH2889" i="15"/>
  <c r="AF2890" i="15"/>
  <c r="AG2890" i="15"/>
  <c r="AH2890" i="15"/>
  <c r="AF2891" i="15"/>
  <c r="AG2891" i="15"/>
  <c r="AH2891" i="15"/>
  <c r="AF2892" i="15"/>
  <c r="AG2892" i="15"/>
  <c r="AH2892" i="15"/>
  <c r="AF2893" i="15"/>
  <c r="AG2893" i="15"/>
  <c r="AH2893" i="15"/>
  <c r="AF2883" i="15"/>
  <c r="AH2883" i="15"/>
  <c r="AF2884" i="15"/>
  <c r="AH2884" i="15"/>
  <c r="AF2885" i="15"/>
  <c r="AH2885" i="15"/>
  <c r="AF2875" i="15"/>
  <c r="AG2875" i="15"/>
  <c r="AH2875" i="15"/>
  <c r="AF2876" i="15"/>
  <c r="AG2876" i="15"/>
  <c r="AH2876" i="15"/>
  <c r="AF2877" i="15"/>
  <c r="AG2877" i="15"/>
  <c r="AH2877" i="15"/>
  <c r="AF2878" i="15"/>
  <c r="AG2878" i="15"/>
  <c r="AH2878" i="15"/>
  <c r="AF2879" i="15"/>
  <c r="AG2879" i="15"/>
  <c r="AH2879" i="15"/>
  <c r="AF2880" i="15"/>
  <c r="AG2880" i="15"/>
  <c r="AH2880" i="15"/>
  <c r="AF2881" i="15"/>
  <c r="AG2881" i="15"/>
  <c r="AH2881" i="15"/>
  <c r="AF2882" i="15"/>
  <c r="AG2882" i="15"/>
  <c r="AH2882" i="15"/>
  <c r="AF2785" i="15"/>
  <c r="AG2785" i="15"/>
  <c r="AH2785" i="15"/>
  <c r="AF2786" i="15"/>
  <c r="AG2786" i="15"/>
  <c r="AH2786" i="15"/>
  <c r="AF2787" i="15"/>
  <c r="AG2787" i="15"/>
  <c r="AH2787" i="15"/>
  <c r="AF2788" i="15"/>
  <c r="AG2788" i="15"/>
  <c r="AH2788" i="15"/>
  <c r="AF2789" i="15"/>
  <c r="AG2789" i="15"/>
  <c r="AH2789" i="15"/>
  <c r="AF2790" i="15"/>
  <c r="AG2790" i="15"/>
  <c r="AH2790" i="15"/>
  <c r="AF2791" i="15"/>
  <c r="AH2791" i="15"/>
  <c r="AF2792" i="15"/>
  <c r="AH2792" i="15"/>
  <c r="AF2793" i="15"/>
  <c r="AH2793" i="15"/>
  <c r="AF2794" i="15"/>
  <c r="AH2794" i="15"/>
  <c r="AF2795" i="15"/>
  <c r="AH2795" i="15"/>
  <c r="AF2796" i="15"/>
  <c r="AH2796" i="15"/>
  <c r="AF2797" i="15"/>
  <c r="AH2797" i="15"/>
  <c r="AF2798" i="15"/>
  <c r="AH2798" i="15"/>
  <c r="AF2799" i="15"/>
  <c r="AH2799" i="15"/>
  <c r="AF2800" i="15"/>
  <c r="AH2800" i="15"/>
  <c r="AF2801" i="15"/>
  <c r="AH2801" i="15"/>
  <c r="AF2802" i="15"/>
  <c r="AH2802" i="15"/>
  <c r="AF2803" i="15"/>
  <c r="AH2803" i="15"/>
  <c r="AF2804" i="15"/>
  <c r="AH2804" i="15"/>
  <c r="AF2805" i="15"/>
  <c r="AH2805" i="15"/>
  <c r="AF2806" i="15"/>
  <c r="AH2806" i="15"/>
  <c r="AF2807" i="15"/>
  <c r="AH2807" i="15"/>
  <c r="AF2808" i="15"/>
  <c r="AH2808" i="15"/>
  <c r="AF2809" i="15"/>
  <c r="AH2809" i="15"/>
  <c r="AF2810" i="15"/>
  <c r="AH2810" i="15"/>
  <c r="AF2811" i="15"/>
  <c r="AH2811" i="15"/>
  <c r="AF2812" i="15"/>
  <c r="AH2812" i="15"/>
  <c r="AF2813" i="15"/>
  <c r="AH2813" i="15"/>
  <c r="AF2814" i="15"/>
  <c r="AH2814" i="15"/>
  <c r="AF2815" i="15"/>
  <c r="AH2815" i="15"/>
  <c r="AF2816" i="15"/>
  <c r="AH2816" i="15"/>
  <c r="AF2817" i="15"/>
  <c r="AH2817" i="15"/>
  <c r="AF2818" i="15"/>
  <c r="AH2818" i="15"/>
  <c r="AF2819" i="15"/>
  <c r="AH2819" i="15"/>
  <c r="AF2820" i="15"/>
  <c r="AH2820" i="15"/>
  <c r="AF2821" i="15"/>
  <c r="AH2821" i="15"/>
  <c r="AF2822" i="15"/>
  <c r="AH2822" i="15"/>
  <c r="AF2823" i="15"/>
  <c r="AH2823" i="15"/>
  <c r="AF2824" i="15"/>
  <c r="AH2824" i="15"/>
  <c r="AF2825" i="15"/>
  <c r="AH2825" i="15"/>
  <c r="AF2826" i="15"/>
  <c r="AH2826" i="15"/>
  <c r="AF2827" i="15"/>
  <c r="AG2827" i="15"/>
  <c r="AH2827" i="15"/>
  <c r="AF2828" i="15"/>
  <c r="AG2828" i="15"/>
  <c r="AH2828" i="15"/>
  <c r="AF2829" i="15"/>
  <c r="AG2829" i="15"/>
  <c r="AH2829" i="15"/>
  <c r="AF2830" i="15"/>
  <c r="AG2830" i="15"/>
  <c r="AH2830" i="15"/>
  <c r="AF2831" i="15"/>
  <c r="AG2831" i="15"/>
  <c r="AH2831" i="15"/>
  <c r="AF2832" i="15"/>
  <c r="AG2832" i="15"/>
  <c r="AH2832" i="15"/>
  <c r="AF2833" i="15"/>
  <c r="AG2833" i="15"/>
  <c r="AH2833" i="15"/>
  <c r="AF2834" i="15"/>
  <c r="AG2834" i="15"/>
  <c r="AH2834" i="15"/>
  <c r="AF2835" i="15"/>
  <c r="AG2835" i="15"/>
  <c r="AH2835" i="15"/>
  <c r="AF2836" i="15"/>
  <c r="AG2836" i="15"/>
  <c r="AH2836" i="15"/>
  <c r="AF2837" i="15"/>
  <c r="AG2837" i="15"/>
  <c r="AH2837" i="15"/>
  <c r="AF2838" i="15"/>
  <c r="AG2838" i="15"/>
  <c r="AH2838" i="15"/>
  <c r="AF2839" i="15"/>
  <c r="AG2839" i="15"/>
  <c r="AH2839" i="15"/>
  <c r="AF2840" i="15"/>
  <c r="AG2840" i="15"/>
  <c r="AH2840" i="15"/>
  <c r="AF2841" i="15"/>
  <c r="AG2841" i="15"/>
  <c r="AH2841" i="15"/>
  <c r="AF2842" i="15"/>
  <c r="AG2842" i="15"/>
  <c r="AH2842" i="15"/>
  <c r="AF2843" i="15"/>
  <c r="AG2843" i="15"/>
  <c r="AH2843" i="15"/>
  <c r="AF2844" i="15"/>
  <c r="AH2844" i="15"/>
  <c r="AF2845" i="15"/>
  <c r="AH2845" i="15"/>
  <c r="AF2846" i="15"/>
  <c r="AH2846" i="15"/>
  <c r="AF2847" i="15"/>
  <c r="AH2847" i="15"/>
  <c r="AF2848" i="15"/>
  <c r="AH2848" i="15"/>
  <c r="AF2849" i="15"/>
  <c r="AH2849" i="15"/>
  <c r="AF2850" i="15"/>
  <c r="AG2850" i="15"/>
  <c r="AH2850" i="15"/>
  <c r="AF2851" i="15"/>
  <c r="AG2851" i="15"/>
  <c r="AH2851" i="15"/>
  <c r="AF2852" i="15"/>
  <c r="AG2852" i="15"/>
  <c r="AH2852" i="15"/>
  <c r="AF2853" i="15"/>
  <c r="AG2853" i="15"/>
  <c r="AH2853" i="15"/>
  <c r="AF2854" i="15"/>
  <c r="AG2854" i="15"/>
  <c r="AH2854" i="15"/>
  <c r="AF2855" i="15"/>
  <c r="AG2855" i="15"/>
  <c r="AH2855" i="15"/>
  <c r="AF2856" i="15"/>
  <c r="AG2856" i="15"/>
  <c r="AH2856" i="15"/>
  <c r="AF2857" i="15"/>
  <c r="AG2857" i="15"/>
  <c r="AH2857" i="15"/>
  <c r="AF2858" i="15"/>
  <c r="AG2858" i="15"/>
  <c r="AH2858" i="15"/>
  <c r="AH2859" i="15"/>
  <c r="AH2860" i="15"/>
  <c r="AH2861" i="15"/>
  <c r="AH2862" i="15"/>
  <c r="AH2863" i="15"/>
  <c r="AH2864" i="15"/>
  <c r="AF2865" i="15"/>
  <c r="AG2865" i="15"/>
  <c r="AH2865" i="15"/>
  <c r="AF2866" i="15"/>
  <c r="AG2866" i="15"/>
  <c r="AH2866" i="15"/>
  <c r="AF2867" i="15"/>
  <c r="AG2867" i="15"/>
  <c r="AH2867" i="15"/>
  <c r="AF2868" i="15"/>
  <c r="AG2868" i="15"/>
  <c r="AH2868" i="15"/>
  <c r="AF2869" i="15"/>
  <c r="AG2869" i="15"/>
  <c r="AH2869" i="15"/>
  <c r="AF2870" i="15"/>
  <c r="AG2870" i="15"/>
  <c r="AH2870" i="15"/>
  <c r="AF2871" i="15"/>
  <c r="AH2871" i="15"/>
  <c r="AF2872" i="15"/>
  <c r="AH2872" i="15"/>
  <c r="AF2873" i="15"/>
  <c r="AH2873" i="15"/>
  <c r="AF2874" i="15"/>
  <c r="AH2874" i="15"/>
  <c r="AF2783" i="15"/>
  <c r="AH2783" i="15"/>
  <c r="AF2784" i="15"/>
  <c r="AG2784" i="15"/>
  <c r="AH2784" i="15"/>
  <c r="AF2778" i="15"/>
  <c r="AH2778" i="15"/>
  <c r="AF2779" i="15"/>
  <c r="AH2779" i="15"/>
  <c r="AF2780" i="15"/>
  <c r="AH2780" i="15"/>
  <c r="AF2781" i="15"/>
  <c r="AH2781" i="15"/>
  <c r="AF2782" i="15"/>
  <c r="AH2782" i="15"/>
  <c r="AF2775" i="15"/>
  <c r="AH2775" i="15"/>
  <c r="AF2776" i="15"/>
  <c r="AH2776" i="15"/>
  <c r="AF2777" i="15"/>
  <c r="AH2777" i="15"/>
  <c r="AF2770" i="15"/>
  <c r="AH2770" i="15"/>
  <c r="AF2771" i="15"/>
  <c r="AH2771" i="15"/>
  <c r="AF2772" i="15"/>
  <c r="AH2772" i="15"/>
  <c r="AF2773" i="15"/>
  <c r="AH2773" i="15"/>
  <c r="AF2774" i="15"/>
  <c r="AH2774" i="15"/>
  <c r="AF2767" i="15"/>
  <c r="AH2767" i="15"/>
  <c r="AF2768" i="15"/>
  <c r="AH2768" i="15"/>
  <c r="AF2769" i="15"/>
  <c r="AH2769" i="15"/>
  <c r="AF2747" i="15"/>
  <c r="AH2747" i="15"/>
  <c r="AF2748" i="15"/>
  <c r="AH2748" i="15"/>
  <c r="AF2749" i="15"/>
  <c r="AH2749" i="15"/>
  <c r="AF2750" i="15"/>
  <c r="AH2750" i="15"/>
  <c r="AF2751" i="15"/>
  <c r="AH2751" i="15"/>
  <c r="AF2752" i="15"/>
  <c r="AH2752" i="15"/>
  <c r="AF2753" i="15"/>
  <c r="AH2753" i="15"/>
  <c r="AF2754" i="15"/>
  <c r="AH2754" i="15"/>
  <c r="AF2755" i="15"/>
  <c r="AH2755" i="15"/>
  <c r="AF2756" i="15"/>
  <c r="AH2756" i="15"/>
  <c r="AF2757" i="15"/>
  <c r="AH2757" i="15"/>
  <c r="AF2758" i="15"/>
  <c r="AH2758" i="15"/>
  <c r="AF2759" i="15"/>
  <c r="AH2759" i="15"/>
  <c r="AF2760" i="15"/>
  <c r="AH2760" i="15"/>
  <c r="AF2761" i="15"/>
  <c r="AH2761" i="15"/>
  <c r="AF2762" i="15"/>
  <c r="AH2762" i="15"/>
  <c r="AF2763" i="15"/>
  <c r="AH2763" i="15"/>
  <c r="AF2764" i="15"/>
  <c r="AH2764" i="15"/>
  <c r="AF2765" i="15"/>
  <c r="AH2765" i="15"/>
  <c r="AF2766" i="15"/>
  <c r="AH2766" i="15"/>
  <c r="AF2746" i="15"/>
  <c r="AG2746" i="15"/>
  <c r="AH2746" i="15"/>
  <c r="AF2743" i="15"/>
  <c r="AH2743" i="15"/>
  <c r="AF2744" i="15"/>
  <c r="AG2744" i="15"/>
  <c r="AH2744" i="15"/>
  <c r="AF2745" i="15"/>
  <c r="AG2745" i="15"/>
  <c r="AH2745" i="15"/>
  <c r="AF2739" i="15"/>
  <c r="AG2739" i="15"/>
  <c r="AH2739" i="15"/>
  <c r="AF2740" i="15"/>
  <c r="AG2740" i="15"/>
  <c r="AH2740" i="15"/>
  <c r="AF2741" i="15"/>
  <c r="AG2741" i="15"/>
  <c r="AH2741" i="15"/>
  <c r="AF2742" i="15"/>
  <c r="AG2742" i="15"/>
  <c r="AH2742" i="15"/>
  <c r="AF2724" i="15"/>
  <c r="AG2724" i="15"/>
  <c r="AH2724" i="15"/>
  <c r="AF2725" i="15"/>
  <c r="AG2725" i="15"/>
  <c r="AH2725" i="15"/>
  <c r="AF2726" i="15"/>
  <c r="AG2726" i="15"/>
  <c r="AH2726" i="15"/>
  <c r="AF2727" i="15"/>
  <c r="AG2727" i="15"/>
  <c r="AH2727" i="15"/>
  <c r="AF2728" i="15"/>
  <c r="AH2728" i="15"/>
  <c r="AF2729" i="15"/>
  <c r="AH2729" i="15"/>
  <c r="AF2730" i="15"/>
  <c r="AH2730" i="15"/>
  <c r="AF2731" i="15"/>
  <c r="AH2731" i="15"/>
  <c r="AF2732" i="15"/>
  <c r="AH2732" i="15"/>
  <c r="AF2733" i="15"/>
  <c r="AH2733" i="15"/>
  <c r="AF2734" i="15"/>
  <c r="AG2734" i="15"/>
  <c r="AH2734" i="15"/>
  <c r="AF2735" i="15"/>
  <c r="AG2735" i="15"/>
  <c r="AH2735" i="15"/>
  <c r="AF2736" i="15"/>
  <c r="AG2736" i="15"/>
  <c r="AH2736" i="15"/>
  <c r="AF2737" i="15"/>
  <c r="AG2737" i="15"/>
  <c r="AH2737" i="15"/>
  <c r="AF2738" i="15"/>
  <c r="AG2738" i="15"/>
  <c r="AH2738" i="15"/>
  <c r="AF2718" i="15"/>
  <c r="AG2718" i="15"/>
  <c r="AH2718" i="15"/>
  <c r="AF2719" i="15"/>
  <c r="AG2719" i="15"/>
  <c r="AH2719" i="15"/>
  <c r="AH2720" i="15"/>
  <c r="AF2709" i="15"/>
  <c r="AG2709" i="15"/>
  <c r="AH2709" i="15"/>
  <c r="AF2710" i="15"/>
  <c r="AH2710" i="15"/>
  <c r="AF2711" i="15"/>
  <c r="AH2711" i="15"/>
  <c r="AF2712" i="15"/>
  <c r="AG2712" i="15"/>
  <c r="AH2712" i="15"/>
  <c r="AF2713" i="15"/>
  <c r="AG2713" i="15"/>
  <c r="AH2713" i="15"/>
  <c r="AF2714" i="15"/>
  <c r="AG2714" i="15"/>
  <c r="AH2714" i="15"/>
  <c r="AH2715" i="15"/>
  <c r="AH2716" i="15"/>
  <c r="AH2717" i="15"/>
  <c r="AF2700" i="15"/>
  <c r="AH2700" i="15"/>
  <c r="AF2701" i="15"/>
  <c r="AH2701" i="15"/>
  <c r="AF2702" i="15"/>
  <c r="AH2702" i="15"/>
  <c r="AF2703" i="15"/>
  <c r="AH2703" i="15"/>
  <c r="AF2704" i="15"/>
  <c r="AH2704" i="15"/>
  <c r="AF2705" i="15"/>
  <c r="AG2705" i="15"/>
  <c r="AH2705" i="15"/>
  <c r="AF2706" i="15"/>
  <c r="AG2706" i="15"/>
  <c r="AH2706" i="15"/>
  <c r="AF2707" i="15"/>
  <c r="AG2707" i="15"/>
  <c r="AH2707" i="15"/>
  <c r="AF2708" i="15"/>
  <c r="AG2708" i="15"/>
  <c r="AH2708" i="15"/>
  <c r="AF2681" i="15"/>
  <c r="AH2681" i="15"/>
  <c r="AF2682" i="15"/>
  <c r="AH2682" i="15"/>
  <c r="AF2683" i="15"/>
  <c r="AH2683" i="15"/>
  <c r="AF2684" i="15"/>
  <c r="AH2684" i="15"/>
  <c r="AF2685" i="15"/>
  <c r="AH2685" i="15"/>
  <c r="AF2686" i="15"/>
  <c r="AH2686" i="15"/>
  <c r="AF2687" i="15"/>
  <c r="AH2687" i="15"/>
  <c r="AF2688" i="15"/>
  <c r="AG2688" i="15"/>
  <c r="AH2688" i="15"/>
  <c r="AF2689" i="15"/>
  <c r="AG2689" i="15"/>
  <c r="AH2689" i="15"/>
  <c r="AF2690" i="15"/>
  <c r="AG2690" i="15"/>
  <c r="AH2690" i="15"/>
  <c r="AF2691" i="15"/>
  <c r="AG2691" i="15"/>
  <c r="AH2691" i="15"/>
  <c r="AF2692" i="15"/>
  <c r="AG2692" i="15"/>
  <c r="AH2692" i="15"/>
  <c r="AF2693" i="15"/>
  <c r="AG2693" i="15"/>
  <c r="AH2693" i="15"/>
  <c r="AF2694" i="15"/>
  <c r="AG2694" i="15"/>
  <c r="AH2694" i="15"/>
  <c r="AF2695" i="15"/>
  <c r="AG2695" i="15"/>
  <c r="AH2695" i="15"/>
  <c r="AF2696" i="15"/>
  <c r="AG2696" i="15"/>
  <c r="AH2696" i="15"/>
  <c r="AF2697" i="15"/>
  <c r="AG2697" i="15"/>
  <c r="AH2697" i="15"/>
  <c r="AH2698" i="15"/>
  <c r="AH2699" i="15"/>
  <c r="AF2679" i="15"/>
  <c r="AH2679" i="15"/>
  <c r="AF2680" i="15"/>
  <c r="AH2680" i="15"/>
  <c r="AF2677" i="15"/>
  <c r="AH2677" i="15"/>
  <c r="AF2678" i="15"/>
  <c r="AH2678" i="15"/>
  <c r="AF2665" i="15"/>
  <c r="AG2665" i="15"/>
  <c r="AH2665" i="15"/>
  <c r="AF2666" i="15"/>
  <c r="AG2666" i="15"/>
  <c r="AH2666" i="15"/>
  <c r="AF2667" i="15"/>
  <c r="AG2667" i="15"/>
  <c r="AH2667" i="15"/>
  <c r="AF2668" i="15"/>
  <c r="AG2668" i="15"/>
  <c r="AH2668" i="15"/>
  <c r="AF2669" i="15"/>
  <c r="AG2669" i="15"/>
  <c r="AH2669" i="15"/>
  <c r="AF2670" i="15"/>
  <c r="AG2670" i="15"/>
  <c r="AH2670" i="15"/>
  <c r="AF2671" i="15"/>
  <c r="AG2671" i="15"/>
  <c r="AH2671" i="15"/>
  <c r="AF2672" i="15"/>
  <c r="AG2672" i="15"/>
  <c r="AH2672" i="15"/>
  <c r="AF2673" i="15"/>
  <c r="AH2673" i="15"/>
  <c r="AF2674" i="15"/>
  <c r="AH2674" i="15"/>
  <c r="AF2675" i="15"/>
  <c r="AH2675" i="15"/>
  <c r="AF2676" i="15"/>
  <c r="AH2676" i="15"/>
  <c r="AF2652" i="15"/>
  <c r="AH2652" i="15"/>
  <c r="AF2653" i="15"/>
  <c r="AG2653" i="15"/>
  <c r="AH2653" i="15"/>
  <c r="AF2654" i="15"/>
  <c r="AG2654" i="15"/>
  <c r="AH2654" i="15"/>
  <c r="AF2655" i="15"/>
  <c r="AG2655" i="15"/>
  <c r="AH2655" i="15"/>
  <c r="AF2656" i="15"/>
  <c r="AG2656" i="15"/>
  <c r="AH2656" i="15"/>
  <c r="AF2657" i="15"/>
  <c r="AG2657" i="15"/>
  <c r="AH2657" i="15"/>
  <c r="AF2658" i="15"/>
  <c r="AG2658" i="15"/>
  <c r="AH2658" i="15"/>
  <c r="AF2659" i="15"/>
  <c r="AG2659" i="15"/>
  <c r="AH2659" i="15"/>
  <c r="AH2660" i="15"/>
  <c r="AF2661" i="15"/>
  <c r="AG2661" i="15"/>
  <c r="AH2661" i="15"/>
  <c r="AH2662" i="15"/>
  <c r="AH2663" i="15"/>
  <c r="AH2664" i="15"/>
  <c r="AF2645" i="15"/>
  <c r="AH2645" i="15"/>
  <c r="AF2646" i="15"/>
  <c r="AH2646" i="15"/>
  <c r="AF2647" i="15"/>
  <c r="AH2647" i="15"/>
  <c r="AF2648" i="15"/>
  <c r="AG2648" i="15"/>
  <c r="AH2648" i="15"/>
  <c r="AF2649" i="15"/>
  <c r="AG2649" i="15"/>
  <c r="AH2649" i="15"/>
  <c r="AF2650" i="15"/>
  <c r="AG2650" i="15"/>
  <c r="AH2650" i="15"/>
  <c r="AF2651" i="15"/>
  <c r="AG2651" i="15"/>
  <c r="AH2651" i="15"/>
  <c r="AF2601" i="15"/>
  <c r="AG2601" i="15"/>
  <c r="AH2601" i="15"/>
  <c r="AF2602" i="15"/>
  <c r="AG2602" i="15"/>
  <c r="AH2602" i="15"/>
  <c r="AG2603" i="15"/>
  <c r="AH2603" i="15"/>
  <c r="AG2604" i="15"/>
  <c r="AH2604" i="15"/>
  <c r="AG2605" i="15"/>
  <c r="AH2605" i="15"/>
  <c r="AG2606" i="15"/>
  <c r="AH2606" i="15"/>
  <c r="AF2607" i="15"/>
  <c r="AG2607" i="15"/>
  <c r="AH2607" i="15"/>
  <c r="AF2608" i="15"/>
  <c r="AG2608" i="15"/>
  <c r="AH2608" i="15"/>
  <c r="AG2609" i="15"/>
  <c r="AH2609" i="15"/>
  <c r="AG2610" i="15"/>
  <c r="AH2610" i="15"/>
  <c r="AG2611" i="15"/>
  <c r="AH2611" i="15"/>
  <c r="AG2612" i="15"/>
  <c r="AH2612" i="15"/>
  <c r="AH2613" i="15"/>
  <c r="AH2614" i="15"/>
  <c r="AH2615" i="15"/>
  <c r="AH2616" i="15"/>
  <c r="AH2617" i="15"/>
  <c r="AH2618" i="15"/>
  <c r="AF2619" i="15"/>
  <c r="AG2619" i="15"/>
  <c r="AH2619" i="15"/>
  <c r="AF2620" i="15"/>
  <c r="AG2620" i="15"/>
  <c r="AH2620" i="15"/>
  <c r="AG2621" i="15"/>
  <c r="AH2621" i="15"/>
  <c r="AG2622" i="15"/>
  <c r="AH2622" i="15"/>
  <c r="AG2623" i="15"/>
  <c r="AH2623" i="15"/>
  <c r="AG2624" i="15"/>
  <c r="AH2624" i="15"/>
  <c r="AF2625" i="15"/>
  <c r="AG2625" i="15"/>
  <c r="AH2625" i="15"/>
  <c r="AF2626" i="15"/>
  <c r="AG2626" i="15"/>
  <c r="AH2626" i="15"/>
  <c r="AG2627" i="15"/>
  <c r="AH2627" i="15"/>
  <c r="AG2628" i="15"/>
  <c r="AH2628" i="15"/>
  <c r="AG2629" i="15"/>
  <c r="AH2629" i="15"/>
  <c r="AG2630" i="15"/>
  <c r="AH2630" i="15"/>
  <c r="AH2631" i="15"/>
  <c r="AH2632" i="15"/>
  <c r="AH2633" i="15"/>
  <c r="AH2634" i="15"/>
  <c r="AH2635" i="15"/>
  <c r="AH2636" i="15"/>
  <c r="AF2637" i="15"/>
  <c r="AG2637" i="15"/>
  <c r="AH2637" i="15"/>
  <c r="AF2638" i="15"/>
  <c r="AG2638" i="15"/>
  <c r="AH2638" i="15"/>
  <c r="AF2639" i="15"/>
  <c r="AG2639" i="15"/>
  <c r="AH2639" i="15"/>
  <c r="AF2640" i="15"/>
  <c r="AG2640" i="15"/>
  <c r="AH2640" i="15"/>
  <c r="AH2641" i="15"/>
  <c r="AH2642" i="15"/>
  <c r="AH2643" i="15"/>
  <c r="AH2644" i="15"/>
  <c r="AF2599" i="15"/>
  <c r="AG2599" i="15"/>
  <c r="AH2599" i="15"/>
  <c r="AF2600" i="15"/>
  <c r="AG2600" i="15"/>
  <c r="AH2600" i="15"/>
  <c r="AH2586" i="15"/>
  <c r="AF2587" i="15"/>
  <c r="AG2587" i="15"/>
  <c r="AH2587" i="15"/>
  <c r="AF2588" i="15"/>
  <c r="AG2588" i="15"/>
  <c r="AH2588" i="15"/>
  <c r="AF2589" i="15"/>
  <c r="AG2589" i="15"/>
  <c r="AH2589" i="15"/>
  <c r="AF2590" i="15"/>
  <c r="AG2590" i="15"/>
  <c r="AH2590" i="15"/>
  <c r="AF2591" i="15"/>
  <c r="AG2591" i="15"/>
  <c r="AH2591" i="15"/>
  <c r="AF2592" i="15"/>
  <c r="AG2592" i="15"/>
  <c r="AH2592" i="15"/>
  <c r="AF2593" i="15"/>
  <c r="AG2593" i="15"/>
  <c r="AH2593" i="15"/>
  <c r="AF2594" i="15"/>
  <c r="AG2594" i="15"/>
  <c r="AH2594" i="15"/>
  <c r="AF2595" i="15"/>
  <c r="AG2595" i="15"/>
  <c r="AH2595" i="15"/>
  <c r="AF2596" i="15"/>
  <c r="AG2596" i="15"/>
  <c r="AH2596" i="15"/>
  <c r="AF2597" i="15"/>
  <c r="AG2597" i="15"/>
  <c r="AH2597" i="15"/>
  <c r="AF2598" i="15"/>
  <c r="AG2598" i="15"/>
  <c r="AH2598" i="15"/>
  <c r="AC2690" i="15"/>
  <c r="AD2690" i="15"/>
  <c r="AE2690" i="15"/>
  <c r="AC2691" i="15"/>
  <c r="AD2691" i="15"/>
  <c r="AE2691" i="15"/>
  <c r="AE2692" i="15"/>
  <c r="AE2693" i="15"/>
  <c r="AC2694" i="15"/>
  <c r="AD2694" i="15"/>
  <c r="AE2694" i="15"/>
  <c r="AC2695" i="15"/>
  <c r="AD2695" i="15"/>
  <c r="AE2695" i="15"/>
  <c r="AC2696" i="15"/>
  <c r="AD2696" i="15"/>
  <c r="AE2696" i="15"/>
  <c r="AE2697" i="15"/>
  <c r="AC2686" i="15"/>
  <c r="AD2686" i="15"/>
  <c r="AE2686" i="15"/>
  <c r="AC2687" i="15"/>
  <c r="AD2687" i="15"/>
  <c r="AE2687" i="15"/>
  <c r="AC2688" i="15"/>
  <c r="AE2688" i="15"/>
  <c r="AC2689" i="15"/>
  <c r="AE2689" i="15"/>
  <c r="AC2685" i="15"/>
  <c r="AD2685" i="15"/>
  <c r="AE2685" i="15"/>
  <c r="AC2683" i="15"/>
  <c r="AD2683" i="15"/>
  <c r="AE2683" i="15"/>
  <c r="AC2684" i="15"/>
  <c r="AD2684" i="15"/>
  <c r="AE2684" i="15"/>
  <c r="AE2682" i="15"/>
  <c r="AE2681" i="15"/>
  <c r="AE2678" i="15"/>
  <c r="AE2679" i="15"/>
  <c r="AE2680" i="15"/>
  <c r="AE2670" i="15"/>
  <c r="AE2671" i="15"/>
  <c r="AE2672" i="15"/>
  <c r="AE2673" i="15"/>
  <c r="AE2674" i="15"/>
  <c r="AE2675" i="15"/>
  <c r="AE2676" i="15"/>
  <c r="AE2677" i="15"/>
  <c r="AE2668" i="15"/>
  <c r="AE2669" i="15"/>
  <c r="AE2662" i="15"/>
  <c r="AC2663" i="15"/>
  <c r="AD2663" i="15"/>
  <c r="AE2663" i="15"/>
  <c r="AC2664" i="15"/>
  <c r="AD2664" i="15"/>
  <c r="AE2664" i="15"/>
  <c r="AE2665" i="15"/>
  <c r="AE2666" i="15"/>
  <c r="AE2667" i="15"/>
  <c r="AC2661" i="15"/>
  <c r="AE2661" i="15"/>
  <c r="AE2659" i="15"/>
  <c r="AE2660" i="15"/>
  <c r="AC2654" i="15"/>
  <c r="AE2654" i="15"/>
  <c r="AC2655" i="15"/>
  <c r="AE2655" i="15"/>
  <c r="AE2656" i="15"/>
  <c r="AE2657" i="15"/>
  <c r="AE2658" i="15"/>
  <c r="AE2652" i="15"/>
  <c r="AE2653" i="15"/>
  <c r="AE2641" i="15"/>
  <c r="AE2642" i="15"/>
  <c r="AE2643" i="15"/>
  <c r="AE2644" i="15"/>
  <c r="AE2645" i="15"/>
  <c r="AE2646" i="15"/>
  <c r="AE2647" i="15"/>
  <c r="AE2648" i="15"/>
  <c r="AE2649" i="15"/>
  <c r="AE2650" i="15"/>
  <c r="AE2651" i="15"/>
  <c r="AC2629" i="15"/>
  <c r="AE2629" i="15"/>
  <c r="AC2630" i="15"/>
  <c r="AE2630" i="15"/>
  <c r="AC2631" i="15"/>
  <c r="AE2631" i="15"/>
  <c r="AC2632" i="15"/>
  <c r="AE2632" i="15"/>
  <c r="AC2633" i="15"/>
  <c r="AE2633" i="15"/>
  <c r="AC2634" i="15"/>
  <c r="AE2634" i="15"/>
  <c r="AC2635" i="15"/>
  <c r="AE2635" i="15"/>
  <c r="AC2636" i="15"/>
  <c r="AE2636" i="15"/>
  <c r="AC2637" i="15"/>
  <c r="AE2637" i="15"/>
  <c r="AC2638" i="15"/>
  <c r="AE2638" i="15"/>
  <c r="AE2639" i="15"/>
  <c r="AE2640" i="15"/>
  <c r="AE2623" i="15"/>
  <c r="AE2624" i="15"/>
  <c r="AE2625" i="15"/>
  <c r="AE2626" i="15"/>
  <c r="AE2627" i="15"/>
  <c r="AE2628" i="15"/>
  <c r="AE2621" i="15"/>
  <c r="AE2622" i="15"/>
  <c r="AE2619" i="15"/>
  <c r="AE2620" i="15"/>
  <c r="AE2607" i="15"/>
  <c r="AE2608" i="15"/>
  <c r="AE2609" i="15"/>
  <c r="AE2610" i="15"/>
  <c r="AE2611" i="15"/>
  <c r="AE2612" i="15"/>
  <c r="AE2613" i="15"/>
  <c r="AE2614" i="15"/>
  <c r="AE2615" i="15"/>
  <c r="AE2616" i="15"/>
  <c r="AE2617" i="15"/>
  <c r="AE2618" i="15"/>
  <c r="AE2597" i="15"/>
  <c r="AE2598" i="15"/>
  <c r="AE2599" i="15"/>
  <c r="AE2600" i="15"/>
  <c r="AE2601" i="15"/>
  <c r="AE2602" i="15"/>
  <c r="AE2603" i="15"/>
  <c r="AE2604" i="15"/>
  <c r="AE2605" i="15"/>
  <c r="AE2606" i="15"/>
  <c r="AE2593" i="15"/>
  <c r="AE2594" i="15"/>
  <c r="AE2595" i="15"/>
  <c r="AE2596" i="15"/>
  <c r="AC2592" i="15"/>
  <c r="AE2592" i="15"/>
  <c r="AE2586" i="15"/>
  <c r="AE2587" i="15"/>
  <c r="AE2588" i="15"/>
  <c r="AE2589" i="15"/>
  <c r="AE2590" i="15"/>
  <c r="AE2591" i="15"/>
  <c r="Z2690" i="15"/>
  <c r="AA2690" i="15"/>
  <c r="AB2690" i="15"/>
  <c r="Z2691" i="15"/>
  <c r="AA2691" i="15"/>
  <c r="AB2691" i="15"/>
  <c r="AB2692" i="15"/>
  <c r="AB2693" i="15"/>
  <c r="Z2694" i="15"/>
  <c r="AA2694" i="15"/>
  <c r="AB2694" i="15"/>
  <c r="Z2695" i="15"/>
  <c r="AA2695" i="15"/>
  <c r="AB2695" i="15"/>
  <c r="Z2696" i="15"/>
  <c r="AA2696" i="15"/>
  <c r="AB2696" i="15"/>
  <c r="AB2697" i="15"/>
  <c r="Z2686" i="15"/>
  <c r="AA2686" i="15"/>
  <c r="AB2686" i="15"/>
  <c r="Z2687" i="15"/>
  <c r="AA2687" i="15"/>
  <c r="AB2687" i="15"/>
  <c r="Z2688" i="15"/>
  <c r="AB2688" i="15"/>
  <c r="Z2689" i="15"/>
  <c r="AB2689" i="15"/>
  <c r="Z2685" i="15"/>
  <c r="AA2685" i="15"/>
  <c r="AB2685" i="15"/>
  <c r="Z2683" i="15"/>
  <c r="AA2683" i="15"/>
  <c r="AB2683" i="15"/>
  <c r="Z2684" i="15"/>
  <c r="AA2684" i="15"/>
  <c r="AB2684" i="15"/>
  <c r="AB2682" i="15"/>
  <c r="AB2681" i="15"/>
  <c r="AB2678" i="15"/>
  <c r="AB2679" i="15"/>
  <c r="AB2680" i="15"/>
  <c r="AB2670" i="15"/>
  <c r="AB2671" i="15"/>
  <c r="AB2672" i="15"/>
  <c r="AB2673" i="15"/>
  <c r="AB2674" i="15"/>
  <c r="AB2675" i="15"/>
  <c r="AB2676" i="15"/>
  <c r="AB2677" i="15"/>
  <c r="AB2668" i="15"/>
  <c r="AB2669" i="15"/>
  <c r="AB2662" i="15"/>
  <c r="Z2663" i="15"/>
  <c r="AA2663" i="15"/>
  <c r="AB2663" i="15"/>
  <c r="Z2664" i="15"/>
  <c r="AA2664" i="15"/>
  <c r="AB2664" i="15"/>
  <c r="AB2665" i="15"/>
  <c r="AB2666" i="15"/>
  <c r="AB2667" i="15"/>
  <c r="Z2661" i="15"/>
  <c r="AB2661" i="15"/>
  <c r="AB2659" i="15"/>
  <c r="AB2660" i="15"/>
  <c r="Z2654" i="15"/>
  <c r="AB2654" i="15"/>
  <c r="Z2655" i="15"/>
  <c r="AB2655" i="15"/>
  <c r="AB2656" i="15"/>
  <c r="AB2657" i="15"/>
  <c r="AB2658" i="15"/>
  <c r="AB2652" i="15"/>
  <c r="AB2653" i="15"/>
  <c r="AB2641" i="15"/>
  <c r="AB2642" i="15"/>
  <c r="AB2643" i="15"/>
  <c r="AB2644" i="15"/>
  <c r="AB2645" i="15"/>
  <c r="AB2646" i="15"/>
  <c r="AB2647" i="15"/>
  <c r="AB2648" i="15"/>
  <c r="AB2649" i="15"/>
  <c r="AB2650" i="15"/>
  <c r="AB2651" i="15"/>
  <c r="Z2629" i="15"/>
  <c r="AB2629" i="15"/>
  <c r="Z2630" i="15"/>
  <c r="AB2630" i="15"/>
  <c r="Z2631" i="15"/>
  <c r="AB2631" i="15"/>
  <c r="Z2632" i="15"/>
  <c r="AB2632" i="15"/>
  <c r="Z2633" i="15"/>
  <c r="AB2633" i="15"/>
  <c r="Z2634" i="15"/>
  <c r="AB2634" i="15"/>
  <c r="Z2635" i="15"/>
  <c r="AB2635" i="15"/>
  <c r="Z2636" i="15"/>
  <c r="AB2636" i="15"/>
  <c r="Z2637" i="15"/>
  <c r="AB2637" i="15"/>
  <c r="Z2638" i="15"/>
  <c r="AB2638" i="15"/>
  <c r="AB2639" i="15"/>
  <c r="AB2640" i="15"/>
  <c r="AB2623" i="15"/>
  <c r="AB2624" i="15"/>
  <c r="AB2625" i="15"/>
  <c r="AB2626" i="15"/>
  <c r="AB2627" i="15"/>
  <c r="AB2628" i="15"/>
  <c r="AB2621" i="15"/>
  <c r="AB2622" i="15"/>
  <c r="AB2619" i="15"/>
  <c r="AB2620" i="15"/>
  <c r="AB2607" i="15"/>
  <c r="AB2608" i="15"/>
  <c r="AB2609" i="15"/>
  <c r="AB2610" i="15"/>
  <c r="AB2611" i="15"/>
  <c r="AB2612" i="15"/>
  <c r="AB2613" i="15"/>
  <c r="AB2614" i="15"/>
  <c r="AB2615" i="15"/>
  <c r="AB2616" i="15"/>
  <c r="AB2617" i="15"/>
  <c r="AB2618" i="15"/>
  <c r="AB2597" i="15"/>
  <c r="AB2598" i="15"/>
  <c r="AB2599" i="15"/>
  <c r="AB2600" i="15"/>
  <c r="AB2601" i="15"/>
  <c r="AB2602" i="15"/>
  <c r="AB2603" i="15"/>
  <c r="AB2604" i="15"/>
  <c r="AB2605" i="15"/>
  <c r="AB2606" i="15"/>
  <c r="AB2593" i="15"/>
  <c r="AB2594" i="15"/>
  <c r="AB2595" i="15"/>
  <c r="AB2596" i="15"/>
  <c r="Z2592" i="15"/>
  <c r="AB2592" i="15"/>
  <c r="AB2586" i="15"/>
  <c r="AB2587" i="15"/>
  <c r="AB2588" i="15"/>
  <c r="AB2589" i="15"/>
  <c r="AB2590" i="15"/>
  <c r="AB2591" i="15"/>
  <c r="Y2866" i="15"/>
  <c r="Y2867" i="15"/>
  <c r="Y2868" i="15"/>
  <c r="Y2869" i="15"/>
  <c r="Y2870" i="15"/>
  <c r="Y2871" i="15"/>
  <c r="W2865" i="15"/>
  <c r="X2865" i="15"/>
  <c r="Y2865" i="15"/>
  <c r="W2859" i="15"/>
  <c r="X2859" i="15"/>
  <c r="Y2859" i="15"/>
  <c r="W2860" i="15"/>
  <c r="X2860" i="15"/>
  <c r="Y2860" i="15"/>
  <c r="W2861" i="15"/>
  <c r="X2861" i="15"/>
  <c r="Y2861" i="15"/>
  <c r="Y2862" i="15"/>
  <c r="Y2863" i="15"/>
  <c r="Y2864" i="15"/>
  <c r="W2857" i="15"/>
  <c r="X2857" i="15"/>
  <c r="Y2857" i="15"/>
  <c r="W2858" i="15"/>
  <c r="X2858" i="15"/>
  <c r="Y2858" i="15"/>
  <c r="W2847" i="15"/>
  <c r="Y2847" i="15"/>
  <c r="W2848" i="15"/>
  <c r="Y2848" i="15"/>
  <c r="W2849" i="15"/>
  <c r="Y2849" i="15"/>
  <c r="W2850" i="15"/>
  <c r="Y2850" i="15"/>
  <c r="W2851" i="15"/>
  <c r="Y2851" i="15"/>
  <c r="W2852" i="15"/>
  <c r="Y2852" i="15"/>
  <c r="W2853" i="15"/>
  <c r="X2853" i="15"/>
  <c r="Y2853" i="15"/>
  <c r="W2854" i="15"/>
  <c r="X2854" i="15"/>
  <c r="Y2854" i="15"/>
  <c r="W2855" i="15"/>
  <c r="Y2855" i="15"/>
  <c r="W2856" i="15"/>
  <c r="Y2856" i="15"/>
  <c r="W2842" i="15"/>
  <c r="X2842" i="15"/>
  <c r="Y2842" i="15"/>
  <c r="W2843" i="15"/>
  <c r="X2843" i="15"/>
  <c r="Y2843" i="15"/>
  <c r="W2844" i="15"/>
  <c r="X2844" i="15"/>
  <c r="Y2844" i="15"/>
  <c r="W2845" i="15"/>
  <c r="X2845" i="15"/>
  <c r="Y2845" i="15"/>
  <c r="W2846" i="15"/>
  <c r="X2846" i="15"/>
  <c r="Y2846" i="15"/>
  <c r="Y2840" i="15"/>
  <c r="Y2841" i="15"/>
  <c r="Y2839" i="15"/>
  <c r="W2836" i="15"/>
  <c r="Y2836" i="15"/>
  <c r="W2837" i="15"/>
  <c r="Y2837" i="15"/>
  <c r="W2838" i="15"/>
  <c r="Y2838" i="15"/>
  <c r="W2834" i="15"/>
  <c r="X2834" i="15"/>
  <c r="Y2834" i="15"/>
  <c r="W2835" i="15"/>
  <c r="X2835" i="15"/>
  <c r="Y2835" i="15"/>
  <c r="Y2830" i="15"/>
  <c r="W2831" i="15"/>
  <c r="X2831" i="15"/>
  <c r="Y2831" i="15"/>
  <c r="W2832" i="15"/>
  <c r="X2832" i="15"/>
  <c r="Y2832" i="15"/>
  <c r="W2833" i="15"/>
  <c r="X2833" i="15"/>
  <c r="Y2833" i="15"/>
  <c r="Y2820" i="15"/>
  <c r="Y2821" i="15"/>
  <c r="Y2822" i="15"/>
  <c r="Y2823" i="15"/>
  <c r="Y2824" i="15"/>
  <c r="Y2825" i="15"/>
  <c r="Y2826" i="15"/>
  <c r="Y2827" i="15"/>
  <c r="Y2828" i="15"/>
  <c r="Y2829" i="15"/>
  <c r="Y2742" i="15"/>
  <c r="Y2743" i="15"/>
  <c r="Y2744" i="15"/>
  <c r="Y2745" i="15"/>
  <c r="W2746" i="15"/>
  <c r="X2746" i="15"/>
  <c r="Y2746" i="15"/>
  <c r="W2747" i="15"/>
  <c r="X2747" i="15"/>
  <c r="Y2747" i="15"/>
  <c r="W2748" i="15"/>
  <c r="X2748" i="15"/>
  <c r="Y2748" i="15"/>
  <c r="W2749" i="15"/>
  <c r="X2749" i="15"/>
  <c r="Y2749" i="15"/>
  <c r="W2750" i="15"/>
  <c r="X2750" i="15"/>
  <c r="Y2750" i="15"/>
  <c r="W2751" i="15"/>
  <c r="X2751" i="15"/>
  <c r="Y2751" i="15"/>
  <c r="Y2752" i="15"/>
  <c r="Y2753" i="15"/>
  <c r="Y2754" i="15"/>
  <c r="Y2755" i="15"/>
  <c r="Y2756" i="15"/>
  <c r="Y2757" i="15"/>
  <c r="Y2758" i="15"/>
  <c r="Y2759" i="15"/>
  <c r="Y2760" i="15"/>
  <c r="Y2761" i="15"/>
  <c r="Y2762" i="15"/>
  <c r="Y2763" i="15"/>
  <c r="Y2764" i="15"/>
  <c r="Y2765" i="15"/>
  <c r="Y2766" i="15"/>
  <c r="Y2767" i="15"/>
  <c r="Y2768" i="15"/>
  <c r="Y2769" i="15"/>
  <c r="Y2770" i="15"/>
  <c r="Y2771" i="15"/>
  <c r="Y2772" i="15"/>
  <c r="Y2773" i="15"/>
  <c r="Y2774" i="15"/>
  <c r="Y2775" i="15"/>
  <c r="Y2776" i="15"/>
  <c r="Y2777" i="15"/>
  <c r="Y2778" i="15"/>
  <c r="Y2779" i="15"/>
  <c r="Y2780" i="15"/>
  <c r="Y2781" i="15"/>
  <c r="Y2782" i="15"/>
  <c r="Y2783" i="15"/>
  <c r="Y2784" i="15"/>
  <c r="Y2785" i="15"/>
  <c r="Y2786" i="15"/>
  <c r="Y2787" i="15"/>
  <c r="W2788" i="15"/>
  <c r="Y2788" i="15"/>
  <c r="W2789" i="15"/>
  <c r="Y2789" i="15"/>
  <c r="W2790" i="15"/>
  <c r="Y2790" i="15"/>
  <c r="W2791" i="15"/>
  <c r="Y2791" i="15"/>
  <c r="W2792" i="15"/>
  <c r="Y2792" i="15"/>
  <c r="W2793" i="15"/>
  <c r="Y2793" i="15"/>
  <c r="W2794" i="15"/>
  <c r="Y2794" i="15"/>
  <c r="W2795" i="15"/>
  <c r="Y2795" i="15"/>
  <c r="W2796" i="15"/>
  <c r="Y2796" i="15"/>
  <c r="W2797" i="15"/>
  <c r="Y2797" i="15"/>
  <c r="W2798" i="15"/>
  <c r="Y2798" i="15"/>
  <c r="W2799" i="15"/>
  <c r="Y2799" i="15"/>
  <c r="W2800" i="15"/>
  <c r="Y2800" i="15"/>
  <c r="W2801" i="15"/>
  <c r="Y2801" i="15"/>
  <c r="W2802" i="15"/>
  <c r="Y2802" i="15"/>
  <c r="Y2803" i="15"/>
  <c r="Y2804" i="15"/>
  <c r="Y2805" i="15"/>
  <c r="Y2806" i="15"/>
  <c r="Y2807" i="15"/>
  <c r="Y2808" i="15"/>
  <c r="Y2809" i="15"/>
  <c r="Y2810" i="15"/>
  <c r="Y2811" i="15"/>
  <c r="Y2812" i="15"/>
  <c r="Y2813" i="15"/>
  <c r="Y2814" i="15"/>
  <c r="Y2815" i="15"/>
  <c r="Y2816" i="15"/>
  <c r="Y2817" i="15"/>
  <c r="Y2818" i="15"/>
  <c r="Y2819" i="15"/>
  <c r="Y2737" i="15"/>
  <c r="Y2738" i="15"/>
  <c r="Y2739" i="15"/>
  <c r="Y2740" i="15"/>
  <c r="Y2741" i="15"/>
  <c r="Y2731" i="15"/>
  <c r="W2732" i="15"/>
  <c r="X2732" i="15"/>
  <c r="Y2732" i="15"/>
  <c r="W2733" i="15"/>
  <c r="X2733" i="15"/>
  <c r="Y2733" i="15"/>
  <c r="W2734" i="15"/>
  <c r="Y2734" i="15"/>
  <c r="W2735" i="15"/>
  <c r="Y2735" i="15"/>
  <c r="Y2736" i="15"/>
  <c r="Y2721" i="15"/>
  <c r="Y2722" i="15"/>
  <c r="Y2723" i="15"/>
  <c r="Y2724" i="15"/>
  <c r="Y2725" i="15"/>
  <c r="Y2726" i="15"/>
  <c r="Y2727" i="15"/>
  <c r="Y2728" i="15"/>
  <c r="W2729" i="15"/>
  <c r="Y2729" i="15"/>
  <c r="W2730" i="15"/>
  <c r="Y2730" i="15"/>
  <c r="Y2718" i="15"/>
  <c r="W2719" i="15"/>
  <c r="Y2719" i="15"/>
  <c r="W2720" i="15"/>
  <c r="Y2720" i="15"/>
  <c r="Y2714" i="15"/>
  <c r="Y2715" i="15"/>
  <c r="Y2716" i="15"/>
  <c r="Y2717" i="15"/>
  <c r="Y2711" i="15"/>
  <c r="Y2712" i="15"/>
  <c r="Y2713" i="15"/>
  <c r="Y2708" i="15"/>
  <c r="Y2709" i="15"/>
  <c r="Y2710" i="15"/>
  <c r="Y2702" i="15"/>
  <c r="Y2703" i="15"/>
  <c r="Y2704" i="15"/>
  <c r="Y2705" i="15"/>
  <c r="Y2706" i="15"/>
  <c r="Y2707" i="15"/>
  <c r="Y2686" i="15"/>
  <c r="Y2687" i="15"/>
  <c r="Y2688" i="15"/>
  <c r="Y2689" i="15"/>
  <c r="Y2690" i="15"/>
  <c r="Y2691" i="15"/>
  <c r="Y2692" i="15"/>
  <c r="Y2693" i="15"/>
  <c r="Y2694" i="15"/>
  <c r="Y2695" i="15"/>
  <c r="Y2696" i="15"/>
  <c r="Y2697" i="15"/>
  <c r="Y2698" i="15"/>
  <c r="Y2699" i="15"/>
  <c r="Y2700" i="15"/>
  <c r="Y2701" i="15"/>
  <c r="Y2667" i="15"/>
  <c r="Y2668" i="15"/>
  <c r="Y2669" i="15"/>
  <c r="Y2670" i="15"/>
  <c r="Y2671" i="15"/>
  <c r="Y2672" i="15"/>
  <c r="Y2673" i="15"/>
  <c r="W2674" i="15"/>
  <c r="Y2674" i="15"/>
  <c r="W2675" i="15"/>
  <c r="Y2675" i="15"/>
  <c r="W2676" i="15"/>
  <c r="Y2676" i="15"/>
  <c r="W2677" i="15"/>
  <c r="Y2677" i="15"/>
  <c r="W2678" i="15"/>
  <c r="Y2678" i="15"/>
  <c r="W2679" i="15"/>
  <c r="Y2679" i="15"/>
  <c r="W2680" i="15"/>
  <c r="Y2680" i="15"/>
  <c r="W2681" i="15"/>
  <c r="Y2681" i="15"/>
  <c r="W2682" i="15"/>
  <c r="Y2682" i="15"/>
  <c r="W2683" i="15"/>
  <c r="Y2683" i="15"/>
  <c r="Y2684" i="15"/>
  <c r="Y2685" i="15"/>
  <c r="Y2651" i="15"/>
  <c r="Y2652" i="15"/>
  <c r="Y2653" i="15"/>
  <c r="Y2654" i="15"/>
  <c r="Y2655" i="15"/>
  <c r="Y2656" i="15"/>
  <c r="Y2657" i="15"/>
  <c r="Y2658" i="15"/>
  <c r="Y2646" i="15"/>
  <c r="Y2647" i="15"/>
  <c r="Y2648" i="15"/>
  <c r="Y2649" i="15"/>
  <c r="Y2650" i="15"/>
  <c r="Y2637" i="15"/>
  <c r="Y2638" i="15"/>
  <c r="Y2639" i="15"/>
  <c r="Y2640" i="15"/>
  <c r="Y2641" i="15"/>
  <c r="Y2642" i="15"/>
  <c r="Y2643" i="15"/>
  <c r="Y2644" i="15"/>
  <c r="Y2645" i="15"/>
  <c r="Y2634" i="15"/>
  <c r="Y2635" i="15"/>
  <c r="Y2636" i="15"/>
  <c r="Y2616" i="15"/>
  <c r="Y2617" i="15"/>
  <c r="Y2618" i="15"/>
  <c r="Y2619" i="15"/>
  <c r="Y2620" i="15"/>
  <c r="Y2621" i="15"/>
  <c r="Y2622" i="15"/>
  <c r="Y2623" i="15"/>
  <c r="Y2624" i="15"/>
  <c r="Y2625" i="15"/>
  <c r="Y2626" i="15"/>
  <c r="Y2627" i="15"/>
  <c r="Y2628" i="15"/>
  <c r="Y2629" i="15"/>
  <c r="Y2630" i="15"/>
  <c r="Y2631" i="15"/>
  <c r="Y2632" i="15"/>
  <c r="Y2633" i="15"/>
  <c r="Y2598" i="15"/>
  <c r="Y2599" i="15"/>
  <c r="Y2600" i="15"/>
  <c r="Y2601" i="15"/>
  <c r="Y2602" i="15"/>
  <c r="Y2603" i="15"/>
  <c r="Y2604" i="15"/>
  <c r="Y2605" i="15"/>
  <c r="Y2606" i="15"/>
  <c r="Y2607" i="15"/>
  <c r="Y2608" i="15"/>
  <c r="Y2609" i="15"/>
  <c r="Y2610" i="15"/>
  <c r="Y2611" i="15"/>
  <c r="Y2612" i="15"/>
  <c r="Y2613" i="15"/>
  <c r="W2614" i="15"/>
  <c r="X2614" i="15"/>
  <c r="Y2614" i="15"/>
  <c r="W2615" i="15"/>
  <c r="Y2615" i="15"/>
  <c r="Y2586" i="15"/>
  <c r="Y2587" i="15"/>
  <c r="W2588" i="15"/>
  <c r="X2588" i="15"/>
  <c r="Y2588" i="15"/>
  <c r="W2589" i="15"/>
  <c r="X2589" i="15"/>
  <c r="Y2589" i="15"/>
  <c r="W2590" i="15"/>
  <c r="X2590" i="15"/>
  <c r="Y2590" i="15"/>
  <c r="W2591" i="15"/>
  <c r="X2591" i="15"/>
  <c r="Y2591" i="15"/>
  <c r="Y2592" i="15"/>
  <c r="Y2593" i="15"/>
  <c r="Y2594" i="15"/>
  <c r="Y2595" i="15"/>
  <c r="Y2596" i="15"/>
  <c r="Y2597" i="15"/>
  <c r="V2866" i="15"/>
  <c r="V2867" i="15"/>
  <c r="V2868" i="15"/>
  <c r="V2869" i="15"/>
  <c r="V2870" i="15"/>
  <c r="V2871" i="15"/>
  <c r="T2865" i="15"/>
  <c r="U2865" i="15"/>
  <c r="V2865" i="15"/>
  <c r="T2859" i="15"/>
  <c r="U2859" i="15"/>
  <c r="V2859" i="15"/>
  <c r="T2860" i="15"/>
  <c r="U2860" i="15"/>
  <c r="V2860" i="15"/>
  <c r="T2861" i="15"/>
  <c r="U2861" i="15"/>
  <c r="V2861" i="15"/>
  <c r="V2862" i="15"/>
  <c r="V2863" i="15"/>
  <c r="V2864" i="15"/>
  <c r="T2857" i="15"/>
  <c r="U2857" i="15"/>
  <c r="V2857" i="15"/>
  <c r="T2858" i="15"/>
  <c r="U2858" i="15"/>
  <c r="V2858" i="15"/>
  <c r="T2847" i="15"/>
  <c r="V2847" i="15"/>
  <c r="T2848" i="15"/>
  <c r="V2848" i="15"/>
  <c r="T2849" i="15"/>
  <c r="V2849" i="15"/>
  <c r="T2850" i="15"/>
  <c r="V2850" i="15"/>
  <c r="T2851" i="15"/>
  <c r="V2851" i="15"/>
  <c r="T2852" i="15"/>
  <c r="V2852" i="15"/>
  <c r="T2853" i="15"/>
  <c r="U2853" i="15"/>
  <c r="V2853" i="15"/>
  <c r="T2854" i="15"/>
  <c r="U2854" i="15"/>
  <c r="V2854" i="15"/>
  <c r="T2855" i="15"/>
  <c r="V2855" i="15"/>
  <c r="T2856" i="15"/>
  <c r="V2856" i="15"/>
  <c r="T2842" i="15"/>
  <c r="U2842" i="15"/>
  <c r="V2842" i="15"/>
  <c r="T2843" i="15"/>
  <c r="U2843" i="15"/>
  <c r="V2843" i="15"/>
  <c r="T2844" i="15"/>
  <c r="U2844" i="15"/>
  <c r="V2844" i="15"/>
  <c r="T2845" i="15"/>
  <c r="U2845" i="15"/>
  <c r="V2845" i="15"/>
  <c r="T2846" i="15"/>
  <c r="U2846" i="15"/>
  <c r="V2846" i="15"/>
  <c r="V2840" i="15"/>
  <c r="V2841" i="15"/>
  <c r="V2839" i="15"/>
  <c r="T2836" i="15"/>
  <c r="V2836" i="15"/>
  <c r="T2837" i="15"/>
  <c r="V2837" i="15"/>
  <c r="T2838" i="15"/>
  <c r="V2838" i="15"/>
  <c r="T2834" i="15"/>
  <c r="U2834" i="15"/>
  <c r="V2834" i="15"/>
  <c r="T2835" i="15"/>
  <c r="U2835" i="15"/>
  <c r="V2835" i="15"/>
  <c r="V2830" i="15"/>
  <c r="T2831" i="15"/>
  <c r="U2831" i="15"/>
  <c r="V2831" i="15"/>
  <c r="T2832" i="15"/>
  <c r="U2832" i="15"/>
  <c r="V2832" i="15"/>
  <c r="T2833" i="15"/>
  <c r="U2833" i="15"/>
  <c r="V2833" i="15"/>
  <c r="V2820" i="15"/>
  <c r="V2821" i="15"/>
  <c r="V2822" i="15"/>
  <c r="V2823" i="15"/>
  <c r="V2824" i="15"/>
  <c r="V2825" i="15"/>
  <c r="V2826" i="15"/>
  <c r="V2827" i="15"/>
  <c r="V2828" i="15"/>
  <c r="V2829" i="15"/>
  <c r="V2742" i="15"/>
  <c r="V2743" i="15"/>
  <c r="V2744" i="15"/>
  <c r="V2745" i="15"/>
  <c r="T2746" i="15"/>
  <c r="U2746" i="15"/>
  <c r="V2746" i="15"/>
  <c r="T2747" i="15"/>
  <c r="U2747" i="15"/>
  <c r="V2747" i="15"/>
  <c r="T2748" i="15"/>
  <c r="U2748" i="15"/>
  <c r="V2748" i="15"/>
  <c r="T2749" i="15"/>
  <c r="U2749" i="15"/>
  <c r="V2749" i="15"/>
  <c r="T2750" i="15"/>
  <c r="U2750" i="15"/>
  <c r="V2750" i="15"/>
  <c r="T2751" i="15"/>
  <c r="U2751" i="15"/>
  <c r="V2751" i="15"/>
  <c r="V2752" i="15"/>
  <c r="V2753" i="15"/>
  <c r="V2754" i="15"/>
  <c r="V2755" i="15"/>
  <c r="V2756" i="15"/>
  <c r="V2757" i="15"/>
  <c r="V2758" i="15"/>
  <c r="V2759" i="15"/>
  <c r="V2760" i="15"/>
  <c r="V2761" i="15"/>
  <c r="V2762" i="15"/>
  <c r="V2763" i="15"/>
  <c r="V2764" i="15"/>
  <c r="V2765" i="15"/>
  <c r="V2766" i="15"/>
  <c r="V2767" i="15"/>
  <c r="V2768" i="15"/>
  <c r="V2769" i="15"/>
  <c r="V2770" i="15"/>
  <c r="V2771" i="15"/>
  <c r="V2772" i="15"/>
  <c r="V2773" i="15"/>
  <c r="V2774" i="15"/>
  <c r="V2775" i="15"/>
  <c r="V2776" i="15"/>
  <c r="V2777" i="15"/>
  <c r="V2778" i="15"/>
  <c r="V2779" i="15"/>
  <c r="V2780" i="15"/>
  <c r="V2781" i="15"/>
  <c r="V2782" i="15"/>
  <c r="V2783" i="15"/>
  <c r="V2784" i="15"/>
  <c r="V2785" i="15"/>
  <c r="V2786" i="15"/>
  <c r="V2787" i="15"/>
  <c r="T2788" i="15"/>
  <c r="V2788" i="15"/>
  <c r="T2789" i="15"/>
  <c r="V2789" i="15"/>
  <c r="T2790" i="15"/>
  <c r="V2790" i="15"/>
  <c r="T2791" i="15"/>
  <c r="V2791" i="15"/>
  <c r="T2792" i="15"/>
  <c r="V2792" i="15"/>
  <c r="T2793" i="15"/>
  <c r="V2793" i="15"/>
  <c r="T2794" i="15"/>
  <c r="V2794" i="15"/>
  <c r="T2795" i="15"/>
  <c r="V2795" i="15"/>
  <c r="T2796" i="15"/>
  <c r="V2796" i="15"/>
  <c r="T2797" i="15"/>
  <c r="V2797" i="15"/>
  <c r="T2798" i="15"/>
  <c r="V2798" i="15"/>
  <c r="T2799" i="15"/>
  <c r="V2799" i="15"/>
  <c r="T2800" i="15"/>
  <c r="V2800" i="15"/>
  <c r="T2801" i="15"/>
  <c r="V2801" i="15"/>
  <c r="T2802" i="15"/>
  <c r="V2802" i="15"/>
  <c r="V2803" i="15"/>
  <c r="V2804" i="15"/>
  <c r="V2805" i="15"/>
  <c r="V2806" i="15"/>
  <c r="V2807" i="15"/>
  <c r="V2808" i="15"/>
  <c r="V2809" i="15"/>
  <c r="V2810" i="15"/>
  <c r="V2811" i="15"/>
  <c r="V2812" i="15"/>
  <c r="V2813" i="15"/>
  <c r="V2814" i="15"/>
  <c r="V2815" i="15"/>
  <c r="V2816" i="15"/>
  <c r="V2817" i="15"/>
  <c r="V2818" i="15"/>
  <c r="V2819" i="15"/>
  <c r="V2737" i="15"/>
  <c r="V2738" i="15"/>
  <c r="V2739" i="15"/>
  <c r="V2740" i="15"/>
  <c r="V2741" i="15"/>
  <c r="V2731" i="15"/>
  <c r="T2732" i="15"/>
  <c r="U2732" i="15"/>
  <c r="V2732" i="15"/>
  <c r="T2733" i="15"/>
  <c r="U2733" i="15"/>
  <c r="V2733" i="15"/>
  <c r="T2734" i="15"/>
  <c r="V2734" i="15"/>
  <c r="T2735" i="15"/>
  <c r="V2735" i="15"/>
  <c r="V2736" i="15"/>
  <c r="T2721" i="15"/>
  <c r="V2721" i="15"/>
  <c r="V2722" i="15"/>
  <c r="V2723" i="15"/>
  <c r="V2724" i="15"/>
  <c r="V2725" i="15"/>
  <c r="V2726" i="15"/>
  <c r="V2727" i="15"/>
  <c r="V2728" i="15"/>
  <c r="T2729" i="15"/>
  <c r="V2729" i="15"/>
  <c r="T2730" i="15"/>
  <c r="V2730" i="15"/>
  <c r="V2718" i="15"/>
  <c r="V2719" i="15"/>
  <c r="V2720" i="15"/>
  <c r="V2714" i="15"/>
  <c r="V2715" i="15"/>
  <c r="V2716" i="15"/>
  <c r="V2717" i="15"/>
  <c r="V2711" i="15"/>
  <c r="V2712" i="15"/>
  <c r="V2713" i="15"/>
  <c r="V2708" i="15"/>
  <c r="V2709" i="15"/>
  <c r="V2710" i="15"/>
  <c r="V2702" i="15"/>
  <c r="V2703" i="15"/>
  <c r="V2704" i="15"/>
  <c r="V2705" i="15"/>
  <c r="V2706" i="15"/>
  <c r="V2707" i="15"/>
  <c r="V2686" i="15"/>
  <c r="V2687" i="15"/>
  <c r="V2688" i="15"/>
  <c r="V2689" i="15"/>
  <c r="V2690" i="15"/>
  <c r="V2691" i="15"/>
  <c r="V2692" i="15"/>
  <c r="V2693" i="15"/>
  <c r="V2694" i="15"/>
  <c r="V2695" i="15"/>
  <c r="V2696" i="15"/>
  <c r="V2697" i="15"/>
  <c r="V2698" i="15"/>
  <c r="V2699" i="15"/>
  <c r="V2700" i="15"/>
  <c r="V2701" i="15"/>
  <c r="V2667" i="15"/>
  <c r="V2668" i="15"/>
  <c r="V2669" i="15"/>
  <c r="V2670" i="15"/>
  <c r="V2671" i="15"/>
  <c r="V2672" i="15"/>
  <c r="V2673" i="15"/>
  <c r="T2674" i="15"/>
  <c r="V2674" i="15"/>
  <c r="T2675" i="15"/>
  <c r="V2675" i="15"/>
  <c r="T2676" i="15"/>
  <c r="V2676" i="15"/>
  <c r="T2677" i="15"/>
  <c r="V2677" i="15"/>
  <c r="T2678" i="15"/>
  <c r="V2678" i="15"/>
  <c r="T2679" i="15"/>
  <c r="V2679" i="15"/>
  <c r="T2680" i="15"/>
  <c r="V2680" i="15"/>
  <c r="T2681" i="15"/>
  <c r="V2681" i="15"/>
  <c r="T2682" i="15"/>
  <c r="V2682" i="15"/>
  <c r="T2683" i="15"/>
  <c r="V2683" i="15"/>
  <c r="V2684" i="15"/>
  <c r="V2685" i="15"/>
  <c r="V2651" i="15"/>
  <c r="V2652" i="15"/>
  <c r="V2653" i="15"/>
  <c r="V2654" i="15"/>
  <c r="V2655" i="15"/>
  <c r="V2656" i="15"/>
  <c r="V2657" i="15"/>
  <c r="V2658" i="15"/>
  <c r="V2646" i="15"/>
  <c r="V2647" i="15"/>
  <c r="V2648" i="15"/>
  <c r="V2649" i="15"/>
  <c r="V2650" i="15"/>
  <c r="V2637" i="15"/>
  <c r="V2638" i="15"/>
  <c r="V2639" i="15"/>
  <c r="V2640" i="15"/>
  <c r="V2641" i="15"/>
  <c r="V2642" i="15"/>
  <c r="V2643" i="15"/>
  <c r="V2644" i="15"/>
  <c r="V2645" i="15"/>
  <c r="V2634" i="15"/>
  <c r="V2635" i="15"/>
  <c r="V2636" i="15"/>
  <c r="V2616" i="15"/>
  <c r="V2617" i="15"/>
  <c r="V2618" i="15"/>
  <c r="V2619" i="15"/>
  <c r="V2620" i="15"/>
  <c r="V2621" i="15"/>
  <c r="V2622" i="15"/>
  <c r="V2623" i="15"/>
  <c r="V2624" i="15"/>
  <c r="V2625" i="15"/>
  <c r="V2626" i="15"/>
  <c r="V2627" i="15"/>
  <c r="V2628" i="15"/>
  <c r="V2629" i="15"/>
  <c r="V2630" i="15"/>
  <c r="V2631" i="15"/>
  <c r="V2632" i="15"/>
  <c r="V2633" i="15"/>
  <c r="V2598" i="15"/>
  <c r="V2599" i="15"/>
  <c r="V2600" i="15"/>
  <c r="V2601" i="15"/>
  <c r="V2602" i="15"/>
  <c r="V2603" i="15"/>
  <c r="V2604" i="15"/>
  <c r="V2605" i="15"/>
  <c r="V2606" i="15"/>
  <c r="V2607" i="15"/>
  <c r="V2608" i="15"/>
  <c r="V2609" i="15"/>
  <c r="V2610" i="15"/>
  <c r="V2611" i="15"/>
  <c r="V2612" i="15"/>
  <c r="V2613" i="15"/>
  <c r="T2614" i="15"/>
  <c r="U2614" i="15"/>
  <c r="V2614" i="15"/>
  <c r="T2615" i="15"/>
  <c r="V2615" i="15"/>
  <c r="T2586" i="15"/>
  <c r="U2586" i="15"/>
  <c r="V2586" i="15"/>
  <c r="T2587" i="15"/>
  <c r="U2587" i="15"/>
  <c r="V2587" i="15"/>
  <c r="T2588" i="15"/>
  <c r="U2588" i="15"/>
  <c r="V2588" i="15"/>
  <c r="T2589" i="15"/>
  <c r="U2589" i="15"/>
  <c r="V2589" i="15"/>
  <c r="T2590" i="15"/>
  <c r="U2590" i="15"/>
  <c r="V2590" i="15"/>
  <c r="T2591" i="15"/>
  <c r="U2591" i="15"/>
  <c r="V2591" i="15"/>
  <c r="V2592" i="15"/>
  <c r="V2593" i="15"/>
  <c r="V2594" i="15"/>
  <c r="V2595" i="15"/>
  <c r="V2596" i="15"/>
  <c r="V2597" i="15"/>
  <c r="Q2702" i="15"/>
  <c r="R2702" i="15"/>
  <c r="S2702" i="15"/>
  <c r="Q2703" i="15"/>
  <c r="S2703" i="15"/>
  <c r="R2694" i="15"/>
  <c r="S2694" i="15"/>
  <c r="R2695" i="15"/>
  <c r="S2695" i="15"/>
  <c r="S2696" i="15"/>
  <c r="S2697" i="15"/>
  <c r="S2698" i="15"/>
  <c r="S2699" i="15"/>
  <c r="Q2700" i="15"/>
  <c r="R2700" i="15"/>
  <c r="S2700" i="15"/>
  <c r="Q2701" i="15"/>
  <c r="R2701" i="15"/>
  <c r="S2701" i="15"/>
  <c r="Q2692" i="15"/>
  <c r="R2692" i="15"/>
  <c r="S2692" i="15"/>
  <c r="Q2693" i="15"/>
  <c r="R2693" i="15"/>
  <c r="S2693" i="15"/>
  <c r="S2681" i="15"/>
  <c r="S2682" i="15"/>
  <c r="S2683" i="15"/>
  <c r="S2684" i="15"/>
  <c r="S2685" i="15"/>
  <c r="Q2686" i="15"/>
  <c r="R2686" i="15"/>
  <c r="S2686" i="15"/>
  <c r="Q2687" i="15"/>
  <c r="R2687" i="15"/>
  <c r="S2687" i="15"/>
  <c r="Q2688" i="15"/>
  <c r="R2688" i="15"/>
  <c r="S2688" i="15"/>
  <c r="Q2689" i="15"/>
  <c r="R2689" i="15"/>
  <c r="S2689" i="15"/>
  <c r="Q2690" i="15"/>
  <c r="R2690" i="15"/>
  <c r="S2690" i="15"/>
  <c r="Q2691" i="15"/>
  <c r="R2691" i="15"/>
  <c r="S2691" i="15"/>
  <c r="S2679" i="15"/>
  <c r="S2680" i="15"/>
  <c r="Q2675" i="15"/>
  <c r="S2675" i="15"/>
  <c r="Q2676" i="15"/>
  <c r="S2676" i="15"/>
  <c r="Q2677" i="15"/>
  <c r="S2677" i="15"/>
  <c r="Q2678" i="15"/>
  <c r="S2678" i="15"/>
  <c r="S2654" i="15"/>
  <c r="S2655" i="15"/>
  <c r="S2656" i="15"/>
  <c r="S2657" i="15"/>
  <c r="S2658" i="15"/>
  <c r="S2659" i="15"/>
  <c r="S2660" i="15"/>
  <c r="S2661" i="15"/>
  <c r="S2662" i="15"/>
  <c r="S2663" i="15"/>
  <c r="S2664" i="15"/>
  <c r="S2665" i="15"/>
  <c r="S2666" i="15"/>
  <c r="S2667" i="15"/>
  <c r="S2668" i="15"/>
  <c r="S2669" i="15"/>
  <c r="S2670" i="15"/>
  <c r="S2671" i="15"/>
  <c r="S2672" i="15"/>
  <c r="S2673" i="15"/>
  <c r="S2674" i="15"/>
  <c r="S2652" i="15"/>
  <c r="S2653" i="15"/>
  <c r="S2648" i="15"/>
  <c r="S2649" i="15"/>
  <c r="S2650" i="15"/>
  <c r="S2651" i="15"/>
  <c r="S2639" i="15"/>
  <c r="S2640" i="15"/>
  <c r="S2641" i="15"/>
  <c r="S2642" i="15"/>
  <c r="S2643" i="15"/>
  <c r="S2644" i="15"/>
  <c r="S2645" i="15"/>
  <c r="S2646" i="15"/>
  <c r="S2647" i="15"/>
  <c r="Q2637" i="15"/>
  <c r="S2637" i="15"/>
  <c r="Q2638" i="15"/>
  <c r="S2638" i="15"/>
  <c r="S2631" i="15"/>
  <c r="S2632" i="15"/>
  <c r="S2633" i="15"/>
  <c r="S2634" i="15"/>
  <c r="Q2635" i="15"/>
  <c r="S2635" i="15"/>
  <c r="Q2636" i="15"/>
  <c r="S2636" i="15"/>
  <c r="S2627" i="15"/>
  <c r="S2628" i="15"/>
  <c r="S2629" i="15"/>
  <c r="S2630" i="15"/>
  <c r="Q2621" i="15"/>
  <c r="S2621" i="15"/>
  <c r="Q2622" i="15"/>
  <c r="S2622" i="15"/>
  <c r="Q2623" i="15"/>
  <c r="S2623" i="15"/>
  <c r="Q2624" i="15"/>
  <c r="S2624" i="15"/>
  <c r="Q2625" i="15"/>
  <c r="S2625" i="15"/>
  <c r="Q2626" i="15"/>
  <c r="S2626" i="15"/>
  <c r="S2615" i="15"/>
  <c r="S2616" i="15"/>
  <c r="S2617" i="15"/>
  <c r="S2618" i="15"/>
  <c r="S2619" i="15"/>
  <c r="S2620" i="15"/>
  <c r="S2609" i="15"/>
  <c r="S2610" i="15"/>
  <c r="S2611" i="15"/>
  <c r="S2612" i="15"/>
  <c r="S2613" i="15"/>
  <c r="S2614" i="15"/>
  <c r="S2591" i="15"/>
  <c r="S2592" i="15"/>
  <c r="S2593" i="15"/>
  <c r="S2594" i="15"/>
  <c r="S2595" i="15"/>
  <c r="S2596" i="15"/>
  <c r="S2597" i="15"/>
  <c r="S2598" i="15"/>
  <c r="S2599" i="15"/>
  <c r="S2600" i="15"/>
  <c r="S2601" i="15"/>
  <c r="S2602" i="15"/>
  <c r="S2603" i="15"/>
  <c r="S2604" i="15"/>
  <c r="S2605" i="15"/>
  <c r="S2606" i="15"/>
  <c r="S2607" i="15"/>
  <c r="S2608" i="15"/>
  <c r="S2588" i="15"/>
  <c r="S2589" i="15"/>
  <c r="Q2590" i="15"/>
  <c r="R2590" i="15"/>
  <c r="S2590" i="15"/>
  <c r="S2586" i="15"/>
  <c r="S2587" i="15"/>
  <c r="N2702" i="15"/>
  <c r="O2702" i="15"/>
  <c r="P2702" i="15"/>
  <c r="N2703" i="15"/>
  <c r="P2703" i="15"/>
  <c r="O2694" i="15"/>
  <c r="P2694" i="15"/>
  <c r="O2695" i="15"/>
  <c r="P2695" i="15"/>
  <c r="P2696" i="15"/>
  <c r="P2697" i="15"/>
  <c r="P2698" i="15"/>
  <c r="P2699" i="15"/>
  <c r="N2700" i="15"/>
  <c r="O2700" i="15"/>
  <c r="P2700" i="15"/>
  <c r="N2701" i="15"/>
  <c r="O2701" i="15"/>
  <c r="P2701" i="15"/>
  <c r="N2692" i="15"/>
  <c r="O2692" i="15"/>
  <c r="P2692" i="15"/>
  <c r="N2693" i="15"/>
  <c r="O2693" i="15"/>
  <c r="P2693" i="15"/>
  <c r="P2681" i="15"/>
  <c r="P2682" i="15"/>
  <c r="P2683" i="15"/>
  <c r="P2684" i="15"/>
  <c r="P2685" i="15"/>
  <c r="N2686" i="15"/>
  <c r="O2686" i="15"/>
  <c r="P2686" i="15"/>
  <c r="N2687" i="15"/>
  <c r="O2687" i="15"/>
  <c r="P2687" i="15"/>
  <c r="N2688" i="15"/>
  <c r="O2688" i="15"/>
  <c r="P2688" i="15"/>
  <c r="N2689" i="15"/>
  <c r="O2689" i="15"/>
  <c r="P2689" i="15"/>
  <c r="N2690" i="15"/>
  <c r="O2690" i="15"/>
  <c r="P2690" i="15"/>
  <c r="N2691" i="15"/>
  <c r="O2691" i="15"/>
  <c r="P2691" i="15"/>
  <c r="P2679" i="15"/>
  <c r="P2680" i="15"/>
  <c r="N2675" i="15"/>
  <c r="P2675" i="15"/>
  <c r="N2676" i="15"/>
  <c r="P2676" i="15"/>
  <c r="N2677" i="15"/>
  <c r="P2677" i="15"/>
  <c r="N2678" i="15"/>
  <c r="P2678" i="15"/>
  <c r="P2654" i="15"/>
  <c r="P2655" i="15"/>
  <c r="P2656" i="15"/>
  <c r="P2657" i="15"/>
  <c r="P2658" i="15"/>
  <c r="P2659" i="15"/>
  <c r="P2660" i="15"/>
  <c r="P2661" i="15"/>
  <c r="P2662" i="15"/>
  <c r="P2663" i="15"/>
  <c r="P2664" i="15"/>
  <c r="P2665" i="15"/>
  <c r="P2666" i="15"/>
  <c r="P2667" i="15"/>
  <c r="P2668" i="15"/>
  <c r="P2669" i="15"/>
  <c r="P2670" i="15"/>
  <c r="P2671" i="15"/>
  <c r="P2672" i="15"/>
  <c r="P2673" i="15"/>
  <c r="P2674" i="15"/>
  <c r="P2652" i="15"/>
  <c r="P2653" i="15"/>
  <c r="P2648" i="15"/>
  <c r="P2649" i="15"/>
  <c r="P2650" i="15"/>
  <c r="P2651" i="15"/>
  <c r="P2639" i="15"/>
  <c r="P2640" i="15"/>
  <c r="P2641" i="15"/>
  <c r="P2642" i="15"/>
  <c r="P2643" i="15"/>
  <c r="P2644" i="15"/>
  <c r="P2645" i="15"/>
  <c r="P2646" i="15"/>
  <c r="P2647" i="15"/>
  <c r="N2637" i="15"/>
  <c r="P2637" i="15"/>
  <c r="N2638" i="15"/>
  <c r="P2638" i="15"/>
  <c r="P2631" i="15"/>
  <c r="P2632" i="15"/>
  <c r="P2633" i="15"/>
  <c r="P2634" i="15"/>
  <c r="P2635" i="15"/>
  <c r="P2636" i="15"/>
  <c r="P2627" i="15"/>
  <c r="P2628" i="15"/>
  <c r="P2629" i="15"/>
  <c r="P2630" i="15"/>
  <c r="N2621" i="15"/>
  <c r="P2621" i="15"/>
  <c r="N2622" i="15"/>
  <c r="P2622" i="15"/>
  <c r="N2623" i="15"/>
  <c r="P2623" i="15"/>
  <c r="N2624" i="15"/>
  <c r="P2624" i="15"/>
  <c r="N2625" i="15"/>
  <c r="P2625" i="15"/>
  <c r="N2626" i="15"/>
  <c r="P2626" i="15"/>
  <c r="P2615" i="15"/>
  <c r="P2616" i="15"/>
  <c r="P2617" i="15"/>
  <c r="P2618" i="15"/>
  <c r="P2619" i="15"/>
  <c r="P2620" i="15"/>
  <c r="P2609" i="15"/>
  <c r="P2610" i="15"/>
  <c r="P2611" i="15"/>
  <c r="P2612" i="15"/>
  <c r="P2613" i="15"/>
  <c r="P2614" i="15"/>
  <c r="P2591" i="15"/>
  <c r="P2592" i="15"/>
  <c r="P2593" i="15"/>
  <c r="P2594" i="15"/>
  <c r="P2595" i="15"/>
  <c r="P2596" i="15"/>
  <c r="P2597" i="15"/>
  <c r="P2598" i="15"/>
  <c r="P2599" i="15"/>
  <c r="P2600" i="15"/>
  <c r="P2601" i="15"/>
  <c r="P2602" i="15"/>
  <c r="P2603" i="15"/>
  <c r="P2604" i="15"/>
  <c r="P2605" i="15"/>
  <c r="P2606" i="15"/>
  <c r="P2607" i="15"/>
  <c r="P2608" i="15"/>
  <c r="P2588" i="15"/>
  <c r="P2589" i="15"/>
  <c r="N2590" i="15"/>
  <c r="O2590" i="15"/>
  <c r="P2590" i="15"/>
  <c r="P2586" i="15"/>
  <c r="P2587" i="15"/>
  <c r="K2667" i="15"/>
  <c r="L2667" i="15"/>
  <c r="M2667" i="15"/>
  <c r="K2668" i="15"/>
  <c r="M2668" i="15"/>
  <c r="L2659" i="15"/>
  <c r="M2659" i="15"/>
  <c r="L2660" i="15"/>
  <c r="M2660" i="15"/>
  <c r="M2661" i="15"/>
  <c r="M2662" i="15"/>
  <c r="M2663" i="15"/>
  <c r="M2664" i="15"/>
  <c r="M2665" i="15"/>
  <c r="M2666" i="15"/>
  <c r="K2657" i="15"/>
  <c r="L2657" i="15"/>
  <c r="M2657" i="15"/>
  <c r="K2658" i="15"/>
  <c r="L2658" i="15"/>
  <c r="M2658" i="15"/>
  <c r="M2652" i="15"/>
  <c r="M2653" i="15"/>
  <c r="M2654" i="15"/>
  <c r="M2655" i="15"/>
  <c r="M2656" i="15"/>
  <c r="M2650" i="15"/>
  <c r="M2651" i="15"/>
  <c r="M2629" i="15"/>
  <c r="M2630" i="15"/>
  <c r="M2631" i="15"/>
  <c r="M2632" i="15"/>
  <c r="M2633" i="15"/>
  <c r="M2634" i="15"/>
  <c r="M2635" i="15"/>
  <c r="M2636" i="15"/>
  <c r="M2637" i="15"/>
  <c r="M2638" i="15"/>
  <c r="M2639" i="15"/>
  <c r="M2640" i="15"/>
  <c r="M2641" i="15"/>
  <c r="M2642" i="15"/>
  <c r="M2643" i="15"/>
  <c r="M2644" i="15"/>
  <c r="M2645" i="15"/>
  <c r="M2646" i="15"/>
  <c r="M2647" i="15"/>
  <c r="M2648" i="15"/>
  <c r="M2649" i="15"/>
  <c r="M2628" i="15"/>
  <c r="M2624" i="15"/>
  <c r="M2625" i="15"/>
  <c r="M2626" i="15"/>
  <c r="M2627" i="15"/>
  <c r="M2620" i="15"/>
  <c r="M2621" i="15"/>
  <c r="M2622" i="15"/>
  <c r="M2623" i="15"/>
  <c r="M2618" i="15"/>
  <c r="M2619" i="15"/>
  <c r="M2612" i="15"/>
  <c r="M2613" i="15"/>
  <c r="M2614" i="15"/>
  <c r="M2615" i="15"/>
  <c r="M2616" i="15"/>
  <c r="M2617" i="15"/>
  <c r="M2606" i="15"/>
  <c r="M2607" i="15"/>
  <c r="M2608" i="15"/>
  <c r="M2609" i="15"/>
  <c r="M2610" i="15"/>
  <c r="M2611" i="15"/>
  <c r="M2588" i="15"/>
  <c r="M2589" i="15"/>
  <c r="M2590" i="15"/>
  <c r="M2591" i="15"/>
  <c r="M2592" i="15"/>
  <c r="M2593" i="15"/>
  <c r="M2594" i="15"/>
  <c r="M2595" i="15"/>
  <c r="M2596" i="15"/>
  <c r="M2597" i="15"/>
  <c r="M2598" i="15"/>
  <c r="M2599" i="15"/>
  <c r="M2600" i="15"/>
  <c r="M2601" i="15"/>
  <c r="M2602" i="15"/>
  <c r="M2603" i="15"/>
  <c r="M2604" i="15"/>
  <c r="M2605" i="15"/>
  <c r="M2586" i="15"/>
  <c r="M2587" i="15"/>
  <c r="H2667" i="15"/>
  <c r="I2667" i="15"/>
  <c r="J2667" i="15"/>
  <c r="H2668" i="15"/>
  <c r="J2668" i="15"/>
  <c r="I2659" i="15"/>
  <c r="J2659" i="15"/>
  <c r="I2660" i="15"/>
  <c r="J2660" i="15"/>
  <c r="J2661" i="15"/>
  <c r="J2662" i="15"/>
  <c r="J2663" i="15"/>
  <c r="J2664" i="15"/>
  <c r="J2665" i="15"/>
  <c r="J2666" i="15"/>
  <c r="H2657" i="15"/>
  <c r="I2657" i="15"/>
  <c r="J2657" i="15"/>
  <c r="H2658" i="15"/>
  <c r="I2658" i="15"/>
  <c r="J2658" i="15"/>
  <c r="J2652" i="15"/>
  <c r="J2653" i="15"/>
  <c r="J2654" i="15"/>
  <c r="J2655" i="15"/>
  <c r="J2656" i="15"/>
  <c r="J2650" i="15"/>
  <c r="J2651" i="15"/>
  <c r="J2629" i="15"/>
  <c r="J2630" i="15"/>
  <c r="J2631" i="15"/>
  <c r="J2632" i="15"/>
  <c r="J2633" i="15"/>
  <c r="J2634" i="15"/>
  <c r="J2635" i="15"/>
  <c r="J2636" i="15"/>
  <c r="J2637" i="15"/>
  <c r="J2638" i="15"/>
  <c r="J2639" i="15"/>
  <c r="J2640" i="15"/>
  <c r="J2641" i="15"/>
  <c r="J2642" i="15"/>
  <c r="J2643" i="15"/>
  <c r="J2644" i="15"/>
  <c r="J2645" i="15"/>
  <c r="J2646" i="15"/>
  <c r="J2647" i="15"/>
  <c r="J2648" i="15"/>
  <c r="J2649" i="15"/>
  <c r="J2628" i="15"/>
  <c r="J2624" i="15"/>
  <c r="J2625" i="15"/>
  <c r="J2626" i="15"/>
  <c r="J2627" i="15"/>
  <c r="J2620" i="15"/>
  <c r="J2621" i="15"/>
  <c r="J2622" i="15"/>
  <c r="J2623" i="15"/>
  <c r="J2618" i="15"/>
  <c r="J2619" i="15"/>
  <c r="J2612" i="15"/>
  <c r="J2613" i="15"/>
  <c r="J2614" i="15"/>
  <c r="J2615" i="15"/>
  <c r="J2616" i="15"/>
  <c r="J2617" i="15"/>
  <c r="J2606" i="15"/>
  <c r="J2607" i="15"/>
  <c r="J2608" i="15"/>
  <c r="J2609" i="15"/>
  <c r="J2610" i="15"/>
  <c r="J2611" i="15"/>
  <c r="J2588" i="15"/>
  <c r="J2589" i="15"/>
  <c r="J2590" i="15"/>
  <c r="J2591" i="15"/>
  <c r="J2592" i="15"/>
  <c r="J2593" i="15"/>
  <c r="J2594" i="15"/>
  <c r="J2595" i="15"/>
  <c r="J2596" i="15"/>
  <c r="J2597" i="15"/>
  <c r="J2598" i="15"/>
  <c r="J2599" i="15"/>
  <c r="J2600" i="15"/>
  <c r="J2601" i="15"/>
  <c r="J2602" i="15"/>
  <c r="J2603" i="15"/>
  <c r="J2604" i="15"/>
  <c r="J2605" i="15"/>
  <c r="J2586" i="15"/>
  <c r="J2587" i="15"/>
  <c r="E2667" i="15"/>
  <c r="F2667" i="15"/>
  <c r="G2667" i="15"/>
  <c r="E2668" i="15"/>
  <c r="G2668" i="15"/>
  <c r="F2659" i="15"/>
  <c r="G2659" i="15"/>
  <c r="F2660" i="15"/>
  <c r="G2660" i="15"/>
  <c r="G2661" i="15"/>
  <c r="G2662" i="15"/>
  <c r="G2663" i="15"/>
  <c r="G2664" i="15"/>
  <c r="E2665" i="15"/>
  <c r="F2665" i="15"/>
  <c r="G2665" i="15"/>
  <c r="E2666" i="15"/>
  <c r="F2666" i="15"/>
  <c r="G2666" i="15"/>
  <c r="E2657" i="15"/>
  <c r="F2657" i="15"/>
  <c r="G2657" i="15"/>
  <c r="E2658" i="15"/>
  <c r="F2658" i="15"/>
  <c r="G2658" i="15"/>
  <c r="G2652" i="15"/>
  <c r="G2653" i="15"/>
  <c r="G2654" i="15"/>
  <c r="G2655" i="15"/>
  <c r="G2656" i="15"/>
  <c r="G2650" i="15"/>
  <c r="G2651" i="15"/>
  <c r="G2629" i="15"/>
  <c r="G2630" i="15"/>
  <c r="G2631" i="15"/>
  <c r="G2632" i="15"/>
  <c r="G2633" i="15"/>
  <c r="G2634" i="15"/>
  <c r="G2635" i="15"/>
  <c r="G2636" i="15"/>
  <c r="G2637" i="15"/>
  <c r="G2638" i="15"/>
  <c r="G2639" i="15"/>
  <c r="G2640" i="15"/>
  <c r="G2641" i="15"/>
  <c r="G2642" i="15"/>
  <c r="G2643" i="15"/>
  <c r="G2644" i="15"/>
  <c r="G2645" i="15"/>
  <c r="G2646" i="15"/>
  <c r="G2647" i="15"/>
  <c r="G2648" i="15"/>
  <c r="G2649" i="15"/>
  <c r="G2628" i="15"/>
  <c r="G2624" i="15"/>
  <c r="G2625" i="15"/>
  <c r="G2626" i="15"/>
  <c r="G2627" i="15"/>
  <c r="G2620" i="15"/>
  <c r="G2621" i="15"/>
  <c r="G2622" i="15"/>
  <c r="G2623" i="15"/>
  <c r="G2618" i="15"/>
  <c r="G2619" i="15"/>
  <c r="G2612" i="15"/>
  <c r="G2613" i="15"/>
  <c r="G2614" i="15"/>
  <c r="G2615" i="15"/>
  <c r="G2616" i="15"/>
  <c r="G2617" i="15"/>
  <c r="G2606" i="15"/>
  <c r="G2607" i="15"/>
  <c r="G2608" i="15"/>
  <c r="G2609" i="15"/>
  <c r="G2610" i="15"/>
  <c r="G2611" i="15"/>
  <c r="G2588" i="15"/>
  <c r="G2589" i="15"/>
  <c r="G2590" i="15"/>
  <c r="G2591" i="15"/>
  <c r="G2592" i="15"/>
  <c r="G2593" i="15"/>
  <c r="G2594" i="15"/>
  <c r="G2595" i="15"/>
  <c r="G2596" i="15"/>
  <c r="G2597" i="15"/>
  <c r="G2598" i="15"/>
  <c r="G2599" i="15"/>
  <c r="G2600" i="15"/>
  <c r="G2601" i="15"/>
  <c r="G2602" i="15"/>
  <c r="G2603" i="15"/>
  <c r="G2604" i="15"/>
  <c r="G2605" i="15"/>
  <c r="G2586" i="15"/>
  <c r="G2587" i="15"/>
  <c r="B2667" i="15"/>
  <c r="D2667" i="15"/>
  <c r="B2668" i="15"/>
  <c r="D2668" i="15"/>
  <c r="C2659" i="15"/>
  <c r="D2659" i="15"/>
  <c r="C2660" i="15"/>
  <c r="D2660" i="15"/>
  <c r="D2661" i="15"/>
  <c r="D2662" i="15"/>
  <c r="D2663" i="15"/>
  <c r="D2664" i="15"/>
  <c r="B2665" i="15"/>
  <c r="C2665" i="15"/>
  <c r="D2665" i="15"/>
  <c r="B2666" i="15"/>
  <c r="C2666" i="15"/>
  <c r="D2666" i="15"/>
  <c r="B2657" i="15"/>
  <c r="C2657" i="15"/>
  <c r="D2657" i="15"/>
  <c r="B2658" i="15"/>
  <c r="C2658" i="15"/>
  <c r="D2658" i="15"/>
  <c r="D2652" i="15"/>
  <c r="D2653" i="15"/>
  <c r="D2654" i="15"/>
  <c r="D2655" i="15"/>
  <c r="D2656" i="15"/>
  <c r="D2650" i="15"/>
  <c r="D2651" i="15"/>
  <c r="D2629" i="15"/>
  <c r="D2630" i="15"/>
  <c r="D2631" i="15"/>
  <c r="D2632" i="15"/>
  <c r="D2633" i="15"/>
  <c r="D2634" i="15"/>
  <c r="D2635" i="15"/>
  <c r="D2636" i="15"/>
  <c r="D2637" i="15"/>
  <c r="D2638" i="15"/>
  <c r="D2639" i="15"/>
  <c r="D2640" i="15"/>
  <c r="D2641" i="15"/>
  <c r="D2642" i="15"/>
  <c r="D2643" i="15"/>
  <c r="D2644" i="15"/>
  <c r="D2645" i="15"/>
  <c r="D2646" i="15"/>
  <c r="D2647" i="15"/>
  <c r="D2648" i="15"/>
  <c r="D2649" i="15"/>
  <c r="D2628" i="15"/>
  <c r="D2624" i="15"/>
  <c r="D2625" i="15"/>
  <c r="D2626" i="15"/>
  <c r="D2627" i="15"/>
  <c r="D2620" i="15"/>
  <c r="D2621" i="15"/>
  <c r="D2622" i="15"/>
  <c r="D2623" i="15"/>
  <c r="D2618" i="15"/>
  <c r="D2619" i="15"/>
  <c r="D2612" i="15"/>
  <c r="D2613" i="15"/>
  <c r="D2614" i="15"/>
  <c r="D2615" i="15"/>
  <c r="D2616" i="15"/>
  <c r="D2617" i="15"/>
  <c r="D2606" i="15"/>
  <c r="D2607" i="15"/>
  <c r="D2608" i="15"/>
  <c r="D2609" i="15"/>
  <c r="D2610" i="15"/>
  <c r="D2611" i="15"/>
  <c r="D2588" i="15"/>
  <c r="D2589" i="15"/>
  <c r="D2590" i="15"/>
  <c r="D2591" i="15"/>
  <c r="D2592" i="15"/>
  <c r="D2593" i="15"/>
  <c r="D2594" i="15"/>
  <c r="D2595" i="15"/>
  <c r="D2596" i="15"/>
  <c r="D2597" i="15"/>
  <c r="D2598" i="15"/>
  <c r="D2599" i="15"/>
  <c r="D2600" i="15"/>
  <c r="D2601" i="15"/>
  <c r="D2602" i="15"/>
  <c r="D2603" i="15"/>
  <c r="D2604" i="15"/>
  <c r="D2605" i="15"/>
  <c r="D2586" i="15"/>
  <c r="D2587" i="15"/>
  <c r="AI2582" i="15"/>
  <c r="AK2582" i="15"/>
  <c r="AF2582" i="15"/>
  <c r="AH2582" i="15"/>
  <c r="AI2581" i="15"/>
  <c r="AJ2581" i="15"/>
  <c r="AK2581" i="15"/>
  <c r="AF2581" i="15"/>
  <c r="AG2581" i="15"/>
  <c r="AH2581" i="15"/>
  <c r="AI2580" i="15"/>
  <c r="AK2580" i="15"/>
  <c r="AF2580" i="15"/>
  <c r="AH2580" i="15"/>
  <c r="AK2577" i="15"/>
  <c r="AK2578" i="15"/>
  <c r="AK2579" i="15"/>
  <c r="AK2574" i="15"/>
  <c r="AK2575" i="15"/>
  <c r="AK2576" i="15"/>
  <c r="AH2574" i="15"/>
  <c r="AF2575" i="15"/>
  <c r="AG2575" i="15"/>
  <c r="AH2575" i="15"/>
  <c r="AH2576" i="15"/>
  <c r="AI2572" i="15"/>
  <c r="AK2572" i="15"/>
  <c r="AI2573" i="15"/>
  <c r="AK2573" i="15"/>
  <c r="AF2572" i="15"/>
  <c r="AH2572" i="15"/>
  <c r="AF2573" i="15"/>
  <c r="AH2573" i="15"/>
  <c r="AI2570" i="15"/>
  <c r="AK2570" i="15"/>
  <c r="AI2571" i="15"/>
  <c r="AK2571" i="15"/>
  <c r="AF2570" i="15"/>
  <c r="AH2570" i="15"/>
  <c r="AF2571" i="15"/>
  <c r="AH2571" i="15"/>
  <c r="AI2566" i="15"/>
  <c r="AK2566" i="15"/>
  <c r="AI2567" i="15"/>
  <c r="AK2567" i="15"/>
  <c r="AI2568" i="15"/>
  <c r="AK2568" i="15"/>
  <c r="AI2569" i="15"/>
  <c r="AK2569" i="15"/>
  <c r="AF2566" i="15"/>
  <c r="AH2566" i="15"/>
  <c r="AF2567" i="15"/>
  <c r="AH2567" i="15"/>
  <c r="AF2568" i="15"/>
  <c r="AH2568" i="15"/>
  <c r="AF2569" i="15"/>
  <c r="AH2569" i="15"/>
  <c r="AK2565" i="15"/>
  <c r="AH2565" i="15"/>
  <c r="AI2563" i="15"/>
  <c r="AJ2563" i="15"/>
  <c r="AK2563" i="15"/>
  <c r="AI2564" i="15"/>
  <c r="AJ2564" i="15"/>
  <c r="AK2564" i="15"/>
  <c r="AH2563" i="15"/>
  <c r="AH2564" i="15"/>
  <c r="AE2569" i="15"/>
  <c r="AE2570" i="15"/>
  <c r="AB2569" i="15"/>
  <c r="AB2570" i="15"/>
  <c r="AE2567" i="15"/>
  <c r="AE2568" i="15"/>
  <c r="AB2567" i="15"/>
  <c r="AB2568" i="15"/>
  <c r="AE2563" i="15"/>
  <c r="AE2564" i="15"/>
  <c r="AE2565" i="15"/>
  <c r="AE2566" i="15"/>
  <c r="AB2563" i="15"/>
  <c r="AB2564" i="15"/>
  <c r="AB2565" i="15"/>
  <c r="AB2566" i="15"/>
  <c r="Y2582" i="15"/>
  <c r="V2582" i="15"/>
  <c r="W2581" i="15"/>
  <c r="Y2581" i="15"/>
  <c r="T2581" i="15"/>
  <c r="V2581" i="15"/>
  <c r="Y2578" i="15"/>
  <c r="Y2579" i="15"/>
  <c r="Y2580" i="15"/>
  <c r="V2578" i="15"/>
  <c r="V2579" i="15"/>
  <c r="V2580" i="15"/>
  <c r="Y2575" i="15"/>
  <c r="Y2576" i="15"/>
  <c r="Y2577" i="15"/>
  <c r="V2575" i="15"/>
  <c r="V2576" i="15"/>
  <c r="V2577" i="15"/>
  <c r="Y2566" i="15"/>
  <c r="V2566" i="15"/>
  <c r="W2565" i="15"/>
  <c r="X2565" i="15"/>
  <c r="Y2565" i="15"/>
  <c r="T2565" i="15"/>
  <c r="U2565" i="15"/>
  <c r="V2565" i="15"/>
  <c r="Y2563" i="15"/>
  <c r="Y2564" i="15"/>
  <c r="V2563" i="15"/>
  <c r="V2564" i="15"/>
  <c r="S2573" i="15"/>
  <c r="S2574" i="15"/>
  <c r="S2575" i="15"/>
  <c r="S2576" i="15"/>
  <c r="S2577" i="15"/>
  <c r="S2578" i="15"/>
  <c r="P2573" i="15"/>
  <c r="P2574" i="15"/>
  <c r="P2575" i="15"/>
  <c r="P2576" i="15"/>
  <c r="P2577" i="15"/>
  <c r="P2578" i="15"/>
  <c r="S2572" i="15"/>
  <c r="P2572" i="15"/>
  <c r="S2563" i="15"/>
  <c r="S2564" i="15"/>
  <c r="S2565" i="15"/>
  <c r="S2566" i="15"/>
  <c r="S2567" i="15"/>
  <c r="S2568" i="15"/>
  <c r="S2569" i="15"/>
  <c r="S2570" i="15"/>
  <c r="S2571" i="15"/>
  <c r="P2563" i="15"/>
  <c r="P2564" i="15"/>
  <c r="P2565" i="15"/>
  <c r="P2566" i="15"/>
  <c r="P2567" i="15"/>
  <c r="P2568" i="15"/>
  <c r="P2569" i="15"/>
  <c r="P2570" i="15"/>
  <c r="P2571" i="15"/>
  <c r="M2572" i="15"/>
  <c r="M2573" i="15"/>
  <c r="M2574" i="15"/>
  <c r="M2575" i="15"/>
  <c r="K2576" i="15"/>
  <c r="M2576" i="15"/>
  <c r="K2577" i="15"/>
  <c r="M2577" i="15"/>
  <c r="J2572" i="15"/>
  <c r="J2573" i="15"/>
  <c r="J2574" i="15"/>
  <c r="J2575" i="15"/>
  <c r="H2576" i="15"/>
  <c r="J2576" i="15"/>
  <c r="H2577" i="15"/>
  <c r="J2577" i="15"/>
  <c r="M2571" i="15"/>
  <c r="J2571" i="15"/>
  <c r="M2563" i="15"/>
  <c r="M2564" i="15"/>
  <c r="M2565" i="15"/>
  <c r="M2566" i="15"/>
  <c r="M2567" i="15"/>
  <c r="M2568" i="15"/>
  <c r="M2569" i="15"/>
  <c r="M2570" i="15"/>
  <c r="J2563" i="15"/>
  <c r="J2564" i="15"/>
  <c r="J2565" i="15"/>
  <c r="J2566" i="15"/>
  <c r="J2567" i="15"/>
  <c r="J2568" i="15"/>
  <c r="J2569" i="15"/>
  <c r="J2570" i="15"/>
  <c r="G2572" i="15"/>
  <c r="G2573" i="15"/>
  <c r="G2574" i="15"/>
  <c r="G2575" i="15"/>
  <c r="G2576" i="15"/>
  <c r="G2577" i="15"/>
  <c r="D2572" i="15"/>
  <c r="D2573" i="15"/>
  <c r="D2574" i="15"/>
  <c r="D2575" i="15"/>
  <c r="D2576" i="15"/>
  <c r="D2577" i="15"/>
  <c r="G2571" i="15"/>
  <c r="D2571" i="15"/>
  <c r="G2563" i="15"/>
  <c r="G2564" i="15"/>
  <c r="G2565" i="15"/>
  <c r="G2566" i="15"/>
  <c r="G2567" i="15"/>
  <c r="G2568" i="15"/>
  <c r="G2569" i="15"/>
  <c r="G2570" i="15"/>
  <c r="D2563" i="15"/>
  <c r="D2564" i="15"/>
  <c r="D2565" i="15"/>
  <c r="D2566" i="15"/>
  <c r="D2567" i="15"/>
  <c r="D2568" i="15"/>
  <c r="D2569" i="15"/>
  <c r="D2570" i="15"/>
  <c r="AI2552" i="15"/>
  <c r="AK2552" i="15"/>
  <c r="AI2553" i="15"/>
  <c r="AK2553" i="15"/>
  <c r="AI2554" i="15"/>
  <c r="AK2554" i="15"/>
  <c r="AI2555" i="15"/>
  <c r="AK2555" i="15"/>
  <c r="AI2556" i="15"/>
  <c r="AK2556" i="15"/>
  <c r="AI2557" i="15"/>
  <c r="AK2557" i="15"/>
  <c r="AI2548" i="15"/>
  <c r="AK2548" i="15"/>
  <c r="AI2549" i="15"/>
  <c r="AK2549" i="15"/>
  <c r="AI2550" i="15"/>
  <c r="AK2550" i="15"/>
  <c r="AI2551" i="15"/>
  <c r="AK2551" i="15"/>
  <c r="AI2546" i="15"/>
  <c r="AJ2546" i="15"/>
  <c r="AK2546" i="15"/>
  <c r="AI2547" i="15"/>
  <c r="AJ2547" i="15"/>
  <c r="AK2547" i="15"/>
  <c r="AI2544" i="15"/>
  <c r="AJ2544" i="15"/>
  <c r="AK2544" i="15"/>
  <c r="AI2545" i="15"/>
  <c r="AK2545" i="15"/>
  <c r="AI2543" i="15"/>
  <c r="AJ2543" i="15"/>
  <c r="AK2543" i="15"/>
  <c r="AI2538" i="15"/>
  <c r="AK2538" i="15"/>
  <c r="AI2539" i="15"/>
  <c r="AK2539" i="15"/>
  <c r="AI2540" i="15"/>
  <c r="AK2540" i="15"/>
  <c r="AI2541" i="15"/>
  <c r="AK2541" i="15"/>
  <c r="AI2542" i="15"/>
  <c r="AK2542" i="15"/>
  <c r="AI2537" i="15"/>
  <c r="AJ2537" i="15"/>
  <c r="AK2537" i="15"/>
  <c r="AI2536" i="15"/>
  <c r="AJ2536" i="15"/>
  <c r="AK2536" i="15"/>
  <c r="AI2535" i="15"/>
  <c r="AJ2535" i="15"/>
  <c r="AK2535" i="15"/>
  <c r="AI2530" i="15"/>
  <c r="AK2530" i="15"/>
  <c r="AI2531" i="15"/>
  <c r="AJ2531" i="15"/>
  <c r="AK2531" i="15"/>
  <c r="AI2532" i="15"/>
  <c r="AJ2532" i="15"/>
  <c r="AK2532" i="15"/>
  <c r="AI2533" i="15"/>
  <c r="AJ2533" i="15"/>
  <c r="AK2533" i="15"/>
  <c r="AI2534" i="15"/>
  <c r="AJ2534" i="15"/>
  <c r="AK2534" i="15"/>
  <c r="AI2526" i="15"/>
  <c r="AJ2526" i="15"/>
  <c r="AK2526" i="15"/>
  <c r="AI2527" i="15"/>
  <c r="AJ2527" i="15"/>
  <c r="AK2527" i="15"/>
  <c r="AI2528" i="15"/>
  <c r="AJ2528" i="15"/>
  <c r="AK2528" i="15"/>
  <c r="AI2529" i="15"/>
  <c r="AJ2529" i="15"/>
  <c r="AK2529" i="15"/>
  <c r="AI2524" i="15"/>
  <c r="AJ2524" i="15"/>
  <c r="AK2524" i="15"/>
  <c r="AI2525" i="15"/>
  <c r="AJ2525" i="15"/>
  <c r="AK2525" i="15"/>
  <c r="AF2552" i="15"/>
  <c r="AH2552" i="15"/>
  <c r="AF2553" i="15"/>
  <c r="AH2553" i="15"/>
  <c r="AF2554" i="15"/>
  <c r="AH2554" i="15"/>
  <c r="AF2555" i="15"/>
  <c r="AH2555" i="15"/>
  <c r="AF2556" i="15"/>
  <c r="AH2556" i="15"/>
  <c r="AF2557" i="15"/>
  <c r="AH2557" i="15"/>
  <c r="AF2548" i="15"/>
  <c r="AH2548" i="15"/>
  <c r="AF2549" i="15"/>
  <c r="AH2549" i="15"/>
  <c r="AF2550" i="15"/>
  <c r="AH2550" i="15"/>
  <c r="AF2551" i="15"/>
  <c r="AH2551" i="15"/>
  <c r="AF2546" i="15"/>
  <c r="AG2546" i="15"/>
  <c r="AH2546" i="15"/>
  <c r="AF2547" i="15"/>
  <c r="AG2547" i="15"/>
  <c r="AH2547" i="15"/>
  <c r="AF2544" i="15"/>
  <c r="AG2544" i="15"/>
  <c r="AH2544" i="15"/>
  <c r="AF2545" i="15"/>
  <c r="AG2545" i="15"/>
  <c r="AH2545" i="15"/>
  <c r="AF2543" i="15"/>
  <c r="AG2543" i="15"/>
  <c r="AH2543" i="15"/>
  <c r="AF2538" i="15"/>
  <c r="AH2538" i="15"/>
  <c r="AF2539" i="15"/>
  <c r="AH2539" i="15"/>
  <c r="AF2540" i="15"/>
  <c r="AH2540" i="15"/>
  <c r="AF2541" i="15"/>
  <c r="AH2541" i="15"/>
  <c r="AF2542" i="15"/>
  <c r="AH2542" i="15"/>
  <c r="AF2537" i="15"/>
  <c r="AG2537" i="15"/>
  <c r="AH2537" i="15"/>
  <c r="AF2536" i="15"/>
  <c r="AG2536" i="15"/>
  <c r="AH2536" i="15"/>
  <c r="AF2535" i="15"/>
  <c r="AG2535" i="15"/>
  <c r="AH2535" i="15"/>
  <c r="AF2530" i="15"/>
  <c r="AH2530" i="15"/>
  <c r="AF2531" i="15"/>
  <c r="AG2531" i="15"/>
  <c r="AH2531" i="15"/>
  <c r="AF2532" i="15"/>
  <c r="AG2532" i="15"/>
  <c r="AH2532" i="15"/>
  <c r="AF2533" i="15"/>
  <c r="AG2533" i="15"/>
  <c r="AH2533" i="15"/>
  <c r="AF2534" i="15"/>
  <c r="AG2534" i="15"/>
  <c r="AH2534" i="15"/>
  <c r="AF2526" i="15"/>
  <c r="AG2526" i="15"/>
  <c r="AH2526" i="15"/>
  <c r="AF2527" i="15"/>
  <c r="AG2527" i="15"/>
  <c r="AH2527" i="15"/>
  <c r="AF2528" i="15"/>
  <c r="AG2528" i="15"/>
  <c r="AH2528" i="15"/>
  <c r="AF2529" i="15"/>
  <c r="AG2529" i="15"/>
  <c r="AH2529" i="15"/>
  <c r="AH2524" i="15"/>
  <c r="AF2525" i="15"/>
  <c r="AG2525" i="15"/>
  <c r="AH2525" i="15"/>
  <c r="AE2538" i="15"/>
  <c r="AE2539" i="15"/>
  <c r="AB2538" i="15"/>
  <c r="AB2539" i="15"/>
  <c r="AE2536" i="15"/>
  <c r="AE2537" i="15"/>
  <c r="AB2536" i="15"/>
  <c r="AB2537" i="15"/>
  <c r="AE2533" i="15"/>
  <c r="AE2534" i="15"/>
  <c r="AE2535" i="15"/>
  <c r="AB2533" i="15"/>
  <c r="AB2534" i="15"/>
  <c r="AB2535" i="15"/>
  <c r="AE2532" i="15"/>
  <c r="AB2532" i="15"/>
  <c r="AE2531" i="15"/>
  <c r="AB2531" i="15"/>
  <c r="AE2529" i="15"/>
  <c r="AE2530" i="15"/>
  <c r="AB2529" i="15"/>
  <c r="AB2530" i="15"/>
  <c r="AE2526" i="15"/>
  <c r="AE2527" i="15"/>
  <c r="AE2528" i="15"/>
  <c r="AB2526" i="15"/>
  <c r="AB2527" i="15"/>
  <c r="AB2528" i="15"/>
  <c r="AE2524" i="15"/>
  <c r="AE2525" i="15"/>
  <c r="AB2524" i="15"/>
  <c r="AB2525" i="15"/>
  <c r="Y2554" i="15"/>
  <c r="Y2555" i="15"/>
  <c r="Y2556" i="15"/>
  <c r="Y2557" i="15"/>
  <c r="Y2558" i="15"/>
  <c r="Y2559" i="15"/>
  <c r="Y2552" i="15"/>
  <c r="Y2553" i="15"/>
  <c r="Y2551" i="15"/>
  <c r="Y2550" i="15"/>
  <c r="Y2549" i="15"/>
  <c r="Y2548" i="15"/>
  <c r="Y2543" i="15"/>
  <c r="Y2544" i="15"/>
  <c r="Y2545" i="15"/>
  <c r="Y2546" i="15"/>
  <c r="Y2547" i="15"/>
  <c r="W2540" i="15"/>
  <c r="Y2540" i="15"/>
  <c r="W2541" i="15"/>
  <c r="Y2541" i="15"/>
  <c r="Y2542" i="15"/>
  <c r="Y2539" i="15"/>
  <c r="Y2534" i="15"/>
  <c r="Y2535" i="15"/>
  <c r="Y2536" i="15"/>
  <c r="Y2537" i="15"/>
  <c r="Y2538" i="15"/>
  <c r="W2530" i="15"/>
  <c r="X2530" i="15"/>
  <c r="Y2530" i="15"/>
  <c r="Y2531" i="15"/>
  <c r="Y2532" i="15"/>
  <c r="Y2533" i="15"/>
  <c r="Y2528" i="15"/>
  <c r="Y2529" i="15"/>
  <c r="Y2526" i="15"/>
  <c r="Y2527" i="15"/>
  <c r="Y2525" i="15"/>
  <c r="W2524" i="15"/>
  <c r="X2524" i="15"/>
  <c r="Y2524" i="15"/>
  <c r="V2554" i="15"/>
  <c r="V2555" i="15"/>
  <c r="V2556" i="15"/>
  <c r="V2557" i="15"/>
  <c r="V2558" i="15"/>
  <c r="V2559" i="15"/>
  <c r="V2552" i="15"/>
  <c r="V2553" i="15"/>
  <c r="V2551" i="15"/>
  <c r="V2550" i="15"/>
  <c r="V2549" i="15"/>
  <c r="V2548" i="15"/>
  <c r="V2543" i="15"/>
  <c r="V2544" i="15"/>
  <c r="V2545" i="15"/>
  <c r="V2546" i="15"/>
  <c r="V2547" i="15"/>
  <c r="T2540" i="15"/>
  <c r="V2540" i="15"/>
  <c r="T2541" i="15"/>
  <c r="V2541" i="15"/>
  <c r="V2542" i="15"/>
  <c r="T2539" i="15"/>
  <c r="V2539" i="15"/>
  <c r="V2534" i="15"/>
  <c r="V2535" i="15"/>
  <c r="V2536" i="15"/>
  <c r="V2537" i="15"/>
  <c r="V2538" i="15"/>
  <c r="T2530" i="15"/>
  <c r="U2530" i="15"/>
  <c r="V2530" i="15"/>
  <c r="T2531" i="15"/>
  <c r="U2531" i="15"/>
  <c r="V2531" i="15"/>
  <c r="T2532" i="15"/>
  <c r="U2532" i="15"/>
  <c r="V2532" i="15"/>
  <c r="T2533" i="15"/>
  <c r="U2533" i="15"/>
  <c r="V2533" i="15"/>
  <c r="V2528" i="15"/>
  <c r="V2529" i="15"/>
  <c r="V2526" i="15"/>
  <c r="V2527" i="15"/>
  <c r="V2525" i="15"/>
  <c r="T2524" i="15"/>
  <c r="U2524" i="15"/>
  <c r="V2524" i="15"/>
  <c r="S2537" i="15"/>
  <c r="S2538" i="15"/>
  <c r="S2539" i="15"/>
  <c r="S2540" i="15"/>
  <c r="P2537" i="15"/>
  <c r="P2538" i="15"/>
  <c r="P2539" i="15"/>
  <c r="P2540" i="15"/>
  <c r="S2533" i="15"/>
  <c r="S2534" i="15"/>
  <c r="S2535" i="15"/>
  <c r="S2536" i="15"/>
  <c r="P2533" i="15"/>
  <c r="P2534" i="15"/>
  <c r="P2535" i="15"/>
  <c r="P2536" i="15"/>
  <c r="S2528" i="15"/>
  <c r="S2529" i="15"/>
  <c r="S2530" i="15"/>
  <c r="S2531" i="15"/>
  <c r="S2532" i="15"/>
  <c r="P2528" i="15"/>
  <c r="P2529" i="15"/>
  <c r="P2530" i="15"/>
  <c r="P2531" i="15"/>
  <c r="P2532" i="15"/>
  <c r="S2524" i="15"/>
  <c r="S2525" i="15"/>
  <c r="S2526" i="15"/>
  <c r="S2527" i="15"/>
  <c r="P2524" i="15"/>
  <c r="P2525" i="15"/>
  <c r="P2526" i="15"/>
  <c r="P2527" i="15"/>
  <c r="M2528" i="15"/>
  <c r="M2529" i="15"/>
  <c r="M2530" i="15"/>
  <c r="M2531" i="15"/>
  <c r="J2528" i="15"/>
  <c r="J2529" i="15"/>
  <c r="J2530" i="15"/>
  <c r="J2531" i="15"/>
  <c r="M2524" i="15"/>
  <c r="M2525" i="15"/>
  <c r="M2526" i="15"/>
  <c r="M2527" i="15"/>
  <c r="J2524" i="15"/>
  <c r="J2525" i="15"/>
  <c r="J2526" i="15"/>
  <c r="J2527" i="15"/>
  <c r="G2528" i="15"/>
  <c r="G2529" i="15"/>
  <c r="G2530" i="15"/>
  <c r="G2531" i="15"/>
  <c r="D2528" i="15"/>
  <c r="D2529" i="15"/>
  <c r="D2530" i="15"/>
  <c r="D2531" i="15"/>
  <c r="G2524" i="15"/>
  <c r="G2525" i="15"/>
  <c r="G2526" i="15"/>
  <c r="G2527" i="15"/>
  <c r="D2524" i="15"/>
  <c r="D2525" i="15"/>
  <c r="D2526" i="15"/>
  <c r="D2527" i="15"/>
  <c r="AI2520" i="15"/>
  <c r="AJ2520" i="15"/>
  <c r="AK2520" i="15"/>
  <c r="AI2518" i="15"/>
  <c r="AJ2518" i="15"/>
  <c r="AK2518" i="15"/>
  <c r="AI2519" i="15"/>
  <c r="AJ2519" i="15"/>
  <c r="AK2519" i="15"/>
  <c r="AI2517" i="15"/>
  <c r="AJ2517" i="15"/>
  <c r="AK2517" i="15"/>
  <c r="AI2516" i="15"/>
  <c r="AK2516" i="15"/>
  <c r="AI2508" i="15"/>
  <c r="AJ2508" i="15"/>
  <c r="AK2508" i="15"/>
  <c r="AI2509" i="15"/>
  <c r="AJ2509" i="15"/>
  <c r="AK2509" i="15"/>
  <c r="AI2510" i="15"/>
  <c r="AJ2510" i="15"/>
  <c r="AK2510" i="15"/>
  <c r="AI2511" i="15"/>
  <c r="AJ2511" i="15"/>
  <c r="AK2511" i="15"/>
  <c r="AI2512" i="15"/>
  <c r="AJ2512" i="15"/>
  <c r="AK2512" i="15"/>
  <c r="AI2513" i="15"/>
  <c r="AJ2513" i="15"/>
  <c r="AK2513" i="15"/>
  <c r="AI2514" i="15"/>
  <c r="AJ2514" i="15"/>
  <c r="AK2514" i="15"/>
  <c r="AI2515" i="15"/>
  <c r="AJ2515" i="15"/>
  <c r="AK2515" i="15"/>
  <c r="AI2507" i="15"/>
  <c r="AK2507" i="15"/>
  <c r="AI2492" i="15"/>
  <c r="AJ2492" i="15"/>
  <c r="AK2492" i="15"/>
  <c r="AI2493" i="15"/>
  <c r="AJ2493" i="15"/>
  <c r="AK2493" i="15"/>
  <c r="AI2494" i="15"/>
  <c r="AJ2494" i="15"/>
  <c r="AK2494" i="15"/>
  <c r="AI2495" i="15"/>
  <c r="AJ2495" i="15"/>
  <c r="AK2495" i="15"/>
  <c r="AI2496" i="15"/>
  <c r="AJ2496" i="15"/>
  <c r="AK2496" i="15"/>
  <c r="AI2497" i="15"/>
  <c r="AJ2497" i="15"/>
  <c r="AK2497" i="15"/>
  <c r="AI2498" i="15"/>
  <c r="AJ2498" i="15"/>
  <c r="AK2498" i="15"/>
  <c r="AI2499" i="15"/>
  <c r="AJ2499" i="15"/>
  <c r="AK2499" i="15"/>
  <c r="AI2500" i="15"/>
  <c r="AJ2500" i="15"/>
  <c r="AK2500" i="15"/>
  <c r="AK2501" i="15"/>
  <c r="AK2502" i="15"/>
  <c r="AK2503" i="15"/>
  <c r="AK2504" i="15"/>
  <c r="AK2505" i="15"/>
  <c r="AK2506" i="15"/>
  <c r="AI2489" i="15"/>
  <c r="AK2489" i="15"/>
  <c r="AI2490" i="15"/>
  <c r="AK2490" i="15"/>
  <c r="AI2491" i="15"/>
  <c r="AK2491" i="15"/>
  <c r="AI2484" i="15"/>
  <c r="AJ2484" i="15"/>
  <c r="AK2484" i="15"/>
  <c r="AI2485" i="15"/>
  <c r="AJ2485" i="15"/>
  <c r="AK2485" i="15"/>
  <c r="AI2486" i="15"/>
  <c r="AJ2486" i="15"/>
  <c r="AK2486" i="15"/>
  <c r="AI2487" i="15"/>
  <c r="AJ2487" i="15"/>
  <c r="AK2487" i="15"/>
  <c r="AI2488" i="15"/>
  <c r="AJ2488" i="15"/>
  <c r="AK2488" i="15"/>
  <c r="AI2472" i="15"/>
  <c r="AK2472" i="15"/>
  <c r="AI2473" i="15"/>
  <c r="AK2473" i="15"/>
  <c r="AI2474" i="15"/>
  <c r="AK2474" i="15"/>
  <c r="AI2475" i="15"/>
  <c r="AK2475" i="15"/>
  <c r="AI2476" i="15"/>
  <c r="AK2476" i="15"/>
  <c r="AI2477" i="15"/>
  <c r="AK2477" i="15"/>
  <c r="AI2478" i="15"/>
  <c r="AK2478" i="15"/>
  <c r="AI2479" i="15"/>
  <c r="AK2479" i="15"/>
  <c r="AI2480" i="15"/>
  <c r="AK2480" i="15"/>
  <c r="AI2481" i="15"/>
  <c r="AK2481" i="15"/>
  <c r="AI2482" i="15"/>
  <c r="AK2482" i="15"/>
  <c r="AI2483" i="15"/>
  <c r="AK2483" i="15"/>
  <c r="AI2471" i="15"/>
  <c r="AJ2471" i="15"/>
  <c r="AK2471" i="15"/>
  <c r="AI2468" i="15"/>
  <c r="AK2468" i="15"/>
  <c r="AI2469" i="15"/>
  <c r="AK2469" i="15"/>
  <c r="AI2470" i="15"/>
  <c r="AK2470" i="15"/>
  <c r="AI2465" i="15"/>
  <c r="AK2465" i="15"/>
  <c r="AI2466" i="15"/>
  <c r="AK2466" i="15"/>
  <c r="AI2467" i="15"/>
  <c r="AK2467" i="15"/>
  <c r="AI2460" i="15"/>
  <c r="AK2460" i="15"/>
  <c r="AI2461" i="15"/>
  <c r="AK2461" i="15"/>
  <c r="AI2462" i="15"/>
  <c r="AK2462" i="15"/>
  <c r="AI2463" i="15"/>
  <c r="AK2463" i="15"/>
  <c r="AI2464" i="15"/>
  <c r="AK2464" i="15"/>
  <c r="AI2458" i="15"/>
  <c r="AJ2458" i="15"/>
  <c r="AK2458" i="15"/>
  <c r="AI2459" i="15"/>
  <c r="AJ2459" i="15"/>
  <c r="AK2459" i="15"/>
  <c r="AI2456" i="15"/>
  <c r="AK2456" i="15"/>
  <c r="AI2457" i="15"/>
  <c r="AK2457" i="15"/>
  <c r="AI2450" i="15"/>
  <c r="AJ2450" i="15"/>
  <c r="AK2450" i="15"/>
  <c r="AI2451" i="15"/>
  <c r="AJ2451" i="15"/>
  <c r="AK2451" i="15"/>
  <c r="AI2452" i="15"/>
  <c r="AJ2452" i="15"/>
  <c r="AK2452" i="15"/>
  <c r="AI2453" i="15"/>
  <c r="AJ2453" i="15"/>
  <c r="AK2453" i="15"/>
  <c r="AI2454" i="15"/>
  <c r="AK2454" i="15"/>
  <c r="AI2455" i="15"/>
  <c r="AK2455" i="15"/>
  <c r="AK2438" i="15"/>
  <c r="AK2439" i="15"/>
  <c r="AK2440" i="15"/>
  <c r="AK2441" i="15"/>
  <c r="AK2442" i="15"/>
  <c r="AK2443" i="15"/>
  <c r="AK2444" i="15"/>
  <c r="AK2445" i="15"/>
  <c r="AK2446" i="15"/>
  <c r="AK2447" i="15"/>
  <c r="AK2448" i="15"/>
  <c r="AK2449" i="15"/>
  <c r="AI2433" i="15"/>
  <c r="AK2433" i="15"/>
  <c r="AI2434" i="15"/>
  <c r="AK2434" i="15"/>
  <c r="AI2435" i="15"/>
  <c r="AJ2435" i="15"/>
  <c r="AK2435" i="15"/>
  <c r="AI2436" i="15"/>
  <c r="AJ2436" i="15"/>
  <c r="AK2436" i="15"/>
  <c r="AI2437" i="15"/>
  <c r="AJ2437" i="15"/>
  <c r="AK2437" i="15"/>
  <c r="AI2427" i="15"/>
  <c r="AK2427" i="15"/>
  <c r="AI2428" i="15"/>
  <c r="AK2428" i="15"/>
  <c r="AI2429" i="15"/>
  <c r="AK2429" i="15"/>
  <c r="AI2430" i="15"/>
  <c r="AK2430" i="15"/>
  <c r="AI2431" i="15"/>
  <c r="AK2431" i="15"/>
  <c r="AI2432" i="15"/>
  <c r="AK2432" i="15"/>
  <c r="AK2419" i="15"/>
  <c r="AK2420" i="15"/>
  <c r="AK2421" i="15"/>
  <c r="AK2422" i="15"/>
  <c r="AI2423" i="15"/>
  <c r="AJ2423" i="15"/>
  <c r="AK2423" i="15"/>
  <c r="AI2424" i="15"/>
  <c r="AJ2424" i="15"/>
  <c r="AK2424" i="15"/>
  <c r="AI2425" i="15"/>
  <c r="AJ2425" i="15"/>
  <c r="AK2425" i="15"/>
  <c r="AI2426" i="15"/>
  <c r="AJ2426" i="15"/>
  <c r="AK2426" i="15"/>
  <c r="AI2415" i="15"/>
  <c r="AK2415" i="15"/>
  <c r="AI2416" i="15"/>
  <c r="AJ2416" i="15"/>
  <c r="AK2416" i="15"/>
  <c r="AI2417" i="15"/>
  <c r="AJ2417" i="15"/>
  <c r="AK2417" i="15"/>
  <c r="AI2418" i="15"/>
  <c r="AJ2418" i="15"/>
  <c r="AK2418" i="15"/>
  <c r="AI2410" i="15"/>
  <c r="AK2410" i="15"/>
  <c r="AI2411" i="15"/>
  <c r="AK2411" i="15"/>
  <c r="AI2412" i="15"/>
  <c r="AK2412" i="15"/>
  <c r="AI2413" i="15"/>
  <c r="AJ2413" i="15"/>
  <c r="AK2413" i="15"/>
  <c r="AI2414" i="15"/>
  <c r="AJ2414" i="15"/>
  <c r="AK2414" i="15"/>
  <c r="AI2409" i="15"/>
  <c r="AJ2409" i="15"/>
  <c r="AK2409" i="15"/>
  <c r="AI2407" i="15"/>
  <c r="AJ2407" i="15"/>
  <c r="AK2407" i="15"/>
  <c r="AI2408" i="15"/>
  <c r="AJ2408" i="15"/>
  <c r="AK2408" i="15"/>
  <c r="AF2520" i="15"/>
  <c r="AG2520" i="15"/>
  <c r="AH2520" i="15"/>
  <c r="AF2518" i="15"/>
  <c r="AG2518" i="15"/>
  <c r="AH2518" i="15"/>
  <c r="AF2519" i="15"/>
  <c r="AG2519" i="15"/>
  <c r="AH2519" i="15"/>
  <c r="AF2517" i="15"/>
  <c r="AG2517" i="15"/>
  <c r="AH2517" i="15"/>
  <c r="AF2516" i="15"/>
  <c r="AH2516" i="15"/>
  <c r="AF2508" i="15"/>
  <c r="AG2508" i="15"/>
  <c r="AH2508" i="15"/>
  <c r="AF2509" i="15"/>
  <c r="AG2509" i="15"/>
  <c r="AH2509" i="15"/>
  <c r="AF2510" i="15"/>
  <c r="AG2510" i="15"/>
  <c r="AH2510" i="15"/>
  <c r="AF2511" i="15"/>
  <c r="AG2511" i="15"/>
  <c r="AH2511" i="15"/>
  <c r="AF2512" i="15"/>
  <c r="AG2512" i="15"/>
  <c r="AH2512" i="15"/>
  <c r="AF2513" i="15"/>
  <c r="AG2513" i="15"/>
  <c r="AH2513" i="15"/>
  <c r="AF2514" i="15"/>
  <c r="AG2514" i="15"/>
  <c r="AH2514" i="15"/>
  <c r="AF2515" i="15"/>
  <c r="AG2515" i="15"/>
  <c r="AH2515" i="15"/>
  <c r="AF2507" i="15"/>
  <c r="AH2507" i="15"/>
  <c r="AF2492" i="15"/>
  <c r="AG2492" i="15"/>
  <c r="AH2492" i="15"/>
  <c r="AF2493" i="15"/>
  <c r="AG2493" i="15"/>
  <c r="AH2493" i="15"/>
  <c r="AF2494" i="15"/>
  <c r="AG2494" i="15"/>
  <c r="AH2494" i="15"/>
  <c r="AF2495" i="15"/>
  <c r="AG2495" i="15"/>
  <c r="AH2495" i="15"/>
  <c r="AF2496" i="15"/>
  <c r="AG2496" i="15"/>
  <c r="AH2496" i="15"/>
  <c r="AF2497" i="15"/>
  <c r="AG2497" i="15"/>
  <c r="AH2497" i="15"/>
  <c r="AF2498" i="15"/>
  <c r="AG2498" i="15"/>
  <c r="AH2498" i="15"/>
  <c r="AF2499" i="15"/>
  <c r="AG2499" i="15"/>
  <c r="AH2499" i="15"/>
  <c r="AF2500" i="15"/>
  <c r="AG2500" i="15"/>
  <c r="AH2500" i="15"/>
  <c r="AH2501" i="15"/>
  <c r="AH2502" i="15"/>
  <c r="AH2503" i="15"/>
  <c r="AH2504" i="15"/>
  <c r="AH2505" i="15"/>
  <c r="AH2506" i="15"/>
  <c r="AF2489" i="15"/>
  <c r="AH2489" i="15"/>
  <c r="AF2490" i="15"/>
  <c r="AH2490" i="15"/>
  <c r="AF2491" i="15"/>
  <c r="AH2491" i="15"/>
  <c r="AF2484" i="15"/>
  <c r="AG2484" i="15"/>
  <c r="AH2484" i="15"/>
  <c r="AF2485" i="15"/>
  <c r="AG2485" i="15"/>
  <c r="AH2485" i="15"/>
  <c r="AF2486" i="15"/>
  <c r="AG2486" i="15"/>
  <c r="AH2486" i="15"/>
  <c r="AF2487" i="15"/>
  <c r="AG2487" i="15"/>
  <c r="AH2487" i="15"/>
  <c r="AF2488" i="15"/>
  <c r="AG2488" i="15"/>
  <c r="AH2488" i="15"/>
  <c r="AF2472" i="15"/>
  <c r="AH2472" i="15"/>
  <c r="AF2473" i="15"/>
  <c r="AH2473" i="15"/>
  <c r="AF2474" i="15"/>
  <c r="AH2474" i="15"/>
  <c r="AF2475" i="15"/>
  <c r="AH2475" i="15"/>
  <c r="AF2476" i="15"/>
  <c r="AH2476" i="15"/>
  <c r="AF2477" i="15"/>
  <c r="AH2477" i="15"/>
  <c r="AF2478" i="15"/>
  <c r="AH2478" i="15"/>
  <c r="AF2479" i="15"/>
  <c r="AH2479" i="15"/>
  <c r="AF2480" i="15"/>
  <c r="AH2480" i="15"/>
  <c r="AF2481" i="15"/>
  <c r="AH2481" i="15"/>
  <c r="AF2482" i="15"/>
  <c r="AH2482" i="15"/>
  <c r="AF2483" i="15"/>
  <c r="AH2483" i="15"/>
  <c r="AF2471" i="15"/>
  <c r="AG2471" i="15"/>
  <c r="AH2471" i="15"/>
  <c r="AF2468" i="15"/>
  <c r="AH2468" i="15"/>
  <c r="AF2469" i="15"/>
  <c r="AH2469" i="15"/>
  <c r="AF2470" i="15"/>
  <c r="AH2470" i="15"/>
  <c r="AF2465" i="15"/>
  <c r="AH2465" i="15"/>
  <c r="AF2466" i="15"/>
  <c r="AH2466" i="15"/>
  <c r="AF2467" i="15"/>
  <c r="AH2467" i="15"/>
  <c r="AF2460" i="15"/>
  <c r="AH2460" i="15"/>
  <c r="AF2461" i="15"/>
  <c r="AH2461" i="15"/>
  <c r="AF2462" i="15"/>
  <c r="AH2462" i="15"/>
  <c r="AF2463" i="15"/>
  <c r="AH2463" i="15"/>
  <c r="AF2464" i="15"/>
  <c r="AH2464" i="15"/>
  <c r="AF2458" i="15"/>
  <c r="AG2458" i="15"/>
  <c r="AH2458" i="15"/>
  <c r="AF2459" i="15"/>
  <c r="AG2459" i="15"/>
  <c r="AH2459" i="15"/>
  <c r="AF2456" i="15"/>
  <c r="AH2456" i="15"/>
  <c r="AF2457" i="15"/>
  <c r="AH2457" i="15"/>
  <c r="AF2450" i="15"/>
  <c r="AG2450" i="15"/>
  <c r="AH2450" i="15"/>
  <c r="AF2451" i="15"/>
  <c r="AG2451" i="15"/>
  <c r="AH2451" i="15"/>
  <c r="AF2452" i="15"/>
  <c r="AG2452" i="15"/>
  <c r="AH2452" i="15"/>
  <c r="AF2453" i="15"/>
  <c r="AG2453" i="15"/>
  <c r="AH2453" i="15"/>
  <c r="AF2454" i="15"/>
  <c r="AH2454" i="15"/>
  <c r="AF2455" i="15"/>
  <c r="AH2455" i="15"/>
  <c r="AH2438" i="15"/>
  <c r="AF2439" i="15"/>
  <c r="AG2439" i="15"/>
  <c r="AH2439" i="15"/>
  <c r="AH2440" i="15"/>
  <c r="AF2441" i="15"/>
  <c r="AG2441" i="15"/>
  <c r="AH2441" i="15"/>
  <c r="AF2442" i="15"/>
  <c r="AG2442" i="15"/>
  <c r="AH2442" i="15"/>
  <c r="AH2443" i="15"/>
  <c r="AF2433" i="15"/>
  <c r="AH2433" i="15"/>
  <c r="AF2434" i="15"/>
  <c r="AH2434" i="15"/>
  <c r="AF2435" i="15"/>
  <c r="AG2435" i="15"/>
  <c r="AH2435" i="15"/>
  <c r="AF2436" i="15"/>
  <c r="AG2436" i="15"/>
  <c r="AH2436" i="15"/>
  <c r="AF2437" i="15"/>
  <c r="AG2437" i="15"/>
  <c r="AH2437" i="15"/>
  <c r="AF2427" i="15"/>
  <c r="AH2427" i="15"/>
  <c r="AF2428" i="15"/>
  <c r="AH2428" i="15"/>
  <c r="AF2429" i="15"/>
  <c r="AH2429" i="15"/>
  <c r="AF2430" i="15"/>
  <c r="AH2430" i="15"/>
  <c r="AF2431" i="15"/>
  <c r="AH2431" i="15"/>
  <c r="AF2432" i="15"/>
  <c r="AH2432" i="15"/>
  <c r="AH2419" i="15"/>
  <c r="AH2420" i="15"/>
  <c r="AH2421" i="15"/>
  <c r="AH2422" i="15"/>
  <c r="AF2423" i="15"/>
  <c r="AG2423" i="15"/>
  <c r="AH2423" i="15"/>
  <c r="AF2424" i="15"/>
  <c r="AG2424" i="15"/>
  <c r="AH2424" i="15"/>
  <c r="AF2425" i="15"/>
  <c r="AG2425" i="15"/>
  <c r="AH2425" i="15"/>
  <c r="AF2426" i="15"/>
  <c r="AG2426" i="15"/>
  <c r="AH2426" i="15"/>
  <c r="AF2415" i="15"/>
  <c r="AH2415" i="15"/>
  <c r="AF2416" i="15"/>
  <c r="AG2416" i="15"/>
  <c r="AH2416" i="15"/>
  <c r="AF2417" i="15"/>
  <c r="AG2417" i="15"/>
  <c r="AH2417" i="15"/>
  <c r="AF2418" i="15"/>
  <c r="AG2418" i="15"/>
  <c r="AH2418" i="15"/>
  <c r="AF2410" i="15"/>
  <c r="AH2410" i="15"/>
  <c r="AF2411" i="15"/>
  <c r="AH2411" i="15"/>
  <c r="AF2412" i="15"/>
  <c r="AH2412" i="15"/>
  <c r="AF2413" i="15"/>
  <c r="AG2413" i="15"/>
  <c r="AH2413" i="15"/>
  <c r="AF2414" i="15"/>
  <c r="AG2414" i="15"/>
  <c r="AH2414" i="15"/>
  <c r="AH2409" i="15"/>
  <c r="AH2407" i="15"/>
  <c r="AH2408" i="15"/>
  <c r="AC2440" i="15"/>
  <c r="AE2440" i="15"/>
  <c r="AC2441" i="15"/>
  <c r="AE2441" i="15"/>
  <c r="AC2438" i="15"/>
  <c r="AD2438" i="15"/>
  <c r="AE2438" i="15"/>
  <c r="AC2439" i="15"/>
  <c r="AD2439" i="15"/>
  <c r="AE2439" i="15"/>
  <c r="AE2436" i="15"/>
  <c r="AE2437" i="15"/>
  <c r="AE2434" i="15"/>
  <c r="AE2435" i="15"/>
  <c r="AC2432" i="15"/>
  <c r="AD2432" i="15"/>
  <c r="AE2432" i="15"/>
  <c r="AC2433" i="15"/>
  <c r="AD2433" i="15"/>
  <c r="AE2433" i="15"/>
  <c r="AE2430" i="15"/>
  <c r="AE2431" i="15"/>
  <c r="AE2424" i="15"/>
  <c r="AE2425" i="15"/>
  <c r="AE2426" i="15"/>
  <c r="AE2427" i="15"/>
  <c r="AE2428" i="15"/>
  <c r="AE2429" i="15"/>
  <c r="AC2423" i="15"/>
  <c r="AD2423" i="15"/>
  <c r="AE2423" i="15"/>
  <c r="AE2417" i="15"/>
  <c r="AE2418" i="15"/>
  <c r="AE2419" i="15"/>
  <c r="AE2420" i="15"/>
  <c r="AE2421" i="15"/>
  <c r="AE2422" i="15"/>
  <c r="AE2413" i="15"/>
  <c r="AE2414" i="15"/>
  <c r="AE2415" i="15"/>
  <c r="AE2416" i="15"/>
  <c r="AE2409" i="15"/>
  <c r="AE2410" i="15"/>
  <c r="AE2411" i="15"/>
  <c r="AE2412" i="15"/>
  <c r="AE2407" i="15"/>
  <c r="AE2408" i="15"/>
  <c r="Z2440" i="15"/>
  <c r="AB2440" i="15"/>
  <c r="Z2441" i="15"/>
  <c r="AB2441" i="15"/>
  <c r="Z2438" i="15"/>
  <c r="AA2438" i="15"/>
  <c r="AB2438" i="15"/>
  <c r="Z2439" i="15"/>
  <c r="AA2439" i="15"/>
  <c r="AB2439" i="15"/>
  <c r="AB2436" i="15"/>
  <c r="AB2437" i="15"/>
  <c r="AB2434" i="15"/>
  <c r="AB2435" i="15"/>
  <c r="Z2432" i="15"/>
  <c r="AA2432" i="15"/>
  <c r="AB2432" i="15"/>
  <c r="Z2433" i="15"/>
  <c r="AA2433" i="15"/>
  <c r="AB2433" i="15"/>
  <c r="AB2430" i="15"/>
  <c r="AB2431" i="15"/>
  <c r="AB2424" i="15"/>
  <c r="AB2425" i="15"/>
  <c r="AB2426" i="15"/>
  <c r="AB2427" i="15"/>
  <c r="AB2428" i="15"/>
  <c r="AB2429" i="15"/>
  <c r="Z2423" i="15"/>
  <c r="AA2423" i="15"/>
  <c r="AB2423" i="15"/>
  <c r="AB2417" i="15"/>
  <c r="AB2418" i="15"/>
  <c r="AB2419" i="15"/>
  <c r="AB2420" i="15"/>
  <c r="AB2421" i="15"/>
  <c r="AB2422" i="15"/>
  <c r="AB2413" i="15"/>
  <c r="AB2414" i="15"/>
  <c r="AB2415" i="15"/>
  <c r="AB2416" i="15"/>
  <c r="AB2409" i="15"/>
  <c r="AB2410" i="15"/>
  <c r="AB2411" i="15"/>
  <c r="AB2412" i="15"/>
  <c r="AB2407" i="15"/>
  <c r="AB2408" i="15"/>
  <c r="W2504" i="15"/>
  <c r="Y2504" i="15"/>
  <c r="W2505" i="15"/>
  <c r="Y2505" i="15"/>
  <c r="W2500" i="15"/>
  <c r="X2500" i="15"/>
  <c r="Y2500" i="15"/>
  <c r="W2501" i="15"/>
  <c r="X2501" i="15"/>
  <c r="Y2501" i="15"/>
  <c r="W2502" i="15"/>
  <c r="X2502" i="15"/>
  <c r="Y2502" i="15"/>
  <c r="W2503" i="15"/>
  <c r="X2503" i="15"/>
  <c r="Y2503" i="15"/>
  <c r="Y2499" i="15"/>
  <c r="W2495" i="15"/>
  <c r="Y2495" i="15"/>
  <c r="W2496" i="15"/>
  <c r="Y2496" i="15"/>
  <c r="W2497" i="15"/>
  <c r="Y2497" i="15"/>
  <c r="Y2498" i="15"/>
  <c r="W2494" i="15"/>
  <c r="X2494" i="15"/>
  <c r="Y2494" i="15"/>
  <c r="Y2493" i="15"/>
  <c r="Y2484" i="15"/>
  <c r="Y2485" i="15"/>
  <c r="Y2486" i="15"/>
  <c r="Y2487" i="15"/>
  <c r="Y2488" i="15"/>
  <c r="Y2489" i="15"/>
  <c r="Y2490" i="15"/>
  <c r="Y2491" i="15"/>
  <c r="Y2492" i="15"/>
  <c r="Y2481" i="15"/>
  <c r="Y2482" i="15"/>
  <c r="Y2483" i="15"/>
  <c r="W2476" i="15"/>
  <c r="Y2476" i="15"/>
  <c r="W2477" i="15"/>
  <c r="Y2477" i="15"/>
  <c r="W2478" i="15"/>
  <c r="Y2478" i="15"/>
  <c r="W2479" i="15"/>
  <c r="Y2479" i="15"/>
  <c r="W2480" i="15"/>
  <c r="Y2480" i="15"/>
  <c r="Y2464" i="15"/>
  <c r="Y2465" i="15"/>
  <c r="Y2466" i="15"/>
  <c r="Y2467" i="15"/>
  <c r="Y2468" i="15"/>
  <c r="Y2469" i="15"/>
  <c r="Y2470" i="15"/>
  <c r="Y2471" i="15"/>
  <c r="Y2472" i="15"/>
  <c r="Y2473" i="15"/>
  <c r="Y2474" i="15"/>
  <c r="Y2475" i="15"/>
  <c r="Y2461" i="15"/>
  <c r="Y2462" i="15"/>
  <c r="Y2463" i="15"/>
  <c r="W2459" i="15"/>
  <c r="X2459" i="15"/>
  <c r="Y2459" i="15"/>
  <c r="W2460" i="15"/>
  <c r="X2460" i="15"/>
  <c r="Y2460" i="15"/>
  <c r="Y2458" i="15"/>
  <c r="Y2454" i="15"/>
  <c r="Y2455" i="15"/>
  <c r="Y2456" i="15"/>
  <c r="Y2457" i="15"/>
  <c r="Y2442" i="15"/>
  <c r="Y2443" i="15"/>
  <c r="Y2444" i="15"/>
  <c r="Y2445" i="15"/>
  <c r="Y2446" i="15"/>
  <c r="Y2447" i="15"/>
  <c r="Y2448" i="15"/>
  <c r="Y2449" i="15"/>
  <c r="Y2450" i="15"/>
  <c r="Y2451" i="15"/>
  <c r="Y2452" i="15"/>
  <c r="Y2453" i="15"/>
  <c r="Y2439" i="15"/>
  <c r="Y2440" i="15"/>
  <c r="Y2441" i="15"/>
  <c r="Y2433" i="15"/>
  <c r="Y2434" i="15"/>
  <c r="Y2435" i="15"/>
  <c r="Y2436" i="15"/>
  <c r="Y2437" i="15"/>
  <c r="Y2438" i="15"/>
  <c r="W2432" i="15"/>
  <c r="X2432" i="15"/>
  <c r="Y2432" i="15"/>
  <c r="Y2426" i="15"/>
  <c r="Y2427" i="15"/>
  <c r="Y2428" i="15"/>
  <c r="Y2429" i="15"/>
  <c r="Y2430" i="15"/>
  <c r="Y2431" i="15"/>
  <c r="Y2418" i="15"/>
  <c r="Y2419" i="15"/>
  <c r="Y2420" i="15"/>
  <c r="Y2421" i="15"/>
  <c r="Y2422" i="15"/>
  <c r="Y2423" i="15"/>
  <c r="Y2424" i="15"/>
  <c r="Y2425" i="15"/>
  <c r="Y2413" i="15"/>
  <c r="Y2414" i="15"/>
  <c r="Y2415" i="15"/>
  <c r="Y2416" i="15"/>
  <c r="Y2417" i="15"/>
  <c r="Y2411" i="15"/>
  <c r="Y2412" i="15"/>
  <c r="Y2407" i="15"/>
  <c r="Y2408" i="15"/>
  <c r="Y2409" i="15"/>
  <c r="Y2410" i="15"/>
  <c r="T2504" i="15"/>
  <c r="V2504" i="15"/>
  <c r="T2505" i="15"/>
  <c r="V2505" i="15"/>
  <c r="T2500" i="15"/>
  <c r="U2500" i="15"/>
  <c r="V2500" i="15"/>
  <c r="T2501" i="15"/>
  <c r="U2501" i="15"/>
  <c r="V2501" i="15"/>
  <c r="T2502" i="15"/>
  <c r="U2502" i="15"/>
  <c r="V2502" i="15"/>
  <c r="T2503" i="15"/>
  <c r="U2503" i="15"/>
  <c r="V2503" i="15"/>
  <c r="V2499" i="15"/>
  <c r="T2495" i="15"/>
  <c r="V2495" i="15"/>
  <c r="T2496" i="15"/>
  <c r="V2496" i="15"/>
  <c r="T2497" i="15"/>
  <c r="V2497" i="15"/>
  <c r="V2498" i="15"/>
  <c r="T2494" i="15"/>
  <c r="U2494" i="15"/>
  <c r="V2494" i="15"/>
  <c r="V2493" i="15"/>
  <c r="V2484" i="15"/>
  <c r="V2485" i="15"/>
  <c r="V2486" i="15"/>
  <c r="V2487" i="15"/>
  <c r="V2488" i="15"/>
  <c r="V2489" i="15"/>
  <c r="V2490" i="15"/>
  <c r="V2491" i="15"/>
  <c r="V2492" i="15"/>
  <c r="V2481" i="15"/>
  <c r="V2482" i="15"/>
  <c r="V2483" i="15"/>
  <c r="T2476" i="15"/>
  <c r="V2476" i="15"/>
  <c r="T2477" i="15"/>
  <c r="V2477" i="15"/>
  <c r="T2478" i="15"/>
  <c r="V2478" i="15"/>
  <c r="T2479" i="15"/>
  <c r="V2479" i="15"/>
  <c r="T2480" i="15"/>
  <c r="V2480" i="15"/>
  <c r="V2464" i="15"/>
  <c r="V2465" i="15"/>
  <c r="V2466" i="15"/>
  <c r="V2467" i="15"/>
  <c r="V2468" i="15"/>
  <c r="V2469" i="15"/>
  <c r="V2470" i="15"/>
  <c r="V2471" i="15"/>
  <c r="V2472" i="15"/>
  <c r="V2473" i="15"/>
  <c r="V2474" i="15"/>
  <c r="V2475" i="15"/>
  <c r="V2461" i="15"/>
  <c r="V2462" i="15"/>
  <c r="V2463" i="15"/>
  <c r="T2459" i="15"/>
  <c r="U2459" i="15"/>
  <c r="V2459" i="15"/>
  <c r="T2460" i="15"/>
  <c r="U2460" i="15"/>
  <c r="V2460" i="15"/>
  <c r="V2458" i="15"/>
  <c r="V2454" i="15"/>
  <c r="V2455" i="15"/>
  <c r="V2456" i="15"/>
  <c r="V2457" i="15"/>
  <c r="V2442" i="15"/>
  <c r="V2443" i="15"/>
  <c r="V2444" i="15"/>
  <c r="V2445" i="15"/>
  <c r="V2446" i="15"/>
  <c r="V2447" i="15"/>
  <c r="V2448" i="15"/>
  <c r="V2449" i="15"/>
  <c r="V2450" i="15"/>
  <c r="V2451" i="15"/>
  <c r="V2452" i="15"/>
  <c r="V2453" i="15"/>
  <c r="V2439" i="15"/>
  <c r="V2440" i="15"/>
  <c r="V2441" i="15"/>
  <c r="V2433" i="15"/>
  <c r="V2434" i="15"/>
  <c r="V2435" i="15"/>
  <c r="V2436" i="15"/>
  <c r="V2437" i="15"/>
  <c r="V2438" i="15"/>
  <c r="T2432" i="15"/>
  <c r="U2432" i="15"/>
  <c r="V2432" i="15"/>
  <c r="V2426" i="15"/>
  <c r="V2427" i="15"/>
  <c r="V2428" i="15"/>
  <c r="V2429" i="15"/>
  <c r="V2430" i="15"/>
  <c r="V2431" i="15"/>
  <c r="V2418" i="15"/>
  <c r="V2419" i="15"/>
  <c r="V2420" i="15"/>
  <c r="V2421" i="15"/>
  <c r="V2422" i="15"/>
  <c r="V2423" i="15"/>
  <c r="V2424" i="15"/>
  <c r="V2425" i="15"/>
  <c r="V2413" i="15"/>
  <c r="V2414" i="15"/>
  <c r="V2415" i="15"/>
  <c r="V2416" i="15"/>
  <c r="V2417" i="15"/>
  <c r="V2411" i="15"/>
  <c r="V2412" i="15"/>
  <c r="V2407" i="15"/>
  <c r="V2408" i="15"/>
  <c r="V2409" i="15"/>
  <c r="V2410" i="15"/>
  <c r="Q2460" i="15"/>
  <c r="R2460" i="15"/>
  <c r="S2460" i="15"/>
  <c r="Q2456" i="15"/>
  <c r="R2456" i="15"/>
  <c r="S2456" i="15"/>
  <c r="Q2457" i="15"/>
  <c r="R2457" i="15"/>
  <c r="S2457" i="15"/>
  <c r="Q2458" i="15"/>
  <c r="R2458" i="15"/>
  <c r="S2458" i="15"/>
  <c r="Q2459" i="15"/>
  <c r="R2459" i="15"/>
  <c r="S2459" i="15"/>
  <c r="S2455" i="15"/>
  <c r="S2453" i="15"/>
  <c r="S2454" i="15"/>
  <c r="Q2440" i="15"/>
  <c r="S2440" i="15"/>
  <c r="Q2441" i="15"/>
  <c r="S2441" i="15"/>
  <c r="Q2442" i="15"/>
  <c r="S2442" i="15"/>
  <c r="Q2443" i="15"/>
  <c r="S2443" i="15"/>
  <c r="S2444" i="15"/>
  <c r="S2445" i="15"/>
  <c r="S2446" i="15"/>
  <c r="S2447" i="15"/>
  <c r="S2448" i="15"/>
  <c r="S2449" i="15"/>
  <c r="S2450" i="15"/>
  <c r="S2451" i="15"/>
  <c r="S2452" i="15"/>
  <c r="S2425" i="15"/>
  <c r="S2426" i="15"/>
  <c r="S2427" i="15"/>
  <c r="S2428" i="15"/>
  <c r="S2429" i="15"/>
  <c r="S2430" i="15"/>
  <c r="S2431" i="15"/>
  <c r="S2432" i="15"/>
  <c r="S2433" i="15"/>
  <c r="S2434" i="15"/>
  <c r="S2435" i="15"/>
  <c r="S2436" i="15"/>
  <c r="S2437" i="15"/>
  <c r="S2438" i="15"/>
  <c r="S2439" i="15"/>
  <c r="S2424" i="15"/>
  <c r="S2420" i="15"/>
  <c r="S2421" i="15"/>
  <c r="S2422" i="15"/>
  <c r="S2423" i="15"/>
  <c r="S2416" i="15"/>
  <c r="S2417" i="15"/>
  <c r="S2418" i="15"/>
  <c r="S2419" i="15"/>
  <c r="Q2415" i="15"/>
  <c r="R2415" i="15"/>
  <c r="S2415" i="15"/>
  <c r="S2409" i="15"/>
  <c r="S2410" i="15"/>
  <c r="S2411" i="15"/>
  <c r="S2412" i="15"/>
  <c r="S2413" i="15"/>
  <c r="S2414" i="15"/>
  <c r="S2407" i="15"/>
  <c r="S2408" i="15"/>
  <c r="N2460" i="15"/>
  <c r="O2460" i="15"/>
  <c r="P2460" i="15"/>
  <c r="N2456" i="15"/>
  <c r="O2456" i="15"/>
  <c r="P2456" i="15"/>
  <c r="N2457" i="15"/>
  <c r="O2457" i="15"/>
  <c r="P2457" i="15"/>
  <c r="N2458" i="15"/>
  <c r="O2458" i="15"/>
  <c r="P2458" i="15"/>
  <c r="N2459" i="15"/>
  <c r="O2459" i="15"/>
  <c r="P2459" i="15"/>
  <c r="P2455" i="15"/>
  <c r="P2453" i="15"/>
  <c r="P2454" i="15"/>
  <c r="N2440" i="15"/>
  <c r="P2440" i="15"/>
  <c r="N2441" i="15"/>
  <c r="P2441" i="15"/>
  <c r="N2442" i="15"/>
  <c r="P2442" i="15"/>
  <c r="N2443" i="15"/>
  <c r="P2443" i="15"/>
  <c r="P2444" i="15"/>
  <c r="P2445" i="15"/>
  <c r="P2446" i="15"/>
  <c r="P2447" i="15"/>
  <c r="P2448" i="15"/>
  <c r="P2449" i="15"/>
  <c r="P2450" i="15"/>
  <c r="P2451" i="15"/>
  <c r="P2452" i="15"/>
  <c r="P2425" i="15"/>
  <c r="P2426" i="15"/>
  <c r="P2427" i="15"/>
  <c r="P2428" i="15"/>
  <c r="P2429" i="15"/>
  <c r="P2430" i="15"/>
  <c r="P2431" i="15"/>
  <c r="P2432" i="15"/>
  <c r="P2433" i="15"/>
  <c r="P2434" i="15"/>
  <c r="P2435" i="15"/>
  <c r="P2436" i="15"/>
  <c r="P2437" i="15"/>
  <c r="P2438" i="15"/>
  <c r="P2439" i="15"/>
  <c r="P2424" i="15"/>
  <c r="P2420" i="15"/>
  <c r="P2421" i="15"/>
  <c r="P2422" i="15"/>
  <c r="P2423" i="15"/>
  <c r="P2416" i="15"/>
  <c r="P2417" i="15"/>
  <c r="P2418" i="15"/>
  <c r="P2419" i="15"/>
  <c r="N2415" i="15"/>
  <c r="O2415" i="15"/>
  <c r="P2415" i="15"/>
  <c r="P2409" i="15"/>
  <c r="P2410" i="15"/>
  <c r="P2411" i="15"/>
  <c r="P2412" i="15"/>
  <c r="P2413" i="15"/>
  <c r="P2414" i="15"/>
  <c r="P2407" i="15"/>
  <c r="P2408" i="15"/>
  <c r="K2448" i="15"/>
  <c r="L2448" i="15"/>
  <c r="M2448" i="15"/>
  <c r="M2447" i="15"/>
  <c r="M2445" i="15"/>
  <c r="M2446" i="15"/>
  <c r="M2437" i="15"/>
  <c r="M2438" i="15"/>
  <c r="M2439" i="15"/>
  <c r="M2440" i="15"/>
  <c r="M2441" i="15"/>
  <c r="M2442" i="15"/>
  <c r="M2443" i="15"/>
  <c r="M2444" i="15"/>
  <c r="M2422" i="15"/>
  <c r="M2423" i="15"/>
  <c r="M2424" i="15"/>
  <c r="M2425" i="15"/>
  <c r="M2426" i="15"/>
  <c r="M2427" i="15"/>
  <c r="M2428" i="15"/>
  <c r="M2429" i="15"/>
  <c r="M2430" i="15"/>
  <c r="M2431" i="15"/>
  <c r="M2432" i="15"/>
  <c r="M2433" i="15"/>
  <c r="M2434" i="15"/>
  <c r="M2435" i="15"/>
  <c r="M2436" i="15"/>
  <c r="M2421" i="15"/>
  <c r="M2417" i="15"/>
  <c r="M2418" i="15"/>
  <c r="M2419" i="15"/>
  <c r="M2420" i="15"/>
  <c r="M2415" i="15"/>
  <c r="M2416" i="15"/>
  <c r="M2409" i="15"/>
  <c r="M2410" i="15"/>
  <c r="M2411" i="15"/>
  <c r="M2412" i="15"/>
  <c r="M2413" i="15"/>
  <c r="M2414" i="15"/>
  <c r="M2407" i="15"/>
  <c r="M2408" i="15"/>
  <c r="H2448" i="15"/>
  <c r="I2448" i="15"/>
  <c r="J2448" i="15"/>
  <c r="J2447" i="15"/>
  <c r="J2445" i="15"/>
  <c r="J2446" i="15"/>
  <c r="J2437" i="15"/>
  <c r="J2438" i="15"/>
  <c r="J2439" i="15"/>
  <c r="J2440" i="15"/>
  <c r="J2441" i="15"/>
  <c r="J2442" i="15"/>
  <c r="J2443" i="15"/>
  <c r="J2444" i="15"/>
  <c r="J2422" i="15"/>
  <c r="J2423" i="15"/>
  <c r="J2424" i="15"/>
  <c r="J2425" i="15"/>
  <c r="J2426" i="15"/>
  <c r="J2427" i="15"/>
  <c r="J2428" i="15"/>
  <c r="J2429" i="15"/>
  <c r="J2430" i="15"/>
  <c r="J2431" i="15"/>
  <c r="J2432" i="15"/>
  <c r="J2433" i="15"/>
  <c r="J2434" i="15"/>
  <c r="J2435" i="15"/>
  <c r="J2436" i="15"/>
  <c r="J2421" i="15"/>
  <c r="J2417" i="15"/>
  <c r="J2418" i="15"/>
  <c r="J2419" i="15"/>
  <c r="J2420" i="15"/>
  <c r="J2415" i="15"/>
  <c r="J2416" i="15"/>
  <c r="J2409" i="15"/>
  <c r="J2410" i="15"/>
  <c r="J2411" i="15"/>
  <c r="J2412" i="15"/>
  <c r="J2413" i="15"/>
  <c r="J2414" i="15"/>
  <c r="J2407" i="15"/>
  <c r="J2408" i="15"/>
  <c r="E2448" i="15"/>
  <c r="F2448" i="15"/>
  <c r="G2448" i="15"/>
  <c r="G2447" i="15"/>
  <c r="G2445" i="15"/>
  <c r="G2446" i="15"/>
  <c r="G2437" i="15"/>
  <c r="G2438" i="15"/>
  <c r="G2439" i="15"/>
  <c r="G2440" i="15"/>
  <c r="G2441" i="15"/>
  <c r="G2442" i="15"/>
  <c r="G2443" i="15"/>
  <c r="G2444" i="15"/>
  <c r="G2422" i="15"/>
  <c r="G2423" i="15"/>
  <c r="G2424" i="15"/>
  <c r="G2425" i="15"/>
  <c r="G2426" i="15"/>
  <c r="G2427" i="15"/>
  <c r="G2428" i="15"/>
  <c r="G2429" i="15"/>
  <c r="G2430" i="15"/>
  <c r="G2431" i="15"/>
  <c r="G2432" i="15"/>
  <c r="G2433" i="15"/>
  <c r="G2434" i="15"/>
  <c r="G2435" i="15"/>
  <c r="G2436" i="15"/>
  <c r="G2421" i="15"/>
  <c r="G2417" i="15"/>
  <c r="G2418" i="15"/>
  <c r="G2419" i="15"/>
  <c r="G2420" i="15"/>
  <c r="G2415" i="15"/>
  <c r="G2416" i="15"/>
  <c r="G2409" i="15"/>
  <c r="G2410" i="15"/>
  <c r="G2411" i="15"/>
  <c r="G2412" i="15"/>
  <c r="G2413" i="15"/>
  <c r="G2414" i="15"/>
  <c r="G2407" i="15"/>
  <c r="G2408" i="15"/>
  <c r="B2448" i="15"/>
  <c r="D2448" i="15"/>
  <c r="D2447" i="15"/>
  <c r="D2445" i="15"/>
  <c r="D2446" i="15"/>
  <c r="D2437" i="15"/>
  <c r="D2438" i="15"/>
  <c r="D2439" i="15"/>
  <c r="D2440" i="15"/>
  <c r="D2441" i="15"/>
  <c r="D2442" i="15"/>
  <c r="D2443" i="15"/>
  <c r="D2444" i="15"/>
  <c r="D2422" i="15"/>
  <c r="D2423" i="15"/>
  <c r="D2424" i="15"/>
  <c r="D2425" i="15"/>
  <c r="D2426" i="15"/>
  <c r="D2427" i="15"/>
  <c r="D2428" i="15"/>
  <c r="D2429" i="15"/>
  <c r="D2430" i="15"/>
  <c r="D2431" i="15"/>
  <c r="D2432" i="15"/>
  <c r="D2433" i="15"/>
  <c r="D2434" i="15"/>
  <c r="D2435" i="15"/>
  <c r="D2436" i="15"/>
  <c r="D2421" i="15"/>
  <c r="D2417" i="15"/>
  <c r="D2418" i="15"/>
  <c r="D2419" i="15"/>
  <c r="D2420" i="15"/>
  <c r="D2415" i="15"/>
  <c r="D2416" i="15"/>
  <c r="D2409" i="15"/>
  <c r="D2410" i="15"/>
  <c r="D2411" i="15"/>
  <c r="D2412" i="15"/>
  <c r="D2413" i="15"/>
  <c r="D2414" i="15"/>
  <c r="D2407" i="15"/>
  <c r="D2408" i="15"/>
  <c r="AI2402" i="15"/>
  <c r="AJ2402" i="15"/>
  <c r="AK2402" i="15"/>
  <c r="AI2403" i="15"/>
  <c r="AJ2403" i="15"/>
  <c r="AK2403" i="15"/>
  <c r="AI2399" i="15"/>
  <c r="AK2399" i="15"/>
  <c r="AI2400" i="15"/>
  <c r="AJ2400" i="15"/>
  <c r="AK2400" i="15"/>
  <c r="AI2401" i="15"/>
  <c r="AJ2401" i="15"/>
  <c r="AK2401" i="15"/>
  <c r="AI2397" i="15"/>
  <c r="AJ2397" i="15"/>
  <c r="AK2397" i="15"/>
  <c r="AI2398" i="15"/>
  <c r="AJ2398" i="15"/>
  <c r="AK2398" i="15"/>
  <c r="AI2395" i="15"/>
  <c r="AJ2395" i="15"/>
  <c r="AK2395" i="15"/>
  <c r="AI2396" i="15"/>
  <c r="AJ2396" i="15"/>
  <c r="AK2396" i="15"/>
  <c r="AI2393" i="15"/>
  <c r="AJ2393" i="15"/>
  <c r="AK2393" i="15"/>
  <c r="AI2394" i="15"/>
  <c r="AJ2394" i="15"/>
  <c r="AK2394" i="15"/>
  <c r="AI2391" i="15"/>
  <c r="AJ2391" i="15"/>
  <c r="AK2391" i="15"/>
  <c r="AI2392" i="15"/>
  <c r="AJ2392" i="15"/>
  <c r="AK2392" i="15"/>
  <c r="AI2389" i="15"/>
  <c r="AK2389" i="15"/>
  <c r="AI2390" i="15"/>
  <c r="AK2390" i="15"/>
  <c r="AI2387" i="15"/>
  <c r="AK2387" i="15"/>
  <c r="AI2388" i="15"/>
  <c r="AK2388" i="15"/>
  <c r="AI2380" i="15"/>
  <c r="AJ2380" i="15"/>
  <c r="AK2380" i="15"/>
  <c r="AI2381" i="15"/>
  <c r="AJ2381" i="15"/>
  <c r="AK2381" i="15"/>
  <c r="AI2382" i="15"/>
  <c r="AJ2382" i="15"/>
  <c r="AK2382" i="15"/>
  <c r="AI2383" i="15"/>
  <c r="AJ2383" i="15"/>
  <c r="AK2383" i="15"/>
  <c r="AI2384" i="15"/>
  <c r="AJ2384" i="15"/>
  <c r="AK2384" i="15"/>
  <c r="AI2385" i="15"/>
  <c r="AJ2385" i="15"/>
  <c r="AK2385" i="15"/>
  <c r="AI2386" i="15"/>
  <c r="AK2386" i="15"/>
  <c r="AI2377" i="15"/>
  <c r="AK2377" i="15"/>
  <c r="AI2378" i="15"/>
  <c r="AK2378" i="15"/>
  <c r="AI2379" i="15"/>
  <c r="AK2379" i="15"/>
  <c r="AI2343" i="15"/>
  <c r="AK2343" i="15"/>
  <c r="AI2344" i="15"/>
  <c r="AK2344" i="15"/>
  <c r="AI2345" i="15"/>
  <c r="AK2345" i="15"/>
  <c r="AI2346" i="15"/>
  <c r="AK2346" i="15"/>
  <c r="AI2347" i="15"/>
  <c r="AK2347" i="15"/>
  <c r="AI2348" i="15"/>
  <c r="AK2348" i="15"/>
  <c r="AI2349" i="15"/>
  <c r="AK2349" i="15"/>
  <c r="AI2350" i="15"/>
  <c r="AK2350" i="15"/>
  <c r="AI2351" i="15"/>
  <c r="AK2351" i="15"/>
  <c r="AI2352" i="15"/>
  <c r="AK2352" i="15"/>
  <c r="AI2353" i="15"/>
  <c r="AK2353" i="15"/>
  <c r="AI2354" i="15"/>
  <c r="AK2354" i="15"/>
  <c r="AI2355" i="15"/>
  <c r="AK2355" i="15"/>
  <c r="AI2356" i="15"/>
  <c r="AK2356" i="15"/>
  <c r="AI2357" i="15"/>
  <c r="AK2357" i="15"/>
  <c r="AI2358" i="15"/>
  <c r="AK2358" i="15"/>
  <c r="AI2359" i="15"/>
  <c r="AK2359" i="15"/>
  <c r="AI2360" i="15"/>
  <c r="AK2360" i="15"/>
  <c r="AI2361" i="15"/>
  <c r="AK2361" i="15"/>
  <c r="AI2362" i="15"/>
  <c r="AK2362" i="15"/>
  <c r="AI2363" i="15"/>
  <c r="AK2363" i="15"/>
  <c r="AI2364" i="15"/>
  <c r="AK2364" i="15"/>
  <c r="AI2365" i="15"/>
  <c r="AK2365" i="15"/>
  <c r="AI2366" i="15"/>
  <c r="AK2366" i="15"/>
  <c r="AI2367" i="15"/>
  <c r="AJ2367" i="15"/>
  <c r="AK2367" i="15"/>
  <c r="AI2368" i="15"/>
  <c r="AJ2368" i="15"/>
  <c r="AK2368" i="15"/>
  <c r="AI2369" i="15"/>
  <c r="AJ2369" i="15"/>
  <c r="AK2369" i="15"/>
  <c r="AI2370" i="15"/>
  <c r="AJ2370" i="15"/>
  <c r="AK2370" i="15"/>
  <c r="AI2371" i="15"/>
  <c r="AJ2371" i="15"/>
  <c r="AK2371" i="15"/>
  <c r="AI2372" i="15"/>
  <c r="AJ2372" i="15"/>
  <c r="AK2372" i="15"/>
  <c r="AI2373" i="15"/>
  <c r="AJ2373" i="15"/>
  <c r="AK2373" i="15"/>
  <c r="AI2374" i="15"/>
  <c r="AJ2374" i="15"/>
  <c r="AK2374" i="15"/>
  <c r="AI2375" i="15"/>
  <c r="AJ2375" i="15"/>
  <c r="AK2375" i="15"/>
  <c r="AI2376" i="15"/>
  <c r="AJ2376" i="15"/>
  <c r="AK2376" i="15"/>
  <c r="AI2337" i="15"/>
  <c r="AJ2337" i="15"/>
  <c r="AK2337" i="15"/>
  <c r="AI2338" i="15"/>
  <c r="AJ2338" i="15"/>
  <c r="AK2338" i="15"/>
  <c r="AI2339" i="15"/>
  <c r="AJ2339" i="15"/>
  <c r="AK2339" i="15"/>
  <c r="AI2340" i="15"/>
  <c r="AJ2340" i="15"/>
  <c r="AK2340" i="15"/>
  <c r="AI2341" i="15"/>
  <c r="AJ2341" i="15"/>
  <c r="AK2341" i="15"/>
  <c r="AI2342" i="15"/>
  <c r="AJ2342" i="15"/>
  <c r="AK2342" i="15"/>
  <c r="AI2336" i="15"/>
  <c r="AK2336" i="15"/>
  <c r="AI2331" i="15"/>
  <c r="AK2331" i="15"/>
  <c r="AI2332" i="15"/>
  <c r="AK2332" i="15"/>
  <c r="AI2333" i="15"/>
  <c r="AK2333" i="15"/>
  <c r="AI2334" i="15"/>
  <c r="AK2334" i="15"/>
  <c r="AI2335" i="15"/>
  <c r="AK2335" i="15"/>
  <c r="AI2326" i="15"/>
  <c r="AK2326" i="15"/>
  <c r="AI2327" i="15"/>
  <c r="AK2327" i="15"/>
  <c r="AI2328" i="15"/>
  <c r="AK2328" i="15"/>
  <c r="AI2329" i="15"/>
  <c r="AK2329" i="15"/>
  <c r="AI2330" i="15"/>
  <c r="AK2330" i="15"/>
  <c r="AI2324" i="15"/>
  <c r="AK2324" i="15"/>
  <c r="AI2325" i="15"/>
  <c r="AK2325" i="15"/>
  <c r="AI2316" i="15"/>
  <c r="AK2316" i="15"/>
  <c r="AI2317" i="15"/>
  <c r="AK2317" i="15"/>
  <c r="AI2318" i="15"/>
  <c r="AK2318" i="15"/>
  <c r="AI2319" i="15"/>
  <c r="AK2319" i="15"/>
  <c r="AI2320" i="15"/>
  <c r="AK2320" i="15"/>
  <c r="AI2321" i="15"/>
  <c r="AK2321" i="15"/>
  <c r="AI2322" i="15"/>
  <c r="AK2322" i="15"/>
  <c r="AI2323" i="15"/>
  <c r="AK2323" i="15"/>
  <c r="AI2315" i="15"/>
  <c r="AK2315" i="15"/>
  <c r="AI2311" i="15"/>
  <c r="AJ2311" i="15"/>
  <c r="AK2311" i="15"/>
  <c r="AI2312" i="15"/>
  <c r="AJ2312" i="15"/>
  <c r="AK2312" i="15"/>
  <c r="AI2313" i="15"/>
  <c r="AJ2313" i="15"/>
  <c r="AK2313" i="15"/>
  <c r="AI2314" i="15"/>
  <c r="AJ2314" i="15"/>
  <c r="AK2314" i="15"/>
  <c r="AI2309" i="15"/>
  <c r="AK2309" i="15"/>
  <c r="AI2310" i="15"/>
  <c r="AK2310" i="15"/>
  <c r="AI2306" i="15"/>
  <c r="AJ2306" i="15"/>
  <c r="AK2306" i="15"/>
  <c r="AI2307" i="15"/>
  <c r="AJ2307" i="15"/>
  <c r="AK2307" i="15"/>
  <c r="AI2308" i="15"/>
  <c r="AJ2308" i="15"/>
  <c r="AK2308" i="15"/>
  <c r="AI2293" i="15"/>
  <c r="AK2293" i="15"/>
  <c r="AI2294" i="15"/>
  <c r="AJ2294" i="15"/>
  <c r="AK2294" i="15"/>
  <c r="AI2295" i="15"/>
  <c r="AJ2295" i="15"/>
  <c r="AK2295" i="15"/>
  <c r="AI2296" i="15"/>
  <c r="AJ2296" i="15"/>
  <c r="AK2296" i="15"/>
  <c r="AI2297" i="15"/>
  <c r="AJ2297" i="15"/>
  <c r="AK2297" i="15"/>
  <c r="AI2298" i="15"/>
  <c r="AJ2298" i="15"/>
  <c r="AK2298" i="15"/>
  <c r="AI2299" i="15"/>
  <c r="AJ2299" i="15"/>
  <c r="AK2299" i="15"/>
  <c r="AI2300" i="15"/>
  <c r="AJ2300" i="15"/>
  <c r="AK2300" i="15"/>
  <c r="AI2301" i="15"/>
  <c r="AJ2301" i="15"/>
  <c r="AK2301" i="15"/>
  <c r="AI2302" i="15"/>
  <c r="AJ2302" i="15"/>
  <c r="AK2302" i="15"/>
  <c r="AI2303" i="15"/>
  <c r="AJ2303" i="15"/>
  <c r="AK2303" i="15"/>
  <c r="AK2304" i="15"/>
  <c r="AK2305" i="15"/>
  <c r="AI2289" i="15"/>
  <c r="AJ2289" i="15"/>
  <c r="AK2289" i="15"/>
  <c r="AI2290" i="15"/>
  <c r="AJ2290" i="15"/>
  <c r="AK2290" i="15"/>
  <c r="AI2291" i="15"/>
  <c r="AJ2291" i="15"/>
  <c r="AK2291" i="15"/>
  <c r="AI2292" i="15"/>
  <c r="AJ2292" i="15"/>
  <c r="AK2292" i="15"/>
  <c r="AI2285" i="15"/>
  <c r="AJ2285" i="15"/>
  <c r="AK2285" i="15"/>
  <c r="AI2286" i="15"/>
  <c r="AJ2286" i="15"/>
  <c r="AK2286" i="15"/>
  <c r="AI2287" i="15"/>
  <c r="AJ2287" i="15"/>
  <c r="AK2287" i="15"/>
  <c r="AI2288" i="15"/>
  <c r="AJ2288" i="15"/>
  <c r="AK2288" i="15"/>
  <c r="AI2283" i="15"/>
  <c r="AJ2283" i="15"/>
  <c r="AK2283" i="15"/>
  <c r="AI2284" i="15"/>
  <c r="AJ2284" i="15"/>
  <c r="AK2284" i="15"/>
  <c r="AI2239" i="15"/>
  <c r="AJ2239" i="15"/>
  <c r="AK2239" i="15"/>
  <c r="AI2240" i="15"/>
  <c r="AJ2240" i="15"/>
  <c r="AK2240" i="15"/>
  <c r="AJ2241" i="15"/>
  <c r="AK2241" i="15"/>
  <c r="AJ2242" i="15"/>
  <c r="AK2242" i="15"/>
  <c r="AJ2243" i="15"/>
  <c r="AK2243" i="15"/>
  <c r="AJ2244" i="15"/>
  <c r="AK2244" i="15"/>
  <c r="AI2245" i="15"/>
  <c r="AJ2245" i="15"/>
  <c r="AK2245" i="15"/>
  <c r="AI2246" i="15"/>
  <c r="AJ2246" i="15"/>
  <c r="AK2246" i="15"/>
  <c r="AJ2247" i="15"/>
  <c r="AK2247" i="15"/>
  <c r="AJ2248" i="15"/>
  <c r="AK2248" i="15"/>
  <c r="AJ2249" i="15"/>
  <c r="AK2249" i="15"/>
  <c r="AJ2250" i="15"/>
  <c r="AK2250" i="15"/>
  <c r="AK2251" i="15"/>
  <c r="AK2252" i="15"/>
  <c r="AK2253" i="15"/>
  <c r="AK2254" i="15"/>
  <c r="AK2255" i="15"/>
  <c r="AK2256" i="15"/>
  <c r="AI2257" i="15"/>
  <c r="AJ2257" i="15"/>
  <c r="AK2257" i="15"/>
  <c r="AI2258" i="15"/>
  <c r="AJ2258" i="15"/>
  <c r="AK2258" i="15"/>
  <c r="AJ2259" i="15"/>
  <c r="AK2259" i="15"/>
  <c r="AJ2260" i="15"/>
  <c r="AK2260" i="15"/>
  <c r="AJ2261" i="15"/>
  <c r="AK2261" i="15"/>
  <c r="AJ2262" i="15"/>
  <c r="AK2262" i="15"/>
  <c r="AI2263" i="15"/>
  <c r="AJ2263" i="15"/>
  <c r="AK2263" i="15"/>
  <c r="AI2264" i="15"/>
  <c r="AJ2264" i="15"/>
  <c r="AK2264" i="15"/>
  <c r="AJ2265" i="15"/>
  <c r="AK2265" i="15"/>
  <c r="AJ2266" i="15"/>
  <c r="AK2266" i="15"/>
  <c r="AJ2267" i="15"/>
  <c r="AK2267" i="15"/>
  <c r="AJ2268" i="15"/>
  <c r="AK2268" i="15"/>
  <c r="AK2269" i="15"/>
  <c r="AK2270" i="15"/>
  <c r="AK2271" i="15"/>
  <c r="AK2272" i="15"/>
  <c r="AK2273" i="15"/>
  <c r="AK2274" i="15"/>
  <c r="AI2275" i="15"/>
  <c r="AJ2275" i="15"/>
  <c r="AK2275" i="15"/>
  <c r="AI2276" i="15"/>
  <c r="AJ2276" i="15"/>
  <c r="AK2276" i="15"/>
  <c r="AI2277" i="15"/>
  <c r="AJ2277" i="15"/>
  <c r="AK2277" i="15"/>
  <c r="AI2278" i="15"/>
  <c r="AJ2278" i="15"/>
  <c r="AK2278" i="15"/>
  <c r="AK2279" i="15"/>
  <c r="AK2280" i="15"/>
  <c r="AK2281" i="15"/>
  <c r="AK2282" i="15"/>
  <c r="AI2237" i="15"/>
  <c r="AJ2237" i="15"/>
  <c r="AK2237" i="15"/>
  <c r="AI2238" i="15"/>
  <c r="AJ2238" i="15"/>
  <c r="AK2238" i="15"/>
  <c r="AF2402" i="15"/>
  <c r="AG2402" i="15"/>
  <c r="AH2402" i="15"/>
  <c r="AF2403" i="15"/>
  <c r="AG2403" i="15"/>
  <c r="AH2403" i="15"/>
  <c r="AF2399" i="15"/>
  <c r="AH2399" i="15"/>
  <c r="AF2400" i="15"/>
  <c r="AG2400" i="15"/>
  <c r="AH2400" i="15"/>
  <c r="AF2401" i="15"/>
  <c r="AG2401" i="15"/>
  <c r="AH2401" i="15"/>
  <c r="AF2397" i="15"/>
  <c r="AG2397" i="15"/>
  <c r="AH2397" i="15"/>
  <c r="AF2398" i="15"/>
  <c r="AG2398" i="15"/>
  <c r="AH2398" i="15"/>
  <c r="AF2395" i="15"/>
  <c r="AG2395" i="15"/>
  <c r="AH2395" i="15"/>
  <c r="AF2396" i="15"/>
  <c r="AG2396" i="15"/>
  <c r="AH2396" i="15"/>
  <c r="AF2393" i="15"/>
  <c r="AG2393" i="15"/>
  <c r="AH2393" i="15"/>
  <c r="AF2394" i="15"/>
  <c r="AG2394" i="15"/>
  <c r="AH2394" i="15"/>
  <c r="AF2391" i="15"/>
  <c r="AG2391" i="15"/>
  <c r="AH2391" i="15"/>
  <c r="AF2392" i="15"/>
  <c r="AG2392" i="15"/>
  <c r="AH2392" i="15"/>
  <c r="AF2389" i="15"/>
  <c r="AH2389" i="15"/>
  <c r="AF2390" i="15"/>
  <c r="AH2390" i="15"/>
  <c r="AF2387" i="15"/>
  <c r="AH2387" i="15"/>
  <c r="AF2388" i="15"/>
  <c r="AH2388" i="15"/>
  <c r="AF2380" i="15"/>
  <c r="AG2380" i="15"/>
  <c r="AH2380" i="15"/>
  <c r="AF2381" i="15"/>
  <c r="AG2381" i="15"/>
  <c r="AH2381" i="15"/>
  <c r="AF2382" i="15"/>
  <c r="AG2382" i="15"/>
  <c r="AH2382" i="15"/>
  <c r="AF2383" i="15"/>
  <c r="AG2383" i="15"/>
  <c r="AH2383" i="15"/>
  <c r="AF2384" i="15"/>
  <c r="AG2384" i="15"/>
  <c r="AH2384" i="15"/>
  <c r="AF2385" i="15"/>
  <c r="AG2385" i="15"/>
  <c r="AH2385" i="15"/>
  <c r="AF2386" i="15"/>
  <c r="AH2386" i="15"/>
  <c r="AF2377" i="15"/>
  <c r="AH2377" i="15"/>
  <c r="AF2378" i="15"/>
  <c r="AH2378" i="15"/>
  <c r="AF2379" i="15"/>
  <c r="AH2379" i="15"/>
  <c r="AF2343" i="15"/>
  <c r="AH2343" i="15"/>
  <c r="AF2344" i="15"/>
  <c r="AH2344" i="15"/>
  <c r="AF2345" i="15"/>
  <c r="AH2345" i="15"/>
  <c r="AF2346" i="15"/>
  <c r="AH2346" i="15"/>
  <c r="AF2347" i="15"/>
  <c r="AH2347" i="15"/>
  <c r="AF2348" i="15"/>
  <c r="AH2348" i="15"/>
  <c r="AF2349" i="15"/>
  <c r="AH2349" i="15"/>
  <c r="AF2350" i="15"/>
  <c r="AH2350" i="15"/>
  <c r="AF2351" i="15"/>
  <c r="AH2351" i="15"/>
  <c r="AF2352" i="15"/>
  <c r="AH2352" i="15"/>
  <c r="AF2353" i="15"/>
  <c r="AH2353" i="15"/>
  <c r="AF2354" i="15"/>
  <c r="AH2354" i="15"/>
  <c r="AF2355" i="15"/>
  <c r="AH2355" i="15"/>
  <c r="AF2356" i="15"/>
  <c r="AH2356" i="15"/>
  <c r="AF2357" i="15"/>
  <c r="AH2357" i="15"/>
  <c r="AF2358" i="15"/>
  <c r="AH2358" i="15"/>
  <c r="AF2359" i="15"/>
  <c r="AH2359" i="15"/>
  <c r="AF2360" i="15"/>
  <c r="AH2360" i="15"/>
  <c r="AF2361" i="15"/>
  <c r="AH2361" i="15"/>
  <c r="AF2362" i="15"/>
  <c r="AH2362" i="15"/>
  <c r="AF2363" i="15"/>
  <c r="AH2363" i="15"/>
  <c r="AF2364" i="15"/>
  <c r="AH2364" i="15"/>
  <c r="AF2365" i="15"/>
  <c r="AH2365" i="15"/>
  <c r="AF2366" i="15"/>
  <c r="AH2366" i="15"/>
  <c r="AF2367" i="15"/>
  <c r="AG2367" i="15"/>
  <c r="AH2367" i="15"/>
  <c r="AF2368" i="15"/>
  <c r="AG2368" i="15"/>
  <c r="AH2368" i="15"/>
  <c r="AF2369" i="15"/>
  <c r="AG2369" i="15"/>
  <c r="AH2369" i="15"/>
  <c r="AF2370" i="15"/>
  <c r="AG2370" i="15"/>
  <c r="AH2370" i="15"/>
  <c r="AF2371" i="15"/>
  <c r="AG2371" i="15"/>
  <c r="AH2371" i="15"/>
  <c r="AF2372" i="15"/>
  <c r="AG2372" i="15"/>
  <c r="AH2372" i="15"/>
  <c r="AF2373" i="15"/>
  <c r="AG2373" i="15"/>
  <c r="AH2373" i="15"/>
  <c r="AF2374" i="15"/>
  <c r="AG2374" i="15"/>
  <c r="AH2374" i="15"/>
  <c r="AF2375" i="15"/>
  <c r="AG2375" i="15"/>
  <c r="AH2375" i="15"/>
  <c r="AF2376" i="15"/>
  <c r="AG2376" i="15"/>
  <c r="AH2376" i="15"/>
  <c r="AF2337" i="15"/>
  <c r="AG2337" i="15"/>
  <c r="AH2337" i="15"/>
  <c r="AF2338" i="15"/>
  <c r="AG2338" i="15"/>
  <c r="AH2338" i="15"/>
  <c r="AF2339" i="15"/>
  <c r="AG2339" i="15"/>
  <c r="AH2339" i="15"/>
  <c r="AF2340" i="15"/>
  <c r="AG2340" i="15"/>
  <c r="AH2340" i="15"/>
  <c r="AF2341" i="15"/>
  <c r="AG2341" i="15"/>
  <c r="AH2341" i="15"/>
  <c r="AF2342" i="15"/>
  <c r="AG2342" i="15"/>
  <c r="AH2342" i="15"/>
  <c r="AF2336" i="15"/>
  <c r="AH2336" i="15"/>
  <c r="AF2331" i="15"/>
  <c r="AH2331" i="15"/>
  <c r="AF2332" i="15"/>
  <c r="AH2332" i="15"/>
  <c r="AF2333" i="15"/>
  <c r="AH2333" i="15"/>
  <c r="AF2334" i="15"/>
  <c r="AH2334" i="15"/>
  <c r="AF2335" i="15"/>
  <c r="AH2335" i="15"/>
  <c r="AF2326" i="15"/>
  <c r="AH2326" i="15"/>
  <c r="AF2327" i="15"/>
  <c r="AH2327" i="15"/>
  <c r="AF2328" i="15"/>
  <c r="AH2328" i="15"/>
  <c r="AF2329" i="15"/>
  <c r="AH2329" i="15"/>
  <c r="AF2330" i="15"/>
  <c r="AH2330" i="15"/>
  <c r="AF2324" i="15"/>
  <c r="AH2324" i="15"/>
  <c r="AF2325" i="15"/>
  <c r="AH2325" i="15"/>
  <c r="AF2316" i="15"/>
  <c r="AH2316" i="15"/>
  <c r="AF2317" i="15"/>
  <c r="AH2317" i="15"/>
  <c r="AF2318" i="15"/>
  <c r="AH2318" i="15"/>
  <c r="AF2319" i="15"/>
  <c r="AH2319" i="15"/>
  <c r="AF2320" i="15"/>
  <c r="AH2320" i="15"/>
  <c r="AF2321" i="15"/>
  <c r="AH2321" i="15"/>
  <c r="AF2322" i="15"/>
  <c r="AH2322" i="15"/>
  <c r="AF2323" i="15"/>
  <c r="AH2323" i="15"/>
  <c r="AF2315" i="15"/>
  <c r="AH2315" i="15"/>
  <c r="AF2311" i="15"/>
  <c r="AG2311" i="15"/>
  <c r="AH2311" i="15"/>
  <c r="AF2312" i="15"/>
  <c r="AG2312" i="15"/>
  <c r="AH2312" i="15"/>
  <c r="AF2313" i="15"/>
  <c r="AG2313" i="15"/>
  <c r="AH2313" i="15"/>
  <c r="AF2314" i="15"/>
  <c r="AG2314" i="15"/>
  <c r="AH2314" i="15"/>
  <c r="AF2309" i="15"/>
  <c r="AH2309" i="15"/>
  <c r="AF2310" i="15"/>
  <c r="AH2310" i="15"/>
  <c r="AH2306" i="15"/>
  <c r="AH2307" i="15"/>
  <c r="AH2308" i="15"/>
  <c r="AF2293" i="15"/>
  <c r="AH2293" i="15"/>
  <c r="AF2294" i="15"/>
  <c r="AG2294" i="15"/>
  <c r="AH2294" i="15"/>
  <c r="AF2295" i="15"/>
  <c r="AG2295" i="15"/>
  <c r="AH2295" i="15"/>
  <c r="AF2296" i="15"/>
  <c r="AG2296" i="15"/>
  <c r="AH2296" i="15"/>
  <c r="AF2297" i="15"/>
  <c r="AG2297" i="15"/>
  <c r="AH2297" i="15"/>
  <c r="AF2298" i="15"/>
  <c r="AG2298" i="15"/>
  <c r="AH2298" i="15"/>
  <c r="AF2299" i="15"/>
  <c r="AG2299" i="15"/>
  <c r="AH2299" i="15"/>
  <c r="AF2300" i="15"/>
  <c r="AG2300" i="15"/>
  <c r="AH2300" i="15"/>
  <c r="AF2301" i="15"/>
  <c r="AG2301" i="15"/>
  <c r="AH2301" i="15"/>
  <c r="AF2302" i="15"/>
  <c r="AG2302" i="15"/>
  <c r="AH2302" i="15"/>
  <c r="AF2303" i="15"/>
  <c r="AG2303" i="15"/>
  <c r="AH2303" i="15"/>
  <c r="AH2304" i="15"/>
  <c r="AH2305" i="15"/>
  <c r="AF2289" i="15"/>
  <c r="AG2289" i="15"/>
  <c r="AH2289" i="15"/>
  <c r="AF2290" i="15"/>
  <c r="AG2290" i="15"/>
  <c r="AH2290" i="15"/>
  <c r="AF2291" i="15"/>
  <c r="AG2291" i="15"/>
  <c r="AH2291" i="15"/>
  <c r="AF2292" i="15"/>
  <c r="AG2292" i="15"/>
  <c r="AH2292" i="15"/>
  <c r="AF2285" i="15"/>
  <c r="AG2285" i="15"/>
  <c r="AH2285" i="15"/>
  <c r="AF2286" i="15"/>
  <c r="AG2286" i="15"/>
  <c r="AH2286" i="15"/>
  <c r="AF2287" i="15"/>
  <c r="AG2287" i="15"/>
  <c r="AH2287" i="15"/>
  <c r="AF2288" i="15"/>
  <c r="AG2288" i="15"/>
  <c r="AH2288" i="15"/>
  <c r="AF2283" i="15"/>
  <c r="AG2283" i="15"/>
  <c r="AH2283" i="15"/>
  <c r="AF2284" i="15"/>
  <c r="AG2284" i="15"/>
  <c r="AH2284" i="15"/>
  <c r="AF2239" i="15"/>
  <c r="AG2239" i="15"/>
  <c r="AH2239" i="15"/>
  <c r="AF2240" i="15"/>
  <c r="AG2240" i="15"/>
  <c r="AH2240" i="15"/>
  <c r="AG2241" i="15"/>
  <c r="AH2241" i="15"/>
  <c r="AG2242" i="15"/>
  <c r="AH2242" i="15"/>
  <c r="AG2243" i="15"/>
  <c r="AH2243" i="15"/>
  <c r="AG2244" i="15"/>
  <c r="AH2244" i="15"/>
  <c r="AF2245" i="15"/>
  <c r="AG2245" i="15"/>
  <c r="AH2245" i="15"/>
  <c r="AF2246" i="15"/>
  <c r="AG2246" i="15"/>
  <c r="AH2246" i="15"/>
  <c r="AG2247" i="15"/>
  <c r="AH2247" i="15"/>
  <c r="AG2248" i="15"/>
  <c r="AH2248" i="15"/>
  <c r="AG2249" i="15"/>
  <c r="AH2249" i="15"/>
  <c r="AG2250" i="15"/>
  <c r="AH2250" i="15"/>
  <c r="AH2251" i="15"/>
  <c r="AH2252" i="15"/>
  <c r="AH2253" i="15"/>
  <c r="AH2254" i="15"/>
  <c r="AH2255" i="15"/>
  <c r="AH2256" i="15"/>
  <c r="AF2257" i="15"/>
  <c r="AG2257" i="15"/>
  <c r="AH2257" i="15"/>
  <c r="AF2258" i="15"/>
  <c r="AG2258" i="15"/>
  <c r="AH2258" i="15"/>
  <c r="AG2259" i="15"/>
  <c r="AH2259" i="15"/>
  <c r="AG2260" i="15"/>
  <c r="AH2260" i="15"/>
  <c r="AG2261" i="15"/>
  <c r="AH2261" i="15"/>
  <c r="AG2262" i="15"/>
  <c r="AH2262" i="15"/>
  <c r="AF2263" i="15"/>
  <c r="AG2263" i="15"/>
  <c r="AH2263" i="15"/>
  <c r="AF2264" i="15"/>
  <c r="AG2264" i="15"/>
  <c r="AH2264" i="15"/>
  <c r="AG2265" i="15"/>
  <c r="AH2265" i="15"/>
  <c r="AG2266" i="15"/>
  <c r="AH2266" i="15"/>
  <c r="AG2267" i="15"/>
  <c r="AH2267" i="15"/>
  <c r="AG2268" i="15"/>
  <c r="AH2268" i="15"/>
  <c r="AH2269" i="15"/>
  <c r="AH2270" i="15"/>
  <c r="AH2271" i="15"/>
  <c r="AH2272" i="15"/>
  <c r="AH2273" i="15"/>
  <c r="AH2274" i="15"/>
  <c r="AF2275" i="15"/>
  <c r="AG2275" i="15"/>
  <c r="AH2275" i="15"/>
  <c r="AF2276" i="15"/>
  <c r="AG2276" i="15"/>
  <c r="AH2276" i="15"/>
  <c r="AF2277" i="15"/>
  <c r="AG2277" i="15"/>
  <c r="AH2277" i="15"/>
  <c r="AF2278" i="15"/>
  <c r="AG2278" i="15"/>
  <c r="AH2278" i="15"/>
  <c r="AH2279" i="15"/>
  <c r="AH2280" i="15"/>
  <c r="AH2281" i="15"/>
  <c r="AH2282" i="15"/>
  <c r="AF2237" i="15"/>
  <c r="AG2237" i="15"/>
  <c r="AH2237" i="15"/>
  <c r="AF2238" i="15"/>
  <c r="AG2238" i="15"/>
  <c r="AH2238" i="15"/>
  <c r="AC2281" i="15"/>
  <c r="AD2281" i="15"/>
  <c r="AE2281" i="15"/>
  <c r="AC2282" i="15"/>
  <c r="AD2282" i="15"/>
  <c r="AE2282" i="15"/>
  <c r="AC2283" i="15"/>
  <c r="AD2283" i="15"/>
  <c r="AE2283" i="15"/>
  <c r="AE2284" i="15"/>
  <c r="AC2279" i="15"/>
  <c r="AD2279" i="15"/>
  <c r="AE2279" i="15"/>
  <c r="AC2280" i="15"/>
  <c r="AD2280" i="15"/>
  <c r="AE2280" i="15"/>
  <c r="AC2278" i="15"/>
  <c r="AD2278" i="15"/>
  <c r="AE2278" i="15"/>
  <c r="AE2277" i="15"/>
  <c r="AE2276" i="15"/>
  <c r="AE2273" i="15"/>
  <c r="AE2274" i="15"/>
  <c r="AE2275" i="15"/>
  <c r="AE2267" i="15"/>
  <c r="AE2268" i="15"/>
  <c r="AE2269" i="15"/>
  <c r="AE2270" i="15"/>
  <c r="AE2271" i="15"/>
  <c r="AE2272" i="15"/>
  <c r="AE2266" i="15"/>
  <c r="AC2265" i="15"/>
  <c r="AE2265" i="15"/>
  <c r="AE2263" i="15"/>
  <c r="AE2264" i="15"/>
  <c r="AC2261" i="15"/>
  <c r="AE2261" i="15"/>
  <c r="AC2262" i="15"/>
  <c r="AE2262" i="15"/>
  <c r="AC2248" i="15"/>
  <c r="AE2248" i="15"/>
  <c r="AC2249" i="15"/>
  <c r="AE2249" i="15"/>
  <c r="AC2250" i="15"/>
  <c r="AE2250" i="15"/>
  <c r="AC2251" i="15"/>
  <c r="AE2251" i="15"/>
  <c r="AC2252" i="15"/>
  <c r="AE2252" i="15"/>
  <c r="AC2253" i="15"/>
  <c r="AE2253" i="15"/>
  <c r="AC2254" i="15"/>
  <c r="AE2254" i="15"/>
  <c r="AC2255" i="15"/>
  <c r="AE2255" i="15"/>
  <c r="AC2256" i="15"/>
  <c r="AE2256" i="15"/>
  <c r="AC2257" i="15"/>
  <c r="AE2257" i="15"/>
  <c r="AE2258" i="15"/>
  <c r="AE2259" i="15"/>
  <c r="AC2260" i="15"/>
  <c r="AD2260" i="15"/>
  <c r="AE2260" i="15"/>
  <c r="AE2244" i="15"/>
  <c r="AE2245" i="15"/>
  <c r="AE2246" i="15"/>
  <c r="AE2247" i="15"/>
  <c r="AE2240" i="15"/>
  <c r="AE2241" i="15"/>
  <c r="AE2242" i="15"/>
  <c r="AE2243" i="15"/>
  <c r="AE2238" i="15"/>
  <c r="AE2239" i="15"/>
  <c r="AC2237" i="15"/>
  <c r="AE2237" i="15"/>
  <c r="Z2281" i="15"/>
  <c r="AA2281" i="15"/>
  <c r="AB2281" i="15"/>
  <c r="Z2282" i="15"/>
  <c r="AA2282" i="15"/>
  <c r="AB2282" i="15"/>
  <c r="Z2283" i="15"/>
  <c r="AA2283" i="15"/>
  <c r="AB2283" i="15"/>
  <c r="AB2284" i="15"/>
  <c r="Z2279" i="15"/>
  <c r="AA2279" i="15"/>
  <c r="AB2279" i="15"/>
  <c r="Z2280" i="15"/>
  <c r="AA2280" i="15"/>
  <c r="AB2280" i="15"/>
  <c r="Z2278" i="15"/>
  <c r="AA2278" i="15"/>
  <c r="AB2278" i="15"/>
  <c r="AB2277" i="15"/>
  <c r="AB2276" i="15"/>
  <c r="AB2273" i="15"/>
  <c r="AB2274" i="15"/>
  <c r="AB2275" i="15"/>
  <c r="AB2267" i="15"/>
  <c r="AB2268" i="15"/>
  <c r="AB2269" i="15"/>
  <c r="AB2270" i="15"/>
  <c r="AB2271" i="15"/>
  <c r="AB2272" i="15"/>
  <c r="AB2266" i="15"/>
  <c r="Z2265" i="15"/>
  <c r="AB2265" i="15"/>
  <c r="AB2263" i="15"/>
  <c r="AB2264" i="15"/>
  <c r="Z2261" i="15"/>
  <c r="AB2261" i="15"/>
  <c r="Z2262" i="15"/>
  <c r="AB2262" i="15"/>
  <c r="Z2248" i="15"/>
  <c r="AB2248" i="15"/>
  <c r="Z2249" i="15"/>
  <c r="AB2249" i="15"/>
  <c r="Z2250" i="15"/>
  <c r="AB2250" i="15"/>
  <c r="Z2251" i="15"/>
  <c r="AB2251" i="15"/>
  <c r="Z2252" i="15"/>
  <c r="AB2252" i="15"/>
  <c r="Z2253" i="15"/>
  <c r="AB2253" i="15"/>
  <c r="Z2254" i="15"/>
  <c r="AB2254" i="15"/>
  <c r="Z2255" i="15"/>
  <c r="AB2255" i="15"/>
  <c r="Z2256" i="15"/>
  <c r="AB2256" i="15"/>
  <c r="Z2257" i="15"/>
  <c r="AB2257" i="15"/>
  <c r="AB2258" i="15"/>
  <c r="AB2259" i="15"/>
  <c r="Z2260" i="15"/>
  <c r="AA2260" i="15"/>
  <c r="AB2260" i="15"/>
  <c r="AB2244" i="15"/>
  <c r="AB2245" i="15"/>
  <c r="AB2246" i="15"/>
  <c r="AB2247" i="15"/>
  <c r="AB2240" i="15"/>
  <c r="AB2241" i="15"/>
  <c r="AB2242" i="15"/>
  <c r="AB2243" i="15"/>
  <c r="AB2238" i="15"/>
  <c r="AB2239" i="15"/>
  <c r="Z2237" i="15"/>
  <c r="AB2237" i="15"/>
  <c r="W2358" i="15"/>
  <c r="X2358" i="15"/>
  <c r="Y2358" i="15"/>
  <c r="W2354" i="15"/>
  <c r="X2354" i="15"/>
  <c r="Y2354" i="15"/>
  <c r="W2355" i="15"/>
  <c r="X2355" i="15"/>
  <c r="Y2355" i="15"/>
  <c r="W2356" i="15"/>
  <c r="X2356" i="15"/>
  <c r="Y2356" i="15"/>
  <c r="Y2357" i="15"/>
  <c r="W2346" i="15"/>
  <c r="Y2346" i="15"/>
  <c r="W2347" i="15"/>
  <c r="Y2347" i="15"/>
  <c r="W2348" i="15"/>
  <c r="Y2348" i="15"/>
  <c r="W2349" i="15"/>
  <c r="Y2349" i="15"/>
  <c r="W2350" i="15"/>
  <c r="Y2350" i="15"/>
  <c r="W2351" i="15"/>
  <c r="Y2351" i="15"/>
  <c r="W2352" i="15"/>
  <c r="X2352" i="15"/>
  <c r="Y2352" i="15"/>
  <c r="W2353" i="15"/>
  <c r="X2353" i="15"/>
  <c r="Y2353" i="15"/>
  <c r="W2345" i="15"/>
  <c r="X2345" i="15"/>
  <c r="Y2345" i="15"/>
  <c r="Y2344" i="15"/>
  <c r="W2342" i="15"/>
  <c r="X2342" i="15"/>
  <c r="Y2342" i="15"/>
  <c r="W2343" i="15"/>
  <c r="X2343" i="15"/>
  <c r="Y2343" i="15"/>
  <c r="Y2340" i="15"/>
  <c r="Y2341" i="15"/>
  <c r="Y2333" i="15"/>
  <c r="Y2334" i="15"/>
  <c r="Y2335" i="15"/>
  <c r="Y2336" i="15"/>
  <c r="Y2337" i="15"/>
  <c r="Y2338" i="15"/>
  <c r="Y2339" i="15"/>
  <c r="Y2330" i="15"/>
  <c r="Y2331" i="15"/>
  <c r="Y2332" i="15"/>
  <c r="Y2296" i="15"/>
  <c r="Y2297" i="15"/>
  <c r="Y2298" i="15"/>
  <c r="Y2299" i="15"/>
  <c r="Y2300" i="15"/>
  <c r="Y2301" i="15"/>
  <c r="Y2302" i="15"/>
  <c r="Y2303" i="15"/>
  <c r="Y2304" i="15"/>
  <c r="Y2305" i="15"/>
  <c r="Y2306" i="15"/>
  <c r="Y2307" i="15"/>
  <c r="Y2308" i="15"/>
  <c r="Y2309" i="15"/>
  <c r="Y2310" i="15"/>
  <c r="Y2311" i="15"/>
  <c r="Y2312" i="15"/>
  <c r="Y2313" i="15"/>
  <c r="Y2314" i="15"/>
  <c r="Y2315" i="15"/>
  <c r="Y2316" i="15"/>
  <c r="Y2317" i="15"/>
  <c r="Y2318" i="15"/>
  <c r="Y2319" i="15"/>
  <c r="W2320" i="15"/>
  <c r="Y2320" i="15"/>
  <c r="W2321" i="15"/>
  <c r="Y2321" i="15"/>
  <c r="W2322" i="15"/>
  <c r="Y2322" i="15"/>
  <c r="W2323" i="15"/>
  <c r="Y2323" i="15"/>
  <c r="W2324" i="15"/>
  <c r="Y2324" i="15"/>
  <c r="W2325" i="15"/>
  <c r="Y2325" i="15"/>
  <c r="W2326" i="15"/>
  <c r="Y2326" i="15"/>
  <c r="W2327" i="15"/>
  <c r="Y2327" i="15"/>
  <c r="W2328" i="15"/>
  <c r="Y2328" i="15"/>
  <c r="W2329" i="15"/>
  <c r="Y2329" i="15"/>
  <c r="W2290" i="15"/>
  <c r="X2290" i="15"/>
  <c r="Y2290" i="15"/>
  <c r="W2291" i="15"/>
  <c r="X2291" i="15"/>
  <c r="Y2291" i="15"/>
  <c r="W2292" i="15"/>
  <c r="X2292" i="15"/>
  <c r="Y2292" i="15"/>
  <c r="W2293" i="15"/>
  <c r="X2293" i="15"/>
  <c r="Y2293" i="15"/>
  <c r="W2294" i="15"/>
  <c r="X2294" i="15"/>
  <c r="Y2294" i="15"/>
  <c r="W2295" i="15"/>
  <c r="X2295" i="15"/>
  <c r="Y2295" i="15"/>
  <c r="Y2289" i="15"/>
  <c r="Y2288" i="15"/>
  <c r="Y2284" i="15"/>
  <c r="Y2285" i="15"/>
  <c r="W2286" i="15"/>
  <c r="Y2286" i="15"/>
  <c r="W2287" i="15"/>
  <c r="Y2287" i="15"/>
  <c r="W2282" i="15"/>
  <c r="Y2282" i="15"/>
  <c r="W2283" i="15"/>
  <c r="Y2283" i="15"/>
  <c r="Y2279" i="15"/>
  <c r="Y2280" i="15"/>
  <c r="Y2281" i="15"/>
  <c r="Y2265" i="15"/>
  <c r="W2266" i="15"/>
  <c r="Y2266" i="15"/>
  <c r="W2267" i="15"/>
  <c r="Y2267" i="15"/>
  <c r="W2268" i="15"/>
  <c r="Y2268" i="15"/>
  <c r="W2269" i="15"/>
  <c r="Y2269" i="15"/>
  <c r="W2270" i="15"/>
  <c r="Y2270" i="15"/>
  <c r="W2271" i="15"/>
  <c r="Y2271" i="15"/>
  <c r="W2272" i="15"/>
  <c r="Y2272" i="15"/>
  <c r="W2273" i="15"/>
  <c r="Y2273" i="15"/>
  <c r="W2274" i="15"/>
  <c r="Y2274" i="15"/>
  <c r="W2275" i="15"/>
  <c r="Y2275" i="15"/>
  <c r="Y2276" i="15"/>
  <c r="Y2277" i="15"/>
  <c r="W2278" i="15"/>
  <c r="X2278" i="15"/>
  <c r="Y2278" i="15"/>
  <c r="Y2261" i="15"/>
  <c r="Y2262" i="15"/>
  <c r="Y2263" i="15"/>
  <c r="Y2264" i="15"/>
  <c r="Y2259" i="15"/>
  <c r="Y2260" i="15"/>
  <c r="Y2257" i="15"/>
  <c r="Y2258" i="15"/>
  <c r="Y2239" i="15"/>
  <c r="Y2240" i="15"/>
  <c r="Y2241" i="15"/>
  <c r="Y2242" i="15"/>
  <c r="Y2243" i="15"/>
  <c r="Y2244" i="15"/>
  <c r="Y2245" i="15"/>
  <c r="Y2246" i="15"/>
  <c r="Y2247" i="15"/>
  <c r="Y2248" i="15"/>
  <c r="Y2249" i="15"/>
  <c r="Y2250" i="15"/>
  <c r="Y2251" i="15"/>
  <c r="Y2252" i="15"/>
  <c r="Y2253" i="15"/>
  <c r="Y2254" i="15"/>
  <c r="Y2255" i="15"/>
  <c r="Y2256" i="15"/>
  <c r="W2237" i="15"/>
  <c r="X2237" i="15"/>
  <c r="Y2237" i="15"/>
  <c r="W2238" i="15"/>
  <c r="Y2238" i="15"/>
  <c r="T2358" i="15"/>
  <c r="U2358" i="15"/>
  <c r="V2358" i="15"/>
  <c r="T2354" i="15"/>
  <c r="U2354" i="15"/>
  <c r="V2354" i="15"/>
  <c r="T2355" i="15"/>
  <c r="U2355" i="15"/>
  <c r="V2355" i="15"/>
  <c r="T2356" i="15"/>
  <c r="U2356" i="15"/>
  <c r="V2356" i="15"/>
  <c r="V2357" i="15"/>
  <c r="T2346" i="15"/>
  <c r="V2346" i="15"/>
  <c r="T2347" i="15"/>
  <c r="V2347" i="15"/>
  <c r="T2348" i="15"/>
  <c r="V2348" i="15"/>
  <c r="T2349" i="15"/>
  <c r="V2349" i="15"/>
  <c r="T2350" i="15"/>
  <c r="V2350" i="15"/>
  <c r="T2351" i="15"/>
  <c r="V2351" i="15"/>
  <c r="T2352" i="15"/>
  <c r="U2352" i="15"/>
  <c r="V2352" i="15"/>
  <c r="T2353" i="15"/>
  <c r="U2353" i="15"/>
  <c r="V2353" i="15"/>
  <c r="T2345" i="15"/>
  <c r="U2345" i="15"/>
  <c r="V2345" i="15"/>
  <c r="V2344" i="15"/>
  <c r="T2342" i="15"/>
  <c r="U2342" i="15"/>
  <c r="V2342" i="15"/>
  <c r="T2343" i="15"/>
  <c r="U2343" i="15"/>
  <c r="V2343" i="15"/>
  <c r="V2340" i="15"/>
  <c r="V2341" i="15"/>
  <c r="V2333" i="15"/>
  <c r="V2334" i="15"/>
  <c r="V2335" i="15"/>
  <c r="V2336" i="15"/>
  <c r="V2337" i="15"/>
  <c r="V2338" i="15"/>
  <c r="V2339" i="15"/>
  <c r="V2330" i="15"/>
  <c r="V2331" i="15"/>
  <c r="V2332" i="15"/>
  <c r="V2296" i="15"/>
  <c r="V2297" i="15"/>
  <c r="V2298" i="15"/>
  <c r="V2299" i="15"/>
  <c r="V2300" i="15"/>
  <c r="V2301" i="15"/>
  <c r="V2302" i="15"/>
  <c r="V2303" i="15"/>
  <c r="V2304" i="15"/>
  <c r="V2305" i="15"/>
  <c r="V2306" i="15"/>
  <c r="V2307" i="15"/>
  <c r="V2308" i="15"/>
  <c r="V2309" i="15"/>
  <c r="V2310" i="15"/>
  <c r="V2311" i="15"/>
  <c r="V2312" i="15"/>
  <c r="V2313" i="15"/>
  <c r="V2314" i="15"/>
  <c r="V2315" i="15"/>
  <c r="V2316" i="15"/>
  <c r="V2317" i="15"/>
  <c r="V2318" i="15"/>
  <c r="V2319" i="15"/>
  <c r="T2320" i="15"/>
  <c r="V2320" i="15"/>
  <c r="T2321" i="15"/>
  <c r="V2321" i="15"/>
  <c r="T2322" i="15"/>
  <c r="V2322" i="15"/>
  <c r="T2323" i="15"/>
  <c r="V2323" i="15"/>
  <c r="T2324" i="15"/>
  <c r="V2324" i="15"/>
  <c r="T2325" i="15"/>
  <c r="V2325" i="15"/>
  <c r="T2326" i="15"/>
  <c r="V2326" i="15"/>
  <c r="T2327" i="15"/>
  <c r="V2327" i="15"/>
  <c r="T2328" i="15"/>
  <c r="V2328" i="15"/>
  <c r="T2329" i="15"/>
  <c r="V2329" i="15"/>
  <c r="T2290" i="15"/>
  <c r="U2290" i="15"/>
  <c r="V2290" i="15"/>
  <c r="T2291" i="15"/>
  <c r="U2291" i="15"/>
  <c r="V2291" i="15"/>
  <c r="T2292" i="15"/>
  <c r="U2292" i="15"/>
  <c r="V2292" i="15"/>
  <c r="T2293" i="15"/>
  <c r="U2293" i="15"/>
  <c r="V2293" i="15"/>
  <c r="T2294" i="15"/>
  <c r="U2294" i="15"/>
  <c r="V2294" i="15"/>
  <c r="T2295" i="15"/>
  <c r="U2295" i="15"/>
  <c r="V2295" i="15"/>
  <c r="V2289" i="15"/>
  <c r="V2288" i="15"/>
  <c r="V2284" i="15"/>
  <c r="V2285" i="15"/>
  <c r="T2286" i="15"/>
  <c r="V2286" i="15"/>
  <c r="T2287" i="15"/>
  <c r="V2287" i="15"/>
  <c r="V2282" i="15"/>
  <c r="V2283" i="15"/>
  <c r="V2279" i="15"/>
  <c r="V2280" i="15"/>
  <c r="V2281" i="15"/>
  <c r="V2265" i="15"/>
  <c r="T2266" i="15"/>
  <c r="V2266" i="15"/>
  <c r="T2267" i="15"/>
  <c r="V2267" i="15"/>
  <c r="T2268" i="15"/>
  <c r="V2268" i="15"/>
  <c r="T2269" i="15"/>
  <c r="V2269" i="15"/>
  <c r="T2270" i="15"/>
  <c r="V2270" i="15"/>
  <c r="T2271" i="15"/>
  <c r="V2271" i="15"/>
  <c r="T2272" i="15"/>
  <c r="V2272" i="15"/>
  <c r="T2273" i="15"/>
  <c r="V2273" i="15"/>
  <c r="T2274" i="15"/>
  <c r="V2274" i="15"/>
  <c r="T2275" i="15"/>
  <c r="V2275" i="15"/>
  <c r="V2276" i="15"/>
  <c r="V2277" i="15"/>
  <c r="T2278" i="15"/>
  <c r="U2278" i="15"/>
  <c r="V2278" i="15"/>
  <c r="V2261" i="15"/>
  <c r="V2262" i="15"/>
  <c r="V2263" i="15"/>
  <c r="V2264" i="15"/>
  <c r="V2259" i="15"/>
  <c r="V2260" i="15"/>
  <c r="V2257" i="15"/>
  <c r="V2258" i="15"/>
  <c r="V2239" i="15"/>
  <c r="V2240" i="15"/>
  <c r="V2241" i="15"/>
  <c r="V2242" i="15"/>
  <c r="V2243" i="15"/>
  <c r="V2244" i="15"/>
  <c r="V2245" i="15"/>
  <c r="V2246" i="15"/>
  <c r="V2247" i="15"/>
  <c r="V2248" i="15"/>
  <c r="V2249" i="15"/>
  <c r="V2250" i="15"/>
  <c r="V2251" i="15"/>
  <c r="V2252" i="15"/>
  <c r="V2253" i="15"/>
  <c r="V2254" i="15"/>
  <c r="V2255" i="15"/>
  <c r="V2256" i="15"/>
  <c r="T2237" i="15"/>
  <c r="U2237" i="15"/>
  <c r="V2237" i="15"/>
  <c r="T2238" i="15"/>
  <c r="V2238" i="15"/>
  <c r="Q2291" i="15"/>
  <c r="R2291" i="15"/>
  <c r="S2291" i="15"/>
  <c r="Q2292" i="15"/>
  <c r="R2292" i="15"/>
  <c r="S2292" i="15"/>
  <c r="S2288" i="15"/>
  <c r="R2289" i="15"/>
  <c r="S2289" i="15"/>
  <c r="R2290" i="15"/>
  <c r="S2290" i="15"/>
  <c r="Q2286" i="15"/>
  <c r="R2286" i="15"/>
  <c r="S2286" i="15"/>
  <c r="Q2287" i="15"/>
  <c r="R2287" i="15"/>
  <c r="S2287" i="15"/>
  <c r="Q2284" i="15"/>
  <c r="R2284" i="15"/>
  <c r="S2284" i="15"/>
  <c r="Q2285" i="15"/>
  <c r="R2285" i="15"/>
  <c r="S2285" i="15"/>
  <c r="S2282" i="15"/>
  <c r="S2283" i="15"/>
  <c r="S2280" i="15"/>
  <c r="S2281" i="15"/>
  <c r="S2274" i="15"/>
  <c r="S2275" i="15"/>
  <c r="S2276" i="15"/>
  <c r="S2277" i="15"/>
  <c r="S2278" i="15"/>
  <c r="S2279" i="15"/>
  <c r="S2273" i="15"/>
  <c r="Q2271" i="15"/>
  <c r="S2271" i="15"/>
  <c r="Q2272" i="15"/>
  <c r="S2272" i="15"/>
  <c r="Q2269" i="15"/>
  <c r="S2269" i="15"/>
  <c r="Q2270" i="15"/>
  <c r="S2270" i="15"/>
  <c r="Q2268" i="15"/>
  <c r="R2268" i="15"/>
  <c r="S2268" i="15"/>
  <c r="Q2262" i="15"/>
  <c r="S2262" i="15"/>
  <c r="Q2263" i="15"/>
  <c r="S2263" i="15"/>
  <c r="Q2264" i="15"/>
  <c r="S2264" i="15"/>
  <c r="Q2265" i="15"/>
  <c r="S2265" i="15"/>
  <c r="Q2266" i="15"/>
  <c r="S2266" i="15"/>
  <c r="Q2267" i="15"/>
  <c r="S2267" i="15"/>
  <c r="S2256" i="15"/>
  <c r="S2257" i="15"/>
  <c r="S2258" i="15"/>
  <c r="S2259" i="15"/>
  <c r="S2260" i="15"/>
  <c r="S2261" i="15"/>
  <c r="S2238" i="15"/>
  <c r="S2239" i="15"/>
  <c r="S2240" i="15"/>
  <c r="S2241" i="15"/>
  <c r="S2242" i="15"/>
  <c r="S2243" i="15"/>
  <c r="S2244" i="15"/>
  <c r="S2245" i="15"/>
  <c r="S2246" i="15"/>
  <c r="S2247" i="15"/>
  <c r="S2248" i="15"/>
  <c r="S2249" i="15"/>
  <c r="S2250" i="15"/>
  <c r="S2251" i="15"/>
  <c r="S2252" i="15"/>
  <c r="S2253" i="15"/>
  <c r="S2254" i="15"/>
  <c r="S2255" i="15"/>
  <c r="Q2237" i="15"/>
  <c r="R2237" i="15"/>
  <c r="S2237" i="15"/>
  <c r="N2291" i="15"/>
  <c r="O2291" i="15"/>
  <c r="P2291" i="15"/>
  <c r="N2292" i="15"/>
  <c r="O2292" i="15"/>
  <c r="P2292" i="15"/>
  <c r="P2288" i="15"/>
  <c r="O2289" i="15"/>
  <c r="P2289" i="15"/>
  <c r="O2290" i="15"/>
  <c r="P2290" i="15"/>
  <c r="N2286" i="15"/>
  <c r="O2286" i="15"/>
  <c r="P2286" i="15"/>
  <c r="N2287" i="15"/>
  <c r="O2287" i="15"/>
  <c r="P2287" i="15"/>
  <c r="N2284" i="15"/>
  <c r="O2284" i="15"/>
  <c r="P2284" i="15"/>
  <c r="N2285" i="15"/>
  <c r="O2285" i="15"/>
  <c r="P2285" i="15"/>
  <c r="P2282" i="15"/>
  <c r="P2283" i="15"/>
  <c r="P2280" i="15"/>
  <c r="P2281" i="15"/>
  <c r="P2274" i="15"/>
  <c r="P2275" i="15"/>
  <c r="P2276" i="15"/>
  <c r="P2277" i="15"/>
  <c r="P2278" i="15"/>
  <c r="P2279" i="15"/>
  <c r="P2273" i="15"/>
  <c r="N2271" i="15"/>
  <c r="P2271" i="15"/>
  <c r="N2272" i="15"/>
  <c r="P2272" i="15"/>
  <c r="P2269" i="15"/>
  <c r="P2270" i="15"/>
  <c r="N2268" i="15"/>
  <c r="O2268" i="15"/>
  <c r="P2268" i="15"/>
  <c r="N2262" i="15"/>
  <c r="P2262" i="15"/>
  <c r="N2263" i="15"/>
  <c r="P2263" i="15"/>
  <c r="N2264" i="15"/>
  <c r="P2264" i="15"/>
  <c r="N2265" i="15"/>
  <c r="P2265" i="15"/>
  <c r="N2266" i="15"/>
  <c r="P2266" i="15"/>
  <c r="N2267" i="15"/>
  <c r="P2267" i="15"/>
  <c r="P2256" i="15"/>
  <c r="P2257" i="15"/>
  <c r="P2258" i="15"/>
  <c r="P2259" i="15"/>
  <c r="P2260" i="15"/>
  <c r="P2261" i="15"/>
  <c r="P2238" i="15"/>
  <c r="P2239" i="15"/>
  <c r="P2240" i="15"/>
  <c r="P2241" i="15"/>
  <c r="P2242" i="15"/>
  <c r="P2243" i="15"/>
  <c r="P2244" i="15"/>
  <c r="P2245" i="15"/>
  <c r="P2246" i="15"/>
  <c r="P2247" i="15"/>
  <c r="P2248" i="15"/>
  <c r="P2249" i="15"/>
  <c r="P2250" i="15"/>
  <c r="P2251" i="15"/>
  <c r="P2252" i="15"/>
  <c r="P2253" i="15"/>
  <c r="P2254" i="15"/>
  <c r="P2255" i="15"/>
  <c r="N2237" i="15"/>
  <c r="O2237" i="15"/>
  <c r="P2237" i="15"/>
  <c r="M2276" i="15"/>
  <c r="M2277" i="15"/>
  <c r="M2273" i="15"/>
  <c r="L2274" i="15"/>
  <c r="M2274" i="15"/>
  <c r="L2275" i="15"/>
  <c r="M2275" i="15"/>
  <c r="K2271" i="15"/>
  <c r="L2271" i="15"/>
  <c r="M2271" i="15"/>
  <c r="K2272" i="15"/>
  <c r="L2272" i="15"/>
  <c r="M2272" i="15"/>
  <c r="M2269" i="15"/>
  <c r="M2270" i="15"/>
  <c r="M2267" i="15"/>
  <c r="M2268" i="15"/>
  <c r="M2261" i="15"/>
  <c r="M2262" i="15"/>
  <c r="M2263" i="15"/>
  <c r="M2264" i="15"/>
  <c r="M2265" i="15"/>
  <c r="M2266" i="15"/>
  <c r="M2255" i="15"/>
  <c r="M2256" i="15"/>
  <c r="M2257" i="15"/>
  <c r="M2258" i="15"/>
  <c r="M2259" i="15"/>
  <c r="M2260" i="15"/>
  <c r="M2237" i="15"/>
  <c r="M2238" i="15"/>
  <c r="M2239" i="15"/>
  <c r="M2240" i="15"/>
  <c r="M2241" i="15"/>
  <c r="M2242" i="15"/>
  <c r="M2243" i="15"/>
  <c r="M2244" i="15"/>
  <c r="M2245" i="15"/>
  <c r="M2246" i="15"/>
  <c r="M2247" i="15"/>
  <c r="M2248" i="15"/>
  <c r="M2249" i="15"/>
  <c r="M2250" i="15"/>
  <c r="M2251" i="15"/>
  <c r="M2252" i="15"/>
  <c r="M2253" i="15"/>
  <c r="M2254" i="15"/>
  <c r="J2276" i="15"/>
  <c r="J2277" i="15"/>
  <c r="J2273" i="15"/>
  <c r="I2274" i="15"/>
  <c r="J2274" i="15"/>
  <c r="I2275" i="15"/>
  <c r="J2275" i="15"/>
  <c r="H2271" i="15"/>
  <c r="I2271" i="15"/>
  <c r="J2271" i="15"/>
  <c r="H2272" i="15"/>
  <c r="I2272" i="15"/>
  <c r="J2272" i="15"/>
  <c r="J2269" i="15"/>
  <c r="J2270" i="15"/>
  <c r="J2267" i="15"/>
  <c r="J2268" i="15"/>
  <c r="J2261" i="15"/>
  <c r="J2262" i="15"/>
  <c r="J2263" i="15"/>
  <c r="J2264" i="15"/>
  <c r="J2265" i="15"/>
  <c r="J2266" i="15"/>
  <c r="J2255" i="15"/>
  <c r="J2256" i="15"/>
  <c r="J2257" i="15"/>
  <c r="J2258" i="15"/>
  <c r="J2259" i="15"/>
  <c r="J2260" i="15"/>
  <c r="J2237" i="15"/>
  <c r="J2238" i="15"/>
  <c r="J2239" i="15"/>
  <c r="J2240" i="15"/>
  <c r="J2241" i="15"/>
  <c r="J2242" i="15"/>
  <c r="J2243" i="15"/>
  <c r="J2244" i="15"/>
  <c r="J2245" i="15"/>
  <c r="J2246" i="15"/>
  <c r="J2247" i="15"/>
  <c r="J2248" i="15"/>
  <c r="J2249" i="15"/>
  <c r="J2250" i="15"/>
  <c r="J2251" i="15"/>
  <c r="J2252" i="15"/>
  <c r="J2253" i="15"/>
  <c r="J2254" i="15"/>
  <c r="E2276" i="15"/>
  <c r="F2276" i="15"/>
  <c r="G2276" i="15"/>
  <c r="E2277" i="15"/>
  <c r="F2277" i="15"/>
  <c r="G2277" i="15"/>
  <c r="G2273" i="15"/>
  <c r="F2274" i="15"/>
  <c r="G2274" i="15"/>
  <c r="F2275" i="15"/>
  <c r="G2275" i="15"/>
  <c r="E2271" i="15"/>
  <c r="F2271" i="15"/>
  <c r="G2271" i="15"/>
  <c r="E2272" i="15"/>
  <c r="F2272" i="15"/>
  <c r="G2272" i="15"/>
  <c r="G2269" i="15"/>
  <c r="G2270" i="15"/>
  <c r="G2267" i="15"/>
  <c r="G2268" i="15"/>
  <c r="G2261" i="15"/>
  <c r="G2262" i="15"/>
  <c r="G2263" i="15"/>
  <c r="G2264" i="15"/>
  <c r="G2265" i="15"/>
  <c r="G2266" i="15"/>
  <c r="G2255" i="15"/>
  <c r="G2256" i="15"/>
  <c r="G2257" i="15"/>
  <c r="G2258" i="15"/>
  <c r="G2259" i="15"/>
  <c r="G2260" i="15"/>
  <c r="G2237" i="15"/>
  <c r="G2238" i="15"/>
  <c r="G2239" i="15"/>
  <c r="G2240" i="15"/>
  <c r="G2241" i="15"/>
  <c r="G2242" i="15"/>
  <c r="G2243" i="15"/>
  <c r="G2244" i="15"/>
  <c r="G2245" i="15"/>
  <c r="G2246" i="15"/>
  <c r="G2247" i="15"/>
  <c r="G2248" i="15"/>
  <c r="G2249" i="15"/>
  <c r="G2250" i="15"/>
  <c r="G2251" i="15"/>
  <c r="G2252" i="15"/>
  <c r="G2253" i="15"/>
  <c r="G2254" i="15"/>
  <c r="B2276" i="15"/>
  <c r="C2276" i="15"/>
  <c r="D2276" i="15"/>
  <c r="B2277" i="15"/>
  <c r="C2277" i="15"/>
  <c r="D2277" i="15"/>
  <c r="D2273" i="15"/>
  <c r="C2274" i="15"/>
  <c r="D2274" i="15"/>
  <c r="C2275" i="15"/>
  <c r="D2275" i="15"/>
  <c r="B2271" i="15"/>
  <c r="C2271" i="15"/>
  <c r="D2271" i="15"/>
  <c r="B2272" i="15"/>
  <c r="C2272" i="15"/>
  <c r="D2272" i="15"/>
  <c r="D2269" i="15"/>
  <c r="D2270" i="15"/>
  <c r="D2267" i="15"/>
  <c r="D2268" i="15"/>
  <c r="D2261" i="15"/>
  <c r="D2262" i="15"/>
  <c r="D2263" i="15"/>
  <c r="D2264" i="15"/>
  <c r="D2265" i="15"/>
  <c r="D2266" i="15"/>
  <c r="D2255" i="15"/>
  <c r="D2256" i="15"/>
  <c r="D2257" i="15"/>
  <c r="D2258" i="15"/>
  <c r="D2259" i="15"/>
  <c r="D2260" i="15"/>
  <c r="D2237" i="15"/>
  <c r="D2238" i="15"/>
  <c r="D2239" i="15"/>
  <c r="D2240" i="15"/>
  <c r="D2241" i="15"/>
  <c r="D2242" i="15"/>
  <c r="D2243" i="15"/>
  <c r="D2244" i="15"/>
  <c r="D2245" i="15"/>
  <c r="D2246" i="15"/>
  <c r="D2247" i="15"/>
  <c r="D2248" i="15"/>
  <c r="D2249" i="15"/>
  <c r="D2250" i="15"/>
  <c r="D2251" i="15"/>
  <c r="D2252" i="15"/>
  <c r="D2253" i="15"/>
  <c r="D2254" i="15"/>
  <c r="AI2214" i="15"/>
  <c r="AJ2214" i="15"/>
  <c r="AK2214" i="15"/>
  <c r="AI2215" i="15"/>
  <c r="AJ2215" i="15"/>
  <c r="AK2215" i="15"/>
  <c r="AI2210" i="15"/>
  <c r="AJ2210" i="15"/>
  <c r="AK2210" i="15"/>
  <c r="AI2211" i="15"/>
  <c r="AJ2211" i="15"/>
  <c r="AK2211" i="15"/>
  <c r="AI2212" i="15"/>
  <c r="AJ2212" i="15"/>
  <c r="AK2212" i="15"/>
  <c r="AI2213" i="15"/>
  <c r="AJ2213" i="15"/>
  <c r="AK2213" i="15"/>
  <c r="AI2209" i="15"/>
  <c r="AK2209" i="15"/>
  <c r="AI2205" i="15"/>
  <c r="AK2205" i="15"/>
  <c r="AI2206" i="15"/>
  <c r="AK2206" i="15"/>
  <c r="AI2207" i="15"/>
  <c r="AK2207" i="15"/>
  <c r="AI2208" i="15"/>
  <c r="AK2208" i="15"/>
  <c r="AI2193" i="15"/>
  <c r="AJ2193" i="15"/>
  <c r="AK2193" i="15"/>
  <c r="AI2194" i="15"/>
  <c r="AJ2194" i="15"/>
  <c r="AK2194" i="15"/>
  <c r="AI2195" i="15"/>
  <c r="AJ2195" i="15"/>
  <c r="AK2195" i="15"/>
  <c r="AI2196" i="15"/>
  <c r="AJ2196" i="15"/>
  <c r="AK2196" i="15"/>
  <c r="AI2197" i="15"/>
  <c r="AJ2197" i="15"/>
  <c r="AK2197" i="15"/>
  <c r="AI2198" i="15"/>
  <c r="AJ2198" i="15"/>
  <c r="AK2198" i="15"/>
  <c r="AI2199" i="15"/>
  <c r="AJ2199" i="15"/>
  <c r="AK2199" i="15"/>
  <c r="AI2200" i="15"/>
  <c r="AJ2200" i="15"/>
  <c r="AK2200" i="15"/>
  <c r="AI2201" i="15"/>
  <c r="AJ2201" i="15"/>
  <c r="AK2201" i="15"/>
  <c r="AI2202" i="15"/>
  <c r="AJ2202" i="15"/>
  <c r="AK2202" i="15"/>
  <c r="AI2203" i="15"/>
  <c r="AJ2203" i="15"/>
  <c r="AK2203" i="15"/>
  <c r="AI2204" i="15"/>
  <c r="AJ2204" i="15"/>
  <c r="AK2204" i="15"/>
  <c r="AF2214" i="15"/>
  <c r="AG2214" i="15"/>
  <c r="AH2214" i="15"/>
  <c r="AF2215" i="15"/>
  <c r="AG2215" i="15"/>
  <c r="AH2215" i="15"/>
  <c r="AF2210" i="15"/>
  <c r="AG2210" i="15"/>
  <c r="AH2210" i="15"/>
  <c r="AF2211" i="15"/>
  <c r="AG2211" i="15"/>
  <c r="AH2211" i="15"/>
  <c r="AF2212" i="15"/>
  <c r="AG2212" i="15"/>
  <c r="AH2212" i="15"/>
  <c r="AF2213" i="15"/>
  <c r="AG2213" i="15"/>
  <c r="AH2213" i="15"/>
  <c r="AF2209" i="15"/>
  <c r="AH2209" i="15"/>
  <c r="AF2205" i="15"/>
  <c r="AH2205" i="15"/>
  <c r="AF2206" i="15"/>
  <c r="AH2206" i="15"/>
  <c r="AF2207" i="15"/>
  <c r="AH2207" i="15"/>
  <c r="AF2208" i="15"/>
  <c r="AH2208" i="15"/>
  <c r="AF2193" i="15"/>
  <c r="AG2193" i="15"/>
  <c r="AH2193" i="15"/>
  <c r="AF2194" i="15"/>
  <c r="AG2194" i="15"/>
  <c r="AH2194" i="15"/>
  <c r="AF2195" i="15"/>
  <c r="AG2195" i="15"/>
  <c r="AH2195" i="15"/>
  <c r="AF2196" i="15"/>
  <c r="AG2196" i="15"/>
  <c r="AH2196" i="15"/>
  <c r="AF2197" i="15"/>
  <c r="AG2197" i="15"/>
  <c r="AH2197" i="15"/>
  <c r="AF2198" i="15"/>
  <c r="AG2198" i="15"/>
  <c r="AH2198" i="15"/>
  <c r="AF2199" i="15"/>
  <c r="AG2199" i="15"/>
  <c r="AH2199" i="15"/>
  <c r="AF2200" i="15"/>
  <c r="AG2200" i="15"/>
  <c r="AH2200" i="15"/>
  <c r="AF2201" i="15"/>
  <c r="AG2201" i="15"/>
  <c r="AH2201" i="15"/>
  <c r="AF2202" i="15"/>
  <c r="AG2202" i="15"/>
  <c r="AH2202" i="15"/>
  <c r="AF2203" i="15"/>
  <c r="AG2203" i="15"/>
  <c r="AH2203" i="15"/>
  <c r="AF2204" i="15"/>
  <c r="AG2204" i="15"/>
  <c r="AH2204" i="15"/>
  <c r="AC2204" i="15"/>
  <c r="AD2204" i="15"/>
  <c r="AE2204" i="15"/>
  <c r="AC2205" i="15"/>
  <c r="AD2205" i="15"/>
  <c r="AE2205" i="15"/>
  <c r="Z2204" i="15"/>
  <c r="AA2204" i="15"/>
  <c r="AB2204" i="15"/>
  <c r="Z2205" i="15"/>
  <c r="AA2205" i="15"/>
  <c r="AB2205" i="15"/>
  <c r="AE2199" i="15"/>
  <c r="AE2200" i="15"/>
  <c r="AE2201" i="15"/>
  <c r="AE2202" i="15"/>
  <c r="AE2203" i="15"/>
  <c r="AB2199" i="15"/>
  <c r="AB2200" i="15"/>
  <c r="AB2201" i="15"/>
  <c r="AB2202" i="15"/>
  <c r="AB2203" i="15"/>
  <c r="AE2193" i="15"/>
  <c r="AE2194" i="15"/>
  <c r="AE2195" i="15"/>
  <c r="AE2196" i="15"/>
  <c r="AE2197" i="15"/>
  <c r="AE2198" i="15"/>
  <c r="AB2193" i="15"/>
  <c r="AB2194" i="15"/>
  <c r="AB2195" i="15"/>
  <c r="AB2196" i="15"/>
  <c r="AB2197" i="15"/>
  <c r="AB2198" i="15"/>
  <c r="W2232" i="15"/>
  <c r="X2232" i="15"/>
  <c r="Y2232" i="15"/>
  <c r="W2233" i="15"/>
  <c r="X2233" i="15"/>
  <c r="Y2233" i="15"/>
  <c r="W2230" i="15"/>
  <c r="X2230" i="15"/>
  <c r="Y2230" i="15"/>
  <c r="W2231" i="15"/>
  <c r="X2231" i="15"/>
  <c r="Y2231" i="15"/>
  <c r="Y2228" i="15"/>
  <c r="Y2229" i="15"/>
  <c r="Y2223" i="15"/>
  <c r="Y2224" i="15"/>
  <c r="Y2225" i="15"/>
  <c r="Y2226" i="15"/>
  <c r="Y2227" i="15"/>
  <c r="W2222" i="15"/>
  <c r="Y2222" i="15"/>
  <c r="Y2217" i="15"/>
  <c r="Y2218" i="15"/>
  <c r="Y2219" i="15"/>
  <c r="Y2220" i="15"/>
  <c r="Y2221" i="15"/>
  <c r="Y2205" i="15"/>
  <c r="Y2206" i="15"/>
  <c r="Y2207" i="15"/>
  <c r="Y2208" i="15"/>
  <c r="Y2209" i="15"/>
  <c r="Y2210" i="15"/>
  <c r="Y2211" i="15"/>
  <c r="Y2212" i="15"/>
  <c r="Y2213" i="15"/>
  <c r="Y2214" i="15"/>
  <c r="Y2215" i="15"/>
  <c r="Y2216" i="15"/>
  <c r="Y2193" i="15"/>
  <c r="Y2194" i="15"/>
  <c r="W2195" i="15"/>
  <c r="X2195" i="15"/>
  <c r="Y2195" i="15"/>
  <c r="W2196" i="15"/>
  <c r="X2196" i="15"/>
  <c r="Y2196" i="15"/>
  <c r="W2197" i="15"/>
  <c r="X2197" i="15"/>
  <c r="Y2197" i="15"/>
  <c r="W2198" i="15"/>
  <c r="X2198" i="15"/>
  <c r="Y2198" i="15"/>
  <c r="Y2199" i="15"/>
  <c r="Y2200" i="15"/>
  <c r="Y2201" i="15"/>
  <c r="Y2202" i="15"/>
  <c r="Y2203" i="15"/>
  <c r="Y2204" i="15"/>
  <c r="T2232" i="15"/>
  <c r="U2232" i="15"/>
  <c r="V2232" i="15"/>
  <c r="T2233" i="15"/>
  <c r="U2233" i="15"/>
  <c r="V2233" i="15"/>
  <c r="T2230" i="15"/>
  <c r="U2230" i="15"/>
  <c r="V2230" i="15"/>
  <c r="T2231" i="15"/>
  <c r="U2231" i="15"/>
  <c r="V2231" i="15"/>
  <c r="V2228" i="15"/>
  <c r="V2229" i="15"/>
  <c r="V2223" i="15"/>
  <c r="V2224" i="15"/>
  <c r="V2225" i="15"/>
  <c r="V2226" i="15"/>
  <c r="V2227" i="15"/>
  <c r="T2222" i="15"/>
  <c r="V2222" i="15"/>
  <c r="V2217" i="15"/>
  <c r="V2218" i="15"/>
  <c r="V2219" i="15"/>
  <c r="V2220" i="15"/>
  <c r="V2221" i="15"/>
  <c r="V2205" i="15"/>
  <c r="V2206" i="15"/>
  <c r="V2207" i="15"/>
  <c r="V2208" i="15"/>
  <c r="V2209" i="15"/>
  <c r="V2210" i="15"/>
  <c r="V2211" i="15"/>
  <c r="V2212" i="15"/>
  <c r="V2213" i="15"/>
  <c r="V2214" i="15"/>
  <c r="V2215" i="15"/>
  <c r="V2216" i="15"/>
  <c r="T2193" i="15"/>
  <c r="U2193" i="15"/>
  <c r="V2193" i="15"/>
  <c r="T2194" i="15"/>
  <c r="U2194" i="15"/>
  <c r="V2194" i="15"/>
  <c r="T2195" i="15"/>
  <c r="U2195" i="15"/>
  <c r="V2195" i="15"/>
  <c r="T2196" i="15"/>
  <c r="U2196" i="15"/>
  <c r="V2196" i="15"/>
  <c r="T2197" i="15"/>
  <c r="U2197" i="15"/>
  <c r="V2197" i="15"/>
  <c r="T2198" i="15"/>
  <c r="U2198" i="15"/>
  <c r="V2198" i="15"/>
  <c r="V2199" i="15"/>
  <c r="V2200" i="15"/>
  <c r="V2201" i="15"/>
  <c r="V2202" i="15"/>
  <c r="V2203" i="15"/>
  <c r="V2204" i="15"/>
  <c r="DE2" i="7"/>
  <c r="Q2201" i="15"/>
  <c r="S2201" i="15"/>
  <c r="N2201" i="15"/>
  <c r="P2201" i="15"/>
  <c r="S2195" i="15"/>
  <c r="S2196" i="15"/>
  <c r="S2197" i="15"/>
  <c r="S2198" i="15"/>
  <c r="S2199" i="15"/>
  <c r="S2200" i="15"/>
  <c r="P2195" i="15"/>
  <c r="P2196" i="15"/>
  <c r="P2197" i="15"/>
  <c r="P2198" i="15"/>
  <c r="P2199" i="15"/>
  <c r="P2200" i="15"/>
  <c r="S2193" i="15"/>
  <c r="S2194" i="15"/>
  <c r="P2193" i="15"/>
  <c r="P2194" i="15"/>
  <c r="K2199" i="15"/>
  <c r="M2199" i="15"/>
  <c r="H2199" i="15"/>
  <c r="J2199" i="15"/>
  <c r="M2193" i="15"/>
  <c r="M2194" i="15"/>
  <c r="M2195" i="15"/>
  <c r="M2196" i="15"/>
  <c r="K2197" i="15"/>
  <c r="M2197" i="15"/>
  <c r="K2198" i="15"/>
  <c r="M2198" i="15"/>
  <c r="J2193" i="15"/>
  <c r="J2194" i="15"/>
  <c r="J2195" i="15"/>
  <c r="J2196" i="15"/>
  <c r="H2197" i="15"/>
  <c r="J2197" i="15"/>
  <c r="H2198" i="15"/>
  <c r="J2198" i="15"/>
  <c r="E2199" i="15"/>
  <c r="G2199" i="15"/>
  <c r="B2199" i="15"/>
  <c r="D2199" i="15"/>
  <c r="G2193" i="15"/>
  <c r="G2194" i="15"/>
  <c r="G2195" i="15"/>
  <c r="G2196" i="15"/>
  <c r="G2197" i="15"/>
  <c r="G2198" i="15"/>
  <c r="D2193" i="15"/>
  <c r="D2194" i="15"/>
  <c r="D2195" i="15"/>
  <c r="D2196" i="15"/>
  <c r="D2197" i="15"/>
  <c r="D2198" i="15"/>
  <c r="AI2184" i="15"/>
  <c r="AK2184" i="15"/>
  <c r="AI2185" i="15"/>
  <c r="AK2185" i="15"/>
  <c r="AI2186" i="15"/>
  <c r="AK2186" i="15"/>
  <c r="AI2187" i="15"/>
  <c r="AK2187" i="15"/>
  <c r="AI2188" i="15"/>
  <c r="AK2188" i="15"/>
  <c r="AI2189" i="15"/>
  <c r="AK2189" i="15"/>
  <c r="AI2177" i="15"/>
  <c r="AK2177" i="15"/>
  <c r="AI2178" i="15"/>
  <c r="AJ2178" i="15"/>
  <c r="AK2178" i="15"/>
  <c r="AI2179" i="15"/>
  <c r="AJ2179" i="15"/>
  <c r="AK2179" i="15"/>
  <c r="AI2180" i="15"/>
  <c r="AK2180" i="15"/>
  <c r="AI2181" i="15"/>
  <c r="AK2181" i="15"/>
  <c r="AI2182" i="15"/>
  <c r="AK2182" i="15"/>
  <c r="AI2183" i="15"/>
  <c r="AK2183" i="15"/>
  <c r="AI2176" i="15"/>
  <c r="AK2176" i="15"/>
  <c r="AI2172" i="15"/>
  <c r="AJ2172" i="15"/>
  <c r="AK2172" i="15"/>
  <c r="AI2173" i="15"/>
  <c r="AJ2173" i="15"/>
  <c r="AK2173" i="15"/>
  <c r="AI2174" i="15"/>
  <c r="AJ2174" i="15"/>
  <c r="AK2174" i="15"/>
  <c r="AI2175" i="15"/>
  <c r="AJ2175" i="15"/>
  <c r="AK2175" i="15"/>
  <c r="AI2170" i="15"/>
  <c r="AK2170" i="15"/>
  <c r="AI2171" i="15"/>
  <c r="AK2171" i="15"/>
  <c r="AI2168" i="15"/>
  <c r="AK2168" i="15"/>
  <c r="AI2169" i="15"/>
  <c r="AK2169" i="15"/>
  <c r="AI2143" i="15"/>
  <c r="AK2143" i="15"/>
  <c r="AI2144" i="15"/>
  <c r="AK2144" i="15"/>
  <c r="AI2145" i="15"/>
  <c r="AK2145" i="15"/>
  <c r="AI2146" i="15"/>
  <c r="AJ2146" i="15"/>
  <c r="AK2146" i="15"/>
  <c r="AI2147" i="15"/>
  <c r="AJ2147" i="15"/>
  <c r="AK2147" i="15"/>
  <c r="AI2148" i="15"/>
  <c r="AJ2148" i="15"/>
  <c r="AK2148" i="15"/>
  <c r="AI2149" i="15"/>
  <c r="AJ2149" i="15"/>
  <c r="AK2149" i="15"/>
  <c r="AI2150" i="15"/>
  <c r="AJ2150" i="15"/>
  <c r="AK2150" i="15"/>
  <c r="AI2151" i="15"/>
  <c r="AJ2151" i="15"/>
  <c r="AK2151" i="15"/>
  <c r="AI2152" i="15"/>
  <c r="AJ2152" i="15"/>
  <c r="AK2152" i="15"/>
  <c r="AI2153" i="15"/>
  <c r="AJ2153" i="15"/>
  <c r="AK2153" i="15"/>
  <c r="AI2154" i="15"/>
  <c r="AJ2154" i="15"/>
  <c r="AK2154" i="15"/>
  <c r="AK2155" i="15"/>
  <c r="AK2156" i="15"/>
  <c r="AK2157" i="15"/>
  <c r="AK2158" i="15"/>
  <c r="AK2159" i="15"/>
  <c r="AK2160" i="15"/>
  <c r="AI2161" i="15"/>
  <c r="AJ2161" i="15"/>
  <c r="AK2161" i="15"/>
  <c r="AI2162" i="15"/>
  <c r="AJ2162" i="15"/>
  <c r="AK2162" i="15"/>
  <c r="AI2163" i="15"/>
  <c r="AJ2163" i="15"/>
  <c r="AK2163" i="15"/>
  <c r="AI2164" i="15"/>
  <c r="AJ2164" i="15"/>
  <c r="AK2164" i="15"/>
  <c r="AI2165" i="15"/>
  <c r="AJ2165" i="15"/>
  <c r="AK2165" i="15"/>
  <c r="AI2166" i="15"/>
  <c r="AJ2166" i="15"/>
  <c r="AK2166" i="15"/>
  <c r="AI2167" i="15"/>
  <c r="AK2167" i="15"/>
  <c r="AI2109" i="15"/>
  <c r="AK2109" i="15"/>
  <c r="AI2110" i="15"/>
  <c r="AK2110" i="15"/>
  <c r="AI2111" i="15"/>
  <c r="AK2111" i="15"/>
  <c r="AI2112" i="15"/>
  <c r="AK2112" i="15"/>
  <c r="AI2113" i="15"/>
  <c r="AK2113" i="15"/>
  <c r="AI2114" i="15"/>
  <c r="AK2114" i="15"/>
  <c r="AI2115" i="15"/>
  <c r="AK2115" i="15"/>
  <c r="AI2116" i="15"/>
  <c r="AK2116" i="15"/>
  <c r="AI2117" i="15"/>
  <c r="AK2117" i="15"/>
  <c r="AI2118" i="15"/>
  <c r="AK2118" i="15"/>
  <c r="AI2119" i="15"/>
  <c r="AK2119" i="15"/>
  <c r="AI2120" i="15"/>
  <c r="AK2120" i="15"/>
  <c r="AI2121" i="15"/>
  <c r="AK2121" i="15"/>
  <c r="AI2122" i="15"/>
  <c r="AK2122" i="15"/>
  <c r="AI2123" i="15"/>
  <c r="AK2123" i="15"/>
  <c r="AI2124" i="15"/>
  <c r="AK2124" i="15"/>
  <c r="AI2125" i="15"/>
  <c r="AK2125" i="15"/>
  <c r="AI2126" i="15"/>
  <c r="AK2126" i="15"/>
  <c r="AI2127" i="15"/>
  <c r="AK2127" i="15"/>
  <c r="AI2128" i="15"/>
  <c r="AK2128" i="15"/>
  <c r="AI2129" i="15"/>
  <c r="AK2129" i="15"/>
  <c r="AI2130" i="15"/>
  <c r="AK2130" i="15"/>
  <c r="AI2131" i="15"/>
  <c r="AK2131" i="15"/>
  <c r="AI2132" i="15"/>
  <c r="AK2132" i="15"/>
  <c r="AI2133" i="15"/>
  <c r="AJ2133" i="15"/>
  <c r="AK2133" i="15"/>
  <c r="AI2134" i="15"/>
  <c r="AJ2134" i="15"/>
  <c r="AK2134" i="15"/>
  <c r="AI2135" i="15"/>
  <c r="AJ2135" i="15"/>
  <c r="AK2135" i="15"/>
  <c r="AI2136" i="15"/>
  <c r="AJ2136" i="15"/>
  <c r="AK2136" i="15"/>
  <c r="AI2137" i="15"/>
  <c r="AJ2137" i="15"/>
  <c r="AK2137" i="15"/>
  <c r="AI2138" i="15"/>
  <c r="AJ2138" i="15"/>
  <c r="AK2138" i="15"/>
  <c r="AI2139" i="15"/>
  <c r="AJ2139" i="15"/>
  <c r="AK2139" i="15"/>
  <c r="AI2140" i="15"/>
  <c r="AJ2140" i="15"/>
  <c r="AK2140" i="15"/>
  <c r="AI2141" i="15"/>
  <c r="AJ2141" i="15"/>
  <c r="AK2141" i="15"/>
  <c r="AI2142" i="15"/>
  <c r="AJ2142" i="15"/>
  <c r="AK2142" i="15"/>
  <c r="AI2103" i="15"/>
  <c r="AJ2103" i="15"/>
  <c r="AK2103" i="15"/>
  <c r="AI2104" i="15"/>
  <c r="AJ2104" i="15"/>
  <c r="AK2104" i="15"/>
  <c r="AI2105" i="15"/>
  <c r="AJ2105" i="15"/>
  <c r="AK2105" i="15"/>
  <c r="AI2106" i="15"/>
  <c r="AJ2106" i="15"/>
  <c r="AK2106" i="15"/>
  <c r="AI2107" i="15"/>
  <c r="AJ2107" i="15"/>
  <c r="AK2107" i="15"/>
  <c r="AI2108" i="15"/>
  <c r="AJ2108" i="15"/>
  <c r="AK2108" i="15"/>
  <c r="AI2101" i="15"/>
  <c r="AK2101" i="15"/>
  <c r="AI2102" i="15"/>
  <c r="AJ2102" i="15"/>
  <c r="AK2102" i="15"/>
  <c r="AI2096" i="15"/>
  <c r="AK2096" i="15"/>
  <c r="AI2097" i="15"/>
  <c r="AK2097" i="15"/>
  <c r="AI2098" i="15"/>
  <c r="AK2098" i="15"/>
  <c r="AI2099" i="15"/>
  <c r="AK2099" i="15"/>
  <c r="AI2100" i="15"/>
  <c r="AK2100" i="15"/>
  <c r="AI2091" i="15"/>
  <c r="AK2091" i="15"/>
  <c r="AI2092" i="15"/>
  <c r="AK2092" i="15"/>
  <c r="AI2093" i="15"/>
  <c r="AK2093" i="15"/>
  <c r="AI2094" i="15"/>
  <c r="AK2094" i="15"/>
  <c r="AI2095" i="15"/>
  <c r="AK2095" i="15"/>
  <c r="AI2089" i="15"/>
  <c r="AK2089" i="15"/>
  <c r="AI2090" i="15"/>
  <c r="AK2090" i="15"/>
  <c r="AI2081" i="15"/>
  <c r="AK2081" i="15"/>
  <c r="AI2082" i="15"/>
  <c r="AK2082" i="15"/>
  <c r="AI2083" i="15"/>
  <c r="AK2083" i="15"/>
  <c r="AI2084" i="15"/>
  <c r="AK2084" i="15"/>
  <c r="AI2085" i="15"/>
  <c r="AK2085" i="15"/>
  <c r="AI2086" i="15"/>
  <c r="AK2086" i="15"/>
  <c r="AI2087" i="15"/>
  <c r="AK2087" i="15"/>
  <c r="AI2088" i="15"/>
  <c r="AK2088" i="15"/>
  <c r="AI2080" i="15"/>
  <c r="AK2080" i="15"/>
  <c r="AI2078" i="15"/>
  <c r="AJ2078" i="15"/>
  <c r="AK2078" i="15"/>
  <c r="AI2079" i="15"/>
  <c r="AJ2079" i="15"/>
  <c r="AK2079" i="15"/>
  <c r="AI2076" i="15"/>
  <c r="AK2076" i="15"/>
  <c r="AI2077" i="15"/>
  <c r="AK2077" i="15"/>
  <c r="AI2073" i="15"/>
  <c r="AJ2073" i="15"/>
  <c r="AK2073" i="15"/>
  <c r="AI2074" i="15"/>
  <c r="AJ2074" i="15"/>
  <c r="AK2074" i="15"/>
  <c r="AI2075" i="15"/>
  <c r="AJ2075" i="15"/>
  <c r="AK2075" i="15"/>
  <c r="AI2069" i="15"/>
  <c r="AJ2069" i="15"/>
  <c r="AK2069" i="15"/>
  <c r="AI2070" i="15"/>
  <c r="AJ2070" i="15"/>
  <c r="AK2070" i="15"/>
  <c r="AI2071" i="15"/>
  <c r="AJ2071" i="15"/>
  <c r="AK2071" i="15"/>
  <c r="AI2072" i="15"/>
  <c r="AJ2072" i="15"/>
  <c r="AK2072" i="15"/>
  <c r="AK2067" i="15"/>
  <c r="AK2068" i="15"/>
  <c r="AI2063" i="15"/>
  <c r="AJ2063" i="15"/>
  <c r="AK2063" i="15"/>
  <c r="AI2064" i="15"/>
  <c r="AJ2064" i="15"/>
  <c r="AK2064" i="15"/>
  <c r="AI2065" i="15"/>
  <c r="AJ2065" i="15"/>
  <c r="AK2065" i="15"/>
  <c r="AI2066" i="15"/>
  <c r="AJ2066" i="15"/>
  <c r="AK2066" i="15"/>
  <c r="AK2059" i="15"/>
  <c r="AK2060" i="15"/>
  <c r="AK2061" i="15"/>
  <c r="AK2062" i="15"/>
  <c r="AI2055" i="15"/>
  <c r="AJ2055" i="15"/>
  <c r="AK2055" i="15"/>
  <c r="AI2056" i="15"/>
  <c r="AJ2056" i="15"/>
  <c r="AK2056" i="15"/>
  <c r="AI2057" i="15"/>
  <c r="AJ2057" i="15"/>
  <c r="AK2057" i="15"/>
  <c r="AI2058" i="15"/>
  <c r="AJ2058" i="15"/>
  <c r="AK2058" i="15"/>
  <c r="AI2053" i="15"/>
  <c r="AJ2053" i="15"/>
  <c r="AK2053" i="15"/>
  <c r="AI2054" i="15"/>
  <c r="AJ2054" i="15"/>
  <c r="AK2054" i="15"/>
  <c r="AI2009" i="15"/>
  <c r="AJ2009" i="15"/>
  <c r="AK2009" i="15"/>
  <c r="AI2010" i="15"/>
  <c r="AJ2010" i="15"/>
  <c r="AK2010" i="15"/>
  <c r="AJ2011" i="15"/>
  <c r="AK2011" i="15"/>
  <c r="AJ2012" i="15"/>
  <c r="AK2012" i="15"/>
  <c r="AJ2013" i="15"/>
  <c r="AK2013" i="15"/>
  <c r="AJ2014" i="15"/>
  <c r="AK2014" i="15"/>
  <c r="AI2015" i="15"/>
  <c r="AJ2015" i="15"/>
  <c r="AK2015" i="15"/>
  <c r="AI2016" i="15"/>
  <c r="AJ2016" i="15"/>
  <c r="AK2016" i="15"/>
  <c r="AJ2017" i="15"/>
  <c r="AK2017" i="15"/>
  <c r="AJ2018" i="15"/>
  <c r="AK2018" i="15"/>
  <c r="AJ2019" i="15"/>
  <c r="AK2019" i="15"/>
  <c r="AJ2020" i="15"/>
  <c r="AK2020" i="15"/>
  <c r="AK2021" i="15"/>
  <c r="AK2022" i="15"/>
  <c r="AK2023" i="15"/>
  <c r="AK2024" i="15"/>
  <c r="AK2025" i="15"/>
  <c r="AK2026" i="15"/>
  <c r="AI2027" i="15"/>
  <c r="AJ2027" i="15"/>
  <c r="AK2027" i="15"/>
  <c r="AI2028" i="15"/>
  <c r="AJ2028" i="15"/>
  <c r="AK2028" i="15"/>
  <c r="AJ2029" i="15"/>
  <c r="AK2029" i="15"/>
  <c r="AJ2030" i="15"/>
  <c r="AK2030" i="15"/>
  <c r="AJ2031" i="15"/>
  <c r="AK2031" i="15"/>
  <c r="AJ2032" i="15"/>
  <c r="AK2032" i="15"/>
  <c r="AI2033" i="15"/>
  <c r="AJ2033" i="15"/>
  <c r="AK2033" i="15"/>
  <c r="AI2034" i="15"/>
  <c r="AJ2034" i="15"/>
  <c r="AK2034" i="15"/>
  <c r="AJ2035" i="15"/>
  <c r="AK2035" i="15"/>
  <c r="AJ2036" i="15"/>
  <c r="AK2036" i="15"/>
  <c r="AJ2037" i="15"/>
  <c r="AK2037" i="15"/>
  <c r="AJ2038" i="15"/>
  <c r="AK2038" i="15"/>
  <c r="AK2039" i="15"/>
  <c r="AK2040" i="15"/>
  <c r="AK2041" i="15"/>
  <c r="AK2042" i="15"/>
  <c r="AK2043" i="15"/>
  <c r="AK2044" i="15"/>
  <c r="AI2045" i="15"/>
  <c r="AJ2045" i="15"/>
  <c r="AK2045" i="15"/>
  <c r="AI2046" i="15"/>
  <c r="AJ2046" i="15"/>
  <c r="AK2046" i="15"/>
  <c r="AI2047" i="15"/>
  <c r="AJ2047" i="15"/>
  <c r="AK2047" i="15"/>
  <c r="AI2048" i="15"/>
  <c r="AJ2048" i="15"/>
  <c r="AK2048" i="15"/>
  <c r="AK2049" i="15"/>
  <c r="AK2050" i="15"/>
  <c r="AK2051" i="15"/>
  <c r="AK2052" i="15"/>
  <c r="AI2008" i="15"/>
  <c r="AJ2008" i="15"/>
  <c r="AK2008" i="15"/>
  <c r="AF2184" i="15"/>
  <c r="AH2184" i="15"/>
  <c r="AF2185" i="15"/>
  <c r="AH2185" i="15"/>
  <c r="AF2186" i="15"/>
  <c r="AH2186" i="15"/>
  <c r="AF2187" i="15"/>
  <c r="AH2187" i="15"/>
  <c r="AF2188" i="15"/>
  <c r="AH2188" i="15"/>
  <c r="AF2189" i="15"/>
  <c r="AH2189" i="15"/>
  <c r="AF2177" i="15"/>
  <c r="AH2177" i="15"/>
  <c r="AF2178" i="15"/>
  <c r="AG2178" i="15"/>
  <c r="AH2178" i="15"/>
  <c r="AF2179" i="15"/>
  <c r="AG2179" i="15"/>
  <c r="AH2179" i="15"/>
  <c r="AF2180" i="15"/>
  <c r="AH2180" i="15"/>
  <c r="AF2181" i="15"/>
  <c r="AH2181" i="15"/>
  <c r="AF2182" i="15"/>
  <c r="AH2182" i="15"/>
  <c r="AF2183" i="15"/>
  <c r="AH2183" i="15"/>
  <c r="AF2176" i="15"/>
  <c r="AG2176" i="15"/>
  <c r="AH2176" i="15"/>
  <c r="AF2172" i="15"/>
  <c r="AG2172" i="15"/>
  <c r="AH2172" i="15"/>
  <c r="AF2173" i="15"/>
  <c r="AG2173" i="15"/>
  <c r="AH2173" i="15"/>
  <c r="AF2174" i="15"/>
  <c r="AG2174" i="15"/>
  <c r="AH2174" i="15"/>
  <c r="AF2175" i="15"/>
  <c r="AG2175" i="15"/>
  <c r="AH2175" i="15"/>
  <c r="AF2170" i="15"/>
  <c r="AH2170" i="15"/>
  <c r="AF2171" i="15"/>
  <c r="AH2171" i="15"/>
  <c r="AF2168" i="15"/>
  <c r="AH2168" i="15"/>
  <c r="AF2169" i="15"/>
  <c r="AH2169" i="15"/>
  <c r="AF2143" i="15"/>
  <c r="AH2143" i="15"/>
  <c r="AF2144" i="15"/>
  <c r="AH2144" i="15"/>
  <c r="AF2145" i="15"/>
  <c r="AH2145" i="15"/>
  <c r="AF2146" i="15"/>
  <c r="AG2146" i="15"/>
  <c r="AH2146" i="15"/>
  <c r="AF2147" i="15"/>
  <c r="AG2147" i="15"/>
  <c r="AH2147" i="15"/>
  <c r="AF2148" i="15"/>
  <c r="AG2148" i="15"/>
  <c r="AH2148" i="15"/>
  <c r="AF2149" i="15"/>
  <c r="AG2149" i="15"/>
  <c r="AH2149" i="15"/>
  <c r="AF2150" i="15"/>
  <c r="AG2150" i="15"/>
  <c r="AH2150" i="15"/>
  <c r="AF2151" i="15"/>
  <c r="AG2151" i="15"/>
  <c r="AH2151" i="15"/>
  <c r="AF2152" i="15"/>
  <c r="AG2152" i="15"/>
  <c r="AH2152" i="15"/>
  <c r="AF2153" i="15"/>
  <c r="AG2153" i="15"/>
  <c r="AH2153" i="15"/>
  <c r="AF2154" i="15"/>
  <c r="AG2154" i="15"/>
  <c r="AH2154" i="15"/>
  <c r="AH2155" i="15"/>
  <c r="AH2156" i="15"/>
  <c r="AH2157" i="15"/>
  <c r="AH2158" i="15"/>
  <c r="AH2159" i="15"/>
  <c r="AH2160" i="15"/>
  <c r="AF2161" i="15"/>
  <c r="AG2161" i="15"/>
  <c r="AH2161" i="15"/>
  <c r="AF2162" i="15"/>
  <c r="AG2162" i="15"/>
  <c r="AH2162" i="15"/>
  <c r="AF2163" i="15"/>
  <c r="AG2163" i="15"/>
  <c r="AH2163" i="15"/>
  <c r="AF2164" i="15"/>
  <c r="AG2164" i="15"/>
  <c r="AH2164" i="15"/>
  <c r="AF2165" i="15"/>
  <c r="AG2165" i="15"/>
  <c r="AH2165" i="15"/>
  <c r="AF2166" i="15"/>
  <c r="AG2166" i="15"/>
  <c r="AH2166" i="15"/>
  <c r="AF2167" i="15"/>
  <c r="AH2167" i="15"/>
  <c r="AF2109" i="15"/>
  <c r="AH2109" i="15"/>
  <c r="AF2110" i="15"/>
  <c r="AH2110" i="15"/>
  <c r="AF2111" i="15"/>
  <c r="AH2111" i="15"/>
  <c r="AF2112" i="15"/>
  <c r="AH2112" i="15"/>
  <c r="AF2113" i="15"/>
  <c r="AH2113" i="15"/>
  <c r="AF2114" i="15"/>
  <c r="AH2114" i="15"/>
  <c r="AF2115" i="15"/>
  <c r="AH2115" i="15"/>
  <c r="AF2116" i="15"/>
  <c r="AH2116" i="15"/>
  <c r="AF2117" i="15"/>
  <c r="AH2117" i="15"/>
  <c r="AF2118" i="15"/>
  <c r="AH2118" i="15"/>
  <c r="AF2119" i="15"/>
  <c r="AH2119" i="15"/>
  <c r="AF2120" i="15"/>
  <c r="AH2120" i="15"/>
  <c r="AF2121" i="15"/>
  <c r="AH2121" i="15"/>
  <c r="AF2122" i="15"/>
  <c r="AH2122" i="15"/>
  <c r="AF2123" i="15"/>
  <c r="AH2123" i="15"/>
  <c r="AF2124" i="15"/>
  <c r="AH2124" i="15"/>
  <c r="AF2125" i="15"/>
  <c r="AH2125" i="15"/>
  <c r="AF2126" i="15"/>
  <c r="AH2126" i="15"/>
  <c r="AF2127" i="15"/>
  <c r="AH2127" i="15"/>
  <c r="AF2128" i="15"/>
  <c r="AH2128" i="15"/>
  <c r="AF2129" i="15"/>
  <c r="AH2129" i="15"/>
  <c r="AF2130" i="15"/>
  <c r="AH2130" i="15"/>
  <c r="AF2131" i="15"/>
  <c r="AH2131" i="15"/>
  <c r="AF2132" i="15"/>
  <c r="AH2132" i="15"/>
  <c r="AF2133" i="15"/>
  <c r="AG2133" i="15"/>
  <c r="AH2133" i="15"/>
  <c r="AF2134" i="15"/>
  <c r="AG2134" i="15"/>
  <c r="AH2134" i="15"/>
  <c r="AF2135" i="15"/>
  <c r="AG2135" i="15"/>
  <c r="AH2135" i="15"/>
  <c r="AF2136" i="15"/>
  <c r="AG2136" i="15"/>
  <c r="AH2136" i="15"/>
  <c r="AF2137" i="15"/>
  <c r="AG2137" i="15"/>
  <c r="AH2137" i="15"/>
  <c r="AF2138" i="15"/>
  <c r="AG2138" i="15"/>
  <c r="AH2138" i="15"/>
  <c r="AF2139" i="15"/>
  <c r="AG2139" i="15"/>
  <c r="AH2139" i="15"/>
  <c r="AF2140" i="15"/>
  <c r="AG2140" i="15"/>
  <c r="AH2140" i="15"/>
  <c r="AF2141" i="15"/>
  <c r="AG2141" i="15"/>
  <c r="AH2141" i="15"/>
  <c r="AF2142" i="15"/>
  <c r="AG2142" i="15"/>
  <c r="AH2142" i="15"/>
  <c r="AF2103" i="15"/>
  <c r="AG2103" i="15"/>
  <c r="AH2103" i="15"/>
  <c r="AF2104" i="15"/>
  <c r="AG2104" i="15"/>
  <c r="AH2104" i="15"/>
  <c r="AF2105" i="15"/>
  <c r="AG2105" i="15"/>
  <c r="AH2105" i="15"/>
  <c r="AF2106" i="15"/>
  <c r="AG2106" i="15"/>
  <c r="AH2106" i="15"/>
  <c r="AF2107" i="15"/>
  <c r="AG2107" i="15"/>
  <c r="AH2107" i="15"/>
  <c r="AF2108" i="15"/>
  <c r="AG2108" i="15"/>
  <c r="AH2108" i="15"/>
  <c r="AF2101" i="15"/>
  <c r="AH2101" i="15"/>
  <c r="AF2102" i="15"/>
  <c r="AG2102" i="15"/>
  <c r="AH2102" i="15"/>
  <c r="AF2096" i="15"/>
  <c r="AH2096" i="15"/>
  <c r="AF2097" i="15"/>
  <c r="AH2097" i="15"/>
  <c r="AF2098" i="15"/>
  <c r="AH2098" i="15"/>
  <c r="AF2099" i="15"/>
  <c r="AH2099" i="15"/>
  <c r="AF2100" i="15"/>
  <c r="AH2100" i="15"/>
  <c r="AF2091" i="15"/>
  <c r="AH2091" i="15"/>
  <c r="AF2092" i="15"/>
  <c r="AH2092" i="15"/>
  <c r="AF2093" i="15"/>
  <c r="AH2093" i="15"/>
  <c r="AF2094" i="15"/>
  <c r="AH2094" i="15"/>
  <c r="AF2095" i="15"/>
  <c r="AH2095" i="15"/>
  <c r="AF2089" i="15"/>
  <c r="AH2089" i="15"/>
  <c r="AF2090" i="15"/>
  <c r="AH2090" i="15"/>
  <c r="AF2081" i="15"/>
  <c r="AH2081" i="15"/>
  <c r="AF2082" i="15"/>
  <c r="AH2082" i="15"/>
  <c r="AF2083" i="15"/>
  <c r="AH2083" i="15"/>
  <c r="AF2084" i="15"/>
  <c r="AH2084" i="15"/>
  <c r="AF2085" i="15"/>
  <c r="AH2085" i="15"/>
  <c r="AF2086" i="15"/>
  <c r="AH2086" i="15"/>
  <c r="AF2087" i="15"/>
  <c r="AH2087" i="15"/>
  <c r="AF2088" i="15"/>
  <c r="AH2088" i="15"/>
  <c r="AF2080" i="15"/>
  <c r="AH2080" i="15"/>
  <c r="AF2078" i="15"/>
  <c r="AG2078" i="15"/>
  <c r="AH2078" i="15"/>
  <c r="AF2079" i="15"/>
  <c r="AG2079" i="15"/>
  <c r="AH2079" i="15"/>
  <c r="AF2076" i="15"/>
  <c r="AH2076" i="15"/>
  <c r="AF2077" i="15"/>
  <c r="AH2077" i="15"/>
  <c r="AH2073" i="15"/>
  <c r="AH2074" i="15"/>
  <c r="AH2075" i="15"/>
  <c r="AF2069" i="15"/>
  <c r="AG2069" i="15"/>
  <c r="AH2069" i="15"/>
  <c r="AF2070" i="15"/>
  <c r="AG2070" i="15"/>
  <c r="AH2070" i="15"/>
  <c r="AF2071" i="15"/>
  <c r="AG2071" i="15"/>
  <c r="AH2071" i="15"/>
  <c r="AF2072" i="15"/>
  <c r="AG2072" i="15"/>
  <c r="AH2072" i="15"/>
  <c r="AH2067" i="15"/>
  <c r="AH2068" i="15"/>
  <c r="AF2063" i="15"/>
  <c r="AG2063" i="15"/>
  <c r="AH2063" i="15"/>
  <c r="AF2064" i="15"/>
  <c r="AG2064" i="15"/>
  <c r="AH2064" i="15"/>
  <c r="AF2065" i="15"/>
  <c r="AG2065" i="15"/>
  <c r="AH2065" i="15"/>
  <c r="AF2066" i="15"/>
  <c r="AG2066" i="15"/>
  <c r="AH2066" i="15"/>
  <c r="AH2059" i="15"/>
  <c r="AH2060" i="15"/>
  <c r="AH2061" i="15"/>
  <c r="AH2062" i="15"/>
  <c r="AF2055" i="15"/>
  <c r="AG2055" i="15"/>
  <c r="AH2055" i="15"/>
  <c r="AF2056" i="15"/>
  <c r="AG2056" i="15"/>
  <c r="AH2056" i="15"/>
  <c r="AF2057" i="15"/>
  <c r="AG2057" i="15"/>
  <c r="AH2057" i="15"/>
  <c r="AF2058" i="15"/>
  <c r="AG2058" i="15"/>
  <c r="AH2058" i="15"/>
  <c r="AF2053" i="15"/>
  <c r="AG2053" i="15"/>
  <c r="AH2053" i="15"/>
  <c r="AF2054" i="15"/>
  <c r="AG2054" i="15"/>
  <c r="AH2054" i="15"/>
  <c r="AF2009" i="15"/>
  <c r="AG2009" i="15"/>
  <c r="AH2009" i="15"/>
  <c r="AF2010" i="15"/>
  <c r="AG2010" i="15"/>
  <c r="AH2010" i="15"/>
  <c r="AG2011" i="15"/>
  <c r="AH2011" i="15"/>
  <c r="AG2012" i="15"/>
  <c r="AH2012" i="15"/>
  <c r="AG2013" i="15"/>
  <c r="AH2013" i="15"/>
  <c r="AG2014" i="15"/>
  <c r="AH2014" i="15"/>
  <c r="AF2015" i="15"/>
  <c r="AG2015" i="15"/>
  <c r="AH2015" i="15"/>
  <c r="AF2016" i="15"/>
  <c r="AG2016" i="15"/>
  <c r="AH2016" i="15"/>
  <c r="AG2017" i="15"/>
  <c r="AH2017" i="15"/>
  <c r="AG2018" i="15"/>
  <c r="AH2018" i="15"/>
  <c r="AG2019" i="15"/>
  <c r="AH2019" i="15"/>
  <c r="AG2020" i="15"/>
  <c r="AH2020" i="15"/>
  <c r="AH2021" i="15"/>
  <c r="AH2022" i="15"/>
  <c r="AH2023" i="15"/>
  <c r="AH2024" i="15"/>
  <c r="AH2025" i="15"/>
  <c r="AH2026" i="15"/>
  <c r="AF2027" i="15"/>
  <c r="AG2027" i="15"/>
  <c r="AH2027" i="15"/>
  <c r="AF2028" i="15"/>
  <c r="AG2028" i="15"/>
  <c r="AH2028" i="15"/>
  <c r="AG2029" i="15"/>
  <c r="AH2029" i="15"/>
  <c r="AG2030" i="15"/>
  <c r="AH2030" i="15"/>
  <c r="AG2031" i="15"/>
  <c r="AH2031" i="15"/>
  <c r="AG2032" i="15"/>
  <c r="AH2032" i="15"/>
  <c r="AF2033" i="15"/>
  <c r="AG2033" i="15"/>
  <c r="AH2033" i="15"/>
  <c r="AF2034" i="15"/>
  <c r="AG2034" i="15"/>
  <c r="AH2034" i="15"/>
  <c r="AG2035" i="15"/>
  <c r="AH2035" i="15"/>
  <c r="AG2036" i="15"/>
  <c r="AH2036" i="15"/>
  <c r="AG2037" i="15"/>
  <c r="AH2037" i="15"/>
  <c r="AG2038" i="15"/>
  <c r="AH2038" i="15"/>
  <c r="AH2039" i="15"/>
  <c r="AH2040" i="15"/>
  <c r="AH2041" i="15"/>
  <c r="AH2042" i="15"/>
  <c r="AH2043" i="15"/>
  <c r="AH2044" i="15"/>
  <c r="AF2045" i="15"/>
  <c r="AG2045" i="15"/>
  <c r="AH2045" i="15"/>
  <c r="AF2046" i="15"/>
  <c r="AG2046" i="15"/>
  <c r="AH2046" i="15"/>
  <c r="AF2047" i="15"/>
  <c r="AG2047" i="15"/>
  <c r="AH2047" i="15"/>
  <c r="AF2048" i="15"/>
  <c r="AG2048" i="15"/>
  <c r="AH2048" i="15"/>
  <c r="AH2049" i="15"/>
  <c r="AH2050" i="15"/>
  <c r="AH2051" i="15"/>
  <c r="AH2052" i="15"/>
  <c r="AF2008" i="15"/>
  <c r="AG2008" i="15"/>
  <c r="AH2008" i="15"/>
  <c r="AE2040" i="15"/>
  <c r="AC2039" i="15"/>
  <c r="AD2039" i="15"/>
  <c r="AE2039" i="15"/>
  <c r="AE2038" i="15"/>
  <c r="AE2037" i="15"/>
  <c r="AE2034" i="15"/>
  <c r="AE2035" i="15"/>
  <c r="AE2036" i="15"/>
  <c r="AE2028" i="15"/>
  <c r="AE2029" i="15"/>
  <c r="AE2030" i="15"/>
  <c r="AE2031" i="15"/>
  <c r="AE2032" i="15"/>
  <c r="AE2033" i="15"/>
  <c r="AE2027" i="15"/>
  <c r="AC2026" i="15"/>
  <c r="AE2026" i="15"/>
  <c r="AC2024" i="15"/>
  <c r="AE2024" i="15"/>
  <c r="AC2025" i="15"/>
  <c r="AE2025" i="15"/>
  <c r="AE2021" i="15"/>
  <c r="AE2022" i="15"/>
  <c r="AE2023" i="15"/>
  <c r="AE2018" i="15"/>
  <c r="AE2019" i="15"/>
  <c r="AC2020" i="15"/>
  <c r="AD2020" i="15"/>
  <c r="AE2020" i="15"/>
  <c r="AE2014" i="15"/>
  <c r="AE2015" i="15"/>
  <c r="AE2016" i="15"/>
  <c r="AE2017" i="15"/>
  <c r="AE2010" i="15"/>
  <c r="AE2011" i="15"/>
  <c r="AE2012" i="15"/>
  <c r="AE2013" i="15"/>
  <c r="AE2008" i="15"/>
  <c r="AE2009" i="15"/>
  <c r="AB2040" i="15"/>
  <c r="Z2039" i="15"/>
  <c r="AA2039" i="15"/>
  <c r="AB2039" i="15"/>
  <c r="AB2038" i="15"/>
  <c r="AB2037" i="15"/>
  <c r="AB2034" i="15"/>
  <c r="AB2035" i="15"/>
  <c r="AB2036" i="15"/>
  <c r="AB2028" i="15"/>
  <c r="AB2029" i="15"/>
  <c r="AB2030" i="15"/>
  <c r="AB2031" i="15"/>
  <c r="AB2032" i="15"/>
  <c r="AB2033" i="15"/>
  <c r="AB2027" i="15"/>
  <c r="Z2026" i="15"/>
  <c r="AB2026" i="15"/>
  <c r="Z2024" i="15"/>
  <c r="AB2024" i="15"/>
  <c r="Z2025" i="15"/>
  <c r="AB2025" i="15"/>
  <c r="AB2021" i="15"/>
  <c r="AB2022" i="15"/>
  <c r="AB2023" i="15"/>
  <c r="AB2018" i="15"/>
  <c r="AB2019" i="15"/>
  <c r="Z2020" i="15"/>
  <c r="AA2020" i="15"/>
  <c r="AB2020" i="15"/>
  <c r="AB2014" i="15"/>
  <c r="AB2015" i="15"/>
  <c r="AB2016" i="15"/>
  <c r="AB2017" i="15"/>
  <c r="AB2010" i="15"/>
  <c r="AB2011" i="15"/>
  <c r="AB2012" i="15"/>
  <c r="AB2013" i="15"/>
  <c r="AB2008" i="15"/>
  <c r="AB2009" i="15"/>
  <c r="Y2125" i="15"/>
  <c r="Y2126" i="15"/>
  <c r="Y2127" i="15"/>
  <c r="Y2128" i="15"/>
  <c r="Y2129" i="15"/>
  <c r="Y2130" i="15"/>
  <c r="W2124" i="15"/>
  <c r="X2124" i="15"/>
  <c r="Y2124" i="15"/>
  <c r="Y2122" i="15"/>
  <c r="Y2123" i="15"/>
  <c r="Y2121" i="15"/>
  <c r="W2119" i="15"/>
  <c r="X2119" i="15"/>
  <c r="Y2119" i="15"/>
  <c r="W2120" i="15"/>
  <c r="X2120" i="15"/>
  <c r="Y2120" i="15"/>
  <c r="Y2117" i="15"/>
  <c r="Y2118" i="15"/>
  <c r="Y2110" i="15"/>
  <c r="Y2111" i="15"/>
  <c r="Y2112" i="15"/>
  <c r="Y2113" i="15"/>
  <c r="Y2114" i="15"/>
  <c r="Y2115" i="15"/>
  <c r="Y2116" i="15"/>
  <c r="Y2098" i="15"/>
  <c r="Y2099" i="15"/>
  <c r="Y2100" i="15"/>
  <c r="Y2101" i="15"/>
  <c r="Y2102" i="15"/>
  <c r="Y2103" i="15"/>
  <c r="Y2104" i="15"/>
  <c r="Y2105" i="15"/>
  <c r="Y2106" i="15"/>
  <c r="Y2107" i="15"/>
  <c r="Y2108" i="15"/>
  <c r="Y2109" i="15"/>
  <c r="Y2064" i="15"/>
  <c r="Y2065" i="15"/>
  <c r="Y2066" i="15"/>
  <c r="Y2067" i="15"/>
  <c r="Y2068" i="15"/>
  <c r="Y2069" i="15"/>
  <c r="Y2070" i="15"/>
  <c r="Y2071" i="15"/>
  <c r="Y2072" i="15"/>
  <c r="Y2073" i="15"/>
  <c r="Y2074" i="15"/>
  <c r="Y2075" i="15"/>
  <c r="Y2076" i="15"/>
  <c r="Y2077" i="15"/>
  <c r="Y2078" i="15"/>
  <c r="Y2079" i="15"/>
  <c r="Y2080" i="15"/>
  <c r="Y2081" i="15"/>
  <c r="Y2082" i="15"/>
  <c r="Y2083" i="15"/>
  <c r="Y2084" i="15"/>
  <c r="Y2085" i="15"/>
  <c r="Y2086" i="15"/>
  <c r="Y2087" i="15"/>
  <c r="W2088" i="15"/>
  <c r="Y2088" i="15"/>
  <c r="W2089" i="15"/>
  <c r="Y2089" i="15"/>
  <c r="W2090" i="15"/>
  <c r="Y2090" i="15"/>
  <c r="W2091" i="15"/>
  <c r="Y2091" i="15"/>
  <c r="W2092" i="15"/>
  <c r="Y2092" i="15"/>
  <c r="W2093" i="15"/>
  <c r="Y2093" i="15"/>
  <c r="W2094" i="15"/>
  <c r="Y2094" i="15"/>
  <c r="W2095" i="15"/>
  <c r="Y2095" i="15"/>
  <c r="W2096" i="15"/>
  <c r="Y2096" i="15"/>
  <c r="W2097" i="15"/>
  <c r="Y2097" i="15"/>
  <c r="Y2054" i="15"/>
  <c r="Y2055" i="15"/>
  <c r="Y2056" i="15"/>
  <c r="Y2057" i="15"/>
  <c r="W2058" i="15"/>
  <c r="X2058" i="15"/>
  <c r="Y2058" i="15"/>
  <c r="W2059" i="15"/>
  <c r="X2059" i="15"/>
  <c r="Y2059" i="15"/>
  <c r="W2060" i="15"/>
  <c r="X2060" i="15"/>
  <c r="Y2060" i="15"/>
  <c r="W2061" i="15"/>
  <c r="X2061" i="15"/>
  <c r="Y2061" i="15"/>
  <c r="W2062" i="15"/>
  <c r="X2062" i="15"/>
  <c r="Y2062" i="15"/>
  <c r="W2063" i="15"/>
  <c r="X2063" i="15"/>
  <c r="Y2063" i="15"/>
  <c r="Y2053" i="15"/>
  <c r="W2051" i="15"/>
  <c r="Y2051" i="15"/>
  <c r="W2052" i="15"/>
  <c r="Y2052" i="15"/>
  <c r="W2049" i="15"/>
  <c r="Y2049" i="15"/>
  <c r="W2050" i="15"/>
  <c r="Y2050" i="15"/>
  <c r="Y2046" i="15"/>
  <c r="Y2047" i="15"/>
  <c r="Y2048" i="15"/>
  <c r="W2042" i="15"/>
  <c r="X2042" i="15"/>
  <c r="Y2042" i="15"/>
  <c r="Y2043" i="15"/>
  <c r="Y2044" i="15"/>
  <c r="Y2045" i="15"/>
  <c r="Y2039" i="15"/>
  <c r="Y2040" i="15"/>
  <c r="W2041" i="15"/>
  <c r="X2041" i="15"/>
  <c r="Y2041" i="15"/>
  <c r="Y2035" i="15"/>
  <c r="Y2036" i="15"/>
  <c r="Y2037" i="15"/>
  <c r="Y2038" i="15"/>
  <c r="Y2031" i="15"/>
  <c r="Y2032" i="15"/>
  <c r="Y2033" i="15"/>
  <c r="Y2034" i="15"/>
  <c r="Y2029" i="15"/>
  <c r="Y2030" i="15"/>
  <c r="Y2027" i="15"/>
  <c r="Y2028" i="15"/>
  <c r="Y2009" i="15"/>
  <c r="Y2010" i="15"/>
  <c r="Y2011" i="15"/>
  <c r="Y2012" i="15"/>
  <c r="Y2013" i="15"/>
  <c r="Y2014" i="15"/>
  <c r="Y2015" i="15"/>
  <c r="Y2016" i="15"/>
  <c r="Y2017" i="15"/>
  <c r="Y2018" i="15"/>
  <c r="Y2019" i="15"/>
  <c r="Y2020" i="15"/>
  <c r="Y2021" i="15"/>
  <c r="Y2022" i="15"/>
  <c r="Y2023" i="15"/>
  <c r="Y2024" i="15"/>
  <c r="Y2025" i="15"/>
  <c r="Y2026" i="15"/>
  <c r="W2008" i="15"/>
  <c r="X2008" i="15"/>
  <c r="Y2008" i="15"/>
  <c r="V2125" i="15"/>
  <c r="V2126" i="15"/>
  <c r="V2127" i="15"/>
  <c r="V2128" i="15"/>
  <c r="V2129" i="15"/>
  <c r="V2130" i="15"/>
  <c r="T2124" i="15"/>
  <c r="U2124" i="15"/>
  <c r="V2124" i="15"/>
  <c r="V2122" i="15"/>
  <c r="V2123" i="15"/>
  <c r="V2121" i="15"/>
  <c r="T2119" i="15"/>
  <c r="U2119" i="15"/>
  <c r="V2119" i="15"/>
  <c r="T2120" i="15"/>
  <c r="U2120" i="15"/>
  <c r="V2120" i="15"/>
  <c r="V2117" i="15"/>
  <c r="V2118" i="15"/>
  <c r="V2110" i="15"/>
  <c r="V2111" i="15"/>
  <c r="V2112" i="15"/>
  <c r="V2113" i="15"/>
  <c r="V2114" i="15"/>
  <c r="V2115" i="15"/>
  <c r="V2116" i="15"/>
  <c r="V2098" i="15"/>
  <c r="V2099" i="15"/>
  <c r="V2100" i="15"/>
  <c r="V2101" i="15"/>
  <c r="V2102" i="15"/>
  <c r="V2103" i="15"/>
  <c r="V2104" i="15"/>
  <c r="V2105" i="15"/>
  <c r="V2106" i="15"/>
  <c r="V2107" i="15"/>
  <c r="V2108" i="15"/>
  <c r="V2109" i="15"/>
  <c r="V2064" i="15"/>
  <c r="V2065" i="15"/>
  <c r="V2066" i="15"/>
  <c r="V2067" i="15"/>
  <c r="V2068" i="15"/>
  <c r="V2069" i="15"/>
  <c r="V2070" i="15"/>
  <c r="V2071" i="15"/>
  <c r="V2072" i="15"/>
  <c r="V2073" i="15"/>
  <c r="V2074" i="15"/>
  <c r="V2075" i="15"/>
  <c r="V2076" i="15"/>
  <c r="V2077" i="15"/>
  <c r="V2078" i="15"/>
  <c r="V2079" i="15"/>
  <c r="V2080" i="15"/>
  <c r="V2081" i="15"/>
  <c r="V2082" i="15"/>
  <c r="V2083" i="15"/>
  <c r="V2084" i="15"/>
  <c r="V2085" i="15"/>
  <c r="V2086" i="15"/>
  <c r="V2087" i="15"/>
  <c r="T2088" i="15"/>
  <c r="V2088" i="15"/>
  <c r="T2089" i="15"/>
  <c r="V2089" i="15"/>
  <c r="T2090" i="15"/>
  <c r="V2090" i="15"/>
  <c r="T2091" i="15"/>
  <c r="V2091" i="15"/>
  <c r="T2092" i="15"/>
  <c r="V2092" i="15"/>
  <c r="T2093" i="15"/>
  <c r="V2093" i="15"/>
  <c r="T2094" i="15"/>
  <c r="V2094" i="15"/>
  <c r="T2095" i="15"/>
  <c r="V2095" i="15"/>
  <c r="T2096" i="15"/>
  <c r="V2096" i="15"/>
  <c r="T2097" i="15"/>
  <c r="V2097" i="15"/>
  <c r="V2054" i="15"/>
  <c r="V2055" i="15"/>
  <c r="V2056" i="15"/>
  <c r="V2057" i="15"/>
  <c r="T2058" i="15"/>
  <c r="U2058" i="15"/>
  <c r="V2058" i="15"/>
  <c r="T2059" i="15"/>
  <c r="U2059" i="15"/>
  <c r="V2059" i="15"/>
  <c r="T2060" i="15"/>
  <c r="U2060" i="15"/>
  <c r="V2060" i="15"/>
  <c r="T2061" i="15"/>
  <c r="U2061" i="15"/>
  <c r="V2061" i="15"/>
  <c r="T2062" i="15"/>
  <c r="U2062" i="15"/>
  <c r="V2062" i="15"/>
  <c r="T2063" i="15"/>
  <c r="U2063" i="15"/>
  <c r="V2063" i="15"/>
  <c r="V2053" i="15"/>
  <c r="T2051" i="15"/>
  <c r="V2051" i="15"/>
  <c r="T2052" i="15"/>
  <c r="V2052" i="15"/>
  <c r="V2049" i="15"/>
  <c r="V2050" i="15"/>
  <c r="V2046" i="15"/>
  <c r="V2047" i="15"/>
  <c r="V2048" i="15"/>
  <c r="T2042" i="15"/>
  <c r="U2042" i="15"/>
  <c r="V2042" i="15"/>
  <c r="T2043" i="15"/>
  <c r="U2043" i="15"/>
  <c r="V2043" i="15"/>
  <c r="T2044" i="15"/>
  <c r="U2044" i="15"/>
  <c r="V2044" i="15"/>
  <c r="T2045" i="15"/>
  <c r="U2045" i="15"/>
  <c r="V2045" i="15"/>
  <c r="V2039" i="15"/>
  <c r="V2040" i="15"/>
  <c r="T2041" i="15"/>
  <c r="U2041" i="15"/>
  <c r="V2041" i="15"/>
  <c r="V2035" i="15"/>
  <c r="V2036" i="15"/>
  <c r="V2037" i="15"/>
  <c r="V2038" i="15"/>
  <c r="V2031" i="15"/>
  <c r="V2032" i="15"/>
  <c r="V2033" i="15"/>
  <c r="V2034" i="15"/>
  <c r="V2029" i="15"/>
  <c r="V2030" i="15"/>
  <c r="V2027" i="15"/>
  <c r="V2028" i="15"/>
  <c r="V2009" i="15"/>
  <c r="V2010" i="15"/>
  <c r="V2011" i="15"/>
  <c r="V2012" i="15"/>
  <c r="V2013" i="15"/>
  <c r="V2014" i="15"/>
  <c r="V2015" i="15"/>
  <c r="V2016" i="15"/>
  <c r="V2017" i="15"/>
  <c r="V2018" i="15"/>
  <c r="V2019" i="15"/>
  <c r="V2020" i="15"/>
  <c r="V2021" i="15"/>
  <c r="V2022" i="15"/>
  <c r="V2023" i="15"/>
  <c r="V2024" i="15"/>
  <c r="V2025" i="15"/>
  <c r="V2026" i="15"/>
  <c r="T2008" i="15"/>
  <c r="U2008" i="15"/>
  <c r="V2008" i="15"/>
  <c r="S2070" i="15"/>
  <c r="R2071" i="15"/>
  <c r="S2071" i="15"/>
  <c r="R2072" i="15"/>
  <c r="S2072" i="15"/>
  <c r="S2073" i="15"/>
  <c r="S2074" i="15"/>
  <c r="S2075" i="15"/>
  <c r="S2076" i="15"/>
  <c r="Q2068" i="15"/>
  <c r="R2068" i="15"/>
  <c r="S2068" i="15"/>
  <c r="Q2069" i="15"/>
  <c r="R2069" i="15"/>
  <c r="S2069" i="15"/>
  <c r="S2065" i="15"/>
  <c r="S2066" i="15"/>
  <c r="S2067" i="15"/>
  <c r="S2044" i="15"/>
  <c r="S2045" i="15"/>
  <c r="S2046" i="15"/>
  <c r="S2047" i="15"/>
  <c r="S2048" i="15"/>
  <c r="S2049" i="15"/>
  <c r="S2050" i="15"/>
  <c r="S2051" i="15"/>
  <c r="S2052" i="15"/>
  <c r="S2053" i="15"/>
  <c r="S2054" i="15"/>
  <c r="S2055" i="15"/>
  <c r="S2056" i="15"/>
  <c r="S2057" i="15"/>
  <c r="S2058" i="15"/>
  <c r="S2059" i="15"/>
  <c r="S2060" i="15"/>
  <c r="S2061" i="15"/>
  <c r="S2062" i="15"/>
  <c r="S2063" i="15"/>
  <c r="S2064" i="15"/>
  <c r="S2042" i="15"/>
  <c r="S2043" i="15"/>
  <c r="S2038" i="15"/>
  <c r="S2039" i="15"/>
  <c r="S2040" i="15"/>
  <c r="S2041" i="15"/>
  <c r="Q2036" i="15"/>
  <c r="S2036" i="15"/>
  <c r="Q2037" i="15"/>
  <c r="S2037" i="15"/>
  <c r="Q2034" i="15"/>
  <c r="S2034" i="15"/>
  <c r="Q2035" i="15"/>
  <c r="S2035" i="15"/>
  <c r="Q2033" i="15"/>
  <c r="R2033" i="15"/>
  <c r="S2033" i="15"/>
  <c r="S2027" i="15"/>
  <c r="S2028" i="15"/>
  <c r="S2029" i="15"/>
  <c r="S2030" i="15"/>
  <c r="S2031" i="15"/>
  <c r="S2032" i="15"/>
  <c r="S2009" i="15"/>
  <c r="S2010" i="15"/>
  <c r="S2011" i="15"/>
  <c r="S2012" i="15"/>
  <c r="S2013" i="15"/>
  <c r="S2014" i="15"/>
  <c r="S2015" i="15"/>
  <c r="S2016" i="15"/>
  <c r="S2017" i="15"/>
  <c r="S2018" i="15"/>
  <c r="S2019" i="15"/>
  <c r="S2020" i="15"/>
  <c r="S2021" i="15"/>
  <c r="S2022" i="15"/>
  <c r="S2023" i="15"/>
  <c r="S2024" i="15"/>
  <c r="S2025" i="15"/>
  <c r="S2026" i="15"/>
  <c r="Q2008" i="15"/>
  <c r="R2008" i="15"/>
  <c r="S2008" i="15"/>
  <c r="P2070" i="15"/>
  <c r="O2071" i="15"/>
  <c r="P2071" i="15"/>
  <c r="O2072" i="15"/>
  <c r="P2072" i="15"/>
  <c r="P2073" i="15"/>
  <c r="P2074" i="15"/>
  <c r="P2075" i="15"/>
  <c r="P2076" i="15"/>
  <c r="N2068" i="15"/>
  <c r="O2068" i="15"/>
  <c r="P2068" i="15"/>
  <c r="N2069" i="15"/>
  <c r="O2069" i="15"/>
  <c r="P2069" i="15"/>
  <c r="P2065" i="15"/>
  <c r="P2066" i="15"/>
  <c r="P2067" i="15"/>
  <c r="P2044" i="15"/>
  <c r="P2045" i="15"/>
  <c r="P2046" i="15"/>
  <c r="P2047" i="15"/>
  <c r="P2048" i="15"/>
  <c r="P2049" i="15"/>
  <c r="P2050" i="15"/>
  <c r="P2051" i="15"/>
  <c r="P2052" i="15"/>
  <c r="P2053" i="15"/>
  <c r="P2054" i="15"/>
  <c r="P2055" i="15"/>
  <c r="P2056" i="15"/>
  <c r="P2057" i="15"/>
  <c r="P2058" i="15"/>
  <c r="P2059" i="15"/>
  <c r="P2060" i="15"/>
  <c r="P2061" i="15"/>
  <c r="P2062" i="15"/>
  <c r="P2063" i="15"/>
  <c r="P2064" i="15"/>
  <c r="P2042" i="15"/>
  <c r="P2043" i="15"/>
  <c r="P2038" i="15"/>
  <c r="P2039" i="15"/>
  <c r="P2040" i="15"/>
  <c r="P2041" i="15"/>
  <c r="N2036" i="15"/>
  <c r="P2036" i="15"/>
  <c r="N2037" i="15"/>
  <c r="P2037" i="15"/>
  <c r="P2034" i="15"/>
  <c r="P2035" i="15"/>
  <c r="N2033" i="15"/>
  <c r="O2033" i="15"/>
  <c r="P2033" i="15"/>
  <c r="P2027" i="15"/>
  <c r="P2028" i="15"/>
  <c r="P2029" i="15"/>
  <c r="P2030" i="15"/>
  <c r="P2031" i="15"/>
  <c r="P2032" i="15"/>
  <c r="P2009" i="15"/>
  <c r="P2010" i="15"/>
  <c r="P2011" i="15"/>
  <c r="P2012" i="15"/>
  <c r="P2013" i="15"/>
  <c r="P2014" i="15"/>
  <c r="P2015" i="15"/>
  <c r="P2016" i="15"/>
  <c r="P2017" i="15"/>
  <c r="P2018" i="15"/>
  <c r="P2019" i="15"/>
  <c r="P2020" i="15"/>
  <c r="P2021" i="15"/>
  <c r="P2022" i="15"/>
  <c r="P2023" i="15"/>
  <c r="P2024" i="15"/>
  <c r="P2025" i="15"/>
  <c r="P2026" i="15"/>
  <c r="N2008" i="15"/>
  <c r="O2008" i="15"/>
  <c r="P2008" i="15"/>
  <c r="M2061" i="15"/>
  <c r="L2062" i="15"/>
  <c r="M2062" i="15"/>
  <c r="L2063" i="15"/>
  <c r="M2063" i="15"/>
  <c r="M2064" i="15"/>
  <c r="M2065" i="15"/>
  <c r="M2066" i="15"/>
  <c r="M2067" i="15"/>
  <c r="M2058" i="15"/>
  <c r="M2059" i="15"/>
  <c r="M2060" i="15"/>
  <c r="M2037" i="15"/>
  <c r="M2038" i="15"/>
  <c r="M2039" i="15"/>
  <c r="M2040" i="15"/>
  <c r="M2041" i="15"/>
  <c r="M2042" i="15"/>
  <c r="M2043" i="15"/>
  <c r="M2044" i="15"/>
  <c r="M2045" i="15"/>
  <c r="M2046" i="15"/>
  <c r="M2047" i="15"/>
  <c r="M2048" i="15"/>
  <c r="M2049" i="15"/>
  <c r="M2050" i="15"/>
  <c r="M2051" i="15"/>
  <c r="M2052" i="15"/>
  <c r="M2053" i="15"/>
  <c r="M2054" i="15"/>
  <c r="M2055" i="15"/>
  <c r="M2056" i="15"/>
  <c r="M2057" i="15"/>
  <c r="M2036" i="15"/>
  <c r="M2032" i="15"/>
  <c r="M2033" i="15"/>
  <c r="M2034" i="15"/>
  <c r="M2035" i="15"/>
  <c r="M2026" i="15"/>
  <c r="M2027" i="15"/>
  <c r="M2028" i="15"/>
  <c r="M2029" i="15"/>
  <c r="M2030" i="15"/>
  <c r="M2031" i="15"/>
  <c r="M2008" i="15"/>
  <c r="M2009" i="15"/>
  <c r="M2010" i="15"/>
  <c r="M2011" i="15"/>
  <c r="M2012" i="15"/>
  <c r="M2013" i="15"/>
  <c r="M2014" i="15"/>
  <c r="M2015" i="15"/>
  <c r="M2016" i="15"/>
  <c r="M2017" i="15"/>
  <c r="M2018" i="15"/>
  <c r="M2019" i="15"/>
  <c r="M2020" i="15"/>
  <c r="M2021" i="15"/>
  <c r="M2022" i="15"/>
  <c r="M2023" i="15"/>
  <c r="M2024" i="15"/>
  <c r="M2025" i="15"/>
  <c r="J2061" i="15"/>
  <c r="I2062" i="15"/>
  <c r="J2062" i="15"/>
  <c r="I2063" i="15"/>
  <c r="J2063" i="15"/>
  <c r="J2064" i="15"/>
  <c r="J2065" i="15"/>
  <c r="J2066" i="15"/>
  <c r="J2067" i="15"/>
  <c r="J2058" i="15"/>
  <c r="J2059" i="15"/>
  <c r="J2060" i="15"/>
  <c r="J2037" i="15"/>
  <c r="J2038" i="15"/>
  <c r="J2039" i="15"/>
  <c r="J2040" i="15"/>
  <c r="J2041" i="15"/>
  <c r="J2042" i="15"/>
  <c r="J2043" i="15"/>
  <c r="J2044" i="15"/>
  <c r="J2045" i="15"/>
  <c r="J2046" i="15"/>
  <c r="J2047" i="15"/>
  <c r="J2048" i="15"/>
  <c r="J2049" i="15"/>
  <c r="J2050" i="15"/>
  <c r="J2051" i="15"/>
  <c r="J2052" i="15"/>
  <c r="J2053" i="15"/>
  <c r="J2054" i="15"/>
  <c r="J2055" i="15"/>
  <c r="J2056" i="15"/>
  <c r="J2057" i="15"/>
  <c r="J2036" i="15"/>
  <c r="J2032" i="15"/>
  <c r="J2033" i="15"/>
  <c r="J2034" i="15"/>
  <c r="J2035" i="15"/>
  <c r="J2026" i="15"/>
  <c r="J2027" i="15"/>
  <c r="J2028" i="15"/>
  <c r="J2029" i="15"/>
  <c r="J2030" i="15"/>
  <c r="J2031" i="15"/>
  <c r="J2008" i="15"/>
  <c r="J2009" i="15"/>
  <c r="J2010" i="15"/>
  <c r="J2011" i="15"/>
  <c r="J2012" i="15"/>
  <c r="J2013" i="15"/>
  <c r="J2014" i="15"/>
  <c r="J2015" i="15"/>
  <c r="J2016" i="15"/>
  <c r="J2017" i="15"/>
  <c r="J2018" i="15"/>
  <c r="J2019" i="15"/>
  <c r="J2020" i="15"/>
  <c r="J2021" i="15"/>
  <c r="J2022" i="15"/>
  <c r="J2023" i="15"/>
  <c r="J2024" i="15"/>
  <c r="J2025" i="15"/>
  <c r="G2061" i="15"/>
  <c r="F2062" i="15"/>
  <c r="G2062" i="15"/>
  <c r="F2063" i="15"/>
  <c r="G2063" i="15"/>
  <c r="G2064" i="15"/>
  <c r="G2065" i="15"/>
  <c r="G2066" i="15"/>
  <c r="G2067" i="15"/>
  <c r="G2058" i="15"/>
  <c r="G2059" i="15"/>
  <c r="G2060" i="15"/>
  <c r="G2037" i="15"/>
  <c r="G2038" i="15"/>
  <c r="G2039" i="15"/>
  <c r="G2040" i="15"/>
  <c r="G2041" i="15"/>
  <c r="G2042" i="15"/>
  <c r="G2043" i="15"/>
  <c r="G2044" i="15"/>
  <c r="G2045" i="15"/>
  <c r="G2046" i="15"/>
  <c r="G2047" i="15"/>
  <c r="G2048" i="15"/>
  <c r="G2049" i="15"/>
  <c r="G2050" i="15"/>
  <c r="G2051" i="15"/>
  <c r="G2052" i="15"/>
  <c r="G2053" i="15"/>
  <c r="G2054" i="15"/>
  <c r="G2055" i="15"/>
  <c r="G2056" i="15"/>
  <c r="G2057" i="15"/>
  <c r="G2036" i="15"/>
  <c r="G2032" i="15"/>
  <c r="G2033" i="15"/>
  <c r="G2034" i="15"/>
  <c r="G2035" i="15"/>
  <c r="G2026" i="15"/>
  <c r="G2027" i="15"/>
  <c r="G2028" i="15"/>
  <c r="G2029" i="15"/>
  <c r="G2030" i="15"/>
  <c r="G2031" i="15"/>
  <c r="G2008" i="15"/>
  <c r="G2009" i="15"/>
  <c r="G2010" i="15"/>
  <c r="G2011" i="15"/>
  <c r="G2012" i="15"/>
  <c r="G2013" i="15"/>
  <c r="G2014" i="15"/>
  <c r="G2015" i="15"/>
  <c r="G2016" i="15"/>
  <c r="G2017" i="15"/>
  <c r="G2018" i="15"/>
  <c r="G2019" i="15"/>
  <c r="G2020" i="15"/>
  <c r="G2021" i="15"/>
  <c r="G2022" i="15"/>
  <c r="G2023" i="15"/>
  <c r="G2024" i="15"/>
  <c r="G2025" i="15"/>
  <c r="D2061" i="15"/>
  <c r="C2062" i="15"/>
  <c r="D2062" i="15"/>
  <c r="C2063" i="15"/>
  <c r="D2063" i="15"/>
  <c r="D2064" i="15"/>
  <c r="D2065" i="15"/>
  <c r="D2066" i="15"/>
  <c r="D2067" i="15"/>
  <c r="D2058" i="15"/>
  <c r="D2059" i="15"/>
  <c r="D2060" i="15"/>
  <c r="D2037" i="15"/>
  <c r="D2038" i="15"/>
  <c r="D2039" i="15"/>
  <c r="D2040" i="15"/>
  <c r="D2041" i="15"/>
  <c r="D2042" i="15"/>
  <c r="D2043" i="15"/>
  <c r="D2044" i="15"/>
  <c r="D2045" i="15"/>
  <c r="D2046" i="15"/>
  <c r="D2047" i="15"/>
  <c r="D2048" i="15"/>
  <c r="D2049" i="15"/>
  <c r="D2050" i="15"/>
  <c r="D2051" i="15"/>
  <c r="D2052" i="15"/>
  <c r="D2053" i="15"/>
  <c r="D2054" i="15"/>
  <c r="D2055" i="15"/>
  <c r="D2056" i="15"/>
  <c r="D2057" i="15"/>
  <c r="D2036" i="15"/>
  <c r="D2032" i="15"/>
  <c r="D2033" i="15"/>
  <c r="D2034" i="15"/>
  <c r="D2035" i="15"/>
  <c r="D2026" i="15"/>
  <c r="D2027" i="15"/>
  <c r="D2028" i="15"/>
  <c r="D2029" i="15"/>
  <c r="D2030" i="15"/>
  <c r="D2031" i="15"/>
  <c r="D2008" i="15"/>
  <c r="D2009" i="15"/>
  <c r="D2010" i="15"/>
  <c r="D2011" i="15"/>
  <c r="D2012" i="15"/>
  <c r="D2013" i="15"/>
  <c r="D2014" i="15"/>
  <c r="D2015" i="15"/>
  <c r="D2016" i="15"/>
  <c r="D2017" i="15"/>
  <c r="D2018" i="15"/>
  <c r="D2019" i="15"/>
  <c r="D2020" i="15"/>
  <c r="D2021" i="15"/>
  <c r="D2022" i="15"/>
  <c r="D2023" i="15"/>
  <c r="D2024" i="15"/>
  <c r="D2025" i="15"/>
  <c r="AI1983" i="15"/>
  <c r="AJ1983" i="15"/>
  <c r="AK1983" i="15"/>
  <c r="AI1984" i="15"/>
  <c r="AJ1984" i="15"/>
  <c r="AK1984" i="15"/>
  <c r="AI1985" i="15"/>
  <c r="AJ1985" i="15"/>
  <c r="AK1985" i="15"/>
  <c r="AI1986" i="15"/>
  <c r="AJ1986" i="15"/>
  <c r="AK1986" i="15"/>
  <c r="AI1982" i="15"/>
  <c r="AJ1982" i="15"/>
  <c r="AK1982" i="15"/>
  <c r="AI1980" i="15"/>
  <c r="AJ1980" i="15"/>
  <c r="AK1980" i="15"/>
  <c r="AI1981" i="15"/>
  <c r="AJ1981" i="15"/>
  <c r="AK1981" i="15"/>
  <c r="AI1978" i="15"/>
  <c r="AJ1978" i="15"/>
  <c r="AK1978" i="15"/>
  <c r="AI1979" i="15"/>
  <c r="AJ1979" i="15"/>
  <c r="AK1979" i="15"/>
  <c r="AI1977" i="15"/>
  <c r="AJ1977" i="15"/>
  <c r="AK1977" i="15"/>
  <c r="AI1976" i="15"/>
  <c r="AK1976" i="15"/>
  <c r="AI1968" i="15"/>
  <c r="AJ1968" i="15"/>
  <c r="AK1968" i="15"/>
  <c r="AI1969" i="15"/>
  <c r="AJ1969" i="15"/>
  <c r="AK1969" i="15"/>
  <c r="AI1970" i="15"/>
  <c r="AJ1970" i="15"/>
  <c r="AK1970" i="15"/>
  <c r="AI1971" i="15"/>
  <c r="AJ1971" i="15"/>
  <c r="AK1971" i="15"/>
  <c r="AI1972" i="15"/>
  <c r="AJ1972" i="15"/>
  <c r="AK1972" i="15"/>
  <c r="AI1973" i="15"/>
  <c r="AJ1973" i="15"/>
  <c r="AK1973" i="15"/>
  <c r="AI1974" i="15"/>
  <c r="AJ1974" i="15"/>
  <c r="AK1974" i="15"/>
  <c r="AI1975" i="15"/>
  <c r="AJ1975" i="15"/>
  <c r="AK1975" i="15"/>
  <c r="AI1967" i="15"/>
  <c r="AK1967" i="15"/>
  <c r="AI1964" i="15"/>
  <c r="AK1964" i="15"/>
  <c r="AI1965" i="15"/>
  <c r="AK1965" i="15"/>
  <c r="AI1966" i="15"/>
  <c r="AK1966" i="15"/>
  <c r="AI1959" i="15"/>
  <c r="AJ1959" i="15"/>
  <c r="AK1959" i="15"/>
  <c r="AI1960" i="15"/>
  <c r="AJ1960" i="15"/>
  <c r="AK1960" i="15"/>
  <c r="AI1961" i="15"/>
  <c r="AJ1961" i="15"/>
  <c r="AK1961" i="15"/>
  <c r="AI1962" i="15"/>
  <c r="AJ1962" i="15"/>
  <c r="AK1962" i="15"/>
  <c r="AI1963" i="15"/>
  <c r="AJ1963" i="15"/>
  <c r="AK1963" i="15"/>
  <c r="AI1947" i="15"/>
  <c r="AK1947" i="15"/>
  <c r="AI1948" i="15"/>
  <c r="AK1948" i="15"/>
  <c r="AI1949" i="15"/>
  <c r="AK1949" i="15"/>
  <c r="AI1950" i="15"/>
  <c r="AK1950" i="15"/>
  <c r="AI1951" i="15"/>
  <c r="AK1951" i="15"/>
  <c r="AI1952" i="15"/>
  <c r="AK1952" i="15"/>
  <c r="AI1953" i="15"/>
  <c r="AK1953" i="15"/>
  <c r="AI1954" i="15"/>
  <c r="AK1954" i="15"/>
  <c r="AI1955" i="15"/>
  <c r="AK1955" i="15"/>
  <c r="AI1956" i="15"/>
  <c r="AK1956" i="15"/>
  <c r="AI1957" i="15"/>
  <c r="AK1957" i="15"/>
  <c r="AI1958" i="15"/>
  <c r="AK1958" i="15"/>
  <c r="AI1944" i="15"/>
  <c r="AK1944" i="15"/>
  <c r="AI1945" i="15"/>
  <c r="AK1945" i="15"/>
  <c r="AI1946" i="15"/>
  <c r="AK1946" i="15"/>
  <c r="AI1941" i="15"/>
  <c r="AK1941" i="15"/>
  <c r="AI1942" i="15"/>
  <c r="AK1942" i="15"/>
  <c r="AI1943" i="15"/>
  <c r="AK1943" i="15"/>
  <c r="AI1936" i="15"/>
  <c r="AK1936" i="15"/>
  <c r="AI1937" i="15"/>
  <c r="AK1937" i="15"/>
  <c r="AI1938" i="15"/>
  <c r="AK1938" i="15"/>
  <c r="AI1939" i="15"/>
  <c r="AK1939" i="15"/>
  <c r="AI1940" i="15"/>
  <c r="AK1940" i="15"/>
  <c r="AI1934" i="15"/>
  <c r="AJ1934" i="15"/>
  <c r="AK1934" i="15"/>
  <c r="AI1935" i="15"/>
  <c r="AJ1935" i="15"/>
  <c r="AK1935" i="15"/>
  <c r="AI1932" i="15"/>
  <c r="AJ1932" i="15"/>
  <c r="AK1932" i="15"/>
  <c r="AI1933" i="15"/>
  <c r="AJ1933" i="15"/>
  <c r="AK1933" i="15"/>
  <c r="AI1930" i="15"/>
  <c r="AK1930" i="15"/>
  <c r="AI1931" i="15"/>
  <c r="AK1931" i="15"/>
  <c r="AK1911" i="15"/>
  <c r="AK1912" i="15"/>
  <c r="AK1913" i="15"/>
  <c r="AK1914" i="15"/>
  <c r="AK1915" i="15"/>
  <c r="AK1916" i="15"/>
  <c r="AK1917" i="15"/>
  <c r="AK1918" i="15"/>
  <c r="AK1919" i="15"/>
  <c r="AK1920" i="15"/>
  <c r="AK1921" i="15"/>
  <c r="AK1922" i="15"/>
  <c r="AI1923" i="15"/>
  <c r="AK1923" i="15"/>
  <c r="AI1924" i="15"/>
  <c r="AJ1924" i="15"/>
  <c r="AK1924" i="15"/>
  <c r="AI1925" i="15"/>
  <c r="AJ1925" i="15"/>
  <c r="AK1925" i="15"/>
  <c r="AI1926" i="15"/>
  <c r="AJ1926" i="15"/>
  <c r="AK1926" i="15"/>
  <c r="AI1927" i="15"/>
  <c r="AJ1927" i="15"/>
  <c r="AK1927" i="15"/>
  <c r="AI1928" i="15"/>
  <c r="AK1928" i="15"/>
  <c r="AI1929" i="15"/>
  <c r="AK1929" i="15"/>
  <c r="AI1906" i="15"/>
  <c r="AK1906" i="15"/>
  <c r="AI1907" i="15"/>
  <c r="AK1907" i="15"/>
  <c r="AI1908" i="15"/>
  <c r="AJ1908" i="15"/>
  <c r="AK1908" i="15"/>
  <c r="AI1909" i="15"/>
  <c r="AJ1909" i="15"/>
  <c r="AK1909" i="15"/>
  <c r="AI1910" i="15"/>
  <c r="AJ1910" i="15"/>
  <c r="AK1910" i="15"/>
  <c r="AI1897" i="15"/>
  <c r="AK1897" i="15"/>
  <c r="AI1898" i="15"/>
  <c r="AK1898" i="15"/>
  <c r="AI1899" i="15"/>
  <c r="AK1899" i="15"/>
  <c r="AI1900" i="15"/>
  <c r="AK1900" i="15"/>
  <c r="AI1901" i="15"/>
  <c r="AK1901" i="15"/>
  <c r="AI1902" i="15"/>
  <c r="AJ1902" i="15"/>
  <c r="AK1902" i="15"/>
  <c r="AI1903" i="15"/>
  <c r="AJ1903" i="15"/>
  <c r="AK1903" i="15"/>
  <c r="AI1904" i="15"/>
  <c r="AJ1904" i="15"/>
  <c r="AK1904" i="15"/>
  <c r="AI1905" i="15"/>
  <c r="AJ1905" i="15"/>
  <c r="AK1905" i="15"/>
  <c r="AI1875" i="15"/>
  <c r="AK1875" i="15"/>
  <c r="AI1876" i="15"/>
  <c r="AK1876" i="15"/>
  <c r="AI1877" i="15"/>
  <c r="AK1877" i="15"/>
  <c r="AI1878" i="15"/>
  <c r="AK1878" i="15"/>
  <c r="AI1879" i="15"/>
  <c r="AK1879" i="15"/>
  <c r="AI1880" i="15"/>
  <c r="AK1880" i="15"/>
  <c r="AI1881" i="15"/>
  <c r="AK1881" i="15"/>
  <c r="AI1882" i="15"/>
  <c r="AK1882" i="15"/>
  <c r="AI1883" i="15"/>
  <c r="AK1883" i="15"/>
  <c r="AI1884" i="15"/>
  <c r="AK1884" i="15"/>
  <c r="AI1885" i="15"/>
  <c r="AK1885" i="15"/>
  <c r="AI1886" i="15"/>
  <c r="AK1886" i="15"/>
  <c r="AI1887" i="15"/>
  <c r="AK1887" i="15"/>
  <c r="AI1888" i="15"/>
  <c r="AK1888" i="15"/>
  <c r="AI1889" i="15"/>
  <c r="AK1889" i="15"/>
  <c r="AI1890" i="15"/>
  <c r="AK1890" i="15"/>
  <c r="AI1891" i="15"/>
  <c r="AK1891" i="15"/>
  <c r="AI1892" i="15"/>
  <c r="AK1892" i="15"/>
  <c r="AI1893" i="15"/>
  <c r="AK1893" i="15"/>
  <c r="AI1894" i="15"/>
  <c r="AK1894" i="15"/>
  <c r="AI1895" i="15"/>
  <c r="AK1895" i="15"/>
  <c r="AI1896" i="15"/>
  <c r="AK1896" i="15"/>
  <c r="AI1871" i="15"/>
  <c r="AJ1871" i="15"/>
  <c r="AK1871" i="15"/>
  <c r="AI1872" i="15"/>
  <c r="AJ1872" i="15"/>
  <c r="AK1872" i="15"/>
  <c r="AI1873" i="15"/>
  <c r="AJ1873" i="15"/>
  <c r="AK1873" i="15"/>
  <c r="AI1874" i="15"/>
  <c r="AJ1874" i="15"/>
  <c r="AK1874" i="15"/>
  <c r="AI1869" i="15"/>
  <c r="AJ1869" i="15"/>
  <c r="AK1869" i="15"/>
  <c r="AI1870" i="15"/>
  <c r="AJ1870" i="15"/>
  <c r="AK1870" i="15"/>
  <c r="AI1865" i="15"/>
  <c r="AK1865" i="15"/>
  <c r="AI1866" i="15"/>
  <c r="AJ1866" i="15"/>
  <c r="AK1866" i="15"/>
  <c r="AI1867" i="15"/>
  <c r="AJ1867" i="15"/>
  <c r="AK1867" i="15"/>
  <c r="AI1868" i="15"/>
  <c r="AJ1868" i="15"/>
  <c r="AK1868" i="15"/>
  <c r="AI1860" i="15"/>
  <c r="AK1860" i="15"/>
  <c r="AI1861" i="15"/>
  <c r="AK1861" i="15"/>
  <c r="AI1862" i="15"/>
  <c r="AK1862" i="15"/>
  <c r="AI1863" i="15"/>
  <c r="AJ1863" i="15"/>
  <c r="AK1863" i="15"/>
  <c r="AI1864" i="15"/>
  <c r="AJ1864" i="15"/>
  <c r="AK1864" i="15"/>
  <c r="AI1847" i="15"/>
  <c r="AJ1847" i="15"/>
  <c r="AK1847" i="15"/>
  <c r="AI1848" i="15"/>
  <c r="AJ1848" i="15"/>
  <c r="AK1848" i="15"/>
  <c r="AI1849" i="15"/>
  <c r="AJ1849" i="15"/>
  <c r="AK1849" i="15"/>
  <c r="AI1850" i="15"/>
  <c r="AJ1850" i="15"/>
  <c r="AK1850" i="15"/>
  <c r="AI1851" i="15"/>
  <c r="AJ1851" i="15"/>
  <c r="AK1851" i="15"/>
  <c r="AI1852" i="15"/>
  <c r="AJ1852" i="15"/>
  <c r="AK1852" i="15"/>
  <c r="AI1853" i="15"/>
  <c r="AJ1853" i="15"/>
  <c r="AK1853" i="15"/>
  <c r="AI1854" i="15"/>
  <c r="AJ1854" i="15"/>
  <c r="AK1854" i="15"/>
  <c r="AI1855" i="15"/>
  <c r="AJ1855" i="15"/>
  <c r="AK1855" i="15"/>
  <c r="AI1856" i="15"/>
  <c r="AJ1856" i="15"/>
  <c r="AK1856" i="15"/>
  <c r="AI1857" i="15"/>
  <c r="AJ1857" i="15"/>
  <c r="AK1857" i="15"/>
  <c r="AI1858" i="15"/>
  <c r="AJ1858" i="15"/>
  <c r="AK1858" i="15"/>
  <c r="AI1859" i="15"/>
  <c r="AJ1859" i="15"/>
  <c r="AK1859" i="15"/>
  <c r="AI1845" i="15"/>
  <c r="AJ1845" i="15"/>
  <c r="AK1845" i="15"/>
  <c r="AI1846" i="15"/>
  <c r="AJ1846" i="15"/>
  <c r="AK1846" i="15"/>
  <c r="AF1983" i="15"/>
  <c r="AG1983" i="15"/>
  <c r="AH1983" i="15"/>
  <c r="AF1984" i="15"/>
  <c r="AG1984" i="15"/>
  <c r="AH1984" i="15"/>
  <c r="AF1985" i="15"/>
  <c r="AG1985" i="15"/>
  <c r="AH1985" i="15"/>
  <c r="AF1986" i="15"/>
  <c r="AG1986" i="15"/>
  <c r="AH1986" i="15"/>
  <c r="AF1982" i="15"/>
  <c r="AG1982" i="15"/>
  <c r="AH1982" i="15"/>
  <c r="AF1980" i="15"/>
  <c r="AG1980" i="15"/>
  <c r="AH1980" i="15"/>
  <c r="AF1981" i="15"/>
  <c r="AG1981" i="15"/>
  <c r="AH1981" i="15"/>
  <c r="AF1978" i="15"/>
  <c r="AG1978" i="15"/>
  <c r="AH1978" i="15"/>
  <c r="AF1979" i="15"/>
  <c r="AG1979" i="15"/>
  <c r="AH1979" i="15"/>
  <c r="AF1977" i="15"/>
  <c r="AG1977" i="15"/>
  <c r="AH1977" i="15"/>
  <c r="AF1976" i="15"/>
  <c r="AH1976" i="15"/>
  <c r="AF1968" i="15"/>
  <c r="AG1968" i="15"/>
  <c r="AH1968" i="15"/>
  <c r="AF1969" i="15"/>
  <c r="AG1969" i="15"/>
  <c r="AH1969" i="15"/>
  <c r="AF1970" i="15"/>
  <c r="AG1970" i="15"/>
  <c r="AH1970" i="15"/>
  <c r="AF1971" i="15"/>
  <c r="AG1971" i="15"/>
  <c r="AH1971" i="15"/>
  <c r="AF1972" i="15"/>
  <c r="AG1972" i="15"/>
  <c r="AH1972" i="15"/>
  <c r="AF1973" i="15"/>
  <c r="AG1973" i="15"/>
  <c r="AH1973" i="15"/>
  <c r="AF1974" i="15"/>
  <c r="AG1974" i="15"/>
  <c r="AH1974" i="15"/>
  <c r="AF1975" i="15"/>
  <c r="AG1975" i="15"/>
  <c r="AH1975" i="15"/>
  <c r="AF1967" i="15"/>
  <c r="AH1967" i="15"/>
  <c r="AF1964" i="15"/>
  <c r="AH1964" i="15"/>
  <c r="AF1965" i="15"/>
  <c r="AH1965" i="15"/>
  <c r="AF1966" i="15"/>
  <c r="AH1966" i="15"/>
  <c r="AF1959" i="15"/>
  <c r="AG1959" i="15"/>
  <c r="AH1959" i="15"/>
  <c r="AF1960" i="15"/>
  <c r="AG1960" i="15"/>
  <c r="AH1960" i="15"/>
  <c r="AF1961" i="15"/>
  <c r="AG1961" i="15"/>
  <c r="AH1961" i="15"/>
  <c r="AF1962" i="15"/>
  <c r="AG1962" i="15"/>
  <c r="AH1962" i="15"/>
  <c r="AF1963" i="15"/>
  <c r="AG1963" i="15"/>
  <c r="AH1963" i="15"/>
  <c r="AF1947" i="15"/>
  <c r="AH1947" i="15"/>
  <c r="AF1948" i="15"/>
  <c r="AH1948" i="15"/>
  <c r="AF1949" i="15"/>
  <c r="AH1949" i="15"/>
  <c r="AF1950" i="15"/>
  <c r="AH1950" i="15"/>
  <c r="AF1951" i="15"/>
  <c r="AH1951" i="15"/>
  <c r="AF1952" i="15"/>
  <c r="AH1952" i="15"/>
  <c r="AF1953" i="15"/>
  <c r="AH1953" i="15"/>
  <c r="AF1954" i="15"/>
  <c r="AH1954" i="15"/>
  <c r="AF1955" i="15"/>
  <c r="AH1955" i="15"/>
  <c r="AF1956" i="15"/>
  <c r="AH1956" i="15"/>
  <c r="AF1957" i="15"/>
  <c r="AH1957" i="15"/>
  <c r="AF1958" i="15"/>
  <c r="AH1958" i="15"/>
  <c r="AF1944" i="15"/>
  <c r="AH1944" i="15"/>
  <c r="AF1945" i="15"/>
  <c r="AH1945" i="15"/>
  <c r="AF1946" i="15"/>
  <c r="AH1946" i="15"/>
  <c r="AF1941" i="15"/>
  <c r="AH1941" i="15"/>
  <c r="AF1942" i="15"/>
  <c r="AH1942" i="15"/>
  <c r="AF1943" i="15"/>
  <c r="AH1943" i="15"/>
  <c r="AF1936" i="15"/>
  <c r="AH1936" i="15"/>
  <c r="AF1937" i="15"/>
  <c r="AH1937" i="15"/>
  <c r="AF1938" i="15"/>
  <c r="AH1938" i="15"/>
  <c r="AF1939" i="15"/>
  <c r="AH1939" i="15"/>
  <c r="AF1940" i="15"/>
  <c r="AH1940" i="15"/>
  <c r="AF1934" i="15"/>
  <c r="AG1934" i="15"/>
  <c r="AH1934" i="15"/>
  <c r="AF1935" i="15"/>
  <c r="AG1935" i="15"/>
  <c r="AH1935" i="15"/>
  <c r="AF1932" i="15"/>
  <c r="AG1932" i="15"/>
  <c r="AH1932" i="15"/>
  <c r="AF1933" i="15"/>
  <c r="AG1933" i="15"/>
  <c r="AH1933" i="15"/>
  <c r="AF1930" i="15"/>
  <c r="AH1930" i="15"/>
  <c r="AF1931" i="15"/>
  <c r="AH1931" i="15"/>
  <c r="AH1911" i="15"/>
  <c r="AF1912" i="15"/>
  <c r="AG1912" i="15"/>
  <c r="AH1912" i="15"/>
  <c r="AH1913" i="15"/>
  <c r="AF1914" i="15"/>
  <c r="AG1914" i="15"/>
  <c r="AH1914" i="15"/>
  <c r="AF1915" i="15"/>
  <c r="AG1915" i="15"/>
  <c r="AH1915" i="15"/>
  <c r="AH1916" i="15"/>
  <c r="AF1923" i="15"/>
  <c r="AH1923" i="15"/>
  <c r="AF1924" i="15"/>
  <c r="AG1924" i="15"/>
  <c r="AH1924" i="15"/>
  <c r="AF1925" i="15"/>
  <c r="AG1925" i="15"/>
  <c r="AH1925" i="15"/>
  <c r="AF1926" i="15"/>
  <c r="AG1926" i="15"/>
  <c r="AH1926" i="15"/>
  <c r="AF1927" i="15"/>
  <c r="AG1927" i="15"/>
  <c r="AH1927" i="15"/>
  <c r="AF1928" i="15"/>
  <c r="AH1928" i="15"/>
  <c r="AF1929" i="15"/>
  <c r="AH1929" i="15"/>
  <c r="AF1906" i="15"/>
  <c r="AH1906" i="15"/>
  <c r="AF1907" i="15"/>
  <c r="AH1907" i="15"/>
  <c r="AF1908" i="15"/>
  <c r="AG1908" i="15"/>
  <c r="AH1908" i="15"/>
  <c r="AF1909" i="15"/>
  <c r="AG1909" i="15"/>
  <c r="AH1909" i="15"/>
  <c r="AF1910" i="15"/>
  <c r="AG1910" i="15"/>
  <c r="AH1910" i="15"/>
  <c r="AF1897" i="15"/>
  <c r="AH1897" i="15"/>
  <c r="AF1898" i="15"/>
  <c r="AH1898" i="15"/>
  <c r="AF1899" i="15"/>
  <c r="AH1899" i="15"/>
  <c r="AF1900" i="15"/>
  <c r="AH1900" i="15"/>
  <c r="AF1901" i="15"/>
  <c r="AH1901" i="15"/>
  <c r="AF1902" i="15"/>
  <c r="AG1902" i="15"/>
  <c r="AH1902" i="15"/>
  <c r="AF1903" i="15"/>
  <c r="AG1903" i="15"/>
  <c r="AH1903" i="15"/>
  <c r="AF1904" i="15"/>
  <c r="AG1904" i="15"/>
  <c r="AH1904" i="15"/>
  <c r="AF1905" i="15"/>
  <c r="AG1905" i="15"/>
  <c r="AH1905" i="15"/>
  <c r="AF1875" i="15"/>
  <c r="AH1875" i="15"/>
  <c r="AF1876" i="15"/>
  <c r="AH1876" i="15"/>
  <c r="AF1877" i="15"/>
  <c r="AH1877" i="15"/>
  <c r="AF1878" i="15"/>
  <c r="AH1878" i="15"/>
  <c r="AF1879" i="15"/>
  <c r="AH1879" i="15"/>
  <c r="AF1880" i="15"/>
  <c r="AH1880" i="15"/>
  <c r="AF1881" i="15"/>
  <c r="AH1881" i="15"/>
  <c r="AF1882" i="15"/>
  <c r="AH1882" i="15"/>
  <c r="AF1883" i="15"/>
  <c r="AH1883" i="15"/>
  <c r="AF1884" i="15"/>
  <c r="AH1884" i="15"/>
  <c r="AF1885" i="15"/>
  <c r="AH1885" i="15"/>
  <c r="AF1886" i="15"/>
  <c r="AH1886" i="15"/>
  <c r="AF1887" i="15"/>
  <c r="AH1887" i="15"/>
  <c r="AF1888" i="15"/>
  <c r="AH1888" i="15"/>
  <c r="AF1889" i="15"/>
  <c r="AH1889" i="15"/>
  <c r="AF1890" i="15"/>
  <c r="AH1890" i="15"/>
  <c r="AF1891" i="15"/>
  <c r="AH1891" i="15"/>
  <c r="AF1892" i="15"/>
  <c r="AH1892" i="15"/>
  <c r="AF1893" i="15"/>
  <c r="AH1893" i="15"/>
  <c r="AF1894" i="15"/>
  <c r="AH1894" i="15"/>
  <c r="AF1895" i="15"/>
  <c r="AH1895" i="15"/>
  <c r="AF1896" i="15"/>
  <c r="AH1896" i="15"/>
  <c r="AF1871" i="15"/>
  <c r="AG1871" i="15"/>
  <c r="AH1871" i="15"/>
  <c r="AF1872" i="15"/>
  <c r="AG1872" i="15"/>
  <c r="AH1872" i="15"/>
  <c r="AF1873" i="15"/>
  <c r="AG1873" i="15"/>
  <c r="AH1873" i="15"/>
  <c r="AF1874" i="15"/>
  <c r="AG1874" i="15"/>
  <c r="AH1874" i="15"/>
  <c r="AH1869" i="15"/>
  <c r="AF1870" i="15"/>
  <c r="AG1870" i="15"/>
  <c r="AH1870" i="15"/>
  <c r="AF1865" i="15"/>
  <c r="AH1865" i="15"/>
  <c r="AF1866" i="15"/>
  <c r="AG1866" i="15"/>
  <c r="AH1866" i="15"/>
  <c r="AF1867" i="15"/>
  <c r="AG1867" i="15"/>
  <c r="AH1867" i="15"/>
  <c r="AF1868" i="15"/>
  <c r="AG1868" i="15"/>
  <c r="AH1868" i="15"/>
  <c r="AF1860" i="15"/>
  <c r="AH1860" i="15"/>
  <c r="AF1861" i="15"/>
  <c r="AH1861" i="15"/>
  <c r="AF1862" i="15"/>
  <c r="AH1862" i="15"/>
  <c r="AF1863" i="15"/>
  <c r="AG1863" i="15"/>
  <c r="AH1863" i="15"/>
  <c r="AF1864" i="15"/>
  <c r="AG1864" i="15"/>
  <c r="AH1864" i="15"/>
  <c r="AH1847" i="15"/>
  <c r="AF1848" i="15"/>
  <c r="AG1848" i="15"/>
  <c r="AH1848" i="15"/>
  <c r="AF1849" i="15"/>
  <c r="AG1849" i="15"/>
  <c r="AH1849" i="15"/>
  <c r="AF1850" i="15"/>
  <c r="AG1850" i="15"/>
  <c r="AH1850" i="15"/>
  <c r="AF1851" i="15"/>
  <c r="AG1851" i="15"/>
  <c r="AH1851" i="15"/>
  <c r="AF1852" i="15"/>
  <c r="AG1852" i="15"/>
  <c r="AH1852" i="15"/>
  <c r="AF1853" i="15"/>
  <c r="AG1853" i="15"/>
  <c r="AH1853" i="15"/>
  <c r="AF1854" i="15"/>
  <c r="AG1854" i="15"/>
  <c r="AH1854" i="15"/>
  <c r="AF1855" i="15"/>
  <c r="AG1855" i="15"/>
  <c r="AH1855" i="15"/>
  <c r="AF1856" i="15"/>
  <c r="AG1856" i="15"/>
  <c r="AH1856" i="15"/>
  <c r="AF1857" i="15"/>
  <c r="AG1857" i="15"/>
  <c r="AH1857" i="15"/>
  <c r="AF1858" i="15"/>
  <c r="AG1858" i="15"/>
  <c r="AH1858" i="15"/>
  <c r="AF1859" i="15"/>
  <c r="AG1859" i="15"/>
  <c r="AH1859" i="15"/>
  <c r="AH1845" i="15"/>
  <c r="AH1846" i="15"/>
  <c r="AC1923" i="15"/>
  <c r="AD1923" i="15"/>
  <c r="AE1923" i="15"/>
  <c r="AC1924" i="15"/>
  <c r="AD1924" i="15"/>
  <c r="AE1924" i="15"/>
  <c r="AC1925" i="15"/>
  <c r="AD1925" i="15"/>
  <c r="AE1925" i="15"/>
  <c r="AE1926" i="15"/>
  <c r="AC1915" i="15"/>
  <c r="AD1915" i="15"/>
  <c r="AE1915" i="15"/>
  <c r="AC1916" i="15"/>
  <c r="AD1916" i="15"/>
  <c r="AE1916" i="15"/>
  <c r="AC1917" i="15"/>
  <c r="AE1917" i="15"/>
  <c r="AC1918" i="15"/>
  <c r="AE1918" i="15"/>
  <c r="AE1919" i="15"/>
  <c r="AC1920" i="15"/>
  <c r="AD1920" i="15"/>
  <c r="AE1920" i="15"/>
  <c r="AC1921" i="15"/>
  <c r="AD1921" i="15"/>
  <c r="AE1921" i="15"/>
  <c r="AE1922" i="15"/>
  <c r="AC1913" i="15"/>
  <c r="AD1913" i="15"/>
  <c r="AE1913" i="15"/>
  <c r="AC1914" i="15"/>
  <c r="AD1914" i="15"/>
  <c r="AE1914" i="15"/>
  <c r="AE1911" i="15"/>
  <c r="AE1912" i="15"/>
  <c r="AE1909" i="15"/>
  <c r="AE1910" i="15"/>
  <c r="AC1905" i="15"/>
  <c r="AD1905" i="15"/>
  <c r="AE1905" i="15"/>
  <c r="AC1906" i="15"/>
  <c r="AD1906" i="15"/>
  <c r="AE1906" i="15"/>
  <c r="AE1907" i="15"/>
  <c r="AE1908" i="15"/>
  <c r="AE1903" i="15"/>
  <c r="AE1904" i="15"/>
  <c r="AE1901" i="15"/>
  <c r="AE1902" i="15"/>
  <c r="AE1899" i="15"/>
  <c r="AE1900" i="15"/>
  <c r="AE1888" i="15"/>
  <c r="AE1889" i="15"/>
  <c r="AE1890" i="15"/>
  <c r="AE1891" i="15"/>
  <c r="AE1892" i="15"/>
  <c r="AE1893" i="15"/>
  <c r="AE1894" i="15"/>
  <c r="AE1895" i="15"/>
  <c r="AE1896" i="15"/>
  <c r="AE1897" i="15"/>
  <c r="AE1898" i="15"/>
  <c r="AC1885" i="15"/>
  <c r="AD1885" i="15"/>
  <c r="AE1885" i="15"/>
  <c r="AC1886" i="15"/>
  <c r="AD1886" i="15"/>
  <c r="AE1886" i="15"/>
  <c r="AC1887" i="15"/>
  <c r="AD1887" i="15"/>
  <c r="AE1887" i="15"/>
  <c r="AE1863" i="15"/>
  <c r="AE1864" i="15"/>
  <c r="AE1865" i="15"/>
  <c r="AE1866" i="15"/>
  <c r="AE1867" i="15"/>
  <c r="AE1868" i="15"/>
  <c r="AE1869" i="15"/>
  <c r="AE1870" i="15"/>
  <c r="AE1871" i="15"/>
  <c r="AE1872" i="15"/>
  <c r="AE1873" i="15"/>
  <c r="AE1874" i="15"/>
  <c r="AE1875" i="15"/>
  <c r="AE1876" i="15"/>
  <c r="AE1877" i="15"/>
  <c r="AE1878" i="15"/>
  <c r="AE1879" i="15"/>
  <c r="AE1880" i="15"/>
  <c r="AE1881" i="15"/>
  <c r="AE1882" i="15"/>
  <c r="AE1883" i="15"/>
  <c r="AE1884" i="15"/>
  <c r="AE1859" i="15"/>
  <c r="AE1860" i="15"/>
  <c r="AE1861" i="15"/>
  <c r="AE1862" i="15"/>
  <c r="AE1857" i="15"/>
  <c r="AE1858" i="15"/>
  <c r="AE1853" i="15"/>
  <c r="AE1854" i="15"/>
  <c r="AE1855" i="15"/>
  <c r="AE1856" i="15"/>
  <c r="AE1851" i="15"/>
  <c r="AE1852" i="15"/>
  <c r="AE1845" i="15"/>
  <c r="AE1846" i="15"/>
  <c r="AE1847" i="15"/>
  <c r="AE1848" i="15"/>
  <c r="AE1849" i="15"/>
  <c r="AE1850" i="15"/>
  <c r="Z1923" i="15"/>
  <c r="AA1923" i="15"/>
  <c r="AB1923" i="15"/>
  <c r="Z1924" i="15"/>
  <c r="AA1924" i="15"/>
  <c r="AB1924" i="15"/>
  <c r="Z1925" i="15"/>
  <c r="AA1925" i="15"/>
  <c r="AB1925" i="15"/>
  <c r="AB1926" i="15"/>
  <c r="Z1915" i="15"/>
  <c r="AA1915" i="15"/>
  <c r="AB1915" i="15"/>
  <c r="Z1916" i="15"/>
  <c r="AA1916" i="15"/>
  <c r="AB1916" i="15"/>
  <c r="Z1917" i="15"/>
  <c r="AB1917" i="15"/>
  <c r="Z1918" i="15"/>
  <c r="AB1918" i="15"/>
  <c r="AB1919" i="15"/>
  <c r="Z1920" i="15"/>
  <c r="AA1920" i="15"/>
  <c r="AB1920" i="15"/>
  <c r="Z1921" i="15"/>
  <c r="AA1921" i="15"/>
  <c r="AB1921" i="15"/>
  <c r="AB1922" i="15"/>
  <c r="Z1913" i="15"/>
  <c r="AA1913" i="15"/>
  <c r="AB1913" i="15"/>
  <c r="Z1914" i="15"/>
  <c r="AA1914" i="15"/>
  <c r="AB1914" i="15"/>
  <c r="AB1911" i="15"/>
  <c r="AB1912" i="15"/>
  <c r="AB1909" i="15"/>
  <c r="AB1910" i="15"/>
  <c r="Z1905" i="15"/>
  <c r="AA1905" i="15"/>
  <c r="AB1905" i="15"/>
  <c r="Z1906" i="15"/>
  <c r="AA1906" i="15"/>
  <c r="AB1906" i="15"/>
  <c r="AB1907" i="15"/>
  <c r="AB1908" i="15"/>
  <c r="AB1903" i="15"/>
  <c r="AB1904" i="15"/>
  <c r="AB1901" i="15"/>
  <c r="AB1902" i="15"/>
  <c r="AB1899" i="15"/>
  <c r="AB1900" i="15"/>
  <c r="AB1888" i="15"/>
  <c r="AB1889" i="15"/>
  <c r="AB1890" i="15"/>
  <c r="AB1891" i="15"/>
  <c r="AB1892" i="15"/>
  <c r="AB1893" i="15"/>
  <c r="AB1894" i="15"/>
  <c r="AB1895" i="15"/>
  <c r="AB1896" i="15"/>
  <c r="AB1897" i="15"/>
  <c r="AB1898" i="15"/>
  <c r="Z1885" i="15"/>
  <c r="AA1885" i="15"/>
  <c r="AB1885" i="15"/>
  <c r="AB1886" i="15"/>
  <c r="Z1887" i="15"/>
  <c r="AA1887" i="15"/>
  <c r="AB1887" i="15"/>
  <c r="AB1863" i="15"/>
  <c r="AB1864" i="15"/>
  <c r="AB1865" i="15"/>
  <c r="AB1866" i="15"/>
  <c r="AB1867" i="15"/>
  <c r="AB1868" i="15"/>
  <c r="AB1869" i="15"/>
  <c r="AB1870" i="15"/>
  <c r="AB1871" i="15"/>
  <c r="AB1872" i="15"/>
  <c r="AB1873" i="15"/>
  <c r="AB1874" i="15"/>
  <c r="AB1875" i="15"/>
  <c r="AB1876" i="15"/>
  <c r="AB1877" i="15"/>
  <c r="AB1878" i="15"/>
  <c r="AB1879" i="15"/>
  <c r="AB1880" i="15"/>
  <c r="AB1881" i="15"/>
  <c r="AB1882" i="15"/>
  <c r="AB1883" i="15"/>
  <c r="AB1884" i="15"/>
  <c r="AB1859" i="15"/>
  <c r="AB1860" i="15"/>
  <c r="AB1861" i="15"/>
  <c r="AB1862" i="15"/>
  <c r="AB1857" i="15"/>
  <c r="AB1858" i="15"/>
  <c r="AB1853" i="15"/>
  <c r="AB1854" i="15"/>
  <c r="AB1855" i="15"/>
  <c r="AB1856" i="15"/>
  <c r="AB1851" i="15"/>
  <c r="AB1852" i="15"/>
  <c r="AB1845" i="15"/>
  <c r="AB1846" i="15"/>
  <c r="AB1847" i="15"/>
  <c r="AB1848" i="15"/>
  <c r="AB1849" i="15"/>
  <c r="AB1850" i="15"/>
  <c r="W1999" i="15"/>
  <c r="X1999" i="15"/>
  <c r="Y1999" i="15"/>
  <c r="W2000" i="15"/>
  <c r="X2000" i="15"/>
  <c r="Y2000" i="15"/>
  <c r="W2001" i="15"/>
  <c r="X2001" i="15"/>
  <c r="Y2001" i="15"/>
  <c r="Y2002" i="15"/>
  <c r="Y2003" i="15"/>
  <c r="Y2004" i="15"/>
  <c r="W1986" i="15"/>
  <c r="Y1986" i="15"/>
  <c r="W1987" i="15"/>
  <c r="Y1987" i="15"/>
  <c r="W1988" i="15"/>
  <c r="Y1988" i="15"/>
  <c r="W1989" i="15"/>
  <c r="Y1989" i="15"/>
  <c r="W1990" i="15"/>
  <c r="Y1990" i="15"/>
  <c r="W1991" i="15"/>
  <c r="Y1991" i="15"/>
  <c r="W1992" i="15"/>
  <c r="X1992" i="15"/>
  <c r="Y1992" i="15"/>
  <c r="W1993" i="15"/>
  <c r="X1993" i="15"/>
  <c r="Y1993" i="15"/>
  <c r="W1994" i="15"/>
  <c r="Y1994" i="15"/>
  <c r="W1995" i="15"/>
  <c r="Y1995" i="15"/>
  <c r="Y1996" i="15"/>
  <c r="W1997" i="15"/>
  <c r="X1997" i="15"/>
  <c r="Y1997" i="15"/>
  <c r="W1998" i="15"/>
  <c r="X1998" i="15"/>
  <c r="Y1998" i="15"/>
  <c r="W1982" i="15"/>
  <c r="X1982" i="15"/>
  <c r="Y1982" i="15"/>
  <c r="W1983" i="15"/>
  <c r="X1983" i="15"/>
  <c r="Y1983" i="15"/>
  <c r="W1984" i="15"/>
  <c r="X1984" i="15"/>
  <c r="Y1984" i="15"/>
  <c r="W1985" i="15"/>
  <c r="X1985" i="15"/>
  <c r="Y1985" i="15"/>
  <c r="W1978" i="15"/>
  <c r="Y1978" i="15"/>
  <c r="W1979" i="15"/>
  <c r="Y1979" i="15"/>
  <c r="W1980" i="15"/>
  <c r="Y1980" i="15"/>
  <c r="Y1981" i="15"/>
  <c r="W1976" i="15"/>
  <c r="X1976" i="15"/>
  <c r="Y1976" i="15"/>
  <c r="W1977" i="15"/>
  <c r="X1977" i="15"/>
  <c r="Y1977" i="15"/>
  <c r="W1975" i="15"/>
  <c r="X1975" i="15"/>
  <c r="Y1975" i="15"/>
  <c r="Y1974" i="15"/>
  <c r="Y1971" i="15"/>
  <c r="Y1972" i="15"/>
  <c r="Y1973" i="15"/>
  <c r="W1966" i="15"/>
  <c r="Y1966" i="15"/>
  <c r="W1967" i="15"/>
  <c r="Y1967" i="15"/>
  <c r="W1968" i="15"/>
  <c r="Y1968" i="15"/>
  <c r="W1969" i="15"/>
  <c r="Y1969" i="15"/>
  <c r="W1970" i="15"/>
  <c r="Y1970" i="15"/>
  <c r="Y1954" i="15"/>
  <c r="Y1955" i="15"/>
  <c r="Y1956" i="15"/>
  <c r="Y1957" i="15"/>
  <c r="Y1958" i="15"/>
  <c r="Y1959" i="15"/>
  <c r="Y1960" i="15"/>
  <c r="Y1961" i="15"/>
  <c r="Y1962" i="15"/>
  <c r="Y1963" i="15"/>
  <c r="Y1964" i="15"/>
  <c r="Y1965" i="15"/>
  <c r="W1950" i="15"/>
  <c r="X1950" i="15"/>
  <c r="Y1950" i="15"/>
  <c r="W1951" i="15"/>
  <c r="X1951" i="15"/>
  <c r="Y1951" i="15"/>
  <c r="W1952" i="15"/>
  <c r="Y1952" i="15"/>
  <c r="W1953" i="15"/>
  <c r="Y1953" i="15"/>
  <c r="Y1948" i="15"/>
  <c r="Y1949" i="15"/>
  <c r="Y1947" i="15"/>
  <c r="Y1930" i="15"/>
  <c r="Y1931" i="15"/>
  <c r="Y1932" i="15"/>
  <c r="Y1933" i="15"/>
  <c r="Y1934" i="15"/>
  <c r="Y1935" i="15"/>
  <c r="Y1936" i="15"/>
  <c r="Y1937" i="15"/>
  <c r="Y1938" i="15"/>
  <c r="Y1939" i="15"/>
  <c r="Y1940" i="15"/>
  <c r="Y1941" i="15"/>
  <c r="W1942" i="15"/>
  <c r="Y1942" i="15"/>
  <c r="Y1943" i="15"/>
  <c r="Y1944" i="15"/>
  <c r="Y1945" i="15"/>
  <c r="Y1946" i="15"/>
  <c r="Y1927" i="15"/>
  <c r="Y1928" i="15"/>
  <c r="Y1929" i="15"/>
  <c r="Y1911" i="15"/>
  <c r="Y1912" i="15"/>
  <c r="Y1913" i="15"/>
  <c r="Y1914" i="15"/>
  <c r="Y1915" i="15"/>
  <c r="Y1916" i="15"/>
  <c r="Y1917" i="15"/>
  <c r="Y1918" i="15"/>
  <c r="Y1919" i="15"/>
  <c r="Y1920" i="15"/>
  <c r="Y1921" i="15"/>
  <c r="Y1922" i="15"/>
  <c r="Y1923" i="15"/>
  <c r="Y1924" i="15"/>
  <c r="Y1925" i="15"/>
  <c r="Y1926" i="15"/>
  <c r="W1908" i="15"/>
  <c r="X1908" i="15"/>
  <c r="Y1908" i="15"/>
  <c r="W1909" i="15"/>
  <c r="X1909" i="15"/>
  <c r="Y1909" i="15"/>
  <c r="W1910" i="15"/>
  <c r="X1910" i="15"/>
  <c r="Y1910" i="15"/>
  <c r="Y1902" i="15"/>
  <c r="Y1903" i="15"/>
  <c r="Y1904" i="15"/>
  <c r="Y1905" i="15"/>
  <c r="Y1906" i="15"/>
  <c r="Y1907" i="15"/>
  <c r="Y1882" i="15"/>
  <c r="Y1883" i="15"/>
  <c r="Y1884" i="15"/>
  <c r="Y1885" i="15"/>
  <c r="Y1880" i="15"/>
  <c r="Y1881" i="15"/>
  <c r="Y1875" i="15"/>
  <c r="Y1876" i="15"/>
  <c r="Y1877" i="15"/>
  <c r="Y1878" i="15"/>
  <c r="Y1879" i="15"/>
  <c r="Y1845" i="15"/>
  <c r="Y1846" i="15"/>
  <c r="W1847" i="15"/>
  <c r="X1847" i="15"/>
  <c r="Y1847" i="15"/>
  <c r="W1848" i="15"/>
  <c r="X1848" i="15"/>
  <c r="Y1848" i="15"/>
  <c r="W1849" i="15"/>
  <c r="X1849" i="15"/>
  <c r="Y1849" i="15"/>
  <c r="W1850" i="15"/>
  <c r="X1850" i="15"/>
  <c r="Y1850" i="15"/>
  <c r="Y1851" i="15"/>
  <c r="Y1852" i="15"/>
  <c r="Y1853" i="15"/>
  <c r="Y1854" i="15"/>
  <c r="Y1855" i="15"/>
  <c r="Y1856" i="15"/>
  <c r="Y1857" i="15"/>
  <c r="Y1858" i="15"/>
  <c r="Y1859" i="15"/>
  <c r="Y1860" i="15"/>
  <c r="Y1861" i="15"/>
  <c r="Y1862" i="15"/>
  <c r="Y1863" i="15"/>
  <c r="Y1864" i="15"/>
  <c r="Y1865" i="15"/>
  <c r="Y1866" i="15"/>
  <c r="Y1867" i="15"/>
  <c r="Y1868" i="15"/>
  <c r="Y1869" i="15"/>
  <c r="Y1870" i="15"/>
  <c r="Y1871" i="15"/>
  <c r="Y1872" i="15"/>
  <c r="Y1873" i="15"/>
  <c r="Y1874" i="15"/>
  <c r="T1999" i="15"/>
  <c r="U1999" i="15"/>
  <c r="V1999" i="15"/>
  <c r="T2000" i="15"/>
  <c r="U2000" i="15"/>
  <c r="V2000" i="15"/>
  <c r="T2001" i="15"/>
  <c r="U2001" i="15"/>
  <c r="V2001" i="15"/>
  <c r="V2002" i="15"/>
  <c r="V2003" i="15"/>
  <c r="V2004" i="15"/>
  <c r="T1986" i="15"/>
  <c r="V1986" i="15"/>
  <c r="T1987" i="15"/>
  <c r="V1987" i="15"/>
  <c r="T1988" i="15"/>
  <c r="V1988" i="15"/>
  <c r="T1989" i="15"/>
  <c r="V1989" i="15"/>
  <c r="T1990" i="15"/>
  <c r="V1990" i="15"/>
  <c r="T1991" i="15"/>
  <c r="V1991" i="15"/>
  <c r="T1992" i="15"/>
  <c r="U1992" i="15"/>
  <c r="V1992" i="15"/>
  <c r="T1993" i="15"/>
  <c r="U1993" i="15"/>
  <c r="V1993" i="15"/>
  <c r="T1994" i="15"/>
  <c r="V1994" i="15"/>
  <c r="T1995" i="15"/>
  <c r="V1995" i="15"/>
  <c r="V1996" i="15"/>
  <c r="T1997" i="15"/>
  <c r="U1997" i="15"/>
  <c r="V1997" i="15"/>
  <c r="T1998" i="15"/>
  <c r="U1998" i="15"/>
  <c r="V1998" i="15"/>
  <c r="T1982" i="15"/>
  <c r="U1982" i="15"/>
  <c r="V1982" i="15"/>
  <c r="T1983" i="15"/>
  <c r="U1983" i="15"/>
  <c r="V1983" i="15"/>
  <c r="T1984" i="15"/>
  <c r="U1984" i="15"/>
  <c r="V1984" i="15"/>
  <c r="T1985" i="15"/>
  <c r="U1985" i="15"/>
  <c r="V1985" i="15"/>
  <c r="T1978" i="15"/>
  <c r="V1978" i="15"/>
  <c r="T1979" i="15"/>
  <c r="V1979" i="15"/>
  <c r="T1980" i="15"/>
  <c r="V1980" i="15"/>
  <c r="V1981" i="15"/>
  <c r="T1976" i="15"/>
  <c r="U1976" i="15"/>
  <c r="V1976" i="15"/>
  <c r="T1977" i="15"/>
  <c r="U1977" i="15"/>
  <c r="V1977" i="15"/>
  <c r="T1975" i="15"/>
  <c r="U1975" i="15"/>
  <c r="V1975" i="15"/>
  <c r="V1974" i="15"/>
  <c r="V1971" i="15"/>
  <c r="V1972" i="15"/>
  <c r="V1973" i="15"/>
  <c r="T1966" i="15"/>
  <c r="V1966" i="15"/>
  <c r="T1967" i="15"/>
  <c r="V1967" i="15"/>
  <c r="T1968" i="15"/>
  <c r="V1968" i="15"/>
  <c r="T1969" i="15"/>
  <c r="V1969" i="15"/>
  <c r="T1970" i="15"/>
  <c r="V1970" i="15"/>
  <c r="V1954" i="15"/>
  <c r="V1955" i="15"/>
  <c r="V1956" i="15"/>
  <c r="V1957" i="15"/>
  <c r="V1958" i="15"/>
  <c r="V1959" i="15"/>
  <c r="V1960" i="15"/>
  <c r="V1961" i="15"/>
  <c r="V1962" i="15"/>
  <c r="V1963" i="15"/>
  <c r="V1964" i="15"/>
  <c r="V1965" i="15"/>
  <c r="T1950" i="15"/>
  <c r="U1950" i="15"/>
  <c r="V1950" i="15"/>
  <c r="T1951" i="15"/>
  <c r="U1951" i="15"/>
  <c r="V1951" i="15"/>
  <c r="T1952" i="15"/>
  <c r="V1952" i="15"/>
  <c r="T1953" i="15"/>
  <c r="V1953" i="15"/>
  <c r="V1948" i="15"/>
  <c r="V1949" i="15"/>
  <c r="V1947" i="15"/>
  <c r="V1930" i="15"/>
  <c r="V1931" i="15"/>
  <c r="V1932" i="15"/>
  <c r="V1933" i="15"/>
  <c r="V1934" i="15"/>
  <c r="V1935" i="15"/>
  <c r="V1936" i="15"/>
  <c r="V1937" i="15"/>
  <c r="V1938" i="15"/>
  <c r="V1939" i="15"/>
  <c r="V1940" i="15"/>
  <c r="V1941" i="15"/>
  <c r="T1942" i="15"/>
  <c r="V1942" i="15"/>
  <c r="V1943" i="15"/>
  <c r="V1944" i="15"/>
  <c r="V1945" i="15"/>
  <c r="V1946" i="15"/>
  <c r="V1927" i="15"/>
  <c r="V1928" i="15"/>
  <c r="V1929" i="15"/>
  <c r="V1911" i="15"/>
  <c r="V1912" i="15"/>
  <c r="V1913" i="15"/>
  <c r="V1914" i="15"/>
  <c r="V1915" i="15"/>
  <c r="V1916" i="15"/>
  <c r="V1917" i="15"/>
  <c r="V1918" i="15"/>
  <c r="V1919" i="15"/>
  <c r="V1920" i="15"/>
  <c r="V1921" i="15"/>
  <c r="V1922" i="15"/>
  <c r="V1923" i="15"/>
  <c r="V1924" i="15"/>
  <c r="V1925" i="15"/>
  <c r="V1926" i="15"/>
  <c r="T1908" i="15"/>
  <c r="U1908" i="15"/>
  <c r="V1908" i="15"/>
  <c r="V1909" i="15"/>
  <c r="T1910" i="15"/>
  <c r="U1910" i="15"/>
  <c r="V1910" i="15"/>
  <c r="V1902" i="15"/>
  <c r="V1903" i="15"/>
  <c r="V1904" i="15"/>
  <c r="V1905" i="15"/>
  <c r="V1906" i="15"/>
  <c r="V1907" i="15"/>
  <c r="V1882" i="15"/>
  <c r="V1883" i="15"/>
  <c r="V1884" i="15"/>
  <c r="V1885" i="15"/>
  <c r="V1880" i="15"/>
  <c r="V1881" i="15"/>
  <c r="V1875" i="15"/>
  <c r="V1876" i="15"/>
  <c r="V1877" i="15"/>
  <c r="V1878" i="15"/>
  <c r="V1879" i="15"/>
  <c r="T1845" i="15"/>
  <c r="U1845" i="15"/>
  <c r="V1845" i="15"/>
  <c r="T1846" i="15"/>
  <c r="U1846" i="15"/>
  <c r="V1846" i="15"/>
  <c r="T1847" i="15"/>
  <c r="U1847" i="15"/>
  <c r="V1847" i="15"/>
  <c r="T1848" i="15"/>
  <c r="U1848" i="15"/>
  <c r="V1848" i="15"/>
  <c r="T1849" i="15"/>
  <c r="U1849" i="15"/>
  <c r="V1849" i="15"/>
  <c r="T1850" i="15"/>
  <c r="U1850" i="15"/>
  <c r="V1850" i="15"/>
  <c r="V1851" i="15"/>
  <c r="V1852" i="15"/>
  <c r="V1853" i="15"/>
  <c r="V1854" i="15"/>
  <c r="V1855" i="15"/>
  <c r="V1856" i="15"/>
  <c r="V1857" i="15"/>
  <c r="V1858" i="15"/>
  <c r="V1859" i="15"/>
  <c r="V1860" i="15"/>
  <c r="V1861" i="15"/>
  <c r="V1862" i="15"/>
  <c r="V1863" i="15"/>
  <c r="V1864" i="15"/>
  <c r="V1865" i="15"/>
  <c r="V1866" i="15"/>
  <c r="V1867" i="15"/>
  <c r="V1868" i="15"/>
  <c r="V1869" i="15"/>
  <c r="V1870" i="15"/>
  <c r="V1871" i="15"/>
  <c r="V1872" i="15"/>
  <c r="V1873" i="15"/>
  <c r="V1874" i="15"/>
  <c r="Q1891" i="15"/>
  <c r="R1891" i="15"/>
  <c r="S1891" i="15"/>
  <c r="Q1889" i="15"/>
  <c r="R1889" i="15"/>
  <c r="S1889" i="15"/>
  <c r="Q1890" i="15"/>
  <c r="R1890" i="15"/>
  <c r="S1890" i="15"/>
  <c r="Q1885" i="15"/>
  <c r="R1885" i="15"/>
  <c r="S1885" i="15"/>
  <c r="Q1886" i="15"/>
  <c r="R1886" i="15"/>
  <c r="S1886" i="15"/>
  <c r="Q1887" i="15"/>
  <c r="R1887" i="15"/>
  <c r="S1887" i="15"/>
  <c r="Q1888" i="15"/>
  <c r="R1888" i="15"/>
  <c r="S1888" i="15"/>
  <c r="S1883" i="15"/>
  <c r="S1884" i="15"/>
  <c r="Q1870" i="15"/>
  <c r="S1870" i="15"/>
  <c r="Q1871" i="15"/>
  <c r="S1871" i="15"/>
  <c r="Q1872" i="15"/>
  <c r="S1872" i="15"/>
  <c r="Q1873" i="15"/>
  <c r="S1873" i="15"/>
  <c r="S1874" i="15"/>
  <c r="S1875" i="15"/>
  <c r="S1876" i="15"/>
  <c r="S1877" i="15"/>
  <c r="S1878" i="15"/>
  <c r="S1879" i="15"/>
  <c r="S1880" i="15"/>
  <c r="S1881" i="15"/>
  <c r="S1882" i="15"/>
  <c r="S1866" i="15"/>
  <c r="S1867" i="15"/>
  <c r="S1868" i="15"/>
  <c r="S1869" i="15"/>
  <c r="S1862" i="15"/>
  <c r="S1863" i="15"/>
  <c r="S1864" i="15"/>
  <c r="S1865" i="15"/>
  <c r="S1858" i="15"/>
  <c r="S1859" i="15"/>
  <c r="S1860" i="15"/>
  <c r="S1861" i="15"/>
  <c r="Q1855" i="15"/>
  <c r="R1855" i="15"/>
  <c r="S1855" i="15"/>
  <c r="Q1856" i="15"/>
  <c r="R1856" i="15"/>
  <c r="S1856" i="15"/>
  <c r="Q1857" i="15"/>
  <c r="R1857" i="15"/>
  <c r="S1857" i="15"/>
  <c r="S1849" i="15"/>
  <c r="S1850" i="15"/>
  <c r="S1851" i="15"/>
  <c r="S1852" i="15"/>
  <c r="S1853" i="15"/>
  <c r="S1854" i="15"/>
  <c r="S1847" i="15"/>
  <c r="S1848" i="15"/>
  <c r="Q1845" i="15"/>
  <c r="S1845" i="15"/>
  <c r="S1846" i="15"/>
  <c r="N1891" i="15"/>
  <c r="O1891" i="15"/>
  <c r="P1891" i="15"/>
  <c r="N1889" i="15"/>
  <c r="O1889" i="15"/>
  <c r="P1889" i="15"/>
  <c r="N1890" i="15"/>
  <c r="O1890" i="15"/>
  <c r="P1890" i="15"/>
  <c r="N1885" i="15"/>
  <c r="O1885" i="15"/>
  <c r="P1885" i="15"/>
  <c r="N1886" i="15"/>
  <c r="O1886" i="15"/>
  <c r="P1886" i="15"/>
  <c r="N1887" i="15"/>
  <c r="O1887" i="15"/>
  <c r="P1887" i="15"/>
  <c r="N1888" i="15"/>
  <c r="O1888" i="15"/>
  <c r="P1888" i="15"/>
  <c r="P1883" i="15"/>
  <c r="P1884" i="15"/>
  <c r="N1870" i="15"/>
  <c r="P1870" i="15"/>
  <c r="N1871" i="15"/>
  <c r="P1871" i="15"/>
  <c r="N1872" i="15"/>
  <c r="P1872" i="15"/>
  <c r="N1873" i="15"/>
  <c r="P1873" i="15"/>
  <c r="P1874" i="15"/>
  <c r="P1875" i="15"/>
  <c r="P1876" i="15"/>
  <c r="P1877" i="15"/>
  <c r="P1878" i="15"/>
  <c r="P1879" i="15"/>
  <c r="P1880" i="15"/>
  <c r="P1881" i="15"/>
  <c r="P1882" i="15"/>
  <c r="P1866" i="15"/>
  <c r="P1867" i="15"/>
  <c r="P1868" i="15"/>
  <c r="P1869" i="15"/>
  <c r="P1862" i="15"/>
  <c r="P1863" i="15"/>
  <c r="P1864" i="15"/>
  <c r="P1865" i="15"/>
  <c r="P1858" i="15"/>
  <c r="P1859" i="15"/>
  <c r="P1860" i="15"/>
  <c r="P1861" i="15"/>
  <c r="N1855" i="15"/>
  <c r="O1855" i="15"/>
  <c r="P1855" i="15"/>
  <c r="P1856" i="15"/>
  <c r="N1857" i="15"/>
  <c r="O1857" i="15"/>
  <c r="P1857" i="15"/>
  <c r="P1849" i="15"/>
  <c r="P1850" i="15"/>
  <c r="P1851" i="15"/>
  <c r="P1852" i="15"/>
  <c r="P1853" i="15"/>
  <c r="P1854" i="15"/>
  <c r="P1847" i="15"/>
  <c r="P1848" i="15"/>
  <c r="P1845" i="15"/>
  <c r="P1846" i="15"/>
  <c r="K1871" i="15"/>
  <c r="L1871" i="15"/>
  <c r="M1871" i="15"/>
  <c r="K1869" i="15"/>
  <c r="L1869" i="15"/>
  <c r="M1869" i="15"/>
  <c r="K1870" i="15"/>
  <c r="L1870" i="15"/>
  <c r="M1870" i="15"/>
  <c r="M1867" i="15"/>
  <c r="M1868" i="15"/>
  <c r="M1859" i="15"/>
  <c r="M1860" i="15"/>
  <c r="M1861" i="15"/>
  <c r="M1862" i="15"/>
  <c r="M1863" i="15"/>
  <c r="M1864" i="15"/>
  <c r="M1865" i="15"/>
  <c r="M1866" i="15"/>
  <c r="M1855" i="15"/>
  <c r="M1856" i="15"/>
  <c r="M1857" i="15"/>
  <c r="M1858" i="15"/>
  <c r="M1853" i="15"/>
  <c r="M1854" i="15"/>
  <c r="M1847" i="15"/>
  <c r="M1848" i="15"/>
  <c r="M1849" i="15"/>
  <c r="M1850" i="15"/>
  <c r="M1851" i="15"/>
  <c r="M1852" i="15"/>
  <c r="M1845" i="15"/>
  <c r="M1846" i="15"/>
  <c r="H1871" i="15"/>
  <c r="I1871" i="15"/>
  <c r="J1871" i="15"/>
  <c r="H1869" i="15"/>
  <c r="I1869" i="15"/>
  <c r="J1869" i="15"/>
  <c r="H1870" i="15"/>
  <c r="I1870" i="15"/>
  <c r="J1870" i="15"/>
  <c r="J1867" i="15"/>
  <c r="J1868" i="15"/>
  <c r="J1859" i="15"/>
  <c r="J1860" i="15"/>
  <c r="J1861" i="15"/>
  <c r="J1862" i="15"/>
  <c r="J1863" i="15"/>
  <c r="J1864" i="15"/>
  <c r="J1865" i="15"/>
  <c r="J1866" i="15"/>
  <c r="J1855" i="15"/>
  <c r="J1856" i="15"/>
  <c r="J1857" i="15"/>
  <c r="J1858" i="15"/>
  <c r="J1853" i="15"/>
  <c r="J1854" i="15"/>
  <c r="J1847" i="15"/>
  <c r="J1848" i="15"/>
  <c r="J1849" i="15"/>
  <c r="J1850" i="15"/>
  <c r="J1851" i="15"/>
  <c r="J1852" i="15"/>
  <c r="J1845" i="15"/>
  <c r="J1846" i="15"/>
  <c r="E1871" i="15"/>
  <c r="F1871" i="15"/>
  <c r="G1871" i="15"/>
  <c r="E1869" i="15"/>
  <c r="F1869" i="15"/>
  <c r="G1869" i="15"/>
  <c r="E1870" i="15"/>
  <c r="F1870" i="15"/>
  <c r="G1870" i="15"/>
  <c r="G1867" i="15"/>
  <c r="G1868" i="15"/>
  <c r="G1859" i="15"/>
  <c r="G1860" i="15"/>
  <c r="G1861" i="15"/>
  <c r="G1862" i="15"/>
  <c r="G1863" i="15"/>
  <c r="G1864" i="15"/>
  <c r="G1865" i="15"/>
  <c r="G1866" i="15"/>
  <c r="G1855" i="15"/>
  <c r="G1856" i="15"/>
  <c r="G1857" i="15"/>
  <c r="G1858" i="15"/>
  <c r="G1853" i="15"/>
  <c r="G1854" i="15"/>
  <c r="G1847" i="15"/>
  <c r="G1848" i="15"/>
  <c r="G1849" i="15"/>
  <c r="G1850" i="15"/>
  <c r="G1851" i="15"/>
  <c r="G1852" i="15"/>
  <c r="G1845" i="15"/>
  <c r="G1846" i="15"/>
  <c r="B1871" i="15"/>
  <c r="D1871" i="15"/>
  <c r="B1869" i="15"/>
  <c r="C1869" i="15"/>
  <c r="D1869" i="15"/>
  <c r="B1870" i="15"/>
  <c r="C1870" i="15"/>
  <c r="D1870" i="15"/>
  <c r="D1867" i="15"/>
  <c r="D1868" i="15"/>
  <c r="D1859" i="15"/>
  <c r="D1860" i="15"/>
  <c r="D1861" i="15"/>
  <c r="D1862" i="15"/>
  <c r="D1863" i="15"/>
  <c r="D1864" i="15"/>
  <c r="D1865" i="15"/>
  <c r="D1866" i="15"/>
  <c r="D1855" i="15"/>
  <c r="D1856" i="15"/>
  <c r="D1857" i="15"/>
  <c r="D1858" i="15"/>
  <c r="D1853" i="15"/>
  <c r="D1854" i="15"/>
  <c r="D1847" i="15"/>
  <c r="D1848" i="15"/>
  <c r="D1849" i="15"/>
  <c r="D1850" i="15"/>
  <c r="D1851" i="15"/>
  <c r="D1852" i="15"/>
  <c r="D1845" i="15"/>
  <c r="D1846" i="15"/>
  <c r="AI1841" i="15"/>
  <c r="AK1841" i="15"/>
  <c r="AI1840" i="15"/>
  <c r="AJ1840" i="15"/>
  <c r="AK1840" i="15"/>
  <c r="AI1838" i="15"/>
  <c r="AJ1838" i="15"/>
  <c r="AK1838" i="15"/>
  <c r="AI1839" i="15"/>
  <c r="AJ1839" i="15"/>
  <c r="AK1839" i="15"/>
  <c r="AI1837" i="15"/>
  <c r="AJ1837" i="15"/>
  <c r="AK1837" i="15"/>
  <c r="AI1834" i="15"/>
  <c r="AK1834" i="15"/>
  <c r="AI1835" i="15"/>
  <c r="AK1835" i="15"/>
  <c r="AI1836" i="15"/>
  <c r="AK1836" i="15"/>
  <c r="AI1831" i="15"/>
  <c r="AK1831" i="15"/>
  <c r="AI1832" i="15"/>
  <c r="AK1832" i="15"/>
  <c r="AI1833" i="15"/>
  <c r="AK1833" i="15"/>
  <c r="AI1816" i="15"/>
  <c r="AJ1816" i="15"/>
  <c r="AK1816" i="15"/>
  <c r="AI1817" i="15"/>
  <c r="AJ1817" i="15"/>
  <c r="AK1817" i="15"/>
  <c r="AI1818" i="15"/>
  <c r="AJ1818" i="15"/>
  <c r="AK1818" i="15"/>
  <c r="AI1819" i="15"/>
  <c r="AJ1819" i="15"/>
  <c r="AK1819" i="15"/>
  <c r="AI1820" i="15"/>
  <c r="AJ1820" i="15"/>
  <c r="AK1820" i="15"/>
  <c r="AI1821" i="15"/>
  <c r="AJ1821" i="15"/>
  <c r="AK1821" i="15"/>
  <c r="AI1822" i="15"/>
  <c r="AJ1822" i="15"/>
  <c r="AK1822" i="15"/>
  <c r="AI1823" i="15"/>
  <c r="AJ1823" i="15"/>
  <c r="AK1823" i="15"/>
  <c r="AI1824" i="15"/>
  <c r="AJ1824" i="15"/>
  <c r="AK1824" i="15"/>
  <c r="AI1825" i="15"/>
  <c r="AJ1825" i="15"/>
  <c r="AK1825" i="15"/>
  <c r="AI1826" i="15"/>
  <c r="AJ1826" i="15"/>
  <c r="AK1826" i="15"/>
  <c r="AI1827" i="15"/>
  <c r="AJ1827" i="15"/>
  <c r="AK1827" i="15"/>
  <c r="AI1828" i="15"/>
  <c r="AJ1828" i="15"/>
  <c r="AK1828" i="15"/>
  <c r="AI1829" i="15"/>
  <c r="AJ1829" i="15"/>
  <c r="AK1829" i="15"/>
  <c r="AI1830" i="15"/>
  <c r="AJ1830" i="15"/>
  <c r="AK1830" i="15"/>
  <c r="AI1815" i="15"/>
  <c r="AK1815" i="15"/>
  <c r="AI1810" i="15"/>
  <c r="AK1810" i="15"/>
  <c r="AI1811" i="15"/>
  <c r="AK1811" i="15"/>
  <c r="AI1812" i="15"/>
  <c r="AK1812" i="15"/>
  <c r="AI1813" i="15"/>
  <c r="AK1813" i="15"/>
  <c r="AI1814" i="15"/>
  <c r="AK1814" i="15"/>
  <c r="AI1807" i="15"/>
  <c r="AK1807" i="15"/>
  <c r="AI1808" i="15"/>
  <c r="AK1808" i="15"/>
  <c r="AI1809" i="15"/>
  <c r="AK1809" i="15"/>
  <c r="AI1802" i="15"/>
  <c r="AK1802" i="15"/>
  <c r="AI1803" i="15"/>
  <c r="AK1803" i="15"/>
  <c r="AI1804" i="15"/>
  <c r="AK1804" i="15"/>
  <c r="AI1805" i="15"/>
  <c r="AK1805" i="15"/>
  <c r="AI1806" i="15"/>
  <c r="AK1806" i="15"/>
  <c r="AI1799" i="15"/>
  <c r="AK1799" i="15"/>
  <c r="AI1800" i="15"/>
  <c r="AK1800" i="15"/>
  <c r="AI1801" i="15"/>
  <c r="AK1801" i="15"/>
  <c r="AI1784" i="15"/>
  <c r="AK1784" i="15"/>
  <c r="AI1785" i="15"/>
  <c r="AK1785" i="15"/>
  <c r="AI1786" i="15"/>
  <c r="AK1786" i="15"/>
  <c r="AI1787" i="15"/>
  <c r="AK1787" i="15"/>
  <c r="AI1788" i="15"/>
  <c r="AK1788" i="15"/>
  <c r="AI1789" i="15"/>
  <c r="AK1789" i="15"/>
  <c r="AI1790" i="15"/>
  <c r="AK1790" i="15"/>
  <c r="AI1791" i="15"/>
  <c r="AK1791" i="15"/>
  <c r="AI1792" i="15"/>
  <c r="AK1792" i="15"/>
  <c r="AI1793" i="15"/>
  <c r="AK1793" i="15"/>
  <c r="AI1794" i="15"/>
  <c r="AK1794" i="15"/>
  <c r="AI1795" i="15"/>
  <c r="AK1795" i="15"/>
  <c r="AI1796" i="15"/>
  <c r="AK1796" i="15"/>
  <c r="AI1797" i="15"/>
  <c r="AK1797" i="15"/>
  <c r="AI1798" i="15"/>
  <c r="AK1798" i="15"/>
  <c r="AI1782" i="15"/>
  <c r="AJ1782" i="15"/>
  <c r="AK1782" i="15"/>
  <c r="AI1783" i="15"/>
  <c r="AJ1783" i="15"/>
  <c r="AK1783" i="15"/>
  <c r="AI1778" i="15"/>
  <c r="AJ1778" i="15"/>
  <c r="AK1778" i="15"/>
  <c r="AI1779" i="15"/>
  <c r="AJ1779" i="15"/>
  <c r="AK1779" i="15"/>
  <c r="AI1780" i="15"/>
  <c r="AJ1780" i="15"/>
  <c r="AK1780" i="15"/>
  <c r="AI1781" i="15"/>
  <c r="AJ1781" i="15"/>
  <c r="AK1781" i="15"/>
  <c r="AI1774" i="15"/>
  <c r="AJ1774" i="15"/>
  <c r="AK1774" i="15"/>
  <c r="AI1775" i="15"/>
  <c r="AJ1775" i="15"/>
  <c r="AK1775" i="15"/>
  <c r="AI1776" i="15"/>
  <c r="AJ1776" i="15"/>
  <c r="AK1776" i="15"/>
  <c r="AI1777" i="15"/>
  <c r="AJ1777" i="15"/>
  <c r="AK1777" i="15"/>
  <c r="AI1769" i="15"/>
  <c r="AK1769" i="15"/>
  <c r="AI1770" i="15"/>
  <c r="AJ1770" i="15"/>
  <c r="AK1770" i="15"/>
  <c r="AI1771" i="15"/>
  <c r="AJ1771" i="15"/>
  <c r="AK1771" i="15"/>
  <c r="AI1772" i="15"/>
  <c r="AJ1772" i="15"/>
  <c r="AK1772" i="15"/>
  <c r="AI1773" i="15"/>
  <c r="AJ1773" i="15"/>
  <c r="AK1773" i="15"/>
  <c r="AI1759" i="15"/>
  <c r="AJ1759" i="15"/>
  <c r="AK1759" i="15"/>
  <c r="AI1760" i="15"/>
  <c r="AJ1760" i="15"/>
  <c r="AK1760" i="15"/>
  <c r="AI1761" i="15"/>
  <c r="AJ1761" i="15"/>
  <c r="AK1761" i="15"/>
  <c r="AI1762" i="15"/>
  <c r="AJ1762" i="15"/>
  <c r="AK1762" i="15"/>
  <c r="AI1763" i="15"/>
  <c r="AJ1763" i="15"/>
  <c r="AK1763" i="15"/>
  <c r="AI1764" i="15"/>
  <c r="AJ1764" i="15"/>
  <c r="AK1764" i="15"/>
  <c r="AI1765" i="15"/>
  <c r="AJ1765" i="15"/>
  <c r="AK1765" i="15"/>
  <c r="AI1766" i="15"/>
  <c r="AJ1766" i="15"/>
  <c r="AK1766" i="15"/>
  <c r="AI1767" i="15"/>
  <c r="AJ1767" i="15"/>
  <c r="AK1767" i="15"/>
  <c r="AI1768" i="15"/>
  <c r="AJ1768" i="15"/>
  <c r="AK1768" i="15"/>
  <c r="AI1753" i="15"/>
  <c r="AK1753" i="15"/>
  <c r="AI1754" i="15"/>
  <c r="AK1754" i="15"/>
  <c r="AI1755" i="15"/>
  <c r="AK1755" i="15"/>
  <c r="AI1756" i="15"/>
  <c r="AK1756" i="15"/>
  <c r="AI1757" i="15"/>
  <c r="AK1757" i="15"/>
  <c r="AI1758" i="15"/>
  <c r="AK1758" i="15"/>
  <c r="AI1745" i="15"/>
  <c r="AJ1745" i="15"/>
  <c r="AK1745" i="15"/>
  <c r="AI1746" i="15"/>
  <c r="AJ1746" i="15"/>
  <c r="AK1746" i="15"/>
  <c r="AI1747" i="15"/>
  <c r="AJ1747" i="15"/>
  <c r="AK1747" i="15"/>
  <c r="AI1748" i="15"/>
  <c r="AJ1748" i="15"/>
  <c r="AK1748" i="15"/>
  <c r="AI1749" i="15"/>
  <c r="AJ1749" i="15"/>
  <c r="AK1749" i="15"/>
  <c r="AI1750" i="15"/>
  <c r="AJ1750" i="15"/>
  <c r="AK1750" i="15"/>
  <c r="AI1751" i="15"/>
  <c r="AJ1751" i="15"/>
  <c r="AK1751" i="15"/>
  <c r="AI1752" i="15"/>
  <c r="AJ1752" i="15"/>
  <c r="AK1752" i="15"/>
  <c r="AI1738" i="15"/>
  <c r="AJ1738" i="15"/>
  <c r="AK1738" i="15"/>
  <c r="AI1739" i="15"/>
  <c r="AJ1739" i="15"/>
  <c r="AK1739" i="15"/>
  <c r="AI1740" i="15"/>
  <c r="AJ1740" i="15"/>
  <c r="AK1740" i="15"/>
  <c r="AI1741" i="15"/>
  <c r="AJ1741" i="15"/>
  <c r="AK1741" i="15"/>
  <c r="AI1742" i="15"/>
  <c r="AJ1742" i="15"/>
  <c r="AK1742" i="15"/>
  <c r="AI1743" i="15"/>
  <c r="AJ1743" i="15"/>
  <c r="AK1743" i="15"/>
  <c r="AI1744" i="15"/>
  <c r="AJ1744" i="15"/>
  <c r="AK1744" i="15"/>
  <c r="AI1731" i="15"/>
  <c r="AK1731" i="15"/>
  <c r="AI1732" i="15"/>
  <c r="AK1732" i="15"/>
  <c r="AI1733" i="15"/>
  <c r="AK1733" i="15"/>
  <c r="AI1734" i="15"/>
  <c r="AJ1734" i="15"/>
  <c r="AK1734" i="15"/>
  <c r="AI1735" i="15"/>
  <c r="AJ1735" i="15"/>
  <c r="AK1735" i="15"/>
  <c r="AI1736" i="15"/>
  <c r="AJ1736" i="15"/>
  <c r="AK1736" i="15"/>
  <c r="AI1737" i="15"/>
  <c r="AJ1737" i="15"/>
  <c r="AK1737" i="15"/>
  <c r="AI1687" i="15"/>
  <c r="AJ1687" i="15"/>
  <c r="AK1687" i="15"/>
  <c r="AI1688" i="15"/>
  <c r="AJ1688" i="15"/>
  <c r="AK1688" i="15"/>
  <c r="AJ1689" i="15"/>
  <c r="AK1689" i="15"/>
  <c r="AJ1690" i="15"/>
  <c r="AK1690" i="15"/>
  <c r="AJ1691" i="15"/>
  <c r="AK1691" i="15"/>
  <c r="AJ1692" i="15"/>
  <c r="AK1692" i="15"/>
  <c r="AI1693" i="15"/>
  <c r="AJ1693" i="15"/>
  <c r="AK1693" i="15"/>
  <c r="AI1694" i="15"/>
  <c r="AJ1694" i="15"/>
  <c r="AK1694" i="15"/>
  <c r="AJ1695" i="15"/>
  <c r="AK1695" i="15"/>
  <c r="AJ1696" i="15"/>
  <c r="AK1696" i="15"/>
  <c r="AJ1697" i="15"/>
  <c r="AK1697" i="15"/>
  <c r="AJ1698" i="15"/>
  <c r="AK1698" i="15"/>
  <c r="AK1699" i="15"/>
  <c r="AK1700" i="15"/>
  <c r="AK1701" i="15"/>
  <c r="AK1702" i="15"/>
  <c r="AK1703" i="15"/>
  <c r="AK1704" i="15"/>
  <c r="AI1705" i="15"/>
  <c r="AJ1705" i="15"/>
  <c r="AK1705" i="15"/>
  <c r="AI1706" i="15"/>
  <c r="AJ1706" i="15"/>
  <c r="AK1706" i="15"/>
  <c r="AJ1707" i="15"/>
  <c r="AK1707" i="15"/>
  <c r="AJ1708" i="15"/>
  <c r="AK1708" i="15"/>
  <c r="AJ1709" i="15"/>
  <c r="AK1709" i="15"/>
  <c r="AJ1710" i="15"/>
  <c r="AK1710" i="15"/>
  <c r="AI1711" i="15"/>
  <c r="AJ1711" i="15"/>
  <c r="AK1711" i="15"/>
  <c r="AI1712" i="15"/>
  <c r="AJ1712" i="15"/>
  <c r="AK1712" i="15"/>
  <c r="AJ1713" i="15"/>
  <c r="AK1713" i="15"/>
  <c r="AJ1714" i="15"/>
  <c r="AK1714" i="15"/>
  <c r="AJ1715" i="15"/>
  <c r="AK1715" i="15"/>
  <c r="AJ1716" i="15"/>
  <c r="AK1716" i="15"/>
  <c r="AK1717" i="15"/>
  <c r="AK1718" i="15"/>
  <c r="AK1719" i="15"/>
  <c r="AK1720" i="15"/>
  <c r="AK1721" i="15"/>
  <c r="AK1722" i="15"/>
  <c r="AI1723" i="15"/>
  <c r="AJ1723" i="15"/>
  <c r="AK1723" i="15"/>
  <c r="AI1724" i="15"/>
  <c r="AJ1724" i="15"/>
  <c r="AK1724" i="15"/>
  <c r="AI1725" i="15"/>
  <c r="AJ1725" i="15"/>
  <c r="AK1725" i="15"/>
  <c r="AI1726" i="15"/>
  <c r="AJ1726" i="15"/>
  <c r="AK1726" i="15"/>
  <c r="AK1727" i="15"/>
  <c r="AK1728" i="15"/>
  <c r="AK1729" i="15"/>
  <c r="AK1730" i="15"/>
  <c r="AF1841" i="15"/>
  <c r="AH1841" i="15"/>
  <c r="AF1840" i="15"/>
  <c r="AG1840" i="15"/>
  <c r="AH1840" i="15"/>
  <c r="AF1838" i="15"/>
  <c r="AG1838" i="15"/>
  <c r="AH1838" i="15"/>
  <c r="AF1839" i="15"/>
  <c r="AG1839" i="15"/>
  <c r="AH1839" i="15"/>
  <c r="AF1837" i="15"/>
  <c r="AG1837" i="15"/>
  <c r="AH1837" i="15"/>
  <c r="AF1834" i="15"/>
  <c r="AH1834" i="15"/>
  <c r="AF1835" i="15"/>
  <c r="AH1835" i="15"/>
  <c r="AF1836" i="15"/>
  <c r="AH1836" i="15"/>
  <c r="AF1831" i="15"/>
  <c r="AH1831" i="15"/>
  <c r="AF1832" i="15"/>
  <c r="AH1832" i="15"/>
  <c r="AF1833" i="15"/>
  <c r="AH1833" i="15"/>
  <c r="AF1816" i="15"/>
  <c r="AG1816" i="15"/>
  <c r="AH1816" i="15"/>
  <c r="AF1817" i="15"/>
  <c r="AG1817" i="15"/>
  <c r="AH1817" i="15"/>
  <c r="AF1818" i="15"/>
  <c r="AG1818" i="15"/>
  <c r="AH1818" i="15"/>
  <c r="AF1819" i="15"/>
  <c r="AG1819" i="15"/>
  <c r="AH1819" i="15"/>
  <c r="AF1820" i="15"/>
  <c r="AG1820" i="15"/>
  <c r="AH1820" i="15"/>
  <c r="AF1821" i="15"/>
  <c r="AG1821" i="15"/>
  <c r="AH1821" i="15"/>
  <c r="AF1822" i="15"/>
  <c r="AG1822" i="15"/>
  <c r="AH1822" i="15"/>
  <c r="AF1823" i="15"/>
  <c r="AG1823" i="15"/>
  <c r="AH1823" i="15"/>
  <c r="AF1824" i="15"/>
  <c r="AG1824" i="15"/>
  <c r="AH1824" i="15"/>
  <c r="AF1825" i="15"/>
  <c r="AG1825" i="15"/>
  <c r="AH1825" i="15"/>
  <c r="AF1826" i="15"/>
  <c r="AG1826" i="15"/>
  <c r="AH1826" i="15"/>
  <c r="AF1827" i="15"/>
  <c r="AG1827" i="15"/>
  <c r="AH1827" i="15"/>
  <c r="AF1828" i="15"/>
  <c r="AG1828" i="15"/>
  <c r="AH1828" i="15"/>
  <c r="AF1829" i="15"/>
  <c r="AG1829" i="15"/>
  <c r="AH1829" i="15"/>
  <c r="AF1830" i="15"/>
  <c r="AG1830" i="15"/>
  <c r="AH1830" i="15"/>
  <c r="AF1815" i="15"/>
  <c r="AH1815" i="15"/>
  <c r="AF1810" i="15"/>
  <c r="AH1810" i="15"/>
  <c r="AF1811" i="15"/>
  <c r="AH1811" i="15"/>
  <c r="AF1812" i="15"/>
  <c r="AH1812" i="15"/>
  <c r="AF1813" i="15"/>
  <c r="AH1813" i="15"/>
  <c r="AF1814" i="15"/>
  <c r="AH1814" i="15"/>
  <c r="AF1807" i="15"/>
  <c r="AH1807" i="15"/>
  <c r="AF1808" i="15"/>
  <c r="AH1808" i="15"/>
  <c r="AF1809" i="15"/>
  <c r="AH1809" i="15"/>
  <c r="AF1802" i="15"/>
  <c r="AH1802" i="15"/>
  <c r="AF1803" i="15"/>
  <c r="AH1803" i="15"/>
  <c r="AF1804" i="15"/>
  <c r="AH1804" i="15"/>
  <c r="AF1805" i="15"/>
  <c r="AH1805" i="15"/>
  <c r="AF1806" i="15"/>
  <c r="AH1806" i="15"/>
  <c r="AF1799" i="15"/>
  <c r="AH1799" i="15"/>
  <c r="AF1800" i="15"/>
  <c r="AH1800" i="15"/>
  <c r="AF1801" i="15"/>
  <c r="AH1801" i="15"/>
  <c r="AF1784" i="15"/>
  <c r="AH1784" i="15"/>
  <c r="AF1785" i="15"/>
  <c r="AH1785" i="15"/>
  <c r="AF1786" i="15"/>
  <c r="AH1786" i="15"/>
  <c r="AF1787" i="15"/>
  <c r="AH1787" i="15"/>
  <c r="AF1788" i="15"/>
  <c r="AH1788" i="15"/>
  <c r="AF1789" i="15"/>
  <c r="AH1789" i="15"/>
  <c r="AF1790" i="15"/>
  <c r="AH1790" i="15"/>
  <c r="AF1791" i="15"/>
  <c r="AH1791" i="15"/>
  <c r="AF1792" i="15"/>
  <c r="AH1792" i="15"/>
  <c r="AF1793" i="15"/>
  <c r="AH1793" i="15"/>
  <c r="AF1794" i="15"/>
  <c r="AH1794" i="15"/>
  <c r="AF1795" i="15"/>
  <c r="AH1795" i="15"/>
  <c r="AF1796" i="15"/>
  <c r="AH1796" i="15"/>
  <c r="AF1797" i="15"/>
  <c r="AH1797" i="15"/>
  <c r="AF1798" i="15"/>
  <c r="AH1798" i="15"/>
  <c r="AF1782" i="15"/>
  <c r="AG1782" i="15"/>
  <c r="AH1782" i="15"/>
  <c r="AF1783" i="15"/>
  <c r="AG1783" i="15"/>
  <c r="AH1783" i="15"/>
  <c r="AF1778" i="15"/>
  <c r="AG1778" i="15"/>
  <c r="AH1778" i="15"/>
  <c r="AF1779" i="15"/>
  <c r="AG1779" i="15"/>
  <c r="AH1779" i="15"/>
  <c r="AF1780" i="15"/>
  <c r="AG1780" i="15"/>
  <c r="AH1780" i="15"/>
  <c r="AF1781" i="15"/>
  <c r="AG1781" i="15"/>
  <c r="AH1781" i="15"/>
  <c r="AF1774" i="15"/>
  <c r="AG1774" i="15"/>
  <c r="AH1774" i="15"/>
  <c r="AF1775" i="15"/>
  <c r="AG1775" i="15"/>
  <c r="AH1775" i="15"/>
  <c r="AF1776" i="15"/>
  <c r="AG1776" i="15"/>
  <c r="AH1776" i="15"/>
  <c r="AF1777" i="15"/>
  <c r="AG1777" i="15"/>
  <c r="AH1777" i="15"/>
  <c r="AF1769" i="15"/>
  <c r="AH1769" i="15"/>
  <c r="AF1770" i="15"/>
  <c r="AG1770" i="15"/>
  <c r="AH1770" i="15"/>
  <c r="AF1771" i="15"/>
  <c r="AG1771" i="15"/>
  <c r="AH1771" i="15"/>
  <c r="AF1772" i="15"/>
  <c r="AG1772" i="15"/>
  <c r="AH1772" i="15"/>
  <c r="AF1773" i="15"/>
  <c r="AG1773" i="15"/>
  <c r="AH1773" i="15"/>
  <c r="AF1759" i="15"/>
  <c r="AG1759" i="15"/>
  <c r="AH1759" i="15"/>
  <c r="AF1760" i="15"/>
  <c r="AG1760" i="15"/>
  <c r="AH1760" i="15"/>
  <c r="AF1761" i="15"/>
  <c r="AG1761" i="15"/>
  <c r="AH1761" i="15"/>
  <c r="AF1762" i="15"/>
  <c r="AG1762" i="15"/>
  <c r="AH1762" i="15"/>
  <c r="AF1763" i="15"/>
  <c r="AG1763" i="15"/>
  <c r="AH1763" i="15"/>
  <c r="AF1764" i="15"/>
  <c r="AG1764" i="15"/>
  <c r="AH1764" i="15"/>
  <c r="AF1765" i="15"/>
  <c r="AG1765" i="15"/>
  <c r="AH1765" i="15"/>
  <c r="AF1766" i="15"/>
  <c r="AG1766" i="15"/>
  <c r="AH1766" i="15"/>
  <c r="AF1767" i="15"/>
  <c r="AG1767" i="15"/>
  <c r="AH1767" i="15"/>
  <c r="AF1768" i="15"/>
  <c r="AG1768" i="15"/>
  <c r="AH1768" i="15"/>
  <c r="AF1753" i="15"/>
  <c r="AH1753" i="15"/>
  <c r="AF1754" i="15"/>
  <c r="AH1754" i="15"/>
  <c r="AF1755" i="15"/>
  <c r="AH1755" i="15"/>
  <c r="AF1756" i="15"/>
  <c r="AH1756" i="15"/>
  <c r="AF1757" i="15"/>
  <c r="AH1757" i="15"/>
  <c r="AF1758" i="15"/>
  <c r="AH1758" i="15"/>
  <c r="AF1745" i="15"/>
  <c r="AG1745" i="15"/>
  <c r="AH1745" i="15"/>
  <c r="AF1746" i="15"/>
  <c r="AG1746" i="15"/>
  <c r="AH1746" i="15"/>
  <c r="AF1747" i="15"/>
  <c r="AG1747" i="15"/>
  <c r="AH1747" i="15"/>
  <c r="AF1748" i="15"/>
  <c r="AG1748" i="15"/>
  <c r="AH1748" i="15"/>
  <c r="AF1749" i="15"/>
  <c r="AG1749" i="15"/>
  <c r="AH1749" i="15"/>
  <c r="AF1750" i="15"/>
  <c r="AG1750" i="15"/>
  <c r="AH1750" i="15"/>
  <c r="AF1751" i="15"/>
  <c r="AG1751" i="15"/>
  <c r="AH1751" i="15"/>
  <c r="AF1752" i="15"/>
  <c r="AG1752" i="15"/>
  <c r="AH1752" i="15"/>
  <c r="AF1738" i="15"/>
  <c r="AG1738" i="15"/>
  <c r="AH1738" i="15"/>
  <c r="AF1739" i="15"/>
  <c r="AG1739" i="15"/>
  <c r="AH1739" i="15"/>
  <c r="AF1740" i="15"/>
  <c r="AG1740" i="15"/>
  <c r="AH1740" i="15"/>
  <c r="AF1741" i="15"/>
  <c r="AG1741" i="15"/>
  <c r="AH1741" i="15"/>
  <c r="AF1742" i="15"/>
  <c r="AG1742" i="15"/>
  <c r="AH1742" i="15"/>
  <c r="AF1743" i="15"/>
  <c r="AG1743" i="15"/>
  <c r="AH1743" i="15"/>
  <c r="AF1744" i="15"/>
  <c r="AG1744" i="15"/>
  <c r="AH1744" i="15"/>
  <c r="AF1731" i="15"/>
  <c r="AH1731" i="15"/>
  <c r="AF1732" i="15"/>
  <c r="AH1732" i="15"/>
  <c r="AF1733" i="15"/>
  <c r="AH1733" i="15"/>
  <c r="AF1734" i="15"/>
  <c r="AG1734" i="15"/>
  <c r="AH1734" i="15"/>
  <c r="AF1735" i="15"/>
  <c r="AG1735" i="15"/>
  <c r="AH1735" i="15"/>
  <c r="AF1736" i="15"/>
  <c r="AG1736" i="15"/>
  <c r="AH1736" i="15"/>
  <c r="AF1737" i="15"/>
  <c r="AG1737" i="15"/>
  <c r="AH1737" i="15"/>
  <c r="AF1687" i="15"/>
  <c r="AG1687" i="15"/>
  <c r="AH1687" i="15"/>
  <c r="AF1688" i="15"/>
  <c r="AG1688" i="15"/>
  <c r="AH1688" i="15"/>
  <c r="AG1689" i="15"/>
  <c r="AH1689" i="15"/>
  <c r="AG1690" i="15"/>
  <c r="AH1690" i="15"/>
  <c r="AG1691" i="15"/>
  <c r="AH1691" i="15"/>
  <c r="AG1692" i="15"/>
  <c r="AH1692" i="15"/>
  <c r="AF1693" i="15"/>
  <c r="AG1693" i="15"/>
  <c r="AH1693" i="15"/>
  <c r="AF1694" i="15"/>
  <c r="AG1694" i="15"/>
  <c r="AH1694" i="15"/>
  <c r="AG1695" i="15"/>
  <c r="AH1695" i="15"/>
  <c r="AG1696" i="15"/>
  <c r="AH1696" i="15"/>
  <c r="AG1697" i="15"/>
  <c r="AH1697" i="15"/>
  <c r="AG1698" i="15"/>
  <c r="AH1698" i="15"/>
  <c r="AH1699" i="15"/>
  <c r="AH1700" i="15"/>
  <c r="AH1701" i="15"/>
  <c r="AH1702" i="15"/>
  <c r="AH1703" i="15"/>
  <c r="AH1704" i="15"/>
  <c r="AF1705" i="15"/>
  <c r="AG1705" i="15"/>
  <c r="AH1705" i="15"/>
  <c r="AF1706" i="15"/>
  <c r="AG1706" i="15"/>
  <c r="AH1706" i="15"/>
  <c r="AG1707" i="15"/>
  <c r="AH1707" i="15"/>
  <c r="AG1708" i="15"/>
  <c r="AH1708" i="15"/>
  <c r="AG1709" i="15"/>
  <c r="AH1709" i="15"/>
  <c r="AG1710" i="15"/>
  <c r="AH1710" i="15"/>
  <c r="AF1711" i="15"/>
  <c r="AG1711" i="15"/>
  <c r="AH1711" i="15"/>
  <c r="AF1712" i="15"/>
  <c r="AG1712" i="15"/>
  <c r="AH1712" i="15"/>
  <c r="AG1713" i="15"/>
  <c r="AH1713" i="15"/>
  <c r="AG1714" i="15"/>
  <c r="AH1714" i="15"/>
  <c r="AG1715" i="15"/>
  <c r="AH1715" i="15"/>
  <c r="AG1716" i="15"/>
  <c r="AH1716" i="15"/>
  <c r="AH1717" i="15"/>
  <c r="AH1718" i="15"/>
  <c r="AH1719" i="15"/>
  <c r="AH1720" i="15"/>
  <c r="AH1721" i="15"/>
  <c r="AH1722" i="15"/>
  <c r="AF1723" i="15"/>
  <c r="AG1723" i="15"/>
  <c r="AH1723" i="15"/>
  <c r="AF1724" i="15"/>
  <c r="AG1724" i="15"/>
  <c r="AH1724" i="15"/>
  <c r="AF1725" i="15"/>
  <c r="AG1725" i="15"/>
  <c r="AH1725" i="15"/>
  <c r="AF1726" i="15"/>
  <c r="AG1726" i="15"/>
  <c r="AH1726" i="15"/>
  <c r="AH1727" i="15"/>
  <c r="AH1728" i="15"/>
  <c r="AH1729" i="15"/>
  <c r="AH1730" i="15"/>
  <c r="AE1742" i="15"/>
  <c r="AC1740" i="15"/>
  <c r="AE1740" i="15"/>
  <c r="AC1741" i="15"/>
  <c r="AE1741" i="15"/>
  <c r="AE1739" i="15"/>
  <c r="AE1736" i="15"/>
  <c r="AE1737" i="15"/>
  <c r="AE1738" i="15"/>
  <c r="AE1728" i="15"/>
  <c r="AE1729" i="15"/>
  <c r="AE1730" i="15"/>
  <c r="AE1731" i="15"/>
  <c r="AE1732" i="15"/>
  <c r="AE1733" i="15"/>
  <c r="AE1734" i="15"/>
  <c r="AE1735" i="15"/>
  <c r="AE1726" i="15"/>
  <c r="AE1727" i="15"/>
  <c r="AE1724" i="15"/>
  <c r="AE1725" i="15"/>
  <c r="AE1722" i="15"/>
  <c r="AE1723" i="15"/>
  <c r="AC1712" i="15"/>
  <c r="AE1712" i="15"/>
  <c r="AC1713" i="15"/>
  <c r="AE1713" i="15"/>
  <c r="AC1714" i="15"/>
  <c r="AE1714" i="15"/>
  <c r="AC1715" i="15"/>
  <c r="AE1715" i="15"/>
  <c r="AC1716" i="15"/>
  <c r="AE1716" i="15"/>
  <c r="AC1717" i="15"/>
  <c r="AE1717" i="15"/>
  <c r="AC1718" i="15"/>
  <c r="AE1718" i="15"/>
  <c r="AC1719" i="15"/>
  <c r="AE1719" i="15"/>
  <c r="AC1720" i="15"/>
  <c r="AE1720" i="15"/>
  <c r="AC1721" i="15"/>
  <c r="AE1721" i="15"/>
  <c r="AE1706" i="15"/>
  <c r="AE1707" i="15"/>
  <c r="AE1708" i="15"/>
  <c r="AE1709" i="15"/>
  <c r="AE1710" i="15"/>
  <c r="AE1711" i="15"/>
  <c r="AE1698" i="15"/>
  <c r="AE1699" i="15"/>
  <c r="AE1700" i="15"/>
  <c r="AE1701" i="15"/>
  <c r="AE1702" i="15"/>
  <c r="AE1703" i="15"/>
  <c r="AE1704" i="15"/>
  <c r="AE1705" i="15"/>
  <c r="AE1691" i="15"/>
  <c r="AE1692" i="15"/>
  <c r="AE1693" i="15"/>
  <c r="AE1694" i="15"/>
  <c r="AE1695" i="15"/>
  <c r="AE1696" i="15"/>
  <c r="AE1697" i="15"/>
  <c r="AE1687" i="15"/>
  <c r="AE1688" i="15"/>
  <c r="AE1689" i="15"/>
  <c r="AE1690" i="15"/>
  <c r="AB1742" i="15"/>
  <c r="Z1740" i="15"/>
  <c r="AB1740" i="15"/>
  <c r="Z1741" i="15"/>
  <c r="AB1741" i="15"/>
  <c r="AB1739" i="15"/>
  <c r="AB1736" i="15"/>
  <c r="AB1737" i="15"/>
  <c r="AB1738" i="15"/>
  <c r="AB1728" i="15"/>
  <c r="AB1729" i="15"/>
  <c r="AB1730" i="15"/>
  <c r="AB1731" i="15"/>
  <c r="AB1732" i="15"/>
  <c r="AB1733" i="15"/>
  <c r="AB1734" i="15"/>
  <c r="AB1735" i="15"/>
  <c r="AB1726" i="15"/>
  <c r="AB1727" i="15"/>
  <c r="AB1724" i="15"/>
  <c r="AB1725" i="15"/>
  <c r="AB1722" i="15"/>
  <c r="AB1723" i="15"/>
  <c r="Z1712" i="15"/>
  <c r="AB1712" i="15"/>
  <c r="Z1713" i="15"/>
  <c r="AB1713" i="15"/>
  <c r="Z1714" i="15"/>
  <c r="AB1714" i="15"/>
  <c r="Z1715" i="15"/>
  <c r="AB1715" i="15"/>
  <c r="Z1716" i="15"/>
  <c r="AB1716" i="15"/>
  <c r="Z1717" i="15"/>
  <c r="AB1717" i="15"/>
  <c r="Z1718" i="15"/>
  <c r="AB1718" i="15"/>
  <c r="Z1719" i="15"/>
  <c r="AB1719" i="15"/>
  <c r="Z1720" i="15"/>
  <c r="AB1720" i="15"/>
  <c r="Z1721" i="15"/>
  <c r="AB1721" i="15"/>
  <c r="AB1706" i="15"/>
  <c r="AB1707" i="15"/>
  <c r="AB1708" i="15"/>
  <c r="AB1709" i="15"/>
  <c r="AB1710" i="15"/>
  <c r="AB1711" i="15"/>
  <c r="AB1698" i="15"/>
  <c r="AB1699" i="15"/>
  <c r="AB1700" i="15"/>
  <c r="AB1701" i="15"/>
  <c r="AB1702" i="15"/>
  <c r="AB1703" i="15"/>
  <c r="AB1704" i="15"/>
  <c r="AB1705" i="15"/>
  <c r="AB1691" i="15"/>
  <c r="AB1692" i="15"/>
  <c r="AB1693" i="15"/>
  <c r="AB1694" i="15"/>
  <c r="AB1695" i="15"/>
  <c r="AB1696" i="15"/>
  <c r="AB1697" i="15"/>
  <c r="AB1687" i="15"/>
  <c r="AB1688" i="15"/>
  <c r="AB1689" i="15"/>
  <c r="AB1690" i="15"/>
  <c r="Y1784" i="15"/>
  <c r="W1782" i="15"/>
  <c r="Y1782" i="15"/>
  <c r="W1783" i="15"/>
  <c r="Y1783" i="15"/>
  <c r="W1778" i="15"/>
  <c r="Y1778" i="15"/>
  <c r="W1779" i="15"/>
  <c r="Y1779" i="15"/>
  <c r="W1780" i="15"/>
  <c r="Y1780" i="15"/>
  <c r="Y1781" i="15"/>
  <c r="W1775" i="15"/>
  <c r="X1775" i="15"/>
  <c r="Y1775" i="15"/>
  <c r="W1776" i="15"/>
  <c r="X1776" i="15"/>
  <c r="Y1776" i="15"/>
  <c r="W1777" i="15"/>
  <c r="X1777" i="15"/>
  <c r="Y1777" i="15"/>
  <c r="Y1772" i="15"/>
  <c r="Y1773" i="15"/>
  <c r="Y1774" i="15"/>
  <c r="W1757" i="15"/>
  <c r="Y1757" i="15"/>
  <c r="W1758" i="15"/>
  <c r="Y1758" i="15"/>
  <c r="W1759" i="15"/>
  <c r="Y1759" i="15"/>
  <c r="W1760" i="15"/>
  <c r="Y1760" i="15"/>
  <c r="W1761" i="15"/>
  <c r="Y1761" i="15"/>
  <c r="W1762" i="15"/>
  <c r="Y1762" i="15"/>
  <c r="W1763" i="15"/>
  <c r="Y1763" i="15"/>
  <c r="W1764" i="15"/>
  <c r="Y1764" i="15"/>
  <c r="W1765" i="15"/>
  <c r="Y1765" i="15"/>
  <c r="W1766" i="15"/>
  <c r="Y1766" i="15"/>
  <c r="W1767" i="15"/>
  <c r="Y1767" i="15"/>
  <c r="W1768" i="15"/>
  <c r="Y1768" i="15"/>
  <c r="W1769" i="15"/>
  <c r="Y1769" i="15"/>
  <c r="W1770" i="15"/>
  <c r="Y1770" i="15"/>
  <c r="W1771" i="15"/>
  <c r="Y1771" i="15"/>
  <c r="Y1756" i="15"/>
  <c r="Y1749" i="15"/>
  <c r="Y1750" i="15"/>
  <c r="Y1751" i="15"/>
  <c r="Y1752" i="15"/>
  <c r="Y1753" i="15"/>
  <c r="Y1754" i="15"/>
  <c r="Y1755" i="15"/>
  <c r="Y1745" i="15"/>
  <c r="Y1746" i="15"/>
  <c r="Y1747" i="15"/>
  <c r="Y1748" i="15"/>
  <c r="Y1740" i="15"/>
  <c r="Y1741" i="15"/>
  <c r="Y1742" i="15"/>
  <c r="Y1743" i="15"/>
  <c r="Y1744" i="15"/>
  <c r="W1730" i="15"/>
  <c r="Y1730" i="15"/>
  <c r="W1731" i="15"/>
  <c r="Y1731" i="15"/>
  <c r="W1732" i="15"/>
  <c r="Y1732" i="15"/>
  <c r="W1733" i="15"/>
  <c r="Y1733" i="15"/>
  <c r="W1734" i="15"/>
  <c r="Y1734" i="15"/>
  <c r="W1735" i="15"/>
  <c r="Y1735" i="15"/>
  <c r="W1736" i="15"/>
  <c r="Y1736" i="15"/>
  <c r="W1737" i="15"/>
  <c r="Y1737" i="15"/>
  <c r="W1738" i="15"/>
  <c r="Y1738" i="15"/>
  <c r="W1739" i="15"/>
  <c r="Y1739" i="15"/>
  <c r="Y1724" i="15"/>
  <c r="Y1725" i="15"/>
  <c r="Y1726" i="15"/>
  <c r="Y1727" i="15"/>
  <c r="Y1728" i="15"/>
  <c r="Y1729" i="15"/>
  <c r="Y1716" i="15"/>
  <c r="Y1717" i="15"/>
  <c r="Y1718" i="15"/>
  <c r="Y1719" i="15"/>
  <c r="Y1720" i="15"/>
  <c r="Y1721" i="15"/>
  <c r="Y1722" i="15"/>
  <c r="Y1723" i="15"/>
  <c r="Y1709" i="15"/>
  <c r="Y1710" i="15"/>
  <c r="Y1711" i="15"/>
  <c r="Y1712" i="15"/>
  <c r="Y1713" i="15"/>
  <c r="Y1714" i="15"/>
  <c r="Y1715" i="15"/>
  <c r="Y1707" i="15"/>
  <c r="Y1708" i="15"/>
  <c r="Y1689" i="15"/>
  <c r="Y1690" i="15"/>
  <c r="Y1691" i="15"/>
  <c r="Y1692" i="15"/>
  <c r="Y1693" i="15"/>
  <c r="Y1694" i="15"/>
  <c r="Y1695" i="15"/>
  <c r="Y1696" i="15"/>
  <c r="Y1697" i="15"/>
  <c r="Y1698" i="15"/>
  <c r="Y1699" i="15"/>
  <c r="Y1700" i="15"/>
  <c r="Y1701" i="15"/>
  <c r="Y1702" i="15"/>
  <c r="Y1703" i="15"/>
  <c r="Y1704" i="15"/>
  <c r="Y1705" i="15"/>
  <c r="Y1706" i="15"/>
  <c r="Y1687" i="15"/>
  <c r="Y1688" i="15"/>
  <c r="V1784" i="15"/>
  <c r="T1782" i="15"/>
  <c r="V1782" i="15"/>
  <c r="T1783" i="15"/>
  <c r="V1783" i="15"/>
  <c r="T1778" i="15"/>
  <c r="V1778" i="15"/>
  <c r="T1779" i="15"/>
  <c r="V1779" i="15"/>
  <c r="T1780" i="15"/>
  <c r="V1780" i="15"/>
  <c r="V1781" i="15"/>
  <c r="T1775" i="15"/>
  <c r="U1775" i="15"/>
  <c r="V1775" i="15"/>
  <c r="T1776" i="15"/>
  <c r="U1776" i="15"/>
  <c r="V1776" i="15"/>
  <c r="T1777" i="15"/>
  <c r="U1777" i="15"/>
  <c r="V1777" i="15"/>
  <c r="V1772" i="15"/>
  <c r="V1773" i="15"/>
  <c r="V1774" i="15"/>
  <c r="T1757" i="15"/>
  <c r="V1757" i="15"/>
  <c r="T1758" i="15"/>
  <c r="V1758" i="15"/>
  <c r="T1759" i="15"/>
  <c r="V1759" i="15"/>
  <c r="T1760" i="15"/>
  <c r="V1760" i="15"/>
  <c r="T1761" i="15"/>
  <c r="V1761" i="15"/>
  <c r="T1762" i="15"/>
  <c r="V1762" i="15"/>
  <c r="T1763" i="15"/>
  <c r="V1763" i="15"/>
  <c r="T1764" i="15"/>
  <c r="V1764" i="15"/>
  <c r="T1765" i="15"/>
  <c r="V1765" i="15"/>
  <c r="T1766" i="15"/>
  <c r="V1766" i="15"/>
  <c r="T1767" i="15"/>
  <c r="V1767" i="15"/>
  <c r="T1768" i="15"/>
  <c r="V1768" i="15"/>
  <c r="T1769" i="15"/>
  <c r="V1769" i="15"/>
  <c r="T1770" i="15"/>
  <c r="V1770" i="15"/>
  <c r="T1771" i="15"/>
  <c r="V1771" i="15"/>
  <c r="V1756" i="15"/>
  <c r="V1749" i="15"/>
  <c r="V1750" i="15"/>
  <c r="V1751" i="15"/>
  <c r="V1752" i="15"/>
  <c r="V1753" i="15"/>
  <c r="V1754" i="15"/>
  <c r="V1755" i="15"/>
  <c r="V1745" i="15"/>
  <c r="V1746" i="15"/>
  <c r="V1747" i="15"/>
  <c r="V1748" i="15"/>
  <c r="V1740" i="15"/>
  <c r="V1741" i="15"/>
  <c r="V1742" i="15"/>
  <c r="V1743" i="15"/>
  <c r="V1744" i="15"/>
  <c r="T1730" i="15"/>
  <c r="V1730" i="15"/>
  <c r="T1731" i="15"/>
  <c r="V1731" i="15"/>
  <c r="T1732" i="15"/>
  <c r="V1732" i="15"/>
  <c r="T1733" i="15"/>
  <c r="V1733" i="15"/>
  <c r="T1734" i="15"/>
  <c r="V1734" i="15"/>
  <c r="T1735" i="15"/>
  <c r="V1735" i="15"/>
  <c r="T1736" i="15"/>
  <c r="V1736" i="15"/>
  <c r="T1737" i="15"/>
  <c r="V1737" i="15"/>
  <c r="T1738" i="15"/>
  <c r="V1738" i="15"/>
  <c r="T1739" i="15"/>
  <c r="V1739" i="15"/>
  <c r="V1724" i="15"/>
  <c r="V1725" i="15"/>
  <c r="V1726" i="15"/>
  <c r="V1727" i="15"/>
  <c r="V1728" i="15"/>
  <c r="V1729" i="15"/>
  <c r="V1716" i="15"/>
  <c r="V1717" i="15"/>
  <c r="V1718" i="15"/>
  <c r="V1719" i="15"/>
  <c r="V1720" i="15"/>
  <c r="V1721" i="15"/>
  <c r="V1722" i="15"/>
  <c r="V1723" i="15"/>
  <c r="V1709" i="15"/>
  <c r="V1710" i="15"/>
  <c r="V1711" i="15"/>
  <c r="V1712" i="15"/>
  <c r="V1713" i="15"/>
  <c r="V1714" i="15"/>
  <c r="V1715" i="15"/>
  <c r="V1707" i="15"/>
  <c r="V1708" i="15"/>
  <c r="V1689" i="15"/>
  <c r="V1690" i="15"/>
  <c r="V1691" i="15"/>
  <c r="V1692" i="15"/>
  <c r="V1693" i="15"/>
  <c r="V1694" i="15"/>
  <c r="V1695" i="15"/>
  <c r="V1696" i="15"/>
  <c r="V1697" i="15"/>
  <c r="V1698" i="15"/>
  <c r="V1699" i="15"/>
  <c r="V1700" i="15"/>
  <c r="V1701" i="15"/>
  <c r="V1702" i="15"/>
  <c r="V1703" i="15"/>
  <c r="V1704" i="15"/>
  <c r="V1705" i="15"/>
  <c r="V1706" i="15"/>
  <c r="V1687" i="15"/>
  <c r="V1688" i="15"/>
  <c r="S1751" i="15"/>
  <c r="S1749" i="15"/>
  <c r="S1750" i="15"/>
  <c r="Q1736" i="15"/>
  <c r="S1736" i="15"/>
  <c r="Q1737" i="15"/>
  <c r="S1737" i="15"/>
  <c r="Q1738" i="15"/>
  <c r="S1738" i="15"/>
  <c r="Q1739" i="15"/>
  <c r="S1739" i="15"/>
  <c r="S1740" i="15"/>
  <c r="S1741" i="15"/>
  <c r="S1742" i="15"/>
  <c r="S1743" i="15"/>
  <c r="S1744" i="15"/>
  <c r="S1745" i="15"/>
  <c r="S1746" i="15"/>
  <c r="S1747" i="15"/>
  <c r="S1748" i="15"/>
  <c r="S1735" i="15"/>
  <c r="S1731" i="15"/>
  <c r="S1732" i="15"/>
  <c r="S1733" i="15"/>
  <c r="S1734" i="15"/>
  <c r="S1729" i="15"/>
  <c r="S1730" i="15"/>
  <c r="S1725" i="15"/>
  <c r="S1726" i="15"/>
  <c r="S1727" i="15"/>
  <c r="S1728" i="15"/>
  <c r="Q1719" i="15"/>
  <c r="S1719" i="15"/>
  <c r="Q1720" i="15"/>
  <c r="S1720" i="15"/>
  <c r="Q1721" i="15"/>
  <c r="S1721" i="15"/>
  <c r="Q1722" i="15"/>
  <c r="S1722" i="15"/>
  <c r="Q1723" i="15"/>
  <c r="S1723" i="15"/>
  <c r="Q1724" i="15"/>
  <c r="S1724" i="15"/>
  <c r="S1713" i="15"/>
  <c r="S1714" i="15"/>
  <c r="S1715" i="15"/>
  <c r="S1716" i="15"/>
  <c r="S1717" i="15"/>
  <c r="S1718" i="15"/>
  <c r="S1707" i="15"/>
  <c r="S1708" i="15"/>
  <c r="S1709" i="15"/>
  <c r="S1710" i="15"/>
  <c r="S1711" i="15"/>
  <c r="S1712" i="15"/>
  <c r="S1689" i="15"/>
  <c r="S1690" i="15"/>
  <c r="S1691" i="15"/>
  <c r="S1692" i="15"/>
  <c r="S1693" i="15"/>
  <c r="S1694" i="15"/>
  <c r="S1695" i="15"/>
  <c r="S1696" i="15"/>
  <c r="S1697" i="15"/>
  <c r="S1698" i="15"/>
  <c r="S1699" i="15"/>
  <c r="S1700" i="15"/>
  <c r="S1701" i="15"/>
  <c r="S1702" i="15"/>
  <c r="S1703" i="15"/>
  <c r="S1704" i="15"/>
  <c r="S1705" i="15"/>
  <c r="S1706" i="15"/>
  <c r="S1687" i="15"/>
  <c r="S1688" i="15"/>
  <c r="P1751" i="15"/>
  <c r="P1749" i="15"/>
  <c r="P1750" i="15"/>
  <c r="N1736" i="15"/>
  <c r="P1736" i="15"/>
  <c r="N1737" i="15"/>
  <c r="P1737" i="15"/>
  <c r="N1738" i="15"/>
  <c r="P1738" i="15"/>
  <c r="N1739" i="15"/>
  <c r="P1739" i="15"/>
  <c r="P1740" i="15"/>
  <c r="P1741" i="15"/>
  <c r="P1742" i="15"/>
  <c r="P1743" i="15"/>
  <c r="P1744" i="15"/>
  <c r="P1745" i="15"/>
  <c r="P1746" i="15"/>
  <c r="P1747" i="15"/>
  <c r="P1748" i="15"/>
  <c r="P1735" i="15"/>
  <c r="P1731" i="15"/>
  <c r="P1732" i="15"/>
  <c r="P1733" i="15"/>
  <c r="P1734" i="15"/>
  <c r="P1729" i="15"/>
  <c r="P1730" i="15"/>
  <c r="P1725" i="15"/>
  <c r="P1726" i="15"/>
  <c r="P1727" i="15"/>
  <c r="P1728" i="15"/>
  <c r="N1719" i="15"/>
  <c r="P1719" i="15"/>
  <c r="N1720" i="15"/>
  <c r="P1720" i="15"/>
  <c r="N1721" i="15"/>
  <c r="P1721" i="15"/>
  <c r="N1722" i="15"/>
  <c r="P1722" i="15"/>
  <c r="N1723" i="15"/>
  <c r="P1723" i="15"/>
  <c r="N1724" i="15"/>
  <c r="P1724" i="15"/>
  <c r="P1713" i="15"/>
  <c r="P1714" i="15"/>
  <c r="P1715" i="15"/>
  <c r="P1716" i="15"/>
  <c r="P1717" i="15"/>
  <c r="P1718" i="15"/>
  <c r="P1707" i="15"/>
  <c r="P1708" i="15"/>
  <c r="P1709" i="15"/>
  <c r="P1710" i="15"/>
  <c r="P1711" i="15"/>
  <c r="P1712" i="15"/>
  <c r="P1689" i="15"/>
  <c r="P1690" i="15"/>
  <c r="P1691" i="15"/>
  <c r="P1692" i="15"/>
  <c r="P1693" i="15"/>
  <c r="P1694" i="15"/>
  <c r="P1695" i="15"/>
  <c r="P1696" i="15"/>
  <c r="P1697" i="15"/>
  <c r="P1698" i="15"/>
  <c r="P1699" i="15"/>
  <c r="P1700" i="15"/>
  <c r="P1701" i="15"/>
  <c r="P1702" i="15"/>
  <c r="P1703" i="15"/>
  <c r="P1704" i="15"/>
  <c r="P1705" i="15"/>
  <c r="P1706" i="15"/>
  <c r="P1687" i="15"/>
  <c r="P1688" i="15"/>
  <c r="M1733" i="15"/>
  <c r="M1731" i="15"/>
  <c r="M1732" i="15"/>
  <c r="M1723" i="15"/>
  <c r="M1724" i="15"/>
  <c r="M1725" i="15"/>
  <c r="M1726" i="15"/>
  <c r="M1727" i="15"/>
  <c r="M1728" i="15"/>
  <c r="M1729" i="15"/>
  <c r="M1730" i="15"/>
  <c r="M1719" i="15"/>
  <c r="M1720" i="15"/>
  <c r="M1721" i="15"/>
  <c r="M1722" i="15"/>
  <c r="M1713" i="15"/>
  <c r="M1714" i="15"/>
  <c r="M1715" i="15"/>
  <c r="M1716" i="15"/>
  <c r="M1717" i="15"/>
  <c r="M1718" i="15"/>
  <c r="M1707" i="15"/>
  <c r="M1708" i="15"/>
  <c r="M1709" i="15"/>
  <c r="M1710" i="15"/>
  <c r="M1711" i="15"/>
  <c r="M1712" i="15"/>
  <c r="M1689" i="15"/>
  <c r="M1690" i="15"/>
  <c r="M1691" i="15"/>
  <c r="M1692" i="15"/>
  <c r="M1693" i="15"/>
  <c r="M1694" i="15"/>
  <c r="M1695" i="15"/>
  <c r="M1696" i="15"/>
  <c r="M1697" i="15"/>
  <c r="M1698" i="15"/>
  <c r="M1699" i="15"/>
  <c r="M1700" i="15"/>
  <c r="M1701" i="15"/>
  <c r="M1702" i="15"/>
  <c r="M1703" i="15"/>
  <c r="M1704" i="15"/>
  <c r="M1705" i="15"/>
  <c r="M1706" i="15"/>
  <c r="M1687" i="15"/>
  <c r="M1688" i="15"/>
  <c r="J1733" i="15"/>
  <c r="J1731" i="15"/>
  <c r="J1732" i="15"/>
  <c r="J1723" i="15"/>
  <c r="J1724" i="15"/>
  <c r="J1725" i="15"/>
  <c r="J1726" i="15"/>
  <c r="J1727" i="15"/>
  <c r="J1728" i="15"/>
  <c r="J1729" i="15"/>
  <c r="J1730" i="15"/>
  <c r="J1719" i="15"/>
  <c r="J1720" i="15"/>
  <c r="J1721" i="15"/>
  <c r="J1722" i="15"/>
  <c r="J1713" i="15"/>
  <c r="J1714" i="15"/>
  <c r="J1715" i="15"/>
  <c r="J1716" i="15"/>
  <c r="J1717" i="15"/>
  <c r="J1718" i="15"/>
  <c r="J1707" i="15"/>
  <c r="J1708" i="15"/>
  <c r="J1709" i="15"/>
  <c r="J1710" i="15"/>
  <c r="J1711" i="15"/>
  <c r="J1712" i="15"/>
  <c r="J1689" i="15"/>
  <c r="J1690" i="15"/>
  <c r="J1691" i="15"/>
  <c r="J1692" i="15"/>
  <c r="J1693" i="15"/>
  <c r="J1694" i="15"/>
  <c r="J1695" i="15"/>
  <c r="J1696" i="15"/>
  <c r="J1697" i="15"/>
  <c r="J1698" i="15"/>
  <c r="J1699" i="15"/>
  <c r="J1700" i="15"/>
  <c r="J1701" i="15"/>
  <c r="J1702" i="15"/>
  <c r="J1703" i="15"/>
  <c r="J1704" i="15"/>
  <c r="J1705" i="15"/>
  <c r="J1706" i="15"/>
  <c r="J1687" i="15"/>
  <c r="J1688" i="15"/>
  <c r="G1733" i="15"/>
  <c r="G1731" i="15"/>
  <c r="G1732" i="15"/>
  <c r="G1723" i="15"/>
  <c r="G1724" i="15"/>
  <c r="G1725" i="15"/>
  <c r="G1726" i="15"/>
  <c r="G1727" i="15"/>
  <c r="G1728" i="15"/>
  <c r="G1729" i="15"/>
  <c r="G1730" i="15"/>
  <c r="G1719" i="15"/>
  <c r="G1720" i="15"/>
  <c r="G1721" i="15"/>
  <c r="G1722" i="15"/>
  <c r="G1713" i="15"/>
  <c r="G1714" i="15"/>
  <c r="G1715" i="15"/>
  <c r="G1716" i="15"/>
  <c r="G1717" i="15"/>
  <c r="G1718" i="15"/>
  <c r="G1707" i="15"/>
  <c r="G1708" i="15"/>
  <c r="G1709" i="15"/>
  <c r="G1710" i="15"/>
  <c r="G1711" i="15"/>
  <c r="G1712" i="15"/>
  <c r="G1689" i="15"/>
  <c r="G1690" i="15"/>
  <c r="G1691" i="15"/>
  <c r="G1692" i="15"/>
  <c r="G1693" i="15"/>
  <c r="G1694" i="15"/>
  <c r="G1695" i="15"/>
  <c r="G1696" i="15"/>
  <c r="G1697" i="15"/>
  <c r="G1698" i="15"/>
  <c r="G1699" i="15"/>
  <c r="G1700" i="15"/>
  <c r="G1701" i="15"/>
  <c r="G1702" i="15"/>
  <c r="G1703" i="15"/>
  <c r="G1704" i="15"/>
  <c r="G1705" i="15"/>
  <c r="G1706" i="15"/>
  <c r="G1687" i="15"/>
  <c r="G1688" i="15"/>
  <c r="D1733" i="15"/>
  <c r="D1731" i="15"/>
  <c r="D1732" i="15"/>
  <c r="D1723" i="15"/>
  <c r="D1724" i="15"/>
  <c r="D1725" i="15"/>
  <c r="D1726" i="15"/>
  <c r="D1727" i="15"/>
  <c r="D1728" i="15"/>
  <c r="D1729" i="15"/>
  <c r="D1730" i="15"/>
  <c r="D1719" i="15"/>
  <c r="D1720" i="15"/>
  <c r="D1721" i="15"/>
  <c r="D1722" i="15"/>
  <c r="D1713" i="15"/>
  <c r="D1714" i="15"/>
  <c r="D1715" i="15"/>
  <c r="D1716" i="15"/>
  <c r="D1717" i="15"/>
  <c r="D1718" i="15"/>
  <c r="D1707" i="15"/>
  <c r="D1708" i="15"/>
  <c r="D1709" i="15"/>
  <c r="D1710" i="15"/>
  <c r="D1711" i="15"/>
  <c r="D1712" i="15"/>
  <c r="D1689" i="15"/>
  <c r="D1690" i="15"/>
  <c r="D1691" i="15"/>
  <c r="D1692" i="15"/>
  <c r="D1693" i="15"/>
  <c r="D1694" i="15"/>
  <c r="D1695" i="15"/>
  <c r="D1696" i="15"/>
  <c r="D1697" i="15"/>
  <c r="D1698" i="15"/>
  <c r="D1699" i="15"/>
  <c r="D1700" i="15"/>
  <c r="D1701" i="15"/>
  <c r="D1702" i="15"/>
  <c r="D1703" i="15"/>
  <c r="D1704" i="15"/>
  <c r="D1705" i="15"/>
  <c r="D1706" i="15"/>
  <c r="D1687" i="15"/>
  <c r="D1688" i="15"/>
  <c r="G1531" i="15"/>
  <c r="G1532" i="15"/>
  <c r="G1533" i="15"/>
  <c r="G1534" i="15"/>
  <c r="G1535" i="15"/>
  <c r="G1536" i="15"/>
  <c r="E1537" i="15"/>
  <c r="F1537" i="15"/>
  <c r="G1537" i="15"/>
  <c r="E1538" i="15"/>
  <c r="G1538" i="15"/>
  <c r="F1529" i="15"/>
  <c r="G1529" i="15"/>
  <c r="F1530" i="15"/>
  <c r="G1530" i="15"/>
  <c r="E1527" i="15"/>
  <c r="F1527" i="15"/>
  <c r="G1527" i="15"/>
  <c r="E1528" i="15"/>
  <c r="F1528" i="15"/>
  <c r="G1528" i="15"/>
  <c r="G1522" i="15"/>
  <c r="G1523" i="15"/>
  <c r="G1524" i="15"/>
  <c r="G1525" i="15"/>
  <c r="G1526" i="15"/>
  <c r="G1501" i="15"/>
  <c r="G1502" i="15"/>
  <c r="G1503" i="15"/>
  <c r="G1504" i="15"/>
  <c r="G1505" i="15"/>
  <c r="G1506" i="15"/>
  <c r="G1507" i="15"/>
  <c r="G1508" i="15"/>
  <c r="G1509" i="15"/>
  <c r="G1510" i="15"/>
  <c r="G1511" i="15"/>
  <c r="G1512" i="15"/>
  <c r="G1513" i="15"/>
  <c r="G1514" i="15"/>
  <c r="G1515" i="15"/>
  <c r="G1516" i="15"/>
  <c r="G1517" i="15"/>
  <c r="G1518" i="15"/>
  <c r="G1519" i="15"/>
  <c r="G1520" i="15"/>
  <c r="G1521" i="15"/>
  <c r="G1500" i="15"/>
  <c r="G1498" i="15"/>
  <c r="G1499" i="15"/>
  <c r="D1531" i="15"/>
  <c r="D1532" i="15"/>
  <c r="D1533" i="15"/>
  <c r="D1534" i="15"/>
  <c r="D1535" i="15"/>
  <c r="D1536" i="15"/>
  <c r="B1537" i="15"/>
  <c r="D1537" i="15"/>
  <c r="B1538" i="15"/>
  <c r="D1538" i="15"/>
  <c r="C1529" i="15"/>
  <c r="D1529" i="15"/>
  <c r="C1530" i="15"/>
  <c r="D1530" i="15"/>
  <c r="B1527" i="15"/>
  <c r="C1527" i="15"/>
  <c r="D1527" i="15"/>
  <c r="B1528" i="15"/>
  <c r="C1528" i="15"/>
  <c r="D1528" i="15"/>
  <c r="D1522" i="15"/>
  <c r="D1523" i="15"/>
  <c r="D1524" i="15"/>
  <c r="D1525" i="15"/>
  <c r="D1526" i="15"/>
  <c r="D1501" i="15"/>
  <c r="D1502" i="15"/>
  <c r="D1503" i="15"/>
  <c r="D1504" i="15"/>
  <c r="D1505" i="15"/>
  <c r="D1506" i="15"/>
  <c r="D1507" i="15"/>
  <c r="D1508" i="15"/>
  <c r="D1509" i="15"/>
  <c r="D1510" i="15"/>
  <c r="D1511" i="15"/>
  <c r="D1512" i="15"/>
  <c r="D1513" i="15"/>
  <c r="D1514" i="15"/>
  <c r="D1515" i="15"/>
  <c r="D1516" i="15"/>
  <c r="D1517" i="15"/>
  <c r="D1518" i="15"/>
  <c r="D1519" i="15"/>
  <c r="D1520" i="15"/>
  <c r="D1521" i="15"/>
  <c r="D1500" i="15"/>
  <c r="D1498" i="15"/>
  <c r="D1499" i="15"/>
  <c r="M1531" i="15"/>
  <c r="M1532" i="15"/>
  <c r="M1533" i="15"/>
  <c r="M1534" i="15"/>
  <c r="K1535" i="15"/>
  <c r="M1535" i="15"/>
  <c r="K1536" i="15"/>
  <c r="M1536" i="15"/>
  <c r="K1537" i="15"/>
  <c r="L1537" i="15"/>
  <c r="M1537" i="15"/>
  <c r="K1538" i="15"/>
  <c r="M1538" i="15"/>
  <c r="L1529" i="15"/>
  <c r="M1529" i="15"/>
  <c r="L1530" i="15"/>
  <c r="M1530" i="15"/>
  <c r="K1527" i="15"/>
  <c r="L1527" i="15"/>
  <c r="M1527" i="15"/>
  <c r="K1528" i="15"/>
  <c r="L1528" i="15"/>
  <c r="M1528" i="15"/>
  <c r="M1522" i="15"/>
  <c r="M1523" i="15"/>
  <c r="M1524" i="15"/>
  <c r="M1525" i="15"/>
  <c r="M1526" i="15"/>
  <c r="M1501" i="15"/>
  <c r="M1502" i="15"/>
  <c r="M1503" i="15"/>
  <c r="M1504" i="15"/>
  <c r="M1505" i="15"/>
  <c r="M1506" i="15"/>
  <c r="M1507" i="15"/>
  <c r="M1508" i="15"/>
  <c r="M1509" i="15"/>
  <c r="M1510" i="15"/>
  <c r="M1511" i="15"/>
  <c r="M1512" i="15"/>
  <c r="M1513" i="15"/>
  <c r="M1514" i="15"/>
  <c r="M1515" i="15"/>
  <c r="M1516" i="15"/>
  <c r="M1517" i="15"/>
  <c r="M1518" i="15"/>
  <c r="M1519" i="15"/>
  <c r="M1520" i="15"/>
  <c r="M1521" i="15"/>
  <c r="M1500" i="15"/>
  <c r="M1498" i="15"/>
  <c r="M1499" i="15"/>
  <c r="J1531" i="15"/>
  <c r="J1532" i="15"/>
  <c r="J1533" i="15"/>
  <c r="J1534" i="15"/>
  <c r="H1535" i="15"/>
  <c r="J1535" i="15"/>
  <c r="H1536" i="15"/>
  <c r="J1536" i="15"/>
  <c r="H1537" i="15"/>
  <c r="I1537" i="15"/>
  <c r="J1537" i="15"/>
  <c r="H1538" i="15"/>
  <c r="J1538" i="15"/>
  <c r="I1529" i="15"/>
  <c r="J1529" i="15"/>
  <c r="I1530" i="15"/>
  <c r="J1530" i="15"/>
  <c r="H1527" i="15"/>
  <c r="I1527" i="15"/>
  <c r="J1527" i="15"/>
  <c r="H1528" i="15"/>
  <c r="I1528" i="15"/>
  <c r="J1528" i="15"/>
  <c r="J1522" i="15"/>
  <c r="J1523" i="15"/>
  <c r="J1524" i="15"/>
  <c r="J1525" i="15"/>
  <c r="J1526" i="15"/>
  <c r="J1501" i="15"/>
  <c r="J1502" i="15"/>
  <c r="J1503" i="15"/>
  <c r="J1504" i="15"/>
  <c r="J1505" i="15"/>
  <c r="J1506" i="15"/>
  <c r="J1507" i="15"/>
  <c r="J1508" i="15"/>
  <c r="J1509" i="15"/>
  <c r="J1510" i="15"/>
  <c r="J1511" i="15"/>
  <c r="J1512" i="15"/>
  <c r="J1513" i="15"/>
  <c r="J1514" i="15"/>
  <c r="J1515" i="15"/>
  <c r="J1516" i="15"/>
  <c r="J1517" i="15"/>
  <c r="J1518" i="15"/>
  <c r="J1519" i="15"/>
  <c r="J1520" i="15"/>
  <c r="J1521" i="15"/>
  <c r="J1500" i="15"/>
  <c r="J1498" i="15"/>
  <c r="J1499" i="15"/>
  <c r="S1544" i="15"/>
  <c r="S1545" i="15"/>
  <c r="S1546" i="15"/>
  <c r="S1547" i="15"/>
  <c r="S1548" i="15"/>
  <c r="S1549" i="15"/>
  <c r="Q1550" i="15"/>
  <c r="R1550" i="15"/>
  <c r="S1550" i="15"/>
  <c r="Q1551" i="15"/>
  <c r="S1551" i="15"/>
  <c r="R1542" i="15"/>
  <c r="S1542" i="15"/>
  <c r="R1543" i="15"/>
  <c r="S1543" i="15"/>
  <c r="Q1540" i="15"/>
  <c r="R1540" i="15"/>
  <c r="S1540" i="15"/>
  <c r="Q1541" i="15"/>
  <c r="R1541" i="15"/>
  <c r="S1541" i="15"/>
  <c r="S1529" i="15"/>
  <c r="S1530" i="15"/>
  <c r="S1531" i="15"/>
  <c r="S1532" i="15"/>
  <c r="S1533" i="15"/>
  <c r="Q1534" i="15"/>
  <c r="R1534" i="15"/>
  <c r="S1534" i="15"/>
  <c r="Q1535" i="15"/>
  <c r="R1535" i="15"/>
  <c r="S1535" i="15"/>
  <c r="Q1536" i="15"/>
  <c r="R1536" i="15"/>
  <c r="S1536" i="15"/>
  <c r="Q1537" i="15"/>
  <c r="R1537" i="15"/>
  <c r="S1537" i="15"/>
  <c r="Q1538" i="15"/>
  <c r="R1538" i="15"/>
  <c r="S1538" i="15"/>
  <c r="Q1539" i="15"/>
  <c r="R1539" i="15"/>
  <c r="S1539" i="15"/>
  <c r="S1508" i="15"/>
  <c r="S1509" i="15"/>
  <c r="S1510" i="15"/>
  <c r="S1511" i="15"/>
  <c r="S1512" i="15"/>
  <c r="S1513" i="15"/>
  <c r="S1514" i="15"/>
  <c r="S1515" i="15"/>
  <c r="S1516" i="15"/>
  <c r="S1517" i="15"/>
  <c r="S1518" i="15"/>
  <c r="S1519" i="15"/>
  <c r="S1520" i="15"/>
  <c r="S1521" i="15"/>
  <c r="S1522" i="15"/>
  <c r="S1523" i="15"/>
  <c r="S1524" i="15"/>
  <c r="S1525" i="15"/>
  <c r="S1526" i="15"/>
  <c r="S1527" i="15"/>
  <c r="S1528" i="15"/>
  <c r="S1507" i="15"/>
  <c r="Q1505" i="15"/>
  <c r="S1505" i="15"/>
  <c r="Q1506" i="15"/>
  <c r="S1506" i="15"/>
  <c r="S1501" i="15"/>
  <c r="S1502" i="15"/>
  <c r="Q1503" i="15"/>
  <c r="S1503" i="15"/>
  <c r="Q1504" i="15"/>
  <c r="S1504" i="15"/>
  <c r="Q1500" i="15"/>
  <c r="R1500" i="15"/>
  <c r="S1500" i="15"/>
  <c r="Q1498" i="15"/>
  <c r="S1498" i="15"/>
  <c r="S1499" i="15"/>
  <c r="P1544" i="15"/>
  <c r="P1545" i="15"/>
  <c r="P1546" i="15"/>
  <c r="P1547" i="15"/>
  <c r="P1548" i="15"/>
  <c r="P1549" i="15"/>
  <c r="N1550" i="15"/>
  <c r="O1550" i="15"/>
  <c r="P1550" i="15"/>
  <c r="N1551" i="15"/>
  <c r="P1551" i="15"/>
  <c r="O1542" i="15"/>
  <c r="P1542" i="15"/>
  <c r="O1543" i="15"/>
  <c r="P1543" i="15"/>
  <c r="N1540" i="15"/>
  <c r="O1540" i="15"/>
  <c r="P1540" i="15"/>
  <c r="N1541" i="15"/>
  <c r="O1541" i="15"/>
  <c r="P1541" i="15"/>
  <c r="P1529" i="15"/>
  <c r="P1530" i="15"/>
  <c r="P1531" i="15"/>
  <c r="P1532" i="15"/>
  <c r="P1533" i="15"/>
  <c r="N1534" i="15"/>
  <c r="O1534" i="15"/>
  <c r="P1534" i="15"/>
  <c r="N1535" i="15"/>
  <c r="O1535" i="15"/>
  <c r="P1535" i="15"/>
  <c r="N1536" i="15"/>
  <c r="O1536" i="15"/>
  <c r="P1536" i="15"/>
  <c r="N1537" i="15"/>
  <c r="O1537" i="15"/>
  <c r="P1537" i="15"/>
  <c r="N1538" i="15"/>
  <c r="O1538" i="15"/>
  <c r="P1538" i="15"/>
  <c r="N1539" i="15"/>
  <c r="O1539" i="15"/>
  <c r="P1539" i="15"/>
  <c r="P1508" i="15"/>
  <c r="P1509" i="15"/>
  <c r="P1510" i="15"/>
  <c r="P1511" i="15"/>
  <c r="P1512" i="15"/>
  <c r="P1513" i="15"/>
  <c r="P1514" i="15"/>
  <c r="P1515" i="15"/>
  <c r="P1516" i="15"/>
  <c r="P1517" i="15"/>
  <c r="P1518" i="15"/>
  <c r="P1519" i="15"/>
  <c r="P1520" i="15"/>
  <c r="P1521" i="15"/>
  <c r="P1522" i="15"/>
  <c r="P1523" i="15"/>
  <c r="P1524" i="15"/>
  <c r="P1525" i="15"/>
  <c r="P1526" i="15"/>
  <c r="P1527" i="15"/>
  <c r="P1528" i="15"/>
  <c r="P1507" i="15"/>
  <c r="N1505" i="15"/>
  <c r="P1505" i="15"/>
  <c r="N1506" i="15"/>
  <c r="P1506" i="15"/>
  <c r="P1501" i="15"/>
  <c r="P1502" i="15"/>
  <c r="P1503" i="15"/>
  <c r="P1504" i="15"/>
  <c r="N1500" i="15"/>
  <c r="O1500" i="15"/>
  <c r="P1500" i="15"/>
  <c r="P1498" i="15"/>
  <c r="P1499" i="15"/>
  <c r="W1681" i="15"/>
  <c r="X1681" i="15"/>
  <c r="Y1681" i="15"/>
  <c r="W1682" i="15"/>
  <c r="X1682" i="15"/>
  <c r="Y1682" i="15"/>
  <c r="W1683" i="15"/>
  <c r="X1683" i="15"/>
  <c r="Y1683" i="15"/>
  <c r="Y1678" i="15"/>
  <c r="W1679" i="15"/>
  <c r="X1679" i="15"/>
  <c r="Y1679" i="15"/>
  <c r="W1680" i="15"/>
  <c r="X1680" i="15"/>
  <c r="Y1680" i="15"/>
  <c r="W1670" i="15"/>
  <c r="Y1670" i="15"/>
  <c r="W1671" i="15"/>
  <c r="Y1671" i="15"/>
  <c r="W1672" i="15"/>
  <c r="Y1672" i="15"/>
  <c r="W1673" i="15"/>
  <c r="Y1673" i="15"/>
  <c r="W1674" i="15"/>
  <c r="Y1674" i="15"/>
  <c r="W1675" i="15"/>
  <c r="Y1675" i="15"/>
  <c r="W1676" i="15"/>
  <c r="X1676" i="15"/>
  <c r="Y1676" i="15"/>
  <c r="W1677" i="15"/>
  <c r="X1677" i="15"/>
  <c r="Y1677" i="15"/>
  <c r="W1665" i="15"/>
  <c r="X1665" i="15"/>
  <c r="Y1665" i="15"/>
  <c r="W1666" i="15"/>
  <c r="X1666" i="15"/>
  <c r="Y1666" i="15"/>
  <c r="W1667" i="15"/>
  <c r="X1667" i="15"/>
  <c r="Y1667" i="15"/>
  <c r="W1668" i="15"/>
  <c r="X1668" i="15"/>
  <c r="Y1668" i="15"/>
  <c r="W1669" i="15"/>
  <c r="X1669" i="15"/>
  <c r="Y1669" i="15"/>
  <c r="Y1663" i="15"/>
  <c r="Y1664" i="15"/>
  <c r="W1661" i="15"/>
  <c r="X1661" i="15"/>
  <c r="Y1661" i="15"/>
  <c r="W1662" i="15"/>
  <c r="X1662" i="15"/>
  <c r="Y1662" i="15"/>
  <c r="Y1660" i="15"/>
  <c r="Y1653" i="15"/>
  <c r="Y1654" i="15"/>
  <c r="Y1655" i="15"/>
  <c r="Y1656" i="15"/>
  <c r="Y1657" i="15"/>
  <c r="Y1658" i="15"/>
  <c r="Y1659" i="15"/>
  <c r="Y1636" i="15"/>
  <c r="Y1637" i="15"/>
  <c r="Y1638" i="15"/>
  <c r="Y1639" i="15"/>
  <c r="Y1640" i="15"/>
  <c r="Y1641" i="15"/>
  <c r="Y1642" i="15"/>
  <c r="Y1643" i="15"/>
  <c r="Y1644" i="15"/>
  <c r="Y1645" i="15"/>
  <c r="Y1646" i="15"/>
  <c r="Y1647" i="15"/>
  <c r="Y1648" i="15"/>
  <c r="Y1649" i="15"/>
  <c r="Y1650" i="15"/>
  <c r="Y1651" i="15"/>
  <c r="Y1652" i="15"/>
  <c r="Y1591" i="15"/>
  <c r="Y1592" i="15"/>
  <c r="Y1593" i="15"/>
  <c r="W1594" i="15"/>
  <c r="X1594" i="15"/>
  <c r="Y1594" i="15"/>
  <c r="W1595" i="15"/>
  <c r="X1595" i="15"/>
  <c r="Y1595" i="15"/>
  <c r="W1596" i="15"/>
  <c r="X1596" i="15"/>
  <c r="Y1596" i="15"/>
  <c r="W1597" i="15"/>
  <c r="X1597" i="15"/>
  <c r="Y1597" i="15"/>
  <c r="W1598" i="15"/>
  <c r="X1598" i="15"/>
  <c r="Y1598" i="15"/>
  <c r="W1599" i="15"/>
  <c r="X1599" i="15"/>
  <c r="Y1599" i="15"/>
  <c r="Y1600" i="15"/>
  <c r="Y1601" i="15"/>
  <c r="Y1602" i="15"/>
  <c r="Y1603" i="15"/>
  <c r="Y1604" i="15"/>
  <c r="Y1605" i="15"/>
  <c r="Y1606" i="15"/>
  <c r="Y1607" i="15"/>
  <c r="Y1608" i="15"/>
  <c r="Y1609" i="15"/>
  <c r="Y1610" i="15"/>
  <c r="Y1611" i="15"/>
  <c r="Y1612" i="15"/>
  <c r="Y1613" i="15"/>
  <c r="Y1614" i="15"/>
  <c r="Y1615" i="15"/>
  <c r="Y1616" i="15"/>
  <c r="Y1617" i="15"/>
  <c r="Y1618" i="15"/>
  <c r="Y1619" i="15"/>
  <c r="Y1620" i="15"/>
  <c r="Y1621" i="15"/>
  <c r="Y1622" i="15"/>
  <c r="Y1623" i="15"/>
  <c r="Y1624" i="15"/>
  <c r="Y1625" i="15"/>
  <c r="Y1626" i="15"/>
  <c r="Y1627" i="15"/>
  <c r="Y1628" i="15"/>
  <c r="Y1629" i="15"/>
  <c r="Y1630" i="15"/>
  <c r="Y1631" i="15"/>
  <c r="Y1632" i="15"/>
  <c r="Y1633" i="15"/>
  <c r="Y1634" i="15"/>
  <c r="Y1635" i="15"/>
  <c r="W1583" i="15"/>
  <c r="Y1583" i="15"/>
  <c r="W1584" i="15"/>
  <c r="Y1584" i="15"/>
  <c r="Y1585" i="15"/>
  <c r="Y1586" i="15"/>
  <c r="W1587" i="15"/>
  <c r="X1587" i="15"/>
  <c r="Y1587" i="15"/>
  <c r="W1588" i="15"/>
  <c r="X1588" i="15"/>
  <c r="Y1588" i="15"/>
  <c r="W1589" i="15"/>
  <c r="Y1589" i="15"/>
  <c r="W1590" i="15"/>
  <c r="Y1590" i="15"/>
  <c r="Y1580" i="15"/>
  <c r="W1581" i="15"/>
  <c r="Y1581" i="15"/>
  <c r="W1582" i="15"/>
  <c r="Y1582" i="15"/>
  <c r="Y1562" i="15"/>
  <c r="Y1563" i="15"/>
  <c r="Y1564" i="15"/>
  <c r="Y1565" i="15"/>
  <c r="Y1566" i="15"/>
  <c r="Y1567" i="15"/>
  <c r="Y1568" i="15"/>
  <c r="Y1569" i="15"/>
  <c r="Y1570" i="15"/>
  <c r="Y1571" i="15"/>
  <c r="Y1572" i="15"/>
  <c r="Y1573" i="15"/>
  <c r="Y1574" i="15"/>
  <c r="Y1575" i="15"/>
  <c r="Y1576" i="15"/>
  <c r="Y1577" i="15"/>
  <c r="Y1578" i="15"/>
  <c r="Y1579" i="15"/>
  <c r="Y1551" i="15"/>
  <c r="Y1552" i="15"/>
  <c r="Y1553" i="15"/>
  <c r="Y1554" i="15"/>
  <c r="Y1555" i="15"/>
  <c r="Y1556" i="15"/>
  <c r="Y1557" i="15"/>
  <c r="Y1558" i="15"/>
  <c r="Y1559" i="15"/>
  <c r="Y1560" i="15"/>
  <c r="Y1561" i="15"/>
  <c r="Y1549" i="15"/>
  <c r="Y1550" i="15"/>
  <c r="Y1548" i="15"/>
  <c r="Y1528" i="15"/>
  <c r="Y1529" i="15"/>
  <c r="Y1530" i="15"/>
  <c r="Y1531" i="15"/>
  <c r="W1526" i="15"/>
  <c r="X1526" i="15"/>
  <c r="Y1526" i="15"/>
  <c r="W1527" i="15"/>
  <c r="Y1527" i="15"/>
  <c r="Y1498" i="15"/>
  <c r="Y1499" i="15"/>
  <c r="W1500" i="15"/>
  <c r="X1500" i="15"/>
  <c r="Y1500" i="15"/>
  <c r="W1501" i="15"/>
  <c r="X1501" i="15"/>
  <c r="Y1501" i="15"/>
  <c r="W1502" i="15"/>
  <c r="X1502" i="15"/>
  <c r="Y1502" i="15"/>
  <c r="W1503" i="15"/>
  <c r="X1503" i="15"/>
  <c r="Y1503" i="15"/>
  <c r="Y1504" i="15"/>
  <c r="Y1505" i="15"/>
  <c r="Y1506" i="15"/>
  <c r="Y1507" i="15"/>
  <c r="Y1508" i="15"/>
  <c r="Y1509" i="15"/>
  <c r="Y1510" i="15"/>
  <c r="Y1511" i="15"/>
  <c r="Y1512" i="15"/>
  <c r="Y1513" i="15"/>
  <c r="Y1514" i="15"/>
  <c r="Y1515" i="15"/>
  <c r="Y1516" i="15"/>
  <c r="Y1517" i="15"/>
  <c r="Y1518" i="15"/>
  <c r="Y1519" i="15"/>
  <c r="Y1520" i="15"/>
  <c r="Y1521" i="15"/>
  <c r="Y1522" i="15"/>
  <c r="Y1523" i="15"/>
  <c r="Y1524" i="15"/>
  <c r="Y1525" i="15"/>
  <c r="T1681" i="15"/>
  <c r="U1681" i="15"/>
  <c r="V1681" i="15"/>
  <c r="T1682" i="15"/>
  <c r="U1682" i="15"/>
  <c r="V1682" i="15"/>
  <c r="T1683" i="15"/>
  <c r="U1683" i="15"/>
  <c r="V1683" i="15"/>
  <c r="V1678" i="15"/>
  <c r="T1679" i="15"/>
  <c r="U1679" i="15"/>
  <c r="V1679" i="15"/>
  <c r="T1680" i="15"/>
  <c r="U1680" i="15"/>
  <c r="V1680" i="15"/>
  <c r="T1670" i="15"/>
  <c r="V1670" i="15"/>
  <c r="T1671" i="15"/>
  <c r="V1671" i="15"/>
  <c r="T1672" i="15"/>
  <c r="V1672" i="15"/>
  <c r="T1673" i="15"/>
  <c r="V1673" i="15"/>
  <c r="T1674" i="15"/>
  <c r="V1674" i="15"/>
  <c r="T1675" i="15"/>
  <c r="V1675" i="15"/>
  <c r="T1676" i="15"/>
  <c r="U1676" i="15"/>
  <c r="V1676" i="15"/>
  <c r="T1677" i="15"/>
  <c r="U1677" i="15"/>
  <c r="V1677" i="15"/>
  <c r="T1665" i="15"/>
  <c r="U1665" i="15"/>
  <c r="V1665" i="15"/>
  <c r="T1666" i="15"/>
  <c r="U1666" i="15"/>
  <c r="V1666" i="15"/>
  <c r="T1667" i="15"/>
  <c r="U1667" i="15"/>
  <c r="V1667" i="15"/>
  <c r="T1668" i="15"/>
  <c r="U1668" i="15"/>
  <c r="V1668" i="15"/>
  <c r="T1669" i="15"/>
  <c r="U1669" i="15"/>
  <c r="V1669" i="15"/>
  <c r="V1663" i="15"/>
  <c r="V1664" i="15"/>
  <c r="T1661" i="15"/>
  <c r="U1661" i="15"/>
  <c r="V1661" i="15"/>
  <c r="T1662" i="15"/>
  <c r="U1662" i="15"/>
  <c r="V1662" i="15"/>
  <c r="V1660" i="15"/>
  <c r="V1653" i="15"/>
  <c r="V1654" i="15"/>
  <c r="V1655" i="15"/>
  <c r="V1656" i="15"/>
  <c r="V1657" i="15"/>
  <c r="V1658" i="15"/>
  <c r="V1659" i="15"/>
  <c r="V1636" i="15"/>
  <c r="V1637" i="15"/>
  <c r="V1638" i="15"/>
  <c r="V1639" i="15"/>
  <c r="V1640" i="15"/>
  <c r="V1641" i="15"/>
  <c r="V1642" i="15"/>
  <c r="V1643" i="15"/>
  <c r="V1644" i="15"/>
  <c r="V1645" i="15"/>
  <c r="V1646" i="15"/>
  <c r="V1647" i="15"/>
  <c r="V1648" i="15"/>
  <c r="V1649" i="15"/>
  <c r="V1650" i="15"/>
  <c r="V1651" i="15"/>
  <c r="V1652" i="15"/>
  <c r="V1591" i="15"/>
  <c r="V1592" i="15"/>
  <c r="V1593" i="15"/>
  <c r="T1594" i="15"/>
  <c r="U1594" i="15"/>
  <c r="V1594" i="15"/>
  <c r="T1595" i="15"/>
  <c r="U1595" i="15"/>
  <c r="V1595" i="15"/>
  <c r="T1596" i="15"/>
  <c r="U1596" i="15"/>
  <c r="V1596" i="15"/>
  <c r="T1597" i="15"/>
  <c r="U1597" i="15"/>
  <c r="V1597" i="15"/>
  <c r="T1598" i="15"/>
  <c r="U1598" i="15"/>
  <c r="V1598" i="15"/>
  <c r="T1599" i="15"/>
  <c r="U1599" i="15"/>
  <c r="V1599" i="15"/>
  <c r="V1600" i="15"/>
  <c r="V1601" i="15"/>
  <c r="V1602" i="15"/>
  <c r="V1603" i="15"/>
  <c r="V1604" i="15"/>
  <c r="V1605" i="15"/>
  <c r="V1606" i="15"/>
  <c r="V1607" i="15"/>
  <c r="V1608" i="15"/>
  <c r="V1609" i="15"/>
  <c r="V1610" i="15"/>
  <c r="V1611" i="15"/>
  <c r="V1612" i="15"/>
  <c r="V1613" i="15"/>
  <c r="V1614" i="15"/>
  <c r="V1615" i="15"/>
  <c r="V1616" i="15"/>
  <c r="V1617" i="15"/>
  <c r="V1618" i="15"/>
  <c r="V1619" i="15"/>
  <c r="V1620" i="15"/>
  <c r="V1621" i="15"/>
  <c r="V1622" i="15"/>
  <c r="V1623" i="15"/>
  <c r="V1624" i="15"/>
  <c r="V1625" i="15"/>
  <c r="V1626" i="15"/>
  <c r="V1627" i="15"/>
  <c r="V1628" i="15"/>
  <c r="V1629" i="15"/>
  <c r="V1630" i="15"/>
  <c r="V1631" i="15"/>
  <c r="V1632" i="15"/>
  <c r="V1633" i="15"/>
  <c r="V1634" i="15"/>
  <c r="V1635" i="15"/>
  <c r="T1583" i="15"/>
  <c r="V1583" i="15"/>
  <c r="T1584" i="15"/>
  <c r="V1584" i="15"/>
  <c r="V1585" i="15"/>
  <c r="V1586" i="15"/>
  <c r="T1587" i="15"/>
  <c r="U1587" i="15"/>
  <c r="V1587" i="15"/>
  <c r="T1588" i="15"/>
  <c r="U1588" i="15"/>
  <c r="V1588" i="15"/>
  <c r="T1589" i="15"/>
  <c r="V1589" i="15"/>
  <c r="T1590" i="15"/>
  <c r="V1590" i="15"/>
  <c r="V1580" i="15"/>
  <c r="V1581" i="15"/>
  <c r="V1582" i="15"/>
  <c r="V1562" i="15"/>
  <c r="V1563" i="15"/>
  <c r="V1564" i="15"/>
  <c r="V1565" i="15"/>
  <c r="V1566" i="15"/>
  <c r="V1567" i="15"/>
  <c r="V1568" i="15"/>
  <c r="V1569" i="15"/>
  <c r="V1570" i="15"/>
  <c r="V1571" i="15"/>
  <c r="V1572" i="15"/>
  <c r="V1573" i="15"/>
  <c r="V1574" i="15"/>
  <c r="V1575" i="15"/>
  <c r="V1576" i="15"/>
  <c r="V1577" i="15"/>
  <c r="V1578" i="15"/>
  <c r="V1579" i="15"/>
  <c r="V1551" i="15"/>
  <c r="V1552" i="15"/>
  <c r="V1553" i="15"/>
  <c r="V1554" i="15"/>
  <c r="V1555" i="15"/>
  <c r="V1556" i="15"/>
  <c r="V1557" i="15"/>
  <c r="V1558" i="15"/>
  <c r="V1559" i="15"/>
  <c r="V1560" i="15"/>
  <c r="V1561" i="15"/>
  <c r="V1549" i="15"/>
  <c r="V1550" i="15"/>
  <c r="V1548" i="15"/>
  <c r="V1528" i="15"/>
  <c r="V1529" i="15"/>
  <c r="V1530" i="15"/>
  <c r="V1531" i="15"/>
  <c r="T1526" i="15"/>
  <c r="U1526" i="15"/>
  <c r="V1526" i="15"/>
  <c r="T1527" i="15"/>
  <c r="V1527" i="15"/>
  <c r="T1498" i="15"/>
  <c r="U1498" i="15"/>
  <c r="V1498" i="15"/>
  <c r="T1499" i="15"/>
  <c r="U1499" i="15"/>
  <c r="V1499" i="15"/>
  <c r="T1500" i="15"/>
  <c r="U1500" i="15"/>
  <c r="V1500" i="15"/>
  <c r="T1501" i="15"/>
  <c r="U1501" i="15"/>
  <c r="V1501" i="15"/>
  <c r="T1502" i="15"/>
  <c r="U1502" i="15"/>
  <c r="V1502" i="15"/>
  <c r="T1503" i="15"/>
  <c r="U1503" i="15"/>
  <c r="V1503" i="15"/>
  <c r="V1504" i="15"/>
  <c r="V1505" i="15"/>
  <c r="V1506" i="15"/>
  <c r="V1507" i="15"/>
  <c r="V1508" i="15"/>
  <c r="V1509" i="15"/>
  <c r="V1510" i="15"/>
  <c r="V1511" i="15"/>
  <c r="V1512" i="15"/>
  <c r="V1513" i="15"/>
  <c r="V1514" i="15"/>
  <c r="V1515" i="15"/>
  <c r="V1516" i="15"/>
  <c r="V1517" i="15"/>
  <c r="V1518" i="15"/>
  <c r="V1519" i="15"/>
  <c r="V1520" i="15"/>
  <c r="V1521" i="15"/>
  <c r="V1522" i="15"/>
  <c r="V1523" i="15"/>
  <c r="V1524" i="15"/>
  <c r="V1525" i="15"/>
  <c r="AI1663" i="15"/>
  <c r="AJ1663" i="15"/>
  <c r="AK1663" i="15"/>
  <c r="AI1664" i="15"/>
  <c r="AJ1664" i="15"/>
  <c r="AK1664" i="15"/>
  <c r="AI1662" i="15"/>
  <c r="AJ1662" i="15"/>
  <c r="AK1662" i="15"/>
  <c r="AI1660" i="15"/>
  <c r="AJ1660" i="15"/>
  <c r="AK1660" i="15"/>
  <c r="AI1661" i="15"/>
  <c r="AJ1661" i="15"/>
  <c r="AK1661" i="15"/>
  <c r="AI1655" i="15"/>
  <c r="AJ1655" i="15"/>
  <c r="AK1655" i="15"/>
  <c r="AI1656" i="15"/>
  <c r="AJ1656" i="15"/>
  <c r="AK1656" i="15"/>
  <c r="AI1657" i="15"/>
  <c r="AJ1657" i="15"/>
  <c r="AK1657" i="15"/>
  <c r="AI1658" i="15"/>
  <c r="AJ1658" i="15"/>
  <c r="AK1658" i="15"/>
  <c r="AI1659" i="15"/>
  <c r="AJ1659" i="15"/>
  <c r="AK1659" i="15"/>
  <c r="AI1647" i="15"/>
  <c r="AJ1647" i="15"/>
  <c r="AK1647" i="15"/>
  <c r="AI1648" i="15"/>
  <c r="AJ1648" i="15"/>
  <c r="AK1648" i="15"/>
  <c r="AI1649" i="15"/>
  <c r="AJ1649" i="15"/>
  <c r="AK1649" i="15"/>
  <c r="AI1650" i="15"/>
  <c r="AJ1650" i="15"/>
  <c r="AK1650" i="15"/>
  <c r="AI1651" i="15"/>
  <c r="AJ1651" i="15"/>
  <c r="AK1651" i="15"/>
  <c r="AI1652" i="15"/>
  <c r="AJ1652" i="15"/>
  <c r="AK1652" i="15"/>
  <c r="AI1653" i="15"/>
  <c r="AJ1653" i="15"/>
  <c r="AK1653" i="15"/>
  <c r="AI1654" i="15"/>
  <c r="AJ1654" i="15"/>
  <c r="AK1654" i="15"/>
  <c r="AI1617" i="15"/>
  <c r="AJ1617" i="15"/>
  <c r="AK1617" i="15"/>
  <c r="AI1618" i="15"/>
  <c r="AJ1618" i="15"/>
  <c r="AK1618" i="15"/>
  <c r="AI1619" i="15"/>
  <c r="AK1619" i="15"/>
  <c r="AI1620" i="15"/>
  <c r="AK1620" i="15"/>
  <c r="AI1621" i="15"/>
  <c r="AK1621" i="15"/>
  <c r="AI1622" i="15"/>
  <c r="AK1622" i="15"/>
  <c r="AI1623" i="15"/>
  <c r="AK1623" i="15"/>
  <c r="AI1624" i="15"/>
  <c r="AK1624" i="15"/>
  <c r="AI1625" i="15"/>
  <c r="AJ1625" i="15"/>
  <c r="AK1625" i="15"/>
  <c r="AI1626" i="15"/>
  <c r="AJ1626" i="15"/>
  <c r="AK1626" i="15"/>
  <c r="AI1627" i="15"/>
  <c r="AJ1627" i="15"/>
  <c r="AK1627" i="15"/>
  <c r="AI1628" i="15"/>
  <c r="AJ1628" i="15"/>
  <c r="AK1628" i="15"/>
  <c r="AI1629" i="15"/>
  <c r="AJ1629" i="15"/>
  <c r="AK1629" i="15"/>
  <c r="AI1630" i="15"/>
  <c r="AJ1630" i="15"/>
  <c r="AK1630" i="15"/>
  <c r="AI1631" i="15"/>
  <c r="AJ1631" i="15"/>
  <c r="AK1631" i="15"/>
  <c r="AI1632" i="15"/>
  <c r="AJ1632" i="15"/>
  <c r="AK1632" i="15"/>
  <c r="AI1633" i="15"/>
  <c r="AJ1633" i="15"/>
  <c r="AK1633" i="15"/>
  <c r="AK1634" i="15"/>
  <c r="AK1635" i="15"/>
  <c r="AK1636" i="15"/>
  <c r="AK1637" i="15"/>
  <c r="AK1638" i="15"/>
  <c r="AK1639" i="15"/>
  <c r="AI1640" i="15"/>
  <c r="AJ1640" i="15"/>
  <c r="AK1640" i="15"/>
  <c r="AI1641" i="15"/>
  <c r="AJ1641" i="15"/>
  <c r="AK1641" i="15"/>
  <c r="AI1642" i="15"/>
  <c r="AJ1642" i="15"/>
  <c r="AK1642" i="15"/>
  <c r="AI1643" i="15"/>
  <c r="AJ1643" i="15"/>
  <c r="AK1643" i="15"/>
  <c r="AI1644" i="15"/>
  <c r="AJ1644" i="15"/>
  <c r="AK1644" i="15"/>
  <c r="AI1645" i="15"/>
  <c r="AJ1645" i="15"/>
  <c r="AK1645" i="15"/>
  <c r="AI1646" i="15"/>
  <c r="AK1646" i="15"/>
  <c r="AI1575" i="15"/>
  <c r="AJ1575" i="15"/>
  <c r="AK1575" i="15"/>
  <c r="AI1576" i="15"/>
  <c r="AJ1576" i="15"/>
  <c r="AK1576" i="15"/>
  <c r="AI1577" i="15"/>
  <c r="AJ1577" i="15"/>
  <c r="AK1577" i="15"/>
  <c r="AI1578" i="15"/>
  <c r="AJ1578" i="15"/>
  <c r="AK1578" i="15"/>
  <c r="AI1579" i="15"/>
  <c r="AJ1579" i="15"/>
  <c r="AK1579" i="15"/>
  <c r="AI1580" i="15"/>
  <c r="AJ1580" i="15"/>
  <c r="AK1580" i="15"/>
  <c r="AI1581" i="15"/>
  <c r="AK1581" i="15"/>
  <c r="AI1582" i="15"/>
  <c r="AK1582" i="15"/>
  <c r="AI1583" i="15"/>
  <c r="AK1583" i="15"/>
  <c r="AI1584" i="15"/>
  <c r="AK1584" i="15"/>
  <c r="AI1585" i="15"/>
  <c r="AK1585" i="15"/>
  <c r="AI1586" i="15"/>
  <c r="AK1586" i="15"/>
  <c r="AI1587" i="15"/>
  <c r="AK1587" i="15"/>
  <c r="AI1588" i="15"/>
  <c r="AK1588" i="15"/>
  <c r="AI1589" i="15"/>
  <c r="AK1589" i="15"/>
  <c r="AI1590" i="15"/>
  <c r="AK1590" i="15"/>
  <c r="AI1591" i="15"/>
  <c r="AK1591" i="15"/>
  <c r="AI1592" i="15"/>
  <c r="AK1592" i="15"/>
  <c r="AI1593" i="15"/>
  <c r="AK1593" i="15"/>
  <c r="AI1594" i="15"/>
  <c r="AK1594" i="15"/>
  <c r="AI1595" i="15"/>
  <c r="AK1595" i="15"/>
  <c r="AI1596" i="15"/>
  <c r="AK1596" i="15"/>
  <c r="AI1597" i="15"/>
  <c r="AK1597" i="15"/>
  <c r="AI1598" i="15"/>
  <c r="AK1598" i="15"/>
  <c r="AI1599" i="15"/>
  <c r="AK1599" i="15"/>
  <c r="AI1600" i="15"/>
  <c r="AK1600" i="15"/>
  <c r="AI1601" i="15"/>
  <c r="AK1601" i="15"/>
  <c r="AI1602" i="15"/>
  <c r="AK1602" i="15"/>
  <c r="AI1603" i="15"/>
  <c r="AK1603" i="15"/>
  <c r="AI1604" i="15"/>
  <c r="AK1604" i="15"/>
  <c r="AI1605" i="15"/>
  <c r="AK1605" i="15"/>
  <c r="AI1606" i="15"/>
  <c r="AK1606" i="15"/>
  <c r="AI1607" i="15"/>
  <c r="AK1607" i="15"/>
  <c r="AI1608" i="15"/>
  <c r="AK1608" i="15"/>
  <c r="AI1609" i="15"/>
  <c r="AK1609" i="15"/>
  <c r="AI1610" i="15"/>
  <c r="AK1610" i="15"/>
  <c r="AI1611" i="15"/>
  <c r="AK1611" i="15"/>
  <c r="AI1612" i="15"/>
  <c r="AK1612" i="15"/>
  <c r="AI1613" i="15"/>
  <c r="AK1613" i="15"/>
  <c r="AI1614" i="15"/>
  <c r="AK1614" i="15"/>
  <c r="AI1615" i="15"/>
  <c r="AK1615" i="15"/>
  <c r="AI1616" i="15"/>
  <c r="AK1616" i="15"/>
  <c r="AI1574" i="15"/>
  <c r="AJ1574" i="15"/>
  <c r="AK1574" i="15"/>
  <c r="AI1571" i="15"/>
  <c r="AK1571" i="15"/>
  <c r="AI1572" i="15"/>
  <c r="AJ1572" i="15"/>
  <c r="AK1572" i="15"/>
  <c r="AI1573" i="15"/>
  <c r="AJ1573" i="15"/>
  <c r="AK1573" i="15"/>
  <c r="AI1569" i="15"/>
  <c r="AJ1569" i="15"/>
  <c r="AK1569" i="15"/>
  <c r="AI1570" i="15"/>
  <c r="AJ1570" i="15"/>
  <c r="AK1570" i="15"/>
  <c r="AI1563" i="15"/>
  <c r="AK1563" i="15"/>
  <c r="AI1564" i="15"/>
  <c r="AK1564" i="15"/>
  <c r="AI1565" i="15"/>
  <c r="AK1565" i="15"/>
  <c r="AI1566" i="15"/>
  <c r="AK1566" i="15"/>
  <c r="AI1567" i="15"/>
  <c r="AK1567" i="15"/>
  <c r="AI1568" i="15"/>
  <c r="AK1568" i="15"/>
  <c r="AI1543" i="15"/>
  <c r="AK1543" i="15"/>
  <c r="AI1544" i="15"/>
  <c r="AK1544" i="15"/>
  <c r="AI1545" i="15"/>
  <c r="AJ1545" i="15"/>
  <c r="AK1545" i="15"/>
  <c r="AI1546" i="15"/>
  <c r="AJ1546" i="15"/>
  <c r="AK1546" i="15"/>
  <c r="AI1547" i="15"/>
  <c r="AJ1547" i="15"/>
  <c r="AK1547" i="15"/>
  <c r="AI1548" i="15"/>
  <c r="AJ1548" i="15"/>
  <c r="AK1548" i="15"/>
  <c r="AI1549" i="15"/>
  <c r="AJ1549" i="15"/>
  <c r="AK1549" i="15"/>
  <c r="AI1550" i="15"/>
  <c r="AJ1550" i="15"/>
  <c r="AK1550" i="15"/>
  <c r="AK1551" i="15"/>
  <c r="AK1552" i="15"/>
  <c r="AK1553" i="15"/>
  <c r="AK1554" i="15"/>
  <c r="AK1555" i="15"/>
  <c r="AK1556" i="15"/>
  <c r="AK1557" i="15"/>
  <c r="AK1558" i="15"/>
  <c r="AK1559" i="15"/>
  <c r="AK1560" i="15"/>
  <c r="AK1561" i="15"/>
  <c r="AK1562" i="15"/>
  <c r="AI1539" i="15"/>
  <c r="AK1539" i="15"/>
  <c r="AI1540" i="15"/>
  <c r="AK1540" i="15"/>
  <c r="AI1541" i="15"/>
  <c r="AK1541" i="15"/>
  <c r="AI1542" i="15"/>
  <c r="AK1542" i="15"/>
  <c r="AK1537" i="15"/>
  <c r="AK1538" i="15"/>
  <c r="AI1536" i="15"/>
  <c r="AK1536" i="15"/>
  <c r="AI1520" i="15"/>
  <c r="AK1520" i="15"/>
  <c r="AI1521" i="15"/>
  <c r="AK1521" i="15"/>
  <c r="AI1522" i="15"/>
  <c r="AK1522" i="15"/>
  <c r="AI1523" i="15"/>
  <c r="AK1523" i="15"/>
  <c r="AI1524" i="15"/>
  <c r="AK1524" i="15"/>
  <c r="AI1525" i="15"/>
  <c r="AK1525" i="15"/>
  <c r="AI1526" i="15"/>
  <c r="AK1526" i="15"/>
  <c r="AI1527" i="15"/>
  <c r="AK1527" i="15"/>
  <c r="AI1528" i="15"/>
  <c r="AK1528" i="15"/>
  <c r="AI1529" i="15"/>
  <c r="AK1529" i="15"/>
  <c r="AI1530" i="15"/>
  <c r="AK1530" i="15"/>
  <c r="AI1531" i="15"/>
  <c r="AK1531" i="15"/>
  <c r="AI1532" i="15"/>
  <c r="AK1532" i="15"/>
  <c r="AI1533" i="15"/>
  <c r="AK1533" i="15"/>
  <c r="AI1534" i="15"/>
  <c r="AK1534" i="15"/>
  <c r="AI1535" i="15"/>
  <c r="AK1535" i="15"/>
  <c r="AK1516" i="15"/>
  <c r="AK1517" i="15"/>
  <c r="AK1518" i="15"/>
  <c r="AK1519" i="15"/>
  <c r="AI1515" i="15"/>
  <c r="AK1515" i="15"/>
  <c r="AI1513" i="15"/>
  <c r="AJ1513" i="15"/>
  <c r="AK1513" i="15"/>
  <c r="AI1514" i="15"/>
  <c r="AJ1514" i="15"/>
  <c r="AK1514" i="15"/>
  <c r="AI1500" i="15"/>
  <c r="AJ1500" i="15"/>
  <c r="AK1500" i="15"/>
  <c r="AI1501" i="15"/>
  <c r="AJ1501" i="15"/>
  <c r="AK1501" i="15"/>
  <c r="AI1502" i="15"/>
  <c r="AJ1502" i="15"/>
  <c r="AK1502" i="15"/>
  <c r="AI1503" i="15"/>
  <c r="AJ1503" i="15"/>
  <c r="AK1503" i="15"/>
  <c r="AI1504" i="15"/>
  <c r="AJ1504" i="15"/>
  <c r="AK1504" i="15"/>
  <c r="AI1505" i="15"/>
  <c r="AJ1505" i="15"/>
  <c r="AK1505" i="15"/>
  <c r="AI1506" i="15"/>
  <c r="AJ1506" i="15"/>
  <c r="AK1506" i="15"/>
  <c r="AI1507" i="15"/>
  <c r="AJ1507" i="15"/>
  <c r="AK1507" i="15"/>
  <c r="AI1508" i="15"/>
  <c r="AJ1508" i="15"/>
  <c r="AK1508" i="15"/>
  <c r="AI1509" i="15"/>
  <c r="AJ1509" i="15"/>
  <c r="AK1509" i="15"/>
  <c r="AI1510" i="15"/>
  <c r="AJ1510" i="15"/>
  <c r="AK1510" i="15"/>
  <c r="AI1511" i="15"/>
  <c r="AJ1511" i="15"/>
  <c r="AK1511" i="15"/>
  <c r="AI1512" i="15"/>
  <c r="AJ1512" i="15"/>
  <c r="AK1512" i="15"/>
  <c r="AI1498" i="15"/>
  <c r="AJ1498" i="15"/>
  <c r="AK1498" i="15"/>
  <c r="AI1499" i="15"/>
  <c r="AJ1499" i="15"/>
  <c r="AK1499" i="15"/>
  <c r="AC1555" i="15"/>
  <c r="AD1555" i="15"/>
  <c r="AE1555" i="15"/>
  <c r="AC1556" i="15"/>
  <c r="AD1556" i="15"/>
  <c r="AE1556" i="15"/>
  <c r="AC1557" i="15"/>
  <c r="AD1557" i="15"/>
  <c r="AE1557" i="15"/>
  <c r="AE1552" i="15"/>
  <c r="AC1553" i="15"/>
  <c r="AD1553" i="15"/>
  <c r="AE1553" i="15"/>
  <c r="AC1554" i="15"/>
  <c r="AD1554" i="15"/>
  <c r="AE1554" i="15"/>
  <c r="AC1550" i="15"/>
  <c r="AD1550" i="15"/>
  <c r="AE1550" i="15"/>
  <c r="AC1551" i="15"/>
  <c r="AD1551" i="15"/>
  <c r="AE1551" i="15"/>
  <c r="AC1549" i="15"/>
  <c r="AD1549" i="15"/>
  <c r="AE1549" i="15"/>
  <c r="AC1547" i="15"/>
  <c r="AD1547" i="15"/>
  <c r="AE1547" i="15"/>
  <c r="AC1548" i="15"/>
  <c r="AD1548" i="15"/>
  <c r="AE1548" i="15"/>
  <c r="AE1546" i="15"/>
  <c r="AC1539" i="15"/>
  <c r="AE1539" i="15"/>
  <c r="AE1540" i="15"/>
  <c r="AE1541" i="15"/>
  <c r="AC1542" i="15"/>
  <c r="AD1542" i="15"/>
  <c r="AE1542" i="15"/>
  <c r="AC1543" i="15"/>
  <c r="AD1543" i="15"/>
  <c r="AE1543" i="15"/>
  <c r="AE1544" i="15"/>
  <c r="AE1545" i="15"/>
  <c r="AC1535" i="15"/>
  <c r="AE1535" i="15"/>
  <c r="AC1536" i="15"/>
  <c r="AE1536" i="15"/>
  <c r="AE1537" i="15"/>
  <c r="AE1538" i="15"/>
  <c r="AE1524" i="15"/>
  <c r="AE1525" i="15"/>
  <c r="AE1526" i="15"/>
  <c r="AE1527" i="15"/>
  <c r="AE1528" i="15"/>
  <c r="AE1529" i="15"/>
  <c r="AE1530" i="15"/>
  <c r="AE1531" i="15"/>
  <c r="AE1532" i="15"/>
  <c r="AE1533" i="15"/>
  <c r="AE1534" i="15"/>
  <c r="AE1522" i="15"/>
  <c r="AE1523" i="15"/>
  <c r="AE1506" i="15"/>
  <c r="AE1507" i="15"/>
  <c r="AE1508" i="15"/>
  <c r="AE1509" i="15"/>
  <c r="AE1510" i="15"/>
  <c r="AE1511" i="15"/>
  <c r="AE1512" i="15"/>
  <c r="AE1513" i="15"/>
  <c r="AE1514" i="15"/>
  <c r="AE1515" i="15"/>
  <c r="AE1516" i="15"/>
  <c r="AE1517" i="15"/>
  <c r="AE1518" i="15"/>
  <c r="AE1519" i="15"/>
  <c r="AE1520" i="15"/>
  <c r="AE1521" i="15"/>
  <c r="AE1505" i="15"/>
  <c r="AC1504" i="15"/>
  <c r="AE1504" i="15"/>
  <c r="AE1498" i="15"/>
  <c r="AE1499" i="15"/>
  <c r="AE1500" i="15"/>
  <c r="AE1501" i="15"/>
  <c r="AE1502" i="15"/>
  <c r="AE1503" i="15"/>
  <c r="Z1555" i="15"/>
  <c r="AA1555" i="15"/>
  <c r="AB1555" i="15"/>
  <c r="Z1556" i="15"/>
  <c r="AA1556" i="15"/>
  <c r="AB1556" i="15"/>
  <c r="Z1557" i="15"/>
  <c r="AA1557" i="15"/>
  <c r="AB1557" i="15"/>
  <c r="AB1552" i="15"/>
  <c r="Z1553" i="15"/>
  <c r="AA1553" i="15"/>
  <c r="AB1553" i="15"/>
  <c r="Z1554" i="15"/>
  <c r="AA1554" i="15"/>
  <c r="AB1554" i="15"/>
  <c r="Z1550" i="15"/>
  <c r="AA1550" i="15"/>
  <c r="AB1550" i="15"/>
  <c r="Z1551" i="15"/>
  <c r="AA1551" i="15"/>
  <c r="AB1551" i="15"/>
  <c r="Z1549" i="15"/>
  <c r="AA1549" i="15"/>
  <c r="AB1549" i="15"/>
  <c r="Z1547" i="15"/>
  <c r="AA1547" i="15"/>
  <c r="AB1547" i="15"/>
  <c r="Z1548" i="15"/>
  <c r="AA1548" i="15"/>
  <c r="AB1548" i="15"/>
  <c r="AB1546" i="15"/>
  <c r="Z1539" i="15"/>
  <c r="AB1539" i="15"/>
  <c r="AB1540" i="15"/>
  <c r="AB1541" i="15"/>
  <c r="Z1542" i="15"/>
  <c r="AA1542" i="15"/>
  <c r="AB1542" i="15"/>
  <c r="Z1543" i="15"/>
  <c r="AA1543" i="15"/>
  <c r="AB1543" i="15"/>
  <c r="AB1544" i="15"/>
  <c r="AB1545" i="15"/>
  <c r="Z1535" i="15"/>
  <c r="AB1535" i="15"/>
  <c r="Z1536" i="15"/>
  <c r="AB1536" i="15"/>
  <c r="AB1537" i="15"/>
  <c r="AB1538" i="15"/>
  <c r="AB1524" i="15"/>
  <c r="AB1525" i="15"/>
  <c r="AB1526" i="15"/>
  <c r="AB1527" i="15"/>
  <c r="AB1528" i="15"/>
  <c r="AB1529" i="15"/>
  <c r="AB1530" i="15"/>
  <c r="AB1531" i="15"/>
  <c r="AB1532" i="15"/>
  <c r="AB1533" i="15"/>
  <c r="AB1534" i="15"/>
  <c r="AB1522" i="15"/>
  <c r="AB1523" i="15"/>
  <c r="AB1506" i="15"/>
  <c r="AB1507" i="15"/>
  <c r="AB1508" i="15"/>
  <c r="AB1509" i="15"/>
  <c r="AB1510" i="15"/>
  <c r="AB1511" i="15"/>
  <c r="AB1512" i="15"/>
  <c r="AB1513" i="15"/>
  <c r="AB1514" i="15"/>
  <c r="AB1515" i="15"/>
  <c r="AB1516" i="15"/>
  <c r="AB1517" i="15"/>
  <c r="AB1518" i="15"/>
  <c r="AB1519" i="15"/>
  <c r="AB1520" i="15"/>
  <c r="AB1521" i="15"/>
  <c r="AB1505" i="15"/>
  <c r="Z1504" i="15"/>
  <c r="AB1504" i="15"/>
  <c r="AB1498" i="15"/>
  <c r="AB1499" i="15"/>
  <c r="AB1500" i="15"/>
  <c r="AB1501" i="15"/>
  <c r="AB1502" i="15"/>
  <c r="AB1503" i="15"/>
  <c r="AF1663" i="15"/>
  <c r="AG1663" i="15"/>
  <c r="AH1663" i="15"/>
  <c r="AF1664" i="15"/>
  <c r="AG1664" i="15"/>
  <c r="AH1664" i="15"/>
  <c r="AF1662" i="15"/>
  <c r="AG1662" i="15"/>
  <c r="AH1662" i="15"/>
  <c r="AF1660" i="15"/>
  <c r="AG1660" i="15"/>
  <c r="AH1660" i="15"/>
  <c r="AF1661" i="15"/>
  <c r="AG1661" i="15"/>
  <c r="AH1661" i="15"/>
  <c r="AF1655" i="15"/>
  <c r="AG1655" i="15"/>
  <c r="AH1655" i="15"/>
  <c r="AF1656" i="15"/>
  <c r="AG1656" i="15"/>
  <c r="AH1656" i="15"/>
  <c r="AF1657" i="15"/>
  <c r="AG1657" i="15"/>
  <c r="AH1657" i="15"/>
  <c r="AF1658" i="15"/>
  <c r="AG1658" i="15"/>
  <c r="AH1658" i="15"/>
  <c r="AF1659" i="15"/>
  <c r="AG1659" i="15"/>
  <c r="AH1659" i="15"/>
  <c r="AF1647" i="15"/>
  <c r="AG1647" i="15"/>
  <c r="AH1647" i="15"/>
  <c r="AF1648" i="15"/>
  <c r="AG1648" i="15"/>
  <c r="AH1648" i="15"/>
  <c r="AF1649" i="15"/>
  <c r="AG1649" i="15"/>
  <c r="AH1649" i="15"/>
  <c r="AF1650" i="15"/>
  <c r="AG1650" i="15"/>
  <c r="AH1650" i="15"/>
  <c r="AF1651" i="15"/>
  <c r="AG1651" i="15"/>
  <c r="AH1651" i="15"/>
  <c r="AF1652" i="15"/>
  <c r="AG1652" i="15"/>
  <c r="AH1652" i="15"/>
  <c r="AF1653" i="15"/>
  <c r="AG1653" i="15"/>
  <c r="AH1653" i="15"/>
  <c r="AF1654" i="15"/>
  <c r="AG1654" i="15"/>
  <c r="AH1654" i="15"/>
  <c r="AF1617" i="15"/>
  <c r="AG1617" i="15"/>
  <c r="AH1617" i="15"/>
  <c r="AF1618" i="15"/>
  <c r="AG1618" i="15"/>
  <c r="AH1618" i="15"/>
  <c r="AF1619" i="15"/>
  <c r="AH1619" i="15"/>
  <c r="AF1620" i="15"/>
  <c r="AH1620" i="15"/>
  <c r="AF1621" i="15"/>
  <c r="AH1621" i="15"/>
  <c r="AF1622" i="15"/>
  <c r="AH1622" i="15"/>
  <c r="AF1623" i="15"/>
  <c r="AH1623" i="15"/>
  <c r="AF1624" i="15"/>
  <c r="AH1624" i="15"/>
  <c r="AF1625" i="15"/>
  <c r="AG1625" i="15"/>
  <c r="AH1625" i="15"/>
  <c r="AF1626" i="15"/>
  <c r="AG1626" i="15"/>
  <c r="AH1626" i="15"/>
  <c r="AF1627" i="15"/>
  <c r="AG1627" i="15"/>
  <c r="AH1627" i="15"/>
  <c r="AF1628" i="15"/>
  <c r="AG1628" i="15"/>
  <c r="AH1628" i="15"/>
  <c r="AF1629" i="15"/>
  <c r="AG1629" i="15"/>
  <c r="AH1629" i="15"/>
  <c r="AF1630" i="15"/>
  <c r="AG1630" i="15"/>
  <c r="AH1630" i="15"/>
  <c r="AF1631" i="15"/>
  <c r="AG1631" i="15"/>
  <c r="AH1631" i="15"/>
  <c r="AF1632" i="15"/>
  <c r="AG1632" i="15"/>
  <c r="AH1632" i="15"/>
  <c r="AF1633" i="15"/>
  <c r="AG1633" i="15"/>
  <c r="AH1633" i="15"/>
  <c r="AH1634" i="15"/>
  <c r="AH1635" i="15"/>
  <c r="AH1636" i="15"/>
  <c r="AH1637" i="15"/>
  <c r="AH1638" i="15"/>
  <c r="AH1639" i="15"/>
  <c r="AF1640" i="15"/>
  <c r="AG1640" i="15"/>
  <c r="AH1640" i="15"/>
  <c r="AF1641" i="15"/>
  <c r="AG1641" i="15"/>
  <c r="AH1641" i="15"/>
  <c r="AF1642" i="15"/>
  <c r="AG1642" i="15"/>
  <c r="AH1642" i="15"/>
  <c r="AF1643" i="15"/>
  <c r="AG1643" i="15"/>
  <c r="AH1643" i="15"/>
  <c r="AF1644" i="15"/>
  <c r="AG1644" i="15"/>
  <c r="AH1644" i="15"/>
  <c r="AF1645" i="15"/>
  <c r="AG1645" i="15"/>
  <c r="AH1645" i="15"/>
  <c r="AF1646" i="15"/>
  <c r="AH1646" i="15"/>
  <c r="AF1575" i="15"/>
  <c r="AG1575" i="15"/>
  <c r="AH1575" i="15"/>
  <c r="AF1576" i="15"/>
  <c r="AG1576" i="15"/>
  <c r="AH1576" i="15"/>
  <c r="AF1577" i="15"/>
  <c r="AG1577" i="15"/>
  <c r="AH1577" i="15"/>
  <c r="AF1578" i="15"/>
  <c r="AG1578" i="15"/>
  <c r="AH1578" i="15"/>
  <c r="AF1579" i="15"/>
  <c r="AG1579" i="15"/>
  <c r="AH1579" i="15"/>
  <c r="AF1580" i="15"/>
  <c r="AG1580" i="15"/>
  <c r="AH1580" i="15"/>
  <c r="AF1581" i="15"/>
  <c r="AH1581" i="15"/>
  <c r="AF1582" i="15"/>
  <c r="AH1582" i="15"/>
  <c r="AF1583" i="15"/>
  <c r="AH1583" i="15"/>
  <c r="AF1584" i="15"/>
  <c r="AH1584" i="15"/>
  <c r="AF1585" i="15"/>
  <c r="AH1585" i="15"/>
  <c r="AF1586" i="15"/>
  <c r="AH1586" i="15"/>
  <c r="AF1587" i="15"/>
  <c r="AH1587" i="15"/>
  <c r="AF1588" i="15"/>
  <c r="AH1588" i="15"/>
  <c r="AF1589" i="15"/>
  <c r="AH1589" i="15"/>
  <c r="AF1590" i="15"/>
  <c r="AH1590" i="15"/>
  <c r="AF1591" i="15"/>
  <c r="AH1591" i="15"/>
  <c r="AF1592" i="15"/>
  <c r="AH1592" i="15"/>
  <c r="AF1593" i="15"/>
  <c r="AH1593" i="15"/>
  <c r="AF1594" i="15"/>
  <c r="AH1594" i="15"/>
  <c r="AF1595" i="15"/>
  <c r="AH1595" i="15"/>
  <c r="AF1596" i="15"/>
  <c r="AH1596" i="15"/>
  <c r="AF1597" i="15"/>
  <c r="AH1597" i="15"/>
  <c r="AF1598" i="15"/>
  <c r="AH1598" i="15"/>
  <c r="AF1599" i="15"/>
  <c r="AH1599" i="15"/>
  <c r="AF1600" i="15"/>
  <c r="AH1600" i="15"/>
  <c r="AF1601" i="15"/>
  <c r="AH1601" i="15"/>
  <c r="AF1602" i="15"/>
  <c r="AH1602" i="15"/>
  <c r="AF1603" i="15"/>
  <c r="AH1603" i="15"/>
  <c r="AF1604" i="15"/>
  <c r="AH1604" i="15"/>
  <c r="AF1605" i="15"/>
  <c r="AH1605" i="15"/>
  <c r="AF1606" i="15"/>
  <c r="AH1606" i="15"/>
  <c r="AF1607" i="15"/>
  <c r="AH1607" i="15"/>
  <c r="AF1608" i="15"/>
  <c r="AH1608" i="15"/>
  <c r="AF1609" i="15"/>
  <c r="AH1609" i="15"/>
  <c r="AF1610" i="15"/>
  <c r="AH1610" i="15"/>
  <c r="AF1611" i="15"/>
  <c r="AH1611" i="15"/>
  <c r="AF1612" i="15"/>
  <c r="AH1612" i="15"/>
  <c r="AF1613" i="15"/>
  <c r="AH1613" i="15"/>
  <c r="AF1614" i="15"/>
  <c r="AH1614" i="15"/>
  <c r="AF1615" i="15"/>
  <c r="AH1615" i="15"/>
  <c r="AF1616" i="15"/>
  <c r="AH1616" i="15"/>
  <c r="AF1574" i="15"/>
  <c r="AG1574" i="15"/>
  <c r="AH1574" i="15"/>
  <c r="AF1571" i="15"/>
  <c r="AH1571" i="15"/>
  <c r="AF1572" i="15"/>
  <c r="AG1572" i="15"/>
  <c r="AH1572" i="15"/>
  <c r="AF1573" i="15"/>
  <c r="AG1573" i="15"/>
  <c r="AH1573" i="15"/>
  <c r="AF1569" i="15"/>
  <c r="AG1569" i="15"/>
  <c r="AH1569" i="15"/>
  <c r="AF1570" i="15"/>
  <c r="AG1570" i="15"/>
  <c r="AH1570" i="15"/>
  <c r="AF1563" i="15"/>
  <c r="AH1563" i="15"/>
  <c r="AF1564" i="15"/>
  <c r="AH1564" i="15"/>
  <c r="AF1565" i="15"/>
  <c r="AH1565" i="15"/>
  <c r="AF1566" i="15"/>
  <c r="AH1566" i="15"/>
  <c r="AF1567" i="15"/>
  <c r="AH1567" i="15"/>
  <c r="AF1568" i="15"/>
  <c r="AH1568" i="15"/>
  <c r="AF1543" i="15"/>
  <c r="AH1543" i="15"/>
  <c r="AF1544" i="15"/>
  <c r="AH1544" i="15"/>
  <c r="AF1545" i="15"/>
  <c r="AG1545" i="15"/>
  <c r="AH1545" i="15"/>
  <c r="AF1546" i="15"/>
  <c r="AG1546" i="15"/>
  <c r="AH1546" i="15"/>
  <c r="AF1547" i="15"/>
  <c r="AG1547" i="15"/>
  <c r="AH1547" i="15"/>
  <c r="AH1548" i="15"/>
  <c r="AH1549" i="15"/>
  <c r="AH1550" i="15"/>
  <c r="AH1551" i="15"/>
  <c r="AF1552" i="15"/>
  <c r="AG1552" i="15"/>
  <c r="AH1552" i="15"/>
  <c r="AH1553" i="15"/>
  <c r="AF1554" i="15"/>
  <c r="AG1554" i="15"/>
  <c r="AH1554" i="15"/>
  <c r="AF1555" i="15"/>
  <c r="AG1555" i="15"/>
  <c r="AH1555" i="15"/>
  <c r="AH1556" i="15"/>
  <c r="AF1539" i="15"/>
  <c r="AH1539" i="15"/>
  <c r="AF1540" i="15"/>
  <c r="AH1540" i="15"/>
  <c r="AF1541" i="15"/>
  <c r="AH1541" i="15"/>
  <c r="AF1542" i="15"/>
  <c r="AH1542" i="15"/>
  <c r="AH1537" i="15"/>
  <c r="AH1538" i="15"/>
  <c r="AF1536" i="15"/>
  <c r="AH1536" i="15"/>
  <c r="AF1520" i="15"/>
  <c r="AH1520" i="15"/>
  <c r="AF1521" i="15"/>
  <c r="AH1521" i="15"/>
  <c r="AF1522" i="15"/>
  <c r="AH1522" i="15"/>
  <c r="AF1523" i="15"/>
  <c r="AH1523" i="15"/>
  <c r="AF1524" i="15"/>
  <c r="AH1524" i="15"/>
  <c r="AF1525" i="15"/>
  <c r="AH1525" i="15"/>
  <c r="AF1526" i="15"/>
  <c r="AH1526" i="15"/>
  <c r="AF1527" i="15"/>
  <c r="AH1527" i="15"/>
  <c r="AF1528" i="15"/>
  <c r="AH1528" i="15"/>
  <c r="AF1529" i="15"/>
  <c r="AH1529" i="15"/>
  <c r="AF1530" i="15"/>
  <c r="AH1530" i="15"/>
  <c r="AF1531" i="15"/>
  <c r="AH1531" i="15"/>
  <c r="AF1532" i="15"/>
  <c r="AH1532" i="15"/>
  <c r="AF1533" i="15"/>
  <c r="AH1533" i="15"/>
  <c r="AF1534" i="15"/>
  <c r="AH1534" i="15"/>
  <c r="AF1535" i="15"/>
  <c r="AH1535" i="15"/>
  <c r="AH1516" i="15"/>
  <c r="AH1517" i="15"/>
  <c r="AH1518" i="15"/>
  <c r="AH1519" i="15"/>
  <c r="AF1515" i="15"/>
  <c r="AH1515" i="15"/>
  <c r="AF1513" i="15"/>
  <c r="AG1513" i="15"/>
  <c r="AH1513" i="15"/>
  <c r="AF1514" i="15"/>
  <c r="AG1514" i="15"/>
  <c r="AH1514" i="15"/>
  <c r="AH1500" i="15"/>
  <c r="AF1501" i="15"/>
  <c r="AG1501" i="15"/>
  <c r="AH1501" i="15"/>
  <c r="AF1502" i="15"/>
  <c r="AG1502" i="15"/>
  <c r="AH1502" i="15"/>
  <c r="AF1503" i="15"/>
  <c r="AG1503" i="15"/>
  <c r="AH1503" i="15"/>
  <c r="AF1504" i="15"/>
  <c r="AG1504" i="15"/>
  <c r="AH1504" i="15"/>
  <c r="AF1505" i="15"/>
  <c r="AG1505" i="15"/>
  <c r="AH1505" i="15"/>
  <c r="AF1506" i="15"/>
  <c r="AG1506" i="15"/>
  <c r="AH1506" i="15"/>
  <c r="AF1507" i="15"/>
  <c r="AG1507" i="15"/>
  <c r="AH1507" i="15"/>
  <c r="AF1508" i="15"/>
  <c r="AG1508" i="15"/>
  <c r="AH1508" i="15"/>
  <c r="AF1509" i="15"/>
  <c r="AG1509" i="15"/>
  <c r="AH1509" i="15"/>
  <c r="AF1510" i="15"/>
  <c r="AG1510" i="15"/>
  <c r="AH1510" i="15"/>
  <c r="AF1511" i="15"/>
  <c r="AG1511" i="15"/>
  <c r="AH1511" i="15"/>
  <c r="AF1512" i="15"/>
  <c r="AG1512" i="15"/>
  <c r="AH1512" i="15"/>
  <c r="AH1498" i="15"/>
  <c r="AH1499" i="15"/>
  <c r="Q2919" i="15" l="1"/>
  <c r="Q2586" i="15"/>
  <c r="Q2193" i="15"/>
  <c r="AG3088" i="15"/>
  <c r="AH3088" i="15"/>
  <c r="AF3088" i="15"/>
  <c r="AK2561" i="15"/>
  <c r="AI2561" i="15"/>
  <c r="AJ2561" i="15"/>
  <c r="AG2235" i="15"/>
  <c r="AK2235" i="15"/>
  <c r="AH2235" i="15"/>
  <c r="AF2235" i="15"/>
  <c r="AI2235" i="15"/>
  <c r="AJ2235" i="15"/>
  <c r="AI1483" i="15"/>
  <c r="AK1483" i="15"/>
  <c r="AI1484" i="15"/>
  <c r="AK1484" i="15"/>
  <c r="AI1485" i="15"/>
  <c r="AK1485" i="15"/>
  <c r="AI1486" i="15"/>
  <c r="AK1486" i="15"/>
  <c r="AI1487" i="15"/>
  <c r="AJ1487" i="15"/>
  <c r="AK1487" i="15"/>
  <c r="AI1488" i="15"/>
  <c r="AJ1488" i="15"/>
  <c r="AK1488" i="15"/>
  <c r="AI1489" i="15"/>
  <c r="AK1489" i="15"/>
  <c r="AI1490" i="15"/>
  <c r="AK1490" i="15"/>
  <c r="AI1491" i="15"/>
  <c r="AK1491" i="15"/>
  <c r="AI1492" i="15"/>
  <c r="AK1492" i="15"/>
  <c r="AI1493" i="15"/>
  <c r="AK1493" i="15"/>
  <c r="AI1494" i="15"/>
  <c r="AK1494" i="15"/>
  <c r="AI1481" i="15"/>
  <c r="AJ1481" i="15"/>
  <c r="AK1481" i="15"/>
  <c r="AI1482" i="15"/>
  <c r="AJ1482" i="15"/>
  <c r="AK1482" i="15"/>
  <c r="AI1479" i="15"/>
  <c r="AJ1479" i="15"/>
  <c r="AK1479" i="15"/>
  <c r="AI1480" i="15"/>
  <c r="AK1480" i="15"/>
  <c r="AI1478" i="15"/>
  <c r="AJ1478" i="15"/>
  <c r="AK1478" i="15"/>
  <c r="AI1473" i="15"/>
  <c r="AK1473" i="15"/>
  <c r="AI1474" i="15"/>
  <c r="AK1474" i="15"/>
  <c r="AI1475" i="15"/>
  <c r="AK1475" i="15"/>
  <c r="AI1476" i="15"/>
  <c r="AK1476" i="15"/>
  <c r="AI1477" i="15"/>
  <c r="AK1477" i="15"/>
  <c r="AI1472" i="15"/>
  <c r="AJ1472" i="15"/>
  <c r="AK1472" i="15"/>
  <c r="AI1471" i="15"/>
  <c r="AJ1471" i="15"/>
  <c r="AK1471" i="15"/>
  <c r="AI1470" i="15"/>
  <c r="AK1470" i="15"/>
  <c r="AI1469" i="15"/>
  <c r="AJ1469" i="15"/>
  <c r="AK1469" i="15"/>
  <c r="AI1465" i="15"/>
  <c r="AJ1465" i="15"/>
  <c r="AK1465" i="15"/>
  <c r="AI1466" i="15"/>
  <c r="AJ1466" i="15"/>
  <c r="AK1466" i="15"/>
  <c r="AI1467" i="15"/>
  <c r="AJ1467" i="15"/>
  <c r="AK1467" i="15"/>
  <c r="AI1468" i="15"/>
  <c r="AJ1468" i="15"/>
  <c r="AK1468" i="15"/>
  <c r="AI1463" i="15"/>
  <c r="AJ1463" i="15"/>
  <c r="AK1463" i="15"/>
  <c r="AI1464" i="15"/>
  <c r="AJ1464" i="15"/>
  <c r="AK1464" i="15"/>
  <c r="AF1483" i="15"/>
  <c r="AH1483" i="15"/>
  <c r="AF1484" i="15"/>
  <c r="AH1484" i="15"/>
  <c r="AF1485" i="15"/>
  <c r="AH1485" i="15"/>
  <c r="AF1486" i="15"/>
  <c r="AH1486" i="15"/>
  <c r="AF1487" i="15"/>
  <c r="AG1487" i="15"/>
  <c r="AH1487" i="15"/>
  <c r="AF1488" i="15"/>
  <c r="AG1488" i="15"/>
  <c r="AH1488" i="15"/>
  <c r="AF1489" i="15"/>
  <c r="AH1489" i="15"/>
  <c r="AF1490" i="15"/>
  <c r="AH1490" i="15"/>
  <c r="AF1491" i="15"/>
  <c r="AH1491" i="15"/>
  <c r="AF1492" i="15"/>
  <c r="AH1492" i="15"/>
  <c r="AF1493" i="15"/>
  <c r="AH1493" i="15"/>
  <c r="AF1494" i="15"/>
  <c r="AH1494" i="15"/>
  <c r="AF1481" i="15"/>
  <c r="AG1481" i="15"/>
  <c r="AH1481" i="15"/>
  <c r="AF1482" i="15"/>
  <c r="AG1482" i="15"/>
  <c r="AH1482" i="15"/>
  <c r="AF1479" i="15"/>
  <c r="AG1479" i="15"/>
  <c r="AH1479" i="15"/>
  <c r="AF1480" i="15"/>
  <c r="AG1480" i="15"/>
  <c r="AH1480" i="15"/>
  <c r="AF1478" i="15"/>
  <c r="AG1478" i="15"/>
  <c r="AH1478" i="15"/>
  <c r="AF1473" i="15"/>
  <c r="AH1473" i="15"/>
  <c r="AF1474" i="15"/>
  <c r="AH1474" i="15"/>
  <c r="AF1475" i="15"/>
  <c r="AH1475" i="15"/>
  <c r="AF1476" i="15"/>
  <c r="AH1476" i="15"/>
  <c r="AF1477" i="15"/>
  <c r="AH1477" i="15"/>
  <c r="AF1472" i="15"/>
  <c r="AG1472" i="15"/>
  <c r="AH1472" i="15"/>
  <c r="AF1471" i="15"/>
  <c r="AG1471" i="15"/>
  <c r="AH1471" i="15"/>
  <c r="AF1470" i="15"/>
  <c r="AH1470" i="15"/>
  <c r="AF1469" i="15"/>
  <c r="AG1469" i="15"/>
  <c r="AH1469" i="15"/>
  <c r="AF1465" i="15"/>
  <c r="AG1465" i="15"/>
  <c r="AH1465" i="15"/>
  <c r="AF1466" i="15"/>
  <c r="AG1466" i="15"/>
  <c r="AH1466" i="15"/>
  <c r="AF1467" i="15"/>
  <c r="AG1467" i="15"/>
  <c r="AH1467" i="15"/>
  <c r="AF1468" i="15"/>
  <c r="AG1468" i="15"/>
  <c r="AH1468" i="15"/>
  <c r="AH1463" i="15"/>
  <c r="AF1464" i="15"/>
  <c r="AG1464" i="15"/>
  <c r="AH1464" i="15"/>
  <c r="AE1473" i="15"/>
  <c r="AE1474" i="15"/>
  <c r="AB1473" i="15"/>
  <c r="AB1474" i="15"/>
  <c r="AE1471" i="15"/>
  <c r="AE1472" i="15"/>
  <c r="AB1471" i="15"/>
  <c r="AB1472" i="15"/>
  <c r="AE1470" i="15"/>
  <c r="AB1470" i="15"/>
  <c r="AE1469" i="15"/>
  <c r="AB1469" i="15"/>
  <c r="AE1468" i="15"/>
  <c r="AB1468" i="15"/>
  <c r="AE1465" i="15"/>
  <c r="AE1466" i="15"/>
  <c r="AE1467" i="15"/>
  <c r="AB1465" i="15"/>
  <c r="AB1466" i="15"/>
  <c r="AB1467" i="15"/>
  <c r="AE1463" i="15"/>
  <c r="AE1464" i="15"/>
  <c r="AB1463" i="15"/>
  <c r="AB1464" i="15"/>
  <c r="Y1487" i="15"/>
  <c r="Y1488" i="15"/>
  <c r="Y1489" i="15"/>
  <c r="Y1490" i="15"/>
  <c r="Y1491" i="15"/>
  <c r="Y1492" i="15"/>
  <c r="W1486" i="15"/>
  <c r="X1486" i="15"/>
  <c r="Y1486" i="15"/>
  <c r="Y1484" i="15"/>
  <c r="Y1485" i="15"/>
  <c r="Y1483" i="15"/>
  <c r="Y1482" i="15"/>
  <c r="Y1481" i="15"/>
  <c r="Y1476" i="15"/>
  <c r="Y1477" i="15"/>
  <c r="Y1478" i="15"/>
  <c r="Y1479" i="15"/>
  <c r="Y1480" i="15"/>
  <c r="Y1475" i="15"/>
  <c r="Y1474" i="15"/>
  <c r="W1473" i="15"/>
  <c r="Y1473" i="15"/>
  <c r="W1469" i="15"/>
  <c r="X1469" i="15"/>
  <c r="Y1469" i="15"/>
  <c r="Y1470" i="15"/>
  <c r="Y1471" i="15"/>
  <c r="Y1472" i="15"/>
  <c r="Y1467" i="15"/>
  <c r="Y1468" i="15"/>
  <c r="Y1465" i="15"/>
  <c r="Y1466" i="15"/>
  <c r="Y1464" i="15"/>
  <c r="W1463" i="15"/>
  <c r="X1463" i="15"/>
  <c r="Y1463" i="15"/>
  <c r="V1487" i="15"/>
  <c r="V1488" i="15"/>
  <c r="V1489" i="15"/>
  <c r="V1490" i="15"/>
  <c r="V1491" i="15"/>
  <c r="V1492" i="15"/>
  <c r="T1486" i="15"/>
  <c r="U1486" i="15"/>
  <c r="V1486" i="15"/>
  <c r="V1484" i="15"/>
  <c r="V1485" i="15"/>
  <c r="V1483" i="15"/>
  <c r="V1482" i="15"/>
  <c r="V1481" i="15"/>
  <c r="V1476" i="15"/>
  <c r="V1477" i="15"/>
  <c r="V1478" i="15"/>
  <c r="V1479" i="15"/>
  <c r="V1480" i="15"/>
  <c r="V1475" i="15"/>
  <c r="T1474" i="15"/>
  <c r="V1474" i="15"/>
  <c r="T1473" i="15"/>
  <c r="V1473" i="15"/>
  <c r="T1469" i="15"/>
  <c r="U1469" i="15"/>
  <c r="V1469" i="15"/>
  <c r="T1470" i="15"/>
  <c r="U1470" i="15"/>
  <c r="V1470" i="15"/>
  <c r="T1471" i="15"/>
  <c r="U1471" i="15"/>
  <c r="V1471" i="15"/>
  <c r="T1472" i="15"/>
  <c r="U1472" i="15"/>
  <c r="V1472" i="15"/>
  <c r="V1467" i="15"/>
  <c r="V1468" i="15"/>
  <c r="V1465" i="15"/>
  <c r="V1466" i="15"/>
  <c r="V1464" i="15"/>
  <c r="T1463" i="15"/>
  <c r="U1463" i="15"/>
  <c r="V1463" i="15"/>
  <c r="S1472" i="15"/>
  <c r="S1473" i="15"/>
  <c r="S1474" i="15"/>
  <c r="S1475" i="15"/>
  <c r="Q1476" i="15"/>
  <c r="R1476" i="15"/>
  <c r="S1476" i="15"/>
  <c r="Q1477" i="15"/>
  <c r="R1477" i="15"/>
  <c r="S1477" i="15"/>
  <c r="P1472" i="15"/>
  <c r="P1473" i="15"/>
  <c r="P1474" i="15"/>
  <c r="P1475" i="15"/>
  <c r="N1476" i="15"/>
  <c r="O1476" i="15"/>
  <c r="P1476" i="15"/>
  <c r="N1477" i="15"/>
  <c r="O1477" i="15"/>
  <c r="P1477" i="15"/>
  <c r="S1468" i="15"/>
  <c r="S1469" i="15"/>
  <c r="S1470" i="15"/>
  <c r="S1471" i="15"/>
  <c r="P1468" i="15"/>
  <c r="P1469" i="15"/>
  <c r="P1470" i="15"/>
  <c r="P1471" i="15"/>
  <c r="S1463" i="15"/>
  <c r="S1464" i="15"/>
  <c r="S1465" i="15"/>
  <c r="S1466" i="15"/>
  <c r="S1467" i="15"/>
  <c r="P1463" i="15"/>
  <c r="P1464" i="15"/>
  <c r="P1465" i="15"/>
  <c r="P1466" i="15"/>
  <c r="P1467" i="15"/>
  <c r="M1467" i="15"/>
  <c r="M1468" i="15"/>
  <c r="M1469" i="15"/>
  <c r="M1470" i="15"/>
  <c r="M1471" i="15"/>
  <c r="M1472" i="15"/>
  <c r="J1467" i="15"/>
  <c r="J1468" i="15"/>
  <c r="J1469" i="15"/>
  <c r="J1470" i="15"/>
  <c r="J1471" i="15"/>
  <c r="J1472" i="15"/>
  <c r="M1463" i="15"/>
  <c r="M1464" i="15"/>
  <c r="M1465" i="15"/>
  <c r="M1466" i="15"/>
  <c r="J1463" i="15"/>
  <c r="J1464" i="15"/>
  <c r="J1465" i="15"/>
  <c r="J1466" i="15"/>
  <c r="G1467" i="15"/>
  <c r="G1468" i="15"/>
  <c r="G1469" i="15"/>
  <c r="G1470" i="15"/>
  <c r="E1471" i="15"/>
  <c r="F1471" i="15"/>
  <c r="G1471" i="15"/>
  <c r="E1472" i="15"/>
  <c r="F1472" i="15"/>
  <c r="G1472" i="15"/>
  <c r="D1467" i="15"/>
  <c r="D1468" i="15"/>
  <c r="D1469" i="15"/>
  <c r="D1470" i="15"/>
  <c r="B1471" i="15"/>
  <c r="C1471" i="15"/>
  <c r="D1471" i="15"/>
  <c r="B1472" i="15"/>
  <c r="C1472" i="15"/>
  <c r="D1472" i="15"/>
  <c r="G1463" i="15"/>
  <c r="G1464" i="15"/>
  <c r="G1465" i="15"/>
  <c r="G1466" i="15"/>
  <c r="D1463" i="15"/>
  <c r="D1464" i="15"/>
  <c r="D1465" i="15"/>
  <c r="D1466" i="15"/>
  <c r="AI1453" i="15"/>
  <c r="AJ1453" i="15"/>
  <c r="AK1453" i="15"/>
  <c r="AI1454" i="15"/>
  <c r="AJ1454" i="15"/>
  <c r="AK1454" i="15"/>
  <c r="AF1453" i="15"/>
  <c r="AG1453" i="15"/>
  <c r="AH1453" i="15"/>
  <c r="AF1454" i="15"/>
  <c r="AG1454" i="15"/>
  <c r="AH1454" i="15"/>
  <c r="AI1451" i="15"/>
  <c r="AJ1451" i="15"/>
  <c r="AK1451" i="15"/>
  <c r="AI1452" i="15"/>
  <c r="AJ1452" i="15"/>
  <c r="AK1452" i="15"/>
  <c r="AF1451" i="15"/>
  <c r="AG1451" i="15"/>
  <c r="AH1451" i="15"/>
  <c r="AF1452" i="15"/>
  <c r="AG1452" i="15"/>
  <c r="AH1452" i="15"/>
  <c r="AI1449" i="15"/>
  <c r="AJ1449" i="15"/>
  <c r="AK1449" i="15"/>
  <c r="AI1450" i="15"/>
  <c r="AJ1450" i="15"/>
  <c r="AK1450" i="15"/>
  <c r="AF1449" i="15"/>
  <c r="AG1449" i="15"/>
  <c r="AH1449" i="15"/>
  <c r="AF1450" i="15"/>
  <c r="AG1450" i="15"/>
  <c r="AH1450" i="15"/>
  <c r="AI1448" i="15"/>
  <c r="AJ1448" i="15"/>
  <c r="AK1448" i="15"/>
  <c r="AF1448" i="15"/>
  <c r="AG1448" i="15"/>
  <c r="AH1448" i="15"/>
  <c r="AI1447" i="15"/>
  <c r="AJ1447" i="15"/>
  <c r="AK1447" i="15"/>
  <c r="AF1447" i="15"/>
  <c r="AG1447" i="15"/>
  <c r="AH1447" i="15"/>
  <c r="AI1446" i="15"/>
  <c r="AJ1446" i="15"/>
  <c r="AK1446" i="15"/>
  <c r="AF1446" i="15"/>
  <c r="AG1446" i="15"/>
  <c r="AH1446" i="15"/>
  <c r="AI1445" i="15"/>
  <c r="AK1445" i="15"/>
  <c r="AF1445" i="15"/>
  <c r="AH1445" i="15"/>
  <c r="AI1443" i="15"/>
  <c r="AJ1443" i="15"/>
  <c r="AK1443" i="15"/>
  <c r="AI1444" i="15"/>
  <c r="AJ1444" i="15"/>
  <c r="AK1444" i="15"/>
  <c r="AF1443" i="15"/>
  <c r="AG1443" i="15"/>
  <c r="AH1443" i="15"/>
  <c r="AF1444" i="15"/>
  <c r="AG1444" i="15"/>
  <c r="AH1444" i="15"/>
  <c r="AI1441" i="15"/>
  <c r="AK1441" i="15"/>
  <c r="AI1442" i="15"/>
  <c r="AK1442" i="15"/>
  <c r="AF1441" i="15"/>
  <c r="AH1441" i="15"/>
  <c r="AF1442" i="15"/>
  <c r="AH1442" i="15"/>
  <c r="AI1439" i="15"/>
  <c r="AJ1439" i="15"/>
  <c r="AK1439" i="15"/>
  <c r="AI1440" i="15"/>
  <c r="AJ1440" i="15"/>
  <c r="AK1440" i="15"/>
  <c r="AF1439" i="15"/>
  <c r="AG1439" i="15"/>
  <c r="AH1439" i="15"/>
  <c r="AF1440" i="15"/>
  <c r="AG1440" i="15"/>
  <c r="AH1440" i="15"/>
  <c r="AK1438" i="15"/>
  <c r="AH1438" i="15"/>
  <c r="AI1437" i="15"/>
  <c r="AJ1437" i="15"/>
  <c r="AK1437" i="15"/>
  <c r="AF1437" i="15"/>
  <c r="AG1437" i="15"/>
  <c r="AH1437" i="15"/>
  <c r="AC1448" i="15"/>
  <c r="AD1448" i="15"/>
  <c r="AE1448" i="15"/>
  <c r="AC1449" i="15"/>
  <c r="AD1449" i="15"/>
  <c r="AE1449" i="15"/>
  <c r="AC1450" i="15"/>
  <c r="AD1450" i="15"/>
  <c r="AE1450" i="15"/>
  <c r="AE1451" i="15"/>
  <c r="Z1448" i="15"/>
  <c r="AA1448" i="15"/>
  <c r="AB1448" i="15"/>
  <c r="Z1449" i="15"/>
  <c r="AA1449" i="15"/>
  <c r="AB1449" i="15"/>
  <c r="Z1450" i="15"/>
  <c r="AA1450" i="15"/>
  <c r="AB1450" i="15"/>
  <c r="AB1451" i="15"/>
  <c r="AC1446" i="15"/>
  <c r="AD1446" i="15"/>
  <c r="AE1446" i="15"/>
  <c r="AC1447" i="15"/>
  <c r="AD1447" i="15"/>
  <c r="AE1447" i="15"/>
  <c r="Z1446" i="15"/>
  <c r="AA1446" i="15"/>
  <c r="AB1446" i="15"/>
  <c r="Z1447" i="15"/>
  <c r="AA1447" i="15"/>
  <c r="AB1447" i="15"/>
  <c r="AC1442" i="15"/>
  <c r="AD1442" i="15"/>
  <c r="AE1442" i="15"/>
  <c r="AC1443" i="15"/>
  <c r="AD1443" i="15"/>
  <c r="AE1443" i="15"/>
  <c r="AC1444" i="15"/>
  <c r="AE1444" i="15"/>
  <c r="AC1445" i="15"/>
  <c r="AE1445" i="15"/>
  <c r="Z1442" i="15"/>
  <c r="AA1442" i="15"/>
  <c r="AB1442" i="15"/>
  <c r="Z1443" i="15"/>
  <c r="AA1443" i="15"/>
  <c r="AB1443" i="15"/>
  <c r="Z1444" i="15"/>
  <c r="AB1444" i="15"/>
  <c r="Z1445" i="15"/>
  <c r="AB1445" i="15"/>
  <c r="AE1441" i="15"/>
  <c r="AB1441" i="15"/>
  <c r="AC1440" i="15"/>
  <c r="AE1440" i="15"/>
  <c r="Z1440" i="15"/>
  <c r="AB1440" i="15"/>
  <c r="AC1438" i="15"/>
  <c r="AE1438" i="15"/>
  <c r="AC1439" i="15"/>
  <c r="AE1439" i="15"/>
  <c r="Z1438" i="15"/>
  <c r="AB1438" i="15"/>
  <c r="Z1439" i="15"/>
  <c r="AB1439" i="15"/>
  <c r="AC1437" i="15"/>
  <c r="AE1437" i="15"/>
  <c r="Z1437" i="15"/>
  <c r="AB1437" i="15"/>
  <c r="W1456" i="15"/>
  <c r="X1456" i="15"/>
  <c r="Y1456" i="15"/>
  <c r="W1457" i="15"/>
  <c r="X1457" i="15"/>
  <c r="Y1457" i="15"/>
  <c r="W1458" i="15"/>
  <c r="X1458" i="15"/>
  <c r="Y1458" i="15"/>
  <c r="Y1459" i="15"/>
  <c r="T1456" i="15"/>
  <c r="U1456" i="15"/>
  <c r="V1456" i="15"/>
  <c r="T1457" i="15"/>
  <c r="U1457" i="15"/>
  <c r="V1457" i="15"/>
  <c r="T1458" i="15"/>
  <c r="U1458" i="15"/>
  <c r="V1458" i="15"/>
  <c r="V1459" i="15"/>
  <c r="W1454" i="15"/>
  <c r="X1454" i="15"/>
  <c r="Y1454" i="15"/>
  <c r="W1455" i="15"/>
  <c r="X1455" i="15"/>
  <c r="Y1455" i="15"/>
  <c r="T1454" i="15"/>
  <c r="U1454" i="15"/>
  <c r="V1454" i="15"/>
  <c r="T1455" i="15"/>
  <c r="U1455" i="15"/>
  <c r="V1455" i="15"/>
  <c r="W1450" i="15"/>
  <c r="X1450" i="15"/>
  <c r="Y1450" i="15"/>
  <c r="W1451" i="15"/>
  <c r="X1451" i="15"/>
  <c r="Y1451" i="15"/>
  <c r="W1452" i="15"/>
  <c r="Y1452" i="15"/>
  <c r="W1453" i="15"/>
  <c r="Y1453" i="15"/>
  <c r="T1450" i="15"/>
  <c r="U1450" i="15"/>
  <c r="V1450" i="15"/>
  <c r="T1451" i="15"/>
  <c r="U1451" i="15"/>
  <c r="V1451" i="15"/>
  <c r="T1452" i="15"/>
  <c r="V1452" i="15"/>
  <c r="T1453" i="15"/>
  <c r="V1453" i="15"/>
  <c r="W1449" i="15"/>
  <c r="Y1449" i="15"/>
  <c r="T1449" i="15"/>
  <c r="V1449" i="15"/>
  <c r="W1448" i="15"/>
  <c r="Y1448" i="15"/>
  <c r="T1448" i="15"/>
  <c r="V1448" i="15"/>
  <c r="Y1445" i="15"/>
  <c r="Y1446" i="15"/>
  <c r="Y1447" i="15"/>
  <c r="V1445" i="15"/>
  <c r="V1446" i="15"/>
  <c r="V1447" i="15"/>
  <c r="Y1444" i="15"/>
  <c r="V1444" i="15"/>
  <c r="W1442" i="15"/>
  <c r="Y1442" i="15"/>
  <c r="W1443" i="15"/>
  <c r="Y1443" i="15"/>
  <c r="T1442" i="15"/>
  <c r="V1442" i="15"/>
  <c r="T1443" i="15"/>
  <c r="V1443" i="15"/>
  <c r="Y1441" i="15"/>
  <c r="V1441" i="15"/>
  <c r="W1439" i="15"/>
  <c r="Y1439" i="15"/>
  <c r="W1440" i="15"/>
  <c r="Y1440" i="15"/>
  <c r="T1439" i="15"/>
  <c r="V1439" i="15"/>
  <c r="T1440" i="15"/>
  <c r="V1440" i="15"/>
  <c r="Y1438" i="15"/>
  <c r="V1438" i="15"/>
  <c r="W1437" i="15"/>
  <c r="Y1437" i="15"/>
  <c r="T1437" i="15"/>
  <c r="V1437" i="15"/>
  <c r="Q1444" i="15"/>
  <c r="R1444" i="15"/>
  <c r="S1444" i="15"/>
  <c r="Q1445" i="15"/>
  <c r="R1445" i="15"/>
  <c r="S1445" i="15"/>
  <c r="N1444" i="15"/>
  <c r="O1444" i="15"/>
  <c r="P1444" i="15"/>
  <c r="N1445" i="15"/>
  <c r="O1445" i="15"/>
  <c r="P1445" i="15"/>
  <c r="S1442" i="15"/>
  <c r="S1443" i="15"/>
  <c r="P1442" i="15"/>
  <c r="P1443" i="15"/>
  <c r="S1441" i="15"/>
  <c r="P1441" i="15"/>
  <c r="Q1439" i="15"/>
  <c r="S1439" i="15"/>
  <c r="Q1440" i="15"/>
  <c r="S1440" i="15"/>
  <c r="N1439" i="15"/>
  <c r="P1439" i="15"/>
  <c r="N1440" i="15"/>
  <c r="P1440" i="15"/>
  <c r="S1437" i="15"/>
  <c r="S1438" i="15"/>
  <c r="P1437" i="15"/>
  <c r="P1438" i="15"/>
  <c r="K1442" i="15"/>
  <c r="L1442" i="15"/>
  <c r="M1442" i="15"/>
  <c r="K1443" i="15"/>
  <c r="L1443" i="15"/>
  <c r="M1443" i="15"/>
  <c r="H1442" i="15"/>
  <c r="I1442" i="15"/>
  <c r="J1442" i="15"/>
  <c r="H1443" i="15"/>
  <c r="I1443" i="15"/>
  <c r="J1443" i="15"/>
  <c r="M1440" i="15"/>
  <c r="M1441" i="15"/>
  <c r="J1440" i="15"/>
  <c r="J1441" i="15"/>
  <c r="M1439" i="15"/>
  <c r="J1439" i="15"/>
  <c r="M1437" i="15"/>
  <c r="M1438" i="15"/>
  <c r="J1437" i="15"/>
  <c r="J1438" i="15"/>
  <c r="E1442" i="15"/>
  <c r="F1442" i="15"/>
  <c r="G1442" i="15"/>
  <c r="E1443" i="15"/>
  <c r="F1443" i="15"/>
  <c r="G1443" i="15"/>
  <c r="B1442" i="15"/>
  <c r="C1442" i="15"/>
  <c r="D1442" i="15"/>
  <c r="B1443" i="15"/>
  <c r="C1443" i="15"/>
  <c r="D1443" i="15"/>
  <c r="G1440" i="15"/>
  <c r="G1441" i="15"/>
  <c r="D1440" i="15"/>
  <c r="D1441" i="15"/>
  <c r="G1439" i="15"/>
  <c r="D1439" i="15"/>
  <c r="G1437" i="15"/>
  <c r="G1438" i="15"/>
  <c r="D1437" i="15"/>
  <c r="D1438" i="15"/>
  <c r="E1365" i="15"/>
  <c r="F1365" i="15"/>
  <c r="G1365" i="15"/>
  <c r="B1365" i="15"/>
  <c r="D1365" i="15"/>
  <c r="G1362" i="15"/>
  <c r="F1363" i="15"/>
  <c r="G1363" i="15"/>
  <c r="F1364" i="15"/>
  <c r="G1364" i="15"/>
  <c r="D1362" i="15"/>
  <c r="C1363" i="15"/>
  <c r="D1363" i="15"/>
  <c r="C1364" i="15"/>
  <c r="D1364" i="15"/>
  <c r="G1360" i="15"/>
  <c r="G1361" i="15"/>
  <c r="D1360" i="15"/>
  <c r="D1361" i="15"/>
  <c r="G1354" i="15"/>
  <c r="G1355" i="15"/>
  <c r="G1356" i="15"/>
  <c r="G1357" i="15"/>
  <c r="G1358" i="15"/>
  <c r="G1359" i="15"/>
  <c r="D1354" i="15"/>
  <c r="D1355" i="15"/>
  <c r="D1356" i="15"/>
  <c r="D1357" i="15"/>
  <c r="D1358" i="15"/>
  <c r="D1359" i="15"/>
  <c r="G1353" i="15"/>
  <c r="D1353" i="15"/>
  <c r="G1352" i="15"/>
  <c r="D1352" i="15"/>
  <c r="K1365" i="15"/>
  <c r="L1365" i="15"/>
  <c r="M1365" i="15"/>
  <c r="H1365" i="15"/>
  <c r="I1365" i="15"/>
  <c r="J1365" i="15"/>
  <c r="M1362" i="15"/>
  <c r="L1363" i="15"/>
  <c r="M1363" i="15"/>
  <c r="L1364" i="15"/>
  <c r="M1364" i="15"/>
  <c r="J1362" i="15"/>
  <c r="I1363" i="15"/>
  <c r="J1363" i="15"/>
  <c r="I1364" i="15"/>
  <c r="J1364" i="15"/>
  <c r="M1360" i="15"/>
  <c r="M1361" i="15"/>
  <c r="J1360" i="15"/>
  <c r="J1361" i="15"/>
  <c r="M1354" i="15"/>
  <c r="M1355" i="15"/>
  <c r="M1356" i="15"/>
  <c r="M1357" i="15"/>
  <c r="M1358" i="15"/>
  <c r="M1359" i="15"/>
  <c r="J1354" i="15"/>
  <c r="J1355" i="15"/>
  <c r="J1356" i="15"/>
  <c r="J1357" i="15"/>
  <c r="J1358" i="15"/>
  <c r="J1359" i="15"/>
  <c r="M1353" i="15"/>
  <c r="J1353" i="15"/>
  <c r="M1352" i="15"/>
  <c r="J1352" i="15"/>
  <c r="Q1375" i="15"/>
  <c r="R1375" i="15"/>
  <c r="S1375" i="15"/>
  <c r="S1372" i="15"/>
  <c r="R1373" i="15"/>
  <c r="S1373" i="15"/>
  <c r="R1374" i="15"/>
  <c r="S1374" i="15"/>
  <c r="S1370" i="15"/>
  <c r="S1371" i="15"/>
  <c r="S1364" i="15"/>
  <c r="S1365" i="15"/>
  <c r="S1366" i="15"/>
  <c r="S1367" i="15"/>
  <c r="S1368" i="15"/>
  <c r="S1369" i="15"/>
  <c r="S1360" i="15"/>
  <c r="S1361" i="15"/>
  <c r="S1362" i="15"/>
  <c r="S1363" i="15"/>
  <c r="Q1355" i="15"/>
  <c r="S1355" i="15"/>
  <c r="Q1356" i="15"/>
  <c r="S1356" i="15"/>
  <c r="Q1357" i="15"/>
  <c r="S1357" i="15"/>
  <c r="Q1358" i="15"/>
  <c r="S1358" i="15"/>
  <c r="Q1359" i="15"/>
  <c r="S1359" i="15"/>
  <c r="S1354" i="15"/>
  <c r="S1353" i="15"/>
  <c r="Q1352" i="15"/>
  <c r="R1352" i="15"/>
  <c r="S1352" i="15"/>
  <c r="N1375" i="15"/>
  <c r="O1375" i="15"/>
  <c r="P1375" i="15"/>
  <c r="P1372" i="15"/>
  <c r="O1373" i="15"/>
  <c r="P1373" i="15"/>
  <c r="O1374" i="15"/>
  <c r="P1374" i="15"/>
  <c r="P1370" i="15"/>
  <c r="P1371" i="15"/>
  <c r="P1364" i="15"/>
  <c r="P1365" i="15"/>
  <c r="P1366" i="15"/>
  <c r="P1367" i="15"/>
  <c r="P1368" i="15"/>
  <c r="P1369" i="15"/>
  <c r="P1360" i="15"/>
  <c r="P1361" i="15"/>
  <c r="P1362" i="15"/>
  <c r="P1363" i="15"/>
  <c r="N1355" i="15"/>
  <c r="P1355" i="15"/>
  <c r="N1356" i="15"/>
  <c r="P1356" i="15"/>
  <c r="N1357" i="15"/>
  <c r="P1357" i="15"/>
  <c r="N1358" i="15"/>
  <c r="P1358" i="15"/>
  <c r="N1359" i="15"/>
  <c r="P1359" i="15"/>
  <c r="P1354" i="15"/>
  <c r="P1353" i="15"/>
  <c r="N1352" i="15"/>
  <c r="O1352" i="15"/>
  <c r="P1352" i="15"/>
  <c r="Y1410" i="15"/>
  <c r="Y1411" i="15"/>
  <c r="Y1404" i="15"/>
  <c r="Y1405" i="15"/>
  <c r="Y1406" i="15"/>
  <c r="Y1407" i="15"/>
  <c r="Y1408" i="15"/>
  <c r="Y1409" i="15"/>
  <c r="W1403" i="15"/>
  <c r="Y1403" i="15"/>
  <c r="W1402" i="15"/>
  <c r="Y1402" i="15"/>
  <c r="W1400" i="15"/>
  <c r="Y1400" i="15"/>
  <c r="W1401" i="15"/>
  <c r="Y1401" i="15"/>
  <c r="W1399" i="15"/>
  <c r="Y1399" i="15"/>
  <c r="W1398" i="15"/>
  <c r="Y1398" i="15"/>
  <c r="W1397" i="15"/>
  <c r="Y1397" i="15"/>
  <c r="W1396" i="15"/>
  <c r="Y1396" i="15"/>
  <c r="Y1395" i="15"/>
  <c r="Y1377" i="15"/>
  <c r="Y1378" i="15"/>
  <c r="Y1379" i="15"/>
  <c r="Y1380" i="15"/>
  <c r="Y1381" i="15"/>
  <c r="Y1382" i="15"/>
  <c r="Y1383" i="15"/>
  <c r="Y1384" i="15"/>
  <c r="Y1385" i="15"/>
  <c r="Y1386" i="15"/>
  <c r="Y1387" i="15"/>
  <c r="Y1388" i="15"/>
  <c r="Y1389" i="15"/>
  <c r="Y1390" i="15"/>
  <c r="Y1391" i="15"/>
  <c r="Y1392" i="15"/>
  <c r="Y1393" i="15"/>
  <c r="Y1394" i="15"/>
  <c r="Y1372" i="15"/>
  <c r="Y1373" i="15"/>
  <c r="Y1374" i="15"/>
  <c r="Y1375" i="15"/>
  <c r="Y1376" i="15"/>
  <c r="Y1371" i="15"/>
  <c r="W1366" i="15"/>
  <c r="Y1366" i="15"/>
  <c r="W1367" i="15"/>
  <c r="Y1367" i="15"/>
  <c r="W1368" i="15"/>
  <c r="Y1368" i="15"/>
  <c r="W1369" i="15"/>
  <c r="Y1369" i="15"/>
  <c r="W1370" i="15"/>
  <c r="Y1370" i="15"/>
  <c r="Y1365" i="15"/>
  <c r="Y1364" i="15"/>
  <c r="Y1363" i="15"/>
  <c r="Y1362" i="15"/>
  <c r="Y1361" i="15"/>
  <c r="Y1360" i="15"/>
  <c r="Y1359" i="15"/>
  <c r="Y1358" i="15"/>
  <c r="Y1355" i="15"/>
  <c r="Y1356" i="15"/>
  <c r="Y1357" i="15"/>
  <c r="W1354" i="15"/>
  <c r="X1354" i="15"/>
  <c r="Y1354" i="15"/>
  <c r="Y1352" i="15"/>
  <c r="Y1353" i="15"/>
  <c r="V1410" i="15"/>
  <c r="V1411" i="15"/>
  <c r="V1404" i="15"/>
  <c r="V1405" i="15"/>
  <c r="V1406" i="15"/>
  <c r="V1407" i="15"/>
  <c r="V1408" i="15"/>
  <c r="V1409" i="15"/>
  <c r="T1403" i="15"/>
  <c r="V1403" i="15"/>
  <c r="T1402" i="15"/>
  <c r="V1402" i="15"/>
  <c r="T1400" i="15"/>
  <c r="V1400" i="15"/>
  <c r="T1401" i="15"/>
  <c r="V1401" i="15"/>
  <c r="T1399" i="15"/>
  <c r="V1399" i="15"/>
  <c r="T1398" i="15"/>
  <c r="V1398" i="15"/>
  <c r="T1397" i="15"/>
  <c r="V1397" i="15"/>
  <c r="T1396" i="15"/>
  <c r="V1396" i="15"/>
  <c r="V1395" i="15"/>
  <c r="V1377" i="15"/>
  <c r="V1378" i="15"/>
  <c r="V1379" i="15"/>
  <c r="V1380" i="15"/>
  <c r="V1381" i="15"/>
  <c r="V1382" i="15"/>
  <c r="V1383" i="15"/>
  <c r="V1384" i="15"/>
  <c r="V1385" i="15"/>
  <c r="V1386" i="15"/>
  <c r="V1387" i="15"/>
  <c r="V1388" i="15"/>
  <c r="V1389" i="15"/>
  <c r="V1390" i="15"/>
  <c r="V1391" i="15"/>
  <c r="V1392" i="15"/>
  <c r="V1393" i="15"/>
  <c r="V1394" i="15"/>
  <c r="V1372" i="15"/>
  <c r="V1373" i="15"/>
  <c r="V1374" i="15"/>
  <c r="V1375" i="15"/>
  <c r="V1376" i="15"/>
  <c r="V1371" i="15"/>
  <c r="T1366" i="15"/>
  <c r="V1366" i="15"/>
  <c r="T1367" i="15"/>
  <c r="V1367" i="15"/>
  <c r="T1368" i="15"/>
  <c r="V1368" i="15"/>
  <c r="T1369" i="15"/>
  <c r="V1369" i="15"/>
  <c r="T1370" i="15"/>
  <c r="V1370" i="15"/>
  <c r="V1365" i="15"/>
  <c r="V1364" i="15"/>
  <c r="V1363" i="15"/>
  <c r="V1362" i="15"/>
  <c r="V1361" i="15"/>
  <c r="V1360" i="15"/>
  <c r="V1359" i="15"/>
  <c r="V1358" i="15"/>
  <c r="V1355" i="15"/>
  <c r="V1356" i="15"/>
  <c r="V1357" i="15"/>
  <c r="T1354" i="15"/>
  <c r="U1354" i="15"/>
  <c r="V1354" i="15"/>
  <c r="V1352" i="15"/>
  <c r="V1353" i="15"/>
  <c r="AE1387" i="15"/>
  <c r="AE1384" i="15"/>
  <c r="AE1385" i="15"/>
  <c r="AE1386" i="15"/>
  <c r="AE1378" i="15"/>
  <c r="AE1379" i="15"/>
  <c r="AE1380" i="15"/>
  <c r="AE1381" i="15"/>
  <c r="AE1382" i="15"/>
  <c r="AE1383" i="15"/>
  <c r="AE1377" i="15"/>
  <c r="AE1375" i="15"/>
  <c r="AE1376" i="15"/>
  <c r="AE1373" i="15"/>
  <c r="AE1374" i="15"/>
  <c r="AE1372" i="15"/>
  <c r="AC1367" i="15"/>
  <c r="AE1367" i="15"/>
  <c r="AC1368" i="15"/>
  <c r="AE1368" i="15"/>
  <c r="AC1369" i="15"/>
  <c r="AE1369" i="15"/>
  <c r="AC1370" i="15"/>
  <c r="AE1370" i="15"/>
  <c r="AC1371" i="15"/>
  <c r="AE1371" i="15"/>
  <c r="AE1366" i="15"/>
  <c r="AE1365" i="15"/>
  <c r="AE1364" i="15"/>
  <c r="AE1363" i="15"/>
  <c r="AE1362" i="15"/>
  <c r="AE1361" i="15"/>
  <c r="AE1354" i="15"/>
  <c r="AE1355" i="15"/>
  <c r="AE1356" i="15"/>
  <c r="AE1357" i="15"/>
  <c r="AE1358" i="15"/>
  <c r="AE1359" i="15"/>
  <c r="AE1360" i="15"/>
  <c r="AE1353" i="15"/>
  <c r="AE1352" i="15"/>
  <c r="AB1387" i="15"/>
  <c r="AB1384" i="15"/>
  <c r="AB1385" i="15"/>
  <c r="AB1386" i="15"/>
  <c r="AB1378" i="15"/>
  <c r="AB1379" i="15"/>
  <c r="AB1380" i="15"/>
  <c r="AB1381" i="15"/>
  <c r="AB1382" i="15"/>
  <c r="AB1383" i="15"/>
  <c r="AB1377" i="15"/>
  <c r="AB1375" i="15"/>
  <c r="AB1376" i="15"/>
  <c r="AB1373" i="15"/>
  <c r="AB1374" i="15"/>
  <c r="AB1372" i="15"/>
  <c r="Z1367" i="15"/>
  <c r="AB1367" i="15"/>
  <c r="Z1368" i="15"/>
  <c r="AB1368" i="15"/>
  <c r="Z1369" i="15"/>
  <c r="AB1369" i="15"/>
  <c r="Z1370" i="15"/>
  <c r="AB1370" i="15"/>
  <c r="Z1371" i="15"/>
  <c r="AB1371" i="15"/>
  <c r="AB1366" i="15"/>
  <c r="AB1365" i="15"/>
  <c r="AB1364" i="15"/>
  <c r="AB1363" i="15"/>
  <c r="AB1362" i="15"/>
  <c r="AB1361" i="15"/>
  <c r="AB1354" i="15"/>
  <c r="AB1355" i="15"/>
  <c r="AB1356" i="15"/>
  <c r="AB1357" i="15"/>
  <c r="AB1358" i="15"/>
  <c r="AB1359" i="15"/>
  <c r="AB1360" i="15"/>
  <c r="AB1353" i="15"/>
  <c r="AB1352" i="15"/>
  <c r="AI1431" i="15"/>
  <c r="AK1431" i="15"/>
  <c r="AI1432" i="15"/>
  <c r="AJ1432" i="15"/>
  <c r="AK1432" i="15"/>
  <c r="AI1433" i="15"/>
  <c r="AJ1433" i="15"/>
  <c r="AK1433" i="15"/>
  <c r="AI1429" i="15"/>
  <c r="AJ1429" i="15"/>
  <c r="AK1429" i="15"/>
  <c r="AI1430" i="15"/>
  <c r="AJ1430" i="15"/>
  <c r="AK1430" i="15"/>
  <c r="AI1423" i="15"/>
  <c r="AJ1423" i="15"/>
  <c r="AK1423" i="15"/>
  <c r="AI1424" i="15"/>
  <c r="AJ1424" i="15"/>
  <c r="AK1424" i="15"/>
  <c r="AI1425" i="15"/>
  <c r="AJ1425" i="15"/>
  <c r="AK1425" i="15"/>
  <c r="AI1426" i="15"/>
  <c r="AJ1426" i="15"/>
  <c r="AK1426" i="15"/>
  <c r="AI1427" i="15"/>
  <c r="AJ1427" i="15"/>
  <c r="AK1427" i="15"/>
  <c r="AI1428" i="15"/>
  <c r="AJ1428" i="15"/>
  <c r="AK1428" i="15"/>
  <c r="AI1422" i="15"/>
  <c r="AJ1422" i="15"/>
  <c r="AK1422" i="15"/>
  <c r="AI1421" i="15"/>
  <c r="AJ1421" i="15"/>
  <c r="AK1421" i="15"/>
  <c r="AI1419" i="15"/>
  <c r="AJ1419" i="15"/>
  <c r="AK1419" i="15"/>
  <c r="AI1420" i="15"/>
  <c r="AJ1420" i="15"/>
  <c r="AK1420" i="15"/>
  <c r="AI1418" i="15"/>
  <c r="AJ1418" i="15"/>
  <c r="AK1418" i="15"/>
  <c r="AI1417" i="15"/>
  <c r="AJ1417" i="15"/>
  <c r="AK1417" i="15"/>
  <c r="AI1416" i="15"/>
  <c r="AJ1416" i="15"/>
  <c r="AK1416" i="15"/>
  <c r="AI1415" i="15"/>
  <c r="AJ1415" i="15"/>
  <c r="AK1415" i="15"/>
  <c r="AI1410" i="15"/>
  <c r="AK1410" i="15"/>
  <c r="AI1411" i="15"/>
  <c r="AK1411" i="15"/>
  <c r="AI1412" i="15"/>
  <c r="AK1412" i="15"/>
  <c r="AI1413" i="15"/>
  <c r="AK1413" i="15"/>
  <c r="AI1414" i="15"/>
  <c r="AK1414" i="15"/>
  <c r="AI1405" i="15"/>
  <c r="AK1405" i="15"/>
  <c r="AI1406" i="15"/>
  <c r="AK1406" i="15"/>
  <c r="AI1407" i="15"/>
  <c r="AK1407" i="15"/>
  <c r="AI1408" i="15"/>
  <c r="AK1408" i="15"/>
  <c r="AI1409" i="15"/>
  <c r="AK1409" i="15"/>
  <c r="AI1404" i="15"/>
  <c r="AJ1404" i="15"/>
  <c r="AK1404" i="15"/>
  <c r="AI1402" i="15"/>
  <c r="AK1402" i="15"/>
  <c r="AI1403" i="15"/>
  <c r="AK1403" i="15"/>
  <c r="AI1384" i="15"/>
  <c r="AJ1384" i="15"/>
  <c r="AK1384" i="15"/>
  <c r="AI1385" i="15"/>
  <c r="AJ1385" i="15"/>
  <c r="AK1385" i="15"/>
  <c r="AI1386" i="15"/>
  <c r="AJ1386" i="15"/>
  <c r="AK1386" i="15"/>
  <c r="AI1387" i="15"/>
  <c r="AJ1387" i="15"/>
  <c r="AK1387" i="15"/>
  <c r="AI1388" i="15"/>
  <c r="AJ1388" i="15"/>
  <c r="AK1388" i="15"/>
  <c r="AI1389" i="15"/>
  <c r="AJ1389" i="15"/>
  <c r="AK1389" i="15"/>
  <c r="AK1390" i="15"/>
  <c r="AK1391" i="15"/>
  <c r="AK1392" i="15"/>
  <c r="AK1393" i="15"/>
  <c r="AK1394" i="15"/>
  <c r="AK1395" i="15"/>
  <c r="AK1396" i="15"/>
  <c r="AK1397" i="15"/>
  <c r="AK1398" i="15"/>
  <c r="AK1399" i="15"/>
  <c r="AK1400" i="15"/>
  <c r="AK1401" i="15"/>
  <c r="AI1379" i="15"/>
  <c r="AK1379" i="15"/>
  <c r="AI1380" i="15"/>
  <c r="AJ1380" i="15"/>
  <c r="AK1380" i="15"/>
  <c r="AI1381" i="15"/>
  <c r="AJ1381" i="15"/>
  <c r="AK1381" i="15"/>
  <c r="AI1382" i="15"/>
  <c r="AJ1382" i="15"/>
  <c r="AK1382" i="15"/>
  <c r="AI1383" i="15"/>
  <c r="AJ1383" i="15"/>
  <c r="AK1383" i="15"/>
  <c r="AK1378" i="15"/>
  <c r="AI1373" i="15"/>
  <c r="AJ1373" i="15"/>
  <c r="AK1373" i="15"/>
  <c r="AI1374" i="15"/>
  <c r="AJ1374" i="15"/>
  <c r="AK1374" i="15"/>
  <c r="AI1375" i="15"/>
  <c r="AJ1375" i="15"/>
  <c r="AK1375" i="15"/>
  <c r="AI1376" i="15"/>
  <c r="AJ1376" i="15"/>
  <c r="AK1376" i="15"/>
  <c r="AI1377" i="15"/>
  <c r="AJ1377" i="15"/>
  <c r="AK1377" i="15"/>
  <c r="AI1372" i="15"/>
  <c r="AK1372" i="15"/>
  <c r="AI1371" i="15"/>
  <c r="AK1371" i="15"/>
  <c r="AI1370" i="15"/>
  <c r="AJ1370" i="15"/>
  <c r="AK1370" i="15"/>
  <c r="AI1369" i="15"/>
  <c r="AJ1369" i="15"/>
  <c r="AK1369" i="15"/>
  <c r="AI1368" i="15"/>
  <c r="AJ1368" i="15"/>
  <c r="AK1368" i="15"/>
  <c r="AI1367" i="15"/>
  <c r="AJ1367" i="15"/>
  <c r="AK1367" i="15"/>
  <c r="AI1360" i="15"/>
  <c r="AJ1360" i="15"/>
  <c r="AK1360" i="15"/>
  <c r="AI1361" i="15"/>
  <c r="AJ1361" i="15"/>
  <c r="AK1361" i="15"/>
  <c r="AI1362" i="15"/>
  <c r="AJ1362" i="15"/>
  <c r="AK1362" i="15"/>
  <c r="AI1363" i="15"/>
  <c r="AJ1363" i="15"/>
  <c r="AK1363" i="15"/>
  <c r="AI1364" i="15"/>
  <c r="AJ1364" i="15"/>
  <c r="AK1364" i="15"/>
  <c r="AI1365" i="15"/>
  <c r="AJ1365" i="15"/>
  <c r="AK1365" i="15"/>
  <c r="AI1366" i="15"/>
  <c r="AJ1366" i="15"/>
  <c r="AK1366" i="15"/>
  <c r="AI1359" i="15"/>
  <c r="AJ1359" i="15"/>
  <c r="AK1359" i="15"/>
  <c r="AI1358" i="15"/>
  <c r="AJ1358" i="15"/>
  <c r="AK1358" i="15"/>
  <c r="AI1355" i="15"/>
  <c r="AK1355" i="15"/>
  <c r="AI1356" i="15"/>
  <c r="AK1356" i="15"/>
  <c r="AI1357" i="15"/>
  <c r="AK1357" i="15"/>
  <c r="AI1354" i="15"/>
  <c r="AJ1354" i="15"/>
  <c r="AK1354" i="15"/>
  <c r="AI1352" i="15"/>
  <c r="AJ1352" i="15"/>
  <c r="AK1352" i="15"/>
  <c r="AI1353" i="15"/>
  <c r="AJ1353" i="15"/>
  <c r="AK1353" i="15"/>
  <c r="AF1431" i="15"/>
  <c r="AH1431" i="15"/>
  <c r="AF1432" i="15"/>
  <c r="AG1432" i="15"/>
  <c r="AH1432" i="15"/>
  <c r="AF1433" i="15"/>
  <c r="AG1433" i="15"/>
  <c r="AH1433" i="15"/>
  <c r="AF1429" i="15"/>
  <c r="AG1429" i="15"/>
  <c r="AH1429" i="15"/>
  <c r="AF1430" i="15"/>
  <c r="AG1430" i="15"/>
  <c r="AH1430" i="15"/>
  <c r="AF1423" i="15"/>
  <c r="AG1423" i="15"/>
  <c r="AH1423" i="15"/>
  <c r="AF1424" i="15"/>
  <c r="AG1424" i="15"/>
  <c r="AH1424" i="15"/>
  <c r="AF1425" i="15"/>
  <c r="AG1425" i="15"/>
  <c r="AH1425" i="15"/>
  <c r="AF1426" i="15"/>
  <c r="AG1426" i="15"/>
  <c r="AH1426" i="15"/>
  <c r="AF1427" i="15"/>
  <c r="AG1427" i="15"/>
  <c r="AH1427" i="15"/>
  <c r="AF1428" i="15"/>
  <c r="AG1428" i="15"/>
  <c r="AH1428" i="15"/>
  <c r="AF1422" i="15"/>
  <c r="AG1422" i="15"/>
  <c r="AH1422" i="15"/>
  <c r="AF1421" i="15"/>
  <c r="AG1421" i="15"/>
  <c r="AH1421" i="15"/>
  <c r="AF1419" i="15"/>
  <c r="AG1419" i="15"/>
  <c r="AH1419" i="15"/>
  <c r="AF1420" i="15"/>
  <c r="AG1420" i="15"/>
  <c r="AH1420" i="15"/>
  <c r="AF1418" i="15"/>
  <c r="AG1418" i="15"/>
  <c r="AH1418" i="15"/>
  <c r="AF1417" i="15"/>
  <c r="AG1417" i="15"/>
  <c r="AH1417" i="15"/>
  <c r="AF1416" i="15"/>
  <c r="AG1416" i="15"/>
  <c r="AH1416" i="15"/>
  <c r="AF1415" i="15"/>
  <c r="AG1415" i="15"/>
  <c r="AH1415" i="15"/>
  <c r="AF1410" i="15"/>
  <c r="AH1410" i="15"/>
  <c r="AF1411" i="15"/>
  <c r="AH1411" i="15"/>
  <c r="AF1412" i="15"/>
  <c r="AH1412" i="15"/>
  <c r="AF1413" i="15"/>
  <c r="AH1413" i="15"/>
  <c r="AF1414" i="15"/>
  <c r="AH1414" i="15"/>
  <c r="AF1405" i="15"/>
  <c r="AH1405" i="15"/>
  <c r="AF1406" i="15"/>
  <c r="AH1406" i="15"/>
  <c r="AF1407" i="15"/>
  <c r="AH1407" i="15"/>
  <c r="AF1408" i="15"/>
  <c r="AH1408" i="15"/>
  <c r="AF1409" i="15"/>
  <c r="AH1409" i="15"/>
  <c r="AF1404" i="15"/>
  <c r="AG1404" i="15"/>
  <c r="AH1404" i="15"/>
  <c r="AF1402" i="15"/>
  <c r="AH1402" i="15"/>
  <c r="AF1403" i="15"/>
  <c r="AH1403" i="15"/>
  <c r="AF1384" i="15"/>
  <c r="AG1384" i="15"/>
  <c r="AH1384" i="15"/>
  <c r="AF1385" i="15"/>
  <c r="AG1385" i="15"/>
  <c r="AH1385" i="15"/>
  <c r="AF1386" i="15"/>
  <c r="AG1386" i="15"/>
  <c r="AH1386" i="15"/>
  <c r="AH1387" i="15"/>
  <c r="AH1388" i="15"/>
  <c r="AH1389" i="15"/>
  <c r="AH1390" i="15"/>
  <c r="AF1391" i="15"/>
  <c r="AG1391" i="15"/>
  <c r="AH1391" i="15"/>
  <c r="AH1392" i="15"/>
  <c r="AF1393" i="15"/>
  <c r="AG1393" i="15"/>
  <c r="AH1393" i="15"/>
  <c r="AF1394" i="15"/>
  <c r="AG1394" i="15"/>
  <c r="AH1394" i="15"/>
  <c r="AH1395" i="15"/>
  <c r="AF1379" i="15"/>
  <c r="AH1379" i="15"/>
  <c r="AF1380" i="15"/>
  <c r="AG1380" i="15"/>
  <c r="AH1380" i="15"/>
  <c r="AF1381" i="15"/>
  <c r="AG1381" i="15"/>
  <c r="AH1381" i="15"/>
  <c r="AF1382" i="15"/>
  <c r="AG1382" i="15"/>
  <c r="AH1382" i="15"/>
  <c r="AF1383" i="15"/>
  <c r="AG1383" i="15"/>
  <c r="AH1383" i="15"/>
  <c r="AH1378" i="15"/>
  <c r="AF1373" i="15"/>
  <c r="AG1373" i="15"/>
  <c r="AH1373" i="15"/>
  <c r="AF1374" i="15"/>
  <c r="AG1374" i="15"/>
  <c r="AH1374" i="15"/>
  <c r="AF1375" i="15"/>
  <c r="AG1375" i="15"/>
  <c r="AH1375" i="15"/>
  <c r="AF1376" i="15"/>
  <c r="AG1376" i="15"/>
  <c r="AH1376" i="15"/>
  <c r="AF1377" i="15"/>
  <c r="AG1377" i="15"/>
  <c r="AH1377" i="15"/>
  <c r="AF1372" i="15"/>
  <c r="AH1372" i="15"/>
  <c r="AF1371" i="15"/>
  <c r="AH1371" i="15"/>
  <c r="AF1370" i="15"/>
  <c r="AG1370" i="15"/>
  <c r="AH1370" i="15"/>
  <c r="AF1369" i="15"/>
  <c r="AG1369" i="15"/>
  <c r="AH1369" i="15"/>
  <c r="AF1368" i="15"/>
  <c r="AG1368" i="15"/>
  <c r="AH1368" i="15"/>
  <c r="AF1367" i="15"/>
  <c r="AG1367" i="15"/>
  <c r="AH1367" i="15"/>
  <c r="AF1360" i="15"/>
  <c r="AG1360" i="15"/>
  <c r="AH1360" i="15"/>
  <c r="AF1361" i="15"/>
  <c r="AG1361" i="15"/>
  <c r="AH1361" i="15"/>
  <c r="AF1362" i="15"/>
  <c r="AG1362" i="15"/>
  <c r="AH1362" i="15"/>
  <c r="AF1363" i="15"/>
  <c r="AG1363" i="15"/>
  <c r="AH1363" i="15"/>
  <c r="AF1364" i="15"/>
  <c r="AG1364" i="15"/>
  <c r="AH1364" i="15"/>
  <c r="AF1365" i="15"/>
  <c r="AG1365" i="15"/>
  <c r="AH1365" i="15"/>
  <c r="AF1366" i="15"/>
  <c r="AG1366" i="15"/>
  <c r="AH1366" i="15"/>
  <c r="AF1359" i="15"/>
  <c r="AG1359" i="15"/>
  <c r="AH1359" i="15"/>
  <c r="AF1358" i="15"/>
  <c r="AG1358" i="15"/>
  <c r="AH1358" i="15"/>
  <c r="AF1355" i="15"/>
  <c r="AH1355" i="15"/>
  <c r="AF1356" i="15"/>
  <c r="AH1356" i="15"/>
  <c r="AF1357" i="15"/>
  <c r="AH1357" i="15"/>
  <c r="AF1354" i="15"/>
  <c r="AG1354" i="15"/>
  <c r="AH1354" i="15"/>
  <c r="AH1352" i="15"/>
  <c r="AH1353" i="15"/>
  <c r="AI1347" i="15"/>
  <c r="AK1347" i="15"/>
  <c r="AI1348" i="15"/>
  <c r="AK1348" i="15"/>
  <c r="AI1341" i="15"/>
  <c r="AK1341" i="15"/>
  <c r="AI1342" i="15"/>
  <c r="AJ1342" i="15"/>
  <c r="AK1342" i="15"/>
  <c r="AI1343" i="15"/>
  <c r="AJ1343" i="15"/>
  <c r="AK1343" i="15"/>
  <c r="AI1344" i="15"/>
  <c r="AK1344" i="15"/>
  <c r="AI1345" i="15"/>
  <c r="AK1345" i="15"/>
  <c r="AI1346" i="15"/>
  <c r="AK1346" i="15"/>
  <c r="AI1340" i="15"/>
  <c r="AJ1340" i="15"/>
  <c r="AK1340" i="15"/>
  <c r="AI1337" i="15"/>
  <c r="AK1337" i="15"/>
  <c r="AI1338" i="15"/>
  <c r="AK1338" i="15"/>
  <c r="AI1339" i="15"/>
  <c r="AK1339" i="15"/>
  <c r="AI1336" i="15"/>
  <c r="AJ1336" i="15"/>
  <c r="AK1336" i="15"/>
  <c r="AI1335" i="15"/>
  <c r="AJ1335" i="15"/>
  <c r="AK1335" i="15"/>
  <c r="AI1334" i="15"/>
  <c r="AJ1334" i="15"/>
  <c r="AK1334" i="15"/>
  <c r="AI1333" i="15"/>
  <c r="AJ1333" i="15"/>
  <c r="AK1333" i="15"/>
  <c r="AI1332" i="15"/>
  <c r="AJ1332" i="15"/>
  <c r="AK1332" i="15"/>
  <c r="AI1329" i="15"/>
  <c r="AK1329" i="15"/>
  <c r="AI1330" i="15"/>
  <c r="AK1330" i="15"/>
  <c r="AI1331" i="15"/>
  <c r="AK1331" i="15"/>
  <c r="AI1326" i="15"/>
  <c r="AK1326" i="15"/>
  <c r="AI1327" i="15"/>
  <c r="AK1327" i="15"/>
  <c r="AI1328" i="15"/>
  <c r="AK1328" i="15"/>
  <c r="AI1311" i="15"/>
  <c r="AK1311" i="15"/>
  <c r="AI1312" i="15"/>
  <c r="AK1312" i="15"/>
  <c r="AI1313" i="15"/>
  <c r="AK1313" i="15"/>
  <c r="AI1314" i="15"/>
  <c r="AK1314" i="15"/>
  <c r="AI1315" i="15"/>
  <c r="AK1315" i="15"/>
  <c r="AI1316" i="15"/>
  <c r="AK1316" i="15"/>
  <c r="AI1317" i="15"/>
  <c r="AK1317" i="15"/>
  <c r="AI1318" i="15"/>
  <c r="AK1318" i="15"/>
  <c r="AI1319" i="15"/>
  <c r="AK1319" i="15"/>
  <c r="AI1320" i="15"/>
  <c r="AK1320" i="15"/>
  <c r="AI1321" i="15"/>
  <c r="AK1321" i="15"/>
  <c r="AI1322" i="15"/>
  <c r="AK1322" i="15"/>
  <c r="AI1323" i="15"/>
  <c r="AK1323" i="15"/>
  <c r="AI1324" i="15"/>
  <c r="AK1324" i="15"/>
  <c r="AI1325" i="15"/>
  <c r="AK1325" i="15"/>
  <c r="AI1310" i="15"/>
  <c r="AJ1310" i="15"/>
  <c r="AK1310" i="15"/>
  <c r="AI1309" i="15"/>
  <c r="AJ1309" i="15"/>
  <c r="AK1309" i="15"/>
  <c r="AI1308" i="15"/>
  <c r="AJ1308" i="15"/>
  <c r="AK1308" i="15"/>
  <c r="AI1307" i="15"/>
  <c r="AJ1307" i="15"/>
  <c r="AK1307" i="15"/>
  <c r="AI1305" i="15"/>
  <c r="AJ1305" i="15"/>
  <c r="AK1305" i="15"/>
  <c r="AI1306" i="15"/>
  <c r="AJ1306" i="15"/>
  <c r="AK1306" i="15"/>
  <c r="AI1304" i="15"/>
  <c r="AJ1304" i="15"/>
  <c r="AK1304" i="15"/>
  <c r="AI1303" i="15"/>
  <c r="AK1303" i="15"/>
  <c r="AI1302" i="15"/>
  <c r="AJ1302" i="15"/>
  <c r="AK1302" i="15"/>
  <c r="AI1301" i="15"/>
  <c r="AJ1301" i="15"/>
  <c r="AK1301" i="15"/>
  <c r="AI1300" i="15"/>
  <c r="AJ1300" i="15"/>
  <c r="AK1300" i="15"/>
  <c r="AI1299" i="15"/>
  <c r="AJ1299" i="15"/>
  <c r="AK1299" i="15"/>
  <c r="AI1297" i="15"/>
  <c r="AJ1297" i="15"/>
  <c r="AK1297" i="15"/>
  <c r="AI1298" i="15"/>
  <c r="AJ1298" i="15"/>
  <c r="AK1298" i="15"/>
  <c r="AI1296" i="15"/>
  <c r="AJ1296" i="15"/>
  <c r="AK1296" i="15"/>
  <c r="AI1295" i="15"/>
  <c r="AJ1295" i="15"/>
  <c r="AK1295" i="15"/>
  <c r="AK1288" i="15"/>
  <c r="AI1289" i="15"/>
  <c r="AJ1289" i="15"/>
  <c r="AK1289" i="15"/>
  <c r="AI1290" i="15"/>
  <c r="AJ1290" i="15"/>
  <c r="AK1290" i="15"/>
  <c r="AI1291" i="15"/>
  <c r="AJ1291" i="15"/>
  <c r="AK1291" i="15"/>
  <c r="AI1292" i="15"/>
  <c r="AJ1292" i="15"/>
  <c r="AK1292" i="15"/>
  <c r="AK1293" i="15"/>
  <c r="AK1294" i="15"/>
  <c r="AK1287" i="15"/>
  <c r="AK1286" i="15"/>
  <c r="AJ1285" i="15"/>
  <c r="AK1285" i="15"/>
  <c r="AJ1284" i="15"/>
  <c r="AK1284" i="15"/>
  <c r="AI1283" i="15"/>
  <c r="AJ1283" i="15"/>
  <c r="AK1283" i="15"/>
  <c r="AJ1282" i="15"/>
  <c r="AK1282" i="15"/>
  <c r="AJ1281" i="15"/>
  <c r="AK1281" i="15"/>
  <c r="AI1280" i="15"/>
  <c r="AJ1280" i="15"/>
  <c r="AK1280" i="15"/>
  <c r="AK1279" i="15"/>
  <c r="AK1278" i="15"/>
  <c r="AK1277" i="15"/>
  <c r="AJ1276" i="15"/>
  <c r="AK1276" i="15"/>
  <c r="AJ1275" i="15"/>
  <c r="AK1275" i="15"/>
  <c r="AI1274" i="15"/>
  <c r="AJ1274" i="15"/>
  <c r="AK1274" i="15"/>
  <c r="AJ1273" i="15"/>
  <c r="AK1273" i="15"/>
  <c r="AJ1272" i="15"/>
  <c r="AK1272" i="15"/>
  <c r="AI1271" i="15"/>
  <c r="AJ1271" i="15"/>
  <c r="AK1271" i="15"/>
  <c r="AI1269" i="15"/>
  <c r="AJ1269" i="15"/>
  <c r="AK1269" i="15"/>
  <c r="AI1270" i="15"/>
  <c r="AJ1270" i="15"/>
  <c r="AK1270" i="15"/>
  <c r="AI1267" i="15"/>
  <c r="AJ1267" i="15"/>
  <c r="AK1267" i="15"/>
  <c r="AI1268" i="15"/>
  <c r="AJ1268" i="15"/>
  <c r="AK1268" i="15"/>
  <c r="AI1266" i="15"/>
  <c r="AJ1266" i="15"/>
  <c r="AK1266" i="15"/>
  <c r="AI1265" i="15"/>
  <c r="AJ1265" i="15"/>
  <c r="AK1265" i="15"/>
  <c r="AI1264" i="15"/>
  <c r="AJ1264" i="15"/>
  <c r="AK1264" i="15"/>
  <c r="AF1347" i="15"/>
  <c r="AH1347" i="15"/>
  <c r="AF1348" i="15"/>
  <c r="AH1348" i="15"/>
  <c r="AF1341" i="15"/>
  <c r="AH1341" i="15"/>
  <c r="AF1342" i="15"/>
  <c r="AG1342" i="15"/>
  <c r="AH1342" i="15"/>
  <c r="AF1343" i="15"/>
  <c r="AG1343" i="15"/>
  <c r="AH1343" i="15"/>
  <c r="AF1344" i="15"/>
  <c r="AH1344" i="15"/>
  <c r="AF1345" i="15"/>
  <c r="AH1345" i="15"/>
  <c r="AF1346" i="15"/>
  <c r="AH1346" i="15"/>
  <c r="AF1340" i="15"/>
  <c r="AG1340" i="15"/>
  <c r="AH1340" i="15"/>
  <c r="AF1337" i="15"/>
  <c r="AH1337" i="15"/>
  <c r="AF1338" i="15"/>
  <c r="AH1338" i="15"/>
  <c r="AF1339" i="15"/>
  <c r="AH1339" i="15"/>
  <c r="AF1336" i="15"/>
  <c r="AG1336" i="15"/>
  <c r="AH1336" i="15"/>
  <c r="AF1335" i="15"/>
  <c r="AG1335" i="15"/>
  <c r="AH1335" i="15"/>
  <c r="AF1334" i="15"/>
  <c r="AG1334" i="15"/>
  <c r="AH1334" i="15"/>
  <c r="AF1333" i="15"/>
  <c r="AG1333" i="15"/>
  <c r="AH1333" i="15"/>
  <c r="AF1332" i="15"/>
  <c r="AG1332" i="15"/>
  <c r="AH1332" i="15"/>
  <c r="AF1329" i="15"/>
  <c r="AH1329" i="15"/>
  <c r="AF1330" i="15"/>
  <c r="AH1330" i="15"/>
  <c r="AF1331" i="15"/>
  <c r="AH1331" i="15"/>
  <c r="AF1326" i="15"/>
  <c r="AH1326" i="15"/>
  <c r="AF1327" i="15"/>
  <c r="AH1327" i="15"/>
  <c r="AF1328" i="15"/>
  <c r="AH1328" i="15"/>
  <c r="AF1311" i="15"/>
  <c r="AH1311" i="15"/>
  <c r="AF1312" i="15"/>
  <c r="AH1312" i="15"/>
  <c r="AF1313" i="15"/>
  <c r="AH1313" i="15"/>
  <c r="AF1314" i="15"/>
  <c r="AH1314" i="15"/>
  <c r="AF1315" i="15"/>
  <c r="AH1315" i="15"/>
  <c r="AF1316" i="15"/>
  <c r="AH1316" i="15"/>
  <c r="AF1317" i="15"/>
  <c r="AH1317" i="15"/>
  <c r="AF1318" i="15"/>
  <c r="AH1318" i="15"/>
  <c r="AF1319" i="15"/>
  <c r="AH1319" i="15"/>
  <c r="AF1320" i="15"/>
  <c r="AH1320" i="15"/>
  <c r="AF1321" i="15"/>
  <c r="AH1321" i="15"/>
  <c r="AF1322" i="15"/>
  <c r="AH1322" i="15"/>
  <c r="AF1323" i="15"/>
  <c r="AH1323" i="15"/>
  <c r="AF1324" i="15"/>
  <c r="AH1324" i="15"/>
  <c r="AF1325" i="15"/>
  <c r="AH1325" i="15"/>
  <c r="AF1310" i="15"/>
  <c r="AG1310" i="15"/>
  <c r="AH1310" i="15"/>
  <c r="AF1309" i="15"/>
  <c r="AG1309" i="15"/>
  <c r="AH1309" i="15"/>
  <c r="AF1308" i="15"/>
  <c r="AG1308" i="15"/>
  <c r="AH1308" i="15"/>
  <c r="AF1307" i="15"/>
  <c r="AG1307" i="15"/>
  <c r="AH1307" i="15"/>
  <c r="AF1305" i="15"/>
  <c r="AG1305" i="15"/>
  <c r="AH1305" i="15"/>
  <c r="AF1306" i="15"/>
  <c r="AG1306" i="15"/>
  <c r="AH1306" i="15"/>
  <c r="AF1304" i="15"/>
  <c r="AG1304" i="15"/>
  <c r="AH1304" i="15"/>
  <c r="AF1303" i="15"/>
  <c r="AH1303" i="15"/>
  <c r="AF1302" i="15"/>
  <c r="AG1302" i="15"/>
  <c r="AH1302" i="15"/>
  <c r="AF1301" i="15"/>
  <c r="AG1301" i="15"/>
  <c r="AH1301" i="15"/>
  <c r="AF1300" i="15"/>
  <c r="AG1300" i="15"/>
  <c r="AH1300" i="15"/>
  <c r="AF1299" i="15"/>
  <c r="AG1299" i="15"/>
  <c r="AH1299" i="15"/>
  <c r="AH1297" i="15"/>
  <c r="AF1298" i="15"/>
  <c r="AG1298" i="15"/>
  <c r="AH1298" i="15"/>
  <c r="AF1296" i="15"/>
  <c r="AG1296" i="15"/>
  <c r="AH1296" i="15"/>
  <c r="AF1295" i="15"/>
  <c r="AG1295" i="15"/>
  <c r="AH1295" i="15"/>
  <c r="AH1288" i="15"/>
  <c r="AF1289" i="15"/>
  <c r="AG1289" i="15"/>
  <c r="AH1289" i="15"/>
  <c r="AF1290" i="15"/>
  <c r="AG1290" i="15"/>
  <c r="AH1290" i="15"/>
  <c r="AF1291" i="15"/>
  <c r="AG1291" i="15"/>
  <c r="AH1291" i="15"/>
  <c r="AF1292" i="15"/>
  <c r="AG1292" i="15"/>
  <c r="AH1292" i="15"/>
  <c r="AH1293" i="15"/>
  <c r="AH1294" i="15"/>
  <c r="AH1287" i="15"/>
  <c r="AH1286" i="15"/>
  <c r="AG1285" i="15"/>
  <c r="AH1285" i="15"/>
  <c r="AG1284" i="15"/>
  <c r="AH1284" i="15"/>
  <c r="AF1283" i="15"/>
  <c r="AG1283" i="15"/>
  <c r="AH1283" i="15"/>
  <c r="AG1282" i="15"/>
  <c r="AH1282" i="15"/>
  <c r="AG1281" i="15"/>
  <c r="AH1281" i="15"/>
  <c r="AF1280" i="15"/>
  <c r="AG1280" i="15"/>
  <c r="AH1280" i="15"/>
  <c r="AH1279" i="15"/>
  <c r="AH1278" i="15"/>
  <c r="AH1277" i="15"/>
  <c r="AG1276" i="15"/>
  <c r="AH1276" i="15"/>
  <c r="AG1275" i="15"/>
  <c r="AH1275" i="15"/>
  <c r="AF1274" i="15"/>
  <c r="AG1274" i="15"/>
  <c r="AH1274" i="15"/>
  <c r="AG1273" i="15"/>
  <c r="AH1273" i="15"/>
  <c r="AG1272" i="15"/>
  <c r="AH1272" i="15"/>
  <c r="AF1271" i="15"/>
  <c r="AG1271" i="15"/>
  <c r="AH1271" i="15"/>
  <c r="AF1269" i="15"/>
  <c r="AG1269" i="15"/>
  <c r="AH1269" i="15"/>
  <c r="AF1270" i="15"/>
  <c r="AG1270" i="15"/>
  <c r="AH1270" i="15"/>
  <c r="AF1267" i="15"/>
  <c r="AG1267" i="15"/>
  <c r="AH1267" i="15"/>
  <c r="AF1268" i="15"/>
  <c r="AG1268" i="15"/>
  <c r="AH1268" i="15"/>
  <c r="AF1266" i="15"/>
  <c r="AG1266" i="15"/>
  <c r="AH1266" i="15"/>
  <c r="AF1265" i="15"/>
  <c r="AG1265" i="15"/>
  <c r="AH1265" i="15"/>
  <c r="AH1264" i="15"/>
  <c r="AE1283" i="15"/>
  <c r="AE1284" i="15"/>
  <c r="AE1281" i="15"/>
  <c r="AE1282" i="15"/>
  <c r="AE1280" i="15"/>
  <c r="AE1279" i="15"/>
  <c r="AC1277" i="15"/>
  <c r="AE1277" i="15"/>
  <c r="AC1278" i="15"/>
  <c r="AE1278" i="15"/>
  <c r="AC1276" i="15"/>
  <c r="AE1276" i="15"/>
  <c r="AE1275" i="15"/>
  <c r="AE1274" i="15"/>
  <c r="AE1273" i="15"/>
  <c r="AE1272" i="15"/>
  <c r="AE1271" i="15"/>
  <c r="AE1269" i="15"/>
  <c r="AE1270" i="15"/>
  <c r="AE1268" i="15"/>
  <c r="AE1267" i="15"/>
  <c r="AE1265" i="15"/>
  <c r="AE1266" i="15"/>
  <c r="AE1264" i="15"/>
  <c r="AB1283" i="15"/>
  <c r="AB1284" i="15"/>
  <c r="AB1281" i="15"/>
  <c r="AB1282" i="15"/>
  <c r="AB1280" i="15"/>
  <c r="AB1279" i="15"/>
  <c r="Z1277" i="15"/>
  <c r="AB1277" i="15"/>
  <c r="Z1278" i="15"/>
  <c r="AB1278" i="15"/>
  <c r="Z1276" i="15"/>
  <c r="AB1276" i="15"/>
  <c r="AB1275" i="15"/>
  <c r="AB1274" i="15"/>
  <c r="AB1273" i="15"/>
  <c r="AB1272" i="15"/>
  <c r="AB1271" i="15"/>
  <c r="AB1269" i="15"/>
  <c r="AB1270" i="15"/>
  <c r="AB1268" i="15"/>
  <c r="AB1267" i="15"/>
  <c r="AB1265" i="15"/>
  <c r="AB1266" i="15"/>
  <c r="AB1264" i="15"/>
  <c r="Y1323" i="15"/>
  <c r="Y1324" i="15"/>
  <c r="Y1320" i="15"/>
  <c r="Y1321" i="15"/>
  <c r="Y1322" i="15"/>
  <c r="W1319" i="15"/>
  <c r="X1319" i="15"/>
  <c r="Y1319" i="15"/>
  <c r="Y1318" i="15"/>
  <c r="W1315" i="15"/>
  <c r="Y1315" i="15"/>
  <c r="W1316" i="15"/>
  <c r="Y1316" i="15"/>
  <c r="W1317" i="15"/>
  <c r="Y1317" i="15"/>
  <c r="W1312" i="15"/>
  <c r="X1312" i="15"/>
  <c r="Y1312" i="15"/>
  <c r="W1313" i="15"/>
  <c r="X1313" i="15"/>
  <c r="Y1313" i="15"/>
  <c r="W1314" i="15"/>
  <c r="X1314" i="15"/>
  <c r="Y1314" i="15"/>
  <c r="W1311" i="15"/>
  <c r="Y1311" i="15"/>
  <c r="W1310" i="15"/>
  <c r="Y1310" i="15"/>
  <c r="W1309" i="15"/>
  <c r="Y1309" i="15"/>
  <c r="W1308" i="15"/>
  <c r="Y1308" i="15"/>
  <c r="W1307" i="15"/>
  <c r="Y1307" i="15"/>
  <c r="Y1306" i="15"/>
  <c r="Y1304" i="15"/>
  <c r="Y1305" i="15"/>
  <c r="Y1303" i="15"/>
  <c r="Y1302" i="15"/>
  <c r="W1300" i="15"/>
  <c r="Y1300" i="15"/>
  <c r="W1301" i="15"/>
  <c r="Y1301" i="15"/>
  <c r="W1299" i="15"/>
  <c r="Y1299" i="15"/>
  <c r="Y1298" i="15"/>
  <c r="Y1297" i="15"/>
  <c r="Y1296" i="15"/>
  <c r="Y1295" i="15"/>
  <c r="Y1294" i="15"/>
  <c r="Y1292" i="15"/>
  <c r="Y1293" i="15"/>
  <c r="Y1290" i="15"/>
  <c r="Y1291" i="15"/>
  <c r="Y1289" i="15"/>
  <c r="Y1288" i="15"/>
  <c r="Y1287" i="15"/>
  <c r="Y1286" i="15"/>
  <c r="Y1285" i="15"/>
  <c r="Y1284" i="15"/>
  <c r="Y1283" i="15"/>
  <c r="Y1282" i="15"/>
  <c r="Y1281" i="15"/>
  <c r="Y1280" i="15"/>
  <c r="Y1279" i="15"/>
  <c r="W1278" i="15"/>
  <c r="X1278" i="15"/>
  <c r="Y1278" i="15"/>
  <c r="Y1276" i="15"/>
  <c r="Y1277" i="15"/>
  <c r="Y1274" i="15"/>
  <c r="Y1275" i="15"/>
  <c r="Y1273" i="15"/>
  <c r="Y1272" i="15"/>
  <c r="Y1270" i="15"/>
  <c r="Y1271" i="15"/>
  <c r="Y1268" i="15"/>
  <c r="Y1269" i="15"/>
  <c r="Y1267" i="15"/>
  <c r="W1265" i="15"/>
  <c r="X1265" i="15"/>
  <c r="Y1265" i="15"/>
  <c r="W1266" i="15"/>
  <c r="X1266" i="15"/>
  <c r="Y1266" i="15"/>
  <c r="Y1264" i="15"/>
  <c r="V1323" i="15"/>
  <c r="V1324" i="15"/>
  <c r="V1320" i="15"/>
  <c r="V1321" i="15"/>
  <c r="V1322" i="15"/>
  <c r="T1319" i="15"/>
  <c r="U1319" i="15"/>
  <c r="V1319" i="15"/>
  <c r="V1318" i="15"/>
  <c r="T1315" i="15"/>
  <c r="V1315" i="15"/>
  <c r="T1316" i="15"/>
  <c r="V1316" i="15"/>
  <c r="T1317" i="15"/>
  <c r="V1317" i="15"/>
  <c r="T1312" i="15"/>
  <c r="U1312" i="15"/>
  <c r="V1312" i="15"/>
  <c r="T1313" i="15"/>
  <c r="U1313" i="15"/>
  <c r="V1313" i="15"/>
  <c r="T1314" i="15"/>
  <c r="U1314" i="15"/>
  <c r="V1314" i="15"/>
  <c r="T1311" i="15"/>
  <c r="V1311" i="15"/>
  <c r="T1310" i="15"/>
  <c r="V1310" i="15"/>
  <c r="T1309" i="15"/>
  <c r="V1309" i="15"/>
  <c r="T1308" i="15"/>
  <c r="V1308" i="15"/>
  <c r="T1307" i="15"/>
  <c r="V1307" i="15"/>
  <c r="V1306" i="15"/>
  <c r="V1304" i="15"/>
  <c r="V1305" i="15"/>
  <c r="V1303" i="15"/>
  <c r="T1302" i="15"/>
  <c r="V1302" i="15"/>
  <c r="T1300" i="15"/>
  <c r="V1300" i="15"/>
  <c r="T1301" i="15"/>
  <c r="V1301" i="15"/>
  <c r="T1299" i="15"/>
  <c r="V1299" i="15"/>
  <c r="V1298" i="15"/>
  <c r="V1297" i="15"/>
  <c r="V1296" i="15"/>
  <c r="V1295" i="15"/>
  <c r="V1294" i="15"/>
  <c r="V1292" i="15"/>
  <c r="V1293" i="15"/>
  <c r="V1290" i="15"/>
  <c r="V1291" i="15"/>
  <c r="V1289" i="15"/>
  <c r="V1288" i="15"/>
  <c r="V1287" i="15"/>
  <c r="V1286" i="15"/>
  <c r="V1285" i="15"/>
  <c r="V1284" i="15"/>
  <c r="V1283" i="15"/>
  <c r="V1282" i="15"/>
  <c r="V1281" i="15"/>
  <c r="V1280" i="15"/>
  <c r="V1279" i="15"/>
  <c r="T1278" i="15"/>
  <c r="U1278" i="15"/>
  <c r="V1278" i="15"/>
  <c r="V1276" i="15"/>
  <c r="V1277" i="15"/>
  <c r="V1274" i="15"/>
  <c r="V1275" i="15"/>
  <c r="V1273" i="15"/>
  <c r="V1272" i="15"/>
  <c r="V1270" i="15"/>
  <c r="V1271" i="15"/>
  <c r="V1268" i="15"/>
  <c r="V1269" i="15"/>
  <c r="V1267" i="15"/>
  <c r="T1265" i="15"/>
  <c r="U1265" i="15"/>
  <c r="V1265" i="15"/>
  <c r="T1266" i="15"/>
  <c r="U1266" i="15"/>
  <c r="V1266" i="15"/>
  <c r="T1264" i="15"/>
  <c r="U1264" i="15"/>
  <c r="V1264" i="15"/>
  <c r="S1289" i="15"/>
  <c r="Q1290" i="15"/>
  <c r="R1290" i="15"/>
  <c r="S1290" i="15"/>
  <c r="Q1291" i="15"/>
  <c r="R1291" i="15"/>
  <c r="S1291" i="15"/>
  <c r="S1287" i="15"/>
  <c r="S1288" i="15"/>
  <c r="Q1283" i="15"/>
  <c r="S1283" i="15"/>
  <c r="Q1284" i="15"/>
  <c r="S1284" i="15"/>
  <c r="Q1285" i="15"/>
  <c r="S1285" i="15"/>
  <c r="Q1286" i="15"/>
  <c r="S1286" i="15"/>
  <c r="S1282" i="15"/>
  <c r="Q1281" i="15"/>
  <c r="S1281" i="15"/>
  <c r="S1280" i="15"/>
  <c r="S1274" i="15"/>
  <c r="S1275" i="15"/>
  <c r="S1276" i="15"/>
  <c r="S1277" i="15"/>
  <c r="S1278" i="15"/>
  <c r="S1279" i="15"/>
  <c r="S1273" i="15"/>
  <c r="S1272" i="15"/>
  <c r="S1271" i="15"/>
  <c r="S1270" i="15"/>
  <c r="S1269" i="15"/>
  <c r="S1268" i="15"/>
  <c r="S1267" i="15"/>
  <c r="S1266" i="15"/>
  <c r="S1265" i="15"/>
  <c r="S1264" i="15"/>
  <c r="P1289" i="15"/>
  <c r="N1290" i="15"/>
  <c r="O1290" i="15"/>
  <c r="P1290" i="15"/>
  <c r="N1291" i="15"/>
  <c r="O1291" i="15"/>
  <c r="P1291" i="15"/>
  <c r="P1287" i="15"/>
  <c r="P1288" i="15"/>
  <c r="N1283" i="15"/>
  <c r="P1283" i="15"/>
  <c r="N1284" i="15"/>
  <c r="P1284" i="15"/>
  <c r="N1285" i="15"/>
  <c r="P1285" i="15"/>
  <c r="N1286" i="15"/>
  <c r="P1286" i="15"/>
  <c r="P1282" i="15"/>
  <c r="N1281" i="15"/>
  <c r="P1281" i="15"/>
  <c r="P1280" i="15"/>
  <c r="P1274" i="15"/>
  <c r="P1275" i="15"/>
  <c r="P1276" i="15"/>
  <c r="P1277" i="15"/>
  <c r="P1278" i="15"/>
  <c r="P1279" i="15"/>
  <c r="P1273" i="15"/>
  <c r="P1272" i="15"/>
  <c r="P1271" i="15"/>
  <c r="P1270" i="15"/>
  <c r="P1269" i="15"/>
  <c r="P1268" i="15"/>
  <c r="P1267" i="15"/>
  <c r="P1266" i="15"/>
  <c r="P1265" i="15"/>
  <c r="P1264" i="15"/>
  <c r="M1283" i="15"/>
  <c r="M1284" i="15"/>
  <c r="M1285" i="15"/>
  <c r="J1283" i="15"/>
  <c r="J1284" i="15"/>
  <c r="J1285" i="15"/>
  <c r="M1281" i="15"/>
  <c r="M1282" i="15"/>
  <c r="J1281" i="15"/>
  <c r="J1282" i="15"/>
  <c r="M1280" i="15"/>
  <c r="J1280" i="15"/>
  <c r="M1279" i="15"/>
  <c r="J1279" i="15"/>
  <c r="M1273" i="15"/>
  <c r="M1274" i="15"/>
  <c r="M1275" i="15"/>
  <c r="M1276" i="15"/>
  <c r="M1277" i="15"/>
  <c r="M1278" i="15"/>
  <c r="J1273" i="15"/>
  <c r="J1274" i="15"/>
  <c r="J1275" i="15"/>
  <c r="J1276" i="15"/>
  <c r="J1277" i="15"/>
  <c r="J1278" i="15"/>
  <c r="M1272" i="15"/>
  <c r="J1272" i="15"/>
  <c r="M1271" i="15"/>
  <c r="J1271" i="15"/>
  <c r="M1270" i="15"/>
  <c r="J1270" i="15"/>
  <c r="M1269" i="15"/>
  <c r="J1269" i="15"/>
  <c r="M1268" i="15"/>
  <c r="J1268" i="15"/>
  <c r="M1267" i="15"/>
  <c r="J1267" i="15"/>
  <c r="M1266" i="15"/>
  <c r="J1266" i="15"/>
  <c r="M1265" i="15"/>
  <c r="J1265" i="15"/>
  <c r="M1264" i="15"/>
  <c r="J1264" i="15"/>
  <c r="G1283" i="15"/>
  <c r="E1284" i="15"/>
  <c r="F1284" i="15"/>
  <c r="G1284" i="15"/>
  <c r="E1285" i="15"/>
  <c r="F1285" i="15"/>
  <c r="G1285" i="15"/>
  <c r="D1283" i="15"/>
  <c r="B1284" i="15"/>
  <c r="C1284" i="15"/>
  <c r="D1284" i="15"/>
  <c r="B1285" i="15"/>
  <c r="C1285" i="15"/>
  <c r="D1285" i="15"/>
  <c r="G1281" i="15"/>
  <c r="G1282" i="15"/>
  <c r="D1281" i="15"/>
  <c r="D1282" i="15"/>
  <c r="G1280" i="15"/>
  <c r="D1280" i="15"/>
  <c r="G1279" i="15"/>
  <c r="D1279" i="15"/>
  <c r="G1273" i="15"/>
  <c r="G1274" i="15"/>
  <c r="G1275" i="15"/>
  <c r="G1276" i="15"/>
  <c r="G1277" i="15"/>
  <c r="G1278" i="15"/>
  <c r="D1273" i="15"/>
  <c r="D1274" i="15"/>
  <c r="D1275" i="15"/>
  <c r="D1276" i="15"/>
  <c r="D1277" i="15"/>
  <c r="D1278" i="15"/>
  <c r="G1272" i="15"/>
  <c r="D1272" i="15"/>
  <c r="G1271" i="15"/>
  <c r="D1271" i="15"/>
  <c r="G1270" i="15"/>
  <c r="D1270" i="15"/>
  <c r="G1269" i="15"/>
  <c r="D1269" i="15"/>
  <c r="G1268" i="15"/>
  <c r="D1268" i="15"/>
  <c r="G1267" i="15"/>
  <c r="D1267" i="15"/>
  <c r="G1266" i="15"/>
  <c r="D1266" i="15"/>
  <c r="G1265" i="15"/>
  <c r="D1265" i="15"/>
  <c r="G1264" i="15"/>
  <c r="D1264" i="15"/>
  <c r="G1182" i="15"/>
  <c r="G1183" i="15"/>
  <c r="G1184" i="15"/>
  <c r="G1185" i="15"/>
  <c r="G1186" i="15"/>
  <c r="G1187" i="15"/>
  <c r="G1179" i="15"/>
  <c r="G1180" i="15"/>
  <c r="G1181" i="15"/>
  <c r="G1178" i="15"/>
  <c r="G1177" i="15"/>
  <c r="G1172" i="15"/>
  <c r="G1173" i="15"/>
  <c r="G1174" i="15"/>
  <c r="G1175" i="15"/>
  <c r="G1176" i="15"/>
  <c r="G1171" i="15"/>
  <c r="G1163" i="15"/>
  <c r="G1164" i="15"/>
  <c r="G1165" i="15"/>
  <c r="G1166" i="15"/>
  <c r="G1167" i="15"/>
  <c r="G1168" i="15"/>
  <c r="G1169" i="15"/>
  <c r="G1170" i="15"/>
  <c r="G1161" i="15"/>
  <c r="G1162" i="15"/>
  <c r="G1159" i="15"/>
  <c r="G1160" i="15"/>
  <c r="G1156" i="15"/>
  <c r="G1157" i="15"/>
  <c r="G1158" i="15"/>
  <c r="G1152" i="15"/>
  <c r="G1153" i="15"/>
  <c r="G1154" i="15"/>
  <c r="G1155" i="15"/>
  <c r="G1151" i="15"/>
  <c r="G1150" i="15"/>
  <c r="G1149" i="15"/>
  <c r="G1148" i="15"/>
  <c r="G1147" i="15"/>
  <c r="G1146" i="15"/>
  <c r="D1182" i="15"/>
  <c r="D1183" i="15"/>
  <c r="D1184" i="15"/>
  <c r="D1185" i="15"/>
  <c r="D1186" i="15"/>
  <c r="D1187" i="15"/>
  <c r="D1179" i="15"/>
  <c r="D1180" i="15"/>
  <c r="D1181" i="15"/>
  <c r="D1178" i="15"/>
  <c r="D1177" i="15"/>
  <c r="D1172" i="15"/>
  <c r="D1173" i="15"/>
  <c r="D1174" i="15"/>
  <c r="D1175" i="15"/>
  <c r="D1176" i="15"/>
  <c r="D1171" i="15"/>
  <c r="D1163" i="15"/>
  <c r="D1164" i="15"/>
  <c r="D1165" i="15"/>
  <c r="D1166" i="15"/>
  <c r="D1167" i="15"/>
  <c r="D1168" i="15"/>
  <c r="D1169" i="15"/>
  <c r="D1170" i="15"/>
  <c r="D1161" i="15"/>
  <c r="D1162" i="15"/>
  <c r="D1159" i="15"/>
  <c r="D1160" i="15"/>
  <c r="D1156" i="15"/>
  <c r="D1157" i="15"/>
  <c r="D1158" i="15"/>
  <c r="D1152" i="15"/>
  <c r="D1153" i="15"/>
  <c r="D1154" i="15"/>
  <c r="D1155" i="15"/>
  <c r="D1151" i="15"/>
  <c r="D1150" i="15"/>
  <c r="D1149" i="15"/>
  <c r="D1148" i="15"/>
  <c r="D1147" i="15"/>
  <c r="D1146" i="15"/>
  <c r="M1182" i="15"/>
  <c r="M1183" i="15"/>
  <c r="M1184" i="15"/>
  <c r="M1185" i="15"/>
  <c r="K1186" i="15"/>
  <c r="M1186" i="15"/>
  <c r="K1187" i="15"/>
  <c r="M1187" i="15"/>
  <c r="M1179" i="15"/>
  <c r="M1180" i="15"/>
  <c r="M1181" i="15"/>
  <c r="M1178" i="15"/>
  <c r="M1177" i="15"/>
  <c r="M1172" i="15"/>
  <c r="M1173" i="15"/>
  <c r="M1174" i="15"/>
  <c r="M1175" i="15"/>
  <c r="M1176" i="15"/>
  <c r="M1171" i="15"/>
  <c r="M1163" i="15"/>
  <c r="M1164" i="15"/>
  <c r="M1165" i="15"/>
  <c r="M1166" i="15"/>
  <c r="M1167" i="15"/>
  <c r="M1168" i="15"/>
  <c r="M1169" i="15"/>
  <c r="M1170" i="15"/>
  <c r="M1161" i="15"/>
  <c r="M1162" i="15"/>
  <c r="M1159" i="15"/>
  <c r="M1160" i="15"/>
  <c r="M1156" i="15"/>
  <c r="M1157" i="15"/>
  <c r="M1158" i="15"/>
  <c r="M1152" i="15"/>
  <c r="M1153" i="15"/>
  <c r="M1154" i="15"/>
  <c r="M1155" i="15"/>
  <c r="M1151" i="15"/>
  <c r="M1150" i="15"/>
  <c r="M1149" i="15"/>
  <c r="M1148" i="15"/>
  <c r="M1147" i="15"/>
  <c r="M1146" i="15"/>
  <c r="J1182" i="15"/>
  <c r="J1183" i="15"/>
  <c r="J1184" i="15"/>
  <c r="J1185" i="15"/>
  <c r="H1186" i="15"/>
  <c r="J1186" i="15"/>
  <c r="H1187" i="15"/>
  <c r="J1187" i="15"/>
  <c r="J1179" i="15"/>
  <c r="J1180" i="15"/>
  <c r="J1181" i="15"/>
  <c r="J1178" i="15"/>
  <c r="J1177" i="15"/>
  <c r="J1172" i="15"/>
  <c r="J1173" i="15"/>
  <c r="J1174" i="15"/>
  <c r="J1175" i="15"/>
  <c r="J1176" i="15"/>
  <c r="J1171" i="15"/>
  <c r="J1163" i="15"/>
  <c r="J1164" i="15"/>
  <c r="J1165" i="15"/>
  <c r="J1166" i="15"/>
  <c r="J1167" i="15"/>
  <c r="J1168" i="15"/>
  <c r="J1169" i="15"/>
  <c r="J1170" i="15"/>
  <c r="J1161" i="15"/>
  <c r="J1162" i="15"/>
  <c r="J1159" i="15"/>
  <c r="J1160" i="15"/>
  <c r="J1156" i="15"/>
  <c r="J1157" i="15"/>
  <c r="J1158" i="15"/>
  <c r="J1152" i="15"/>
  <c r="J1153" i="15"/>
  <c r="J1154" i="15"/>
  <c r="J1155" i="15"/>
  <c r="J1151" i="15"/>
  <c r="J1150" i="15"/>
  <c r="J1149" i="15"/>
  <c r="J1148" i="15"/>
  <c r="J1147" i="15"/>
  <c r="J1146" i="15"/>
  <c r="S1183" i="15"/>
  <c r="S1184" i="15"/>
  <c r="S1185" i="15"/>
  <c r="S1186" i="15"/>
  <c r="S1187" i="15"/>
  <c r="S1188" i="15"/>
  <c r="S1180" i="15"/>
  <c r="S1181" i="15"/>
  <c r="S1182" i="15"/>
  <c r="S1179" i="15"/>
  <c r="S1178" i="15"/>
  <c r="S1173" i="15"/>
  <c r="S1174" i="15"/>
  <c r="S1175" i="15"/>
  <c r="S1176" i="15"/>
  <c r="S1177" i="15"/>
  <c r="S1172" i="15"/>
  <c r="S1164" i="15"/>
  <c r="S1165" i="15"/>
  <c r="S1166" i="15"/>
  <c r="S1167" i="15"/>
  <c r="S1168" i="15"/>
  <c r="S1169" i="15"/>
  <c r="S1170" i="15"/>
  <c r="S1171" i="15"/>
  <c r="S1162" i="15"/>
  <c r="S1163" i="15"/>
  <c r="S1160" i="15"/>
  <c r="S1161" i="15"/>
  <c r="S1157" i="15"/>
  <c r="S1158" i="15"/>
  <c r="S1159" i="15"/>
  <c r="S1153" i="15"/>
  <c r="S1154" i="15"/>
  <c r="S1155" i="15"/>
  <c r="S1156" i="15"/>
  <c r="S1152" i="15"/>
  <c r="S1151" i="15"/>
  <c r="S1150" i="15"/>
  <c r="S1149" i="15"/>
  <c r="S1148" i="15"/>
  <c r="S1147" i="15"/>
  <c r="Q1146" i="15"/>
  <c r="S1146" i="15"/>
  <c r="P1183" i="15"/>
  <c r="P1184" i="15"/>
  <c r="P1185" i="15"/>
  <c r="P1186" i="15"/>
  <c r="P1187" i="15"/>
  <c r="P1188" i="15"/>
  <c r="P1180" i="15"/>
  <c r="P1181" i="15"/>
  <c r="P1182" i="15"/>
  <c r="P1179" i="15"/>
  <c r="P1178" i="15"/>
  <c r="P1173" i="15"/>
  <c r="P1174" i="15"/>
  <c r="P1175" i="15"/>
  <c r="P1176" i="15"/>
  <c r="P1177" i="15"/>
  <c r="P1172" i="15"/>
  <c r="P1164" i="15"/>
  <c r="P1165" i="15"/>
  <c r="P1166" i="15"/>
  <c r="P1167" i="15"/>
  <c r="P1168" i="15"/>
  <c r="P1169" i="15"/>
  <c r="P1170" i="15"/>
  <c r="P1171" i="15"/>
  <c r="P1162" i="15"/>
  <c r="P1163" i="15"/>
  <c r="P1160" i="15"/>
  <c r="P1161" i="15"/>
  <c r="P1157" i="15"/>
  <c r="P1158" i="15"/>
  <c r="P1159" i="15"/>
  <c r="P1153" i="15"/>
  <c r="P1154" i="15"/>
  <c r="P1155" i="15"/>
  <c r="P1156" i="15"/>
  <c r="P1152" i="15"/>
  <c r="P1151" i="15"/>
  <c r="P1150" i="15"/>
  <c r="P1149" i="15"/>
  <c r="P1148" i="15"/>
  <c r="P1147" i="15"/>
  <c r="P1146" i="15"/>
  <c r="Y1238" i="15"/>
  <c r="Y1235" i="15"/>
  <c r="Y1236" i="15"/>
  <c r="Y1237" i="15"/>
  <c r="Y1233" i="15"/>
  <c r="Y1234" i="15"/>
  <c r="Y1231" i="15"/>
  <c r="Y1232" i="15"/>
  <c r="Y1229" i="15"/>
  <c r="Y1230" i="15"/>
  <c r="Y1227" i="15"/>
  <c r="Y1228" i="15"/>
  <c r="Y1225" i="15"/>
  <c r="Y1226" i="15"/>
  <c r="Y1189" i="15"/>
  <c r="Y1190" i="15"/>
  <c r="Y1191" i="15"/>
  <c r="Y1192" i="15"/>
  <c r="Y1193" i="15"/>
  <c r="Y1194" i="15"/>
  <c r="Y1195" i="15"/>
  <c r="Y1196" i="15"/>
  <c r="Y1197" i="15"/>
  <c r="Y1198" i="15"/>
  <c r="Y1199" i="15"/>
  <c r="Y1200" i="15"/>
  <c r="Y1201" i="15"/>
  <c r="Y1202" i="15"/>
  <c r="Y1203" i="15"/>
  <c r="Y1204" i="15"/>
  <c r="Y1205" i="15"/>
  <c r="Y1206" i="15"/>
  <c r="Y1207" i="15"/>
  <c r="Y1208" i="15"/>
  <c r="Y1209" i="15"/>
  <c r="Y1210" i="15"/>
  <c r="Y1211" i="15"/>
  <c r="Y1212" i="15"/>
  <c r="Y1213" i="15"/>
  <c r="Y1214" i="15"/>
  <c r="Y1215" i="15"/>
  <c r="Y1216" i="15"/>
  <c r="Y1217" i="15"/>
  <c r="Y1218" i="15"/>
  <c r="Y1219" i="15"/>
  <c r="Y1220" i="15"/>
  <c r="Y1221" i="15"/>
  <c r="Y1222" i="15"/>
  <c r="Y1223" i="15"/>
  <c r="Y1224" i="15"/>
  <c r="Y1188" i="15"/>
  <c r="Y1187" i="15"/>
  <c r="Y1186" i="15"/>
  <c r="Y1185" i="15"/>
  <c r="Y1184" i="15"/>
  <c r="Y1164" i="15"/>
  <c r="Y1165" i="15"/>
  <c r="Y1166" i="15"/>
  <c r="Y1167" i="15"/>
  <c r="Y1163" i="15"/>
  <c r="Y1162" i="15"/>
  <c r="Y1161" i="15"/>
  <c r="Y1160" i="15"/>
  <c r="Y1159" i="15"/>
  <c r="Y1158" i="15"/>
  <c r="Y1156" i="15"/>
  <c r="Y1157" i="15"/>
  <c r="Y1154" i="15"/>
  <c r="Y1155" i="15"/>
  <c r="Y1153" i="15"/>
  <c r="Y1152" i="15"/>
  <c r="Y1150" i="15"/>
  <c r="Y1151" i="15"/>
  <c r="Y1149" i="15"/>
  <c r="W1147" i="15"/>
  <c r="X1147" i="15"/>
  <c r="Y1147" i="15"/>
  <c r="W1148" i="15"/>
  <c r="X1148" i="15"/>
  <c r="Y1148" i="15"/>
  <c r="Y1146" i="15"/>
  <c r="V1238" i="15"/>
  <c r="V1235" i="15"/>
  <c r="V1236" i="15"/>
  <c r="V1237" i="15"/>
  <c r="V1233" i="15"/>
  <c r="V1234" i="15"/>
  <c r="V1231" i="15"/>
  <c r="V1232" i="15"/>
  <c r="V1229" i="15"/>
  <c r="V1230" i="15"/>
  <c r="V1227" i="15"/>
  <c r="V1228" i="15"/>
  <c r="V1225" i="15"/>
  <c r="V1226" i="15"/>
  <c r="V1189" i="15"/>
  <c r="V1190" i="15"/>
  <c r="V1191" i="15"/>
  <c r="V1192" i="15"/>
  <c r="V1193" i="15"/>
  <c r="V1194" i="15"/>
  <c r="V1195" i="15"/>
  <c r="V1196" i="15"/>
  <c r="V1197" i="15"/>
  <c r="V1198" i="15"/>
  <c r="V1199" i="15"/>
  <c r="V1200" i="15"/>
  <c r="V1201" i="15"/>
  <c r="V1202" i="15"/>
  <c r="V1203" i="15"/>
  <c r="V1204" i="15"/>
  <c r="V1205" i="15"/>
  <c r="V1206" i="15"/>
  <c r="V1207" i="15"/>
  <c r="V1208" i="15"/>
  <c r="V1209" i="15"/>
  <c r="V1210" i="15"/>
  <c r="V1211" i="15"/>
  <c r="V1212" i="15"/>
  <c r="V1213" i="15"/>
  <c r="V1214" i="15"/>
  <c r="V1215" i="15"/>
  <c r="V1216" i="15"/>
  <c r="V1217" i="15"/>
  <c r="V1218" i="15"/>
  <c r="V1219" i="15"/>
  <c r="V1220" i="15"/>
  <c r="V1221" i="15"/>
  <c r="V1222" i="15"/>
  <c r="V1223" i="15"/>
  <c r="V1224" i="15"/>
  <c r="V1188" i="15"/>
  <c r="V1187" i="15"/>
  <c r="V1186" i="15"/>
  <c r="V1185" i="15"/>
  <c r="V1184" i="15"/>
  <c r="V1164" i="15"/>
  <c r="V1165" i="15"/>
  <c r="V1166" i="15"/>
  <c r="V1167" i="15"/>
  <c r="V1163" i="15"/>
  <c r="V1162" i="15"/>
  <c r="V1161" i="15"/>
  <c r="V1160" i="15"/>
  <c r="V1159" i="15"/>
  <c r="V1158" i="15"/>
  <c r="V1156" i="15"/>
  <c r="V1157" i="15"/>
  <c r="V1154" i="15"/>
  <c r="V1155" i="15"/>
  <c r="V1153" i="15"/>
  <c r="V1152" i="15"/>
  <c r="V1150" i="15"/>
  <c r="V1151" i="15"/>
  <c r="V1149" i="15"/>
  <c r="T1147" i="15"/>
  <c r="U1147" i="15"/>
  <c r="V1147" i="15"/>
  <c r="T1148" i="15"/>
  <c r="U1148" i="15"/>
  <c r="V1148" i="15"/>
  <c r="T1146" i="15"/>
  <c r="U1146" i="15"/>
  <c r="V1146" i="15"/>
  <c r="AE1167" i="15"/>
  <c r="AE1168" i="15"/>
  <c r="AE1166" i="15"/>
  <c r="AE1165" i="15"/>
  <c r="AE1149" i="15"/>
  <c r="AE1150" i="15"/>
  <c r="AE1151" i="15"/>
  <c r="AE1152" i="15"/>
  <c r="AE1153" i="15"/>
  <c r="AE1154" i="15"/>
  <c r="AE1155" i="15"/>
  <c r="AE1156" i="15"/>
  <c r="AE1157" i="15"/>
  <c r="AE1158" i="15"/>
  <c r="AE1159" i="15"/>
  <c r="AE1160" i="15"/>
  <c r="AE1161" i="15"/>
  <c r="AE1162" i="15"/>
  <c r="AE1163" i="15"/>
  <c r="AE1164" i="15"/>
  <c r="AE1147" i="15"/>
  <c r="AE1148" i="15"/>
  <c r="AE1146" i="15"/>
  <c r="AB1167" i="15"/>
  <c r="AB1168" i="15"/>
  <c r="AB1166" i="15"/>
  <c r="AB1165" i="15"/>
  <c r="AB1149" i="15"/>
  <c r="AB1150" i="15"/>
  <c r="AB1151" i="15"/>
  <c r="AB1152" i="15"/>
  <c r="AB1153" i="15"/>
  <c r="AB1154" i="15"/>
  <c r="AB1155" i="15"/>
  <c r="AB1156" i="15"/>
  <c r="AB1157" i="15"/>
  <c r="AB1158" i="15"/>
  <c r="AB1159" i="15"/>
  <c r="AB1160" i="15"/>
  <c r="AB1161" i="15"/>
  <c r="AB1162" i="15"/>
  <c r="AB1163" i="15"/>
  <c r="AB1164" i="15"/>
  <c r="AB1147" i="15"/>
  <c r="AB1148" i="15"/>
  <c r="AB1146" i="15"/>
  <c r="AI1260" i="15"/>
  <c r="AK1260" i="15"/>
  <c r="AI1257" i="15"/>
  <c r="AK1257" i="15"/>
  <c r="AI1258" i="15"/>
  <c r="AK1258" i="15"/>
  <c r="AI1259" i="15"/>
  <c r="AK1259" i="15"/>
  <c r="AI1255" i="15"/>
  <c r="AJ1255" i="15"/>
  <c r="AK1255" i="15"/>
  <c r="AI1256" i="15"/>
  <c r="AK1256" i="15"/>
  <c r="AI1254" i="15"/>
  <c r="AJ1254" i="15"/>
  <c r="AK1254" i="15"/>
  <c r="AI1253" i="15"/>
  <c r="AJ1253" i="15"/>
  <c r="AK1253" i="15"/>
  <c r="AI1247" i="15"/>
  <c r="AJ1247" i="15"/>
  <c r="AK1247" i="15"/>
  <c r="AI1248" i="15"/>
  <c r="AJ1248" i="15"/>
  <c r="AK1248" i="15"/>
  <c r="AI1249" i="15"/>
  <c r="AJ1249" i="15"/>
  <c r="AK1249" i="15"/>
  <c r="AI1250" i="15"/>
  <c r="AJ1250" i="15"/>
  <c r="AK1250" i="15"/>
  <c r="AI1251" i="15"/>
  <c r="AJ1251" i="15"/>
  <c r="AK1251" i="15"/>
  <c r="AI1252" i="15"/>
  <c r="AJ1252" i="15"/>
  <c r="AK1252" i="15"/>
  <c r="AI1244" i="15"/>
  <c r="AK1244" i="15"/>
  <c r="AI1245" i="15"/>
  <c r="AK1245" i="15"/>
  <c r="AI1246" i="15"/>
  <c r="AK1246" i="15"/>
  <c r="AI1236" i="15"/>
  <c r="AJ1236" i="15"/>
  <c r="AK1236" i="15"/>
  <c r="AI1237" i="15"/>
  <c r="AJ1237" i="15"/>
  <c r="AK1237" i="15"/>
  <c r="AK1238" i="15"/>
  <c r="AK1239" i="15"/>
  <c r="AK1240" i="15"/>
  <c r="AK1241" i="15"/>
  <c r="AK1242" i="15"/>
  <c r="AK1243" i="15"/>
  <c r="AI1234" i="15"/>
  <c r="AJ1234" i="15"/>
  <c r="AK1234" i="15"/>
  <c r="AI1235" i="15"/>
  <c r="AJ1235" i="15"/>
  <c r="AK1235" i="15"/>
  <c r="AI1232" i="15"/>
  <c r="AJ1232" i="15"/>
  <c r="AK1232" i="15"/>
  <c r="AI1233" i="15"/>
  <c r="AJ1233" i="15"/>
  <c r="AK1233" i="15"/>
  <c r="AI1230" i="15"/>
  <c r="AK1230" i="15"/>
  <c r="AI1231" i="15"/>
  <c r="AK1231" i="15"/>
  <c r="AI1228" i="15"/>
  <c r="AK1228" i="15"/>
  <c r="AI1229" i="15"/>
  <c r="AK1229" i="15"/>
  <c r="AI1192" i="15"/>
  <c r="AK1192" i="15"/>
  <c r="AI1193" i="15"/>
  <c r="AK1193" i="15"/>
  <c r="AI1194" i="15"/>
  <c r="AK1194" i="15"/>
  <c r="AI1195" i="15"/>
  <c r="AK1195" i="15"/>
  <c r="AI1196" i="15"/>
  <c r="AK1196" i="15"/>
  <c r="AI1197" i="15"/>
  <c r="AK1197" i="15"/>
  <c r="AI1198" i="15"/>
  <c r="AK1198" i="15"/>
  <c r="AI1199" i="15"/>
  <c r="AK1199" i="15"/>
  <c r="AI1200" i="15"/>
  <c r="AK1200" i="15"/>
  <c r="AI1201" i="15"/>
  <c r="AK1201" i="15"/>
  <c r="AI1202" i="15"/>
  <c r="AK1202" i="15"/>
  <c r="AI1203" i="15"/>
  <c r="AK1203" i="15"/>
  <c r="AI1204" i="15"/>
  <c r="AK1204" i="15"/>
  <c r="AI1205" i="15"/>
  <c r="AK1205" i="15"/>
  <c r="AI1206" i="15"/>
  <c r="AK1206" i="15"/>
  <c r="AI1207" i="15"/>
  <c r="AK1207" i="15"/>
  <c r="AI1208" i="15"/>
  <c r="AK1208" i="15"/>
  <c r="AI1209" i="15"/>
  <c r="AK1209" i="15"/>
  <c r="AI1210" i="15"/>
  <c r="AK1210" i="15"/>
  <c r="AI1211" i="15"/>
  <c r="AK1211" i="15"/>
  <c r="AI1212" i="15"/>
  <c r="AK1212" i="15"/>
  <c r="AI1213" i="15"/>
  <c r="AK1213" i="15"/>
  <c r="AI1214" i="15"/>
  <c r="AK1214" i="15"/>
  <c r="AI1215" i="15"/>
  <c r="AK1215" i="15"/>
  <c r="AI1216" i="15"/>
  <c r="AK1216" i="15"/>
  <c r="AI1217" i="15"/>
  <c r="AK1217" i="15"/>
  <c r="AI1218" i="15"/>
  <c r="AK1218" i="15"/>
  <c r="AI1219" i="15"/>
  <c r="AK1219" i="15"/>
  <c r="AI1220" i="15"/>
  <c r="AK1220" i="15"/>
  <c r="AI1221" i="15"/>
  <c r="AK1221" i="15"/>
  <c r="AI1222" i="15"/>
  <c r="AK1222" i="15"/>
  <c r="AI1223" i="15"/>
  <c r="AK1223" i="15"/>
  <c r="AI1224" i="15"/>
  <c r="AK1224" i="15"/>
  <c r="AI1225" i="15"/>
  <c r="AK1225" i="15"/>
  <c r="AI1226" i="15"/>
  <c r="AK1226" i="15"/>
  <c r="AI1227" i="15"/>
  <c r="AK1227" i="15"/>
  <c r="AI1191" i="15"/>
  <c r="AJ1191" i="15"/>
  <c r="AK1191" i="15"/>
  <c r="AI1190" i="15"/>
  <c r="AJ1190" i="15"/>
  <c r="AK1190" i="15"/>
  <c r="AI1189" i="15"/>
  <c r="AJ1189" i="15"/>
  <c r="AK1189" i="15"/>
  <c r="AI1188" i="15"/>
  <c r="AJ1188" i="15"/>
  <c r="AK1188" i="15"/>
  <c r="AI1185" i="15"/>
  <c r="AJ1185" i="15"/>
  <c r="AK1185" i="15"/>
  <c r="AI1186" i="15"/>
  <c r="AK1186" i="15"/>
  <c r="AI1187" i="15"/>
  <c r="AK1187" i="15"/>
  <c r="AI1184" i="15"/>
  <c r="AK1184" i="15"/>
  <c r="AI1168" i="15"/>
  <c r="AK1168" i="15"/>
  <c r="AI1169" i="15"/>
  <c r="AK1169" i="15"/>
  <c r="AI1170" i="15"/>
  <c r="AK1170" i="15"/>
  <c r="AI1171" i="15"/>
  <c r="AK1171" i="15"/>
  <c r="AI1172" i="15"/>
  <c r="AK1172" i="15"/>
  <c r="AI1173" i="15"/>
  <c r="AK1173" i="15"/>
  <c r="AI1174" i="15"/>
  <c r="AK1174" i="15"/>
  <c r="AI1175" i="15"/>
  <c r="AK1175" i="15"/>
  <c r="AI1176" i="15"/>
  <c r="AK1176" i="15"/>
  <c r="AI1177" i="15"/>
  <c r="AK1177" i="15"/>
  <c r="AI1178" i="15"/>
  <c r="AK1178" i="15"/>
  <c r="AI1179" i="15"/>
  <c r="AK1179" i="15"/>
  <c r="AI1180" i="15"/>
  <c r="AK1180" i="15"/>
  <c r="AI1181" i="15"/>
  <c r="AK1181" i="15"/>
  <c r="AI1182" i="15"/>
  <c r="AK1182" i="15"/>
  <c r="AI1183" i="15"/>
  <c r="AK1183" i="15"/>
  <c r="AK1164" i="15"/>
  <c r="AK1165" i="15"/>
  <c r="AK1166" i="15"/>
  <c r="AK1167" i="15"/>
  <c r="AK1163" i="15"/>
  <c r="AK1162" i="15"/>
  <c r="AJ1161" i="15"/>
  <c r="AK1161" i="15"/>
  <c r="AJ1160" i="15"/>
  <c r="AK1160" i="15"/>
  <c r="AJ1159" i="15"/>
  <c r="AK1159" i="15"/>
  <c r="AJ1158" i="15"/>
  <c r="AK1158" i="15"/>
  <c r="AK1157" i="15"/>
  <c r="AK1156" i="15"/>
  <c r="AJ1155" i="15"/>
  <c r="AK1155" i="15"/>
  <c r="AJ1154" i="15"/>
  <c r="AK1154" i="15"/>
  <c r="AJ1153" i="15"/>
  <c r="AK1153" i="15"/>
  <c r="AJ1152" i="15"/>
  <c r="AK1152" i="15"/>
  <c r="AI1150" i="15"/>
  <c r="AJ1150" i="15"/>
  <c r="AK1150" i="15"/>
  <c r="AI1151" i="15"/>
  <c r="AJ1151" i="15"/>
  <c r="AK1151" i="15"/>
  <c r="AI1148" i="15"/>
  <c r="AJ1148" i="15"/>
  <c r="AK1148" i="15"/>
  <c r="AI1149" i="15"/>
  <c r="AJ1149" i="15"/>
  <c r="AK1149" i="15"/>
  <c r="AI1147" i="15"/>
  <c r="AJ1147" i="15"/>
  <c r="AK1147" i="15"/>
  <c r="AI1146" i="15"/>
  <c r="AJ1146" i="15"/>
  <c r="AK1146" i="15"/>
  <c r="AF1260" i="15"/>
  <c r="AH1260" i="15"/>
  <c r="AF1257" i="15"/>
  <c r="AH1257" i="15"/>
  <c r="AF1258" i="15"/>
  <c r="AH1258" i="15"/>
  <c r="AF1259" i="15"/>
  <c r="AH1259" i="15"/>
  <c r="AF1255" i="15"/>
  <c r="AG1255" i="15"/>
  <c r="AH1255" i="15"/>
  <c r="AF1256" i="15"/>
  <c r="AG1256" i="15"/>
  <c r="AH1256" i="15"/>
  <c r="AF1254" i="15"/>
  <c r="AG1254" i="15"/>
  <c r="AH1254" i="15"/>
  <c r="AF1253" i="15"/>
  <c r="AG1253" i="15"/>
  <c r="AH1253" i="15"/>
  <c r="AF1247" i="15"/>
  <c r="AG1247" i="15"/>
  <c r="AH1247" i="15"/>
  <c r="AF1248" i="15"/>
  <c r="AG1248" i="15"/>
  <c r="AH1248" i="15"/>
  <c r="AF1249" i="15"/>
  <c r="AG1249" i="15"/>
  <c r="AH1249" i="15"/>
  <c r="AF1250" i="15"/>
  <c r="AG1250" i="15"/>
  <c r="AH1250" i="15"/>
  <c r="AF1251" i="15"/>
  <c r="AG1251" i="15"/>
  <c r="AH1251" i="15"/>
  <c r="AF1252" i="15"/>
  <c r="AG1252" i="15"/>
  <c r="AH1252" i="15"/>
  <c r="AF1244" i="15"/>
  <c r="AH1244" i="15"/>
  <c r="AF1245" i="15"/>
  <c r="AH1245" i="15"/>
  <c r="AF1246" i="15"/>
  <c r="AH1246" i="15"/>
  <c r="AF1236" i="15"/>
  <c r="AG1236" i="15"/>
  <c r="AH1236" i="15"/>
  <c r="AF1237" i="15"/>
  <c r="AG1237" i="15"/>
  <c r="AH1237" i="15"/>
  <c r="AH1238" i="15"/>
  <c r="AH1239" i="15"/>
  <c r="AH1240" i="15"/>
  <c r="AH1241" i="15"/>
  <c r="AH1242" i="15"/>
  <c r="AH1243" i="15"/>
  <c r="AF1234" i="15"/>
  <c r="AG1234" i="15"/>
  <c r="AH1234" i="15"/>
  <c r="AF1235" i="15"/>
  <c r="AG1235" i="15"/>
  <c r="AH1235" i="15"/>
  <c r="AF1232" i="15"/>
  <c r="AG1232" i="15"/>
  <c r="AH1232" i="15"/>
  <c r="AF1233" i="15"/>
  <c r="AG1233" i="15"/>
  <c r="AH1233" i="15"/>
  <c r="AF1230" i="15"/>
  <c r="AH1230" i="15"/>
  <c r="AF1231" i="15"/>
  <c r="AH1231" i="15"/>
  <c r="AF1228" i="15"/>
  <c r="AH1228" i="15"/>
  <c r="AF1229" i="15"/>
  <c r="AH1229" i="15"/>
  <c r="AF1192" i="15"/>
  <c r="AH1192" i="15"/>
  <c r="AF1193" i="15"/>
  <c r="AH1193" i="15"/>
  <c r="AF1194" i="15"/>
  <c r="AH1194" i="15"/>
  <c r="AF1195" i="15"/>
  <c r="AH1195" i="15"/>
  <c r="AF1196" i="15"/>
  <c r="AH1196" i="15"/>
  <c r="AF1197" i="15"/>
  <c r="AH1197" i="15"/>
  <c r="AF1198" i="15"/>
  <c r="AH1198" i="15"/>
  <c r="AF1199" i="15"/>
  <c r="AH1199" i="15"/>
  <c r="AF1200" i="15"/>
  <c r="AH1200" i="15"/>
  <c r="AF1201" i="15"/>
  <c r="AH1201" i="15"/>
  <c r="AF1202" i="15"/>
  <c r="AH1202" i="15"/>
  <c r="AF1203" i="15"/>
  <c r="AH1203" i="15"/>
  <c r="AF1204" i="15"/>
  <c r="AH1204" i="15"/>
  <c r="AF1205" i="15"/>
  <c r="AH1205" i="15"/>
  <c r="AF1206" i="15"/>
  <c r="AH1206" i="15"/>
  <c r="AF1207" i="15"/>
  <c r="AH1207" i="15"/>
  <c r="AF1208" i="15"/>
  <c r="AH1208" i="15"/>
  <c r="AF1209" i="15"/>
  <c r="AH1209" i="15"/>
  <c r="AF1210" i="15"/>
  <c r="AH1210" i="15"/>
  <c r="AF1211" i="15"/>
  <c r="AH1211" i="15"/>
  <c r="AF1212" i="15"/>
  <c r="AH1212" i="15"/>
  <c r="AF1213" i="15"/>
  <c r="AH1213" i="15"/>
  <c r="AF1214" i="15"/>
  <c r="AH1214" i="15"/>
  <c r="AF1215" i="15"/>
  <c r="AH1215" i="15"/>
  <c r="AF1216" i="15"/>
  <c r="AH1216" i="15"/>
  <c r="AF1217" i="15"/>
  <c r="AH1217" i="15"/>
  <c r="AF1218" i="15"/>
  <c r="AH1218" i="15"/>
  <c r="AF1219" i="15"/>
  <c r="AH1219" i="15"/>
  <c r="AF1220" i="15"/>
  <c r="AH1220" i="15"/>
  <c r="AF1221" i="15"/>
  <c r="AH1221" i="15"/>
  <c r="AF1222" i="15"/>
  <c r="AH1222" i="15"/>
  <c r="AF1223" i="15"/>
  <c r="AH1223" i="15"/>
  <c r="AF1224" i="15"/>
  <c r="AH1224" i="15"/>
  <c r="AF1225" i="15"/>
  <c r="AH1225" i="15"/>
  <c r="AF1226" i="15"/>
  <c r="AH1226" i="15"/>
  <c r="AF1227" i="15"/>
  <c r="AH1227" i="15"/>
  <c r="AF1191" i="15"/>
  <c r="AG1191" i="15"/>
  <c r="AH1191" i="15"/>
  <c r="AF1190" i="15"/>
  <c r="AG1190" i="15"/>
  <c r="AH1190" i="15"/>
  <c r="AF1189" i="15"/>
  <c r="AG1189" i="15"/>
  <c r="AH1189" i="15"/>
  <c r="AF1188" i="15"/>
  <c r="AG1188" i="15"/>
  <c r="AH1188" i="15"/>
  <c r="AF1185" i="15"/>
  <c r="AG1185" i="15"/>
  <c r="AH1185" i="15"/>
  <c r="AF1186" i="15"/>
  <c r="AH1186" i="15"/>
  <c r="AF1187" i="15"/>
  <c r="AH1187" i="15"/>
  <c r="AF1184" i="15"/>
  <c r="AH1184" i="15"/>
  <c r="AF1168" i="15"/>
  <c r="AH1168" i="15"/>
  <c r="AF1169" i="15"/>
  <c r="AH1169" i="15"/>
  <c r="AF1170" i="15"/>
  <c r="AH1170" i="15"/>
  <c r="AF1171" i="15"/>
  <c r="AH1171" i="15"/>
  <c r="AF1172" i="15"/>
  <c r="AH1172" i="15"/>
  <c r="AF1173" i="15"/>
  <c r="AH1173" i="15"/>
  <c r="AF1174" i="15"/>
  <c r="AH1174" i="15"/>
  <c r="AF1175" i="15"/>
  <c r="AH1175" i="15"/>
  <c r="AF1176" i="15"/>
  <c r="AH1176" i="15"/>
  <c r="AF1177" i="15"/>
  <c r="AH1177" i="15"/>
  <c r="AF1178" i="15"/>
  <c r="AH1178" i="15"/>
  <c r="AF1179" i="15"/>
  <c r="AH1179" i="15"/>
  <c r="AF1180" i="15"/>
  <c r="AH1180" i="15"/>
  <c r="AF1181" i="15"/>
  <c r="AH1181" i="15"/>
  <c r="AF1182" i="15"/>
  <c r="AH1182" i="15"/>
  <c r="AF1183" i="15"/>
  <c r="AH1183" i="15"/>
  <c r="AH1164" i="15"/>
  <c r="AH1165" i="15"/>
  <c r="AH1166" i="15"/>
  <c r="AH1167" i="15"/>
  <c r="AH1163" i="15"/>
  <c r="AH1162" i="15"/>
  <c r="AG1161" i="15"/>
  <c r="AH1161" i="15"/>
  <c r="AG1160" i="15"/>
  <c r="AH1160" i="15"/>
  <c r="AG1159" i="15"/>
  <c r="AH1159" i="15"/>
  <c r="AG1158" i="15"/>
  <c r="AH1158" i="15"/>
  <c r="AH1157" i="15"/>
  <c r="AH1156" i="15"/>
  <c r="AG1155" i="15"/>
  <c r="AH1155" i="15"/>
  <c r="AG1154" i="15"/>
  <c r="AH1154" i="15"/>
  <c r="AG1153" i="15"/>
  <c r="AH1153" i="15"/>
  <c r="AG1152" i="15"/>
  <c r="AH1152" i="15"/>
  <c r="AF1150" i="15"/>
  <c r="AG1150" i="15"/>
  <c r="AH1150" i="15"/>
  <c r="AF1151" i="15"/>
  <c r="AG1151" i="15"/>
  <c r="AH1151" i="15"/>
  <c r="AF1148" i="15"/>
  <c r="AG1148" i="15"/>
  <c r="AH1148" i="15"/>
  <c r="AF1149" i="15"/>
  <c r="AG1149" i="15"/>
  <c r="AH1149" i="15"/>
  <c r="AF1147" i="15"/>
  <c r="AG1147" i="15"/>
  <c r="AH1147" i="15"/>
  <c r="AF1146" i="15"/>
  <c r="AG1146" i="15"/>
  <c r="AH1146" i="15"/>
  <c r="AI1142" i="15"/>
  <c r="AJ1142" i="15"/>
  <c r="AK1142" i="15"/>
  <c r="AI1141" i="15"/>
  <c r="AJ1141" i="15"/>
  <c r="AK1141" i="15"/>
  <c r="AI1140" i="15"/>
  <c r="AJ1140" i="15"/>
  <c r="AK1140" i="15"/>
  <c r="AI1139" i="15"/>
  <c r="AJ1139" i="15"/>
  <c r="AK1139" i="15"/>
  <c r="AI1137" i="15"/>
  <c r="AJ1137" i="15"/>
  <c r="AK1137" i="15"/>
  <c r="AI1138" i="15"/>
  <c r="AJ1138" i="15"/>
  <c r="AK1138" i="15"/>
  <c r="AI1136" i="15"/>
  <c r="AK1136" i="15"/>
  <c r="AI1135" i="15"/>
  <c r="AJ1135" i="15"/>
  <c r="AK1135" i="15"/>
  <c r="AI1134" i="15"/>
  <c r="AJ1134" i="15"/>
  <c r="AK1134" i="15"/>
  <c r="AI1133" i="15"/>
  <c r="AJ1133" i="15"/>
  <c r="AK1133" i="15"/>
  <c r="AI1132" i="15"/>
  <c r="AK1132" i="15"/>
  <c r="AI1131" i="15"/>
  <c r="AK1131" i="15"/>
  <c r="AI1130" i="15"/>
  <c r="AK1130" i="15"/>
  <c r="AI1128" i="15"/>
  <c r="AJ1128" i="15"/>
  <c r="AK1128" i="15"/>
  <c r="AI1129" i="15"/>
  <c r="AJ1129" i="15"/>
  <c r="AK1129" i="15"/>
  <c r="AI1126" i="15"/>
  <c r="AK1126" i="15"/>
  <c r="AI1127" i="15"/>
  <c r="AK1127" i="15"/>
  <c r="AI1124" i="15"/>
  <c r="AJ1124" i="15"/>
  <c r="AK1124" i="15"/>
  <c r="AI1125" i="15"/>
  <c r="AJ1125" i="15"/>
  <c r="AK1125" i="15"/>
  <c r="AI1122" i="15"/>
  <c r="AK1122" i="15"/>
  <c r="AI1123" i="15"/>
  <c r="AJ1123" i="15"/>
  <c r="AK1123" i="15"/>
  <c r="AI1119" i="15"/>
  <c r="AK1119" i="15"/>
  <c r="AI1120" i="15"/>
  <c r="AK1120" i="15"/>
  <c r="AI1121" i="15"/>
  <c r="AK1121" i="15"/>
  <c r="AI1118" i="15"/>
  <c r="AK1118" i="15"/>
  <c r="AI1117" i="15"/>
  <c r="AK1117" i="15"/>
  <c r="AI1116" i="15"/>
  <c r="AK1116" i="15"/>
  <c r="AI1115" i="15"/>
  <c r="AK1115" i="15"/>
  <c r="AK1114" i="15"/>
  <c r="AI1113" i="15"/>
  <c r="AJ1113" i="15"/>
  <c r="AK1113" i="15"/>
  <c r="AI1112" i="15"/>
  <c r="AJ1112" i="15"/>
  <c r="AK1112" i="15"/>
  <c r="AK1111" i="15"/>
  <c r="AI1110" i="15"/>
  <c r="AJ1110" i="15"/>
  <c r="AK1110" i="15"/>
  <c r="AI1109" i="15"/>
  <c r="AJ1109" i="15"/>
  <c r="AK1109" i="15"/>
  <c r="AF1142" i="15"/>
  <c r="AG1142" i="15"/>
  <c r="AH1142" i="15"/>
  <c r="AF1141" i="15"/>
  <c r="AG1141" i="15"/>
  <c r="AH1141" i="15"/>
  <c r="AF1140" i="15"/>
  <c r="AG1140" i="15"/>
  <c r="AH1140" i="15"/>
  <c r="AF1139" i="15"/>
  <c r="AG1139" i="15"/>
  <c r="AH1139" i="15"/>
  <c r="AF1137" i="15"/>
  <c r="AG1137" i="15"/>
  <c r="AH1137" i="15"/>
  <c r="AF1138" i="15"/>
  <c r="AG1138" i="15"/>
  <c r="AH1138" i="15"/>
  <c r="AF1136" i="15"/>
  <c r="AH1136" i="15"/>
  <c r="AF1135" i="15"/>
  <c r="AG1135" i="15"/>
  <c r="AH1135" i="15"/>
  <c r="AF1134" i="15"/>
  <c r="AG1134" i="15"/>
  <c r="AH1134" i="15"/>
  <c r="AF1133" i="15"/>
  <c r="AG1133" i="15"/>
  <c r="AH1133" i="15"/>
  <c r="AF1132" i="15"/>
  <c r="AH1132" i="15"/>
  <c r="AF1131" i="15"/>
  <c r="AH1131" i="15"/>
  <c r="AF1130" i="15"/>
  <c r="AH1130" i="15"/>
  <c r="AF1128" i="15"/>
  <c r="AG1128" i="15"/>
  <c r="AH1128" i="15"/>
  <c r="AF1129" i="15"/>
  <c r="AG1129" i="15"/>
  <c r="AH1129" i="15"/>
  <c r="AF1126" i="15"/>
  <c r="AH1126" i="15"/>
  <c r="AF1127" i="15"/>
  <c r="AH1127" i="15"/>
  <c r="AF1124" i="15"/>
  <c r="AG1124" i="15"/>
  <c r="AH1124" i="15"/>
  <c r="AF1125" i="15"/>
  <c r="AG1125" i="15"/>
  <c r="AH1125" i="15"/>
  <c r="AF1122" i="15"/>
  <c r="AH1122" i="15"/>
  <c r="AF1123" i="15"/>
  <c r="AG1123" i="15"/>
  <c r="AH1123" i="15"/>
  <c r="AF1119" i="15"/>
  <c r="AH1119" i="15"/>
  <c r="AF1120" i="15"/>
  <c r="AH1120" i="15"/>
  <c r="AF1121" i="15"/>
  <c r="AH1121" i="15"/>
  <c r="AF1118" i="15"/>
  <c r="AH1118" i="15"/>
  <c r="AF1117" i="15"/>
  <c r="AH1117" i="15"/>
  <c r="AF1116" i="15"/>
  <c r="AH1116" i="15"/>
  <c r="AF1115" i="15"/>
  <c r="AH1115" i="15"/>
  <c r="AH1114" i="15"/>
  <c r="AF1113" i="15"/>
  <c r="AG1113" i="15"/>
  <c r="AH1113" i="15"/>
  <c r="AF1112" i="15"/>
  <c r="AG1112" i="15"/>
  <c r="AH1112" i="15"/>
  <c r="AH1111" i="15"/>
  <c r="AF1110" i="15"/>
  <c r="AG1110" i="15"/>
  <c r="AH1110" i="15"/>
  <c r="AF1109" i="15"/>
  <c r="AG1109" i="15"/>
  <c r="AH1109" i="15"/>
  <c r="AE1123" i="15"/>
  <c r="AC1119" i="15"/>
  <c r="AD1119" i="15"/>
  <c r="AE1119" i="15"/>
  <c r="AC1120" i="15"/>
  <c r="AD1120" i="15"/>
  <c r="AE1120" i="15"/>
  <c r="AE1121" i="15"/>
  <c r="AE1122" i="15"/>
  <c r="AC1117" i="15"/>
  <c r="AE1117" i="15"/>
  <c r="AC1118" i="15"/>
  <c r="AE1118" i="15"/>
  <c r="AE1113" i="15"/>
  <c r="AE1114" i="15"/>
  <c r="AE1115" i="15"/>
  <c r="AE1116" i="15"/>
  <c r="AE1112" i="15"/>
  <c r="AE1111" i="15"/>
  <c r="AE1110" i="15"/>
  <c r="AE1109" i="15"/>
  <c r="AB1123" i="15"/>
  <c r="Z1119" i="15"/>
  <c r="AA1119" i="15"/>
  <c r="AB1119" i="15"/>
  <c r="Z1120" i="15"/>
  <c r="AA1120" i="15"/>
  <c r="AB1120" i="15"/>
  <c r="AB1121" i="15"/>
  <c r="AB1122" i="15"/>
  <c r="Z1117" i="15"/>
  <c r="AB1117" i="15"/>
  <c r="Z1118" i="15"/>
  <c r="AB1118" i="15"/>
  <c r="AB1113" i="15"/>
  <c r="AB1114" i="15"/>
  <c r="AB1115" i="15"/>
  <c r="AB1116" i="15"/>
  <c r="AB1112" i="15"/>
  <c r="AB1111" i="15"/>
  <c r="AB1110" i="15"/>
  <c r="AB1109" i="15"/>
  <c r="Y1139" i="15"/>
  <c r="Y1138" i="15"/>
  <c r="Y1137" i="15"/>
  <c r="Y1136" i="15"/>
  <c r="Y1135" i="15"/>
  <c r="Y1134" i="15"/>
  <c r="Y1133" i="15"/>
  <c r="Y1132" i="15"/>
  <c r="Y1131" i="15"/>
  <c r="Y1130" i="15"/>
  <c r="W1126" i="15"/>
  <c r="X1126" i="15"/>
  <c r="Y1126" i="15"/>
  <c r="W1127" i="15"/>
  <c r="X1127" i="15"/>
  <c r="Y1127" i="15"/>
  <c r="W1128" i="15"/>
  <c r="Y1128" i="15"/>
  <c r="W1129" i="15"/>
  <c r="Y1129" i="15"/>
  <c r="W1124" i="15"/>
  <c r="Y1124" i="15"/>
  <c r="W1125" i="15"/>
  <c r="Y1125" i="15"/>
  <c r="Y1122" i="15"/>
  <c r="Y1123" i="15"/>
  <c r="W1120" i="15"/>
  <c r="Y1120" i="15"/>
  <c r="Y1121" i="15"/>
  <c r="Y1116" i="15"/>
  <c r="Y1117" i="15"/>
  <c r="Y1118" i="15"/>
  <c r="Y1119" i="15"/>
  <c r="Y1115" i="15"/>
  <c r="Y1114" i="15"/>
  <c r="Y1113" i="15"/>
  <c r="Y1112" i="15"/>
  <c r="Y1111" i="15"/>
  <c r="Y1110" i="15"/>
  <c r="Y1109" i="15"/>
  <c r="V1139" i="15"/>
  <c r="V1138" i="15"/>
  <c r="V1137" i="15"/>
  <c r="V1136" i="15"/>
  <c r="V1135" i="15"/>
  <c r="V1134" i="15"/>
  <c r="V1133" i="15"/>
  <c r="V1132" i="15"/>
  <c r="V1131" i="15"/>
  <c r="V1130" i="15"/>
  <c r="T1126" i="15"/>
  <c r="U1126" i="15"/>
  <c r="V1126" i="15"/>
  <c r="T1127" i="15"/>
  <c r="U1127" i="15"/>
  <c r="V1127" i="15"/>
  <c r="T1128" i="15"/>
  <c r="V1128" i="15"/>
  <c r="T1129" i="15"/>
  <c r="V1129" i="15"/>
  <c r="V1124" i="15"/>
  <c r="V1125" i="15"/>
  <c r="V1122" i="15"/>
  <c r="V1123" i="15"/>
  <c r="T1120" i="15"/>
  <c r="V1120" i="15"/>
  <c r="V1121" i="15"/>
  <c r="V1116" i="15"/>
  <c r="V1117" i="15"/>
  <c r="V1118" i="15"/>
  <c r="V1119" i="15"/>
  <c r="V1115" i="15"/>
  <c r="V1114" i="15"/>
  <c r="V1113" i="15"/>
  <c r="V1112" i="15"/>
  <c r="V1111" i="15"/>
  <c r="V1110" i="15"/>
  <c r="V1109" i="15"/>
  <c r="S1124" i="15"/>
  <c r="P1124" i="15"/>
  <c r="S1123" i="15"/>
  <c r="P1123" i="15"/>
  <c r="S1122" i="15"/>
  <c r="P1122" i="15"/>
  <c r="S1121" i="15"/>
  <c r="P1121" i="15"/>
  <c r="S1120" i="15"/>
  <c r="P1120" i="15"/>
  <c r="S1119" i="15"/>
  <c r="P1119" i="15"/>
  <c r="Q1117" i="15"/>
  <c r="S1117" i="15"/>
  <c r="Q1118" i="15"/>
  <c r="S1118" i="15"/>
  <c r="P1117" i="15"/>
  <c r="P1118" i="15"/>
  <c r="S1115" i="15"/>
  <c r="S1116" i="15"/>
  <c r="P1115" i="15"/>
  <c r="P1116" i="15"/>
  <c r="S1114" i="15"/>
  <c r="P1114" i="15"/>
  <c r="S1113" i="15"/>
  <c r="P1113" i="15"/>
  <c r="S1112" i="15"/>
  <c r="P1112" i="15"/>
  <c r="S1111" i="15"/>
  <c r="P1111" i="15"/>
  <c r="S1110" i="15"/>
  <c r="P1110" i="15"/>
  <c r="S1109" i="15"/>
  <c r="P1109" i="15"/>
  <c r="M1118" i="15"/>
  <c r="J1118" i="15"/>
  <c r="M1117" i="15"/>
  <c r="J1117" i="15"/>
  <c r="M1116" i="15"/>
  <c r="J1116" i="15"/>
  <c r="M1115" i="15"/>
  <c r="J1115" i="15"/>
  <c r="M1114" i="15"/>
  <c r="J1114" i="15"/>
  <c r="M1113" i="15"/>
  <c r="J1113" i="15"/>
  <c r="M1112" i="15"/>
  <c r="J1112" i="15"/>
  <c r="M1111" i="15"/>
  <c r="J1111" i="15"/>
  <c r="M1110" i="15"/>
  <c r="J1110" i="15"/>
  <c r="M1109" i="15"/>
  <c r="J1109" i="15"/>
  <c r="G1118" i="15"/>
  <c r="D1118" i="15"/>
  <c r="G1117" i="15"/>
  <c r="D1117" i="15"/>
  <c r="G1116" i="15"/>
  <c r="D1116" i="15"/>
  <c r="G1115" i="15"/>
  <c r="D1115" i="15"/>
  <c r="G1114" i="15"/>
  <c r="D1114" i="15"/>
  <c r="G1113" i="15"/>
  <c r="D1113" i="15"/>
  <c r="G1112" i="15"/>
  <c r="D1112" i="15"/>
  <c r="G1111" i="15"/>
  <c r="D1111" i="15"/>
  <c r="G1110" i="15"/>
  <c r="D1110" i="15"/>
  <c r="G1109" i="15"/>
  <c r="D1109" i="15"/>
  <c r="AI1103" i="15"/>
  <c r="AK1103" i="15"/>
  <c r="AI1104" i="15"/>
  <c r="AK1104" i="15"/>
  <c r="AI1105" i="15"/>
  <c r="AK1105" i="15"/>
  <c r="AI1097" i="15"/>
  <c r="AK1097" i="15"/>
  <c r="AI1098" i="15"/>
  <c r="AK1098" i="15"/>
  <c r="AI1099" i="15"/>
  <c r="AK1099" i="15"/>
  <c r="AI1100" i="15"/>
  <c r="AK1100" i="15"/>
  <c r="AI1101" i="15"/>
  <c r="AJ1101" i="15"/>
  <c r="AK1101" i="15"/>
  <c r="AI1102" i="15"/>
  <c r="AJ1102" i="15"/>
  <c r="AK1102" i="15"/>
  <c r="AI1095" i="15"/>
  <c r="AJ1095" i="15"/>
  <c r="AK1095" i="15"/>
  <c r="AI1096" i="15"/>
  <c r="AJ1096" i="15"/>
  <c r="AK1096" i="15"/>
  <c r="AI1093" i="15"/>
  <c r="AJ1093" i="15"/>
  <c r="AK1093" i="15"/>
  <c r="AI1094" i="15"/>
  <c r="AJ1094" i="15"/>
  <c r="AK1094" i="15"/>
  <c r="AI1091" i="15"/>
  <c r="AJ1091" i="15"/>
  <c r="AK1091" i="15"/>
  <c r="AI1092" i="15"/>
  <c r="AJ1092" i="15"/>
  <c r="AK1092" i="15"/>
  <c r="AI1090" i="15"/>
  <c r="AJ1090" i="15"/>
  <c r="AK1090" i="15"/>
  <c r="AI1089" i="15"/>
  <c r="AK1089" i="15"/>
  <c r="AI1088" i="15"/>
  <c r="AJ1088" i="15"/>
  <c r="AK1088" i="15"/>
  <c r="AI1087" i="15"/>
  <c r="AJ1087" i="15"/>
  <c r="AK1087" i="15"/>
  <c r="AI1086" i="15"/>
  <c r="AJ1086" i="15"/>
  <c r="AK1086" i="15"/>
  <c r="AI1083" i="15"/>
  <c r="AK1083" i="15"/>
  <c r="AI1084" i="15"/>
  <c r="AK1084" i="15"/>
  <c r="AI1085" i="15"/>
  <c r="AK1085" i="15"/>
  <c r="AI1080" i="15"/>
  <c r="AK1080" i="15"/>
  <c r="AI1081" i="15"/>
  <c r="AK1081" i="15"/>
  <c r="AI1082" i="15"/>
  <c r="AK1082" i="15"/>
  <c r="AI1077" i="15"/>
  <c r="AK1077" i="15"/>
  <c r="AI1078" i="15"/>
  <c r="AK1078" i="15"/>
  <c r="AI1079" i="15"/>
  <c r="AK1079" i="15"/>
  <c r="AI1076" i="15"/>
  <c r="AK1076" i="15"/>
  <c r="AI1075" i="15"/>
  <c r="AK1075" i="15"/>
  <c r="AI1074" i="15"/>
  <c r="AK1074" i="15"/>
  <c r="AI1073" i="15"/>
  <c r="AK1073" i="15"/>
  <c r="AI1072" i="15"/>
  <c r="AK1072" i="15"/>
  <c r="AI1071" i="15"/>
  <c r="AK1071" i="15"/>
  <c r="AI1070" i="15"/>
  <c r="AK1070" i="15"/>
  <c r="AI1069" i="15"/>
  <c r="AK1069" i="15"/>
  <c r="AI1064" i="15"/>
  <c r="AK1064" i="15"/>
  <c r="AI1065" i="15"/>
  <c r="AK1065" i="15"/>
  <c r="AI1066" i="15"/>
  <c r="AK1066" i="15"/>
  <c r="AI1067" i="15"/>
  <c r="AK1067" i="15"/>
  <c r="AI1068" i="15"/>
  <c r="AK1068" i="15"/>
  <c r="AI1063" i="15"/>
  <c r="AJ1063" i="15"/>
  <c r="AK1063" i="15"/>
  <c r="AI1058" i="15"/>
  <c r="AK1058" i="15"/>
  <c r="AI1059" i="15"/>
  <c r="AK1059" i="15"/>
  <c r="AI1060" i="15"/>
  <c r="AK1060" i="15"/>
  <c r="AI1061" i="15"/>
  <c r="AK1061" i="15"/>
  <c r="AI1062" i="15"/>
  <c r="AJ1062" i="15"/>
  <c r="AK1062" i="15"/>
  <c r="AK1045" i="15"/>
  <c r="AK1046" i="15"/>
  <c r="AK1047" i="15"/>
  <c r="AK1048" i="15"/>
  <c r="AK1049" i="15"/>
  <c r="AK1050" i="15"/>
  <c r="AK1051" i="15"/>
  <c r="AK1052" i="15"/>
  <c r="AK1053" i="15"/>
  <c r="AK1054" i="15"/>
  <c r="AK1055" i="15"/>
  <c r="AK1056" i="15"/>
  <c r="AI1057" i="15"/>
  <c r="AK1057" i="15"/>
  <c r="AI1042" i="15"/>
  <c r="AJ1042" i="15"/>
  <c r="AK1042" i="15"/>
  <c r="AI1043" i="15"/>
  <c r="AJ1043" i="15"/>
  <c r="AK1043" i="15"/>
  <c r="AI1044" i="15"/>
  <c r="AJ1044" i="15"/>
  <c r="AK1044" i="15"/>
  <c r="AI1041" i="15"/>
  <c r="AJ1041" i="15"/>
  <c r="AK1041" i="15"/>
  <c r="AI1038" i="15"/>
  <c r="AJ1038" i="15"/>
  <c r="AK1038" i="15"/>
  <c r="AI1039" i="15"/>
  <c r="AJ1039" i="15"/>
  <c r="AK1039" i="15"/>
  <c r="AI1040" i="15"/>
  <c r="AJ1040" i="15"/>
  <c r="AK1040" i="15"/>
  <c r="AK1037" i="15"/>
  <c r="AI1036" i="15"/>
  <c r="AK1036" i="15"/>
  <c r="AI1020" i="15"/>
  <c r="AK1020" i="15"/>
  <c r="AI1021" i="15"/>
  <c r="AK1021" i="15"/>
  <c r="AI1022" i="15"/>
  <c r="AK1022" i="15"/>
  <c r="AI1023" i="15"/>
  <c r="AK1023" i="15"/>
  <c r="AI1024" i="15"/>
  <c r="AK1024" i="15"/>
  <c r="AI1025" i="15"/>
  <c r="AK1025" i="15"/>
  <c r="AI1026" i="15"/>
  <c r="AK1026" i="15"/>
  <c r="AI1027" i="15"/>
  <c r="AK1027" i="15"/>
  <c r="AI1028" i="15"/>
  <c r="AK1028" i="15"/>
  <c r="AI1029" i="15"/>
  <c r="AK1029" i="15"/>
  <c r="AI1030" i="15"/>
  <c r="AK1030" i="15"/>
  <c r="AI1031" i="15"/>
  <c r="AK1031" i="15"/>
  <c r="AI1032" i="15"/>
  <c r="AK1032" i="15"/>
  <c r="AI1033" i="15"/>
  <c r="AK1033" i="15"/>
  <c r="AI1034" i="15"/>
  <c r="AK1034" i="15"/>
  <c r="AI1035" i="15"/>
  <c r="AK1035" i="15"/>
  <c r="AI1019" i="15"/>
  <c r="AJ1019" i="15"/>
  <c r="AK1019" i="15"/>
  <c r="AI1018" i="15"/>
  <c r="AJ1018" i="15"/>
  <c r="AK1018" i="15"/>
  <c r="AI1017" i="15"/>
  <c r="AJ1017" i="15"/>
  <c r="AK1017" i="15"/>
  <c r="AI1016" i="15"/>
  <c r="AK1016" i="15"/>
  <c r="AI1015" i="15"/>
  <c r="AJ1015" i="15"/>
  <c r="AK1015" i="15"/>
  <c r="AI973" i="15"/>
  <c r="AJ973" i="15"/>
  <c r="AK973" i="15"/>
  <c r="AI974" i="15"/>
  <c r="AJ974" i="15"/>
  <c r="AK974" i="15"/>
  <c r="AJ975" i="15"/>
  <c r="AK975" i="15"/>
  <c r="AJ976" i="15"/>
  <c r="AK976" i="15"/>
  <c r="AJ977" i="15"/>
  <c r="AK977" i="15"/>
  <c r="AJ978" i="15"/>
  <c r="AK978" i="15"/>
  <c r="AI979" i="15"/>
  <c r="AJ979" i="15"/>
  <c r="AK979" i="15"/>
  <c r="AI980" i="15"/>
  <c r="AJ980" i="15"/>
  <c r="AK980" i="15"/>
  <c r="AJ981" i="15"/>
  <c r="AK981" i="15"/>
  <c r="AJ982" i="15"/>
  <c r="AK982" i="15"/>
  <c r="AJ983" i="15"/>
  <c r="AK983" i="15"/>
  <c r="AJ984" i="15"/>
  <c r="AK984" i="15"/>
  <c r="AK985" i="15"/>
  <c r="AK986" i="15"/>
  <c r="AK987" i="15"/>
  <c r="AK988" i="15"/>
  <c r="AK989" i="15"/>
  <c r="AK990" i="15"/>
  <c r="AI991" i="15"/>
  <c r="AJ991" i="15"/>
  <c r="AK991" i="15"/>
  <c r="AI992" i="15"/>
  <c r="AJ992" i="15"/>
  <c r="AK992" i="15"/>
  <c r="AJ993" i="15"/>
  <c r="AK993" i="15"/>
  <c r="AJ994" i="15"/>
  <c r="AK994" i="15"/>
  <c r="AJ995" i="15"/>
  <c r="AK995" i="15"/>
  <c r="AJ996" i="15"/>
  <c r="AK996" i="15"/>
  <c r="AI997" i="15"/>
  <c r="AJ997" i="15"/>
  <c r="AK997" i="15"/>
  <c r="AI998" i="15"/>
  <c r="AJ998" i="15"/>
  <c r="AK998" i="15"/>
  <c r="AJ999" i="15"/>
  <c r="AK999" i="15"/>
  <c r="AJ1000" i="15"/>
  <c r="AK1000" i="15"/>
  <c r="AJ1001" i="15"/>
  <c r="AK1001" i="15"/>
  <c r="AJ1002" i="15"/>
  <c r="AK1002" i="15"/>
  <c r="AK1003" i="15"/>
  <c r="AK1004" i="15"/>
  <c r="AK1005" i="15"/>
  <c r="AK1006" i="15"/>
  <c r="AK1007" i="15"/>
  <c r="AK1008" i="15"/>
  <c r="AI1009" i="15"/>
  <c r="AJ1009" i="15"/>
  <c r="AK1009" i="15"/>
  <c r="AI1010" i="15"/>
  <c r="AJ1010" i="15"/>
  <c r="AK1010" i="15"/>
  <c r="AI1011" i="15"/>
  <c r="AJ1011" i="15"/>
  <c r="AK1011" i="15"/>
  <c r="AI1012" i="15"/>
  <c r="AJ1012" i="15"/>
  <c r="AK1012" i="15"/>
  <c r="AK1013" i="15"/>
  <c r="AK1014" i="15"/>
  <c r="AI972" i="15"/>
  <c r="AJ972" i="15"/>
  <c r="AK972" i="15"/>
  <c r="AI971" i="15"/>
  <c r="AJ971" i="15"/>
  <c r="AK971" i="15"/>
  <c r="AI970" i="15"/>
  <c r="AJ970" i="15"/>
  <c r="AK970" i="15"/>
  <c r="AI969" i="15"/>
  <c r="AJ969" i="15"/>
  <c r="AK969" i="15"/>
  <c r="AI967" i="15"/>
  <c r="AJ967" i="15"/>
  <c r="AK967" i="15"/>
  <c r="AI968" i="15"/>
  <c r="AJ968" i="15"/>
  <c r="AK968" i="15"/>
  <c r="AF1103" i="15"/>
  <c r="AH1103" i="15"/>
  <c r="AF1104" i="15"/>
  <c r="AH1104" i="15"/>
  <c r="AF1105" i="15"/>
  <c r="AH1105" i="15"/>
  <c r="AF1097" i="15"/>
  <c r="AH1097" i="15"/>
  <c r="AF1098" i="15"/>
  <c r="AH1098" i="15"/>
  <c r="AF1099" i="15"/>
  <c r="AH1099" i="15"/>
  <c r="AF1100" i="15"/>
  <c r="AH1100" i="15"/>
  <c r="AF1101" i="15"/>
  <c r="AG1101" i="15"/>
  <c r="AH1101" i="15"/>
  <c r="AF1102" i="15"/>
  <c r="AG1102" i="15"/>
  <c r="AH1102" i="15"/>
  <c r="AF1095" i="15"/>
  <c r="AG1095" i="15"/>
  <c r="AH1095" i="15"/>
  <c r="AF1096" i="15"/>
  <c r="AG1096" i="15"/>
  <c r="AH1096" i="15"/>
  <c r="AF1093" i="15"/>
  <c r="AG1093" i="15"/>
  <c r="AH1093" i="15"/>
  <c r="AF1094" i="15"/>
  <c r="AG1094" i="15"/>
  <c r="AH1094" i="15"/>
  <c r="AF1091" i="15"/>
  <c r="AG1091" i="15"/>
  <c r="AH1091" i="15"/>
  <c r="AF1092" i="15"/>
  <c r="AG1092" i="15"/>
  <c r="AH1092" i="15"/>
  <c r="AF1090" i="15"/>
  <c r="AG1090" i="15"/>
  <c r="AH1090" i="15"/>
  <c r="AF1089" i="15"/>
  <c r="AH1089" i="15"/>
  <c r="AF1088" i="15"/>
  <c r="AG1088" i="15"/>
  <c r="AH1088" i="15"/>
  <c r="AF1087" i="15"/>
  <c r="AG1087" i="15"/>
  <c r="AH1087" i="15"/>
  <c r="AF1086" i="15"/>
  <c r="AG1086" i="15"/>
  <c r="AH1086" i="15"/>
  <c r="AF1083" i="15"/>
  <c r="AH1083" i="15"/>
  <c r="AF1084" i="15"/>
  <c r="AH1084" i="15"/>
  <c r="AF1085" i="15"/>
  <c r="AH1085" i="15"/>
  <c r="AF1080" i="15"/>
  <c r="AH1080" i="15"/>
  <c r="AF1081" i="15"/>
  <c r="AH1081" i="15"/>
  <c r="AF1082" i="15"/>
  <c r="AH1082" i="15"/>
  <c r="AF1077" i="15"/>
  <c r="AH1077" i="15"/>
  <c r="AF1078" i="15"/>
  <c r="AH1078" i="15"/>
  <c r="AF1079" i="15"/>
  <c r="AH1079" i="15"/>
  <c r="AF1076" i="15"/>
  <c r="AH1076" i="15"/>
  <c r="AF1075" i="15"/>
  <c r="AH1075" i="15"/>
  <c r="AF1074" i="15"/>
  <c r="AH1074" i="15"/>
  <c r="AF1073" i="15"/>
  <c r="AH1073" i="15"/>
  <c r="AF1072" i="15"/>
  <c r="AH1072" i="15"/>
  <c r="AF1071" i="15"/>
  <c r="AH1071" i="15"/>
  <c r="AF1070" i="15"/>
  <c r="AH1070" i="15"/>
  <c r="AF1069" i="15"/>
  <c r="AH1069" i="15"/>
  <c r="AF1064" i="15"/>
  <c r="AH1064" i="15"/>
  <c r="AF1065" i="15"/>
  <c r="AH1065" i="15"/>
  <c r="AF1066" i="15"/>
  <c r="AH1066" i="15"/>
  <c r="AF1067" i="15"/>
  <c r="AH1067" i="15"/>
  <c r="AF1068" i="15"/>
  <c r="AH1068" i="15"/>
  <c r="AF1063" i="15"/>
  <c r="AG1063" i="15"/>
  <c r="AH1063" i="15"/>
  <c r="AF1058" i="15"/>
  <c r="AH1058" i="15"/>
  <c r="AF1059" i="15"/>
  <c r="AH1059" i="15"/>
  <c r="AF1060" i="15"/>
  <c r="AH1060" i="15"/>
  <c r="AF1061" i="15"/>
  <c r="AH1061" i="15"/>
  <c r="AF1062" i="15"/>
  <c r="AG1062" i="15"/>
  <c r="AH1062" i="15"/>
  <c r="AH1045" i="15"/>
  <c r="AF1046" i="15"/>
  <c r="AG1046" i="15"/>
  <c r="AH1046" i="15"/>
  <c r="AH1047" i="15"/>
  <c r="AF1048" i="15"/>
  <c r="AG1048" i="15"/>
  <c r="AH1048" i="15"/>
  <c r="AF1049" i="15"/>
  <c r="AG1049" i="15"/>
  <c r="AH1049" i="15"/>
  <c r="AH1050" i="15"/>
  <c r="AF1057" i="15"/>
  <c r="AH1057" i="15"/>
  <c r="AF1042" i="15"/>
  <c r="AG1042" i="15"/>
  <c r="AH1042" i="15"/>
  <c r="AF1043" i="15"/>
  <c r="AG1043" i="15"/>
  <c r="AH1043" i="15"/>
  <c r="AF1044" i="15"/>
  <c r="AG1044" i="15"/>
  <c r="AH1044" i="15"/>
  <c r="AF1041" i="15"/>
  <c r="AG1041" i="15"/>
  <c r="AH1041" i="15"/>
  <c r="AF1038" i="15"/>
  <c r="AG1038" i="15"/>
  <c r="AH1038" i="15"/>
  <c r="AF1039" i="15"/>
  <c r="AG1039" i="15"/>
  <c r="AH1039" i="15"/>
  <c r="AF1040" i="15"/>
  <c r="AG1040" i="15"/>
  <c r="AH1040" i="15"/>
  <c r="AH1037" i="15"/>
  <c r="AF1036" i="15"/>
  <c r="AH1036" i="15"/>
  <c r="AF1020" i="15"/>
  <c r="AH1020" i="15"/>
  <c r="AF1021" i="15"/>
  <c r="AH1021" i="15"/>
  <c r="AF1022" i="15"/>
  <c r="AH1022" i="15"/>
  <c r="AF1023" i="15"/>
  <c r="AH1023" i="15"/>
  <c r="AF1024" i="15"/>
  <c r="AH1024" i="15"/>
  <c r="AF1025" i="15"/>
  <c r="AH1025" i="15"/>
  <c r="AF1026" i="15"/>
  <c r="AH1026" i="15"/>
  <c r="AF1027" i="15"/>
  <c r="AH1027" i="15"/>
  <c r="AF1028" i="15"/>
  <c r="AH1028" i="15"/>
  <c r="AF1029" i="15"/>
  <c r="AH1029" i="15"/>
  <c r="AF1030" i="15"/>
  <c r="AH1030" i="15"/>
  <c r="AF1031" i="15"/>
  <c r="AH1031" i="15"/>
  <c r="AF1032" i="15"/>
  <c r="AH1032" i="15"/>
  <c r="AF1033" i="15"/>
  <c r="AH1033" i="15"/>
  <c r="AF1034" i="15"/>
  <c r="AH1034" i="15"/>
  <c r="AF1035" i="15"/>
  <c r="AH1035" i="15"/>
  <c r="AF1019" i="15"/>
  <c r="AG1019" i="15"/>
  <c r="AH1019" i="15"/>
  <c r="AF1018" i="15"/>
  <c r="AG1018" i="15"/>
  <c r="AH1018" i="15"/>
  <c r="AF1017" i="15"/>
  <c r="AG1017" i="15"/>
  <c r="AH1017" i="15"/>
  <c r="AF1016" i="15"/>
  <c r="AH1016" i="15"/>
  <c r="AF1015" i="15"/>
  <c r="AG1015" i="15"/>
  <c r="AH1015" i="15"/>
  <c r="AF973" i="15"/>
  <c r="AG973" i="15"/>
  <c r="AH973" i="15"/>
  <c r="AF974" i="15"/>
  <c r="AG974" i="15"/>
  <c r="AH974" i="15"/>
  <c r="AG975" i="15"/>
  <c r="AH975" i="15"/>
  <c r="AG976" i="15"/>
  <c r="AH976" i="15"/>
  <c r="AG977" i="15"/>
  <c r="AH977" i="15"/>
  <c r="AG978" i="15"/>
  <c r="AH978" i="15"/>
  <c r="AF979" i="15"/>
  <c r="AG979" i="15"/>
  <c r="AH979" i="15"/>
  <c r="AF980" i="15"/>
  <c r="AG980" i="15"/>
  <c r="AH980" i="15"/>
  <c r="AG981" i="15"/>
  <c r="AH981" i="15"/>
  <c r="AG982" i="15"/>
  <c r="AH982" i="15"/>
  <c r="AG983" i="15"/>
  <c r="AH983" i="15"/>
  <c r="AG984" i="15"/>
  <c r="AH984" i="15"/>
  <c r="AH985" i="15"/>
  <c r="AH986" i="15"/>
  <c r="AH987" i="15"/>
  <c r="AH988" i="15"/>
  <c r="AH989" i="15"/>
  <c r="AH990" i="15"/>
  <c r="AF991" i="15"/>
  <c r="AG991" i="15"/>
  <c r="AH991" i="15"/>
  <c r="AF992" i="15"/>
  <c r="AG992" i="15"/>
  <c r="AH992" i="15"/>
  <c r="AG993" i="15"/>
  <c r="AH993" i="15"/>
  <c r="AG994" i="15"/>
  <c r="AH994" i="15"/>
  <c r="AG995" i="15"/>
  <c r="AH995" i="15"/>
  <c r="AG996" i="15"/>
  <c r="AH996" i="15"/>
  <c r="AF997" i="15"/>
  <c r="AG997" i="15"/>
  <c r="AH997" i="15"/>
  <c r="AF998" i="15"/>
  <c r="AG998" i="15"/>
  <c r="AH998" i="15"/>
  <c r="AG999" i="15"/>
  <c r="AH999" i="15"/>
  <c r="AG1000" i="15"/>
  <c r="AH1000" i="15"/>
  <c r="AG1001" i="15"/>
  <c r="AH1001" i="15"/>
  <c r="AG1002" i="15"/>
  <c r="AH1002" i="15"/>
  <c r="AH1003" i="15"/>
  <c r="AH1004" i="15"/>
  <c r="AH1005" i="15"/>
  <c r="AH1006" i="15"/>
  <c r="AH1007" i="15"/>
  <c r="AH1008" i="15"/>
  <c r="AF1009" i="15"/>
  <c r="AG1009" i="15"/>
  <c r="AH1009" i="15"/>
  <c r="AF1010" i="15"/>
  <c r="AG1010" i="15"/>
  <c r="AH1010" i="15"/>
  <c r="AF1011" i="15"/>
  <c r="AG1011" i="15"/>
  <c r="AH1011" i="15"/>
  <c r="AF1012" i="15"/>
  <c r="AG1012" i="15"/>
  <c r="AH1012" i="15"/>
  <c r="AH1013" i="15"/>
  <c r="AH1014" i="15"/>
  <c r="AF972" i="15"/>
  <c r="AG972" i="15"/>
  <c r="AH972" i="15"/>
  <c r="AF971" i="15"/>
  <c r="AG971" i="15"/>
  <c r="AH971" i="15"/>
  <c r="AF970" i="15"/>
  <c r="AG970" i="15"/>
  <c r="AH970" i="15"/>
  <c r="AF969" i="15"/>
  <c r="AG969" i="15"/>
  <c r="AH969" i="15"/>
  <c r="AH967" i="15"/>
  <c r="AH968" i="15"/>
  <c r="AE1000" i="15"/>
  <c r="AC998" i="15"/>
  <c r="AD998" i="15"/>
  <c r="AE998" i="15"/>
  <c r="AC999" i="15"/>
  <c r="AD999" i="15"/>
  <c r="AE999" i="15"/>
  <c r="AE997" i="15"/>
  <c r="AC992" i="15"/>
  <c r="AE992" i="15"/>
  <c r="AC993" i="15"/>
  <c r="AE993" i="15"/>
  <c r="AE994" i="15"/>
  <c r="AE995" i="15"/>
  <c r="AE996" i="15"/>
  <c r="AE991" i="15"/>
  <c r="AE989" i="15"/>
  <c r="AE990" i="15"/>
  <c r="AE988" i="15"/>
  <c r="AE972" i="15"/>
  <c r="AE973" i="15"/>
  <c r="AE974" i="15"/>
  <c r="AE975" i="15"/>
  <c r="AE976" i="15"/>
  <c r="AE977" i="15"/>
  <c r="AE978" i="15"/>
  <c r="AE979" i="15"/>
  <c r="AE980" i="15"/>
  <c r="AE981" i="15"/>
  <c r="AE982" i="15"/>
  <c r="AE983" i="15"/>
  <c r="AE984" i="15"/>
  <c r="AE985" i="15"/>
  <c r="AE986" i="15"/>
  <c r="AE987" i="15"/>
  <c r="AE971" i="15"/>
  <c r="AE970" i="15"/>
  <c r="AE969" i="15"/>
  <c r="AE968" i="15"/>
  <c r="AE967" i="15"/>
  <c r="AB1000" i="15"/>
  <c r="Z998" i="15"/>
  <c r="AA998" i="15"/>
  <c r="AB998" i="15"/>
  <c r="Z999" i="15"/>
  <c r="AA999" i="15"/>
  <c r="AB999" i="15"/>
  <c r="AB997" i="15"/>
  <c r="Z992" i="15"/>
  <c r="AB992" i="15"/>
  <c r="Z993" i="15"/>
  <c r="AB993" i="15"/>
  <c r="AB994" i="15"/>
  <c r="AB995" i="15"/>
  <c r="AB996" i="15"/>
  <c r="AB991" i="15"/>
  <c r="AB989" i="15"/>
  <c r="AB990" i="15"/>
  <c r="AB988" i="15"/>
  <c r="AB972" i="15"/>
  <c r="AB973" i="15"/>
  <c r="AB974" i="15"/>
  <c r="AB975" i="15"/>
  <c r="AB976" i="15"/>
  <c r="AB977" i="15"/>
  <c r="AB978" i="15"/>
  <c r="AB979" i="15"/>
  <c r="AB980" i="15"/>
  <c r="AB981" i="15"/>
  <c r="AB982" i="15"/>
  <c r="AB983" i="15"/>
  <c r="AB984" i="15"/>
  <c r="AB985" i="15"/>
  <c r="AB986" i="15"/>
  <c r="AB987" i="15"/>
  <c r="AB971" i="15"/>
  <c r="AB970" i="15"/>
  <c r="AB969" i="15"/>
  <c r="AB968" i="15"/>
  <c r="AB967" i="15"/>
  <c r="Y1065" i="15"/>
  <c r="Y1066" i="15"/>
  <c r="Y1067" i="15"/>
  <c r="W1064" i="15"/>
  <c r="X1064" i="15"/>
  <c r="Y1064" i="15"/>
  <c r="Y1062" i="15"/>
  <c r="Y1063" i="15"/>
  <c r="W1060" i="15"/>
  <c r="X1060" i="15"/>
  <c r="Y1060" i="15"/>
  <c r="W1061" i="15"/>
  <c r="X1061" i="15"/>
  <c r="Y1061" i="15"/>
  <c r="Y1059" i="15"/>
  <c r="Y1058" i="15"/>
  <c r="Y1057" i="15"/>
  <c r="W1056" i="15"/>
  <c r="Y1056" i="15"/>
  <c r="Y1053" i="15"/>
  <c r="Y1054" i="15"/>
  <c r="Y1055" i="15"/>
  <c r="Y1050" i="15"/>
  <c r="Y1051" i="15"/>
  <c r="Y1052" i="15"/>
  <c r="Y1047" i="15"/>
  <c r="Y1048" i="15"/>
  <c r="Y1049" i="15"/>
  <c r="Y1046" i="15"/>
  <c r="Y1045" i="15"/>
  <c r="Y1044" i="15"/>
  <c r="Y1043" i="15"/>
  <c r="Y1042" i="15"/>
  <c r="Y1041" i="15"/>
  <c r="Y1036" i="15"/>
  <c r="Y1037" i="15"/>
  <c r="Y1038" i="15"/>
  <c r="Y1039" i="15"/>
  <c r="Y1040" i="15"/>
  <c r="Y1035" i="15"/>
  <c r="Y1034" i="15"/>
  <c r="W1032" i="15"/>
  <c r="Y1032" i="15"/>
  <c r="W1033" i="15"/>
  <c r="Y1033" i="15"/>
  <c r="Y1019" i="15"/>
  <c r="Y1020" i="15"/>
  <c r="Y1021" i="15"/>
  <c r="Y1022" i="15"/>
  <c r="Y1023" i="15"/>
  <c r="Y1024" i="15"/>
  <c r="Y1025" i="15"/>
  <c r="Y1026" i="15"/>
  <c r="Y1027" i="15"/>
  <c r="Y1028" i="15"/>
  <c r="Y1029" i="15"/>
  <c r="Y1030" i="15"/>
  <c r="W1031" i="15"/>
  <c r="Y1031" i="15"/>
  <c r="Y1016" i="15"/>
  <c r="Y1017" i="15"/>
  <c r="Y1018" i="15"/>
  <c r="Y1015" i="15"/>
  <c r="Y1012" i="15"/>
  <c r="Y1013" i="15"/>
  <c r="Y1014" i="15"/>
  <c r="Y1011" i="15"/>
  <c r="Y1010" i="15"/>
  <c r="Y993" i="15"/>
  <c r="Y992" i="15"/>
  <c r="Y991" i="15"/>
  <c r="Y973" i="15"/>
  <c r="Y974" i="15"/>
  <c r="Y975" i="15"/>
  <c r="Y976" i="15"/>
  <c r="Y977" i="15"/>
  <c r="Y978" i="15"/>
  <c r="Y979" i="15"/>
  <c r="Y980" i="15"/>
  <c r="Y981" i="15"/>
  <c r="Y982" i="15"/>
  <c r="Y983" i="15"/>
  <c r="Y984" i="15"/>
  <c r="Y985" i="15"/>
  <c r="Y986" i="15"/>
  <c r="Y987" i="15"/>
  <c r="Y988" i="15"/>
  <c r="Y989" i="15"/>
  <c r="Y990" i="15"/>
  <c r="W972" i="15"/>
  <c r="X972" i="15"/>
  <c r="Y972" i="15"/>
  <c r="Y971" i="15"/>
  <c r="Y970" i="15"/>
  <c r="Y969" i="15"/>
  <c r="Y967" i="15"/>
  <c r="Y968" i="15"/>
  <c r="V1065" i="15"/>
  <c r="V1066" i="15"/>
  <c r="V1067" i="15"/>
  <c r="T1064" i="15"/>
  <c r="U1064" i="15"/>
  <c r="V1064" i="15"/>
  <c r="V1062" i="15"/>
  <c r="V1063" i="15"/>
  <c r="T1060" i="15"/>
  <c r="U1060" i="15"/>
  <c r="V1060" i="15"/>
  <c r="T1061" i="15"/>
  <c r="U1061" i="15"/>
  <c r="V1061" i="15"/>
  <c r="V1059" i="15"/>
  <c r="V1058" i="15"/>
  <c r="V1057" i="15"/>
  <c r="T1056" i="15"/>
  <c r="V1056" i="15"/>
  <c r="V1053" i="15"/>
  <c r="V1054" i="15"/>
  <c r="V1055" i="15"/>
  <c r="V1050" i="15"/>
  <c r="V1051" i="15"/>
  <c r="V1052" i="15"/>
  <c r="V1047" i="15"/>
  <c r="V1048" i="15"/>
  <c r="V1049" i="15"/>
  <c r="V1046" i="15"/>
  <c r="V1045" i="15"/>
  <c r="V1044" i="15"/>
  <c r="V1043" i="15"/>
  <c r="V1042" i="15"/>
  <c r="V1041" i="15"/>
  <c r="V1036" i="15"/>
  <c r="V1037" i="15"/>
  <c r="V1038" i="15"/>
  <c r="V1039" i="15"/>
  <c r="V1040" i="15"/>
  <c r="V1035" i="15"/>
  <c r="T1034" i="15"/>
  <c r="V1034" i="15"/>
  <c r="V1032" i="15"/>
  <c r="V1033" i="15"/>
  <c r="V1019" i="15"/>
  <c r="V1020" i="15"/>
  <c r="V1021" i="15"/>
  <c r="V1022" i="15"/>
  <c r="V1023" i="15"/>
  <c r="V1024" i="15"/>
  <c r="V1025" i="15"/>
  <c r="V1026" i="15"/>
  <c r="V1027" i="15"/>
  <c r="V1028" i="15"/>
  <c r="V1029" i="15"/>
  <c r="V1030" i="15"/>
  <c r="T1031" i="15"/>
  <c r="V1031" i="15"/>
  <c r="V1016" i="15"/>
  <c r="V1017" i="15"/>
  <c r="V1018" i="15"/>
  <c r="V1015" i="15"/>
  <c r="T1012" i="15"/>
  <c r="U1012" i="15"/>
  <c r="V1012" i="15"/>
  <c r="T1013" i="15"/>
  <c r="U1013" i="15"/>
  <c r="V1013" i="15"/>
  <c r="T1014" i="15"/>
  <c r="U1014" i="15"/>
  <c r="V1014" i="15"/>
  <c r="V1011" i="15"/>
  <c r="V1010" i="15"/>
  <c r="V993" i="15"/>
  <c r="V992" i="15"/>
  <c r="V991" i="15"/>
  <c r="V973" i="15"/>
  <c r="V974" i="15"/>
  <c r="V975" i="15"/>
  <c r="V976" i="15"/>
  <c r="V977" i="15"/>
  <c r="V978" i="15"/>
  <c r="V979" i="15"/>
  <c r="V980" i="15"/>
  <c r="V981" i="15"/>
  <c r="V982" i="15"/>
  <c r="V983" i="15"/>
  <c r="V984" i="15"/>
  <c r="V985" i="15"/>
  <c r="V986" i="15"/>
  <c r="V987" i="15"/>
  <c r="V988" i="15"/>
  <c r="V989" i="15"/>
  <c r="V990" i="15"/>
  <c r="T972" i="15"/>
  <c r="U972" i="15"/>
  <c r="V972" i="15"/>
  <c r="V971" i="15"/>
  <c r="V970" i="15"/>
  <c r="V969" i="15"/>
  <c r="V967" i="15"/>
  <c r="V968" i="15"/>
  <c r="S1007" i="15"/>
  <c r="S1008" i="15"/>
  <c r="S1009" i="15"/>
  <c r="S1010" i="15"/>
  <c r="Q1011" i="15"/>
  <c r="R1011" i="15"/>
  <c r="S1011" i="15"/>
  <c r="Q1012" i="15"/>
  <c r="R1012" i="15"/>
  <c r="S1012" i="15"/>
  <c r="Q1005" i="15"/>
  <c r="R1005" i="15"/>
  <c r="S1005" i="15"/>
  <c r="Q1006" i="15"/>
  <c r="R1006" i="15"/>
  <c r="S1006" i="15"/>
  <c r="S1003" i="15"/>
  <c r="S1004" i="15"/>
  <c r="S1002" i="15"/>
  <c r="S1001" i="15"/>
  <c r="S1000" i="15"/>
  <c r="S995" i="15"/>
  <c r="S996" i="15"/>
  <c r="S997" i="15"/>
  <c r="S998" i="15"/>
  <c r="S999" i="15"/>
  <c r="Q993" i="15"/>
  <c r="S993" i="15"/>
  <c r="Q994" i="15"/>
  <c r="S994" i="15"/>
  <c r="S992" i="15"/>
  <c r="S986" i="15"/>
  <c r="S987" i="15"/>
  <c r="S988" i="15"/>
  <c r="S989" i="15"/>
  <c r="S990" i="15"/>
  <c r="S991" i="15"/>
  <c r="S968" i="15"/>
  <c r="S969" i="15"/>
  <c r="S970" i="15"/>
  <c r="S971" i="15"/>
  <c r="S972" i="15"/>
  <c r="S973" i="15"/>
  <c r="S974" i="15"/>
  <c r="S975" i="15"/>
  <c r="S976" i="15"/>
  <c r="S977" i="15"/>
  <c r="S978" i="15"/>
  <c r="S979" i="15"/>
  <c r="S980" i="15"/>
  <c r="S981" i="15"/>
  <c r="S982" i="15"/>
  <c r="S983" i="15"/>
  <c r="S984" i="15"/>
  <c r="S985" i="15"/>
  <c r="Q967" i="15"/>
  <c r="R967" i="15"/>
  <c r="S967" i="15"/>
  <c r="P1007" i="15"/>
  <c r="P1008" i="15"/>
  <c r="P1009" i="15"/>
  <c r="P1010" i="15"/>
  <c r="N1011" i="15"/>
  <c r="O1011" i="15"/>
  <c r="P1011" i="15"/>
  <c r="N1012" i="15"/>
  <c r="O1012" i="15"/>
  <c r="P1012" i="15"/>
  <c r="N1005" i="15"/>
  <c r="O1005" i="15"/>
  <c r="P1005" i="15"/>
  <c r="N1006" i="15"/>
  <c r="O1006" i="15"/>
  <c r="P1006" i="15"/>
  <c r="P1003" i="15"/>
  <c r="P1004" i="15"/>
  <c r="P1002" i="15"/>
  <c r="P1001" i="15"/>
  <c r="P1000" i="15"/>
  <c r="P995" i="15"/>
  <c r="P996" i="15"/>
  <c r="P997" i="15"/>
  <c r="P998" i="15"/>
  <c r="P999" i="15"/>
  <c r="P993" i="15"/>
  <c r="P994" i="15"/>
  <c r="P992" i="15"/>
  <c r="P986" i="15"/>
  <c r="P987" i="15"/>
  <c r="P988" i="15"/>
  <c r="P989" i="15"/>
  <c r="P990" i="15"/>
  <c r="P991" i="15"/>
  <c r="P968" i="15"/>
  <c r="P969" i="15"/>
  <c r="P970" i="15"/>
  <c r="P971" i="15"/>
  <c r="P972" i="15"/>
  <c r="P973" i="15"/>
  <c r="P974" i="15"/>
  <c r="P975" i="15"/>
  <c r="P976" i="15"/>
  <c r="P977" i="15"/>
  <c r="P978" i="15"/>
  <c r="P979" i="15"/>
  <c r="P980" i="15"/>
  <c r="P981" i="15"/>
  <c r="P982" i="15"/>
  <c r="P983" i="15"/>
  <c r="P984" i="15"/>
  <c r="P985" i="15"/>
  <c r="N967" i="15"/>
  <c r="O967" i="15"/>
  <c r="P967" i="15"/>
  <c r="M998" i="15"/>
  <c r="M999" i="15"/>
  <c r="M1000" i="15"/>
  <c r="M1001" i="15"/>
  <c r="M1002" i="15"/>
  <c r="M1003" i="15"/>
  <c r="K996" i="15"/>
  <c r="L996" i="15"/>
  <c r="M996" i="15"/>
  <c r="K997" i="15"/>
  <c r="L997" i="15"/>
  <c r="M997" i="15"/>
  <c r="M994" i="15"/>
  <c r="M995" i="15"/>
  <c r="M993" i="15"/>
  <c r="M992" i="15"/>
  <c r="M991" i="15"/>
  <c r="M985" i="15"/>
  <c r="M986" i="15"/>
  <c r="M987" i="15"/>
  <c r="M988" i="15"/>
  <c r="M989" i="15"/>
  <c r="M990" i="15"/>
  <c r="M967" i="15"/>
  <c r="M968" i="15"/>
  <c r="M969" i="15"/>
  <c r="M970" i="15"/>
  <c r="M971" i="15"/>
  <c r="M972" i="15"/>
  <c r="M973" i="15"/>
  <c r="M974" i="15"/>
  <c r="M975" i="15"/>
  <c r="M976" i="15"/>
  <c r="M977" i="15"/>
  <c r="M978" i="15"/>
  <c r="M979" i="15"/>
  <c r="M980" i="15"/>
  <c r="M981" i="15"/>
  <c r="M982" i="15"/>
  <c r="M983" i="15"/>
  <c r="M984" i="15"/>
  <c r="J998" i="15"/>
  <c r="J999" i="15"/>
  <c r="J1000" i="15"/>
  <c r="J1001" i="15"/>
  <c r="J1002" i="15"/>
  <c r="J1003" i="15"/>
  <c r="H996" i="15"/>
  <c r="I996" i="15"/>
  <c r="J996" i="15"/>
  <c r="H997" i="15"/>
  <c r="I997" i="15"/>
  <c r="J997" i="15"/>
  <c r="J994" i="15"/>
  <c r="J995" i="15"/>
  <c r="J993" i="15"/>
  <c r="J992" i="15"/>
  <c r="J991" i="15"/>
  <c r="J985" i="15"/>
  <c r="J986" i="15"/>
  <c r="J987" i="15"/>
  <c r="J988" i="15"/>
  <c r="J989" i="15"/>
  <c r="J990" i="15"/>
  <c r="J967" i="15"/>
  <c r="J968" i="15"/>
  <c r="J969" i="15"/>
  <c r="J970" i="15"/>
  <c r="J971" i="15"/>
  <c r="J972" i="15"/>
  <c r="J973" i="15"/>
  <c r="J974" i="15"/>
  <c r="J975" i="15"/>
  <c r="J976" i="15"/>
  <c r="J977" i="15"/>
  <c r="J978" i="15"/>
  <c r="J979" i="15"/>
  <c r="J980" i="15"/>
  <c r="J981" i="15"/>
  <c r="J982" i="15"/>
  <c r="J983" i="15"/>
  <c r="J984" i="15"/>
  <c r="G998" i="15"/>
  <c r="G999" i="15"/>
  <c r="G1000" i="15"/>
  <c r="G1001" i="15"/>
  <c r="E1002" i="15"/>
  <c r="F1002" i="15"/>
  <c r="G1002" i="15"/>
  <c r="E1003" i="15"/>
  <c r="F1003" i="15"/>
  <c r="G1003" i="15"/>
  <c r="E996" i="15"/>
  <c r="F996" i="15"/>
  <c r="G996" i="15"/>
  <c r="E997" i="15"/>
  <c r="F997" i="15"/>
  <c r="G997" i="15"/>
  <c r="G994" i="15"/>
  <c r="G995" i="15"/>
  <c r="G993" i="15"/>
  <c r="G992" i="15"/>
  <c r="G991" i="15"/>
  <c r="G985" i="15"/>
  <c r="G986" i="15"/>
  <c r="G987" i="15"/>
  <c r="G988" i="15"/>
  <c r="G989" i="15"/>
  <c r="G990" i="15"/>
  <c r="G967" i="15"/>
  <c r="G968" i="15"/>
  <c r="G969" i="15"/>
  <c r="G970" i="15"/>
  <c r="G971" i="15"/>
  <c r="G972" i="15"/>
  <c r="G973" i="15"/>
  <c r="G974" i="15"/>
  <c r="G975" i="15"/>
  <c r="G976" i="15"/>
  <c r="G977" i="15"/>
  <c r="G978" i="15"/>
  <c r="G979" i="15"/>
  <c r="G980" i="15"/>
  <c r="G981" i="15"/>
  <c r="G982" i="15"/>
  <c r="G983" i="15"/>
  <c r="G984" i="15"/>
  <c r="D998" i="15"/>
  <c r="D999" i="15"/>
  <c r="D1000" i="15"/>
  <c r="D1001" i="15"/>
  <c r="B1002" i="15"/>
  <c r="C1002" i="15"/>
  <c r="D1002" i="15"/>
  <c r="B1003" i="15"/>
  <c r="C1003" i="15"/>
  <c r="D1003" i="15"/>
  <c r="B996" i="15"/>
  <c r="C996" i="15"/>
  <c r="D996" i="15"/>
  <c r="B997" i="15"/>
  <c r="C997" i="15"/>
  <c r="D997" i="15"/>
  <c r="D994" i="15"/>
  <c r="D995" i="15"/>
  <c r="D993" i="15"/>
  <c r="D992" i="15"/>
  <c r="D991" i="15"/>
  <c r="D985" i="15"/>
  <c r="D986" i="15"/>
  <c r="D987" i="15"/>
  <c r="D988" i="15"/>
  <c r="D989" i="15"/>
  <c r="D990" i="15"/>
  <c r="D967" i="15"/>
  <c r="D968" i="15"/>
  <c r="D969" i="15"/>
  <c r="D970" i="15"/>
  <c r="D971" i="15"/>
  <c r="D972" i="15"/>
  <c r="D973" i="15"/>
  <c r="D974" i="15"/>
  <c r="D975" i="15"/>
  <c r="D976" i="15"/>
  <c r="D977" i="15"/>
  <c r="D978" i="15"/>
  <c r="D979" i="15"/>
  <c r="D980" i="15"/>
  <c r="D981" i="15"/>
  <c r="D982" i="15"/>
  <c r="D983" i="15"/>
  <c r="D984" i="15"/>
  <c r="AI961" i="15"/>
  <c r="AK961" i="15"/>
  <c r="AI962" i="15"/>
  <c r="AK962" i="15"/>
  <c r="AI963" i="15"/>
  <c r="AK963" i="15"/>
  <c r="AI957" i="15"/>
  <c r="AJ957" i="15"/>
  <c r="AK957" i="15"/>
  <c r="AI958" i="15"/>
  <c r="AK958" i="15"/>
  <c r="AI959" i="15"/>
  <c r="AJ959" i="15"/>
  <c r="AK959" i="15"/>
  <c r="AI960" i="15"/>
  <c r="AJ960" i="15"/>
  <c r="AK960" i="15"/>
  <c r="AI956" i="15"/>
  <c r="AJ956" i="15"/>
  <c r="AK956" i="15"/>
  <c r="AI954" i="15"/>
  <c r="AJ954" i="15"/>
  <c r="AK954" i="15"/>
  <c r="AI955" i="15"/>
  <c r="AK955" i="15"/>
  <c r="AI952" i="15"/>
  <c r="AJ952" i="15"/>
  <c r="AK952" i="15"/>
  <c r="AI953" i="15"/>
  <c r="AJ953" i="15"/>
  <c r="AK953" i="15"/>
  <c r="AI949" i="15"/>
  <c r="AJ949" i="15"/>
  <c r="AK949" i="15"/>
  <c r="AI950" i="15"/>
  <c r="AJ950" i="15"/>
  <c r="AK950" i="15"/>
  <c r="AI951" i="15"/>
  <c r="AJ951" i="15"/>
  <c r="AK951" i="15"/>
  <c r="AI948" i="15"/>
  <c r="AJ948" i="15"/>
  <c r="AK948" i="15"/>
  <c r="AI945" i="15"/>
  <c r="AK945" i="15"/>
  <c r="AI946" i="15"/>
  <c r="AK946" i="15"/>
  <c r="AI947" i="15"/>
  <c r="AK947" i="15"/>
  <c r="AI937" i="15"/>
  <c r="AJ937" i="15"/>
  <c r="AK937" i="15"/>
  <c r="AI938" i="15"/>
  <c r="AJ938" i="15"/>
  <c r="AK938" i="15"/>
  <c r="AI939" i="15"/>
  <c r="AJ939" i="15"/>
  <c r="AK939" i="15"/>
  <c r="AI940" i="15"/>
  <c r="AJ940" i="15"/>
  <c r="AK940" i="15"/>
  <c r="AI941" i="15"/>
  <c r="AJ941" i="15"/>
  <c r="AK941" i="15"/>
  <c r="AI942" i="15"/>
  <c r="AJ942" i="15"/>
  <c r="AK942" i="15"/>
  <c r="AI943" i="15"/>
  <c r="AJ943" i="15"/>
  <c r="AK943" i="15"/>
  <c r="AI944" i="15"/>
  <c r="AJ944" i="15"/>
  <c r="AK944" i="15"/>
  <c r="AI936" i="15"/>
  <c r="AK936" i="15"/>
  <c r="AI934" i="15"/>
  <c r="AK934" i="15"/>
  <c r="AI935" i="15"/>
  <c r="AK935" i="15"/>
  <c r="AI932" i="15"/>
  <c r="AJ932" i="15"/>
  <c r="AK932" i="15"/>
  <c r="AI933" i="15"/>
  <c r="AJ933" i="15"/>
  <c r="AK933" i="15"/>
  <c r="AI904" i="15"/>
  <c r="AJ904" i="15"/>
  <c r="AK904" i="15"/>
  <c r="AI905" i="15"/>
  <c r="AJ905" i="15"/>
  <c r="AK905" i="15"/>
  <c r="AI906" i="15"/>
  <c r="AJ906" i="15"/>
  <c r="AK906" i="15"/>
  <c r="AI907" i="15"/>
  <c r="AJ907" i="15"/>
  <c r="AK907" i="15"/>
  <c r="AI908" i="15"/>
  <c r="AJ908" i="15"/>
  <c r="AK908" i="15"/>
  <c r="AI909" i="15"/>
  <c r="AK909" i="15"/>
  <c r="AI910" i="15"/>
  <c r="AK910" i="15"/>
  <c r="AI911" i="15"/>
  <c r="AK911" i="15"/>
  <c r="AI912" i="15"/>
  <c r="AK912" i="15"/>
  <c r="AI913" i="15"/>
  <c r="AK913" i="15"/>
  <c r="AI914" i="15"/>
  <c r="AK914" i="15"/>
  <c r="AI915" i="15"/>
  <c r="AJ915" i="15"/>
  <c r="AK915" i="15"/>
  <c r="AI916" i="15"/>
  <c r="AJ916" i="15"/>
  <c r="AK916" i="15"/>
  <c r="AI917" i="15"/>
  <c r="AJ917" i="15"/>
  <c r="AK917" i="15"/>
  <c r="AI918" i="15"/>
  <c r="AJ918" i="15"/>
  <c r="AK918" i="15"/>
  <c r="AI919" i="15"/>
  <c r="AJ919" i="15"/>
  <c r="AK919" i="15"/>
  <c r="AI920" i="15"/>
  <c r="AJ920" i="15"/>
  <c r="AK920" i="15"/>
  <c r="AI921" i="15"/>
  <c r="AJ921" i="15"/>
  <c r="AK921" i="15"/>
  <c r="AI922" i="15"/>
  <c r="AJ922" i="15"/>
  <c r="AK922" i="15"/>
  <c r="AI923" i="15"/>
  <c r="AJ923" i="15"/>
  <c r="AK923" i="15"/>
  <c r="AK924" i="15"/>
  <c r="AK925" i="15"/>
  <c r="AK926" i="15"/>
  <c r="AK927" i="15"/>
  <c r="AK928" i="15"/>
  <c r="AK929" i="15"/>
  <c r="AI930" i="15"/>
  <c r="AJ930" i="15"/>
  <c r="AK930" i="15"/>
  <c r="AI931" i="15"/>
  <c r="AJ931" i="15"/>
  <c r="AK931" i="15"/>
  <c r="AI893" i="15"/>
  <c r="AJ893" i="15"/>
  <c r="AK893" i="15"/>
  <c r="AI894" i="15"/>
  <c r="AJ894" i="15"/>
  <c r="AK894" i="15"/>
  <c r="AI895" i="15"/>
  <c r="AJ895" i="15"/>
  <c r="AK895" i="15"/>
  <c r="AI896" i="15"/>
  <c r="AJ896" i="15"/>
  <c r="AK896" i="15"/>
  <c r="AI897" i="15"/>
  <c r="AJ897" i="15"/>
  <c r="AK897" i="15"/>
  <c r="AI898" i="15"/>
  <c r="AJ898" i="15"/>
  <c r="AK898" i="15"/>
  <c r="AI899" i="15"/>
  <c r="AJ899" i="15"/>
  <c r="AK899" i="15"/>
  <c r="AI900" i="15"/>
  <c r="AJ900" i="15"/>
  <c r="AK900" i="15"/>
  <c r="AI901" i="15"/>
  <c r="AJ901" i="15"/>
  <c r="AK901" i="15"/>
  <c r="AI902" i="15"/>
  <c r="AJ902" i="15"/>
  <c r="AK902" i="15"/>
  <c r="AI903" i="15"/>
  <c r="AJ903" i="15"/>
  <c r="AK903" i="15"/>
  <c r="AI892" i="15"/>
  <c r="AK892" i="15"/>
  <c r="AI891" i="15"/>
  <c r="AK891" i="15"/>
  <c r="AI877" i="15"/>
  <c r="AK877" i="15"/>
  <c r="AI878" i="15"/>
  <c r="AK878" i="15"/>
  <c r="AI879" i="15"/>
  <c r="AK879" i="15"/>
  <c r="AI880" i="15"/>
  <c r="AK880" i="15"/>
  <c r="AI881" i="15"/>
  <c r="AK881" i="15"/>
  <c r="AI882" i="15"/>
  <c r="AK882" i="15"/>
  <c r="AI883" i="15"/>
  <c r="AK883" i="15"/>
  <c r="AI884" i="15"/>
  <c r="AK884" i="15"/>
  <c r="AI885" i="15"/>
  <c r="AK885" i="15"/>
  <c r="AI886" i="15"/>
  <c r="AK886" i="15"/>
  <c r="AI887" i="15"/>
  <c r="AK887" i="15"/>
  <c r="AI888" i="15"/>
  <c r="AK888" i="15"/>
  <c r="AI889" i="15"/>
  <c r="AK889" i="15"/>
  <c r="AI890" i="15"/>
  <c r="AK890" i="15"/>
  <c r="AI876" i="15"/>
  <c r="AK876" i="15"/>
  <c r="AI875" i="15"/>
  <c r="AK875" i="15"/>
  <c r="AI874" i="15"/>
  <c r="AK874" i="15"/>
  <c r="AI873" i="15"/>
  <c r="AK873" i="15"/>
  <c r="AI872" i="15"/>
  <c r="AK872" i="15"/>
  <c r="AI866" i="15"/>
  <c r="AJ866" i="15"/>
  <c r="AK866" i="15"/>
  <c r="AI867" i="15"/>
  <c r="AJ867" i="15"/>
  <c r="AK867" i="15"/>
  <c r="AI868" i="15"/>
  <c r="AJ868" i="15"/>
  <c r="AK868" i="15"/>
  <c r="AI869" i="15"/>
  <c r="AJ869" i="15"/>
  <c r="AK869" i="15"/>
  <c r="AI870" i="15"/>
  <c r="AJ870" i="15"/>
  <c r="AK870" i="15"/>
  <c r="AI871" i="15"/>
  <c r="AJ871" i="15"/>
  <c r="AK871" i="15"/>
  <c r="AI864" i="15"/>
  <c r="AK864" i="15"/>
  <c r="AI865" i="15"/>
  <c r="AJ865" i="15"/>
  <c r="AK865" i="15"/>
  <c r="AI859" i="15"/>
  <c r="AK859" i="15"/>
  <c r="AI860" i="15"/>
  <c r="AK860" i="15"/>
  <c r="AI861" i="15"/>
  <c r="AK861" i="15"/>
  <c r="AI862" i="15"/>
  <c r="AK862" i="15"/>
  <c r="AI863" i="15"/>
  <c r="AK863" i="15"/>
  <c r="AI857" i="15"/>
  <c r="AK857" i="15"/>
  <c r="AI858" i="15"/>
  <c r="AK858" i="15"/>
  <c r="AI852" i="15"/>
  <c r="AK852" i="15"/>
  <c r="AI853" i="15"/>
  <c r="AK853" i="15"/>
  <c r="AI854" i="15"/>
  <c r="AK854" i="15"/>
  <c r="AI855" i="15"/>
  <c r="AK855" i="15"/>
  <c r="AI856" i="15"/>
  <c r="AK856" i="15"/>
  <c r="AI850" i="15"/>
  <c r="AK850" i="15"/>
  <c r="AI851" i="15"/>
  <c r="AK851" i="15"/>
  <c r="AI835" i="15"/>
  <c r="AK835" i="15"/>
  <c r="AI836" i="15"/>
  <c r="AK836" i="15"/>
  <c r="AI837" i="15"/>
  <c r="AK837" i="15"/>
  <c r="AI838" i="15"/>
  <c r="AK838" i="15"/>
  <c r="AI839" i="15"/>
  <c r="AK839" i="15"/>
  <c r="AI840" i="15"/>
  <c r="AK840" i="15"/>
  <c r="AI841" i="15"/>
  <c r="AK841" i="15"/>
  <c r="AI842" i="15"/>
  <c r="AK842" i="15"/>
  <c r="AI843" i="15"/>
  <c r="AK843" i="15"/>
  <c r="AI844" i="15"/>
  <c r="AK844" i="15"/>
  <c r="AI845" i="15"/>
  <c r="AK845" i="15"/>
  <c r="AI846" i="15"/>
  <c r="AK846" i="15"/>
  <c r="AI847" i="15"/>
  <c r="AK847" i="15"/>
  <c r="AI848" i="15"/>
  <c r="AK848" i="15"/>
  <c r="AI849" i="15"/>
  <c r="AK849" i="15"/>
  <c r="AI834" i="15"/>
  <c r="AJ834" i="15"/>
  <c r="AK834" i="15"/>
  <c r="AI831" i="15"/>
  <c r="AK831" i="15"/>
  <c r="AI832" i="15"/>
  <c r="AJ832" i="15"/>
  <c r="AK832" i="15"/>
  <c r="AI833" i="15"/>
  <c r="AJ833" i="15"/>
  <c r="AK833" i="15"/>
  <c r="AI829" i="15"/>
  <c r="AJ829" i="15"/>
  <c r="AK829" i="15"/>
  <c r="AI830" i="15"/>
  <c r="AJ830" i="15"/>
  <c r="AK830" i="15"/>
  <c r="AI828" i="15"/>
  <c r="AJ828" i="15"/>
  <c r="AK828" i="15"/>
  <c r="AI824" i="15"/>
  <c r="AJ824" i="15"/>
  <c r="AK824" i="15"/>
  <c r="AI825" i="15"/>
  <c r="AJ825" i="15"/>
  <c r="AK825" i="15"/>
  <c r="AI826" i="15"/>
  <c r="AJ826" i="15"/>
  <c r="AK826" i="15"/>
  <c r="AI827" i="15"/>
  <c r="AJ827" i="15"/>
  <c r="AK827" i="15"/>
  <c r="AI818" i="15"/>
  <c r="AJ818" i="15"/>
  <c r="AK818" i="15"/>
  <c r="AI819" i="15"/>
  <c r="AJ819" i="15"/>
  <c r="AK819" i="15"/>
  <c r="AI820" i="15"/>
  <c r="AJ820" i="15"/>
  <c r="AK820" i="15"/>
  <c r="AI821" i="15"/>
  <c r="AJ821" i="15"/>
  <c r="AK821" i="15"/>
  <c r="AI822" i="15"/>
  <c r="AK822" i="15"/>
  <c r="AI823" i="15"/>
  <c r="AK823" i="15"/>
  <c r="AI815" i="15"/>
  <c r="AJ815" i="15"/>
  <c r="AK815" i="15"/>
  <c r="AI816" i="15"/>
  <c r="AJ816" i="15"/>
  <c r="AK816" i="15"/>
  <c r="AI817" i="15"/>
  <c r="AJ817" i="15"/>
  <c r="AK817" i="15"/>
  <c r="AI812" i="15"/>
  <c r="AJ812" i="15"/>
  <c r="AK812" i="15"/>
  <c r="AI813" i="15"/>
  <c r="AK813" i="15"/>
  <c r="AI814" i="15"/>
  <c r="AK814" i="15"/>
  <c r="AI809" i="15"/>
  <c r="AJ809" i="15"/>
  <c r="AK809" i="15"/>
  <c r="AI810" i="15"/>
  <c r="AJ810" i="15"/>
  <c r="AK810" i="15"/>
  <c r="AI811" i="15"/>
  <c r="AJ811" i="15"/>
  <c r="AK811" i="15"/>
  <c r="AI804" i="15"/>
  <c r="AK804" i="15"/>
  <c r="AI805" i="15"/>
  <c r="AK805" i="15"/>
  <c r="AI806" i="15"/>
  <c r="AK806" i="15"/>
  <c r="AI807" i="15"/>
  <c r="AK807" i="15"/>
  <c r="AI808" i="15"/>
  <c r="AK808" i="15"/>
  <c r="AI803" i="15"/>
  <c r="AJ803" i="15"/>
  <c r="AK803" i="15"/>
  <c r="AI792" i="15"/>
  <c r="AJ792" i="15"/>
  <c r="AK792" i="15"/>
  <c r="AI793" i="15"/>
  <c r="AJ793" i="15"/>
  <c r="AK793" i="15"/>
  <c r="AI794" i="15"/>
  <c r="AJ794" i="15"/>
  <c r="AK794" i="15"/>
  <c r="AI795" i="15"/>
  <c r="AJ795" i="15"/>
  <c r="AK795" i="15"/>
  <c r="AI796" i="15"/>
  <c r="AJ796" i="15"/>
  <c r="AK796" i="15"/>
  <c r="AI797" i="15"/>
  <c r="AJ797" i="15"/>
  <c r="AK797" i="15"/>
  <c r="AI798" i="15"/>
  <c r="AJ798" i="15"/>
  <c r="AK798" i="15"/>
  <c r="AI799" i="15"/>
  <c r="AJ799" i="15"/>
  <c r="AK799" i="15"/>
  <c r="AI800" i="15"/>
  <c r="AJ800" i="15"/>
  <c r="AK800" i="15"/>
  <c r="AI801" i="15"/>
  <c r="AJ801" i="15"/>
  <c r="AK801" i="15"/>
  <c r="AK802" i="15"/>
  <c r="AI786" i="15"/>
  <c r="AK786" i="15"/>
  <c r="AI787" i="15"/>
  <c r="AK787" i="15"/>
  <c r="AI788" i="15"/>
  <c r="AK788" i="15"/>
  <c r="AI789" i="15"/>
  <c r="AK789" i="15"/>
  <c r="AI790" i="15"/>
  <c r="AK790" i="15"/>
  <c r="AI791" i="15"/>
  <c r="AK791" i="15"/>
  <c r="AI782" i="15"/>
  <c r="AJ782" i="15"/>
  <c r="AK782" i="15"/>
  <c r="AI783" i="15"/>
  <c r="AJ783" i="15"/>
  <c r="AK783" i="15"/>
  <c r="AI784" i="15"/>
  <c r="AJ784" i="15"/>
  <c r="AK784" i="15"/>
  <c r="AI785" i="15"/>
  <c r="AJ785" i="15"/>
  <c r="AK785" i="15"/>
  <c r="AK775" i="15"/>
  <c r="AK776" i="15"/>
  <c r="AK777" i="15"/>
  <c r="AK778" i="15"/>
  <c r="AI779" i="15"/>
  <c r="AJ779" i="15"/>
  <c r="AK779" i="15"/>
  <c r="AI780" i="15"/>
  <c r="AJ780" i="15"/>
  <c r="AK780" i="15"/>
  <c r="AI781" i="15"/>
  <c r="AJ781" i="15"/>
  <c r="AK781" i="15"/>
  <c r="AI770" i="15"/>
  <c r="AJ770" i="15"/>
  <c r="AK770" i="15"/>
  <c r="AI771" i="15"/>
  <c r="AJ771" i="15"/>
  <c r="AK771" i="15"/>
  <c r="AI772" i="15"/>
  <c r="AJ772" i="15"/>
  <c r="AK772" i="15"/>
  <c r="AI773" i="15"/>
  <c r="AJ773" i="15"/>
  <c r="AK773" i="15"/>
  <c r="AI774" i="15"/>
  <c r="AJ774" i="15"/>
  <c r="AK774" i="15"/>
  <c r="AI768" i="15"/>
  <c r="AJ768" i="15"/>
  <c r="AK768" i="15"/>
  <c r="AI769" i="15"/>
  <c r="AJ769" i="15"/>
  <c r="AK769" i="15"/>
  <c r="AI766" i="15"/>
  <c r="AJ766" i="15"/>
  <c r="AK766" i="15"/>
  <c r="AI767" i="15"/>
  <c r="AJ767" i="15"/>
  <c r="AK767" i="15"/>
  <c r="AI762" i="15"/>
  <c r="AK762" i="15"/>
  <c r="AI763" i="15"/>
  <c r="AK763" i="15"/>
  <c r="AI764" i="15"/>
  <c r="AK764" i="15"/>
  <c r="AI765" i="15"/>
  <c r="AJ765" i="15"/>
  <c r="AK765" i="15"/>
  <c r="AK760" i="15"/>
  <c r="AK761" i="15"/>
  <c r="AI759" i="15"/>
  <c r="AJ759" i="15"/>
  <c r="AK759" i="15"/>
  <c r="AI754" i="15"/>
  <c r="AJ754" i="15"/>
  <c r="AK754" i="15"/>
  <c r="AI755" i="15"/>
  <c r="AJ755" i="15"/>
  <c r="AK755" i="15"/>
  <c r="AI756" i="15"/>
  <c r="AJ756" i="15"/>
  <c r="AK756" i="15"/>
  <c r="AI757" i="15"/>
  <c r="AJ757" i="15"/>
  <c r="AK757" i="15"/>
  <c r="AI758" i="15"/>
  <c r="AJ758" i="15"/>
  <c r="AK758" i="15"/>
  <c r="AI753" i="15"/>
  <c r="AJ753" i="15"/>
  <c r="AK753" i="15"/>
  <c r="AI751" i="15"/>
  <c r="AJ751" i="15"/>
  <c r="AK751" i="15"/>
  <c r="AI752" i="15"/>
  <c r="AJ752" i="15"/>
  <c r="AK752" i="15"/>
  <c r="AI749" i="15"/>
  <c r="AJ749" i="15"/>
  <c r="AK749" i="15"/>
  <c r="AI750" i="15"/>
  <c r="AJ750" i="15"/>
  <c r="AK750" i="15"/>
  <c r="AF961" i="15"/>
  <c r="AH961" i="15"/>
  <c r="AF962" i="15"/>
  <c r="AH962" i="15"/>
  <c r="AF963" i="15"/>
  <c r="AH963" i="15"/>
  <c r="AF957" i="15"/>
  <c r="AG957" i="15"/>
  <c r="AH957" i="15"/>
  <c r="AF958" i="15"/>
  <c r="AH958" i="15"/>
  <c r="AF959" i="15"/>
  <c r="AG959" i="15"/>
  <c r="AH959" i="15"/>
  <c r="AF960" i="15"/>
  <c r="AG960" i="15"/>
  <c r="AH960" i="15"/>
  <c r="AF956" i="15"/>
  <c r="AG956" i="15"/>
  <c r="AH956" i="15"/>
  <c r="AF954" i="15"/>
  <c r="AG954" i="15"/>
  <c r="AH954" i="15"/>
  <c r="AF955" i="15"/>
  <c r="AG955" i="15"/>
  <c r="AH955" i="15"/>
  <c r="AF952" i="15"/>
  <c r="AG952" i="15"/>
  <c r="AH952" i="15"/>
  <c r="AF953" i="15"/>
  <c r="AG953" i="15"/>
  <c r="AH953" i="15"/>
  <c r="AF949" i="15"/>
  <c r="AG949" i="15"/>
  <c r="AH949" i="15"/>
  <c r="AF950" i="15"/>
  <c r="AG950" i="15"/>
  <c r="AH950" i="15"/>
  <c r="AF951" i="15"/>
  <c r="AG951" i="15"/>
  <c r="AH951" i="15"/>
  <c r="AF948" i="15"/>
  <c r="AG948" i="15"/>
  <c r="AH948" i="15"/>
  <c r="AF945" i="15"/>
  <c r="AH945" i="15"/>
  <c r="AF946" i="15"/>
  <c r="AH946" i="15"/>
  <c r="AF947" i="15"/>
  <c r="AH947" i="15"/>
  <c r="AF937" i="15"/>
  <c r="AG937" i="15"/>
  <c r="AH937" i="15"/>
  <c r="AF938" i="15"/>
  <c r="AG938" i="15"/>
  <c r="AH938" i="15"/>
  <c r="AF939" i="15"/>
  <c r="AG939" i="15"/>
  <c r="AH939" i="15"/>
  <c r="AF940" i="15"/>
  <c r="AG940" i="15"/>
  <c r="AH940" i="15"/>
  <c r="AF941" i="15"/>
  <c r="AG941" i="15"/>
  <c r="AH941" i="15"/>
  <c r="AF942" i="15"/>
  <c r="AG942" i="15"/>
  <c r="AH942" i="15"/>
  <c r="AF943" i="15"/>
  <c r="AG943" i="15"/>
  <c r="AH943" i="15"/>
  <c r="AF944" i="15"/>
  <c r="AG944" i="15"/>
  <c r="AH944" i="15"/>
  <c r="AF936" i="15"/>
  <c r="AH936" i="15"/>
  <c r="AF934" i="15"/>
  <c r="AH934" i="15"/>
  <c r="AF935" i="15"/>
  <c r="AH935" i="15"/>
  <c r="AF932" i="15"/>
  <c r="AG932" i="15"/>
  <c r="AH932" i="15"/>
  <c r="AF933" i="15"/>
  <c r="AG933" i="15"/>
  <c r="AH933" i="15"/>
  <c r="AF904" i="15"/>
  <c r="AG904" i="15"/>
  <c r="AH904" i="15"/>
  <c r="AF905" i="15"/>
  <c r="AG905" i="15"/>
  <c r="AH905" i="15"/>
  <c r="AF906" i="15"/>
  <c r="AG906" i="15"/>
  <c r="AH906" i="15"/>
  <c r="AF907" i="15"/>
  <c r="AG907" i="15"/>
  <c r="AH907" i="15"/>
  <c r="AF908" i="15"/>
  <c r="AG908" i="15"/>
  <c r="AH908" i="15"/>
  <c r="AF909" i="15"/>
  <c r="AH909" i="15"/>
  <c r="AF910" i="15"/>
  <c r="AH910" i="15"/>
  <c r="AF911" i="15"/>
  <c r="AH911" i="15"/>
  <c r="AF912" i="15"/>
  <c r="AH912" i="15"/>
  <c r="AF913" i="15"/>
  <c r="AH913" i="15"/>
  <c r="AF914" i="15"/>
  <c r="AH914" i="15"/>
  <c r="AF915" i="15"/>
  <c r="AG915" i="15"/>
  <c r="AH915" i="15"/>
  <c r="AF916" i="15"/>
  <c r="AG916" i="15"/>
  <c r="AH916" i="15"/>
  <c r="AF917" i="15"/>
  <c r="AG917" i="15"/>
  <c r="AH917" i="15"/>
  <c r="AF918" i="15"/>
  <c r="AG918" i="15"/>
  <c r="AH918" i="15"/>
  <c r="AF919" i="15"/>
  <c r="AG919" i="15"/>
  <c r="AH919" i="15"/>
  <c r="AF920" i="15"/>
  <c r="AG920" i="15"/>
  <c r="AH920" i="15"/>
  <c r="AF921" i="15"/>
  <c r="AG921" i="15"/>
  <c r="AH921" i="15"/>
  <c r="AF922" i="15"/>
  <c r="AG922" i="15"/>
  <c r="AH922" i="15"/>
  <c r="AF923" i="15"/>
  <c r="AG923" i="15"/>
  <c r="AH923" i="15"/>
  <c r="AH924" i="15"/>
  <c r="AH925" i="15"/>
  <c r="AH926" i="15"/>
  <c r="AH927" i="15"/>
  <c r="AH928" i="15"/>
  <c r="AH929" i="15"/>
  <c r="AF930" i="15"/>
  <c r="AG930" i="15"/>
  <c r="AH930" i="15"/>
  <c r="AF931" i="15"/>
  <c r="AG931" i="15"/>
  <c r="AH931" i="15"/>
  <c r="AF893" i="15"/>
  <c r="AG893" i="15"/>
  <c r="AH893" i="15"/>
  <c r="AF894" i="15"/>
  <c r="AG894" i="15"/>
  <c r="AH894" i="15"/>
  <c r="AF895" i="15"/>
  <c r="AG895" i="15"/>
  <c r="AH895" i="15"/>
  <c r="AF896" i="15"/>
  <c r="AG896" i="15"/>
  <c r="AH896" i="15"/>
  <c r="AF897" i="15"/>
  <c r="AG897" i="15"/>
  <c r="AH897" i="15"/>
  <c r="AF898" i="15"/>
  <c r="AG898" i="15"/>
  <c r="AH898" i="15"/>
  <c r="AF899" i="15"/>
  <c r="AG899" i="15"/>
  <c r="AH899" i="15"/>
  <c r="AF900" i="15"/>
  <c r="AG900" i="15"/>
  <c r="AH900" i="15"/>
  <c r="AF901" i="15"/>
  <c r="AG901" i="15"/>
  <c r="AH901" i="15"/>
  <c r="AF902" i="15"/>
  <c r="AG902" i="15"/>
  <c r="AH902" i="15"/>
  <c r="AF903" i="15"/>
  <c r="AG903" i="15"/>
  <c r="AH903" i="15"/>
  <c r="AF892" i="15"/>
  <c r="AH892" i="15"/>
  <c r="AF891" i="15"/>
  <c r="AH891" i="15"/>
  <c r="AF877" i="15"/>
  <c r="AH877" i="15"/>
  <c r="AF878" i="15"/>
  <c r="AH878" i="15"/>
  <c r="AF879" i="15"/>
  <c r="AH879" i="15"/>
  <c r="AF880" i="15"/>
  <c r="AH880" i="15"/>
  <c r="AF881" i="15"/>
  <c r="AH881" i="15"/>
  <c r="AF882" i="15"/>
  <c r="AH882" i="15"/>
  <c r="AF883" i="15"/>
  <c r="AH883" i="15"/>
  <c r="AF884" i="15"/>
  <c r="AH884" i="15"/>
  <c r="AF885" i="15"/>
  <c r="AH885" i="15"/>
  <c r="AF886" i="15"/>
  <c r="AH886" i="15"/>
  <c r="AF887" i="15"/>
  <c r="AH887" i="15"/>
  <c r="AF888" i="15"/>
  <c r="AH888" i="15"/>
  <c r="AF889" i="15"/>
  <c r="AH889" i="15"/>
  <c r="AF890" i="15"/>
  <c r="AH890" i="15"/>
  <c r="AF876" i="15"/>
  <c r="AH876" i="15"/>
  <c r="AF875" i="15"/>
  <c r="AH875" i="15"/>
  <c r="AF874" i="15"/>
  <c r="AH874" i="15"/>
  <c r="AF873" i="15"/>
  <c r="AH873" i="15"/>
  <c r="AF872" i="15"/>
  <c r="AH872" i="15"/>
  <c r="AF866" i="15"/>
  <c r="AG866" i="15"/>
  <c r="AH866" i="15"/>
  <c r="AF867" i="15"/>
  <c r="AG867" i="15"/>
  <c r="AH867" i="15"/>
  <c r="AF868" i="15"/>
  <c r="AG868" i="15"/>
  <c r="AH868" i="15"/>
  <c r="AF869" i="15"/>
  <c r="AG869" i="15"/>
  <c r="AH869" i="15"/>
  <c r="AF870" i="15"/>
  <c r="AG870" i="15"/>
  <c r="AH870" i="15"/>
  <c r="AF871" i="15"/>
  <c r="AG871" i="15"/>
  <c r="AH871" i="15"/>
  <c r="AF864" i="15"/>
  <c r="AH864" i="15"/>
  <c r="AF865" i="15"/>
  <c r="AG865" i="15"/>
  <c r="AH865" i="15"/>
  <c r="AF859" i="15"/>
  <c r="AH859" i="15"/>
  <c r="AF860" i="15"/>
  <c r="AH860" i="15"/>
  <c r="AF861" i="15"/>
  <c r="AH861" i="15"/>
  <c r="AF862" i="15"/>
  <c r="AH862" i="15"/>
  <c r="AF863" i="15"/>
  <c r="AH863" i="15"/>
  <c r="AF857" i="15"/>
  <c r="AH857" i="15"/>
  <c r="AF858" i="15"/>
  <c r="AH858" i="15"/>
  <c r="AF852" i="15"/>
  <c r="AH852" i="15"/>
  <c r="AF853" i="15"/>
  <c r="AH853" i="15"/>
  <c r="AF854" i="15"/>
  <c r="AH854" i="15"/>
  <c r="AF855" i="15"/>
  <c r="AH855" i="15"/>
  <c r="AF856" i="15"/>
  <c r="AH856" i="15"/>
  <c r="AF850" i="15"/>
  <c r="AH850" i="15"/>
  <c r="AF851" i="15"/>
  <c r="AH851" i="15"/>
  <c r="AF835" i="15"/>
  <c r="AH835" i="15"/>
  <c r="AF836" i="15"/>
  <c r="AH836" i="15"/>
  <c r="AF837" i="15"/>
  <c r="AH837" i="15"/>
  <c r="AF838" i="15"/>
  <c r="AH838" i="15"/>
  <c r="AF839" i="15"/>
  <c r="AH839" i="15"/>
  <c r="AF840" i="15"/>
  <c r="AH840" i="15"/>
  <c r="AF841" i="15"/>
  <c r="AH841" i="15"/>
  <c r="AF842" i="15"/>
  <c r="AH842" i="15"/>
  <c r="AF843" i="15"/>
  <c r="AH843" i="15"/>
  <c r="AF844" i="15"/>
  <c r="AH844" i="15"/>
  <c r="AF845" i="15"/>
  <c r="AH845" i="15"/>
  <c r="AF846" i="15"/>
  <c r="AH846" i="15"/>
  <c r="AF847" i="15"/>
  <c r="AH847" i="15"/>
  <c r="AF848" i="15"/>
  <c r="AH848" i="15"/>
  <c r="AF849" i="15"/>
  <c r="AH849" i="15"/>
  <c r="AF834" i="15"/>
  <c r="AG834" i="15"/>
  <c r="AH834" i="15"/>
  <c r="AF831" i="15"/>
  <c r="AH831" i="15"/>
  <c r="AF832" i="15"/>
  <c r="AG832" i="15"/>
  <c r="AH832" i="15"/>
  <c r="AF833" i="15"/>
  <c r="AG833" i="15"/>
  <c r="AH833" i="15"/>
  <c r="AF829" i="15"/>
  <c r="AG829" i="15"/>
  <c r="AH829" i="15"/>
  <c r="AF830" i="15"/>
  <c r="AG830" i="15"/>
  <c r="AH830" i="15"/>
  <c r="AF828" i="15"/>
  <c r="AG828" i="15"/>
  <c r="AH828" i="15"/>
  <c r="AF824" i="15"/>
  <c r="AG824" i="15"/>
  <c r="AH824" i="15"/>
  <c r="AF825" i="15"/>
  <c r="AG825" i="15"/>
  <c r="AH825" i="15"/>
  <c r="AF826" i="15"/>
  <c r="AG826" i="15"/>
  <c r="AH826" i="15"/>
  <c r="AF827" i="15"/>
  <c r="AG827" i="15"/>
  <c r="AH827" i="15"/>
  <c r="AF818" i="15"/>
  <c r="AG818" i="15"/>
  <c r="AH818" i="15"/>
  <c r="AF819" i="15"/>
  <c r="AG819" i="15"/>
  <c r="AH819" i="15"/>
  <c r="AF820" i="15"/>
  <c r="AG820" i="15"/>
  <c r="AH820" i="15"/>
  <c r="AF821" i="15"/>
  <c r="AG821" i="15"/>
  <c r="AH821" i="15"/>
  <c r="AF822" i="15"/>
  <c r="AH822" i="15"/>
  <c r="AF823" i="15"/>
  <c r="AH823" i="15"/>
  <c r="AH815" i="15"/>
  <c r="AH816" i="15"/>
  <c r="AH817" i="15"/>
  <c r="AF812" i="15"/>
  <c r="AG812" i="15"/>
  <c r="AH812" i="15"/>
  <c r="AF813" i="15"/>
  <c r="AH813" i="15"/>
  <c r="AF814" i="15"/>
  <c r="AH814" i="15"/>
  <c r="AF809" i="15"/>
  <c r="AG809" i="15"/>
  <c r="AH809" i="15"/>
  <c r="AF810" i="15"/>
  <c r="AG810" i="15"/>
  <c r="AH810" i="15"/>
  <c r="AF811" i="15"/>
  <c r="AG811" i="15"/>
  <c r="AH811" i="15"/>
  <c r="AF804" i="15"/>
  <c r="AH804" i="15"/>
  <c r="AF805" i="15"/>
  <c r="AH805" i="15"/>
  <c r="AF806" i="15"/>
  <c r="AH806" i="15"/>
  <c r="AF807" i="15"/>
  <c r="AH807" i="15"/>
  <c r="AF808" i="15"/>
  <c r="AH808" i="15"/>
  <c r="AF803" i="15"/>
  <c r="AG803" i="15"/>
  <c r="AH803" i="15"/>
  <c r="AF792" i="15"/>
  <c r="AG792" i="15"/>
  <c r="AH792" i="15"/>
  <c r="AF793" i="15"/>
  <c r="AG793" i="15"/>
  <c r="AH793" i="15"/>
  <c r="AF794" i="15"/>
  <c r="AG794" i="15"/>
  <c r="AH794" i="15"/>
  <c r="AF795" i="15"/>
  <c r="AG795" i="15"/>
  <c r="AH795" i="15"/>
  <c r="AF796" i="15"/>
  <c r="AG796" i="15"/>
  <c r="AH796" i="15"/>
  <c r="AF797" i="15"/>
  <c r="AG797" i="15"/>
  <c r="AH797" i="15"/>
  <c r="AF798" i="15"/>
  <c r="AG798" i="15"/>
  <c r="AH798" i="15"/>
  <c r="AF799" i="15"/>
  <c r="AG799" i="15"/>
  <c r="AH799" i="15"/>
  <c r="AF800" i="15"/>
  <c r="AG800" i="15"/>
  <c r="AH800" i="15"/>
  <c r="AF801" i="15"/>
  <c r="AG801" i="15"/>
  <c r="AH801" i="15"/>
  <c r="AH802" i="15"/>
  <c r="AF786" i="15"/>
  <c r="AH786" i="15"/>
  <c r="AF787" i="15"/>
  <c r="AH787" i="15"/>
  <c r="AF788" i="15"/>
  <c r="AH788" i="15"/>
  <c r="AF789" i="15"/>
  <c r="AH789" i="15"/>
  <c r="AF790" i="15"/>
  <c r="AH790" i="15"/>
  <c r="AF791" i="15"/>
  <c r="AH791" i="15"/>
  <c r="AF782" i="15"/>
  <c r="AG782" i="15"/>
  <c r="AH782" i="15"/>
  <c r="AF783" i="15"/>
  <c r="AG783" i="15"/>
  <c r="AH783" i="15"/>
  <c r="AF784" i="15"/>
  <c r="AG784" i="15"/>
  <c r="AH784" i="15"/>
  <c r="AF785" i="15"/>
  <c r="AG785" i="15"/>
  <c r="AH785" i="15"/>
  <c r="AH775" i="15"/>
  <c r="AH776" i="15"/>
  <c r="AH777" i="15"/>
  <c r="AH778" i="15"/>
  <c r="AF779" i="15"/>
  <c r="AG779" i="15"/>
  <c r="AH779" i="15"/>
  <c r="AF780" i="15"/>
  <c r="AG780" i="15"/>
  <c r="AH780" i="15"/>
  <c r="AF781" i="15"/>
  <c r="AG781" i="15"/>
  <c r="AH781" i="15"/>
  <c r="AF770" i="15"/>
  <c r="AG770" i="15"/>
  <c r="AH770" i="15"/>
  <c r="AF771" i="15"/>
  <c r="AG771" i="15"/>
  <c r="AH771" i="15"/>
  <c r="AF772" i="15"/>
  <c r="AG772" i="15"/>
  <c r="AH772" i="15"/>
  <c r="AF773" i="15"/>
  <c r="AG773" i="15"/>
  <c r="AH773" i="15"/>
  <c r="AH774" i="15"/>
  <c r="AF768" i="15"/>
  <c r="AG768" i="15"/>
  <c r="AH768" i="15"/>
  <c r="AF769" i="15"/>
  <c r="AG769" i="15"/>
  <c r="AH769" i="15"/>
  <c r="AF766" i="15"/>
  <c r="AG766" i="15"/>
  <c r="AH766" i="15"/>
  <c r="AF767" i="15"/>
  <c r="AG767" i="15"/>
  <c r="AH767" i="15"/>
  <c r="AF762" i="15"/>
  <c r="AH762" i="15"/>
  <c r="AF763" i="15"/>
  <c r="AH763" i="15"/>
  <c r="AF764" i="15"/>
  <c r="AH764" i="15"/>
  <c r="AF765" i="15"/>
  <c r="AG765" i="15"/>
  <c r="AH765" i="15"/>
  <c r="AH760" i="15"/>
  <c r="AH761" i="15"/>
  <c r="AF759" i="15"/>
  <c r="AG759" i="15"/>
  <c r="AH759" i="15"/>
  <c r="AF754" i="15"/>
  <c r="AG754" i="15"/>
  <c r="AH754" i="15"/>
  <c r="AF755" i="15"/>
  <c r="AG755" i="15"/>
  <c r="AH755" i="15"/>
  <c r="AF756" i="15"/>
  <c r="AG756" i="15"/>
  <c r="AH756" i="15"/>
  <c r="AF757" i="15"/>
  <c r="AG757" i="15"/>
  <c r="AH757" i="15"/>
  <c r="AF758" i="15"/>
  <c r="AG758" i="15"/>
  <c r="AH758" i="15"/>
  <c r="AF753" i="15"/>
  <c r="AG753" i="15"/>
  <c r="AH753" i="15"/>
  <c r="AF751" i="15"/>
  <c r="AG751" i="15"/>
  <c r="AH751" i="15"/>
  <c r="AF752" i="15"/>
  <c r="AG752" i="15"/>
  <c r="AH752" i="15"/>
  <c r="AH749" i="15"/>
  <c r="AF750" i="15"/>
  <c r="AG750" i="15"/>
  <c r="AH750" i="15"/>
  <c r="AC811" i="15"/>
  <c r="AD811" i="15"/>
  <c r="AE811" i="15"/>
  <c r="AE809" i="15"/>
  <c r="AE810" i="15"/>
  <c r="AE808" i="15"/>
  <c r="AE805" i="15"/>
  <c r="AE806" i="15"/>
  <c r="AE807" i="15"/>
  <c r="AE803" i="15"/>
  <c r="AE804" i="15"/>
  <c r="AE798" i="15"/>
  <c r="AE799" i="15"/>
  <c r="AE800" i="15"/>
  <c r="AE801" i="15"/>
  <c r="AE802" i="15"/>
  <c r="AE796" i="15"/>
  <c r="AE797" i="15"/>
  <c r="AE795" i="15"/>
  <c r="AE792" i="15"/>
  <c r="AC793" i="15"/>
  <c r="AD793" i="15"/>
  <c r="AE793" i="15"/>
  <c r="AC794" i="15"/>
  <c r="AD794" i="15"/>
  <c r="AE794" i="15"/>
  <c r="AC791" i="15"/>
  <c r="AE791" i="15"/>
  <c r="AE790" i="15"/>
  <c r="AE789" i="15"/>
  <c r="AE785" i="15"/>
  <c r="AE786" i="15"/>
  <c r="AE787" i="15"/>
  <c r="AE788" i="15"/>
  <c r="AE784" i="15"/>
  <c r="AC773" i="15"/>
  <c r="AE773" i="15"/>
  <c r="AC774" i="15"/>
  <c r="AE774" i="15"/>
  <c r="AC775" i="15"/>
  <c r="AE775" i="15"/>
  <c r="AC776" i="15"/>
  <c r="AE776" i="15"/>
  <c r="AC777" i="15"/>
  <c r="AE777" i="15"/>
  <c r="AC778" i="15"/>
  <c r="AE778" i="15"/>
  <c r="AC779" i="15"/>
  <c r="AE779" i="15"/>
  <c r="AC780" i="15"/>
  <c r="AE780" i="15"/>
  <c r="AC781" i="15"/>
  <c r="AE781" i="15"/>
  <c r="AC782" i="15"/>
  <c r="AE782" i="15"/>
  <c r="AE783" i="15"/>
  <c r="AE767" i="15"/>
  <c r="AE768" i="15"/>
  <c r="AE769" i="15"/>
  <c r="AE770" i="15"/>
  <c r="AE771" i="15"/>
  <c r="AE772" i="15"/>
  <c r="AE763" i="15"/>
  <c r="AE764" i="15"/>
  <c r="AE765" i="15"/>
  <c r="AE766" i="15"/>
  <c r="AE760" i="15"/>
  <c r="AE761" i="15"/>
  <c r="AE762" i="15"/>
  <c r="AE755" i="15"/>
  <c r="AE756" i="15"/>
  <c r="AE757" i="15"/>
  <c r="AE758" i="15"/>
  <c r="AE759" i="15"/>
  <c r="AE753" i="15"/>
  <c r="AE754" i="15"/>
  <c r="AE751" i="15"/>
  <c r="AE752" i="15"/>
  <c r="AE750" i="15"/>
  <c r="AC749" i="15"/>
  <c r="AE749" i="15"/>
  <c r="Z811" i="15"/>
  <c r="AA811" i="15"/>
  <c r="AB811" i="15"/>
  <c r="AB809" i="15"/>
  <c r="AB810" i="15"/>
  <c r="AB808" i="15"/>
  <c r="AB805" i="15"/>
  <c r="AB806" i="15"/>
  <c r="AB807" i="15"/>
  <c r="AB803" i="15"/>
  <c r="AB804" i="15"/>
  <c r="AB798" i="15"/>
  <c r="AB799" i="15"/>
  <c r="AB800" i="15"/>
  <c r="AB801" i="15"/>
  <c r="AB802" i="15"/>
  <c r="AB796" i="15"/>
  <c r="AB797" i="15"/>
  <c r="AB795" i="15"/>
  <c r="AB792" i="15"/>
  <c r="Z793" i="15"/>
  <c r="AA793" i="15"/>
  <c r="AB793" i="15"/>
  <c r="Z794" i="15"/>
  <c r="AA794" i="15"/>
  <c r="AB794" i="15"/>
  <c r="Z791" i="15"/>
  <c r="AB791" i="15"/>
  <c r="AB790" i="15"/>
  <c r="AB789" i="15"/>
  <c r="AB785" i="15"/>
  <c r="AB786" i="15"/>
  <c r="AB787" i="15"/>
  <c r="AB788" i="15"/>
  <c r="AB784" i="15"/>
  <c r="Z773" i="15"/>
  <c r="AB773" i="15"/>
  <c r="Z774" i="15"/>
  <c r="AB774" i="15"/>
  <c r="Z775" i="15"/>
  <c r="AB775" i="15"/>
  <c r="Z776" i="15"/>
  <c r="AB776" i="15"/>
  <c r="Z777" i="15"/>
  <c r="AB777" i="15"/>
  <c r="Z778" i="15"/>
  <c r="AB778" i="15"/>
  <c r="Z779" i="15"/>
  <c r="AB779" i="15"/>
  <c r="Z780" i="15"/>
  <c r="AB780" i="15"/>
  <c r="Z781" i="15"/>
  <c r="AB781" i="15"/>
  <c r="Z782" i="15"/>
  <c r="AB782" i="15"/>
  <c r="AB783" i="15"/>
  <c r="AB767" i="15"/>
  <c r="AB768" i="15"/>
  <c r="AB769" i="15"/>
  <c r="AB770" i="15"/>
  <c r="AB771" i="15"/>
  <c r="AB772" i="15"/>
  <c r="AB763" i="15"/>
  <c r="AB764" i="15"/>
  <c r="AB765" i="15"/>
  <c r="AB766" i="15"/>
  <c r="AB760" i="15"/>
  <c r="AB761" i="15"/>
  <c r="AB762" i="15"/>
  <c r="AB755" i="15"/>
  <c r="AB756" i="15"/>
  <c r="AB757" i="15"/>
  <c r="AB758" i="15"/>
  <c r="AB759" i="15"/>
  <c r="AB753" i="15"/>
  <c r="AB754" i="15"/>
  <c r="AB751" i="15"/>
  <c r="AB752" i="15"/>
  <c r="AB750" i="15"/>
  <c r="Z749" i="15"/>
  <c r="AB749" i="15"/>
  <c r="Y901" i="15"/>
  <c r="Y902" i="15"/>
  <c r="Y903" i="15"/>
  <c r="Y900" i="15"/>
  <c r="W899" i="15"/>
  <c r="X899" i="15"/>
  <c r="Y899" i="15"/>
  <c r="Y897" i="15"/>
  <c r="Y898" i="15"/>
  <c r="Y896" i="15"/>
  <c r="Y895" i="15"/>
  <c r="W892" i="15"/>
  <c r="X892" i="15"/>
  <c r="Y892" i="15"/>
  <c r="W893" i="15"/>
  <c r="X893" i="15"/>
  <c r="Y893" i="15"/>
  <c r="W894" i="15"/>
  <c r="X894" i="15"/>
  <c r="Y894" i="15"/>
  <c r="Y891" i="15"/>
  <c r="Y889" i="15"/>
  <c r="Y890" i="15"/>
  <c r="Y887" i="15"/>
  <c r="Y888" i="15"/>
  <c r="Y885" i="15"/>
  <c r="Y886" i="15"/>
  <c r="W865" i="15"/>
  <c r="Y865" i="15"/>
  <c r="W866" i="15"/>
  <c r="Y866" i="15"/>
  <c r="W867" i="15"/>
  <c r="Y867" i="15"/>
  <c r="Y868" i="15"/>
  <c r="Y869" i="15"/>
  <c r="Y870" i="15"/>
  <c r="Y871" i="15"/>
  <c r="Y872" i="15"/>
  <c r="Y873" i="15"/>
  <c r="Y874" i="15"/>
  <c r="Y875" i="15"/>
  <c r="Y876" i="15"/>
  <c r="Y877" i="15"/>
  <c r="Y878" i="15"/>
  <c r="Y879" i="15"/>
  <c r="Y880" i="15"/>
  <c r="Y881" i="15"/>
  <c r="Y882" i="15"/>
  <c r="Y883" i="15"/>
  <c r="Y884" i="15"/>
  <c r="W854" i="15"/>
  <c r="Y854" i="15"/>
  <c r="W855" i="15"/>
  <c r="Y855" i="15"/>
  <c r="W856" i="15"/>
  <c r="Y856" i="15"/>
  <c r="W857" i="15"/>
  <c r="Y857" i="15"/>
  <c r="W858" i="15"/>
  <c r="Y858" i="15"/>
  <c r="W859" i="15"/>
  <c r="Y859" i="15"/>
  <c r="W860" i="15"/>
  <c r="Y860" i="15"/>
  <c r="W861" i="15"/>
  <c r="Y861" i="15"/>
  <c r="W862" i="15"/>
  <c r="Y862" i="15"/>
  <c r="W863" i="15"/>
  <c r="Y863" i="15"/>
  <c r="W864" i="15"/>
  <c r="Y864" i="15"/>
  <c r="Y853" i="15"/>
  <c r="Y852" i="15"/>
  <c r="Y838" i="15"/>
  <c r="Y839" i="15"/>
  <c r="Y840" i="15"/>
  <c r="Y841" i="15"/>
  <c r="Y842" i="15"/>
  <c r="Y843" i="15"/>
  <c r="Y844" i="15"/>
  <c r="Y845" i="15"/>
  <c r="Y846" i="15"/>
  <c r="Y847" i="15"/>
  <c r="Y848" i="15"/>
  <c r="Y849" i="15"/>
  <c r="Y850" i="15"/>
  <c r="Y851" i="15"/>
  <c r="Y837" i="15"/>
  <c r="Y836" i="15"/>
  <c r="Y835" i="15"/>
  <c r="Y834" i="15"/>
  <c r="Y833" i="15"/>
  <c r="W827" i="15"/>
  <c r="X827" i="15"/>
  <c r="Y827" i="15"/>
  <c r="W828" i="15"/>
  <c r="X828" i="15"/>
  <c r="Y828" i="15"/>
  <c r="W829" i="15"/>
  <c r="X829" i="15"/>
  <c r="Y829" i="15"/>
  <c r="W830" i="15"/>
  <c r="X830" i="15"/>
  <c r="Y830" i="15"/>
  <c r="W831" i="15"/>
  <c r="X831" i="15"/>
  <c r="Y831" i="15"/>
  <c r="W832" i="15"/>
  <c r="X832" i="15"/>
  <c r="Y832" i="15"/>
  <c r="Y825" i="15"/>
  <c r="Y826" i="15"/>
  <c r="Y824" i="15"/>
  <c r="Y821" i="15"/>
  <c r="W822" i="15"/>
  <c r="X822" i="15"/>
  <c r="Y822" i="15"/>
  <c r="W823" i="15"/>
  <c r="X823" i="15"/>
  <c r="Y823" i="15"/>
  <c r="W819" i="15"/>
  <c r="Y819" i="15"/>
  <c r="W820" i="15"/>
  <c r="Y820" i="15"/>
  <c r="Y818" i="15"/>
  <c r="Y814" i="15"/>
  <c r="Y815" i="15"/>
  <c r="Y816" i="15"/>
  <c r="Y817" i="15"/>
  <c r="Y813" i="15"/>
  <c r="Y809" i="15"/>
  <c r="Y810" i="15"/>
  <c r="Y811" i="15"/>
  <c r="Y812" i="15"/>
  <c r="Y806" i="15"/>
  <c r="Y807" i="15"/>
  <c r="Y808" i="15"/>
  <c r="Y803" i="15"/>
  <c r="Y804" i="15"/>
  <c r="Y805" i="15"/>
  <c r="Y798" i="15"/>
  <c r="Y799" i="15"/>
  <c r="Y800" i="15"/>
  <c r="Y801" i="15"/>
  <c r="Y802" i="15"/>
  <c r="W797" i="15"/>
  <c r="X797" i="15"/>
  <c r="Y797" i="15"/>
  <c r="W786" i="15"/>
  <c r="Y786" i="15"/>
  <c r="W787" i="15"/>
  <c r="Y787" i="15"/>
  <c r="W788" i="15"/>
  <c r="Y788" i="15"/>
  <c r="W789" i="15"/>
  <c r="Y789" i="15"/>
  <c r="W790" i="15"/>
  <c r="Y790" i="15"/>
  <c r="W791" i="15"/>
  <c r="Y791" i="15"/>
  <c r="W792" i="15"/>
  <c r="Y792" i="15"/>
  <c r="W793" i="15"/>
  <c r="Y793" i="15"/>
  <c r="W794" i="15"/>
  <c r="Y794" i="15"/>
  <c r="W795" i="15"/>
  <c r="Y795" i="15"/>
  <c r="Y796" i="15"/>
  <c r="Y780" i="15"/>
  <c r="Y781" i="15"/>
  <c r="Y782" i="15"/>
  <c r="Y783" i="15"/>
  <c r="Y784" i="15"/>
  <c r="Y785" i="15"/>
  <c r="Y776" i="15"/>
  <c r="Y777" i="15"/>
  <c r="Y778" i="15"/>
  <c r="Y779" i="15"/>
  <c r="Y769" i="15"/>
  <c r="Y770" i="15"/>
  <c r="Y771" i="15"/>
  <c r="Y772" i="15"/>
  <c r="Y773" i="15"/>
  <c r="Y774" i="15"/>
  <c r="Y775" i="15"/>
  <c r="Y768" i="15"/>
  <c r="Y766" i="15"/>
  <c r="Y767" i="15"/>
  <c r="Y762" i="15"/>
  <c r="Y763" i="15"/>
  <c r="Y764" i="15"/>
  <c r="Y765" i="15"/>
  <c r="Y760" i="15"/>
  <c r="Y761" i="15"/>
  <c r="W759" i="15"/>
  <c r="Y759" i="15"/>
  <c r="Y754" i="15"/>
  <c r="Y755" i="15"/>
  <c r="Y756" i="15"/>
  <c r="Y757" i="15"/>
  <c r="Y758" i="15"/>
  <c r="Y753" i="15"/>
  <c r="Y751" i="15"/>
  <c r="Y752" i="15"/>
  <c r="Y749" i="15"/>
  <c r="Y750" i="15"/>
  <c r="V901" i="15"/>
  <c r="V902" i="15"/>
  <c r="V903" i="15"/>
  <c r="V900" i="15"/>
  <c r="T899" i="15"/>
  <c r="U899" i="15"/>
  <c r="V899" i="15"/>
  <c r="V897" i="15"/>
  <c r="V898" i="15"/>
  <c r="V896" i="15"/>
  <c r="V895" i="15"/>
  <c r="T892" i="15"/>
  <c r="U892" i="15"/>
  <c r="V892" i="15"/>
  <c r="T893" i="15"/>
  <c r="U893" i="15"/>
  <c r="V893" i="15"/>
  <c r="T894" i="15"/>
  <c r="U894" i="15"/>
  <c r="V894" i="15"/>
  <c r="V891" i="15"/>
  <c r="V889" i="15"/>
  <c r="V890" i="15"/>
  <c r="V887" i="15"/>
  <c r="V888" i="15"/>
  <c r="V885" i="15"/>
  <c r="V886" i="15"/>
  <c r="T865" i="15"/>
  <c r="V865" i="15"/>
  <c r="T866" i="15"/>
  <c r="V866" i="15"/>
  <c r="T867" i="15"/>
  <c r="V867" i="15"/>
  <c r="V868" i="15"/>
  <c r="V869" i="15"/>
  <c r="V870" i="15"/>
  <c r="V871" i="15"/>
  <c r="V872" i="15"/>
  <c r="V873" i="15"/>
  <c r="V874" i="15"/>
  <c r="V875" i="15"/>
  <c r="V876" i="15"/>
  <c r="V877" i="15"/>
  <c r="V878" i="15"/>
  <c r="V879" i="15"/>
  <c r="V880" i="15"/>
  <c r="V881" i="15"/>
  <c r="V882" i="15"/>
  <c r="V883" i="15"/>
  <c r="V884" i="15"/>
  <c r="T854" i="15"/>
  <c r="V854" i="15"/>
  <c r="T855" i="15"/>
  <c r="V855" i="15"/>
  <c r="T856" i="15"/>
  <c r="V856" i="15"/>
  <c r="T857" i="15"/>
  <c r="V857" i="15"/>
  <c r="T858" i="15"/>
  <c r="V858" i="15"/>
  <c r="T859" i="15"/>
  <c r="V859" i="15"/>
  <c r="T860" i="15"/>
  <c r="V860" i="15"/>
  <c r="T861" i="15"/>
  <c r="V861" i="15"/>
  <c r="T862" i="15"/>
  <c r="V862" i="15"/>
  <c r="T863" i="15"/>
  <c r="V863" i="15"/>
  <c r="T864" i="15"/>
  <c r="V864" i="15"/>
  <c r="V853" i="15"/>
  <c r="V852" i="15"/>
  <c r="V838" i="15"/>
  <c r="V839" i="15"/>
  <c r="V840" i="15"/>
  <c r="V841" i="15"/>
  <c r="V842" i="15"/>
  <c r="V843" i="15"/>
  <c r="V844" i="15"/>
  <c r="V845" i="15"/>
  <c r="V846" i="15"/>
  <c r="V847" i="15"/>
  <c r="V848" i="15"/>
  <c r="V849" i="15"/>
  <c r="V850" i="15"/>
  <c r="V851" i="15"/>
  <c r="V837" i="15"/>
  <c r="V836" i="15"/>
  <c r="V835" i="15"/>
  <c r="V834" i="15"/>
  <c r="V833" i="15"/>
  <c r="T827" i="15"/>
  <c r="U827" i="15"/>
  <c r="V827" i="15"/>
  <c r="T828" i="15"/>
  <c r="U828" i="15"/>
  <c r="V828" i="15"/>
  <c r="T829" i="15"/>
  <c r="U829" i="15"/>
  <c r="V829" i="15"/>
  <c r="T830" i="15"/>
  <c r="U830" i="15"/>
  <c r="V830" i="15"/>
  <c r="T831" i="15"/>
  <c r="U831" i="15"/>
  <c r="V831" i="15"/>
  <c r="T832" i="15"/>
  <c r="U832" i="15"/>
  <c r="V832" i="15"/>
  <c r="V825" i="15"/>
  <c r="V826" i="15"/>
  <c r="V824" i="15"/>
  <c r="V821" i="15"/>
  <c r="T822" i="15"/>
  <c r="U822" i="15"/>
  <c r="V822" i="15"/>
  <c r="T823" i="15"/>
  <c r="U823" i="15"/>
  <c r="V823" i="15"/>
  <c r="T819" i="15"/>
  <c r="V819" i="15"/>
  <c r="T820" i="15"/>
  <c r="V820" i="15"/>
  <c r="V818" i="15"/>
  <c r="V814" i="15"/>
  <c r="V815" i="15"/>
  <c r="V816" i="15"/>
  <c r="V817" i="15"/>
  <c r="V813" i="15"/>
  <c r="V809" i="15"/>
  <c r="V810" i="15"/>
  <c r="V811" i="15"/>
  <c r="V812" i="15"/>
  <c r="V806" i="15"/>
  <c r="V807" i="15"/>
  <c r="V808" i="15"/>
  <c r="V803" i="15"/>
  <c r="V804" i="15"/>
  <c r="V805" i="15"/>
  <c r="V798" i="15"/>
  <c r="V799" i="15"/>
  <c r="V800" i="15"/>
  <c r="V801" i="15"/>
  <c r="V802" i="15"/>
  <c r="T797" i="15"/>
  <c r="U797" i="15"/>
  <c r="V797" i="15"/>
  <c r="T786" i="15"/>
  <c r="V786" i="15"/>
  <c r="T787" i="15"/>
  <c r="V787" i="15"/>
  <c r="T788" i="15"/>
  <c r="V788" i="15"/>
  <c r="T789" i="15"/>
  <c r="V789" i="15"/>
  <c r="T790" i="15"/>
  <c r="V790" i="15"/>
  <c r="T791" i="15"/>
  <c r="V791" i="15"/>
  <c r="T792" i="15"/>
  <c r="V792" i="15"/>
  <c r="T793" i="15"/>
  <c r="V793" i="15"/>
  <c r="T794" i="15"/>
  <c r="V794" i="15"/>
  <c r="T795" i="15"/>
  <c r="V795" i="15"/>
  <c r="V796" i="15"/>
  <c r="V780" i="15"/>
  <c r="V781" i="15"/>
  <c r="V782" i="15"/>
  <c r="V783" i="15"/>
  <c r="V784" i="15"/>
  <c r="V785" i="15"/>
  <c r="V776" i="15"/>
  <c r="V777" i="15"/>
  <c r="V778" i="15"/>
  <c r="V779" i="15"/>
  <c r="V769" i="15"/>
  <c r="V770" i="15"/>
  <c r="V771" i="15"/>
  <c r="V772" i="15"/>
  <c r="V773" i="15"/>
  <c r="V774" i="15"/>
  <c r="V775" i="15"/>
  <c r="V768" i="15"/>
  <c r="V766" i="15"/>
  <c r="V767" i="15"/>
  <c r="V762" i="15"/>
  <c r="V763" i="15"/>
  <c r="V764" i="15"/>
  <c r="V765" i="15"/>
  <c r="V760" i="15"/>
  <c r="V761" i="15"/>
  <c r="T759" i="15"/>
  <c r="V759" i="15"/>
  <c r="V754" i="15"/>
  <c r="V755" i="15"/>
  <c r="V756" i="15"/>
  <c r="V757" i="15"/>
  <c r="V758" i="15"/>
  <c r="V753" i="15"/>
  <c r="V751" i="15"/>
  <c r="V752" i="15"/>
  <c r="V749" i="15"/>
  <c r="V750" i="15"/>
  <c r="S796" i="15"/>
  <c r="R797" i="15"/>
  <c r="S797" i="15"/>
  <c r="R798" i="15"/>
  <c r="S798" i="15"/>
  <c r="S794" i="15"/>
  <c r="S795" i="15"/>
  <c r="S792" i="15"/>
  <c r="S793" i="15"/>
  <c r="S791" i="15"/>
  <c r="S789" i="15"/>
  <c r="S790" i="15"/>
  <c r="S772" i="15"/>
  <c r="S773" i="15"/>
  <c r="S774" i="15"/>
  <c r="S775" i="15"/>
  <c r="S776" i="15"/>
  <c r="S777" i="15"/>
  <c r="S778" i="15"/>
  <c r="S779" i="15"/>
  <c r="S780" i="15"/>
  <c r="S781" i="15"/>
  <c r="S782" i="15"/>
  <c r="S783" i="15"/>
  <c r="S784" i="15"/>
  <c r="S785" i="15"/>
  <c r="S786" i="15"/>
  <c r="S787" i="15"/>
  <c r="S788" i="15"/>
  <c r="S770" i="15"/>
  <c r="S771" i="15"/>
  <c r="Q768" i="15"/>
  <c r="S768" i="15"/>
  <c r="Q769" i="15"/>
  <c r="S769" i="15"/>
  <c r="S764" i="15"/>
  <c r="S765" i="15"/>
  <c r="S766" i="15"/>
  <c r="S767" i="15"/>
  <c r="S761" i="15"/>
  <c r="S762" i="15"/>
  <c r="S763" i="15"/>
  <c r="Q755" i="15"/>
  <c r="S755" i="15"/>
  <c r="Q756" i="15"/>
  <c r="S756" i="15"/>
  <c r="Q757" i="15"/>
  <c r="S757" i="15"/>
  <c r="Q758" i="15"/>
  <c r="S758" i="15"/>
  <c r="Q759" i="15"/>
  <c r="S759" i="15"/>
  <c r="Q760" i="15"/>
  <c r="S760" i="15"/>
  <c r="S749" i="15"/>
  <c r="S750" i="15"/>
  <c r="S751" i="15"/>
  <c r="S752" i="15"/>
  <c r="S753" i="15"/>
  <c r="S754" i="15"/>
  <c r="P796" i="15"/>
  <c r="O797" i="15"/>
  <c r="P797" i="15"/>
  <c r="O798" i="15"/>
  <c r="P798" i="15"/>
  <c r="P794" i="15"/>
  <c r="P795" i="15"/>
  <c r="P792" i="15"/>
  <c r="P793" i="15"/>
  <c r="P791" i="15"/>
  <c r="P789" i="15"/>
  <c r="P790" i="15"/>
  <c r="P772" i="15"/>
  <c r="P773" i="15"/>
  <c r="P774" i="15"/>
  <c r="P775" i="15"/>
  <c r="P776" i="15"/>
  <c r="P777" i="15"/>
  <c r="P778" i="15"/>
  <c r="P779" i="15"/>
  <c r="P780" i="15"/>
  <c r="P781" i="15"/>
  <c r="P782" i="15"/>
  <c r="P783" i="15"/>
  <c r="P784" i="15"/>
  <c r="P785" i="15"/>
  <c r="P786" i="15"/>
  <c r="P787" i="15"/>
  <c r="P788" i="15"/>
  <c r="P770" i="15"/>
  <c r="P771" i="15"/>
  <c r="N768" i="15"/>
  <c r="P768" i="15"/>
  <c r="N769" i="15"/>
  <c r="P769" i="15"/>
  <c r="P764" i="15"/>
  <c r="P765" i="15"/>
  <c r="P766" i="15"/>
  <c r="P767" i="15"/>
  <c r="P761" i="15"/>
  <c r="P762" i="15"/>
  <c r="P763" i="15"/>
  <c r="N755" i="15"/>
  <c r="P755" i="15"/>
  <c r="N756" i="15"/>
  <c r="P756" i="15"/>
  <c r="N757" i="15"/>
  <c r="P757" i="15"/>
  <c r="N758" i="15"/>
  <c r="P758" i="15"/>
  <c r="N759" i="15"/>
  <c r="P759" i="15"/>
  <c r="N760" i="15"/>
  <c r="P760" i="15"/>
  <c r="P749" i="15"/>
  <c r="P750" i="15"/>
  <c r="P751" i="15"/>
  <c r="P752" i="15"/>
  <c r="P753" i="15"/>
  <c r="P754" i="15"/>
  <c r="M781" i="15"/>
  <c r="L782" i="15"/>
  <c r="M782" i="15"/>
  <c r="L783" i="15"/>
  <c r="M783" i="15"/>
  <c r="M779" i="15"/>
  <c r="M780" i="15"/>
  <c r="M777" i="15"/>
  <c r="M778" i="15"/>
  <c r="M775" i="15"/>
  <c r="M776" i="15"/>
  <c r="M758" i="15"/>
  <c r="M759" i="15"/>
  <c r="M760" i="15"/>
  <c r="M761" i="15"/>
  <c r="M762" i="15"/>
  <c r="M763" i="15"/>
  <c r="M764" i="15"/>
  <c r="M765" i="15"/>
  <c r="M766" i="15"/>
  <c r="M767" i="15"/>
  <c r="M768" i="15"/>
  <c r="M769" i="15"/>
  <c r="M770" i="15"/>
  <c r="M771" i="15"/>
  <c r="M772" i="15"/>
  <c r="M773" i="15"/>
  <c r="M774" i="15"/>
  <c r="M757" i="15"/>
  <c r="M755" i="15"/>
  <c r="M756" i="15"/>
  <c r="M749" i="15"/>
  <c r="M750" i="15"/>
  <c r="M751" i="15"/>
  <c r="M752" i="15"/>
  <c r="M753" i="15"/>
  <c r="M754" i="15"/>
  <c r="J781" i="15"/>
  <c r="I782" i="15"/>
  <c r="J782" i="15"/>
  <c r="I783" i="15"/>
  <c r="J783" i="15"/>
  <c r="J779" i="15"/>
  <c r="J780" i="15"/>
  <c r="J777" i="15"/>
  <c r="J778" i="15"/>
  <c r="J775" i="15"/>
  <c r="J776" i="15"/>
  <c r="J758" i="15"/>
  <c r="J759" i="15"/>
  <c r="J760" i="15"/>
  <c r="J761" i="15"/>
  <c r="J762" i="15"/>
  <c r="J763" i="15"/>
  <c r="J764" i="15"/>
  <c r="J765" i="15"/>
  <c r="J766" i="15"/>
  <c r="J767" i="15"/>
  <c r="J768" i="15"/>
  <c r="J769" i="15"/>
  <c r="J770" i="15"/>
  <c r="J771" i="15"/>
  <c r="J772" i="15"/>
  <c r="J773" i="15"/>
  <c r="J774" i="15"/>
  <c r="J757" i="15"/>
  <c r="J755" i="15"/>
  <c r="J756" i="15"/>
  <c r="J749" i="15"/>
  <c r="J750" i="15"/>
  <c r="J751" i="15"/>
  <c r="J752" i="15"/>
  <c r="J753" i="15"/>
  <c r="J754" i="15"/>
  <c r="G781" i="15"/>
  <c r="F782" i="15"/>
  <c r="G782" i="15"/>
  <c r="F783" i="15"/>
  <c r="G783" i="15"/>
  <c r="G779" i="15"/>
  <c r="G780" i="15"/>
  <c r="G777" i="15"/>
  <c r="G778" i="15"/>
  <c r="G775" i="15"/>
  <c r="G776" i="15"/>
  <c r="G758" i="15"/>
  <c r="G759" i="15"/>
  <c r="G760" i="15"/>
  <c r="G761" i="15"/>
  <c r="G762" i="15"/>
  <c r="G763" i="15"/>
  <c r="G764" i="15"/>
  <c r="G765" i="15"/>
  <c r="G766" i="15"/>
  <c r="G767" i="15"/>
  <c r="G768" i="15"/>
  <c r="G769" i="15"/>
  <c r="G770" i="15"/>
  <c r="G771" i="15"/>
  <c r="G772" i="15"/>
  <c r="G773" i="15"/>
  <c r="G774" i="15"/>
  <c r="G757" i="15"/>
  <c r="G755" i="15"/>
  <c r="G756" i="15"/>
  <c r="G749" i="15"/>
  <c r="G750" i="15"/>
  <c r="G751" i="15"/>
  <c r="G752" i="15"/>
  <c r="G753" i="15"/>
  <c r="G754" i="15"/>
  <c r="D781" i="15"/>
  <c r="C782" i="15"/>
  <c r="D782" i="15"/>
  <c r="C783" i="15"/>
  <c r="D783" i="15"/>
  <c r="D779" i="15"/>
  <c r="D780" i="15"/>
  <c r="D777" i="15"/>
  <c r="D778" i="15"/>
  <c r="D775" i="15"/>
  <c r="D776" i="15"/>
  <c r="D758" i="15"/>
  <c r="D759" i="15"/>
  <c r="D760" i="15"/>
  <c r="D761" i="15"/>
  <c r="D762" i="15"/>
  <c r="D763" i="15"/>
  <c r="D764" i="15"/>
  <c r="D765" i="15"/>
  <c r="D766" i="15"/>
  <c r="D767" i="15"/>
  <c r="D768" i="15"/>
  <c r="D769" i="15"/>
  <c r="D770" i="15"/>
  <c r="D771" i="15"/>
  <c r="D772" i="15"/>
  <c r="D773" i="15"/>
  <c r="D774" i="15"/>
  <c r="D757" i="15"/>
  <c r="D755" i="15"/>
  <c r="D756" i="15"/>
  <c r="D749" i="15"/>
  <c r="D750" i="15"/>
  <c r="D751" i="15"/>
  <c r="D752" i="15"/>
  <c r="D753" i="15"/>
  <c r="D754" i="15"/>
  <c r="G716" i="15"/>
  <c r="G717" i="15"/>
  <c r="G718" i="15"/>
  <c r="G719" i="15"/>
  <c r="G720" i="15"/>
  <c r="G721" i="15"/>
  <c r="G715" i="15"/>
  <c r="G713" i="15"/>
  <c r="G714" i="15"/>
  <c r="G705" i="15"/>
  <c r="G706" i="15"/>
  <c r="G707" i="15"/>
  <c r="G708" i="15"/>
  <c r="G709" i="15"/>
  <c r="G710" i="15"/>
  <c r="G711" i="15"/>
  <c r="G712" i="15"/>
  <c r="G690" i="15"/>
  <c r="G691" i="15"/>
  <c r="G692" i="15"/>
  <c r="G693" i="15"/>
  <c r="G694" i="15"/>
  <c r="G695" i="15"/>
  <c r="G696" i="15"/>
  <c r="G697" i="15"/>
  <c r="G698" i="15"/>
  <c r="G699" i="15"/>
  <c r="G700" i="15"/>
  <c r="G701" i="15"/>
  <c r="G702" i="15"/>
  <c r="G703" i="15"/>
  <c r="G704" i="15"/>
  <c r="G686" i="15"/>
  <c r="G687" i="15"/>
  <c r="G688" i="15"/>
  <c r="G689" i="15"/>
  <c r="G684" i="15"/>
  <c r="G685" i="15"/>
  <c r="G678" i="15"/>
  <c r="G679" i="15"/>
  <c r="G680" i="15"/>
  <c r="G681" i="15"/>
  <c r="G682" i="15"/>
  <c r="G683" i="15"/>
  <c r="G660" i="15"/>
  <c r="G661" i="15"/>
  <c r="G662" i="15"/>
  <c r="G663" i="15"/>
  <c r="G664" i="15"/>
  <c r="G665" i="15"/>
  <c r="G666" i="15"/>
  <c r="G667" i="15"/>
  <c r="G668" i="15"/>
  <c r="G669" i="15"/>
  <c r="G670" i="15"/>
  <c r="G671" i="15"/>
  <c r="G672" i="15"/>
  <c r="G673" i="15"/>
  <c r="G674" i="15"/>
  <c r="G675" i="15"/>
  <c r="G676" i="15"/>
  <c r="G677" i="15"/>
  <c r="G658" i="15"/>
  <c r="G659" i="15"/>
  <c r="D716" i="15"/>
  <c r="D717" i="15"/>
  <c r="D718" i="15"/>
  <c r="D719" i="15"/>
  <c r="D720" i="15"/>
  <c r="D721" i="15"/>
  <c r="D715" i="15"/>
  <c r="D713" i="15"/>
  <c r="D714" i="15"/>
  <c r="D705" i="15"/>
  <c r="D706" i="15"/>
  <c r="D707" i="15"/>
  <c r="D708" i="15"/>
  <c r="D709" i="15"/>
  <c r="D710" i="15"/>
  <c r="D711" i="15"/>
  <c r="D712" i="15"/>
  <c r="D690" i="15"/>
  <c r="D691" i="15"/>
  <c r="D692" i="15"/>
  <c r="D693" i="15"/>
  <c r="D694" i="15"/>
  <c r="D695" i="15"/>
  <c r="D696" i="15"/>
  <c r="D697" i="15"/>
  <c r="D698" i="15"/>
  <c r="D699" i="15"/>
  <c r="D700" i="15"/>
  <c r="D701" i="15"/>
  <c r="D702" i="15"/>
  <c r="D703" i="15"/>
  <c r="D704" i="15"/>
  <c r="D686" i="15"/>
  <c r="D687" i="15"/>
  <c r="D688" i="15"/>
  <c r="D689" i="15"/>
  <c r="D684" i="15"/>
  <c r="D685" i="15"/>
  <c r="D678" i="15"/>
  <c r="D679" i="15"/>
  <c r="D680" i="15"/>
  <c r="D681" i="15"/>
  <c r="D682" i="15"/>
  <c r="D683" i="15"/>
  <c r="D660" i="15"/>
  <c r="D661" i="15"/>
  <c r="D662" i="15"/>
  <c r="D663" i="15"/>
  <c r="D664" i="15"/>
  <c r="D665" i="15"/>
  <c r="D666" i="15"/>
  <c r="D667" i="15"/>
  <c r="D668" i="15"/>
  <c r="D669" i="15"/>
  <c r="D670" i="15"/>
  <c r="D671" i="15"/>
  <c r="D672" i="15"/>
  <c r="D673" i="15"/>
  <c r="D674" i="15"/>
  <c r="D675" i="15"/>
  <c r="D676" i="15"/>
  <c r="D677" i="15"/>
  <c r="D658" i="15"/>
  <c r="D659" i="15"/>
  <c r="M716" i="15"/>
  <c r="M717" i="15"/>
  <c r="M718" i="15"/>
  <c r="M719" i="15"/>
  <c r="K720" i="15"/>
  <c r="M720" i="15"/>
  <c r="K721" i="15"/>
  <c r="M721" i="15"/>
  <c r="M715" i="15"/>
  <c r="M713" i="15"/>
  <c r="M714" i="15"/>
  <c r="M705" i="15"/>
  <c r="M706" i="15"/>
  <c r="M707" i="15"/>
  <c r="M708" i="15"/>
  <c r="M709" i="15"/>
  <c r="M710" i="15"/>
  <c r="M711" i="15"/>
  <c r="M712" i="15"/>
  <c r="M690" i="15"/>
  <c r="M691" i="15"/>
  <c r="M692" i="15"/>
  <c r="M693" i="15"/>
  <c r="M694" i="15"/>
  <c r="M695" i="15"/>
  <c r="M696" i="15"/>
  <c r="M697" i="15"/>
  <c r="M698" i="15"/>
  <c r="M699" i="15"/>
  <c r="M700" i="15"/>
  <c r="M701" i="15"/>
  <c r="M702" i="15"/>
  <c r="M703" i="15"/>
  <c r="M704" i="15"/>
  <c r="M686" i="15"/>
  <c r="M687" i="15"/>
  <c r="M688" i="15"/>
  <c r="M689" i="15"/>
  <c r="M684" i="15"/>
  <c r="M685" i="15"/>
  <c r="M678" i="15"/>
  <c r="M679" i="15"/>
  <c r="M680" i="15"/>
  <c r="M681" i="15"/>
  <c r="M682" i="15"/>
  <c r="M683" i="15"/>
  <c r="M660" i="15"/>
  <c r="M661" i="15"/>
  <c r="M662" i="15"/>
  <c r="M663" i="15"/>
  <c r="M664" i="15"/>
  <c r="M665" i="15"/>
  <c r="M666" i="15"/>
  <c r="M667" i="15"/>
  <c r="M668" i="15"/>
  <c r="M669" i="15"/>
  <c r="M670" i="15"/>
  <c r="M671" i="15"/>
  <c r="M672" i="15"/>
  <c r="M673" i="15"/>
  <c r="M674" i="15"/>
  <c r="M675" i="15"/>
  <c r="M676" i="15"/>
  <c r="M677" i="15"/>
  <c r="M658" i="15"/>
  <c r="M659" i="15"/>
  <c r="J716" i="15"/>
  <c r="J717" i="15"/>
  <c r="J718" i="15"/>
  <c r="J719" i="15"/>
  <c r="H720" i="15"/>
  <c r="J720" i="15"/>
  <c r="H721" i="15"/>
  <c r="J721" i="15"/>
  <c r="J715" i="15"/>
  <c r="J713" i="15"/>
  <c r="J714" i="15"/>
  <c r="J705" i="15"/>
  <c r="J706" i="15"/>
  <c r="J707" i="15"/>
  <c r="J708" i="15"/>
  <c r="J709" i="15"/>
  <c r="J710" i="15"/>
  <c r="J711" i="15"/>
  <c r="J712" i="15"/>
  <c r="J690" i="15"/>
  <c r="J691" i="15"/>
  <c r="J692" i="15"/>
  <c r="J693" i="15"/>
  <c r="J694" i="15"/>
  <c r="J695" i="15"/>
  <c r="J696" i="15"/>
  <c r="J697" i="15"/>
  <c r="J698" i="15"/>
  <c r="J699" i="15"/>
  <c r="J700" i="15"/>
  <c r="J701" i="15"/>
  <c r="J702" i="15"/>
  <c r="J703" i="15"/>
  <c r="J704" i="15"/>
  <c r="J686" i="15"/>
  <c r="J687" i="15"/>
  <c r="J688" i="15"/>
  <c r="J689" i="15"/>
  <c r="J684" i="15"/>
  <c r="J685" i="15"/>
  <c r="J678" i="15"/>
  <c r="J679" i="15"/>
  <c r="J680" i="15"/>
  <c r="J681" i="15"/>
  <c r="J682" i="15"/>
  <c r="J683" i="15"/>
  <c r="J660" i="15"/>
  <c r="J661" i="15"/>
  <c r="J662" i="15"/>
  <c r="J663" i="15"/>
  <c r="J664" i="15"/>
  <c r="J665" i="15"/>
  <c r="J666" i="15"/>
  <c r="J667" i="15"/>
  <c r="J668" i="15"/>
  <c r="J669" i="15"/>
  <c r="J670" i="15"/>
  <c r="J671" i="15"/>
  <c r="J672" i="15"/>
  <c r="J673" i="15"/>
  <c r="J674" i="15"/>
  <c r="J675" i="15"/>
  <c r="J676" i="15"/>
  <c r="J677" i="15"/>
  <c r="J658" i="15"/>
  <c r="J659" i="15"/>
  <c r="S724" i="15"/>
  <c r="S725" i="15"/>
  <c r="S726" i="15"/>
  <c r="S727" i="15"/>
  <c r="S728" i="15"/>
  <c r="S729" i="15"/>
  <c r="S723" i="15"/>
  <c r="S721" i="15"/>
  <c r="S722" i="15"/>
  <c r="Q708" i="15"/>
  <c r="S708" i="15"/>
  <c r="Q709" i="15"/>
  <c r="S709" i="15"/>
  <c r="Q710" i="15"/>
  <c r="S710" i="15"/>
  <c r="Q711" i="15"/>
  <c r="S711" i="15"/>
  <c r="S712" i="15"/>
  <c r="S713" i="15"/>
  <c r="S714" i="15"/>
  <c r="S715" i="15"/>
  <c r="S716" i="15"/>
  <c r="S717" i="15"/>
  <c r="S718" i="15"/>
  <c r="S719" i="15"/>
  <c r="S720" i="15"/>
  <c r="S693" i="15"/>
  <c r="S694" i="15"/>
  <c r="S695" i="15"/>
  <c r="S696" i="15"/>
  <c r="S697" i="15"/>
  <c r="S698" i="15"/>
  <c r="S699" i="15"/>
  <c r="S700" i="15"/>
  <c r="S701" i="15"/>
  <c r="S702" i="15"/>
  <c r="S703" i="15"/>
  <c r="S704" i="15"/>
  <c r="S705" i="15"/>
  <c r="S706" i="15"/>
  <c r="S707" i="15"/>
  <c r="S692" i="15"/>
  <c r="S688" i="15"/>
  <c r="S689" i="15"/>
  <c r="S690" i="15"/>
  <c r="S691" i="15"/>
  <c r="S684" i="15"/>
  <c r="S685" i="15"/>
  <c r="S686" i="15"/>
  <c r="S687" i="15"/>
  <c r="S678" i="15"/>
  <c r="S679" i="15"/>
  <c r="S680" i="15"/>
  <c r="S681" i="15"/>
  <c r="S682" i="15"/>
  <c r="S683" i="15"/>
  <c r="S660" i="15"/>
  <c r="S661" i="15"/>
  <c r="S662" i="15"/>
  <c r="S663" i="15"/>
  <c r="S664" i="15"/>
  <c r="S665" i="15"/>
  <c r="S666" i="15"/>
  <c r="S667" i="15"/>
  <c r="S668" i="15"/>
  <c r="S669" i="15"/>
  <c r="S670" i="15"/>
  <c r="S671" i="15"/>
  <c r="S672" i="15"/>
  <c r="S673" i="15"/>
  <c r="S674" i="15"/>
  <c r="S675" i="15"/>
  <c r="S676" i="15"/>
  <c r="S677" i="15"/>
  <c r="S658" i="15"/>
  <c r="S659" i="15"/>
  <c r="P724" i="15"/>
  <c r="P725" i="15"/>
  <c r="P726" i="15"/>
  <c r="P727" i="15"/>
  <c r="P728" i="15"/>
  <c r="P729" i="15"/>
  <c r="P723" i="15"/>
  <c r="P721" i="15"/>
  <c r="P722" i="15"/>
  <c r="N708" i="15"/>
  <c r="P708" i="15"/>
  <c r="N709" i="15"/>
  <c r="P709" i="15"/>
  <c r="N710" i="15"/>
  <c r="P710" i="15"/>
  <c r="N711" i="15"/>
  <c r="P711" i="15"/>
  <c r="P712" i="15"/>
  <c r="P713" i="15"/>
  <c r="P714" i="15"/>
  <c r="P715" i="15"/>
  <c r="P716" i="15"/>
  <c r="P717" i="15"/>
  <c r="P718" i="15"/>
  <c r="P719" i="15"/>
  <c r="P720" i="15"/>
  <c r="P693" i="15"/>
  <c r="P694" i="15"/>
  <c r="P695" i="15"/>
  <c r="P696" i="15"/>
  <c r="P697" i="15"/>
  <c r="P698" i="15"/>
  <c r="P699" i="15"/>
  <c r="P700" i="15"/>
  <c r="P701" i="15"/>
  <c r="P702" i="15"/>
  <c r="P703" i="15"/>
  <c r="P704" i="15"/>
  <c r="P705" i="15"/>
  <c r="P706" i="15"/>
  <c r="P707" i="15"/>
  <c r="P692" i="15"/>
  <c r="P688" i="15"/>
  <c r="P689" i="15"/>
  <c r="P690" i="15"/>
  <c r="P691" i="15"/>
  <c r="P684" i="15"/>
  <c r="P685" i="15"/>
  <c r="P686" i="15"/>
  <c r="P687" i="15"/>
  <c r="P678" i="15"/>
  <c r="P679" i="15"/>
  <c r="P680" i="15"/>
  <c r="P681" i="15"/>
  <c r="P682" i="15"/>
  <c r="P683" i="15"/>
  <c r="P660" i="15"/>
  <c r="P661" i="15"/>
  <c r="P662" i="15"/>
  <c r="P663" i="15"/>
  <c r="P664" i="15"/>
  <c r="P665" i="15"/>
  <c r="P666" i="15"/>
  <c r="P667" i="15"/>
  <c r="P668" i="15"/>
  <c r="P669" i="15"/>
  <c r="P670" i="15"/>
  <c r="P671" i="15"/>
  <c r="P672" i="15"/>
  <c r="P673" i="15"/>
  <c r="P674" i="15"/>
  <c r="P675" i="15"/>
  <c r="P676" i="15"/>
  <c r="P677" i="15"/>
  <c r="P658" i="15"/>
  <c r="P659" i="15"/>
  <c r="W712" i="15"/>
  <c r="Y712" i="15"/>
  <c r="W713" i="15"/>
  <c r="Y713" i="15"/>
  <c r="W714" i="15"/>
  <c r="Y714" i="15"/>
  <c r="Y715" i="15"/>
  <c r="Y711" i="15"/>
  <c r="Y696" i="15"/>
  <c r="Y697" i="15"/>
  <c r="Y698" i="15"/>
  <c r="Y699" i="15"/>
  <c r="Y700" i="15"/>
  <c r="Y701" i="15"/>
  <c r="Y702" i="15"/>
  <c r="Y703" i="15"/>
  <c r="Y704" i="15"/>
  <c r="Y705" i="15"/>
  <c r="Y706" i="15"/>
  <c r="Y707" i="15"/>
  <c r="Y708" i="15"/>
  <c r="Y709" i="15"/>
  <c r="Y710" i="15"/>
  <c r="W690" i="15"/>
  <c r="X690" i="15"/>
  <c r="Y690" i="15"/>
  <c r="W691" i="15"/>
  <c r="X691" i="15"/>
  <c r="Y691" i="15"/>
  <c r="W692" i="15"/>
  <c r="X692" i="15"/>
  <c r="Y692" i="15"/>
  <c r="W693" i="15"/>
  <c r="X693" i="15"/>
  <c r="Y693" i="15"/>
  <c r="W694" i="15"/>
  <c r="X694" i="15"/>
  <c r="Y694" i="15"/>
  <c r="W695" i="15"/>
  <c r="X695" i="15"/>
  <c r="Y695" i="15"/>
  <c r="Y689" i="15"/>
  <c r="Y684" i="15"/>
  <c r="Y685" i="15"/>
  <c r="Y686" i="15"/>
  <c r="Y687" i="15"/>
  <c r="Y688" i="15"/>
  <c r="Y683" i="15"/>
  <c r="Y679" i="15"/>
  <c r="Y680" i="15"/>
  <c r="Y681" i="15"/>
  <c r="Y682" i="15"/>
  <c r="Y678" i="15"/>
  <c r="Y660" i="15"/>
  <c r="Y661" i="15"/>
  <c r="Y662" i="15"/>
  <c r="Y663" i="15"/>
  <c r="Y664" i="15"/>
  <c r="Y665" i="15"/>
  <c r="Y666" i="15"/>
  <c r="Y667" i="15"/>
  <c r="Y668" i="15"/>
  <c r="Y669" i="15"/>
  <c r="Y670" i="15"/>
  <c r="Y671" i="15"/>
  <c r="Y672" i="15"/>
  <c r="Y673" i="15"/>
  <c r="Y674" i="15"/>
  <c r="Y675" i="15"/>
  <c r="Y676" i="15"/>
  <c r="Y677" i="15"/>
  <c r="Y658" i="15"/>
  <c r="Y659" i="15"/>
  <c r="T712" i="15"/>
  <c r="V712" i="15"/>
  <c r="T713" i="15"/>
  <c r="V713" i="15"/>
  <c r="T714" i="15"/>
  <c r="V714" i="15"/>
  <c r="V715" i="15"/>
  <c r="V711" i="15"/>
  <c r="V696" i="15"/>
  <c r="V697" i="15"/>
  <c r="V698" i="15"/>
  <c r="V699" i="15"/>
  <c r="V700" i="15"/>
  <c r="V701" i="15"/>
  <c r="V702" i="15"/>
  <c r="V703" i="15"/>
  <c r="V704" i="15"/>
  <c r="V705" i="15"/>
  <c r="V706" i="15"/>
  <c r="V707" i="15"/>
  <c r="V708" i="15"/>
  <c r="V709" i="15"/>
  <c r="V710" i="15"/>
  <c r="T690" i="15"/>
  <c r="U690" i="15"/>
  <c r="V690" i="15"/>
  <c r="T691" i="15"/>
  <c r="U691" i="15"/>
  <c r="V691" i="15"/>
  <c r="T692" i="15"/>
  <c r="U692" i="15"/>
  <c r="V692" i="15"/>
  <c r="T693" i="15"/>
  <c r="U693" i="15"/>
  <c r="V693" i="15"/>
  <c r="T694" i="15"/>
  <c r="U694" i="15"/>
  <c r="V694" i="15"/>
  <c r="T695" i="15"/>
  <c r="U695" i="15"/>
  <c r="V695" i="15"/>
  <c r="V689" i="15"/>
  <c r="V684" i="15"/>
  <c r="V685" i="15"/>
  <c r="V686" i="15"/>
  <c r="V687" i="15"/>
  <c r="V688" i="15"/>
  <c r="V683" i="15"/>
  <c r="V679" i="15"/>
  <c r="V680" i="15"/>
  <c r="V681" i="15"/>
  <c r="V682" i="15"/>
  <c r="V678" i="15"/>
  <c r="V660" i="15"/>
  <c r="V661" i="15"/>
  <c r="V662" i="15"/>
  <c r="V663" i="15"/>
  <c r="V664" i="15"/>
  <c r="V665" i="15"/>
  <c r="V666" i="15"/>
  <c r="V667" i="15"/>
  <c r="V668" i="15"/>
  <c r="V669" i="15"/>
  <c r="V670" i="15"/>
  <c r="V671" i="15"/>
  <c r="V672" i="15"/>
  <c r="V673" i="15"/>
  <c r="V674" i="15"/>
  <c r="V675" i="15"/>
  <c r="V676" i="15"/>
  <c r="V677" i="15"/>
  <c r="V658" i="15"/>
  <c r="V659" i="15"/>
  <c r="AE659" i="15"/>
  <c r="AB659" i="15"/>
  <c r="AE658" i="15"/>
  <c r="AB658" i="15"/>
  <c r="AI745" i="15"/>
  <c r="AJ745" i="15"/>
  <c r="AK745" i="15"/>
  <c r="AI743" i="15"/>
  <c r="AJ743" i="15"/>
  <c r="AK743" i="15"/>
  <c r="AI744" i="15"/>
  <c r="AJ744" i="15"/>
  <c r="AK744" i="15"/>
  <c r="AI742" i="15"/>
  <c r="AJ742" i="15"/>
  <c r="AK742" i="15"/>
  <c r="AI741" i="15"/>
  <c r="AK741" i="15"/>
  <c r="AI720" i="15"/>
  <c r="AK720" i="15"/>
  <c r="AI721" i="15"/>
  <c r="AK721" i="15"/>
  <c r="AI722" i="15"/>
  <c r="AK722" i="15"/>
  <c r="AI723" i="15"/>
  <c r="AK723" i="15"/>
  <c r="AI724" i="15"/>
  <c r="AK724" i="15"/>
  <c r="AI725" i="15"/>
  <c r="AK725" i="15"/>
  <c r="AI726" i="15"/>
  <c r="AJ726" i="15"/>
  <c r="AK726" i="15"/>
  <c r="AI727" i="15"/>
  <c r="AJ727" i="15"/>
  <c r="AK727" i="15"/>
  <c r="AI728" i="15"/>
  <c r="AJ728" i="15"/>
  <c r="AK728" i="15"/>
  <c r="AI729" i="15"/>
  <c r="AJ729" i="15"/>
  <c r="AK729" i="15"/>
  <c r="AI730" i="15"/>
  <c r="AJ730" i="15"/>
  <c r="AK730" i="15"/>
  <c r="AI731" i="15"/>
  <c r="AJ731" i="15"/>
  <c r="AK731" i="15"/>
  <c r="AI732" i="15"/>
  <c r="AJ732" i="15"/>
  <c r="AK732" i="15"/>
  <c r="AI733" i="15"/>
  <c r="AJ733" i="15"/>
  <c r="AK733" i="15"/>
  <c r="AI734" i="15"/>
  <c r="AJ734" i="15"/>
  <c r="AK734" i="15"/>
  <c r="AK735" i="15"/>
  <c r="AK736" i="15"/>
  <c r="AK737" i="15"/>
  <c r="AK738" i="15"/>
  <c r="AK739" i="15"/>
  <c r="AK740" i="15"/>
  <c r="AI714" i="15"/>
  <c r="AJ714" i="15"/>
  <c r="AK714" i="15"/>
  <c r="AI715" i="15"/>
  <c r="AJ715" i="15"/>
  <c r="AK715" i="15"/>
  <c r="AI716" i="15"/>
  <c r="AJ716" i="15"/>
  <c r="AK716" i="15"/>
  <c r="AI717" i="15"/>
  <c r="AJ717" i="15"/>
  <c r="AK717" i="15"/>
  <c r="AI718" i="15"/>
  <c r="AJ718" i="15"/>
  <c r="AK718" i="15"/>
  <c r="AI719" i="15"/>
  <c r="AJ719" i="15"/>
  <c r="AK719" i="15"/>
  <c r="AI713" i="15"/>
  <c r="AK713" i="15"/>
  <c r="AI709" i="15"/>
  <c r="AJ709" i="15"/>
  <c r="AK709" i="15"/>
  <c r="AI710" i="15"/>
  <c r="AJ710" i="15"/>
  <c r="AK710" i="15"/>
  <c r="AI711" i="15"/>
  <c r="AJ711" i="15"/>
  <c r="AK711" i="15"/>
  <c r="AI712" i="15"/>
  <c r="AJ712" i="15"/>
  <c r="AK712" i="15"/>
  <c r="AI703" i="15"/>
  <c r="AJ703" i="15"/>
  <c r="AK703" i="15"/>
  <c r="AI704" i="15"/>
  <c r="AJ704" i="15"/>
  <c r="AK704" i="15"/>
  <c r="AI705" i="15"/>
  <c r="AJ705" i="15"/>
  <c r="AK705" i="15"/>
  <c r="AI706" i="15"/>
  <c r="AJ706" i="15"/>
  <c r="AK706" i="15"/>
  <c r="AI707" i="15"/>
  <c r="AK707" i="15"/>
  <c r="AI708" i="15"/>
  <c r="AK708" i="15"/>
  <c r="AI701" i="15"/>
  <c r="AK701" i="15"/>
  <c r="AI702" i="15"/>
  <c r="AK702" i="15"/>
  <c r="AI700" i="15"/>
  <c r="AK700" i="15"/>
  <c r="AI658" i="15"/>
  <c r="AJ658" i="15"/>
  <c r="AK658" i="15"/>
  <c r="AI659" i="15"/>
  <c r="AJ659" i="15"/>
  <c r="AK659" i="15"/>
  <c r="AJ660" i="15"/>
  <c r="AK660" i="15"/>
  <c r="AJ661" i="15"/>
  <c r="AK661" i="15"/>
  <c r="AJ662" i="15"/>
  <c r="AK662" i="15"/>
  <c r="AJ663" i="15"/>
  <c r="AK663" i="15"/>
  <c r="AI664" i="15"/>
  <c r="AJ664" i="15"/>
  <c r="AK664" i="15"/>
  <c r="AI665" i="15"/>
  <c r="AJ665" i="15"/>
  <c r="AK665" i="15"/>
  <c r="AJ666" i="15"/>
  <c r="AK666" i="15"/>
  <c r="AJ667" i="15"/>
  <c r="AK667" i="15"/>
  <c r="AJ668" i="15"/>
  <c r="AK668" i="15"/>
  <c r="AJ669" i="15"/>
  <c r="AK669" i="15"/>
  <c r="AK670" i="15"/>
  <c r="AK671" i="15"/>
  <c r="AK672" i="15"/>
  <c r="AK673" i="15"/>
  <c r="AK674" i="15"/>
  <c r="AK675" i="15"/>
  <c r="AI676" i="15"/>
  <c r="AJ676" i="15"/>
  <c r="AK676" i="15"/>
  <c r="AI677" i="15"/>
  <c r="AJ677" i="15"/>
  <c r="AK677" i="15"/>
  <c r="AJ678" i="15"/>
  <c r="AK678" i="15"/>
  <c r="AJ679" i="15"/>
  <c r="AK679" i="15"/>
  <c r="AJ680" i="15"/>
  <c r="AK680" i="15"/>
  <c r="AJ681" i="15"/>
  <c r="AK681" i="15"/>
  <c r="AI682" i="15"/>
  <c r="AJ682" i="15"/>
  <c r="AK682" i="15"/>
  <c r="AI683" i="15"/>
  <c r="AJ683" i="15"/>
  <c r="AK683" i="15"/>
  <c r="AJ684" i="15"/>
  <c r="AK684" i="15"/>
  <c r="AJ685" i="15"/>
  <c r="AK685" i="15"/>
  <c r="AJ686" i="15"/>
  <c r="AK686" i="15"/>
  <c r="AJ687" i="15"/>
  <c r="AK687" i="15"/>
  <c r="AK688" i="15"/>
  <c r="AK689" i="15"/>
  <c r="AK690" i="15"/>
  <c r="AK691" i="15"/>
  <c r="AK692" i="15"/>
  <c r="AK693" i="15"/>
  <c r="AI694" i="15"/>
  <c r="AJ694" i="15"/>
  <c r="AK694" i="15"/>
  <c r="AI695" i="15"/>
  <c r="AJ695" i="15"/>
  <c r="AK695" i="15"/>
  <c r="AI696" i="15"/>
  <c r="AJ696" i="15"/>
  <c r="AK696" i="15"/>
  <c r="AI697" i="15"/>
  <c r="AJ697" i="15"/>
  <c r="AK697" i="15"/>
  <c r="AK698" i="15"/>
  <c r="AK699" i="15"/>
  <c r="AF745" i="15"/>
  <c r="AG745" i="15"/>
  <c r="AH745" i="15"/>
  <c r="AF743" i="15"/>
  <c r="AG743" i="15"/>
  <c r="AH743" i="15"/>
  <c r="AF744" i="15"/>
  <c r="AG744" i="15"/>
  <c r="AH744" i="15"/>
  <c r="AF742" i="15"/>
  <c r="AG742" i="15"/>
  <c r="AH742" i="15"/>
  <c r="AF741" i="15"/>
  <c r="AH741" i="15"/>
  <c r="AF720" i="15"/>
  <c r="AH720" i="15"/>
  <c r="AF721" i="15"/>
  <c r="AH721" i="15"/>
  <c r="AF722" i="15"/>
  <c r="AH722" i="15"/>
  <c r="AF723" i="15"/>
  <c r="AH723" i="15"/>
  <c r="AF724" i="15"/>
  <c r="AH724" i="15"/>
  <c r="AF725" i="15"/>
  <c r="AH725" i="15"/>
  <c r="AF726" i="15"/>
  <c r="AG726" i="15"/>
  <c r="AH726" i="15"/>
  <c r="AF727" i="15"/>
  <c r="AG727" i="15"/>
  <c r="AH727" i="15"/>
  <c r="AF728" i="15"/>
  <c r="AG728" i="15"/>
  <c r="AH728" i="15"/>
  <c r="AF729" i="15"/>
  <c r="AG729" i="15"/>
  <c r="AH729" i="15"/>
  <c r="AF730" i="15"/>
  <c r="AG730" i="15"/>
  <c r="AH730" i="15"/>
  <c r="AF731" i="15"/>
  <c r="AG731" i="15"/>
  <c r="AH731" i="15"/>
  <c r="AF732" i="15"/>
  <c r="AG732" i="15"/>
  <c r="AH732" i="15"/>
  <c r="AF733" i="15"/>
  <c r="AG733" i="15"/>
  <c r="AH733" i="15"/>
  <c r="AF734" i="15"/>
  <c r="AG734" i="15"/>
  <c r="AH734" i="15"/>
  <c r="AH735" i="15"/>
  <c r="AH736" i="15"/>
  <c r="AH737" i="15"/>
  <c r="AH738" i="15"/>
  <c r="AH739" i="15"/>
  <c r="AH740" i="15"/>
  <c r="AF714" i="15"/>
  <c r="AG714" i="15"/>
  <c r="AH714" i="15"/>
  <c r="AF715" i="15"/>
  <c r="AG715" i="15"/>
  <c r="AH715" i="15"/>
  <c r="AF716" i="15"/>
  <c r="AG716" i="15"/>
  <c r="AH716" i="15"/>
  <c r="AF717" i="15"/>
  <c r="AG717" i="15"/>
  <c r="AH717" i="15"/>
  <c r="AF718" i="15"/>
  <c r="AG718" i="15"/>
  <c r="AH718" i="15"/>
  <c r="AF719" i="15"/>
  <c r="AG719" i="15"/>
  <c r="AH719" i="15"/>
  <c r="AF713" i="15"/>
  <c r="AH713" i="15"/>
  <c r="AF709" i="15"/>
  <c r="AG709" i="15"/>
  <c r="AH709" i="15"/>
  <c r="AF710" i="15"/>
  <c r="AG710" i="15"/>
  <c r="AH710" i="15"/>
  <c r="AF711" i="15"/>
  <c r="AG711" i="15"/>
  <c r="AH711" i="15"/>
  <c r="AF712" i="15"/>
  <c r="AG712" i="15"/>
  <c r="AH712" i="15"/>
  <c r="AF703" i="15"/>
  <c r="AG703" i="15"/>
  <c r="AH703" i="15"/>
  <c r="AF704" i="15"/>
  <c r="AG704" i="15"/>
  <c r="AH704" i="15"/>
  <c r="AF705" i="15"/>
  <c r="AG705" i="15"/>
  <c r="AH705" i="15"/>
  <c r="AF706" i="15"/>
  <c r="AG706" i="15"/>
  <c r="AH706" i="15"/>
  <c r="AF707" i="15"/>
  <c r="AH707" i="15"/>
  <c r="AF708" i="15"/>
  <c r="AH708" i="15"/>
  <c r="AF701" i="15"/>
  <c r="AH701" i="15"/>
  <c r="AF702" i="15"/>
  <c r="AH702" i="15"/>
  <c r="AF700" i="15"/>
  <c r="AH700" i="15"/>
  <c r="AF658" i="15"/>
  <c r="AG658" i="15"/>
  <c r="AH658" i="15"/>
  <c r="AF659" i="15"/>
  <c r="AG659" i="15"/>
  <c r="AH659" i="15"/>
  <c r="AG660" i="15"/>
  <c r="AH660" i="15"/>
  <c r="AG661" i="15"/>
  <c r="AH661" i="15"/>
  <c r="AG662" i="15"/>
  <c r="AH662" i="15"/>
  <c r="AG663" i="15"/>
  <c r="AH663" i="15"/>
  <c r="AF664" i="15"/>
  <c r="AG664" i="15"/>
  <c r="AH664" i="15"/>
  <c r="AF665" i="15"/>
  <c r="AG665" i="15"/>
  <c r="AH665" i="15"/>
  <c r="AG666" i="15"/>
  <c r="AH666" i="15"/>
  <c r="AG667" i="15"/>
  <c r="AH667" i="15"/>
  <c r="AG668" i="15"/>
  <c r="AH668" i="15"/>
  <c r="AG669" i="15"/>
  <c r="AH669" i="15"/>
  <c r="AH670" i="15"/>
  <c r="AH671" i="15"/>
  <c r="AH672" i="15"/>
  <c r="AH673" i="15"/>
  <c r="AH674" i="15"/>
  <c r="AH675" i="15"/>
  <c r="AF676" i="15"/>
  <c r="AG676" i="15"/>
  <c r="AH676" i="15"/>
  <c r="AF677" i="15"/>
  <c r="AG677" i="15"/>
  <c r="AH677" i="15"/>
  <c r="AG678" i="15"/>
  <c r="AH678" i="15"/>
  <c r="AG679" i="15"/>
  <c r="AH679" i="15"/>
  <c r="AG680" i="15"/>
  <c r="AH680" i="15"/>
  <c r="AG681" i="15"/>
  <c r="AH681" i="15"/>
  <c r="AF682" i="15"/>
  <c r="AG682" i="15"/>
  <c r="AH682" i="15"/>
  <c r="AF683" i="15"/>
  <c r="AG683" i="15"/>
  <c r="AH683" i="15"/>
  <c r="AG684" i="15"/>
  <c r="AH684" i="15"/>
  <c r="AG685" i="15"/>
  <c r="AH685" i="15"/>
  <c r="AG686" i="15"/>
  <c r="AH686" i="15"/>
  <c r="AG687" i="15"/>
  <c r="AH687" i="15"/>
  <c r="AH688" i="15"/>
  <c r="AH689" i="15"/>
  <c r="AH690" i="15"/>
  <c r="AH691" i="15"/>
  <c r="AH692" i="15"/>
  <c r="AH693" i="15"/>
  <c r="AF694" i="15"/>
  <c r="AG694" i="15"/>
  <c r="AH694" i="15"/>
  <c r="AF695" i="15"/>
  <c r="AG695" i="15"/>
  <c r="AH695" i="15"/>
  <c r="AF696" i="15"/>
  <c r="AG696" i="15"/>
  <c r="AH696" i="15"/>
  <c r="AF697" i="15"/>
  <c r="AG697" i="15"/>
  <c r="AH697" i="15"/>
  <c r="AH698" i="15"/>
  <c r="AH699" i="15"/>
  <c r="AI653" i="15"/>
  <c r="AJ653" i="15"/>
  <c r="AK653" i="15"/>
  <c r="AF653" i="15"/>
  <c r="AG653" i="15"/>
  <c r="AH653" i="15"/>
  <c r="AI651" i="15"/>
  <c r="AK651" i="15"/>
  <c r="AI652" i="15"/>
  <c r="AK652" i="15"/>
  <c r="AF651" i="15"/>
  <c r="AH651" i="15"/>
  <c r="AF652" i="15"/>
  <c r="AH652" i="15"/>
  <c r="AK650" i="15"/>
  <c r="AH650" i="15"/>
  <c r="AK648" i="15"/>
  <c r="AK649" i="15"/>
  <c r="AH648" i="15"/>
  <c r="AH649" i="15"/>
  <c r="AI647" i="15"/>
  <c r="AJ647" i="15"/>
  <c r="AK647" i="15"/>
  <c r="AF647" i="15"/>
  <c r="AG647" i="15"/>
  <c r="AH647" i="15"/>
  <c r="AE651" i="15"/>
  <c r="AB651" i="15"/>
  <c r="AC649" i="15"/>
  <c r="AE649" i="15"/>
  <c r="AC650" i="15"/>
  <c r="AE650" i="15"/>
  <c r="Z649" i="15"/>
  <c r="AB649" i="15"/>
  <c r="Z650" i="15"/>
  <c r="AB650" i="15"/>
  <c r="AC648" i="15"/>
  <c r="AD648" i="15"/>
  <c r="AE648" i="15"/>
  <c r="Z648" i="15"/>
  <c r="AA648" i="15"/>
  <c r="AB648" i="15"/>
  <c r="AE647" i="15"/>
  <c r="AB647" i="15"/>
  <c r="Y654" i="15"/>
  <c r="V654" i="15"/>
  <c r="W652" i="15"/>
  <c r="Y652" i="15"/>
  <c r="W653" i="15"/>
  <c r="Y653" i="15"/>
  <c r="V652" i="15"/>
  <c r="V653" i="15"/>
  <c r="W651" i="15"/>
  <c r="X651" i="15"/>
  <c r="Y651" i="15"/>
  <c r="T651" i="15"/>
  <c r="U651" i="15"/>
  <c r="V651" i="15"/>
  <c r="Y650" i="15"/>
  <c r="V650" i="15"/>
  <c r="Y648" i="15"/>
  <c r="Y649" i="15"/>
  <c r="V648" i="15"/>
  <c r="V649" i="15"/>
  <c r="W647" i="15"/>
  <c r="X647" i="15"/>
  <c r="Y647" i="15"/>
  <c r="T647" i="15"/>
  <c r="U647" i="15"/>
  <c r="V647" i="15"/>
  <c r="Q651" i="15"/>
  <c r="R651" i="15"/>
  <c r="S651" i="15"/>
  <c r="N651" i="15"/>
  <c r="O651" i="15"/>
  <c r="P651" i="15"/>
  <c r="Q649" i="15"/>
  <c r="S649" i="15"/>
  <c r="Q650" i="15"/>
  <c r="S650" i="15"/>
  <c r="P649" i="15"/>
  <c r="P650" i="15"/>
  <c r="Q648" i="15"/>
  <c r="R648" i="15"/>
  <c r="S648" i="15"/>
  <c r="N648" i="15"/>
  <c r="O648" i="15"/>
  <c r="P648" i="15"/>
  <c r="Q647" i="15"/>
  <c r="R647" i="15"/>
  <c r="S647" i="15"/>
  <c r="N647" i="15"/>
  <c r="O647" i="15"/>
  <c r="P647" i="15"/>
  <c r="K647" i="15"/>
  <c r="M656" i="15" s="1"/>
  <c r="L647" i="15"/>
  <c r="M647" i="15"/>
  <c r="H647" i="15"/>
  <c r="J656" i="15" s="1"/>
  <c r="I647" i="15"/>
  <c r="J647" i="15"/>
  <c r="E647" i="15"/>
  <c r="F656" i="15" s="1"/>
  <c r="F647" i="15"/>
  <c r="G647" i="15"/>
  <c r="B647" i="15"/>
  <c r="D656" i="15" s="1"/>
  <c r="D647" i="15"/>
  <c r="E607" i="15"/>
  <c r="F607" i="15"/>
  <c r="G607" i="15"/>
  <c r="E608" i="15"/>
  <c r="F608" i="15"/>
  <c r="G608" i="15"/>
  <c r="G606" i="15"/>
  <c r="E604" i="15"/>
  <c r="F604" i="15"/>
  <c r="G604" i="15"/>
  <c r="E605" i="15"/>
  <c r="F605" i="15"/>
  <c r="G605" i="15"/>
  <c r="B607" i="15"/>
  <c r="C607" i="15"/>
  <c r="D607" i="15"/>
  <c r="B608" i="15"/>
  <c r="C608" i="15"/>
  <c r="D608" i="15"/>
  <c r="D606" i="15"/>
  <c r="B604" i="15"/>
  <c r="C604" i="15"/>
  <c r="D604" i="15"/>
  <c r="B605" i="15"/>
  <c r="C605" i="15"/>
  <c r="D605" i="15"/>
  <c r="M607" i="15"/>
  <c r="M608" i="15"/>
  <c r="M606" i="15"/>
  <c r="K604" i="15"/>
  <c r="L604" i="15"/>
  <c r="M604" i="15"/>
  <c r="K605" i="15"/>
  <c r="L605" i="15"/>
  <c r="M605" i="15"/>
  <c r="J607" i="15"/>
  <c r="J608" i="15"/>
  <c r="J606" i="15"/>
  <c r="H604" i="15"/>
  <c r="I604" i="15"/>
  <c r="J604" i="15"/>
  <c r="H605" i="15"/>
  <c r="I605" i="15"/>
  <c r="J605" i="15"/>
  <c r="Q607" i="15"/>
  <c r="R607" i="15"/>
  <c r="S607" i="15"/>
  <c r="Q608" i="15"/>
  <c r="R608" i="15"/>
  <c r="S608" i="15"/>
  <c r="S606" i="15"/>
  <c r="Q604" i="15"/>
  <c r="R604" i="15"/>
  <c r="S604" i="15"/>
  <c r="Q605" i="15"/>
  <c r="R605" i="15"/>
  <c r="S605" i="15"/>
  <c r="N607" i="15"/>
  <c r="O607" i="15"/>
  <c r="P607" i="15"/>
  <c r="N608" i="15"/>
  <c r="O608" i="15"/>
  <c r="P608" i="15"/>
  <c r="P606" i="15"/>
  <c r="N604" i="15"/>
  <c r="O604" i="15"/>
  <c r="P604" i="15"/>
  <c r="N605" i="15"/>
  <c r="O605" i="15"/>
  <c r="P605" i="15"/>
  <c r="W643" i="15"/>
  <c r="X643" i="15"/>
  <c r="Y643" i="15"/>
  <c r="W642" i="15"/>
  <c r="X642" i="15"/>
  <c r="Y642" i="15"/>
  <c r="W638" i="15"/>
  <c r="X638" i="15"/>
  <c r="Y638" i="15"/>
  <c r="W639" i="15"/>
  <c r="X639" i="15"/>
  <c r="Y639" i="15"/>
  <c r="W640" i="15"/>
  <c r="Y640" i="15"/>
  <c r="W641" i="15"/>
  <c r="Y641" i="15"/>
  <c r="W636" i="15"/>
  <c r="X636" i="15"/>
  <c r="Y636" i="15"/>
  <c r="W637" i="15"/>
  <c r="X637" i="15"/>
  <c r="Y637" i="15"/>
  <c r="Y634" i="15"/>
  <c r="Y635" i="15"/>
  <c r="W632" i="15"/>
  <c r="X632" i="15"/>
  <c r="Y632" i="15"/>
  <c r="W633" i="15"/>
  <c r="X633" i="15"/>
  <c r="Y633" i="15"/>
  <c r="Y620" i="15"/>
  <c r="Y621" i="15"/>
  <c r="Y622" i="15"/>
  <c r="Y623" i="15"/>
  <c r="Y624" i="15"/>
  <c r="Y625" i="15"/>
  <c r="Y626" i="15"/>
  <c r="Y627" i="15"/>
  <c r="Y628" i="15"/>
  <c r="Y629" i="15"/>
  <c r="Y630" i="15"/>
  <c r="Y631" i="15"/>
  <c r="Y609" i="15"/>
  <c r="Y610" i="15"/>
  <c r="Y611" i="15"/>
  <c r="Y612" i="15"/>
  <c r="Y613" i="15"/>
  <c r="Y614" i="15"/>
  <c r="Y615" i="15"/>
  <c r="Y616" i="15"/>
  <c r="Y617" i="15"/>
  <c r="Y618" i="15"/>
  <c r="Y619" i="15"/>
  <c r="W608" i="15"/>
  <c r="Y608" i="15"/>
  <c r="Y604" i="15"/>
  <c r="Y605" i="15"/>
  <c r="Y606" i="15"/>
  <c r="Y607" i="15"/>
  <c r="T643" i="15"/>
  <c r="U643" i="15"/>
  <c r="V643" i="15"/>
  <c r="T642" i="15"/>
  <c r="U642" i="15"/>
  <c r="V642" i="15"/>
  <c r="T638" i="15"/>
  <c r="U638" i="15"/>
  <c r="V638" i="15"/>
  <c r="T639" i="15"/>
  <c r="U639" i="15"/>
  <c r="V639" i="15"/>
  <c r="T640" i="15"/>
  <c r="V640" i="15"/>
  <c r="T641" i="15"/>
  <c r="V641" i="15"/>
  <c r="T636" i="15"/>
  <c r="U636" i="15"/>
  <c r="V636" i="15"/>
  <c r="T637" i="15"/>
  <c r="U637" i="15"/>
  <c r="V637" i="15"/>
  <c r="V634" i="15"/>
  <c r="V635" i="15"/>
  <c r="T632" i="15"/>
  <c r="U632" i="15"/>
  <c r="V632" i="15"/>
  <c r="T633" i="15"/>
  <c r="U633" i="15"/>
  <c r="V633" i="15"/>
  <c r="V620" i="15"/>
  <c r="V621" i="15"/>
  <c r="V622" i="15"/>
  <c r="V623" i="15"/>
  <c r="V624" i="15"/>
  <c r="V625" i="15"/>
  <c r="V626" i="15"/>
  <c r="V627" i="15"/>
  <c r="V628" i="15"/>
  <c r="V629" i="15"/>
  <c r="V630" i="15"/>
  <c r="V631" i="15"/>
  <c r="V609" i="15"/>
  <c r="V610" i="15"/>
  <c r="V611" i="15"/>
  <c r="V612" i="15"/>
  <c r="V613" i="15"/>
  <c r="V614" i="15"/>
  <c r="V615" i="15"/>
  <c r="V616" i="15"/>
  <c r="V617" i="15"/>
  <c r="V618" i="15"/>
  <c r="V619" i="15"/>
  <c r="T608" i="15"/>
  <c r="V608" i="15"/>
  <c r="V604" i="15"/>
  <c r="V605" i="15"/>
  <c r="V606" i="15"/>
  <c r="V607" i="15"/>
  <c r="AC624" i="15"/>
  <c r="AD624" i="15"/>
  <c r="AE624" i="15"/>
  <c r="AC620" i="15"/>
  <c r="AD620" i="15"/>
  <c r="AE620" i="15"/>
  <c r="AC621" i="15"/>
  <c r="AD621" i="15"/>
  <c r="AE621" i="15"/>
  <c r="AC622" i="15"/>
  <c r="AE622" i="15"/>
  <c r="AC623" i="15"/>
  <c r="AE623" i="15"/>
  <c r="AE618" i="15"/>
  <c r="AE619" i="15"/>
  <c r="AC616" i="15"/>
  <c r="AD616" i="15"/>
  <c r="AE616" i="15"/>
  <c r="AC617" i="15"/>
  <c r="AD617" i="15"/>
  <c r="AE617" i="15"/>
  <c r="AE605" i="15"/>
  <c r="AE606" i="15"/>
  <c r="AE607" i="15"/>
  <c r="AE608" i="15"/>
  <c r="AE609" i="15"/>
  <c r="AE610" i="15"/>
  <c r="AE611" i="15"/>
  <c r="AE612" i="15"/>
  <c r="AE613" i="15"/>
  <c r="AE614" i="15"/>
  <c r="AE615" i="15"/>
  <c r="AC604" i="15"/>
  <c r="AE604" i="15"/>
  <c r="Z624" i="15"/>
  <c r="AA624" i="15"/>
  <c r="AB624" i="15"/>
  <c r="Z620" i="15"/>
  <c r="AA620" i="15"/>
  <c r="AB620" i="15"/>
  <c r="Z621" i="15"/>
  <c r="AA621" i="15"/>
  <c r="AB621" i="15"/>
  <c r="Z622" i="15"/>
  <c r="AB622" i="15"/>
  <c r="Z623" i="15"/>
  <c r="AB623" i="15"/>
  <c r="AB618" i="15"/>
  <c r="AB619" i="15"/>
  <c r="Z616" i="15"/>
  <c r="AA616" i="15"/>
  <c r="AB616" i="15"/>
  <c r="Z617" i="15"/>
  <c r="AA617" i="15"/>
  <c r="AB617" i="15"/>
  <c r="AB605" i="15"/>
  <c r="AB606" i="15"/>
  <c r="AB607" i="15"/>
  <c r="AB608" i="15"/>
  <c r="AB609" i="15"/>
  <c r="AB610" i="15"/>
  <c r="AB611" i="15"/>
  <c r="AB612" i="15"/>
  <c r="AB613" i="15"/>
  <c r="AB614" i="15"/>
  <c r="AB615" i="15"/>
  <c r="Z604" i="15"/>
  <c r="AB604" i="15"/>
  <c r="AI639" i="15"/>
  <c r="AJ639" i="15"/>
  <c r="AK639" i="15"/>
  <c r="AI640" i="15"/>
  <c r="AJ640" i="15"/>
  <c r="AK640" i="15"/>
  <c r="AI638" i="15"/>
  <c r="AK638" i="15"/>
  <c r="AI636" i="15"/>
  <c r="AJ636" i="15"/>
  <c r="AK636" i="15"/>
  <c r="AI637" i="15"/>
  <c r="AJ637" i="15"/>
  <c r="AK637" i="15"/>
  <c r="AI628" i="15"/>
  <c r="AJ628" i="15"/>
  <c r="AK628" i="15"/>
  <c r="AI629" i="15"/>
  <c r="AJ629" i="15"/>
  <c r="AK629" i="15"/>
  <c r="AI630" i="15"/>
  <c r="AJ630" i="15"/>
  <c r="AK630" i="15"/>
  <c r="AI631" i="15"/>
  <c r="AJ631" i="15"/>
  <c r="AK631" i="15"/>
  <c r="AI632" i="15"/>
  <c r="AJ632" i="15"/>
  <c r="AK632" i="15"/>
  <c r="AI633" i="15"/>
  <c r="AJ633" i="15"/>
  <c r="AK633" i="15"/>
  <c r="AI634" i="15"/>
  <c r="AJ634" i="15"/>
  <c r="AK634" i="15"/>
  <c r="AI635" i="15"/>
  <c r="AJ635" i="15"/>
  <c r="AK635" i="15"/>
  <c r="AI626" i="15"/>
  <c r="AJ626" i="15"/>
  <c r="AK626" i="15"/>
  <c r="AI627" i="15"/>
  <c r="AJ627" i="15"/>
  <c r="AK627" i="15"/>
  <c r="AI624" i="15"/>
  <c r="AJ624" i="15"/>
  <c r="AK624" i="15"/>
  <c r="AI625" i="15"/>
  <c r="AJ625" i="15"/>
  <c r="AK625" i="15"/>
  <c r="AK612" i="15"/>
  <c r="AK613" i="15"/>
  <c r="AK614" i="15"/>
  <c r="AK615" i="15"/>
  <c r="AK616" i="15"/>
  <c r="AK617" i="15"/>
  <c r="AK618" i="15"/>
  <c r="AK619" i="15"/>
  <c r="AK620" i="15"/>
  <c r="AK621" i="15"/>
  <c r="AK622" i="15"/>
  <c r="AK623" i="15"/>
  <c r="AI608" i="15"/>
  <c r="AK608" i="15"/>
  <c r="AI609" i="15"/>
  <c r="AK609" i="15"/>
  <c r="AI610" i="15"/>
  <c r="AK610" i="15"/>
  <c r="AI611" i="15"/>
  <c r="AK611" i="15"/>
  <c r="AI607" i="15"/>
  <c r="AJ607" i="15"/>
  <c r="AK607" i="15"/>
  <c r="AI606" i="15"/>
  <c r="AJ606" i="15"/>
  <c r="AK606" i="15"/>
  <c r="AI604" i="15"/>
  <c r="AJ604" i="15"/>
  <c r="AK604" i="15"/>
  <c r="AI605" i="15"/>
  <c r="AJ605" i="15"/>
  <c r="AK605" i="15"/>
  <c r="AF639" i="15"/>
  <c r="AG639" i="15"/>
  <c r="AH639" i="15"/>
  <c r="AF640" i="15"/>
  <c r="AG640" i="15"/>
  <c r="AH640" i="15"/>
  <c r="AF638" i="15"/>
  <c r="AH638" i="15"/>
  <c r="AF636" i="15"/>
  <c r="AG636" i="15"/>
  <c r="AH636" i="15"/>
  <c r="AF637" i="15"/>
  <c r="AG637" i="15"/>
  <c r="AH637" i="15"/>
  <c r="AF628" i="15"/>
  <c r="AG628" i="15"/>
  <c r="AH628" i="15"/>
  <c r="AF629" i="15"/>
  <c r="AG629" i="15"/>
  <c r="AH629" i="15"/>
  <c r="AF630" i="15"/>
  <c r="AG630" i="15"/>
  <c r="AH630" i="15"/>
  <c r="AF631" i="15"/>
  <c r="AG631" i="15"/>
  <c r="AH631" i="15"/>
  <c r="AF632" i="15"/>
  <c r="AG632" i="15"/>
  <c r="AH632" i="15"/>
  <c r="AF633" i="15"/>
  <c r="AG633" i="15"/>
  <c r="AH633" i="15"/>
  <c r="AF634" i="15"/>
  <c r="AG634" i="15"/>
  <c r="AH634" i="15"/>
  <c r="AF635" i="15"/>
  <c r="AG635" i="15"/>
  <c r="AH635" i="15"/>
  <c r="AF626" i="15"/>
  <c r="AG626" i="15"/>
  <c r="AH626" i="15"/>
  <c r="AF627" i="15"/>
  <c r="AG627" i="15"/>
  <c r="AH627" i="15"/>
  <c r="AF624" i="15"/>
  <c r="AG624" i="15"/>
  <c r="AH624" i="15"/>
  <c r="AF625" i="15"/>
  <c r="AG625" i="15"/>
  <c r="AH625" i="15"/>
  <c r="AH612" i="15"/>
  <c r="AF613" i="15"/>
  <c r="AG613" i="15"/>
  <c r="AH613" i="15"/>
  <c r="AH614" i="15"/>
  <c r="AF615" i="15"/>
  <c r="AG615" i="15"/>
  <c r="AH615" i="15"/>
  <c r="AF616" i="15"/>
  <c r="AG616" i="15"/>
  <c r="AH616" i="15"/>
  <c r="AH617" i="15"/>
  <c r="AF608" i="15"/>
  <c r="AH608" i="15"/>
  <c r="AF609" i="15"/>
  <c r="AH609" i="15"/>
  <c r="AF610" i="15"/>
  <c r="AH610" i="15"/>
  <c r="AF611" i="15"/>
  <c r="AH611" i="15"/>
  <c r="AF607" i="15"/>
  <c r="AG607" i="15"/>
  <c r="AH607" i="15"/>
  <c r="AH606" i="15"/>
  <c r="AH604" i="15"/>
  <c r="AH605" i="15"/>
  <c r="AI598" i="15"/>
  <c r="AK598" i="15"/>
  <c r="AI599" i="15"/>
  <c r="AK599" i="15"/>
  <c r="AI600" i="15"/>
  <c r="AK600" i="15"/>
  <c r="AI592" i="15"/>
  <c r="AJ592" i="15"/>
  <c r="AK592" i="15"/>
  <c r="AI593" i="15"/>
  <c r="AJ593" i="15"/>
  <c r="AK593" i="15"/>
  <c r="AI594" i="15"/>
  <c r="AK594" i="15"/>
  <c r="AI595" i="15"/>
  <c r="AK595" i="15"/>
  <c r="AI596" i="15"/>
  <c r="AK596" i="15"/>
  <c r="AI597" i="15"/>
  <c r="AK597" i="15"/>
  <c r="AI590" i="15"/>
  <c r="AJ590" i="15"/>
  <c r="AK590" i="15"/>
  <c r="AI591" i="15"/>
  <c r="AJ591" i="15"/>
  <c r="AK591" i="15"/>
  <c r="AI589" i="15"/>
  <c r="AJ589" i="15"/>
  <c r="AK589" i="15"/>
  <c r="AI586" i="15"/>
  <c r="AK586" i="15"/>
  <c r="AI587" i="15"/>
  <c r="AK587" i="15"/>
  <c r="AI588" i="15"/>
  <c r="AK588" i="15"/>
  <c r="AI583" i="15"/>
  <c r="AK583" i="15"/>
  <c r="AI584" i="15"/>
  <c r="AK584" i="15"/>
  <c r="AI585" i="15"/>
  <c r="AK585" i="15"/>
  <c r="AI577" i="15"/>
  <c r="AJ577" i="15"/>
  <c r="AK577" i="15"/>
  <c r="AI578" i="15"/>
  <c r="AJ578" i="15"/>
  <c r="AK578" i="15"/>
  <c r="AI579" i="15"/>
  <c r="AJ579" i="15"/>
  <c r="AK579" i="15"/>
  <c r="AI580" i="15"/>
  <c r="AJ580" i="15"/>
  <c r="AK580" i="15"/>
  <c r="AI581" i="15"/>
  <c r="AJ581" i="15"/>
  <c r="AK581" i="15"/>
  <c r="AI582" i="15"/>
  <c r="AJ582" i="15"/>
  <c r="AK582" i="15"/>
  <c r="AI526" i="15"/>
  <c r="AK526" i="15"/>
  <c r="AI527" i="15"/>
  <c r="AK527" i="15"/>
  <c r="AI528" i="15"/>
  <c r="AK528" i="15"/>
  <c r="AI529" i="15"/>
  <c r="AK529" i="15"/>
  <c r="AI530" i="15"/>
  <c r="AK530" i="15"/>
  <c r="AI531" i="15"/>
  <c r="AK531" i="15"/>
  <c r="AI532" i="15"/>
  <c r="AK532" i="15"/>
  <c r="AI533" i="15"/>
  <c r="AK533" i="15"/>
  <c r="AI534" i="15"/>
  <c r="AK534" i="15"/>
  <c r="AI535" i="15"/>
  <c r="AK535" i="15"/>
  <c r="AI536" i="15"/>
  <c r="AK536" i="15"/>
  <c r="AI537" i="15"/>
  <c r="AK537" i="15"/>
  <c r="AI538" i="15"/>
  <c r="AK538" i="15"/>
  <c r="AI539" i="15"/>
  <c r="AK539" i="15"/>
  <c r="AI540" i="15"/>
  <c r="AK540" i="15"/>
  <c r="AI541" i="15"/>
  <c r="AK541" i="15"/>
  <c r="AI542" i="15"/>
  <c r="AK542" i="15"/>
  <c r="AI543" i="15"/>
  <c r="AK543" i="15"/>
  <c r="AI544" i="15"/>
  <c r="AK544" i="15"/>
  <c r="AI545" i="15"/>
  <c r="AK545" i="15"/>
  <c r="AI546" i="15"/>
  <c r="AK546" i="15"/>
  <c r="AI547" i="15"/>
  <c r="AK547" i="15"/>
  <c r="AI548" i="15"/>
  <c r="AK548" i="15"/>
  <c r="AI549" i="15"/>
  <c r="AK549" i="15"/>
  <c r="AI550" i="15"/>
  <c r="AK550" i="15"/>
  <c r="AI551" i="15"/>
  <c r="AK551" i="15"/>
  <c r="AI552" i="15"/>
  <c r="AK552" i="15"/>
  <c r="AI553" i="15"/>
  <c r="AK553" i="15"/>
  <c r="AI554" i="15"/>
  <c r="AK554" i="15"/>
  <c r="AI555" i="15"/>
  <c r="AK555" i="15"/>
  <c r="AI556" i="15"/>
  <c r="AK556" i="15"/>
  <c r="AI557" i="15"/>
  <c r="AK557" i="15"/>
  <c r="AI558" i="15"/>
  <c r="AK558" i="15"/>
  <c r="AI559" i="15"/>
  <c r="AK559" i="15"/>
  <c r="AI560" i="15"/>
  <c r="AK560" i="15"/>
  <c r="AI561" i="15"/>
  <c r="AK561" i="15"/>
  <c r="AI562" i="15"/>
  <c r="AJ562" i="15"/>
  <c r="AK562" i="15"/>
  <c r="AI563" i="15"/>
  <c r="AJ563" i="15"/>
  <c r="AK563" i="15"/>
  <c r="AI564" i="15"/>
  <c r="AJ564" i="15"/>
  <c r="AK564" i="15"/>
  <c r="AI565" i="15"/>
  <c r="AJ565" i="15"/>
  <c r="AK565" i="15"/>
  <c r="AI566" i="15"/>
  <c r="AJ566" i="15"/>
  <c r="AK566" i="15"/>
  <c r="AI567" i="15"/>
  <c r="AJ567" i="15"/>
  <c r="AK567" i="15"/>
  <c r="AI568" i="15"/>
  <c r="AJ568" i="15"/>
  <c r="AK568" i="15"/>
  <c r="AI569" i="15"/>
  <c r="AJ569" i="15"/>
  <c r="AK569" i="15"/>
  <c r="AI570" i="15"/>
  <c r="AJ570" i="15"/>
  <c r="AK570" i="15"/>
  <c r="AI571" i="15"/>
  <c r="AJ571" i="15"/>
  <c r="AK571" i="15"/>
  <c r="AI572" i="15"/>
  <c r="AJ572" i="15"/>
  <c r="AK572" i="15"/>
  <c r="AI573" i="15"/>
  <c r="AJ573" i="15"/>
  <c r="AK573" i="15"/>
  <c r="AI574" i="15"/>
  <c r="AJ574" i="15"/>
  <c r="AK574" i="15"/>
  <c r="AI575" i="15"/>
  <c r="AJ575" i="15"/>
  <c r="AK575" i="15"/>
  <c r="AI576" i="15"/>
  <c r="AJ576" i="15"/>
  <c r="AK576" i="15"/>
  <c r="AI525" i="15"/>
  <c r="AJ525" i="15"/>
  <c r="AK525" i="15"/>
  <c r="AI520" i="15"/>
  <c r="AK520" i="15"/>
  <c r="AI521" i="15"/>
  <c r="AK521" i="15"/>
  <c r="AI522" i="15"/>
  <c r="AK522" i="15"/>
  <c r="AI523" i="15"/>
  <c r="AK523" i="15"/>
  <c r="AI524" i="15"/>
  <c r="AK524" i="15"/>
  <c r="AI517" i="15"/>
  <c r="AK517" i="15"/>
  <c r="AI518" i="15"/>
  <c r="AK518" i="15"/>
  <c r="AI519" i="15"/>
  <c r="AK519" i="15"/>
  <c r="AI512" i="15"/>
  <c r="AK512" i="15"/>
  <c r="AI513" i="15"/>
  <c r="AK513" i="15"/>
  <c r="AI514" i="15"/>
  <c r="AK514" i="15"/>
  <c r="AI515" i="15"/>
  <c r="AK515" i="15"/>
  <c r="AI516" i="15"/>
  <c r="AK516" i="15"/>
  <c r="AI509" i="15"/>
  <c r="AK509" i="15"/>
  <c r="AI510" i="15"/>
  <c r="AK510" i="15"/>
  <c r="AI511" i="15"/>
  <c r="AK511" i="15"/>
  <c r="AI494" i="15"/>
  <c r="AK494" i="15"/>
  <c r="AI495" i="15"/>
  <c r="AK495" i="15"/>
  <c r="AI496" i="15"/>
  <c r="AK496" i="15"/>
  <c r="AI497" i="15"/>
  <c r="AK497" i="15"/>
  <c r="AI498" i="15"/>
  <c r="AK498" i="15"/>
  <c r="AI499" i="15"/>
  <c r="AK499" i="15"/>
  <c r="AI500" i="15"/>
  <c r="AK500" i="15"/>
  <c r="AI501" i="15"/>
  <c r="AK501" i="15"/>
  <c r="AI502" i="15"/>
  <c r="AK502" i="15"/>
  <c r="AI503" i="15"/>
  <c r="AK503" i="15"/>
  <c r="AI504" i="15"/>
  <c r="AK504" i="15"/>
  <c r="AI505" i="15"/>
  <c r="AK505" i="15"/>
  <c r="AI506" i="15"/>
  <c r="AK506" i="15"/>
  <c r="AI507" i="15"/>
  <c r="AK507" i="15"/>
  <c r="AI508" i="15"/>
  <c r="AK508" i="15"/>
  <c r="AI493" i="15"/>
  <c r="AJ493" i="15"/>
  <c r="AK493" i="15"/>
  <c r="AI492" i="15"/>
  <c r="AK492" i="15"/>
  <c r="AI490" i="15"/>
  <c r="AJ490" i="15"/>
  <c r="AK490" i="15"/>
  <c r="AI491" i="15"/>
  <c r="AJ491" i="15"/>
  <c r="AK491" i="15"/>
  <c r="AI489" i="15"/>
  <c r="AJ489" i="15"/>
  <c r="AK489" i="15"/>
  <c r="AI486" i="15"/>
  <c r="AK486" i="15"/>
  <c r="AI487" i="15"/>
  <c r="AK487" i="15"/>
  <c r="AI488" i="15"/>
  <c r="AJ488" i="15"/>
  <c r="AK488" i="15"/>
  <c r="AI480" i="15"/>
  <c r="AJ480" i="15"/>
  <c r="AK480" i="15"/>
  <c r="AI481" i="15"/>
  <c r="AJ481" i="15"/>
  <c r="AK481" i="15"/>
  <c r="AI482" i="15"/>
  <c r="AJ482" i="15"/>
  <c r="AK482" i="15"/>
  <c r="AI483" i="15"/>
  <c r="AJ483" i="15"/>
  <c r="AK483" i="15"/>
  <c r="AI484" i="15"/>
  <c r="AJ484" i="15"/>
  <c r="AK484" i="15"/>
  <c r="AI485" i="15"/>
  <c r="AJ485" i="15"/>
  <c r="AK485" i="15"/>
  <c r="AI475" i="15"/>
  <c r="AK475" i="15"/>
  <c r="AI476" i="15"/>
  <c r="AJ476" i="15"/>
  <c r="AK476" i="15"/>
  <c r="AI477" i="15"/>
  <c r="AJ477" i="15"/>
  <c r="AK477" i="15"/>
  <c r="AI478" i="15"/>
  <c r="AJ478" i="15"/>
  <c r="AK478" i="15"/>
  <c r="AI479" i="15"/>
  <c r="AJ479" i="15"/>
  <c r="AK479" i="15"/>
  <c r="AI474" i="15"/>
  <c r="AJ474" i="15"/>
  <c r="AK474" i="15"/>
  <c r="AI456" i="15"/>
  <c r="AK456" i="15"/>
  <c r="AI457" i="15"/>
  <c r="AK457" i="15"/>
  <c r="AI458" i="15"/>
  <c r="AK458" i="15"/>
  <c r="AI459" i="15"/>
  <c r="AK459" i="15"/>
  <c r="AI460" i="15"/>
  <c r="AK460" i="15"/>
  <c r="AI461" i="15"/>
  <c r="AK461" i="15"/>
  <c r="AI462" i="15"/>
  <c r="AK462" i="15"/>
  <c r="AI463" i="15"/>
  <c r="AJ463" i="15"/>
  <c r="AK463" i="15"/>
  <c r="AI464" i="15"/>
  <c r="AJ464" i="15"/>
  <c r="AK464" i="15"/>
  <c r="AI465" i="15"/>
  <c r="AJ465" i="15"/>
  <c r="AK465" i="15"/>
  <c r="AI466" i="15"/>
  <c r="AJ466" i="15"/>
  <c r="AK466" i="15"/>
  <c r="AI467" i="15"/>
  <c r="AJ467" i="15"/>
  <c r="AK467" i="15"/>
  <c r="AI468" i="15"/>
  <c r="AJ468" i="15"/>
  <c r="AK468" i="15"/>
  <c r="AI469" i="15"/>
  <c r="AJ469" i="15"/>
  <c r="AK469" i="15"/>
  <c r="AI470" i="15"/>
  <c r="AJ470" i="15"/>
  <c r="AK470" i="15"/>
  <c r="AI471" i="15"/>
  <c r="AJ471" i="15"/>
  <c r="AK471" i="15"/>
  <c r="AI472" i="15"/>
  <c r="AJ472" i="15"/>
  <c r="AK472" i="15"/>
  <c r="AK473" i="15"/>
  <c r="AI435" i="15"/>
  <c r="AJ435" i="15"/>
  <c r="AK435" i="15"/>
  <c r="AI436" i="15"/>
  <c r="AJ436" i="15"/>
  <c r="AK436" i="15"/>
  <c r="AI437" i="15"/>
  <c r="AJ437" i="15"/>
  <c r="AK437" i="15"/>
  <c r="AI438" i="15"/>
  <c r="AJ438" i="15"/>
  <c r="AK438" i="15"/>
  <c r="AI439" i="15"/>
  <c r="AJ439" i="15"/>
  <c r="AK439" i="15"/>
  <c r="AI440" i="15"/>
  <c r="AJ440" i="15"/>
  <c r="AK440" i="15"/>
  <c r="AI441" i="15"/>
  <c r="AJ441" i="15"/>
  <c r="AK441" i="15"/>
  <c r="AI442" i="15"/>
  <c r="AJ442" i="15"/>
  <c r="AK442" i="15"/>
  <c r="AI443" i="15"/>
  <c r="AJ443" i="15"/>
  <c r="AK443" i="15"/>
  <c r="AK444" i="15"/>
  <c r="AK445" i="15"/>
  <c r="AK446" i="15"/>
  <c r="AK447" i="15"/>
  <c r="AI448" i="15"/>
  <c r="AJ448" i="15"/>
  <c r="AK448" i="15"/>
  <c r="AI449" i="15"/>
  <c r="AJ449" i="15"/>
  <c r="AK449" i="15"/>
  <c r="AI450" i="15"/>
  <c r="AJ450" i="15"/>
  <c r="AK450" i="15"/>
  <c r="AI451" i="15"/>
  <c r="AJ451" i="15"/>
  <c r="AK451" i="15"/>
  <c r="AI452" i="15"/>
  <c r="AJ452" i="15"/>
  <c r="AK452" i="15"/>
  <c r="AI453" i="15"/>
  <c r="AJ453" i="15"/>
  <c r="AK453" i="15"/>
  <c r="AI454" i="15"/>
  <c r="AJ454" i="15"/>
  <c r="AK454" i="15"/>
  <c r="AI455" i="15"/>
  <c r="AJ455" i="15"/>
  <c r="AK455" i="15"/>
  <c r="AI428" i="15"/>
  <c r="AK428" i="15"/>
  <c r="AI429" i="15"/>
  <c r="AK429" i="15"/>
  <c r="AI430" i="15"/>
  <c r="AK430" i="15"/>
  <c r="AI431" i="15"/>
  <c r="AJ431" i="15"/>
  <c r="AK431" i="15"/>
  <c r="AI432" i="15"/>
  <c r="AJ432" i="15"/>
  <c r="AK432" i="15"/>
  <c r="AI433" i="15"/>
  <c r="AJ433" i="15"/>
  <c r="AK433" i="15"/>
  <c r="AI434" i="15"/>
  <c r="AJ434" i="15"/>
  <c r="AK434" i="15"/>
  <c r="AI416" i="15"/>
  <c r="AJ416" i="15"/>
  <c r="AK416" i="15"/>
  <c r="AI417" i="15"/>
  <c r="AJ417" i="15"/>
  <c r="AK417" i="15"/>
  <c r="AI418" i="15"/>
  <c r="AJ418" i="15"/>
  <c r="AK418" i="15"/>
  <c r="AI419" i="15"/>
  <c r="AJ419" i="15"/>
  <c r="AK419" i="15"/>
  <c r="AI420" i="15"/>
  <c r="AJ420" i="15"/>
  <c r="AK420" i="15"/>
  <c r="AI421" i="15"/>
  <c r="AJ421" i="15"/>
  <c r="AK421" i="15"/>
  <c r="AI422" i="15"/>
  <c r="AJ422" i="15"/>
  <c r="AK422" i="15"/>
  <c r="AI423" i="15"/>
  <c r="AJ423" i="15"/>
  <c r="AK423" i="15"/>
  <c r="AI424" i="15"/>
  <c r="AJ424" i="15"/>
  <c r="AK424" i="15"/>
  <c r="AI425" i="15"/>
  <c r="AJ425" i="15"/>
  <c r="AK425" i="15"/>
  <c r="AI426" i="15"/>
  <c r="AJ426" i="15"/>
  <c r="AK426" i="15"/>
  <c r="AI427" i="15"/>
  <c r="AJ427" i="15"/>
  <c r="AK427" i="15"/>
  <c r="AF598" i="15"/>
  <c r="AH598" i="15"/>
  <c r="AF599" i="15"/>
  <c r="AH599" i="15"/>
  <c r="AF600" i="15"/>
  <c r="AH600" i="15"/>
  <c r="AF592" i="15"/>
  <c r="AG592" i="15"/>
  <c r="AH592" i="15"/>
  <c r="AF593" i="15"/>
  <c r="AG593" i="15"/>
  <c r="AH593" i="15"/>
  <c r="AF594" i="15"/>
  <c r="AH594" i="15"/>
  <c r="AF595" i="15"/>
  <c r="AH595" i="15"/>
  <c r="AF596" i="15"/>
  <c r="AH596" i="15"/>
  <c r="AF597" i="15"/>
  <c r="AH597" i="15"/>
  <c r="AF590" i="15"/>
  <c r="AG590" i="15"/>
  <c r="AH590" i="15"/>
  <c r="AF591" i="15"/>
  <c r="AG591" i="15"/>
  <c r="AH591" i="15"/>
  <c r="AF589" i="15"/>
  <c r="AG589" i="15"/>
  <c r="AH589" i="15"/>
  <c r="AF586" i="15"/>
  <c r="AH586" i="15"/>
  <c r="AF587" i="15"/>
  <c r="AH587" i="15"/>
  <c r="AF588" i="15"/>
  <c r="AH588" i="15"/>
  <c r="AF583" i="15"/>
  <c r="AH583" i="15"/>
  <c r="AF584" i="15"/>
  <c r="AH584" i="15"/>
  <c r="AF585" i="15"/>
  <c r="AH585" i="15"/>
  <c r="AF577" i="15"/>
  <c r="AG577" i="15"/>
  <c r="AH577" i="15"/>
  <c r="AF578" i="15"/>
  <c r="AG578" i="15"/>
  <c r="AH578" i="15"/>
  <c r="AF579" i="15"/>
  <c r="AG579" i="15"/>
  <c r="AH579" i="15"/>
  <c r="AF580" i="15"/>
  <c r="AG580" i="15"/>
  <c r="AH580" i="15"/>
  <c r="AF581" i="15"/>
  <c r="AG581" i="15"/>
  <c r="AH581" i="15"/>
  <c r="AF582" i="15"/>
  <c r="AG582" i="15"/>
  <c r="AH582" i="15"/>
  <c r="AF526" i="15"/>
  <c r="AH526" i="15"/>
  <c r="AF527" i="15"/>
  <c r="AH527" i="15"/>
  <c r="AF528" i="15"/>
  <c r="AH528" i="15"/>
  <c r="AF529" i="15"/>
  <c r="AH529" i="15"/>
  <c r="AF530" i="15"/>
  <c r="AH530" i="15"/>
  <c r="AF531" i="15"/>
  <c r="AH531" i="15"/>
  <c r="AF532" i="15"/>
  <c r="AH532" i="15"/>
  <c r="AF533" i="15"/>
  <c r="AH533" i="15"/>
  <c r="AF534" i="15"/>
  <c r="AH534" i="15"/>
  <c r="AF535" i="15"/>
  <c r="AH535" i="15"/>
  <c r="AF536" i="15"/>
  <c r="AH536" i="15"/>
  <c r="AF537" i="15"/>
  <c r="AH537" i="15"/>
  <c r="AF538" i="15"/>
  <c r="AH538" i="15"/>
  <c r="AF539" i="15"/>
  <c r="AH539" i="15"/>
  <c r="AF540" i="15"/>
  <c r="AH540" i="15"/>
  <c r="AF541" i="15"/>
  <c r="AH541" i="15"/>
  <c r="AF542" i="15"/>
  <c r="AH542" i="15"/>
  <c r="AF543" i="15"/>
  <c r="AH543" i="15"/>
  <c r="AF544" i="15"/>
  <c r="AH544" i="15"/>
  <c r="AF545" i="15"/>
  <c r="AH545" i="15"/>
  <c r="AF546" i="15"/>
  <c r="AH546" i="15"/>
  <c r="AF547" i="15"/>
  <c r="AH547" i="15"/>
  <c r="AF548" i="15"/>
  <c r="AH548" i="15"/>
  <c r="AF549" i="15"/>
  <c r="AH549" i="15"/>
  <c r="AF550" i="15"/>
  <c r="AH550" i="15"/>
  <c r="AF551" i="15"/>
  <c r="AH551" i="15"/>
  <c r="AF552" i="15"/>
  <c r="AH552" i="15"/>
  <c r="AF553" i="15"/>
  <c r="AH553" i="15"/>
  <c r="AF554" i="15"/>
  <c r="AH554" i="15"/>
  <c r="AF555" i="15"/>
  <c r="AH555" i="15"/>
  <c r="AF556" i="15"/>
  <c r="AH556" i="15"/>
  <c r="AF557" i="15"/>
  <c r="AH557" i="15"/>
  <c r="AF558" i="15"/>
  <c r="AH558" i="15"/>
  <c r="AF559" i="15"/>
  <c r="AH559" i="15"/>
  <c r="AF560" i="15"/>
  <c r="AH560" i="15"/>
  <c r="AF561" i="15"/>
  <c r="AH561" i="15"/>
  <c r="AF562" i="15"/>
  <c r="AG562" i="15"/>
  <c r="AH562" i="15"/>
  <c r="AF563" i="15"/>
  <c r="AG563" i="15"/>
  <c r="AH563" i="15"/>
  <c r="AF564" i="15"/>
  <c r="AG564" i="15"/>
  <c r="AH564" i="15"/>
  <c r="AF565" i="15"/>
  <c r="AG565" i="15"/>
  <c r="AH565" i="15"/>
  <c r="AF566" i="15"/>
  <c r="AG566" i="15"/>
  <c r="AH566" i="15"/>
  <c r="AF567" i="15"/>
  <c r="AG567" i="15"/>
  <c r="AH567" i="15"/>
  <c r="AF568" i="15"/>
  <c r="AG568" i="15"/>
  <c r="AH568" i="15"/>
  <c r="AF569" i="15"/>
  <c r="AG569" i="15"/>
  <c r="AH569" i="15"/>
  <c r="AF570" i="15"/>
  <c r="AG570" i="15"/>
  <c r="AH570" i="15"/>
  <c r="AF571" i="15"/>
  <c r="AG571" i="15"/>
  <c r="AH571" i="15"/>
  <c r="AF572" i="15"/>
  <c r="AG572" i="15"/>
  <c r="AH572" i="15"/>
  <c r="AF573" i="15"/>
  <c r="AG573" i="15"/>
  <c r="AH573" i="15"/>
  <c r="AF574" i="15"/>
  <c r="AG574" i="15"/>
  <c r="AH574" i="15"/>
  <c r="AF575" i="15"/>
  <c r="AG575" i="15"/>
  <c r="AH575" i="15"/>
  <c r="AF576" i="15"/>
  <c r="AG576" i="15"/>
  <c r="AH576" i="15"/>
  <c r="AF525" i="15"/>
  <c r="AG525" i="15"/>
  <c r="AH525" i="15"/>
  <c r="AF520" i="15"/>
  <c r="AH520" i="15"/>
  <c r="AF521" i="15"/>
  <c r="AH521" i="15"/>
  <c r="AF522" i="15"/>
  <c r="AH522" i="15"/>
  <c r="AF523" i="15"/>
  <c r="AH523" i="15"/>
  <c r="AF524" i="15"/>
  <c r="AH524" i="15"/>
  <c r="AF517" i="15"/>
  <c r="AH517" i="15"/>
  <c r="AF518" i="15"/>
  <c r="AH518" i="15"/>
  <c r="AF519" i="15"/>
  <c r="AH519" i="15"/>
  <c r="AF512" i="15"/>
  <c r="AH512" i="15"/>
  <c r="AF513" i="15"/>
  <c r="AH513" i="15"/>
  <c r="AF514" i="15"/>
  <c r="AH514" i="15"/>
  <c r="AF515" i="15"/>
  <c r="AH515" i="15"/>
  <c r="AF516" i="15"/>
  <c r="AH516" i="15"/>
  <c r="AF509" i="15"/>
  <c r="AH509" i="15"/>
  <c r="AF510" i="15"/>
  <c r="AH510" i="15"/>
  <c r="AF511" i="15"/>
  <c r="AH511" i="15"/>
  <c r="AF494" i="15"/>
  <c r="AH494" i="15"/>
  <c r="AF495" i="15"/>
  <c r="AH495" i="15"/>
  <c r="AF496" i="15"/>
  <c r="AH496" i="15"/>
  <c r="AF497" i="15"/>
  <c r="AH497" i="15"/>
  <c r="AF498" i="15"/>
  <c r="AH498" i="15"/>
  <c r="AF499" i="15"/>
  <c r="AH499" i="15"/>
  <c r="AF500" i="15"/>
  <c r="AH500" i="15"/>
  <c r="AF501" i="15"/>
  <c r="AH501" i="15"/>
  <c r="AF502" i="15"/>
  <c r="AH502" i="15"/>
  <c r="AF503" i="15"/>
  <c r="AH503" i="15"/>
  <c r="AF504" i="15"/>
  <c r="AH504" i="15"/>
  <c r="AF505" i="15"/>
  <c r="AH505" i="15"/>
  <c r="AF506" i="15"/>
  <c r="AH506" i="15"/>
  <c r="AF507" i="15"/>
  <c r="AH507" i="15"/>
  <c r="AF508" i="15"/>
  <c r="AH508" i="15"/>
  <c r="AF493" i="15"/>
  <c r="AG493" i="15"/>
  <c r="AH493" i="15"/>
  <c r="AF492" i="15"/>
  <c r="AH492" i="15"/>
  <c r="AF490" i="15"/>
  <c r="AG490" i="15"/>
  <c r="AH490" i="15"/>
  <c r="AF491" i="15"/>
  <c r="AG491" i="15"/>
  <c r="AH491" i="15"/>
  <c r="AF489" i="15"/>
  <c r="AG489" i="15"/>
  <c r="AH489" i="15"/>
  <c r="AF486" i="15"/>
  <c r="AH486" i="15"/>
  <c r="AF487" i="15"/>
  <c r="AH487" i="15"/>
  <c r="AF488" i="15"/>
  <c r="AG488" i="15"/>
  <c r="AH488" i="15"/>
  <c r="AF480" i="15"/>
  <c r="AG480" i="15"/>
  <c r="AH480" i="15"/>
  <c r="AF481" i="15"/>
  <c r="AG481" i="15"/>
  <c r="AH481" i="15"/>
  <c r="AF482" i="15"/>
  <c r="AG482" i="15"/>
  <c r="AH482" i="15"/>
  <c r="AH483" i="15"/>
  <c r="AH484" i="15"/>
  <c r="AH485" i="15"/>
  <c r="AF475" i="15"/>
  <c r="AH475" i="15"/>
  <c r="AF476" i="15"/>
  <c r="AG476" i="15"/>
  <c r="AH476" i="15"/>
  <c r="AF477" i="15"/>
  <c r="AG477" i="15"/>
  <c r="AH477" i="15"/>
  <c r="AF478" i="15"/>
  <c r="AG478" i="15"/>
  <c r="AH478" i="15"/>
  <c r="AF479" i="15"/>
  <c r="AG479" i="15"/>
  <c r="AH479" i="15"/>
  <c r="AF474" i="15"/>
  <c r="AG474" i="15"/>
  <c r="AH474" i="15"/>
  <c r="AF456" i="15"/>
  <c r="AH456" i="15"/>
  <c r="AF457" i="15"/>
  <c r="AH457" i="15"/>
  <c r="AF458" i="15"/>
  <c r="AH458" i="15"/>
  <c r="AF459" i="15"/>
  <c r="AH459" i="15"/>
  <c r="AF460" i="15"/>
  <c r="AH460" i="15"/>
  <c r="AF461" i="15"/>
  <c r="AH461" i="15"/>
  <c r="AF462" i="15"/>
  <c r="AH462" i="15"/>
  <c r="AF463" i="15"/>
  <c r="AG463" i="15"/>
  <c r="AH463" i="15"/>
  <c r="AF464" i="15"/>
  <c r="AG464" i="15"/>
  <c r="AH464" i="15"/>
  <c r="AF465" i="15"/>
  <c r="AG465" i="15"/>
  <c r="AH465" i="15"/>
  <c r="AF466" i="15"/>
  <c r="AG466" i="15"/>
  <c r="AH466" i="15"/>
  <c r="AF467" i="15"/>
  <c r="AG467" i="15"/>
  <c r="AH467" i="15"/>
  <c r="AF468" i="15"/>
  <c r="AG468" i="15"/>
  <c r="AH468" i="15"/>
  <c r="AF469" i="15"/>
  <c r="AG469" i="15"/>
  <c r="AH469" i="15"/>
  <c r="AF470" i="15"/>
  <c r="AG470" i="15"/>
  <c r="AH470" i="15"/>
  <c r="AF471" i="15"/>
  <c r="AG471" i="15"/>
  <c r="AH471" i="15"/>
  <c r="AF472" i="15"/>
  <c r="AG472" i="15"/>
  <c r="AH472" i="15"/>
  <c r="AH473" i="15"/>
  <c r="AF435" i="15"/>
  <c r="AG435" i="15"/>
  <c r="AH435" i="15"/>
  <c r="AF436" i="15"/>
  <c r="AG436" i="15"/>
  <c r="AH436" i="15"/>
  <c r="AF437" i="15"/>
  <c r="AG437" i="15"/>
  <c r="AH437" i="15"/>
  <c r="AF438" i="15"/>
  <c r="AG438" i="15"/>
  <c r="AH438" i="15"/>
  <c r="AF439" i="15"/>
  <c r="AG439" i="15"/>
  <c r="AH439" i="15"/>
  <c r="AF440" i="15"/>
  <c r="AG440" i="15"/>
  <c r="AH440" i="15"/>
  <c r="AF441" i="15"/>
  <c r="AG441" i="15"/>
  <c r="AH441" i="15"/>
  <c r="AH442" i="15"/>
  <c r="AF443" i="15"/>
  <c r="AG443" i="15"/>
  <c r="AH443" i="15"/>
  <c r="AH444" i="15"/>
  <c r="AH445" i="15"/>
  <c r="AH446" i="15"/>
  <c r="AH447" i="15"/>
  <c r="AF448" i="15"/>
  <c r="AG448" i="15"/>
  <c r="AH448" i="15"/>
  <c r="AF449" i="15"/>
  <c r="AG449" i="15"/>
  <c r="AH449" i="15"/>
  <c r="AF450" i="15"/>
  <c r="AG450" i="15"/>
  <c r="AH450" i="15"/>
  <c r="AF451" i="15"/>
  <c r="AG451" i="15"/>
  <c r="AH451" i="15"/>
  <c r="AF452" i="15"/>
  <c r="AG452" i="15"/>
  <c r="AH452" i="15"/>
  <c r="AF453" i="15"/>
  <c r="AG453" i="15"/>
  <c r="AH453" i="15"/>
  <c r="AF454" i="15"/>
  <c r="AG454" i="15"/>
  <c r="AH454" i="15"/>
  <c r="AF455" i="15"/>
  <c r="AG455" i="15"/>
  <c r="AH455" i="15"/>
  <c r="AF428" i="15"/>
  <c r="AH428" i="15"/>
  <c r="AF429" i="15"/>
  <c r="AH429" i="15"/>
  <c r="AF430" i="15"/>
  <c r="AH430" i="15"/>
  <c r="AF431" i="15"/>
  <c r="AG431" i="15"/>
  <c r="AH431" i="15"/>
  <c r="AF432" i="15"/>
  <c r="AG432" i="15"/>
  <c r="AH432" i="15"/>
  <c r="AF433" i="15"/>
  <c r="AG433" i="15"/>
  <c r="AH433" i="15"/>
  <c r="AF434" i="15"/>
  <c r="AG434" i="15"/>
  <c r="AH434" i="15"/>
  <c r="AF416" i="15"/>
  <c r="AG416" i="15"/>
  <c r="AH416" i="15"/>
  <c r="AF417" i="15"/>
  <c r="AG417" i="15"/>
  <c r="AH417" i="15"/>
  <c r="AF418" i="15"/>
  <c r="AG418" i="15"/>
  <c r="AH418" i="15"/>
  <c r="AF419" i="15"/>
  <c r="AG419" i="15"/>
  <c r="AH419" i="15"/>
  <c r="AF420" i="15"/>
  <c r="AG420" i="15"/>
  <c r="AH420" i="15"/>
  <c r="AF421" i="15"/>
  <c r="AG421" i="15"/>
  <c r="AH421" i="15"/>
  <c r="AF422" i="15"/>
  <c r="AG422" i="15"/>
  <c r="AH422" i="15"/>
  <c r="AF423" i="15"/>
  <c r="AG423" i="15"/>
  <c r="AH423" i="15"/>
  <c r="AF424" i="15"/>
  <c r="AG424" i="15"/>
  <c r="AH424" i="15"/>
  <c r="AF425" i="15"/>
  <c r="AG425" i="15"/>
  <c r="AH425" i="15"/>
  <c r="AF426" i="15"/>
  <c r="AG426" i="15"/>
  <c r="AH426" i="15"/>
  <c r="AF427" i="15"/>
  <c r="AG427" i="15"/>
  <c r="AH427" i="15"/>
  <c r="AC491" i="15"/>
  <c r="AD491" i="15"/>
  <c r="AE491" i="15"/>
  <c r="AC489" i="15"/>
  <c r="AD489" i="15"/>
  <c r="AE489" i="15"/>
  <c r="AC490" i="15"/>
  <c r="AD490" i="15"/>
  <c r="AE490" i="15"/>
  <c r="AE488" i="15"/>
  <c r="AE485" i="15"/>
  <c r="AE486" i="15"/>
  <c r="AE487" i="15"/>
  <c r="AE477" i="15"/>
  <c r="AE478" i="15"/>
  <c r="AE479" i="15"/>
  <c r="AE480" i="15"/>
  <c r="AE481" i="15"/>
  <c r="AE482" i="15"/>
  <c r="AE483" i="15"/>
  <c r="AE484" i="15"/>
  <c r="AE475" i="15"/>
  <c r="AE476" i="15"/>
  <c r="AE472" i="15"/>
  <c r="AE473" i="15"/>
  <c r="AE474" i="15"/>
  <c r="AE471" i="15"/>
  <c r="AC470" i="15"/>
  <c r="AE470" i="15"/>
  <c r="AE469" i="15"/>
  <c r="AE466" i="15"/>
  <c r="AE467" i="15"/>
  <c r="AE468" i="15"/>
  <c r="AE465" i="15"/>
  <c r="AE463" i="15"/>
  <c r="AE464" i="15"/>
  <c r="AE462" i="15"/>
  <c r="AC460" i="15"/>
  <c r="AD460" i="15"/>
  <c r="AE460" i="15"/>
  <c r="AC461" i="15"/>
  <c r="AD461" i="15"/>
  <c r="AE461" i="15"/>
  <c r="AC449" i="15"/>
  <c r="AE449" i="15"/>
  <c r="AC450" i="15"/>
  <c r="AE450" i="15"/>
  <c r="AC451" i="15"/>
  <c r="AE451" i="15"/>
  <c r="AC452" i="15"/>
  <c r="AE452" i="15"/>
  <c r="AC453" i="15"/>
  <c r="AE453" i="15"/>
  <c r="AC454" i="15"/>
  <c r="AE454" i="15"/>
  <c r="AC455" i="15"/>
  <c r="AE455" i="15"/>
  <c r="AC456" i="15"/>
  <c r="AE456" i="15"/>
  <c r="AC457" i="15"/>
  <c r="AE457" i="15"/>
  <c r="AC458" i="15"/>
  <c r="AE458" i="15"/>
  <c r="AE459" i="15"/>
  <c r="AE443" i="15"/>
  <c r="AE444" i="15"/>
  <c r="AE445" i="15"/>
  <c r="AE446" i="15"/>
  <c r="AE447" i="15"/>
  <c r="AE448" i="15"/>
  <c r="AE435" i="15"/>
  <c r="AE436" i="15"/>
  <c r="AE437" i="15"/>
  <c r="AE438" i="15"/>
  <c r="AE439" i="15"/>
  <c r="AE440" i="15"/>
  <c r="AE441" i="15"/>
  <c r="AE442" i="15"/>
  <c r="AE426" i="15"/>
  <c r="AE427" i="15"/>
  <c r="AE428" i="15"/>
  <c r="AE429" i="15"/>
  <c r="AE430" i="15"/>
  <c r="AE431" i="15"/>
  <c r="AE432" i="15"/>
  <c r="AE433" i="15"/>
  <c r="AE434" i="15"/>
  <c r="AE422" i="15"/>
  <c r="AE423" i="15"/>
  <c r="AE424" i="15"/>
  <c r="AE425" i="15"/>
  <c r="AE416" i="15"/>
  <c r="AE417" i="15"/>
  <c r="AE418" i="15"/>
  <c r="AE419" i="15"/>
  <c r="AE420" i="15"/>
  <c r="AE421" i="15"/>
  <c r="Z491" i="15"/>
  <c r="AA491" i="15"/>
  <c r="AB491" i="15"/>
  <c r="Z489" i="15"/>
  <c r="AA489" i="15"/>
  <c r="AB489" i="15"/>
  <c r="Z490" i="15"/>
  <c r="AA490" i="15"/>
  <c r="AB490" i="15"/>
  <c r="AB488" i="15"/>
  <c r="AB485" i="15"/>
  <c r="AB486" i="15"/>
  <c r="AB487" i="15"/>
  <c r="AB477" i="15"/>
  <c r="AB478" i="15"/>
  <c r="AB479" i="15"/>
  <c r="AB480" i="15"/>
  <c r="AB481" i="15"/>
  <c r="AB482" i="15"/>
  <c r="AB483" i="15"/>
  <c r="AB484" i="15"/>
  <c r="AB475" i="15"/>
  <c r="AB476" i="15"/>
  <c r="AB472" i="15"/>
  <c r="AB473" i="15"/>
  <c r="AB474" i="15"/>
  <c r="AB471" i="15"/>
  <c r="Z470" i="15"/>
  <c r="AB470" i="15"/>
  <c r="AB469" i="15"/>
  <c r="AB466" i="15"/>
  <c r="AB467" i="15"/>
  <c r="AB468" i="15"/>
  <c r="AB465" i="15"/>
  <c r="AB463" i="15"/>
  <c r="AB464" i="15"/>
  <c r="AB462" i="15"/>
  <c r="Z460" i="15"/>
  <c r="AA460" i="15"/>
  <c r="AB460" i="15"/>
  <c r="Z461" i="15"/>
  <c r="AA461" i="15"/>
  <c r="AB461" i="15"/>
  <c r="Z449" i="15"/>
  <c r="AB449" i="15"/>
  <c r="Z450" i="15"/>
  <c r="AB450" i="15"/>
  <c r="Z451" i="15"/>
  <c r="AB451" i="15"/>
  <c r="Z452" i="15"/>
  <c r="AB452" i="15"/>
  <c r="Z453" i="15"/>
  <c r="AB453" i="15"/>
  <c r="Z454" i="15"/>
  <c r="AB454" i="15"/>
  <c r="Z455" i="15"/>
  <c r="AB455" i="15"/>
  <c r="Z456" i="15"/>
  <c r="AB456" i="15"/>
  <c r="Z457" i="15"/>
  <c r="AB457" i="15"/>
  <c r="Z458" i="15"/>
  <c r="AB458" i="15"/>
  <c r="AB459" i="15"/>
  <c r="AB443" i="15"/>
  <c r="AB444" i="15"/>
  <c r="AB445" i="15"/>
  <c r="AB446" i="15"/>
  <c r="AB447" i="15"/>
  <c r="AB448" i="15"/>
  <c r="AB435" i="15"/>
  <c r="AB436" i="15"/>
  <c r="AB437" i="15"/>
  <c r="AB438" i="15"/>
  <c r="AB439" i="15"/>
  <c r="AB440" i="15"/>
  <c r="AB441" i="15"/>
  <c r="AB442" i="15"/>
  <c r="AB426" i="15"/>
  <c r="AB427" i="15"/>
  <c r="AB428" i="15"/>
  <c r="AB429" i="15"/>
  <c r="AB430" i="15"/>
  <c r="AB431" i="15"/>
  <c r="AB432" i="15"/>
  <c r="AB433" i="15"/>
  <c r="AB434" i="15"/>
  <c r="AB422" i="15"/>
  <c r="AB423" i="15"/>
  <c r="AB424" i="15"/>
  <c r="AB425" i="15"/>
  <c r="AB416" i="15"/>
  <c r="AB417" i="15"/>
  <c r="AB418" i="15"/>
  <c r="AB419" i="15"/>
  <c r="AB420" i="15"/>
  <c r="AB421" i="15"/>
  <c r="Y580" i="15"/>
  <c r="Y581" i="15"/>
  <c r="Y582" i="15"/>
  <c r="W575" i="15"/>
  <c r="X575" i="15"/>
  <c r="Y575" i="15"/>
  <c r="W576" i="15"/>
  <c r="X576" i="15"/>
  <c r="Y576" i="15"/>
  <c r="W577" i="15"/>
  <c r="X577" i="15"/>
  <c r="Y577" i="15"/>
  <c r="W578" i="15"/>
  <c r="X578" i="15"/>
  <c r="Y578" i="15"/>
  <c r="W579" i="15"/>
  <c r="X579" i="15"/>
  <c r="Y579" i="15"/>
  <c r="Y573" i="15"/>
  <c r="Y574" i="15"/>
  <c r="Y572" i="15"/>
  <c r="Y567" i="15"/>
  <c r="W568" i="15"/>
  <c r="X568" i="15"/>
  <c r="Y568" i="15"/>
  <c r="W569" i="15"/>
  <c r="X569" i="15"/>
  <c r="Y569" i="15"/>
  <c r="W570" i="15"/>
  <c r="X570" i="15"/>
  <c r="Y570" i="15"/>
  <c r="Y571" i="15"/>
  <c r="Y564" i="15"/>
  <c r="Y565" i="15"/>
  <c r="Y566" i="15"/>
  <c r="Y558" i="15"/>
  <c r="Y559" i="15"/>
  <c r="Y560" i="15"/>
  <c r="Y561" i="15"/>
  <c r="Y562" i="15"/>
  <c r="Y563" i="15"/>
  <c r="Y507" i="15"/>
  <c r="Y508" i="15"/>
  <c r="Y509" i="15"/>
  <c r="Y510" i="15"/>
  <c r="Y511" i="15"/>
  <c r="Y512" i="15"/>
  <c r="Y513" i="15"/>
  <c r="Y514" i="15"/>
  <c r="Y515" i="15"/>
  <c r="Y516" i="15"/>
  <c r="Y517" i="15"/>
  <c r="Y518" i="15"/>
  <c r="Y519" i="15"/>
  <c r="Y520" i="15"/>
  <c r="Y521" i="15"/>
  <c r="Y522" i="15"/>
  <c r="Y523" i="15"/>
  <c r="Y524" i="15"/>
  <c r="Y525" i="15"/>
  <c r="Y526" i="15"/>
  <c r="Y527" i="15"/>
  <c r="Y528" i="15"/>
  <c r="Y529" i="15"/>
  <c r="Y530" i="15"/>
  <c r="Y531" i="15"/>
  <c r="Y532" i="15"/>
  <c r="Y533" i="15"/>
  <c r="Y534" i="15"/>
  <c r="Y535" i="15"/>
  <c r="Y536" i="15"/>
  <c r="Y537" i="15"/>
  <c r="Y538" i="15"/>
  <c r="Y539" i="15"/>
  <c r="Y540" i="15"/>
  <c r="Y541" i="15"/>
  <c r="Y542" i="15"/>
  <c r="W543" i="15"/>
  <c r="Y543" i="15"/>
  <c r="W544" i="15"/>
  <c r="Y544" i="15"/>
  <c r="W545" i="15"/>
  <c r="Y545" i="15"/>
  <c r="W546" i="15"/>
  <c r="Y546" i="15"/>
  <c r="W547" i="15"/>
  <c r="Y547" i="15"/>
  <c r="W548" i="15"/>
  <c r="Y548" i="15"/>
  <c r="W549" i="15"/>
  <c r="Y549" i="15"/>
  <c r="W550" i="15"/>
  <c r="Y550" i="15"/>
  <c r="W551" i="15"/>
  <c r="Y551" i="15"/>
  <c r="W552" i="15"/>
  <c r="Y552" i="15"/>
  <c r="W553" i="15"/>
  <c r="Y553" i="15"/>
  <c r="W554" i="15"/>
  <c r="Y554" i="15"/>
  <c r="W555" i="15"/>
  <c r="Y555" i="15"/>
  <c r="W556" i="15"/>
  <c r="Y556" i="15"/>
  <c r="W557" i="15"/>
  <c r="Y557" i="15"/>
  <c r="Y504" i="15"/>
  <c r="Y505" i="15"/>
  <c r="Y506" i="15"/>
  <c r="W501" i="15"/>
  <c r="Y501" i="15"/>
  <c r="W502" i="15"/>
  <c r="Y502" i="15"/>
  <c r="Y503" i="15"/>
  <c r="Y500" i="15"/>
  <c r="W498" i="15"/>
  <c r="Y498" i="15"/>
  <c r="W499" i="15"/>
  <c r="Y499" i="15"/>
  <c r="Y497" i="15"/>
  <c r="Y496" i="15"/>
  <c r="Y490" i="15"/>
  <c r="Y491" i="15"/>
  <c r="Y492" i="15"/>
  <c r="Y493" i="15"/>
  <c r="Y494" i="15"/>
  <c r="Y495" i="15"/>
  <c r="Y485" i="15"/>
  <c r="Y486" i="15"/>
  <c r="Y487" i="15"/>
  <c r="Y488" i="15"/>
  <c r="Y489" i="15"/>
  <c r="W484" i="15"/>
  <c r="X484" i="15"/>
  <c r="Y484" i="15"/>
  <c r="W482" i="15"/>
  <c r="X482" i="15"/>
  <c r="Y482" i="15"/>
  <c r="W483" i="15"/>
  <c r="X483" i="15"/>
  <c r="Y483" i="15"/>
  <c r="Y464" i="15"/>
  <c r="Y465" i="15"/>
  <c r="Y466" i="15"/>
  <c r="Y467" i="15"/>
  <c r="Y468" i="15"/>
  <c r="Y469" i="15"/>
  <c r="Y470" i="15"/>
  <c r="W471" i="15"/>
  <c r="Y471" i="15"/>
  <c r="W472" i="15"/>
  <c r="Y472" i="15"/>
  <c r="W473" i="15"/>
  <c r="Y473" i="15"/>
  <c r="W474" i="15"/>
  <c r="Y474" i="15"/>
  <c r="W475" i="15"/>
  <c r="Y475" i="15"/>
  <c r="W476" i="15"/>
  <c r="Y476" i="15"/>
  <c r="W477" i="15"/>
  <c r="Y477" i="15"/>
  <c r="W478" i="15"/>
  <c r="Y478" i="15"/>
  <c r="W479" i="15"/>
  <c r="Y479" i="15"/>
  <c r="W480" i="15"/>
  <c r="Y480" i="15"/>
  <c r="Y481" i="15"/>
  <c r="Y450" i="15"/>
  <c r="Y451" i="15"/>
  <c r="Y452" i="15"/>
  <c r="Y453" i="15"/>
  <c r="Y454" i="15"/>
  <c r="Y455" i="15"/>
  <c r="Y456" i="15"/>
  <c r="Y457" i="15"/>
  <c r="Y458" i="15"/>
  <c r="Y459" i="15"/>
  <c r="Y460" i="15"/>
  <c r="Y461" i="15"/>
  <c r="Y462" i="15"/>
  <c r="Y463" i="15"/>
  <c r="Y441" i="15"/>
  <c r="Y442" i="15"/>
  <c r="Y443" i="15"/>
  <c r="Y444" i="15"/>
  <c r="Y445" i="15"/>
  <c r="Y446" i="15"/>
  <c r="Y447" i="15"/>
  <c r="Y448" i="15"/>
  <c r="Y449" i="15"/>
  <c r="W440" i="15"/>
  <c r="X440" i="15"/>
  <c r="Y440" i="15"/>
  <c r="Y428" i="15"/>
  <c r="Y429" i="15"/>
  <c r="Y430" i="15"/>
  <c r="Y431" i="15"/>
  <c r="Y432" i="15"/>
  <c r="Y433" i="15"/>
  <c r="Y434" i="15"/>
  <c r="Y435" i="15"/>
  <c r="Y436" i="15"/>
  <c r="Y437" i="15"/>
  <c r="Y438" i="15"/>
  <c r="Y439" i="15"/>
  <c r="Y416" i="15"/>
  <c r="Y417" i="15"/>
  <c r="W418" i="15"/>
  <c r="X418" i="15"/>
  <c r="Y418" i="15"/>
  <c r="W419" i="15"/>
  <c r="X419" i="15"/>
  <c r="Y419" i="15"/>
  <c r="W420" i="15"/>
  <c r="X420" i="15"/>
  <c r="Y420" i="15"/>
  <c r="W421" i="15"/>
  <c r="X421" i="15"/>
  <c r="Y421" i="15"/>
  <c r="Y422" i="15"/>
  <c r="Y423" i="15"/>
  <c r="Y424" i="15"/>
  <c r="Y425" i="15"/>
  <c r="Y426" i="15"/>
  <c r="Y427" i="15"/>
  <c r="V580" i="15"/>
  <c r="V581" i="15"/>
  <c r="V582" i="15"/>
  <c r="T575" i="15"/>
  <c r="U575" i="15"/>
  <c r="V575" i="15"/>
  <c r="T576" i="15"/>
  <c r="U576" i="15"/>
  <c r="V576" i="15"/>
  <c r="T577" i="15"/>
  <c r="U577" i="15"/>
  <c r="V577" i="15"/>
  <c r="T578" i="15"/>
  <c r="U578" i="15"/>
  <c r="V578" i="15"/>
  <c r="T579" i="15"/>
  <c r="U579" i="15"/>
  <c r="V579" i="15"/>
  <c r="V573" i="15"/>
  <c r="V574" i="15"/>
  <c r="V572" i="15"/>
  <c r="V567" i="15"/>
  <c r="T568" i="15"/>
  <c r="U568" i="15"/>
  <c r="V568" i="15"/>
  <c r="T569" i="15"/>
  <c r="U569" i="15"/>
  <c r="V569" i="15"/>
  <c r="T570" i="15"/>
  <c r="U570" i="15"/>
  <c r="V570" i="15"/>
  <c r="V571" i="15"/>
  <c r="V564" i="15"/>
  <c r="V565" i="15"/>
  <c r="V566" i="15"/>
  <c r="V558" i="15"/>
  <c r="V559" i="15"/>
  <c r="V560" i="15"/>
  <c r="V561" i="15"/>
  <c r="V562" i="15"/>
  <c r="V563" i="15"/>
  <c r="V507" i="15"/>
  <c r="V508" i="15"/>
  <c r="V509" i="15"/>
  <c r="V510" i="15"/>
  <c r="V511" i="15"/>
  <c r="V512" i="15"/>
  <c r="V513" i="15"/>
  <c r="V514" i="15"/>
  <c r="V515" i="15"/>
  <c r="V516" i="15"/>
  <c r="V517" i="15"/>
  <c r="V518" i="15"/>
  <c r="V519" i="15"/>
  <c r="V520" i="15"/>
  <c r="V521" i="15"/>
  <c r="V522" i="15"/>
  <c r="V523" i="15"/>
  <c r="V524" i="15"/>
  <c r="V525" i="15"/>
  <c r="V526" i="15"/>
  <c r="V527" i="15"/>
  <c r="V528" i="15"/>
  <c r="V529" i="15"/>
  <c r="V530" i="15"/>
  <c r="V531" i="15"/>
  <c r="V532" i="15"/>
  <c r="V533" i="15"/>
  <c r="V534" i="15"/>
  <c r="V535" i="15"/>
  <c r="V536" i="15"/>
  <c r="V537" i="15"/>
  <c r="V538" i="15"/>
  <c r="V539" i="15"/>
  <c r="V540" i="15"/>
  <c r="V541" i="15"/>
  <c r="V542" i="15"/>
  <c r="T543" i="15"/>
  <c r="V543" i="15"/>
  <c r="T544" i="15"/>
  <c r="V544" i="15"/>
  <c r="T545" i="15"/>
  <c r="V545" i="15"/>
  <c r="T546" i="15"/>
  <c r="V546" i="15"/>
  <c r="T547" i="15"/>
  <c r="V547" i="15"/>
  <c r="T548" i="15"/>
  <c r="V548" i="15"/>
  <c r="T549" i="15"/>
  <c r="V549" i="15"/>
  <c r="T550" i="15"/>
  <c r="V550" i="15"/>
  <c r="T551" i="15"/>
  <c r="V551" i="15"/>
  <c r="T552" i="15"/>
  <c r="V552" i="15"/>
  <c r="T553" i="15"/>
  <c r="V553" i="15"/>
  <c r="T554" i="15"/>
  <c r="V554" i="15"/>
  <c r="T555" i="15"/>
  <c r="V555" i="15"/>
  <c r="T556" i="15"/>
  <c r="V556" i="15"/>
  <c r="T557" i="15"/>
  <c r="V557" i="15"/>
  <c r="V504" i="15"/>
  <c r="V505" i="15"/>
  <c r="V506" i="15"/>
  <c r="T501" i="15"/>
  <c r="V501" i="15"/>
  <c r="T502" i="15"/>
  <c r="V502" i="15"/>
  <c r="V503" i="15"/>
  <c r="V500" i="15"/>
  <c r="T498" i="15"/>
  <c r="V498" i="15"/>
  <c r="T499" i="15"/>
  <c r="V499" i="15"/>
  <c r="V497" i="15"/>
  <c r="T496" i="15"/>
  <c r="V496" i="15"/>
  <c r="V490" i="15"/>
  <c r="V491" i="15"/>
  <c r="V492" i="15"/>
  <c r="V493" i="15"/>
  <c r="V494" i="15"/>
  <c r="V495" i="15"/>
  <c r="V485" i="15"/>
  <c r="V486" i="15"/>
  <c r="V487" i="15"/>
  <c r="V488" i="15"/>
  <c r="V489" i="15"/>
  <c r="T484" i="15"/>
  <c r="U484" i="15"/>
  <c r="V484" i="15"/>
  <c r="T482" i="15"/>
  <c r="U482" i="15"/>
  <c r="V482" i="15"/>
  <c r="T483" i="15"/>
  <c r="U483" i="15"/>
  <c r="V483" i="15"/>
  <c r="V464" i="15"/>
  <c r="V465" i="15"/>
  <c r="V466" i="15"/>
  <c r="V467" i="15"/>
  <c r="V468" i="15"/>
  <c r="V469" i="15"/>
  <c r="V470" i="15"/>
  <c r="T471" i="15"/>
  <c r="V471" i="15"/>
  <c r="T472" i="15"/>
  <c r="V472" i="15"/>
  <c r="T473" i="15"/>
  <c r="V473" i="15"/>
  <c r="T474" i="15"/>
  <c r="V474" i="15"/>
  <c r="T475" i="15"/>
  <c r="V475" i="15"/>
  <c r="T476" i="15"/>
  <c r="V476" i="15"/>
  <c r="T477" i="15"/>
  <c r="V477" i="15"/>
  <c r="T478" i="15"/>
  <c r="V478" i="15"/>
  <c r="T479" i="15"/>
  <c r="V479" i="15"/>
  <c r="T480" i="15"/>
  <c r="V480" i="15"/>
  <c r="V481" i="15"/>
  <c r="V450" i="15"/>
  <c r="V451" i="15"/>
  <c r="V452" i="15"/>
  <c r="V453" i="15"/>
  <c r="V454" i="15"/>
  <c r="V455" i="15"/>
  <c r="V456" i="15"/>
  <c r="V457" i="15"/>
  <c r="V458" i="15"/>
  <c r="V459" i="15"/>
  <c r="V460" i="15"/>
  <c r="V461" i="15"/>
  <c r="V462" i="15"/>
  <c r="V463" i="15"/>
  <c r="V441" i="15"/>
  <c r="V442" i="15"/>
  <c r="V443" i="15"/>
  <c r="V444" i="15"/>
  <c r="V445" i="15"/>
  <c r="V446" i="15"/>
  <c r="V447" i="15"/>
  <c r="V448" i="15"/>
  <c r="V449" i="15"/>
  <c r="T440" i="15"/>
  <c r="U440" i="15"/>
  <c r="V440" i="15"/>
  <c r="V428" i="15"/>
  <c r="V429" i="15"/>
  <c r="V430" i="15"/>
  <c r="V431" i="15"/>
  <c r="V432" i="15"/>
  <c r="V433" i="15"/>
  <c r="V434" i="15"/>
  <c r="V435" i="15"/>
  <c r="V436" i="15"/>
  <c r="V437" i="15"/>
  <c r="V438" i="15"/>
  <c r="V439" i="15"/>
  <c r="T416" i="15"/>
  <c r="U416" i="15"/>
  <c r="V416" i="15"/>
  <c r="T417" i="15"/>
  <c r="U417" i="15"/>
  <c r="V417" i="15"/>
  <c r="T418" i="15"/>
  <c r="U418" i="15"/>
  <c r="V418" i="15"/>
  <c r="T419" i="15"/>
  <c r="U419" i="15"/>
  <c r="V419" i="15"/>
  <c r="T420" i="15"/>
  <c r="U420" i="15"/>
  <c r="V420" i="15"/>
  <c r="T421" i="15"/>
  <c r="U421" i="15"/>
  <c r="V421" i="15"/>
  <c r="V422" i="15"/>
  <c r="V423" i="15"/>
  <c r="V424" i="15"/>
  <c r="V425" i="15"/>
  <c r="V426" i="15"/>
  <c r="V427" i="15"/>
  <c r="R457" i="15"/>
  <c r="S457" i="15"/>
  <c r="R458" i="15"/>
  <c r="S458" i="15"/>
  <c r="S459" i="15"/>
  <c r="S460" i="15"/>
  <c r="S461" i="15"/>
  <c r="S462" i="15"/>
  <c r="Q451" i="15"/>
  <c r="R451" i="15"/>
  <c r="S451" i="15"/>
  <c r="Q452" i="15"/>
  <c r="R452" i="15"/>
  <c r="S452" i="15"/>
  <c r="Q453" i="15"/>
  <c r="R453" i="15"/>
  <c r="S453" i="15"/>
  <c r="Q454" i="15"/>
  <c r="R454" i="15"/>
  <c r="S454" i="15"/>
  <c r="Q455" i="15"/>
  <c r="R455" i="15"/>
  <c r="S455" i="15"/>
  <c r="Q456" i="15"/>
  <c r="R456" i="15"/>
  <c r="S456" i="15"/>
  <c r="S449" i="15"/>
  <c r="S450" i="15"/>
  <c r="S443" i="15"/>
  <c r="S444" i="15"/>
  <c r="S445" i="15"/>
  <c r="S446" i="15"/>
  <c r="S447" i="15"/>
  <c r="S448" i="15"/>
  <c r="S442" i="15"/>
  <c r="S438" i="15"/>
  <c r="S439" i="15"/>
  <c r="S440" i="15"/>
  <c r="S441" i="15"/>
  <c r="Q436" i="15"/>
  <c r="S436" i="15"/>
  <c r="Q437" i="15"/>
  <c r="S437" i="15"/>
  <c r="S432" i="15"/>
  <c r="S433" i="15"/>
  <c r="S434" i="15"/>
  <c r="S435" i="15"/>
  <c r="Q430" i="15"/>
  <c r="R430" i="15"/>
  <c r="S430" i="15"/>
  <c r="Q431" i="15"/>
  <c r="R431" i="15"/>
  <c r="S431" i="15"/>
  <c r="Q424" i="15"/>
  <c r="S424" i="15"/>
  <c r="Q425" i="15"/>
  <c r="S425" i="15"/>
  <c r="Q426" i="15"/>
  <c r="S426" i="15"/>
  <c r="Q427" i="15"/>
  <c r="S427" i="15"/>
  <c r="Q428" i="15"/>
  <c r="S428" i="15"/>
  <c r="Q429" i="15"/>
  <c r="S429" i="15"/>
  <c r="S418" i="15"/>
  <c r="S419" i="15"/>
  <c r="S420" i="15"/>
  <c r="S421" i="15"/>
  <c r="S422" i="15"/>
  <c r="S423" i="15"/>
  <c r="Q416" i="15"/>
  <c r="S416" i="15"/>
  <c r="S417" i="15"/>
  <c r="O457" i="15"/>
  <c r="P457" i="15"/>
  <c r="O458" i="15"/>
  <c r="P458" i="15"/>
  <c r="P459" i="15"/>
  <c r="P460" i="15"/>
  <c r="P461" i="15"/>
  <c r="P462" i="15"/>
  <c r="N451" i="15"/>
  <c r="O451" i="15"/>
  <c r="P451" i="15"/>
  <c r="N452" i="15"/>
  <c r="O452" i="15"/>
  <c r="P452" i="15"/>
  <c r="N453" i="15"/>
  <c r="O453" i="15"/>
  <c r="P453" i="15"/>
  <c r="N454" i="15"/>
  <c r="O454" i="15"/>
  <c r="P454" i="15"/>
  <c r="N455" i="15"/>
  <c r="O455" i="15"/>
  <c r="P455" i="15"/>
  <c r="N456" i="15"/>
  <c r="O456" i="15"/>
  <c r="P456" i="15"/>
  <c r="P449" i="15"/>
  <c r="P450" i="15"/>
  <c r="P443" i="15"/>
  <c r="P444" i="15"/>
  <c r="P445" i="15"/>
  <c r="P446" i="15"/>
  <c r="P447" i="15"/>
  <c r="P448" i="15"/>
  <c r="P442" i="15"/>
  <c r="P438" i="15"/>
  <c r="P439" i="15"/>
  <c r="P440" i="15"/>
  <c r="P441" i="15"/>
  <c r="N436" i="15"/>
  <c r="P436" i="15"/>
  <c r="N437" i="15"/>
  <c r="P437" i="15"/>
  <c r="P432" i="15"/>
  <c r="P433" i="15"/>
  <c r="P434" i="15"/>
  <c r="P435" i="15"/>
  <c r="N430" i="15"/>
  <c r="O430" i="15"/>
  <c r="P430" i="15"/>
  <c r="N431" i="15"/>
  <c r="O431" i="15"/>
  <c r="P431" i="15"/>
  <c r="N424" i="15"/>
  <c r="P424" i="15"/>
  <c r="N425" i="15"/>
  <c r="P425" i="15"/>
  <c r="N426" i="15"/>
  <c r="P426" i="15"/>
  <c r="N427" i="15"/>
  <c r="P427" i="15"/>
  <c r="N428" i="15"/>
  <c r="P428" i="15"/>
  <c r="N429" i="15"/>
  <c r="P429" i="15"/>
  <c r="P418" i="15"/>
  <c r="P419" i="15"/>
  <c r="P420" i="15"/>
  <c r="P421" i="15"/>
  <c r="P422" i="15"/>
  <c r="P423" i="15"/>
  <c r="P416" i="15"/>
  <c r="P417" i="15"/>
  <c r="I435" i="15"/>
  <c r="J435" i="15"/>
  <c r="I436" i="15"/>
  <c r="J436" i="15"/>
  <c r="J437" i="15"/>
  <c r="J438" i="15"/>
  <c r="J439" i="15"/>
  <c r="J440" i="15"/>
  <c r="J433" i="15"/>
  <c r="J434" i="15"/>
  <c r="J427" i="15"/>
  <c r="J428" i="15"/>
  <c r="J429" i="15"/>
  <c r="J430" i="15"/>
  <c r="J431" i="15"/>
  <c r="J432" i="15"/>
  <c r="J426" i="15"/>
  <c r="J422" i="15"/>
  <c r="J423" i="15"/>
  <c r="J424" i="15"/>
  <c r="J425" i="15"/>
  <c r="J416" i="15"/>
  <c r="J417" i="15"/>
  <c r="J418" i="15"/>
  <c r="J419" i="15"/>
  <c r="J420" i="15"/>
  <c r="J421" i="15"/>
  <c r="L435" i="15"/>
  <c r="M435" i="15"/>
  <c r="L436" i="15"/>
  <c r="M436" i="15"/>
  <c r="M437" i="15"/>
  <c r="M438" i="15"/>
  <c r="M439" i="15"/>
  <c r="M440" i="15"/>
  <c r="M433" i="15"/>
  <c r="M434" i="15"/>
  <c r="M427" i="15"/>
  <c r="M428" i="15"/>
  <c r="M429" i="15"/>
  <c r="M430" i="15"/>
  <c r="M431" i="15"/>
  <c r="M432" i="15"/>
  <c r="M426" i="15"/>
  <c r="M422" i="15"/>
  <c r="M423" i="15"/>
  <c r="M424" i="15"/>
  <c r="M425" i="15"/>
  <c r="M416" i="15"/>
  <c r="M417" i="15"/>
  <c r="M418" i="15"/>
  <c r="M419" i="15"/>
  <c r="M420" i="15"/>
  <c r="M421" i="15"/>
  <c r="F435" i="15"/>
  <c r="G435" i="15"/>
  <c r="F436" i="15"/>
  <c r="G436" i="15"/>
  <c r="G437" i="15"/>
  <c r="G438" i="15"/>
  <c r="G439" i="15"/>
  <c r="G440" i="15"/>
  <c r="G433" i="15"/>
  <c r="G434" i="15"/>
  <c r="G427" i="15"/>
  <c r="G428" i="15"/>
  <c r="G429" i="15"/>
  <c r="G430" i="15"/>
  <c r="G431" i="15"/>
  <c r="G432" i="15"/>
  <c r="G426" i="15"/>
  <c r="G422" i="15"/>
  <c r="G423" i="15"/>
  <c r="G424" i="15"/>
  <c r="G425" i="15"/>
  <c r="G416" i="15"/>
  <c r="G417" i="15"/>
  <c r="G418" i="15"/>
  <c r="G419" i="15"/>
  <c r="G420" i="15"/>
  <c r="G421" i="15"/>
  <c r="C435" i="15"/>
  <c r="D435" i="15"/>
  <c r="C436" i="15"/>
  <c r="D436" i="15"/>
  <c r="D437" i="15"/>
  <c r="D438" i="15"/>
  <c r="D439" i="15"/>
  <c r="D440" i="15"/>
  <c r="D433" i="15"/>
  <c r="D434" i="15"/>
  <c r="D427" i="15"/>
  <c r="D428" i="15"/>
  <c r="D429" i="15"/>
  <c r="D430" i="15"/>
  <c r="D431" i="15"/>
  <c r="D432" i="15"/>
  <c r="D426" i="15"/>
  <c r="D422" i="15"/>
  <c r="D423" i="15"/>
  <c r="D424" i="15"/>
  <c r="D425" i="15"/>
  <c r="D416" i="15"/>
  <c r="D417" i="15"/>
  <c r="D418" i="15"/>
  <c r="D419" i="15"/>
  <c r="D420" i="15"/>
  <c r="D421" i="15"/>
  <c r="AI399" i="15"/>
  <c r="AJ399" i="15"/>
  <c r="AK399" i="15"/>
  <c r="AI400" i="15"/>
  <c r="AJ400" i="15"/>
  <c r="AK400" i="15"/>
  <c r="AI401" i="15"/>
  <c r="AJ401" i="15"/>
  <c r="AK401" i="15"/>
  <c r="AI402" i="15"/>
  <c r="AJ402" i="15"/>
  <c r="AK402" i="15"/>
  <c r="AI398" i="15"/>
  <c r="AJ398" i="15"/>
  <c r="AK398" i="15"/>
  <c r="AF399" i="15"/>
  <c r="AG399" i="15"/>
  <c r="AH399" i="15"/>
  <c r="AF400" i="15"/>
  <c r="AG400" i="15"/>
  <c r="AH400" i="15"/>
  <c r="AF401" i="15"/>
  <c r="AG401" i="15"/>
  <c r="AH401" i="15"/>
  <c r="AF402" i="15"/>
  <c r="AG402" i="15"/>
  <c r="AH402" i="15"/>
  <c r="AF398" i="15"/>
  <c r="AG398" i="15"/>
  <c r="AH398" i="15"/>
  <c r="AC403" i="15"/>
  <c r="AD403" i="15"/>
  <c r="AE403" i="15"/>
  <c r="AC404" i="15"/>
  <c r="AD404" i="15"/>
  <c r="AE404" i="15"/>
  <c r="AE405" i="15"/>
  <c r="AE399" i="15"/>
  <c r="AC400" i="15"/>
  <c r="AD400" i="15"/>
  <c r="AE400" i="15"/>
  <c r="AC401" i="15"/>
  <c r="AD401" i="15"/>
  <c r="AE401" i="15"/>
  <c r="AE402" i="15"/>
  <c r="AC398" i="15"/>
  <c r="AD398" i="15"/>
  <c r="AE398" i="15"/>
  <c r="Z403" i="15"/>
  <c r="AA403" i="15"/>
  <c r="AB403" i="15"/>
  <c r="Z404" i="15"/>
  <c r="AA404" i="15"/>
  <c r="AB404" i="15"/>
  <c r="AB405" i="15"/>
  <c r="AB399" i="15"/>
  <c r="Z400" i="15"/>
  <c r="AA400" i="15"/>
  <c r="AB400" i="15"/>
  <c r="Z401" i="15"/>
  <c r="AA401" i="15"/>
  <c r="AB401" i="15"/>
  <c r="AB402" i="15"/>
  <c r="AB398" i="15"/>
  <c r="W408" i="15"/>
  <c r="X408" i="15"/>
  <c r="Y408" i="15"/>
  <c r="W409" i="15"/>
  <c r="X409" i="15"/>
  <c r="Y409" i="15"/>
  <c r="Y410" i="15"/>
  <c r="Y411" i="15"/>
  <c r="Y412" i="15"/>
  <c r="Y405" i="15"/>
  <c r="W406" i="15"/>
  <c r="X406" i="15"/>
  <c r="Y406" i="15"/>
  <c r="W407" i="15"/>
  <c r="X407" i="15"/>
  <c r="Y407" i="15"/>
  <c r="W399" i="15"/>
  <c r="Y399" i="15"/>
  <c r="W400" i="15"/>
  <c r="Y400" i="15"/>
  <c r="W401" i="15"/>
  <c r="Y401" i="15"/>
  <c r="W402" i="15"/>
  <c r="Y402" i="15"/>
  <c r="W403" i="15"/>
  <c r="Y403" i="15"/>
  <c r="W404" i="15"/>
  <c r="Y404" i="15"/>
  <c r="W398" i="15"/>
  <c r="X398" i="15"/>
  <c r="Y398" i="15"/>
  <c r="T408" i="15"/>
  <c r="U408" i="15"/>
  <c r="V408" i="15"/>
  <c r="T409" i="15"/>
  <c r="U409" i="15"/>
  <c r="V409" i="15"/>
  <c r="V410" i="15"/>
  <c r="V411" i="15"/>
  <c r="V412" i="15"/>
  <c r="V405" i="15"/>
  <c r="T406" i="15"/>
  <c r="U406" i="15"/>
  <c r="V406" i="15"/>
  <c r="T407" i="15"/>
  <c r="U407" i="15"/>
  <c r="V407" i="15"/>
  <c r="T399" i="15"/>
  <c r="V399" i="15"/>
  <c r="T400" i="15"/>
  <c r="V400" i="15"/>
  <c r="T401" i="15"/>
  <c r="V401" i="15"/>
  <c r="T402" i="15"/>
  <c r="V402" i="15"/>
  <c r="T403" i="15"/>
  <c r="V403" i="15"/>
  <c r="T404" i="15"/>
  <c r="V404" i="15"/>
  <c r="V398" i="15"/>
  <c r="Q398" i="15"/>
  <c r="R398" i="15"/>
  <c r="S398" i="15"/>
  <c r="P398" i="15"/>
  <c r="E365" i="15"/>
  <c r="G365" i="15"/>
  <c r="G363" i="15"/>
  <c r="G364" i="15"/>
  <c r="B365" i="15"/>
  <c r="D365" i="15"/>
  <c r="D363" i="15"/>
  <c r="D364" i="15"/>
  <c r="K365" i="15"/>
  <c r="M365" i="15"/>
  <c r="M363" i="15"/>
  <c r="M364" i="15"/>
  <c r="H365" i="15"/>
  <c r="J365" i="15"/>
  <c r="J363" i="15"/>
  <c r="J364" i="15"/>
  <c r="Q371" i="15"/>
  <c r="S371" i="15"/>
  <c r="S369" i="15"/>
  <c r="S370" i="15"/>
  <c r="S364" i="15"/>
  <c r="S365" i="15"/>
  <c r="S366" i="15"/>
  <c r="S367" i="15"/>
  <c r="S368" i="15"/>
  <c r="Q363" i="15"/>
  <c r="R363" i="15"/>
  <c r="S363" i="15"/>
  <c r="N371" i="15"/>
  <c r="P371" i="15"/>
  <c r="P369" i="15"/>
  <c r="P370" i="15"/>
  <c r="P364" i="15"/>
  <c r="P365" i="15"/>
  <c r="P366" i="15"/>
  <c r="P367" i="15"/>
  <c r="P368" i="15"/>
  <c r="N363" i="15"/>
  <c r="O363" i="15"/>
  <c r="P363" i="15"/>
  <c r="Y391" i="15"/>
  <c r="Y392" i="15"/>
  <c r="Y393" i="15"/>
  <c r="Y390" i="15"/>
  <c r="Y385" i="15"/>
  <c r="Y386" i="15"/>
  <c r="Y387" i="15"/>
  <c r="Y388" i="15"/>
  <c r="Y389" i="15"/>
  <c r="Y384" i="15"/>
  <c r="W383" i="15"/>
  <c r="Y383" i="15"/>
  <c r="Y380" i="15"/>
  <c r="Y381" i="15"/>
  <c r="Y382" i="15"/>
  <c r="W379" i="15"/>
  <c r="X379" i="15"/>
  <c r="Y379" i="15"/>
  <c r="V391" i="15"/>
  <c r="V392" i="15"/>
  <c r="V393" i="15"/>
  <c r="V390" i="15"/>
  <c r="V385" i="15"/>
  <c r="V386" i="15"/>
  <c r="V387" i="15"/>
  <c r="V388" i="15"/>
  <c r="V389" i="15"/>
  <c r="V384" i="15"/>
  <c r="T383" i="15"/>
  <c r="V383" i="15"/>
  <c r="T380" i="15"/>
  <c r="U380" i="15"/>
  <c r="V380" i="15"/>
  <c r="T381" i="15"/>
  <c r="U381" i="15"/>
  <c r="V381" i="15"/>
  <c r="T382" i="15"/>
  <c r="U382" i="15"/>
  <c r="V382" i="15"/>
  <c r="T379" i="15"/>
  <c r="U379" i="15"/>
  <c r="V379" i="15"/>
  <c r="AE383" i="15"/>
  <c r="AE382" i="15"/>
  <c r="AE380" i="15"/>
  <c r="AE381" i="15"/>
  <c r="AC379" i="15"/>
  <c r="AD379" i="15"/>
  <c r="AE379" i="15"/>
  <c r="AE363" i="15"/>
  <c r="AE364" i="15"/>
  <c r="AE365" i="15"/>
  <c r="AE366" i="15"/>
  <c r="AE367" i="15"/>
  <c r="AE368" i="15"/>
  <c r="AE369" i="15"/>
  <c r="AE370" i="15"/>
  <c r="AE371" i="15"/>
  <c r="AE372" i="15"/>
  <c r="AE373" i="15"/>
  <c r="AE374" i="15"/>
  <c r="AE375" i="15"/>
  <c r="AE376" i="15"/>
  <c r="AE377" i="15"/>
  <c r="AE378" i="15"/>
  <c r="AB383" i="15"/>
  <c r="AB382" i="15"/>
  <c r="AB380" i="15"/>
  <c r="AB381" i="15"/>
  <c r="Z379" i="15"/>
  <c r="AA379" i="15"/>
  <c r="AB379" i="15"/>
  <c r="AB363" i="15"/>
  <c r="AB364" i="15"/>
  <c r="AB365" i="15"/>
  <c r="AB366" i="15"/>
  <c r="AB367" i="15"/>
  <c r="AB368" i="15"/>
  <c r="AB369" i="15"/>
  <c r="AB370" i="15"/>
  <c r="AB371" i="15"/>
  <c r="AB372" i="15"/>
  <c r="AB373" i="15"/>
  <c r="AB374" i="15"/>
  <c r="AB375" i="15"/>
  <c r="AB376" i="15"/>
  <c r="AB377" i="15"/>
  <c r="AB378" i="15"/>
  <c r="AI392" i="15"/>
  <c r="AK392" i="15"/>
  <c r="AI393" i="15"/>
  <c r="AK393" i="15"/>
  <c r="AI394" i="15"/>
  <c r="AK394" i="15"/>
  <c r="AI391" i="15"/>
  <c r="AK391" i="15"/>
  <c r="AI389" i="15"/>
  <c r="AJ389" i="15"/>
  <c r="AK389" i="15"/>
  <c r="AI390" i="15"/>
  <c r="AJ390" i="15"/>
  <c r="AK390" i="15"/>
  <c r="AI384" i="15"/>
  <c r="AK384" i="15"/>
  <c r="AI385" i="15"/>
  <c r="AK385" i="15"/>
  <c r="AI386" i="15"/>
  <c r="AK386" i="15"/>
  <c r="AI387" i="15"/>
  <c r="AK387" i="15"/>
  <c r="AI388" i="15"/>
  <c r="AK388" i="15"/>
  <c r="AI383" i="15"/>
  <c r="AK383" i="15"/>
  <c r="AI382" i="15"/>
  <c r="AJ382" i="15"/>
  <c r="AK382" i="15"/>
  <c r="AI379" i="15"/>
  <c r="AJ379" i="15"/>
  <c r="AK379" i="15"/>
  <c r="AI380" i="15"/>
  <c r="AJ380" i="15"/>
  <c r="AK380" i="15"/>
  <c r="AI381" i="15"/>
  <c r="AJ381" i="15"/>
  <c r="AK381" i="15"/>
  <c r="AI363" i="15"/>
  <c r="AK363" i="15"/>
  <c r="AI364" i="15"/>
  <c r="AK364" i="15"/>
  <c r="AI365" i="15"/>
  <c r="AK365" i="15"/>
  <c r="AI366" i="15"/>
  <c r="AK366" i="15"/>
  <c r="AI367" i="15"/>
  <c r="AK367" i="15"/>
  <c r="AI368" i="15"/>
  <c r="AK368" i="15"/>
  <c r="AI369" i="15"/>
  <c r="AK369" i="15"/>
  <c r="AI370" i="15"/>
  <c r="AK370" i="15"/>
  <c r="AI371" i="15"/>
  <c r="AK371" i="15"/>
  <c r="AI372" i="15"/>
  <c r="AK372" i="15"/>
  <c r="AI373" i="15"/>
  <c r="AK373" i="15"/>
  <c r="AI374" i="15"/>
  <c r="AK374" i="15"/>
  <c r="AI375" i="15"/>
  <c r="AK375" i="15"/>
  <c r="AI376" i="15"/>
  <c r="AK376" i="15"/>
  <c r="AI377" i="15"/>
  <c r="AK377" i="15"/>
  <c r="AI378" i="15"/>
  <c r="AK378" i="15"/>
  <c r="AF392" i="15"/>
  <c r="AH392" i="15"/>
  <c r="AF393" i="15"/>
  <c r="AH393" i="15"/>
  <c r="AF394" i="15"/>
  <c r="AH394" i="15"/>
  <c r="AF391" i="15"/>
  <c r="AG391" i="15"/>
  <c r="AH391" i="15"/>
  <c r="AF389" i="15"/>
  <c r="AG389" i="15"/>
  <c r="AH389" i="15"/>
  <c r="AF390" i="15"/>
  <c r="AG390" i="15"/>
  <c r="AH390" i="15"/>
  <c r="AF384" i="15"/>
  <c r="AH384" i="15"/>
  <c r="AF385" i="15"/>
  <c r="AH385" i="15"/>
  <c r="AF386" i="15"/>
  <c r="AH386" i="15"/>
  <c r="AF387" i="15"/>
  <c r="AH387" i="15"/>
  <c r="AF388" i="15"/>
  <c r="AH388" i="15"/>
  <c r="AF383" i="15"/>
  <c r="AH383" i="15"/>
  <c r="AF382" i="15"/>
  <c r="AG382" i="15"/>
  <c r="AH382" i="15"/>
  <c r="AF379" i="15"/>
  <c r="AG379" i="15"/>
  <c r="AH379" i="15"/>
  <c r="AF380" i="15"/>
  <c r="AG380" i="15"/>
  <c r="AH380" i="15"/>
  <c r="AF381" i="15"/>
  <c r="AG381" i="15"/>
  <c r="AH381" i="15"/>
  <c r="AF363" i="15"/>
  <c r="AH363" i="15"/>
  <c r="AF364" i="15"/>
  <c r="AH364" i="15"/>
  <c r="AF365" i="15"/>
  <c r="AH365" i="15"/>
  <c r="AF366" i="15"/>
  <c r="AH366" i="15"/>
  <c r="AF367" i="15"/>
  <c r="AH367" i="15"/>
  <c r="AF368" i="15"/>
  <c r="AH368" i="15"/>
  <c r="AF369" i="15"/>
  <c r="AH369" i="15"/>
  <c r="AF370" i="15"/>
  <c r="AH370" i="15"/>
  <c r="AF371" i="15"/>
  <c r="AH371" i="15"/>
  <c r="AF372" i="15"/>
  <c r="AH372" i="15"/>
  <c r="AF373" i="15"/>
  <c r="AH373" i="15"/>
  <c r="AF374" i="15"/>
  <c r="AH374" i="15"/>
  <c r="AF375" i="15"/>
  <c r="AH375" i="15"/>
  <c r="AF376" i="15"/>
  <c r="AH376" i="15"/>
  <c r="AF377" i="15"/>
  <c r="AH377" i="15"/>
  <c r="AF378" i="15"/>
  <c r="AH378" i="15"/>
  <c r="AI341" i="15"/>
  <c r="AJ341" i="15"/>
  <c r="AK341" i="15"/>
  <c r="AI342" i="15"/>
  <c r="AJ342" i="15"/>
  <c r="AK342" i="15"/>
  <c r="AI343" i="15"/>
  <c r="AJ343" i="15"/>
  <c r="AK343" i="15"/>
  <c r="AI344" i="15"/>
  <c r="AJ344" i="15"/>
  <c r="AK344" i="15"/>
  <c r="AI345" i="15"/>
  <c r="AK345" i="15"/>
  <c r="AI346" i="15"/>
  <c r="AJ346" i="15"/>
  <c r="AK346" i="15"/>
  <c r="AI347" i="15"/>
  <c r="AJ347" i="15"/>
  <c r="AK347" i="15"/>
  <c r="AI348" i="15"/>
  <c r="AK348" i="15"/>
  <c r="AI349" i="15"/>
  <c r="AK349" i="15"/>
  <c r="AI350" i="15"/>
  <c r="AK350" i="15"/>
  <c r="AI351" i="15"/>
  <c r="AK351" i="15"/>
  <c r="AI352" i="15"/>
  <c r="AJ352" i="15"/>
  <c r="AK352" i="15"/>
  <c r="AI353" i="15"/>
  <c r="AJ353" i="15"/>
  <c r="AK353" i="15"/>
  <c r="AI354" i="15"/>
  <c r="AK354" i="15"/>
  <c r="AI355" i="15"/>
  <c r="AK355" i="15"/>
  <c r="AI356" i="15"/>
  <c r="AK356" i="15"/>
  <c r="AI357" i="15"/>
  <c r="AK357" i="15"/>
  <c r="AI358" i="15"/>
  <c r="AK358" i="15"/>
  <c r="AI359" i="15"/>
  <c r="AK359" i="15"/>
  <c r="AI339" i="15"/>
  <c r="AJ339" i="15"/>
  <c r="AK339" i="15"/>
  <c r="AI340" i="15"/>
  <c r="AK340" i="15"/>
  <c r="AI337" i="15"/>
  <c r="AJ337" i="15"/>
  <c r="AK337" i="15"/>
  <c r="AI338" i="15"/>
  <c r="AJ338" i="15"/>
  <c r="AK338" i="15"/>
  <c r="AI329" i="15"/>
  <c r="AJ329" i="15"/>
  <c r="AK329" i="15"/>
  <c r="AI330" i="15"/>
  <c r="AJ330" i="15"/>
  <c r="AK330" i="15"/>
  <c r="AI331" i="15"/>
  <c r="AJ331" i="15"/>
  <c r="AK331" i="15"/>
  <c r="AI332" i="15"/>
  <c r="AJ332" i="15"/>
  <c r="AK332" i="15"/>
  <c r="AI333" i="15"/>
  <c r="AJ333" i="15"/>
  <c r="AK333" i="15"/>
  <c r="AI334" i="15"/>
  <c r="AJ334" i="15"/>
  <c r="AK334" i="15"/>
  <c r="AI335" i="15"/>
  <c r="AJ335" i="15"/>
  <c r="AK335" i="15"/>
  <c r="AI336" i="15"/>
  <c r="AJ336" i="15"/>
  <c r="AK336" i="15"/>
  <c r="AI328" i="15"/>
  <c r="AJ328" i="15"/>
  <c r="AK328" i="15"/>
  <c r="AI325" i="15"/>
  <c r="AK325" i="15"/>
  <c r="AI326" i="15"/>
  <c r="AK326" i="15"/>
  <c r="AI327" i="15"/>
  <c r="AK327" i="15"/>
  <c r="AI317" i="15"/>
  <c r="AJ317" i="15"/>
  <c r="AK317" i="15"/>
  <c r="AI318" i="15"/>
  <c r="AJ318" i="15"/>
  <c r="AK318" i="15"/>
  <c r="AI319" i="15"/>
  <c r="AJ319" i="15"/>
  <c r="AK319" i="15"/>
  <c r="AI320" i="15"/>
  <c r="AJ320" i="15"/>
  <c r="AK320" i="15"/>
  <c r="AI321" i="15"/>
  <c r="AJ321" i="15"/>
  <c r="AK321" i="15"/>
  <c r="AI322" i="15"/>
  <c r="AJ322" i="15"/>
  <c r="AK322" i="15"/>
  <c r="AI323" i="15"/>
  <c r="AJ323" i="15"/>
  <c r="AK323" i="15"/>
  <c r="AI324" i="15"/>
  <c r="AJ324" i="15"/>
  <c r="AK324" i="15"/>
  <c r="AI227" i="15"/>
  <c r="AJ227" i="15"/>
  <c r="AK227" i="15"/>
  <c r="AI228" i="15"/>
  <c r="AJ228" i="15"/>
  <c r="AK228" i="15"/>
  <c r="AI229" i="15"/>
  <c r="AJ229" i="15"/>
  <c r="AK229" i="15"/>
  <c r="AI230" i="15"/>
  <c r="AJ230" i="15"/>
  <c r="AK230" i="15"/>
  <c r="AI231" i="15"/>
  <c r="AJ231" i="15"/>
  <c r="AK231" i="15"/>
  <c r="AI232" i="15"/>
  <c r="AJ232" i="15"/>
  <c r="AK232" i="15"/>
  <c r="AI233" i="15"/>
  <c r="AK233" i="15"/>
  <c r="AI234" i="15"/>
  <c r="AK234" i="15"/>
  <c r="AI235" i="15"/>
  <c r="AK235" i="15"/>
  <c r="AI236" i="15"/>
  <c r="AK236" i="15"/>
  <c r="AI237" i="15"/>
  <c r="AK237" i="15"/>
  <c r="AI238" i="15"/>
  <c r="AK238" i="15"/>
  <c r="AI239" i="15"/>
  <c r="AK239" i="15"/>
  <c r="AI240" i="15"/>
  <c r="AK240" i="15"/>
  <c r="AI241" i="15"/>
  <c r="AK241" i="15"/>
  <c r="AI242" i="15"/>
  <c r="AK242" i="15"/>
  <c r="AI243" i="15"/>
  <c r="AK243" i="15"/>
  <c r="AI244" i="15"/>
  <c r="AK244" i="15"/>
  <c r="AI245" i="15"/>
  <c r="AK245" i="15"/>
  <c r="AI246" i="15"/>
  <c r="AK246" i="15"/>
  <c r="AI247" i="15"/>
  <c r="AK247" i="15"/>
  <c r="AI248" i="15"/>
  <c r="AK248" i="15"/>
  <c r="AI249" i="15"/>
  <c r="AK249" i="15"/>
  <c r="AI250" i="15"/>
  <c r="AK250" i="15"/>
  <c r="AI251" i="15"/>
  <c r="AK251" i="15"/>
  <c r="AI252" i="15"/>
  <c r="AK252" i="15"/>
  <c r="AI253" i="15"/>
  <c r="AK253" i="15"/>
  <c r="AI254" i="15"/>
  <c r="AK254" i="15"/>
  <c r="AI255" i="15"/>
  <c r="AK255" i="15"/>
  <c r="AI256" i="15"/>
  <c r="AK256" i="15"/>
  <c r="AI257" i="15"/>
  <c r="AK257" i="15"/>
  <c r="AI258" i="15"/>
  <c r="AK258" i="15"/>
  <c r="AI259" i="15"/>
  <c r="AK259" i="15"/>
  <c r="AI260" i="15"/>
  <c r="AK260" i="15"/>
  <c r="AI261" i="15"/>
  <c r="AK261" i="15"/>
  <c r="AI262" i="15"/>
  <c r="AK262" i="15"/>
  <c r="AI263" i="15"/>
  <c r="AK263" i="15"/>
  <c r="AI264" i="15"/>
  <c r="AK264" i="15"/>
  <c r="AI265" i="15"/>
  <c r="AK265" i="15"/>
  <c r="AI266" i="15"/>
  <c r="AK266" i="15"/>
  <c r="AI267" i="15"/>
  <c r="AK267" i="15"/>
  <c r="AI268" i="15"/>
  <c r="AK268" i="15"/>
  <c r="AI269" i="15"/>
  <c r="AJ269" i="15"/>
  <c r="AK269" i="15"/>
  <c r="AI270" i="15"/>
  <c r="AJ270" i="15"/>
  <c r="AK270" i="15"/>
  <c r="AI271" i="15"/>
  <c r="AJ271" i="15"/>
  <c r="AK271" i="15"/>
  <c r="AI272" i="15"/>
  <c r="AJ272" i="15"/>
  <c r="AK272" i="15"/>
  <c r="AI273" i="15"/>
  <c r="AJ273" i="15"/>
  <c r="AK273" i="15"/>
  <c r="AI274" i="15"/>
  <c r="AJ274" i="15"/>
  <c r="AK274" i="15"/>
  <c r="AI275" i="15"/>
  <c r="AJ275" i="15"/>
  <c r="AK275" i="15"/>
  <c r="AI276" i="15"/>
  <c r="AJ276" i="15"/>
  <c r="AK276" i="15"/>
  <c r="AI277" i="15"/>
  <c r="AJ277" i="15"/>
  <c r="AK277" i="15"/>
  <c r="AI278" i="15"/>
  <c r="AJ278" i="15"/>
  <c r="AK278" i="15"/>
  <c r="AI279" i="15"/>
  <c r="AJ279" i="15"/>
  <c r="AK279" i="15"/>
  <c r="AI280" i="15"/>
  <c r="AJ280" i="15"/>
  <c r="AK280" i="15"/>
  <c r="AI281" i="15"/>
  <c r="AJ281" i="15"/>
  <c r="AK281" i="15"/>
  <c r="AI282" i="15"/>
  <c r="AJ282" i="15"/>
  <c r="AK282" i="15"/>
  <c r="AI283" i="15"/>
  <c r="AJ283" i="15"/>
  <c r="AK283" i="15"/>
  <c r="AI284" i="15"/>
  <c r="AJ284" i="15"/>
  <c r="AK284" i="15"/>
  <c r="AI285" i="15"/>
  <c r="AJ285" i="15"/>
  <c r="AK285" i="15"/>
  <c r="AI286" i="15"/>
  <c r="AK286" i="15"/>
  <c r="AI287" i="15"/>
  <c r="AK287" i="15"/>
  <c r="AI288" i="15"/>
  <c r="AK288" i="15"/>
  <c r="AI289" i="15"/>
  <c r="AK289" i="15"/>
  <c r="AI290" i="15"/>
  <c r="AK290" i="15"/>
  <c r="AI291" i="15"/>
  <c r="AK291" i="15"/>
  <c r="AI292" i="15"/>
  <c r="AJ292" i="15"/>
  <c r="AK292" i="15"/>
  <c r="AI293" i="15"/>
  <c r="AJ293" i="15"/>
  <c r="AK293" i="15"/>
  <c r="AI294" i="15"/>
  <c r="AJ294" i="15"/>
  <c r="AK294" i="15"/>
  <c r="AI295" i="15"/>
  <c r="AJ295" i="15"/>
  <c r="AK295" i="15"/>
  <c r="AI296" i="15"/>
  <c r="AJ296" i="15"/>
  <c r="AK296" i="15"/>
  <c r="AI297" i="15"/>
  <c r="AJ297" i="15"/>
  <c r="AK297" i="15"/>
  <c r="AI298" i="15"/>
  <c r="AJ298" i="15"/>
  <c r="AK298" i="15"/>
  <c r="AI299" i="15"/>
  <c r="AJ299" i="15"/>
  <c r="AK299" i="15"/>
  <c r="AI300" i="15"/>
  <c r="AJ300" i="15"/>
  <c r="AK300" i="15"/>
  <c r="AK301" i="15"/>
  <c r="AK302" i="15"/>
  <c r="AK303" i="15"/>
  <c r="AK304" i="15"/>
  <c r="AK305" i="15"/>
  <c r="AK306" i="15"/>
  <c r="AI307" i="15"/>
  <c r="AJ307" i="15"/>
  <c r="AK307" i="15"/>
  <c r="AI308" i="15"/>
  <c r="AJ308" i="15"/>
  <c r="AK308" i="15"/>
  <c r="AI309" i="15"/>
  <c r="AJ309" i="15"/>
  <c r="AK309" i="15"/>
  <c r="AI310" i="15"/>
  <c r="AJ310" i="15"/>
  <c r="AK310" i="15"/>
  <c r="AI311" i="15"/>
  <c r="AJ311" i="15"/>
  <c r="AK311" i="15"/>
  <c r="AI312" i="15"/>
  <c r="AJ312" i="15"/>
  <c r="AK312" i="15"/>
  <c r="AI313" i="15"/>
  <c r="AK313" i="15"/>
  <c r="AI314" i="15"/>
  <c r="AK314" i="15"/>
  <c r="AI315" i="15"/>
  <c r="AK315" i="15"/>
  <c r="AI316" i="15"/>
  <c r="AK316" i="15"/>
  <c r="AI225" i="15"/>
  <c r="AK225" i="15"/>
  <c r="AI226" i="15"/>
  <c r="AJ226" i="15"/>
  <c r="AK226" i="15"/>
  <c r="AI220" i="15"/>
  <c r="AK220" i="15"/>
  <c r="AI221" i="15"/>
  <c r="AK221" i="15"/>
  <c r="AI222" i="15"/>
  <c r="AK222" i="15"/>
  <c r="AI223" i="15"/>
  <c r="AK223" i="15"/>
  <c r="AI224" i="15"/>
  <c r="AK224" i="15"/>
  <c r="AI217" i="15"/>
  <c r="AK217" i="15"/>
  <c r="AI218" i="15"/>
  <c r="AK218" i="15"/>
  <c r="AI219" i="15"/>
  <c r="AK219" i="15"/>
  <c r="AI212" i="15"/>
  <c r="AK212" i="15"/>
  <c r="AI213" i="15"/>
  <c r="AK213" i="15"/>
  <c r="AI214" i="15"/>
  <c r="AK214" i="15"/>
  <c r="AI215" i="15"/>
  <c r="AK215" i="15"/>
  <c r="AI216" i="15"/>
  <c r="AK216" i="15"/>
  <c r="AI209" i="15"/>
  <c r="AK209" i="15"/>
  <c r="AI210" i="15"/>
  <c r="AK210" i="15"/>
  <c r="AI211" i="15"/>
  <c r="AK211" i="15"/>
  <c r="AI189" i="15"/>
  <c r="AK189" i="15"/>
  <c r="AI190" i="15"/>
  <c r="AK190" i="15"/>
  <c r="AI191" i="15"/>
  <c r="AK191" i="15"/>
  <c r="AI192" i="15"/>
  <c r="AK192" i="15"/>
  <c r="AI193" i="15"/>
  <c r="AK193" i="15"/>
  <c r="AI194" i="15"/>
  <c r="AK194" i="15"/>
  <c r="AI195" i="15"/>
  <c r="AK195" i="15"/>
  <c r="AI196" i="15"/>
  <c r="AK196" i="15"/>
  <c r="AI197" i="15"/>
  <c r="AK197" i="15"/>
  <c r="AI198" i="15"/>
  <c r="AK198" i="15"/>
  <c r="AI199" i="15"/>
  <c r="AK199" i="15"/>
  <c r="AI200" i="15"/>
  <c r="AK200" i="15"/>
  <c r="AI201" i="15"/>
  <c r="AK201" i="15"/>
  <c r="AI202" i="15"/>
  <c r="AK202" i="15"/>
  <c r="AI203" i="15"/>
  <c r="AK203" i="15"/>
  <c r="AI204" i="15"/>
  <c r="AK204" i="15"/>
  <c r="AI205" i="15"/>
  <c r="AK205" i="15"/>
  <c r="AI206" i="15"/>
  <c r="AK206" i="15"/>
  <c r="AI207" i="15"/>
  <c r="AK207" i="15"/>
  <c r="AI208" i="15"/>
  <c r="AK208" i="15"/>
  <c r="AI188" i="15"/>
  <c r="AJ188" i="15"/>
  <c r="AK188" i="15"/>
  <c r="AI185" i="15"/>
  <c r="AK185" i="15"/>
  <c r="AI186" i="15"/>
  <c r="AJ186" i="15"/>
  <c r="AK186" i="15"/>
  <c r="AI187" i="15"/>
  <c r="AJ187" i="15"/>
  <c r="AK187" i="15"/>
  <c r="AI181" i="15"/>
  <c r="AJ181" i="15"/>
  <c r="AK181" i="15"/>
  <c r="AI182" i="15"/>
  <c r="AJ182" i="15"/>
  <c r="AK182" i="15"/>
  <c r="AI183" i="15"/>
  <c r="AJ183" i="15"/>
  <c r="AK183" i="15"/>
  <c r="AI184" i="15"/>
  <c r="AJ184" i="15"/>
  <c r="AK184" i="15"/>
  <c r="AI144" i="15"/>
  <c r="AJ144" i="15"/>
  <c r="AK144" i="15"/>
  <c r="AI145" i="15"/>
  <c r="AK145" i="15"/>
  <c r="AI146" i="15"/>
  <c r="AK146" i="15"/>
  <c r="AI147" i="15"/>
  <c r="AJ147" i="15"/>
  <c r="AK147" i="15"/>
  <c r="AI148" i="15"/>
  <c r="AJ148" i="15"/>
  <c r="AK148" i="15"/>
  <c r="AI149" i="15"/>
  <c r="AJ149" i="15"/>
  <c r="AK149" i="15"/>
  <c r="AI150" i="15"/>
  <c r="AJ150" i="15"/>
  <c r="AK150" i="15"/>
  <c r="AI151" i="15"/>
  <c r="AJ151" i="15"/>
  <c r="AK151" i="15"/>
  <c r="AI152" i="15"/>
  <c r="AJ152" i="15"/>
  <c r="AK152" i="15"/>
  <c r="AK153" i="15"/>
  <c r="AK154" i="15"/>
  <c r="AK155" i="15"/>
  <c r="AK156" i="15"/>
  <c r="AK157" i="15"/>
  <c r="AK158" i="15"/>
  <c r="AK159" i="15"/>
  <c r="AK160" i="15"/>
  <c r="AK161" i="15"/>
  <c r="AK162" i="15"/>
  <c r="AK163" i="15"/>
  <c r="AK164" i="15"/>
  <c r="AI165" i="15"/>
  <c r="AK165" i="15"/>
  <c r="AI166" i="15"/>
  <c r="AJ166" i="15"/>
  <c r="AK166" i="15"/>
  <c r="AI167" i="15"/>
  <c r="AJ167" i="15"/>
  <c r="AK167" i="15"/>
  <c r="AI168" i="15"/>
  <c r="AJ168" i="15"/>
  <c r="AK168" i="15"/>
  <c r="AI169" i="15"/>
  <c r="AJ169" i="15"/>
  <c r="AK169" i="15"/>
  <c r="AI170" i="15"/>
  <c r="AK170" i="15"/>
  <c r="AI171" i="15"/>
  <c r="AK171" i="15"/>
  <c r="AI172" i="15"/>
  <c r="AK172" i="15"/>
  <c r="AI173" i="15"/>
  <c r="AK173" i="15"/>
  <c r="AI174" i="15"/>
  <c r="AK174" i="15"/>
  <c r="AI175" i="15"/>
  <c r="AK175" i="15"/>
  <c r="AI176" i="15"/>
  <c r="AJ176" i="15"/>
  <c r="AK176" i="15"/>
  <c r="AI177" i="15"/>
  <c r="AJ177" i="15"/>
  <c r="AK177" i="15"/>
  <c r="AI178" i="15"/>
  <c r="AJ178" i="15"/>
  <c r="AK178" i="15"/>
  <c r="AI179" i="15"/>
  <c r="AJ179" i="15"/>
  <c r="AK179" i="15"/>
  <c r="AI180" i="15"/>
  <c r="AJ180" i="15"/>
  <c r="AK180" i="15"/>
  <c r="AI135" i="15"/>
  <c r="AK135" i="15"/>
  <c r="AI136" i="15"/>
  <c r="AK136" i="15"/>
  <c r="AI137" i="15"/>
  <c r="AK137" i="15"/>
  <c r="AI138" i="15"/>
  <c r="AK138" i="15"/>
  <c r="AI139" i="15"/>
  <c r="AK139" i="15"/>
  <c r="AI140" i="15"/>
  <c r="AJ140" i="15"/>
  <c r="AK140" i="15"/>
  <c r="AI141" i="15"/>
  <c r="AJ141" i="15"/>
  <c r="AK141" i="15"/>
  <c r="AI142" i="15"/>
  <c r="AJ142" i="15"/>
  <c r="AK142" i="15"/>
  <c r="AI143" i="15"/>
  <c r="AJ143" i="15"/>
  <c r="AK143" i="15"/>
  <c r="AI131" i="15"/>
  <c r="AJ131" i="15"/>
  <c r="AK131" i="15"/>
  <c r="AI132" i="15"/>
  <c r="AJ132" i="15"/>
  <c r="AK132" i="15"/>
  <c r="AI133" i="15"/>
  <c r="AJ133" i="15"/>
  <c r="AK133" i="15"/>
  <c r="AI134" i="15"/>
  <c r="AJ134" i="15"/>
  <c r="AK134" i="15"/>
  <c r="AI74" i="15"/>
  <c r="AK74" i="15"/>
  <c r="AI75" i="15"/>
  <c r="AJ75" i="15"/>
  <c r="AK75" i="15"/>
  <c r="AI76" i="15"/>
  <c r="AJ76" i="15"/>
  <c r="AK76" i="15"/>
  <c r="AI77" i="15"/>
  <c r="AJ77" i="15"/>
  <c r="AK77" i="15"/>
  <c r="AI78" i="15"/>
  <c r="AJ78" i="15"/>
  <c r="AK78" i="15"/>
  <c r="AI79" i="15"/>
  <c r="AJ79" i="15"/>
  <c r="AK79" i="15"/>
  <c r="AI80" i="15"/>
  <c r="AJ80" i="15"/>
  <c r="AK80" i="15"/>
  <c r="AI81" i="15"/>
  <c r="AJ81" i="15"/>
  <c r="AK81" i="15"/>
  <c r="AI82" i="15"/>
  <c r="AJ82" i="15"/>
  <c r="AK82" i="15"/>
  <c r="AI83" i="15"/>
  <c r="AJ83" i="15"/>
  <c r="AK83" i="15"/>
  <c r="AK84" i="15"/>
  <c r="AK85" i="15"/>
  <c r="AK86" i="15"/>
  <c r="AK87" i="15"/>
  <c r="AI88" i="15"/>
  <c r="AJ88" i="15"/>
  <c r="AK88" i="15"/>
  <c r="AI89" i="15"/>
  <c r="AJ89" i="15"/>
  <c r="AK89" i="15"/>
  <c r="AI90" i="15"/>
  <c r="AJ90" i="15"/>
  <c r="AK90" i="15"/>
  <c r="AI91" i="15"/>
  <c r="AJ91" i="15"/>
  <c r="AK91" i="15"/>
  <c r="AI92" i="15"/>
  <c r="AJ92" i="15"/>
  <c r="AK92" i="15"/>
  <c r="AI93" i="15"/>
  <c r="AJ93" i="15"/>
  <c r="AK93" i="15"/>
  <c r="AI94" i="15"/>
  <c r="AJ94" i="15"/>
  <c r="AK94" i="15"/>
  <c r="AI95" i="15"/>
  <c r="AJ95" i="15"/>
  <c r="AK95" i="15"/>
  <c r="AI96" i="15"/>
  <c r="AK96" i="15"/>
  <c r="AI97" i="15"/>
  <c r="AK97" i="15"/>
  <c r="AI98" i="15"/>
  <c r="AK98" i="15"/>
  <c r="AI99" i="15"/>
  <c r="AK99" i="15"/>
  <c r="AI100" i="15"/>
  <c r="AK100" i="15"/>
  <c r="AI101" i="15"/>
  <c r="AK101" i="15"/>
  <c r="AI102" i="15"/>
  <c r="AK102" i="15"/>
  <c r="AI103" i="15"/>
  <c r="AK103" i="15"/>
  <c r="AI104" i="15"/>
  <c r="AK104" i="15"/>
  <c r="AI105" i="15"/>
  <c r="AK105" i="15"/>
  <c r="AI106" i="15"/>
  <c r="AK106" i="15"/>
  <c r="AI107" i="15"/>
  <c r="AK107" i="15"/>
  <c r="AI108" i="15"/>
  <c r="AK108" i="15"/>
  <c r="AI109" i="15"/>
  <c r="AK109" i="15"/>
  <c r="AI110" i="15"/>
  <c r="AK110" i="15"/>
  <c r="AI111" i="15"/>
  <c r="AK111" i="15"/>
  <c r="AI112" i="15"/>
  <c r="AK112" i="15"/>
  <c r="AI113" i="15"/>
  <c r="AK113" i="15"/>
  <c r="AI114" i="15"/>
  <c r="AK114" i="15"/>
  <c r="AI115" i="15"/>
  <c r="AK115" i="15"/>
  <c r="AI116" i="15"/>
  <c r="AK116" i="15"/>
  <c r="AI117" i="15"/>
  <c r="AK117" i="15"/>
  <c r="AI118" i="15"/>
  <c r="AK118" i="15"/>
  <c r="AI119" i="15"/>
  <c r="AJ119" i="15"/>
  <c r="AK119" i="15"/>
  <c r="AI120" i="15"/>
  <c r="AJ120" i="15"/>
  <c r="AK120" i="15"/>
  <c r="AI121" i="15"/>
  <c r="AJ121" i="15"/>
  <c r="AK121" i="15"/>
  <c r="AI122" i="15"/>
  <c r="AJ122" i="15"/>
  <c r="AK122" i="15"/>
  <c r="AI123" i="15"/>
  <c r="AJ123" i="15"/>
  <c r="AK123" i="15"/>
  <c r="AI124" i="15"/>
  <c r="AJ124" i="15"/>
  <c r="AK124" i="15"/>
  <c r="AI125" i="15"/>
  <c r="AJ125" i="15"/>
  <c r="AK125" i="15"/>
  <c r="AI126" i="15"/>
  <c r="AJ126" i="15"/>
  <c r="AK126" i="15"/>
  <c r="AI127" i="15"/>
  <c r="AJ127" i="15"/>
  <c r="AK127" i="15"/>
  <c r="AI128" i="15"/>
  <c r="AJ128" i="15"/>
  <c r="AK128" i="15"/>
  <c r="AK129" i="15"/>
  <c r="AK130" i="15"/>
  <c r="AI67" i="15"/>
  <c r="AK67" i="15"/>
  <c r="AI68" i="15"/>
  <c r="AK68" i="15"/>
  <c r="AI69" i="15"/>
  <c r="AK69" i="15"/>
  <c r="AI70" i="15"/>
  <c r="AJ70" i="15"/>
  <c r="AK70" i="15"/>
  <c r="AI71" i="15"/>
  <c r="AJ71" i="15"/>
  <c r="AK71" i="15"/>
  <c r="AI72" i="15"/>
  <c r="AJ72" i="15"/>
  <c r="AK72" i="15"/>
  <c r="AI73" i="15"/>
  <c r="AJ73" i="15"/>
  <c r="AK73" i="15"/>
  <c r="AI23" i="15"/>
  <c r="AJ23" i="15"/>
  <c r="AK23" i="15"/>
  <c r="AI24" i="15"/>
  <c r="AJ24" i="15"/>
  <c r="AK24" i="15"/>
  <c r="AJ25" i="15"/>
  <c r="AK25" i="15"/>
  <c r="AJ26" i="15"/>
  <c r="AK26" i="15"/>
  <c r="AJ27" i="15"/>
  <c r="AK27" i="15"/>
  <c r="AJ28" i="15"/>
  <c r="AK28" i="15"/>
  <c r="AI29" i="15"/>
  <c r="AJ29" i="15"/>
  <c r="AK29" i="15"/>
  <c r="AI30" i="15"/>
  <c r="AJ30" i="15"/>
  <c r="AK30" i="15"/>
  <c r="AJ31" i="15"/>
  <c r="AK31" i="15"/>
  <c r="AJ32" i="15"/>
  <c r="AK32" i="15"/>
  <c r="AJ33" i="15"/>
  <c r="AK33" i="15"/>
  <c r="AJ34" i="15"/>
  <c r="AK34" i="15"/>
  <c r="AK35" i="15"/>
  <c r="AK36" i="15"/>
  <c r="AK37" i="15"/>
  <c r="AK38" i="15"/>
  <c r="AK39" i="15"/>
  <c r="AK40" i="15"/>
  <c r="AI41" i="15"/>
  <c r="AJ41" i="15"/>
  <c r="AK41" i="15"/>
  <c r="AI42" i="15"/>
  <c r="AJ42" i="15"/>
  <c r="AK42" i="15"/>
  <c r="AJ43" i="15"/>
  <c r="AK43" i="15"/>
  <c r="AJ44" i="15"/>
  <c r="AK44" i="15"/>
  <c r="AJ45" i="15"/>
  <c r="AK45" i="15"/>
  <c r="AJ46" i="15"/>
  <c r="AK46" i="15"/>
  <c r="AI47" i="15"/>
  <c r="AJ47" i="15"/>
  <c r="AK47" i="15"/>
  <c r="AI48" i="15"/>
  <c r="AJ48" i="15"/>
  <c r="AK48" i="15"/>
  <c r="AJ49" i="15"/>
  <c r="AK49" i="15"/>
  <c r="AJ50" i="15"/>
  <c r="AK50" i="15"/>
  <c r="AJ51" i="15"/>
  <c r="AK51" i="15"/>
  <c r="AJ52" i="15"/>
  <c r="AK52" i="15"/>
  <c r="AK53" i="15"/>
  <c r="AK54" i="15"/>
  <c r="AK55" i="15"/>
  <c r="AK56" i="15"/>
  <c r="AK57" i="15"/>
  <c r="AK58" i="15"/>
  <c r="AI59" i="15"/>
  <c r="AJ59" i="15"/>
  <c r="AK59" i="15"/>
  <c r="AI60" i="15"/>
  <c r="AJ60" i="15"/>
  <c r="AK60" i="15"/>
  <c r="AI61" i="15"/>
  <c r="AJ61" i="15"/>
  <c r="AK61" i="15"/>
  <c r="AI62" i="15"/>
  <c r="AJ62" i="15"/>
  <c r="AK62" i="15"/>
  <c r="AK63" i="15"/>
  <c r="AK64" i="15"/>
  <c r="AK65" i="15"/>
  <c r="AK66" i="15"/>
  <c r="AI21" i="15"/>
  <c r="AJ21" i="15"/>
  <c r="AK21" i="15"/>
  <c r="AI22" i="15"/>
  <c r="AJ22" i="15"/>
  <c r="AK22" i="15"/>
  <c r="AI8" i="15"/>
  <c r="AJ8" i="15"/>
  <c r="AK8" i="15"/>
  <c r="AI9" i="15"/>
  <c r="AJ9" i="15"/>
  <c r="AK9" i="15"/>
  <c r="AI10" i="15"/>
  <c r="AJ10" i="15"/>
  <c r="AK10" i="15"/>
  <c r="AI11" i="15"/>
  <c r="AJ11" i="15"/>
  <c r="AK11" i="15"/>
  <c r="AI12" i="15"/>
  <c r="AJ12" i="15"/>
  <c r="AK12" i="15"/>
  <c r="AI13" i="15"/>
  <c r="AJ13" i="15"/>
  <c r="AK13" i="15"/>
  <c r="AI14" i="15"/>
  <c r="AJ14" i="15"/>
  <c r="AK14" i="15"/>
  <c r="AI15" i="15"/>
  <c r="AJ15" i="15"/>
  <c r="AK15" i="15"/>
  <c r="AI16" i="15"/>
  <c r="AJ16" i="15"/>
  <c r="AK16" i="15"/>
  <c r="AI17" i="15"/>
  <c r="AJ17" i="15"/>
  <c r="AK17" i="15"/>
  <c r="AI18" i="15"/>
  <c r="AJ18" i="15"/>
  <c r="AK18" i="15"/>
  <c r="AI19" i="15"/>
  <c r="AJ19" i="15"/>
  <c r="AK19" i="15"/>
  <c r="AI20" i="15"/>
  <c r="AJ20" i="15"/>
  <c r="AK20" i="15"/>
  <c r="AI6" i="15"/>
  <c r="AJ6" i="15"/>
  <c r="AK6" i="15"/>
  <c r="AI7" i="15"/>
  <c r="AJ7" i="15"/>
  <c r="AK7" i="15"/>
  <c r="AF341" i="15"/>
  <c r="AG341" i="15"/>
  <c r="AH341" i="15"/>
  <c r="AF342" i="15"/>
  <c r="AG342" i="15"/>
  <c r="AH342" i="15"/>
  <c r="AF343" i="15"/>
  <c r="AG343" i="15"/>
  <c r="AH343" i="15"/>
  <c r="AF344" i="15"/>
  <c r="AG344" i="15"/>
  <c r="AH344" i="15"/>
  <c r="AF345" i="15"/>
  <c r="AH345" i="15"/>
  <c r="AF346" i="15"/>
  <c r="AG346" i="15"/>
  <c r="AH346" i="15"/>
  <c r="AF347" i="15"/>
  <c r="AG347" i="15"/>
  <c r="AH347" i="15"/>
  <c r="AF348" i="15"/>
  <c r="AH348" i="15"/>
  <c r="AF349" i="15"/>
  <c r="AH349" i="15"/>
  <c r="AF350" i="15"/>
  <c r="AH350" i="15"/>
  <c r="AF351" i="15"/>
  <c r="AH351" i="15"/>
  <c r="AF352" i="15"/>
  <c r="AG352" i="15"/>
  <c r="AH352" i="15"/>
  <c r="AF353" i="15"/>
  <c r="AG353" i="15"/>
  <c r="AH353" i="15"/>
  <c r="AF354" i="15"/>
  <c r="AH354" i="15"/>
  <c r="AF355" i="15"/>
  <c r="AH355" i="15"/>
  <c r="AF356" i="15"/>
  <c r="AH356" i="15"/>
  <c r="AF357" i="15"/>
  <c r="AH357" i="15"/>
  <c r="AF358" i="15"/>
  <c r="AH358" i="15"/>
  <c r="AF359" i="15"/>
  <c r="AH359" i="15"/>
  <c r="AF339" i="15"/>
  <c r="AG339" i="15"/>
  <c r="AH339" i="15"/>
  <c r="AF340" i="15"/>
  <c r="AG340" i="15"/>
  <c r="AH340" i="15"/>
  <c r="AF337" i="15"/>
  <c r="AG337" i="15"/>
  <c r="AH337" i="15"/>
  <c r="AF338" i="15"/>
  <c r="AG338" i="15"/>
  <c r="AH338" i="15"/>
  <c r="AF329" i="15"/>
  <c r="AG329" i="15"/>
  <c r="AH329" i="15"/>
  <c r="AF330" i="15"/>
  <c r="AG330" i="15"/>
  <c r="AH330" i="15"/>
  <c r="AF331" i="15"/>
  <c r="AG331" i="15"/>
  <c r="AH331" i="15"/>
  <c r="AF332" i="15"/>
  <c r="AG332" i="15"/>
  <c r="AH332" i="15"/>
  <c r="AF333" i="15"/>
  <c r="AG333" i="15"/>
  <c r="AH333" i="15"/>
  <c r="AF334" i="15"/>
  <c r="AG334" i="15"/>
  <c r="AH334" i="15"/>
  <c r="AF335" i="15"/>
  <c r="AG335" i="15"/>
  <c r="AH335" i="15"/>
  <c r="AF336" i="15"/>
  <c r="AG336" i="15"/>
  <c r="AH336" i="15"/>
  <c r="AF328" i="15"/>
  <c r="AG328" i="15"/>
  <c r="AH328" i="15"/>
  <c r="AF325" i="15"/>
  <c r="AH325" i="15"/>
  <c r="AF326" i="15"/>
  <c r="AH326" i="15"/>
  <c r="AF327" i="15"/>
  <c r="AH327" i="15"/>
  <c r="AF317" i="15"/>
  <c r="AG317" i="15"/>
  <c r="AH317" i="15"/>
  <c r="AF318" i="15"/>
  <c r="AG318" i="15"/>
  <c r="AH318" i="15"/>
  <c r="AF319" i="15"/>
  <c r="AG319" i="15"/>
  <c r="AH319" i="15"/>
  <c r="AF320" i="15"/>
  <c r="AG320" i="15"/>
  <c r="AH320" i="15"/>
  <c r="AF321" i="15"/>
  <c r="AG321" i="15"/>
  <c r="AH321" i="15"/>
  <c r="AF322" i="15"/>
  <c r="AG322" i="15"/>
  <c r="AH322" i="15"/>
  <c r="AF323" i="15"/>
  <c r="AG323" i="15"/>
  <c r="AH323" i="15"/>
  <c r="AF324" i="15"/>
  <c r="AG324" i="15"/>
  <c r="AH324" i="15"/>
  <c r="AF227" i="15"/>
  <c r="AG227" i="15"/>
  <c r="AH227" i="15"/>
  <c r="AF228" i="15"/>
  <c r="AG228" i="15"/>
  <c r="AH228" i="15"/>
  <c r="AF229" i="15"/>
  <c r="AG229" i="15"/>
  <c r="AH229" i="15"/>
  <c r="AF230" i="15"/>
  <c r="AG230" i="15"/>
  <c r="AH230" i="15"/>
  <c r="AF231" i="15"/>
  <c r="AG231" i="15"/>
  <c r="AH231" i="15"/>
  <c r="AF232" i="15"/>
  <c r="AG232" i="15"/>
  <c r="AH232" i="15"/>
  <c r="AF233" i="15"/>
  <c r="AH233" i="15"/>
  <c r="AF234" i="15"/>
  <c r="AH234" i="15"/>
  <c r="AF235" i="15"/>
  <c r="AH235" i="15"/>
  <c r="AF236" i="15"/>
  <c r="AH236" i="15"/>
  <c r="AF237" i="15"/>
  <c r="AH237" i="15"/>
  <c r="AF238" i="15"/>
  <c r="AH238" i="15"/>
  <c r="AF239" i="15"/>
  <c r="AH239" i="15"/>
  <c r="AF240" i="15"/>
  <c r="AH240" i="15"/>
  <c r="AF241" i="15"/>
  <c r="AH241" i="15"/>
  <c r="AF242" i="15"/>
  <c r="AH242" i="15"/>
  <c r="AF243" i="15"/>
  <c r="AH243" i="15"/>
  <c r="AF244" i="15"/>
  <c r="AH244" i="15"/>
  <c r="AF245" i="15"/>
  <c r="AH245" i="15"/>
  <c r="AF246" i="15"/>
  <c r="AH246" i="15"/>
  <c r="AF247" i="15"/>
  <c r="AH247" i="15"/>
  <c r="AF248" i="15"/>
  <c r="AH248" i="15"/>
  <c r="AF249" i="15"/>
  <c r="AH249" i="15"/>
  <c r="AF250" i="15"/>
  <c r="AH250" i="15"/>
  <c r="AF251" i="15"/>
  <c r="AH251" i="15"/>
  <c r="AF252" i="15"/>
  <c r="AH252" i="15"/>
  <c r="AF253" i="15"/>
  <c r="AH253" i="15"/>
  <c r="AF254" i="15"/>
  <c r="AH254" i="15"/>
  <c r="AF255" i="15"/>
  <c r="AH255" i="15"/>
  <c r="AF256" i="15"/>
  <c r="AH256" i="15"/>
  <c r="AF257" i="15"/>
  <c r="AH257" i="15"/>
  <c r="AF258" i="15"/>
  <c r="AH258" i="15"/>
  <c r="AF259" i="15"/>
  <c r="AH259" i="15"/>
  <c r="AF260" i="15"/>
  <c r="AH260" i="15"/>
  <c r="AF261" i="15"/>
  <c r="AH261" i="15"/>
  <c r="AF262" i="15"/>
  <c r="AH262" i="15"/>
  <c r="AF263" i="15"/>
  <c r="AH263" i="15"/>
  <c r="AF264" i="15"/>
  <c r="AH264" i="15"/>
  <c r="AF265" i="15"/>
  <c r="AH265" i="15"/>
  <c r="AF266" i="15"/>
  <c r="AH266" i="15"/>
  <c r="AF267" i="15"/>
  <c r="AH267" i="15"/>
  <c r="AF268" i="15"/>
  <c r="AH268" i="15"/>
  <c r="AF269" i="15"/>
  <c r="AG269" i="15"/>
  <c r="AH269" i="15"/>
  <c r="AF270" i="15"/>
  <c r="AG270" i="15"/>
  <c r="AH270" i="15"/>
  <c r="AF271" i="15"/>
  <c r="AG271" i="15"/>
  <c r="AH271" i="15"/>
  <c r="AF272" i="15"/>
  <c r="AG272" i="15"/>
  <c r="AH272" i="15"/>
  <c r="AF273" i="15"/>
  <c r="AG273" i="15"/>
  <c r="AH273" i="15"/>
  <c r="AF274" i="15"/>
  <c r="AG274" i="15"/>
  <c r="AH274" i="15"/>
  <c r="AF275" i="15"/>
  <c r="AG275" i="15"/>
  <c r="AH275" i="15"/>
  <c r="AF276" i="15"/>
  <c r="AG276" i="15"/>
  <c r="AH276" i="15"/>
  <c r="AF277" i="15"/>
  <c r="AG277" i="15"/>
  <c r="AH277" i="15"/>
  <c r="AF278" i="15"/>
  <c r="AG278" i="15"/>
  <c r="AH278" i="15"/>
  <c r="AF279" i="15"/>
  <c r="AG279" i="15"/>
  <c r="AH279" i="15"/>
  <c r="AF280" i="15"/>
  <c r="AG280" i="15"/>
  <c r="AH280" i="15"/>
  <c r="AF281" i="15"/>
  <c r="AG281" i="15"/>
  <c r="AH281" i="15"/>
  <c r="AF282" i="15"/>
  <c r="AG282" i="15"/>
  <c r="AH282" i="15"/>
  <c r="AF283" i="15"/>
  <c r="AG283" i="15"/>
  <c r="AH283" i="15"/>
  <c r="AF284" i="15"/>
  <c r="AG284" i="15"/>
  <c r="AH284" i="15"/>
  <c r="AF285" i="15"/>
  <c r="AG285" i="15"/>
  <c r="AH285" i="15"/>
  <c r="AF286" i="15"/>
  <c r="AH286" i="15"/>
  <c r="AF287" i="15"/>
  <c r="AH287" i="15"/>
  <c r="AF288" i="15"/>
  <c r="AH288" i="15"/>
  <c r="AF289" i="15"/>
  <c r="AH289" i="15"/>
  <c r="AF290" i="15"/>
  <c r="AH290" i="15"/>
  <c r="AF291" i="15"/>
  <c r="AH291" i="15"/>
  <c r="AF292" i="15"/>
  <c r="AG292" i="15"/>
  <c r="AH292" i="15"/>
  <c r="AF293" i="15"/>
  <c r="AG293" i="15"/>
  <c r="AH293" i="15"/>
  <c r="AF294" i="15"/>
  <c r="AG294" i="15"/>
  <c r="AH294" i="15"/>
  <c r="AF295" i="15"/>
  <c r="AG295" i="15"/>
  <c r="AH295" i="15"/>
  <c r="AF296" i="15"/>
  <c r="AG296" i="15"/>
  <c r="AH296" i="15"/>
  <c r="AF297" i="15"/>
  <c r="AG297" i="15"/>
  <c r="AH297" i="15"/>
  <c r="AF298" i="15"/>
  <c r="AG298" i="15"/>
  <c r="AH298" i="15"/>
  <c r="AF299" i="15"/>
  <c r="AG299" i="15"/>
  <c r="AH299" i="15"/>
  <c r="AF300" i="15"/>
  <c r="AG300" i="15"/>
  <c r="AH300" i="15"/>
  <c r="AH301" i="15"/>
  <c r="AH302" i="15"/>
  <c r="AH303" i="15"/>
  <c r="AH304" i="15"/>
  <c r="AH305" i="15"/>
  <c r="AH306" i="15"/>
  <c r="AF307" i="15"/>
  <c r="AG307" i="15"/>
  <c r="AH307" i="15"/>
  <c r="AF308" i="15"/>
  <c r="AG308" i="15"/>
  <c r="AH308" i="15"/>
  <c r="AF309" i="15"/>
  <c r="AG309" i="15"/>
  <c r="AH309" i="15"/>
  <c r="AF310" i="15"/>
  <c r="AG310" i="15"/>
  <c r="AH310" i="15"/>
  <c r="AF311" i="15"/>
  <c r="AG311" i="15"/>
  <c r="AH311" i="15"/>
  <c r="AF312" i="15"/>
  <c r="AG312" i="15"/>
  <c r="AH312" i="15"/>
  <c r="AF313" i="15"/>
  <c r="AH313" i="15"/>
  <c r="AF314" i="15"/>
  <c r="AH314" i="15"/>
  <c r="AF315" i="15"/>
  <c r="AH315" i="15"/>
  <c r="AF316" i="15"/>
  <c r="AH316" i="15"/>
  <c r="AF225" i="15"/>
  <c r="AH225" i="15"/>
  <c r="AF226" i="15"/>
  <c r="AG226" i="15"/>
  <c r="AH226" i="15"/>
  <c r="AF220" i="15"/>
  <c r="AH220" i="15"/>
  <c r="AF221" i="15"/>
  <c r="AH221" i="15"/>
  <c r="AF222" i="15"/>
  <c r="AH222" i="15"/>
  <c r="AF223" i="15"/>
  <c r="AH223" i="15"/>
  <c r="AF224" i="15"/>
  <c r="AH224" i="15"/>
  <c r="AF217" i="15"/>
  <c r="AH217" i="15"/>
  <c r="AF218" i="15"/>
  <c r="AH218" i="15"/>
  <c r="AF219" i="15"/>
  <c r="AH219" i="15"/>
  <c r="AF212" i="15"/>
  <c r="AH212" i="15"/>
  <c r="AF213" i="15"/>
  <c r="AH213" i="15"/>
  <c r="AF214" i="15"/>
  <c r="AH214" i="15"/>
  <c r="AF215" i="15"/>
  <c r="AH215" i="15"/>
  <c r="AF216" i="15"/>
  <c r="AH216" i="15"/>
  <c r="AF209" i="15"/>
  <c r="AH209" i="15"/>
  <c r="AF210" i="15"/>
  <c r="AH210" i="15"/>
  <c r="AF211" i="15"/>
  <c r="AH211" i="15"/>
  <c r="AF189" i="15"/>
  <c r="AH189" i="15"/>
  <c r="AF190" i="15"/>
  <c r="AH190" i="15"/>
  <c r="AF191" i="15"/>
  <c r="AH191" i="15"/>
  <c r="AF192" i="15"/>
  <c r="AH192" i="15"/>
  <c r="AF193" i="15"/>
  <c r="AH193" i="15"/>
  <c r="AF194" i="15"/>
  <c r="AH194" i="15"/>
  <c r="AF195" i="15"/>
  <c r="AH195" i="15"/>
  <c r="AF196" i="15"/>
  <c r="AH196" i="15"/>
  <c r="AF197" i="15"/>
  <c r="AH197" i="15"/>
  <c r="AF198" i="15"/>
  <c r="AH198" i="15"/>
  <c r="AF199" i="15"/>
  <c r="AH199" i="15"/>
  <c r="AF200" i="15"/>
  <c r="AH200" i="15"/>
  <c r="AF201" i="15"/>
  <c r="AH201" i="15"/>
  <c r="AF202" i="15"/>
  <c r="AH202" i="15"/>
  <c r="AF203" i="15"/>
  <c r="AH203" i="15"/>
  <c r="AF204" i="15"/>
  <c r="AH204" i="15"/>
  <c r="AF205" i="15"/>
  <c r="AH205" i="15"/>
  <c r="AF206" i="15"/>
  <c r="AH206" i="15"/>
  <c r="AF207" i="15"/>
  <c r="AH207" i="15"/>
  <c r="AF208" i="15"/>
  <c r="AH208" i="15"/>
  <c r="AF188" i="15"/>
  <c r="AG188" i="15"/>
  <c r="AH188" i="15"/>
  <c r="AF185" i="15"/>
  <c r="AH185" i="15"/>
  <c r="AF186" i="15"/>
  <c r="AG186" i="15"/>
  <c r="AH186" i="15"/>
  <c r="AF187" i="15"/>
  <c r="AG187" i="15"/>
  <c r="AH187" i="15"/>
  <c r="AF181" i="15"/>
  <c r="AG181" i="15"/>
  <c r="AH181" i="15"/>
  <c r="AF182" i="15"/>
  <c r="AG182" i="15"/>
  <c r="AH182" i="15"/>
  <c r="AF183" i="15"/>
  <c r="AG183" i="15"/>
  <c r="AH183" i="15"/>
  <c r="AF184" i="15"/>
  <c r="AG184" i="15"/>
  <c r="AH184" i="15"/>
  <c r="AF144" i="15"/>
  <c r="AG144" i="15"/>
  <c r="AH144" i="15"/>
  <c r="AF145" i="15"/>
  <c r="AH145" i="15"/>
  <c r="AF146" i="15"/>
  <c r="AH146" i="15"/>
  <c r="AF147" i="15"/>
  <c r="AG147" i="15"/>
  <c r="AH147" i="15"/>
  <c r="AF148" i="15"/>
  <c r="AG148" i="15"/>
  <c r="AH148" i="15"/>
  <c r="AF149" i="15"/>
  <c r="AG149" i="15"/>
  <c r="AH149" i="15"/>
  <c r="AH150" i="15"/>
  <c r="AH151" i="15"/>
  <c r="AH152" i="15"/>
  <c r="AH153" i="15"/>
  <c r="AF154" i="15"/>
  <c r="AG154" i="15"/>
  <c r="AH154" i="15"/>
  <c r="AH155" i="15"/>
  <c r="AF156" i="15"/>
  <c r="AG156" i="15"/>
  <c r="AH156" i="15"/>
  <c r="AF157" i="15"/>
  <c r="AG157" i="15"/>
  <c r="AH157" i="15"/>
  <c r="AH158" i="15"/>
  <c r="AF165" i="15"/>
  <c r="AH165" i="15"/>
  <c r="AF166" i="15"/>
  <c r="AG166" i="15"/>
  <c r="AH166" i="15"/>
  <c r="AF167" i="15"/>
  <c r="AG167" i="15"/>
  <c r="AH167" i="15"/>
  <c r="AF168" i="15"/>
  <c r="AG168" i="15"/>
  <c r="AH168" i="15"/>
  <c r="AF169" i="15"/>
  <c r="AG169" i="15"/>
  <c r="AH169" i="15"/>
  <c r="AF170" i="15"/>
  <c r="AH170" i="15"/>
  <c r="AF171" i="15"/>
  <c r="AH171" i="15"/>
  <c r="AF172" i="15"/>
  <c r="AH172" i="15"/>
  <c r="AF173" i="15"/>
  <c r="AH173" i="15"/>
  <c r="AF174" i="15"/>
  <c r="AH174" i="15"/>
  <c r="AF175" i="15"/>
  <c r="AH175" i="15"/>
  <c r="AF176" i="15"/>
  <c r="AG176" i="15"/>
  <c r="AH176" i="15"/>
  <c r="AF177" i="15"/>
  <c r="AG177" i="15"/>
  <c r="AH177" i="15"/>
  <c r="AF178" i="15"/>
  <c r="AG178" i="15"/>
  <c r="AH178" i="15"/>
  <c r="AF179" i="15"/>
  <c r="AG179" i="15"/>
  <c r="AH179" i="15"/>
  <c r="AF180" i="15"/>
  <c r="AG180" i="15"/>
  <c r="AH180" i="15"/>
  <c r="AF135" i="15"/>
  <c r="AH135" i="15"/>
  <c r="AF136" i="15"/>
  <c r="AH136" i="15"/>
  <c r="AF137" i="15"/>
  <c r="AH137" i="15"/>
  <c r="AF138" i="15"/>
  <c r="AH138" i="15"/>
  <c r="AF139" i="15"/>
  <c r="AH139" i="15"/>
  <c r="AF140" i="15"/>
  <c r="AG140" i="15"/>
  <c r="AH140" i="15"/>
  <c r="AF141" i="15"/>
  <c r="AG141" i="15"/>
  <c r="AH141" i="15"/>
  <c r="AF142" i="15"/>
  <c r="AG142" i="15"/>
  <c r="AH142" i="15"/>
  <c r="AF143" i="15"/>
  <c r="AG143" i="15"/>
  <c r="AH143" i="15"/>
  <c r="AF131" i="15"/>
  <c r="AG131" i="15"/>
  <c r="AH131" i="15"/>
  <c r="AF132" i="15"/>
  <c r="AG132" i="15"/>
  <c r="AH132" i="15"/>
  <c r="AF133" i="15"/>
  <c r="AG133" i="15"/>
  <c r="AH133" i="15"/>
  <c r="AF134" i="15"/>
  <c r="AG134" i="15"/>
  <c r="AH134" i="15"/>
  <c r="AF74" i="15"/>
  <c r="AH74" i="15"/>
  <c r="AF75" i="15"/>
  <c r="AG75" i="15"/>
  <c r="AH75" i="15"/>
  <c r="AF76" i="15"/>
  <c r="AG76" i="15"/>
  <c r="AH76" i="15"/>
  <c r="AF77" i="15"/>
  <c r="AG77" i="15"/>
  <c r="AH77" i="15"/>
  <c r="AF78" i="15"/>
  <c r="AG78" i="15"/>
  <c r="AH78" i="15"/>
  <c r="AF79" i="15"/>
  <c r="AG79" i="15"/>
  <c r="AH79" i="15"/>
  <c r="AF80" i="15"/>
  <c r="AG80" i="15"/>
  <c r="AH80" i="15"/>
  <c r="AF81" i="15"/>
  <c r="AG81" i="15"/>
  <c r="AH81" i="15"/>
  <c r="AH82" i="15"/>
  <c r="AF83" i="15"/>
  <c r="AG83" i="15"/>
  <c r="AH83" i="15"/>
  <c r="AH84" i="15"/>
  <c r="AH85" i="15"/>
  <c r="AH86" i="15"/>
  <c r="AH87" i="15"/>
  <c r="AF88" i="15"/>
  <c r="AG88" i="15"/>
  <c r="AH88" i="15"/>
  <c r="AF89" i="15"/>
  <c r="AG89" i="15"/>
  <c r="AH89" i="15"/>
  <c r="AF90" i="15"/>
  <c r="AG90" i="15"/>
  <c r="AH90" i="15"/>
  <c r="AF91" i="15"/>
  <c r="AG91" i="15"/>
  <c r="AH91" i="15"/>
  <c r="AF92" i="15"/>
  <c r="AG92" i="15"/>
  <c r="AH92" i="15"/>
  <c r="AF93" i="15"/>
  <c r="AG93" i="15"/>
  <c r="AH93" i="15"/>
  <c r="AF94" i="15"/>
  <c r="AG94" i="15"/>
  <c r="AH94" i="15"/>
  <c r="AF95" i="15"/>
  <c r="AG95" i="15"/>
  <c r="AH95" i="15"/>
  <c r="AF96" i="15"/>
  <c r="AH96" i="15"/>
  <c r="AF97" i="15"/>
  <c r="AH97" i="15"/>
  <c r="AF98" i="15"/>
  <c r="AH98" i="15"/>
  <c r="AF99" i="15"/>
  <c r="AH99" i="15"/>
  <c r="AF100" i="15"/>
  <c r="AH100" i="15"/>
  <c r="AF101" i="15"/>
  <c r="AH101" i="15"/>
  <c r="AF102" i="15"/>
  <c r="AH102" i="15"/>
  <c r="AF103" i="15"/>
  <c r="AH103" i="15"/>
  <c r="AF104" i="15"/>
  <c r="AH104" i="15"/>
  <c r="AF105" i="15"/>
  <c r="AH105" i="15"/>
  <c r="AF106" i="15"/>
  <c r="AH106" i="15"/>
  <c r="AF107" i="15"/>
  <c r="AH107" i="15"/>
  <c r="AF108" i="15"/>
  <c r="AH108" i="15"/>
  <c r="AF109" i="15"/>
  <c r="AH109" i="15"/>
  <c r="AF110" i="15"/>
  <c r="AH110" i="15"/>
  <c r="AF111" i="15"/>
  <c r="AH111" i="15"/>
  <c r="AF112" i="15"/>
  <c r="AH112" i="15"/>
  <c r="AF113" i="15"/>
  <c r="AH113" i="15"/>
  <c r="AF114" i="15"/>
  <c r="AH114" i="15"/>
  <c r="AF115" i="15"/>
  <c r="AH115" i="15"/>
  <c r="AF116" i="15"/>
  <c r="AH116" i="15"/>
  <c r="AF117" i="15"/>
  <c r="AH117" i="15"/>
  <c r="AF118" i="15"/>
  <c r="AH118" i="15"/>
  <c r="AF119" i="15"/>
  <c r="AG119" i="15"/>
  <c r="AH119" i="15"/>
  <c r="AF120" i="15"/>
  <c r="AG120" i="15"/>
  <c r="AH120" i="15"/>
  <c r="AF121" i="15"/>
  <c r="AG121" i="15"/>
  <c r="AH121" i="15"/>
  <c r="AF122" i="15"/>
  <c r="AG122" i="15"/>
  <c r="AH122" i="15"/>
  <c r="AF123" i="15"/>
  <c r="AG123" i="15"/>
  <c r="AH123" i="15"/>
  <c r="AF124" i="15"/>
  <c r="AG124" i="15"/>
  <c r="AH124" i="15"/>
  <c r="AF125" i="15"/>
  <c r="AG125" i="15"/>
  <c r="AH125" i="15"/>
  <c r="AF126" i="15"/>
  <c r="AG126" i="15"/>
  <c r="AH126" i="15"/>
  <c r="AF127" i="15"/>
  <c r="AG127" i="15"/>
  <c r="AH127" i="15"/>
  <c r="AF128" i="15"/>
  <c r="AG128" i="15"/>
  <c r="AH128" i="15"/>
  <c r="AH129" i="15"/>
  <c r="AH130" i="15"/>
  <c r="AF67" i="15"/>
  <c r="AH67" i="15"/>
  <c r="AF68" i="15"/>
  <c r="AH68" i="15"/>
  <c r="AF69" i="15"/>
  <c r="AH69" i="15"/>
  <c r="AF70" i="15"/>
  <c r="AG70" i="15"/>
  <c r="AH70" i="15"/>
  <c r="AF71" i="15"/>
  <c r="AG71" i="15"/>
  <c r="AH71" i="15"/>
  <c r="AF72" i="15"/>
  <c r="AG72" i="15"/>
  <c r="AH72" i="15"/>
  <c r="AF73" i="15"/>
  <c r="AG73" i="15"/>
  <c r="AH73" i="15"/>
  <c r="AF23" i="15"/>
  <c r="AG23" i="15"/>
  <c r="AH23" i="15"/>
  <c r="AF24" i="15"/>
  <c r="AG24" i="15"/>
  <c r="AH24" i="15"/>
  <c r="AG25" i="15"/>
  <c r="AH25" i="15"/>
  <c r="AG26" i="15"/>
  <c r="AH26" i="15"/>
  <c r="AG27" i="15"/>
  <c r="AH27" i="15"/>
  <c r="AG28" i="15"/>
  <c r="AH28" i="15"/>
  <c r="AF29" i="15"/>
  <c r="AG29" i="15"/>
  <c r="AH29" i="15"/>
  <c r="AF30" i="15"/>
  <c r="AG30" i="15"/>
  <c r="AH30" i="15"/>
  <c r="AG31" i="15"/>
  <c r="AH31" i="15"/>
  <c r="AG32" i="15"/>
  <c r="AH32" i="15"/>
  <c r="AG33" i="15"/>
  <c r="AH33" i="15"/>
  <c r="AG34" i="15"/>
  <c r="AH34" i="15"/>
  <c r="AH35" i="15"/>
  <c r="AH36" i="15"/>
  <c r="AH37" i="15"/>
  <c r="AH38" i="15"/>
  <c r="AH39" i="15"/>
  <c r="AH40" i="15"/>
  <c r="AF41" i="15"/>
  <c r="AG41" i="15"/>
  <c r="AH41" i="15"/>
  <c r="AF42" i="15"/>
  <c r="AG42" i="15"/>
  <c r="AH42" i="15"/>
  <c r="AG43" i="15"/>
  <c r="AH43" i="15"/>
  <c r="AG44" i="15"/>
  <c r="AH44" i="15"/>
  <c r="AG45" i="15"/>
  <c r="AH45" i="15"/>
  <c r="AG46" i="15"/>
  <c r="AH46" i="15"/>
  <c r="AF47" i="15"/>
  <c r="AG47" i="15"/>
  <c r="AH47" i="15"/>
  <c r="AF48" i="15"/>
  <c r="AG48" i="15"/>
  <c r="AH48" i="15"/>
  <c r="AG49" i="15"/>
  <c r="AH49" i="15"/>
  <c r="AG50" i="15"/>
  <c r="AH50" i="15"/>
  <c r="AG51" i="15"/>
  <c r="AH51" i="15"/>
  <c r="AG52" i="15"/>
  <c r="AH52" i="15"/>
  <c r="AH53" i="15"/>
  <c r="AH54" i="15"/>
  <c r="AH55" i="15"/>
  <c r="AH56" i="15"/>
  <c r="AH57" i="15"/>
  <c r="AH58" i="15"/>
  <c r="AF59" i="15"/>
  <c r="AG59" i="15"/>
  <c r="AH59" i="15"/>
  <c r="AF60" i="15"/>
  <c r="AG60" i="15"/>
  <c r="AH60" i="15"/>
  <c r="AF61" i="15"/>
  <c r="AG61" i="15"/>
  <c r="AH61" i="15"/>
  <c r="AF62" i="15"/>
  <c r="AG62" i="15"/>
  <c r="AH62" i="15"/>
  <c r="AH63" i="15"/>
  <c r="AH64" i="15"/>
  <c r="AH65" i="15"/>
  <c r="AH66" i="15"/>
  <c r="AF21" i="15"/>
  <c r="AG21" i="15"/>
  <c r="AH21" i="15"/>
  <c r="AF22" i="15"/>
  <c r="AG22" i="15"/>
  <c r="AH22" i="15"/>
  <c r="AH8" i="15"/>
  <c r="AF9" i="15"/>
  <c r="AG9" i="15"/>
  <c r="AH9" i="15"/>
  <c r="AF10" i="15"/>
  <c r="AG10" i="15"/>
  <c r="AH10" i="15"/>
  <c r="AF11" i="15"/>
  <c r="AG11" i="15"/>
  <c r="AH11" i="15"/>
  <c r="AF12" i="15"/>
  <c r="AG12" i="15"/>
  <c r="AH12" i="15"/>
  <c r="AF13" i="15"/>
  <c r="AG13" i="15"/>
  <c r="AH13" i="15"/>
  <c r="AF14" i="15"/>
  <c r="AG14" i="15"/>
  <c r="AH14" i="15"/>
  <c r="AF15" i="15"/>
  <c r="AG15" i="15"/>
  <c r="AH15" i="15"/>
  <c r="AF16" i="15"/>
  <c r="AG16" i="15"/>
  <c r="AH16" i="15"/>
  <c r="AF17" i="15"/>
  <c r="AG17" i="15"/>
  <c r="AH17" i="15"/>
  <c r="AF18" i="15"/>
  <c r="AG18" i="15"/>
  <c r="AH18" i="15"/>
  <c r="AF19" i="15"/>
  <c r="AG19" i="15"/>
  <c r="AH19" i="15"/>
  <c r="AF20" i="15"/>
  <c r="AG20" i="15"/>
  <c r="AH20" i="15"/>
  <c r="AH6" i="15"/>
  <c r="AH7" i="15"/>
  <c r="AC126" i="15"/>
  <c r="AD126" i="15"/>
  <c r="AE126" i="15"/>
  <c r="AC127" i="15"/>
  <c r="AD127" i="15"/>
  <c r="AE127" i="15"/>
  <c r="AC128" i="15"/>
  <c r="AE128" i="15"/>
  <c r="AC129" i="15"/>
  <c r="AE129" i="15"/>
  <c r="AE130" i="15"/>
  <c r="AC131" i="15"/>
  <c r="AD131" i="15"/>
  <c r="AE131" i="15"/>
  <c r="AC132" i="15"/>
  <c r="AD132" i="15"/>
  <c r="AE132" i="15"/>
  <c r="AE133" i="15"/>
  <c r="AE134" i="15"/>
  <c r="AC135" i="15"/>
  <c r="AD135" i="15"/>
  <c r="AE135" i="15"/>
  <c r="AC136" i="15"/>
  <c r="AD136" i="15"/>
  <c r="AE136" i="15"/>
  <c r="AC137" i="15"/>
  <c r="AD137" i="15"/>
  <c r="AE137" i="15"/>
  <c r="AE138" i="15"/>
  <c r="AC125" i="15"/>
  <c r="AD125" i="15"/>
  <c r="AE125" i="15"/>
  <c r="AC123" i="15"/>
  <c r="AD123" i="15"/>
  <c r="AE123" i="15"/>
  <c r="AC124" i="15"/>
  <c r="AD124" i="15"/>
  <c r="AE124" i="15"/>
  <c r="AE121" i="15"/>
  <c r="AE122" i="15"/>
  <c r="AE120" i="15"/>
  <c r="AE119" i="15"/>
  <c r="AE116" i="15"/>
  <c r="AE117" i="15"/>
  <c r="AE118" i="15"/>
  <c r="AE108" i="15"/>
  <c r="AE109" i="15"/>
  <c r="AE110" i="15"/>
  <c r="AE111" i="15"/>
  <c r="AE112" i="15"/>
  <c r="AE113" i="15"/>
  <c r="AE114" i="15"/>
  <c r="AE115" i="15"/>
  <c r="AE106" i="15"/>
  <c r="AE107" i="15"/>
  <c r="AC98" i="15"/>
  <c r="AE98" i="15"/>
  <c r="AE99" i="15"/>
  <c r="AE100" i="15"/>
  <c r="AC101" i="15"/>
  <c r="AD101" i="15"/>
  <c r="AE101" i="15"/>
  <c r="AC102" i="15"/>
  <c r="AD102" i="15"/>
  <c r="AE102" i="15"/>
  <c r="AE103" i="15"/>
  <c r="AE104" i="15"/>
  <c r="AE105" i="15"/>
  <c r="AE96" i="15"/>
  <c r="AE97" i="15"/>
  <c r="AC91" i="15"/>
  <c r="AE91" i="15"/>
  <c r="AC92" i="15"/>
  <c r="AE92" i="15"/>
  <c r="AE93" i="15"/>
  <c r="AE94" i="15"/>
  <c r="AE95" i="15"/>
  <c r="AE90" i="15"/>
  <c r="AE88" i="15"/>
  <c r="AE89" i="15"/>
  <c r="AE77" i="15"/>
  <c r="AE78" i="15"/>
  <c r="AE79" i="15"/>
  <c r="AE80" i="15"/>
  <c r="AE81" i="15"/>
  <c r="AE82" i="15"/>
  <c r="AE83" i="15"/>
  <c r="AE84" i="15"/>
  <c r="AE85" i="15"/>
  <c r="AE86" i="15"/>
  <c r="AE87" i="15"/>
  <c r="AC57" i="15"/>
  <c r="AE57" i="15"/>
  <c r="AC58" i="15"/>
  <c r="AE58" i="15"/>
  <c r="AC59" i="15"/>
  <c r="AE59" i="15"/>
  <c r="AC60" i="15"/>
  <c r="AE60" i="15"/>
  <c r="AC61" i="15"/>
  <c r="AE61" i="15"/>
  <c r="AC62" i="15"/>
  <c r="AE62" i="15"/>
  <c r="AC63" i="15"/>
  <c r="AE63" i="15"/>
  <c r="AC64" i="15"/>
  <c r="AE64" i="15"/>
  <c r="AC65" i="15"/>
  <c r="AE65" i="15"/>
  <c r="AC66" i="15"/>
  <c r="AE66" i="15"/>
  <c r="AE67" i="15"/>
  <c r="AE68" i="15"/>
  <c r="AC69" i="15"/>
  <c r="AD69" i="15"/>
  <c r="AE69" i="15"/>
  <c r="AC70" i="15"/>
  <c r="AD70" i="15"/>
  <c r="AE70" i="15"/>
  <c r="AC71" i="15"/>
  <c r="AD71" i="15"/>
  <c r="AE71" i="15"/>
  <c r="AC72" i="15"/>
  <c r="AD72" i="15"/>
  <c r="AE72" i="15"/>
  <c r="AC73" i="15"/>
  <c r="AD73" i="15"/>
  <c r="AE73" i="15"/>
  <c r="AE74" i="15"/>
  <c r="AE75" i="15"/>
  <c r="AE7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17" i="15"/>
  <c r="AE18" i="15"/>
  <c r="AE19" i="15"/>
  <c r="AE20" i="15"/>
  <c r="AE21" i="15"/>
  <c r="AE22" i="15"/>
  <c r="AE23" i="15"/>
  <c r="AE24" i="15"/>
  <c r="AE25" i="15"/>
  <c r="AE26" i="15"/>
  <c r="AE13" i="15"/>
  <c r="AE14" i="15"/>
  <c r="AE15" i="15"/>
  <c r="AE16" i="15"/>
  <c r="AC12" i="15"/>
  <c r="AE12" i="15"/>
  <c r="AE6" i="15"/>
  <c r="AE7" i="15"/>
  <c r="AE8" i="15"/>
  <c r="AE9" i="15"/>
  <c r="AE10" i="15"/>
  <c r="AE11" i="15"/>
  <c r="Z126" i="15"/>
  <c r="AA126" i="15"/>
  <c r="AB126" i="15"/>
  <c r="Z127" i="15"/>
  <c r="AA127" i="15"/>
  <c r="AB127" i="15"/>
  <c r="Z128" i="15"/>
  <c r="AB128" i="15"/>
  <c r="Z129" i="15"/>
  <c r="AB129" i="15"/>
  <c r="AB130" i="15"/>
  <c r="Z131" i="15"/>
  <c r="AA131" i="15"/>
  <c r="AB131" i="15"/>
  <c r="Z132" i="15"/>
  <c r="AA132" i="15"/>
  <c r="AB132" i="15"/>
  <c r="AB133" i="15"/>
  <c r="AB134" i="15"/>
  <c r="Z135" i="15"/>
  <c r="AA135" i="15"/>
  <c r="AB135" i="15"/>
  <c r="Z136" i="15"/>
  <c r="AA136" i="15"/>
  <c r="AB136" i="15"/>
  <c r="Z137" i="15"/>
  <c r="AA137" i="15"/>
  <c r="AB137" i="15"/>
  <c r="AB138" i="15"/>
  <c r="Z125" i="15"/>
  <c r="AA125" i="15"/>
  <c r="AB125" i="15"/>
  <c r="Z123" i="15"/>
  <c r="AA123" i="15"/>
  <c r="AB123" i="15"/>
  <c r="Z124" i="15"/>
  <c r="AA124" i="15"/>
  <c r="AB124" i="15"/>
  <c r="AB121" i="15"/>
  <c r="AB122" i="15"/>
  <c r="AB120" i="15"/>
  <c r="AB119" i="15"/>
  <c r="AB116" i="15"/>
  <c r="AB117" i="15"/>
  <c r="AB118" i="15"/>
  <c r="AB108" i="15"/>
  <c r="AB109" i="15"/>
  <c r="AB110" i="15"/>
  <c r="AB111" i="15"/>
  <c r="AB112" i="15"/>
  <c r="AB113" i="15"/>
  <c r="AB114" i="15"/>
  <c r="AB115" i="15"/>
  <c r="AB106" i="15"/>
  <c r="AB107" i="15"/>
  <c r="Z98" i="15"/>
  <c r="AB98" i="15"/>
  <c r="AB99" i="15"/>
  <c r="AB100" i="15"/>
  <c r="Z101" i="15"/>
  <c r="AA101" i="15"/>
  <c r="AB101" i="15"/>
  <c r="Z102" i="15"/>
  <c r="AA102" i="15"/>
  <c r="AB102" i="15"/>
  <c r="AB103" i="15"/>
  <c r="AB104" i="15"/>
  <c r="AB105" i="15"/>
  <c r="AB96" i="15"/>
  <c r="AB97" i="15"/>
  <c r="Z91" i="15"/>
  <c r="AB91" i="15"/>
  <c r="Z92" i="15"/>
  <c r="AB92" i="15"/>
  <c r="AB93" i="15"/>
  <c r="AB94" i="15"/>
  <c r="AB95" i="15"/>
  <c r="AB90" i="15"/>
  <c r="AB88" i="15"/>
  <c r="AB89" i="15"/>
  <c r="AB77" i="15"/>
  <c r="AB78" i="15"/>
  <c r="AB79" i="15"/>
  <c r="AB80" i="15"/>
  <c r="AB81" i="15"/>
  <c r="AB82" i="15"/>
  <c r="AB83" i="15"/>
  <c r="AB84" i="15"/>
  <c r="AB85" i="15"/>
  <c r="AB86" i="15"/>
  <c r="AB87" i="15"/>
  <c r="Z57" i="15"/>
  <c r="AB57" i="15"/>
  <c r="Z58" i="15"/>
  <c r="AB58" i="15"/>
  <c r="Z59" i="15"/>
  <c r="AB59" i="15"/>
  <c r="Z60" i="15"/>
  <c r="AB60" i="15"/>
  <c r="Z61" i="15"/>
  <c r="AB61" i="15"/>
  <c r="Z62" i="15"/>
  <c r="AB62" i="15"/>
  <c r="Z63" i="15"/>
  <c r="AB63" i="15"/>
  <c r="Z64" i="15"/>
  <c r="AB64" i="15"/>
  <c r="Z65" i="15"/>
  <c r="AB65" i="15"/>
  <c r="Z66" i="15"/>
  <c r="AB66" i="15"/>
  <c r="AB67" i="15"/>
  <c r="AB68" i="15"/>
  <c r="Z69" i="15"/>
  <c r="AA69" i="15"/>
  <c r="AB69" i="15"/>
  <c r="Z70" i="15"/>
  <c r="AA70" i="15"/>
  <c r="AB70" i="15"/>
  <c r="AB71" i="15"/>
  <c r="Z72" i="15"/>
  <c r="AA72" i="15"/>
  <c r="AB72" i="15"/>
  <c r="Z73" i="15"/>
  <c r="AA73" i="15"/>
  <c r="AB73" i="15"/>
  <c r="AB74" i="15"/>
  <c r="AB75" i="15"/>
  <c r="AB7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17" i="15"/>
  <c r="AB18" i="15"/>
  <c r="AB19" i="15"/>
  <c r="AB20" i="15"/>
  <c r="AB21" i="15"/>
  <c r="AB22" i="15"/>
  <c r="AB23" i="15"/>
  <c r="AB24" i="15"/>
  <c r="AB25" i="15"/>
  <c r="AB26" i="15"/>
  <c r="AB13" i="15"/>
  <c r="AB14" i="15"/>
  <c r="AB15" i="15"/>
  <c r="AB16" i="15"/>
  <c r="Z12" i="15"/>
  <c r="AB12" i="15"/>
  <c r="AB6" i="15"/>
  <c r="AB7" i="15"/>
  <c r="AB8" i="15"/>
  <c r="AB9" i="15"/>
  <c r="AB10" i="15"/>
  <c r="AB11" i="15"/>
  <c r="Y319" i="15"/>
  <c r="Y320" i="15"/>
  <c r="Y321" i="15"/>
  <c r="Y322" i="15"/>
  <c r="Y323" i="15"/>
  <c r="Y324" i="15"/>
  <c r="W318" i="15"/>
  <c r="X318" i="15"/>
  <c r="Y318" i="15"/>
  <c r="W312" i="15"/>
  <c r="X312" i="15"/>
  <c r="Y312" i="15"/>
  <c r="W313" i="15"/>
  <c r="X313" i="15"/>
  <c r="Y313" i="15"/>
  <c r="W314" i="15"/>
  <c r="X314" i="15"/>
  <c r="Y314" i="15"/>
  <c r="Y315" i="15"/>
  <c r="Y316" i="15"/>
  <c r="Y317" i="15"/>
  <c r="W299" i="15"/>
  <c r="Y299" i="15"/>
  <c r="W300" i="15"/>
  <c r="Y300" i="15"/>
  <c r="W301" i="15"/>
  <c r="Y301" i="15"/>
  <c r="W302" i="15"/>
  <c r="Y302" i="15"/>
  <c r="W303" i="15"/>
  <c r="Y303" i="15"/>
  <c r="W304" i="15"/>
  <c r="Y304" i="15"/>
  <c r="W305" i="15"/>
  <c r="X305" i="15"/>
  <c r="Y305" i="15"/>
  <c r="W306" i="15"/>
  <c r="X306" i="15"/>
  <c r="Y306" i="15"/>
  <c r="W307" i="15"/>
  <c r="Y307" i="15"/>
  <c r="W308" i="15"/>
  <c r="Y308" i="15"/>
  <c r="Y309" i="15"/>
  <c r="W310" i="15"/>
  <c r="X310" i="15"/>
  <c r="Y310" i="15"/>
  <c r="W311" i="15"/>
  <c r="X311" i="15"/>
  <c r="Y311" i="15"/>
  <c r="W294" i="15"/>
  <c r="X294" i="15"/>
  <c r="Y294" i="15"/>
  <c r="W295" i="15"/>
  <c r="X295" i="15"/>
  <c r="Y295" i="15"/>
  <c r="W296" i="15"/>
  <c r="X296" i="15"/>
  <c r="Y296" i="15"/>
  <c r="W297" i="15"/>
  <c r="X297" i="15"/>
  <c r="Y297" i="15"/>
  <c r="W298" i="15"/>
  <c r="X298" i="15"/>
  <c r="Y298" i="15"/>
  <c r="Y292" i="15"/>
  <c r="Y293" i="15"/>
  <c r="Y291" i="15"/>
  <c r="Y290" i="15"/>
  <c r="W286" i="15"/>
  <c r="Y286" i="15"/>
  <c r="W287" i="15"/>
  <c r="Y287" i="15"/>
  <c r="W288" i="15"/>
  <c r="Y288" i="15"/>
  <c r="Y289" i="15"/>
  <c r="W284" i="15"/>
  <c r="X284" i="15"/>
  <c r="Y284" i="15"/>
  <c r="W285" i="15"/>
  <c r="X285" i="15"/>
  <c r="Y285" i="15"/>
  <c r="Y279" i="15"/>
  <c r="W280" i="15"/>
  <c r="X280" i="15"/>
  <c r="Y280" i="15"/>
  <c r="W281" i="15"/>
  <c r="X281" i="15"/>
  <c r="Y281" i="15"/>
  <c r="W282" i="15"/>
  <c r="X282" i="15"/>
  <c r="Y282" i="15"/>
  <c r="Y283" i="15"/>
  <c r="Y269" i="15"/>
  <c r="Y270" i="15"/>
  <c r="Y271" i="15"/>
  <c r="Y272" i="15"/>
  <c r="Y273" i="15"/>
  <c r="Y274" i="15"/>
  <c r="Y275" i="15"/>
  <c r="Y276" i="15"/>
  <c r="Y277" i="15"/>
  <c r="Y278" i="15"/>
  <c r="Y191" i="15"/>
  <c r="Y192" i="15"/>
  <c r="Y193" i="15"/>
  <c r="Y194" i="15"/>
  <c r="W195" i="15"/>
  <c r="X195" i="15"/>
  <c r="Y195" i="15"/>
  <c r="W196" i="15"/>
  <c r="X196" i="15"/>
  <c r="Y196" i="15"/>
  <c r="W197" i="15"/>
  <c r="X197" i="15"/>
  <c r="Y197" i="15"/>
  <c r="W198" i="15"/>
  <c r="X198" i="15"/>
  <c r="Y198" i="15"/>
  <c r="W199" i="15"/>
  <c r="X199" i="15"/>
  <c r="Y199" i="15"/>
  <c r="W200" i="15"/>
  <c r="X200" i="15"/>
  <c r="Y200" i="15"/>
  <c r="Y201" i="15"/>
  <c r="Y202" i="15"/>
  <c r="Y203" i="15"/>
  <c r="Y204" i="15"/>
  <c r="Y205" i="15"/>
  <c r="Y206" i="15"/>
  <c r="Y207" i="15"/>
  <c r="Y208" i="15"/>
  <c r="Y209" i="15"/>
  <c r="Y210" i="15"/>
  <c r="Y211" i="15"/>
  <c r="Y212" i="15"/>
  <c r="Y213" i="15"/>
  <c r="Y214" i="15"/>
  <c r="Y215" i="15"/>
  <c r="Y216" i="15"/>
  <c r="Y217" i="15"/>
  <c r="Y218" i="15"/>
  <c r="Y219" i="15"/>
  <c r="Y220" i="15"/>
  <c r="Y221" i="15"/>
  <c r="Y222" i="15"/>
  <c r="Y223" i="15"/>
  <c r="Y224" i="15"/>
  <c r="Y225" i="15"/>
  <c r="Y226" i="15"/>
  <c r="Y227" i="15"/>
  <c r="Y228" i="15"/>
  <c r="Y229" i="15"/>
  <c r="Y230" i="15"/>
  <c r="Y231" i="15"/>
  <c r="Y232" i="15"/>
  <c r="Y233" i="15"/>
  <c r="Y234" i="15"/>
  <c r="Y235" i="15"/>
  <c r="Y236" i="15"/>
  <c r="W237" i="15"/>
  <c r="Y237" i="15"/>
  <c r="W238" i="15"/>
  <c r="Y238" i="15"/>
  <c r="W239" i="15"/>
  <c r="Y239" i="15"/>
  <c r="W240" i="15"/>
  <c r="Y240" i="15"/>
  <c r="W241" i="15"/>
  <c r="Y241" i="15"/>
  <c r="W242" i="15"/>
  <c r="Y242" i="15"/>
  <c r="W243" i="15"/>
  <c r="Y243" i="15"/>
  <c r="W244" i="15"/>
  <c r="Y244" i="15"/>
  <c r="W245" i="15"/>
  <c r="Y245" i="15"/>
  <c r="W246" i="15"/>
  <c r="Y246" i="15"/>
  <c r="W247" i="15"/>
  <c r="Y247" i="15"/>
  <c r="W248" i="15"/>
  <c r="Y248" i="15"/>
  <c r="W249" i="15"/>
  <c r="Y249" i="15"/>
  <c r="W250" i="15"/>
  <c r="Y250" i="15"/>
  <c r="W251" i="15"/>
  <c r="Y251" i="15"/>
  <c r="Y252" i="15"/>
  <c r="Y253" i="15"/>
  <c r="Y254" i="15"/>
  <c r="Y255" i="15"/>
  <c r="Y256" i="15"/>
  <c r="Y257" i="15"/>
  <c r="Y258" i="15"/>
  <c r="Y259" i="15"/>
  <c r="Y260" i="15"/>
  <c r="Y261" i="15"/>
  <c r="Y262" i="15"/>
  <c r="Y263" i="15"/>
  <c r="Y264" i="15"/>
  <c r="Y265" i="15"/>
  <c r="Y266" i="15"/>
  <c r="Y267" i="15"/>
  <c r="Y268" i="15"/>
  <c r="Y186" i="15"/>
  <c r="Y187" i="15"/>
  <c r="Y188" i="15"/>
  <c r="Y189" i="15"/>
  <c r="Y190" i="15"/>
  <c r="Y169" i="15"/>
  <c r="Y170" i="15"/>
  <c r="Y171" i="15"/>
  <c r="Y172" i="15"/>
  <c r="Y173" i="15"/>
  <c r="Y174" i="15"/>
  <c r="Y175" i="15"/>
  <c r="Y176" i="15"/>
  <c r="W177" i="15"/>
  <c r="Y177" i="15"/>
  <c r="W178" i="15"/>
  <c r="Y178" i="15"/>
  <c r="Y179" i="15"/>
  <c r="Y180" i="15"/>
  <c r="W181" i="15"/>
  <c r="X181" i="15"/>
  <c r="Y181" i="15"/>
  <c r="W182" i="15"/>
  <c r="X182" i="15"/>
  <c r="Y182" i="15"/>
  <c r="W183" i="15"/>
  <c r="Y183" i="15"/>
  <c r="W184" i="15"/>
  <c r="Y184" i="15"/>
  <c r="Y185" i="15"/>
  <c r="Y166" i="15"/>
  <c r="W167" i="15"/>
  <c r="Y167" i="15"/>
  <c r="W168" i="15"/>
  <c r="Y168" i="15"/>
  <c r="Y143" i="15"/>
  <c r="Y144" i="15"/>
  <c r="Y145" i="15"/>
  <c r="Y146" i="15"/>
  <c r="Y147" i="15"/>
  <c r="Y148" i="15"/>
  <c r="Y149" i="15"/>
  <c r="Y150" i="15"/>
  <c r="Y151" i="15"/>
  <c r="Y152" i="15"/>
  <c r="Y153" i="15"/>
  <c r="Y154" i="15"/>
  <c r="Y155" i="15"/>
  <c r="Y156" i="15"/>
  <c r="Y157" i="15"/>
  <c r="Y158" i="15"/>
  <c r="Y159" i="15"/>
  <c r="Y160" i="15"/>
  <c r="W161" i="15"/>
  <c r="Y161" i="15"/>
  <c r="Y162" i="15"/>
  <c r="Y163" i="15"/>
  <c r="Y164" i="15"/>
  <c r="Y165" i="15"/>
  <c r="Y69" i="15"/>
  <c r="Y70" i="15"/>
  <c r="Y71" i="15"/>
  <c r="Y72" i="15"/>
  <c r="Y73" i="15"/>
  <c r="Y74" i="15"/>
  <c r="Y75" i="15"/>
  <c r="Y76" i="15"/>
  <c r="Y77" i="15"/>
  <c r="Y78" i="15"/>
  <c r="Y79" i="15"/>
  <c r="Y80" i="15"/>
  <c r="Y81" i="15"/>
  <c r="Y82" i="15"/>
  <c r="Y99" i="15"/>
  <c r="Y100" i="15"/>
  <c r="Y101" i="15"/>
  <c r="Y102" i="15"/>
  <c r="Y103" i="15"/>
  <c r="Y104" i="15"/>
  <c r="Y105" i="15"/>
  <c r="W106" i="15"/>
  <c r="Y106" i="15"/>
  <c r="W107" i="15"/>
  <c r="Y107" i="15"/>
  <c r="W108" i="15"/>
  <c r="Y108" i="15"/>
  <c r="W109" i="15"/>
  <c r="Y109" i="15"/>
  <c r="W110" i="15"/>
  <c r="Y110" i="15"/>
  <c r="W111" i="15"/>
  <c r="Y111" i="15"/>
  <c r="W112" i="15"/>
  <c r="Y112" i="15"/>
  <c r="W113" i="15"/>
  <c r="Y113" i="15"/>
  <c r="W114" i="15"/>
  <c r="Y114" i="15"/>
  <c r="W115" i="15"/>
  <c r="Y115" i="15"/>
  <c r="Y116" i="15"/>
  <c r="Y117" i="15"/>
  <c r="W118" i="15"/>
  <c r="X118" i="15"/>
  <c r="Y118" i="15"/>
  <c r="W119" i="15"/>
  <c r="X119" i="15"/>
  <c r="Y119" i="15"/>
  <c r="W120" i="15"/>
  <c r="X120" i="15"/>
  <c r="Y120" i="15"/>
  <c r="W121" i="15"/>
  <c r="X121" i="15"/>
  <c r="Y121" i="15"/>
  <c r="W122" i="15"/>
  <c r="X122" i="15"/>
  <c r="Y122" i="15"/>
  <c r="W123" i="15"/>
  <c r="X123" i="15"/>
  <c r="Y123" i="15"/>
  <c r="Y124" i="15"/>
  <c r="Y125" i="15"/>
  <c r="Y126" i="15"/>
  <c r="Y127" i="15"/>
  <c r="Y128" i="15"/>
  <c r="Y129" i="15"/>
  <c r="Y130" i="15"/>
  <c r="Y131" i="15"/>
  <c r="Y132" i="15"/>
  <c r="Y133" i="15"/>
  <c r="Y134" i="15"/>
  <c r="Y135" i="15"/>
  <c r="Y136" i="15"/>
  <c r="Y137" i="15"/>
  <c r="Y138" i="15"/>
  <c r="Y139" i="15"/>
  <c r="Y140" i="15"/>
  <c r="Y141" i="15"/>
  <c r="Y142" i="15"/>
  <c r="Y60" i="15"/>
  <c r="Y61" i="15"/>
  <c r="Y62" i="15"/>
  <c r="Y63" i="15"/>
  <c r="Y64" i="15"/>
  <c r="Y65" i="15"/>
  <c r="Y66" i="15"/>
  <c r="Y67" i="15"/>
  <c r="Y68" i="15"/>
  <c r="Y57" i="15"/>
  <c r="Y58" i="15"/>
  <c r="Y59" i="15"/>
  <c r="Y39" i="15"/>
  <c r="Y40" i="15"/>
  <c r="Y41" i="15"/>
  <c r="Y42" i="15"/>
  <c r="Y43" i="15"/>
  <c r="Y44" i="15"/>
  <c r="Y45" i="15"/>
  <c r="Y46" i="15"/>
  <c r="Y47" i="15"/>
  <c r="Y48" i="15"/>
  <c r="Y49" i="15"/>
  <c r="Y50" i="15"/>
  <c r="Y51" i="15"/>
  <c r="Y52" i="15"/>
  <c r="Y53" i="15"/>
  <c r="Y54" i="15"/>
  <c r="Y55" i="15"/>
  <c r="Y56" i="15"/>
  <c r="Y6" i="15"/>
  <c r="Y7" i="15"/>
  <c r="W8" i="15"/>
  <c r="X8" i="15"/>
  <c r="Y8" i="15"/>
  <c r="W9" i="15"/>
  <c r="X9" i="15"/>
  <c r="Y9" i="15"/>
  <c r="W10" i="15"/>
  <c r="X10" i="15"/>
  <c r="Y10" i="15"/>
  <c r="W11" i="15"/>
  <c r="X11" i="15"/>
  <c r="Y11" i="15"/>
  <c r="Y12" i="15"/>
  <c r="Y13" i="15"/>
  <c r="Y14" i="15"/>
  <c r="Y15" i="15"/>
  <c r="Y16" i="15"/>
  <c r="Y17" i="15"/>
  <c r="Y18" i="15"/>
  <c r="Y19" i="15"/>
  <c r="Y20" i="15"/>
  <c r="Y21" i="15"/>
  <c r="Y22" i="15"/>
  <c r="Y23" i="15"/>
  <c r="Y24" i="15"/>
  <c r="Y25" i="15"/>
  <c r="Y26" i="15"/>
  <c r="Y27" i="15"/>
  <c r="Y28" i="15"/>
  <c r="Y29" i="15"/>
  <c r="Y30" i="15"/>
  <c r="Y31" i="15"/>
  <c r="Y32" i="15"/>
  <c r="Y33" i="15"/>
  <c r="Y34" i="15"/>
  <c r="Y35" i="15"/>
  <c r="W36" i="15"/>
  <c r="X36" i="15"/>
  <c r="Y36" i="15"/>
  <c r="W37" i="15"/>
  <c r="Y37" i="15"/>
  <c r="W38" i="15"/>
  <c r="X38" i="15"/>
  <c r="Y38" i="15"/>
  <c r="V319" i="15"/>
  <c r="V320" i="15"/>
  <c r="V321" i="15"/>
  <c r="V322" i="15"/>
  <c r="V323" i="15"/>
  <c r="V324" i="15"/>
  <c r="T318" i="15"/>
  <c r="U318" i="15"/>
  <c r="V318" i="15"/>
  <c r="T312" i="15"/>
  <c r="U312" i="15"/>
  <c r="V312" i="15"/>
  <c r="T313" i="15"/>
  <c r="U313" i="15"/>
  <c r="V313" i="15"/>
  <c r="T314" i="15"/>
  <c r="U314" i="15"/>
  <c r="V314" i="15"/>
  <c r="V315" i="15"/>
  <c r="V316" i="15"/>
  <c r="V317" i="15"/>
  <c r="T299" i="15"/>
  <c r="V299" i="15"/>
  <c r="T300" i="15"/>
  <c r="V300" i="15"/>
  <c r="T301" i="15"/>
  <c r="V301" i="15"/>
  <c r="T302" i="15"/>
  <c r="V302" i="15"/>
  <c r="T303" i="15"/>
  <c r="V303" i="15"/>
  <c r="T304" i="15"/>
  <c r="V304" i="15"/>
  <c r="T305" i="15"/>
  <c r="U305" i="15"/>
  <c r="V305" i="15"/>
  <c r="T306" i="15"/>
  <c r="U306" i="15"/>
  <c r="V306" i="15"/>
  <c r="T307" i="15"/>
  <c r="V307" i="15"/>
  <c r="T308" i="15"/>
  <c r="V308" i="15"/>
  <c r="V309" i="15"/>
  <c r="T310" i="15"/>
  <c r="U310" i="15"/>
  <c r="V310" i="15"/>
  <c r="T311" i="15"/>
  <c r="U311" i="15"/>
  <c r="V311" i="15"/>
  <c r="T294" i="15"/>
  <c r="U294" i="15"/>
  <c r="V294" i="15"/>
  <c r="T295" i="15"/>
  <c r="U295" i="15"/>
  <c r="V295" i="15"/>
  <c r="T296" i="15"/>
  <c r="U296" i="15"/>
  <c r="V296" i="15"/>
  <c r="T297" i="15"/>
  <c r="U297" i="15"/>
  <c r="V297" i="15"/>
  <c r="T298" i="15"/>
  <c r="U298" i="15"/>
  <c r="V298" i="15"/>
  <c r="V292" i="15"/>
  <c r="V293" i="15"/>
  <c r="V291" i="15"/>
  <c r="V290" i="15"/>
  <c r="T286" i="15"/>
  <c r="V286" i="15"/>
  <c r="T287" i="15"/>
  <c r="V287" i="15"/>
  <c r="T288" i="15"/>
  <c r="V288" i="15"/>
  <c r="V289" i="15"/>
  <c r="T284" i="15"/>
  <c r="U284" i="15"/>
  <c r="V284" i="15"/>
  <c r="T285" i="15"/>
  <c r="U285" i="15"/>
  <c r="V285" i="15"/>
  <c r="V279" i="15"/>
  <c r="T280" i="15"/>
  <c r="U280" i="15"/>
  <c r="V280" i="15"/>
  <c r="T281" i="15"/>
  <c r="U281" i="15"/>
  <c r="V281" i="15"/>
  <c r="T282" i="15"/>
  <c r="U282" i="15"/>
  <c r="V282" i="15"/>
  <c r="V283" i="15"/>
  <c r="V269" i="15"/>
  <c r="V270" i="15"/>
  <c r="V271" i="15"/>
  <c r="V272" i="15"/>
  <c r="V273" i="15"/>
  <c r="V274" i="15"/>
  <c r="V275" i="15"/>
  <c r="V276" i="15"/>
  <c r="V277" i="15"/>
  <c r="V278" i="15"/>
  <c r="V191" i="15"/>
  <c r="V192" i="15"/>
  <c r="V193" i="15"/>
  <c r="V194" i="15"/>
  <c r="T195" i="15"/>
  <c r="U195" i="15"/>
  <c r="V195" i="15"/>
  <c r="T196" i="15"/>
  <c r="U196" i="15"/>
  <c r="V196" i="15"/>
  <c r="T197" i="15"/>
  <c r="U197" i="15"/>
  <c r="V197" i="15"/>
  <c r="T198" i="15"/>
  <c r="U198" i="15"/>
  <c r="V198" i="15"/>
  <c r="T199" i="15"/>
  <c r="U199" i="15"/>
  <c r="V199" i="15"/>
  <c r="T200" i="15"/>
  <c r="U200"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T237" i="15"/>
  <c r="V237" i="15"/>
  <c r="T238" i="15"/>
  <c r="V238" i="15"/>
  <c r="T239" i="15"/>
  <c r="V239" i="15"/>
  <c r="T240" i="15"/>
  <c r="V240" i="15"/>
  <c r="T241" i="15"/>
  <c r="V241" i="15"/>
  <c r="T242" i="15"/>
  <c r="V242" i="15"/>
  <c r="T243" i="15"/>
  <c r="V243" i="15"/>
  <c r="T244" i="15"/>
  <c r="V244" i="15"/>
  <c r="T245" i="15"/>
  <c r="V245" i="15"/>
  <c r="T246" i="15"/>
  <c r="V246" i="15"/>
  <c r="T247" i="15"/>
  <c r="V247" i="15"/>
  <c r="T248" i="15"/>
  <c r="V248" i="15"/>
  <c r="T249" i="15"/>
  <c r="V249" i="15"/>
  <c r="T250" i="15"/>
  <c r="V250" i="15"/>
  <c r="T251" i="15"/>
  <c r="V251" i="15"/>
  <c r="V252" i="15"/>
  <c r="V253" i="15"/>
  <c r="V254" i="15"/>
  <c r="V255" i="15"/>
  <c r="V256" i="15"/>
  <c r="V257" i="15"/>
  <c r="V258" i="15"/>
  <c r="V259" i="15"/>
  <c r="V260" i="15"/>
  <c r="V261" i="15"/>
  <c r="V262" i="15"/>
  <c r="V263" i="15"/>
  <c r="V264" i="15"/>
  <c r="V265" i="15"/>
  <c r="V266" i="15"/>
  <c r="V267" i="15"/>
  <c r="V268" i="15"/>
  <c r="V186" i="15"/>
  <c r="V187" i="15"/>
  <c r="V188" i="15"/>
  <c r="V189" i="15"/>
  <c r="V190" i="15"/>
  <c r="T169" i="15"/>
  <c r="V169" i="15"/>
  <c r="V170" i="15"/>
  <c r="V171" i="15"/>
  <c r="V172" i="15"/>
  <c r="V173" i="15"/>
  <c r="V174" i="15"/>
  <c r="V175" i="15"/>
  <c r="V176" i="15"/>
  <c r="T177" i="15"/>
  <c r="V177" i="15"/>
  <c r="T178" i="15"/>
  <c r="V178" i="15"/>
  <c r="V179" i="15"/>
  <c r="V180" i="15"/>
  <c r="T181" i="15"/>
  <c r="U181" i="15"/>
  <c r="V181" i="15"/>
  <c r="T182" i="15"/>
  <c r="U182" i="15"/>
  <c r="V182" i="15"/>
  <c r="T183" i="15"/>
  <c r="V183" i="15"/>
  <c r="T184" i="15"/>
  <c r="V184" i="15"/>
  <c r="V185" i="15"/>
  <c r="V166" i="15"/>
  <c r="V167" i="15"/>
  <c r="V168" i="15"/>
  <c r="V143" i="15"/>
  <c r="V144" i="15"/>
  <c r="V145" i="15"/>
  <c r="V146" i="15"/>
  <c r="V147" i="15"/>
  <c r="V148" i="15"/>
  <c r="V149" i="15"/>
  <c r="V150" i="15"/>
  <c r="V151" i="15"/>
  <c r="V152" i="15"/>
  <c r="V153" i="15"/>
  <c r="V154" i="15"/>
  <c r="V155" i="15"/>
  <c r="V156" i="15"/>
  <c r="V157" i="15"/>
  <c r="V158" i="15"/>
  <c r="V159" i="15"/>
  <c r="V160" i="15"/>
  <c r="T161" i="15"/>
  <c r="V161" i="15"/>
  <c r="V162" i="15"/>
  <c r="V163" i="15"/>
  <c r="V164" i="15"/>
  <c r="V165" i="15"/>
  <c r="V69" i="15"/>
  <c r="V70" i="15"/>
  <c r="V71" i="15"/>
  <c r="V72" i="15"/>
  <c r="V73" i="15"/>
  <c r="V74" i="15"/>
  <c r="V75" i="15"/>
  <c r="V76" i="15"/>
  <c r="V77" i="15"/>
  <c r="V78" i="15"/>
  <c r="V79" i="15"/>
  <c r="V80" i="15"/>
  <c r="V81" i="15"/>
  <c r="V82" i="15"/>
  <c r="V99" i="15"/>
  <c r="V100" i="15"/>
  <c r="V101" i="15"/>
  <c r="V102" i="15"/>
  <c r="V103" i="15"/>
  <c r="V104" i="15"/>
  <c r="V105" i="15"/>
  <c r="T106" i="15"/>
  <c r="V106" i="15"/>
  <c r="T107" i="15"/>
  <c r="V107" i="15"/>
  <c r="T108" i="15"/>
  <c r="V108" i="15"/>
  <c r="T109" i="15"/>
  <c r="V109" i="15"/>
  <c r="T110" i="15"/>
  <c r="V110" i="15"/>
  <c r="T111" i="15"/>
  <c r="V111" i="15"/>
  <c r="T112" i="15"/>
  <c r="V112" i="15"/>
  <c r="T113" i="15"/>
  <c r="V113" i="15"/>
  <c r="T114" i="15"/>
  <c r="V114" i="15"/>
  <c r="T115" i="15"/>
  <c r="V115" i="15"/>
  <c r="V116" i="15"/>
  <c r="V117" i="15"/>
  <c r="T118" i="15"/>
  <c r="U118" i="15"/>
  <c r="V118" i="15"/>
  <c r="T119" i="15"/>
  <c r="U119" i="15"/>
  <c r="V119" i="15"/>
  <c r="V120" i="15"/>
  <c r="T121" i="15"/>
  <c r="U121" i="15"/>
  <c r="V121" i="15"/>
  <c r="T122" i="15"/>
  <c r="U122" i="15"/>
  <c r="V122" i="15"/>
  <c r="T123" i="15"/>
  <c r="U123" i="15"/>
  <c r="V123" i="15"/>
  <c r="T124" i="15"/>
  <c r="U124" i="15"/>
  <c r="V124" i="15"/>
  <c r="T125" i="15"/>
  <c r="U125" i="15"/>
  <c r="V125" i="15"/>
  <c r="T126" i="15"/>
  <c r="U126" i="15"/>
  <c r="V126" i="15"/>
  <c r="V127" i="15"/>
  <c r="V128" i="15"/>
  <c r="V129" i="15"/>
  <c r="V130" i="15"/>
  <c r="V131" i="15"/>
  <c r="V132" i="15"/>
  <c r="V133" i="15"/>
  <c r="V134" i="15"/>
  <c r="V135" i="15"/>
  <c r="V136" i="15"/>
  <c r="V137" i="15"/>
  <c r="V138" i="15"/>
  <c r="V139" i="15"/>
  <c r="V140" i="15"/>
  <c r="V141" i="15"/>
  <c r="V142" i="15"/>
  <c r="V60" i="15"/>
  <c r="V61" i="15"/>
  <c r="V62" i="15"/>
  <c r="V63" i="15"/>
  <c r="V64" i="15"/>
  <c r="V65" i="15"/>
  <c r="V66" i="15"/>
  <c r="V67" i="15"/>
  <c r="V68" i="15"/>
  <c r="V57" i="15"/>
  <c r="V58" i="15"/>
  <c r="V59" i="15"/>
  <c r="V39" i="15"/>
  <c r="V40" i="15"/>
  <c r="V41" i="15"/>
  <c r="V42" i="15"/>
  <c r="V43" i="15"/>
  <c r="V44" i="15"/>
  <c r="V45" i="15"/>
  <c r="V46" i="15"/>
  <c r="V47" i="15"/>
  <c r="V48" i="15"/>
  <c r="V49" i="15"/>
  <c r="V50" i="15"/>
  <c r="V51" i="15"/>
  <c r="V52" i="15"/>
  <c r="V53" i="15"/>
  <c r="V54" i="15"/>
  <c r="V55" i="15"/>
  <c r="V56" i="15"/>
  <c r="T6" i="15"/>
  <c r="U6" i="15"/>
  <c r="V6" i="15"/>
  <c r="T7" i="15"/>
  <c r="U7" i="15"/>
  <c r="V7" i="15"/>
  <c r="T8" i="15"/>
  <c r="U8" i="15"/>
  <c r="V8" i="15"/>
  <c r="T9" i="15"/>
  <c r="U9" i="15"/>
  <c r="V9" i="15"/>
  <c r="T10" i="15"/>
  <c r="U10" i="15"/>
  <c r="V10" i="15"/>
  <c r="T11" i="15"/>
  <c r="U11"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T36" i="15"/>
  <c r="U36" i="15"/>
  <c r="V36" i="15"/>
  <c r="T37" i="15"/>
  <c r="V37" i="15"/>
  <c r="T38" i="15"/>
  <c r="U38" i="15"/>
  <c r="V38" i="15"/>
  <c r="S137" i="15"/>
  <c r="S138" i="15"/>
  <c r="S139" i="15"/>
  <c r="S140" i="15"/>
  <c r="S141" i="15"/>
  <c r="S142" i="15"/>
  <c r="Q143" i="15"/>
  <c r="R143" i="15"/>
  <c r="S143" i="15"/>
  <c r="Q144" i="15"/>
  <c r="S144" i="15"/>
  <c r="S128" i="15"/>
  <c r="R129" i="15"/>
  <c r="S129" i="15"/>
  <c r="R130" i="15"/>
  <c r="S130" i="15"/>
  <c r="S131" i="15"/>
  <c r="S132" i="15"/>
  <c r="S133" i="15"/>
  <c r="S134" i="15"/>
  <c r="Q135" i="15"/>
  <c r="R135" i="15"/>
  <c r="S135" i="15"/>
  <c r="Q136" i="15"/>
  <c r="R136" i="15"/>
  <c r="S136" i="15"/>
  <c r="Q126" i="15"/>
  <c r="R126" i="15"/>
  <c r="S126" i="15"/>
  <c r="Q127" i="15"/>
  <c r="R127" i="15"/>
  <c r="S127" i="15"/>
  <c r="S115" i="15"/>
  <c r="S116" i="15"/>
  <c r="S117" i="15"/>
  <c r="S118" i="15"/>
  <c r="S119" i="15"/>
  <c r="Q120" i="15"/>
  <c r="R120" i="15"/>
  <c r="S120" i="15"/>
  <c r="Q121" i="15"/>
  <c r="R121" i="15"/>
  <c r="S121" i="15"/>
  <c r="Q122" i="15"/>
  <c r="R122" i="15"/>
  <c r="S122" i="15"/>
  <c r="Q123" i="15"/>
  <c r="R123" i="15"/>
  <c r="S123" i="15"/>
  <c r="Q124" i="15"/>
  <c r="R124" i="15"/>
  <c r="S124" i="15"/>
  <c r="Q125" i="15"/>
  <c r="R125" i="15"/>
  <c r="S125" i="15"/>
  <c r="S113" i="15"/>
  <c r="S114" i="15"/>
  <c r="Q100" i="15"/>
  <c r="S100" i="15"/>
  <c r="Q101" i="15"/>
  <c r="S101" i="15"/>
  <c r="Q102" i="15"/>
  <c r="S102" i="15"/>
  <c r="Q103" i="15"/>
  <c r="S103" i="15"/>
  <c r="S104" i="15"/>
  <c r="S105" i="15"/>
  <c r="S106" i="15"/>
  <c r="S107" i="15"/>
  <c r="S108" i="15"/>
  <c r="S109" i="15"/>
  <c r="S110" i="15"/>
  <c r="S111" i="15"/>
  <c r="S112" i="15"/>
  <c r="S79" i="15"/>
  <c r="S80" i="15"/>
  <c r="S81" i="15"/>
  <c r="S82" i="15"/>
  <c r="S83" i="15"/>
  <c r="S84" i="15"/>
  <c r="S85" i="15"/>
  <c r="S86" i="15"/>
  <c r="S87" i="15"/>
  <c r="S88" i="15"/>
  <c r="S89" i="15"/>
  <c r="S90" i="15"/>
  <c r="S91" i="15"/>
  <c r="S92" i="15"/>
  <c r="S93" i="15"/>
  <c r="S94" i="15"/>
  <c r="S95" i="15"/>
  <c r="S96" i="15"/>
  <c r="S97" i="15"/>
  <c r="S98" i="15"/>
  <c r="S99" i="15"/>
  <c r="S77" i="15"/>
  <c r="S78" i="15"/>
  <c r="S73" i="15"/>
  <c r="S74" i="15"/>
  <c r="S75" i="15"/>
  <c r="S76" i="15"/>
  <c r="S64" i="15"/>
  <c r="S65" i="15"/>
  <c r="S66" i="15"/>
  <c r="S67" i="15"/>
  <c r="S68" i="15"/>
  <c r="S69" i="15"/>
  <c r="S70" i="15"/>
  <c r="S71" i="15"/>
  <c r="S72" i="15"/>
  <c r="Q62" i="15"/>
  <c r="S62" i="15"/>
  <c r="Q63" i="15"/>
  <c r="S63" i="15"/>
  <c r="S56" i="15"/>
  <c r="S57" i="15"/>
  <c r="S58" i="15"/>
  <c r="S59" i="15"/>
  <c r="Q60" i="15"/>
  <c r="S60" i="15"/>
  <c r="Q61" i="15"/>
  <c r="S61" i="15"/>
  <c r="S52" i="15"/>
  <c r="S53" i="15"/>
  <c r="S54" i="15"/>
  <c r="S55" i="15"/>
  <c r="Q47" i="15"/>
  <c r="R47" i="15"/>
  <c r="S47" i="15"/>
  <c r="Q48" i="15"/>
  <c r="R48" i="15"/>
  <c r="S48" i="15"/>
  <c r="Q49" i="15"/>
  <c r="R49" i="15"/>
  <c r="S49" i="15"/>
  <c r="Q50" i="15"/>
  <c r="R50" i="15"/>
  <c r="S50" i="15"/>
  <c r="Q51" i="15"/>
  <c r="R51" i="15"/>
  <c r="S51" i="15"/>
  <c r="Q41" i="15"/>
  <c r="S41" i="15"/>
  <c r="Q42" i="15"/>
  <c r="S42" i="15"/>
  <c r="Q43" i="15"/>
  <c r="S43" i="15"/>
  <c r="Q44" i="15"/>
  <c r="S44" i="15"/>
  <c r="Q45" i="15"/>
  <c r="S45" i="15"/>
  <c r="Q46" i="15"/>
  <c r="S46" i="15"/>
  <c r="S35" i="15"/>
  <c r="S36" i="15"/>
  <c r="S37" i="15"/>
  <c r="S38" i="15"/>
  <c r="S39" i="15"/>
  <c r="S40" i="15"/>
  <c r="S29" i="15"/>
  <c r="S30" i="15"/>
  <c r="S31" i="15"/>
  <c r="S32" i="15"/>
  <c r="S33" i="15"/>
  <c r="S34" i="15"/>
  <c r="S11" i="15"/>
  <c r="S12" i="15"/>
  <c r="S13" i="15"/>
  <c r="S14" i="15"/>
  <c r="S15" i="15"/>
  <c r="S16" i="15"/>
  <c r="S17" i="15"/>
  <c r="S18" i="15"/>
  <c r="S19" i="15"/>
  <c r="S20" i="15"/>
  <c r="S21" i="15"/>
  <c r="S22" i="15"/>
  <c r="S23" i="15"/>
  <c r="S24" i="15"/>
  <c r="S25" i="15"/>
  <c r="S26" i="15"/>
  <c r="S27" i="15"/>
  <c r="S28" i="15"/>
  <c r="S8" i="15"/>
  <c r="S9" i="15"/>
  <c r="Q10" i="15"/>
  <c r="R10" i="15"/>
  <c r="S10" i="15"/>
  <c r="Q6" i="15"/>
  <c r="S6" i="15"/>
  <c r="S7" i="15"/>
  <c r="P137" i="15"/>
  <c r="P138" i="15"/>
  <c r="P139" i="15"/>
  <c r="P140" i="15"/>
  <c r="P141" i="15"/>
  <c r="P142" i="15"/>
  <c r="N143" i="15"/>
  <c r="O143" i="15"/>
  <c r="P143" i="15"/>
  <c r="N144" i="15"/>
  <c r="P144" i="15"/>
  <c r="P128" i="15"/>
  <c r="O129" i="15"/>
  <c r="P129" i="15"/>
  <c r="O130" i="15"/>
  <c r="P130" i="15"/>
  <c r="P131" i="15"/>
  <c r="P132" i="15"/>
  <c r="P133" i="15"/>
  <c r="P134" i="15"/>
  <c r="N135" i="15"/>
  <c r="O135" i="15"/>
  <c r="P135" i="15"/>
  <c r="N136" i="15"/>
  <c r="O136" i="15"/>
  <c r="P136" i="15"/>
  <c r="N126" i="15"/>
  <c r="O126" i="15"/>
  <c r="P126" i="15"/>
  <c r="N127" i="15"/>
  <c r="O127" i="15"/>
  <c r="P127" i="15"/>
  <c r="P115" i="15"/>
  <c r="P116" i="15"/>
  <c r="P117" i="15"/>
  <c r="P118" i="15"/>
  <c r="P119" i="15"/>
  <c r="N120" i="15"/>
  <c r="O120" i="15"/>
  <c r="P120" i="15"/>
  <c r="N121" i="15"/>
  <c r="O121" i="15"/>
  <c r="P121" i="15"/>
  <c r="N122" i="15"/>
  <c r="O122" i="15"/>
  <c r="P122" i="15"/>
  <c r="N123" i="15"/>
  <c r="O123" i="15"/>
  <c r="P123" i="15"/>
  <c r="N124" i="15"/>
  <c r="O124" i="15"/>
  <c r="P124" i="15"/>
  <c r="N125" i="15"/>
  <c r="O125" i="15"/>
  <c r="P125" i="15"/>
  <c r="P113" i="15"/>
  <c r="P114" i="15"/>
  <c r="N100" i="15"/>
  <c r="P100" i="15"/>
  <c r="N101" i="15"/>
  <c r="P101" i="15"/>
  <c r="N102" i="15"/>
  <c r="P102" i="15"/>
  <c r="N103" i="15"/>
  <c r="P103" i="15"/>
  <c r="P104" i="15"/>
  <c r="P105" i="15"/>
  <c r="P106" i="15"/>
  <c r="P107" i="15"/>
  <c r="P108" i="15"/>
  <c r="P109" i="15"/>
  <c r="P110" i="15"/>
  <c r="P111" i="15"/>
  <c r="P112" i="15"/>
  <c r="P79" i="15"/>
  <c r="P80" i="15"/>
  <c r="P81" i="15"/>
  <c r="P82" i="15"/>
  <c r="P83" i="15"/>
  <c r="P84" i="15"/>
  <c r="P85" i="15"/>
  <c r="P86" i="15"/>
  <c r="P87" i="15"/>
  <c r="P88" i="15"/>
  <c r="P89" i="15"/>
  <c r="P90" i="15"/>
  <c r="P91" i="15"/>
  <c r="P92" i="15"/>
  <c r="P93" i="15"/>
  <c r="P94" i="15"/>
  <c r="P95" i="15"/>
  <c r="P96" i="15"/>
  <c r="P97" i="15"/>
  <c r="P98" i="15"/>
  <c r="P99" i="15"/>
  <c r="P77" i="15"/>
  <c r="P78" i="15"/>
  <c r="P73" i="15"/>
  <c r="P74" i="15"/>
  <c r="P75" i="15"/>
  <c r="P76" i="15"/>
  <c r="P64" i="15"/>
  <c r="P65" i="15"/>
  <c r="P66" i="15"/>
  <c r="P67" i="15"/>
  <c r="P68" i="15"/>
  <c r="P69" i="15"/>
  <c r="P70" i="15"/>
  <c r="P71" i="15"/>
  <c r="P72" i="15"/>
  <c r="N62" i="15"/>
  <c r="P62" i="15"/>
  <c r="N63" i="15"/>
  <c r="P63" i="15"/>
  <c r="P56" i="15"/>
  <c r="P57" i="15"/>
  <c r="P58" i="15"/>
  <c r="P59" i="15"/>
  <c r="P60" i="15"/>
  <c r="P61" i="15"/>
  <c r="P52" i="15"/>
  <c r="P53" i="15"/>
  <c r="P54" i="15"/>
  <c r="P55" i="15"/>
  <c r="N47" i="15"/>
  <c r="O47" i="15"/>
  <c r="P47" i="15"/>
  <c r="N48" i="15"/>
  <c r="O48" i="15"/>
  <c r="P48" i="15"/>
  <c r="P49" i="15"/>
  <c r="N50" i="15"/>
  <c r="O50" i="15"/>
  <c r="P50" i="15"/>
  <c r="N51" i="15"/>
  <c r="O51" i="15"/>
  <c r="P51" i="15"/>
  <c r="N41" i="15"/>
  <c r="P41" i="15"/>
  <c r="N42" i="15"/>
  <c r="P42" i="15"/>
  <c r="N43" i="15"/>
  <c r="P43" i="15"/>
  <c r="N44" i="15"/>
  <c r="P44" i="15"/>
  <c r="N45" i="15"/>
  <c r="P45" i="15"/>
  <c r="N46" i="15"/>
  <c r="P46" i="15"/>
  <c r="P35" i="15"/>
  <c r="P36" i="15"/>
  <c r="P37" i="15"/>
  <c r="P38" i="15"/>
  <c r="P39" i="15"/>
  <c r="P40" i="15"/>
  <c r="P29" i="15"/>
  <c r="P30" i="15"/>
  <c r="P31" i="15"/>
  <c r="P32" i="15"/>
  <c r="P33" i="15"/>
  <c r="P34" i="15"/>
  <c r="P11" i="15"/>
  <c r="P12" i="15"/>
  <c r="P13" i="15"/>
  <c r="P14" i="15"/>
  <c r="P15" i="15"/>
  <c r="P16" i="15"/>
  <c r="P17" i="15"/>
  <c r="P18" i="15"/>
  <c r="P19" i="15"/>
  <c r="P20" i="15"/>
  <c r="P21" i="15"/>
  <c r="P22" i="15"/>
  <c r="P23" i="15"/>
  <c r="P24" i="15"/>
  <c r="P25" i="15"/>
  <c r="P26" i="15"/>
  <c r="P27" i="15"/>
  <c r="P28" i="15"/>
  <c r="P8" i="15"/>
  <c r="P9" i="15"/>
  <c r="N10" i="15"/>
  <c r="O10" i="15"/>
  <c r="P10" i="15"/>
  <c r="P6" i="15"/>
  <c r="P7" i="15"/>
  <c r="M96" i="15"/>
  <c r="M97" i="15"/>
  <c r="M98" i="15"/>
  <c r="M99" i="15"/>
  <c r="K100" i="15"/>
  <c r="M100" i="15"/>
  <c r="K101" i="15"/>
  <c r="M101" i="15"/>
  <c r="K102" i="15"/>
  <c r="L102" i="15"/>
  <c r="M102" i="15"/>
  <c r="K103" i="15"/>
  <c r="M103" i="15"/>
  <c r="M87" i="15"/>
  <c r="L88" i="15"/>
  <c r="M88" i="15"/>
  <c r="L89" i="15"/>
  <c r="M89" i="15"/>
  <c r="M90" i="15"/>
  <c r="M91" i="15"/>
  <c r="M92" i="15"/>
  <c r="M93" i="15"/>
  <c r="M94" i="15"/>
  <c r="M95" i="15"/>
  <c r="K85" i="15"/>
  <c r="L85" i="15"/>
  <c r="M85" i="15"/>
  <c r="K86" i="15"/>
  <c r="L86" i="15"/>
  <c r="M86" i="15"/>
  <c r="M80" i="15"/>
  <c r="M81" i="15"/>
  <c r="M82" i="15"/>
  <c r="M83" i="15"/>
  <c r="M84" i="15"/>
  <c r="M78" i="15"/>
  <c r="M79" i="15"/>
  <c r="M70" i="15"/>
  <c r="M71" i="15"/>
  <c r="M72" i="15"/>
  <c r="M73" i="15"/>
  <c r="M74" i="15"/>
  <c r="M75" i="15"/>
  <c r="M76" i="15"/>
  <c r="M77" i="15"/>
  <c r="M49" i="15"/>
  <c r="M50" i="15"/>
  <c r="M51" i="15"/>
  <c r="M52" i="15"/>
  <c r="M53" i="15"/>
  <c r="M54" i="15"/>
  <c r="M55" i="15"/>
  <c r="M56" i="15"/>
  <c r="M57" i="15"/>
  <c r="M58" i="15"/>
  <c r="M59" i="15"/>
  <c r="M60" i="15"/>
  <c r="M61" i="15"/>
  <c r="M62" i="15"/>
  <c r="M63" i="15"/>
  <c r="M64" i="15"/>
  <c r="M65" i="15"/>
  <c r="M66" i="15"/>
  <c r="M67" i="15"/>
  <c r="M68" i="15"/>
  <c r="M69" i="15"/>
  <c r="M48" i="15"/>
  <c r="M44" i="15"/>
  <c r="M45" i="15"/>
  <c r="M46" i="15"/>
  <c r="M47" i="15"/>
  <c r="M40" i="15"/>
  <c r="M41" i="15"/>
  <c r="M42" i="15"/>
  <c r="M43" i="15"/>
  <c r="M38" i="15"/>
  <c r="M39" i="15"/>
  <c r="M32" i="15"/>
  <c r="M33" i="15"/>
  <c r="M34" i="15"/>
  <c r="M35" i="15"/>
  <c r="M36" i="15"/>
  <c r="M37" i="15"/>
  <c r="M26" i="15"/>
  <c r="M27" i="15"/>
  <c r="M28" i="15"/>
  <c r="M29" i="15"/>
  <c r="M30" i="15"/>
  <c r="M31" i="15"/>
  <c r="M8" i="15"/>
  <c r="M9" i="15"/>
  <c r="M10" i="15"/>
  <c r="M11" i="15"/>
  <c r="M12" i="15"/>
  <c r="M13" i="15"/>
  <c r="M14" i="15"/>
  <c r="M15" i="15"/>
  <c r="M16" i="15"/>
  <c r="M17" i="15"/>
  <c r="M18" i="15"/>
  <c r="M19" i="15"/>
  <c r="M20" i="15"/>
  <c r="M21" i="15"/>
  <c r="M22" i="15"/>
  <c r="M23" i="15"/>
  <c r="M24" i="15"/>
  <c r="M25" i="15"/>
  <c r="M6" i="15"/>
  <c r="M7" i="15"/>
  <c r="J96" i="15"/>
  <c r="J97" i="15"/>
  <c r="J98" i="15"/>
  <c r="J99" i="15"/>
  <c r="H100" i="15"/>
  <c r="J100" i="15"/>
  <c r="H101" i="15"/>
  <c r="J101" i="15"/>
  <c r="H102" i="15"/>
  <c r="I102" i="15"/>
  <c r="J102" i="15"/>
  <c r="H103" i="15"/>
  <c r="J103" i="15"/>
  <c r="J87" i="15"/>
  <c r="I88" i="15"/>
  <c r="J88" i="15"/>
  <c r="I89" i="15"/>
  <c r="J89" i="15"/>
  <c r="J90" i="15"/>
  <c r="J91" i="15"/>
  <c r="J92" i="15"/>
  <c r="J93" i="15"/>
  <c r="J94" i="15"/>
  <c r="J95" i="15"/>
  <c r="H85" i="15"/>
  <c r="I85" i="15"/>
  <c r="J85" i="15"/>
  <c r="H86" i="15"/>
  <c r="I86" i="15"/>
  <c r="J86" i="15"/>
  <c r="J80" i="15"/>
  <c r="J81" i="15"/>
  <c r="J82" i="15"/>
  <c r="J83" i="15"/>
  <c r="J84" i="15"/>
  <c r="J78" i="15"/>
  <c r="J79" i="15"/>
  <c r="J70" i="15"/>
  <c r="J71" i="15"/>
  <c r="J72" i="15"/>
  <c r="J73" i="15"/>
  <c r="J74" i="15"/>
  <c r="J75" i="15"/>
  <c r="J76" i="15"/>
  <c r="J77" i="15"/>
  <c r="J49" i="15"/>
  <c r="J50" i="15"/>
  <c r="J51" i="15"/>
  <c r="J52" i="15"/>
  <c r="J53" i="15"/>
  <c r="J54" i="15"/>
  <c r="J55" i="15"/>
  <c r="J56" i="15"/>
  <c r="J57" i="15"/>
  <c r="J58" i="15"/>
  <c r="J59" i="15"/>
  <c r="J60" i="15"/>
  <c r="J61" i="15"/>
  <c r="J62" i="15"/>
  <c r="J63" i="15"/>
  <c r="J64" i="15"/>
  <c r="J65" i="15"/>
  <c r="J66" i="15"/>
  <c r="J67" i="15"/>
  <c r="J68" i="15"/>
  <c r="J69" i="15"/>
  <c r="J48" i="15"/>
  <c r="J44" i="15"/>
  <c r="J45" i="15"/>
  <c r="J46" i="15"/>
  <c r="J47" i="15"/>
  <c r="J40" i="15"/>
  <c r="J41" i="15"/>
  <c r="J42" i="15"/>
  <c r="J43" i="15"/>
  <c r="J38" i="15"/>
  <c r="J39" i="15"/>
  <c r="J32" i="15"/>
  <c r="J33" i="15"/>
  <c r="J34" i="15"/>
  <c r="J35" i="15"/>
  <c r="J36" i="15"/>
  <c r="J37" i="15"/>
  <c r="J26" i="15"/>
  <c r="J27" i="15"/>
  <c r="J28" i="15"/>
  <c r="J29" i="15"/>
  <c r="J30" i="15"/>
  <c r="J31" i="15"/>
  <c r="J8" i="15"/>
  <c r="J9" i="15"/>
  <c r="J10" i="15"/>
  <c r="J11" i="15"/>
  <c r="J12" i="15"/>
  <c r="J13" i="15"/>
  <c r="J14" i="15"/>
  <c r="J15" i="15"/>
  <c r="J16" i="15"/>
  <c r="J17" i="15"/>
  <c r="J18" i="15"/>
  <c r="J19" i="15"/>
  <c r="J20" i="15"/>
  <c r="J21" i="15"/>
  <c r="J22" i="15"/>
  <c r="J23" i="15"/>
  <c r="J24" i="15"/>
  <c r="J25" i="15"/>
  <c r="J6" i="15"/>
  <c r="J7" i="15"/>
  <c r="G96" i="15"/>
  <c r="G97" i="15"/>
  <c r="G98" i="15"/>
  <c r="G99" i="15"/>
  <c r="G100" i="15"/>
  <c r="G101" i="15"/>
  <c r="E102" i="15"/>
  <c r="F102" i="15"/>
  <c r="G102" i="15"/>
  <c r="E103" i="15"/>
  <c r="G103" i="15"/>
  <c r="G87" i="15"/>
  <c r="F88" i="15"/>
  <c r="G88" i="15"/>
  <c r="F89" i="15"/>
  <c r="G89" i="15"/>
  <c r="G90" i="15"/>
  <c r="G91" i="15"/>
  <c r="G92" i="15"/>
  <c r="G93" i="15"/>
  <c r="E94" i="15"/>
  <c r="F94" i="15"/>
  <c r="G94" i="15"/>
  <c r="E95" i="15"/>
  <c r="F95" i="15"/>
  <c r="G95" i="15"/>
  <c r="E85" i="15"/>
  <c r="F85" i="15"/>
  <c r="G85" i="15"/>
  <c r="E86" i="15"/>
  <c r="F86" i="15"/>
  <c r="G86" i="15"/>
  <c r="G80" i="15"/>
  <c r="G81" i="15"/>
  <c r="G82" i="15"/>
  <c r="G83" i="15"/>
  <c r="G84" i="15"/>
  <c r="G78" i="15"/>
  <c r="G79" i="15"/>
  <c r="G70" i="15"/>
  <c r="G71" i="15"/>
  <c r="G72" i="15"/>
  <c r="G73" i="15"/>
  <c r="G74" i="15"/>
  <c r="G75" i="15"/>
  <c r="G76" i="15"/>
  <c r="G77" i="15"/>
  <c r="G49" i="15"/>
  <c r="G50" i="15"/>
  <c r="G51" i="15"/>
  <c r="G52" i="15"/>
  <c r="G53" i="15"/>
  <c r="G54" i="15"/>
  <c r="G55" i="15"/>
  <c r="G56" i="15"/>
  <c r="G57" i="15"/>
  <c r="G58" i="15"/>
  <c r="G59" i="15"/>
  <c r="G60" i="15"/>
  <c r="G61" i="15"/>
  <c r="G62" i="15"/>
  <c r="G63" i="15"/>
  <c r="G64" i="15"/>
  <c r="G65" i="15"/>
  <c r="G66" i="15"/>
  <c r="G67" i="15"/>
  <c r="G68" i="15"/>
  <c r="G69" i="15"/>
  <c r="G48" i="15"/>
  <c r="G44" i="15"/>
  <c r="G45" i="15"/>
  <c r="G46" i="15"/>
  <c r="G47" i="15"/>
  <c r="G40" i="15"/>
  <c r="G41" i="15"/>
  <c r="G42" i="15"/>
  <c r="G43" i="15"/>
  <c r="G38" i="15"/>
  <c r="G39" i="15"/>
  <c r="G32" i="15"/>
  <c r="G33" i="15"/>
  <c r="G34" i="15"/>
  <c r="G35" i="15"/>
  <c r="G36" i="15"/>
  <c r="G37" i="15"/>
  <c r="G26" i="15"/>
  <c r="G27" i="15"/>
  <c r="G28" i="15"/>
  <c r="G29" i="15"/>
  <c r="G30" i="15"/>
  <c r="G31" i="15"/>
  <c r="G8" i="15"/>
  <c r="G9" i="15"/>
  <c r="G10" i="15"/>
  <c r="G11" i="15"/>
  <c r="G12" i="15"/>
  <c r="G13" i="15"/>
  <c r="G14" i="15"/>
  <c r="G15" i="15"/>
  <c r="G16" i="15"/>
  <c r="G17" i="15"/>
  <c r="G18" i="15"/>
  <c r="G19" i="15"/>
  <c r="G20" i="15"/>
  <c r="G21" i="15"/>
  <c r="G22" i="15"/>
  <c r="G23" i="15"/>
  <c r="G24" i="15"/>
  <c r="G25" i="15"/>
  <c r="G6" i="15"/>
  <c r="G7" i="15"/>
  <c r="D96" i="15"/>
  <c r="D97" i="15"/>
  <c r="D98" i="15"/>
  <c r="D99" i="15"/>
  <c r="D100" i="15"/>
  <c r="D101" i="15"/>
  <c r="B102" i="15"/>
  <c r="D102" i="15"/>
  <c r="B103" i="15"/>
  <c r="D103" i="15"/>
  <c r="D87" i="15"/>
  <c r="C88" i="15"/>
  <c r="D88" i="15"/>
  <c r="C89" i="15"/>
  <c r="D89" i="15"/>
  <c r="D90" i="15"/>
  <c r="D91" i="15"/>
  <c r="D92" i="15"/>
  <c r="D93" i="15"/>
  <c r="B94" i="15"/>
  <c r="C94" i="15"/>
  <c r="D94" i="15"/>
  <c r="B95" i="15"/>
  <c r="C95" i="15"/>
  <c r="D95" i="15"/>
  <c r="B85" i="15"/>
  <c r="C85" i="15"/>
  <c r="D85" i="15"/>
  <c r="B86" i="15"/>
  <c r="C86" i="15"/>
  <c r="D86" i="15"/>
  <c r="D80" i="15"/>
  <c r="D81" i="15"/>
  <c r="D82" i="15"/>
  <c r="D83" i="15"/>
  <c r="D84" i="15"/>
  <c r="D78" i="15"/>
  <c r="D79" i="15"/>
  <c r="D70" i="15"/>
  <c r="D71" i="15"/>
  <c r="D72" i="15"/>
  <c r="D73" i="15"/>
  <c r="D74" i="15"/>
  <c r="D75" i="15"/>
  <c r="D76" i="15"/>
  <c r="D77" i="15"/>
  <c r="D49" i="15"/>
  <c r="D50" i="15"/>
  <c r="D51" i="15"/>
  <c r="D52" i="15"/>
  <c r="D53" i="15"/>
  <c r="D54" i="15"/>
  <c r="D55" i="15"/>
  <c r="D56" i="15"/>
  <c r="D57" i="15"/>
  <c r="D58" i="15"/>
  <c r="D59" i="15"/>
  <c r="D60" i="15"/>
  <c r="D61" i="15"/>
  <c r="D62" i="15"/>
  <c r="D63" i="15"/>
  <c r="D64" i="15"/>
  <c r="D65" i="15"/>
  <c r="D66" i="15"/>
  <c r="D67" i="15"/>
  <c r="D68" i="15"/>
  <c r="D69" i="15"/>
  <c r="D48" i="15"/>
  <c r="D44" i="15"/>
  <c r="D45" i="15"/>
  <c r="D46" i="15"/>
  <c r="D47" i="15"/>
  <c r="D40" i="15"/>
  <c r="D41" i="15"/>
  <c r="D42" i="15"/>
  <c r="D43" i="15"/>
  <c r="D38" i="15"/>
  <c r="D39" i="15"/>
  <c r="D32" i="15"/>
  <c r="D33" i="15"/>
  <c r="D34" i="15"/>
  <c r="D35" i="15"/>
  <c r="D36" i="15"/>
  <c r="D37" i="15"/>
  <c r="D26" i="15"/>
  <c r="D27" i="15"/>
  <c r="D28" i="15"/>
  <c r="D29" i="15"/>
  <c r="D30" i="15"/>
  <c r="D31" i="15"/>
  <c r="D8" i="15"/>
  <c r="D9" i="15"/>
  <c r="D10" i="15"/>
  <c r="D11" i="15"/>
  <c r="D12" i="15"/>
  <c r="D13" i="15"/>
  <c r="D14" i="15"/>
  <c r="D15" i="15"/>
  <c r="D16" i="15"/>
  <c r="D17" i="15"/>
  <c r="D18" i="15"/>
  <c r="D19" i="15"/>
  <c r="D20" i="15"/>
  <c r="D21" i="15"/>
  <c r="D22" i="15"/>
  <c r="D23" i="15"/>
  <c r="D24" i="15"/>
  <c r="D25" i="15"/>
  <c r="D6" i="15"/>
  <c r="D7" i="15"/>
  <c r="R414" i="15" l="1"/>
  <c r="Q414" i="15"/>
  <c r="S414" i="15"/>
  <c r="AK414" i="15"/>
  <c r="AJ414" i="15"/>
  <c r="AI414" i="15"/>
  <c r="AH414" i="15"/>
  <c r="AG414" i="15"/>
  <c r="AF414" i="15"/>
  <c r="AI1496" i="15"/>
  <c r="AJ1496" i="15"/>
  <c r="AK1496" i="15"/>
  <c r="Q656" i="15"/>
  <c r="G656" i="15"/>
  <c r="H656" i="15"/>
  <c r="S656" i="15"/>
  <c r="I656" i="15"/>
  <c r="B656" i="15"/>
  <c r="R656" i="15"/>
  <c r="C656" i="15"/>
  <c r="K656" i="15"/>
  <c r="L656" i="15"/>
  <c r="E656" i="15"/>
  <c r="AI396" i="15"/>
  <c r="AK396" i="15"/>
  <c r="AG396" i="15"/>
  <c r="AJ396" i="15"/>
  <c r="AF396" i="15"/>
  <c r="AH396" i="15"/>
  <c r="DI455" i="7" l="1"/>
  <c r="EV112" i="7" l="1"/>
  <c r="EV113" i="7"/>
  <c r="EV114" i="7"/>
  <c r="EV115" i="7"/>
  <c r="EV116" i="7"/>
  <c r="EV117" i="7"/>
  <c r="EV118" i="7"/>
  <c r="EV119" i="7"/>
  <c r="EV120" i="7"/>
  <c r="EV121" i="7"/>
  <c r="EV122" i="7"/>
  <c r="EV123" i="7"/>
  <c r="EV124" i="7"/>
  <c r="EV125" i="7"/>
  <c r="EV126" i="7"/>
  <c r="EV127" i="7"/>
  <c r="CE467" i="7"/>
  <c r="CE463" i="7" s="1"/>
  <c r="E3075" i="15" s="1"/>
  <c r="CE466" i="7"/>
  <c r="CR462" i="7"/>
  <c r="K3074" i="15" s="1"/>
  <c r="CR465" i="7"/>
  <c r="K3077" i="15" s="1"/>
  <c r="CR464" i="7"/>
  <c r="K3076" i="15" s="1"/>
  <c r="CR463" i="7"/>
  <c r="K3075" i="15" s="1"/>
  <c r="CN465" i="7"/>
  <c r="CN464" i="7"/>
  <c r="CN463" i="7"/>
  <c r="H3075" i="15" s="1"/>
  <c r="CN462" i="7"/>
  <c r="H3074" i="15" s="1"/>
  <c r="DE466" i="7" l="1"/>
  <c r="Q3078" i="15" s="1"/>
  <c r="E3078" i="15"/>
  <c r="E2576" i="15"/>
  <c r="E2197" i="15"/>
  <c r="E1535" i="15"/>
  <c r="E1186" i="15"/>
  <c r="E720" i="15"/>
  <c r="E100" i="15"/>
  <c r="DE467" i="7"/>
  <c r="Q3079" i="15" s="1"/>
  <c r="E3079" i="15"/>
  <c r="E2577" i="15"/>
  <c r="E2198" i="15"/>
  <c r="E1536" i="15"/>
  <c r="E1187" i="15"/>
  <c r="E721" i="15"/>
  <c r="E101" i="15"/>
  <c r="H2575" i="15"/>
  <c r="H3077" i="15"/>
  <c r="H2574" i="15"/>
  <c r="H3076" i="15"/>
  <c r="H2193" i="15"/>
  <c r="H2572" i="15"/>
  <c r="H2194" i="15"/>
  <c r="H2573" i="15"/>
  <c r="K2193" i="15"/>
  <c r="K2572" i="15"/>
  <c r="K2194" i="15"/>
  <c r="K2573" i="15"/>
  <c r="K2195" i="15"/>
  <c r="K2574" i="15"/>
  <c r="K2196" i="15"/>
  <c r="K2575" i="15"/>
  <c r="E2194" i="15"/>
  <c r="E2573" i="15"/>
  <c r="H1534" i="15"/>
  <c r="H2196" i="15"/>
  <c r="H1533" i="15"/>
  <c r="H2195" i="15"/>
  <c r="E1183" i="15"/>
  <c r="E1532" i="15"/>
  <c r="K1185" i="15"/>
  <c r="K1534" i="15"/>
  <c r="H1182" i="15"/>
  <c r="H1531" i="15"/>
  <c r="H1183" i="15"/>
  <c r="H1532" i="15"/>
  <c r="K1182" i="15"/>
  <c r="K1531" i="15"/>
  <c r="K1183" i="15"/>
  <c r="K1532" i="15"/>
  <c r="K1184" i="15"/>
  <c r="K1533" i="15"/>
  <c r="H718" i="15"/>
  <c r="H1184" i="15"/>
  <c r="H719" i="15"/>
  <c r="H1185" i="15"/>
  <c r="E97" i="15"/>
  <c r="E717" i="15"/>
  <c r="K96" i="15"/>
  <c r="K716" i="15"/>
  <c r="H96" i="15"/>
  <c r="H716" i="15"/>
  <c r="K97" i="15"/>
  <c r="K717" i="15"/>
  <c r="H97" i="15"/>
  <c r="H717" i="15"/>
  <c r="K98" i="15"/>
  <c r="K718" i="15"/>
  <c r="K99" i="15"/>
  <c r="K719" i="15"/>
  <c r="H98" i="15"/>
  <c r="H99" i="15"/>
  <c r="CE465" i="7"/>
  <c r="DE463" i="7"/>
  <c r="CE462" i="7"/>
  <c r="CE464" i="7"/>
  <c r="CR454" i="7"/>
  <c r="K3072" i="15" s="1"/>
  <c r="Q2200" i="15" l="1"/>
  <c r="Q728" i="15"/>
  <c r="Q141" i="15"/>
  <c r="Q729" i="15"/>
  <c r="Q1548" i="15"/>
  <c r="Q1187" i="15"/>
  <c r="Q2577" i="15"/>
  <c r="Q1549" i="15"/>
  <c r="Q2199" i="15"/>
  <c r="Q2578" i="15"/>
  <c r="Q1188" i="15"/>
  <c r="Q142" i="15"/>
  <c r="Q2574" i="15"/>
  <c r="Q3075" i="15"/>
  <c r="E2572" i="15"/>
  <c r="E3074" i="15"/>
  <c r="E2575" i="15"/>
  <c r="E3077" i="15"/>
  <c r="E2574" i="15"/>
  <c r="E3076" i="15"/>
  <c r="K2276" i="15"/>
  <c r="K2665" i="15"/>
  <c r="L2235" i="15"/>
  <c r="M2235" i="15"/>
  <c r="K2235" i="15"/>
  <c r="J2235" i="15"/>
  <c r="H2235" i="15"/>
  <c r="I2235" i="15"/>
  <c r="Q1545" i="15"/>
  <c r="Q2196" i="15"/>
  <c r="E1531" i="15"/>
  <c r="E2193" i="15"/>
  <c r="E1534" i="15"/>
  <c r="E2196" i="15"/>
  <c r="E1533" i="15"/>
  <c r="E2195" i="15"/>
  <c r="K1284" i="15"/>
  <c r="K1471" i="15"/>
  <c r="E718" i="15"/>
  <c r="E1184" i="15"/>
  <c r="E719" i="15"/>
  <c r="E1185" i="15"/>
  <c r="E716" i="15"/>
  <c r="E1182" i="15"/>
  <c r="Q725" i="15"/>
  <c r="Q1184" i="15"/>
  <c r="K607" i="15"/>
  <c r="K1002" i="15"/>
  <c r="Q138" i="15"/>
  <c r="K94" i="15"/>
  <c r="E98" i="15"/>
  <c r="E99" i="15"/>
  <c r="E96" i="15"/>
  <c r="DE464" i="7"/>
  <c r="Q3076" i="15" s="1"/>
  <c r="DE462" i="7"/>
  <c r="Q3074" i="15" s="1"/>
  <c r="DE465" i="7"/>
  <c r="Q3077" i="15" s="1"/>
  <c r="DI469" i="7"/>
  <c r="CV469" i="7"/>
  <c r="CI469" i="7"/>
  <c r="Q2197" i="15" l="1"/>
  <c r="Q2575" i="15"/>
  <c r="Q2198" i="15"/>
  <c r="Q2576" i="15"/>
  <c r="Q2195" i="15"/>
  <c r="Q2573" i="15"/>
  <c r="F2235" i="15"/>
  <c r="G2235" i="15"/>
  <c r="E2235" i="15"/>
  <c r="Q1185" i="15"/>
  <c r="Q1546" i="15"/>
  <c r="Q1186" i="15"/>
  <c r="Q1547" i="15"/>
  <c r="Q1183" i="15"/>
  <c r="Q1544" i="15"/>
  <c r="Q137" i="15"/>
  <c r="Q724" i="15"/>
  <c r="Q139" i="15"/>
  <c r="Q726" i="15"/>
  <c r="Q140" i="15"/>
  <c r="Q727" i="15"/>
  <c r="DI468" i="7"/>
  <c r="DJ468" i="7"/>
  <c r="DK468" i="7"/>
  <c r="DL468" i="7"/>
  <c r="DH468" i="7"/>
  <c r="DD468" i="7"/>
  <c r="CV468" i="7"/>
  <c r="CW468" i="7"/>
  <c r="CX468" i="7"/>
  <c r="CY468" i="7"/>
  <c r="CI468" i="7"/>
  <c r="CV467" i="7"/>
  <c r="CV466" i="7"/>
  <c r="CV465" i="7"/>
  <c r="CV464" i="7"/>
  <c r="CV463" i="7"/>
  <c r="CV462" i="7"/>
  <c r="CA467" i="7"/>
  <c r="CA466" i="7"/>
  <c r="B3078" i="15" l="1"/>
  <c r="B2576" i="15"/>
  <c r="B2197" i="15"/>
  <c r="B1535" i="15"/>
  <c r="B1186" i="15"/>
  <c r="B720" i="15"/>
  <c r="B100" i="15"/>
  <c r="B3079" i="15"/>
  <c r="B2577" i="15"/>
  <c r="B2198" i="15"/>
  <c r="B1536" i="15"/>
  <c r="B1187" i="15"/>
  <c r="B721" i="15"/>
  <c r="B101" i="15"/>
  <c r="CA462" i="7"/>
  <c r="B3074" i="15" s="1"/>
  <c r="DA466" i="7"/>
  <c r="N3078" i="15" s="1"/>
  <c r="CA464" i="7"/>
  <c r="B3076" i="15" s="1"/>
  <c r="CI467" i="7"/>
  <c r="CA465" i="7"/>
  <c r="B3077" i="15" s="1"/>
  <c r="DA467" i="7"/>
  <c r="N3079" i="15" s="1"/>
  <c r="CA463" i="7"/>
  <c r="CI466" i="7"/>
  <c r="B2573" i="15" l="1"/>
  <c r="B3075" i="15"/>
  <c r="N2199" i="15"/>
  <c r="N2577" i="15"/>
  <c r="N2200" i="15"/>
  <c r="N2578" i="15"/>
  <c r="B2196" i="15"/>
  <c r="B2575" i="15"/>
  <c r="B2195" i="15"/>
  <c r="B2574" i="15"/>
  <c r="B2193" i="15"/>
  <c r="B2572" i="15"/>
  <c r="B1532" i="15"/>
  <c r="B2194" i="15"/>
  <c r="B1182" i="15"/>
  <c r="B1531" i="15"/>
  <c r="B1185" i="15"/>
  <c r="B1534" i="15"/>
  <c r="B1184" i="15"/>
  <c r="B1533" i="15"/>
  <c r="N1188" i="15"/>
  <c r="N1549" i="15"/>
  <c r="N1187" i="15"/>
  <c r="N1548" i="15"/>
  <c r="B717" i="15"/>
  <c r="B1183" i="15"/>
  <c r="B96" i="15"/>
  <c r="B716" i="15"/>
  <c r="B99" i="15"/>
  <c r="B719" i="15"/>
  <c r="B98" i="15"/>
  <c r="B718" i="15"/>
  <c r="N142" i="15"/>
  <c r="N729" i="15"/>
  <c r="N141" i="15"/>
  <c r="N728" i="15"/>
  <c r="B97" i="15"/>
  <c r="DA465" i="7"/>
  <c r="DA464" i="7"/>
  <c r="DI467" i="7"/>
  <c r="DI466" i="7"/>
  <c r="DA463" i="7"/>
  <c r="CI463" i="7"/>
  <c r="CI464" i="7"/>
  <c r="CI465" i="7"/>
  <c r="DA462" i="7"/>
  <c r="N3074" i="15" s="1"/>
  <c r="CI462" i="7"/>
  <c r="HK461" i="7"/>
  <c r="HK460" i="7"/>
  <c r="HK459" i="7"/>
  <c r="HK458" i="7"/>
  <c r="HK457" i="7"/>
  <c r="HK456" i="7"/>
  <c r="EV461" i="7"/>
  <c r="EV460" i="7"/>
  <c r="EV459" i="7"/>
  <c r="EV458" i="7"/>
  <c r="EV457" i="7"/>
  <c r="EV456" i="7"/>
  <c r="DR461" i="7"/>
  <c r="DR460" i="7"/>
  <c r="DR459" i="7"/>
  <c r="DR458" i="7"/>
  <c r="DR457" i="7"/>
  <c r="DR456" i="7"/>
  <c r="DN461" i="7"/>
  <c r="DN460" i="7"/>
  <c r="DN459" i="7"/>
  <c r="DN458" i="7"/>
  <c r="DN457" i="7"/>
  <c r="DN456" i="7"/>
  <c r="T3064" i="15" l="1"/>
  <c r="T2868" i="15"/>
  <c r="T2556" i="15"/>
  <c r="T2127" i="15"/>
  <c r="T1489" i="15"/>
  <c r="T1322" i="15"/>
  <c r="T903" i="15"/>
  <c r="T321" i="15"/>
  <c r="T582" i="15"/>
  <c r="DV459" i="7"/>
  <c r="T3065" i="15"/>
  <c r="T2869" i="15"/>
  <c r="T2557" i="15"/>
  <c r="T2128" i="15"/>
  <c r="T1238" i="15"/>
  <c r="T1490" i="15"/>
  <c r="T1065" i="15"/>
  <c r="T322" i="15"/>
  <c r="T391" i="15"/>
  <c r="DV461" i="7"/>
  <c r="W3067" i="15"/>
  <c r="W2871" i="15"/>
  <c r="W2559" i="15"/>
  <c r="W2130" i="15"/>
  <c r="W1492" i="15"/>
  <c r="W1324" i="15"/>
  <c r="W1067" i="15"/>
  <c r="W393" i="15"/>
  <c r="W324" i="15"/>
  <c r="W3066" i="15"/>
  <c r="W2870" i="15"/>
  <c r="W2558" i="15"/>
  <c r="W2129" i="15"/>
  <c r="W1491" i="15"/>
  <c r="W1323" i="15"/>
  <c r="W1066" i="15"/>
  <c r="W392" i="15"/>
  <c r="W323" i="15"/>
  <c r="DV460" i="7"/>
  <c r="T3066" i="15"/>
  <c r="T2870" i="15"/>
  <c r="T2558" i="15"/>
  <c r="T2129" i="15"/>
  <c r="T1491" i="15"/>
  <c r="T1066" i="15"/>
  <c r="T1323" i="15"/>
  <c r="T323" i="15"/>
  <c r="T392" i="15"/>
  <c r="T3063" i="15"/>
  <c r="T2867" i="15"/>
  <c r="T2555" i="15"/>
  <c r="T2126" i="15"/>
  <c r="T1488" i="15"/>
  <c r="T1321" i="15"/>
  <c r="T902" i="15"/>
  <c r="T320" i="15"/>
  <c r="T581" i="15"/>
  <c r="T3067" i="15"/>
  <c r="T2871" i="15"/>
  <c r="T2559" i="15"/>
  <c r="T2130" i="15"/>
  <c r="T1324" i="15"/>
  <c r="T1492" i="15"/>
  <c r="T1067" i="15"/>
  <c r="T324" i="15"/>
  <c r="T393" i="15"/>
  <c r="W3062" i="15"/>
  <c r="W2866" i="15"/>
  <c r="W2554" i="15"/>
  <c r="W2125" i="15"/>
  <c r="W1320" i="15"/>
  <c r="W1487" i="15"/>
  <c r="W901" i="15"/>
  <c r="W580" i="15"/>
  <c r="W319" i="15"/>
  <c r="W3065" i="15"/>
  <c r="W2869" i="15"/>
  <c r="W2557" i="15"/>
  <c r="W2128" i="15"/>
  <c r="W1490" i="15"/>
  <c r="W1238" i="15"/>
  <c r="W1065" i="15"/>
  <c r="W391" i="15"/>
  <c r="W322" i="15"/>
  <c r="W3063" i="15"/>
  <c r="W2867" i="15"/>
  <c r="W2555" i="15"/>
  <c r="W2126" i="15"/>
  <c r="W1321" i="15"/>
  <c r="W1488" i="15"/>
  <c r="W902" i="15"/>
  <c r="W581" i="15"/>
  <c r="W320" i="15"/>
  <c r="DV456" i="7"/>
  <c r="T3062" i="15"/>
  <c r="T2866" i="15"/>
  <c r="T2554" i="15"/>
  <c r="T2125" i="15"/>
  <c r="T1487" i="15"/>
  <c r="T1320" i="15"/>
  <c r="T901" i="15"/>
  <c r="T319" i="15"/>
  <c r="T580" i="15"/>
  <c r="DV458" i="7"/>
  <c r="W3064" i="15"/>
  <c r="W2868" i="15"/>
  <c r="W2556" i="15"/>
  <c r="W2127" i="15"/>
  <c r="W1489" i="15"/>
  <c r="W1322" i="15"/>
  <c r="W582" i="15"/>
  <c r="W903" i="15"/>
  <c r="W321" i="15"/>
  <c r="N2575" i="15"/>
  <c r="N3076" i="15"/>
  <c r="N2574" i="15"/>
  <c r="N3075" i="15"/>
  <c r="N2576" i="15"/>
  <c r="N3077" i="15"/>
  <c r="N2195" i="15"/>
  <c r="N2573" i="15"/>
  <c r="C2235" i="15"/>
  <c r="B2235" i="15"/>
  <c r="D2235" i="15"/>
  <c r="N1545" i="15"/>
  <c r="N2196" i="15"/>
  <c r="N1546" i="15"/>
  <c r="N2197" i="15"/>
  <c r="N1547" i="15"/>
  <c r="N2198" i="15"/>
  <c r="N1183" i="15"/>
  <c r="N1544" i="15"/>
  <c r="N727" i="15"/>
  <c r="N1186" i="15"/>
  <c r="N725" i="15"/>
  <c r="N1184" i="15"/>
  <c r="N726" i="15"/>
  <c r="N1185" i="15"/>
  <c r="N137" i="15"/>
  <c r="N724" i="15"/>
  <c r="N138" i="15"/>
  <c r="N139" i="15"/>
  <c r="DI465" i="7"/>
  <c r="N140" i="15"/>
  <c r="DI464" i="7"/>
  <c r="DI462" i="7"/>
  <c r="DI463" i="7"/>
  <c r="DV457" i="7"/>
  <c r="CR447" i="7"/>
  <c r="CN447" i="7"/>
  <c r="CE447" i="7"/>
  <c r="CA447" i="7"/>
  <c r="DE447" i="7"/>
  <c r="DA447" i="7"/>
  <c r="E1733" i="15" l="1"/>
  <c r="E2061" i="15"/>
  <c r="E3116" i="15"/>
  <c r="E2273" i="15"/>
  <c r="E2571" i="15"/>
  <c r="N3124" i="15"/>
  <c r="N1751" i="15"/>
  <c r="N2572" i="15"/>
  <c r="N2070" i="15"/>
  <c r="N2288" i="15"/>
  <c r="K2571" i="15"/>
  <c r="K1733" i="15"/>
  <c r="K3116" i="15"/>
  <c r="K2061" i="15"/>
  <c r="K2273" i="15"/>
  <c r="H1733" i="15"/>
  <c r="H3116" i="15"/>
  <c r="H2571" i="15"/>
  <c r="H2273" i="15"/>
  <c r="H2061" i="15"/>
  <c r="Q2572" i="15"/>
  <c r="Q3124" i="15"/>
  <c r="Q2288" i="15"/>
  <c r="Q1751" i="15"/>
  <c r="Q2070" i="15"/>
  <c r="B1733" i="15"/>
  <c r="B2571" i="15"/>
  <c r="B3116" i="15"/>
  <c r="B2273" i="15"/>
  <c r="B2061" i="15"/>
  <c r="N796" i="15"/>
  <c r="N128" i="15"/>
  <c r="N606" i="15"/>
  <c r="N645" i="15" s="1"/>
  <c r="N1372" i="15"/>
  <c r="B781" i="15"/>
  <c r="B87" i="15"/>
  <c r="B1362" i="15"/>
  <c r="B606" i="15"/>
  <c r="E1362" i="15"/>
  <c r="E606" i="15"/>
  <c r="E87" i="15"/>
  <c r="E781" i="15"/>
  <c r="H606" i="15"/>
  <c r="H87" i="15"/>
  <c r="H1362" i="15"/>
  <c r="H781" i="15"/>
  <c r="K1362" i="15"/>
  <c r="K606" i="15"/>
  <c r="K781" i="15"/>
  <c r="K87" i="15"/>
  <c r="Q1372" i="15"/>
  <c r="Q796" i="15"/>
  <c r="Q128" i="15"/>
  <c r="Q606" i="15"/>
  <c r="DI447" i="7"/>
  <c r="DY454" i="7"/>
  <c r="DX454" i="7"/>
  <c r="DW454" i="7"/>
  <c r="DV454" i="7"/>
  <c r="DU454" i="7"/>
  <c r="DQ454" i="7"/>
  <c r="CS454" i="7"/>
  <c r="L3072" i="15" s="1"/>
  <c r="CS455" i="7"/>
  <c r="L3073" i="15" s="1"/>
  <c r="CO455" i="7"/>
  <c r="CO454" i="7"/>
  <c r="I3072" i="15" s="1"/>
  <c r="CR455" i="7"/>
  <c r="CN455" i="7"/>
  <c r="H3073" i="15" s="1"/>
  <c r="CN454" i="7"/>
  <c r="H3072" i="15" s="1"/>
  <c r="CI454" i="7"/>
  <c r="CJ454" i="7"/>
  <c r="CK454" i="7"/>
  <c r="CL454" i="7"/>
  <c r="CI455" i="7"/>
  <c r="CJ455" i="7"/>
  <c r="CK455" i="7"/>
  <c r="CL455" i="7"/>
  <c r="CH455" i="7"/>
  <c r="CH454" i="7"/>
  <c r="CD455" i="7"/>
  <c r="CD454" i="7"/>
  <c r="EV450" i="7"/>
  <c r="EV451" i="7"/>
  <c r="EV452" i="7"/>
  <c r="EV453" i="7"/>
  <c r="EV454" i="7"/>
  <c r="EW454" i="7"/>
  <c r="EX454" i="7"/>
  <c r="EY454" i="7"/>
  <c r="EV455" i="7"/>
  <c r="EW455" i="7"/>
  <c r="EX455" i="7"/>
  <c r="EY455" i="7"/>
  <c r="EU455" i="7"/>
  <c r="EU454" i="7"/>
  <c r="EQ455" i="7"/>
  <c r="EQ454" i="7"/>
  <c r="DH455" i="7"/>
  <c r="DH454" i="7"/>
  <c r="DD455" i="7"/>
  <c r="DD454" i="7"/>
  <c r="DJ454" i="7"/>
  <c r="DK454" i="7"/>
  <c r="DL454" i="7"/>
  <c r="DJ455" i="7"/>
  <c r="DK455" i="7"/>
  <c r="DL455" i="7"/>
  <c r="DE453" i="7"/>
  <c r="DE452" i="7"/>
  <c r="DE451" i="7"/>
  <c r="DE450" i="7"/>
  <c r="DA453" i="7"/>
  <c r="DA452" i="7"/>
  <c r="DA451" i="7"/>
  <c r="DA450" i="7"/>
  <c r="CR453" i="7"/>
  <c r="CR452" i="7"/>
  <c r="CR451" i="7"/>
  <c r="CR450" i="7"/>
  <c r="CN453" i="7"/>
  <c r="CN452" i="7"/>
  <c r="CN451" i="7"/>
  <c r="CN450" i="7"/>
  <c r="CE453" i="7"/>
  <c r="CE452" i="7"/>
  <c r="CE451" i="7"/>
  <c r="CE450" i="7"/>
  <c r="CA453" i="7"/>
  <c r="CA452" i="7"/>
  <c r="CA451" i="7"/>
  <c r="CA450" i="7"/>
  <c r="JF449" i="7"/>
  <c r="JE449" i="7"/>
  <c r="JF448" i="7"/>
  <c r="JE448" i="7"/>
  <c r="JD449" i="7"/>
  <c r="JD448" i="7"/>
  <c r="IZ449" i="7"/>
  <c r="IZ448" i="7"/>
  <c r="SP449" i="7"/>
  <c r="SP448" i="7"/>
  <c r="SL449" i="7"/>
  <c r="SL448" i="7"/>
  <c r="MA449" i="7"/>
  <c r="LY449" i="7"/>
  <c r="LW449" i="7"/>
  <c r="LU449" i="7"/>
  <c r="LT449" i="7"/>
  <c r="MA448" i="7"/>
  <c r="LY448" i="7"/>
  <c r="LW448" i="7"/>
  <c r="LT448" i="7"/>
  <c r="KV449" i="7"/>
  <c r="KU449" i="7"/>
  <c r="KV448" i="7"/>
  <c r="KU448" i="7"/>
  <c r="KT449" i="7"/>
  <c r="KT448" i="7"/>
  <c r="KP449" i="7"/>
  <c r="KP448" i="7"/>
  <c r="GY448" i="7"/>
  <c r="GZ448" i="7"/>
  <c r="GY449" i="7"/>
  <c r="GZ449" i="7"/>
  <c r="GX448" i="7"/>
  <c r="GX449" i="7"/>
  <c r="GT448" i="7"/>
  <c r="GT449" i="7"/>
  <c r="GM448" i="7"/>
  <c r="GN448" i="7"/>
  <c r="GM449" i="7"/>
  <c r="GN449" i="7"/>
  <c r="GH448" i="7"/>
  <c r="GH449" i="7"/>
  <c r="GL448" i="7"/>
  <c r="GL449" i="7"/>
  <c r="EW448" i="7"/>
  <c r="EX448" i="7"/>
  <c r="EY448" i="7"/>
  <c r="EW449" i="7"/>
  <c r="EX449" i="7"/>
  <c r="EY449" i="7"/>
  <c r="EU448" i="7"/>
  <c r="EU449" i="7"/>
  <c r="EQ448" i="7"/>
  <c r="EQ449" i="7"/>
  <c r="EV449" i="7"/>
  <c r="EV448" i="7"/>
  <c r="DE449" i="7"/>
  <c r="DE448" i="7"/>
  <c r="DA449" i="7"/>
  <c r="DA448" i="7"/>
  <c r="DL449" i="7"/>
  <c r="DK449" i="7"/>
  <c r="DJ449" i="7"/>
  <c r="DL448" i="7"/>
  <c r="DK448" i="7"/>
  <c r="DJ448" i="7"/>
  <c r="CR449" i="7"/>
  <c r="CR448" i="7"/>
  <c r="CN449" i="7"/>
  <c r="CN448" i="7"/>
  <c r="CY449" i="7"/>
  <c r="CX449" i="7"/>
  <c r="CW449" i="7"/>
  <c r="CY448" i="7"/>
  <c r="CX448" i="7"/>
  <c r="CW448" i="7"/>
  <c r="CJ448" i="7"/>
  <c r="CK448" i="7"/>
  <c r="CL448" i="7"/>
  <c r="CJ449" i="7"/>
  <c r="CK449" i="7"/>
  <c r="CL449" i="7"/>
  <c r="CE449" i="7"/>
  <c r="CE448" i="7"/>
  <c r="CA449" i="7"/>
  <c r="CA448" i="7"/>
  <c r="GV447" i="7"/>
  <c r="GX447" i="7" s="1"/>
  <c r="GR447" i="7"/>
  <c r="GT447" i="7" s="1"/>
  <c r="GY447" i="7"/>
  <c r="GJ447" i="7"/>
  <c r="GL447" i="7" s="1"/>
  <c r="GF447" i="7"/>
  <c r="GH447" i="7" s="1"/>
  <c r="GM447" i="7"/>
  <c r="ES447" i="7"/>
  <c r="AJ3216" i="15" s="1"/>
  <c r="EO447" i="7"/>
  <c r="EV447" i="7"/>
  <c r="CS447" i="7"/>
  <c r="CO447" i="7"/>
  <c r="CI447" i="7"/>
  <c r="CF447" i="7"/>
  <c r="CB447" i="7"/>
  <c r="CH447" i="7" l="1"/>
  <c r="F3116" i="15"/>
  <c r="F2571" i="15"/>
  <c r="F2273" i="15"/>
  <c r="F2061" i="15"/>
  <c r="F1733" i="15"/>
  <c r="F1362" i="15"/>
  <c r="F781" i="15"/>
  <c r="F606" i="15"/>
  <c r="F87" i="15"/>
  <c r="Q3047" i="15"/>
  <c r="Q2696" i="15"/>
  <c r="Q2537" i="15"/>
  <c r="Q2073" i="15"/>
  <c r="Q1180" i="15"/>
  <c r="Q1472" i="15"/>
  <c r="Q1007" i="15"/>
  <c r="Q459" i="15"/>
  <c r="Q131" i="15"/>
  <c r="CU449" i="7"/>
  <c r="K3036" i="15"/>
  <c r="K2660" i="15"/>
  <c r="K2275" i="15"/>
  <c r="K2063" i="15"/>
  <c r="K1530" i="15"/>
  <c r="K1364" i="15"/>
  <c r="K783" i="15"/>
  <c r="K436" i="15"/>
  <c r="K89" i="15"/>
  <c r="CQ447" i="7"/>
  <c r="I3116" i="15"/>
  <c r="I2571" i="15"/>
  <c r="I2273" i="15"/>
  <c r="I1733" i="15"/>
  <c r="I2061" i="15"/>
  <c r="I1362" i="15"/>
  <c r="I781" i="15"/>
  <c r="I606" i="15"/>
  <c r="I87" i="15"/>
  <c r="DI449" i="7"/>
  <c r="Q3046" i="15"/>
  <c r="Q2695" i="15"/>
  <c r="Q2290" i="15"/>
  <c r="Q2072" i="15"/>
  <c r="Q1543" i="15"/>
  <c r="Q1374" i="15"/>
  <c r="Q798" i="15"/>
  <c r="Q458" i="15"/>
  <c r="Q130" i="15"/>
  <c r="CU447" i="7"/>
  <c r="L3116" i="15"/>
  <c r="L2571" i="15"/>
  <c r="L2273" i="15"/>
  <c r="L2061" i="15"/>
  <c r="L1733" i="15"/>
  <c r="L1362" i="15"/>
  <c r="L606" i="15"/>
  <c r="L781" i="15"/>
  <c r="L87" i="15"/>
  <c r="CI452" i="7"/>
  <c r="E3039" i="15"/>
  <c r="E2663" i="15"/>
  <c r="E2530" i="15"/>
  <c r="E2066" i="15"/>
  <c r="E1469" i="15"/>
  <c r="E1000" i="15"/>
  <c r="E1181" i="15"/>
  <c r="E439" i="15"/>
  <c r="E92" i="15"/>
  <c r="CV452" i="7"/>
  <c r="K3039" i="15"/>
  <c r="K2663" i="15"/>
  <c r="K2530" i="15"/>
  <c r="K2066" i="15"/>
  <c r="K1469" i="15"/>
  <c r="K1000" i="15"/>
  <c r="K1181" i="15"/>
  <c r="K439" i="15"/>
  <c r="K92" i="15"/>
  <c r="Q3049" i="15"/>
  <c r="Q2698" i="15"/>
  <c r="Q2539" i="15"/>
  <c r="Q2075" i="15"/>
  <c r="Q1474" i="15"/>
  <c r="Q1182" i="15"/>
  <c r="Q1009" i="15"/>
  <c r="Q133" i="15"/>
  <c r="Q461" i="15"/>
  <c r="E3037" i="15"/>
  <c r="E2661" i="15"/>
  <c r="E2528" i="15"/>
  <c r="E2064" i="15"/>
  <c r="E1179" i="15"/>
  <c r="E1467" i="15"/>
  <c r="E998" i="15"/>
  <c r="E437" i="15"/>
  <c r="E90" i="15"/>
  <c r="E3038" i="15"/>
  <c r="E2529" i="15"/>
  <c r="E2662" i="15"/>
  <c r="E2065" i="15"/>
  <c r="E1468" i="15"/>
  <c r="E1180" i="15"/>
  <c r="E999" i="15"/>
  <c r="E91" i="15"/>
  <c r="E438" i="15"/>
  <c r="K3038" i="15"/>
  <c r="K2662" i="15"/>
  <c r="K2529" i="15"/>
  <c r="K2065" i="15"/>
  <c r="K1468" i="15"/>
  <c r="K999" i="15"/>
  <c r="K1180" i="15"/>
  <c r="K438" i="15"/>
  <c r="K91" i="15"/>
  <c r="Q3048" i="15"/>
  <c r="Q2697" i="15"/>
  <c r="Q2538" i="15"/>
  <c r="Q2074" i="15"/>
  <c r="Q1473" i="15"/>
  <c r="Q1181" i="15"/>
  <c r="Q1008" i="15"/>
  <c r="Q460" i="15"/>
  <c r="Q132" i="15"/>
  <c r="CI453" i="7"/>
  <c r="E3040" i="15"/>
  <c r="E2664" i="15"/>
  <c r="E2531" i="15"/>
  <c r="E2067" i="15"/>
  <c r="E1470" i="15"/>
  <c r="E1283" i="15"/>
  <c r="E1001" i="15"/>
  <c r="E440" i="15"/>
  <c r="E93" i="15"/>
  <c r="K3040" i="15"/>
  <c r="K2664" i="15"/>
  <c r="K2531" i="15"/>
  <c r="K2067" i="15"/>
  <c r="K1283" i="15"/>
  <c r="K1470" i="15"/>
  <c r="K1001" i="15"/>
  <c r="K93" i="15"/>
  <c r="K440" i="15"/>
  <c r="Q3050" i="15"/>
  <c r="Q2699" i="15"/>
  <c r="Q2540" i="15"/>
  <c r="Q2076" i="15"/>
  <c r="Q1475" i="15"/>
  <c r="Q1010" i="15"/>
  <c r="Q1289" i="15"/>
  <c r="Q462" i="15"/>
  <c r="Q134" i="15"/>
  <c r="CD448" i="7"/>
  <c r="B3035" i="15"/>
  <c r="B2659" i="15"/>
  <c r="B2274" i="15"/>
  <c r="B2062" i="15"/>
  <c r="B1529" i="15"/>
  <c r="B1363" i="15"/>
  <c r="B782" i="15"/>
  <c r="B435" i="15"/>
  <c r="B88" i="15"/>
  <c r="H3037" i="15"/>
  <c r="H2661" i="15"/>
  <c r="H2528" i="15"/>
  <c r="H2064" i="15"/>
  <c r="H1179" i="15"/>
  <c r="H1467" i="15"/>
  <c r="H998" i="15"/>
  <c r="H437" i="15"/>
  <c r="H90" i="15"/>
  <c r="K3037" i="15"/>
  <c r="K2661" i="15"/>
  <c r="K2528" i="15"/>
  <c r="K2064" i="15"/>
  <c r="K1467" i="15"/>
  <c r="K1179" i="15"/>
  <c r="K437" i="15"/>
  <c r="K998" i="15"/>
  <c r="K90" i="15"/>
  <c r="CQ448" i="7"/>
  <c r="H3035" i="15"/>
  <c r="H2659" i="15"/>
  <c r="H2274" i="15"/>
  <c r="H2062" i="15"/>
  <c r="H1529" i="15"/>
  <c r="H1363" i="15"/>
  <c r="H782" i="15"/>
  <c r="H88" i="15"/>
  <c r="H435" i="15"/>
  <c r="CD449" i="7"/>
  <c r="B3036" i="15"/>
  <c r="B2660" i="15"/>
  <c r="B2275" i="15"/>
  <c r="B2063" i="15"/>
  <c r="B1530" i="15"/>
  <c r="B1364" i="15"/>
  <c r="B783" i="15"/>
  <c r="B89" i="15"/>
  <c r="B436" i="15"/>
  <c r="CQ449" i="7"/>
  <c r="H3036" i="15"/>
  <c r="H2660" i="15"/>
  <c r="H2275" i="15"/>
  <c r="H2063" i="15"/>
  <c r="H1530" i="15"/>
  <c r="H1364" i="15"/>
  <c r="H436" i="15"/>
  <c r="H783" i="15"/>
  <c r="H89" i="15"/>
  <c r="B3038" i="15"/>
  <c r="B2662" i="15"/>
  <c r="B2529" i="15"/>
  <c r="B2065" i="15"/>
  <c r="B1468" i="15"/>
  <c r="B1180" i="15"/>
  <c r="B999" i="15"/>
  <c r="B438" i="15"/>
  <c r="B91" i="15"/>
  <c r="H3038" i="15"/>
  <c r="H2662" i="15"/>
  <c r="H2529" i="15"/>
  <c r="H2065" i="15"/>
  <c r="H1180" i="15"/>
  <c r="H1468" i="15"/>
  <c r="H999" i="15"/>
  <c r="H91" i="15"/>
  <c r="H438" i="15"/>
  <c r="N3048" i="15"/>
  <c r="N2697" i="15"/>
  <c r="N2538" i="15"/>
  <c r="N2074" i="15"/>
  <c r="N1181" i="15"/>
  <c r="N1473" i="15"/>
  <c r="N1008" i="15"/>
  <c r="N132" i="15"/>
  <c r="N460" i="15"/>
  <c r="CH449" i="7"/>
  <c r="E3036" i="15"/>
  <c r="E2660" i="15"/>
  <c r="E2275" i="15"/>
  <c r="E2063" i="15"/>
  <c r="E1530" i="15"/>
  <c r="E1364" i="15"/>
  <c r="E783" i="15"/>
  <c r="E436" i="15"/>
  <c r="E89" i="15"/>
  <c r="DH448" i="7"/>
  <c r="Q3045" i="15"/>
  <c r="Q2694" i="15"/>
  <c r="Q2289" i="15"/>
  <c r="Q2071" i="15"/>
  <c r="Q1542" i="15"/>
  <c r="Q1373" i="15"/>
  <c r="Q797" i="15"/>
  <c r="Q457" i="15"/>
  <c r="Q129" i="15"/>
  <c r="B3037" i="15"/>
  <c r="B2661" i="15"/>
  <c r="B2528" i="15"/>
  <c r="B2064" i="15"/>
  <c r="B1467" i="15"/>
  <c r="B998" i="15"/>
  <c r="B1179" i="15"/>
  <c r="B437" i="15"/>
  <c r="B90" i="15"/>
  <c r="N3047" i="15"/>
  <c r="N2696" i="15"/>
  <c r="N2537" i="15"/>
  <c r="N2073" i="15"/>
  <c r="N1180" i="15"/>
  <c r="N1472" i="15"/>
  <c r="N1007" i="15"/>
  <c r="N459" i="15"/>
  <c r="N131" i="15"/>
  <c r="C3116" i="15"/>
  <c r="C2571" i="15"/>
  <c r="C2273" i="15"/>
  <c r="C2061" i="15"/>
  <c r="C1733" i="15"/>
  <c r="C1362" i="15"/>
  <c r="C606" i="15"/>
  <c r="C781" i="15"/>
  <c r="C87" i="15"/>
  <c r="E3035" i="15"/>
  <c r="E2659" i="15"/>
  <c r="E2274" i="15"/>
  <c r="E2062" i="15"/>
  <c r="E1529" i="15"/>
  <c r="E1363" i="15"/>
  <c r="E782" i="15"/>
  <c r="E435" i="15"/>
  <c r="E88" i="15"/>
  <c r="CU448" i="7"/>
  <c r="K3035" i="15"/>
  <c r="K2659" i="15"/>
  <c r="K2274" i="15"/>
  <c r="K2062" i="15"/>
  <c r="K1529" i="15"/>
  <c r="K1363" i="15"/>
  <c r="K782" i="15"/>
  <c r="K435" i="15"/>
  <c r="K88" i="15"/>
  <c r="DD448" i="7"/>
  <c r="N3045" i="15"/>
  <c r="N2694" i="15"/>
  <c r="N2289" i="15"/>
  <c r="N2071" i="15"/>
  <c r="N1542" i="15"/>
  <c r="N1373" i="15"/>
  <c r="N797" i="15"/>
  <c r="N129" i="15"/>
  <c r="N457" i="15"/>
  <c r="B3039" i="15"/>
  <c r="B2663" i="15"/>
  <c r="B2530" i="15"/>
  <c r="B2066" i="15"/>
  <c r="B1181" i="15"/>
  <c r="B1469" i="15"/>
  <c r="B1000" i="15"/>
  <c r="B439" i="15"/>
  <c r="B92" i="15"/>
  <c r="H3039" i="15"/>
  <c r="H2663" i="15"/>
  <c r="H2530" i="15"/>
  <c r="H2066" i="15"/>
  <c r="H1469" i="15"/>
  <c r="H1181" i="15"/>
  <c r="H1000" i="15"/>
  <c r="H439" i="15"/>
  <c r="H92" i="15"/>
  <c r="N3049" i="15"/>
  <c r="N2698" i="15"/>
  <c r="N2539" i="15"/>
  <c r="N2075" i="15"/>
  <c r="N1474" i="15"/>
  <c r="N1182" i="15"/>
  <c r="N1009" i="15"/>
  <c r="N461" i="15"/>
  <c r="N133" i="15"/>
  <c r="DD449" i="7"/>
  <c r="N3046" i="15"/>
  <c r="N2695" i="15"/>
  <c r="N2290" i="15"/>
  <c r="N2072" i="15"/>
  <c r="N1543" i="15"/>
  <c r="N1374" i="15"/>
  <c r="N798" i="15"/>
  <c r="N458" i="15"/>
  <c r="N130" i="15"/>
  <c r="B3040" i="15"/>
  <c r="B2664" i="15"/>
  <c r="B2531" i="15"/>
  <c r="B2067" i="15"/>
  <c r="B1470" i="15"/>
  <c r="B1283" i="15"/>
  <c r="B1001" i="15"/>
  <c r="B440" i="15"/>
  <c r="B93" i="15"/>
  <c r="H3040" i="15"/>
  <c r="H2664" i="15"/>
  <c r="H2531" i="15"/>
  <c r="H2067" i="15"/>
  <c r="H1470" i="15"/>
  <c r="H1283" i="15"/>
  <c r="H1001" i="15"/>
  <c r="H440" i="15"/>
  <c r="H93" i="15"/>
  <c r="N3050" i="15"/>
  <c r="N2699" i="15"/>
  <c r="N2540" i="15"/>
  <c r="N2076" i="15"/>
  <c r="N1289" i="15"/>
  <c r="N1475" i="15"/>
  <c r="N1010" i="15"/>
  <c r="N462" i="15"/>
  <c r="N134" i="15"/>
  <c r="AG2582" i="15"/>
  <c r="AG3216" i="15"/>
  <c r="K2666" i="15"/>
  <c r="K3073" i="15"/>
  <c r="I2666" i="15"/>
  <c r="I3073" i="15"/>
  <c r="L2277" i="15"/>
  <c r="L2666" i="15"/>
  <c r="I2276" i="15"/>
  <c r="I2665" i="15"/>
  <c r="L2276" i="15"/>
  <c r="L2665" i="15"/>
  <c r="H2276" i="15"/>
  <c r="H2665" i="15"/>
  <c r="H2277" i="15"/>
  <c r="H2666" i="15"/>
  <c r="AJ2399" i="15"/>
  <c r="AJ2582" i="15"/>
  <c r="AG2177" i="15"/>
  <c r="AG2399" i="15"/>
  <c r="K1472" i="15"/>
  <c r="K2277" i="15"/>
  <c r="I1472" i="15"/>
  <c r="I2277" i="15"/>
  <c r="AJ1841" i="15"/>
  <c r="AJ2177" i="15"/>
  <c r="AG1431" i="15"/>
  <c r="AG1841" i="15"/>
  <c r="R645" i="15"/>
  <c r="Q645" i="15"/>
  <c r="S645" i="15"/>
  <c r="D645" i="15"/>
  <c r="B645" i="15"/>
  <c r="C645" i="15"/>
  <c r="P645" i="15"/>
  <c r="O645" i="15"/>
  <c r="E645" i="15"/>
  <c r="F645" i="15"/>
  <c r="G645" i="15"/>
  <c r="L1285" i="15"/>
  <c r="L1472" i="15"/>
  <c r="L1284" i="15"/>
  <c r="L1471" i="15"/>
  <c r="H1285" i="15"/>
  <c r="H1472" i="15"/>
  <c r="I1284" i="15"/>
  <c r="I1471" i="15"/>
  <c r="H1284" i="15"/>
  <c r="H1471" i="15"/>
  <c r="AJ958" i="15"/>
  <c r="AJ1431" i="15"/>
  <c r="K1003" i="15"/>
  <c r="K1285" i="15"/>
  <c r="I1003" i="15"/>
  <c r="I1285" i="15"/>
  <c r="L608" i="15"/>
  <c r="L1003" i="15"/>
  <c r="L607" i="15"/>
  <c r="L1002" i="15"/>
  <c r="H607" i="15"/>
  <c r="H1002" i="15"/>
  <c r="H608" i="15"/>
  <c r="H1003" i="15"/>
  <c r="I607" i="15"/>
  <c r="I1002" i="15"/>
  <c r="AG638" i="15"/>
  <c r="AG958" i="15"/>
  <c r="K95" i="15"/>
  <c r="K608" i="15"/>
  <c r="I95" i="15"/>
  <c r="I608" i="15"/>
  <c r="AJ345" i="15"/>
  <c r="AJ638" i="15"/>
  <c r="AG345" i="15"/>
  <c r="L94" i="15"/>
  <c r="L95" i="15"/>
  <c r="H94" i="15"/>
  <c r="H95" i="15"/>
  <c r="I94" i="15"/>
  <c r="CV455" i="7"/>
  <c r="EU447" i="7"/>
  <c r="CV454" i="7"/>
  <c r="CJ447" i="7"/>
  <c r="CI451" i="7"/>
  <c r="CI448" i="7"/>
  <c r="CI450" i="7"/>
  <c r="CH448" i="7"/>
  <c r="CY454" i="7"/>
  <c r="CI449" i="7"/>
  <c r="CX455" i="7"/>
  <c r="CD447" i="7"/>
  <c r="DH449" i="7"/>
  <c r="CK447" i="7"/>
  <c r="DI451" i="7"/>
  <c r="CL447" i="7"/>
  <c r="DI452" i="7"/>
  <c r="CU455" i="7"/>
  <c r="CU454" i="7"/>
  <c r="CX454" i="7"/>
  <c r="CW454" i="7"/>
  <c r="CQ454" i="7"/>
  <c r="CW455" i="7"/>
  <c r="CQ455" i="7"/>
  <c r="CY455" i="7"/>
  <c r="MC448" i="7"/>
  <c r="MC449" i="7"/>
  <c r="GN447" i="7"/>
  <c r="DI453" i="7"/>
  <c r="DI450" i="7"/>
  <c r="CV453" i="7"/>
  <c r="CV451" i="7"/>
  <c r="CV450" i="7"/>
  <c r="DI448" i="7"/>
  <c r="CV449" i="7"/>
  <c r="CV448" i="7"/>
  <c r="GZ447" i="7"/>
  <c r="EW447" i="7"/>
  <c r="EQ447" i="7"/>
  <c r="EY447" i="7"/>
  <c r="EX447" i="7"/>
  <c r="CY447" i="7"/>
  <c r="CV447" i="7"/>
  <c r="CW447" i="7"/>
  <c r="CX447" i="7"/>
  <c r="I645" i="15" l="1"/>
  <c r="H645" i="15"/>
  <c r="J645" i="15"/>
  <c r="M645" i="15"/>
  <c r="K645" i="15"/>
  <c r="L645" i="15"/>
  <c r="FU46" i="13"/>
  <c r="FK46" i="13"/>
  <c r="FA46" i="13"/>
  <c r="EN46" i="13"/>
  <c r="EN55" i="13"/>
  <c r="EN54" i="13"/>
  <c r="EN42" i="13"/>
  <c r="EN41" i="13"/>
  <c r="EN37" i="13"/>
  <c r="EN36" i="13"/>
  <c r="DZ47" i="13"/>
  <c r="DZ29" i="13"/>
  <c r="DZ28" i="13"/>
  <c r="DZ14" i="13"/>
  <c r="DZ13" i="13"/>
  <c r="DZ12" i="13"/>
  <c r="DZ4" i="13"/>
  <c r="DZ3" i="13"/>
  <c r="DZ2" i="13"/>
  <c r="CZ22" i="13"/>
  <c r="CZ21" i="13"/>
  <c r="CZ20" i="13"/>
  <c r="CZ19" i="13"/>
  <c r="CZ8" i="13"/>
  <c r="CZ7" i="13"/>
  <c r="CZ6" i="13"/>
  <c r="CZ5" i="13"/>
  <c r="BY16" i="13"/>
  <c r="BY17" i="13"/>
  <c r="EW446" i="7"/>
  <c r="EW445" i="7"/>
  <c r="EW444" i="7"/>
  <c r="EW443" i="7"/>
  <c r="EW439" i="7"/>
  <c r="EW433" i="7"/>
  <c r="EW432" i="7"/>
  <c r="EW419" i="7"/>
  <c r="EW418" i="7"/>
  <c r="EW417" i="7"/>
  <c r="EW416" i="7"/>
  <c r="EW415" i="7"/>
  <c r="EW414" i="7"/>
  <c r="EW413" i="7"/>
  <c r="EW412" i="7"/>
  <c r="EW400" i="7"/>
  <c r="EW379" i="7"/>
  <c r="EW378" i="7"/>
  <c r="EW377" i="7"/>
  <c r="EW376" i="7"/>
  <c r="EW375" i="7"/>
  <c r="EW374" i="7"/>
  <c r="EW373" i="7"/>
  <c r="EW372" i="7"/>
  <c r="EW359" i="7"/>
  <c r="EW358" i="7"/>
  <c r="EW357" i="7"/>
  <c r="EW356" i="7"/>
  <c r="EW355" i="7"/>
  <c r="EW354" i="7"/>
  <c r="EW347" i="7"/>
  <c r="EW346" i="7"/>
  <c r="EW345" i="7"/>
  <c r="EW344" i="7"/>
  <c r="EW343" i="7"/>
  <c r="EW342" i="7"/>
  <c r="EW341" i="7"/>
  <c r="EW340" i="7"/>
  <c r="EW339" i="7"/>
  <c r="EW332" i="7"/>
  <c r="EW331" i="7"/>
  <c r="EW330" i="7"/>
  <c r="EW329" i="7"/>
  <c r="EW328" i="7"/>
  <c r="EW327" i="7"/>
  <c r="EW326" i="7"/>
  <c r="EW325" i="7"/>
  <c r="EW324" i="7"/>
  <c r="EW323" i="7"/>
  <c r="EW322" i="7"/>
  <c r="EW321" i="7"/>
  <c r="EW320" i="7"/>
  <c r="EW319" i="7"/>
  <c r="EW318" i="7"/>
  <c r="EW317" i="7"/>
  <c r="EW316" i="7"/>
  <c r="EW279" i="7"/>
  <c r="EW278" i="7"/>
  <c r="EW277" i="7"/>
  <c r="EW276" i="7"/>
  <c r="EW275" i="7"/>
  <c r="EW274" i="7"/>
  <c r="EW271" i="7"/>
  <c r="EW221" i="7"/>
  <c r="EW218" i="7"/>
  <c r="EW217" i="7"/>
  <c r="EW214" i="7"/>
  <c r="EW213" i="7"/>
  <c r="EW212" i="7"/>
  <c r="EW211" i="7"/>
  <c r="EW209" i="7"/>
  <c r="EW208" i="7"/>
  <c r="EW207" i="7"/>
  <c r="EW206" i="7"/>
  <c r="EW205" i="7"/>
  <c r="EW198" i="7"/>
  <c r="EW197" i="7"/>
  <c r="EW196" i="7"/>
  <c r="EW195" i="7"/>
  <c r="EW178" i="7"/>
  <c r="EW177" i="7"/>
  <c r="EW176" i="7"/>
  <c r="EW173" i="7"/>
  <c r="EW171" i="7"/>
  <c r="EW170" i="7"/>
  <c r="EW169" i="7"/>
  <c r="EW168" i="7"/>
  <c r="EW155" i="7"/>
  <c r="EW154" i="7"/>
  <c r="EW153" i="7"/>
  <c r="EW152" i="7"/>
  <c r="EW144" i="7"/>
  <c r="EW143" i="7"/>
  <c r="EW142" i="7"/>
  <c r="EW141" i="7"/>
  <c r="EW140" i="7"/>
  <c r="EW139" i="7"/>
  <c r="EW138" i="7"/>
  <c r="EW137" i="7"/>
  <c r="EW136" i="7"/>
  <c r="EW135" i="7"/>
  <c r="EW111" i="7"/>
  <c r="EW110" i="7"/>
  <c r="EW109" i="7"/>
  <c r="EW108" i="7"/>
  <c r="EW107" i="7"/>
  <c r="EW106" i="7"/>
  <c r="EW105" i="7"/>
  <c r="EW104" i="7"/>
  <c r="EW99" i="7"/>
  <c r="EW97" i="7"/>
  <c r="EW96" i="7"/>
  <c r="EW95" i="7"/>
  <c r="EW94" i="7"/>
  <c r="EW93" i="7"/>
  <c r="EW92" i="7"/>
  <c r="EW91" i="7"/>
  <c r="EW87" i="7"/>
  <c r="EW86" i="7"/>
  <c r="EW85" i="7"/>
  <c r="EW84" i="7"/>
  <c r="EW74" i="7"/>
  <c r="EW73" i="7"/>
  <c r="EW72" i="7"/>
  <c r="EW71" i="7"/>
  <c r="EW64" i="7"/>
  <c r="EW63" i="7"/>
  <c r="EW62" i="7"/>
  <c r="EW61" i="7"/>
  <c r="EW60" i="7"/>
  <c r="EW59" i="7"/>
  <c r="EW58" i="7"/>
  <c r="EW57" i="7"/>
  <c r="EW56" i="7"/>
  <c r="EW55" i="7"/>
  <c r="EW54" i="7"/>
  <c r="EW53" i="7"/>
  <c r="EW46" i="7"/>
  <c r="EW45" i="7"/>
  <c r="EW44" i="7"/>
  <c r="EW43" i="7"/>
  <c r="EW42" i="7"/>
  <c r="EW41" i="7"/>
  <c r="EW40" i="7"/>
  <c r="EW39" i="7"/>
  <c r="EW38" i="7"/>
  <c r="EW37" i="7"/>
  <c r="EW36" i="7"/>
  <c r="EW35" i="7"/>
  <c r="EW33" i="7"/>
  <c r="EW32" i="7"/>
  <c r="EW29" i="7"/>
  <c r="EW28" i="7"/>
  <c r="EW27" i="7"/>
  <c r="EW26" i="7"/>
  <c r="EW25" i="7"/>
  <c r="EW24" i="7"/>
  <c r="EW23" i="7"/>
  <c r="EW22" i="7"/>
  <c r="EW21" i="7"/>
  <c r="EW20" i="7"/>
  <c r="EW19" i="7"/>
  <c r="EW18" i="7"/>
  <c r="EJ443" i="7"/>
  <c r="EJ442" i="7"/>
  <c r="EJ441" i="7"/>
  <c r="EJ438" i="7"/>
  <c r="EJ437" i="7"/>
  <c r="EJ433" i="7"/>
  <c r="EJ432" i="7"/>
  <c r="EJ424" i="7"/>
  <c r="EJ421" i="7"/>
  <c r="EJ420" i="7"/>
  <c r="EJ218" i="7"/>
  <c r="EJ217" i="7"/>
  <c r="EJ151" i="7"/>
  <c r="EJ150" i="7"/>
  <c r="EJ148" i="7"/>
  <c r="EJ147" i="7"/>
  <c r="DW443" i="7"/>
  <c r="DW442" i="7"/>
  <c r="DW441" i="7"/>
  <c r="DW438" i="7"/>
  <c r="DW437" i="7"/>
  <c r="DW433" i="7"/>
  <c r="DW432" i="7"/>
  <c r="DW424" i="7"/>
  <c r="DW423" i="7"/>
  <c r="DW422" i="7"/>
  <c r="DW421" i="7"/>
  <c r="DW420" i="7"/>
  <c r="DW395" i="7"/>
  <c r="DW394" i="7"/>
  <c r="DW391" i="7"/>
  <c r="DW390" i="7"/>
  <c r="DW389" i="7"/>
  <c r="DW279" i="7"/>
  <c r="DW278" i="7"/>
  <c r="DW277" i="7"/>
  <c r="DW276" i="7"/>
  <c r="DW275" i="7"/>
  <c r="DW274" i="7"/>
  <c r="DW218" i="7"/>
  <c r="DW217" i="7"/>
  <c r="DW152" i="7"/>
  <c r="DW151" i="7"/>
  <c r="DW150" i="7"/>
  <c r="DW148" i="7"/>
  <c r="DW147" i="7"/>
  <c r="DW34" i="7"/>
  <c r="DW32" i="7"/>
  <c r="DW7" i="7"/>
  <c r="DW6" i="7"/>
  <c r="DW5" i="7"/>
  <c r="DW4" i="7"/>
  <c r="CJ433" i="7"/>
  <c r="CJ432" i="7"/>
  <c r="CW433" i="7"/>
  <c r="CW432" i="7"/>
  <c r="DJ433" i="7"/>
  <c r="DJ432" i="7"/>
  <c r="DJ425" i="7"/>
  <c r="DJ424" i="7"/>
  <c r="DJ423" i="7"/>
  <c r="DJ422" i="7"/>
  <c r="DJ421" i="7"/>
  <c r="DJ420" i="7"/>
  <c r="DJ151" i="7"/>
  <c r="DJ150" i="7"/>
  <c r="DJ148" i="7"/>
  <c r="DJ147" i="7"/>
  <c r="DJ32" i="7"/>
  <c r="BB163" i="7" l="1"/>
  <c r="EV446" i="7" l="1"/>
  <c r="DY2" i="13"/>
  <c r="BX80" i="7"/>
  <c r="DK421" i="7" l="1"/>
  <c r="DL421" i="7"/>
  <c r="EP55" i="13" l="1"/>
  <c r="DB22" i="13" l="1"/>
  <c r="DA22" i="13"/>
  <c r="DB21" i="13"/>
  <c r="DA21" i="13"/>
  <c r="DB20" i="13"/>
  <c r="DA20" i="13"/>
  <c r="DB19" i="13"/>
  <c r="DA19" i="13"/>
  <c r="DB8" i="13"/>
  <c r="DA8" i="13"/>
  <c r="DB7" i="13"/>
  <c r="DA7" i="13"/>
  <c r="DB6" i="13"/>
  <c r="DA6" i="13"/>
  <c r="DB5" i="13"/>
  <c r="DA5" i="13"/>
  <c r="EA28" i="13"/>
  <c r="EB28" i="13"/>
  <c r="EA29" i="13"/>
  <c r="EB29" i="13"/>
  <c r="EA47" i="13"/>
  <c r="EB47" i="13"/>
  <c r="EA3" i="13"/>
  <c r="EB3" i="13"/>
  <c r="EA4" i="13"/>
  <c r="EB4" i="13"/>
  <c r="EA12" i="13"/>
  <c r="EB12" i="13"/>
  <c r="EA13" i="13"/>
  <c r="EB13" i="13"/>
  <c r="EA14" i="13"/>
  <c r="EB14" i="13"/>
  <c r="EA2" i="13"/>
  <c r="EB2" i="13"/>
  <c r="EO55" i="13"/>
  <c r="EP54" i="13"/>
  <c r="EO54" i="13"/>
  <c r="EP46" i="13"/>
  <c r="EO46" i="13"/>
  <c r="EP42" i="13"/>
  <c r="EO42" i="13"/>
  <c r="EP41" i="13"/>
  <c r="EO41" i="13"/>
  <c r="EP37" i="13"/>
  <c r="EO37" i="13"/>
  <c r="EP36" i="13"/>
  <c r="EO36" i="13"/>
  <c r="EY446" i="7"/>
  <c r="EX446" i="7"/>
  <c r="EY445" i="7"/>
  <c r="EX445" i="7"/>
  <c r="EY444" i="7"/>
  <c r="EX444" i="7"/>
  <c r="EY443" i="7"/>
  <c r="EX443" i="7"/>
  <c r="EY439" i="7"/>
  <c r="EX439" i="7"/>
  <c r="EY433" i="7"/>
  <c r="EX433" i="7"/>
  <c r="EY432" i="7"/>
  <c r="EX432" i="7"/>
  <c r="EY419" i="7"/>
  <c r="EX419" i="7"/>
  <c r="EY418" i="7"/>
  <c r="EX418" i="7"/>
  <c r="EY417" i="7"/>
  <c r="EX417" i="7"/>
  <c r="EY416" i="7"/>
  <c r="EX416" i="7"/>
  <c r="EY415" i="7"/>
  <c r="EX415" i="7"/>
  <c r="EY414" i="7"/>
  <c r="EX414" i="7"/>
  <c r="EY413" i="7"/>
  <c r="EX413" i="7"/>
  <c r="EY412" i="7"/>
  <c r="EX412" i="7"/>
  <c r="EY400" i="7"/>
  <c r="EX400" i="7"/>
  <c r="EY379" i="7"/>
  <c r="EX379" i="7"/>
  <c r="EY378" i="7"/>
  <c r="EX378" i="7"/>
  <c r="EY377" i="7"/>
  <c r="EX377" i="7"/>
  <c r="EY376" i="7"/>
  <c r="EX376" i="7"/>
  <c r="EY375" i="7"/>
  <c r="EX375" i="7"/>
  <c r="EY374" i="7"/>
  <c r="EX374" i="7"/>
  <c r="EY373" i="7"/>
  <c r="EX373" i="7"/>
  <c r="EY372" i="7"/>
  <c r="EX372" i="7"/>
  <c r="EY359" i="7"/>
  <c r="EX359" i="7"/>
  <c r="EY358" i="7"/>
  <c r="EX358" i="7"/>
  <c r="EY357" i="7"/>
  <c r="EX357" i="7"/>
  <c r="EY356" i="7"/>
  <c r="EX356" i="7"/>
  <c r="EY355" i="7"/>
  <c r="EX355" i="7"/>
  <c r="EY354" i="7"/>
  <c r="EX354" i="7"/>
  <c r="EY347" i="7"/>
  <c r="EX347" i="7"/>
  <c r="EY346" i="7"/>
  <c r="EX346" i="7"/>
  <c r="EY345" i="7"/>
  <c r="EX345" i="7"/>
  <c r="EY344" i="7"/>
  <c r="EX344" i="7"/>
  <c r="EY343" i="7"/>
  <c r="EX343" i="7"/>
  <c r="EY342" i="7"/>
  <c r="EX342" i="7"/>
  <c r="EY341" i="7"/>
  <c r="EX341" i="7"/>
  <c r="EY340" i="7"/>
  <c r="EX340" i="7"/>
  <c r="EY339" i="7"/>
  <c r="EX339" i="7"/>
  <c r="EY332" i="7"/>
  <c r="EX332" i="7"/>
  <c r="EY331" i="7"/>
  <c r="EX331" i="7"/>
  <c r="EY330" i="7"/>
  <c r="EX330" i="7"/>
  <c r="EY329" i="7"/>
  <c r="EX329" i="7"/>
  <c r="EY328" i="7"/>
  <c r="EX328" i="7"/>
  <c r="EY327" i="7"/>
  <c r="EX327" i="7"/>
  <c r="EY326" i="7"/>
  <c r="EX326" i="7"/>
  <c r="EY325" i="7"/>
  <c r="EX325" i="7"/>
  <c r="EY324" i="7"/>
  <c r="EX324" i="7"/>
  <c r="EY323" i="7"/>
  <c r="EX323" i="7"/>
  <c r="EY322" i="7"/>
  <c r="EX322" i="7"/>
  <c r="EY321" i="7"/>
  <c r="EX321" i="7"/>
  <c r="EY320" i="7"/>
  <c r="EX320" i="7"/>
  <c r="EY319" i="7"/>
  <c r="EX319" i="7"/>
  <c r="EY318" i="7"/>
  <c r="EX318" i="7"/>
  <c r="EY317" i="7"/>
  <c r="EX317" i="7"/>
  <c r="EY316" i="7"/>
  <c r="EX316" i="7"/>
  <c r="EY279" i="7"/>
  <c r="EX279" i="7"/>
  <c r="EY278" i="7"/>
  <c r="EX278" i="7"/>
  <c r="EY277" i="7"/>
  <c r="EX277" i="7"/>
  <c r="EY276" i="7"/>
  <c r="EX276" i="7"/>
  <c r="EY275" i="7"/>
  <c r="EX275" i="7"/>
  <c r="EY274" i="7"/>
  <c r="EX274" i="7"/>
  <c r="EY271" i="7"/>
  <c r="EX271" i="7"/>
  <c r="EY221" i="7"/>
  <c r="EX221" i="7"/>
  <c r="EY218" i="7"/>
  <c r="EX218" i="7"/>
  <c r="EY217" i="7"/>
  <c r="EX217" i="7"/>
  <c r="EY214" i="7"/>
  <c r="EX214" i="7"/>
  <c r="EY213" i="7"/>
  <c r="EX213" i="7"/>
  <c r="EY212" i="7"/>
  <c r="EX212" i="7"/>
  <c r="EY211" i="7"/>
  <c r="EX211" i="7"/>
  <c r="EY209" i="7"/>
  <c r="EX209" i="7"/>
  <c r="EY208" i="7"/>
  <c r="EX208" i="7"/>
  <c r="EY207" i="7"/>
  <c r="EX207" i="7"/>
  <c r="EY206" i="7"/>
  <c r="EX206" i="7"/>
  <c r="EY205" i="7"/>
  <c r="EX205" i="7"/>
  <c r="EY198" i="7"/>
  <c r="EX198" i="7"/>
  <c r="EY197" i="7"/>
  <c r="EX197" i="7"/>
  <c r="EY196" i="7"/>
  <c r="EX196" i="7"/>
  <c r="EY195" i="7"/>
  <c r="EX195" i="7"/>
  <c r="EY178" i="7"/>
  <c r="EX178" i="7"/>
  <c r="EY177" i="7"/>
  <c r="EX177" i="7"/>
  <c r="EY176" i="7"/>
  <c r="EX176" i="7"/>
  <c r="EY173" i="7"/>
  <c r="EX173" i="7"/>
  <c r="EY171" i="7"/>
  <c r="EX171" i="7"/>
  <c r="EY170" i="7"/>
  <c r="EX170" i="7"/>
  <c r="EY169" i="7"/>
  <c r="EX169" i="7"/>
  <c r="EY168" i="7"/>
  <c r="EX168" i="7"/>
  <c r="EY155" i="7"/>
  <c r="EX155" i="7"/>
  <c r="EY154" i="7"/>
  <c r="EX154" i="7"/>
  <c r="EY153" i="7"/>
  <c r="EX153" i="7"/>
  <c r="EY152" i="7"/>
  <c r="EX152" i="7"/>
  <c r="EY144" i="7"/>
  <c r="EX144" i="7"/>
  <c r="EY143" i="7"/>
  <c r="EX143" i="7"/>
  <c r="EY142" i="7"/>
  <c r="EX142" i="7"/>
  <c r="EY141" i="7"/>
  <c r="EX141" i="7"/>
  <c r="EY140" i="7"/>
  <c r="EX140" i="7"/>
  <c r="EY139" i="7"/>
  <c r="EX139" i="7"/>
  <c r="EY138" i="7"/>
  <c r="EX138" i="7"/>
  <c r="EY137" i="7"/>
  <c r="EX137" i="7"/>
  <c r="EY136" i="7"/>
  <c r="EX136" i="7"/>
  <c r="EY135" i="7"/>
  <c r="EX135" i="7"/>
  <c r="EY111" i="7"/>
  <c r="EX111" i="7"/>
  <c r="EY110" i="7"/>
  <c r="EX110" i="7"/>
  <c r="EY109" i="7"/>
  <c r="EX109" i="7"/>
  <c r="EY108" i="7"/>
  <c r="EX108" i="7"/>
  <c r="EY107" i="7"/>
  <c r="EX107" i="7"/>
  <c r="EY106" i="7"/>
  <c r="EX106" i="7"/>
  <c r="EY105" i="7"/>
  <c r="EX105" i="7"/>
  <c r="EY104" i="7"/>
  <c r="EX104" i="7"/>
  <c r="EY99" i="7"/>
  <c r="EX99" i="7"/>
  <c r="EY97" i="7"/>
  <c r="EX97" i="7"/>
  <c r="EY96" i="7"/>
  <c r="EX96" i="7"/>
  <c r="EY95" i="7"/>
  <c r="EX95" i="7"/>
  <c r="EY94" i="7"/>
  <c r="EX94" i="7"/>
  <c r="EY93" i="7"/>
  <c r="EX93" i="7"/>
  <c r="EY92" i="7"/>
  <c r="EX92" i="7"/>
  <c r="EY91" i="7"/>
  <c r="EX91" i="7"/>
  <c r="EY87" i="7"/>
  <c r="EX87" i="7"/>
  <c r="EY86" i="7"/>
  <c r="EX86" i="7"/>
  <c r="EY85" i="7"/>
  <c r="EX85" i="7"/>
  <c r="EY84" i="7"/>
  <c r="EX84" i="7"/>
  <c r="EY74" i="7"/>
  <c r="EX74" i="7"/>
  <c r="EY73" i="7"/>
  <c r="EX73" i="7"/>
  <c r="EY72" i="7"/>
  <c r="EX72" i="7"/>
  <c r="EY71" i="7"/>
  <c r="EX71" i="7"/>
  <c r="EY64" i="7"/>
  <c r="EX64" i="7"/>
  <c r="EY63" i="7"/>
  <c r="EX63" i="7"/>
  <c r="EY62" i="7"/>
  <c r="EX62" i="7"/>
  <c r="EY61" i="7"/>
  <c r="EX61" i="7"/>
  <c r="EY60" i="7"/>
  <c r="EX60" i="7"/>
  <c r="EY59" i="7"/>
  <c r="EX59" i="7"/>
  <c r="EY58" i="7"/>
  <c r="EX58" i="7"/>
  <c r="EY57" i="7"/>
  <c r="EX57" i="7"/>
  <c r="EY56" i="7"/>
  <c r="EX56" i="7"/>
  <c r="EY55" i="7"/>
  <c r="EX55" i="7"/>
  <c r="EY54" i="7"/>
  <c r="EX54" i="7"/>
  <c r="EY53" i="7"/>
  <c r="EX53" i="7"/>
  <c r="EY46" i="7"/>
  <c r="EX46" i="7"/>
  <c r="EY45" i="7"/>
  <c r="EX45" i="7"/>
  <c r="EY44" i="7"/>
  <c r="EX44" i="7"/>
  <c r="EY43" i="7"/>
  <c r="EX43" i="7"/>
  <c r="EY42" i="7"/>
  <c r="EX42" i="7"/>
  <c r="EY41" i="7"/>
  <c r="EX41" i="7"/>
  <c r="EY40" i="7"/>
  <c r="EX40" i="7"/>
  <c r="EY39" i="7"/>
  <c r="EX39" i="7"/>
  <c r="EY38" i="7"/>
  <c r="EX38" i="7"/>
  <c r="EY37" i="7"/>
  <c r="EX37" i="7"/>
  <c r="EY36" i="7"/>
  <c r="EX36" i="7"/>
  <c r="EY35" i="7"/>
  <c r="EX35" i="7"/>
  <c r="EY33" i="7"/>
  <c r="EX33" i="7"/>
  <c r="EY32" i="7"/>
  <c r="EX32" i="7"/>
  <c r="EY29" i="7"/>
  <c r="EX29" i="7"/>
  <c r="EY28" i="7"/>
  <c r="EX28" i="7"/>
  <c r="EY27" i="7"/>
  <c r="EX27" i="7"/>
  <c r="EY26" i="7"/>
  <c r="EX26" i="7"/>
  <c r="EY25" i="7"/>
  <c r="EX25" i="7"/>
  <c r="EY24" i="7"/>
  <c r="EX24" i="7"/>
  <c r="EY23" i="7"/>
  <c r="EX23" i="7"/>
  <c r="EY22" i="7"/>
  <c r="EX22" i="7"/>
  <c r="EY21" i="7"/>
  <c r="EX21" i="7"/>
  <c r="EY20" i="7"/>
  <c r="EX20" i="7"/>
  <c r="EY19" i="7"/>
  <c r="EX19" i="7"/>
  <c r="EY18" i="7"/>
  <c r="EX18" i="7"/>
  <c r="EL443" i="7"/>
  <c r="EK443" i="7"/>
  <c r="EL442" i="7"/>
  <c r="EK442" i="7"/>
  <c r="EL441" i="7"/>
  <c r="EK441" i="7"/>
  <c r="EL438" i="7"/>
  <c r="EK438" i="7"/>
  <c r="EL437" i="7"/>
  <c r="EK437" i="7"/>
  <c r="EL433" i="7"/>
  <c r="EK433" i="7"/>
  <c r="EL432" i="7"/>
  <c r="EK432" i="7"/>
  <c r="EL424" i="7"/>
  <c r="EK424" i="7"/>
  <c r="EL421" i="7"/>
  <c r="EK421" i="7"/>
  <c r="EL420" i="7"/>
  <c r="EK420" i="7"/>
  <c r="EL218" i="7"/>
  <c r="EK218" i="7"/>
  <c r="EL217" i="7"/>
  <c r="EK217" i="7"/>
  <c r="EL151" i="7"/>
  <c r="EK151" i="7"/>
  <c r="EL150" i="7"/>
  <c r="EK150" i="7"/>
  <c r="EL148" i="7"/>
  <c r="EK148" i="7"/>
  <c r="EL147" i="7"/>
  <c r="EK147" i="7"/>
  <c r="CL433" i="7"/>
  <c r="CK433" i="7"/>
  <c r="CL432" i="7"/>
  <c r="CK432" i="7"/>
  <c r="CY433" i="7"/>
  <c r="CX433" i="7"/>
  <c r="CY432" i="7"/>
  <c r="CX432" i="7"/>
  <c r="DL420" i="7"/>
  <c r="DK420" i="7"/>
  <c r="DL433" i="7"/>
  <c r="DK433" i="7"/>
  <c r="DL432" i="7"/>
  <c r="DK432" i="7"/>
  <c r="DL425" i="7"/>
  <c r="DK425" i="7"/>
  <c r="DL424" i="7"/>
  <c r="DK424" i="7"/>
  <c r="DL423" i="7"/>
  <c r="DK423" i="7"/>
  <c r="DL422" i="7"/>
  <c r="DK422" i="7"/>
  <c r="DL151" i="7"/>
  <c r="DK151" i="7"/>
  <c r="DL150" i="7"/>
  <c r="DK150" i="7"/>
  <c r="DL148" i="7"/>
  <c r="DK148" i="7"/>
  <c r="DL147" i="7"/>
  <c r="DK147" i="7"/>
  <c r="DL32" i="7"/>
  <c r="DK32" i="7"/>
  <c r="DX147" i="7"/>
  <c r="DY147" i="7"/>
  <c r="DX148" i="7"/>
  <c r="DY148" i="7"/>
  <c r="DX150" i="7"/>
  <c r="DY150" i="7"/>
  <c r="DX151" i="7"/>
  <c r="DY151" i="7"/>
  <c r="DX152" i="7"/>
  <c r="DY152" i="7"/>
  <c r="DX217" i="7"/>
  <c r="DY217" i="7"/>
  <c r="DX218" i="7"/>
  <c r="DY218" i="7"/>
  <c r="DX274" i="7"/>
  <c r="DY274" i="7"/>
  <c r="DX275" i="7"/>
  <c r="DY275" i="7"/>
  <c r="DX276" i="7"/>
  <c r="DY276" i="7"/>
  <c r="DX277" i="7"/>
  <c r="DY277" i="7"/>
  <c r="DX278" i="7"/>
  <c r="DY278" i="7"/>
  <c r="DX279" i="7"/>
  <c r="DY279" i="7"/>
  <c r="DX389" i="7"/>
  <c r="DY389" i="7"/>
  <c r="DX390" i="7"/>
  <c r="DY390" i="7"/>
  <c r="DX391" i="7"/>
  <c r="DY391" i="7"/>
  <c r="DX394" i="7"/>
  <c r="DY394" i="7"/>
  <c r="DX395" i="7"/>
  <c r="DY395" i="7"/>
  <c r="DX420" i="7"/>
  <c r="DY420" i="7"/>
  <c r="DX421" i="7"/>
  <c r="DY421" i="7"/>
  <c r="DX422" i="7"/>
  <c r="DY422" i="7"/>
  <c r="DX423" i="7"/>
  <c r="DY423" i="7"/>
  <c r="DX424" i="7"/>
  <c r="DY424" i="7"/>
  <c r="DX432" i="7"/>
  <c r="DY432" i="7"/>
  <c r="DX433" i="7"/>
  <c r="DY433" i="7"/>
  <c r="DX437" i="7"/>
  <c r="DY437" i="7"/>
  <c r="DX438" i="7"/>
  <c r="DY438" i="7"/>
  <c r="DX441" i="7"/>
  <c r="DY441" i="7"/>
  <c r="DX442" i="7"/>
  <c r="DY442" i="7"/>
  <c r="DX443" i="7"/>
  <c r="DY443" i="7"/>
  <c r="DX34" i="7"/>
  <c r="DY34" i="7"/>
  <c r="DX32" i="7"/>
  <c r="DY32" i="7"/>
  <c r="DX4" i="7"/>
  <c r="DY4" i="7"/>
  <c r="DX5" i="7"/>
  <c r="DY5" i="7"/>
  <c r="DX6" i="7"/>
  <c r="DY6" i="7"/>
  <c r="DX7" i="7"/>
  <c r="DY7" i="7"/>
  <c r="TY44" i="13" l="1"/>
  <c r="TY35" i="13"/>
  <c r="AQ12" i="13"/>
  <c r="AR12" i="13"/>
  <c r="TM35" i="13" l="1"/>
  <c r="TM46" i="13"/>
  <c r="TZ35" i="13"/>
  <c r="TY45" i="13"/>
  <c r="TN46" i="13"/>
  <c r="TN35" i="13"/>
  <c r="ST47" i="13"/>
  <c r="SS47" i="13"/>
  <c r="SI35" i="13"/>
  <c r="SJ35" i="13"/>
  <c r="RZ47" i="13"/>
  <c r="RY47" i="13"/>
  <c r="RF35" i="13"/>
  <c r="RE35" i="13"/>
  <c r="OI14" i="13"/>
  <c r="OJ14" i="13"/>
  <c r="OJ13" i="13"/>
  <c r="OI13" i="13"/>
  <c r="OJ12" i="13"/>
  <c r="OI12" i="13"/>
  <c r="OJ4" i="13"/>
  <c r="OI4" i="13"/>
  <c r="NY4" i="13"/>
  <c r="NZ4" i="13"/>
  <c r="NP37" i="13"/>
  <c r="NO37" i="13"/>
  <c r="NP36" i="13"/>
  <c r="NO36" i="13"/>
  <c r="NP14" i="13"/>
  <c r="NO14" i="13"/>
  <c r="NP13" i="13"/>
  <c r="NO13" i="13"/>
  <c r="NP12" i="13"/>
  <c r="NO12" i="13"/>
  <c r="NP4" i="13"/>
  <c r="NO4" i="13"/>
  <c r="NE8" i="13"/>
  <c r="NE5" i="13"/>
  <c r="NF5" i="13"/>
  <c r="NE6" i="13"/>
  <c r="NF6" i="13"/>
  <c r="NE7" i="13"/>
  <c r="NF7" i="13"/>
  <c r="NF8" i="13"/>
  <c r="NF4" i="13"/>
  <c r="NE4" i="13"/>
  <c r="MU5" i="13"/>
  <c r="MV5" i="13"/>
  <c r="MU6" i="13"/>
  <c r="MV6" i="13"/>
  <c r="MU7" i="13"/>
  <c r="MV7" i="13"/>
  <c r="MU8" i="13"/>
  <c r="MV8" i="13"/>
  <c r="MV4" i="13"/>
  <c r="MU4" i="13"/>
  <c r="ML4" i="13"/>
  <c r="MK4" i="13"/>
  <c r="ML14" i="13"/>
  <c r="MK14" i="13"/>
  <c r="ML13" i="13"/>
  <c r="MK13" i="13"/>
  <c r="ML12" i="13"/>
  <c r="MK12" i="13"/>
  <c r="ML27" i="13"/>
  <c r="MK27" i="13"/>
  <c r="ML26" i="13"/>
  <c r="MK26" i="13"/>
  <c r="ML25" i="13"/>
  <c r="MK25" i="13"/>
  <c r="ML24" i="13"/>
  <c r="MK24" i="13"/>
  <c r="ML40" i="13"/>
  <c r="MK40" i="13"/>
  <c r="ML39" i="13"/>
  <c r="MK39" i="13"/>
  <c r="ML38" i="13"/>
  <c r="MK38" i="13"/>
  <c r="MK58" i="13"/>
  <c r="ML58" i="13"/>
  <c r="ML57" i="13"/>
  <c r="MK57" i="13"/>
  <c r="MA58" i="13"/>
  <c r="MA57" i="13"/>
  <c r="MB58" i="13"/>
  <c r="MB57" i="13"/>
  <c r="MB40" i="13"/>
  <c r="MA40" i="13"/>
  <c r="MB39" i="13"/>
  <c r="MA39" i="13"/>
  <c r="MB38" i="13"/>
  <c r="MA38" i="13"/>
  <c r="MB27" i="13"/>
  <c r="MA27" i="13"/>
  <c r="MB26" i="13"/>
  <c r="MA26" i="13"/>
  <c r="MB25" i="13"/>
  <c r="MA25" i="13"/>
  <c r="MB24" i="13"/>
  <c r="MA24" i="13"/>
  <c r="MB14" i="13"/>
  <c r="MA14" i="13"/>
  <c r="MB13" i="13"/>
  <c r="MA13" i="13"/>
  <c r="MB12" i="13"/>
  <c r="MA12" i="13"/>
  <c r="MB4" i="13"/>
  <c r="MA4" i="13"/>
  <c r="LP18" i="13"/>
  <c r="KO29" i="13"/>
  <c r="KO28" i="13"/>
  <c r="KF47" i="13"/>
  <c r="KF29" i="13"/>
  <c r="KF28" i="13"/>
  <c r="JW47" i="13"/>
  <c r="JW29" i="13"/>
  <c r="JW28" i="13"/>
  <c r="JW13" i="13"/>
  <c r="JX13" i="13"/>
  <c r="JW14" i="13"/>
  <c r="JX14" i="13"/>
  <c r="JX12" i="13"/>
  <c r="JW12" i="13"/>
  <c r="IP36" i="13"/>
  <c r="IP46" i="13"/>
  <c r="IO46" i="13"/>
  <c r="IO45" i="13"/>
  <c r="IO44" i="13"/>
  <c r="IO42" i="13"/>
  <c r="IO41" i="13"/>
  <c r="IO37" i="13"/>
  <c r="IP37" i="13"/>
  <c r="IO36" i="13"/>
  <c r="IP14" i="13"/>
  <c r="IO13" i="13"/>
  <c r="IP13" i="13"/>
  <c r="IO14" i="13"/>
  <c r="IP12" i="13"/>
  <c r="IO12" i="13"/>
  <c r="HU28" i="13"/>
  <c r="HU29" i="13"/>
  <c r="HC47" i="13"/>
  <c r="HL47" i="13"/>
  <c r="HC45" i="13"/>
  <c r="HC44" i="13"/>
  <c r="HC28" i="13"/>
  <c r="HC29" i="13"/>
  <c r="HC13" i="13"/>
  <c r="HD13" i="13"/>
  <c r="HC14" i="13"/>
  <c r="HD14" i="13"/>
  <c r="HD12" i="13"/>
  <c r="HC12" i="13"/>
  <c r="GQ15" i="13"/>
  <c r="GQ3" i="13"/>
  <c r="GR3" i="13"/>
  <c r="GQ4" i="13"/>
  <c r="GR4" i="13"/>
  <c r="GR2" i="13"/>
  <c r="GQ2" i="13"/>
  <c r="GE42" i="13"/>
  <c r="GE41" i="13"/>
  <c r="GF29" i="13"/>
  <c r="GE29" i="13"/>
  <c r="GE10" i="13"/>
  <c r="GF10" i="13"/>
  <c r="GE11" i="13"/>
  <c r="GF11" i="13"/>
  <c r="GF9" i="13"/>
  <c r="GE9" i="13"/>
  <c r="FV46" i="13"/>
  <c r="FT46" i="13"/>
  <c r="FJ46" i="13"/>
  <c r="FL46" i="13"/>
  <c r="FB46" i="13"/>
  <c r="EZ46" i="13"/>
  <c r="EY46" i="13"/>
  <c r="EU46" i="13"/>
  <c r="DY59" i="13"/>
  <c r="LG3" i="13"/>
  <c r="LH3" i="13"/>
  <c r="LI3" i="13"/>
  <c r="LG4" i="13"/>
  <c r="LH4" i="13"/>
  <c r="LI4" i="13"/>
  <c r="LG5" i="13"/>
  <c r="LH5" i="13"/>
  <c r="LI5" i="13"/>
  <c r="LG6" i="13"/>
  <c r="LH6" i="13"/>
  <c r="LI6" i="13"/>
  <c r="LG7" i="13"/>
  <c r="LH7" i="13"/>
  <c r="LI7" i="13"/>
  <c r="LG8" i="13"/>
  <c r="LH8" i="13"/>
  <c r="LI8" i="13"/>
  <c r="LG9" i="13"/>
  <c r="LH9" i="13"/>
  <c r="LI9" i="13"/>
  <c r="LG10" i="13"/>
  <c r="LH10" i="13"/>
  <c r="LI10" i="13"/>
  <c r="LG11" i="13"/>
  <c r="LH11" i="13"/>
  <c r="LI11" i="13"/>
  <c r="LG12" i="13"/>
  <c r="LH12" i="13"/>
  <c r="LI12" i="13"/>
  <c r="LG13" i="13"/>
  <c r="LH13" i="13"/>
  <c r="LI13" i="13"/>
  <c r="LG14" i="13"/>
  <c r="LH14" i="13"/>
  <c r="LI14" i="13"/>
  <c r="LG15" i="13"/>
  <c r="LH15" i="13"/>
  <c r="LI15" i="13"/>
  <c r="LG16" i="13"/>
  <c r="LH16" i="13"/>
  <c r="LI16" i="13"/>
  <c r="LG17" i="13"/>
  <c r="LH17" i="13"/>
  <c r="LI17" i="13"/>
  <c r="LG18" i="13"/>
  <c r="LH18" i="13"/>
  <c r="LI18" i="13"/>
  <c r="LG19" i="13"/>
  <c r="LH19" i="13"/>
  <c r="LI19" i="13"/>
  <c r="LG20" i="13"/>
  <c r="LH20" i="13"/>
  <c r="LI20" i="13"/>
  <c r="LG21" i="13"/>
  <c r="LH21" i="13"/>
  <c r="LI21" i="13"/>
  <c r="LG22" i="13"/>
  <c r="LH22" i="13"/>
  <c r="LI22" i="13"/>
  <c r="LG23" i="13"/>
  <c r="LH23" i="13"/>
  <c r="LI23" i="13"/>
  <c r="LG24" i="13"/>
  <c r="LH24" i="13"/>
  <c r="LI24" i="13"/>
  <c r="LI2" i="13"/>
  <c r="LH2" i="13"/>
  <c r="LG2" i="13"/>
  <c r="LG29" i="13"/>
  <c r="LG28" i="13"/>
  <c r="LH27" i="13"/>
  <c r="LG27" i="13"/>
  <c r="LH26" i="13"/>
  <c r="LG26" i="13"/>
  <c r="LH25" i="13"/>
  <c r="LG25" i="13"/>
  <c r="KX55" i="13"/>
  <c r="KW55" i="13"/>
  <c r="KX54" i="13"/>
  <c r="KW54" i="13"/>
  <c r="KX35" i="13"/>
  <c r="KW35" i="13"/>
  <c r="KX34" i="13"/>
  <c r="KW34" i="13"/>
  <c r="KX33" i="13"/>
  <c r="KW33" i="13"/>
  <c r="KX27" i="13"/>
  <c r="KX26" i="13"/>
  <c r="KX25" i="13"/>
  <c r="KX24" i="13"/>
  <c r="KX23" i="13"/>
  <c r="KX22" i="13"/>
  <c r="KX21" i="13"/>
  <c r="KX20" i="13"/>
  <c r="KX19" i="13"/>
  <c r="KX18" i="13"/>
  <c r="KX17" i="13"/>
  <c r="KX16" i="13"/>
  <c r="KW27" i="13"/>
  <c r="KW26" i="13"/>
  <c r="KW25" i="13"/>
  <c r="KW24" i="13"/>
  <c r="KW23" i="13"/>
  <c r="KW22" i="13"/>
  <c r="KW21" i="13"/>
  <c r="KW20" i="13"/>
  <c r="KW19" i="13"/>
  <c r="KW18" i="13"/>
  <c r="KW17" i="13"/>
  <c r="KW16" i="13"/>
  <c r="KT22" i="13"/>
  <c r="KT21" i="13"/>
  <c r="KT20" i="13"/>
  <c r="KT19" i="13"/>
  <c r="TX35" i="13"/>
  <c r="TX61" i="13" s="1"/>
  <c r="TT35" i="13"/>
  <c r="TT61" i="13" s="1"/>
  <c r="BA14" i="7"/>
  <c r="GV47" i="13"/>
  <c r="GX47" i="13" s="1"/>
  <c r="DI59" i="13"/>
  <c r="DH59" i="13"/>
  <c r="DE59" i="13"/>
  <c r="DD59" i="13"/>
  <c r="DY58" i="13"/>
  <c r="DI58" i="13"/>
  <c r="DH58" i="13"/>
  <c r="DE58" i="13"/>
  <c r="DD58" i="13"/>
  <c r="DY57" i="13"/>
  <c r="DI57" i="13"/>
  <c r="DH57" i="13"/>
  <c r="DE57" i="13"/>
  <c r="DD57" i="13"/>
  <c r="DY56" i="13"/>
  <c r="DI56" i="13"/>
  <c r="DH56" i="13"/>
  <c r="DE56" i="13"/>
  <c r="DD56" i="13"/>
  <c r="CV56" i="13"/>
  <c r="CX56" i="13" s="1"/>
  <c r="CU56" i="13"/>
  <c r="CR56" i="13"/>
  <c r="CQ56" i="13"/>
  <c r="KY55" i="13"/>
  <c r="KU55" i="13"/>
  <c r="KR55" i="13"/>
  <c r="JR55" i="13"/>
  <c r="IJ55" i="13"/>
  <c r="EM55" i="13"/>
  <c r="EL55" i="13"/>
  <c r="EH55" i="13"/>
  <c r="DY55" i="13"/>
  <c r="DI55" i="13"/>
  <c r="DH55" i="13"/>
  <c r="DE55" i="13"/>
  <c r="DD55" i="13"/>
  <c r="CU55" i="13"/>
  <c r="CQ55" i="13"/>
  <c r="AJ55" i="13"/>
  <c r="AI55" i="13"/>
  <c r="KS55" i="13" s="1"/>
  <c r="KY54" i="13"/>
  <c r="KU54" i="13"/>
  <c r="KR54" i="13"/>
  <c r="JR54" i="13"/>
  <c r="IJ54" i="13"/>
  <c r="EM54" i="13"/>
  <c r="EL54" i="13"/>
  <c r="EH54" i="13"/>
  <c r="DY54" i="13"/>
  <c r="DI54" i="13"/>
  <c r="DH54" i="13"/>
  <c r="DE54" i="13"/>
  <c r="DD54" i="13"/>
  <c r="CU54" i="13"/>
  <c r="CQ54" i="13"/>
  <c r="AJ54" i="13"/>
  <c r="AI54" i="13"/>
  <c r="KS54" i="13" s="1"/>
  <c r="DY53" i="13"/>
  <c r="CV53" i="13"/>
  <c r="CU53" i="13"/>
  <c r="CR53" i="13"/>
  <c r="CQ53" i="13"/>
  <c r="DY52" i="13"/>
  <c r="CV52" i="13"/>
  <c r="CU52" i="13"/>
  <c r="CR52" i="13"/>
  <c r="CQ52" i="13"/>
  <c r="DY51" i="13"/>
  <c r="CV51" i="13"/>
  <c r="CU51" i="13"/>
  <c r="CR51" i="13"/>
  <c r="CQ51" i="13"/>
  <c r="DY50" i="13"/>
  <c r="CV50" i="13"/>
  <c r="CU50" i="13"/>
  <c r="CR50" i="13"/>
  <c r="CQ50" i="13"/>
  <c r="DY49" i="13"/>
  <c r="CV49" i="13"/>
  <c r="CU49" i="13"/>
  <c r="CR49" i="13"/>
  <c r="CQ49" i="13"/>
  <c r="DY48" i="13"/>
  <c r="CV48" i="13"/>
  <c r="CU48" i="13"/>
  <c r="CR48" i="13"/>
  <c r="CQ48" i="13"/>
  <c r="LI47" i="13"/>
  <c r="LG47" i="13"/>
  <c r="LF47" i="13"/>
  <c r="LD47" i="13"/>
  <c r="LC47" i="13"/>
  <c r="KY47" i="13"/>
  <c r="KW47" i="13"/>
  <c r="KU47" i="13"/>
  <c r="KS47" i="13"/>
  <c r="KR47" i="13"/>
  <c r="KD47" i="13"/>
  <c r="KA47" i="13"/>
  <c r="JT47" i="13"/>
  <c r="JV47" i="13" s="1"/>
  <c r="JP47" i="13"/>
  <c r="JR47" i="13" s="1"/>
  <c r="HJ47" i="13"/>
  <c r="HG47" i="13"/>
  <c r="GZ47" i="13"/>
  <c r="HD47" i="13" s="1"/>
  <c r="DY47" i="13"/>
  <c r="AZ47" i="13"/>
  <c r="AX47" i="13"/>
  <c r="AU47" i="13"/>
  <c r="AQ47" i="13"/>
  <c r="AN47" i="13"/>
  <c r="AP47" i="13" s="1"/>
  <c r="AJ47" i="13"/>
  <c r="QS46" i="13"/>
  <c r="QR46" i="13"/>
  <c r="QP46" i="13"/>
  <c r="QO46" i="13"/>
  <c r="KY46" i="13"/>
  <c r="KU46" i="13"/>
  <c r="KR46" i="13"/>
  <c r="JT46" i="13"/>
  <c r="JS46" i="13"/>
  <c r="JP46" i="13"/>
  <c r="JO46" i="13"/>
  <c r="IN46" i="13"/>
  <c r="IJ46" i="13"/>
  <c r="EM46" i="13"/>
  <c r="EL46" i="13"/>
  <c r="EH46" i="13"/>
  <c r="DY46" i="13"/>
  <c r="CV46" i="13"/>
  <c r="CU46" i="13"/>
  <c r="CR46" i="13"/>
  <c r="CQ46" i="13"/>
  <c r="AN46" i="13"/>
  <c r="AM46" i="13"/>
  <c r="AJ46" i="13"/>
  <c r="AI46" i="13"/>
  <c r="IL45" i="13"/>
  <c r="IH45" i="13"/>
  <c r="IJ45" i="13" s="1"/>
  <c r="DY45" i="13"/>
  <c r="CV45" i="13"/>
  <c r="CU45" i="13"/>
  <c r="CR45" i="13"/>
  <c r="CQ45" i="13"/>
  <c r="IL44" i="13"/>
  <c r="IN44" i="13" s="1"/>
  <c r="IH44" i="13"/>
  <c r="IJ44" i="13" s="1"/>
  <c r="DY44" i="13"/>
  <c r="CV44" i="13"/>
  <c r="CU44" i="13"/>
  <c r="CR44" i="13"/>
  <c r="CQ44" i="13"/>
  <c r="CV43" i="13"/>
  <c r="CU43" i="13"/>
  <c r="CR43" i="13"/>
  <c r="CQ43" i="13"/>
  <c r="IL42" i="13"/>
  <c r="IH42" i="13"/>
  <c r="IJ42" i="13" s="1"/>
  <c r="GC42" i="13"/>
  <c r="FZ42" i="13"/>
  <c r="EM42" i="13"/>
  <c r="EL42" i="13"/>
  <c r="EH42" i="13"/>
  <c r="DY42" i="13"/>
  <c r="CY42" i="13"/>
  <c r="CV42" i="13"/>
  <c r="CX42" i="13" s="1"/>
  <c r="CR42" i="13"/>
  <c r="IL41" i="13"/>
  <c r="IN41" i="13" s="1"/>
  <c r="IH41" i="13"/>
  <c r="IJ41" i="13" s="1"/>
  <c r="GC41" i="13"/>
  <c r="FZ41" i="13"/>
  <c r="EM41" i="13"/>
  <c r="EL41" i="13"/>
  <c r="EH41" i="13"/>
  <c r="DY41" i="13"/>
  <c r="CY41" i="13"/>
  <c r="CV41" i="13"/>
  <c r="CR41" i="13"/>
  <c r="DY40" i="13"/>
  <c r="DH40" i="13"/>
  <c r="DD40" i="13"/>
  <c r="DY39" i="13"/>
  <c r="DH39" i="13"/>
  <c r="DD39" i="13"/>
  <c r="DY38" i="13"/>
  <c r="DH38" i="13"/>
  <c r="DD38" i="13"/>
  <c r="IN37" i="13"/>
  <c r="IJ37" i="13"/>
  <c r="EM37" i="13"/>
  <c r="EL37" i="13"/>
  <c r="EH37" i="13"/>
  <c r="DY37" i="13"/>
  <c r="DI37" i="13"/>
  <c r="DH37" i="13"/>
  <c r="DE37" i="13"/>
  <c r="DD37" i="13"/>
  <c r="CV37" i="13"/>
  <c r="CU37" i="13"/>
  <c r="CY37" i="13" s="1"/>
  <c r="CR37" i="13"/>
  <c r="CQ37" i="13"/>
  <c r="AI37" i="13"/>
  <c r="IN36" i="13"/>
  <c r="IJ36" i="13"/>
  <c r="EM36" i="13"/>
  <c r="EL36" i="13"/>
  <c r="EH36" i="13"/>
  <c r="DY36" i="13"/>
  <c r="DI36" i="13"/>
  <c r="DH36" i="13"/>
  <c r="DE36" i="13"/>
  <c r="DD36" i="13"/>
  <c r="CV36" i="13"/>
  <c r="CX36" i="13" s="1"/>
  <c r="CU36" i="13"/>
  <c r="CR36" i="13"/>
  <c r="CQ36" i="13"/>
  <c r="AI36" i="13"/>
  <c r="KY35" i="13"/>
  <c r="KU35" i="13"/>
  <c r="KS35" i="13"/>
  <c r="KR35" i="13"/>
  <c r="DY35" i="13"/>
  <c r="DI35" i="13"/>
  <c r="DH35" i="13"/>
  <c r="DE35" i="13"/>
  <c r="DD35" i="13"/>
  <c r="CV35" i="13"/>
  <c r="CU35" i="13"/>
  <c r="CR35" i="13"/>
  <c r="CQ35" i="13"/>
  <c r="CJ35" i="13"/>
  <c r="CI35" i="13"/>
  <c r="CG35" i="13"/>
  <c r="CF35" i="13"/>
  <c r="BY35" i="13"/>
  <c r="BX35" i="13"/>
  <c r="BV35" i="13"/>
  <c r="BU35" i="13"/>
  <c r="BN35" i="13"/>
  <c r="BM35" i="13"/>
  <c r="BK35" i="13"/>
  <c r="BJ35" i="13"/>
  <c r="KY34" i="13"/>
  <c r="KU34" i="13"/>
  <c r="KS34" i="13"/>
  <c r="KR34" i="13"/>
  <c r="DY34" i="13"/>
  <c r="DI34" i="13"/>
  <c r="DH34" i="13"/>
  <c r="DE34" i="13"/>
  <c r="DD34" i="13"/>
  <c r="CV34" i="13"/>
  <c r="CU34" i="13"/>
  <c r="CR34" i="13"/>
  <c r="CQ34" i="13"/>
  <c r="CJ34" i="13"/>
  <c r="CI34" i="13"/>
  <c r="CG34" i="13"/>
  <c r="CF34" i="13"/>
  <c r="BY34" i="13"/>
  <c r="BX34" i="13"/>
  <c r="BV34" i="13"/>
  <c r="BU34" i="13"/>
  <c r="BN34" i="13"/>
  <c r="BM34" i="13"/>
  <c r="BK34" i="13"/>
  <c r="BJ34" i="13"/>
  <c r="KY33" i="13"/>
  <c r="KU33" i="13"/>
  <c r="KS33" i="13"/>
  <c r="KR33" i="13"/>
  <c r="DY33" i="13"/>
  <c r="CV33" i="13"/>
  <c r="CU33" i="13"/>
  <c r="CR33" i="13"/>
  <c r="CQ33" i="13"/>
  <c r="CJ33" i="13"/>
  <c r="CI33" i="13"/>
  <c r="CG33" i="13"/>
  <c r="CF33" i="13"/>
  <c r="BY33" i="13"/>
  <c r="BX33" i="13"/>
  <c r="BV33" i="13"/>
  <c r="BU33" i="13"/>
  <c r="BN33" i="13"/>
  <c r="BM33" i="13"/>
  <c r="BK33" i="13"/>
  <c r="BJ33" i="13"/>
  <c r="DY32" i="13"/>
  <c r="DY31" i="13"/>
  <c r="DY30" i="13"/>
  <c r="MI29" i="13"/>
  <c r="MH29" i="13"/>
  <c r="MF29" i="13"/>
  <c r="ME29" i="13"/>
  <c r="LY29" i="13"/>
  <c r="LX29" i="13"/>
  <c r="LV29" i="13"/>
  <c r="LU29" i="13"/>
  <c r="LR29" i="13"/>
  <c r="LP29" i="13"/>
  <c r="LO29" i="13"/>
  <c r="LM29" i="13"/>
  <c r="LL29" i="13"/>
  <c r="LI29" i="13"/>
  <c r="LF29" i="13"/>
  <c r="LC29" i="13"/>
  <c r="KY29" i="13"/>
  <c r="KW29" i="13"/>
  <c r="KU29" i="13"/>
  <c r="KS29" i="13"/>
  <c r="KR29" i="13"/>
  <c r="KM29" i="13"/>
  <c r="KJ29" i="13"/>
  <c r="LN29" i="13" s="1"/>
  <c r="KD29" i="13"/>
  <c r="LH29" i="13" s="1"/>
  <c r="KA29" i="13"/>
  <c r="JT29" i="13"/>
  <c r="JP29" i="13"/>
  <c r="JR29" i="13" s="1"/>
  <c r="HS29" i="13"/>
  <c r="HP29" i="13"/>
  <c r="HJ29" i="13"/>
  <c r="HG29" i="13"/>
  <c r="GZ29" i="13"/>
  <c r="HB29" i="13" s="1"/>
  <c r="GV29" i="13"/>
  <c r="GX29" i="13" s="1"/>
  <c r="DY29" i="13"/>
  <c r="DX29" i="13"/>
  <c r="DT29" i="13"/>
  <c r="CV29" i="13"/>
  <c r="CU29" i="13"/>
  <c r="CR29" i="13"/>
  <c r="CQ29" i="13"/>
  <c r="AQ29" i="13"/>
  <c r="AN29" i="13"/>
  <c r="AJ29" i="13"/>
  <c r="AL29" i="13" s="1"/>
  <c r="MH28" i="13"/>
  <c r="MF28" i="13"/>
  <c r="ME28" i="13"/>
  <c r="LY28" i="13"/>
  <c r="LX28" i="13"/>
  <c r="LV28" i="13"/>
  <c r="LU28" i="13"/>
  <c r="LR28" i="13"/>
  <c r="LP28" i="13"/>
  <c r="LO28" i="13"/>
  <c r="LM28" i="13"/>
  <c r="LL28" i="13"/>
  <c r="LI28" i="13"/>
  <c r="LF28" i="13"/>
  <c r="LC28" i="13"/>
  <c r="KY28" i="13"/>
  <c r="KW28" i="13"/>
  <c r="KU28" i="13"/>
  <c r="KS28" i="13"/>
  <c r="KR28" i="13"/>
  <c r="KM28" i="13"/>
  <c r="KJ28" i="13"/>
  <c r="LN28" i="13" s="1"/>
  <c r="KD28" i="13"/>
  <c r="LH28" i="13" s="1"/>
  <c r="KA28" i="13"/>
  <c r="JT28" i="13"/>
  <c r="JX28" i="13" s="1"/>
  <c r="JP28" i="13"/>
  <c r="HS28" i="13"/>
  <c r="HP28" i="13"/>
  <c r="HJ28" i="13"/>
  <c r="HG28" i="13"/>
  <c r="GZ28" i="13"/>
  <c r="GV28" i="13"/>
  <c r="GX28" i="13" s="1"/>
  <c r="DY28" i="13"/>
  <c r="DX28" i="13"/>
  <c r="DT28" i="13"/>
  <c r="AQ28" i="13"/>
  <c r="AN28" i="13"/>
  <c r="AJ28" i="13"/>
  <c r="QP27" i="13"/>
  <c r="LR27" i="13"/>
  <c r="LQ27" i="13"/>
  <c r="LP27" i="13"/>
  <c r="LO27" i="13"/>
  <c r="LM27" i="13"/>
  <c r="LL27" i="13"/>
  <c r="LI27" i="13"/>
  <c r="LF27" i="13"/>
  <c r="LD27" i="13"/>
  <c r="LC27" i="13"/>
  <c r="KY27" i="13"/>
  <c r="KU27" i="13"/>
  <c r="KS27" i="13"/>
  <c r="KR27" i="13"/>
  <c r="KJ27" i="13"/>
  <c r="KA27" i="13"/>
  <c r="JP27" i="13"/>
  <c r="IZ27" i="13"/>
  <c r="IS27" i="13"/>
  <c r="IH27" i="13"/>
  <c r="IJ27" i="13" s="1"/>
  <c r="HP27" i="13"/>
  <c r="HG27" i="13"/>
  <c r="GV27" i="13"/>
  <c r="GX27" i="13" s="1"/>
  <c r="EJ27" i="13"/>
  <c r="EI27" i="13"/>
  <c r="EM27" i="13" s="1"/>
  <c r="EF27" i="13"/>
  <c r="DI27" i="13"/>
  <c r="DH27" i="13"/>
  <c r="DE27" i="13"/>
  <c r="DD27" i="13"/>
  <c r="CV27" i="13"/>
  <c r="CU27" i="13"/>
  <c r="CR27" i="13"/>
  <c r="CQ27" i="13"/>
  <c r="BD27" i="13"/>
  <c r="AU27" i="13"/>
  <c r="AJ27" i="13"/>
  <c r="AL27" i="13" s="1"/>
  <c r="QP26" i="13"/>
  <c r="LR26" i="13"/>
  <c r="LQ26" i="13"/>
  <c r="LP26" i="13"/>
  <c r="LO26" i="13"/>
  <c r="LM26" i="13"/>
  <c r="LL26" i="13"/>
  <c r="LI26" i="13"/>
  <c r="LF26" i="13"/>
  <c r="LD26" i="13"/>
  <c r="LC26" i="13"/>
  <c r="KY26" i="13"/>
  <c r="KU26" i="13"/>
  <c r="KS26" i="13"/>
  <c r="KR26" i="13"/>
  <c r="KJ26" i="13"/>
  <c r="KA26" i="13"/>
  <c r="JP26" i="13"/>
  <c r="IZ26" i="13"/>
  <c r="IS26" i="13"/>
  <c r="IH26" i="13"/>
  <c r="IJ26" i="13" s="1"/>
  <c r="HP26" i="13"/>
  <c r="HG26" i="13"/>
  <c r="GV26" i="13"/>
  <c r="GX26" i="13" s="1"/>
  <c r="EJ26" i="13"/>
  <c r="EI26" i="13"/>
  <c r="EM26" i="13" s="1"/>
  <c r="EF26" i="13"/>
  <c r="DI26" i="13"/>
  <c r="DH26" i="13"/>
  <c r="DE26" i="13"/>
  <c r="DD26" i="13"/>
  <c r="CV26" i="13"/>
  <c r="CU26" i="13"/>
  <c r="CR26" i="13"/>
  <c r="CQ26" i="13"/>
  <c r="BD26" i="13"/>
  <c r="AU26" i="13"/>
  <c r="AJ26" i="13"/>
  <c r="AL26" i="13" s="1"/>
  <c r="QP25" i="13"/>
  <c r="LR25" i="13"/>
  <c r="LQ25" i="13"/>
  <c r="LP25" i="13"/>
  <c r="LO25" i="13"/>
  <c r="LM25" i="13"/>
  <c r="LL25" i="13"/>
  <c r="LI25" i="13"/>
  <c r="LF25" i="13"/>
  <c r="LD25" i="13"/>
  <c r="LC25" i="13"/>
  <c r="KY25" i="13"/>
  <c r="KU25" i="13"/>
  <c r="KS25" i="13"/>
  <c r="KR25" i="13"/>
  <c r="KJ25" i="13"/>
  <c r="KA25" i="13"/>
  <c r="JP25" i="13"/>
  <c r="IZ25" i="13"/>
  <c r="IS25" i="13"/>
  <c r="IH25" i="13"/>
  <c r="IJ25" i="13" s="1"/>
  <c r="HP25" i="13"/>
  <c r="HG25" i="13"/>
  <c r="GV25" i="13"/>
  <c r="GX25" i="13" s="1"/>
  <c r="EJ25" i="13"/>
  <c r="EI25" i="13"/>
  <c r="EM25" i="13" s="1"/>
  <c r="EF25" i="13"/>
  <c r="DI25" i="13"/>
  <c r="DH25" i="13"/>
  <c r="DE25" i="13"/>
  <c r="DD25" i="13"/>
  <c r="CV25" i="13"/>
  <c r="CU25" i="13"/>
  <c r="CR25" i="13"/>
  <c r="CQ25" i="13"/>
  <c r="BD25" i="13"/>
  <c r="AU25" i="13"/>
  <c r="AJ25" i="13"/>
  <c r="AL25" i="13" s="1"/>
  <c r="QP24" i="13"/>
  <c r="LR24" i="13"/>
  <c r="LQ24" i="13"/>
  <c r="LP24" i="13"/>
  <c r="LO24" i="13"/>
  <c r="LM24" i="13"/>
  <c r="LL24" i="13"/>
  <c r="LF24" i="13"/>
  <c r="LD24" i="13"/>
  <c r="LC24" i="13"/>
  <c r="KY24" i="13"/>
  <c r="KU24" i="13"/>
  <c r="KS24" i="13"/>
  <c r="KR24" i="13"/>
  <c r="KJ24" i="13"/>
  <c r="KA24" i="13"/>
  <c r="JP24" i="13"/>
  <c r="IZ24" i="13"/>
  <c r="IS24" i="13"/>
  <c r="IH24" i="13"/>
  <c r="IJ24" i="13" s="1"/>
  <c r="HP24" i="13"/>
  <c r="HG24" i="13"/>
  <c r="GV24" i="13"/>
  <c r="GX24" i="13" s="1"/>
  <c r="EJ24" i="13"/>
  <c r="EI24" i="13"/>
  <c r="EF24" i="13"/>
  <c r="DI24" i="13"/>
  <c r="DH24" i="13"/>
  <c r="DE24" i="13"/>
  <c r="DD24" i="13"/>
  <c r="CV24" i="13"/>
  <c r="CU24" i="13"/>
  <c r="CR24" i="13"/>
  <c r="CQ24" i="13"/>
  <c r="BD24" i="13"/>
  <c r="AU24" i="13"/>
  <c r="AJ24" i="13"/>
  <c r="AL24" i="13" s="1"/>
  <c r="QP23" i="13"/>
  <c r="LR23" i="13"/>
  <c r="LQ23" i="13"/>
  <c r="LP23" i="13"/>
  <c r="LO23" i="13"/>
  <c r="LM23" i="13"/>
  <c r="LL23" i="13"/>
  <c r="LF23" i="13"/>
  <c r="LD23" i="13"/>
  <c r="LC23" i="13"/>
  <c r="KY23" i="13"/>
  <c r="KU23" i="13"/>
  <c r="KS23" i="13"/>
  <c r="KR23" i="13"/>
  <c r="KJ23" i="13"/>
  <c r="KA23" i="13"/>
  <c r="JP23" i="13"/>
  <c r="IZ23" i="13"/>
  <c r="IS23" i="13"/>
  <c r="IH23" i="13"/>
  <c r="IJ23" i="13" s="1"/>
  <c r="HP23" i="13"/>
  <c r="HG23" i="13"/>
  <c r="GV23" i="13"/>
  <c r="GX23" i="13" s="1"/>
  <c r="EM23" i="13"/>
  <c r="EJ23" i="13"/>
  <c r="EL23" i="13" s="1"/>
  <c r="EF23" i="13"/>
  <c r="EH23" i="13" s="1"/>
  <c r="DI23" i="13"/>
  <c r="DH23" i="13"/>
  <c r="DE23" i="13"/>
  <c r="DD23" i="13"/>
  <c r="CV23" i="13"/>
  <c r="CU23" i="13"/>
  <c r="CR23" i="13"/>
  <c r="CQ23" i="13"/>
  <c r="BD23" i="13"/>
  <c r="AU23" i="13"/>
  <c r="AJ23" i="13"/>
  <c r="AL23" i="13" s="1"/>
  <c r="KY22" i="13"/>
  <c r="KU22" i="13"/>
  <c r="KS22" i="13"/>
  <c r="KR22" i="13"/>
  <c r="DY22" i="13"/>
  <c r="CY22" i="13"/>
  <c r="CX22" i="13"/>
  <c r="CT22" i="13"/>
  <c r="KY21" i="13"/>
  <c r="KU21" i="13"/>
  <c r="KS21" i="13"/>
  <c r="KR21" i="13"/>
  <c r="DY21" i="13"/>
  <c r="CY21" i="13"/>
  <c r="CX21" i="13"/>
  <c r="CT21" i="13"/>
  <c r="KY20" i="13"/>
  <c r="KU20" i="13"/>
  <c r="KS20" i="13"/>
  <c r="KR20" i="13"/>
  <c r="DY20" i="13"/>
  <c r="CY20" i="13"/>
  <c r="CX20" i="13"/>
  <c r="CT20" i="13"/>
  <c r="KY19" i="13"/>
  <c r="KU19" i="13"/>
  <c r="KS19" i="13"/>
  <c r="KR19" i="13"/>
  <c r="DY19" i="13"/>
  <c r="CY19" i="13"/>
  <c r="CX19" i="13"/>
  <c r="CT19" i="13"/>
  <c r="QP18" i="13"/>
  <c r="LR18" i="13"/>
  <c r="LQ18" i="13"/>
  <c r="LO18" i="13"/>
  <c r="LM18" i="13"/>
  <c r="LL18" i="13"/>
  <c r="LF18" i="13"/>
  <c r="LD18" i="13"/>
  <c r="LC18" i="13"/>
  <c r="KY18" i="13"/>
  <c r="KU18" i="13"/>
  <c r="KS18" i="13"/>
  <c r="KR18" i="13"/>
  <c r="KJ18" i="13"/>
  <c r="KA18" i="13"/>
  <c r="JP18" i="13"/>
  <c r="IZ18" i="13"/>
  <c r="IS18" i="13"/>
  <c r="IH18" i="13"/>
  <c r="IJ18" i="13" s="1"/>
  <c r="DY18" i="13"/>
  <c r="DI18" i="13"/>
  <c r="DH18" i="13"/>
  <c r="DE18" i="13"/>
  <c r="DD18" i="13"/>
  <c r="CV18" i="13"/>
  <c r="CU18" i="13"/>
  <c r="CR18" i="13"/>
  <c r="CQ18" i="13"/>
  <c r="BD18" i="13"/>
  <c r="AU18" i="13"/>
  <c r="AJ18" i="13"/>
  <c r="AL18" i="13" s="1"/>
  <c r="KY17" i="13"/>
  <c r="KU17" i="13"/>
  <c r="KR17" i="13"/>
  <c r="JP17" i="13"/>
  <c r="JO17" i="13"/>
  <c r="CV17" i="13"/>
  <c r="CU17" i="13"/>
  <c r="CR17" i="13"/>
  <c r="CQ17" i="13"/>
  <c r="CJ17" i="13"/>
  <c r="CI17" i="13"/>
  <c r="CG17" i="13"/>
  <c r="CF17" i="13"/>
  <c r="BX17" i="13"/>
  <c r="BV17" i="13"/>
  <c r="BU17" i="13"/>
  <c r="BN17" i="13"/>
  <c r="BM17" i="13"/>
  <c r="BK17" i="13"/>
  <c r="BJ17" i="13"/>
  <c r="AJ17" i="13"/>
  <c r="AI17" i="13"/>
  <c r="KY16" i="13"/>
  <c r="KU16" i="13"/>
  <c r="KR16" i="13"/>
  <c r="JP16" i="13"/>
  <c r="JO16" i="13"/>
  <c r="CV16" i="13"/>
  <c r="CU16" i="13"/>
  <c r="CR16" i="13"/>
  <c r="CQ16" i="13"/>
  <c r="CJ16" i="13"/>
  <c r="CI16" i="13"/>
  <c r="CG16" i="13"/>
  <c r="CF16" i="13"/>
  <c r="BX16" i="13"/>
  <c r="BV16" i="13"/>
  <c r="BU16" i="13"/>
  <c r="BN16" i="13"/>
  <c r="BM16" i="13"/>
  <c r="BK16" i="13"/>
  <c r="BJ16" i="13"/>
  <c r="AJ16" i="13"/>
  <c r="AI16" i="13"/>
  <c r="DY15" i="13"/>
  <c r="DH15" i="13"/>
  <c r="DD15" i="13"/>
  <c r="CY15" i="13"/>
  <c r="KY14" i="13"/>
  <c r="KX14" i="13"/>
  <c r="KW14" i="13"/>
  <c r="KU14" i="13"/>
  <c r="KT14" i="13"/>
  <c r="KS14" i="13"/>
  <c r="KR14" i="13"/>
  <c r="JV14" i="13"/>
  <c r="JR14" i="13"/>
  <c r="IN14" i="13"/>
  <c r="IJ14" i="13"/>
  <c r="DY14" i="13"/>
  <c r="DX14" i="13"/>
  <c r="DT14" i="13"/>
  <c r="CV14" i="13"/>
  <c r="CU14" i="13"/>
  <c r="CR14" i="13"/>
  <c r="CQ14" i="13"/>
  <c r="AR14" i="13"/>
  <c r="AQ14" i="13"/>
  <c r="AP14" i="13"/>
  <c r="AL14" i="13"/>
  <c r="KY13" i="13"/>
  <c r="KX13" i="13"/>
  <c r="KW13" i="13"/>
  <c r="KU13" i="13"/>
  <c r="KT13" i="13"/>
  <c r="KS13" i="13"/>
  <c r="KR13" i="13"/>
  <c r="JV13" i="13"/>
  <c r="JR13" i="13"/>
  <c r="IN13" i="13"/>
  <c r="IJ13" i="13"/>
  <c r="DY13" i="13"/>
  <c r="DX13" i="13"/>
  <c r="DT13" i="13"/>
  <c r="CV13" i="13"/>
  <c r="CU13" i="13"/>
  <c r="CR13" i="13"/>
  <c r="CQ13" i="13"/>
  <c r="AR13" i="13"/>
  <c r="AQ13" i="13"/>
  <c r="AP13" i="13"/>
  <c r="AL13" i="13"/>
  <c r="KY12" i="13"/>
  <c r="KX12" i="13"/>
  <c r="KW12" i="13"/>
  <c r="KU12" i="13"/>
  <c r="KT12" i="13"/>
  <c r="KS12" i="13"/>
  <c r="KR12" i="13"/>
  <c r="JV12" i="13"/>
  <c r="JR12" i="13"/>
  <c r="IN12" i="13"/>
  <c r="IJ12" i="13"/>
  <c r="DY12" i="13"/>
  <c r="DX12" i="13"/>
  <c r="DT12" i="13"/>
  <c r="CV12" i="13"/>
  <c r="CU12" i="13"/>
  <c r="CR12" i="13"/>
  <c r="CQ12" i="13"/>
  <c r="AP12" i="13"/>
  <c r="AL12" i="13"/>
  <c r="TK11" i="13"/>
  <c r="TJ11" i="13"/>
  <c r="TM11" i="13" s="1"/>
  <c r="TH11" i="13"/>
  <c r="TG11" i="13"/>
  <c r="SG11" i="13"/>
  <c r="SF11" i="13"/>
  <c r="SD11" i="13"/>
  <c r="SC11" i="13"/>
  <c r="DY11" i="13"/>
  <c r="TK10" i="13"/>
  <c r="TJ10" i="13"/>
  <c r="TH10" i="13"/>
  <c r="TG10" i="13"/>
  <c r="SG10" i="13"/>
  <c r="SF10" i="13"/>
  <c r="SD10" i="13"/>
  <c r="SC10" i="13"/>
  <c r="DY10" i="13"/>
  <c r="TK9" i="13"/>
  <c r="TJ9" i="13"/>
  <c r="TH9" i="13"/>
  <c r="TG9" i="13"/>
  <c r="SG9" i="13"/>
  <c r="SF9" i="13"/>
  <c r="SD9" i="13"/>
  <c r="SC9" i="13"/>
  <c r="DY9" i="13"/>
  <c r="DY8" i="13"/>
  <c r="CY8" i="13"/>
  <c r="CX8" i="13"/>
  <c r="CT8" i="13"/>
  <c r="DY7" i="13"/>
  <c r="CY7" i="13"/>
  <c r="CX7" i="13"/>
  <c r="CT7" i="13"/>
  <c r="DY6" i="13"/>
  <c r="CY6" i="13"/>
  <c r="CX6" i="13"/>
  <c r="CT6" i="13"/>
  <c r="DY5" i="13"/>
  <c r="CY5" i="13"/>
  <c r="CX5" i="13"/>
  <c r="CT5" i="13"/>
  <c r="KY4" i="13"/>
  <c r="KU4" i="13"/>
  <c r="KS4" i="13"/>
  <c r="KR4" i="13"/>
  <c r="JP4" i="13"/>
  <c r="KT4" i="13" s="1"/>
  <c r="GP4" i="13"/>
  <c r="GL4" i="13"/>
  <c r="DY4" i="13"/>
  <c r="DI4" i="13"/>
  <c r="DH4" i="13"/>
  <c r="DE4" i="13"/>
  <c r="DD4" i="13"/>
  <c r="CV4" i="13"/>
  <c r="CU4" i="13"/>
  <c r="CR4" i="13"/>
  <c r="CQ4" i="13"/>
  <c r="AL4" i="13"/>
  <c r="GP3" i="13"/>
  <c r="GL3" i="13"/>
  <c r="DY3" i="13"/>
  <c r="CV3" i="13"/>
  <c r="CU3" i="13"/>
  <c r="GP2" i="13"/>
  <c r="GL2" i="13"/>
  <c r="CV2" i="13"/>
  <c r="CU2" i="13"/>
  <c r="CR2" i="13"/>
  <c r="CQ2" i="13"/>
  <c r="CQ3" i="13" s="1"/>
  <c r="CX2" i="13" l="1"/>
  <c r="LN25" i="13"/>
  <c r="CX27" i="13"/>
  <c r="DL55" i="13"/>
  <c r="DL59" i="13"/>
  <c r="TN9" i="13"/>
  <c r="TM10" i="13"/>
  <c r="CT25" i="13"/>
  <c r="DK34" i="13"/>
  <c r="CY27" i="13"/>
  <c r="EN27" i="13"/>
  <c r="CY3" i="13"/>
  <c r="SI10" i="13"/>
  <c r="CX49" i="13"/>
  <c r="CY56" i="13"/>
  <c r="CX35" i="13"/>
  <c r="BP16" i="13"/>
  <c r="EL25" i="13"/>
  <c r="CA33" i="13"/>
  <c r="LE26" i="13"/>
  <c r="DL26" i="13"/>
  <c r="CX26" i="13"/>
  <c r="QU46" i="13"/>
  <c r="SI9" i="13"/>
  <c r="TM9" i="13"/>
  <c r="EN26" i="13"/>
  <c r="CZ33" i="13"/>
  <c r="DB33" i="13"/>
  <c r="DA33" i="13"/>
  <c r="DM36" i="13"/>
  <c r="DO36" i="13"/>
  <c r="DN36" i="13"/>
  <c r="CZ43" i="13"/>
  <c r="DB43" i="13"/>
  <c r="DA43" i="13"/>
  <c r="CZ52" i="13"/>
  <c r="DB52" i="13"/>
  <c r="DA52" i="13"/>
  <c r="DG59" i="13"/>
  <c r="DM59" i="13"/>
  <c r="DN59" i="13"/>
  <c r="DO59" i="13"/>
  <c r="CZ17" i="13"/>
  <c r="DB17" i="13"/>
  <c r="DA17" i="13"/>
  <c r="CB33" i="13"/>
  <c r="CD33" i="13"/>
  <c r="CC33" i="13"/>
  <c r="CZ13" i="13"/>
  <c r="DA13" i="13"/>
  <c r="DB13" i="13"/>
  <c r="CB17" i="13"/>
  <c r="CD17" i="13"/>
  <c r="CC17" i="13"/>
  <c r="LE18" i="13"/>
  <c r="EN24" i="13"/>
  <c r="BQ34" i="13"/>
  <c r="BS34" i="13"/>
  <c r="BR34" i="13"/>
  <c r="CM34" i="13"/>
  <c r="CO34" i="13"/>
  <c r="CN34" i="13"/>
  <c r="DM34" i="13"/>
  <c r="DO34" i="13"/>
  <c r="DN34" i="13"/>
  <c r="CT41" i="13"/>
  <c r="CZ41" i="13"/>
  <c r="DB41" i="13"/>
  <c r="DA41" i="13"/>
  <c r="GF41" i="13"/>
  <c r="JR46" i="13"/>
  <c r="CZ49" i="13"/>
  <c r="DB49" i="13"/>
  <c r="DA49" i="13"/>
  <c r="DM56" i="13"/>
  <c r="DO56" i="13"/>
  <c r="DN56" i="13"/>
  <c r="DM18" i="13"/>
  <c r="DO18" i="13"/>
  <c r="DN18" i="13"/>
  <c r="DM27" i="13"/>
  <c r="DO27" i="13"/>
  <c r="DN27" i="13"/>
  <c r="CZ29" i="13"/>
  <c r="DB29" i="13"/>
  <c r="DA29" i="13"/>
  <c r="CZ2" i="13"/>
  <c r="DB2" i="13"/>
  <c r="DA2" i="13"/>
  <c r="DM4" i="13"/>
  <c r="DO4" i="13"/>
  <c r="DN4" i="13"/>
  <c r="SJ10" i="13"/>
  <c r="SI11" i="13"/>
  <c r="CZ16" i="13"/>
  <c r="DB16" i="13"/>
  <c r="DA16" i="13"/>
  <c r="KS17" i="13"/>
  <c r="LN18" i="13"/>
  <c r="EN23" i="13"/>
  <c r="EO23" i="13"/>
  <c r="CT24" i="13"/>
  <c r="CZ24" i="13"/>
  <c r="DB24" i="13"/>
  <c r="DA24" i="13"/>
  <c r="DG26" i="13"/>
  <c r="DM26" i="13"/>
  <c r="DO26" i="13"/>
  <c r="DN26" i="13"/>
  <c r="LN27" i="13"/>
  <c r="CX29" i="13"/>
  <c r="KP29" i="13"/>
  <c r="MA29" i="13"/>
  <c r="BP34" i="13"/>
  <c r="BQ35" i="13"/>
  <c r="BS35" i="13"/>
  <c r="BR35" i="13"/>
  <c r="CM35" i="13"/>
  <c r="CN35" i="13"/>
  <c r="CO35" i="13"/>
  <c r="DM35" i="13"/>
  <c r="DN35" i="13"/>
  <c r="DO35" i="13"/>
  <c r="AL46" i="13"/>
  <c r="DL56" i="13"/>
  <c r="SJ11" i="13"/>
  <c r="CZ12" i="13"/>
  <c r="DB12" i="13"/>
  <c r="DA12" i="13"/>
  <c r="CB16" i="13"/>
  <c r="CD16" i="13"/>
  <c r="CC16" i="13"/>
  <c r="CT23" i="13"/>
  <c r="CZ23" i="13"/>
  <c r="DB23" i="13"/>
  <c r="DA23" i="13"/>
  <c r="DM25" i="13"/>
  <c r="DN25" i="13"/>
  <c r="DO25" i="13"/>
  <c r="CZ37" i="13"/>
  <c r="DB37" i="13"/>
  <c r="DA37" i="13"/>
  <c r="CZ51" i="13"/>
  <c r="DA51" i="13"/>
  <c r="DB51" i="13"/>
  <c r="DM58" i="13"/>
  <c r="DO58" i="13"/>
  <c r="DN58" i="13"/>
  <c r="CM17" i="13"/>
  <c r="CO17" i="13"/>
  <c r="CN17" i="13"/>
  <c r="CZ18" i="13"/>
  <c r="DA18" i="13"/>
  <c r="DB18" i="13"/>
  <c r="LE25" i="13"/>
  <c r="CZ27" i="13"/>
  <c r="DB27" i="13"/>
  <c r="DA27" i="13"/>
  <c r="HV29" i="13"/>
  <c r="BQ33" i="13"/>
  <c r="BR33" i="13"/>
  <c r="BS33" i="13"/>
  <c r="CM33" i="13"/>
  <c r="CO33" i="13"/>
  <c r="CN33" i="13"/>
  <c r="CZ36" i="13"/>
  <c r="DB36" i="13"/>
  <c r="DA36" i="13"/>
  <c r="CT42" i="13"/>
  <c r="CZ42" i="13"/>
  <c r="DA42" i="13"/>
  <c r="DB42" i="13"/>
  <c r="CZ44" i="13"/>
  <c r="DB44" i="13"/>
  <c r="DA44" i="13"/>
  <c r="CZ45" i="13"/>
  <c r="DB45" i="13"/>
  <c r="DA45" i="13"/>
  <c r="CZ48" i="13"/>
  <c r="DB48" i="13"/>
  <c r="DA48" i="13"/>
  <c r="CZ56" i="13"/>
  <c r="DB56" i="13"/>
  <c r="DA56" i="13"/>
  <c r="BQ17" i="13"/>
  <c r="BS17" i="13"/>
  <c r="BR17" i="13"/>
  <c r="EL27" i="13"/>
  <c r="CB34" i="13"/>
  <c r="CD34" i="13"/>
  <c r="CC34" i="13"/>
  <c r="CZ34" i="13"/>
  <c r="DB34" i="13"/>
  <c r="DA34" i="13"/>
  <c r="CA35" i="13"/>
  <c r="CY45" i="13"/>
  <c r="CZ53" i="13"/>
  <c r="DB53" i="13"/>
  <c r="DA53" i="13"/>
  <c r="SJ9" i="13"/>
  <c r="DM24" i="13"/>
  <c r="DO24" i="13"/>
  <c r="DN24" i="13"/>
  <c r="EN25" i="13"/>
  <c r="CZ26" i="13"/>
  <c r="DA26" i="13"/>
  <c r="DB26" i="13"/>
  <c r="CB35" i="13"/>
  <c r="CD35" i="13"/>
  <c r="CC35" i="13"/>
  <c r="CZ35" i="13"/>
  <c r="DA35" i="13"/>
  <c r="DB35" i="13"/>
  <c r="LE47" i="13"/>
  <c r="CZ50" i="13"/>
  <c r="DB50" i="13"/>
  <c r="DA50" i="13"/>
  <c r="DG54" i="13"/>
  <c r="DM54" i="13"/>
  <c r="DO54" i="13"/>
  <c r="DN54" i="13"/>
  <c r="DM57" i="13"/>
  <c r="DO57" i="13"/>
  <c r="DN57" i="13"/>
  <c r="CZ4" i="13"/>
  <c r="DB4" i="13"/>
  <c r="DA4" i="13"/>
  <c r="TN10" i="13"/>
  <c r="CM16" i="13"/>
  <c r="CO16" i="13"/>
  <c r="CN16" i="13"/>
  <c r="TN11" i="13"/>
  <c r="CT14" i="13"/>
  <c r="CZ14" i="13"/>
  <c r="DB14" i="13"/>
  <c r="DA14" i="13"/>
  <c r="BQ16" i="13"/>
  <c r="BR16" i="13"/>
  <c r="BS16" i="13"/>
  <c r="DM23" i="13"/>
  <c r="DO23" i="13"/>
  <c r="DN23" i="13"/>
  <c r="CZ25" i="13"/>
  <c r="DB25" i="13"/>
  <c r="DA25" i="13"/>
  <c r="DM37" i="13"/>
  <c r="DO37" i="13"/>
  <c r="DN37" i="13"/>
  <c r="CZ46" i="13"/>
  <c r="DA46" i="13"/>
  <c r="DB46" i="13"/>
  <c r="DM55" i="13"/>
  <c r="DN55" i="13"/>
  <c r="DO55" i="13"/>
  <c r="LA28" i="13"/>
  <c r="DT61" i="13"/>
  <c r="DR59" i="13" s="1"/>
  <c r="KV14" i="13"/>
  <c r="KS16" i="13"/>
  <c r="CA16" i="13"/>
  <c r="CY23" i="13"/>
  <c r="CX24" i="13"/>
  <c r="DK26" i="13"/>
  <c r="DG35" i="13"/>
  <c r="AL55" i="13"/>
  <c r="EP27" i="13"/>
  <c r="EO27" i="13"/>
  <c r="EH26" i="13"/>
  <c r="EP26" i="13"/>
  <c r="EO26" i="13"/>
  <c r="BP35" i="13"/>
  <c r="DL35" i="13"/>
  <c r="IP42" i="13"/>
  <c r="DK56" i="13"/>
  <c r="DK59" i="13"/>
  <c r="CY13" i="13"/>
  <c r="EH25" i="13"/>
  <c r="EP25" i="13"/>
  <c r="EO25" i="13"/>
  <c r="CL33" i="13"/>
  <c r="CT34" i="13"/>
  <c r="CY18" i="13"/>
  <c r="KT18" i="13"/>
  <c r="KV18" i="13" s="1"/>
  <c r="DG23" i="13"/>
  <c r="KX28" i="13"/>
  <c r="KZ28" i="13" s="1"/>
  <c r="MK29" i="13"/>
  <c r="BA47" i="13"/>
  <c r="CX53" i="13"/>
  <c r="DL58" i="13"/>
  <c r="CX34" i="13"/>
  <c r="CY43" i="13"/>
  <c r="IP45" i="13"/>
  <c r="CY12" i="13"/>
  <c r="CX13" i="13"/>
  <c r="DL15" i="13"/>
  <c r="CY24" i="13"/>
  <c r="EP24" i="13"/>
  <c r="EO24" i="13"/>
  <c r="CX25" i="13"/>
  <c r="LE27" i="13"/>
  <c r="EP23" i="13"/>
  <c r="EL24" i="13"/>
  <c r="CX33" i="13"/>
  <c r="CT45" i="13"/>
  <c r="CY51" i="13"/>
  <c r="CX52" i="13"/>
  <c r="KV12" i="13"/>
  <c r="LA14" i="13"/>
  <c r="LA13" i="13"/>
  <c r="LA12" i="13"/>
  <c r="LJ47" i="13"/>
  <c r="DX61" i="13"/>
  <c r="DV34" i="13" s="1"/>
  <c r="LA47" i="13"/>
  <c r="TV44" i="13"/>
  <c r="TV45" i="13"/>
  <c r="CT43" i="13"/>
  <c r="HM47" i="13"/>
  <c r="IJ61" i="13"/>
  <c r="IH20" i="13" s="1"/>
  <c r="CY17" i="13"/>
  <c r="LN23" i="13"/>
  <c r="JX29" i="13"/>
  <c r="GL61" i="13"/>
  <c r="GJ15" i="13" s="1"/>
  <c r="DK4" i="13"/>
  <c r="CX12" i="13"/>
  <c r="KZ12" i="13"/>
  <c r="KZ13" i="13"/>
  <c r="KZ14" i="13"/>
  <c r="CX16" i="13"/>
  <c r="DK24" i="13"/>
  <c r="CT26" i="13"/>
  <c r="HV28" i="13"/>
  <c r="MB28" i="13"/>
  <c r="CT29" i="13"/>
  <c r="HD29" i="13"/>
  <c r="JV29" i="13"/>
  <c r="LA29" i="13"/>
  <c r="BP33" i="13"/>
  <c r="CT35" i="13"/>
  <c r="GF42" i="13"/>
  <c r="IP44" i="13"/>
  <c r="CX48" i="13"/>
  <c r="CX51" i="13"/>
  <c r="CY54" i="13"/>
  <c r="MB29" i="13"/>
  <c r="DK35" i="13"/>
  <c r="CY48" i="13"/>
  <c r="GP61" i="13"/>
  <c r="GN15" i="13" s="1"/>
  <c r="LB13" i="13"/>
  <c r="CY14" i="13"/>
  <c r="KT17" i="13"/>
  <c r="DL18" i="13"/>
  <c r="CY26" i="13"/>
  <c r="CY29" i="13"/>
  <c r="LQ29" i="13"/>
  <c r="CL34" i="13"/>
  <c r="DL34" i="13"/>
  <c r="CY35" i="13"/>
  <c r="CT37" i="13"/>
  <c r="KG47" i="13"/>
  <c r="CY53" i="13"/>
  <c r="CT17" i="13"/>
  <c r="CT48" i="13"/>
  <c r="AL17" i="13"/>
  <c r="CX14" i="13"/>
  <c r="ML29" i="13"/>
  <c r="CT16" i="13"/>
  <c r="DG24" i="13"/>
  <c r="KP28" i="13"/>
  <c r="MA28" i="13"/>
  <c r="DK37" i="13"/>
  <c r="DK58" i="13"/>
  <c r="CX3" i="13"/>
  <c r="CY4" i="13"/>
  <c r="CL17" i="13"/>
  <c r="CT18" i="13"/>
  <c r="KT26" i="13"/>
  <c r="KV26" i="13" s="1"/>
  <c r="LQ28" i="13"/>
  <c r="ML28" i="13"/>
  <c r="CL35" i="13"/>
  <c r="QV46" i="13"/>
  <c r="CX50" i="13"/>
  <c r="CT52" i="13"/>
  <c r="CY55" i="13"/>
  <c r="CT56" i="13"/>
  <c r="LE23" i="13"/>
  <c r="DL4" i="13"/>
  <c r="EM24" i="13"/>
  <c r="HD28" i="13"/>
  <c r="CA34" i="13"/>
  <c r="JX46" i="13"/>
  <c r="KT47" i="13"/>
  <c r="KV47" i="13" s="1"/>
  <c r="CY52" i="13"/>
  <c r="TR45" i="13"/>
  <c r="TR44" i="13"/>
  <c r="AL16" i="13"/>
  <c r="CY16" i="13"/>
  <c r="CA17" i="13"/>
  <c r="DL23" i="13"/>
  <c r="DG25" i="13"/>
  <c r="DK27" i="13"/>
  <c r="AP28" i="13"/>
  <c r="HB28" i="13"/>
  <c r="CX37" i="13"/>
  <c r="IN45" i="13"/>
  <c r="CT46" i="13"/>
  <c r="JV46" i="13"/>
  <c r="DL54" i="13"/>
  <c r="DG56" i="13"/>
  <c r="DG57" i="13"/>
  <c r="JX47" i="13"/>
  <c r="CT2" i="13"/>
  <c r="DK18" i="13"/>
  <c r="DL25" i="13"/>
  <c r="DL36" i="13"/>
  <c r="CY46" i="13"/>
  <c r="DL57" i="13"/>
  <c r="GX61" i="13"/>
  <c r="GV45" i="13" s="1"/>
  <c r="HB47" i="13"/>
  <c r="CY2" i="13"/>
  <c r="CT12" i="13"/>
  <c r="KV13" i="13"/>
  <c r="KT24" i="13"/>
  <c r="KV24" i="13" s="1"/>
  <c r="DK25" i="13"/>
  <c r="EL26" i="13"/>
  <c r="KX29" i="13"/>
  <c r="CY34" i="13"/>
  <c r="CY36" i="13"/>
  <c r="DG37" i="13"/>
  <c r="KS46" i="13"/>
  <c r="KX47" i="13"/>
  <c r="CY49" i="13"/>
  <c r="CT50" i="13"/>
  <c r="AL54" i="13"/>
  <c r="DK57" i="13"/>
  <c r="IP41" i="13"/>
  <c r="CX4" i="13"/>
  <c r="CL16" i="13"/>
  <c r="BP17" i="13"/>
  <c r="CX17" i="13"/>
  <c r="CX18" i="13"/>
  <c r="LN26" i="13"/>
  <c r="DK36" i="13"/>
  <c r="DL37" i="13"/>
  <c r="IN42" i="13"/>
  <c r="CT44" i="13"/>
  <c r="KT46" i="13"/>
  <c r="CY50" i="13"/>
  <c r="KT54" i="13"/>
  <c r="KV54" i="13" s="1"/>
  <c r="KG28" i="13"/>
  <c r="KV4" i="13"/>
  <c r="KT23" i="13"/>
  <c r="KV23" i="13" s="1"/>
  <c r="LE24" i="13"/>
  <c r="DL24" i="13"/>
  <c r="CY25" i="13"/>
  <c r="CY44" i="13"/>
  <c r="KW46" i="13"/>
  <c r="KG29" i="13"/>
  <c r="LB12" i="13"/>
  <c r="KT16" i="13"/>
  <c r="DG18" i="13"/>
  <c r="LN24" i="13"/>
  <c r="DL27" i="13"/>
  <c r="CY33" i="13"/>
  <c r="DK55" i="13"/>
  <c r="DG58" i="13"/>
  <c r="MK28" i="13"/>
  <c r="AR28" i="13"/>
  <c r="KX46" i="13"/>
  <c r="JW46" i="13"/>
  <c r="LB14" i="13"/>
  <c r="EH27" i="13"/>
  <c r="CX23" i="13"/>
  <c r="DK23" i="13"/>
  <c r="EH24" i="13"/>
  <c r="KT25" i="13"/>
  <c r="KV25" i="13" s="1"/>
  <c r="CT27" i="13"/>
  <c r="DG27" i="13"/>
  <c r="AL28" i="13"/>
  <c r="KT28" i="13"/>
  <c r="KV28" i="13" s="1"/>
  <c r="KT29" i="13"/>
  <c r="KV29" i="13" s="1"/>
  <c r="CT33" i="13"/>
  <c r="CT36" i="13"/>
  <c r="DG36" i="13"/>
  <c r="DL38" i="13"/>
  <c r="DM38" i="13" s="1"/>
  <c r="DL39" i="13"/>
  <c r="DM39" i="13" s="1"/>
  <c r="DL40" i="13"/>
  <c r="DM40" i="13" s="1"/>
  <c r="AR47" i="13"/>
  <c r="LH47" i="13"/>
  <c r="CT49" i="13"/>
  <c r="CT51" i="13"/>
  <c r="CT53" i="13"/>
  <c r="DK54" i="13"/>
  <c r="DG55" i="13"/>
  <c r="AP29" i="13"/>
  <c r="CX41" i="13"/>
  <c r="AR29" i="13"/>
  <c r="DG34" i="13"/>
  <c r="CX43" i="13"/>
  <c r="AP46" i="13"/>
  <c r="CX46" i="13"/>
  <c r="CT4" i="13"/>
  <c r="CT13" i="13"/>
  <c r="JR4" i="13"/>
  <c r="KT27" i="13"/>
  <c r="KV27" i="13" s="1"/>
  <c r="AQ46" i="13"/>
  <c r="KT55" i="13"/>
  <c r="KV55" i="13" s="1"/>
  <c r="DG4" i="13"/>
  <c r="CR3" i="13"/>
  <c r="CZ3" i="13" s="1"/>
  <c r="AR46" i="13"/>
  <c r="AL47" i="13"/>
  <c r="JR61" i="13" l="1"/>
  <c r="LK47" i="13"/>
  <c r="KV17" i="13"/>
  <c r="DR20" i="13"/>
  <c r="CX61" i="13"/>
  <c r="DB3" i="13"/>
  <c r="DA3" i="13"/>
  <c r="DR33" i="13"/>
  <c r="DR50" i="13"/>
  <c r="DV20" i="13"/>
  <c r="DR10" i="13"/>
  <c r="DR32" i="13"/>
  <c r="DR6" i="13"/>
  <c r="DR52" i="13"/>
  <c r="IH22" i="13"/>
  <c r="DV48" i="13"/>
  <c r="DV44" i="13"/>
  <c r="DR21" i="13"/>
  <c r="DR31" i="13"/>
  <c r="DV52" i="13"/>
  <c r="DV58" i="13"/>
  <c r="DR57" i="13"/>
  <c r="DV45" i="13"/>
  <c r="DR55" i="13"/>
  <c r="DR22" i="13"/>
  <c r="DV32" i="13"/>
  <c r="DR41" i="13"/>
  <c r="DV51" i="13"/>
  <c r="DR56" i="13"/>
  <c r="DR48" i="13"/>
  <c r="DR53" i="13"/>
  <c r="DV57" i="13"/>
  <c r="DR7" i="13"/>
  <c r="DR54" i="13"/>
  <c r="DV11" i="13"/>
  <c r="DR34" i="13"/>
  <c r="DR8" i="13"/>
  <c r="DV35" i="13"/>
  <c r="DR45" i="13"/>
  <c r="DR18" i="13"/>
  <c r="DV49" i="13"/>
  <c r="DR44" i="13"/>
  <c r="DR37" i="13"/>
  <c r="DV6" i="13"/>
  <c r="IH32" i="13"/>
  <c r="KV46" i="13"/>
  <c r="IH21" i="13"/>
  <c r="IH59" i="13"/>
  <c r="IH30" i="13"/>
  <c r="IH58" i="13"/>
  <c r="IH57" i="13"/>
  <c r="DV59" i="13"/>
  <c r="DZ59" i="13" s="1"/>
  <c r="DV56" i="13"/>
  <c r="DV53" i="13"/>
  <c r="DV31" i="13"/>
  <c r="KV16" i="13"/>
  <c r="DV55" i="13"/>
  <c r="DV21" i="13"/>
  <c r="DV7" i="13"/>
  <c r="DV37" i="13"/>
  <c r="EL61" i="13"/>
  <c r="DV38" i="13"/>
  <c r="DV33" i="13"/>
  <c r="DV15" i="13"/>
  <c r="DV5" i="13"/>
  <c r="DV8" i="13"/>
  <c r="DV54" i="13"/>
  <c r="LA46" i="13"/>
  <c r="DV40" i="13"/>
  <c r="DV19" i="13"/>
  <c r="DV39" i="13"/>
  <c r="DV36" i="13"/>
  <c r="DV22" i="13"/>
  <c r="DV10" i="13"/>
  <c r="DV18" i="13"/>
  <c r="DV9" i="13"/>
  <c r="DV50" i="13"/>
  <c r="DV42" i="13"/>
  <c r="DV30" i="13"/>
  <c r="DV46" i="13"/>
  <c r="DV41" i="13"/>
  <c r="GV44" i="13"/>
  <c r="JV61" i="13"/>
  <c r="GR15" i="13"/>
  <c r="IH19" i="13"/>
  <c r="IH56" i="13"/>
  <c r="IH31" i="13"/>
  <c r="EH61" i="13"/>
  <c r="DK61" i="13"/>
  <c r="DI15" i="13" s="1"/>
  <c r="TZ45" i="13"/>
  <c r="TZ44" i="13"/>
  <c r="DR51" i="13"/>
  <c r="DZ51" i="13" s="1"/>
  <c r="DR42" i="13"/>
  <c r="DR19" i="13"/>
  <c r="DZ19" i="13" s="1"/>
  <c r="DR11" i="13"/>
  <c r="DR5" i="13"/>
  <c r="AL61" i="13"/>
  <c r="AJ36" i="13" s="1"/>
  <c r="AP61" i="13"/>
  <c r="DR38" i="13"/>
  <c r="DR49" i="13"/>
  <c r="DR36" i="13"/>
  <c r="IN61" i="13"/>
  <c r="DR30" i="13"/>
  <c r="DZ30" i="13" s="1"/>
  <c r="DR15" i="13"/>
  <c r="DZ15" i="13" s="1"/>
  <c r="DR9" i="13"/>
  <c r="DR58" i="13"/>
  <c r="DR39" i="13"/>
  <c r="DR46" i="13"/>
  <c r="DR35" i="13"/>
  <c r="DR40" i="13"/>
  <c r="KZ46" i="13"/>
  <c r="LB46" i="13"/>
  <c r="HB61" i="13"/>
  <c r="LB28" i="13"/>
  <c r="KZ29" i="13"/>
  <c r="LB29" i="13"/>
  <c r="JP34" i="13"/>
  <c r="JP33" i="13"/>
  <c r="JP35" i="13"/>
  <c r="KZ47" i="13"/>
  <c r="LB47" i="13"/>
  <c r="DG61" i="13"/>
  <c r="CT3" i="13"/>
  <c r="CT61" i="13" s="1"/>
  <c r="DZ35" i="13" l="1"/>
  <c r="DZ42" i="13"/>
  <c r="DZ38" i="13"/>
  <c r="DZ39" i="13"/>
  <c r="DZ50" i="13"/>
  <c r="DZ33" i="13"/>
  <c r="DZ9" i="13"/>
  <c r="DZ58" i="13"/>
  <c r="DZ44" i="13"/>
  <c r="DZ54" i="13"/>
  <c r="DZ18" i="13"/>
  <c r="DZ11" i="13"/>
  <c r="DZ7" i="13"/>
  <c r="DZ36" i="13"/>
  <c r="DZ22" i="13"/>
  <c r="DZ55" i="13"/>
  <c r="EA45" i="13"/>
  <c r="DZ45" i="13"/>
  <c r="DZ53" i="13"/>
  <c r="DZ5" i="13"/>
  <c r="DZ40" i="13"/>
  <c r="DZ48" i="13"/>
  <c r="DZ57" i="13"/>
  <c r="DZ52" i="13"/>
  <c r="DZ56" i="13"/>
  <c r="DZ6" i="13"/>
  <c r="DZ21" i="13"/>
  <c r="DZ8" i="13"/>
  <c r="DZ46" i="13"/>
  <c r="DZ49" i="13"/>
  <c r="EA34" i="13"/>
  <c r="DZ34" i="13"/>
  <c r="DZ32" i="13"/>
  <c r="DZ20" i="13"/>
  <c r="DZ37" i="13"/>
  <c r="DZ41" i="13"/>
  <c r="DZ31" i="13"/>
  <c r="DZ10" i="13"/>
  <c r="EA44" i="13"/>
  <c r="EA50" i="13"/>
  <c r="EA6" i="13"/>
  <c r="EB34" i="13"/>
  <c r="EA48" i="13"/>
  <c r="KV61" i="13"/>
  <c r="CV55" i="13"/>
  <c r="CV15" i="13"/>
  <c r="EA20" i="13"/>
  <c r="DI39" i="13"/>
  <c r="EB20" i="13"/>
  <c r="EB52" i="13"/>
  <c r="EB6" i="13"/>
  <c r="EA37" i="13"/>
  <c r="EA31" i="13"/>
  <c r="EB21" i="13"/>
  <c r="EA7" i="13"/>
  <c r="EB57" i="13"/>
  <c r="EB45" i="13"/>
  <c r="EB44" i="13"/>
  <c r="EB32" i="13"/>
  <c r="EB31" i="13"/>
  <c r="EA32" i="13"/>
  <c r="EA54" i="13"/>
  <c r="EA22" i="13"/>
  <c r="EA52" i="13"/>
  <c r="EB59" i="13"/>
  <c r="EB7" i="13"/>
  <c r="EA59" i="13"/>
  <c r="EA57" i="13"/>
  <c r="EB48" i="13"/>
  <c r="EA53" i="13"/>
  <c r="EA18" i="13"/>
  <c r="EA56" i="13"/>
  <c r="EB49" i="13"/>
  <c r="EA49" i="13"/>
  <c r="EA9" i="13"/>
  <c r="EB9" i="13"/>
  <c r="EB37" i="13"/>
  <c r="EB10" i="13"/>
  <c r="EA33" i="13"/>
  <c r="EA21" i="13"/>
  <c r="EA38" i="13"/>
  <c r="EB38" i="13"/>
  <c r="EB55" i="13"/>
  <c r="EA55" i="13"/>
  <c r="EA10" i="13"/>
  <c r="EB53" i="13"/>
  <c r="EB33" i="13"/>
  <c r="EA41" i="13"/>
  <c r="EA58" i="13"/>
  <c r="EB58" i="13"/>
  <c r="EA11" i="13"/>
  <c r="EB11" i="13"/>
  <c r="EB18" i="13"/>
  <c r="EB41" i="13"/>
  <c r="EA15" i="13"/>
  <c r="EB15" i="13"/>
  <c r="EA40" i="13"/>
  <c r="EB40" i="13"/>
  <c r="EA30" i="13"/>
  <c r="EB30" i="13"/>
  <c r="EA5" i="13"/>
  <c r="EB5" i="13"/>
  <c r="EA46" i="13"/>
  <c r="EB46" i="13"/>
  <c r="EA19" i="13"/>
  <c r="EB19" i="13"/>
  <c r="EB54" i="13"/>
  <c r="EA8" i="13"/>
  <c r="EB56" i="13"/>
  <c r="EB50" i="13"/>
  <c r="EA51" i="13"/>
  <c r="EB51" i="13"/>
  <c r="EA35" i="13"/>
  <c r="EB35" i="13"/>
  <c r="EA39" i="13"/>
  <c r="EB39" i="13"/>
  <c r="EA36" i="13"/>
  <c r="EB36" i="13"/>
  <c r="EA42" i="13"/>
  <c r="EB42" i="13"/>
  <c r="EB8" i="13"/>
  <c r="EB22" i="13"/>
  <c r="DI38" i="13"/>
  <c r="KZ61" i="13"/>
  <c r="DI40" i="13"/>
  <c r="AJ21" i="13"/>
  <c r="AJ35" i="13"/>
  <c r="KT35" i="13" s="1"/>
  <c r="AJ37" i="13"/>
  <c r="AJ22" i="13"/>
  <c r="CV54" i="13"/>
  <c r="AJ20" i="13"/>
  <c r="AJ34" i="13"/>
  <c r="KT34" i="13" s="1"/>
  <c r="AJ33" i="13"/>
  <c r="KT33" i="13" s="1"/>
  <c r="AJ19" i="13"/>
  <c r="CR15" i="13"/>
  <c r="CR54" i="13"/>
  <c r="CR55" i="13"/>
  <c r="DE38" i="13"/>
  <c r="DE15" i="13"/>
  <c r="DM15" i="13" s="1"/>
  <c r="DE40" i="13"/>
  <c r="DE39" i="13"/>
  <c r="GZ45" i="13"/>
  <c r="HD45" i="13" s="1"/>
  <c r="GZ44" i="13"/>
  <c r="HD44" i="13" s="1"/>
  <c r="BC14" i="7"/>
  <c r="WH218" i="7"/>
  <c r="WG218" i="7"/>
  <c r="WH217" i="7"/>
  <c r="WG217" i="7"/>
  <c r="WH392" i="7"/>
  <c r="WG392" i="7"/>
  <c r="VX180" i="7"/>
  <c r="VW180" i="7"/>
  <c r="VX177" i="7"/>
  <c r="VW177" i="7"/>
  <c r="VW196" i="7"/>
  <c r="VX196" i="7"/>
  <c r="VX195" i="7"/>
  <c r="VW195" i="7"/>
  <c r="VX412" i="7"/>
  <c r="VW413" i="7"/>
  <c r="VW412" i="7"/>
  <c r="VX413" i="7"/>
  <c r="UY90" i="7"/>
  <c r="UX90" i="7"/>
  <c r="UP436" i="7"/>
  <c r="UO436" i="7"/>
  <c r="UP90" i="7"/>
  <c r="UO90" i="7"/>
  <c r="UP215" i="7"/>
  <c r="UO215" i="7"/>
  <c r="SQ444" i="7"/>
  <c r="SR395" i="7"/>
  <c r="SQ395" i="7"/>
  <c r="SR394" i="7"/>
  <c r="SQ394" i="7"/>
  <c r="SQ329" i="7"/>
  <c r="SQ328" i="7"/>
  <c r="SQ327" i="7"/>
  <c r="SQ326" i="7"/>
  <c r="SQ325" i="7"/>
  <c r="SQ324" i="7"/>
  <c r="SQ321" i="7"/>
  <c r="SQ320" i="7"/>
  <c r="SQ319" i="7"/>
  <c r="SQ318" i="7"/>
  <c r="SQ317" i="7"/>
  <c r="SQ316" i="7"/>
  <c r="SQ212" i="7"/>
  <c r="SQ211" i="7"/>
  <c r="SR161" i="7"/>
  <c r="SQ161" i="7"/>
  <c r="SR160" i="7"/>
  <c r="SQ160" i="7"/>
  <c r="SR159" i="7"/>
  <c r="SQ159" i="7"/>
  <c r="SR158" i="7"/>
  <c r="SQ158" i="7"/>
  <c r="SR157" i="7"/>
  <c r="SQ157" i="7"/>
  <c r="SR156" i="7"/>
  <c r="SQ156" i="7"/>
  <c r="SQ127" i="7"/>
  <c r="SQ126" i="7"/>
  <c r="SQ125" i="7"/>
  <c r="SQ124" i="7"/>
  <c r="SQ123" i="7"/>
  <c r="SQ122" i="7"/>
  <c r="SQ121" i="7"/>
  <c r="SQ120" i="7"/>
  <c r="SQ119" i="7"/>
  <c r="SQ118" i="7"/>
  <c r="SQ117" i="7"/>
  <c r="SQ116" i="7"/>
  <c r="SQ115" i="7"/>
  <c r="SQ114" i="7"/>
  <c r="SQ113" i="7"/>
  <c r="SQ112" i="7"/>
  <c r="QQ17" i="7"/>
  <c r="QQ16" i="7"/>
  <c r="QQ15" i="7"/>
  <c r="QQ14" i="7"/>
  <c r="QQ76" i="7"/>
  <c r="QQ36" i="7"/>
  <c r="QQ37" i="7"/>
  <c r="QQ38" i="7"/>
  <c r="QQ39" i="7"/>
  <c r="QQ40" i="7"/>
  <c r="QQ41" i="7"/>
  <c r="QQ42" i="7"/>
  <c r="QQ43" i="7"/>
  <c r="QQ44" i="7"/>
  <c r="QQ45" i="7"/>
  <c r="QQ46" i="7"/>
  <c r="QQ53" i="7"/>
  <c r="QQ54" i="7"/>
  <c r="QQ55" i="7"/>
  <c r="QQ56" i="7"/>
  <c r="QQ57" i="7"/>
  <c r="QQ58" i="7"/>
  <c r="QQ59" i="7"/>
  <c r="QQ60" i="7"/>
  <c r="QQ61" i="7"/>
  <c r="QQ62" i="7"/>
  <c r="QQ63" i="7"/>
  <c r="QQ64" i="7"/>
  <c r="QQ71" i="7"/>
  <c r="QQ72" i="7"/>
  <c r="QQ73" i="7"/>
  <c r="QQ74" i="7"/>
  <c r="QQ75" i="7"/>
  <c r="QQ35" i="7"/>
  <c r="QH175" i="7"/>
  <c r="QH174" i="7"/>
  <c r="QH166" i="7"/>
  <c r="QH165" i="7"/>
  <c r="QH164" i="7"/>
  <c r="QH163" i="7"/>
  <c r="QH162" i="7"/>
  <c r="QH160" i="7"/>
  <c r="QH159" i="7"/>
  <c r="QH157" i="7"/>
  <c r="QH156" i="7"/>
  <c r="QH76" i="7"/>
  <c r="QH75" i="7"/>
  <c r="QH74" i="7"/>
  <c r="QH73" i="7"/>
  <c r="QH72" i="7"/>
  <c r="QH71" i="7"/>
  <c r="QH64" i="7"/>
  <c r="QH63" i="7"/>
  <c r="QH62" i="7"/>
  <c r="QH61" i="7"/>
  <c r="QH60" i="7"/>
  <c r="QH59" i="7"/>
  <c r="QH58" i="7"/>
  <c r="QH57" i="7"/>
  <c r="QH56" i="7"/>
  <c r="QH55" i="7"/>
  <c r="QH54" i="7"/>
  <c r="QH53" i="7"/>
  <c r="QH46" i="7"/>
  <c r="QH45" i="7"/>
  <c r="QH44" i="7"/>
  <c r="QH43" i="7"/>
  <c r="QH42" i="7"/>
  <c r="QH41" i="7"/>
  <c r="QH40" i="7"/>
  <c r="QH39" i="7"/>
  <c r="QH38" i="7"/>
  <c r="QH37" i="7"/>
  <c r="QH36" i="7"/>
  <c r="QH35" i="7"/>
  <c r="QH15" i="7"/>
  <c r="QH16" i="7"/>
  <c r="QH17" i="7"/>
  <c r="QH14" i="7"/>
  <c r="PM214" i="7"/>
  <c r="PM213" i="7"/>
  <c r="PC438" i="7"/>
  <c r="PC437" i="7"/>
  <c r="PC392" i="7"/>
  <c r="PC332" i="7"/>
  <c r="PC331" i="7"/>
  <c r="PC214" i="7"/>
  <c r="PC213" i="7"/>
  <c r="PC172" i="7"/>
  <c r="OI172" i="7"/>
  <c r="OI392" i="7"/>
  <c r="NW444" i="7"/>
  <c r="NW443" i="7"/>
  <c r="NW442" i="7"/>
  <c r="NW441" i="7"/>
  <c r="NW440" i="7"/>
  <c r="NW439" i="7"/>
  <c r="NW395" i="7"/>
  <c r="NW394" i="7"/>
  <c r="NW392" i="7"/>
  <c r="NW221" i="7"/>
  <c r="NW216" i="7"/>
  <c r="NW212" i="7"/>
  <c r="NW211" i="7"/>
  <c r="NW204" i="7"/>
  <c r="NW203" i="7"/>
  <c r="NW172" i="7"/>
  <c r="NW127" i="7"/>
  <c r="NW126" i="7"/>
  <c r="NW125" i="7"/>
  <c r="NW124" i="7"/>
  <c r="NW123" i="7"/>
  <c r="NW122" i="7"/>
  <c r="NW121" i="7"/>
  <c r="NW120" i="7"/>
  <c r="NW119" i="7"/>
  <c r="NW118" i="7"/>
  <c r="NW117" i="7"/>
  <c r="NW116" i="7"/>
  <c r="NW115" i="7"/>
  <c r="NW114" i="7"/>
  <c r="NW113" i="7"/>
  <c r="NW112" i="7"/>
  <c r="NW33" i="7"/>
  <c r="NK33" i="7"/>
  <c r="NK127" i="7"/>
  <c r="NK126" i="7"/>
  <c r="NK125" i="7"/>
  <c r="NK124" i="7"/>
  <c r="NK123" i="7"/>
  <c r="NK122" i="7"/>
  <c r="NK121" i="7"/>
  <c r="NK120" i="7"/>
  <c r="NK119" i="7"/>
  <c r="NK118" i="7"/>
  <c r="NK117" i="7"/>
  <c r="NK116" i="7"/>
  <c r="NK115" i="7"/>
  <c r="NK114" i="7"/>
  <c r="NK113" i="7"/>
  <c r="NK112" i="7"/>
  <c r="NK172" i="7"/>
  <c r="NK443" i="7"/>
  <c r="NK442" i="7"/>
  <c r="NK441" i="7"/>
  <c r="NK440" i="7"/>
  <c r="NK439" i="7"/>
  <c r="NK395" i="7"/>
  <c r="NK394" i="7"/>
  <c r="NK392" i="7"/>
  <c r="NK204" i="7"/>
  <c r="NK203" i="7"/>
  <c r="NK212" i="7"/>
  <c r="NK211" i="7"/>
  <c r="NK216" i="7"/>
  <c r="NK221" i="7"/>
  <c r="MC444" i="7"/>
  <c r="MC443" i="7"/>
  <c r="MC442" i="7"/>
  <c r="MC441" i="7"/>
  <c r="MC440" i="7"/>
  <c r="MC439" i="7"/>
  <c r="MC438" i="7"/>
  <c r="MC437" i="7"/>
  <c r="MC433" i="7"/>
  <c r="MC432" i="7"/>
  <c r="LQ220" i="7"/>
  <c r="LQ219" i="7"/>
  <c r="LF205" i="7"/>
  <c r="LF204" i="7"/>
  <c r="LF203" i="7"/>
  <c r="LF214" i="7"/>
  <c r="LF213" i="7"/>
  <c r="LF220" i="7"/>
  <c r="LF219" i="7"/>
  <c r="KU446" i="7"/>
  <c r="KU445" i="7"/>
  <c r="KU444" i="7"/>
  <c r="KU443" i="7"/>
  <c r="KU442" i="7"/>
  <c r="KU441" i="7"/>
  <c r="KU440" i="7"/>
  <c r="KU439" i="7"/>
  <c r="KU438" i="7"/>
  <c r="KU437" i="7"/>
  <c r="KU417" i="7"/>
  <c r="KU416" i="7"/>
  <c r="KU414" i="7"/>
  <c r="KU411" i="7"/>
  <c r="KU410" i="7"/>
  <c r="KU395" i="7"/>
  <c r="KU394" i="7"/>
  <c r="KU392" i="7"/>
  <c r="KU391" i="7"/>
  <c r="KU390" i="7"/>
  <c r="KU389" i="7"/>
  <c r="KU332" i="7"/>
  <c r="KU331" i="7"/>
  <c r="KU329" i="7"/>
  <c r="KU328" i="7"/>
  <c r="KU327" i="7"/>
  <c r="KU326" i="7"/>
  <c r="KU325" i="7"/>
  <c r="KU324" i="7"/>
  <c r="KU323" i="7"/>
  <c r="KU322" i="7"/>
  <c r="KU321" i="7"/>
  <c r="KU320" i="7"/>
  <c r="KU319" i="7"/>
  <c r="KU318" i="7"/>
  <c r="KU317" i="7"/>
  <c r="KU316" i="7"/>
  <c r="KU268" i="7"/>
  <c r="KU266" i="7"/>
  <c r="KU265" i="7"/>
  <c r="KU264" i="7"/>
  <c r="KU261" i="7"/>
  <c r="KU260" i="7"/>
  <c r="KU258" i="7"/>
  <c r="KU256" i="7"/>
  <c r="KU255" i="7"/>
  <c r="KU254" i="7"/>
  <c r="KU251" i="7"/>
  <c r="KU250" i="7"/>
  <c r="KU242" i="7"/>
  <c r="KU241" i="7"/>
  <c r="KU240" i="7"/>
  <c r="KU239" i="7"/>
  <c r="KU238" i="7"/>
  <c r="KU237" i="7"/>
  <c r="KU236" i="7"/>
  <c r="KU235" i="7"/>
  <c r="KU234" i="7"/>
  <c r="KU233" i="7"/>
  <c r="KU232" i="7"/>
  <c r="KU231" i="7"/>
  <c r="KU221" i="7"/>
  <c r="KU220" i="7"/>
  <c r="KU219" i="7"/>
  <c r="KU216" i="7"/>
  <c r="KU214" i="7"/>
  <c r="KU213" i="7"/>
  <c r="KU212" i="7"/>
  <c r="KU211" i="7"/>
  <c r="KU205" i="7"/>
  <c r="KU204" i="7"/>
  <c r="KU203" i="7"/>
  <c r="KU172" i="7"/>
  <c r="KU166" i="7"/>
  <c r="KU165" i="7"/>
  <c r="KU164" i="7"/>
  <c r="KU163" i="7"/>
  <c r="KU161" i="7"/>
  <c r="KU160" i="7"/>
  <c r="KU159" i="7"/>
  <c r="KU158" i="7"/>
  <c r="KU157" i="7"/>
  <c r="KU156" i="7"/>
  <c r="KU144" i="7"/>
  <c r="KU143" i="7"/>
  <c r="KU142" i="7"/>
  <c r="KU141" i="7"/>
  <c r="KU140" i="7"/>
  <c r="KU139" i="7"/>
  <c r="KU138" i="7"/>
  <c r="KU137" i="7"/>
  <c r="KU136" i="7"/>
  <c r="KU135" i="7"/>
  <c r="KU134" i="7"/>
  <c r="KU111" i="7"/>
  <c r="KU110" i="7"/>
  <c r="KU109" i="7"/>
  <c r="KU108" i="7"/>
  <c r="KU107" i="7"/>
  <c r="KU106" i="7"/>
  <c r="KU105" i="7"/>
  <c r="KU104" i="7"/>
  <c r="KU97" i="7"/>
  <c r="KU96" i="7"/>
  <c r="KU95" i="7"/>
  <c r="KU94" i="7"/>
  <c r="KU93" i="7"/>
  <c r="KU92" i="7"/>
  <c r="KU34" i="7"/>
  <c r="KU33" i="7"/>
  <c r="KU16" i="7"/>
  <c r="KU17" i="7"/>
  <c r="KU15" i="7"/>
  <c r="KU14" i="7"/>
  <c r="KA220" i="7"/>
  <c r="KA219" i="7"/>
  <c r="JP212" i="7"/>
  <c r="JP211" i="7"/>
  <c r="JP214" i="7"/>
  <c r="JP213" i="7"/>
  <c r="JP220" i="7"/>
  <c r="JP219" i="7"/>
  <c r="JP444" i="7"/>
  <c r="JE446" i="7"/>
  <c r="JE445" i="7"/>
  <c r="JE444" i="7"/>
  <c r="JE443" i="7"/>
  <c r="JE442" i="7"/>
  <c r="JE441" i="7"/>
  <c r="JE440" i="7"/>
  <c r="JE439" i="7"/>
  <c r="JE438" i="7"/>
  <c r="JE437" i="7"/>
  <c r="JE433" i="7"/>
  <c r="JE432" i="7"/>
  <c r="JE417" i="7"/>
  <c r="JE416" i="7"/>
  <c r="JE414" i="7"/>
  <c r="JE411" i="7"/>
  <c r="JE410" i="7"/>
  <c r="JE395" i="7"/>
  <c r="JE394" i="7"/>
  <c r="JE392" i="7"/>
  <c r="JE391" i="7"/>
  <c r="JE390" i="7"/>
  <c r="JE389" i="7"/>
  <c r="JE332" i="7"/>
  <c r="JE331" i="7"/>
  <c r="JE329" i="7"/>
  <c r="JE328" i="7"/>
  <c r="JE327" i="7"/>
  <c r="JE326" i="7"/>
  <c r="JE325" i="7"/>
  <c r="JE324" i="7"/>
  <c r="JE323" i="7"/>
  <c r="JE322" i="7"/>
  <c r="JE321" i="7"/>
  <c r="JE320" i="7"/>
  <c r="JE319" i="7"/>
  <c r="JE318" i="7"/>
  <c r="JE317" i="7"/>
  <c r="JE316" i="7"/>
  <c r="JE271" i="7"/>
  <c r="JE268" i="7"/>
  <c r="JE267" i="7"/>
  <c r="JE266" i="7"/>
  <c r="JE265" i="7"/>
  <c r="JE264" i="7"/>
  <c r="JE261" i="7"/>
  <c r="JE260" i="7"/>
  <c r="JE258" i="7"/>
  <c r="JE257" i="7"/>
  <c r="JE256" i="7"/>
  <c r="JE255" i="7"/>
  <c r="JE254" i="7"/>
  <c r="JE251" i="7"/>
  <c r="JE250" i="7"/>
  <c r="JE242" i="7"/>
  <c r="JE241" i="7"/>
  <c r="JE240" i="7"/>
  <c r="JE239" i="7"/>
  <c r="JE238" i="7"/>
  <c r="JE237" i="7"/>
  <c r="JE236" i="7"/>
  <c r="JE235" i="7"/>
  <c r="JE234" i="7"/>
  <c r="JE233" i="7"/>
  <c r="JE232" i="7"/>
  <c r="JE231" i="7"/>
  <c r="JE221" i="7"/>
  <c r="JE220" i="7"/>
  <c r="JE219" i="7"/>
  <c r="JE216" i="7"/>
  <c r="JE214" i="7"/>
  <c r="JE213" i="7"/>
  <c r="JE212" i="7"/>
  <c r="JE211" i="7"/>
  <c r="JE205" i="7"/>
  <c r="JE200" i="7"/>
  <c r="JE199" i="7"/>
  <c r="JE172" i="7"/>
  <c r="JE161" i="7"/>
  <c r="JE160" i="7"/>
  <c r="JE159" i="7"/>
  <c r="JE158" i="7"/>
  <c r="JE157" i="7"/>
  <c r="JE156" i="7"/>
  <c r="JE144" i="7"/>
  <c r="JE143" i="7"/>
  <c r="JE142" i="7"/>
  <c r="JE141" i="7"/>
  <c r="JE140" i="7"/>
  <c r="JE139" i="7"/>
  <c r="JE138" i="7"/>
  <c r="JE137" i="7"/>
  <c r="JE136" i="7"/>
  <c r="JE135" i="7"/>
  <c r="JE134" i="7"/>
  <c r="JE111" i="7"/>
  <c r="JE110" i="7"/>
  <c r="JE109" i="7"/>
  <c r="JE108" i="7"/>
  <c r="JE107" i="7"/>
  <c r="JE106" i="7"/>
  <c r="JE105" i="7"/>
  <c r="JE104" i="7"/>
  <c r="JE99" i="7"/>
  <c r="JE97" i="7"/>
  <c r="JE96" i="7"/>
  <c r="JE95" i="7"/>
  <c r="JE94" i="7"/>
  <c r="JE93" i="7"/>
  <c r="JE92" i="7"/>
  <c r="JE91" i="7"/>
  <c r="JE34" i="7"/>
  <c r="JE33" i="7"/>
  <c r="JE14" i="7"/>
  <c r="JE17" i="7"/>
  <c r="JE16" i="7"/>
  <c r="JE15" i="7"/>
  <c r="IT99" i="7"/>
  <c r="IS99" i="7"/>
  <c r="IG80" i="7"/>
  <c r="IG207" i="7"/>
  <c r="IG206" i="7"/>
  <c r="IG205" i="7"/>
  <c r="IG212" i="7"/>
  <c r="IG211" i="7"/>
  <c r="IG220" i="7"/>
  <c r="IG219" i="7"/>
  <c r="HV444" i="7"/>
  <c r="HV220" i="7"/>
  <c r="HV219" i="7"/>
  <c r="HV214" i="7"/>
  <c r="HV213" i="7"/>
  <c r="HV204" i="7"/>
  <c r="HV203" i="7"/>
  <c r="HV80" i="7"/>
  <c r="HK444" i="7"/>
  <c r="HK446" i="7"/>
  <c r="HK445" i="7"/>
  <c r="HK443" i="7"/>
  <c r="HK442" i="7"/>
  <c r="HK441" i="7"/>
  <c r="HK440" i="7"/>
  <c r="HK439" i="7"/>
  <c r="HK417" i="7"/>
  <c r="HK416" i="7"/>
  <c r="HK414" i="7"/>
  <c r="HK411" i="7"/>
  <c r="HK410" i="7"/>
  <c r="HK395" i="7"/>
  <c r="HK394" i="7"/>
  <c r="HK330" i="7"/>
  <c r="HK329" i="7"/>
  <c r="HK328" i="7"/>
  <c r="HK327" i="7"/>
  <c r="HK326" i="7"/>
  <c r="HK325" i="7"/>
  <c r="HK324" i="7"/>
  <c r="HK323" i="7"/>
  <c r="HK322" i="7"/>
  <c r="HK321" i="7"/>
  <c r="HK320" i="7"/>
  <c r="HK319" i="7"/>
  <c r="HK318" i="7"/>
  <c r="HK317" i="7"/>
  <c r="HK316" i="7"/>
  <c r="HK273" i="7"/>
  <c r="HK272" i="7"/>
  <c r="HK243" i="7"/>
  <c r="HK242" i="7"/>
  <c r="HK241" i="7"/>
  <c r="HK240" i="7"/>
  <c r="HK239" i="7"/>
  <c r="HK238" i="7"/>
  <c r="HK237" i="7"/>
  <c r="HK236" i="7"/>
  <c r="HK235" i="7"/>
  <c r="HK234" i="7"/>
  <c r="HK233" i="7"/>
  <c r="HK232" i="7"/>
  <c r="HK231" i="7"/>
  <c r="HK220" i="7"/>
  <c r="HK219" i="7"/>
  <c r="HK216" i="7"/>
  <c r="HK214" i="7"/>
  <c r="HK213" i="7"/>
  <c r="HK212" i="7"/>
  <c r="HK211" i="7"/>
  <c r="HK205" i="7"/>
  <c r="HK204" i="7"/>
  <c r="HK203" i="7"/>
  <c r="HK161" i="7"/>
  <c r="HK160" i="7"/>
  <c r="HK159" i="7"/>
  <c r="HK158" i="7"/>
  <c r="HK157" i="7"/>
  <c r="HK156" i="7"/>
  <c r="HK144" i="7"/>
  <c r="HK143" i="7"/>
  <c r="HK142" i="7"/>
  <c r="HK141" i="7"/>
  <c r="HK140" i="7"/>
  <c r="HK139" i="7"/>
  <c r="HK138" i="7"/>
  <c r="HK137" i="7"/>
  <c r="HK136" i="7"/>
  <c r="HK135" i="7"/>
  <c r="HK134" i="7"/>
  <c r="HK127" i="7"/>
  <c r="HK126" i="7"/>
  <c r="HK125" i="7"/>
  <c r="HK124" i="7"/>
  <c r="HK123" i="7"/>
  <c r="HK122" i="7"/>
  <c r="HK121" i="7"/>
  <c r="HK120" i="7"/>
  <c r="HK119" i="7"/>
  <c r="HK118" i="7"/>
  <c r="HK117" i="7"/>
  <c r="HK116" i="7"/>
  <c r="HK115" i="7"/>
  <c r="HK114" i="7"/>
  <c r="HK113" i="7"/>
  <c r="HK112" i="7"/>
  <c r="HK111" i="7"/>
  <c r="HK110" i="7"/>
  <c r="HK109" i="7"/>
  <c r="HK108" i="7"/>
  <c r="HK107" i="7"/>
  <c r="HK106" i="7"/>
  <c r="HK105" i="7"/>
  <c r="HK104" i="7"/>
  <c r="HK80" i="7"/>
  <c r="HK33" i="7"/>
  <c r="HL14" i="7"/>
  <c r="HK15" i="7"/>
  <c r="HK16" i="7"/>
  <c r="HK17" i="7"/>
  <c r="HK14" i="7"/>
  <c r="GY29" i="7"/>
  <c r="GY28" i="7"/>
  <c r="GY27" i="7"/>
  <c r="GY26" i="7"/>
  <c r="GY25" i="7"/>
  <c r="GY24" i="7"/>
  <c r="GY23" i="7"/>
  <c r="GY22" i="7"/>
  <c r="GY21" i="7"/>
  <c r="GY20" i="7"/>
  <c r="GY19" i="7"/>
  <c r="GY18" i="7"/>
  <c r="GY37" i="7"/>
  <c r="GY36" i="7"/>
  <c r="GY35" i="7"/>
  <c r="GY55" i="7"/>
  <c r="GY54" i="7"/>
  <c r="GY53" i="7"/>
  <c r="GY46" i="7"/>
  <c r="GY45" i="7"/>
  <c r="GY44" i="7"/>
  <c r="GY43" i="7"/>
  <c r="GY42" i="7"/>
  <c r="GY41" i="7"/>
  <c r="GY40" i="7"/>
  <c r="GY39" i="7"/>
  <c r="GY38" i="7"/>
  <c r="GY76" i="7"/>
  <c r="GY75" i="7"/>
  <c r="GY74" i="7"/>
  <c r="GY73" i="7"/>
  <c r="GY72" i="7"/>
  <c r="GY71" i="7"/>
  <c r="GY64" i="7"/>
  <c r="GY63" i="7"/>
  <c r="GY62" i="7"/>
  <c r="GY61" i="7"/>
  <c r="GY60" i="7"/>
  <c r="GY59" i="7"/>
  <c r="GY58" i="7"/>
  <c r="GY57" i="7"/>
  <c r="GY56" i="7"/>
  <c r="GY87" i="7"/>
  <c r="GY86" i="7"/>
  <c r="GY85" i="7"/>
  <c r="GY84" i="7"/>
  <c r="GY99" i="7"/>
  <c r="GY97" i="7"/>
  <c r="GY96" i="7"/>
  <c r="GY95" i="7"/>
  <c r="GY94" i="7"/>
  <c r="GY93" i="7"/>
  <c r="GY92" i="7"/>
  <c r="GY91" i="7"/>
  <c r="GY111" i="7"/>
  <c r="GY110" i="7"/>
  <c r="GY109" i="7"/>
  <c r="GY108" i="7"/>
  <c r="GY107" i="7"/>
  <c r="GY106" i="7"/>
  <c r="GY105" i="7"/>
  <c r="GY104" i="7"/>
  <c r="GY134" i="7"/>
  <c r="GY133" i="7"/>
  <c r="GY132" i="7"/>
  <c r="GY131" i="7"/>
  <c r="GY130" i="7"/>
  <c r="GY129" i="7"/>
  <c r="GY128" i="7"/>
  <c r="GY155" i="7"/>
  <c r="GY154" i="7"/>
  <c r="GY153" i="7"/>
  <c r="GY152" i="7"/>
  <c r="GY198" i="7"/>
  <c r="GY197" i="7"/>
  <c r="GY196" i="7"/>
  <c r="GY195" i="7"/>
  <c r="GY212" i="7"/>
  <c r="GY211" i="7"/>
  <c r="GY216" i="7"/>
  <c r="GY221" i="7"/>
  <c r="GY270" i="7"/>
  <c r="GY295" i="7"/>
  <c r="GY294" i="7"/>
  <c r="GY293" i="7"/>
  <c r="GY292" i="7"/>
  <c r="GY291" i="7"/>
  <c r="GY290" i="7"/>
  <c r="GY289" i="7"/>
  <c r="GY288" i="7"/>
  <c r="GY287" i="7"/>
  <c r="GY286" i="7"/>
  <c r="GY285" i="7"/>
  <c r="GY284" i="7"/>
  <c r="GY283" i="7"/>
  <c r="GY282" i="7"/>
  <c r="GY281" i="7"/>
  <c r="GY280" i="7"/>
  <c r="GY315" i="7"/>
  <c r="GY314" i="7"/>
  <c r="GY313" i="7"/>
  <c r="GY312" i="7"/>
  <c r="GY311" i="7"/>
  <c r="GY310" i="7"/>
  <c r="GY309" i="7"/>
  <c r="GY308" i="7"/>
  <c r="GY307" i="7"/>
  <c r="GY306" i="7"/>
  <c r="GY305" i="7"/>
  <c r="GY304" i="7"/>
  <c r="GY303" i="7"/>
  <c r="GY302" i="7"/>
  <c r="GY301" i="7"/>
  <c r="GY300" i="7"/>
  <c r="GY299" i="7"/>
  <c r="GY298" i="7"/>
  <c r="GY297" i="7"/>
  <c r="GY296" i="7"/>
  <c r="GY332" i="7"/>
  <c r="GY331" i="7"/>
  <c r="GY330" i="7"/>
  <c r="GY329" i="7"/>
  <c r="GY328" i="7"/>
  <c r="GY327" i="7"/>
  <c r="GY326" i="7"/>
  <c r="GY325" i="7"/>
  <c r="GY324" i="7"/>
  <c r="GY323" i="7"/>
  <c r="GY322" i="7"/>
  <c r="GY321" i="7"/>
  <c r="GY320" i="7"/>
  <c r="GY319" i="7"/>
  <c r="GY318" i="7"/>
  <c r="GY317" i="7"/>
  <c r="GY316" i="7"/>
  <c r="GY347" i="7"/>
  <c r="GY344" i="7"/>
  <c r="GY341" i="7"/>
  <c r="GY363" i="7"/>
  <c r="GY362" i="7"/>
  <c r="GY361" i="7"/>
  <c r="GY398" i="7"/>
  <c r="GY397" i="7"/>
  <c r="GY414" i="7"/>
  <c r="GY413" i="7"/>
  <c r="GY412" i="7"/>
  <c r="GM440" i="7"/>
  <c r="GM439" i="7"/>
  <c r="GY439" i="7"/>
  <c r="GY440" i="7"/>
  <c r="GY446" i="7"/>
  <c r="GY445" i="7"/>
  <c r="GY444" i="7"/>
  <c r="GM446" i="7"/>
  <c r="GM445" i="7"/>
  <c r="GM444" i="7"/>
  <c r="GM443" i="7"/>
  <c r="GM442" i="7"/>
  <c r="GM441" i="7"/>
  <c r="GM436" i="7"/>
  <c r="GM33" i="7"/>
  <c r="GM90" i="7"/>
  <c r="GM134" i="7"/>
  <c r="GM166" i="7"/>
  <c r="GM165" i="7"/>
  <c r="GM164" i="7"/>
  <c r="GM163" i="7"/>
  <c r="GM162" i="7"/>
  <c r="GM172" i="7"/>
  <c r="GM194" i="7"/>
  <c r="GM204" i="7"/>
  <c r="GM203" i="7"/>
  <c r="GM212" i="7"/>
  <c r="GM211" i="7"/>
  <c r="GM218" i="7"/>
  <c r="GM217" i="7"/>
  <c r="GM216" i="7"/>
  <c r="GM215" i="7"/>
  <c r="GM221" i="7"/>
  <c r="GM395" i="7"/>
  <c r="GM394" i="7"/>
  <c r="GM392" i="7"/>
  <c r="GM415" i="7"/>
  <c r="GM414" i="7"/>
  <c r="BX220" i="7"/>
  <c r="BX219" i="7"/>
  <c r="BY205" i="7"/>
  <c r="BX205" i="7"/>
  <c r="BM80" i="7"/>
  <c r="BM220" i="7"/>
  <c r="BM219" i="7"/>
  <c r="BM214" i="7"/>
  <c r="BM213" i="7"/>
  <c r="BM204" i="7"/>
  <c r="BM203" i="7"/>
  <c r="BM444" i="7"/>
  <c r="BB444" i="7"/>
  <c r="BC443" i="7"/>
  <c r="BB443" i="7"/>
  <c r="BC442" i="7"/>
  <c r="BB442" i="7"/>
  <c r="BC441" i="7"/>
  <c r="BB441" i="7"/>
  <c r="BB440" i="7"/>
  <c r="BC439" i="7"/>
  <c r="BB439" i="7"/>
  <c r="BC438" i="7"/>
  <c r="BB438" i="7"/>
  <c r="BC437" i="7"/>
  <c r="BB437" i="7"/>
  <c r="BC417" i="7"/>
  <c r="BB417" i="7"/>
  <c r="BC416" i="7"/>
  <c r="BB416" i="7"/>
  <c r="BB411" i="7"/>
  <c r="BB410" i="7"/>
  <c r="BC394" i="7"/>
  <c r="BC395" i="7"/>
  <c r="BB395" i="7"/>
  <c r="BB394" i="7"/>
  <c r="BB392" i="7"/>
  <c r="BB332" i="7"/>
  <c r="BB331" i="7"/>
  <c r="BC221" i="7"/>
  <c r="BB221" i="7"/>
  <c r="BB220" i="7"/>
  <c r="BB219" i="7"/>
  <c r="BB216" i="7"/>
  <c r="BB214" i="7"/>
  <c r="BB213" i="7"/>
  <c r="BC205" i="7"/>
  <c r="BB205" i="7"/>
  <c r="BB204" i="7"/>
  <c r="BB203" i="7"/>
  <c r="BB172" i="7"/>
  <c r="BB166" i="7"/>
  <c r="BB165" i="7"/>
  <c r="BB164" i="7"/>
  <c r="BB144" i="7"/>
  <c r="BB143" i="7"/>
  <c r="BB142" i="7"/>
  <c r="BB141" i="7"/>
  <c r="BB140" i="7"/>
  <c r="BB139" i="7"/>
  <c r="BB138" i="7"/>
  <c r="BB137" i="7"/>
  <c r="BB136" i="7"/>
  <c r="BB135" i="7"/>
  <c r="BC134" i="7"/>
  <c r="BB134" i="7"/>
  <c r="BC111" i="7"/>
  <c r="BB111" i="7"/>
  <c r="BC110" i="7"/>
  <c r="BB110" i="7"/>
  <c r="BC109" i="7"/>
  <c r="BB109" i="7"/>
  <c r="BC108" i="7"/>
  <c r="BB108" i="7"/>
  <c r="BC107" i="7"/>
  <c r="BB107" i="7"/>
  <c r="BC106" i="7"/>
  <c r="BB106" i="7"/>
  <c r="BC105" i="7"/>
  <c r="BB105" i="7"/>
  <c r="BC104" i="7"/>
  <c r="BB104" i="7"/>
  <c r="BB80" i="7"/>
  <c r="BC34" i="7"/>
  <c r="BB34" i="7"/>
  <c r="BC33" i="7"/>
  <c r="BB33" i="7"/>
  <c r="BB15" i="7"/>
  <c r="BC15" i="7"/>
  <c r="BB16" i="7"/>
  <c r="BC16" i="7"/>
  <c r="BB17" i="7"/>
  <c r="BC17" i="7"/>
  <c r="BB14" i="7"/>
  <c r="CZ54" i="13" l="1"/>
  <c r="CZ15" i="13"/>
  <c r="CZ55" i="13"/>
  <c r="DA54" i="13"/>
  <c r="DB54" i="13"/>
  <c r="DA15" i="13"/>
  <c r="DB15" i="13"/>
  <c r="DB55" i="13"/>
  <c r="DA55" i="13"/>
  <c r="DO38" i="13"/>
  <c r="DN38" i="13"/>
  <c r="DN39" i="13"/>
  <c r="DO39" i="13"/>
  <c r="DN15" i="13"/>
  <c r="DO15" i="13"/>
  <c r="DO40" i="13"/>
  <c r="DN40" i="13"/>
  <c r="QR71" i="7" l="1"/>
  <c r="QR72" i="7"/>
  <c r="QR73" i="7"/>
  <c r="QR74" i="7"/>
  <c r="QR75" i="7"/>
  <c r="QR76" i="7"/>
  <c r="QR15" i="7"/>
  <c r="QR16" i="7"/>
  <c r="QR17" i="7"/>
  <c r="QR14" i="7"/>
  <c r="QI175" i="7"/>
  <c r="QI174" i="7"/>
  <c r="QI157" i="7"/>
  <c r="QI159" i="7"/>
  <c r="QI160" i="7"/>
  <c r="QI156" i="7"/>
  <c r="QI76" i="7"/>
  <c r="QI75" i="7"/>
  <c r="QI74" i="7"/>
  <c r="QI73" i="7"/>
  <c r="QI72" i="7"/>
  <c r="QI71" i="7"/>
  <c r="QI17" i="7"/>
  <c r="QI15" i="7" l="1"/>
  <c r="QI16" i="7"/>
  <c r="QI14" i="7"/>
  <c r="PN214" i="7" l="1"/>
  <c r="PN213" i="7"/>
  <c r="PD438" i="7"/>
  <c r="PD437" i="7"/>
  <c r="PD214" i="7"/>
  <c r="PD213" i="7"/>
  <c r="OJ172" i="7"/>
  <c r="OJ392" i="7"/>
  <c r="NX443" i="7"/>
  <c r="NX442" i="7"/>
  <c r="NX441" i="7"/>
  <c r="NX439" i="7"/>
  <c r="NX395" i="7"/>
  <c r="NX394" i="7"/>
  <c r="NX221" i="7"/>
  <c r="NX33" i="7"/>
  <c r="NL33" i="7"/>
  <c r="NL221" i="7"/>
  <c r="NL395" i="7"/>
  <c r="NL394" i="7"/>
  <c r="NL443" i="7"/>
  <c r="NL442" i="7"/>
  <c r="NL441" i="7"/>
  <c r="NL439" i="7"/>
  <c r="MD443" i="7"/>
  <c r="MD442" i="7"/>
  <c r="MD441" i="7"/>
  <c r="MD438" i="7"/>
  <c r="MD437" i="7"/>
  <c r="LG205" i="7"/>
  <c r="KV446" i="7"/>
  <c r="KV445" i="7"/>
  <c r="KV443" i="7"/>
  <c r="KV442" i="7"/>
  <c r="KV441" i="7"/>
  <c r="KV439" i="7"/>
  <c r="KV438" i="7"/>
  <c r="KV437" i="7"/>
  <c r="KV417" i="7"/>
  <c r="KV416" i="7"/>
  <c r="KV414" i="7"/>
  <c r="KV395" i="7"/>
  <c r="KV394" i="7"/>
  <c r="KV221" i="7"/>
  <c r="KV205" i="7"/>
  <c r="KV161" i="7"/>
  <c r="KV160" i="7"/>
  <c r="KV159" i="7"/>
  <c r="KV158" i="7"/>
  <c r="KV157" i="7"/>
  <c r="KV156" i="7"/>
  <c r="KV134" i="7"/>
  <c r="KV111" i="7"/>
  <c r="KV110" i="7"/>
  <c r="KV109" i="7"/>
  <c r="KV108" i="7"/>
  <c r="KV107" i="7"/>
  <c r="KV106" i="7"/>
  <c r="KV105" i="7"/>
  <c r="KV104" i="7"/>
  <c r="KV34" i="7"/>
  <c r="KV15" i="7"/>
  <c r="KV16" i="7"/>
  <c r="KV17" i="7"/>
  <c r="KV14" i="7"/>
  <c r="JF446" i="7"/>
  <c r="JF445" i="7"/>
  <c r="JF439" i="7"/>
  <c r="JF417" i="7"/>
  <c r="JF416" i="7"/>
  <c r="JF414" i="7"/>
  <c r="JF395" i="7"/>
  <c r="JF394" i="7"/>
  <c r="JF221" i="7"/>
  <c r="JF156" i="7"/>
  <c r="JF161" i="7"/>
  <c r="JF160" i="7"/>
  <c r="JF159" i="7"/>
  <c r="JF158" i="7"/>
  <c r="JF157" i="7"/>
  <c r="JF144" i="7"/>
  <c r="JF143" i="7"/>
  <c r="JF142" i="7"/>
  <c r="JF141" i="7"/>
  <c r="JF134" i="7"/>
  <c r="JF99" i="7"/>
  <c r="JF34" i="7"/>
  <c r="JF15" i="7"/>
  <c r="JF16" i="7"/>
  <c r="JF17" i="7"/>
  <c r="JF14" i="7"/>
  <c r="IH80" i="7"/>
  <c r="IH205" i="7"/>
  <c r="HW80" i="7"/>
  <c r="HL443" i="7"/>
  <c r="HL442" i="7"/>
  <c r="HL441" i="7"/>
  <c r="HL439" i="7"/>
  <c r="HL417" i="7"/>
  <c r="HL416" i="7"/>
  <c r="HL414" i="7"/>
  <c r="HL395" i="7"/>
  <c r="HL394" i="7"/>
  <c r="HL205" i="7"/>
  <c r="HL161" i="7"/>
  <c r="HL160" i="7"/>
  <c r="HL159" i="7"/>
  <c r="HL158" i="7"/>
  <c r="HL157" i="7"/>
  <c r="HL156" i="7"/>
  <c r="HL134" i="7"/>
  <c r="HL111" i="7"/>
  <c r="HL110" i="7"/>
  <c r="HL109" i="7"/>
  <c r="HL108" i="7"/>
  <c r="HL107" i="7"/>
  <c r="HL106" i="7"/>
  <c r="HL105" i="7"/>
  <c r="HL104" i="7"/>
  <c r="HL80" i="7"/>
  <c r="HL15" i="7"/>
  <c r="HL16" i="7"/>
  <c r="HL17" i="7"/>
  <c r="GZ29" i="7"/>
  <c r="GZ28" i="7"/>
  <c r="GZ27" i="7"/>
  <c r="GZ26" i="7"/>
  <c r="GZ25" i="7"/>
  <c r="GZ24" i="7"/>
  <c r="GZ23" i="7"/>
  <c r="GZ22" i="7"/>
  <c r="GZ21" i="7"/>
  <c r="GZ20" i="7"/>
  <c r="GZ19" i="7"/>
  <c r="GZ18" i="7"/>
  <c r="GZ40" i="7"/>
  <c r="GZ39" i="7"/>
  <c r="GZ38" i="7"/>
  <c r="GZ37" i="7"/>
  <c r="GZ36" i="7"/>
  <c r="GZ35" i="7"/>
  <c r="GZ55" i="7"/>
  <c r="GZ54" i="7"/>
  <c r="GZ53" i="7"/>
  <c r="GZ46" i="7"/>
  <c r="GZ45" i="7"/>
  <c r="GZ44" i="7"/>
  <c r="GZ43" i="7"/>
  <c r="GZ42" i="7"/>
  <c r="GZ41" i="7"/>
  <c r="GZ76" i="7"/>
  <c r="GZ75" i="7"/>
  <c r="GZ74" i="7"/>
  <c r="GZ73" i="7"/>
  <c r="GZ72" i="7"/>
  <c r="GZ71" i="7"/>
  <c r="GZ64" i="7"/>
  <c r="GZ63" i="7"/>
  <c r="GZ62" i="7"/>
  <c r="GZ61" i="7"/>
  <c r="GZ60" i="7"/>
  <c r="GZ59" i="7"/>
  <c r="GZ58" i="7"/>
  <c r="GZ57" i="7"/>
  <c r="GZ56" i="7"/>
  <c r="GZ87" i="7"/>
  <c r="GZ86" i="7"/>
  <c r="GZ85" i="7"/>
  <c r="GZ84" i="7"/>
  <c r="GZ97" i="7"/>
  <c r="GZ96" i="7"/>
  <c r="GZ95" i="7"/>
  <c r="GZ94" i="7"/>
  <c r="GZ93" i="7"/>
  <c r="GZ92" i="7"/>
  <c r="GZ91" i="7"/>
  <c r="GZ99" i="7"/>
  <c r="GZ111" i="7"/>
  <c r="GZ110" i="7"/>
  <c r="GZ109" i="7"/>
  <c r="GZ108" i="7"/>
  <c r="GZ107" i="7"/>
  <c r="GZ106" i="7"/>
  <c r="GZ105" i="7"/>
  <c r="GZ104" i="7"/>
  <c r="GZ134" i="7"/>
  <c r="GZ155" i="7"/>
  <c r="GZ154" i="7"/>
  <c r="GZ153" i="7"/>
  <c r="GZ152" i="7"/>
  <c r="GZ198" i="7"/>
  <c r="GZ197" i="7"/>
  <c r="GZ196" i="7"/>
  <c r="GZ195" i="7"/>
  <c r="GZ212" i="7"/>
  <c r="GZ211" i="7"/>
  <c r="GZ221" i="7"/>
  <c r="GZ270" i="7"/>
  <c r="GZ332" i="7"/>
  <c r="GZ331" i="7"/>
  <c r="GZ330" i="7"/>
  <c r="GZ329" i="7"/>
  <c r="GZ328" i="7"/>
  <c r="GZ327" i="7"/>
  <c r="GZ326" i="7"/>
  <c r="GZ325" i="7"/>
  <c r="GZ324" i="7"/>
  <c r="GZ323" i="7"/>
  <c r="GZ322" i="7"/>
  <c r="GZ321" i="7"/>
  <c r="GZ320" i="7"/>
  <c r="GZ319" i="7"/>
  <c r="GZ318" i="7"/>
  <c r="GZ317" i="7"/>
  <c r="GZ316" i="7"/>
  <c r="GZ398" i="7"/>
  <c r="GZ397" i="7"/>
  <c r="GZ414" i="7"/>
  <c r="GZ413" i="7"/>
  <c r="GZ412" i="7"/>
  <c r="GZ439" i="7"/>
  <c r="GZ444" i="7"/>
  <c r="GZ445" i="7"/>
  <c r="GZ446" i="7"/>
  <c r="GN443" i="7"/>
  <c r="GN442" i="7"/>
  <c r="GN441" i="7"/>
  <c r="GN439" i="7"/>
  <c r="GN415" i="7"/>
  <c r="GN395" i="7"/>
  <c r="GN394" i="7"/>
  <c r="GN392" i="7"/>
  <c r="GN221" i="7"/>
  <c r="GN218" i="7"/>
  <c r="GN217" i="7"/>
  <c r="GN134" i="7"/>
  <c r="GN33" i="7"/>
  <c r="CR350" i="7"/>
  <c r="CS350" i="7" l="1"/>
  <c r="L3108" i="15" s="1"/>
  <c r="K3108" i="15"/>
  <c r="K2640" i="15"/>
  <c r="K2433" i="15"/>
  <c r="K2048" i="15"/>
  <c r="K1512" i="15"/>
  <c r="K1167" i="15"/>
  <c r="K769" i="15"/>
  <c r="K701" i="15"/>
  <c r="K60" i="15"/>
  <c r="CE416" i="7"/>
  <c r="CN271" i="7"/>
  <c r="CE271" i="7"/>
  <c r="CA271" i="7"/>
  <c r="L1512" i="15" l="1"/>
  <c r="L769" i="15"/>
  <c r="L2048" i="15"/>
  <c r="CO271" i="7"/>
  <c r="I3071" i="15" s="1"/>
  <c r="H3071" i="15"/>
  <c r="H2628" i="15"/>
  <c r="H2421" i="15"/>
  <c r="H2036" i="15"/>
  <c r="H1500" i="15"/>
  <c r="H1439" i="15"/>
  <c r="H757" i="15"/>
  <c r="H426" i="15"/>
  <c r="H48" i="15"/>
  <c r="L701" i="15"/>
  <c r="L2640" i="15"/>
  <c r="L2433" i="15"/>
  <c r="L60" i="15"/>
  <c r="CF416" i="7"/>
  <c r="F2941" i="15" s="1"/>
  <c r="E2941" i="15"/>
  <c r="E2653" i="15"/>
  <c r="E2268" i="15"/>
  <c r="E2059" i="15"/>
  <c r="E1523" i="15"/>
  <c r="E1360" i="15"/>
  <c r="E779" i="15"/>
  <c r="E433" i="15"/>
  <c r="E81" i="15"/>
  <c r="L1167" i="15"/>
  <c r="B2421" i="15"/>
  <c r="B2036" i="15"/>
  <c r="B2628" i="15"/>
  <c r="B1500" i="15"/>
  <c r="B3071" i="15"/>
  <c r="E1500" i="15"/>
  <c r="E3071" i="15"/>
  <c r="E2036" i="15"/>
  <c r="E2628" i="15"/>
  <c r="E2421" i="15"/>
  <c r="E1439" i="15"/>
  <c r="E48" i="15"/>
  <c r="E426" i="15"/>
  <c r="E757" i="15"/>
  <c r="B757" i="15"/>
  <c r="B1439" i="15"/>
  <c r="B48" i="15"/>
  <c r="B426" i="15"/>
  <c r="CB271" i="7"/>
  <c r="C3071" i="15" s="1"/>
  <c r="CF271" i="7"/>
  <c r="F3071" i="15" s="1"/>
  <c r="DR167" i="7"/>
  <c r="DR197" i="7"/>
  <c r="DR347" i="7"/>
  <c r="I2628" i="15" l="1"/>
  <c r="I1439" i="15"/>
  <c r="DS347" i="7"/>
  <c r="X3010" i="15" s="1"/>
  <c r="W3010" i="15"/>
  <c r="W2819" i="15"/>
  <c r="W2492" i="15"/>
  <c r="W2109" i="15"/>
  <c r="W1652" i="15"/>
  <c r="W1234" i="15"/>
  <c r="W884" i="15"/>
  <c r="W710" i="15"/>
  <c r="W268" i="15"/>
  <c r="I426" i="15"/>
  <c r="I48" i="15"/>
  <c r="I1500" i="15"/>
  <c r="I2036" i="15"/>
  <c r="F2653" i="15"/>
  <c r="F1360" i="15"/>
  <c r="F779" i="15"/>
  <c r="F2268" i="15"/>
  <c r="J3088" i="15"/>
  <c r="H3088" i="15"/>
  <c r="I3088" i="15"/>
  <c r="I757" i="15"/>
  <c r="I2421" i="15"/>
  <c r="DS197" i="7"/>
  <c r="X681" i="15" s="1"/>
  <c r="W3112" i="15"/>
  <c r="W2716" i="15"/>
  <c r="W2456" i="15"/>
  <c r="W1945" i="15"/>
  <c r="W1747" i="15"/>
  <c r="W1122" i="15"/>
  <c r="W681" i="15"/>
  <c r="W811" i="15"/>
  <c r="W164" i="15"/>
  <c r="F433" i="15"/>
  <c r="F2059" i="15"/>
  <c r="DS167" i="7"/>
  <c r="X3238" i="15" s="1"/>
  <c r="W3238" i="15"/>
  <c r="W2697" i="15"/>
  <c r="W2534" i="15"/>
  <c r="W1922" i="15"/>
  <c r="W1740" i="15"/>
  <c r="W1372" i="15"/>
  <c r="W485" i="15"/>
  <c r="W802" i="15"/>
  <c r="W138" i="15"/>
  <c r="F81" i="15"/>
  <c r="F1523" i="15"/>
  <c r="G3088" i="15"/>
  <c r="E3088" i="15"/>
  <c r="F3088" i="15"/>
  <c r="C3088" i="15"/>
  <c r="D3088" i="15"/>
  <c r="B3088" i="15"/>
  <c r="C2421" i="15"/>
  <c r="C2628" i="15"/>
  <c r="F2421" i="15"/>
  <c r="F2628" i="15"/>
  <c r="F1500" i="15"/>
  <c r="F2036" i="15"/>
  <c r="C1500" i="15"/>
  <c r="C2036" i="15"/>
  <c r="C757" i="15"/>
  <c r="C1439" i="15"/>
  <c r="F757" i="15"/>
  <c r="F1439" i="15"/>
  <c r="F48" i="15"/>
  <c r="F426" i="15"/>
  <c r="C48" i="15"/>
  <c r="C426" i="15"/>
  <c r="CK271" i="7"/>
  <c r="CL271" i="7"/>
  <c r="DB271" i="7"/>
  <c r="O3071" i="15" s="1"/>
  <c r="CJ271" i="7"/>
  <c r="DN206" i="7"/>
  <c r="DO205" i="7"/>
  <c r="X2456" i="15" l="1"/>
  <c r="X1234" i="15"/>
  <c r="X164" i="15"/>
  <c r="X1122" i="15"/>
  <c r="X811" i="15"/>
  <c r="X2716" i="15"/>
  <c r="X2109" i="15"/>
  <c r="X3112" i="15"/>
  <c r="X1652" i="15"/>
  <c r="X2819" i="15"/>
  <c r="X1945" i="15"/>
  <c r="X138" i="15"/>
  <c r="X884" i="15"/>
  <c r="X1747" i="15"/>
  <c r="X2492" i="15"/>
  <c r="X485" i="15"/>
  <c r="X710" i="15"/>
  <c r="X1372" i="15"/>
  <c r="U3044" i="15"/>
  <c r="U2721" i="15"/>
  <c r="U2539" i="15"/>
  <c r="U1302" i="15"/>
  <c r="U1034" i="15"/>
  <c r="U1474" i="15"/>
  <c r="U169" i="15"/>
  <c r="U496" i="15"/>
  <c r="X1922" i="15"/>
  <c r="X268" i="15"/>
  <c r="X802" i="15"/>
  <c r="X2697" i="15"/>
  <c r="DO206" i="7"/>
  <c r="U814" i="15" s="1"/>
  <c r="T2983" i="15"/>
  <c r="T2722" i="15"/>
  <c r="T2223" i="15"/>
  <c r="T1749" i="15"/>
  <c r="T1186" i="15"/>
  <c r="T814" i="15"/>
  <c r="T684" i="15"/>
  <c r="T170" i="15"/>
  <c r="X2534" i="15"/>
  <c r="X1740" i="15"/>
  <c r="O2424" i="15"/>
  <c r="O2653" i="15"/>
  <c r="O1507" i="15"/>
  <c r="O2043" i="15"/>
  <c r="O771" i="15"/>
  <c r="O1441" i="15"/>
  <c r="O78" i="15"/>
  <c r="O442" i="15"/>
  <c r="DN195" i="7"/>
  <c r="U684" i="15" l="1"/>
  <c r="U170" i="15"/>
  <c r="U1749" i="15"/>
  <c r="U2223" i="15"/>
  <c r="U2983" i="15"/>
  <c r="DO195" i="7"/>
  <c r="T3110" i="15"/>
  <c r="T2714" i="15"/>
  <c r="T2454" i="15"/>
  <c r="T1943" i="15"/>
  <c r="T1745" i="15"/>
  <c r="T809" i="15"/>
  <c r="T1121" i="15"/>
  <c r="T679" i="15"/>
  <c r="T162" i="15"/>
  <c r="U2722" i="15"/>
  <c r="U1186" i="15"/>
  <c r="EA436" i="7"/>
  <c r="U1121" i="15" l="1"/>
  <c r="U162" i="15"/>
  <c r="U3110" i="15"/>
  <c r="U809" i="15"/>
  <c r="EB436" i="7"/>
  <c r="AA1919" i="15" s="1"/>
  <c r="Z3081" i="15"/>
  <c r="Z1919" i="15"/>
  <c r="Z1552" i="15"/>
  <c r="Z399" i="15"/>
  <c r="Z130" i="15"/>
  <c r="U2454" i="15"/>
  <c r="U1943" i="15"/>
  <c r="U1745" i="15"/>
  <c r="U2714" i="15"/>
  <c r="U679" i="15"/>
  <c r="EA266" i="7"/>
  <c r="EE133" i="7"/>
  <c r="AA1552" i="15" l="1"/>
  <c r="AA3081" i="15"/>
  <c r="AA130" i="15"/>
  <c r="AA399" i="15"/>
  <c r="AC2933" i="15"/>
  <c r="AC2628" i="15"/>
  <c r="AC2422" i="15"/>
  <c r="AC1711" i="15"/>
  <c r="AC1884" i="15"/>
  <c r="AC1366" i="15"/>
  <c r="AC772" i="15"/>
  <c r="AC448" i="15"/>
  <c r="AC56" i="15"/>
  <c r="Z3113" i="15"/>
  <c r="Z2680" i="15"/>
  <c r="Z2275" i="15"/>
  <c r="Z2036" i="15"/>
  <c r="Z1738" i="15"/>
  <c r="Z1386" i="15"/>
  <c r="Z807" i="15"/>
  <c r="Z487" i="15"/>
  <c r="Z118" i="15"/>
  <c r="DR10" i="7"/>
  <c r="DN26" i="7"/>
  <c r="DN20" i="7"/>
  <c r="DN18" i="7"/>
  <c r="DN17" i="7"/>
  <c r="T3222" i="15" l="1"/>
  <c r="T2608" i="15"/>
  <c r="T2213" i="15"/>
  <c r="T1869" i="15"/>
  <c r="T1522" i="15"/>
  <c r="T1156" i="15"/>
  <c r="T755" i="15"/>
  <c r="T436" i="15"/>
  <c r="T30" i="15"/>
  <c r="W2927" i="15"/>
  <c r="W2594" i="15"/>
  <c r="W2201" i="15"/>
  <c r="W1853" i="15"/>
  <c r="W1506" i="15"/>
  <c r="W1150" i="15"/>
  <c r="W424" i="15"/>
  <c r="W14" i="15"/>
  <c r="DO17" i="7"/>
  <c r="U2934" i="15" s="1"/>
  <c r="T2934" i="15"/>
  <c r="T2599" i="15"/>
  <c r="T2410" i="15"/>
  <c r="T1860" i="15"/>
  <c r="T1513" i="15"/>
  <c r="T1271" i="15"/>
  <c r="T749" i="15"/>
  <c r="T607" i="15"/>
  <c r="T21" i="15"/>
  <c r="DO18" i="7"/>
  <c r="U2935" i="15" s="1"/>
  <c r="T2935" i="15"/>
  <c r="T2600" i="15"/>
  <c r="T2205" i="15"/>
  <c r="T1861" i="15"/>
  <c r="T1514" i="15"/>
  <c r="T750" i="15"/>
  <c r="T1152" i="15"/>
  <c r="T428" i="15"/>
  <c r="T22" i="15"/>
  <c r="T3220" i="15"/>
  <c r="T2602" i="15"/>
  <c r="T2207" i="15"/>
  <c r="T1863" i="15"/>
  <c r="T1516" i="15"/>
  <c r="T751" i="15"/>
  <c r="T1153" i="15"/>
  <c r="T430" i="15"/>
  <c r="T24" i="15"/>
  <c r="DN10" i="7"/>
  <c r="DN8" i="7"/>
  <c r="U607" i="15" l="1"/>
  <c r="U1860" i="15"/>
  <c r="U21" i="15"/>
  <c r="U1152" i="15"/>
  <c r="U2600" i="15"/>
  <c r="U2205" i="15"/>
  <c r="U2599" i="15"/>
  <c r="DO10" i="7"/>
  <c r="U2201" i="15" s="1"/>
  <c r="T2927" i="15"/>
  <c r="T2594" i="15"/>
  <c r="T2201" i="15"/>
  <c r="T1853" i="15"/>
  <c r="T1506" i="15"/>
  <c r="T1150" i="15"/>
  <c r="T424" i="15"/>
  <c r="T14" i="15"/>
  <c r="U749" i="15"/>
  <c r="U2410" i="15"/>
  <c r="U1513" i="15"/>
  <c r="U1271" i="15"/>
  <c r="U428" i="15"/>
  <c r="U1861" i="15"/>
  <c r="U750" i="15"/>
  <c r="DO8" i="7"/>
  <c r="U2199" i="15" s="1"/>
  <c r="T2925" i="15"/>
  <c r="T2592" i="15"/>
  <c r="T2199" i="15"/>
  <c r="T1851" i="15"/>
  <c r="T1504" i="15"/>
  <c r="T1149" i="15"/>
  <c r="T422" i="15"/>
  <c r="T12" i="15"/>
  <c r="U22" i="15"/>
  <c r="U1514" i="15"/>
  <c r="CN30" i="7"/>
  <c r="U12" i="15" l="1"/>
  <c r="U1851" i="15"/>
  <c r="U14" i="15"/>
  <c r="U2927" i="15"/>
  <c r="U424" i="15"/>
  <c r="U1853" i="15"/>
  <c r="U1506" i="15"/>
  <c r="U1150" i="15"/>
  <c r="U2594" i="15"/>
  <c r="U1504" i="15"/>
  <c r="U2925" i="15"/>
  <c r="U1149" i="15"/>
  <c r="CO30" i="7"/>
  <c r="I2919" i="15" s="1"/>
  <c r="H2919" i="15"/>
  <c r="H2586" i="15"/>
  <c r="H2407" i="15"/>
  <c r="H1687" i="15"/>
  <c r="H1845" i="15"/>
  <c r="H658" i="15"/>
  <c r="H6" i="15"/>
  <c r="U2592" i="15"/>
  <c r="U422" i="15"/>
  <c r="DB2" i="7"/>
  <c r="EV440" i="7"/>
  <c r="O2919" i="15" l="1"/>
  <c r="O2586" i="15"/>
  <c r="O2193" i="15"/>
  <c r="O1498" i="15"/>
  <c r="O1845" i="15"/>
  <c r="O1146" i="15"/>
  <c r="O416" i="15"/>
  <c r="O6" i="15"/>
  <c r="I6" i="15"/>
  <c r="I658" i="15"/>
  <c r="I2586" i="15"/>
  <c r="CQ30" i="7"/>
  <c r="I1845" i="15"/>
  <c r="I1687" i="15"/>
  <c r="I2407" i="15"/>
  <c r="EI433" i="7" l="1"/>
  <c r="EI434" i="7"/>
  <c r="EI435" i="7"/>
  <c r="EI437" i="7"/>
  <c r="EI438" i="7"/>
  <c r="EI441" i="7"/>
  <c r="EI442" i="7"/>
  <c r="EI443" i="7"/>
  <c r="DD432" i="7"/>
  <c r="CU433" i="7"/>
  <c r="CU432" i="7"/>
  <c r="CQ433" i="7"/>
  <c r="CQ432" i="7"/>
  <c r="CH433" i="7"/>
  <c r="CH432" i="7"/>
  <c r="CD433" i="7"/>
  <c r="CD432" i="7"/>
  <c r="NT440" i="7"/>
  <c r="NR440" i="7"/>
  <c r="NH440" i="7"/>
  <c r="NF440" i="7"/>
  <c r="LZ439" i="7"/>
  <c r="LZ440" i="7"/>
  <c r="LX440" i="7"/>
  <c r="KR440" i="7"/>
  <c r="KP440" i="7"/>
  <c r="JB440" i="7"/>
  <c r="JF440" i="7" s="1"/>
  <c r="IZ440" i="7"/>
  <c r="HH440" i="7"/>
  <c r="HF440" i="7"/>
  <c r="GV440" i="7"/>
  <c r="GT440" i="7"/>
  <c r="GJ440" i="7"/>
  <c r="GH440" i="7"/>
  <c r="ES440" i="7"/>
  <c r="EQ440" i="7"/>
  <c r="EA440" i="7"/>
  <c r="EA439" i="7"/>
  <c r="EE440" i="7"/>
  <c r="EE439" i="7"/>
  <c r="BA443" i="7"/>
  <c r="BA442" i="7"/>
  <c r="BA441" i="7"/>
  <c r="BA439" i="7"/>
  <c r="BA438" i="7"/>
  <c r="BA437" i="7"/>
  <c r="AW440" i="7"/>
  <c r="AY440" i="7"/>
  <c r="AJ440" i="7"/>
  <c r="AK440" i="7"/>
  <c r="EI440" i="7" l="1"/>
  <c r="AC3044" i="15"/>
  <c r="AC2693" i="15"/>
  <c r="AC2539" i="15"/>
  <c r="AC2040" i="15"/>
  <c r="AC1168" i="15"/>
  <c r="AC810" i="15"/>
  <c r="AC1474" i="15"/>
  <c r="AC134" i="15"/>
  <c r="AC383" i="15"/>
  <c r="Z3044" i="15"/>
  <c r="Z2693" i="15"/>
  <c r="Z2539" i="15"/>
  <c r="Z2040" i="15"/>
  <c r="Z1474" i="15"/>
  <c r="Z810" i="15"/>
  <c r="Z1168" i="15"/>
  <c r="Z383" i="15"/>
  <c r="Z134" i="15"/>
  <c r="MD439" i="7"/>
  <c r="Z3043" i="15"/>
  <c r="Z2692" i="15"/>
  <c r="Z2538" i="15"/>
  <c r="Z1922" i="15"/>
  <c r="Z1473" i="15"/>
  <c r="Z809" i="15"/>
  <c r="Z1167" i="15"/>
  <c r="Z402" i="15"/>
  <c r="Z133" i="15"/>
  <c r="EW440" i="7"/>
  <c r="AJ3053" i="15"/>
  <c r="AJ2897" i="15"/>
  <c r="AJ2545" i="15"/>
  <c r="AJ2176" i="15"/>
  <c r="AJ1480" i="15"/>
  <c r="AJ955" i="15"/>
  <c r="AJ1256" i="15"/>
  <c r="AJ391" i="15"/>
  <c r="AJ340" i="15"/>
  <c r="AC2692" i="15"/>
  <c r="AC3043" i="15"/>
  <c r="AC2538" i="15"/>
  <c r="AC1922" i="15"/>
  <c r="AC1473" i="15"/>
  <c r="AC1167" i="15"/>
  <c r="AC809" i="15"/>
  <c r="AC133" i="15"/>
  <c r="AC402" i="15"/>
  <c r="EU440" i="7"/>
  <c r="EY440" i="7"/>
  <c r="EX440" i="7"/>
  <c r="EI439" i="7"/>
  <c r="GX440" i="7"/>
  <c r="GZ440" i="7"/>
  <c r="MB440" i="7"/>
  <c r="MD440" i="7"/>
  <c r="HJ440" i="7"/>
  <c r="HL440" i="7"/>
  <c r="NJ440" i="7"/>
  <c r="NL440" i="7"/>
  <c r="BA440" i="7"/>
  <c r="BC440" i="7"/>
  <c r="NV440" i="7"/>
  <c r="NX440" i="7"/>
  <c r="GL440" i="7"/>
  <c r="GN440" i="7"/>
  <c r="KT440" i="7"/>
  <c r="KV440" i="7"/>
  <c r="EV443" i="7"/>
  <c r="EV444" i="7"/>
  <c r="EV439" i="7"/>
  <c r="EV433" i="7"/>
  <c r="EV432" i="7"/>
  <c r="EI432" i="7"/>
  <c r="EH443" i="7"/>
  <c r="EH442" i="7"/>
  <c r="EH441" i="7"/>
  <c r="EH438" i="7"/>
  <c r="EH437" i="7"/>
  <c r="EH433" i="7"/>
  <c r="EH432" i="7"/>
  <c r="ED443" i="7"/>
  <c r="ED442" i="7"/>
  <c r="ED441" i="7"/>
  <c r="ED438" i="7"/>
  <c r="ED437" i="7"/>
  <c r="ED433" i="7"/>
  <c r="ED432" i="7"/>
  <c r="DV443" i="7"/>
  <c r="DV442" i="7"/>
  <c r="DV441" i="7"/>
  <c r="DV438" i="7"/>
  <c r="DV437" i="7"/>
  <c r="DV435" i="7"/>
  <c r="DV434" i="7"/>
  <c r="DV433" i="7"/>
  <c r="DV432" i="7"/>
  <c r="DV431" i="7"/>
  <c r="DV430" i="7"/>
  <c r="DV429" i="7"/>
  <c r="DV428" i="7"/>
  <c r="DV427" i="7"/>
  <c r="DV426" i="7"/>
  <c r="DU443" i="7"/>
  <c r="DU442" i="7"/>
  <c r="DU441" i="7"/>
  <c r="DU438" i="7"/>
  <c r="DU437" i="7"/>
  <c r="DU433" i="7"/>
  <c r="DU432" i="7"/>
  <c r="DQ443" i="7"/>
  <c r="DQ442" i="7"/>
  <c r="DQ441" i="7"/>
  <c r="DQ438" i="7"/>
  <c r="DQ437" i="7"/>
  <c r="DQ433" i="7"/>
  <c r="DQ432" i="7"/>
  <c r="DI433" i="7"/>
  <c r="DI432" i="7"/>
  <c r="DH433" i="7"/>
  <c r="DH432" i="7"/>
  <c r="DD433" i="7"/>
  <c r="CV433" i="7"/>
  <c r="CV432" i="7"/>
  <c r="CI433" i="7"/>
  <c r="CI432" i="7"/>
  <c r="EE444" i="7"/>
  <c r="EA444" i="7"/>
  <c r="EE436" i="7"/>
  <c r="ED436" i="7"/>
  <c r="AC3081" i="15" l="1"/>
  <c r="AC1919" i="15"/>
  <c r="AC1552" i="15"/>
  <c r="AC130" i="15"/>
  <c r="AC399" i="15"/>
  <c r="EF444" i="7"/>
  <c r="AD1000" i="15" s="1"/>
  <c r="AC3116" i="15"/>
  <c r="AC2697" i="15"/>
  <c r="AC2284" i="15"/>
  <c r="AC1926" i="15"/>
  <c r="AC1742" i="15"/>
  <c r="AC1000" i="15"/>
  <c r="AC1451" i="15"/>
  <c r="AC405" i="15"/>
  <c r="AC138" i="15"/>
  <c r="EB444" i="7"/>
  <c r="Z3116" i="15"/>
  <c r="Z2697" i="15"/>
  <c r="Z2284" i="15"/>
  <c r="Z1926" i="15"/>
  <c r="Z1742" i="15"/>
  <c r="Z1451" i="15"/>
  <c r="Z1000" i="15"/>
  <c r="Z405" i="15"/>
  <c r="Z138" i="15"/>
  <c r="EF436" i="7"/>
  <c r="AD3081" i="15" s="1"/>
  <c r="EI436" i="7"/>
  <c r="EI444" i="7"/>
  <c r="DN444" i="7"/>
  <c r="DR444" i="7"/>
  <c r="DR436" i="7"/>
  <c r="DN436" i="7"/>
  <c r="AD1451" i="15" l="1"/>
  <c r="EH444" i="7"/>
  <c r="EK444" i="7"/>
  <c r="AD405" i="15"/>
  <c r="AD1742" i="15"/>
  <c r="AD2697" i="15"/>
  <c r="AD2284" i="15"/>
  <c r="AD1926" i="15"/>
  <c r="EL444" i="7"/>
  <c r="AD138" i="15"/>
  <c r="AD3116" i="15"/>
  <c r="AA1000" i="15"/>
  <c r="AA2284" i="15"/>
  <c r="AA405" i="15"/>
  <c r="AA1926" i="15"/>
  <c r="EJ444" i="7"/>
  <c r="AA138" i="15"/>
  <c r="AA3116" i="15"/>
  <c r="AA2697" i="15"/>
  <c r="AC414" i="15"/>
  <c r="AE414" i="15"/>
  <c r="AD414" i="15"/>
  <c r="T3085" i="15"/>
  <c r="T1996" i="15"/>
  <c r="T1678" i="15"/>
  <c r="T309" i="15"/>
  <c r="T405" i="15"/>
  <c r="W3085" i="15"/>
  <c r="W1678" i="15"/>
  <c r="W1996" i="15"/>
  <c r="W309" i="15"/>
  <c r="W405" i="15"/>
  <c r="AA1742" i="15"/>
  <c r="W3180" i="15"/>
  <c r="W2862" i="15"/>
  <c r="W2357" i="15"/>
  <c r="W2002" i="15"/>
  <c r="W1784" i="15"/>
  <c r="W1459" i="15"/>
  <c r="W1062" i="15"/>
  <c r="W315" i="15"/>
  <c r="W410" i="15"/>
  <c r="AA1451" i="15"/>
  <c r="T3180" i="15"/>
  <c r="T2862" i="15"/>
  <c r="T2357" i="15"/>
  <c r="T1784" i="15"/>
  <c r="T2002" i="15"/>
  <c r="T1459" i="15"/>
  <c r="T1062" i="15"/>
  <c r="T410" i="15"/>
  <c r="T315" i="15"/>
  <c r="AD1552" i="15"/>
  <c r="AD1919" i="15"/>
  <c r="AD130" i="15"/>
  <c r="AD399" i="15"/>
  <c r="EJ436" i="7"/>
  <c r="EH436" i="7"/>
  <c r="EL436" i="7"/>
  <c r="EK436" i="7"/>
  <c r="DV444" i="7"/>
  <c r="DO436" i="7"/>
  <c r="DV436" i="7"/>
  <c r="DS436" i="7"/>
  <c r="X3085" i="15" s="1"/>
  <c r="ED444" i="7"/>
  <c r="DS444" i="7"/>
  <c r="X3180" i="15" s="1"/>
  <c r="DO444" i="7"/>
  <c r="U3180" i="15" s="1"/>
  <c r="OH392" i="7"/>
  <c r="OH474" i="7" s="1"/>
  <c r="OD392" i="7"/>
  <c r="OD474" i="7" s="1"/>
  <c r="NV443" i="7"/>
  <c r="NV442" i="7"/>
  <c r="NV441" i="7"/>
  <c r="NV439" i="7"/>
  <c r="NR439" i="7"/>
  <c r="NR441" i="7"/>
  <c r="NR442" i="7"/>
  <c r="NR443" i="7"/>
  <c r="NJ441" i="7"/>
  <c r="NJ442" i="7"/>
  <c r="NJ443" i="7"/>
  <c r="NJ439" i="7"/>
  <c r="NF443" i="7"/>
  <c r="NF442" i="7"/>
  <c r="NF441" i="7"/>
  <c r="NF439" i="7"/>
  <c r="MB443" i="7"/>
  <c r="MB442" i="7"/>
  <c r="MB441" i="7"/>
  <c r="MB439" i="7"/>
  <c r="MB438" i="7"/>
  <c r="MB437" i="7"/>
  <c r="LX443" i="7"/>
  <c r="LX442" i="7"/>
  <c r="LX441" i="7"/>
  <c r="LX439" i="7"/>
  <c r="LX438" i="7"/>
  <c r="LX437" i="7"/>
  <c r="KT443" i="7"/>
  <c r="KT438" i="7"/>
  <c r="KT439" i="7"/>
  <c r="KT441" i="7"/>
  <c r="KT442" i="7"/>
  <c r="KT437" i="7"/>
  <c r="KP443" i="7"/>
  <c r="KP442" i="7"/>
  <c r="KP441" i="7"/>
  <c r="KP439" i="7"/>
  <c r="KP438" i="7"/>
  <c r="KP437" i="7"/>
  <c r="IZ439" i="7"/>
  <c r="HJ441" i="7"/>
  <c r="HJ442" i="7"/>
  <c r="HJ443" i="7"/>
  <c r="HJ439" i="7"/>
  <c r="HF443" i="7"/>
  <c r="HF442" i="7"/>
  <c r="HF441" i="7"/>
  <c r="HF439" i="7"/>
  <c r="GX444" i="7"/>
  <c r="GX439" i="7"/>
  <c r="GT439" i="7"/>
  <c r="GT444" i="7"/>
  <c r="GT445" i="7"/>
  <c r="GL443" i="7"/>
  <c r="GL442" i="7"/>
  <c r="GL441" i="7"/>
  <c r="GL439" i="7"/>
  <c r="GL436" i="7"/>
  <c r="GH442" i="7"/>
  <c r="GH441" i="7"/>
  <c r="GH439" i="7"/>
  <c r="GH443" i="7"/>
  <c r="EU433" i="7"/>
  <c r="EU432" i="7"/>
  <c r="EU444" i="7"/>
  <c r="EU446" i="7"/>
  <c r="EU443" i="7"/>
  <c r="EU439" i="7"/>
  <c r="EQ444" i="7"/>
  <c r="EQ443" i="7"/>
  <c r="EQ442" i="7"/>
  <c r="EQ441" i="7"/>
  <c r="EQ439" i="7"/>
  <c r="EQ433" i="7"/>
  <c r="EQ432" i="7"/>
  <c r="AJ445" i="7"/>
  <c r="AJ446" i="7"/>
  <c r="AJ435" i="7"/>
  <c r="AK435" i="7"/>
  <c r="AJ437" i="7"/>
  <c r="AK437" i="7"/>
  <c r="AJ438" i="7"/>
  <c r="AK438" i="7"/>
  <c r="AJ439" i="7"/>
  <c r="AK439" i="7"/>
  <c r="AJ441" i="7"/>
  <c r="AK441" i="7"/>
  <c r="AJ442" i="7"/>
  <c r="AK442" i="7"/>
  <c r="AJ443" i="7"/>
  <c r="AK443" i="7"/>
  <c r="AJ444" i="7"/>
  <c r="AK444" i="7"/>
  <c r="AK434" i="7"/>
  <c r="AJ434" i="7"/>
  <c r="AK417" i="7"/>
  <c r="AJ417" i="7"/>
  <c r="AE446" i="7"/>
  <c r="AK446" i="7" s="1"/>
  <c r="AE445" i="7"/>
  <c r="AK445" i="7" s="1"/>
  <c r="AW443" i="7"/>
  <c r="AW442" i="7"/>
  <c r="AW441" i="7"/>
  <c r="AW439" i="7"/>
  <c r="AW438" i="7"/>
  <c r="AW437" i="7"/>
  <c r="U1996" i="15" l="1"/>
  <c r="U3085" i="15"/>
  <c r="U2357" i="15"/>
  <c r="U2862" i="15"/>
  <c r="X2357" i="15"/>
  <c r="X2862" i="15"/>
  <c r="X1784" i="15"/>
  <c r="X2002" i="15"/>
  <c r="X1678" i="15"/>
  <c r="X1996" i="15"/>
  <c r="U1784" i="15"/>
  <c r="U2002" i="15"/>
  <c r="U405" i="15"/>
  <c r="U1678" i="15"/>
  <c r="U1062" i="15"/>
  <c r="U1459" i="15"/>
  <c r="X1062" i="15"/>
  <c r="X1459" i="15"/>
  <c r="X309" i="15"/>
  <c r="X405" i="15"/>
  <c r="U315" i="15"/>
  <c r="U410" i="15"/>
  <c r="X315" i="15"/>
  <c r="X410" i="15"/>
  <c r="U309" i="15"/>
  <c r="DU436" i="7"/>
  <c r="DU444" i="7"/>
  <c r="DW436" i="7"/>
  <c r="DW444" i="7"/>
  <c r="DX436" i="7"/>
  <c r="DQ444" i="7"/>
  <c r="DX444" i="7"/>
  <c r="DY444" i="7"/>
  <c r="DY436" i="7"/>
  <c r="DQ436" i="7"/>
  <c r="MA446" i="7"/>
  <c r="LW446" i="7"/>
  <c r="LT446" i="7"/>
  <c r="KT446" i="7"/>
  <c r="KP446" i="7"/>
  <c r="JD446" i="7"/>
  <c r="IZ446" i="7"/>
  <c r="HH446" i="7"/>
  <c r="HF446" i="7"/>
  <c r="GX446" i="7"/>
  <c r="GT446" i="7"/>
  <c r="GJ446" i="7"/>
  <c r="GF446" i="7"/>
  <c r="GH446" i="7" s="1"/>
  <c r="EQ446" i="7"/>
  <c r="DS446" i="7"/>
  <c r="DR446" i="7"/>
  <c r="DO446" i="7"/>
  <c r="DN446" i="7"/>
  <c r="AY446" i="7"/>
  <c r="AX446" i="7"/>
  <c r="AU446" i="7"/>
  <c r="AT446" i="7"/>
  <c r="MA445" i="7"/>
  <c r="LW445" i="7"/>
  <c r="LT445" i="7"/>
  <c r="KT445" i="7"/>
  <c r="KP445" i="7"/>
  <c r="JD445" i="7"/>
  <c r="IZ445" i="7"/>
  <c r="HH445" i="7"/>
  <c r="HF445" i="7"/>
  <c r="GX445" i="7"/>
  <c r="GJ445" i="7"/>
  <c r="GF445" i="7"/>
  <c r="GH445" i="7" s="1"/>
  <c r="EV445" i="7"/>
  <c r="EU445" i="7"/>
  <c r="EQ445" i="7"/>
  <c r="DS445" i="7"/>
  <c r="DR445" i="7"/>
  <c r="DO445" i="7"/>
  <c r="DN445" i="7"/>
  <c r="AY445" i="7"/>
  <c r="AX445" i="7"/>
  <c r="AU445" i="7"/>
  <c r="AT445" i="7"/>
  <c r="Q445" i="7"/>
  <c r="W3060" i="15" l="1"/>
  <c r="W2863" i="15"/>
  <c r="W2552" i="15"/>
  <c r="W2003" i="15"/>
  <c r="W1484" i="15"/>
  <c r="W1139" i="15"/>
  <c r="W1063" i="15"/>
  <c r="W316" i="15"/>
  <c r="W411" i="15"/>
  <c r="X3061" i="15"/>
  <c r="X2864" i="15"/>
  <c r="X2553" i="15"/>
  <c r="X2004" i="15"/>
  <c r="X1485" i="15"/>
  <c r="X1318" i="15"/>
  <c r="X900" i="15"/>
  <c r="X317" i="15"/>
  <c r="X412" i="15"/>
  <c r="X3060" i="15"/>
  <c r="X2863" i="15"/>
  <c r="X2552" i="15"/>
  <c r="X2003" i="15"/>
  <c r="X1484" i="15"/>
  <c r="X1063" i="15"/>
  <c r="X1139" i="15"/>
  <c r="X411" i="15"/>
  <c r="X316" i="15"/>
  <c r="W3061" i="15"/>
  <c r="W2864" i="15"/>
  <c r="W2553" i="15"/>
  <c r="W2004" i="15"/>
  <c r="W1318" i="15"/>
  <c r="W1485" i="15"/>
  <c r="W900" i="15"/>
  <c r="W412" i="15"/>
  <c r="W317" i="15"/>
  <c r="DW445" i="7"/>
  <c r="U3060" i="15"/>
  <c r="U2863" i="15"/>
  <c r="U2552" i="15"/>
  <c r="U2003" i="15"/>
  <c r="U1484" i="15"/>
  <c r="U1139" i="15"/>
  <c r="U1063" i="15"/>
  <c r="U411" i="15"/>
  <c r="U316" i="15"/>
  <c r="T3061" i="15"/>
  <c r="T2864" i="15"/>
  <c r="T2553" i="15"/>
  <c r="T2004" i="15"/>
  <c r="T1485" i="15"/>
  <c r="T1318" i="15"/>
  <c r="T900" i="15"/>
  <c r="T412" i="15"/>
  <c r="T317" i="15"/>
  <c r="T3060" i="15"/>
  <c r="T2863" i="15"/>
  <c r="T2552" i="15"/>
  <c r="T2003" i="15"/>
  <c r="T1484" i="15"/>
  <c r="T1139" i="15"/>
  <c r="T1063" i="15"/>
  <c r="T411" i="15"/>
  <c r="T316" i="15"/>
  <c r="U3061" i="15"/>
  <c r="U2864" i="15"/>
  <c r="U2553" i="15"/>
  <c r="U2004" i="15"/>
  <c r="U1485" i="15"/>
  <c r="U900" i="15"/>
  <c r="U1318" i="15"/>
  <c r="U412" i="15"/>
  <c r="U317" i="15"/>
  <c r="DW446" i="7"/>
  <c r="LU445" i="7"/>
  <c r="LU446" i="7"/>
  <c r="DX446" i="7"/>
  <c r="DY446" i="7"/>
  <c r="DX445" i="7"/>
  <c r="DY445" i="7"/>
  <c r="HJ446" i="7"/>
  <c r="HL446" i="7"/>
  <c r="HJ445" i="7"/>
  <c r="HL445" i="7"/>
  <c r="LY445" i="7"/>
  <c r="BB445" i="7"/>
  <c r="LY446" i="7"/>
  <c r="BB446" i="7"/>
  <c r="BC445" i="7"/>
  <c r="BC446" i="7"/>
  <c r="GL446" i="7"/>
  <c r="GN446" i="7"/>
  <c r="GL445" i="7"/>
  <c r="GN445" i="7"/>
  <c r="AW445" i="7"/>
  <c r="DV446" i="7"/>
  <c r="LZ446" i="7"/>
  <c r="LZ445" i="7"/>
  <c r="LV446" i="7"/>
  <c r="AW446" i="7"/>
  <c r="DQ446" i="7"/>
  <c r="LV445" i="7"/>
  <c r="DV445" i="7"/>
  <c r="DU446" i="7"/>
  <c r="BA446" i="7"/>
  <c r="BA445" i="7"/>
  <c r="DU445" i="7"/>
  <c r="DQ445" i="7"/>
  <c r="Y414" i="15" l="1"/>
  <c r="X414" i="15"/>
  <c r="W414" i="15"/>
  <c r="MC446" i="7"/>
  <c r="LX445" i="7"/>
  <c r="MC445" i="7"/>
  <c r="LX446" i="7"/>
  <c r="MB445" i="7"/>
  <c r="MD445" i="7"/>
  <c r="MB446" i="7"/>
  <c r="MD446" i="7"/>
  <c r="EI420" i="7"/>
  <c r="EI421" i="7"/>
  <c r="EI424" i="7"/>
  <c r="EH424" i="7"/>
  <c r="EH421" i="7"/>
  <c r="EH420" i="7"/>
  <c r="DV423" i="7"/>
  <c r="DV424" i="7"/>
  <c r="DV422" i="7"/>
  <c r="DV421" i="7"/>
  <c r="DV420" i="7"/>
  <c r="DU421" i="7"/>
  <c r="DU422" i="7"/>
  <c r="DU423" i="7"/>
  <c r="DU424" i="7"/>
  <c r="DU420" i="7"/>
  <c r="DQ424" i="7"/>
  <c r="DQ423" i="7"/>
  <c r="DQ422" i="7"/>
  <c r="DQ421" i="7"/>
  <c r="DQ420" i="7"/>
  <c r="DI424" i="7"/>
  <c r="DI425" i="7"/>
  <c r="DH424" i="7"/>
  <c r="DH425" i="7"/>
  <c r="DD424" i="7"/>
  <c r="DD425" i="7"/>
  <c r="DI421" i="7"/>
  <c r="DI422" i="7"/>
  <c r="DI423" i="7"/>
  <c r="DH421" i="7"/>
  <c r="DH422" i="7"/>
  <c r="DH423" i="7"/>
  <c r="DD421" i="7"/>
  <c r="DD422" i="7"/>
  <c r="DD423" i="7"/>
  <c r="DI420" i="7"/>
  <c r="DH420" i="7"/>
  <c r="DD420" i="7"/>
  <c r="MA414" i="7" l="1"/>
  <c r="LW414" i="7"/>
  <c r="LT414" i="7"/>
  <c r="KT414" i="7"/>
  <c r="KP414" i="7"/>
  <c r="JD414" i="7"/>
  <c r="IZ414" i="7"/>
  <c r="HJ414" i="7"/>
  <c r="HF414" i="7"/>
  <c r="GX414" i="7"/>
  <c r="GT414" i="7"/>
  <c r="GJ414" i="7"/>
  <c r="GL414" i="7" s="1"/>
  <c r="GF414" i="7"/>
  <c r="EV414" i="7"/>
  <c r="EU414" i="7"/>
  <c r="EQ414" i="7"/>
  <c r="DS414" i="7"/>
  <c r="DR414" i="7"/>
  <c r="DO414" i="7"/>
  <c r="DN414" i="7"/>
  <c r="AY414" i="7"/>
  <c r="AX414" i="7"/>
  <c r="AU414" i="7"/>
  <c r="AT414" i="7"/>
  <c r="AJ414" i="7"/>
  <c r="AE414" i="7"/>
  <c r="AK414" i="7" s="1"/>
  <c r="Q414" i="7"/>
  <c r="W3057" i="15" l="1"/>
  <c r="W2839" i="15"/>
  <c r="W2551" i="15"/>
  <c r="W2121" i="15"/>
  <c r="W1483" i="15"/>
  <c r="W1138" i="15"/>
  <c r="W896" i="15"/>
  <c r="W572" i="15"/>
  <c r="W291" i="15"/>
  <c r="X2839" i="15"/>
  <c r="X3057" i="15"/>
  <c r="X2551" i="15"/>
  <c r="X2121" i="15"/>
  <c r="X1483" i="15"/>
  <c r="X1138" i="15"/>
  <c r="X896" i="15"/>
  <c r="X572" i="15"/>
  <c r="X291" i="15"/>
  <c r="U3057" i="15"/>
  <c r="U2839" i="15"/>
  <c r="U2551" i="15"/>
  <c r="U2121" i="15"/>
  <c r="U1483" i="15"/>
  <c r="U896" i="15"/>
  <c r="U1138" i="15"/>
  <c r="U291" i="15"/>
  <c r="U572" i="15"/>
  <c r="T3057" i="15"/>
  <c r="T2839" i="15"/>
  <c r="T2551" i="15"/>
  <c r="T2121" i="15"/>
  <c r="T1483" i="15"/>
  <c r="T896" i="15"/>
  <c r="T1138" i="15"/>
  <c r="T572" i="15"/>
  <c r="T291" i="15"/>
  <c r="DW414" i="7"/>
  <c r="DY414" i="7"/>
  <c r="DX414" i="7"/>
  <c r="LU414" i="7"/>
  <c r="BC414" i="7"/>
  <c r="LY414" i="7"/>
  <c r="BB414" i="7"/>
  <c r="GH414" i="7"/>
  <c r="GN414" i="7"/>
  <c r="AW414" i="7"/>
  <c r="LZ414" i="7"/>
  <c r="DU414" i="7"/>
  <c r="LV414" i="7"/>
  <c r="DQ414" i="7"/>
  <c r="DV414" i="7"/>
  <c r="BA414" i="7"/>
  <c r="LX414" i="7" l="1"/>
  <c r="MC414" i="7"/>
  <c r="MB414" i="7"/>
  <c r="MD414" i="7"/>
  <c r="DE198" i="7" l="1"/>
  <c r="DE197" i="7"/>
  <c r="DA198" i="7"/>
  <c r="DA197" i="7"/>
  <c r="DE171" i="7"/>
  <c r="DE170" i="7"/>
  <c r="DE169" i="7"/>
  <c r="DE168" i="7"/>
  <c r="DA171" i="7"/>
  <c r="DA170" i="7"/>
  <c r="DA169" i="7"/>
  <c r="DA168" i="7"/>
  <c r="N3237" i="15" l="1"/>
  <c r="N2628" i="15"/>
  <c r="N2525" i="15"/>
  <c r="N1859" i="15"/>
  <c r="N1726" i="15"/>
  <c r="N1361" i="15"/>
  <c r="N761" i="15"/>
  <c r="N433" i="15"/>
  <c r="N53" i="15"/>
  <c r="Q3236" i="15"/>
  <c r="Q2627" i="15"/>
  <c r="Q2524" i="15"/>
  <c r="Q1858" i="15"/>
  <c r="Q1725" i="15"/>
  <c r="Q1360" i="15"/>
  <c r="Q992" i="15"/>
  <c r="Q432" i="15"/>
  <c r="Q52" i="15"/>
  <c r="N3238" i="15"/>
  <c r="N2629" i="15"/>
  <c r="N2526" i="15"/>
  <c r="N1860" i="15"/>
  <c r="N1727" i="15"/>
  <c r="N762" i="15"/>
  <c r="N1362" i="15"/>
  <c r="N54" i="15"/>
  <c r="N434" i="15"/>
  <c r="Q3237" i="15"/>
  <c r="Q2628" i="15"/>
  <c r="Q2525" i="15"/>
  <c r="Q1726" i="15"/>
  <c r="Q1859" i="15"/>
  <c r="Q1361" i="15"/>
  <c r="Q761" i="15"/>
  <c r="Q433" i="15"/>
  <c r="Q53" i="15"/>
  <c r="N3236" i="15"/>
  <c r="N2627" i="15"/>
  <c r="N2524" i="15"/>
  <c r="N1725" i="15"/>
  <c r="N1858" i="15"/>
  <c r="N1360" i="15"/>
  <c r="N992" i="15"/>
  <c r="N432" i="15"/>
  <c r="N52" i="15"/>
  <c r="Q3238" i="15"/>
  <c r="Q2629" i="15"/>
  <c r="Q2526" i="15"/>
  <c r="Q1860" i="15"/>
  <c r="Q1727" i="15"/>
  <c r="Q1362" i="15"/>
  <c r="Q762" i="15"/>
  <c r="Q54" i="15"/>
  <c r="Q434" i="15"/>
  <c r="N3239" i="15"/>
  <c r="N2630" i="15"/>
  <c r="N2527" i="15"/>
  <c r="N1861" i="15"/>
  <c r="N1728" i="15"/>
  <c r="N1363" i="15"/>
  <c r="N763" i="15"/>
  <c r="N435" i="15"/>
  <c r="N55" i="15"/>
  <c r="Q3239" i="15"/>
  <c r="Q2630" i="15"/>
  <c r="Q2527" i="15"/>
  <c r="Q1861" i="15"/>
  <c r="Q1728" i="15"/>
  <c r="Q1363" i="15"/>
  <c r="Q763" i="15"/>
  <c r="Q435" i="15"/>
  <c r="Q55" i="15"/>
  <c r="DB197" i="7"/>
  <c r="O2631" i="15" s="1"/>
  <c r="N3099" i="15"/>
  <c r="N2631" i="15"/>
  <c r="N2416" i="15"/>
  <c r="N1729" i="15"/>
  <c r="N1862" i="15"/>
  <c r="N1115" i="15"/>
  <c r="N764" i="15"/>
  <c r="N684" i="15"/>
  <c r="N56" i="15"/>
  <c r="DB198" i="7"/>
  <c r="N3100" i="15"/>
  <c r="N2632" i="15"/>
  <c r="N2417" i="15"/>
  <c r="N1863" i="15"/>
  <c r="N1730" i="15"/>
  <c r="N765" i="15"/>
  <c r="N1116" i="15"/>
  <c r="N685" i="15"/>
  <c r="N57" i="15"/>
  <c r="DF197" i="7"/>
  <c r="R1862" i="15" s="1"/>
  <c r="Q3099" i="15"/>
  <c r="Q2631" i="15"/>
  <c r="Q2416" i="15"/>
  <c r="Q1729" i="15"/>
  <c r="Q1862" i="15"/>
  <c r="Q1115" i="15"/>
  <c r="Q764" i="15"/>
  <c r="Q684" i="15"/>
  <c r="Q56" i="15"/>
  <c r="DF198" i="7"/>
  <c r="R3100" i="15" s="1"/>
  <c r="Q3100" i="15"/>
  <c r="Q2632" i="15"/>
  <c r="Q2417" i="15"/>
  <c r="Q1730" i="15"/>
  <c r="Q1863" i="15"/>
  <c r="Q1116" i="15"/>
  <c r="Q685" i="15"/>
  <c r="Q765" i="15"/>
  <c r="Q57" i="15"/>
  <c r="O2416" i="15" l="1"/>
  <c r="O764" i="15"/>
  <c r="R685" i="15"/>
  <c r="R1116" i="15"/>
  <c r="R1863" i="15"/>
  <c r="R2632" i="15"/>
  <c r="O57" i="15"/>
  <c r="R57" i="15"/>
  <c r="R765" i="15"/>
  <c r="R1730" i="15"/>
  <c r="R2417" i="15"/>
  <c r="R1729" i="15"/>
  <c r="DK198" i="7"/>
  <c r="R684" i="15"/>
  <c r="R1115" i="15"/>
  <c r="O1863" i="15"/>
  <c r="R2631" i="15"/>
  <c r="DL198" i="7"/>
  <c r="R56" i="15"/>
  <c r="R764" i="15"/>
  <c r="O1730" i="15"/>
  <c r="R2416" i="15"/>
  <c r="R3099" i="15"/>
  <c r="DL197" i="7"/>
  <c r="O684" i="15"/>
  <c r="O1116" i="15"/>
  <c r="O1862" i="15"/>
  <c r="O2632" i="15"/>
  <c r="O3100" i="15"/>
  <c r="DK197" i="7"/>
  <c r="O56" i="15"/>
  <c r="O765" i="15"/>
  <c r="O1729" i="15"/>
  <c r="O2417" i="15"/>
  <c r="O3099" i="15"/>
  <c r="DJ198" i="7"/>
  <c r="DJ197" i="7"/>
  <c r="O685" i="15"/>
  <c r="O1115" i="15"/>
  <c r="LU410" i="7" l="1"/>
  <c r="LY410" i="7"/>
  <c r="DE415" i="7"/>
  <c r="DA415" i="7"/>
  <c r="DF415" i="7" l="1"/>
  <c r="R3122" i="15" s="1"/>
  <c r="Q3122" i="15"/>
  <c r="Q2681" i="15"/>
  <c r="Q2280" i="15"/>
  <c r="Q2065" i="15"/>
  <c r="Q1529" i="15"/>
  <c r="Q1179" i="15"/>
  <c r="Q1002" i="15"/>
  <c r="Q723" i="15"/>
  <c r="Q115" i="15"/>
  <c r="N3122" i="15"/>
  <c r="N2681" i="15"/>
  <c r="N2065" i="15"/>
  <c r="N1529" i="15"/>
  <c r="N2280" i="15"/>
  <c r="N1179" i="15"/>
  <c r="N1002" i="15"/>
  <c r="N723" i="15"/>
  <c r="N115" i="15"/>
  <c r="DF447" i="7"/>
  <c r="R3124" i="15" s="1"/>
  <c r="DB415" i="7"/>
  <c r="DB447" i="7"/>
  <c r="MC410" i="7"/>
  <c r="R1179" i="15" l="1"/>
  <c r="R2065" i="15"/>
  <c r="R1529" i="15"/>
  <c r="R1002" i="15"/>
  <c r="R2681" i="15"/>
  <c r="R2280" i="15"/>
  <c r="R723" i="15"/>
  <c r="R115" i="15"/>
  <c r="O2681" i="15"/>
  <c r="O3122" i="15"/>
  <c r="O2572" i="15"/>
  <c r="O3124" i="15"/>
  <c r="R2288" i="15"/>
  <c r="R2572" i="15"/>
  <c r="O2065" i="15"/>
  <c r="O2280" i="15"/>
  <c r="O2070" i="15"/>
  <c r="O2288" i="15"/>
  <c r="R1751" i="15"/>
  <c r="R2070" i="15"/>
  <c r="O1372" i="15"/>
  <c r="O1751" i="15"/>
  <c r="O1179" i="15"/>
  <c r="O1529" i="15"/>
  <c r="R796" i="15"/>
  <c r="R1372" i="15"/>
  <c r="O723" i="15"/>
  <c r="O1002" i="15"/>
  <c r="O606" i="15"/>
  <c r="O796" i="15"/>
  <c r="R128" i="15"/>
  <c r="R606" i="15"/>
  <c r="DJ415" i="7"/>
  <c r="O115" i="15"/>
  <c r="O128" i="15"/>
  <c r="DH447" i="7"/>
  <c r="DK415" i="7"/>
  <c r="DL415" i="7"/>
  <c r="DD447" i="7"/>
  <c r="DL447" i="7"/>
  <c r="DJ447" i="7"/>
  <c r="DK447" i="7"/>
  <c r="DH415" i="7" l="1"/>
  <c r="CE415" i="7"/>
  <c r="CA415" i="7"/>
  <c r="CS413" i="7"/>
  <c r="CR413" i="7"/>
  <c r="CN413" i="7"/>
  <c r="CE413" i="7"/>
  <c r="CR412" i="7"/>
  <c r="CN412" i="7"/>
  <c r="CE412" i="7"/>
  <c r="CB412" i="7"/>
  <c r="CA412" i="7"/>
  <c r="CA413" i="7"/>
  <c r="CR408" i="7"/>
  <c r="CR407" i="7"/>
  <c r="CN408" i="7"/>
  <c r="CN407" i="7"/>
  <c r="CE407" i="7"/>
  <c r="CR406" i="7"/>
  <c r="CR405" i="7"/>
  <c r="CR404" i="7"/>
  <c r="CN406" i="7"/>
  <c r="CN405" i="7"/>
  <c r="CN404" i="7"/>
  <c r="CE404" i="7"/>
  <c r="CE408" i="7"/>
  <c r="CA408" i="7"/>
  <c r="CA407" i="7"/>
  <c r="CE406" i="7"/>
  <c r="CE405" i="7"/>
  <c r="CA406" i="7"/>
  <c r="CA405" i="7"/>
  <c r="CA404" i="7"/>
  <c r="E3240" i="15" l="1"/>
  <c r="E2567" i="15"/>
  <c r="E2441" i="15"/>
  <c r="E1863" i="15"/>
  <c r="E1727" i="15"/>
  <c r="E1173" i="15"/>
  <c r="E709" i="15"/>
  <c r="E74" i="15"/>
  <c r="B3240" i="15"/>
  <c r="B2567" i="15"/>
  <c r="B2441" i="15"/>
  <c r="B1863" i="15"/>
  <c r="B1727" i="15"/>
  <c r="B1173" i="15"/>
  <c r="B709" i="15"/>
  <c r="B74" i="15"/>
  <c r="H2939" i="15"/>
  <c r="H2566" i="15"/>
  <c r="H2440" i="15"/>
  <c r="H1862" i="15"/>
  <c r="H1726" i="15"/>
  <c r="H1172" i="15"/>
  <c r="H708" i="15"/>
  <c r="H73" i="15"/>
  <c r="H2940" i="15"/>
  <c r="H2570" i="15"/>
  <c r="H2444" i="15"/>
  <c r="H1866" i="15"/>
  <c r="H1730" i="15"/>
  <c r="H1176" i="15"/>
  <c r="H77" i="15"/>
  <c r="H712" i="15"/>
  <c r="K3112" i="15"/>
  <c r="K2650" i="15"/>
  <c r="K2445" i="15"/>
  <c r="K1867" i="15"/>
  <c r="K1731" i="15"/>
  <c r="K1118" i="15"/>
  <c r="K713" i="15"/>
  <c r="K777" i="15"/>
  <c r="K78" i="15"/>
  <c r="H3240" i="15"/>
  <c r="H2567" i="15"/>
  <c r="H2441" i="15"/>
  <c r="H1863" i="15"/>
  <c r="H1727" i="15"/>
  <c r="H1173" i="15"/>
  <c r="H709" i="15"/>
  <c r="H74" i="15"/>
  <c r="K3242" i="15"/>
  <c r="K2569" i="15"/>
  <c r="K2443" i="15"/>
  <c r="K1865" i="15"/>
  <c r="K1729" i="15"/>
  <c r="K1175" i="15"/>
  <c r="K711" i="15"/>
  <c r="K76" i="15"/>
  <c r="E3113" i="15"/>
  <c r="E2651" i="15"/>
  <c r="E2446" i="15"/>
  <c r="E1868" i="15"/>
  <c r="E1732" i="15"/>
  <c r="E1177" i="15"/>
  <c r="E778" i="15"/>
  <c r="E714" i="15"/>
  <c r="E79" i="15"/>
  <c r="H3241" i="15"/>
  <c r="H2568" i="15"/>
  <c r="H2442" i="15"/>
  <c r="H1864" i="15"/>
  <c r="H1728" i="15"/>
  <c r="H1174" i="15"/>
  <c r="H710" i="15"/>
  <c r="H75" i="15"/>
  <c r="E3241" i="15"/>
  <c r="E2568" i="15"/>
  <c r="E2442" i="15"/>
  <c r="E1864" i="15"/>
  <c r="E1728" i="15"/>
  <c r="E1174" i="15"/>
  <c r="E710" i="15"/>
  <c r="E75" i="15"/>
  <c r="K2939" i="15"/>
  <c r="K2566" i="15"/>
  <c r="K2440" i="15"/>
  <c r="K1862" i="15"/>
  <c r="K1726" i="15"/>
  <c r="K1172" i="15"/>
  <c r="K708" i="15"/>
  <c r="K73" i="15"/>
  <c r="B3113" i="15"/>
  <c r="B2651" i="15"/>
  <c r="B2446" i="15"/>
  <c r="B1868" i="15"/>
  <c r="B1732" i="15"/>
  <c r="B1177" i="15"/>
  <c r="B778" i="15"/>
  <c r="B714" i="15"/>
  <c r="B79" i="15"/>
  <c r="K3113" i="15"/>
  <c r="K2651" i="15"/>
  <c r="K2446" i="15"/>
  <c r="K1868" i="15"/>
  <c r="K1732" i="15"/>
  <c r="K1177" i="15"/>
  <c r="K778" i="15"/>
  <c r="K714" i="15"/>
  <c r="K79" i="15"/>
  <c r="H3113" i="15"/>
  <c r="H2651" i="15"/>
  <c r="H2446" i="15"/>
  <c r="H1868" i="15"/>
  <c r="H1732" i="15"/>
  <c r="H1177" i="15"/>
  <c r="H778" i="15"/>
  <c r="H714" i="15"/>
  <c r="H79" i="15"/>
  <c r="B3242" i="15"/>
  <c r="B2569" i="15"/>
  <c r="B2443" i="15"/>
  <c r="B1865" i="15"/>
  <c r="B1729" i="15"/>
  <c r="B1175" i="15"/>
  <c r="B711" i="15"/>
  <c r="B76" i="15"/>
  <c r="K3240" i="15"/>
  <c r="K2567" i="15"/>
  <c r="K2441" i="15"/>
  <c r="K1863" i="15"/>
  <c r="K1727" i="15"/>
  <c r="K1173" i="15"/>
  <c r="K709" i="15"/>
  <c r="K74" i="15"/>
  <c r="B3112" i="15"/>
  <c r="B2650" i="15"/>
  <c r="B2445" i="15"/>
  <c r="B1867" i="15"/>
  <c r="B1731" i="15"/>
  <c r="B1118" i="15"/>
  <c r="B777" i="15"/>
  <c r="B713" i="15"/>
  <c r="B78" i="15"/>
  <c r="L3113" i="15"/>
  <c r="L2651" i="15"/>
  <c r="L2446" i="15"/>
  <c r="L1868" i="15"/>
  <c r="L1732" i="15"/>
  <c r="L1177" i="15"/>
  <c r="L778" i="15"/>
  <c r="L714" i="15"/>
  <c r="L79" i="15"/>
  <c r="B3241" i="15"/>
  <c r="B2568" i="15"/>
  <c r="B2442" i="15"/>
  <c r="B1864" i="15"/>
  <c r="B1728" i="15"/>
  <c r="B1174" i="15"/>
  <c r="B710" i="15"/>
  <c r="B75" i="15"/>
  <c r="B2940" i="15"/>
  <c r="B2570" i="15"/>
  <c r="B2444" i="15"/>
  <c r="B1866" i="15"/>
  <c r="B1730" i="15"/>
  <c r="B1176" i="15"/>
  <c r="B712" i="15"/>
  <c r="B77" i="15"/>
  <c r="K3241" i="15"/>
  <c r="K2568" i="15"/>
  <c r="K2442" i="15"/>
  <c r="K1864" i="15"/>
  <c r="K1728" i="15"/>
  <c r="K1174" i="15"/>
  <c r="K710" i="15"/>
  <c r="K75" i="15"/>
  <c r="C3112" i="15"/>
  <c r="C2650" i="15"/>
  <c r="C2445" i="15"/>
  <c r="C1867" i="15"/>
  <c r="C1731" i="15"/>
  <c r="C1118" i="15"/>
  <c r="C777" i="15"/>
  <c r="C713" i="15"/>
  <c r="C78" i="15"/>
  <c r="CB415" i="7"/>
  <c r="C3114" i="15" s="1"/>
  <c r="B3114" i="15"/>
  <c r="B2652" i="15"/>
  <c r="B2267" i="15"/>
  <c r="B2058" i="15"/>
  <c r="B1522" i="15"/>
  <c r="B1178" i="15"/>
  <c r="B993" i="15"/>
  <c r="B715" i="15"/>
  <c r="B80" i="15"/>
  <c r="E2940" i="15"/>
  <c r="E2570" i="15"/>
  <c r="E2444" i="15"/>
  <c r="E1866" i="15"/>
  <c r="E1730" i="15"/>
  <c r="E1176" i="15"/>
  <c r="E712" i="15"/>
  <c r="E77" i="15"/>
  <c r="E3242" i="15"/>
  <c r="E2569" i="15"/>
  <c r="E2443" i="15"/>
  <c r="E1865" i="15"/>
  <c r="E1729" i="15"/>
  <c r="E1175" i="15"/>
  <c r="E711" i="15"/>
  <c r="E76" i="15"/>
  <c r="E3112" i="15"/>
  <c r="E2650" i="15"/>
  <c r="E2445" i="15"/>
  <c r="E1867" i="15"/>
  <c r="E1731" i="15"/>
  <c r="E1118" i="15"/>
  <c r="E777" i="15"/>
  <c r="E713" i="15"/>
  <c r="E78" i="15"/>
  <c r="E3114" i="15"/>
  <c r="E2652" i="15"/>
  <c r="E2267" i="15"/>
  <c r="E2058" i="15"/>
  <c r="E1522" i="15"/>
  <c r="E1178" i="15"/>
  <c r="E993" i="15"/>
  <c r="E715" i="15"/>
  <c r="E80" i="15"/>
  <c r="K2940" i="15"/>
  <c r="K2570" i="15"/>
  <c r="K2444" i="15"/>
  <c r="K1866" i="15"/>
  <c r="K1730" i="15"/>
  <c r="K1176" i="15"/>
  <c r="K712" i="15"/>
  <c r="K77" i="15"/>
  <c r="B2939" i="15"/>
  <c r="B2566" i="15"/>
  <c r="B2440" i="15"/>
  <c r="B1862" i="15"/>
  <c r="B1726" i="15"/>
  <c r="B708" i="15"/>
  <c r="B1172" i="15"/>
  <c r="B73" i="15"/>
  <c r="E2939" i="15"/>
  <c r="E2566" i="15"/>
  <c r="E2440" i="15"/>
  <c r="E1862" i="15"/>
  <c r="E1726" i="15"/>
  <c r="E1172" i="15"/>
  <c r="E73" i="15"/>
  <c r="E708" i="15"/>
  <c r="H3242" i="15"/>
  <c r="H2569" i="15"/>
  <c r="H2443" i="15"/>
  <c r="H1865" i="15"/>
  <c r="H1729" i="15"/>
  <c r="H1175" i="15"/>
  <c r="H711" i="15"/>
  <c r="H76" i="15"/>
  <c r="H3112" i="15"/>
  <c r="H2650" i="15"/>
  <c r="H2445" i="15"/>
  <c r="H1867" i="15"/>
  <c r="H1731" i="15"/>
  <c r="H1118" i="15"/>
  <c r="H713" i="15"/>
  <c r="H777" i="15"/>
  <c r="H78" i="15"/>
  <c r="CB406" i="7"/>
  <c r="CO405" i="7"/>
  <c r="CS407" i="7"/>
  <c r="L3242" i="15" s="1"/>
  <c r="CF413" i="7"/>
  <c r="F3113" i="15" s="1"/>
  <c r="CF405" i="7"/>
  <c r="F3240" i="15" s="1"/>
  <c r="CO406" i="7"/>
  <c r="CS408" i="7"/>
  <c r="L2940" i="15" s="1"/>
  <c r="CO413" i="7"/>
  <c r="CF406" i="7"/>
  <c r="F3241" i="15" s="1"/>
  <c r="CS404" i="7"/>
  <c r="L2939" i="15" s="1"/>
  <c r="CB413" i="7"/>
  <c r="C3113" i="15" s="1"/>
  <c r="CB407" i="7"/>
  <c r="CS405" i="7"/>
  <c r="L3240" i="15" s="1"/>
  <c r="CS406" i="7"/>
  <c r="L3241" i="15" s="1"/>
  <c r="CB408" i="7"/>
  <c r="CF408" i="7"/>
  <c r="F2940" i="15" s="1"/>
  <c r="CF407" i="7"/>
  <c r="F3242" i="15" s="1"/>
  <c r="CF412" i="7"/>
  <c r="CF415" i="7"/>
  <c r="CB404" i="7"/>
  <c r="CF404" i="7"/>
  <c r="F2939" i="15" s="1"/>
  <c r="CO407" i="7"/>
  <c r="CO412" i="7"/>
  <c r="I3112" i="15" s="1"/>
  <c r="CB405" i="7"/>
  <c r="CO404" i="7"/>
  <c r="CO408" i="7"/>
  <c r="CS412" i="7"/>
  <c r="CR415" i="7"/>
  <c r="K3114" i="15" s="1"/>
  <c r="DR400" i="7"/>
  <c r="DN400" i="7"/>
  <c r="DE400" i="7"/>
  <c r="DA400" i="7"/>
  <c r="DV389" i="7"/>
  <c r="CR349" i="7"/>
  <c r="CR348" i="7"/>
  <c r="CN350" i="7"/>
  <c r="CN349" i="7"/>
  <c r="CN348" i="7"/>
  <c r="CE350" i="7"/>
  <c r="CE349" i="7"/>
  <c r="CE348" i="7"/>
  <c r="CA348" i="7"/>
  <c r="CA350" i="7"/>
  <c r="CA349" i="7"/>
  <c r="CA347" i="7"/>
  <c r="DR346" i="7"/>
  <c r="DR345" i="7"/>
  <c r="DN347" i="7"/>
  <c r="DN346" i="7"/>
  <c r="DN345" i="7"/>
  <c r="CA345" i="7"/>
  <c r="DR344" i="7"/>
  <c r="DR343" i="7"/>
  <c r="DR342" i="7"/>
  <c r="DN344" i="7"/>
  <c r="DN343" i="7"/>
  <c r="DN342" i="7"/>
  <c r="CN342" i="7"/>
  <c r="DR341" i="7"/>
  <c r="DR340" i="7"/>
  <c r="DR339" i="7"/>
  <c r="DN341" i="7"/>
  <c r="DN340" i="7"/>
  <c r="DN339" i="7"/>
  <c r="CN339" i="7"/>
  <c r="CR347" i="7"/>
  <c r="CR346" i="7"/>
  <c r="CR345" i="7"/>
  <c r="CN347" i="7"/>
  <c r="CN346" i="7"/>
  <c r="CN345" i="7"/>
  <c r="CR344" i="7"/>
  <c r="CR343" i="7"/>
  <c r="CR342" i="7"/>
  <c r="CN344" i="7"/>
  <c r="CN343" i="7"/>
  <c r="CR341" i="7"/>
  <c r="CR340" i="7"/>
  <c r="CR339" i="7"/>
  <c r="CN341" i="7"/>
  <c r="CN340" i="7"/>
  <c r="CE339" i="7"/>
  <c r="CE347" i="7"/>
  <c r="CE346" i="7"/>
  <c r="CE345" i="7"/>
  <c r="CA346" i="7"/>
  <c r="CA344" i="7"/>
  <c r="CE344" i="7"/>
  <c r="CE343" i="7"/>
  <c r="CE342" i="7"/>
  <c r="CA343" i="7"/>
  <c r="CA342" i="7"/>
  <c r="CE341" i="7"/>
  <c r="CA341" i="7"/>
  <c r="CE340" i="7"/>
  <c r="CA340" i="7"/>
  <c r="CA339" i="7"/>
  <c r="DR315" i="7"/>
  <c r="DR314" i="7"/>
  <c r="DR313" i="7"/>
  <c r="DR312" i="7"/>
  <c r="DR311" i="7"/>
  <c r="DR310" i="7"/>
  <c r="DR309" i="7"/>
  <c r="DR308" i="7"/>
  <c r="DR307" i="7"/>
  <c r="DR306" i="7"/>
  <c r="DR305" i="7"/>
  <c r="DR304" i="7"/>
  <c r="DR303" i="7"/>
  <c r="DR302" i="7"/>
  <c r="DR301" i="7"/>
  <c r="DR300" i="7"/>
  <c r="DR299" i="7"/>
  <c r="DR298" i="7"/>
  <c r="DR297" i="7"/>
  <c r="DR296" i="7"/>
  <c r="DR295" i="7"/>
  <c r="DR294" i="7"/>
  <c r="DR293" i="7"/>
  <c r="DR292" i="7"/>
  <c r="DR291" i="7"/>
  <c r="DR290" i="7"/>
  <c r="DR289" i="7"/>
  <c r="DR288" i="7"/>
  <c r="DR287" i="7"/>
  <c r="DR286" i="7"/>
  <c r="DR285" i="7"/>
  <c r="DR284" i="7"/>
  <c r="DR283" i="7"/>
  <c r="DR282" i="7"/>
  <c r="DR281" i="7"/>
  <c r="DR280" i="7"/>
  <c r="DN295" i="7"/>
  <c r="DN294" i="7"/>
  <c r="DN293" i="7"/>
  <c r="DO292" i="7"/>
  <c r="DN292" i="7"/>
  <c r="DN291" i="7"/>
  <c r="DN290" i="7"/>
  <c r="DN289" i="7"/>
  <c r="DN288" i="7"/>
  <c r="DN287" i="7"/>
  <c r="DN286" i="7"/>
  <c r="DN285" i="7"/>
  <c r="DN284" i="7"/>
  <c r="DN283" i="7"/>
  <c r="DN282" i="7"/>
  <c r="DN281" i="7"/>
  <c r="DN280" i="7"/>
  <c r="DN315" i="7"/>
  <c r="DN314" i="7"/>
  <c r="DN313" i="7"/>
  <c r="DN312" i="7"/>
  <c r="DN311" i="7"/>
  <c r="DN310" i="7"/>
  <c r="DN309" i="7"/>
  <c r="DN308" i="7"/>
  <c r="DN307" i="7"/>
  <c r="DN306" i="7"/>
  <c r="DN305" i="7"/>
  <c r="DN304" i="7"/>
  <c r="DN303" i="7"/>
  <c r="DN302" i="7"/>
  <c r="DN301" i="7"/>
  <c r="DN300" i="7"/>
  <c r="DN299" i="7"/>
  <c r="DN298" i="7"/>
  <c r="DN297" i="7"/>
  <c r="DN296" i="7"/>
  <c r="DE270" i="7"/>
  <c r="DA270" i="7"/>
  <c r="DR270" i="7"/>
  <c r="DN270" i="7"/>
  <c r="DN196" i="7"/>
  <c r="DR196" i="7"/>
  <c r="DR195" i="7"/>
  <c r="DN186" i="7"/>
  <c r="DN185" i="7"/>
  <c r="DR193" i="7"/>
  <c r="DR192" i="7"/>
  <c r="DR191" i="7"/>
  <c r="DR190" i="7"/>
  <c r="DR189" i="7"/>
  <c r="DR188" i="7"/>
  <c r="DR187" i="7"/>
  <c r="DR186" i="7"/>
  <c r="DR185" i="7"/>
  <c r="DR184" i="7"/>
  <c r="DR183" i="7"/>
  <c r="DR182" i="7"/>
  <c r="DN183" i="7"/>
  <c r="DN182" i="7"/>
  <c r="DN168" i="7"/>
  <c r="DO167" i="7"/>
  <c r="DN167" i="7"/>
  <c r="EE165" i="7"/>
  <c r="EE164" i="7"/>
  <c r="EA165" i="7"/>
  <c r="EA164" i="7"/>
  <c r="EE163" i="7"/>
  <c r="EA163" i="7"/>
  <c r="EE162" i="7"/>
  <c r="EA162" i="7"/>
  <c r="EE127" i="7"/>
  <c r="EA127" i="7"/>
  <c r="EA125" i="7"/>
  <c r="EE126" i="7"/>
  <c r="EA126" i="7"/>
  <c r="EE125" i="7"/>
  <c r="EA117" i="7"/>
  <c r="EE124" i="7"/>
  <c r="EA124" i="7"/>
  <c r="EE123" i="7"/>
  <c r="EA123" i="7"/>
  <c r="EA121" i="7"/>
  <c r="EE122" i="7"/>
  <c r="EA122" i="7"/>
  <c r="EE121" i="7"/>
  <c r="EE120" i="7"/>
  <c r="EA120" i="7"/>
  <c r="EE119" i="7"/>
  <c r="EA119" i="7"/>
  <c r="EA115" i="7"/>
  <c r="EE118" i="7"/>
  <c r="EA118" i="7"/>
  <c r="EA114" i="7"/>
  <c r="EE117" i="7"/>
  <c r="EA113" i="7"/>
  <c r="EE116" i="7"/>
  <c r="EA116" i="7"/>
  <c r="EE115" i="7"/>
  <c r="EE114" i="7"/>
  <c r="EE113" i="7"/>
  <c r="EE112" i="7"/>
  <c r="EA112" i="7"/>
  <c r="C715" i="15" l="1"/>
  <c r="C80" i="15"/>
  <c r="C1178" i="15"/>
  <c r="C993" i="15"/>
  <c r="AC2618" i="15"/>
  <c r="AC1866" i="15"/>
  <c r="AC1509" i="15"/>
  <c r="AC1152" i="15"/>
  <c r="AC975" i="15"/>
  <c r="AC366" i="15"/>
  <c r="AC38" i="15"/>
  <c r="Z2620" i="15"/>
  <c r="Z1872" i="15"/>
  <c r="Z1515" i="15"/>
  <c r="Z981" i="15"/>
  <c r="Z1158" i="15"/>
  <c r="Z372" i="15"/>
  <c r="Z44" i="15"/>
  <c r="AC2569" i="15"/>
  <c r="AC1877" i="15"/>
  <c r="AC1520" i="15"/>
  <c r="AC1163" i="15"/>
  <c r="AC986" i="15"/>
  <c r="AC49" i="15"/>
  <c r="AC377" i="15"/>
  <c r="Z3073" i="15"/>
  <c r="Z2649" i="15"/>
  <c r="Z2201" i="15"/>
  <c r="Z1896" i="15"/>
  <c r="Z1532" i="15"/>
  <c r="Z1115" i="15"/>
  <c r="Z786" i="15"/>
  <c r="Z613" i="15"/>
  <c r="Z85" i="15"/>
  <c r="T2972" i="15"/>
  <c r="T2575" i="15"/>
  <c r="T2442" i="15"/>
  <c r="T1930" i="15"/>
  <c r="T1568" i="15"/>
  <c r="T1383" i="15"/>
  <c r="T620" i="15"/>
  <c r="T1019" i="15"/>
  <c r="T149" i="15"/>
  <c r="DS188" i="7"/>
  <c r="X2977" i="15" s="1"/>
  <c r="W2977" i="15"/>
  <c r="W2578" i="15"/>
  <c r="W2448" i="15"/>
  <c r="W1936" i="15"/>
  <c r="W1574" i="15"/>
  <c r="W1389" i="15"/>
  <c r="W1025" i="15"/>
  <c r="W626" i="15"/>
  <c r="W155" i="15"/>
  <c r="DS195" i="7"/>
  <c r="W3110" i="15"/>
  <c r="W2714" i="15"/>
  <c r="W2454" i="15"/>
  <c r="W1943" i="15"/>
  <c r="W1745" i="15"/>
  <c r="W1121" i="15"/>
  <c r="W809" i="15"/>
  <c r="W679" i="15"/>
  <c r="W162" i="15"/>
  <c r="T3146" i="15"/>
  <c r="T2769" i="15"/>
  <c r="T2301" i="15"/>
  <c r="T2069" i="15"/>
  <c r="T1617" i="15"/>
  <c r="T1206" i="15"/>
  <c r="T844" i="15"/>
  <c r="T218" i="15"/>
  <c r="T524" i="15"/>
  <c r="T3154" i="15"/>
  <c r="T2777" i="15"/>
  <c r="T2309" i="15"/>
  <c r="T2077" i="15"/>
  <c r="T1625" i="15"/>
  <c r="T1214" i="15"/>
  <c r="T1047" i="15"/>
  <c r="T226" i="15"/>
  <c r="T532" i="15"/>
  <c r="T3162" i="15"/>
  <c r="T2785" i="15"/>
  <c r="T2317" i="15"/>
  <c r="T2085" i="15"/>
  <c r="T1633" i="15"/>
  <c r="T1222" i="15"/>
  <c r="T1053" i="15"/>
  <c r="T540" i="15"/>
  <c r="T234" i="15"/>
  <c r="T3134" i="15"/>
  <c r="T2757" i="15"/>
  <c r="T2469" i="15"/>
  <c r="T1959" i="15"/>
  <c r="T1605" i="15"/>
  <c r="T1194" i="15"/>
  <c r="T512" i="15"/>
  <c r="T206" i="15"/>
  <c r="T835" i="15"/>
  <c r="U3141" i="15"/>
  <c r="U2764" i="15"/>
  <c r="U2296" i="15"/>
  <c r="U2064" i="15"/>
  <c r="U1612" i="15"/>
  <c r="U1201" i="15"/>
  <c r="U839" i="15"/>
  <c r="U519" i="15"/>
  <c r="U213" i="15"/>
  <c r="DS284" i="7"/>
  <c r="X3133" i="15" s="1"/>
  <c r="W3133" i="15"/>
  <c r="W2756" i="15"/>
  <c r="W2468" i="15"/>
  <c r="W1604" i="15"/>
  <c r="W1958" i="15"/>
  <c r="W1193" i="15"/>
  <c r="W1043" i="15"/>
  <c r="W511" i="15"/>
  <c r="W205" i="15"/>
  <c r="DS292" i="7"/>
  <c r="X3141" i="15" s="1"/>
  <c r="W3141" i="15"/>
  <c r="W2764" i="15"/>
  <c r="W2296" i="15"/>
  <c r="W2064" i="15"/>
  <c r="W1612" i="15"/>
  <c r="W1201" i="15"/>
  <c r="W839" i="15"/>
  <c r="W519" i="15"/>
  <c r="W213" i="15"/>
  <c r="DS300" i="7"/>
  <c r="X3149" i="15" s="1"/>
  <c r="W3149" i="15"/>
  <c r="W2772" i="15"/>
  <c r="W2304" i="15"/>
  <c r="W2072" i="15"/>
  <c r="W1620" i="15"/>
  <c r="W1209" i="15"/>
  <c r="W847" i="15"/>
  <c r="W527" i="15"/>
  <c r="W221" i="15"/>
  <c r="DS308" i="7"/>
  <c r="X3157" i="15" s="1"/>
  <c r="W3157" i="15"/>
  <c r="W2780" i="15"/>
  <c r="W2312" i="15"/>
  <c r="W2080" i="15"/>
  <c r="W1628" i="15"/>
  <c r="W1217" i="15"/>
  <c r="W852" i="15"/>
  <c r="W535" i="15"/>
  <c r="W229" i="15"/>
  <c r="B3100" i="15"/>
  <c r="B2629" i="15"/>
  <c r="B2422" i="15"/>
  <c r="B2037" i="15"/>
  <c r="B1501" i="15"/>
  <c r="B1115" i="15"/>
  <c r="B690" i="15"/>
  <c r="B758" i="15"/>
  <c r="B49" i="15"/>
  <c r="E3104" i="15"/>
  <c r="E2633" i="15"/>
  <c r="E2426" i="15"/>
  <c r="E1505" i="15"/>
  <c r="E2041" i="15"/>
  <c r="E1161" i="15"/>
  <c r="E694" i="15"/>
  <c r="E762" i="15"/>
  <c r="E53" i="15"/>
  <c r="H3101" i="15"/>
  <c r="H2630" i="15"/>
  <c r="H2423" i="15"/>
  <c r="H2038" i="15"/>
  <c r="H1502" i="15"/>
  <c r="H1159" i="15"/>
  <c r="H759" i="15"/>
  <c r="H691" i="15"/>
  <c r="H50" i="15"/>
  <c r="K3104" i="15"/>
  <c r="K2426" i="15"/>
  <c r="K2633" i="15"/>
  <c r="K2041" i="15"/>
  <c r="K1505" i="15"/>
  <c r="K1161" i="15"/>
  <c r="K762" i="15"/>
  <c r="K694" i="15"/>
  <c r="K53" i="15"/>
  <c r="H3100" i="15"/>
  <c r="H2629" i="15"/>
  <c r="H2422" i="15"/>
  <c r="H2037" i="15"/>
  <c r="H1501" i="15"/>
  <c r="H1115" i="15"/>
  <c r="H690" i="15"/>
  <c r="H758" i="15"/>
  <c r="H49" i="15"/>
  <c r="T3173" i="15"/>
  <c r="T2814" i="15"/>
  <c r="T2487" i="15"/>
  <c r="T2104" i="15"/>
  <c r="T1647" i="15"/>
  <c r="T879" i="15"/>
  <c r="T705" i="15"/>
  <c r="T1134" i="15"/>
  <c r="T263" i="15"/>
  <c r="T3009" i="15"/>
  <c r="T2818" i="15"/>
  <c r="T2491" i="15"/>
  <c r="T2108" i="15"/>
  <c r="T1651" i="15"/>
  <c r="T1233" i="15"/>
  <c r="T883" i="15"/>
  <c r="T709" i="15"/>
  <c r="T267" i="15"/>
  <c r="E3106" i="15"/>
  <c r="E2638" i="15"/>
  <c r="E2431" i="15"/>
  <c r="E2046" i="15"/>
  <c r="E1510" i="15"/>
  <c r="E699" i="15"/>
  <c r="E1165" i="15"/>
  <c r="E767" i="15"/>
  <c r="E58" i="15"/>
  <c r="AC2616" i="15"/>
  <c r="AC1864" i="15"/>
  <c r="AC1507" i="15"/>
  <c r="AC1150" i="15"/>
  <c r="AC973" i="15"/>
  <c r="AC36" i="15"/>
  <c r="AC364" i="15"/>
  <c r="Z2567" i="15"/>
  <c r="Z1873" i="15"/>
  <c r="Z1516" i="15"/>
  <c r="Z1159" i="15"/>
  <c r="Z982" i="15"/>
  <c r="Z45" i="15"/>
  <c r="Z373" i="15"/>
  <c r="Z2568" i="15"/>
  <c r="Z1874" i="15"/>
  <c r="Z1517" i="15"/>
  <c r="Z1160" i="15"/>
  <c r="Z983" i="15"/>
  <c r="Z374" i="15"/>
  <c r="Z46" i="15"/>
  <c r="Z2622" i="15"/>
  <c r="Z1876" i="15"/>
  <c r="Z1519" i="15"/>
  <c r="Z985" i="15"/>
  <c r="Z1162" i="15"/>
  <c r="Z376" i="15"/>
  <c r="Z48" i="15"/>
  <c r="Z3074" i="15"/>
  <c r="Z2650" i="15"/>
  <c r="Z2202" i="15"/>
  <c r="Z1897" i="15"/>
  <c r="Z1533" i="15"/>
  <c r="Z1116" i="15"/>
  <c r="Z787" i="15"/>
  <c r="Z614" i="15"/>
  <c r="Z86" i="15"/>
  <c r="DO183" i="7"/>
  <c r="U3076" i="15" s="1"/>
  <c r="T3076" i="15"/>
  <c r="T2576" i="15"/>
  <c r="T2443" i="15"/>
  <c r="T1931" i="15"/>
  <c r="T1569" i="15"/>
  <c r="T1384" i="15"/>
  <c r="T1020" i="15"/>
  <c r="T621" i="15"/>
  <c r="T150" i="15"/>
  <c r="DS189" i="7"/>
  <c r="X2978" i="15" s="1"/>
  <c r="W2978" i="15"/>
  <c r="W2449" i="15"/>
  <c r="W2579" i="15"/>
  <c r="W1937" i="15"/>
  <c r="W1575" i="15"/>
  <c r="W1390" i="15"/>
  <c r="W1026" i="15"/>
  <c r="W627" i="15"/>
  <c r="W156" i="15"/>
  <c r="DS196" i="7"/>
  <c r="X3111" i="15" s="1"/>
  <c r="W3111" i="15"/>
  <c r="W2715" i="15"/>
  <c r="W2455" i="15"/>
  <c r="W1944" i="15"/>
  <c r="W1746" i="15"/>
  <c r="W1185" i="15"/>
  <c r="W810" i="15"/>
  <c r="W680" i="15"/>
  <c r="W163" i="15"/>
  <c r="T3147" i="15"/>
  <c r="T2770" i="15"/>
  <c r="T2302" i="15"/>
  <c r="T2070" i="15"/>
  <c r="T1618" i="15"/>
  <c r="T1207" i="15"/>
  <c r="T845" i="15"/>
  <c r="T219" i="15"/>
  <c r="T525" i="15"/>
  <c r="T3155" i="15"/>
  <c r="T2778" i="15"/>
  <c r="T2310" i="15"/>
  <c r="T2078" i="15"/>
  <c r="T1626" i="15"/>
  <c r="T1215" i="15"/>
  <c r="T1048" i="15"/>
  <c r="T227" i="15"/>
  <c r="T533" i="15"/>
  <c r="T3163" i="15"/>
  <c r="T2786" i="15"/>
  <c r="T2318" i="15"/>
  <c r="T2086" i="15"/>
  <c r="T1634" i="15"/>
  <c r="T1223" i="15"/>
  <c r="T1054" i="15"/>
  <c r="T541" i="15"/>
  <c r="T235" i="15"/>
  <c r="T3135" i="15"/>
  <c r="T2758" i="15"/>
  <c r="T2470" i="15"/>
  <c r="T1960" i="15"/>
  <c r="T1606" i="15"/>
  <c r="T1195" i="15"/>
  <c r="T1044" i="15"/>
  <c r="T207" i="15"/>
  <c r="T513" i="15"/>
  <c r="T3142" i="15"/>
  <c r="T2765" i="15"/>
  <c r="T2297" i="15"/>
  <c r="T2065" i="15"/>
  <c r="T1613" i="15"/>
  <c r="T1202" i="15"/>
  <c r="T840" i="15"/>
  <c r="T214" i="15"/>
  <c r="T520" i="15"/>
  <c r="DS285" i="7"/>
  <c r="X3134" i="15" s="1"/>
  <c r="W3134" i="15"/>
  <c r="W2757" i="15"/>
  <c r="W2469" i="15"/>
  <c r="W1605" i="15"/>
  <c r="W1959" i="15"/>
  <c r="W1194" i="15"/>
  <c r="W835" i="15"/>
  <c r="W512" i="15"/>
  <c r="W206" i="15"/>
  <c r="DS293" i="7"/>
  <c r="X3142" i="15" s="1"/>
  <c r="W3142" i="15"/>
  <c r="W2765" i="15"/>
  <c r="W2297" i="15"/>
  <c r="W2065" i="15"/>
  <c r="W1613" i="15"/>
  <c r="W1202" i="15"/>
  <c r="W840" i="15"/>
  <c r="W520" i="15"/>
  <c r="W214" i="15"/>
  <c r="DS301" i="7"/>
  <c r="X3150" i="15" s="1"/>
  <c r="W3150" i="15"/>
  <c r="W2773" i="15"/>
  <c r="W2305" i="15"/>
  <c r="W2073" i="15"/>
  <c r="W1621" i="15"/>
  <c r="W1210" i="15"/>
  <c r="W848" i="15"/>
  <c r="W528" i="15"/>
  <c r="W222" i="15"/>
  <c r="DS309" i="7"/>
  <c r="X2781" i="15" s="1"/>
  <c r="W3158" i="15"/>
  <c r="W2781" i="15"/>
  <c r="W2313" i="15"/>
  <c r="W2081" i="15"/>
  <c r="W1629" i="15"/>
  <c r="W1218" i="15"/>
  <c r="W1050" i="15"/>
  <c r="W536" i="15"/>
  <c r="W230" i="15"/>
  <c r="B3101" i="15"/>
  <c r="B2630" i="15"/>
  <c r="B2423" i="15"/>
  <c r="B2038" i="15"/>
  <c r="B1502" i="15"/>
  <c r="B759" i="15"/>
  <c r="B691" i="15"/>
  <c r="B1159" i="15"/>
  <c r="B50" i="15"/>
  <c r="E3105" i="15"/>
  <c r="E2634" i="15"/>
  <c r="E2427" i="15"/>
  <c r="E2042" i="15"/>
  <c r="E1506" i="15"/>
  <c r="E1162" i="15"/>
  <c r="E695" i="15"/>
  <c r="E763" i="15"/>
  <c r="E54" i="15"/>
  <c r="H3102" i="15"/>
  <c r="H2631" i="15"/>
  <c r="H2424" i="15"/>
  <c r="H2039" i="15"/>
  <c r="H1503" i="15"/>
  <c r="H1160" i="15"/>
  <c r="H760" i="15"/>
  <c r="H692" i="15"/>
  <c r="H51" i="15"/>
  <c r="K3105" i="15"/>
  <c r="K2634" i="15"/>
  <c r="K2427" i="15"/>
  <c r="K2042" i="15"/>
  <c r="K1506" i="15"/>
  <c r="K1162" i="15"/>
  <c r="K763" i="15"/>
  <c r="K695" i="15"/>
  <c r="K54" i="15"/>
  <c r="T3170" i="15"/>
  <c r="T2811" i="15"/>
  <c r="T2484" i="15"/>
  <c r="T2101" i="15"/>
  <c r="T1644" i="15"/>
  <c r="T1133" i="15"/>
  <c r="T702" i="15"/>
  <c r="T876" i="15"/>
  <c r="T260" i="15"/>
  <c r="T3174" i="15"/>
  <c r="T2815" i="15"/>
  <c r="T2488" i="15"/>
  <c r="T2105" i="15"/>
  <c r="T1648" i="15"/>
  <c r="T1231" i="15"/>
  <c r="T706" i="15"/>
  <c r="T880" i="15"/>
  <c r="T264" i="15"/>
  <c r="T3010" i="15"/>
  <c r="T2819" i="15"/>
  <c r="T2492" i="15"/>
  <c r="T2109" i="15"/>
  <c r="T1652" i="15"/>
  <c r="T1234" i="15"/>
  <c r="T884" i="15"/>
  <c r="T710" i="15"/>
  <c r="T268" i="15"/>
  <c r="E3107" i="15"/>
  <c r="E2639" i="15"/>
  <c r="E2432" i="15"/>
  <c r="E2047" i="15"/>
  <c r="E1511" i="15"/>
  <c r="E1166" i="15"/>
  <c r="E768" i="15"/>
  <c r="E700" i="15"/>
  <c r="E59" i="15"/>
  <c r="N2948" i="15"/>
  <c r="N2563" i="15"/>
  <c r="N2444" i="15"/>
  <c r="N1874" i="15"/>
  <c r="N1740" i="15"/>
  <c r="N1123" i="15"/>
  <c r="N791" i="15"/>
  <c r="N712" i="15"/>
  <c r="N104" i="15"/>
  <c r="AC2622" i="15"/>
  <c r="AC1876" i="15"/>
  <c r="AC1519" i="15"/>
  <c r="AC1162" i="15"/>
  <c r="AC985" i="15"/>
  <c r="AC48" i="15"/>
  <c r="AC376" i="15"/>
  <c r="AC2568" i="15"/>
  <c r="AC1874" i="15"/>
  <c r="AC1517" i="15"/>
  <c r="AC1160" i="15"/>
  <c r="AC983" i="15"/>
  <c r="AC374" i="15"/>
  <c r="AC46" i="15"/>
  <c r="Z2570" i="15"/>
  <c r="Z1878" i="15"/>
  <c r="Z1521" i="15"/>
  <c r="Z1164" i="15"/>
  <c r="Z987" i="15"/>
  <c r="Z378" i="15"/>
  <c r="Z50" i="15"/>
  <c r="AC3073" i="15"/>
  <c r="AC2649" i="15"/>
  <c r="AC2201" i="15"/>
  <c r="AC1896" i="15"/>
  <c r="AC1532" i="15"/>
  <c r="AC786" i="15"/>
  <c r="AC1115" i="15"/>
  <c r="AC85" i="15"/>
  <c r="AC613" i="15"/>
  <c r="DS182" i="7"/>
  <c r="X2972" i="15" s="1"/>
  <c r="W2972" i="15"/>
  <c r="W2575" i="15"/>
  <c r="W2442" i="15"/>
  <c r="W1568" i="15"/>
  <c r="W1930" i="15"/>
  <c r="W1383" i="15"/>
  <c r="W620" i="15"/>
  <c r="W1019" i="15"/>
  <c r="W149" i="15"/>
  <c r="DS190" i="7"/>
  <c r="X2979" i="15" s="1"/>
  <c r="W2979" i="15"/>
  <c r="W2580" i="15"/>
  <c r="W2450" i="15"/>
  <c r="W1576" i="15"/>
  <c r="W1938" i="15"/>
  <c r="W1391" i="15"/>
  <c r="W628" i="15"/>
  <c r="W1027" i="15"/>
  <c r="W157" i="15"/>
  <c r="T3111" i="15"/>
  <c r="T2715" i="15"/>
  <c r="T2455" i="15"/>
  <c r="T1944" i="15"/>
  <c r="T1746" i="15"/>
  <c r="T1185" i="15"/>
  <c r="T810" i="15"/>
  <c r="T680" i="15"/>
  <c r="T163" i="15"/>
  <c r="T3148" i="15"/>
  <c r="T2771" i="15"/>
  <c r="T2303" i="15"/>
  <c r="T2071" i="15"/>
  <c r="T1619" i="15"/>
  <c r="T1208" i="15"/>
  <c r="T846" i="15"/>
  <c r="T220" i="15"/>
  <c r="T526" i="15"/>
  <c r="T3156" i="15"/>
  <c r="T2779" i="15"/>
  <c r="T2311" i="15"/>
  <c r="T2079" i="15"/>
  <c r="T1627" i="15"/>
  <c r="T1216" i="15"/>
  <c r="T1049" i="15"/>
  <c r="T228" i="15"/>
  <c r="T534" i="15"/>
  <c r="T3164" i="15"/>
  <c r="T2787" i="15"/>
  <c r="T2319" i="15"/>
  <c r="T2087" i="15"/>
  <c r="T1635" i="15"/>
  <c r="T1224" i="15"/>
  <c r="T1055" i="15"/>
  <c r="T236" i="15"/>
  <c r="T542" i="15"/>
  <c r="T3136" i="15"/>
  <c r="T2759" i="15"/>
  <c r="T2471" i="15"/>
  <c r="T1961" i="15"/>
  <c r="T1607" i="15"/>
  <c r="T1196" i="15"/>
  <c r="T836" i="15"/>
  <c r="T514" i="15"/>
  <c r="T208" i="15"/>
  <c r="T3143" i="15"/>
  <c r="T2766" i="15"/>
  <c r="T2298" i="15"/>
  <c r="T2066" i="15"/>
  <c r="T1614" i="15"/>
  <c r="T1203" i="15"/>
  <c r="T841" i="15"/>
  <c r="T215" i="15"/>
  <c r="T521" i="15"/>
  <c r="DS286" i="7"/>
  <c r="X3135" i="15" s="1"/>
  <c r="W3135" i="15"/>
  <c r="W2758" i="15"/>
  <c r="W2470" i="15"/>
  <c r="W1960" i="15"/>
  <c r="W1606" i="15"/>
  <c r="W1195" i="15"/>
  <c r="W1044" i="15"/>
  <c r="W513" i="15"/>
  <c r="W207" i="15"/>
  <c r="DS294" i="7"/>
  <c r="X3143" i="15" s="1"/>
  <c r="W3143" i="15"/>
  <c r="W2766" i="15"/>
  <c r="W2298" i="15"/>
  <c r="W2066" i="15"/>
  <c r="W1614" i="15"/>
  <c r="W1203" i="15"/>
  <c r="W841" i="15"/>
  <c r="W521" i="15"/>
  <c r="W215" i="15"/>
  <c r="DS302" i="7"/>
  <c r="X849" i="15" s="1"/>
  <c r="W3151" i="15"/>
  <c r="W2774" i="15"/>
  <c r="W2306" i="15"/>
  <c r="W2074" i="15"/>
  <c r="W1622" i="15"/>
  <c r="W1211" i="15"/>
  <c r="W849" i="15"/>
  <c r="W529" i="15"/>
  <c r="W223" i="15"/>
  <c r="W3159" i="15"/>
  <c r="W2782" i="15"/>
  <c r="W2314" i="15"/>
  <c r="W2082" i="15"/>
  <c r="W1630" i="15"/>
  <c r="W1219" i="15"/>
  <c r="W537" i="15"/>
  <c r="W1051" i="15"/>
  <c r="W231" i="15"/>
  <c r="E3101" i="15"/>
  <c r="E2630" i="15"/>
  <c r="E2423" i="15"/>
  <c r="E2038" i="15"/>
  <c r="E1502" i="15"/>
  <c r="E1159" i="15"/>
  <c r="E691" i="15"/>
  <c r="E759" i="15"/>
  <c r="E50" i="15"/>
  <c r="B3105" i="15"/>
  <c r="B2634" i="15"/>
  <c r="B2427" i="15"/>
  <c r="B2042" i="15"/>
  <c r="B1506" i="15"/>
  <c r="B1162" i="15"/>
  <c r="B763" i="15"/>
  <c r="B695" i="15"/>
  <c r="B54" i="15"/>
  <c r="K3100" i="15"/>
  <c r="K2422" i="15"/>
  <c r="K2629" i="15"/>
  <c r="K2037" i="15"/>
  <c r="K1501" i="15"/>
  <c r="K758" i="15"/>
  <c r="K690" i="15"/>
  <c r="K1115" i="15"/>
  <c r="K49" i="15"/>
  <c r="H2931" i="15"/>
  <c r="H2635" i="15"/>
  <c r="H2428" i="15"/>
  <c r="H2043" i="15"/>
  <c r="H1507" i="15"/>
  <c r="H1117" i="15"/>
  <c r="H764" i="15"/>
  <c r="H696" i="15"/>
  <c r="H55" i="15"/>
  <c r="T3171" i="15"/>
  <c r="T2812" i="15"/>
  <c r="T2485" i="15"/>
  <c r="T2102" i="15"/>
  <c r="T1645" i="15"/>
  <c r="T1229" i="15"/>
  <c r="T877" i="15"/>
  <c r="T703" i="15"/>
  <c r="T261" i="15"/>
  <c r="T3175" i="15"/>
  <c r="T2816" i="15"/>
  <c r="T2489" i="15"/>
  <c r="T2106" i="15"/>
  <c r="T1649" i="15"/>
  <c r="T1232" i="15"/>
  <c r="T881" i="15"/>
  <c r="T707" i="15"/>
  <c r="T265" i="15"/>
  <c r="W3008" i="15"/>
  <c r="W2817" i="15"/>
  <c r="W2490" i="15"/>
  <c r="W2107" i="15"/>
  <c r="W1650" i="15"/>
  <c r="W1135" i="15"/>
  <c r="W882" i="15"/>
  <c r="W708" i="15"/>
  <c r="W266" i="15"/>
  <c r="E3108" i="15"/>
  <c r="E2640" i="15"/>
  <c r="E2433" i="15"/>
  <c r="E2048" i="15"/>
  <c r="E1512" i="15"/>
  <c r="E1167" i="15"/>
  <c r="E769" i="15"/>
  <c r="E701" i="15"/>
  <c r="E60" i="15"/>
  <c r="Q2948" i="15"/>
  <c r="Q2563" i="15"/>
  <c r="Q2444" i="15"/>
  <c r="Q1740" i="15"/>
  <c r="Q1874" i="15"/>
  <c r="Q1123" i="15"/>
  <c r="Q712" i="15"/>
  <c r="Q791" i="15"/>
  <c r="Q104" i="15"/>
  <c r="Z2618" i="15"/>
  <c r="Z1866" i="15"/>
  <c r="Z1509" i="15"/>
  <c r="Z1152" i="15"/>
  <c r="Z975" i="15"/>
  <c r="Z366" i="15"/>
  <c r="Z38" i="15"/>
  <c r="Z2563" i="15"/>
  <c r="Z1867" i="15"/>
  <c r="Z1510" i="15"/>
  <c r="Z1153" i="15"/>
  <c r="Z976" i="15"/>
  <c r="Z39" i="15"/>
  <c r="Z367" i="15"/>
  <c r="AC2570" i="15"/>
  <c r="AC1878" i="15"/>
  <c r="AC1521" i="15"/>
  <c r="AC1164" i="15"/>
  <c r="AC987" i="15"/>
  <c r="AC378" i="15"/>
  <c r="AC50" i="15"/>
  <c r="AC3074" i="15"/>
  <c r="AC2650" i="15"/>
  <c r="AC2202" i="15"/>
  <c r="AC1897" i="15"/>
  <c r="AC1533" i="15"/>
  <c r="AC1116" i="15"/>
  <c r="AC787" i="15"/>
  <c r="AC614" i="15"/>
  <c r="AC86" i="15"/>
  <c r="W3076" i="15"/>
  <c r="W2576" i="15"/>
  <c r="W2443" i="15"/>
  <c r="W1931" i="15"/>
  <c r="W1569" i="15"/>
  <c r="W1384" i="15"/>
  <c r="W1020" i="15"/>
  <c r="W621" i="15"/>
  <c r="W150" i="15"/>
  <c r="DS191" i="7"/>
  <c r="X2980" i="15" s="1"/>
  <c r="W2980" i="15"/>
  <c r="W2711" i="15"/>
  <c r="W2451" i="15"/>
  <c r="W1939" i="15"/>
  <c r="W1577" i="15"/>
  <c r="W1392" i="15"/>
  <c r="W1028" i="15"/>
  <c r="W629" i="15"/>
  <c r="W158" i="15"/>
  <c r="T3122" i="15"/>
  <c r="T2742" i="15"/>
  <c r="T2054" i="15"/>
  <c r="T2289" i="15"/>
  <c r="T1756" i="15"/>
  <c r="T1130" i="15"/>
  <c r="T825" i="15"/>
  <c r="T689" i="15"/>
  <c r="T191" i="15"/>
  <c r="T3149" i="15"/>
  <c r="T2772" i="15"/>
  <c r="T2304" i="15"/>
  <c r="T2072" i="15"/>
  <c r="T1620" i="15"/>
  <c r="T1209" i="15"/>
  <c r="T847" i="15"/>
  <c r="T527" i="15"/>
  <c r="T221" i="15"/>
  <c r="T3157" i="15"/>
  <c r="T2780" i="15"/>
  <c r="T2312" i="15"/>
  <c r="T2080" i="15"/>
  <c r="T1628" i="15"/>
  <c r="T1217" i="15"/>
  <c r="T852" i="15"/>
  <c r="T535" i="15"/>
  <c r="T229" i="15"/>
  <c r="T3129" i="15"/>
  <c r="T2752" i="15"/>
  <c r="T2464" i="15"/>
  <c r="T1954" i="15"/>
  <c r="T1600" i="15"/>
  <c r="T1041" i="15"/>
  <c r="T1189" i="15"/>
  <c r="T201" i="15"/>
  <c r="T507" i="15"/>
  <c r="T3137" i="15"/>
  <c r="T2760" i="15"/>
  <c r="T2472" i="15"/>
  <c r="T1962" i="15"/>
  <c r="T1608" i="15"/>
  <c r="T1045" i="15"/>
  <c r="T1197" i="15"/>
  <c r="T209" i="15"/>
  <c r="T515" i="15"/>
  <c r="T3144" i="15"/>
  <c r="T2767" i="15"/>
  <c r="T2299" i="15"/>
  <c r="T2067" i="15"/>
  <c r="T1615" i="15"/>
  <c r="T1204" i="15"/>
  <c r="T842" i="15"/>
  <c r="T216" i="15"/>
  <c r="T522" i="15"/>
  <c r="DS287" i="7"/>
  <c r="X3136" i="15" s="1"/>
  <c r="W3136" i="15"/>
  <c r="W2759" i="15"/>
  <c r="W2471" i="15"/>
  <c r="W1961" i="15"/>
  <c r="W1607" i="15"/>
  <c r="W1196" i="15"/>
  <c r="W836" i="15"/>
  <c r="W514" i="15"/>
  <c r="W208" i="15"/>
  <c r="DS295" i="7"/>
  <c r="X3144" i="15" s="1"/>
  <c r="W3144" i="15"/>
  <c r="W2767" i="15"/>
  <c r="W2299" i="15"/>
  <c r="W2067" i="15"/>
  <c r="W1615" i="15"/>
  <c r="W1204" i="15"/>
  <c r="W842" i="15"/>
  <c r="W522" i="15"/>
  <c r="W216" i="15"/>
  <c r="W3152" i="15"/>
  <c r="W2775" i="15"/>
  <c r="W2307" i="15"/>
  <c r="W2075" i="15"/>
  <c r="W1623" i="15"/>
  <c r="W1212" i="15"/>
  <c r="W850" i="15"/>
  <c r="W530" i="15"/>
  <c r="W224" i="15"/>
  <c r="DS311" i="7"/>
  <c r="X3160" i="15" s="1"/>
  <c r="W3160" i="15"/>
  <c r="W2783" i="15"/>
  <c r="W2315" i="15"/>
  <c r="W2083" i="15"/>
  <c r="W1631" i="15"/>
  <c r="W1220" i="15"/>
  <c r="W1052" i="15"/>
  <c r="W538" i="15"/>
  <c r="W232" i="15"/>
  <c r="B3102" i="15"/>
  <c r="B2631" i="15"/>
  <c r="B2424" i="15"/>
  <c r="B2039" i="15"/>
  <c r="B1503" i="15"/>
  <c r="B1160" i="15"/>
  <c r="B760" i="15"/>
  <c r="B692" i="15"/>
  <c r="B51" i="15"/>
  <c r="B2932" i="15"/>
  <c r="B2429" i="15"/>
  <c r="B2636" i="15"/>
  <c r="B2044" i="15"/>
  <c r="B1508" i="15"/>
  <c r="B1163" i="15"/>
  <c r="B697" i="15"/>
  <c r="B765" i="15"/>
  <c r="B56" i="15"/>
  <c r="K3101" i="15"/>
  <c r="K2630" i="15"/>
  <c r="K2423" i="15"/>
  <c r="K2038" i="15"/>
  <c r="K1502" i="15"/>
  <c r="K1159" i="15"/>
  <c r="K759" i="15"/>
  <c r="K691" i="15"/>
  <c r="K50" i="15"/>
  <c r="H2932" i="15"/>
  <c r="H2636" i="15"/>
  <c r="H2429" i="15"/>
  <c r="H2044" i="15"/>
  <c r="H1508" i="15"/>
  <c r="H1163" i="15"/>
  <c r="H765" i="15"/>
  <c r="H697" i="15"/>
  <c r="H56" i="15"/>
  <c r="T3172" i="15"/>
  <c r="T2813" i="15"/>
  <c r="T2486" i="15"/>
  <c r="T2103" i="15"/>
  <c r="T1646" i="15"/>
  <c r="T878" i="15"/>
  <c r="T1230" i="15"/>
  <c r="T704" i="15"/>
  <c r="T262" i="15"/>
  <c r="W3173" i="15"/>
  <c r="W2814" i="15"/>
  <c r="W2487" i="15"/>
  <c r="W1647" i="15"/>
  <c r="W2104" i="15"/>
  <c r="W1134" i="15"/>
  <c r="W705" i="15"/>
  <c r="W879" i="15"/>
  <c r="W263" i="15"/>
  <c r="W3009" i="15"/>
  <c r="W2818" i="15"/>
  <c r="W2491" i="15"/>
  <c r="W2108" i="15"/>
  <c r="W1651" i="15"/>
  <c r="W1233" i="15"/>
  <c r="W709" i="15"/>
  <c r="W883" i="15"/>
  <c r="W267" i="15"/>
  <c r="H3106" i="15"/>
  <c r="H2638" i="15"/>
  <c r="H2431" i="15"/>
  <c r="H2046" i="15"/>
  <c r="H1510" i="15"/>
  <c r="H1165" i="15"/>
  <c r="H767" i="15"/>
  <c r="H699" i="15"/>
  <c r="H58" i="15"/>
  <c r="DO400" i="7"/>
  <c r="U1781" i="15" s="1"/>
  <c r="T3017" i="15"/>
  <c r="T2498" i="15"/>
  <c r="T2582" i="15"/>
  <c r="T1781" i="15"/>
  <c r="T1981" i="15"/>
  <c r="T1137" i="15"/>
  <c r="T895" i="15"/>
  <c r="T715" i="15"/>
  <c r="T289" i="15"/>
  <c r="Z2566" i="15"/>
  <c r="Z1870" i="15"/>
  <c r="Z1513" i="15"/>
  <c r="Z1156" i="15"/>
  <c r="Z979" i="15"/>
  <c r="Z370" i="15"/>
  <c r="Z42" i="15"/>
  <c r="AC2563" i="15"/>
  <c r="AC1867" i="15"/>
  <c r="AC1510" i="15"/>
  <c r="AC976" i="15"/>
  <c r="AC1153" i="15"/>
  <c r="AC39" i="15"/>
  <c r="AC367" i="15"/>
  <c r="Z2616" i="15"/>
  <c r="Z1864" i="15"/>
  <c r="Z1507" i="15"/>
  <c r="Z973" i="15"/>
  <c r="Z364" i="15"/>
  <c r="Z1150" i="15"/>
  <c r="Z36" i="15"/>
  <c r="Z2619" i="15"/>
  <c r="Z1871" i="15"/>
  <c r="Z1514" i="15"/>
  <c r="Z1157" i="15"/>
  <c r="Z980" i="15"/>
  <c r="Z43" i="15"/>
  <c r="Z371" i="15"/>
  <c r="Z2621" i="15"/>
  <c r="Z1875" i="15"/>
  <c r="Z1518" i="15"/>
  <c r="Z1161" i="15"/>
  <c r="Z984" i="15"/>
  <c r="Z47" i="15"/>
  <c r="Z375" i="15"/>
  <c r="Z2615" i="15"/>
  <c r="Z1863" i="15"/>
  <c r="Z1506" i="15"/>
  <c r="Z1149" i="15"/>
  <c r="Z972" i="15"/>
  <c r="Z35" i="15"/>
  <c r="Z363" i="15"/>
  <c r="AC2564" i="15"/>
  <c r="AC1868" i="15"/>
  <c r="AC1511" i="15"/>
  <c r="AC1154" i="15"/>
  <c r="AC977" i="15"/>
  <c r="AC40" i="15"/>
  <c r="AC368" i="15"/>
  <c r="AC2619" i="15"/>
  <c r="AC1871" i="15"/>
  <c r="AC1514" i="15"/>
  <c r="AC980" i="15"/>
  <c r="AC1157" i="15"/>
  <c r="AC43" i="15"/>
  <c r="AC371" i="15"/>
  <c r="AC2621" i="15"/>
  <c r="AC1875" i="15"/>
  <c r="AC1518" i="15"/>
  <c r="AC984" i="15"/>
  <c r="AC1161" i="15"/>
  <c r="AC47" i="15"/>
  <c r="AC375" i="15"/>
  <c r="Z3071" i="15"/>
  <c r="Z2647" i="15"/>
  <c r="Z2199" i="15"/>
  <c r="Z1894" i="15"/>
  <c r="Z1530" i="15"/>
  <c r="Z1113" i="15"/>
  <c r="Z611" i="15"/>
  <c r="Z83" i="15"/>
  <c r="T3238" i="15"/>
  <c r="T2697" i="15"/>
  <c r="T2534" i="15"/>
  <c r="T1922" i="15"/>
  <c r="T1740" i="15"/>
  <c r="T1372" i="15"/>
  <c r="T485" i="15"/>
  <c r="T802" i="15"/>
  <c r="T138" i="15"/>
  <c r="W2973" i="15"/>
  <c r="W2577" i="15"/>
  <c r="W2444" i="15"/>
  <c r="W1932" i="15"/>
  <c r="W1570" i="15"/>
  <c r="W1385" i="15"/>
  <c r="W1021" i="15"/>
  <c r="W622" i="15"/>
  <c r="W151" i="15"/>
  <c r="DS192" i="7"/>
  <c r="X2981" i="15" s="1"/>
  <c r="W2981" i="15"/>
  <c r="W2712" i="15"/>
  <c r="W2452" i="15"/>
  <c r="W1940" i="15"/>
  <c r="W1578" i="15"/>
  <c r="W1393" i="15"/>
  <c r="W1029" i="15"/>
  <c r="W630" i="15"/>
  <c r="W159" i="15"/>
  <c r="W3122" i="15"/>
  <c r="W2742" i="15"/>
  <c r="W2289" i="15"/>
  <c r="W2054" i="15"/>
  <c r="W1756" i="15"/>
  <c r="W1130" i="15"/>
  <c r="W825" i="15"/>
  <c r="W191" i="15"/>
  <c r="W689" i="15"/>
  <c r="T3150" i="15"/>
  <c r="T2773" i="15"/>
  <c r="T2305" i="15"/>
  <c r="T2073" i="15"/>
  <c r="T1621" i="15"/>
  <c r="T1210" i="15"/>
  <c r="T848" i="15"/>
  <c r="T222" i="15"/>
  <c r="T528" i="15"/>
  <c r="T3158" i="15"/>
  <c r="T2781" i="15"/>
  <c r="T2313" i="15"/>
  <c r="T2081" i="15"/>
  <c r="T1629" i="15"/>
  <c r="T1218" i="15"/>
  <c r="T1050" i="15"/>
  <c r="T536" i="15"/>
  <c r="T230" i="15"/>
  <c r="T3130" i="15"/>
  <c r="T2753" i="15"/>
  <c r="T2465" i="15"/>
  <c r="T1955" i="15"/>
  <c r="T1601" i="15"/>
  <c r="T1190" i="15"/>
  <c r="T833" i="15"/>
  <c r="T508" i="15"/>
  <c r="T202" i="15"/>
  <c r="T3138" i="15"/>
  <c r="T2761" i="15"/>
  <c r="T2473" i="15"/>
  <c r="T1963" i="15"/>
  <c r="T1609" i="15"/>
  <c r="T1198" i="15"/>
  <c r="T837" i="15"/>
  <c r="T516" i="15"/>
  <c r="T210" i="15"/>
  <c r="DS280" i="7"/>
  <c r="X3129" i="15" s="1"/>
  <c r="W3129" i="15"/>
  <c r="W2752" i="15"/>
  <c r="W2464" i="15"/>
  <c r="W1600" i="15"/>
  <c r="W1954" i="15"/>
  <c r="W1189" i="15"/>
  <c r="W1041" i="15"/>
  <c r="W507" i="15"/>
  <c r="W201" i="15"/>
  <c r="DS288" i="7"/>
  <c r="X3137" i="15" s="1"/>
  <c r="W3137" i="15"/>
  <c r="W2760" i="15"/>
  <c r="W2472" i="15"/>
  <c r="W1608" i="15"/>
  <c r="W1962" i="15"/>
  <c r="W1197" i="15"/>
  <c r="W1045" i="15"/>
  <c r="W515" i="15"/>
  <c r="W209" i="15"/>
  <c r="DS296" i="7"/>
  <c r="X3145" i="15" s="1"/>
  <c r="W3145" i="15"/>
  <c r="W2768" i="15"/>
  <c r="W2300" i="15"/>
  <c r="W2068" i="15"/>
  <c r="W1616" i="15"/>
  <c r="W1205" i="15"/>
  <c r="W843" i="15"/>
  <c r="W523" i="15"/>
  <c r="W217" i="15"/>
  <c r="DS304" i="7"/>
  <c r="X1213" i="15" s="1"/>
  <c r="W3153" i="15"/>
  <c r="W2776" i="15"/>
  <c r="W2308" i="15"/>
  <c r="W2076" i="15"/>
  <c r="W1624" i="15"/>
  <c r="W1213" i="15"/>
  <c r="W851" i="15"/>
  <c r="W531" i="15"/>
  <c r="W225" i="15"/>
  <c r="DS312" i="7"/>
  <c r="X2784" i="15" s="1"/>
  <c r="W3161" i="15"/>
  <c r="W2784" i="15"/>
  <c r="W2316" i="15"/>
  <c r="W2084" i="15"/>
  <c r="W1632" i="15"/>
  <c r="W1221" i="15"/>
  <c r="W853" i="15"/>
  <c r="W539" i="15"/>
  <c r="W233" i="15"/>
  <c r="E3102" i="15"/>
  <c r="E2631" i="15"/>
  <c r="E2424" i="15"/>
  <c r="E2039" i="15"/>
  <c r="E1503" i="15"/>
  <c r="E1160" i="15"/>
  <c r="E760" i="15"/>
  <c r="E692" i="15"/>
  <c r="E51" i="15"/>
  <c r="E2931" i="15"/>
  <c r="E2635" i="15"/>
  <c r="E2428" i="15"/>
  <c r="E2043" i="15"/>
  <c r="E1507" i="15"/>
  <c r="E764" i="15"/>
  <c r="E1117" i="15"/>
  <c r="E696" i="15"/>
  <c r="E55" i="15"/>
  <c r="K3102" i="15"/>
  <c r="K2631" i="15"/>
  <c r="K2424" i="15"/>
  <c r="K1503" i="15"/>
  <c r="K2039" i="15"/>
  <c r="K1160" i="15"/>
  <c r="K760" i="15"/>
  <c r="K692" i="15"/>
  <c r="K51" i="15"/>
  <c r="H2933" i="15"/>
  <c r="H2637" i="15"/>
  <c r="H2430" i="15"/>
  <c r="H2045" i="15"/>
  <c r="H1509" i="15"/>
  <c r="H1164" i="15"/>
  <c r="H698" i="15"/>
  <c r="H766" i="15"/>
  <c r="H57" i="15"/>
  <c r="W3170" i="15"/>
  <c r="W2811" i="15"/>
  <c r="W2484" i="15"/>
  <c r="W2101" i="15"/>
  <c r="W1644" i="15"/>
  <c r="W876" i="15"/>
  <c r="W1133" i="15"/>
  <c r="W702" i="15"/>
  <c r="W260" i="15"/>
  <c r="W3174" i="15"/>
  <c r="W2815" i="15"/>
  <c r="W2488" i="15"/>
  <c r="W2105" i="15"/>
  <c r="W1648" i="15"/>
  <c r="W1231" i="15"/>
  <c r="W880" i="15"/>
  <c r="W706" i="15"/>
  <c r="W264" i="15"/>
  <c r="B2933" i="15"/>
  <c r="B2637" i="15"/>
  <c r="B2430" i="15"/>
  <c r="B2045" i="15"/>
  <c r="B1509" i="15"/>
  <c r="B1164" i="15"/>
  <c r="B698" i="15"/>
  <c r="B766" i="15"/>
  <c r="B57" i="15"/>
  <c r="H3107" i="15"/>
  <c r="H2639" i="15"/>
  <c r="H2432" i="15"/>
  <c r="H2047" i="15"/>
  <c r="H1511" i="15"/>
  <c r="H1166" i="15"/>
  <c r="H768" i="15"/>
  <c r="H700" i="15"/>
  <c r="H59" i="15"/>
  <c r="DS400" i="7"/>
  <c r="X3017" i="15" s="1"/>
  <c r="W3017" i="15"/>
  <c r="W2582" i="15"/>
  <c r="W2498" i="15"/>
  <c r="W1981" i="15"/>
  <c r="W1781" i="15"/>
  <c r="W1137" i="15"/>
  <c r="W895" i="15"/>
  <c r="W715" i="15"/>
  <c r="W289" i="15"/>
  <c r="C2058" i="15"/>
  <c r="Z2565" i="15"/>
  <c r="Z1869" i="15"/>
  <c r="Z1512" i="15"/>
  <c r="Z1155" i="15"/>
  <c r="Z978" i="15"/>
  <c r="Z41" i="15"/>
  <c r="Z369" i="15"/>
  <c r="AC2566" i="15"/>
  <c r="AC1870" i="15"/>
  <c r="AC1513" i="15"/>
  <c r="AC1156" i="15"/>
  <c r="AC979" i="15"/>
  <c r="AC370" i="15"/>
  <c r="AC42" i="15"/>
  <c r="AC2615" i="15"/>
  <c r="AC1863" i="15"/>
  <c r="AC1506" i="15"/>
  <c r="AC972" i="15"/>
  <c r="AC1149" i="15"/>
  <c r="AC35" i="15"/>
  <c r="AC363" i="15"/>
  <c r="Z2617" i="15"/>
  <c r="Z1865" i="15"/>
  <c r="Z1508" i="15"/>
  <c r="Z1151" i="15"/>
  <c r="Z974" i="15"/>
  <c r="Z37" i="15"/>
  <c r="Z365" i="15"/>
  <c r="AC2620" i="15"/>
  <c r="AC1872" i="15"/>
  <c r="AC1515" i="15"/>
  <c r="AC1158" i="15"/>
  <c r="AC981" i="15"/>
  <c r="AC44" i="15"/>
  <c r="AC372" i="15"/>
  <c r="Z2564" i="15"/>
  <c r="Z1868" i="15"/>
  <c r="Z1511" i="15"/>
  <c r="Z977" i="15"/>
  <c r="Z1154" i="15"/>
  <c r="Z368" i="15"/>
  <c r="Z40" i="15"/>
  <c r="AC3071" i="15"/>
  <c r="AC2647" i="15"/>
  <c r="AC2199" i="15"/>
  <c r="AC1894" i="15"/>
  <c r="AC1530" i="15"/>
  <c r="AC1113" i="15"/>
  <c r="AC611" i="15"/>
  <c r="AC83" i="15"/>
  <c r="DW167" i="7"/>
  <c r="U3238" i="15"/>
  <c r="U2697" i="15"/>
  <c r="U2534" i="15"/>
  <c r="U1740" i="15"/>
  <c r="U1922" i="15"/>
  <c r="U1372" i="15"/>
  <c r="U802" i="15"/>
  <c r="U138" i="15"/>
  <c r="U485" i="15"/>
  <c r="W2974" i="15"/>
  <c r="W2708" i="15"/>
  <c r="W2445" i="15"/>
  <c r="W1933" i="15"/>
  <c r="W1571" i="15"/>
  <c r="W1386" i="15"/>
  <c r="W1022" i="15"/>
  <c r="W152" i="15"/>
  <c r="W623" i="15"/>
  <c r="DS193" i="7"/>
  <c r="X2982" i="15" s="1"/>
  <c r="W2982" i="15"/>
  <c r="W2713" i="15"/>
  <c r="W2453" i="15"/>
  <c r="W1941" i="15"/>
  <c r="W1579" i="15"/>
  <c r="W1394" i="15"/>
  <c r="W1030" i="15"/>
  <c r="W160" i="15"/>
  <c r="W631" i="15"/>
  <c r="DB270" i="7"/>
  <c r="N3107" i="15"/>
  <c r="N2652" i="15"/>
  <c r="N2273" i="15"/>
  <c r="N2042" i="15"/>
  <c r="N1735" i="15"/>
  <c r="N770" i="15"/>
  <c r="N1119" i="15"/>
  <c r="N692" i="15"/>
  <c r="N77" i="15"/>
  <c r="T3151" i="15"/>
  <c r="T2774" i="15"/>
  <c r="T2306" i="15"/>
  <c r="T2074" i="15"/>
  <c r="T1622" i="15"/>
  <c r="T1211" i="15"/>
  <c r="T849" i="15"/>
  <c r="T223" i="15"/>
  <c r="T529" i="15"/>
  <c r="T3159" i="15"/>
  <c r="T2782" i="15"/>
  <c r="T2314" i="15"/>
  <c r="T2082" i="15"/>
  <c r="T1630" i="15"/>
  <c r="T1219" i="15"/>
  <c r="T1051" i="15"/>
  <c r="T537" i="15"/>
  <c r="T231" i="15"/>
  <c r="T3131" i="15"/>
  <c r="T2754" i="15"/>
  <c r="T2466" i="15"/>
  <c r="T1956" i="15"/>
  <c r="T1602" i="15"/>
  <c r="T1191" i="15"/>
  <c r="T1042" i="15"/>
  <c r="T203" i="15"/>
  <c r="T509" i="15"/>
  <c r="T3139" i="15"/>
  <c r="T2762" i="15"/>
  <c r="T2474" i="15"/>
  <c r="T1964" i="15"/>
  <c r="T1610" i="15"/>
  <c r="T1199" i="15"/>
  <c r="T1046" i="15"/>
  <c r="T211" i="15"/>
  <c r="T517" i="15"/>
  <c r="DS281" i="7"/>
  <c r="X3130" i="15" s="1"/>
  <c r="W3130" i="15"/>
  <c r="W2753" i="15"/>
  <c r="W2465" i="15"/>
  <c r="W1601" i="15"/>
  <c r="W1955" i="15"/>
  <c r="W1190" i="15"/>
  <c r="W833" i="15"/>
  <c r="W508" i="15"/>
  <c r="W202" i="15"/>
  <c r="DS289" i="7"/>
  <c r="X3138" i="15" s="1"/>
  <c r="W3138" i="15"/>
  <c r="W2761" i="15"/>
  <c r="W2473" i="15"/>
  <c r="W1609" i="15"/>
  <c r="W1963" i="15"/>
  <c r="W1198" i="15"/>
  <c r="W837" i="15"/>
  <c r="W516" i="15"/>
  <c r="W210" i="15"/>
  <c r="DS297" i="7"/>
  <c r="X3146" i="15" s="1"/>
  <c r="W3146" i="15"/>
  <c r="W2769" i="15"/>
  <c r="W2301" i="15"/>
  <c r="W2069" i="15"/>
  <c r="W1617" i="15"/>
  <c r="W1206" i="15"/>
  <c r="W844" i="15"/>
  <c r="W524" i="15"/>
  <c r="W218" i="15"/>
  <c r="W3154" i="15"/>
  <c r="W2777" i="15"/>
  <c r="W2309" i="15"/>
  <c r="W2077" i="15"/>
  <c r="W1625" i="15"/>
  <c r="W1214" i="15"/>
  <c r="W1047" i="15"/>
  <c r="W226" i="15"/>
  <c r="W532" i="15"/>
  <c r="W3162" i="15"/>
  <c r="W2785" i="15"/>
  <c r="W2317" i="15"/>
  <c r="W2085" i="15"/>
  <c r="W1633" i="15"/>
  <c r="W1222" i="15"/>
  <c r="W1053" i="15"/>
  <c r="W540" i="15"/>
  <c r="W234" i="15"/>
  <c r="B3103" i="15"/>
  <c r="B2632" i="15"/>
  <c r="B2425" i="15"/>
  <c r="B2040" i="15"/>
  <c r="B1504" i="15"/>
  <c r="B1116" i="15"/>
  <c r="B693" i="15"/>
  <c r="B761" i="15"/>
  <c r="B52" i="15"/>
  <c r="E2932" i="15"/>
  <c r="E2636" i="15"/>
  <c r="E2429" i="15"/>
  <c r="E2044" i="15"/>
  <c r="E1508" i="15"/>
  <c r="E1163" i="15"/>
  <c r="E765" i="15"/>
  <c r="E56" i="15"/>
  <c r="E697" i="15"/>
  <c r="H3104" i="15"/>
  <c r="H2633" i="15"/>
  <c r="H2426" i="15"/>
  <c r="H2041" i="15"/>
  <c r="H1505" i="15"/>
  <c r="H1161" i="15"/>
  <c r="H694" i="15"/>
  <c r="H762" i="15"/>
  <c r="H53" i="15"/>
  <c r="K2931" i="15"/>
  <c r="K2635" i="15"/>
  <c r="K2428" i="15"/>
  <c r="K1507" i="15"/>
  <c r="K2043" i="15"/>
  <c r="K1117" i="15"/>
  <c r="K764" i="15"/>
  <c r="K696" i="15"/>
  <c r="K55" i="15"/>
  <c r="W3171" i="15"/>
  <c r="W2812" i="15"/>
  <c r="W2485" i="15"/>
  <c r="W2102" i="15"/>
  <c r="W1645" i="15"/>
  <c r="W1229" i="15"/>
  <c r="W877" i="15"/>
  <c r="W703" i="15"/>
  <c r="W261" i="15"/>
  <c r="W3175" i="15"/>
  <c r="W2816" i="15"/>
  <c r="W2489" i="15"/>
  <c r="W2106" i="15"/>
  <c r="W1649" i="15"/>
  <c r="W1232" i="15"/>
  <c r="W881" i="15"/>
  <c r="W707" i="15"/>
  <c r="W265" i="15"/>
  <c r="B3107" i="15"/>
  <c r="B2639" i="15"/>
  <c r="B2432" i="15"/>
  <c r="B2047" i="15"/>
  <c r="B1511" i="15"/>
  <c r="B1166" i="15"/>
  <c r="B768" i="15"/>
  <c r="B700" i="15"/>
  <c r="B59" i="15"/>
  <c r="H3108" i="15"/>
  <c r="H2640" i="15"/>
  <c r="H2433" i="15"/>
  <c r="H2048" i="15"/>
  <c r="H1512" i="15"/>
  <c r="H1167" i="15"/>
  <c r="H769" i="15"/>
  <c r="H701" i="15"/>
  <c r="H60" i="15"/>
  <c r="C1522" i="15"/>
  <c r="Z3072" i="15"/>
  <c r="Z2648" i="15"/>
  <c r="Z2200" i="15"/>
  <c r="Z1895" i="15"/>
  <c r="Z1531" i="15"/>
  <c r="Z785" i="15"/>
  <c r="Z1114" i="15"/>
  <c r="Z612" i="15"/>
  <c r="Z84" i="15"/>
  <c r="W2975" i="15"/>
  <c r="W2709" i="15"/>
  <c r="W2446" i="15"/>
  <c r="W1572" i="15"/>
  <c r="W1934" i="15"/>
  <c r="W1387" i="15"/>
  <c r="W624" i="15"/>
  <c r="W153" i="15"/>
  <c r="W1023" i="15"/>
  <c r="T2974" i="15"/>
  <c r="T2708" i="15"/>
  <c r="T2445" i="15"/>
  <c r="T1933" i="15"/>
  <c r="T1571" i="15"/>
  <c r="T1386" i="15"/>
  <c r="T1022" i="15"/>
  <c r="T152" i="15"/>
  <c r="T623" i="15"/>
  <c r="Q3107" i="15"/>
  <c r="Q2652" i="15"/>
  <c r="Q2273" i="15"/>
  <c r="Q2042" i="15"/>
  <c r="Q1735" i="15"/>
  <c r="Q1119" i="15"/>
  <c r="Q770" i="15"/>
  <c r="Q692" i="15"/>
  <c r="Q77" i="15"/>
  <c r="T3152" i="15"/>
  <c r="T2775" i="15"/>
  <c r="T2075" i="15"/>
  <c r="T2307" i="15"/>
  <c r="T1623" i="15"/>
  <c r="T1212" i="15"/>
  <c r="T850" i="15"/>
  <c r="T224" i="15"/>
  <c r="T530" i="15"/>
  <c r="T3160" i="15"/>
  <c r="T2783" i="15"/>
  <c r="T2083" i="15"/>
  <c r="T2315" i="15"/>
  <c r="T1631" i="15"/>
  <c r="T1220" i="15"/>
  <c r="T1052" i="15"/>
  <c r="T232" i="15"/>
  <c r="T538" i="15"/>
  <c r="T3132" i="15"/>
  <c r="T2755" i="15"/>
  <c r="T2467" i="15"/>
  <c r="T1957" i="15"/>
  <c r="T1603" i="15"/>
  <c r="T1192" i="15"/>
  <c r="T834" i="15"/>
  <c r="T510" i="15"/>
  <c r="T204" i="15"/>
  <c r="T3140" i="15"/>
  <c r="T2763" i="15"/>
  <c r="T2475" i="15"/>
  <c r="T1965" i="15"/>
  <c r="T1611" i="15"/>
  <c r="T838" i="15"/>
  <c r="T518" i="15"/>
  <c r="T212" i="15"/>
  <c r="T1200" i="15"/>
  <c r="DS282" i="7"/>
  <c r="X3131" i="15" s="1"/>
  <c r="W3131" i="15"/>
  <c r="W2754" i="15"/>
  <c r="W2466" i="15"/>
  <c r="W1956" i="15"/>
  <c r="W1602" i="15"/>
  <c r="W1191" i="15"/>
  <c r="W1042" i="15"/>
  <c r="W509" i="15"/>
  <c r="W203" i="15"/>
  <c r="DS290" i="7"/>
  <c r="X3139" i="15" s="1"/>
  <c r="W3139" i="15"/>
  <c r="W2762" i="15"/>
  <c r="W2474" i="15"/>
  <c r="W1964" i="15"/>
  <c r="W1610" i="15"/>
  <c r="W1199" i="15"/>
  <c r="W1046" i="15"/>
  <c r="W517" i="15"/>
  <c r="W211" i="15"/>
  <c r="DS298" i="7"/>
  <c r="X3147" i="15" s="1"/>
  <c r="W3147" i="15"/>
  <c r="W2770" i="15"/>
  <c r="W2302" i="15"/>
  <c r="W2070" i="15"/>
  <c r="W1618" i="15"/>
  <c r="W1207" i="15"/>
  <c r="W845" i="15"/>
  <c r="W525" i="15"/>
  <c r="W219" i="15"/>
  <c r="DS306" i="7"/>
  <c r="X3155" i="15" s="1"/>
  <c r="W3155" i="15"/>
  <c r="W2778" i="15"/>
  <c r="W2310" i="15"/>
  <c r="W1626" i="15"/>
  <c r="W2078" i="15"/>
  <c r="W1215" i="15"/>
  <c r="W1048" i="15"/>
  <c r="W533" i="15"/>
  <c r="W227" i="15"/>
  <c r="W3163" i="15"/>
  <c r="W2786" i="15"/>
  <c r="W2318" i="15"/>
  <c r="W2086" i="15"/>
  <c r="W1634" i="15"/>
  <c r="W1223" i="15"/>
  <c r="W1054" i="15"/>
  <c r="W541" i="15"/>
  <c r="W235" i="15"/>
  <c r="B3104" i="15"/>
  <c r="B2633" i="15"/>
  <c r="B2426" i="15"/>
  <c r="B2041" i="15"/>
  <c r="B1505" i="15"/>
  <c r="B1161" i="15"/>
  <c r="B694" i="15"/>
  <c r="B762" i="15"/>
  <c r="B53" i="15"/>
  <c r="E2933" i="15"/>
  <c r="E2637" i="15"/>
  <c r="E2430" i="15"/>
  <c r="E2045" i="15"/>
  <c r="E1509" i="15"/>
  <c r="E1164" i="15"/>
  <c r="E698" i="15"/>
  <c r="E766" i="15"/>
  <c r="E57" i="15"/>
  <c r="H3105" i="15"/>
  <c r="H2634" i="15"/>
  <c r="H2427" i="15"/>
  <c r="H2042" i="15"/>
  <c r="H1506" i="15"/>
  <c r="H1162" i="15"/>
  <c r="H763" i="15"/>
  <c r="H695" i="15"/>
  <c r="H54" i="15"/>
  <c r="K2932" i="15"/>
  <c r="K2636" i="15"/>
  <c r="K2429" i="15"/>
  <c r="K2044" i="15"/>
  <c r="K1508" i="15"/>
  <c r="K1163" i="15"/>
  <c r="K765" i="15"/>
  <c r="K697" i="15"/>
  <c r="K56" i="15"/>
  <c r="W3172" i="15"/>
  <c r="W2813" i="15"/>
  <c r="W2486" i="15"/>
  <c r="W2103" i="15"/>
  <c r="W1646" i="15"/>
  <c r="W1230" i="15"/>
  <c r="W878" i="15"/>
  <c r="W262" i="15"/>
  <c r="W704" i="15"/>
  <c r="B2931" i="15"/>
  <c r="B2635" i="15"/>
  <c r="B2428" i="15"/>
  <c r="B2043" i="15"/>
  <c r="B1507" i="15"/>
  <c r="B1117" i="15"/>
  <c r="B764" i="15"/>
  <c r="B696" i="15"/>
  <c r="B55" i="15"/>
  <c r="B3108" i="15"/>
  <c r="B2640" i="15"/>
  <c r="B2433" i="15"/>
  <c r="B2048" i="15"/>
  <c r="B1512" i="15"/>
  <c r="B1167" i="15"/>
  <c r="B701" i="15"/>
  <c r="B769" i="15"/>
  <c r="B60" i="15"/>
  <c r="K3106" i="15"/>
  <c r="K2638" i="15"/>
  <c r="K2431" i="15"/>
  <c r="K2046" i="15"/>
  <c r="K1510" i="15"/>
  <c r="K767" i="15"/>
  <c r="K699" i="15"/>
  <c r="K1165" i="15"/>
  <c r="K58" i="15"/>
  <c r="C2652" i="15"/>
  <c r="AC2617" i="15"/>
  <c r="AC1865" i="15"/>
  <c r="AC1508" i="15"/>
  <c r="AC1151" i="15"/>
  <c r="AC974" i="15"/>
  <c r="AC37" i="15"/>
  <c r="AC365" i="15"/>
  <c r="AC2565" i="15"/>
  <c r="AC1869" i="15"/>
  <c r="AC1512" i="15"/>
  <c r="AC1155" i="15"/>
  <c r="AC978" i="15"/>
  <c r="AC41" i="15"/>
  <c r="AC369" i="15"/>
  <c r="AC2567" i="15"/>
  <c r="AC1873" i="15"/>
  <c r="AC1516" i="15"/>
  <c r="AC1159" i="15"/>
  <c r="AC982" i="15"/>
  <c r="AC45" i="15"/>
  <c r="AC373" i="15"/>
  <c r="Z2569" i="15"/>
  <c r="Z1877" i="15"/>
  <c r="Z1520" i="15"/>
  <c r="Z1163" i="15"/>
  <c r="Z986" i="15"/>
  <c r="Z49" i="15"/>
  <c r="Z377" i="15"/>
  <c r="AC3072" i="15"/>
  <c r="AC2648" i="15"/>
  <c r="AC2200" i="15"/>
  <c r="AC1895" i="15"/>
  <c r="AC1531" i="15"/>
  <c r="AC785" i="15"/>
  <c r="AC1114" i="15"/>
  <c r="AC612" i="15"/>
  <c r="AC84" i="15"/>
  <c r="T3239" i="15"/>
  <c r="T2698" i="15"/>
  <c r="T2535" i="15"/>
  <c r="T1741" i="15"/>
  <c r="T1923" i="15"/>
  <c r="T1373" i="15"/>
  <c r="T1015" i="15"/>
  <c r="T486" i="15"/>
  <c r="T139" i="15"/>
  <c r="W2976" i="15"/>
  <c r="W2710" i="15"/>
  <c r="W2447" i="15"/>
  <c r="W1935" i="15"/>
  <c r="W1573" i="15"/>
  <c r="W1388" i="15"/>
  <c r="W1024" i="15"/>
  <c r="W625" i="15"/>
  <c r="W154" i="15"/>
  <c r="DO186" i="7"/>
  <c r="U2975" i="15" s="1"/>
  <c r="T2975" i="15"/>
  <c r="T2709" i="15"/>
  <c r="T2446" i="15"/>
  <c r="T1934" i="15"/>
  <c r="T1572" i="15"/>
  <c r="T1387" i="15"/>
  <c r="T1023" i="15"/>
  <c r="T624" i="15"/>
  <c r="T153" i="15"/>
  <c r="T3145" i="15"/>
  <c r="T2768" i="15"/>
  <c r="T2300" i="15"/>
  <c r="T2068" i="15"/>
  <c r="T1616" i="15"/>
  <c r="T1205" i="15"/>
  <c r="T843" i="15"/>
  <c r="T523" i="15"/>
  <c r="T217" i="15"/>
  <c r="T3153" i="15"/>
  <c r="T2776" i="15"/>
  <c r="T2308" i="15"/>
  <c r="T2076" i="15"/>
  <c r="T1624" i="15"/>
  <c r="T1213" i="15"/>
  <c r="T851" i="15"/>
  <c r="T531" i="15"/>
  <c r="T225" i="15"/>
  <c r="T3161" i="15"/>
  <c r="T2784" i="15"/>
  <c r="T2316" i="15"/>
  <c r="T2084" i="15"/>
  <c r="T1632" i="15"/>
  <c r="T1221" i="15"/>
  <c r="T853" i="15"/>
  <c r="T539" i="15"/>
  <c r="T233" i="15"/>
  <c r="T3133" i="15"/>
  <c r="T2756" i="15"/>
  <c r="T2468" i="15"/>
  <c r="T1958" i="15"/>
  <c r="T1604" i="15"/>
  <c r="T1193" i="15"/>
  <c r="T1043" i="15"/>
  <c r="T205" i="15"/>
  <c r="T511" i="15"/>
  <c r="T3141" i="15"/>
  <c r="T2764" i="15"/>
  <c r="T2296" i="15"/>
  <c r="T2064" i="15"/>
  <c r="T1612" i="15"/>
  <c r="T1201" i="15"/>
  <c r="T839" i="15"/>
  <c r="T213" i="15"/>
  <c r="T519" i="15"/>
  <c r="DS283" i="7"/>
  <c r="X3132" i="15" s="1"/>
  <c r="W3132" i="15"/>
  <c r="W2755" i="15"/>
  <c r="W2467" i="15"/>
  <c r="W1957" i="15"/>
  <c r="W1603" i="15"/>
  <c r="W1192" i="15"/>
  <c r="W510" i="15"/>
  <c r="W204" i="15"/>
  <c r="W834" i="15"/>
  <c r="DS291" i="7"/>
  <c r="X3140" i="15" s="1"/>
  <c r="W3140" i="15"/>
  <c r="W2763" i="15"/>
  <c r="W2475" i="15"/>
  <c r="W1965" i="15"/>
  <c r="W1611" i="15"/>
  <c r="W1200" i="15"/>
  <c r="W838" i="15"/>
  <c r="W518" i="15"/>
  <c r="W212" i="15"/>
  <c r="DS299" i="7"/>
  <c r="X3148" i="15" s="1"/>
  <c r="W3148" i="15"/>
  <c r="W2771" i="15"/>
  <c r="W2303" i="15"/>
  <c r="W2071" i="15"/>
  <c r="W1619" i="15"/>
  <c r="W1208" i="15"/>
  <c r="W846" i="15"/>
  <c r="W526" i="15"/>
  <c r="W220" i="15"/>
  <c r="DS307" i="7"/>
  <c r="X3156" i="15" s="1"/>
  <c r="W3156" i="15"/>
  <c r="W2779" i="15"/>
  <c r="W2311" i="15"/>
  <c r="W2079" i="15"/>
  <c r="W1627" i="15"/>
  <c r="W1216" i="15"/>
  <c r="W534" i="15"/>
  <c r="W1049" i="15"/>
  <c r="W228" i="15"/>
  <c r="W3164" i="15"/>
  <c r="W2787" i="15"/>
  <c r="W2319" i="15"/>
  <c r="W2087" i="15"/>
  <c r="W1635" i="15"/>
  <c r="W1224" i="15"/>
  <c r="W1055" i="15"/>
  <c r="W542" i="15"/>
  <c r="W236" i="15"/>
  <c r="E3103" i="15"/>
  <c r="E2632" i="15"/>
  <c r="E2425" i="15"/>
  <c r="E2040" i="15"/>
  <c r="E1504" i="15"/>
  <c r="E1116" i="15"/>
  <c r="E761" i="15"/>
  <c r="E693" i="15"/>
  <c r="E52" i="15"/>
  <c r="E3100" i="15"/>
  <c r="E2629" i="15"/>
  <c r="E2422" i="15"/>
  <c r="E2037" i="15"/>
  <c r="E1501" i="15"/>
  <c r="E690" i="15"/>
  <c r="E758" i="15"/>
  <c r="E1115" i="15"/>
  <c r="E49" i="15"/>
  <c r="K3103" i="15"/>
  <c r="K2632" i="15"/>
  <c r="K2425" i="15"/>
  <c r="K2040" i="15"/>
  <c r="K1504" i="15"/>
  <c r="K1116" i="15"/>
  <c r="K761" i="15"/>
  <c r="K693" i="15"/>
  <c r="K52" i="15"/>
  <c r="K2933" i="15"/>
  <c r="K2430" i="15"/>
  <c r="K2637" i="15"/>
  <c r="K2045" i="15"/>
  <c r="K1509" i="15"/>
  <c r="K1164" i="15"/>
  <c r="K766" i="15"/>
  <c r="K698" i="15"/>
  <c r="K57" i="15"/>
  <c r="H3103" i="15"/>
  <c r="H2632" i="15"/>
  <c r="H2425" i="15"/>
  <c r="H2040" i="15"/>
  <c r="H1504" i="15"/>
  <c r="H1116" i="15"/>
  <c r="H761" i="15"/>
  <c r="H693" i="15"/>
  <c r="H52" i="15"/>
  <c r="T3008" i="15"/>
  <c r="T2817" i="15"/>
  <c r="T2490" i="15"/>
  <c r="T2107" i="15"/>
  <c r="T1650" i="15"/>
  <c r="T882" i="15"/>
  <c r="T1135" i="15"/>
  <c r="T708" i="15"/>
  <c r="T266" i="15"/>
  <c r="B3106" i="15"/>
  <c r="B2638" i="15"/>
  <c r="B2431" i="15"/>
  <c r="B2046" i="15"/>
  <c r="B1510" i="15"/>
  <c r="B1165" i="15"/>
  <c r="B767" i="15"/>
  <c r="B699" i="15"/>
  <c r="B58" i="15"/>
  <c r="K3107" i="15"/>
  <c r="K2639" i="15"/>
  <c r="K2432" i="15"/>
  <c r="K1511" i="15"/>
  <c r="K2047" i="15"/>
  <c r="K1166" i="15"/>
  <c r="K768" i="15"/>
  <c r="K700" i="15"/>
  <c r="K59" i="15"/>
  <c r="CO415" i="7"/>
  <c r="I3114" i="15" s="1"/>
  <c r="C2267" i="15"/>
  <c r="I2569" i="15"/>
  <c r="I3242" i="15"/>
  <c r="I2568" i="15"/>
  <c r="I3241" i="15"/>
  <c r="I2567" i="15"/>
  <c r="I3240" i="15"/>
  <c r="C2569" i="15"/>
  <c r="C3242" i="15"/>
  <c r="C2568" i="15"/>
  <c r="C3241" i="15"/>
  <c r="C2567" i="15"/>
  <c r="C3240" i="15"/>
  <c r="L2650" i="15"/>
  <c r="L3112" i="15"/>
  <c r="I2651" i="15"/>
  <c r="I3113" i="15"/>
  <c r="F2652" i="15"/>
  <c r="F3114" i="15"/>
  <c r="F2650" i="15"/>
  <c r="F3112" i="15"/>
  <c r="I2570" i="15"/>
  <c r="I2940" i="15"/>
  <c r="I2566" i="15"/>
  <c r="I2939" i="15"/>
  <c r="C2566" i="15"/>
  <c r="C2939" i="15"/>
  <c r="C2570" i="15"/>
  <c r="C2940" i="15"/>
  <c r="K2267" i="15"/>
  <c r="K2652" i="15"/>
  <c r="I2445" i="15"/>
  <c r="I2650" i="15"/>
  <c r="F2446" i="15"/>
  <c r="F2651" i="15"/>
  <c r="C2446" i="15"/>
  <c r="C2651" i="15"/>
  <c r="L2444" i="15"/>
  <c r="L2570" i="15"/>
  <c r="L2442" i="15"/>
  <c r="L2568" i="15"/>
  <c r="L2441" i="15"/>
  <c r="L2567" i="15"/>
  <c r="L2443" i="15"/>
  <c r="L2569" i="15"/>
  <c r="L2440" i="15"/>
  <c r="L2566" i="15"/>
  <c r="F2443" i="15"/>
  <c r="F2569" i="15"/>
  <c r="F2442" i="15"/>
  <c r="F2568" i="15"/>
  <c r="F2444" i="15"/>
  <c r="F2570" i="15"/>
  <c r="F2440" i="15"/>
  <c r="F2566" i="15"/>
  <c r="F2441" i="15"/>
  <c r="F2567" i="15"/>
  <c r="I1862" i="15"/>
  <c r="I2440" i="15"/>
  <c r="I1868" i="15"/>
  <c r="I2446" i="15"/>
  <c r="I1865" i="15"/>
  <c r="I2443" i="15"/>
  <c r="I1864" i="15"/>
  <c r="I2442" i="15"/>
  <c r="L1867" i="15"/>
  <c r="L2445" i="15"/>
  <c r="I1866" i="15"/>
  <c r="I2444" i="15"/>
  <c r="I1863" i="15"/>
  <c r="I2441" i="15"/>
  <c r="C1866" i="15"/>
  <c r="C2444" i="15"/>
  <c r="C1863" i="15"/>
  <c r="C2441" i="15"/>
  <c r="C1864" i="15"/>
  <c r="C2442" i="15"/>
  <c r="C1862" i="15"/>
  <c r="C2440" i="15"/>
  <c r="C1865" i="15"/>
  <c r="C2443" i="15"/>
  <c r="F1867" i="15"/>
  <c r="F2445" i="15"/>
  <c r="F2058" i="15"/>
  <c r="F2267" i="15"/>
  <c r="X2073" i="15"/>
  <c r="K1522" i="15"/>
  <c r="K2058" i="15"/>
  <c r="L1726" i="15"/>
  <c r="L1862" i="15"/>
  <c r="L1729" i="15"/>
  <c r="L1865" i="15"/>
  <c r="I1731" i="15"/>
  <c r="I1867" i="15"/>
  <c r="L1730" i="15"/>
  <c r="L1866" i="15"/>
  <c r="L1728" i="15"/>
  <c r="L1864" i="15"/>
  <c r="L1727" i="15"/>
  <c r="L1863" i="15"/>
  <c r="F1729" i="15"/>
  <c r="F1865" i="15"/>
  <c r="F1728" i="15"/>
  <c r="F1864" i="15"/>
  <c r="F1730" i="15"/>
  <c r="F1866" i="15"/>
  <c r="C1732" i="15"/>
  <c r="C1868" i="15"/>
  <c r="F1726" i="15"/>
  <c r="F1862" i="15"/>
  <c r="F1727" i="15"/>
  <c r="F1863" i="15"/>
  <c r="F1732" i="15"/>
  <c r="F1868" i="15"/>
  <c r="I1173" i="15"/>
  <c r="I1727" i="15"/>
  <c r="I1172" i="15"/>
  <c r="I1726" i="15"/>
  <c r="L1118" i="15"/>
  <c r="L1731" i="15"/>
  <c r="I1177" i="15"/>
  <c r="I1732" i="15"/>
  <c r="I1175" i="15"/>
  <c r="I1729" i="15"/>
  <c r="I1174" i="15"/>
  <c r="I1728" i="15"/>
  <c r="I1176" i="15"/>
  <c r="I1730" i="15"/>
  <c r="F1118" i="15"/>
  <c r="F1731" i="15"/>
  <c r="C1174" i="15"/>
  <c r="C1728" i="15"/>
  <c r="C1173" i="15"/>
  <c r="C1727" i="15"/>
  <c r="C1176" i="15"/>
  <c r="C1730" i="15"/>
  <c r="C1172" i="15"/>
  <c r="C1726" i="15"/>
  <c r="C1175" i="15"/>
  <c r="C1729" i="15"/>
  <c r="F1178" i="15"/>
  <c r="F1522" i="15"/>
  <c r="F711" i="15"/>
  <c r="F1175" i="15"/>
  <c r="F712" i="15"/>
  <c r="F1176" i="15"/>
  <c r="F710" i="15"/>
  <c r="F1174" i="15"/>
  <c r="C778" i="15"/>
  <c r="C1177" i="15"/>
  <c r="F708" i="15"/>
  <c r="F1172" i="15"/>
  <c r="F709" i="15"/>
  <c r="F1173" i="15"/>
  <c r="F778" i="15"/>
  <c r="F1177" i="15"/>
  <c r="L709" i="15"/>
  <c r="L1173" i="15"/>
  <c r="L708" i="15"/>
  <c r="L1172" i="15"/>
  <c r="L711" i="15"/>
  <c r="L1175" i="15"/>
  <c r="K993" i="15"/>
  <c r="K1178" i="15"/>
  <c r="L712" i="15"/>
  <c r="L1176" i="15"/>
  <c r="L710" i="15"/>
  <c r="L1174" i="15"/>
  <c r="X1210" i="15"/>
  <c r="I777" i="15"/>
  <c r="I1118" i="15"/>
  <c r="F715" i="15"/>
  <c r="F993" i="15"/>
  <c r="I714" i="15"/>
  <c r="I778" i="15"/>
  <c r="L713" i="15"/>
  <c r="L777" i="15"/>
  <c r="F713" i="15"/>
  <c r="F777" i="15"/>
  <c r="C76" i="15"/>
  <c r="C711" i="15"/>
  <c r="C73" i="15"/>
  <c r="C708" i="15"/>
  <c r="C75" i="15"/>
  <c r="C710" i="15"/>
  <c r="C74" i="15"/>
  <c r="C709" i="15"/>
  <c r="F79" i="15"/>
  <c r="F714" i="15"/>
  <c r="C77" i="15"/>
  <c r="C712" i="15"/>
  <c r="C79" i="15"/>
  <c r="C714" i="15"/>
  <c r="K80" i="15"/>
  <c r="K715" i="15"/>
  <c r="I78" i="15"/>
  <c r="I713" i="15"/>
  <c r="I76" i="15"/>
  <c r="I711" i="15"/>
  <c r="I75" i="15"/>
  <c r="I710" i="15"/>
  <c r="I77" i="15"/>
  <c r="I712" i="15"/>
  <c r="I74" i="15"/>
  <c r="I709" i="15"/>
  <c r="I73" i="15"/>
  <c r="I708" i="15"/>
  <c r="F74" i="15"/>
  <c r="L74" i="15"/>
  <c r="L78" i="15"/>
  <c r="F80" i="15"/>
  <c r="L76" i="15"/>
  <c r="L77" i="15"/>
  <c r="CJ412" i="7"/>
  <c r="F78" i="15"/>
  <c r="L73" i="15"/>
  <c r="L75" i="15"/>
  <c r="F76" i="15"/>
  <c r="F75" i="15"/>
  <c r="F73" i="15"/>
  <c r="F77" i="15"/>
  <c r="CW413" i="7"/>
  <c r="I79" i="15"/>
  <c r="CJ405" i="7"/>
  <c r="CW408" i="7"/>
  <c r="CW407" i="7"/>
  <c r="CJ408" i="7"/>
  <c r="CJ413" i="7"/>
  <c r="CW406" i="7"/>
  <c r="CW405" i="7"/>
  <c r="CW412" i="7"/>
  <c r="CW404" i="7"/>
  <c r="CJ406" i="7"/>
  <c r="CJ404" i="7"/>
  <c r="CJ407" i="7"/>
  <c r="CJ415" i="7"/>
  <c r="DX167" i="7"/>
  <c r="DY167" i="7"/>
  <c r="CL406" i="7"/>
  <c r="CK406" i="7"/>
  <c r="CL405" i="7"/>
  <c r="CK405" i="7"/>
  <c r="CL404" i="7"/>
  <c r="CK404" i="7"/>
  <c r="CL407" i="7"/>
  <c r="CK407" i="7"/>
  <c r="CK415" i="7"/>
  <c r="CL415" i="7"/>
  <c r="CL412" i="7"/>
  <c r="CK412" i="7"/>
  <c r="CL408" i="7"/>
  <c r="CK408" i="7"/>
  <c r="CL413" i="7"/>
  <c r="CK413" i="7"/>
  <c r="CY407" i="7"/>
  <c r="CX407" i="7"/>
  <c r="CY405" i="7"/>
  <c r="CX405" i="7"/>
  <c r="CY404" i="7"/>
  <c r="CX404" i="7"/>
  <c r="CY412" i="7"/>
  <c r="CX412" i="7"/>
  <c r="CY408" i="7"/>
  <c r="CX408" i="7"/>
  <c r="CX406" i="7"/>
  <c r="CY406" i="7"/>
  <c r="CX413" i="7"/>
  <c r="CY413" i="7"/>
  <c r="DF270" i="7"/>
  <c r="DS270" i="7"/>
  <c r="CF342" i="7"/>
  <c r="CF339" i="7"/>
  <c r="CS342" i="7"/>
  <c r="CS347" i="7"/>
  <c r="CO342" i="7"/>
  <c r="I3103" i="15" s="1"/>
  <c r="DO345" i="7"/>
  <c r="CB350" i="7"/>
  <c r="C3108" i="15" s="1"/>
  <c r="CS348" i="7"/>
  <c r="DN184" i="7"/>
  <c r="DO182" i="7"/>
  <c r="U2972" i="15" s="1"/>
  <c r="CB339" i="7"/>
  <c r="CF343" i="7"/>
  <c r="CO340" i="7"/>
  <c r="I3101" i="15" s="1"/>
  <c r="CS343" i="7"/>
  <c r="CO339" i="7"/>
  <c r="I3100" i="15" s="1"/>
  <c r="DO342" i="7"/>
  <c r="DO346" i="7"/>
  <c r="U3009" i="15" s="1"/>
  <c r="CB348" i="7"/>
  <c r="C3106" i="15" s="1"/>
  <c r="CS349" i="7"/>
  <c r="CB340" i="7"/>
  <c r="C3101" i="15" s="1"/>
  <c r="CF344" i="7"/>
  <c r="CO341" i="7"/>
  <c r="I3102" i="15" s="1"/>
  <c r="CS344" i="7"/>
  <c r="DO339" i="7"/>
  <c r="DO343" i="7"/>
  <c r="U3174" i="15" s="1"/>
  <c r="DO347" i="7"/>
  <c r="CF348" i="7"/>
  <c r="CF340" i="7"/>
  <c r="CB344" i="7"/>
  <c r="C3105" i="15" s="1"/>
  <c r="CS339" i="7"/>
  <c r="CO345" i="7"/>
  <c r="I2931" i="15" s="1"/>
  <c r="DO340" i="7"/>
  <c r="U3171" i="15" s="1"/>
  <c r="DO344" i="7"/>
  <c r="U3175" i="15" s="1"/>
  <c r="DS345" i="7"/>
  <c r="CF349" i="7"/>
  <c r="CB341" i="7"/>
  <c r="C3102" i="15" s="1"/>
  <c r="CB346" i="7"/>
  <c r="C2932" i="15" s="1"/>
  <c r="CS340" i="7"/>
  <c r="CO346" i="7"/>
  <c r="I2932" i="15" s="1"/>
  <c r="DO341" i="7"/>
  <c r="U3172" i="15" s="1"/>
  <c r="DS342" i="7"/>
  <c r="DS346" i="7"/>
  <c r="X3009" i="15" s="1"/>
  <c r="CF350" i="7"/>
  <c r="F3108" i="15" s="1"/>
  <c r="DO196" i="7"/>
  <c r="DO296" i="7"/>
  <c r="DO300" i="7"/>
  <c r="DO304" i="7"/>
  <c r="DO308" i="7"/>
  <c r="DO312" i="7"/>
  <c r="DO280" i="7"/>
  <c r="DO284" i="7"/>
  <c r="DO288" i="7"/>
  <c r="CF341" i="7"/>
  <c r="CF345" i="7"/>
  <c r="CS341" i="7"/>
  <c r="CO347" i="7"/>
  <c r="I2933" i="15" s="1"/>
  <c r="DS339" i="7"/>
  <c r="DS343" i="7"/>
  <c r="X3174" i="15" s="1"/>
  <c r="CO348" i="7"/>
  <c r="I3106" i="15" s="1"/>
  <c r="CB342" i="7"/>
  <c r="CF346" i="7"/>
  <c r="CO343" i="7"/>
  <c r="I3104" i="15" s="1"/>
  <c r="CS345" i="7"/>
  <c r="DS340" i="7"/>
  <c r="X3171" i="15" s="1"/>
  <c r="DS344" i="7"/>
  <c r="X3175" i="15" s="1"/>
  <c r="CB347" i="7"/>
  <c r="C2933" i="15" s="1"/>
  <c r="CO349" i="7"/>
  <c r="I3107" i="15" s="1"/>
  <c r="DN187" i="7"/>
  <c r="DO185" i="7"/>
  <c r="U2974" i="15" s="1"/>
  <c r="DO270" i="7"/>
  <c r="DO293" i="7"/>
  <c r="CB343" i="7"/>
  <c r="C3104" i="15" s="1"/>
  <c r="CF347" i="7"/>
  <c r="CO344" i="7"/>
  <c r="I3105" i="15" s="1"/>
  <c r="CS346" i="7"/>
  <c r="DS341" i="7"/>
  <c r="X3172" i="15" s="1"/>
  <c r="CB345" i="7"/>
  <c r="CB349" i="7"/>
  <c r="C3107" i="15" s="1"/>
  <c r="CO350" i="7"/>
  <c r="DA339" i="7"/>
  <c r="X2580" i="15" l="1"/>
  <c r="X1389" i="15"/>
  <c r="X1936" i="15"/>
  <c r="X1025" i="15"/>
  <c r="X1574" i="15"/>
  <c r="X626" i="15"/>
  <c r="X2578" i="15"/>
  <c r="X155" i="15"/>
  <c r="X2448" i="15"/>
  <c r="X215" i="15"/>
  <c r="X2772" i="15"/>
  <c r="X848" i="15"/>
  <c r="X1621" i="15"/>
  <c r="X2450" i="15"/>
  <c r="X528" i="15"/>
  <c r="X157" i="15"/>
  <c r="X535" i="15"/>
  <c r="X209" i="15"/>
  <c r="X2762" i="15"/>
  <c r="X1046" i="15"/>
  <c r="X1609" i="15"/>
  <c r="U1020" i="15"/>
  <c r="X1199" i="15"/>
  <c r="X210" i="15"/>
  <c r="X1198" i="15"/>
  <c r="X1610" i="15"/>
  <c r="X2472" i="15"/>
  <c r="X515" i="15"/>
  <c r="X837" i="15"/>
  <c r="X1963" i="15"/>
  <c r="X1962" i="15"/>
  <c r="X2474" i="15"/>
  <c r="X1197" i="15"/>
  <c r="X1608" i="15"/>
  <c r="X2761" i="15"/>
  <c r="X517" i="15"/>
  <c r="X1045" i="15"/>
  <c r="X2473" i="15"/>
  <c r="X211" i="15"/>
  <c r="X516" i="15"/>
  <c r="X1964" i="15"/>
  <c r="X2760" i="15"/>
  <c r="DS315" i="7"/>
  <c r="X3164" i="15" s="1"/>
  <c r="DS313" i="7"/>
  <c r="X3162" i="15" s="1"/>
  <c r="X1052" i="15"/>
  <c r="DS314" i="7"/>
  <c r="X3163" i="15" s="1"/>
  <c r="X233" i="15"/>
  <c r="X1203" i="15"/>
  <c r="X2066" i="15"/>
  <c r="X2299" i="15"/>
  <c r="X522" i="15"/>
  <c r="X2766" i="15"/>
  <c r="X1391" i="15"/>
  <c r="X1938" i="15"/>
  <c r="X2083" i="15"/>
  <c r="X1220" i="15"/>
  <c r="X1027" i="15"/>
  <c r="X1576" i="15"/>
  <c r="X1631" i="15"/>
  <c r="X222" i="15"/>
  <c r="X538" i="15"/>
  <c r="X853" i="15"/>
  <c r="X1221" i="15"/>
  <c r="X2783" i="15"/>
  <c r="X232" i="15"/>
  <c r="X539" i="15"/>
  <c r="X2773" i="15"/>
  <c r="X2315" i="15"/>
  <c r="X628" i="15"/>
  <c r="X2316" i="15"/>
  <c r="X2305" i="15"/>
  <c r="DW292" i="7"/>
  <c r="X213" i="15"/>
  <c r="X529" i="15"/>
  <c r="X1632" i="15"/>
  <c r="X2084" i="15"/>
  <c r="X3161" i="15"/>
  <c r="X631" i="15"/>
  <c r="X1394" i="15"/>
  <c r="X160" i="15"/>
  <c r="X1030" i="15"/>
  <c r="X216" i="15"/>
  <c r="X1204" i="15"/>
  <c r="X1209" i="15"/>
  <c r="X842" i="15"/>
  <c r="X847" i="15"/>
  <c r="X1615" i="15"/>
  <c r="X2471" i="15"/>
  <c r="X841" i="15"/>
  <c r="X2072" i="15"/>
  <c r="X1614" i="15"/>
  <c r="X2298" i="15"/>
  <c r="X2304" i="15"/>
  <c r="X527" i="15"/>
  <c r="X1620" i="15"/>
  <c r="X521" i="15"/>
  <c r="X221" i="15"/>
  <c r="X2713" i="15"/>
  <c r="X1941" i="15"/>
  <c r="X2453" i="15"/>
  <c r="X1579" i="15"/>
  <c r="X2451" i="15"/>
  <c r="X1577" i="15"/>
  <c r="X810" i="15"/>
  <c r="X2308" i="15"/>
  <c r="I80" i="15"/>
  <c r="U2709" i="15"/>
  <c r="U2446" i="15"/>
  <c r="U624" i="15"/>
  <c r="U1934" i="15"/>
  <c r="U153" i="15"/>
  <c r="U1387" i="15"/>
  <c r="U1572" i="15"/>
  <c r="U1023" i="15"/>
  <c r="X1944" i="15"/>
  <c r="X1746" i="15"/>
  <c r="X2765" i="15"/>
  <c r="X2297" i="15"/>
  <c r="X227" i="15"/>
  <c r="X2715" i="15"/>
  <c r="X680" i="15"/>
  <c r="X531" i="15"/>
  <c r="X1202" i="15"/>
  <c r="I1178" i="15"/>
  <c r="X2065" i="15"/>
  <c r="X2455" i="15"/>
  <c r="X520" i="15"/>
  <c r="X163" i="15"/>
  <c r="X840" i="15"/>
  <c r="I993" i="15"/>
  <c r="X1624" i="15"/>
  <c r="I1522" i="15"/>
  <c r="X1613" i="15"/>
  <c r="DS305" i="7"/>
  <c r="X3154" i="15" s="1"/>
  <c r="X214" i="15"/>
  <c r="I715" i="15"/>
  <c r="X1185" i="15"/>
  <c r="I2058" i="15"/>
  <c r="I2652" i="15"/>
  <c r="I2267" i="15"/>
  <c r="X2466" i="15"/>
  <c r="X229" i="15"/>
  <c r="X1216" i="15"/>
  <c r="X1217" i="15"/>
  <c r="X1191" i="15"/>
  <c r="X1955" i="15"/>
  <c r="X1954" i="15"/>
  <c r="X2311" i="15"/>
  <c r="X2752" i="15"/>
  <c r="X509" i="15"/>
  <c r="X507" i="15"/>
  <c r="X1049" i="15"/>
  <c r="X852" i="15"/>
  <c r="X1042" i="15"/>
  <c r="X1601" i="15"/>
  <c r="X1600" i="15"/>
  <c r="X2306" i="15"/>
  <c r="X2464" i="15"/>
  <c r="X2779" i="15"/>
  <c r="X223" i="15"/>
  <c r="X203" i="15"/>
  <c r="X201" i="15"/>
  <c r="X1190" i="15"/>
  <c r="X1622" i="15"/>
  <c r="X2074" i="15"/>
  <c r="X3151" i="15"/>
  <c r="DS303" i="7"/>
  <c r="X3152" i="15" s="1"/>
  <c r="X833" i="15"/>
  <c r="X1211" i="15"/>
  <c r="X2079" i="15"/>
  <c r="X2780" i="15"/>
  <c r="X2774" i="15"/>
  <c r="X534" i="15"/>
  <c r="X1189" i="15"/>
  <c r="X1956" i="15"/>
  <c r="X1627" i="15"/>
  <c r="X2312" i="15"/>
  <c r="X2753" i="15"/>
  <c r="X228" i="15"/>
  <c r="X508" i="15"/>
  <c r="X1041" i="15"/>
  <c r="X1602" i="15"/>
  <c r="X2080" i="15"/>
  <c r="X2465" i="15"/>
  <c r="X202" i="15"/>
  <c r="X1628" i="15"/>
  <c r="X2754" i="15"/>
  <c r="X1193" i="15"/>
  <c r="X2449" i="15"/>
  <c r="X212" i="15"/>
  <c r="X1043" i="15"/>
  <c r="X510" i="15"/>
  <c r="X1050" i="15"/>
  <c r="X1192" i="15"/>
  <c r="X230" i="15"/>
  <c r="X204" i="15"/>
  <c r="X536" i="15"/>
  <c r="X834" i="15"/>
  <c r="X1937" i="15"/>
  <c r="X2313" i="15"/>
  <c r="X2756" i="15"/>
  <c r="X2467" i="15"/>
  <c r="DS310" i="7"/>
  <c r="X3159" i="15" s="1"/>
  <c r="X1390" i="15"/>
  <c r="X1629" i="15"/>
  <c r="X1575" i="15"/>
  <c r="X2081" i="15"/>
  <c r="X2468" i="15"/>
  <c r="X3158" i="15"/>
  <c r="X511" i="15"/>
  <c r="X627" i="15"/>
  <c r="X1026" i="15"/>
  <c r="X1218" i="15"/>
  <c r="X1603" i="15"/>
  <c r="X205" i="15"/>
  <c r="X156" i="15"/>
  <c r="X1958" i="15"/>
  <c r="X1604" i="15"/>
  <c r="X1957" i="15"/>
  <c r="X2579" i="15"/>
  <c r="X2755" i="15"/>
  <c r="X2069" i="15"/>
  <c r="X289" i="15"/>
  <c r="X1137" i="15"/>
  <c r="X2582" i="15"/>
  <c r="X1981" i="15"/>
  <c r="X2067" i="15"/>
  <c r="X2767" i="15"/>
  <c r="X2302" i="15"/>
  <c r="X162" i="15"/>
  <c r="X1194" i="15"/>
  <c r="U2576" i="15"/>
  <c r="X715" i="15"/>
  <c r="X846" i="15"/>
  <c r="X2303" i="15"/>
  <c r="O3107" i="15"/>
  <c r="DY400" i="7"/>
  <c r="X895" i="15"/>
  <c r="X1781" i="15"/>
  <c r="X2454" i="15"/>
  <c r="X2498" i="15"/>
  <c r="X2757" i="15"/>
  <c r="X2301" i="15"/>
  <c r="X523" i="15"/>
  <c r="DX400" i="7"/>
  <c r="DW195" i="7"/>
  <c r="X217" i="15"/>
  <c r="X835" i="15"/>
  <c r="X1215" i="15"/>
  <c r="X1617" i="15"/>
  <c r="X2076" i="15"/>
  <c r="X1943" i="15"/>
  <c r="U2443" i="15"/>
  <c r="X2469" i="15"/>
  <c r="X3153" i="15"/>
  <c r="DW400" i="7"/>
  <c r="X225" i="15"/>
  <c r="X533" i="15"/>
  <c r="X524" i="15"/>
  <c r="O692" i="15"/>
  <c r="X851" i="15"/>
  <c r="U1137" i="15"/>
  <c r="X1048" i="15"/>
  <c r="O2042" i="15"/>
  <c r="U2582" i="15"/>
  <c r="X2776" i="15"/>
  <c r="X512" i="15"/>
  <c r="X525" i="15"/>
  <c r="U621" i="15"/>
  <c r="U715" i="15"/>
  <c r="X1206" i="15"/>
  <c r="X845" i="15"/>
  <c r="X1605" i="15"/>
  <c r="X2078" i="15"/>
  <c r="X2068" i="15"/>
  <c r="O2652" i="15"/>
  <c r="X2300" i="15"/>
  <c r="U3017" i="15"/>
  <c r="U895" i="15"/>
  <c r="O1735" i="15"/>
  <c r="U2498" i="15"/>
  <c r="X2768" i="15"/>
  <c r="X206" i="15"/>
  <c r="X219" i="15"/>
  <c r="U150" i="15"/>
  <c r="U289" i="15"/>
  <c r="X844" i="15"/>
  <c r="X1745" i="15"/>
  <c r="U1931" i="15"/>
  <c r="U1981" i="15"/>
  <c r="X1626" i="15"/>
  <c r="X1616" i="15"/>
  <c r="O2273" i="15"/>
  <c r="X2778" i="15"/>
  <c r="X3110" i="15"/>
  <c r="O77" i="15"/>
  <c r="DY195" i="7"/>
  <c r="X809" i="15"/>
  <c r="O1119" i="15"/>
  <c r="X1205" i="15"/>
  <c r="X1121" i="15"/>
  <c r="U1569" i="15"/>
  <c r="X2070" i="15"/>
  <c r="X2310" i="15"/>
  <c r="X2714" i="15"/>
  <c r="X218" i="15"/>
  <c r="X1207" i="15"/>
  <c r="X1959" i="15"/>
  <c r="DX195" i="7"/>
  <c r="X679" i="15"/>
  <c r="O770" i="15"/>
  <c r="X843" i="15"/>
  <c r="U1384" i="15"/>
  <c r="X1618" i="15"/>
  <c r="X2770" i="15"/>
  <c r="X2769" i="15"/>
  <c r="X513" i="15"/>
  <c r="X630" i="15"/>
  <c r="X1196" i="15"/>
  <c r="X1200" i="15"/>
  <c r="X1930" i="15"/>
  <c r="X2071" i="15"/>
  <c r="X2758" i="15"/>
  <c r="X2763" i="15"/>
  <c r="X207" i="15"/>
  <c r="X159" i="15"/>
  <c r="X836" i="15"/>
  <c r="X838" i="15"/>
  <c r="X1568" i="15"/>
  <c r="X1619" i="15"/>
  <c r="X2470" i="15"/>
  <c r="X2475" i="15"/>
  <c r="X514" i="15"/>
  <c r="X629" i="15"/>
  <c r="X1195" i="15"/>
  <c r="X1201" i="15"/>
  <c r="X1392" i="15"/>
  <c r="X1383" i="15"/>
  <c r="X2064" i="15"/>
  <c r="X2712" i="15"/>
  <c r="AA2584" i="15"/>
  <c r="AB2584" i="15"/>
  <c r="Z2584" i="15"/>
  <c r="X208" i="15"/>
  <c r="X158" i="15"/>
  <c r="X1044" i="15"/>
  <c r="X839" i="15"/>
  <c r="X1028" i="15"/>
  <c r="X1019" i="15"/>
  <c r="X1612" i="15"/>
  <c r="X2452" i="15"/>
  <c r="X526" i="15"/>
  <c r="X620" i="15"/>
  <c r="X1393" i="15"/>
  <c r="X1965" i="15"/>
  <c r="X1960" i="15"/>
  <c r="X1940" i="15"/>
  <c r="X1961" i="15"/>
  <c r="X2575" i="15"/>
  <c r="X2764" i="15"/>
  <c r="DY292" i="7"/>
  <c r="DS183" i="7"/>
  <c r="X1384" i="15" s="1"/>
  <c r="X220" i="15"/>
  <c r="X149" i="15"/>
  <c r="X1029" i="15"/>
  <c r="X1611" i="15"/>
  <c r="X1606" i="15"/>
  <c r="X1578" i="15"/>
  <c r="X1607" i="15"/>
  <c r="X2442" i="15"/>
  <c r="X2296" i="15"/>
  <c r="DX292" i="7"/>
  <c r="X519" i="15"/>
  <c r="X518" i="15"/>
  <c r="X1208" i="15"/>
  <c r="X1939" i="15"/>
  <c r="X2759" i="15"/>
  <c r="X2771" i="15"/>
  <c r="X2711" i="15"/>
  <c r="AC2584" i="15"/>
  <c r="AE2584" i="15"/>
  <c r="AD2584" i="15"/>
  <c r="U3173" i="15"/>
  <c r="U3122" i="15"/>
  <c r="U3170" i="15"/>
  <c r="U3008" i="15"/>
  <c r="X3170" i="15"/>
  <c r="X3173" i="15"/>
  <c r="X3008" i="15"/>
  <c r="C2931" i="15"/>
  <c r="C3103" i="15"/>
  <c r="C3100" i="15"/>
  <c r="U2765" i="15"/>
  <c r="U3142" i="15"/>
  <c r="U2768" i="15"/>
  <c r="U3145" i="15"/>
  <c r="U2760" i="15"/>
  <c r="U3137" i="15"/>
  <c r="U2715" i="15"/>
  <c r="U3111" i="15"/>
  <c r="X2742" i="15"/>
  <c r="X3122" i="15"/>
  <c r="U2756" i="15"/>
  <c r="U3133" i="15"/>
  <c r="U2752" i="15"/>
  <c r="U3129" i="15"/>
  <c r="U2784" i="15"/>
  <c r="U3161" i="15"/>
  <c r="U2772" i="15"/>
  <c r="U3149" i="15"/>
  <c r="U2780" i="15"/>
  <c r="U3157" i="15"/>
  <c r="U2776" i="15"/>
  <c r="U3153" i="15"/>
  <c r="N2654" i="15"/>
  <c r="N3108" i="15"/>
  <c r="R2652" i="15"/>
  <c r="R3107" i="15"/>
  <c r="L2631" i="15"/>
  <c r="L3102" i="15"/>
  <c r="L2639" i="15"/>
  <c r="L3107" i="15"/>
  <c r="L2632" i="15"/>
  <c r="L3103" i="15"/>
  <c r="L2630" i="15"/>
  <c r="L3101" i="15"/>
  <c r="I2640" i="15"/>
  <c r="I3108" i="15"/>
  <c r="L2638" i="15"/>
  <c r="L3106" i="15"/>
  <c r="L2634" i="15"/>
  <c r="L3105" i="15"/>
  <c r="L2633" i="15"/>
  <c r="L3104" i="15"/>
  <c r="L2629" i="15"/>
  <c r="L3100" i="15"/>
  <c r="F2634" i="15"/>
  <c r="F3105" i="15"/>
  <c r="F2633" i="15"/>
  <c r="F3104" i="15"/>
  <c r="F2630" i="15"/>
  <c r="F3101" i="15"/>
  <c r="F2639" i="15"/>
  <c r="F3107" i="15"/>
  <c r="F2638" i="15"/>
  <c r="F3106" i="15"/>
  <c r="F2629" i="15"/>
  <c r="F3100" i="15"/>
  <c r="F2631" i="15"/>
  <c r="F3102" i="15"/>
  <c r="F2632" i="15"/>
  <c r="F3103" i="15"/>
  <c r="U2819" i="15"/>
  <c r="U3010" i="15"/>
  <c r="T2577" i="15"/>
  <c r="T2973" i="15"/>
  <c r="T2710" i="15"/>
  <c r="T2976" i="15"/>
  <c r="L2635" i="15"/>
  <c r="L2931" i="15"/>
  <c r="L2637" i="15"/>
  <c r="L2933" i="15"/>
  <c r="F2635" i="15"/>
  <c r="F2931" i="15"/>
  <c r="F2637" i="15"/>
  <c r="F2933" i="15"/>
  <c r="F2636" i="15"/>
  <c r="F2932" i="15"/>
  <c r="L2636" i="15"/>
  <c r="L2932" i="15"/>
  <c r="X2485" i="15"/>
  <c r="X2812" i="15"/>
  <c r="X2490" i="15"/>
  <c r="X2817" i="15"/>
  <c r="U2491" i="15"/>
  <c r="U2818" i="15"/>
  <c r="U2289" i="15"/>
  <c r="U2742" i="15"/>
  <c r="U2489" i="15"/>
  <c r="U2816" i="15"/>
  <c r="U2488" i="15"/>
  <c r="U2815" i="15"/>
  <c r="U2487" i="15"/>
  <c r="U2814" i="15"/>
  <c r="U2445" i="15"/>
  <c r="U2708" i="15"/>
  <c r="U2485" i="15"/>
  <c r="U2812" i="15"/>
  <c r="U2484" i="15"/>
  <c r="U2811" i="15"/>
  <c r="U2486" i="15"/>
  <c r="U2813" i="15"/>
  <c r="X2486" i="15"/>
  <c r="X2813" i="15"/>
  <c r="X2488" i="15"/>
  <c r="X2815" i="15"/>
  <c r="X2491" i="15"/>
  <c r="X2818" i="15"/>
  <c r="U2490" i="15"/>
  <c r="U2817" i="15"/>
  <c r="X2489" i="15"/>
  <c r="X2816" i="15"/>
  <c r="X2484" i="15"/>
  <c r="X2811" i="15"/>
  <c r="X2487" i="15"/>
  <c r="X2814" i="15"/>
  <c r="I2429" i="15"/>
  <c r="I2636" i="15"/>
  <c r="I2426" i="15"/>
  <c r="I2633" i="15"/>
  <c r="I2430" i="15"/>
  <c r="I2637" i="15"/>
  <c r="I2431" i="15"/>
  <c r="I2638" i="15"/>
  <c r="I2422" i="15"/>
  <c r="I2629" i="15"/>
  <c r="I2427" i="15"/>
  <c r="I2634" i="15"/>
  <c r="I2428" i="15"/>
  <c r="I2635" i="15"/>
  <c r="I2432" i="15"/>
  <c r="I2639" i="15"/>
  <c r="I2424" i="15"/>
  <c r="I2631" i="15"/>
  <c r="I2423" i="15"/>
  <c r="I2630" i="15"/>
  <c r="I2425" i="15"/>
  <c r="I2632" i="15"/>
  <c r="C2426" i="15"/>
  <c r="C2633" i="15"/>
  <c r="C2431" i="15"/>
  <c r="C2638" i="15"/>
  <c r="C2432" i="15"/>
  <c r="C2639" i="15"/>
  <c r="C2424" i="15"/>
  <c r="C2631" i="15"/>
  <c r="C2429" i="15"/>
  <c r="C2636" i="15"/>
  <c r="F2433" i="15"/>
  <c r="F2640" i="15"/>
  <c r="C2425" i="15"/>
  <c r="C2632" i="15"/>
  <c r="C2428" i="15"/>
  <c r="C2635" i="15"/>
  <c r="C2433" i="15"/>
  <c r="C2640" i="15"/>
  <c r="C2430" i="15"/>
  <c r="C2637" i="15"/>
  <c r="C2427" i="15"/>
  <c r="C2634" i="15"/>
  <c r="C2423" i="15"/>
  <c r="C2630" i="15"/>
  <c r="C2422" i="15"/>
  <c r="C2629" i="15"/>
  <c r="U2442" i="15"/>
  <c r="U2575" i="15"/>
  <c r="U1958" i="15"/>
  <c r="U2468" i="15"/>
  <c r="U1944" i="15"/>
  <c r="U2455" i="15"/>
  <c r="U1962" i="15"/>
  <c r="U2472" i="15"/>
  <c r="T1935" i="15"/>
  <c r="T2447" i="15"/>
  <c r="U1954" i="15"/>
  <c r="U2464" i="15"/>
  <c r="U2109" i="15"/>
  <c r="U2492" i="15"/>
  <c r="T1932" i="15"/>
  <c r="T2444" i="15"/>
  <c r="N2044" i="15"/>
  <c r="N2425" i="15"/>
  <c r="I2048" i="15"/>
  <c r="I2433" i="15"/>
  <c r="L2043" i="15"/>
  <c r="L2428" i="15"/>
  <c r="L2046" i="15"/>
  <c r="L2431" i="15"/>
  <c r="L2042" i="15"/>
  <c r="L2427" i="15"/>
  <c r="L2041" i="15"/>
  <c r="L2426" i="15"/>
  <c r="L2044" i="15"/>
  <c r="L2429" i="15"/>
  <c r="L2037" i="15"/>
  <c r="L2422" i="15"/>
  <c r="L2038" i="15"/>
  <c r="L2423" i="15"/>
  <c r="L2045" i="15"/>
  <c r="L2430" i="15"/>
  <c r="L2039" i="15"/>
  <c r="L2424" i="15"/>
  <c r="L2047" i="15"/>
  <c r="L2432" i="15"/>
  <c r="L2040" i="15"/>
  <c r="L2425" i="15"/>
  <c r="F2042" i="15"/>
  <c r="F2427" i="15"/>
  <c r="F2041" i="15"/>
  <c r="F2426" i="15"/>
  <c r="F2045" i="15"/>
  <c r="F2430" i="15"/>
  <c r="F2038" i="15"/>
  <c r="F2423" i="15"/>
  <c r="F2043" i="15"/>
  <c r="F2428" i="15"/>
  <c r="F2047" i="15"/>
  <c r="F2432" i="15"/>
  <c r="F2046" i="15"/>
  <c r="F2431" i="15"/>
  <c r="F2037" i="15"/>
  <c r="F2422" i="15"/>
  <c r="F2044" i="15"/>
  <c r="F2429" i="15"/>
  <c r="F2039" i="15"/>
  <c r="F2424" i="15"/>
  <c r="F2040" i="15"/>
  <c r="F2425" i="15"/>
  <c r="U2076" i="15"/>
  <c r="U2308" i="15"/>
  <c r="U2072" i="15"/>
  <c r="U2304" i="15"/>
  <c r="U2065" i="15"/>
  <c r="U2297" i="15"/>
  <c r="U2068" i="15"/>
  <c r="U2300" i="15"/>
  <c r="X2054" i="15"/>
  <c r="X2289" i="15"/>
  <c r="U2080" i="15"/>
  <c r="U2312" i="15"/>
  <c r="U2084" i="15"/>
  <c r="U2316" i="15"/>
  <c r="R2042" i="15"/>
  <c r="R2273" i="15"/>
  <c r="X1644" i="15"/>
  <c r="X2101" i="15"/>
  <c r="X1647" i="15"/>
  <c r="X2104" i="15"/>
  <c r="X1651" i="15"/>
  <c r="X2108" i="15"/>
  <c r="U1650" i="15"/>
  <c r="U2107" i="15"/>
  <c r="U1646" i="15"/>
  <c r="U2103" i="15"/>
  <c r="X1646" i="15"/>
  <c r="X2103" i="15"/>
  <c r="X1649" i="15"/>
  <c r="X2106" i="15"/>
  <c r="X1645" i="15"/>
  <c r="X2102" i="15"/>
  <c r="X1648" i="15"/>
  <c r="X2105" i="15"/>
  <c r="X1650" i="15"/>
  <c r="X2107" i="15"/>
  <c r="U1651" i="15"/>
  <c r="U2108" i="15"/>
  <c r="U1756" i="15"/>
  <c r="U2054" i="15"/>
  <c r="U1649" i="15"/>
  <c r="U2106" i="15"/>
  <c r="U1648" i="15"/>
  <c r="U2105" i="15"/>
  <c r="U1647" i="15"/>
  <c r="U2104" i="15"/>
  <c r="U1645" i="15"/>
  <c r="U2102" i="15"/>
  <c r="U1644" i="15"/>
  <c r="U2101" i="15"/>
  <c r="I1508" i="15"/>
  <c r="I2044" i="15"/>
  <c r="I1506" i="15"/>
  <c r="I2042" i="15"/>
  <c r="I1505" i="15"/>
  <c r="I2041" i="15"/>
  <c r="I1510" i="15"/>
  <c r="I2046" i="15"/>
  <c r="I1501" i="15"/>
  <c r="I2037" i="15"/>
  <c r="I1507" i="15"/>
  <c r="I2043" i="15"/>
  <c r="I1509" i="15"/>
  <c r="I2045" i="15"/>
  <c r="I1511" i="15"/>
  <c r="I2047" i="15"/>
  <c r="I1503" i="15"/>
  <c r="I2039" i="15"/>
  <c r="I1502" i="15"/>
  <c r="I2038" i="15"/>
  <c r="I1504" i="15"/>
  <c r="I2040" i="15"/>
  <c r="C1507" i="15"/>
  <c r="C2043" i="15"/>
  <c r="F1512" i="15"/>
  <c r="F2048" i="15"/>
  <c r="C1512" i="15"/>
  <c r="C2048" i="15"/>
  <c r="C1504" i="15"/>
  <c r="C2040" i="15"/>
  <c r="C1511" i="15"/>
  <c r="C2047" i="15"/>
  <c r="C1509" i="15"/>
  <c r="C2045" i="15"/>
  <c r="C1506" i="15"/>
  <c r="C2042" i="15"/>
  <c r="C1502" i="15"/>
  <c r="C2038" i="15"/>
  <c r="C1501" i="15"/>
  <c r="C2037" i="15"/>
  <c r="C1505" i="15"/>
  <c r="C2041" i="15"/>
  <c r="C1510" i="15"/>
  <c r="C2046" i="15"/>
  <c r="C1503" i="15"/>
  <c r="C2039" i="15"/>
  <c r="C1508" i="15"/>
  <c r="C2044" i="15"/>
  <c r="U1571" i="15"/>
  <c r="U1933" i="15"/>
  <c r="U1568" i="15"/>
  <c r="U1930" i="15"/>
  <c r="U1185" i="15"/>
  <c r="U1746" i="15"/>
  <c r="X1130" i="15"/>
  <c r="X1756" i="15"/>
  <c r="R1119" i="15"/>
  <c r="R1735" i="15"/>
  <c r="F1161" i="15"/>
  <c r="F1505" i="15"/>
  <c r="F1164" i="15"/>
  <c r="F1509" i="15"/>
  <c r="F1159" i="15"/>
  <c r="F1502" i="15"/>
  <c r="F1117" i="15"/>
  <c r="F1507" i="15"/>
  <c r="F1166" i="15"/>
  <c r="F1511" i="15"/>
  <c r="F1165" i="15"/>
  <c r="F1510" i="15"/>
  <c r="F1115" i="15"/>
  <c r="F1501" i="15"/>
  <c r="F1160" i="15"/>
  <c r="F1503" i="15"/>
  <c r="F1116" i="15"/>
  <c r="F1504" i="15"/>
  <c r="F1162" i="15"/>
  <c r="F1506" i="15"/>
  <c r="F1163" i="15"/>
  <c r="F1508" i="15"/>
  <c r="L1165" i="15"/>
  <c r="L1510" i="15"/>
  <c r="L1163" i="15"/>
  <c r="L1508" i="15"/>
  <c r="L1115" i="15"/>
  <c r="L1501" i="15"/>
  <c r="L1164" i="15"/>
  <c r="L1509" i="15"/>
  <c r="L1160" i="15"/>
  <c r="L1503" i="15"/>
  <c r="L1166" i="15"/>
  <c r="L1511" i="15"/>
  <c r="L1116" i="15"/>
  <c r="L1504" i="15"/>
  <c r="L1161" i="15"/>
  <c r="L1505" i="15"/>
  <c r="L1159" i="15"/>
  <c r="L1502" i="15"/>
  <c r="L1162" i="15"/>
  <c r="L1506" i="15"/>
  <c r="I1167" i="15"/>
  <c r="I1512" i="15"/>
  <c r="L1117" i="15"/>
  <c r="L1507" i="15"/>
  <c r="N1120" i="15"/>
  <c r="N1508" i="15"/>
  <c r="U1193" i="15"/>
  <c r="U1604" i="15"/>
  <c r="U1189" i="15"/>
  <c r="U1600" i="15"/>
  <c r="U1221" i="15"/>
  <c r="U1632" i="15"/>
  <c r="U1217" i="15"/>
  <c r="U1628" i="15"/>
  <c r="U1197" i="15"/>
  <c r="U1608" i="15"/>
  <c r="T1388" i="15"/>
  <c r="T1573" i="15"/>
  <c r="U1213" i="15"/>
  <c r="U1624" i="15"/>
  <c r="U1209" i="15"/>
  <c r="U1620" i="15"/>
  <c r="U1202" i="15"/>
  <c r="U1613" i="15"/>
  <c r="U1205" i="15"/>
  <c r="U1616" i="15"/>
  <c r="U1234" i="15"/>
  <c r="U1652" i="15"/>
  <c r="T1385" i="15"/>
  <c r="T1570" i="15"/>
  <c r="U1022" i="15"/>
  <c r="U1386" i="15"/>
  <c r="U1019" i="15"/>
  <c r="U1383" i="15"/>
  <c r="C768" i="15"/>
  <c r="C1166" i="15"/>
  <c r="C760" i="15"/>
  <c r="C1160" i="15"/>
  <c r="C762" i="15"/>
  <c r="C1161" i="15"/>
  <c r="C767" i="15"/>
  <c r="C1165" i="15"/>
  <c r="F769" i="15"/>
  <c r="F1167" i="15"/>
  <c r="C769" i="15"/>
  <c r="C1167" i="15"/>
  <c r="C765" i="15"/>
  <c r="C1163" i="15"/>
  <c r="C766" i="15"/>
  <c r="C1164" i="15"/>
  <c r="C763" i="15"/>
  <c r="C1162" i="15"/>
  <c r="C759" i="15"/>
  <c r="C1159" i="15"/>
  <c r="I767" i="15"/>
  <c r="I1165" i="15"/>
  <c r="I762" i="15"/>
  <c r="I1161" i="15"/>
  <c r="I768" i="15"/>
  <c r="I1166" i="15"/>
  <c r="I760" i="15"/>
  <c r="I1160" i="15"/>
  <c r="I759" i="15"/>
  <c r="I1159" i="15"/>
  <c r="I763" i="15"/>
  <c r="I1162" i="15"/>
  <c r="I766" i="15"/>
  <c r="I1164" i="15"/>
  <c r="I765" i="15"/>
  <c r="I1163" i="15"/>
  <c r="X883" i="15"/>
  <c r="X1233" i="15"/>
  <c r="U878" i="15"/>
  <c r="U1230" i="15"/>
  <c r="X881" i="15"/>
  <c r="X1232" i="15"/>
  <c r="X877" i="15"/>
  <c r="X1229" i="15"/>
  <c r="U883" i="15"/>
  <c r="U1233" i="15"/>
  <c r="X880" i="15"/>
  <c r="X1231" i="15"/>
  <c r="U881" i="15"/>
  <c r="U1232" i="15"/>
  <c r="U880" i="15"/>
  <c r="U1231" i="15"/>
  <c r="X878" i="15"/>
  <c r="X1230" i="15"/>
  <c r="U877" i="15"/>
  <c r="U1229" i="15"/>
  <c r="X882" i="15"/>
  <c r="X1135" i="15"/>
  <c r="U825" i="15"/>
  <c r="U1130" i="15"/>
  <c r="U879" i="15"/>
  <c r="U1134" i="15"/>
  <c r="U876" i="15"/>
  <c r="U1133" i="15"/>
  <c r="U882" i="15"/>
  <c r="U1135" i="15"/>
  <c r="X876" i="15"/>
  <c r="X1133" i="15"/>
  <c r="X879" i="15"/>
  <c r="X1134" i="15"/>
  <c r="I758" i="15"/>
  <c r="I1115" i="15"/>
  <c r="I764" i="15"/>
  <c r="I1117" i="15"/>
  <c r="I761" i="15"/>
  <c r="I1116" i="15"/>
  <c r="C758" i="15"/>
  <c r="C1115" i="15"/>
  <c r="C764" i="15"/>
  <c r="C1117" i="15"/>
  <c r="C761" i="15"/>
  <c r="C1116" i="15"/>
  <c r="T622" i="15"/>
  <c r="T1021" i="15"/>
  <c r="U515" i="15"/>
  <c r="U1045" i="15"/>
  <c r="U511" i="15"/>
  <c r="U1043" i="15"/>
  <c r="T625" i="15"/>
  <c r="T1024" i="15"/>
  <c r="U507" i="15"/>
  <c r="U1041" i="15"/>
  <c r="U539" i="15"/>
  <c r="U853" i="15"/>
  <c r="X689" i="15"/>
  <c r="X825" i="15"/>
  <c r="U535" i="15"/>
  <c r="U852" i="15"/>
  <c r="U531" i="15"/>
  <c r="U851" i="15"/>
  <c r="U680" i="15"/>
  <c r="U810" i="15"/>
  <c r="U527" i="15"/>
  <c r="U847" i="15"/>
  <c r="U520" i="15"/>
  <c r="U840" i="15"/>
  <c r="U523" i="15"/>
  <c r="U843" i="15"/>
  <c r="U710" i="15"/>
  <c r="U884" i="15"/>
  <c r="R692" i="15"/>
  <c r="R770" i="15"/>
  <c r="N693" i="15"/>
  <c r="N772" i="15"/>
  <c r="L699" i="15"/>
  <c r="L767" i="15"/>
  <c r="L697" i="15"/>
  <c r="L765" i="15"/>
  <c r="L690" i="15"/>
  <c r="L758" i="15"/>
  <c r="L694" i="15"/>
  <c r="L762" i="15"/>
  <c r="L698" i="15"/>
  <c r="L766" i="15"/>
  <c r="L692" i="15"/>
  <c r="L760" i="15"/>
  <c r="L700" i="15"/>
  <c r="L768" i="15"/>
  <c r="L693" i="15"/>
  <c r="L761" i="15"/>
  <c r="L695" i="15"/>
  <c r="L763" i="15"/>
  <c r="L691" i="15"/>
  <c r="L759" i="15"/>
  <c r="I701" i="15"/>
  <c r="I769" i="15"/>
  <c r="L696" i="15"/>
  <c r="L764" i="15"/>
  <c r="F695" i="15"/>
  <c r="F763" i="15"/>
  <c r="F694" i="15"/>
  <c r="F762" i="15"/>
  <c r="F698" i="15"/>
  <c r="F766" i="15"/>
  <c r="F691" i="15"/>
  <c r="F759" i="15"/>
  <c r="F696" i="15"/>
  <c r="F764" i="15"/>
  <c r="F699" i="15"/>
  <c r="F767" i="15"/>
  <c r="F690" i="15"/>
  <c r="F758" i="15"/>
  <c r="F692" i="15"/>
  <c r="F760" i="15"/>
  <c r="F693" i="15"/>
  <c r="F761" i="15"/>
  <c r="F700" i="15"/>
  <c r="F768" i="15"/>
  <c r="F697" i="15"/>
  <c r="F765" i="15"/>
  <c r="C50" i="15"/>
  <c r="C691" i="15"/>
  <c r="C49" i="15"/>
  <c r="C690" i="15"/>
  <c r="C54" i="15"/>
  <c r="C695" i="15"/>
  <c r="C53" i="15"/>
  <c r="C694" i="15"/>
  <c r="C58" i="15"/>
  <c r="C699" i="15"/>
  <c r="C57" i="15"/>
  <c r="C698" i="15"/>
  <c r="C56" i="15"/>
  <c r="C697" i="15"/>
  <c r="C52" i="15"/>
  <c r="C693" i="15"/>
  <c r="C59" i="15"/>
  <c r="C700" i="15"/>
  <c r="C51" i="15"/>
  <c r="C692" i="15"/>
  <c r="C55" i="15"/>
  <c r="C696" i="15"/>
  <c r="F60" i="15"/>
  <c r="F701" i="15"/>
  <c r="C60" i="15"/>
  <c r="C701" i="15"/>
  <c r="I57" i="15"/>
  <c r="I698" i="15"/>
  <c r="I56" i="15"/>
  <c r="I697" i="15"/>
  <c r="I53" i="15"/>
  <c r="I694" i="15"/>
  <c r="I58" i="15"/>
  <c r="I699" i="15"/>
  <c r="I49" i="15"/>
  <c r="I690" i="15"/>
  <c r="I54" i="15"/>
  <c r="I695" i="15"/>
  <c r="I55" i="15"/>
  <c r="I696" i="15"/>
  <c r="I59" i="15"/>
  <c r="I700" i="15"/>
  <c r="I51" i="15"/>
  <c r="I692" i="15"/>
  <c r="I50" i="15"/>
  <c r="I691" i="15"/>
  <c r="I52" i="15"/>
  <c r="I693" i="15"/>
  <c r="X262" i="15"/>
  <c r="X704" i="15"/>
  <c r="X264" i="15"/>
  <c r="X706" i="15"/>
  <c r="X260" i="15"/>
  <c r="X702" i="15"/>
  <c r="X263" i="15"/>
  <c r="X705" i="15"/>
  <c r="U262" i="15"/>
  <c r="U704" i="15"/>
  <c r="U266" i="15"/>
  <c r="U708" i="15"/>
  <c r="X265" i="15"/>
  <c r="X707" i="15"/>
  <c r="X267" i="15"/>
  <c r="X709" i="15"/>
  <c r="X261" i="15"/>
  <c r="X703" i="15"/>
  <c r="X266" i="15"/>
  <c r="X708" i="15"/>
  <c r="U267" i="15"/>
  <c r="U709" i="15"/>
  <c r="U191" i="15"/>
  <c r="U689" i="15"/>
  <c r="U265" i="15"/>
  <c r="U707" i="15"/>
  <c r="U264" i="15"/>
  <c r="U706" i="15"/>
  <c r="U263" i="15"/>
  <c r="U705" i="15"/>
  <c r="U261" i="15"/>
  <c r="U703" i="15"/>
  <c r="U260" i="15"/>
  <c r="U702" i="15"/>
  <c r="U149" i="15"/>
  <c r="U620" i="15"/>
  <c r="U152" i="15"/>
  <c r="U623" i="15"/>
  <c r="DW300" i="7"/>
  <c r="U221" i="15"/>
  <c r="T151" i="15"/>
  <c r="DW288" i="7"/>
  <c r="U209" i="15"/>
  <c r="DU270" i="7"/>
  <c r="X191" i="15"/>
  <c r="DW284" i="7"/>
  <c r="U205" i="15"/>
  <c r="DW312" i="7"/>
  <c r="U233" i="15"/>
  <c r="DW347" i="7"/>
  <c r="U268" i="15"/>
  <c r="DW196" i="7"/>
  <c r="U163" i="15"/>
  <c r="T154" i="15"/>
  <c r="DW280" i="7"/>
  <c r="U201" i="15"/>
  <c r="DW308" i="7"/>
  <c r="U229" i="15"/>
  <c r="DW293" i="7"/>
  <c r="U214" i="15"/>
  <c r="DW296" i="7"/>
  <c r="U217" i="15"/>
  <c r="DW304" i="7"/>
  <c r="U225" i="15"/>
  <c r="N79" i="15"/>
  <c r="R77" i="15"/>
  <c r="F54" i="15"/>
  <c r="F53" i="15"/>
  <c r="L57" i="15"/>
  <c r="F57" i="15"/>
  <c r="L51" i="15"/>
  <c r="F50" i="15"/>
  <c r="L59" i="15"/>
  <c r="L52" i="15"/>
  <c r="F49" i="15"/>
  <c r="CW350" i="7"/>
  <c r="I60" i="15"/>
  <c r="F51" i="15"/>
  <c r="L58" i="15"/>
  <c r="L50" i="15"/>
  <c r="L55" i="15"/>
  <c r="F52" i="15"/>
  <c r="F56" i="15"/>
  <c r="F55" i="15"/>
  <c r="F58" i="15"/>
  <c r="L54" i="15"/>
  <c r="L53" i="15"/>
  <c r="F59" i="15"/>
  <c r="L56" i="15"/>
  <c r="L49" i="15"/>
  <c r="DW182" i="7"/>
  <c r="CJ343" i="7"/>
  <c r="DB339" i="7"/>
  <c r="CW348" i="7"/>
  <c r="CJ344" i="7"/>
  <c r="CJ339" i="7"/>
  <c r="CJ345" i="7"/>
  <c r="CW349" i="7"/>
  <c r="CW342" i="7"/>
  <c r="CJ349" i="7"/>
  <c r="CW344" i="7"/>
  <c r="DW270" i="7"/>
  <c r="CJ348" i="7"/>
  <c r="DW340" i="7"/>
  <c r="DW339" i="7"/>
  <c r="DW345" i="7"/>
  <c r="DW341" i="7"/>
  <c r="CJ341" i="7"/>
  <c r="CW346" i="7"/>
  <c r="DW346" i="7"/>
  <c r="CW340" i="7"/>
  <c r="DW344" i="7"/>
  <c r="DW343" i="7"/>
  <c r="DW342" i="7"/>
  <c r="CW347" i="7"/>
  <c r="CW341" i="7"/>
  <c r="CJ342" i="7"/>
  <c r="CJ350" i="7"/>
  <c r="CJ340" i="7"/>
  <c r="CJ347" i="7"/>
  <c r="CW343" i="7"/>
  <c r="CJ346" i="7"/>
  <c r="CW339" i="7"/>
  <c r="DJ270" i="7"/>
  <c r="CW345" i="7"/>
  <c r="CL344" i="7"/>
  <c r="CK344" i="7"/>
  <c r="CL343" i="7"/>
  <c r="CK343" i="7"/>
  <c r="CL350" i="7"/>
  <c r="CK350" i="7"/>
  <c r="CL340" i="7"/>
  <c r="CK340" i="7"/>
  <c r="CL347" i="7"/>
  <c r="CK347" i="7"/>
  <c r="CL346" i="7"/>
  <c r="CK346" i="7"/>
  <c r="CL339" i="7"/>
  <c r="CK339" i="7"/>
  <c r="CK349" i="7"/>
  <c r="CL349" i="7"/>
  <c r="CK341" i="7"/>
  <c r="CL341" i="7"/>
  <c r="CL348" i="7"/>
  <c r="CK348" i="7"/>
  <c r="CL345" i="7"/>
  <c r="CK345" i="7"/>
  <c r="CL342" i="7"/>
  <c r="CK342" i="7"/>
  <c r="CX349" i="7"/>
  <c r="CY349" i="7"/>
  <c r="CY350" i="7"/>
  <c r="CX350" i="7"/>
  <c r="CY343" i="7"/>
  <c r="CX343" i="7"/>
  <c r="CY339" i="7"/>
  <c r="CX339" i="7"/>
  <c r="CX345" i="7"/>
  <c r="CY345" i="7"/>
  <c r="CY344" i="7"/>
  <c r="CX344" i="7"/>
  <c r="CY347" i="7"/>
  <c r="CX347" i="7"/>
  <c r="CY342" i="7"/>
  <c r="CX342" i="7"/>
  <c r="CX341" i="7"/>
  <c r="CY341" i="7"/>
  <c r="CY348" i="7"/>
  <c r="CX348" i="7"/>
  <c r="CY346" i="7"/>
  <c r="CX346" i="7"/>
  <c r="CY340" i="7"/>
  <c r="CX340" i="7"/>
  <c r="DL270" i="7"/>
  <c r="DK270" i="7"/>
  <c r="DX270" i="7"/>
  <c r="DY270" i="7"/>
  <c r="DX288" i="7"/>
  <c r="DY288" i="7"/>
  <c r="DX308" i="7"/>
  <c r="DY308" i="7"/>
  <c r="DX196" i="7"/>
  <c r="DY196" i="7"/>
  <c r="DY341" i="7"/>
  <c r="DX341" i="7"/>
  <c r="DO184" i="7"/>
  <c r="U2973" i="15" s="1"/>
  <c r="DX182" i="7"/>
  <c r="DY182" i="7"/>
  <c r="DO187" i="7"/>
  <c r="U2976" i="15" s="1"/>
  <c r="DX284" i="7"/>
  <c r="DY284" i="7"/>
  <c r="DX304" i="7"/>
  <c r="DY304" i="7"/>
  <c r="DX346" i="7"/>
  <c r="DY346" i="7"/>
  <c r="DX347" i="7"/>
  <c r="DY347" i="7"/>
  <c r="DX344" i="7"/>
  <c r="DY344" i="7"/>
  <c r="DY343" i="7"/>
  <c r="DX343" i="7"/>
  <c r="DX280" i="7"/>
  <c r="DY280" i="7"/>
  <c r="DX300" i="7"/>
  <c r="DY300" i="7"/>
  <c r="DX342" i="7"/>
  <c r="DY342" i="7"/>
  <c r="DX340" i="7"/>
  <c r="DY340" i="7"/>
  <c r="DX339" i="7"/>
  <c r="DY339" i="7"/>
  <c r="DY293" i="7"/>
  <c r="DX293" i="7"/>
  <c r="DX312" i="7"/>
  <c r="DY312" i="7"/>
  <c r="DX296" i="7"/>
  <c r="DY296" i="7"/>
  <c r="DY345" i="7"/>
  <c r="DX345" i="7"/>
  <c r="DO281" i="7"/>
  <c r="DO301" i="7"/>
  <c r="DO294" i="7"/>
  <c r="DO313" i="7"/>
  <c r="DO297" i="7"/>
  <c r="DO289" i="7"/>
  <c r="DO309" i="7"/>
  <c r="DO285" i="7"/>
  <c r="DO305" i="7"/>
  <c r="CR133" i="7"/>
  <c r="CR132" i="7"/>
  <c r="CR131" i="7"/>
  <c r="CR130" i="7"/>
  <c r="CR129" i="7"/>
  <c r="CR128" i="7"/>
  <c r="CN133" i="7"/>
  <c r="CN132" i="7"/>
  <c r="CN131" i="7"/>
  <c r="CN130" i="7"/>
  <c r="CN129" i="7"/>
  <c r="CN128" i="7"/>
  <c r="DE133" i="7"/>
  <c r="DE132" i="7"/>
  <c r="DE131" i="7"/>
  <c r="DE130" i="7"/>
  <c r="DE129" i="7"/>
  <c r="DA133" i="7"/>
  <c r="DA132" i="7"/>
  <c r="DA131" i="7"/>
  <c r="DE128" i="7"/>
  <c r="DA130" i="7"/>
  <c r="DA129" i="7"/>
  <c r="DA128" i="7"/>
  <c r="X2317" i="15" l="1"/>
  <c r="X234" i="15"/>
  <c r="X1633" i="15"/>
  <c r="X1053" i="15"/>
  <c r="X236" i="15"/>
  <c r="X540" i="15"/>
  <c r="X2085" i="15"/>
  <c r="X541" i="15"/>
  <c r="X2086" i="15"/>
  <c r="X235" i="15"/>
  <c r="X1223" i="15"/>
  <c r="X2318" i="15"/>
  <c r="X1054" i="15"/>
  <c r="X1224" i="15"/>
  <c r="X1635" i="15"/>
  <c r="X542" i="15"/>
  <c r="X1222" i="15"/>
  <c r="X1634" i="15"/>
  <c r="X2787" i="15"/>
  <c r="X2785" i="15"/>
  <c r="X1055" i="15"/>
  <c r="X2319" i="15"/>
  <c r="X2087" i="15"/>
  <c r="X2786" i="15"/>
  <c r="X530" i="15"/>
  <c r="X1212" i="15"/>
  <c r="X224" i="15"/>
  <c r="X2075" i="15"/>
  <c r="X850" i="15"/>
  <c r="X2775" i="15"/>
  <c r="X1623" i="15"/>
  <c r="X2307" i="15"/>
  <c r="X231" i="15"/>
  <c r="X1625" i="15"/>
  <c r="X1219" i="15"/>
  <c r="X2082" i="15"/>
  <c r="X1051" i="15"/>
  <c r="X1630" i="15"/>
  <c r="X2314" i="15"/>
  <c r="X537" i="15"/>
  <c r="X532" i="15"/>
  <c r="X226" i="15"/>
  <c r="X2777" i="15"/>
  <c r="X1214" i="15"/>
  <c r="X2309" i="15"/>
  <c r="X1047" i="15"/>
  <c r="X2077" i="15"/>
  <c r="X2782" i="15"/>
  <c r="DS184" i="7"/>
  <c r="X2973" i="15" s="1"/>
  <c r="X1020" i="15"/>
  <c r="DW183" i="7"/>
  <c r="X1569" i="15"/>
  <c r="X621" i="15"/>
  <c r="X150" i="15"/>
  <c r="X3076" i="15"/>
  <c r="DX183" i="7"/>
  <c r="X2576" i="15"/>
  <c r="X2443" i="15"/>
  <c r="X1931" i="15"/>
  <c r="DY183" i="7"/>
  <c r="DB130" i="7"/>
  <c r="O37" i="15" s="1"/>
  <c r="N2925" i="15"/>
  <c r="N2617" i="15"/>
  <c r="N2411" i="15"/>
  <c r="N1715" i="15"/>
  <c r="N1851" i="15"/>
  <c r="N751" i="15"/>
  <c r="N1113" i="15"/>
  <c r="N420" i="15"/>
  <c r="N37" i="15"/>
  <c r="DF128" i="7"/>
  <c r="R2409" i="15" s="1"/>
  <c r="Q2923" i="15"/>
  <c r="Q2615" i="15"/>
  <c r="Q2409" i="15"/>
  <c r="Q1713" i="15"/>
  <c r="Q1849" i="15"/>
  <c r="Q1112" i="15"/>
  <c r="Q749" i="15"/>
  <c r="Q418" i="15"/>
  <c r="Q35" i="15"/>
  <c r="DF133" i="7"/>
  <c r="R2928" i="15" s="1"/>
  <c r="Q2928" i="15"/>
  <c r="Q2620" i="15"/>
  <c r="Q2414" i="15"/>
  <c r="Q1854" i="15"/>
  <c r="Q1718" i="15"/>
  <c r="Q1354" i="15"/>
  <c r="Q754" i="15"/>
  <c r="Q40" i="15"/>
  <c r="Q423" i="15"/>
  <c r="K2922" i="15"/>
  <c r="K2613" i="15"/>
  <c r="K2410" i="15"/>
  <c r="K1714" i="15"/>
  <c r="K1848" i="15"/>
  <c r="K1352" i="15"/>
  <c r="K750" i="15"/>
  <c r="K417" i="15"/>
  <c r="K33" i="15"/>
  <c r="H2921" i="15"/>
  <c r="H2612" i="15"/>
  <c r="H2409" i="15"/>
  <c r="H1847" i="15"/>
  <c r="H1713" i="15"/>
  <c r="H1112" i="15"/>
  <c r="H749" i="15"/>
  <c r="H416" i="15"/>
  <c r="H32" i="15"/>
  <c r="CO129" i="7"/>
  <c r="I2922" i="15" s="1"/>
  <c r="H2922" i="15"/>
  <c r="H2613" i="15"/>
  <c r="H2410" i="15"/>
  <c r="H1714" i="15"/>
  <c r="H1848" i="15"/>
  <c r="H1352" i="15"/>
  <c r="H750" i="15"/>
  <c r="H417" i="15"/>
  <c r="H33" i="15"/>
  <c r="CS131" i="7"/>
  <c r="L2924" i="15" s="1"/>
  <c r="K2924" i="15"/>
  <c r="K2615" i="15"/>
  <c r="K2412" i="15"/>
  <c r="K1850" i="15"/>
  <c r="K1716" i="15"/>
  <c r="K1279" i="15"/>
  <c r="K752" i="15"/>
  <c r="K419" i="15"/>
  <c r="K35" i="15"/>
  <c r="N2928" i="15"/>
  <c r="N2620" i="15"/>
  <c r="N2414" i="15"/>
  <c r="N1854" i="15"/>
  <c r="N1718" i="15"/>
  <c r="N1354" i="15"/>
  <c r="N754" i="15"/>
  <c r="N423" i="15"/>
  <c r="N40" i="15"/>
  <c r="H2923" i="15"/>
  <c r="H2614" i="15"/>
  <c r="H2411" i="15"/>
  <c r="H1715" i="15"/>
  <c r="H1849" i="15"/>
  <c r="H1113" i="15"/>
  <c r="H751" i="15"/>
  <c r="H418" i="15"/>
  <c r="H34" i="15"/>
  <c r="K2925" i="15"/>
  <c r="K2616" i="15"/>
  <c r="K2413" i="15"/>
  <c r="K1717" i="15"/>
  <c r="K1851" i="15"/>
  <c r="K1114" i="15"/>
  <c r="K753" i="15"/>
  <c r="K420" i="15"/>
  <c r="K36" i="15"/>
  <c r="DF132" i="7"/>
  <c r="R2619" i="15" s="1"/>
  <c r="Q2927" i="15"/>
  <c r="Q2619" i="15"/>
  <c r="Q2413" i="15"/>
  <c r="Q1717" i="15"/>
  <c r="Q1853" i="15"/>
  <c r="Q1114" i="15"/>
  <c r="Q753" i="15"/>
  <c r="Q422" i="15"/>
  <c r="Q39" i="15"/>
  <c r="DF129" i="7"/>
  <c r="R2924" i="15" s="1"/>
  <c r="Q2924" i="15"/>
  <c r="Q2616" i="15"/>
  <c r="Q2410" i="15"/>
  <c r="Q1850" i="15"/>
  <c r="Q1714" i="15"/>
  <c r="Q1353" i="15"/>
  <c r="Q750" i="15"/>
  <c r="Q36" i="15"/>
  <c r="Q419" i="15"/>
  <c r="CO131" i="7"/>
  <c r="I2924" i="15" s="1"/>
  <c r="H2924" i="15"/>
  <c r="H2412" i="15"/>
  <c r="H2615" i="15"/>
  <c r="H1716" i="15"/>
  <c r="H1850" i="15"/>
  <c r="H1279" i="15"/>
  <c r="H752" i="15"/>
  <c r="H419" i="15"/>
  <c r="H35" i="15"/>
  <c r="K2926" i="15"/>
  <c r="K2414" i="15"/>
  <c r="K2617" i="15"/>
  <c r="K1718" i="15"/>
  <c r="K1852" i="15"/>
  <c r="K1353" i="15"/>
  <c r="K754" i="15"/>
  <c r="K421" i="15"/>
  <c r="K37" i="15"/>
  <c r="K2921" i="15"/>
  <c r="K2612" i="15"/>
  <c r="K2409" i="15"/>
  <c r="K1713" i="15"/>
  <c r="K1847" i="15"/>
  <c r="K1112" i="15"/>
  <c r="K749" i="15"/>
  <c r="K416" i="15"/>
  <c r="K32" i="15"/>
  <c r="K2923" i="15"/>
  <c r="K2614" i="15"/>
  <c r="K2411" i="15"/>
  <c r="K1715" i="15"/>
  <c r="K1849" i="15"/>
  <c r="K751" i="15"/>
  <c r="K1113" i="15"/>
  <c r="K418" i="15"/>
  <c r="K34" i="15"/>
  <c r="DB128" i="7"/>
  <c r="O2923" i="15" s="1"/>
  <c r="N2923" i="15"/>
  <c r="N2615" i="15"/>
  <c r="N2409" i="15"/>
  <c r="N1713" i="15"/>
  <c r="N1849" i="15"/>
  <c r="N1112" i="15"/>
  <c r="N749" i="15"/>
  <c r="N418" i="15"/>
  <c r="N35" i="15"/>
  <c r="DF130" i="7"/>
  <c r="Q2925" i="15"/>
  <c r="Q2617" i="15"/>
  <c r="Q2411" i="15"/>
  <c r="Q1851" i="15"/>
  <c r="Q1715" i="15"/>
  <c r="Q751" i="15"/>
  <c r="Q1113" i="15"/>
  <c r="Q420" i="15"/>
  <c r="Q37" i="15"/>
  <c r="H2925" i="15"/>
  <c r="H2616" i="15"/>
  <c r="H2413" i="15"/>
  <c r="H1851" i="15"/>
  <c r="H1717" i="15"/>
  <c r="H1114" i="15"/>
  <c r="H753" i="15"/>
  <c r="H36" i="15"/>
  <c r="H420" i="15"/>
  <c r="N2926" i="15"/>
  <c r="N2618" i="15"/>
  <c r="N2412" i="15"/>
  <c r="N1716" i="15"/>
  <c r="N1852" i="15"/>
  <c r="N1280" i="15"/>
  <c r="N752" i="15"/>
  <c r="N421" i="15"/>
  <c r="N38" i="15"/>
  <c r="DB132" i="7"/>
  <c r="O2413" i="15" s="1"/>
  <c r="N2927" i="15"/>
  <c r="N2619" i="15"/>
  <c r="N2413" i="15"/>
  <c r="N1717" i="15"/>
  <c r="N1853" i="15"/>
  <c r="N1114" i="15"/>
  <c r="N422" i="15"/>
  <c r="N753" i="15"/>
  <c r="N39" i="15"/>
  <c r="N2924" i="15"/>
  <c r="N2616" i="15"/>
  <c r="N2410" i="15"/>
  <c r="N1850" i="15"/>
  <c r="N1714" i="15"/>
  <c r="N1353" i="15"/>
  <c r="N750" i="15"/>
  <c r="N419" i="15"/>
  <c r="N36" i="15"/>
  <c r="DF131" i="7"/>
  <c r="R2926" i="15" s="1"/>
  <c r="Q2926" i="15"/>
  <c r="Q2618" i="15"/>
  <c r="Q2412" i="15"/>
  <c r="Q1716" i="15"/>
  <c r="Q1852" i="15"/>
  <c r="Q752" i="15"/>
  <c r="Q1280" i="15"/>
  <c r="Q421" i="15"/>
  <c r="Q38" i="15"/>
  <c r="CO133" i="7"/>
  <c r="I2926" i="15" s="1"/>
  <c r="H2926" i="15"/>
  <c r="H2617" i="15"/>
  <c r="H2414" i="15"/>
  <c r="H1718" i="15"/>
  <c r="H1852" i="15"/>
  <c r="H1353" i="15"/>
  <c r="H754" i="15"/>
  <c r="H421" i="15"/>
  <c r="H37" i="15"/>
  <c r="O3108" i="15"/>
  <c r="U2757" i="15"/>
  <c r="U3134" i="15"/>
  <c r="U2781" i="15"/>
  <c r="U3158" i="15"/>
  <c r="U2769" i="15"/>
  <c r="U3146" i="15"/>
  <c r="U2773" i="15"/>
  <c r="U3150" i="15"/>
  <c r="U2761" i="15"/>
  <c r="U3138" i="15"/>
  <c r="U2785" i="15"/>
  <c r="U3162" i="15"/>
  <c r="U2753" i="15"/>
  <c r="U3130" i="15"/>
  <c r="U2766" i="15"/>
  <c r="U3143" i="15"/>
  <c r="U2777" i="15"/>
  <c r="U3154" i="15"/>
  <c r="U2447" i="15"/>
  <c r="U2710" i="15"/>
  <c r="O2425" i="15"/>
  <c r="O2654" i="15"/>
  <c r="U2444" i="15"/>
  <c r="U2577" i="15"/>
  <c r="U1959" i="15"/>
  <c r="U2469" i="15"/>
  <c r="U1963" i="15"/>
  <c r="U2473" i="15"/>
  <c r="U1955" i="15"/>
  <c r="U2465" i="15"/>
  <c r="U2077" i="15"/>
  <c r="U2309" i="15"/>
  <c r="U2081" i="15"/>
  <c r="U2313" i="15"/>
  <c r="U2069" i="15"/>
  <c r="U2301" i="15"/>
  <c r="U2073" i="15"/>
  <c r="U2305" i="15"/>
  <c r="U2085" i="15"/>
  <c r="U2317" i="15"/>
  <c r="U2066" i="15"/>
  <c r="U2298" i="15"/>
  <c r="O1508" i="15"/>
  <c r="O2044" i="15"/>
  <c r="U1570" i="15"/>
  <c r="U1932" i="15"/>
  <c r="U1573" i="15"/>
  <c r="U1935" i="15"/>
  <c r="U1194" i="15"/>
  <c r="U1605" i="15"/>
  <c r="U1214" i="15"/>
  <c r="U1625" i="15"/>
  <c r="U1218" i="15"/>
  <c r="U1629" i="15"/>
  <c r="U1206" i="15"/>
  <c r="U1617" i="15"/>
  <c r="U1210" i="15"/>
  <c r="U1621" i="15"/>
  <c r="U1198" i="15"/>
  <c r="U1609" i="15"/>
  <c r="U1222" i="15"/>
  <c r="U1633" i="15"/>
  <c r="U1190" i="15"/>
  <c r="U1601" i="15"/>
  <c r="U1203" i="15"/>
  <c r="U1614" i="15"/>
  <c r="U1024" i="15"/>
  <c r="U1388" i="15"/>
  <c r="U1021" i="15"/>
  <c r="U1385" i="15"/>
  <c r="O772" i="15"/>
  <c r="O1120" i="15"/>
  <c r="U536" i="15"/>
  <c r="U1050" i="15"/>
  <c r="U540" i="15"/>
  <c r="U1053" i="15"/>
  <c r="U532" i="15"/>
  <c r="U1047" i="15"/>
  <c r="U512" i="15"/>
  <c r="U835" i="15"/>
  <c r="U524" i="15"/>
  <c r="U844" i="15"/>
  <c r="U528" i="15"/>
  <c r="U848" i="15"/>
  <c r="U516" i="15"/>
  <c r="U837" i="15"/>
  <c r="U508" i="15"/>
  <c r="U833" i="15"/>
  <c r="U521" i="15"/>
  <c r="U841" i="15"/>
  <c r="O79" i="15"/>
  <c r="O693" i="15"/>
  <c r="U154" i="15"/>
  <c r="U625" i="15"/>
  <c r="U151" i="15"/>
  <c r="U622" i="15"/>
  <c r="DW285" i="7"/>
  <c r="U206" i="15"/>
  <c r="DW281" i="7"/>
  <c r="U202" i="15"/>
  <c r="DW309" i="7"/>
  <c r="U230" i="15"/>
  <c r="DW297" i="7"/>
  <c r="U218" i="15"/>
  <c r="DW301" i="7"/>
  <c r="U222" i="15"/>
  <c r="DW289" i="7"/>
  <c r="U210" i="15"/>
  <c r="DW313" i="7"/>
  <c r="U234" i="15"/>
  <c r="DW294" i="7"/>
  <c r="U215" i="15"/>
  <c r="DW305" i="7"/>
  <c r="U226" i="15"/>
  <c r="DY285" i="7"/>
  <c r="DX285" i="7"/>
  <c r="DY313" i="7"/>
  <c r="DX313" i="7"/>
  <c r="DO191" i="7"/>
  <c r="U2980" i="15" s="1"/>
  <c r="DY301" i="7"/>
  <c r="DX301" i="7"/>
  <c r="DX294" i="7"/>
  <c r="DY294" i="7"/>
  <c r="DY281" i="7"/>
  <c r="DX281" i="7"/>
  <c r="DY309" i="7"/>
  <c r="DX309" i="7"/>
  <c r="DY305" i="7"/>
  <c r="DX305" i="7"/>
  <c r="DY289" i="7"/>
  <c r="DX289" i="7"/>
  <c r="DY297" i="7"/>
  <c r="DX297" i="7"/>
  <c r="CS132" i="7"/>
  <c r="CS133" i="7"/>
  <c r="DO306" i="7"/>
  <c r="DO290" i="7"/>
  <c r="DO298" i="7"/>
  <c r="CO132" i="7"/>
  <c r="I2925" i="15" s="1"/>
  <c r="CO128" i="7"/>
  <c r="I2921" i="15" s="1"/>
  <c r="DO286" i="7"/>
  <c r="DO314" i="7"/>
  <c r="CS128" i="7"/>
  <c r="DO302" i="7"/>
  <c r="CO130" i="7"/>
  <c r="I2923" i="15" s="1"/>
  <c r="CS129" i="7"/>
  <c r="DO295" i="7"/>
  <c r="CS130" i="7"/>
  <c r="DO282" i="7"/>
  <c r="DO310" i="7"/>
  <c r="DI131" i="7"/>
  <c r="CV131" i="7"/>
  <c r="DI128" i="7"/>
  <c r="EE169" i="7"/>
  <c r="AJ332" i="7"/>
  <c r="AJ331" i="7"/>
  <c r="DB133" i="7" l="1"/>
  <c r="O2928" i="15" s="1"/>
  <c r="O422" i="15"/>
  <c r="X1021" i="15"/>
  <c r="X1570" i="15"/>
  <c r="R749" i="15"/>
  <c r="O751" i="15"/>
  <c r="R35" i="15"/>
  <c r="I33" i="15"/>
  <c r="R39" i="15"/>
  <c r="O753" i="15"/>
  <c r="O39" i="15"/>
  <c r="I421" i="15"/>
  <c r="O1717" i="15"/>
  <c r="O418" i="15"/>
  <c r="I750" i="15"/>
  <c r="DJ130" i="7"/>
  <c r="I2613" i="15"/>
  <c r="R2925" i="15"/>
  <c r="I1848" i="15"/>
  <c r="I2410" i="15"/>
  <c r="X151" i="15"/>
  <c r="I1714" i="15"/>
  <c r="I417" i="15"/>
  <c r="O1713" i="15"/>
  <c r="I1352" i="15"/>
  <c r="DJ132" i="7"/>
  <c r="L1850" i="15"/>
  <c r="R422" i="15"/>
  <c r="O1114" i="15"/>
  <c r="L1716" i="15"/>
  <c r="DK132" i="7"/>
  <c r="R36" i="15"/>
  <c r="R1853" i="15"/>
  <c r="DL132" i="7"/>
  <c r="L419" i="15"/>
  <c r="L35" i="15"/>
  <c r="R750" i="15"/>
  <c r="O2927" i="15"/>
  <c r="I1353" i="15"/>
  <c r="CX131" i="7"/>
  <c r="R423" i="15"/>
  <c r="I1850" i="15"/>
  <c r="R2414" i="15"/>
  <c r="R2620" i="15"/>
  <c r="CY131" i="7"/>
  <c r="I37" i="15"/>
  <c r="O35" i="15"/>
  <c r="R40" i="15"/>
  <c r="I754" i="15"/>
  <c r="R1854" i="15"/>
  <c r="R2410" i="15"/>
  <c r="R2923" i="15"/>
  <c r="X622" i="15"/>
  <c r="O1113" i="15"/>
  <c r="X1385" i="15"/>
  <c r="R1718" i="15"/>
  <c r="X1932" i="15"/>
  <c r="X2577" i="15"/>
  <c r="DY184" i="7"/>
  <c r="DL130" i="7"/>
  <c r="DW184" i="7"/>
  <c r="O749" i="15"/>
  <c r="R1353" i="15"/>
  <c r="R1717" i="15"/>
  <c r="O2615" i="15"/>
  <c r="DX184" i="7"/>
  <c r="DK130" i="7"/>
  <c r="DS185" i="7"/>
  <c r="X2974" i="15" s="1"/>
  <c r="O420" i="15"/>
  <c r="I1279" i="15"/>
  <c r="O1851" i="15"/>
  <c r="I2617" i="15"/>
  <c r="O2617" i="15"/>
  <c r="DB131" i="7"/>
  <c r="O2926" i="15" s="1"/>
  <c r="R418" i="15"/>
  <c r="R1112" i="15"/>
  <c r="I2412" i="15"/>
  <c r="O2411" i="15"/>
  <c r="O2925" i="15"/>
  <c r="DJ128" i="7"/>
  <c r="DK128" i="7"/>
  <c r="DB129" i="7"/>
  <c r="O419" i="15" s="1"/>
  <c r="I419" i="15"/>
  <c r="R420" i="15"/>
  <c r="R1113" i="15"/>
  <c r="R1114" i="15"/>
  <c r="L1279" i="15"/>
  <c r="R1354" i="15"/>
  <c r="R1849" i="15"/>
  <c r="O1715" i="15"/>
  <c r="L2615" i="15"/>
  <c r="R2615" i="15"/>
  <c r="DL128" i="7"/>
  <c r="CW131" i="7"/>
  <c r="I35" i="15"/>
  <c r="R37" i="15"/>
  <c r="R751" i="15"/>
  <c r="R753" i="15"/>
  <c r="L752" i="15"/>
  <c r="R754" i="15"/>
  <c r="R1713" i="15"/>
  <c r="O1849" i="15"/>
  <c r="X2444" i="15"/>
  <c r="L2412" i="15"/>
  <c r="R2927" i="15"/>
  <c r="R419" i="15"/>
  <c r="O1112" i="15"/>
  <c r="R1715" i="15"/>
  <c r="R1850" i="15"/>
  <c r="R2413" i="15"/>
  <c r="R1714" i="15"/>
  <c r="R2411" i="15"/>
  <c r="I752" i="15"/>
  <c r="I1716" i="15"/>
  <c r="O2409" i="15"/>
  <c r="R2412" i="15"/>
  <c r="R1716" i="15"/>
  <c r="R1280" i="15"/>
  <c r="I1718" i="15"/>
  <c r="I2414" i="15"/>
  <c r="R2616" i="15"/>
  <c r="R752" i="15"/>
  <c r="R421" i="15"/>
  <c r="R2618" i="15"/>
  <c r="R38" i="15"/>
  <c r="R1852" i="15"/>
  <c r="I2615" i="15"/>
  <c r="I1852" i="15"/>
  <c r="R1851" i="15"/>
  <c r="O1853" i="15"/>
  <c r="R2617" i="15"/>
  <c r="AC3221" i="15"/>
  <c r="AC2653" i="15"/>
  <c r="AC2530" i="15"/>
  <c r="AC1900" i="15"/>
  <c r="AC1723" i="15"/>
  <c r="AC1374" i="15"/>
  <c r="AC789" i="15"/>
  <c r="AC89" i="15"/>
  <c r="AC464" i="15"/>
  <c r="O2619" i="15"/>
  <c r="U2770" i="15"/>
  <c r="U3147" i="15"/>
  <c r="U2762" i="15"/>
  <c r="U3139" i="15"/>
  <c r="U2774" i="15"/>
  <c r="U3151" i="15"/>
  <c r="U2782" i="15"/>
  <c r="U3159" i="15"/>
  <c r="U2786" i="15"/>
  <c r="U3163" i="15"/>
  <c r="U2754" i="15"/>
  <c r="U3131" i="15"/>
  <c r="U2758" i="15"/>
  <c r="U3135" i="15"/>
  <c r="U2778" i="15"/>
  <c r="U3155" i="15"/>
  <c r="U2767" i="15"/>
  <c r="U3144" i="15"/>
  <c r="L2614" i="15"/>
  <c r="L2923" i="15"/>
  <c r="L2613" i="15"/>
  <c r="L2922" i="15"/>
  <c r="L2612" i="15"/>
  <c r="L2921" i="15"/>
  <c r="L2617" i="15"/>
  <c r="L2926" i="15"/>
  <c r="L2616" i="15"/>
  <c r="L2925" i="15"/>
  <c r="U2451" i="15"/>
  <c r="U2711" i="15"/>
  <c r="I2411" i="15"/>
  <c r="I2614" i="15"/>
  <c r="I2409" i="15"/>
  <c r="I2612" i="15"/>
  <c r="I2413" i="15"/>
  <c r="I2616" i="15"/>
  <c r="U1956" i="15"/>
  <c r="U2466" i="15"/>
  <c r="U1960" i="15"/>
  <c r="U2470" i="15"/>
  <c r="U1964" i="15"/>
  <c r="U2474" i="15"/>
  <c r="L1848" i="15"/>
  <c r="L2410" i="15"/>
  <c r="L1847" i="15"/>
  <c r="L2409" i="15"/>
  <c r="L1852" i="15"/>
  <c r="L2414" i="15"/>
  <c r="L1851" i="15"/>
  <c r="L2413" i="15"/>
  <c r="L1849" i="15"/>
  <c r="L2411" i="15"/>
  <c r="U2067" i="15"/>
  <c r="U2299" i="15"/>
  <c r="U2070" i="15"/>
  <c r="U2302" i="15"/>
  <c r="U2074" i="15"/>
  <c r="U2306" i="15"/>
  <c r="U2078" i="15"/>
  <c r="U2310" i="15"/>
  <c r="U2082" i="15"/>
  <c r="U2314" i="15"/>
  <c r="U2086" i="15"/>
  <c r="U2318" i="15"/>
  <c r="U1577" i="15"/>
  <c r="U1939" i="15"/>
  <c r="I1715" i="15"/>
  <c r="I1849" i="15"/>
  <c r="I1713" i="15"/>
  <c r="I1847" i="15"/>
  <c r="I1717" i="15"/>
  <c r="I1851" i="15"/>
  <c r="L1352" i="15"/>
  <c r="L1714" i="15"/>
  <c r="L1112" i="15"/>
  <c r="L1713" i="15"/>
  <c r="L1353" i="15"/>
  <c r="L1718" i="15"/>
  <c r="L1114" i="15"/>
  <c r="L1717" i="15"/>
  <c r="L1113" i="15"/>
  <c r="L1715" i="15"/>
  <c r="U1211" i="15"/>
  <c r="U1622" i="15"/>
  <c r="U1215" i="15"/>
  <c r="U1626" i="15"/>
  <c r="U1207" i="15"/>
  <c r="U1618" i="15"/>
  <c r="U1199" i="15"/>
  <c r="U1610" i="15"/>
  <c r="U1219" i="15"/>
  <c r="U1630" i="15"/>
  <c r="U1223" i="15"/>
  <c r="U1634" i="15"/>
  <c r="U1191" i="15"/>
  <c r="U1602" i="15"/>
  <c r="U1195" i="15"/>
  <c r="U1606" i="15"/>
  <c r="U1204" i="15"/>
  <c r="U1615" i="15"/>
  <c r="U1028" i="15"/>
  <c r="U1392" i="15"/>
  <c r="I753" i="15"/>
  <c r="I1114" i="15"/>
  <c r="I749" i="15"/>
  <c r="I1112" i="15"/>
  <c r="I751" i="15"/>
  <c r="I1113" i="15"/>
  <c r="U537" i="15"/>
  <c r="U1051" i="15"/>
  <c r="U541" i="15"/>
  <c r="U1054" i="15"/>
  <c r="U509" i="15"/>
  <c r="U1042" i="15"/>
  <c r="U513" i="15"/>
  <c r="U1044" i="15"/>
  <c r="U517" i="15"/>
  <c r="U1046" i="15"/>
  <c r="U533" i="15"/>
  <c r="U1048" i="15"/>
  <c r="U522" i="15"/>
  <c r="U842" i="15"/>
  <c r="U529" i="15"/>
  <c r="U849" i="15"/>
  <c r="U525" i="15"/>
  <c r="U845" i="15"/>
  <c r="L416" i="15"/>
  <c r="L749" i="15"/>
  <c r="L421" i="15"/>
  <c r="L754" i="15"/>
  <c r="L420" i="15"/>
  <c r="L753" i="15"/>
  <c r="L418" i="15"/>
  <c r="L751" i="15"/>
  <c r="L417" i="15"/>
  <c r="L750" i="15"/>
  <c r="U158" i="15"/>
  <c r="U629" i="15"/>
  <c r="I34" i="15"/>
  <c r="I418" i="15"/>
  <c r="I32" i="15"/>
  <c r="I416" i="15"/>
  <c r="I36" i="15"/>
  <c r="I420" i="15"/>
  <c r="DW298" i="7"/>
  <c r="U219" i="15"/>
  <c r="DW302" i="7"/>
  <c r="U223" i="15"/>
  <c r="DW306" i="7"/>
  <c r="U227" i="15"/>
  <c r="DW290" i="7"/>
  <c r="U211" i="15"/>
  <c r="DW310" i="7"/>
  <c r="U231" i="15"/>
  <c r="DW282" i="7"/>
  <c r="U203" i="15"/>
  <c r="DW286" i="7"/>
  <c r="U207" i="15"/>
  <c r="DW314" i="7"/>
  <c r="U235" i="15"/>
  <c r="DW295" i="7"/>
  <c r="U216" i="15"/>
  <c r="L34" i="15"/>
  <c r="L33" i="15"/>
  <c r="L32" i="15"/>
  <c r="CF133" i="7"/>
  <c r="F2926" i="15" s="1"/>
  <c r="L37" i="15"/>
  <c r="L36" i="15"/>
  <c r="DW191" i="7"/>
  <c r="CW132" i="7"/>
  <c r="CW128" i="7"/>
  <c r="CW129" i="7"/>
  <c r="CW133" i="7"/>
  <c r="CW130" i="7"/>
  <c r="CY129" i="7"/>
  <c r="CX133" i="7"/>
  <c r="CY132" i="7"/>
  <c r="CX132" i="7"/>
  <c r="CY133" i="7"/>
  <c r="CY128" i="7"/>
  <c r="CX128" i="7"/>
  <c r="CY130" i="7"/>
  <c r="CX130" i="7"/>
  <c r="CX129" i="7"/>
  <c r="DX310" i="7"/>
  <c r="DY310" i="7"/>
  <c r="DX314" i="7"/>
  <c r="DY314" i="7"/>
  <c r="DX298" i="7"/>
  <c r="DY298" i="7"/>
  <c r="DX306" i="7"/>
  <c r="DY306" i="7"/>
  <c r="DX302" i="7"/>
  <c r="DY302" i="7"/>
  <c r="DX286" i="7"/>
  <c r="DY286" i="7"/>
  <c r="DX191" i="7"/>
  <c r="DY191" i="7"/>
  <c r="DX295" i="7"/>
  <c r="DY295" i="7"/>
  <c r="DX282" i="7"/>
  <c r="DY282" i="7"/>
  <c r="DX290" i="7"/>
  <c r="DY290" i="7"/>
  <c r="DO283" i="7"/>
  <c r="DO287" i="7"/>
  <c r="DO291" i="7"/>
  <c r="DO303" i="7"/>
  <c r="DO307" i="7"/>
  <c r="DO311" i="7"/>
  <c r="DO315" i="7"/>
  <c r="DO299" i="7"/>
  <c r="DR215" i="7"/>
  <c r="DN215" i="7"/>
  <c r="ER182" i="7"/>
  <c r="ES182" i="7"/>
  <c r="EO182" i="7"/>
  <c r="EN182" i="7"/>
  <c r="EN187" i="7"/>
  <c r="AF2957" i="15" s="1"/>
  <c r="X623" i="15" l="1"/>
  <c r="X1571" i="15"/>
  <c r="O1354" i="15"/>
  <c r="DX185" i="7"/>
  <c r="X1386" i="15"/>
  <c r="DY185" i="7"/>
  <c r="X1022" i="15"/>
  <c r="X152" i="15"/>
  <c r="X2708" i="15"/>
  <c r="X2445" i="15"/>
  <c r="DL133" i="7"/>
  <c r="O2620" i="15"/>
  <c r="DK133" i="7"/>
  <c r="O423" i="15"/>
  <c r="O1854" i="15"/>
  <c r="O2414" i="15"/>
  <c r="DJ133" i="7"/>
  <c r="O40" i="15"/>
  <c r="O1718" i="15"/>
  <c r="O754" i="15"/>
  <c r="DW185" i="7"/>
  <c r="DS186" i="7"/>
  <c r="X2975" i="15" s="1"/>
  <c r="DK129" i="7"/>
  <c r="O2410" i="15"/>
  <c r="O2924" i="15"/>
  <c r="DL131" i="7"/>
  <c r="O2412" i="15"/>
  <c r="DJ131" i="7"/>
  <c r="O1280" i="15"/>
  <c r="O752" i="15"/>
  <c r="O1850" i="15"/>
  <c r="DJ129" i="7"/>
  <c r="O36" i="15"/>
  <c r="O421" i="15"/>
  <c r="O1714" i="15"/>
  <c r="O1852" i="15"/>
  <c r="O2616" i="15"/>
  <c r="DK131" i="7"/>
  <c r="O38" i="15"/>
  <c r="O1353" i="15"/>
  <c r="O1716" i="15"/>
  <c r="O750" i="15"/>
  <c r="DL129" i="7"/>
  <c r="O2618" i="15"/>
  <c r="X1933" i="15"/>
  <c r="DO215" i="7"/>
  <c r="U1585" i="15" s="1"/>
  <c r="T3077" i="15"/>
  <c r="T1585" i="15"/>
  <c r="T384" i="15"/>
  <c r="T179" i="15"/>
  <c r="DS215" i="7"/>
  <c r="X1585" i="15" s="1"/>
  <c r="W3077" i="15"/>
  <c r="W1585" i="15"/>
  <c r="W384" i="15"/>
  <c r="W179" i="15"/>
  <c r="AF2953" i="15"/>
  <c r="AF2574" i="15"/>
  <c r="AF2438" i="15"/>
  <c r="AF1911" i="15"/>
  <c r="AF1551" i="15"/>
  <c r="AF1390" i="15"/>
  <c r="AF1045" i="15"/>
  <c r="AF612" i="15"/>
  <c r="AF153" i="15"/>
  <c r="AG2953" i="15"/>
  <c r="AG2574" i="15"/>
  <c r="AG2438" i="15"/>
  <c r="AG1911" i="15"/>
  <c r="AG1551" i="15"/>
  <c r="AG1390" i="15"/>
  <c r="AG1045" i="15"/>
  <c r="AG612" i="15"/>
  <c r="AG153" i="15"/>
  <c r="AJ2953" i="15"/>
  <c r="AJ2574" i="15"/>
  <c r="AJ2438" i="15"/>
  <c r="AJ1911" i="15"/>
  <c r="AJ1551" i="15"/>
  <c r="AJ1390" i="15"/>
  <c r="AJ1045" i="15"/>
  <c r="AJ612" i="15"/>
  <c r="AJ153" i="15"/>
  <c r="AI2953" i="15"/>
  <c r="AI2574" i="15"/>
  <c r="AI2438" i="15"/>
  <c r="AI1911" i="15"/>
  <c r="AI1551" i="15"/>
  <c r="AI1390" i="15"/>
  <c r="AI1045" i="15"/>
  <c r="AI612" i="15"/>
  <c r="AI153" i="15"/>
  <c r="U2787" i="15"/>
  <c r="U3164" i="15"/>
  <c r="U2783" i="15"/>
  <c r="U3160" i="15"/>
  <c r="U2763" i="15"/>
  <c r="U3140" i="15"/>
  <c r="U2759" i="15"/>
  <c r="U3136" i="15"/>
  <c r="U2779" i="15"/>
  <c r="U3156" i="15"/>
  <c r="U2755" i="15"/>
  <c r="U3132" i="15"/>
  <c r="U2775" i="15"/>
  <c r="U3152" i="15"/>
  <c r="U2771" i="15"/>
  <c r="U3148" i="15"/>
  <c r="AF2443" i="15"/>
  <c r="AF2720" i="15"/>
  <c r="F2414" i="15"/>
  <c r="F2617" i="15"/>
  <c r="U1965" i="15"/>
  <c r="U2475" i="15"/>
  <c r="U1961" i="15"/>
  <c r="U2471" i="15"/>
  <c r="U1957" i="15"/>
  <c r="U2467" i="15"/>
  <c r="U2079" i="15"/>
  <c r="U2311" i="15"/>
  <c r="U2075" i="15"/>
  <c r="U2307" i="15"/>
  <c r="U2071" i="15"/>
  <c r="U2303" i="15"/>
  <c r="U2087" i="15"/>
  <c r="U2319" i="15"/>
  <c r="U2083" i="15"/>
  <c r="U2315" i="15"/>
  <c r="AF1556" i="15"/>
  <c r="AF1916" i="15"/>
  <c r="F1718" i="15"/>
  <c r="F1852" i="15"/>
  <c r="U1212" i="15"/>
  <c r="U1623" i="15"/>
  <c r="U1208" i="15"/>
  <c r="U1619" i="15"/>
  <c r="U1224" i="15"/>
  <c r="U1635" i="15"/>
  <c r="U1220" i="15"/>
  <c r="U1631" i="15"/>
  <c r="U1200" i="15"/>
  <c r="U1611" i="15"/>
  <c r="U1196" i="15"/>
  <c r="U1607" i="15"/>
  <c r="U1216" i="15"/>
  <c r="U1627" i="15"/>
  <c r="U1192" i="15"/>
  <c r="U1603" i="15"/>
  <c r="F754" i="15"/>
  <c r="F1353" i="15"/>
  <c r="AF1050" i="15"/>
  <c r="AF1395" i="15"/>
  <c r="U542" i="15"/>
  <c r="U1055" i="15"/>
  <c r="U538" i="15"/>
  <c r="U1052" i="15"/>
  <c r="U534" i="15"/>
  <c r="U1049" i="15"/>
  <c r="U518" i="15"/>
  <c r="U838" i="15"/>
  <c r="U510" i="15"/>
  <c r="U834" i="15"/>
  <c r="U530" i="15"/>
  <c r="U850" i="15"/>
  <c r="U514" i="15"/>
  <c r="U836" i="15"/>
  <c r="U526" i="15"/>
  <c r="U846" i="15"/>
  <c r="AF158" i="15"/>
  <c r="AF617" i="15"/>
  <c r="F37" i="15"/>
  <c r="F421" i="15"/>
  <c r="DW315" i="7"/>
  <c r="U236" i="15"/>
  <c r="DW311" i="7"/>
  <c r="U232" i="15"/>
  <c r="DW307" i="7"/>
  <c r="U228" i="15"/>
  <c r="DW283" i="7"/>
  <c r="U204" i="15"/>
  <c r="DW291" i="7"/>
  <c r="U212" i="15"/>
  <c r="DW287" i="7"/>
  <c r="U208" i="15"/>
  <c r="DW303" i="7"/>
  <c r="U224" i="15"/>
  <c r="DW299" i="7"/>
  <c r="U220" i="15"/>
  <c r="EW182" i="7"/>
  <c r="EY182" i="7"/>
  <c r="EX182" i="7"/>
  <c r="DX283" i="7"/>
  <c r="DY283" i="7"/>
  <c r="DY311" i="7"/>
  <c r="DX311" i="7"/>
  <c r="DX307" i="7"/>
  <c r="DY307" i="7"/>
  <c r="DY291" i="7"/>
  <c r="DX291" i="7"/>
  <c r="DX299" i="7"/>
  <c r="DY299" i="7"/>
  <c r="DY303" i="7"/>
  <c r="DX303" i="7"/>
  <c r="DX287" i="7"/>
  <c r="DY287" i="7"/>
  <c r="DX315" i="7"/>
  <c r="DY315" i="7"/>
  <c r="DQ315" i="7"/>
  <c r="EN184" i="7"/>
  <c r="AF2954" i="15" s="1"/>
  <c r="X1387" i="15" l="1"/>
  <c r="X1023" i="15"/>
  <c r="DY186" i="7"/>
  <c r="X624" i="15"/>
  <c r="X2709" i="15"/>
  <c r="DX186" i="7"/>
  <c r="X1934" i="15"/>
  <c r="DW186" i="7"/>
  <c r="X153" i="15"/>
  <c r="DS187" i="7"/>
  <c r="X2976" i="15" s="1"/>
  <c r="X1572" i="15"/>
  <c r="X2446" i="15"/>
  <c r="U179" i="15"/>
  <c r="U384" i="15"/>
  <c r="U3077" i="15"/>
  <c r="DW215" i="7"/>
  <c r="X384" i="15"/>
  <c r="X179" i="15"/>
  <c r="DY215" i="7"/>
  <c r="DX215" i="7"/>
  <c r="X3077" i="15"/>
  <c r="AF2440" i="15"/>
  <c r="AF2576" i="15"/>
  <c r="AF1553" i="15"/>
  <c r="AF1913" i="15"/>
  <c r="AF1047" i="15"/>
  <c r="AF1392" i="15"/>
  <c r="AF155" i="15"/>
  <c r="AF614" i="15"/>
  <c r="X154" i="15" l="1"/>
  <c r="DY187" i="7"/>
  <c r="X1388" i="15"/>
  <c r="X2710" i="15"/>
  <c r="DW187" i="7"/>
  <c r="X1024" i="15"/>
  <c r="X2447" i="15"/>
  <c r="DX187" i="7"/>
  <c r="X1935" i="15"/>
  <c r="X1573" i="15"/>
  <c r="X625" i="15"/>
  <c r="DA226" i="7"/>
  <c r="DI399" i="7"/>
  <c r="CR401" i="7"/>
  <c r="CR403" i="7"/>
  <c r="CR402" i="7"/>
  <c r="CN401" i="7"/>
  <c r="CN403" i="7"/>
  <c r="CN402" i="7"/>
  <c r="CE403" i="7"/>
  <c r="CE402" i="7"/>
  <c r="CE401" i="7"/>
  <c r="CA401" i="7"/>
  <c r="DA407" i="7"/>
  <c r="CA403" i="7"/>
  <c r="CA402" i="7"/>
  <c r="CR353" i="7"/>
  <c r="CR352" i="7"/>
  <c r="CR351" i="7"/>
  <c r="CN353" i="7"/>
  <c r="CN352" i="7"/>
  <c r="CN351" i="7"/>
  <c r="CE353" i="7"/>
  <c r="CE352" i="7"/>
  <c r="CE351" i="7"/>
  <c r="CA353" i="7"/>
  <c r="CA352" i="7"/>
  <c r="CA351" i="7"/>
  <c r="CR225" i="7"/>
  <c r="CR224" i="7"/>
  <c r="CR223" i="7"/>
  <c r="CR222" i="7"/>
  <c r="CN225" i="7"/>
  <c r="CN224" i="7"/>
  <c r="CN223" i="7"/>
  <c r="CN222" i="7"/>
  <c r="CE225" i="7"/>
  <c r="CE224" i="7"/>
  <c r="CE223" i="7"/>
  <c r="CE222" i="7"/>
  <c r="CA225" i="7"/>
  <c r="CA224" i="7"/>
  <c r="CA222" i="7"/>
  <c r="CA223" i="7"/>
  <c r="CR74" i="7"/>
  <c r="CR73" i="7"/>
  <c r="CR72" i="7"/>
  <c r="CR71" i="7"/>
  <c r="CN74" i="7"/>
  <c r="CN73" i="7"/>
  <c r="CN72" i="7"/>
  <c r="CN71" i="7"/>
  <c r="CE74" i="7"/>
  <c r="CE73" i="7"/>
  <c r="CE72" i="7"/>
  <c r="CE71" i="7"/>
  <c r="CA74" i="7"/>
  <c r="CA73" i="7"/>
  <c r="CA72" i="7"/>
  <c r="CA71" i="7"/>
  <c r="DH32" i="7"/>
  <c r="CR31" i="7"/>
  <c r="CR30" i="7"/>
  <c r="CN31" i="7"/>
  <c r="CR46" i="7"/>
  <c r="CR45" i="7"/>
  <c r="CR44" i="7"/>
  <c r="CR43" i="7"/>
  <c r="CR42" i="7"/>
  <c r="CR41" i="7"/>
  <c r="CR35" i="7"/>
  <c r="CN46" i="7"/>
  <c r="CN45" i="7"/>
  <c r="CN44" i="7"/>
  <c r="CN43" i="7"/>
  <c r="CN42" i="7"/>
  <c r="CN41" i="7"/>
  <c r="CR40" i="7"/>
  <c r="CR39" i="7"/>
  <c r="CR38" i="7"/>
  <c r="CR37" i="7"/>
  <c r="CR36" i="7"/>
  <c r="CN40" i="7"/>
  <c r="CN39" i="7"/>
  <c r="CN38" i="7"/>
  <c r="CN37" i="7"/>
  <c r="CN36" i="7"/>
  <c r="CN35" i="7"/>
  <c r="CE46" i="7"/>
  <c r="CE45" i="7"/>
  <c r="CE44" i="7"/>
  <c r="CE43" i="7"/>
  <c r="CE42" i="7"/>
  <c r="CE41" i="7"/>
  <c r="CA46" i="7"/>
  <c r="CA45" i="7"/>
  <c r="CA44" i="7"/>
  <c r="CA43" i="7"/>
  <c r="CA42" i="7"/>
  <c r="CA41" i="7"/>
  <c r="CE40" i="7"/>
  <c r="CE39" i="7"/>
  <c r="CE38" i="7"/>
  <c r="CE37" i="7"/>
  <c r="CE36" i="7"/>
  <c r="CE35" i="7"/>
  <c r="CA40" i="7"/>
  <c r="CA39" i="7"/>
  <c r="CA38" i="7"/>
  <c r="CA37" i="7"/>
  <c r="CA36" i="7"/>
  <c r="CA35" i="7"/>
  <c r="CE31" i="7"/>
  <c r="CE30" i="7"/>
  <c r="CA31" i="7"/>
  <c r="CA30" i="7"/>
  <c r="CR417" i="7"/>
  <c r="CN417" i="7"/>
  <c r="CR416" i="7"/>
  <c r="CN416" i="7"/>
  <c r="CE417" i="7"/>
  <c r="CA417" i="7"/>
  <c r="CR359" i="7"/>
  <c r="CR358" i="7"/>
  <c r="CR356" i="7"/>
  <c r="CR355" i="7"/>
  <c r="CR357" i="7"/>
  <c r="CR354" i="7"/>
  <c r="CN359" i="7"/>
  <c r="CN358" i="7"/>
  <c r="CN356" i="7"/>
  <c r="CN355" i="7"/>
  <c r="CN357" i="7"/>
  <c r="CN354" i="7"/>
  <c r="CE359" i="7"/>
  <c r="CE358" i="7"/>
  <c r="CE356" i="7"/>
  <c r="CE355" i="7"/>
  <c r="CE357" i="7"/>
  <c r="CE354" i="7"/>
  <c r="CA359" i="7"/>
  <c r="CA358" i="7"/>
  <c r="CA355" i="7"/>
  <c r="CA357" i="7"/>
  <c r="CA354" i="7"/>
  <c r="CA356" i="7"/>
  <c r="CR271" i="7"/>
  <c r="CE200" i="7"/>
  <c r="CE199" i="7"/>
  <c r="CA200" i="7"/>
  <c r="CA199" i="7"/>
  <c r="DE200" i="7"/>
  <c r="DE199" i="7"/>
  <c r="DA200" i="7"/>
  <c r="DA199" i="7"/>
  <c r="E3115" i="15" l="1"/>
  <c r="E2654" i="15"/>
  <c r="E2447" i="15"/>
  <c r="E2060" i="15"/>
  <c r="E1524" i="15"/>
  <c r="E1361" i="15"/>
  <c r="E780" i="15"/>
  <c r="E82" i="15"/>
  <c r="E434" i="15"/>
  <c r="CS37" i="7"/>
  <c r="L3222" i="15" s="1"/>
  <c r="K3222" i="15"/>
  <c r="K2590" i="15"/>
  <c r="K2239" i="15"/>
  <c r="K2010" i="15"/>
  <c r="K1691" i="15"/>
  <c r="K969" i="15"/>
  <c r="K1146" i="15"/>
  <c r="K662" i="15"/>
  <c r="K10" i="15"/>
  <c r="B3097" i="15"/>
  <c r="B2609" i="15"/>
  <c r="B2258" i="15"/>
  <c r="B2029" i="15"/>
  <c r="B1710" i="15"/>
  <c r="B1276" i="15"/>
  <c r="B988" i="15"/>
  <c r="B681" i="15"/>
  <c r="B29" i="15"/>
  <c r="H2930" i="15"/>
  <c r="H2623" i="15"/>
  <c r="H2420" i="15"/>
  <c r="H1858" i="15"/>
  <c r="H1722" i="15"/>
  <c r="H1155" i="15"/>
  <c r="H689" i="15"/>
  <c r="H43" i="15"/>
  <c r="K3111" i="15"/>
  <c r="K2643" i="15"/>
  <c r="K2436" i="15"/>
  <c r="K2051" i="15"/>
  <c r="K1515" i="15"/>
  <c r="K1170" i="15"/>
  <c r="K772" i="15"/>
  <c r="K704" i="15"/>
  <c r="K63" i="15"/>
  <c r="H2937" i="15"/>
  <c r="H2564" i="15"/>
  <c r="H2438" i="15"/>
  <c r="H1860" i="15"/>
  <c r="H1724" i="15"/>
  <c r="H706" i="15"/>
  <c r="H1281" i="15"/>
  <c r="H71" i="15"/>
  <c r="Q3102" i="15"/>
  <c r="Q2634" i="15"/>
  <c r="Q2419" i="15"/>
  <c r="Q1502" i="15"/>
  <c r="Q1865" i="15"/>
  <c r="Q767" i="15"/>
  <c r="Q1438" i="15"/>
  <c r="Q687" i="15"/>
  <c r="Q59" i="15"/>
  <c r="B2935" i="15"/>
  <c r="B2647" i="15"/>
  <c r="B2055" i="15"/>
  <c r="B2264" i="15"/>
  <c r="B1519" i="15"/>
  <c r="B1357" i="15"/>
  <c r="B775" i="15"/>
  <c r="B430" i="15"/>
  <c r="B67" i="15"/>
  <c r="E3238" i="15"/>
  <c r="E2648" i="15"/>
  <c r="E2056" i="15"/>
  <c r="E2265" i="15"/>
  <c r="E1520" i="15"/>
  <c r="E1358" i="15"/>
  <c r="E776" i="15"/>
  <c r="E431" i="15"/>
  <c r="E68" i="15"/>
  <c r="K2934" i="15"/>
  <c r="K2644" i="15"/>
  <c r="K2261" i="15"/>
  <c r="K2052" i="15"/>
  <c r="K1516" i="15"/>
  <c r="K1354" i="15"/>
  <c r="K773" i="15"/>
  <c r="K427" i="15"/>
  <c r="K64" i="15"/>
  <c r="H2941" i="15"/>
  <c r="H2653" i="15"/>
  <c r="H2268" i="15"/>
  <c r="H2059" i="15"/>
  <c r="H1523" i="15"/>
  <c r="H1360" i="15"/>
  <c r="H779" i="15"/>
  <c r="H433" i="15"/>
  <c r="H81" i="15"/>
  <c r="B3220" i="15"/>
  <c r="B2588" i="15"/>
  <c r="B2237" i="15"/>
  <c r="B2008" i="15"/>
  <c r="B1689" i="15"/>
  <c r="B1109" i="15"/>
  <c r="B967" i="15"/>
  <c r="B660" i="15"/>
  <c r="B8" i="15"/>
  <c r="E3222" i="15"/>
  <c r="E2590" i="15"/>
  <c r="E2239" i="15"/>
  <c r="E2010" i="15"/>
  <c r="E1691" i="15"/>
  <c r="E1146" i="15"/>
  <c r="E662" i="15"/>
  <c r="E969" i="15"/>
  <c r="E10" i="15"/>
  <c r="B3094" i="15"/>
  <c r="B2598" i="15"/>
  <c r="B2247" i="15"/>
  <c r="B2018" i="15"/>
  <c r="B1699" i="15"/>
  <c r="B1149" i="15"/>
  <c r="B977" i="15"/>
  <c r="B670" i="15"/>
  <c r="B18" i="15"/>
  <c r="H3220" i="15"/>
  <c r="H2588" i="15"/>
  <c r="H2237" i="15"/>
  <c r="H2008" i="15"/>
  <c r="H1689" i="15"/>
  <c r="H967" i="15"/>
  <c r="H660" i="15"/>
  <c r="H1109" i="15"/>
  <c r="H8" i="15"/>
  <c r="K3223" i="15"/>
  <c r="K2591" i="15"/>
  <c r="K2240" i="15"/>
  <c r="K2011" i="15"/>
  <c r="K1692" i="15"/>
  <c r="K1265" i="15"/>
  <c r="K970" i="15"/>
  <c r="K663" i="15"/>
  <c r="K11" i="15"/>
  <c r="H3095" i="15"/>
  <c r="H2599" i="15"/>
  <c r="H2248" i="15"/>
  <c r="H2019" i="15"/>
  <c r="H1700" i="15"/>
  <c r="H1269" i="15"/>
  <c r="H978" i="15"/>
  <c r="H671" i="15"/>
  <c r="H19" i="15"/>
  <c r="H2920" i="15"/>
  <c r="H2587" i="15"/>
  <c r="H2408" i="15"/>
  <c r="H1688" i="15"/>
  <c r="H1846" i="15"/>
  <c r="H659" i="15"/>
  <c r="H7" i="15"/>
  <c r="DE71" i="7"/>
  <c r="E3232" i="15"/>
  <c r="E2606" i="15"/>
  <c r="E2255" i="15"/>
  <c r="E2026" i="15"/>
  <c r="E1707" i="15"/>
  <c r="E1273" i="15"/>
  <c r="E985" i="15"/>
  <c r="E678" i="15"/>
  <c r="E26" i="15"/>
  <c r="K3232" i="15"/>
  <c r="K2606" i="15"/>
  <c r="K2255" i="15"/>
  <c r="K1707" i="15"/>
  <c r="K2026" i="15"/>
  <c r="K1273" i="15"/>
  <c r="K985" i="15"/>
  <c r="K678" i="15"/>
  <c r="K26" i="15"/>
  <c r="E2927" i="15"/>
  <c r="E2620" i="15"/>
  <c r="E2417" i="15"/>
  <c r="E1855" i="15"/>
  <c r="E1719" i="15"/>
  <c r="E1152" i="15"/>
  <c r="E686" i="15"/>
  <c r="E40" i="15"/>
  <c r="K2927" i="15"/>
  <c r="K2620" i="15"/>
  <c r="K2417" i="15"/>
  <c r="K1855" i="15"/>
  <c r="K1719" i="15"/>
  <c r="K1152" i="15"/>
  <c r="K686" i="15"/>
  <c r="K40" i="15"/>
  <c r="E3110" i="15"/>
  <c r="E2642" i="15"/>
  <c r="E2435" i="15"/>
  <c r="E2050" i="15"/>
  <c r="E1514" i="15"/>
  <c r="E1169" i="15"/>
  <c r="E703" i="15"/>
  <c r="E771" i="15"/>
  <c r="E62" i="15"/>
  <c r="B2937" i="15"/>
  <c r="B2564" i="15"/>
  <c r="B2438" i="15"/>
  <c r="B1860" i="15"/>
  <c r="B1724" i="15"/>
  <c r="B1281" i="15"/>
  <c r="B706" i="15"/>
  <c r="B71" i="15"/>
  <c r="H2938" i="15"/>
  <c r="H2565" i="15"/>
  <c r="H2439" i="15"/>
  <c r="H1861" i="15"/>
  <c r="H1725" i="15"/>
  <c r="H1282" i="15"/>
  <c r="H707" i="15"/>
  <c r="H72" i="15"/>
  <c r="E3237" i="15"/>
  <c r="E2646" i="15"/>
  <c r="E2263" i="15"/>
  <c r="E2054" i="15"/>
  <c r="E1518" i="15"/>
  <c r="E1356" i="15"/>
  <c r="E991" i="15"/>
  <c r="E429" i="15"/>
  <c r="E66" i="15"/>
  <c r="E3221" i="15"/>
  <c r="E2589" i="15"/>
  <c r="E2238" i="15"/>
  <c r="E2009" i="15"/>
  <c r="E1690" i="15"/>
  <c r="E1264" i="15"/>
  <c r="E968" i="15"/>
  <c r="E661" i="15"/>
  <c r="E9" i="15"/>
  <c r="H3094" i="15"/>
  <c r="H2598" i="15"/>
  <c r="H2247" i="15"/>
  <c r="H2018" i="15"/>
  <c r="H1699" i="15"/>
  <c r="H1149" i="15"/>
  <c r="H977" i="15"/>
  <c r="H670" i="15"/>
  <c r="H18" i="15"/>
  <c r="E3109" i="15"/>
  <c r="E2641" i="15"/>
  <c r="E2434" i="15"/>
  <c r="E1513" i="15"/>
  <c r="E2049" i="15"/>
  <c r="E1168" i="15"/>
  <c r="E702" i="15"/>
  <c r="E770" i="15"/>
  <c r="E61" i="15"/>
  <c r="K2935" i="15"/>
  <c r="K2647" i="15"/>
  <c r="K2264" i="15"/>
  <c r="K1519" i="15"/>
  <c r="K2055" i="15"/>
  <c r="K1357" i="15"/>
  <c r="K775" i="15"/>
  <c r="K430" i="15"/>
  <c r="K67" i="15"/>
  <c r="E3223" i="15"/>
  <c r="E2591" i="15"/>
  <c r="E2240" i="15"/>
  <c r="E2011" i="15"/>
  <c r="E1692" i="15"/>
  <c r="E1265" i="15"/>
  <c r="E970" i="15"/>
  <c r="E663" i="15"/>
  <c r="E11" i="15"/>
  <c r="H3221" i="15"/>
  <c r="H2589" i="15"/>
  <c r="H2238" i="15"/>
  <c r="H2009" i="15"/>
  <c r="H1690" i="15"/>
  <c r="H1264" i="15"/>
  <c r="H968" i="15"/>
  <c r="H661" i="15"/>
  <c r="H9" i="15"/>
  <c r="K3220" i="15"/>
  <c r="K2588" i="15"/>
  <c r="K2237" i="15"/>
  <c r="K2008" i="15"/>
  <c r="K1689" i="15"/>
  <c r="K967" i="15"/>
  <c r="K1109" i="15"/>
  <c r="K660" i="15"/>
  <c r="K8" i="15"/>
  <c r="DE72" i="7"/>
  <c r="E3233" i="15"/>
  <c r="E2607" i="15"/>
  <c r="E2256" i="15"/>
  <c r="E2027" i="15"/>
  <c r="E1708" i="15"/>
  <c r="E1274" i="15"/>
  <c r="E986" i="15"/>
  <c r="E679" i="15"/>
  <c r="E27" i="15"/>
  <c r="K3233" i="15"/>
  <c r="K2607" i="15"/>
  <c r="K2256" i="15"/>
  <c r="K2027" i="15"/>
  <c r="K1708" i="15"/>
  <c r="K1274" i="15"/>
  <c r="K986" i="15"/>
  <c r="K679" i="15"/>
  <c r="K27" i="15"/>
  <c r="E2928" i="15"/>
  <c r="E2621" i="15"/>
  <c r="E2418" i="15"/>
  <c r="E1856" i="15"/>
  <c r="E1720" i="15"/>
  <c r="E1153" i="15"/>
  <c r="E687" i="15"/>
  <c r="E41" i="15"/>
  <c r="K2928" i="15"/>
  <c r="K2621" i="15"/>
  <c r="K2418" i="15"/>
  <c r="K1856" i="15"/>
  <c r="K1720" i="15"/>
  <c r="K1153" i="15"/>
  <c r="K687" i="15"/>
  <c r="K41" i="15"/>
  <c r="E3111" i="15"/>
  <c r="E2643" i="15"/>
  <c r="E2436" i="15"/>
  <c r="E2051" i="15"/>
  <c r="E1515" i="15"/>
  <c r="E772" i="15"/>
  <c r="E1170" i="15"/>
  <c r="E704" i="15"/>
  <c r="E63" i="15"/>
  <c r="B2938" i="15"/>
  <c r="B2565" i="15"/>
  <c r="B2439" i="15"/>
  <c r="B1861" i="15"/>
  <c r="B1725" i="15"/>
  <c r="B1282" i="15"/>
  <c r="B707" i="15"/>
  <c r="B72" i="15"/>
  <c r="H2936" i="15"/>
  <c r="H2563" i="15"/>
  <c r="H2437" i="15"/>
  <c r="H1859" i="15"/>
  <c r="H1723" i="15"/>
  <c r="H1171" i="15"/>
  <c r="H705" i="15"/>
  <c r="H70" i="15"/>
  <c r="Q3101" i="15"/>
  <c r="Q2633" i="15"/>
  <c r="Q2418" i="15"/>
  <c r="Q1864" i="15"/>
  <c r="Q1501" i="15"/>
  <c r="Q1437" i="15"/>
  <c r="Q766" i="15"/>
  <c r="Q686" i="15"/>
  <c r="Q58" i="15"/>
  <c r="H3239" i="15"/>
  <c r="H2649" i="15"/>
  <c r="H2266" i="15"/>
  <c r="H2057" i="15"/>
  <c r="H1521" i="15"/>
  <c r="H1359" i="15"/>
  <c r="H992" i="15"/>
  <c r="H432" i="15"/>
  <c r="H69" i="15"/>
  <c r="E3095" i="15"/>
  <c r="E2599" i="15"/>
  <c r="E2248" i="15"/>
  <c r="E2019" i="15"/>
  <c r="E1700" i="15"/>
  <c r="E1269" i="15"/>
  <c r="E978" i="15"/>
  <c r="E671" i="15"/>
  <c r="E19" i="15"/>
  <c r="K3095" i="15"/>
  <c r="K2599" i="15"/>
  <c r="K2248" i="15"/>
  <c r="K2019" i="15"/>
  <c r="K1700" i="15"/>
  <c r="K978" i="15"/>
  <c r="K1269" i="15"/>
  <c r="K671" i="15"/>
  <c r="K19" i="15"/>
  <c r="B2930" i="15"/>
  <c r="B2623" i="15"/>
  <c r="B2420" i="15"/>
  <c r="B1858" i="15"/>
  <c r="B1722" i="15"/>
  <c r="B1155" i="15"/>
  <c r="B689" i="15"/>
  <c r="B43" i="15"/>
  <c r="B3236" i="15"/>
  <c r="B2645" i="15"/>
  <c r="B2262" i="15"/>
  <c r="B2053" i="15"/>
  <c r="B1517" i="15"/>
  <c r="B1355" i="15"/>
  <c r="B774" i="15"/>
  <c r="B428" i="15"/>
  <c r="B65" i="15"/>
  <c r="E3239" i="15"/>
  <c r="E2649" i="15"/>
  <c r="E2266" i="15"/>
  <c r="E2057" i="15"/>
  <c r="E1521" i="15"/>
  <c r="E1359" i="15"/>
  <c r="E992" i="15"/>
  <c r="E432" i="15"/>
  <c r="E69" i="15"/>
  <c r="B3221" i="15"/>
  <c r="B2589" i="15"/>
  <c r="B2238" i="15"/>
  <c r="B2009" i="15"/>
  <c r="B1690" i="15"/>
  <c r="B1264" i="15"/>
  <c r="B968" i="15"/>
  <c r="B661" i="15"/>
  <c r="B9" i="15"/>
  <c r="B3095" i="15"/>
  <c r="B2599" i="15"/>
  <c r="B2248" i="15"/>
  <c r="B2019" i="15"/>
  <c r="B1700" i="15"/>
  <c r="B1269" i="15"/>
  <c r="B978" i="15"/>
  <c r="B671" i="15"/>
  <c r="B19" i="15"/>
  <c r="K3224" i="15"/>
  <c r="K2592" i="15"/>
  <c r="K2241" i="15"/>
  <c r="K2012" i="15"/>
  <c r="K1693" i="15"/>
  <c r="K971" i="15"/>
  <c r="K1147" i="15"/>
  <c r="K664" i="15"/>
  <c r="K12" i="15"/>
  <c r="B3099" i="15"/>
  <c r="B2619" i="15"/>
  <c r="B2416" i="15"/>
  <c r="B1499" i="15"/>
  <c r="B1854" i="15"/>
  <c r="B1438" i="15"/>
  <c r="B685" i="15"/>
  <c r="B756" i="15"/>
  <c r="B39" i="15"/>
  <c r="H2934" i="15"/>
  <c r="H2644" i="15"/>
  <c r="H2261" i="15"/>
  <c r="H2052" i="15"/>
  <c r="H1516" i="15"/>
  <c r="H1354" i="15"/>
  <c r="H773" i="15"/>
  <c r="H427" i="15"/>
  <c r="H64" i="15"/>
  <c r="H3115" i="15"/>
  <c r="H2654" i="15"/>
  <c r="H2447" i="15"/>
  <c r="H2060" i="15"/>
  <c r="H1524" i="15"/>
  <c r="H1361" i="15"/>
  <c r="H780" i="15"/>
  <c r="H434" i="15"/>
  <c r="H82" i="15"/>
  <c r="B3222" i="15"/>
  <c r="B2590" i="15"/>
  <c r="B2239" i="15"/>
  <c r="B2010" i="15"/>
  <c r="B1691" i="15"/>
  <c r="B1146" i="15"/>
  <c r="B662" i="15"/>
  <c r="B969" i="15"/>
  <c r="B10" i="15"/>
  <c r="E3224" i="15"/>
  <c r="E2592" i="15"/>
  <c r="E2012" i="15"/>
  <c r="E1693" i="15"/>
  <c r="E2241" i="15"/>
  <c r="E971" i="15"/>
  <c r="E1147" i="15"/>
  <c r="E664" i="15"/>
  <c r="E12" i="15"/>
  <c r="E3090" i="15"/>
  <c r="E2594" i="15"/>
  <c r="E2243" i="15"/>
  <c r="E2014" i="15"/>
  <c r="E1695" i="15"/>
  <c r="E1110" i="15"/>
  <c r="E973" i="15"/>
  <c r="E666" i="15"/>
  <c r="E14" i="15"/>
  <c r="H3222" i="15"/>
  <c r="H2590" i="15"/>
  <c r="H2239" i="15"/>
  <c r="H2010" i="15"/>
  <c r="H1691" i="15"/>
  <c r="H1146" i="15"/>
  <c r="H969" i="15"/>
  <c r="H662" i="15"/>
  <c r="H10" i="15"/>
  <c r="K3225" i="15"/>
  <c r="K2593" i="15"/>
  <c r="K2242" i="15"/>
  <c r="K2013" i="15"/>
  <c r="K1694" i="15"/>
  <c r="K1266" i="15"/>
  <c r="K972" i="15"/>
  <c r="K665" i="15"/>
  <c r="K13" i="15"/>
  <c r="K3090" i="15"/>
  <c r="K2594" i="15"/>
  <c r="K2243" i="15"/>
  <c r="K2014" i="15"/>
  <c r="K1695" i="15"/>
  <c r="K1110" i="15"/>
  <c r="K973" i="15"/>
  <c r="K666" i="15"/>
  <c r="K14" i="15"/>
  <c r="K2920" i="15"/>
  <c r="K2587" i="15"/>
  <c r="K2408" i="15"/>
  <c r="K1846" i="15"/>
  <c r="K1688" i="15"/>
  <c r="K659" i="15"/>
  <c r="K7" i="15"/>
  <c r="DE73" i="7"/>
  <c r="Q2611" i="15" s="1"/>
  <c r="E3096" i="15"/>
  <c r="E2608" i="15"/>
  <c r="E2257" i="15"/>
  <c r="E2028" i="15"/>
  <c r="E1709" i="15"/>
  <c r="E1275" i="15"/>
  <c r="E987" i="15"/>
  <c r="E680" i="15"/>
  <c r="E28" i="15"/>
  <c r="K3096" i="15"/>
  <c r="K2608" i="15"/>
  <c r="K2257" i="15"/>
  <c r="K2028" i="15"/>
  <c r="K1709" i="15"/>
  <c r="K1275" i="15"/>
  <c r="K987" i="15"/>
  <c r="K680" i="15"/>
  <c r="K28" i="15"/>
  <c r="E2929" i="15"/>
  <c r="E2622" i="15"/>
  <c r="E2419" i="15"/>
  <c r="E1857" i="15"/>
  <c r="E1721" i="15"/>
  <c r="E1154" i="15"/>
  <c r="E688" i="15"/>
  <c r="E42" i="15"/>
  <c r="K2929" i="15"/>
  <c r="K2622" i="15"/>
  <c r="K2419" i="15"/>
  <c r="K1857" i="15"/>
  <c r="K1721" i="15"/>
  <c r="K1154" i="15"/>
  <c r="K688" i="15"/>
  <c r="K42" i="15"/>
  <c r="H3109" i="15"/>
  <c r="H2641" i="15"/>
  <c r="H2434" i="15"/>
  <c r="H2049" i="15"/>
  <c r="H1513" i="15"/>
  <c r="H1168" i="15"/>
  <c r="H702" i="15"/>
  <c r="H770" i="15"/>
  <c r="H61" i="15"/>
  <c r="K2937" i="15"/>
  <c r="K2564" i="15"/>
  <c r="K2438" i="15"/>
  <c r="K1860" i="15"/>
  <c r="K1724" i="15"/>
  <c r="K1281" i="15"/>
  <c r="K706" i="15"/>
  <c r="K71" i="15"/>
  <c r="K2919" i="15"/>
  <c r="K2586" i="15"/>
  <c r="K2407" i="15"/>
  <c r="K1687" i="15"/>
  <c r="K1845" i="15"/>
  <c r="K658" i="15"/>
  <c r="K6" i="15"/>
  <c r="B3238" i="15"/>
  <c r="B2648" i="15"/>
  <c r="B2265" i="15"/>
  <c r="B2056" i="15"/>
  <c r="B1520" i="15"/>
  <c r="B1358" i="15"/>
  <c r="B776" i="15"/>
  <c r="B431" i="15"/>
  <c r="B68" i="15"/>
  <c r="K3236" i="15"/>
  <c r="K2645" i="15"/>
  <c r="K2262" i="15"/>
  <c r="K2053" i="15"/>
  <c r="K1517" i="15"/>
  <c r="K1355" i="15"/>
  <c r="K774" i="15"/>
  <c r="K428" i="15"/>
  <c r="K65" i="15"/>
  <c r="E3098" i="15"/>
  <c r="E2618" i="15"/>
  <c r="E2415" i="15"/>
  <c r="E1498" i="15"/>
  <c r="E1853" i="15"/>
  <c r="E1437" i="15"/>
  <c r="E755" i="15"/>
  <c r="E684" i="15"/>
  <c r="E38" i="15"/>
  <c r="B3239" i="15"/>
  <c r="B2649" i="15"/>
  <c r="B2266" i="15"/>
  <c r="B2057" i="15"/>
  <c r="B1521" i="15"/>
  <c r="B1359" i="15"/>
  <c r="B992" i="15"/>
  <c r="B432" i="15"/>
  <c r="B69" i="15"/>
  <c r="H2935" i="15"/>
  <c r="H2647" i="15"/>
  <c r="H2264" i="15"/>
  <c r="H2055" i="15"/>
  <c r="H1519" i="15"/>
  <c r="H1357" i="15"/>
  <c r="H775" i="15"/>
  <c r="H67" i="15"/>
  <c r="H430" i="15"/>
  <c r="K3237" i="15"/>
  <c r="K2646" i="15"/>
  <c r="K2263" i="15"/>
  <c r="K2054" i="15"/>
  <c r="K1518" i="15"/>
  <c r="K1356" i="15"/>
  <c r="K991" i="15"/>
  <c r="K429" i="15"/>
  <c r="K66" i="15"/>
  <c r="K3115" i="15"/>
  <c r="K2654" i="15"/>
  <c r="K2447" i="15"/>
  <c r="K2060" i="15"/>
  <c r="K1524" i="15"/>
  <c r="K1361" i="15"/>
  <c r="K780" i="15"/>
  <c r="K434" i="15"/>
  <c r="K82" i="15"/>
  <c r="B3223" i="15"/>
  <c r="B2591" i="15"/>
  <c r="B2240" i="15"/>
  <c r="B2011" i="15"/>
  <c r="B1692" i="15"/>
  <c r="B970" i="15"/>
  <c r="B663" i="15"/>
  <c r="B1265" i="15"/>
  <c r="B11" i="15"/>
  <c r="E3225" i="15"/>
  <c r="E2593" i="15"/>
  <c r="E2242" i="15"/>
  <c r="E2013" i="15"/>
  <c r="E1694" i="15"/>
  <c r="E1266" i="15"/>
  <c r="E665" i="15"/>
  <c r="E972" i="15"/>
  <c r="E13" i="15"/>
  <c r="E3091" i="15"/>
  <c r="E2595" i="15"/>
  <c r="E2244" i="15"/>
  <c r="E1696" i="15"/>
  <c r="E2015" i="15"/>
  <c r="E1267" i="15"/>
  <c r="E974" i="15"/>
  <c r="E667" i="15"/>
  <c r="E15" i="15"/>
  <c r="H3223" i="15"/>
  <c r="H2591" i="15"/>
  <c r="H2240" i="15"/>
  <c r="H2011" i="15"/>
  <c r="H1692" i="15"/>
  <c r="H1265" i="15"/>
  <c r="H970" i="15"/>
  <c r="H663" i="15"/>
  <c r="H11" i="15"/>
  <c r="H3090" i="15"/>
  <c r="H2594" i="15"/>
  <c r="H2243" i="15"/>
  <c r="H2014" i="15"/>
  <c r="H1695" i="15"/>
  <c r="H1110" i="15"/>
  <c r="H973" i="15"/>
  <c r="H666" i="15"/>
  <c r="H14" i="15"/>
  <c r="K3091" i="15"/>
  <c r="K2595" i="15"/>
  <c r="K2244" i="15"/>
  <c r="K1696" i="15"/>
  <c r="K2015" i="15"/>
  <c r="K1267" i="15"/>
  <c r="K974" i="15"/>
  <c r="K667" i="15"/>
  <c r="K15" i="15"/>
  <c r="DE74" i="7"/>
  <c r="E3097" i="15"/>
  <c r="E2609" i="15"/>
  <c r="E2258" i="15"/>
  <c r="E2029" i="15"/>
  <c r="E1710" i="15"/>
  <c r="E1276" i="15"/>
  <c r="E988" i="15"/>
  <c r="E681" i="15"/>
  <c r="E29" i="15"/>
  <c r="K3097" i="15"/>
  <c r="K2609" i="15"/>
  <c r="K2258" i="15"/>
  <c r="K2029" i="15"/>
  <c r="K1710" i="15"/>
  <c r="K1276" i="15"/>
  <c r="K988" i="15"/>
  <c r="K681" i="15"/>
  <c r="K29" i="15"/>
  <c r="E2930" i="15"/>
  <c r="E2623" i="15"/>
  <c r="E2420" i="15"/>
  <c r="E1858" i="15"/>
  <c r="E1722" i="15"/>
  <c r="E1155" i="15"/>
  <c r="E689" i="15"/>
  <c r="E43" i="15"/>
  <c r="K2930" i="15"/>
  <c r="K2623" i="15"/>
  <c r="K2420" i="15"/>
  <c r="K1858" i="15"/>
  <c r="K1722" i="15"/>
  <c r="K689" i="15"/>
  <c r="K1155" i="15"/>
  <c r="K43" i="15"/>
  <c r="H3110" i="15"/>
  <c r="H2642" i="15"/>
  <c r="H2435" i="15"/>
  <c r="H2050" i="15"/>
  <c r="H1514" i="15"/>
  <c r="H1169" i="15"/>
  <c r="H771" i="15"/>
  <c r="H703" i="15"/>
  <c r="H62" i="15"/>
  <c r="B2936" i="15"/>
  <c r="B2437" i="15"/>
  <c r="B2563" i="15"/>
  <c r="B1859" i="15"/>
  <c r="B1723" i="15"/>
  <c r="B1171" i="15"/>
  <c r="B705" i="15"/>
  <c r="B70" i="15"/>
  <c r="K2938" i="15"/>
  <c r="K2565" i="15"/>
  <c r="K2439" i="15"/>
  <c r="K1861" i="15"/>
  <c r="K1725" i="15"/>
  <c r="K1282" i="15"/>
  <c r="K707" i="15"/>
  <c r="K72" i="15"/>
  <c r="E2920" i="15"/>
  <c r="E2587" i="15"/>
  <c r="E2408" i="15"/>
  <c r="E1688" i="15"/>
  <c r="E1846" i="15"/>
  <c r="E659" i="15"/>
  <c r="E7" i="15"/>
  <c r="H3097" i="15"/>
  <c r="H2609" i="15"/>
  <c r="H2258" i="15"/>
  <c r="H2029" i="15"/>
  <c r="H1710" i="15"/>
  <c r="H1276" i="15"/>
  <c r="H988" i="15"/>
  <c r="H681" i="15"/>
  <c r="H29" i="15"/>
  <c r="B3098" i="15"/>
  <c r="B2618" i="15"/>
  <c r="B2415" i="15"/>
  <c r="B1853" i="15"/>
  <c r="B1498" i="15"/>
  <c r="B1437" i="15"/>
  <c r="B684" i="15"/>
  <c r="B755" i="15"/>
  <c r="B38" i="15"/>
  <c r="K2941" i="15"/>
  <c r="K2653" i="15"/>
  <c r="K2268" i="15"/>
  <c r="K2059" i="15"/>
  <c r="K1523" i="15"/>
  <c r="K1360" i="15"/>
  <c r="K779" i="15"/>
  <c r="K433" i="15"/>
  <c r="K81" i="15"/>
  <c r="E3099" i="15"/>
  <c r="E2619" i="15"/>
  <c r="E2416" i="15"/>
  <c r="E1854" i="15"/>
  <c r="E1499" i="15"/>
  <c r="E1438" i="15"/>
  <c r="E756" i="15"/>
  <c r="E685" i="15"/>
  <c r="E39" i="15"/>
  <c r="E2934" i="15"/>
  <c r="E2644" i="15"/>
  <c r="E2261" i="15"/>
  <c r="E2052" i="15"/>
  <c r="E1516" i="15"/>
  <c r="E1354" i="15"/>
  <c r="E773" i="15"/>
  <c r="E427" i="15"/>
  <c r="E64" i="15"/>
  <c r="H3236" i="15"/>
  <c r="H2645" i="15"/>
  <c r="H2262" i="15"/>
  <c r="H2053" i="15"/>
  <c r="H1517" i="15"/>
  <c r="H1355" i="15"/>
  <c r="H774" i="15"/>
  <c r="H428" i="15"/>
  <c r="H65" i="15"/>
  <c r="K3238" i="15"/>
  <c r="K2648" i="15"/>
  <c r="K2265" i="15"/>
  <c r="K2056" i="15"/>
  <c r="K1520" i="15"/>
  <c r="K1358" i="15"/>
  <c r="K776" i="15"/>
  <c r="K431" i="15"/>
  <c r="K68" i="15"/>
  <c r="B2919" i="15"/>
  <c r="B2586" i="15"/>
  <c r="B2407" i="15"/>
  <c r="B1687" i="15"/>
  <c r="B1845" i="15"/>
  <c r="B658" i="15"/>
  <c r="B6" i="15"/>
  <c r="B3224" i="15"/>
  <c r="B2592" i="15"/>
  <c r="B2241" i="15"/>
  <c r="B1693" i="15"/>
  <c r="B2012" i="15"/>
  <c r="B1147" i="15"/>
  <c r="B971" i="15"/>
  <c r="B664" i="15"/>
  <c r="B12" i="15"/>
  <c r="B3090" i="15"/>
  <c r="B2594" i="15"/>
  <c r="B2243" i="15"/>
  <c r="B2014" i="15"/>
  <c r="B1695" i="15"/>
  <c r="B1110" i="15"/>
  <c r="B666" i="15"/>
  <c r="B973" i="15"/>
  <c r="B14" i="15"/>
  <c r="E3092" i="15"/>
  <c r="E2596" i="15"/>
  <c r="E2245" i="15"/>
  <c r="E2016" i="15"/>
  <c r="E1697" i="15"/>
  <c r="E1148" i="15"/>
  <c r="E975" i="15"/>
  <c r="E668" i="15"/>
  <c r="E16" i="15"/>
  <c r="H3224" i="15"/>
  <c r="H2592" i="15"/>
  <c r="H2241" i="15"/>
  <c r="H2012" i="15"/>
  <c r="H1693" i="15"/>
  <c r="H1147" i="15"/>
  <c r="H971" i="15"/>
  <c r="H664" i="15"/>
  <c r="H12" i="15"/>
  <c r="H3091" i="15"/>
  <c r="H2595" i="15"/>
  <c r="H2244" i="15"/>
  <c r="H2015" i="15"/>
  <c r="H1696" i="15"/>
  <c r="H1267" i="15"/>
  <c r="H974" i="15"/>
  <c r="H667" i="15"/>
  <c r="H15" i="15"/>
  <c r="K3092" i="15"/>
  <c r="K2596" i="15"/>
  <c r="K2245" i="15"/>
  <c r="K2016" i="15"/>
  <c r="K1697" i="15"/>
  <c r="K1148" i="15"/>
  <c r="K975" i="15"/>
  <c r="K668" i="15"/>
  <c r="K16" i="15"/>
  <c r="DA71" i="7"/>
  <c r="B3232" i="15"/>
  <c r="B2606" i="15"/>
  <c r="B2255" i="15"/>
  <c r="B2026" i="15"/>
  <c r="B1707" i="15"/>
  <c r="B1273" i="15"/>
  <c r="B985" i="15"/>
  <c r="B678" i="15"/>
  <c r="B26" i="15"/>
  <c r="H3232" i="15"/>
  <c r="H2606" i="15"/>
  <c r="H2255" i="15"/>
  <c r="H2026" i="15"/>
  <c r="H1707" i="15"/>
  <c r="H1273" i="15"/>
  <c r="H985" i="15"/>
  <c r="H678" i="15"/>
  <c r="H26" i="15"/>
  <c r="B2928" i="15"/>
  <c r="B2621" i="15"/>
  <c r="B2418" i="15"/>
  <c r="B1856" i="15"/>
  <c r="B1720" i="15"/>
  <c r="B1153" i="15"/>
  <c r="B687" i="15"/>
  <c r="B41" i="15"/>
  <c r="H2927" i="15"/>
  <c r="H2417" i="15"/>
  <c r="H2620" i="15"/>
  <c r="H1855" i="15"/>
  <c r="H1719" i="15"/>
  <c r="H1152" i="15"/>
  <c r="H686" i="15"/>
  <c r="H40" i="15"/>
  <c r="B3109" i="15"/>
  <c r="B2641" i="15"/>
  <c r="B2434" i="15"/>
  <c r="B2049" i="15"/>
  <c r="B1513" i="15"/>
  <c r="B1168" i="15"/>
  <c r="B702" i="15"/>
  <c r="B770" i="15"/>
  <c r="B61" i="15"/>
  <c r="H3111" i="15"/>
  <c r="H2643" i="15"/>
  <c r="H2436" i="15"/>
  <c r="H2051" i="15"/>
  <c r="H1515" i="15"/>
  <c r="H1170" i="15"/>
  <c r="H772" i="15"/>
  <c r="H704" i="15"/>
  <c r="H63" i="15"/>
  <c r="E2936" i="15"/>
  <c r="E2563" i="15"/>
  <c r="E2437" i="15"/>
  <c r="E1859" i="15"/>
  <c r="E1723" i="15"/>
  <c r="E1171" i="15"/>
  <c r="E705" i="15"/>
  <c r="E70" i="15"/>
  <c r="K2936" i="15"/>
  <c r="K2563" i="15"/>
  <c r="K2437" i="15"/>
  <c r="K1859" i="15"/>
  <c r="K1723" i="15"/>
  <c r="K1171" i="15"/>
  <c r="K705" i="15"/>
  <c r="K70" i="15"/>
  <c r="K3071" i="15"/>
  <c r="K2628" i="15"/>
  <c r="K2421" i="15"/>
  <c r="K2036" i="15"/>
  <c r="K1500" i="15"/>
  <c r="K1439" i="15"/>
  <c r="K757" i="15"/>
  <c r="K426" i="15"/>
  <c r="K48" i="15"/>
  <c r="E2935" i="15"/>
  <c r="E2647" i="15"/>
  <c r="E2264" i="15"/>
  <c r="E2055" i="15"/>
  <c r="E1519" i="15"/>
  <c r="E1357" i="15"/>
  <c r="E775" i="15"/>
  <c r="E430" i="15"/>
  <c r="E67" i="15"/>
  <c r="H3237" i="15"/>
  <c r="H2646" i="15"/>
  <c r="H2263" i="15"/>
  <c r="H2054" i="15"/>
  <c r="H1518" i="15"/>
  <c r="H1356" i="15"/>
  <c r="H991" i="15"/>
  <c r="H429" i="15"/>
  <c r="H66" i="15"/>
  <c r="K3239" i="15"/>
  <c r="K2649" i="15"/>
  <c r="K2266" i="15"/>
  <c r="K2057" i="15"/>
  <c r="K1521" i="15"/>
  <c r="K1359" i="15"/>
  <c r="K992" i="15"/>
  <c r="K432" i="15"/>
  <c r="K69" i="15"/>
  <c r="B2920" i="15"/>
  <c r="B2587" i="15"/>
  <c r="B2408" i="15"/>
  <c r="B1846" i="15"/>
  <c r="B1688" i="15"/>
  <c r="B7" i="15"/>
  <c r="B659" i="15"/>
  <c r="B3225" i="15"/>
  <c r="B2593" i="15"/>
  <c r="B2242" i="15"/>
  <c r="B2013" i="15"/>
  <c r="B1694" i="15"/>
  <c r="B1266" i="15"/>
  <c r="B972" i="15"/>
  <c r="B665" i="15"/>
  <c r="B13" i="15"/>
  <c r="B3091" i="15"/>
  <c r="B2595" i="15"/>
  <c r="B2244" i="15"/>
  <c r="B2015" i="15"/>
  <c r="B1696" i="15"/>
  <c r="B1267" i="15"/>
  <c r="B974" i="15"/>
  <c r="B667" i="15"/>
  <c r="B15" i="15"/>
  <c r="E3093" i="15"/>
  <c r="E2597" i="15"/>
  <c r="E2246" i="15"/>
  <c r="E2017" i="15"/>
  <c r="E1698" i="15"/>
  <c r="E1268" i="15"/>
  <c r="E976" i="15"/>
  <c r="E669" i="15"/>
  <c r="E17" i="15"/>
  <c r="H3225" i="15"/>
  <c r="H2593" i="15"/>
  <c r="H2242" i="15"/>
  <c r="H2013" i="15"/>
  <c r="H1694" i="15"/>
  <c r="H1266" i="15"/>
  <c r="H972" i="15"/>
  <c r="H665" i="15"/>
  <c r="H13" i="15"/>
  <c r="H3092" i="15"/>
  <c r="H2596" i="15"/>
  <c r="H2245" i="15"/>
  <c r="H2016" i="15"/>
  <c r="H1697" i="15"/>
  <c r="H1148" i="15"/>
  <c r="H975" i="15"/>
  <c r="H668" i="15"/>
  <c r="H16" i="15"/>
  <c r="K3093" i="15"/>
  <c r="K2597" i="15"/>
  <c r="K2246" i="15"/>
  <c r="K2017" i="15"/>
  <c r="K1698" i="15"/>
  <c r="K1268" i="15"/>
  <c r="K976" i="15"/>
  <c r="K669" i="15"/>
  <c r="K17" i="15"/>
  <c r="B3233" i="15"/>
  <c r="B2607" i="15"/>
  <c r="B2256" i="15"/>
  <c r="B2027" i="15"/>
  <c r="B1708" i="15"/>
  <c r="B1274" i="15"/>
  <c r="B986" i="15"/>
  <c r="B679" i="15"/>
  <c r="B27" i="15"/>
  <c r="H3233" i="15"/>
  <c r="H2607" i="15"/>
  <c r="H2256" i="15"/>
  <c r="H2027" i="15"/>
  <c r="H1708" i="15"/>
  <c r="H1274" i="15"/>
  <c r="H986" i="15"/>
  <c r="H679" i="15"/>
  <c r="H27" i="15"/>
  <c r="B2927" i="15"/>
  <c r="B2620" i="15"/>
  <c r="B2417" i="15"/>
  <c r="B1855" i="15"/>
  <c r="B1719" i="15"/>
  <c r="B1152" i="15"/>
  <c r="B686" i="15"/>
  <c r="B40" i="15"/>
  <c r="H2928" i="15"/>
  <c r="H2621" i="15"/>
  <c r="H2418" i="15"/>
  <c r="H1856" i="15"/>
  <c r="H1720" i="15"/>
  <c r="H1153" i="15"/>
  <c r="H687" i="15"/>
  <c r="H41" i="15"/>
  <c r="B3110" i="15"/>
  <c r="B2642" i="15"/>
  <c r="B2435" i="15"/>
  <c r="B2050" i="15"/>
  <c r="B1514" i="15"/>
  <c r="B1169" i="15"/>
  <c r="B771" i="15"/>
  <c r="B703" i="15"/>
  <c r="B62" i="15"/>
  <c r="K3109" i="15"/>
  <c r="K2641" i="15"/>
  <c r="K2434" i="15"/>
  <c r="K2049" i="15"/>
  <c r="K1513" i="15"/>
  <c r="K1168" i="15"/>
  <c r="K770" i="15"/>
  <c r="K702" i="15"/>
  <c r="K61" i="15"/>
  <c r="E2937" i="15"/>
  <c r="E2564" i="15"/>
  <c r="E2438" i="15"/>
  <c r="E1860" i="15"/>
  <c r="E1724" i="15"/>
  <c r="E1281" i="15"/>
  <c r="E706" i="15"/>
  <c r="E71" i="15"/>
  <c r="B2934" i="15"/>
  <c r="B2644" i="15"/>
  <c r="B2261" i="15"/>
  <c r="B2052" i="15"/>
  <c r="B1516" i="15"/>
  <c r="B1354" i="15"/>
  <c r="B773" i="15"/>
  <c r="B427" i="15"/>
  <c r="B64" i="15"/>
  <c r="B3093" i="15"/>
  <c r="B2597" i="15"/>
  <c r="B2246" i="15"/>
  <c r="B2017" i="15"/>
  <c r="B1698" i="15"/>
  <c r="B1268" i="15"/>
  <c r="B976" i="15"/>
  <c r="B669" i="15"/>
  <c r="B17" i="15"/>
  <c r="N3101" i="15"/>
  <c r="N2633" i="15"/>
  <c r="N2418" i="15"/>
  <c r="N1864" i="15"/>
  <c r="N1501" i="15"/>
  <c r="N1437" i="15"/>
  <c r="N766" i="15"/>
  <c r="N686" i="15"/>
  <c r="N58" i="15"/>
  <c r="N3102" i="15"/>
  <c r="N2634" i="15"/>
  <c r="N2419" i="15"/>
  <c r="N1502" i="15"/>
  <c r="N1865" i="15"/>
  <c r="N1438" i="15"/>
  <c r="N767" i="15"/>
  <c r="N687" i="15"/>
  <c r="N59" i="15"/>
  <c r="B3237" i="15"/>
  <c r="B2646" i="15"/>
  <c r="B2263" i="15"/>
  <c r="B2054" i="15"/>
  <c r="B1518" i="15"/>
  <c r="B1356" i="15"/>
  <c r="B991" i="15"/>
  <c r="B429" i="15"/>
  <c r="B66" i="15"/>
  <c r="E3236" i="15"/>
  <c r="E2645" i="15"/>
  <c r="E2262" i="15"/>
  <c r="E1517" i="15"/>
  <c r="E2053" i="15"/>
  <c r="E1355" i="15"/>
  <c r="E774" i="15"/>
  <c r="E428" i="15"/>
  <c r="E65" i="15"/>
  <c r="H3238" i="15"/>
  <c r="H2648" i="15"/>
  <c r="H2265" i="15"/>
  <c r="H2056" i="15"/>
  <c r="H1520" i="15"/>
  <c r="H1358" i="15"/>
  <c r="H776" i="15"/>
  <c r="H431" i="15"/>
  <c r="H68" i="15"/>
  <c r="B3115" i="15"/>
  <c r="B2654" i="15"/>
  <c r="B2447" i="15"/>
  <c r="B2060" i="15"/>
  <c r="B1524" i="15"/>
  <c r="B1361" i="15"/>
  <c r="B780" i="15"/>
  <c r="B434" i="15"/>
  <c r="B82" i="15"/>
  <c r="E2919" i="15"/>
  <c r="E2586" i="15"/>
  <c r="E2407" i="15"/>
  <c r="E1845" i="15"/>
  <c r="E1687" i="15"/>
  <c r="E658" i="15"/>
  <c r="E6" i="15"/>
  <c r="E3220" i="15"/>
  <c r="E2588" i="15"/>
  <c r="E2237" i="15"/>
  <c r="E2008" i="15"/>
  <c r="E1689" i="15"/>
  <c r="E967" i="15"/>
  <c r="E1109" i="15"/>
  <c r="E660" i="15"/>
  <c r="E8" i="15"/>
  <c r="B3092" i="15"/>
  <c r="B2596" i="15"/>
  <c r="B2245" i="15"/>
  <c r="B2016" i="15"/>
  <c r="B1697" i="15"/>
  <c r="B975" i="15"/>
  <c r="B1148" i="15"/>
  <c r="B668" i="15"/>
  <c r="B16" i="15"/>
  <c r="E3094" i="15"/>
  <c r="E2598" i="15"/>
  <c r="E2247" i="15"/>
  <c r="E2018" i="15"/>
  <c r="E1699" i="15"/>
  <c r="E1149" i="15"/>
  <c r="E670" i="15"/>
  <c r="E977" i="15"/>
  <c r="E18" i="15"/>
  <c r="K3221" i="15"/>
  <c r="K2589" i="15"/>
  <c r="K2238" i="15"/>
  <c r="K2009" i="15"/>
  <c r="K1690" i="15"/>
  <c r="K1264" i="15"/>
  <c r="K968" i="15"/>
  <c r="K661" i="15"/>
  <c r="K9" i="15"/>
  <c r="H3093" i="15"/>
  <c r="H2597" i="15"/>
  <c r="H2246" i="15"/>
  <c r="H2017" i="15"/>
  <c r="H1698" i="15"/>
  <c r="H1268" i="15"/>
  <c r="H976" i="15"/>
  <c r="H669" i="15"/>
  <c r="H17" i="15"/>
  <c r="K3094" i="15"/>
  <c r="K2598" i="15"/>
  <c r="K2247" i="15"/>
  <c r="K2018" i="15"/>
  <c r="K1699" i="15"/>
  <c r="K1149" i="15"/>
  <c r="K977" i="15"/>
  <c r="K670" i="15"/>
  <c r="K18" i="15"/>
  <c r="B3096" i="15"/>
  <c r="B2608" i="15"/>
  <c r="B2257" i="15"/>
  <c r="B2028" i="15"/>
  <c r="B1709" i="15"/>
  <c r="B1275" i="15"/>
  <c r="B987" i="15"/>
  <c r="B680" i="15"/>
  <c r="B28" i="15"/>
  <c r="H3096" i="15"/>
  <c r="H2608" i="15"/>
  <c r="H2257" i="15"/>
  <c r="H2028" i="15"/>
  <c r="H1709" i="15"/>
  <c r="H1275" i="15"/>
  <c r="H987" i="15"/>
  <c r="H680" i="15"/>
  <c r="H28" i="15"/>
  <c r="B2929" i="15"/>
  <c r="B2622" i="15"/>
  <c r="B2419" i="15"/>
  <c r="B1857" i="15"/>
  <c r="B1721" i="15"/>
  <c r="B1154" i="15"/>
  <c r="B688" i="15"/>
  <c r="B42" i="15"/>
  <c r="H2929" i="15"/>
  <c r="H2622" i="15"/>
  <c r="H2419" i="15"/>
  <c r="H1857" i="15"/>
  <c r="H1721" i="15"/>
  <c r="H1154" i="15"/>
  <c r="H688" i="15"/>
  <c r="H42" i="15"/>
  <c r="B3111" i="15"/>
  <c r="B2643" i="15"/>
  <c r="B2436" i="15"/>
  <c r="B2051" i="15"/>
  <c r="B1515" i="15"/>
  <c r="B1170" i="15"/>
  <c r="B772" i="15"/>
  <c r="B704" i="15"/>
  <c r="B63" i="15"/>
  <c r="K3110" i="15"/>
  <c r="K2642" i="15"/>
  <c r="K2435" i="15"/>
  <c r="K2050" i="15"/>
  <c r="K1514" i="15"/>
  <c r="K1169" i="15"/>
  <c r="K771" i="15"/>
  <c r="K703" i="15"/>
  <c r="K62" i="15"/>
  <c r="E2938" i="15"/>
  <c r="E2565" i="15"/>
  <c r="E2439" i="15"/>
  <c r="E1861" i="15"/>
  <c r="E1725" i="15"/>
  <c r="E1282" i="15"/>
  <c r="E707" i="15"/>
  <c r="E72" i="15"/>
  <c r="N3031" i="15"/>
  <c r="N2643" i="15"/>
  <c r="N2528" i="15"/>
  <c r="N1463" i="15"/>
  <c r="N995" i="15"/>
  <c r="N364" i="15"/>
  <c r="N68" i="15"/>
  <c r="Q2610" i="15"/>
  <c r="Q3233" i="15"/>
  <c r="N2570" i="15"/>
  <c r="N3246" i="15"/>
  <c r="Q3097" i="15"/>
  <c r="L2239" i="15"/>
  <c r="L2590" i="15"/>
  <c r="N1881" i="15"/>
  <c r="N2451" i="15"/>
  <c r="Q2029" i="15"/>
  <c r="Q2258" i="15"/>
  <c r="Q2028" i="15"/>
  <c r="Q2257" i="15"/>
  <c r="L1691" i="15"/>
  <c r="L2010" i="15"/>
  <c r="Q1275" i="15"/>
  <c r="Q1708" i="15"/>
  <c r="Q1276" i="15"/>
  <c r="N1176" i="15"/>
  <c r="N1747" i="15"/>
  <c r="L969" i="15"/>
  <c r="L1146" i="15"/>
  <c r="Q680" i="15"/>
  <c r="Q988" i="15"/>
  <c r="Q679" i="15"/>
  <c r="Q987" i="15"/>
  <c r="L10" i="15"/>
  <c r="L662" i="15"/>
  <c r="N111" i="15"/>
  <c r="N719" i="15"/>
  <c r="Q30" i="15"/>
  <c r="DF72" i="7"/>
  <c r="R3233" i="15" s="1"/>
  <c r="DF73" i="7"/>
  <c r="R3097" i="15" s="1"/>
  <c r="DB407" i="7"/>
  <c r="CB35" i="7"/>
  <c r="CN47" i="7"/>
  <c r="H3226" i="15" s="1"/>
  <c r="CO35" i="7"/>
  <c r="I3220" i="15" s="1"/>
  <c r="CB74" i="7"/>
  <c r="C3097" i="15" s="1"/>
  <c r="CO225" i="7"/>
  <c r="CS416" i="7"/>
  <c r="L2941" i="15" s="1"/>
  <c r="CS39" i="7"/>
  <c r="L3224" i="15" s="1"/>
  <c r="CS35" i="7"/>
  <c r="L3220" i="15" s="1"/>
  <c r="CO31" i="7"/>
  <c r="I2920" i="15" s="1"/>
  <c r="CF71" i="7"/>
  <c r="F3232" i="15" s="1"/>
  <c r="CS71" i="7"/>
  <c r="L3232" i="15" s="1"/>
  <c r="CF222" i="7"/>
  <c r="CS222" i="7"/>
  <c r="CB353" i="7"/>
  <c r="C3111" i="15" s="1"/>
  <c r="CS352" i="7"/>
  <c r="L3110" i="15" s="1"/>
  <c r="CS38" i="7"/>
  <c r="L3223" i="15" s="1"/>
  <c r="CO74" i="7"/>
  <c r="I3097" i="15" s="1"/>
  <c r="CB352" i="7"/>
  <c r="C3110" i="15" s="1"/>
  <c r="CS271" i="7"/>
  <c r="L3071" i="15" s="1"/>
  <c r="CB37" i="7"/>
  <c r="C3222" i="15" s="1"/>
  <c r="CO37" i="7"/>
  <c r="CS40" i="7"/>
  <c r="L3225" i="15" s="1"/>
  <c r="CS41" i="7"/>
  <c r="L3090" i="15" s="1"/>
  <c r="CS30" i="7"/>
  <c r="CF72" i="7"/>
  <c r="F3233" i="15" s="1"/>
  <c r="CS72" i="7"/>
  <c r="L3233" i="15" s="1"/>
  <c r="CF223" i="7"/>
  <c r="CS223" i="7"/>
  <c r="CF351" i="7"/>
  <c r="F3109" i="15" s="1"/>
  <c r="CS353" i="7"/>
  <c r="L3111" i="15" s="1"/>
  <c r="CO416" i="7"/>
  <c r="I2941" i="15" s="1"/>
  <c r="CB45" i="7"/>
  <c r="C3094" i="15" s="1"/>
  <c r="CB225" i="7"/>
  <c r="CS351" i="7"/>
  <c r="L3109" i="15" s="1"/>
  <c r="CS417" i="7"/>
  <c r="L3115" i="15" s="1"/>
  <c r="CO41" i="7"/>
  <c r="I3090" i="15" s="1"/>
  <c r="CS42" i="7"/>
  <c r="L3091" i="15" s="1"/>
  <c r="CS31" i="7"/>
  <c r="L2920" i="15" s="1"/>
  <c r="CF73" i="7"/>
  <c r="F3096" i="15" s="1"/>
  <c r="CS73" i="7"/>
  <c r="L3096" i="15" s="1"/>
  <c r="CF224" i="7"/>
  <c r="CS224" i="7"/>
  <c r="CF352" i="7"/>
  <c r="F3110" i="15" s="1"/>
  <c r="CB39" i="7"/>
  <c r="C3224" i="15" s="1"/>
  <c r="CF74" i="7"/>
  <c r="F3097" i="15" s="1"/>
  <c r="CS225" i="7"/>
  <c r="CF417" i="7"/>
  <c r="F3115" i="15" s="1"/>
  <c r="CO43" i="7"/>
  <c r="I3092" i="15" s="1"/>
  <c r="CS44" i="7"/>
  <c r="L3093" i="15" s="1"/>
  <c r="CB71" i="7"/>
  <c r="C3232" i="15" s="1"/>
  <c r="CO71" i="7"/>
  <c r="I3232" i="15" s="1"/>
  <c r="CB223" i="7"/>
  <c r="CO222" i="7"/>
  <c r="CO351" i="7"/>
  <c r="I3109" i="15" s="1"/>
  <c r="DA30" i="7"/>
  <c r="CB41" i="7"/>
  <c r="CO39" i="7"/>
  <c r="I3224" i="15" s="1"/>
  <c r="CF225" i="7"/>
  <c r="CF353" i="7"/>
  <c r="F3111" i="15" s="1"/>
  <c r="DE30" i="7"/>
  <c r="Q2921" i="15" s="1"/>
  <c r="CF35" i="7"/>
  <c r="CB43" i="7"/>
  <c r="C3092" i="15" s="1"/>
  <c r="CS36" i="7"/>
  <c r="L3221" i="15" s="1"/>
  <c r="CS45" i="7"/>
  <c r="L3094" i="15" s="1"/>
  <c r="CB72" i="7"/>
  <c r="C3233" i="15" s="1"/>
  <c r="CO72" i="7"/>
  <c r="I3233" i="15" s="1"/>
  <c r="CB222" i="7"/>
  <c r="CO223" i="7"/>
  <c r="CO352" i="7"/>
  <c r="I3110" i="15" s="1"/>
  <c r="CS43" i="7"/>
  <c r="L3092" i="15" s="1"/>
  <c r="CS74" i="7"/>
  <c r="L3097" i="15" s="1"/>
  <c r="DE31" i="7"/>
  <c r="CF36" i="7"/>
  <c r="F3221" i="15" s="1"/>
  <c r="CO45" i="7"/>
  <c r="I3094" i="15" s="1"/>
  <c r="CS46" i="7"/>
  <c r="L3095" i="15" s="1"/>
  <c r="CB73" i="7"/>
  <c r="C3096" i="15" s="1"/>
  <c r="CO73" i="7"/>
  <c r="I3096" i="15" s="1"/>
  <c r="CB224" i="7"/>
  <c r="CO224" i="7"/>
  <c r="CB351" i="7"/>
  <c r="C3109" i="15" s="1"/>
  <c r="CO353" i="7"/>
  <c r="I3111" i="15" s="1"/>
  <c r="CV402" i="7"/>
  <c r="CV37" i="7"/>
  <c r="DE46" i="7"/>
  <c r="DA224" i="7"/>
  <c r="N2937" i="15" s="1"/>
  <c r="DA40" i="7"/>
  <c r="N3225" i="15" s="1"/>
  <c r="DE45" i="7"/>
  <c r="DE222" i="7"/>
  <c r="Q2935" i="15" s="1"/>
  <c r="DA37" i="7"/>
  <c r="DE41" i="7"/>
  <c r="DE223" i="7"/>
  <c r="Q2936" i="15" s="1"/>
  <c r="DE44" i="7"/>
  <c r="DA38" i="7"/>
  <c r="N3223" i="15" s="1"/>
  <c r="DE42" i="7"/>
  <c r="DA36" i="7"/>
  <c r="N3221" i="15" s="1"/>
  <c r="DA39" i="7"/>
  <c r="DE43" i="7"/>
  <c r="DE225" i="7"/>
  <c r="DE341" i="7"/>
  <c r="DE349" i="7"/>
  <c r="Q3115" i="15" s="1"/>
  <c r="DE224" i="7"/>
  <c r="Q2937" i="15" s="1"/>
  <c r="DA73" i="7"/>
  <c r="N3097" i="15" s="1"/>
  <c r="DA225" i="7"/>
  <c r="DE401" i="7"/>
  <c r="Q2949" i="15" s="1"/>
  <c r="DE404" i="7"/>
  <c r="DA343" i="7"/>
  <c r="N3112" i="15" s="1"/>
  <c r="DE346" i="7"/>
  <c r="DA35" i="7"/>
  <c r="DA41" i="7"/>
  <c r="DA340" i="7"/>
  <c r="DE340" i="7"/>
  <c r="DE348" i="7"/>
  <c r="Q3114" i="15" s="1"/>
  <c r="DE40" i="7"/>
  <c r="DE344" i="7"/>
  <c r="DE352" i="7"/>
  <c r="Q3118" i="15" s="1"/>
  <c r="DA350" i="7"/>
  <c r="DE345" i="7"/>
  <c r="DE353" i="7"/>
  <c r="CN75" i="7"/>
  <c r="H3234" i="15" s="1"/>
  <c r="DA223" i="7"/>
  <c r="DA404" i="7"/>
  <c r="DE412" i="7"/>
  <c r="DE35" i="7"/>
  <c r="DA351" i="7"/>
  <c r="N3117" i="15" s="1"/>
  <c r="DA406" i="7"/>
  <c r="DA352" i="7"/>
  <c r="N3118" i="15" s="1"/>
  <c r="DA408" i="7"/>
  <c r="DE407" i="7"/>
  <c r="DA341" i="7"/>
  <c r="N3110" i="15" s="1"/>
  <c r="DE38" i="7"/>
  <c r="Q3223" i="15" s="1"/>
  <c r="CN48" i="7"/>
  <c r="H3227" i="15" s="1"/>
  <c r="DA349" i="7"/>
  <c r="N3115" i="15" s="1"/>
  <c r="DE342" i="7"/>
  <c r="DE350" i="7"/>
  <c r="DA401" i="7"/>
  <c r="N2949" i="15" s="1"/>
  <c r="CV412" i="7"/>
  <c r="CR76" i="7"/>
  <c r="K3235" i="15" s="1"/>
  <c r="DE406" i="7"/>
  <c r="DA345" i="7"/>
  <c r="DA402" i="7"/>
  <c r="N2950" i="15" s="1"/>
  <c r="DA412" i="7"/>
  <c r="DA42" i="7"/>
  <c r="CA76" i="7"/>
  <c r="B3235" i="15" s="1"/>
  <c r="DA222" i="7"/>
  <c r="CR47" i="7"/>
  <c r="K3226" i="15" s="1"/>
  <c r="CI30" i="7"/>
  <c r="CV413" i="7"/>
  <c r="DA346" i="7"/>
  <c r="N2940" i="15" s="1"/>
  <c r="DA43" i="7"/>
  <c r="N3093" i="15" s="1"/>
  <c r="DE402" i="7"/>
  <c r="Q2950" i="15" s="1"/>
  <c r="DE36" i="7"/>
  <c r="DA44" i="7"/>
  <c r="DE271" i="7"/>
  <c r="Q3071" i="15" s="1"/>
  <c r="DE405" i="7"/>
  <c r="DE347" i="7"/>
  <c r="DE37" i="7"/>
  <c r="Q3222" i="15" s="1"/>
  <c r="DA45" i="7"/>
  <c r="N3095" i="15" s="1"/>
  <c r="DA46" i="7"/>
  <c r="DA353" i="7"/>
  <c r="DE39" i="7"/>
  <c r="Q3224" i="15" s="1"/>
  <c r="DA403" i="7"/>
  <c r="N2951" i="15" s="1"/>
  <c r="DA413" i="7"/>
  <c r="DE408" i="7"/>
  <c r="CR75" i="7"/>
  <c r="K3234" i="15" s="1"/>
  <c r="CR199" i="7"/>
  <c r="K3098" i="15" s="1"/>
  <c r="DA271" i="7"/>
  <c r="DA31" i="7"/>
  <c r="N2922" i="15" s="1"/>
  <c r="DA74" i="7"/>
  <c r="DA72" i="7"/>
  <c r="N3233" i="15" s="1"/>
  <c r="DA342" i="7"/>
  <c r="DA348" i="7"/>
  <c r="N3114" i="15" s="1"/>
  <c r="DE343" i="7"/>
  <c r="DE351" i="7"/>
  <c r="Q3117" i="15" s="1"/>
  <c r="DA405" i="7"/>
  <c r="DE413" i="7"/>
  <c r="DA344" i="7"/>
  <c r="N3113" i="15" s="1"/>
  <c r="CA75" i="7"/>
  <c r="B3234" i="15" s="1"/>
  <c r="DA347" i="7"/>
  <c r="DE403" i="7"/>
  <c r="Q2951" i="15" s="1"/>
  <c r="CA47" i="7"/>
  <c r="CE47" i="7"/>
  <c r="CE75" i="7"/>
  <c r="E3234" i="15" s="1"/>
  <c r="CA52" i="7"/>
  <c r="B3231" i="15" s="1"/>
  <c r="CE48" i="7"/>
  <c r="E3227" i="15" s="1"/>
  <c r="Q986" i="15" l="1"/>
  <c r="Q2609" i="15"/>
  <c r="Q2256" i="15"/>
  <c r="Q31" i="15"/>
  <c r="Q1709" i="15"/>
  <c r="Q29" i="15"/>
  <c r="Q3232" i="15"/>
  <c r="DF71" i="7"/>
  <c r="R3232" i="15" s="1"/>
  <c r="Q678" i="15"/>
  <c r="Q2027" i="15"/>
  <c r="Q1707" i="15"/>
  <c r="Q1274" i="15"/>
  <c r="N2027" i="15"/>
  <c r="N1274" i="15"/>
  <c r="N1707" i="15"/>
  <c r="N2256" i="15"/>
  <c r="N986" i="15"/>
  <c r="N3232" i="15"/>
  <c r="N678" i="15"/>
  <c r="N2609" i="15"/>
  <c r="DB71" i="7"/>
  <c r="O3232" i="15" s="1"/>
  <c r="N29" i="15"/>
  <c r="DF74" i="7"/>
  <c r="R3098" i="15" s="1"/>
  <c r="Q32" i="15"/>
  <c r="Q2259" i="15"/>
  <c r="Q3098" i="15"/>
  <c r="L3088" i="15"/>
  <c r="M3088" i="15"/>
  <c r="K3088" i="15"/>
  <c r="L2584" i="15"/>
  <c r="K2584" i="15"/>
  <c r="M2584" i="15"/>
  <c r="D3218" i="15"/>
  <c r="B3218" i="15"/>
  <c r="C3218" i="15"/>
  <c r="H1435" i="15"/>
  <c r="J1435" i="15"/>
  <c r="I1435" i="15"/>
  <c r="Q2030" i="15"/>
  <c r="Q2612" i="15"/>
  <c r="E2584" i="15"/>
  <c r="F2584" i="15"/>
  <c r="G2584" i="15"/>
  <c r="D2584" i="15"/>
  <c r="B2584" i="15"/>
  <c r="C2584" i="15"/>
  <c r="Q1710" i="15"/>
  <c r="H3027" i="15"/>
  <c r="I3027" i="15"/>
  <c r="J3027" i="15"/>
  <c r="Q1277" i="15"/>
  <c r="Q989" i="15"/>
  <c r="G3218" i="15"/>
  <c r="F3218" i="15"/>
  <c r="E3218" i="15"/>
  <c r="Q681" i="15"/>
  <c r="M3027" i="15"/>
  <c r="K3027" i="15"/>
  <c r="L3027" i="15"/>
  <c r="I2584" i="15"/>
  <c r="J2584" i="15"/>
  <c r="H2584" i="15"/>
  <c r="L1435" i="15"/>
  <c r="M1435" i="15"/>
  <c r="K1435" i="15"/>
  <c r="N3109" i="15"/>
  <c r="N2921" i="15"/>
  <c r="Q3111" i="15"/>
  <c r="Q2939" i="15"/>
  <c r="N3091" i="15"/>
  <c r="N3111" i="15"/>
  <c r="N2939" i="15"/>
  <c r="C3220" i="15"/>
  <c r="C3090" i="15"/>
  <c r="E3226" i="15"/>
  <c r="F3220" i="15"/>
  <c r="B3226" i="15"/>
  <c r="N2591" i="15"/>
  <c r="N3220" i="15"/>
  <c r="O2570" i="15"/>
  <c r="O3246" i="15"/>
  <c r="Q2591" i="15"/>
  <c r="Q3220" i="15"/>
  <c r="Q2568" i="15"/>
  <c r="Q3244" i="15"/>
  <c r="Q2569" i="15"/>
  <c r="Q3245" i="15"/>
  <c r="N2595" i="15"/>
  <c r="N3224" i="15"/>
  <c r="N2569" i="15"/>
  <c r="N3245" i="15"/>
  <c r="Q2596" i="15"/>
  <c r="Q3225" i="15"/>
  <c r="Q2570" i="15"/>
  <c r="Q3246" i="15"/>
  <c r="N2593" i="15"/>
  <c r="N3222" i="15"/>
  <c r="Q2592" i="15"/>
  <c r="Q3221" i="15"/>
  <c r="N2568" i="15"/>
  <c r="N3244" i="15"/>
  <c r="I2590" i="15"/>
  <c r="I3222" i="15"/>
  <c r="Q2602" i="15"/>
  <c r="Q3096" i="15"/>
  <c r="N2680" i="15"/>
  <c r="N3121" i="15"/>
  <c r="Q2659" i="15"/>
  <c r="Q3113" i="15"/>
  <c r="N2679" i="15"/>
  <c r="N3120" i="15"/>
  <c r="Q2599" i="15"/>
  <c r="Q3093" i="15"/>
  <c r="Q2658" i="15"/>
  <c r="Q3112" i="15"/>
  <c r="N2665" i="15"/>
  <c r="N3116" i="15"/>
  <c r="Q2597" i="15"/>
  <c r="Q3091" i="15"/>
  <c r="Q2601" i="15"/>
  <c r="Q3095" i="15"/>
  <c r="N2612" i="15"/>
  <c r="N3098" i="15"/>
  <c r="N2600" i="15"/>
  <c r="N3094" i="15"/>
  <c r="Q2598" i="15"/>
  <c r="Q3092" i="15"/>
  <c r="Q2656" i="15"/>
  <c r="Q3110" i="15"/>
  <c r="Q2679" i="15"/>
  <c r="Q3120" i="15"/>
  <c r="Q2680" i="15"/>
  <c r="Q3121" i="15"/>
  <c r="N2668" i="15"/>
  <c r="N3119" i="15"/>
  <c r="Q2655" i="15"/>
  <c r="Q3109" i="15"/>
  <c r="N2602" i="15"/>
  <c r="N3096" i="15"/>
  <c r="N2598" i="15"/>
  <c r="N3092" i="15"/>
  <c r="Q2665" i="15"/>
  <c r="Q3116" i="15"/>
  <c r="Q2668" i="15"/>
  <c r="Q3119" i="15"/>
  <c r="Q2600" i="15"/>
  <c r="Q3094" i="15"/>
  <c r="Q3088" i="15"/>
  <c r="S3088" i="15"/>
  <c r="R3088" i="15"/>
  <c r="N2653" i="15"/>
  <c r="N3071" i="15"/>
  <c r="N2639" i="15"/>
  <c r="N2935" i="15"/>
  <c r="N2571" i="15"/>
  <c r="N2953" i="15"/>
  <c r="N2642" i="15"/>
  <c r="N2938" i="15"/>
  <c r="N2567" i="15"/>
  <c r="N2952" i="15"/>
  <c r="Q2589" i="15"/>
  <c r="Q2922" i="15"/>
  <c r="Q2567" i="15"/>
  <c r="Q2952" i="15"/>
  <c r="Q2571" i="15"/>
  <c r="Q2953" i="15"/>
  <c r="Q2662" i="15"/>
  <c r="Q2941" i="15"/>
  <c r="Q2661" i="15"/>
  <c r="Q2940" i="15"/>
  <c r="N2640" i="15"/>
  <c r="N2936" i="15"/>
  <c r="N2662" i="15"/>
  <c r="N2941" i="15"/>
  <c r="Q2642" i="15"/>
  <c r="Q2938" i="15"/>
  <c r="I2620" i="15"/>
  <c r="I2927" i="15"/>
  <c r="I2621" i="15"/>
  <c r="I2928" i="15"/>
  <c r="F2621" i="15"/>
  <c r="F2928" i="15"/>
  <c r="F2623" i="15"/>
  <c r="F2930" i="15"/>
  <c r="L2622" i="15"/>
  <c r="L2929" i="15"/>
  <c r="L2620" i="15"/>
  <c r="L2927" i="15"/>
  <c r="F2622" i="15"/>
  <c r="F2929" i="15"/>
  <c r="I2623" i="15"/>
  <c r="I2930" i="15"/>
  <c r="L2621" i="15"/>
  <c r="L2928" i="15"/>
  <c r="F2620" i="15"/>
  <c r="F2927" i="15"/>
  <c r="L2586" i="15"/>
  <c r="L2919" i="15"/>
  <c r="I2622" i="15"/>
  <c r="I2929" i="15"/>
  <c r="L2623" i="15"/>
  <c r="L2930" i="15"/>
  <c r="C2621" i="15"/>
  <c r="C2928" i="15"/>
  <c r="C2623" i="15"/>
  <c r="C2930" i="15"/>
  <c r="C2620" i="15"/>
  <c r="C2927" i="15"/>
  <c r="C2622" i="15"/>
  <c r="C2929" i="15"/>
  <c r="N2427" i="15"/>
  <c r="N2656" i="15"/>
  <c r="N2430" i="15"/>
  <c r="N2659" i="15"/>
  <c r="Q2242" i="15"/>
  <c r="Q2595" i="15"/>
  <c r="Q2434" i="15"/>
  <c r="Q2663" i="15"/>
  <c r="Q2407" i="15"/>
  <c r="Q2588" i="15"/>
  <c r="R2258" i="15"/>
  <c r="R2611" i="15"/>
  <c r="N2408" i="15"/>
  <c r="N2589" i="15"/>
  <c r="N2243" i="15"/>
  <c r="N2596" i="15"/>
  <c r="R2257" i="15"/>
  <c r="R2610" i="15"/>
  <c r="Q2424" i="15"/>
  <c r="Q2653" i="15"/>
  <c r="N2438" i="15"/>
  <c r="N2667" i="15"/>
  <c r="N2426" i="15"/>
  <c r="N2655" i="15"/>
  <c r="N2258" i="15"/>
  <c r="N2611" i="15"/>
  <c r="N2239" i="15"/>
  <c r="N2592" i="15"/>
  <c r="Q2421" i="15"/>
  <c r="Q2640" i="15"/>
  <c r="Q2420" i="15"/>
  <c r="Q2639" i="15"/>
  <c r="Q2437" i="15"/>
  <c r="Q2666" i="15"/>
  <c r="N2248" i="15"/>
  <c r="N2601" i="15"/>
  <c r="N2246" i="15"/>
  <c r="N2599" i="15"/>
  <c r="Q2428" i="15"/>
  <c r="Q2657" i="15"/>
  <c r="Q2431" i="15"/>
  <c r="Q2660" i="15"/>
  <c r="N2244" i="15"/>
  <c r="N2597" i="15"/>
  <c r="Q2422" i="15"/>
  <c r="Q2641" i="15"/>
  <c r="Q2240" i="15"/>
  <c r="Q2593" i="15"/>
  <c r="N2432" i="15"/>
  <c r="N2661" i="15"/>
  <c r="N2435" i="15"/>
  <c r="N2664" i="15"/>
  <c r="N2437" i="15"/>
  <c r="N2666" i="15"/>
  <c r="Q2435" i="15"/>
  <c r="Q2664" i="15"/>
  <c r="N2434" i="15"/>
  <c r="N2663" i="15"/>
  <c r="N2431" i="15"/>
  <c r="N2660" i="15"/>
  <c r="Q2438" i="15"/>
  <c r="Q2667" i="15"/>
  <c r="N2407" i="15"/>
  <c r="N2588" i="15"/>
  <c r="N2257" i="15"/>
  <c r="N2610" i="15"/>
  <c r="N2241" i="15"/>
  <c r="N2594" i="15"/>
  <c r="N2428" i="15"/>
  <c r="N2657" i="15"/>
  <c r="Q2241" i="15"/>
  <c r="Q2594" i="15"/>
  <c r="N2429" i="15"/>
  <c r="N2658" i="15"/>
  <c r="N2422" i="15"/>
  <c r="N2641" i="15"/>
  <c r="L2244" i="15"/>
  <c r="L2595" i="15"/>
  <c r="I2243" i="15"/>
  <c r="I2594" i="15"/>
  <c r="H2259" i="15"/>
  <c r="H2610" i="15"/>
  <c r="L2248" i="15"/>
  <c r="L2599" i="15"/>
  <c r="I2255" i="15"/>
  <c r="I2606" i="15"/>
  <c r="L2447" i="15"/>
  <c r="L2654" i="15"/>
  <c r="L2421" i="15"/>
  <c r="L2628" i="15"/>
  <c r="L2255" i="15"/>
  <c r="L2606" i="15"/>
  <c r="I2237" i="15"/>
  <c r="I2588" i="15"/>
  <c r="I2435" i="15"/>
  <c r="I2642" i="15"/>
  <c r="I2247" i="15"/>
  <c r="I2598" i="15"/>
  <c r="I2256" i="15"/>
  <c r="I2607" i="15"/>
  <c r="L2434" i="15"/>
  <c r="L2641" i="15"/>
  <c r="L2256" i="15"/>
  <c r="L2607" i="15"/>
  <c r="H2249" i="15"/>
  <c r="H2600" i="15"/>
  <c r="K2415" i="15"/>
  <c r="K2618" i="15"/>
  <c r="I2436" i="15"/>
  <c r="I2643" i="15"/>
  <c r="I2241" i="15"/>
  <c r="I2592" i="15"/>
  <c r="L2246" i="15"/>
  <c r="L2597" i="15"/>
  <c r="I2258" i="15"/>
  <c r="I2609" i="15"/>
  <c r="I2408" i="15"/>
  <c r="I2587" i="15"/>
  <c r="K2260" i="15"/>
  <c r="K2611" i="15"/>
  <c r="K2259" i="15"/>
  <c r="K2610" i="15"/>
  <c r="L2247" i="15"/>
  <c r="L2598" i="15"/>
  <c r="I2245" i="15"/>
  <c r="I2596" i="15"/>
  <c r="L2257" i="15"/>
  <c r="L2608" i="15"/>
  <c r="L2240" i="15"/>
  <c r="L2591" i="15"/>
  <c r="L2237" i="15"/>
  <c r="L2588" i="15"/>
  <c r="K2249" i="15"/>
  <c r="K2600" i="15"/>
  <c r="I2257" i="15"/>
  <c r="I2608" i="15"/>
  <c r="H2250" i="15"/>
  <c r="H2601" i="15"/>
  <c r="L2258" i="15"/>
  <c r="L2609" i="15"/>
  <c r="L2238" i="15"/>
  <c r="L2589" i="15"/>
  <c r="I2268" i="15"/>
  <c r="I2653" i="15"/>
  <c r="L2243" i="15"/>
  <c r="L2594" i="15"/>
  <c r="L2435" i="15"/>
  <c r="L2642" i="15"/>
  <c r="L2241" i="15"/>
  <c r="L2592" i="15"/>
  <c r="L2245" i="15"/>
  <c r="L2596" i="15"/>
  <c r="I2434" i="15"/>
  <c r="I2641" i="15"/>
  <c r="L2408" i="15"/>
  <c r="L2587" i="15"/>
  <c r="L2436" i="15"/>
  <c r="L2643" i="15"/>
  <c r="L2242" i="15"/>
  <c r="L2593" i="15"/>
  <c r="L2268" i="15"/>
  <c r="L2653" i="15"/>
  <c r="F2447" i="15"/>
  <c r="F2654" i="15"/>
  <c r="F2257" i="15"/>
  <c r="F2608" i="15"/>
  <c r="F2258" i="15"/>
  <c r="F2609" i="15"/>
  <c r="C2257" i="15"/>
  <c r="C2608" i="15"/>
  <c r="C2241" i="15"/>
  <c r="C2592" i="15"/>
  <c r="C2258" i="15"/>
  <c r="C2609" i="15"/>
  <c r="C2245" i="15"/>
  <c r="C2596" i="15"/>
  <c r="C2436" i="15"/>
  <c r="C2643" i="15"/>
  <c r="B2259" i="15"/>
  <c r="B2610" i="15"/>
  <c r="F2434" i="15"/>
  <c r="F2641" i="15"/>
  <c r="E2250" i="15"/>
  <c r="E2601" i="15"/>
  <c r="B2254" i="15"/>
  <c r="B2605" i="15"/>
  <c r="B2260" i="15"/>
  <c r="B2611" i="15"/>
  <c r="F2436" i="15"/>
  <c r="F2643" i="15"/>
  <c r="F2435" i="15"/>
  <c r="F2642" i="15"/>
  <c r="C2239" i="15"/>
  <c r="C2590" i="15"/>
  <c r="E2259" i="15"/>
  <c r="E2610" i="15"/>
  <c r="C2255" i="15"/>
  <c r="C2606" i="15"/>
  <c r="C2435" i="15"/>
  <c r="C2642" i="15"/>
  <c r="F2255" i="15"/>
  <c r="F2606" i="15"/>
  <c r="F2237" i="15"/>
  <c r="F2588" i="15"/>
  <c r="E2249" i="15"/>
  <c r="E2600" i="15"/>
  <c r="F2238" i="15"/>
  <c r="F2589" i="15"/>
  <c r="C2256" i="15"/>
  <c r="C2607" i="15"/>
  <c r="F2256" i="15"/>
  <c r="F2607" i="15"/>
  <c r="C2237" i="15"/>
  <c r="C2588" i="15"/>
  <c r="B2249" i="15"/>
  <c r="B2600" i="15"/>
  <c r="C2434" i="15"/>
  <c r="C2641" i="15"/>
  <c r="C2243" i="15"/>
  <c r="C2594" i="15"/>
  <c r="C2247" i="15"/>
  <c r="C2598" i="15"/>
  <c r="N2447" i="15"/>
  <c r="N2566" i="15"/>
  <c r="Q2447" i="15"/>
  <c r="Q2566" i="15"/>
  <c r="N2445" i="15"/>
  <c r="N2564" i="15"/>
  <c r="Q2445" i="15"/>
  <c r="Q2564" i="15"/>
  <c r="Q2446" i="15"/>
  <c r="Q2565" i="15"/>
  <c r="N2446" i="15"/>
  <c r="N2565" i="15"/>
  <c r="Q1880" i="15"/>
  <c r="Q2450" i="15"/>
  <c r="N1878" i="15"/>
  <c r="N2448" i="15"/>
  <c r="Q1878" i="15"/>
  <c r="Q2448" i="15"/>
  <c r="Q2052" i="15"/>
  <c r="Q2433" i="15"/>
  <c r="Q2046" i="15"/>
  <c r="Q2427" i="15"/>
  <c r="Q1879" i="15"/>
  <c r="Q2449" i="15"/>
  <c r="N1866" i="15"/>
  <c r="N2420" i="15"/>
  <c r="Q1881" i="15"/>
  <c r="Q2451" i="15"/>
  <c r="N1867" i="15"/>
  <c r="N2421" i="15"/>
  <c r="Q1882" i="15"/>
  <c r="Q2452" i="15"/>
  <c r="N1884" i="15"/>
  <c r="N2454" i="15"/>
  <c r="Q1884" i="15"/>
  <c r="Q2454" i="15"/>
  <c r="N2058" i="15"/>
  <c r="N2439" i="15"/>
  <c r="N1882" i="15"/>
  <c r="N2452" i="15"/>
  <c r="Q2045" i="15"/>
  <c r="Q2426" i="15"/>
  <c r="N1869" i="15"/>
  <c r="N2423" i="15"/>
  <c r="N1879" i="15"/>
  <c r="N2449" i="15"/>
  <c r="N2043" i="15"/>
  <c r="N2424" i="15"/>
  <c r="Q2055" i="15"/>
  <c r="Q2436" i="15"/>
  <c r="Q2058" i="15"/>
  <c r="Q2439" i="15"/>
  <c r="Q2051" i="15"/>
  <c r="Q2432" i="15"/>
  <c r="N2052" i="15"/>
  <c r="N2433" i="15"/>
  <c r="Q1883" i="15"/>
  <c r="Q2453" i="15"/>
  <c r="Q1869" i="15"/>
  <c r="Q2423" i="15"/>
  <c r="N1883" i="15"/>
  <c r="N2453" i="15"/>
  <c r="N1880" i="15"/>
  <c r="N2450" i="15"/>
  <c r="Q2049" i="15"/>
  <c r="Q2430" i="15"/>
  <c r="Q2048" i="15"/>
  <c r="Q2429" i="15"/>
  <c r="N2055" i="15"/>
  <c r="N2436" i="15"/>
  <c r="Q1848" i="15"/>
  <c r="Q2408" i="15"/>
  <c r="O1881" i="15"/>
  <c r="O2451" i="15"/>
  <c r="L1845" i="15"/>
  <c r="L2407" i="15"/>
  <c r="L1858" i="15"/>
  <c r="L2420" i="15"/>
  <c r="I1855" i="15"/>
  <c r="I2417" i="15"/>
  <c r="L1855" i="15"/>
  <c r="L2417" i="15"/>
  <c r="I1858" i="15"/>
  <c r="I2420" i="15"/>
  <c r="I1856" i="15"/>
  <c r="I2418" i="15"/>
  <c r="L1856" i="15"/>
  <c r="L2418" i="15"/>
  <c r="I1857" i="15"/>
  <c r="I2419" i="15"/>
  <c r="L1857" i="15"/>
  <c r="L2419" i="15"/>
  <c r="F1857" i="15"/>
  <c r="F2419" i="15"/>
  <c r="C1858" i="15"/>
  <c r="C2420" i="15"/>
  <c r="C1857" i="15"/>
  <c r="C2419" i="15"/>
  <c r="C1856" i="15"/>
  <c r="C2418" i="15"/>
  <c r="F1855" i="15"/>
  <c r="F2417" i="15"/>
  <c r="C1855" i="15"/>
  <c r="C2417" i="15"/>
  <c r="F1856" i="15"/>
  <c r="F2418" i="15"/>
  <c r="F1858" i="15"/>
  <c r="F2420" i="15"/>
  <c r="Q2018" i="15"/>
  <c r="Q2247" i="15"/>
  <c r="Q2009" i="15"/>
  <c r="Q2238" i="15"/>
  <c r="Q2017" i="15"/>
  <c r="Q2246" i="15"/>
  <c r="Q2020" i="15"/>
  <c r="Q2249" i="15"/>
  <c r="N2013" i="15"/>
  <c r="N2242" i="15"/>
  <c r="N2009" i="15"/>
  <c r="N2238" i="15"/>
  <c r="Q2019" i="15"/>
  <c r="Q2248" i="15"/>
  <c r="N2030" i="15"/>
  <c r="N2259" i="15"/>
  <c r="N2018" i="15"/>
  <c r="N2247" i="15"/>
  <c r="Q2016" i="15"/>
  <c r="Q2245" i="15"/>
  <c r="N2011" i="15"/>
  <c r="N2240" i="15"/>
  <c r="N2020" i="15"/>
  <c r="N2249" i="15"/>
  <c r="N2016" i="15"/>
  <c r="N2245" i="15"/>
  <c r="Q2014" i="15"/>
  <c r="Q2243" i="15"/>
  <c r="Q2015" i="15"/>
  <c r="Q2244" i="15"/>
  <c r="Q2010" i="15"/>
  <c r="Q2239" i="15"/>
  <c r="I2010" i="15"/>
  <c r="I2239" i="15"/>
  <c r="N1521" i="15"/>
  <c r="N2057" i="15"/>
  <c r="N1509" i="15"/>
  <c r="N2045" i="15"/>
  <c r="N1709" i="15"/>
  <c r="N2029" i="15"/>
  <c r="N1690" i="15"/>
  <c r="N2010" i="15"/>
  <c r="N1694" i="15"/>
  <c r="N2014" i="15"/>
  <c r="R1708" i="15"/>
  <c r="R2028" i="15"/>
  <c r="Q1520" i="15"/>
  <c r="Q2056" i="15"/>
  <c r="N1699" i="15"/>
  <c r="N2019" i="15"/>
  <c r="N1697" i="15"/>
  <c r="N2017" i="15"/>
  <c r="Q1511" i="15"/>
  <c r="Q2047" i="15"/>
  <c r="Q1514" i="15"/>
  <c r="Q2050" i="15"/>
  <c r="N1695" i="15"/>
  <c r="N2015" i="15"/>
  <c r="Q1691" i="15"/>
  <c r="Q2011" i="15"/>
  <c r="N1518" i="15"/>
  <c r="N2054" i="15"/>
  <c r="Q1518" i="15"/>
  <c r="Q2054" i="15"/>
  <c r="N1520" i="15"/>
  <c r="N2056" i="15"/>
  <c r="N1517" i="15"/>
  <c r="N2053" i="15"/>
  <c r="N1514" i="15"/>
  <c r="N2050" i="15"/>
  <c r="Q1521" i="15"/>
  <c r="Q2057" i="15"/>
  <c r="N1512" i="15"/>
  <c r="N2048" i="15"/>
  <c r="N1511" i="15"/>
  <c r="N2047" i="15"/>
  <c r="Q1692" i="15"/>
  <c r="Q2012" i="15"/>
  <c r="N1708" i="15"/>
  <c r="N2028" i="15"/>
  <c r="Q1507" i="15"/>
  <c r="Q2043" i="15"/>
  <c r="N1510" i="15"/>
  <c r="N2046" i="15"/>
  <c r="N1692" i="15"/>
  <c r="N2012" i="15"/>
  <c r="N1515" i="15"/>
  <c r="N2051" i="15"/>
  <c r="N1513" i="15"/>
  <c r="N2049" i="15"/>
  <c r="Q1693" i="15"/>
  <c r="Q2013" i="15"/>
  <c r="Q1517" i="15"/>
  <c r="Q2053" i="15"/>
  <c r="R1709" i="15"/>
  <c r="R2029" i="15"/>
  <c r="I1515" i="15"/>
  <c r="I2051" i="15"/>
  <c r="I1693" i="15"/>
  <c r="I2012" i="15"/>
  <c r="L1698" i="15"/>
  <c r="L2017" i="15"/>
  <c r="I1710" i="15"/>
  <c r="I2029" i="15"/>
  <c r="L1500" i="15"/>
  <c r="L2036" i="15"/>
  <c r="K1711" i="15"/>
  <c r="K2030" i="15"/>
  <c r="L1699" i="15"/>
  <c r="L2018" i="15"/>
  <c r="I1697" i="15"/>
  <c r="I2016" i="15"/>
  <c r="L1709" i="15"/>
  <c r="L2028" i="15"/>
  <c r="L1692" i="15"/>
  <c r="L2011" i="15"/>
  <c r="L1689" i="15"/>
  <c r="L2008" i="15"/>
  <c r="L1524" i="15"/>
  <c r="L2060" i="15"/>
  <c r="I1689" i="15"/>
  <c r="I2008" i="15"/>
  <c r="I1699" i="15"/>
  <c r="I2018" i="15"/>
  <c r="L1708" i="15"/>
  <c r="L2027" i="15"/>
  <c r="H1702" i="15"/>
  <c r="H2021" i="15"/>
  <c r="L1710" i="15"/>
  <c r="L2029" i="15"/>
  <c r="L1690" i="15"/>
  <c r="L2009" i="15"/>
  <c r="I1523" i="15"/>
  <c r="I2059" i="15"/>
  <c r="L1695" i="15"/>
  <c r="L2014" i="15"/>
  <c r="L1514" i="15"/>
  <c r="L2050" i="15"/>
  <c r="L1693" i="15"/>
  <c r="L2012" i="15"/>
  <c r="L1697" i="15"/>
  <c r="L2016" i="15"/>
  <c r="I1513" i="15"/>
  <c r="I2049" i="15"/>
  <c r="L1515" i="15"/>
  <c r="L2051" i="15"/>
  <c r="L1694" i="15"/>
  <c r="L2013" i="15"/>
  <c r="L1523" i="15"/>
  <c r="L2059" i="15"/>
  <c r="H1711" i="15"/>
  <c r="H2030" i="15"/>
  <c r="I1707" i="15"/>
  <c r="I2026" i="15"/>
  <c r="L1707" i="15"/>
  <c r="L2026" i="15"/>
  <c r="I1708" i="15"/>
  <c r="I2027" i="15"/>
  <c r="K1701" i="15"/>
  <c r="K2020" i="15"/>
  <c r="K1712" i="15"/>
  <c r="K2031" i="15"/>
  <c r="I1709" i="15"/>
  <c r="I2028" i="15"/>
  <c r="I1514" i="15"/>
  <c r="I2050" i="15"/>
  <c r="L1696" i="15"/>
  <c r="L2015" i="15"/>
  <c r="L1700" i="15"/>
  <c r="L2019" i="15"/>
  <c r="L1513" i="15"/>
  <c r="L2049" i="15"/>
  <c r="H1701" i="15"/>
  <c r="H2020" i="15"/>
  <c r="I1695" i="15"/>
  <c r="I2014" i="15"/>
  <c r="C1710" i="15"/>
  <c r="C2029" i="15"/>
  <c r="B1706" i="15"/>
  <c r="B2025" i="15"/>
  <c r="B1712" i="15"/>
  <c r="B2031" i="15"/>
  <c r="F1515" i="15"/>
  <c r="F2051" i="15"/>
  <c r="F1514" i="15"/>
  <c r="F2050" i="15"/>
  <c r="E1711" i="15"/>
  <c r="E2030" i="15"/>
  <c r="C1707" i="15"/>
  <c r="C2026" i="15"/>
  <c r="C1514" i="15"/>
  <c r="C2050" i="15"/>
  <c r="F1707" i="15"/>
  <c r="F2026" i="15"/>
  <c r="B1711" i="15"/>
  <c r="B2030" i="15"/>
  <c r="F1513" i="15"/>
  <c r="F2049" i="15"/>
  <c r="C1693" i="15"/>
  <c r="C2012" i="15"/>
  <c r="E1701" i="15"/>
  <c r="E2020" i="15"/>
  <c r="F1690" i="15"/>
  <c r="F2009" i="15"/>
  <c r="C1708" i="15"/>
  <c r="C2027" i="15"/>
  <c r="F1708" i="15"/>
  <c r="F2027" i="15"/>
  <c r="C1689" i="15"/>
  <c r="C2008" i="15"/>
  <c r="B1701" i="15"/>
  <c r="B2020" i="15"/>
  <c r="C1513" i="15"/>
  <c r="C2049" i="15"/>
  <c r="C1695" i="15"/>
  <c r="C2014" i="15"/>
  <c r="C1699" i="15"/>
  <c r="C2018" i="15"/>
  <c r="F1689" i="15"/>
  <c r="F2008" i="15"/>
  <c r="C1709" i="15"/>
  <c r="C2028" i="15"/>
  <c r="C1691" i="15"/>
  <c r="C2010" i="15"/>
  <c r="F1524" i="15"/>
  <c r="F2060" i="15"/>
  <c r="F1709" i="15"/>
  <c r="F2028" i="15"/>
  <c r="F1710" i="15"/>
  <c r="F2029" i="15"/>
  <c r="E1702" i="15"/>
  <c r="E2021" i="15"/>
  <c r="C1697" i="15"/>
  <c r="C2016" i="15"/>
  <c r="C1515" i="15"/>
  <c r="C2051" i="15"/>
  <c r="N1743" i="15"/>
  <c r="N1877" i="15"/>
  <c r="Q1741" i="15"/>
  <c r="Q1875" i="15"/>
  <c r="Q1687" i="15"/>
  <c r="Q1847" i="15"/>
  <c r="Q1733" i="15"/>
  <c r="Q1868" i="15"/>
  <c r="Q1742" i="15"/>
  <c r="Q1876" i="15"/>
  <c r="N1742" i="15"/>
  <c r="N1876" i="15"/>
  <c r="N1688" i="15"/>
  <c r="N1848" i="15"/>
  <c r="Q1732" i="15"/>
  <c r="Q1867" i="15"/>
  <c r="Q1743" i="15"/>
  <c r="Q1877" i="15"/>
  <c r="N1687" i="15"/>
  <c r="N1847" i="15"/>
  <c r="N1741" i="15"/>
  <c r="N1875" i="15"/>
  <c r="Q1731" i="15"/>
  <c r="Q1866" i="15"/>
  <c r="N1733" i="15"/>
  <c r="N1868" i="15"/>
  <c r="K1498" i="15"/>
  <c r="K1853" i="15"/>
  <c r="I1688" i="15"/>
  <c r="I1846" i="15"/>
  <c r="L1688" i="15"/>
  <c r="L1846" i="15"/>
  <c r="Q1150" i="15"/>
  <c r="Q1699" i="15"/>
  <c r="N1153" i="15"/>
  <c r="N1731" i="15"/>
  <c r="Q1176" i="15"/>
  <c r="Q1747" i="15"/>
  <c r="Q1178" i="15"/>
  <c r="Q1750" i="15"/>
  <c r="Q1265" i="15"/>
  <c r="Q1690" i="15"/>
  <c r="N1177" i="15"/>
  <c r="N1748" i="15"/>
  <c r="N1156" i="15"/>
  <c r="N1734" i="15"/>
  <c r="Q1267" i="15"/>
  <c r="Q1694" i="15"/>
  <c r="N1277" i="15"/>
  <c r="N1710" i="15"/>
  <c r="N1174" i="15"/>
  <c r="N1745" i="15"/>
  <c r="N1270" i="15"/>
  <c r="N1700" i="15"/>
  <c r="N1268" i="15"/>
  <c r="N1696" i="15"/>
  <c r="Q1269" i="15"/>
  <c r="Q1698" i="15"/>
  <c r="N1173" i="15"/>
  <c r="N1744" i="15"/>
  <c r="Q1110" i="15"/>
  <c r="Q1695" i="15"/>
  <c r="N1269" i="15"/>
  <c r="N1698" i="15"/>
  <c r="N1154" i="15"/>
  <c r="N1732" i="15"/>
  <c r="N1124" i="15"/>
  <c r="N1749" i="15"/>
  <c r="N1175" i="15"/>
  <c r="N1746" i="15"/>
  <c r="N1147" i="15"/>
  <c r="N1691" i="15"/>
  <c r="N1109" i="15"/>
  <c r="N1689" i="15"/>
  <c r="Q659" i="15"/>
  <c r="Q1688" i="15"/>
  <c r="O1176" i="15"/>
  <c r="O1747" i="15"/>
  <c r="Q1177" i="15"/>
  <c r="Q1748" i="15"/>
  <c r="Q1109" i="15"/>
  <c r="Q1689" i="15"/>
  <c r="Q1149" i="15"/>
  <c r="Q1697" i="15"/>
  <c r="Q1270" i="15"/>
  <c r="Q1700" i="15"/>
  <c r="Q1173" i="15"/>
  <c r="Q1744" i="15"/>
  <c r="Q1268" i="15"/>
  <c r="Q1696" i="15"/>
  <c r="N1178" i="15"/>
  <c r="N1750" i="15"/>
  <c r="Q1174" i="15"/>
  <c r="Q1745" i="15"/>
  <c r="Q1175" i="15"/>
  <c r="Q1746" i="15"/>
  <c r="Q1124" i="15"/>
  <c r="Q1749" i="15"/>
  <c r="Q1156" i="15"/>
  <c r="Q1734" i="15"/>
  <c r="N1148" i="15"/>
  <c r="N1693" i="15"/>
  <c r="L658" i="15"/>
  <c r="L1687" i="15"/>
  <c r="I1154" i="15"/>
  <c r="I1721" i="15"/>
  <c r="L1155" i="15"/>
  <c r="L1722" i="15"/>
  <c r="I1152" i="15"/>
  <c r="I1719" i="15"/>
  <c r="I1146" i="15"/>
  <c r="I1691" i="15"/>
  <c r="L1152" i="15"/>
  <c r="L1719" i="15"/>
  <c r="I1155" i="15"/>
  <c r="I1722" i="15"/>
  <c r="I1153" i="15"/>
  <c r="I1720" i="15"/>
  <c r="L1153" i="15"/>
  <c r="L1720" i="15"/>
  <c r="L1154" i="15"/>
  <c r="L1721" i="15"/>
  <c r="F1154" i="15"/>
  <c r="F1721" i="15"/>
  <c r="C1154" i="15"/>
  <c r="C1721" i="15"/>
  <c r="C1153" i="15"/>
  <c r="C1720" i="15"/>
  <c r="F1152" i="15"/>
  <c r="F1719" i="15"/>
  <c r="C1152" i="15"/>
  <c r="C1719" i="15"/>
  <c r="F1153" i="15"/>
  <c r="F1720" i="15"/>
  <c r="C1155" i="15"/>
  <c r="C1722" i="15"/>
  <c r="F1155" i="15"/>
  <c r="F1722" i="15"/>
  <c r="Q1162" i="15"/>
  <c r="Q1512" i="15"/>
  <c r="N1168" i="15"/>
  <c r="N1519" i="15"/>
  <c r="N1165" i="15"/>
  <c r="N1516" i="15"/>
  <c r="Q1163" i="15"/>
  <c r="Q1513" i="15"/>
  <c r="Q1165" i="15"/>
  <c r="Q1516" i="15"/>
  <c r="Q1161" i="15"/>
  <c r="Q1510" i="15"/>
  <c r="Q1164" i="15"/>
  <c r="Q1515" i="15"/>
  <c r="N1171" i="15"/>
  <c r="N1522" i="15"/>
  <c r="Q1160" i="15"/>
  <c r="Q1509" i="15"/>
  <c r="N1441" i="15"/>
  <c r="N1507" i="15"/>
  <c r="Q1168" i="15"/>
  <c r="Q1519" i="15"/>
  <c r="Q1171" i="15"/>
  <c r="Q1522" i="15"/>
  <c r="Q771" i="15"/>
  <c r="Q1441" i="15"/>
  <c r="K755" i="15"/>
  <c r="K1437" i="15"/>
  <c r="L757" i="15"/>
  <c r="L1439" i="15"/>
  <c r="F780" i="15"/>
  <c r="F1361" i="15"/>
  <c r="I779" i="15"/>
  <c r="I1360" i="15"/>
  <c r="L779" i="15"/>
  <c r="L1360" i="15"/>
  <c r="L780" i="15"/>
  <c r="L1361" i="15"/>
  <c r="N714" i="15"/>
  <c r="N1287" i="15"/>
  <c r="Q715" i="15"/>
  <c r="Q1288" i="15"/>
  <c r="Q971" i="15"/>
  <c r="Q1266" i="15"/>
  <c r="N987" i="15"/>
  <c r="N1275" i="15"/>
  <c r="N715" i="15"/>
  <c r="N1288" i="15"/>
  <c r="N971" i="15"/>
  <c r="N1266" i="15"/>
  <c r="R988" i="15"/>
  <c r="R1276" i="15"/>
  <c r="N973" i="15"/>
  <c r="N1267" i="15"/>
  <c r="R987" i="15"/>
  <c r="R1275" i="15"/>
  <c r="Q714" i="15"/>
  <c r="Q1287" i="15"/>
  <c r="N988" i="15"/>
  <c r="N1276" i="15"/>
  <c r="N969" i="15"/>
  <c r="N1265" i="15"/>
  <c r="K989" i="15"/>
  <c r="K1277" i="15"/>
  <c r="L987" i="15"/>
  <c r="L1275" i="15"/>
  <c r="L970" i="15"/>
  <c r="L1265" i="15"/>
  <c r="H980" i="15"/>
  <c r="H1270" i="15"/>
  <c r="L988" i="15"/>
  <c r="L1276" i="15"/>
  <c r="L968" i="15"/>
  <c r="L1264" i="15"/>
  <c r="I988" i="15"/>
  <c r="I1276" i="15"/>
  <c r="L972" i="15"/>
  <c r="L1266" i="15"/>
  <c r="L976" i="15"/>
  <c r="L1268" i="15"/>
  <c r="K990" i="15"/>
  <c r="K1278" i="15"/>
  <c r="I987" i="15"/>
  <c r="I1275" i="15"/>
  <c r="L974" i="15"/>
  <c r="L1267" i="15"/>
  <c r="H989" i="15"/>
  <c r="H1277" i="15"/>
  <c r="L978" i="15"/>
  <c r="L1269" i="15"/>
  <c r="I985" i="15"/>
  <c r="I1273" i="15"/>
  <c r="L985" i="15"/>
  <c r="L1273" i="15"/>
  <c r="I986" i="15"/>
  <c r="I1274" i="15"/>
  <c r="L986" i="15"/>
  <c r="L1274" i="15"/>
  <c r="C986" i="15"/>
  <c r="C1274" i="15"/>
  <c r="F968" i="15"/>
  <c r="F1264" i="15"/>
  <c r="F987" i="15"/>
  <c r="F1275" i="15"/>
  <c r="F986" i="15"/>
  <c r="F1274" i="15"/>
  <c r="B989" i="15"/>
  <c r="B1277" i="15"/>
  <c r="F988" i="15"/>
  <c r="F1276" i="15"/>
  <c r="E980" i="15"/>
  <c r="E1270" i="15"/>
  <c r="C987" i="15"/>
  <c r="C1275" i="15"/>
  <c r="C988" i="15"/>
  <c r="C1276" i="15"/>
  <c r="B984" i="15"/>
  <c r="B1272" i="15"/>
  <c r="B990" i="15"/>
  <c r="B1278" i="15"/>
  <c r="E989" i="15"/>
  <c r="E1277" i="15"/>
  <c r="C985" i="15"/>
  <c r="C1273" i="15"/>
  <c r="F985" i="15"/>
  <c r="F1273" i="15"/>
  <c r="C770" i="15"/>
  <c r="C1168" i="15"/>
  <c r="C975" i="15"/>
  <c r="C1148" i="15"/>
  <c r="C772" i="15"/>
  <c r="C1170" i="15"/>
  <c r="C977" i="15"/>
  <c r="C1149" i="15"/>
  <c r="F770" i="15"/>
  <c r="F1168" i="15"/>
  <c r="C971" i="15"/>
  <c r="C1147" i="15"/>
  <c r="C969" i="15"/>
  <c r="C1146" i="15"/>
  <c r="F772" i="15"/>
  <c r="F1170" i="15"/>
  <c r="F771" i="15"/>
  <c r="F1169" i="15"/>
  <c r="C771" i="15"/>
  <c r="C1169" i="15"/>
  <c r="I772" i="15"/>
  <c r="I1170" i="15"/>
  <c r="I971" i="15"/>
  <c r="I1147" i="15"/>
  <c r="L977" i="15"/>
  <c r="L1149" i="15"/>
  <c r="I975" i="15"/>
  <c r="I1148" i="15"/>
  <c r="L771" i="15"/>
  <c r="L1169" i="15"/>
  <c r="L971" i="15"/>
  <c r="L1147" i="15"/>
  <c r="L975" i="15"/>
  <c r="L1148" i="15"/>
  <c r="I770" i="15"/>
  <c r="I1168" i="15"/>
  <c r="L772" i="15"/>
  <c r="L1170" i="15"/>
  <c r="I771" i="15"/>
  <c r="I1169" i="15"/>
  <c r="I977" i="15"/>
  <c r="I1149" i="15"/>
  <c r="L770" i="15"/>
  <c r="L1168" i="15"/>
  <c r="Q713" i="15"/>
  <c r="Q1172" i="15"/>
  <c r="N713" i="15"/>
  <c r="N1172" i="15"/>
  <c r="N978" i="15"/>
  <c r="N1150" i="15"/>
  <c r="Q690" i="15"/>
  <c r="Q1155" i="15"/>
  <c r="N776" i="15"/>
  <c r="N1162" i="15"/>
  <c r="N777" i="15"/>
  <c r="N1163" i="15"/>
  <c r="Q972" i="15"/>
  <c r="Q1148" i="15"/>
  <c r="Q781" i="15"/>
  <c r="Q1166" i="15"/>
  <c r="N785" i="15"/>
  <c r="N1170" i="15"/>
  <c r="N773" i="15"/>
  <c r="N1160" i="15"/>
  <c r="Q689" i="15"/>
  <c r="Q1154" i="15"/>
  <c r="Q688" i="15"/>
  <c r="Q1153" i="15"/>
  <c r="Q784" i="15"/>
  <c r="Q1169" i="15"/>
  <c r="Q970" i="15"/>
  <c r="Q1147" i="15"/>
  <c r="N779" i="15"/>
  <c r="N1164" i="15"/>
  <c r="N782" i="15"/>
  <c r="N1167" i="15"/>
  <c r="N784" i="15"/>
  <c r="N1169" i="15"/>
  <c r="Q782" i="15"/>
  <c r="Q1167" i="15"/>
  <c r="N781" i="15"/>
  <c r="N1166" i="15"/>
  <c r="Q785" i="15"/>
  <c r="Q1170" i="15"/>
  <c r="N690" i="15"/>
  <c r="N1155" i="15"/>
  <c r="N976" i="15"/>
  <c r="N1149" i="15"/>
  <c r="N774" i="15"/>
  <c r="N1161" i="15"/>
  <c r="Q775" i="15"/>
  <c r="Q1121" i="15"/>
  <c r="N974" i="15"/>
  <c r="N1110" i="15"/>
  <c r="N778" i="15"/>
  <c r="N1122" i="15"/>
  <c r="Q778" i="15"/>
  <c r="Q1122" i="15"/>
  <c r="N775" i="15"/>
  <c r="N1121" i="15"/>
  <c r="I967" i="15"/>
  <c r="I1109" i="15"/>
  <c r="H979" i="15"/>
  <c r="H1111" i="15"/>
  <c r="L967" i="15"/>
  <c r="L1109" i="15"/>
  <c r="L973" i="15"/>
  <c r="L1110" i="15"/>
  <c r="K979" i="15"/>
  <c r="K1111" i="15"/>
  <c r="I973" i="15"/>
  <c r="I1110" i="15"/>
  <c r="C973" i="15"/>
  <c r="C1110" i="15"/>
  <c r="E979" i="15"/>
  <c r="E1111" i="15"/>
  <c r="C967" i="15"/>
  <c r="C1109" i="15"/>
  <c r="B979" i="15"/>
  <c r="B1111" i="15"/>
  <c r="F967" i="15"/>
  <c r="F1109" i="15"/>
  <c r="N671" i="15"/>
  <c r="N979" i="15"/>
  <c r="Q660" i="15"/>
  <c r="Q968" i="15"/>
  <c r="Q668" i="15"/>
  <c r="Q976" i="15"/>
  <c r="Q671" i="15"/>
  <c r="Q979" i="15"/>
  <c r="Q669" i="15"/>
  <c r="Q977" i="15"/>
  <c r="Q661" i="15"/>
  <c r="Q969" i="15"/>
  <c r="N667" i="15"/>
  <c r="N975" i="15"/>
  <c r="N660" i="15"/>
  <c r="N968" i="15"/>
  <c r="N664" i="15"/>
  <c r="N972" i="15"/>
  <c r="Q665" i="15"/>
  <c r="Q973" i="15"/>
  <c r="Q666" i="15"/>
  <c r="Q974" i="15"/>
  <c r="Q670" i="15"/>
  <c r="Q978" i="15"/>
  <c r="N681" i="15"/>
  <c r="N989" i="15"/>
  <c r="N669" i="15"/>
  <c r="N977" i="15"/>
  <c r="Q667" i="15"/>
  <c r="Q975" i="15"/>
  <c r="N662" i="15"/>
  <c r="N970" i="15"/>
  <c r="I662" i="15"/>
  <c r="I969" i="15"/>
  <c r="N707" i="15"/>
  <c r="N786" i="15"/>
  <c r="Q694" i="15"/>
  <c r="Q773" i="15"/>
  <c r="N442" i="15"/>
  <c r="N771" i="15"/>
  <c r="Q704" i="15"/>
  <c r="Q783" i="15"/>
  <c r="Q707" i="15"/>
  <c r="Q786" i="15"/>
  <c r="N721" i="15"/>
  <c r="N792" i="15"/>
  <c r="Q697" i="15"/>
  <c r="Q776" i="15"/>
  <c r="N704" i="15"/>
  <c r="N783" i="15"/>
  <c r="Q722" i="15"/>
  <c r="Q793" i="15"/>
  <c r="Q701" i="15"/>
  <c r="Q780" i="15"/>
  <c r="Q700" i="15"/>
  <c r="Q779" i="15"/>
  <c r="Q695" i="15"/>
  <c r="Q774" i="15"/>
  <c r="N701" i="15"/>
  <c r="N780" i="15"/>
  <c r="N722" i="15"/>
  <c r="N793" i="15"/>
  <c r="Q721" i="15"/>
  <c r="Q792" i="15"/>
  <c r="Q698" i="15"/>
  <c r="Q777" i="15"/>
  <c r="E21" i="15"/>
  <c r="E673" i="15"/>
  <c r="C28" i="15"/>
  <c r="C680" i="15"/>
  <c r="C12" i="15"/>
  <c r="C664" i="15"/>
  <c r="F40" i="15"/>
  <c r="F686" i="15"/>
  <c r="C29" i="15"/>
  <c r="C681" i="15"/>
  <c r="B25" i="15"/>
  <c r="B677" i="15"/>
  <c r="B31" i="15"/>
  <c r="B683" i="15"/>
  <c r="C40" i="15"/>
  <c r="C686" i="15"/>
  <c r="F63" i="15"/>
  <c r="F704" i="15"/>
  <c r="F62" i="15"/>
  <c r="F703" i="15"/>
  <c r="F41" i="15"/>
  <c r="F687" i="15"/>
  <c r="F29" i="15"/>
  <c r="F681" i="15"/>
  <c r="C41" i="15"/>
  <c r="C687" i="15"/>
  <c r="C10" i="15"/>
  <c r="C662" i="15"/>
  <c r="E30" i="15"/>
  <c r="E682" i="15"/>
  <c r="F43" i="15"/>
  <c r="F689" i="15"/>
  <c r="C26" i="15"/>
  <c r="C678" i="15"/>
  <c r="C62" i="15"/>
  <c r="C703" i="15"/>
  <c r="F26" i="15"/>
  <c r="F678" i="15"/>
  <c r="B30" i="15"/>
  <c r="B682" i="15"/>
  <c r="F9" i="15"/>
  <c r="F661" i="15"/>
  <c r="C27" i="15"/>
  <c r="C679" i="15"/>
  <c r="F42" i="15"/>
  <c r="F688" i="15"/>
  <c r="C43" i="15"/>
  <c r="C689" i="15"/>
  <c r="F27" i="15"/>
  <c r="F679" i="15"/>
  <c r="C8" i="15"/>
  <c r="C660" i="15"/>
  <c r="C61" i="15"/>
  <c r="C702" i="15"/>
  <c r="C14" i="15"/>
  <c r="C666" i="15"/>
  <c r="C18" i="15"/>
  <c r="C670" i="15"/>
  <c r="F8" i="15"/>
  <c r="F660" i="15"/>
  <c r="F61" i="15"/>
  <c r="F702" i="15"/>
  <c r="E20" i="15"/>
  <c r="E672" i="15"/>
  <c r="B20" i="15"/>
  <c r="B672" i="15"/>
  <c r="F28" i="15"/>
  <c r="F680" i="15"/>
  <c r="C42" i="15"/>
  <c r="C688" i="15"/>
  <c r="C16" i="15"/>
  <c r="C668" i="15"/>
  <c r="C63" i="15"/>
  <c r="C704" i="15"/>
  <c r="K20" i="15"/>
  <c r="K672" i="15"/>
  <c r="I40" i="15"/>
  <c r="I686" i="15"/>
  <c r="L19" i="15"/>
  <c r="L671" i="15"/>
  <c r="I26" i="15"/>
  <c r="I678" i="15"/>
  <c r="L26" i="15"/>
  <c r="L678" i="15"/>
  <c r="I8" i="15"/>
  <c r="I660" i="15"/>
  <c r="K31" i="15"/>
  <c r="K683" i="15"/>
  <c r="I18" i="15"/>
  <c r="I670" i="15"/>
  <c r="I27" i="15"/>
  <c r="I679" i="15"/>
  <c r="L42" i="15"/>
  <c r="L688" i="15"/>
  <c r="L61" i="15"/>
  <c r="L702" i="15"/>
  <c r="L27" i="15"/>
  <c r="L679" i="15"/>
  <c r="H20" i="15"/>
  <c r="H672" i="15"/>
  <c r="L40" i="15"/>
  <c r="L686" i="15"/>
  <c r="I62" i="15"/>
  <c r="I703" i="15"/>
  <c r="L15" i="15"/>
  <c r="L667" i="15"/>
  <c r="I43" i="15"/>
  <c r="I689" i="15"/>
  <c r="L41" i="15"/>
  <c r="L687" i="15"/>
  <c r="K38" i="15"/>
  <c r="K684" i="15"/>
  <c r="I63" i="15"/>
  <c r="I704" i="15"/>
  <c r="L17" i="15"/>
  <c r="L669" i="15"/>
  <c r="I29" i="15"/>
  <c r="I681" i="15"/>
  <c r="I7" i="15"/>
  <c r="I659" i="15"/>
  <c r="K30" i="15"/>
  <c r="K682" i="15"/>
  <c r="L18" i="15"/>
  <c r="L670" i="15"/>
  <c r="I16" i="15"/>
  <c r="I668" i="15"/>
  <c r="L28" i="15"/>
  <c r="L680" i="15"/>
  <c r="L11" i="15"/>
  <c r="L663" i="15"/>
  <c r="L8" i="15"/>
  <c r="L660" i="15"/>
  <c r="I28" i="15"/>
  <c r="I680" i="15"/>
  <c r="I41" i="15"/>
  <c r="I687" i="15"/>
  <c r="I14" i="15"/>
  <c r="I666" i="15"/>
  <c r="H30" i="15"/>
  <c r="H682" i="15"/>
  <c r="I12" i="15"/>
  <c r="I664" i="15"/>
  <c r="H21" i="15"/>
  <c r="H673" i="15"/>
  <c r="I42" i="15"/>
  <c r="I688" i="15"/>
  <c r="L29" i="15"/>
  <c r="L681" i="15"/>
  <c r="L9" i="15"/>
  <c r="L661" i="15"/>
  <c r="L14" i="15"/>
  <c r="L666" i="15"/>
  <c r="L62" i="15"/>
  <c r="L703" i="15"/>
  <c r="L12" i="15"/>
  <c r="L664" i="15"/>
  <c r="L16" i="15"/>
  <c r="L668" i="15"/>
  <c r="I61" i="15"/>
  <c r="I702" i="15"/>
  <c r="L43" i="15"/>
  <c r="L689" i="15"/>
  <c r="L7" i="15"/>
  <c r="L659" i="15"/>
  <c r="L63" i="15"/>
  <c r="L704" i="15"/>
  <c r="L13" i="15"/>
  <c r="L665" i="15"/>
  <c r="N82" i="15"/>
  <c r="N696" i="15"/>
  <c r="Q109" i="15"/>
  <c r="Q717" i="15"/>
  <c r="Q110" i="15"/>
  <c r="Q718" i="15"/>
  <c r="N83" i="15"/>
  <c r="N697" i="15"/>
  <c r="Q67" i="15"/>
  <c r="Q691" i="15"/>
  <c r="N30" i="15"/>
  <c r="N679" i="15"/>
  <c r="N81" i="15"/>
  <c r="N695" i="15"/>
  <c r="N108" i="15"/>
  <c r="N716" i="15"/>
  <c r="Q108" i="15"/>
  <c r="Q716" i="15"/>
  <c r="N14" i="15"/>
  <c r="N663" i="15"/>
  <c r="N8" i="15"/>
  <c r="N658" i="15"/>
  <c r="Q14" i="15"/>
  <c r="Q663" i="15"/>
  <c r="N84" i="15"/>
  <c r="N698" i="15"/>
  <c r="Q15" i="15"/>
  <c r="Q664" i="15"/>
  <c r="N64" i="15"/>
  <c r="N688" i="15"/>
  <c r="Q111" i="15"/>
  <c r="Q719" i="15"/>
  <c r="N65" i="15"/>
  <c r="N689" i="15"/>
  <c r="Q88" i="15"/>
  <c r="Q702" i="15"/>
  <c r="Q8" i="15"/>
  <c r="Q658" i="15"/>
  <c r="R31" i="15"/>
  <c r="R680" i="15"/>
  <c r="Q112" i="15"/>
  <c r="Q720" i="15"/>
  <c r="N85" i="15"/>
  <c r="N699" i="15"/>
  <c r="Q92" i="15"/>
  <c r="Q706" i="15"/>
  <c r="N88" i="15"/>
  <c r="N702" i="15"/>
  <c r="N9" i="15"/>
  <c r="N659" i="15"/>
  <c r="R30" i="15"/>
  <c r="R679" i="15"/>
  <c r="N109" i="15"/>
  <c r="N717" i="15"/>
  <c r="N92" i="15"/>
  <c r="N706" i="15"/>
  <c r="N80" i="15"/>
  <c r="N694" i="15"/>
  <c r="N31" i="15"/>
  <c r="N680" i="15"/>
  <c r="N12" i="15"/>
  <c r="N661" i="15"/>
  <c r="N112" i="15"/>
  <c r="N720" i="15"/>
  <c r="N67" i="15"/>
  <c r="N691" i="15"/>
  <c r="Q91" i="15"/>
  <c r="Q705" i="15"/>
  <c r="N21" i="15"/>
  <c r="N670" i="15"/>
  <c r="N19" i="15"/>
  <c r="N668" i="15"/>
  <c r="Q82" i="15"/>
  <c r="Q696" i="15"/>
  <c r="N110" i="15"/>
  <c r="N718" i="15"/>
  <c r="Q85" i="15"/>
  <c r="Q699" i="15"/>
  <c r="N17" i="15"/>
  <c r="N666" i="15"/>
  <c r="N16" i="15"/>
  <c r="N665" i="15"/>
  <c r="Q13" i="15"/>
  <c r="Q662" i="15"/>
  <c r="N86" i="15"/>
  <c r="N700" i="15"/>
  <c r="N89" i="15"/>
  <c r="N703" i="15"/>
  <c r="N91" i="15"/>
  <c r="N705" i="15"/>
  <c r="Q89" i="15"/>
  <c r="Q703" i="15"/>
  <c r="O111" i="15"/>
  <c r="O719" i="15"/>
  <c r="Q78" i="15"/>
  <c r="Q442" i="15"/>
  <c r="I81" i="15"/>
  <c r="I433" i="15"/>
  <c r="L81" i="15"/>
  <c r="L433" i="15"/>
  <c r="L82" i="15"/>
  <c r="L434" i="15"/>
  <c r="L48" i="15"/>
  <c r="L426" i="15"/>
  <c r="F82" i="15"/>
  <c r="F434" i="15"/>
  <c r="N106" i="15"/>
  <c r="Q87" i="15"/>
  <c r="Q81" i="15"/>
  <c r="N87" i="15"/>
  <c r="N107" i="15"/>
  <c r="Q16" i="15"/>
  <c r="Q17" i="15"/>
  <c r="Q21" i="15"/>
  <c r="Q11" i="15"/>
  <c r="Q84" i="15"/>
  <c r="N15" i="15"/>
  <c r="N66" i="15"/>
  <c r="N32" i="15"/>
  <c r="N20" i="15"/>
  <c r="Q105" i="15"/>
  <c r="Q18" i="15"/>
  <c r="N13" i="15"/>
  <c r="Q83" i="15"/>
  <c r="N11" i="15"/>
  <c r="Q107" i="15"/>
  <c r="Q19" i="15"/>
  <c r="Q113" i="15"/>
  <c r="Q114" i="15"/>
  <c r="N93" i="15"/>
  <c r="Q12" i="15"/>
  <c r="N105" i="15"/>
  <c r="Q80" i="15"/>
  <c r="N90" i="15"/>
  <c r="Q9" i="15"/>
  <c r="Q86" i="15"/>
  <c r="Q22" i="15"/>
  <c r="N114" i="15"/>
  <c r="N78" i="15"/>
  <c r="N22" i="15"/>
  <c r="Q106" i="15"/>
  <c r="N18" i="15"/>
  <c r="Q90" i="15"/>
  <c r="Q93" i="15"/>
  <c r="Q20" i="15"/>
  <c r="Q65" i="15"/>
  <c r="Q64" i="15"/>
  <c r="N113" i="15"/>
  <c r="Q66" i="15"/>
  <c r="CW30" i="7"/>
  <c r="L6" i="15"/>
  <c r="CW37" i="7"/>
  <c r="I10" i="15"/>
  <c r="DI30" i="7"/>
  <c r="DB224" i="7"/>
  <c r="DF223" i="7"/>
  <c r="DF222" i="7"/>
  <c r="DF30" i="7"/>
  <c r="R2921" i="15" s="1"/>
  <c r="DF224" i="7"/>
  <c r="DF31" i="7"/>
  <c r="R2922" i="15" s="1"/>
  <c r="CW351" i="7"/>
  <c r="DF340" i="7"/>
  <c r="R3109" i="15" s="1"/>
  <c r="DF45" i="7"/>
  <c r="R3095" i="15" s="1"/>
  <c r="DB74" i="7"/>
  <c r="DF40" i="7"/>
  <c r="R3225" i="15" s="1"/>
  <c r="DF36" i="7"/>
  <c r="R3221" i="15" s="1"/>
  <c r="DF413" i="7"/>
  <c r="R3121" i="15" s="1"/>
  <c r="DB353" i="7"/>
  <c r="O3119" i="15" s="1"/>
  <c r="DF341" i="7"/>
  <c r="R3110" i="15" s="1"/>
  <c r="DF43" i="7"/>
  <c r="R3093" i="15" s="1"/>
  <c r="DF46" i="7"/>
  <c r="R3096" i="15" s="1"/>
  <c r="DF343" i="7"/>
  <c r="R3112" i="15" s="1"/>
  <c r="DB412" i="7"/>
  <c r="DF42" i="7"/>
  <c r="R3092" i="15" s="1"/>
  <c r="DB37" i="7"/>
  <c r="DF41" i="7"/>
  <c r="DB350" i="7"/>
  <c r="O3116" i="15" s="1"/>
  <c r="DF350" i="7"/>
  <c r="R3116" i="15" s="1"/>
  <c r="DB347" i="7"/>
  <c r="O2941" i="15" s="1"/>
  <c r="DB413" i="7"/>
  <c r="DF347" i="7"/>
  <c r="R2941" i="15" s="1"/>
  <c r="DF35" i="7"/>
  <c r="DB35" i="7"/>
  <c r="DF44" i="7"/>
  <c r="R3094" i="15" s="1"/>
  <c r="CW72" i="7"/>
  <c r="DB39" i="7"/>
  <c r="DF353" i="7"/>
  <c r="R3119" i="15" s="1"/>
  <c r="DF412" i="7"/>
  <c r="DF344" i="7"/>
  <c r="R3113" i="15" s="1"/>
  <c r="DF346" i="7"/>
  <c r="R2940" i="15" s="1"/>
  <c r="CJ72" i="7"/>
  <c r="CW223" i="7"/>
  <c r="CW353" i="7"/>
  <c r="CJ351" i="7"/>
  <c r="CW73" i="7"/>
  <c r="CJ224" i="7"/>
  <c r="CW45" i="7"/>
  <c r="CW35" i="7"/>
  <c r="CJ352" i="7"/>
  <c r="CJ353" i="7"/>
  <c r="CW222" i="7"/>
  <c r="CJ73" i="7"/>
  <c r="CJ223" i="7"/>
  <c r="CW41" i="7"/>
  <c r="CJ222" i="7"/>
  <c r="DF271" i="7"/>
  <c r="CW271" i="7"/>
  <c r="CJ71" i="7"/>
  <c r="CW352" i="7"/>
  <c r="CW39" i="7"/>
  <c r="CJ225" i="7"/>
  <c r="CJ35" i="7"/>
  <c r="CW74" i="7"/>
  <c r="CW31" i="7"/>
  <c r="CW225" i="7"/>
  <c r="CW43" i="7"/>
  <c r="CJ74" i="7"/>
  <c r="CW224" i="7"/>
  <c r="CW71" i="7"/>
  <c r="CW416" i="7"/>
  <c r="DE75" i="7"/>
  <c r="Q3234" i="15" s="1"/>
  <c r="DF37" i="7"/>
  <c r="R3222" i="15" s="1"/>
  <c r="DB225" i="7"/>
  <c r="DB349" i="7"/>
  <c r="O3115" i="15" s="1"/>
  <c r="DA75" i="7"/>
  <c r="N3234" i="15" s="1"/>
  <c r="DB72" i="7"/>
  <c r="O3233" i="15" s="1"/>
  <c r="DF405" i="7"/>
  <c r="DF406" i="7"/>
  <c r="DF38" i="7"/>
  <c r="R3223" i="15" s="1"/>
  <c r="DB344" i="7"/>
  <c r="O3113" i="15" s="1"/>
  <c r="DF39" i="7"/>
  <c r="R3224" i="15" s="1"/>
  <c r="DB341" i="7"/>
  <c r="O3110" i="15" s="1"/>
  <c r="DB404" i="7"/>
  <c r="DB343" i="7"/>
  <c r="O3112" i="15" s="1"/>
  <c r="DF349" i="7"/>
  <c r="R3115" i="15" s="1"/>
  <c r="DB348" i="7"/>
  <c r="O3114" i="15" s="1"/>
  <c r="DB41" i="7"/>
  <c r="DB73" i="7"/>
  <c r="O3097" i="15" s="1"/>
  <c r="DB31" i="7"/>
  <c r="O2922" i="15" s="1"/>
  <c r="DB222" i="7"/>
  <c r="DF407" i="7"/>
  <c r="R3246" i="15" s="1"/>
  <c r="DB223" i="7"/>
  <c r="DF404" i="7"/>
  <c r="DB346" i="7"/>
  <c r="O2940" i="15" s="1"/>
  <c r="DB345" i="7"/>
  <c r="DB405" i="7"/>
  <c r="DB408" i="7"/>
  <c r="DF348" i="7"/>
  <c r="R3114" i="15" s="1"/>
  <c r="DI225" i="7"/>
  <c r="DF225" i="7"/>
  <c r="DF351" i="7"/>
  <c r="R3117" i="15" s="1"/>
  <c r="DB352" i="7"/>
  <c r="O3118" i="15" s="1"/>
  <c r="DB30" i="7"/>
  <c r="O2921" i="15" s="1"/>
  <c r="DF408" i="7"/>
  <c r="DB351" i="7"/>
  <c r="O3117" i="15" s="1"/>
  <c r="DB342" i="7"/>
  <c r="DF352" i="7"/>
  <c r="R3118" i="15" s="1"/>
  <c r="DB45" i="7"/>
  <c r="O3095" i="15" s="1"/>
  <c r="DB43" i="7"/>
  <c r="O3093" i="15" s="1"/>
  <c r="DF342" i="7"/>
  <c r="DB406" i="7"/>
  <c r="DF345" i="7"/>
  <c r="DB340" i="7"/>
  <c r="O3109" i="15" s="1"/>
  <c r="CL73" i="7"/>
  <c r="CK73" i="7"/>
  <c r="CL74" i="7"/>
  <c r="CK74" i="7"/>
  <c r="CL351" i="7"/>
  <c r="CK351" i="7"/>
  <c r="CL223" i="7"/>
  <c r="CK223" i="7"/>
  <c r="CL222" i="7"/>
  <c r="CK222" i="7"/>
  <c r="CL224" i="7"/>
  <c r="CK224" i="7"/>
  <c r="CL71" i="7"/>
  <c r="CK71" i="7"/>
  <c r="CL352" i="7"/>
  <c r="CK352" i="7"/>
  <c r="CL353" i="7"/>
  <c r="CK353" i="7"/>
  <c r="CK72" i="7"/>
  <c r="CL72" i="7"/>
  <c r="CK225" i="7"/>
  <c r="CL225" i="7"/>
  <c r="CL35" i="7"/>
  <c r="CK35" i="7"/>
  <c r="CY223" i="7"/>
  <c r="CX223" i="7"/>
  <c r="CO44" i="7"/>
  <c r="CY43" i="7"/>
  <c r="CX43" i="7"/>
  <c r="CO42" i="7"/>
  <c r="CY41" i="7"/>
  <c r="CX41" i="7"/>
  <c r="CY271" i="7"/>
  <c r="CX271" i="7"/>
  <c r="CY35" i="7"/>
  <c r="CX35" i="7"/>
  <c r="CY45" i="7"/>
  <c r="CX45" i="7"/>
  <c r="CX72" i="7"/>
  <c r="CY72" i="7"/>
  <c r="CY351" i="7"/>
  <c r="CX351" i="7"/>
  <c r="CY224" i="7"/>
  <c r="CX224" i="7"/>
  <c r="CY71" i="7"/>
  <c r="CX71" i="7"/>
  <c r="CY416" i="7"/>
  <c r="CX416" i="7"/>
  <c r="CX353" i="7"/>
  <c r="CY353" i="7"/>
  <c r="CY73" i="7"/>
  <c r="CX73" i="7"/>
  <c r="CY352" i="7"/>
  <c r="CX352" i="7"/>
  <c r="CO40" i="7"/>
  <c r="CY39" i="7"/>
  <c r="CX39" i="7"/>
  <c r="CY222" i="7"/>
  <c r="CX222" i="7"/>
  <c r="CO38" i="7"/>
  <c r="CY37" i="7"/>
  <c r="CX37" i="7"/>
  <c r="CY74" i="7"/>
  <c r="CX74" i="7"/>
  <c r="CX225" i="7"/>
  <c r="CY225" i="7"/>
  <c r="CX30" i="7"/>
  <c r="CY30" i="7"/>
  <c r="CY31" i="7"/>
  <c r="CX31" i="7"/>
  <c r="DF417" i="7"/>
  <c r="R3123" i="15" s="1"/>
  <c r="CO76" i="7"/>
  <c r="I3235" i="15" s="1"/>
  <c r="CS76" i="7"/>
  <c r="L3235" i="15" s="1"/>
  <c r="DI271" i="7"/>
  <c r="CB46" i="7"/>
  <c r="C3095" i="15" s="1"/>
  <c r="CB42" i="7"/>
  <c r="C3091" i="15" s="1"/>
  <c r="CB38" i="7"/>
  <c r="C3223" i="15" s="1"/>
  <c r="CB75" i="7"/>
  <c r="C3234" i="15" s="1"/>
  <c r="CB44" i="7"/>
  <c r="C3093" i="15" s="1"/>
  <c r="CB40" i="7"/>
  <c r="C3225" i="15" s="1"/>
  <c r="CB76" i="7"/>
  <c r="C3235" i="15" s="1"/>
  <c r="CB36" i="7"/>
  <c r="CO75" i="7"/>
  <c r="I3234" i="15" s="1"/>
  <c r="CS75" i="7"/>
  <c r="L3234" i="15" s="1"/>
  <c r="CO47" i="7"/>
  <c r="I3226" i="15" s="1"/>
  <c r="CO36" i="7"/>
  <c r="CF76" i="7"/>
  <c r="F3235" i="15" s="1"/>
  <c r="CF75" i="7"/>
  <c r="F3234" i="15" s="1"/>
  <c r="DI340" i="7"/>
  <c r="DI413" i="7"/>
  <c r="DI344" i="7"/>
  <c r="DI346" i="7"/>
  <c r="DI347" i="7"/>
  <c r="DI224" i="7"/>
  <c r="DI223" i="7"/>
  <c r="DI341" i="7"/>
  <c r="DI343" i="7"/>
  <c r="DI222" i="7"/>
  <c r="DA48" i="7"/>
  <c r="N3227" i="15" s="1"/>
  <c r="DE47" i="7"/>
  <c r="DA50" i="7"/>
  <c r="N3229" i="15" s="1"/>
  <c r="DA51" i="7"/>
  <c r="N3230" i="15" s="1"/>
  <c r="DE48" i="7"/>
  <c r="DE52" i="7"/>
  <c r="DA49" i="7"/>
  <c r="N3228" i="15" s="1"/>
  <c r="DI41" i="7"/>
  <c r="DA52" i="7"/>
  <c r="N3231" i="15" s="1"/>
  <c r="DA47" i="7"/>
  <c r="DN221" i="7"/>
  <c r="DR99" i="7"/>
  <c r="DR98" i="7"/>
  <c r="DN99" i="7"/>
  <c r="DN98" i="7"/>
  <c r="DR363" i="7"/>
  <c r="DR362" i="7"/>
  <c r="DR361" i="7"/>
  <c r="DN363" i="7"/>
  <c r="DN362" i="7"/>
  <c r="DN361" i="7"/>
  <c r="DR212" i="7"/>
  <c r="DN212" i="7"/>
  <c r="DR211" i="7"/>
  <c r="DN211" i="7"/>
  <c r="DR210" i="7"/>
  <c r="DR209" i="7"/>
  <c r="DR208" i="7"/>
  <c r="DR207" i="7"/>
  <c r="DR206" i="7"/>
  <c r="DN210" i="7"/>
  <c r="DN209" i="7"/>
  <c r="DN208" i="7"/>
  <c r="DN207" i="7"/>
  <c r="DR198" i="7"/>
  <c r="DN198" i="7"/>
  <c r="DN197" i="7"/>
  <c r="DR171" i="7"/>
  <c r="DR170" i="7"/>
  <c r="DR169" i="7"/>
  <c r="DR168" i="7"/>
  <c r="DN171" i="7"/>
  <c r="DN170" i="7"/>
  <c r="DN169" i="7"/>
  <c r="DR133" i="7"/>
  <c r="DR132" i="7"/>
  <c r="DR131" i="7"/>
  <c r="DR130" i="7"/>
  <c r="DR129" i="7"/>
  <c r="DR128" i="7"/>
  <c r="DN133" i="7"/>
  <c r="DN132" i="7"/>
  <c r="DN131" i="7"/>
  <c r="DN130" i="7"/>
  <c r="DN129" i="7"/>
  <c r="DN128" i="7"/>
  <c r="DR78" i="7"/>
  <c r="DR77" i="7"/>
  <c r="DN78" i="7"/>
  <c r="DN77" i="7"/>
  <c r="DR64" i="7"/>
  <c r="DR63" i="7"/>
  <c r="DR62" i="7"/>
  <c r="DR61" i="7"/>
  <c r="DR60" i="7"/>
  <c r="DR59" i="7"/>
  <c r="DN64" i="7"/>
  <c r="DN63" i="7"/>
  <c r="DN62" i="7"/>
  <c r="DN61" i="7"/>
  <c r="DN60" i="7"/>
  <c r="DN59" i="7"/>
  <c r="DR58" i="7"/>
  <c r="DR57" i="7"/>
  <c r="DR56" i="7"/>
  <c r="DR55" i="7"/>
  <c r="DR54" i="7"/>
  <c r="DR53" i="7"/>
  <c r="DN58" i="7"/>
  <c r="DN57" i="7"/>
  <c r="DN56" i="7"/>
  <c r="DN55" i="7"/>
  <c r="DN54" i="7"/>
  <c r="DN53" i="7"/>
  <c r="DJ71" i="7" l="1"/>
  <c r="R678" i="15"/>
  <c r="DF75" i="7"/>
  <c r="R3234" i="15" s="1"/>
  <c r="R29" i="15"/>
  <c r="R1274" i="15"/>
  <c r="R986" i="15"/>
  <c r="R2027" i="15"/>
  <c r="R1707" i="15"/>
  <c r="R2609" i="15"/>
  <c r="R2256" i="15"/>
  <c r="O2256" i="15"/>
  <c r="R2259" i="15"/>
  <c r="R681" i="15"/>
  <c r="R32" i="15"/>
  <c r="DF76" i="7"/>
  <c r="R3235" i="15" s="1"/>
  <c r="R1277" i="15"/>
  <c r="R989" i="15"/>
  <c r="O678" i="15"/>
  <c r="O986" i="15"/>
  <c r="O29" i="15"/>
  <c r="R2030" i="15"/>
  <c r="O2027" i="15"/>
  <c r="O1707" i="15"/>
  <c r="O1274" i="15"/>
  <c r="O2609" i="15"/>
  <c r="R1710" i="15"/>
  <c r="R2612" i="15"/>
  <c r="T3229" i="15"/>
  <c r="T2619" i="15"/>
  <c r="T2242" i="15"/>
  <c r="T2012" i="15"/>
  <c r="T1692" i="15"/>
  <c r="T1280" i="15"/>
  <c r="T976" i="15"/>
  <c r="T663" i="15"/>
  <c r="T42" i="15"/>
  <c r="DS129" i="7"/>
  <c r="X2945" i="15" s="1"/>
  <c r="W2945" i="15"/>
  <c r="W2668" i="15"/>
  <c r="W2427" i="15"/>
  <c r="W1903" i="15"/>
  <c r="W1725" i="15"/>
  <c r="W1364" i="15"/>
  <c r="W781" i="15"/>
  <c r="W100" i="15"/>
  <c r="W465" i="15"/>
  <c r="DS211" i="7"/>
  <c r="X3117" i="15" s="1"/>
  <c r="W3117" i="15"/>
  <c r="W2727" i="15"/>
  <c r="W2284" i="15"/>
  <c r="W1948" i="15"/>
  <c r="W1754" i="15"/>
  <c r="W1395" i="15"/>
  <c r="W818" i="15"/>
  <c r="W497" i="15"/>
  <c r="W175" i="15"/>
  <c r="T3231" i="15"/>
  <c r="T2621" i="15"/>
  <c r="T2244" i="15"/>
  <c r="T2014" i="15"/>
  <c r="T1694" i="15"/>
  <c r="T1281" i="15"/>
  <c r="T665" i="15"/>
  <c r="T978" i="15"/>
  <c r="T44" i="15"/>
  <c r="T3092" i="15"/>
  <c r="T2623" i="15"/>
  <c r="T2246" i="15"/>
  <c r="T2016" i="15"/>
  <c r="T1696" i="15"/>
  <c r="T1282" i="15"/>
  <c r="T980" i="15"/>
  <c r="T667" i="15"/>
  <c r="T46" i="15"/>
  <c r="DS62" i="7"/>
  <c r="X3094" i="15" s="1"/>
  <c r="W3094" i="15"/>
  <c r="W2625" i="15"/>
  <c r="W2248" i="15"/>
  <c r="W2018" i="15"/>
  <c r="W1698" i="15"/>
  <c r="W1283" i="15"/>
  <c r="W982" i="15"/>
  <c r="W669" i="15"/>
  <c r="W48" i="15"/>
  <c r="T2945" i="15"/>
  <c r="T2668" i="15"/>
  <c r="T2427" i="15"/>
  <c r="T1725" i="15"/>
  <c r="T1903" i="15"/>
  <c r="T1364" i="15"/>
  <c r="T781" i="15"/>
  <c r="T465" i="15"/>
  <c r="T100" i="15"/>
  <c r="DS131" i="7"/>
  <c r="X2947" i="15" s="1"/>
  <c r="W2947" i="15"/>
  <c r="W2670" i="15"/>
  <c r="W2429" i="15"/>
  <c r="W1727" i="15"/>
  <c r="W1905" i="15"/>
  <c r="W1298" i="15"/>
  <c r="W783" i="15"/>
  <c r="W102" i="15"/>
  <c r="W467" i="15"/>
  <c r="W3241" i="15"/>
  <c r="W2700" i="15"/>
  <c r="W2537" i="15"/>
  <c r="W1925" i="15"/>
  <c r="W1743" i="15"/>
  <c r="W1375" i="15"/>
  <c r="W804" i="15"/>
  <c r="W141" i="15"/>
  <c r="W488" i="15"/>
  <c r="T2987" i="15"/>
  <c r="T2726" i="15"/>
  <c r="T2227" i="15"/>
  <c r="T1753" i="15"/>
  <c r="T1305" i="15"/>
  <c r="T688" i="15"/>
  <c r="T174" i="15"/>
  <c r="T3118" i="15"/>
  <c r="T2728" i="15"/>
  <c r="T2285" i="15"/>
  <c r="T1949" i="15"/>
  <c r="T1755" i="15"/>
  <c r="T1188" i="15"/>
  <c r="T1035" i="15"/>
  <c r="T654" i="15"/>
  <c r="T176" i="15"/>
  <c r="T3033" i="15"/>
  <c r="T2646" i="15"/>
  <c r="T2528" i="15"/>
  <c r="T1880" i="15"/>
  <c r="T1292" i="15"/>
  <c r="T768" i="15"/>
  <c r="T1467" i="15"/>
  <c r="T450" i="15"/>
  <c r="T69" i="15"/>
  <c r="DS78" i="7"/>
  <c r="X649" i="15" s="1"/>
  <c r="W3098" i="15"/>
  <c r="W2635" i="15"/>
  <c r="W2258" i="15"/>
  <c r="W2028" i="15"/>
  <c r="W1708" i="15"/>
  <c r="W761" i="15"/>
  <c r="W649" i="15"/>
  <c r="W58" i="15"/>
  <c r="W3239" i="15"/>
  <c r="W2698" i="15"/>
  <c r="W2535" i="15"/>
  <c r="W1923" i="15"/>
  <c r="W1741" i="15"/>
  <c r="W1373" i="15"/>
  <c r="W486" i="15"/>
  <c r="W1015" i="15"/>
  <c r="W139" i="15"/>
  <c r="DS130" i="7"/>
  <c r="W2946" i="15"/>
  <c r="W2669" i="15"/>
  <c r="W2428" i="15"/>
  <c r="W1904" i="15"/>
  <c r="W1726" i="15"/>
  <c r="W782" i="15"/>
  <c r="W1114" i="15"/>
  <c r="W101" i="15"/>
  <c r="W466" i="15"/>
  <c r="W3226" i="15"/>
  <c r="W2616" i="15"/>
  <c r="W2009" i="15"/>
  <c r="W2239" i="15"/>
  <c r="W1689" i="15"/>
  <c r="W1109" i="15"/>
  <c r="W973" i="15"/>
  <c r="W660" i="15"/>
  <c r="W39" i="15"/>
  <c r="T3093" i="15"/>
  <c r="T2624" i="15"/>
  <c r="T2247" i="15"/>
  <c r="T2017" i="15"/>
  <c r="T1697" i="15"/>
  <c r="T1160" i="15"/>
  <c r="T981" i="15"/>
  <c r="T668" i="15"/>
  <c r="T47" i="15"/>
  <c r="DS63" i="7"/>
  <c r="X3095" i="15" s="1"/>
  <c r="W3095" i="15"/>
  <c r="W2626" i="15"/>
  <c r="W2249" i="15"/>
  <c r="W2019" i="15"/>
  <c r="W1699" i="15"/>
  <c r="W1161" i="15"/>
  <c r="W983" i="15"/>
  <c r="W670" i="15"/>
  <c r="W49" i="15"/>
  <c r="DO130" i="7"/>
  <c r="U2946" i="15" s="1"/>
  <c r="T2946" i="15"/>
  <c r="T2669" i="15"/>
  <c r="T2428" i="15"/>
  <c r="T1726" i="15"/>
  <c r="T1904" i="15"/>
  <c r="T782" i="15"/>
  <c r="T1114" i="15"/>
  <c r="T466" i="15"/>
  <c r="T101" i="15"/>
  <c r="DS132" i="7"/>
  <c r="X1728" i="15" s="1"/>
  <c r="W2948" i="15"/>
  <c r="W2671" i="15"/>
  <c r="W2430" i="15"/>
  <c r="W1728" i="15"/>
  <c r="W1906" i="15"/>
  <c r="W1115" i="15"/>
  <c r="W784" i="15"/>
  <c r="W468" i="15"/>
  <c r="W103" i="15"/>
  <c r="W3242" i="15"/>
  <c r="W2701" i="15"/>
  <c r="W2538" i="15"/>
  <c r="W1926" i="15"/>
  <c r="W1744" i="15"/>
  <c r="W1376" i="15"/>
  <c r="W805" i="15"/>
  <c r="W489" i="15"/>
  <c r="W142" i="15"/>
  <c r="W2983" i="15"/>
  <c r="W2722" i="15"/>
  <c r="W2223" i="15"/>
  <c r="W1749" i="15"/>
  <c r="W1186" i="15"/>
  <c r="W814" i="15"/>
  <c r="W684" i="15"/>
  <c r="W170" i="15"/>
  <c r="W3118" i="15"/>
  <c r="W2728" i="15"/>
  <c r="W2285" i="15"/>
  <c r="W1755" i="15"/>
  <c r="W1949" i="15"/>
  <c r="W1188" i="15"/>
  <c r="W654" i="15"/>
  <c r="W1035" i="15"/>
  <c r="W176" i="15"/>
  <c r="T3034" i="15"/>
  <c r="T2647" i="15"/>
  <c r="T2529" i="15"/>
  <c r="T1881" i="15"/>
  <c r="T1293" i="15"/>
  <c r="T1468" i="15"/>
  <c r="T992" i="15"/>
  <c r="T451" i="15"/>
  <c r="T70" i="15"/>
  <c r="T2985" i="15"/>
  <c r="T2724" i="15"/>
  <c r="T2225" i="15"/>
  <c r="T1751" i="15"/>
  <c r="T1187" i="15"/>
  <c r="T816" i="15"/>
  <c r="T686" i="15"/>
  <c r="T172" i="15"/>
  <c r="DS61" i="7"/>
  <c r="X3093" i="15" s="1"/>
  <c r="W3093" i="15"/>
  <c r="W2624" i="15"/>
  <c r="W2247" i="15"/>
  <c r="W1697" i="15"/>
  <c r="W2017" i="15"/>
  <c r="W1160" i="15"/>
  <c r="W668" i="15"/>
  <c r="W981" i="15"/>
  <c r="W47" i="15"/>
  <c r="W3240" i="15"/>
  <c r="W2699" i="15"/>
  <c r="W2536" i="15"/>
  <c r="W1924" i="15"/>
  <c r="W1742" i="15"/>
  <c r="W1374" i="15"/>
  <c r="W803" i="15"/>
  <c r="W487" i="15"/>
  <c r="W140" i="15"/>
  <c r="W3227" i="15"/>
  <c r="W2617" i="15"/>
  <c r="W2240" i="15"/>
  <c r="W2010" i="15"/>
  <c r="W1690" i="15"/>
  <c r="W1279" i="15"/>
  <c r="W661" i="15"/>
  <c r="W974" i="15"/>
  <c r="W40" i="15"/>
  <c r="T3094" i="15"/>
  <c r="T2625" i="15"/>
  <c r="T2248" i="15"/>
  <c r="T1698" i="15"/>
  <c r="T2018" i="15"/>
  <c r="T1283" i="15"/>
  <c r="T669" i="15"/>
  <c r="T982" i="15"/>
  <c r="T48" i="15"/>
  <c r="DS64" i="7"/>
  <c r="X3096" i="15" s="1"/>
  <c r="W3096" i="15"/>
  <c r="W2627" i="15"/>
  <c r="W2250" i="15"/>
  <c r="W2020" i="15"/>
  <c r="W1700" i="15"/>
  <c r="W1284" i="15"/>
  <c r="W984" i="15"/>
  <c r="W671" i="15"/>
  <c r="W50" i="15"/>
  <c r="T2947" i="15"/>
  <c r="T2670" i="15"/>
  <c r="T2429" i="15"/>
  <c r="T1905" i="15"/>
  <c r="T1727" i="15"/>
  <c r="T1298" i="15"/>
  <c r="T783" i="15"/>
  <c r="T467" i="15"/>
  <c r="T102" i="15"/>
  <c r="DS133" i="7"/>
  <c r="X2949" i="15" s="1"/>
  <c r="W2949" i="15"/>
  <c r="W2672" i="15"/>
  <c r="W2431" i="15"/>
  <c r="W1907" i="15"/>
  <c r="W1729" i="15"/>
  <c r="W1365" i="15"/>
  <c r="W785" i="15"/>
  <c r="W104" i="15"/>
  <c r="W469" i="15"/>
  <c r="T3112" i="15"/>
  <c r="T2716" i="15"/>
  <c r="T2456" i="15"/>
  <c r="T1945" i="15"/>
  <c r="T1747" i="15"/>
  <c r="T1122" i="15"/>
  <c r="T811" i="15"/>
  <c r="T681" i="15"/>
  <c r="T164" i="15"/>
  <c r="W2984" i="15"/>
  <c r="W2723" i="15"/>
  <c r="W2224" i="15"/>
  <c r="W1750" i="15"/>
  <c r="W1303" i="15"/>
  <c r="W815" i="15"/>
  <c r="W685" i="15"/>
  <c r="W171" i="15"/>
  <c r="T3051" i="15"/>
  <c r="T2827" i="15"/>
  <c r="T2493" i="15"/>
  <c r="T1974" i="15"/>
  <c r="T1772" i="15"/>
  <c r="T1235" i="15"/>
  <c r="T890" i="15"/>
  <c r="T276" i="15"/>
  <c r="T564" i="15"/>
  <c r="W3033" i="15"/>
  <c r="W2646" i="15"/>
  <c r="W2528" i="15"/>
  <c r="W1880" i="15"/>
  <c r="W1467" i="15"/>
  <c r="W768" i="15"/>
  <c r="W1292" i="15"/>
  <c r="W69" i="15"/>
  <c r="W450" i="15"/>
  <c r="W3092" i="15"/>
  <c r="W2623" i="15"/>
  <c r="W2246" i="15"/>
  <c r="W2016" i="15"/>
  <c r="W1696" i="15"/>
  <c r="W1282" i="15"/>
  <c r="W980" i="15"/>
  <c r="W667" i="15"/>
  <c r="W46" i="15"/>
  <c r="T3091" i="15"/>
  <c r="T2622" i="15"/>
  <c r="T2245" i="15"/>
  <c r="T2015" i="15"/>
  <c r="T1695" i="15"/>
  <c r="T979" i="15"/>
  <c r="T1110" i="15"/>
  <c r="T666" i="15"/>
  <c r="T45" i="15"/>
  <c r="DS363" i="7"/>
  <c r="X3053" i="15" s="1"/>
  <c r="W3053" i="15"/>
  <c r="W2829" i="15"/>
  <c r="W2341" i="15"/>
  <c r="W2118" i="15"/>
  <c r="W1774" i="15"/>
  <c r="W1237" i="15"/>
  <c r="W891" i="15"/>
  <c r="W278" i="15"/>
  <c r="W566" i="15"/>
  <c r="T3226" i="15"/>
  <c r="T2616" i="15"/>
  <c r="T2239" i="15"/>
  <c r="T2009" i="15"/>
  <c r="T1689" i="15"/>
  <c r="T1109" i="15"/>
  <c r="T973" i="15"/>
  <c r="T660" i="15"/>
  <c r="T39" i="15"/>
  <c r="W3228" i="15"/>
  <c r="W2618" i="15"/>
  <c r="W2241" i="15"/>
  <c r="W2011" i="15"/>
  <c r="W1691" i="15"/>
  <c r="W1158" i="15"/>
  <c r="W975" i="15"/>
  <c r="W662" i="15"/>
  <c r="W41" i="15"/>
  <c r="T3095" i="15"/>
  <c r="T2626" i="15"/>
  <c r="T2249" i="15"/>
  <c r="T2019" i="15"/>
  <c r="T1699" i="15"/>
  <c r="T1161" i="15"/>
  <c r="T983" i="15"/>
  <c r="T670" i="15"/>
  <c r="T49" i="15"/>
  <c r="DO77" i="7"/>
  <c r="U3097" i="15" s="1"/>
  <c r="T3097" i="15"/>
  <c r="T2634" i="15"/>
  <c r="T2257" i="15"/>
  <c r="T2027" i="15"/>
  <c r="T1707" i="15"/>
  <c r="T1438" i="15"/>
  <c r="T760" i="15"/>
  <c r="T648" i="15"/>
  <c r="T57" i="15"/>
  <c r="DO132" i="7"/>
  <c r="T2948" i="15"/>
  <c r="T2671" i="15"/>
  <c r="T2430" i="15"/>
  <c r="T1728" i="15"/>
  <c r="T1906" i="15"/>
  <c r="T1115" i="15"/>
  <c r="T784" i="15"/>
  <c r="T468" i="15"/>
  <c r="T103" i="15"/>
  <c r="T3240" i="15"/>
  <c r="T2699" i="15"/>
  <c r="T2536" i="15"/>
  <c r="T1742" i="15"/>
  <c r="T1924" i="15"/>
  <c r="T1374" i="15"/>
  <c r="T803" i="15"/>
  <c r="T487" i="15"/>
  <c r="T140" i="15"/>
  <c r="T3113" i="15"/>
  <c r="T2717" i="15"/>
  <c r="T2457" i="15"/>
  <c r="T1946" i="15"/>
  <c r="T1748" i="15"/>
  <c r="T812" i="15"/>
  <c r="T1123" i="15"/>
  <c r="T682" i="15"/>
  <c r="T165" i="15"/>
  <c r="W2985" i="15"/>
  <c r="W2724" i="15"/>
  <c r="W2225" i="15"/>
  <c r="W1751" i="15"/>
  <c r="W1187" i="15"/>
  <c r="W816" i="15"/>
  <c r="W686" i="15"/>
  <c r="W172" i="15"/>
  <c r="T3052" i="15"/>
  <c r="T2828" i="15"/>
  <c r="T2340" i="15"/>
  <c r="T2117" i="15"/>
  <c r="T1773" i="15"/>
  <c r="T1236" i="15"/>
  <c r="T1059" i="15"/>
  <c r="T565" i="15"/>
  <c r="T277" i="15"/>
  <c r="W3034" i="15"/>
  <c r="W2647" i="15"/>
  <c r="W2529" i="15"/>
  <c r="W1881" i="15"/>
  <c r="W1468" i="15"/>
  <c r="W1293" i="15"/>
  <c r="W992" i="15"/>
  <c r="W451" i="15"/>
  <c r="W70" i="15"/>
  <c r="T3230" i="15"/>
  <c r="T2620" i="15"/>
  <c r="T2243" i="15"/>
  <c r="T2013" i="15"/>
  <c r="T1693" i="15"/>
  <c r="T1159" i="15"/>
  <c r="T977" i="15"/>
  <c r="T43" i="15"/>
  <c r="T664" i="15"/>
  <c r="T2986" i="15"/>
  <c r="T2725" i="15"/>
  <c r="T2226" i="15"/>
  <c r="T1752" i="15"/>
  <c r="T1304" i="15"/>
  <c r="T817" i="15"/>
  <c r="T687" i="15"/>
  <c r="T173" i="15"/>
  <c r="T3227" i="15"/>
  <c r="T2617" i="15"/>
  <c r="T2240" i="15"/>
  <c r="T1690" i="15"/>
  <c r="T2010" i="15"/>
  <c r="T1279" i="15"/>
  <c r="T974" i="15"/>
  <c r="T661" i="15"/>
  <c r="T40" i="15"/>
  <c r="W3229" i="15"/>
  <c r="W2619" i="15"/>
  <c r="W2242" i="15"/>
  <c r="W2012" i="15"/>
  <c r="W1692" i="15"/>
  <c r="W1280" i="15"/>
  <c r="W976" i="15"/>
  <c r="W663" i="15"/>
  <c r="W42" i="15"/>
  <c r="T3096" i="15"/>
  <c r="T2627" i="15"/>
  <c r="T2250" i="15"/>
  <c r="T2020" i="15"/>
  <c r="T1700" i="15"/>
  <c r="T1284" i="15"/>
  <c r="T984" i="15"/>
  <c r="T671" i="15"/>
  <c r="T50" i="15"/>
  <c r="T3098" i="15"/>
  <c r="T2635" i="15"/>
  <c r="T2258" i="15"/>
  <c r="T2028" i="15"/>
  <c r="T1708" i="15"/>
  <c r="T761" i="15"/>
  <c r="T649" i="15"/>
  <c r="T58" i="15"/>
  <c r="T2949" i="15"/>
  <c r="T2672" i="15"/>
  <c r="T2431" i="15"/>
  <c r="T1729" i="15"/>
  <c r="T1907" i="15"/>
  <c r="T1365" i="15"/>
  <c r="T785" i="15"/>
  <c r="T469" i="15"/>
  <c r="T104" i="15"/>
  <c r="T3241" i="15"/>
  <c r="T2700" i="15"/>
  <c r="T2537" i="15"/>
  <c r="T1743" i="15"/>
  <c r="T1925" i="15"/>
  <c r="T804" i="15"/>
  <c r="T1375" i="15"/>
  <c r="T488" i="15"/>
  <c r="T141" i="15"/>
  <c r="DS198" i="7"/>
  <c r="X2457" i="15" s="1"/>
  <c r="W3113" i="15"/>
  <c r="W2717" i="15"/>
  <c r="W2457" i="15"/>
  <c r="W1748" i="15"/>
  <c r="W1946" i="15"/>
  <c r="W812" i="15"/>
  <c r="W1123" i="15"/>
  <c r="W682" i="15"/>
  <c r="W165" i="15"/>
  <c r="W2986" i="15"/>
  <c r="W2725" i="15"/>
  <c r="W2226" i="15"/>
  <c r="W1752" i="15"/>
  <c r="W1304" i="15"/>
  <c r="W817" i="15"/>
  <c r="W173" i="15"/>
  <c r="W687" i="15"/>
  <c r="T3053" i="15"/>
  <c r="T2829" i="15"/>
  <c r="T2341" i="15"/>
  <c r="T2118" i="15"/>
  <c r="T1774" i="15"/>
  <c r="T1237" i="15"/>
  <c r="T891" i="15"/>
  <c r="T278" i="15"/>
  <c r="T566" i="15"/>
  <c r="DO221" i="7"/>
  <c r="U3045" i="15" s="1"/>
  <c r="T3045" i="15"/>
  <c r="T2736" i="15"/>
  <c r="T2542" i="15"/>
  <c r="T1475" i="15"/>
  <c r="T1306" i="15"/>
  <c r="T824" i="15"/>
  <c r="T503" i="15"/>
  <c r="T185" i="15"/>
  <c r="DS58" i="7"/>
  <c r="X3231" i="15" s="1"/>
  <c r="W3231" i="15"/>
  <c r="W2621" i="15"/>
  <c r="W2244" i="15"/>
  <c r="W2014" i="15"/>
  <c r="W1694" i="15"/>
  <c r="W1281" i="15"/>
  <c r="W978" i="15"/>
  <c r="W665" i="15"/>
  <c r="W44" i="15"/>
  <c r="DO211" i="7"/>
  <c r="U3117" i="15" s="1"/>
  <c r="T3117" i="15"/>
  <c r="T2727" i="15"/>
  <c r="T2284" i="15"/>
  <c r="T1754" i="15"/>
  <c r="T1948" i="15"/>
  <c r="T1395" i="15"/>
  <c r="T818" i="15"/>
  <c r="T497" i="15"/>
  <c r="T175" i="15"/>
  <c r="DO128" i="7"/>
  <c r="U2426" i="15" s="1"/>
  <c r="T2944" i="15"/>
  <c r="T2667" i="15"/>
  <c r="T2426" i="15"/>
  <c r="T1724" i="15"/>
  <c r="T1902" i="15"/>
  <c r="T1113" i="15"/>
  <c r="T780" i="15"/>
  <c r="T464" i="15"/>
  <c r="T99" i="15"/>
  <c r="T3228" i="15"/>
  <c r="T2618" i="15"/>
  <c r="T2241" i="15"/>
  <c r="T2011" i="15"/>
  <c r="T1691" i="15"/>
  <c r="T975" i="15"/>
  <c r="T1158" i="15"/>
  <c r="T662" i="15"/>
  <c r="T41" i="15"/>
  <c r="W3230" i="15"/>
  <c r="W2620" i="15"/>
  <c r="W2243" i="15"/>
  <c r="W2013" i="15"/>
  <c r="W1693" i="15"/>
  <c r="W1159" i="15"/>
  <c r="W977" i="15"/>
  <c r="W664" i="15"/>
  <c r="W43" i="15"/>
  <c r="DS59" i="7"/>
  <c r="X3091" i="15" s="1"/>
  <c r="W3091" i="15"/>
  <c r="W2622" i="15"/>
  <c r="W2245" i="15"/>
  <c r="W2015" i="15"/>
  <c r="W1695" i="15"/>
  <c r="W979" i="15"/>
  <c r="W1110" i="15"/>
  <c r="W666" i="15"/>
  <c r="W45" i="15"/>
  <c r="DS77" i="7"/>
  <c r="X3097" i="15" s="1"/>
  <c r="W3097" i="15"/>
  <c r="W2634" i="15"/>
  <c r="W2257" i="15"/>
  <c r="W2027" i="15"/>
  <c r="W1707" i="15"/>
  <c r="W1438" i="15"/>
  <c r="W760" i="15"/>
  <c r="W57" i="15"/>
  <c r="W648" i="15"/>
  <c r="DS128" i="7"/>
  <c r="X2667" i="15" s="1"/>
  <c r="W2944" i="15"/>
  <c r="W2667" i="15"/>
  <c r="W2426" i="15"/>
  <c r="W1724" i="15"/>
  <c r="W1902" i="15"/>
  <c r="W1113" i="15"/>
  <c r="W780" i="15"/>
  <c r="W464" i="15"/>
  <c r="W99" i="15"/>
  <c r="T3242" i="15"/>
  <c r="T2701" i="15"/>
  <c r="T2538" i="15"/>
  <c r="T1744" i="15"/>
  <c r="T1926" i="15"/>
  <c r="T1376" i="15"/>
  <c r="T805" i="15"/>
  <c r="T489" i="15"/>
  <c r="T142" i="15"/>
  <c r="T2984" i="15"/>
  <c r="T2723" i="15"/>
  <c r="T2224" i="15"/>
  <c r="T1750" i="15"/>
  <c r="T1303" i="15"/>
  <c r="T815" i="15"/>
  <c r="T685" i="15"/>
  <c r="T171" i="15"/>
  <c r="W2987" i="15"/>
  <c r="W2726" i="15"/>
  <c r="W2227" i="15"/>
  <c r="W1753" i="15"/>
  <c r="W1305" i="15"/>
  <c r="W688" i="15"/>
  <c r="W174" i="15"/>
  <c r="DS361" i="7"/>
  <c r="X3051" i="15" s="1"/>
  <c r="W3051" i="15"/>
  <c r="W2827" i="15"/>
  <c r="W2493" i="15"/>
  <c r="W1974" i="15"/>
  <c r="W1772" i="15"/>
  <c r="W1235" i="15"/>
  <c r="W564" i="15"/>
  <c r="W890" i="15"/>
  <c r="W276" i="15"/>
  <c r="DS362" i="7"/>
  <c r="X3052" i="15" s="1"/>
  <c r="W3052" i="15"/>
  <c r="W2828" i="15"/>
  <c r="W2340" i="15"/>
  <c r="W2117" i="15"/>
  <c r="W1773" i="15"/>
  <c r="W1236" i="15"/>
  <c r="W1059" i="15"/>
  <c r="W565" i="15"/>
  <c r="W277" i="15"/>
  <c r="O3111" i="15"/>
  <c r="R3091" i="15"/>
  <c r="R2939" i="15"/>
  <c r="R3220" i="15"/>
  <c r="O3091" i="15"/>
  <c r="O2939" i="15"/>
  <c r="R3111" i="15"/>
  <c r="N3226" i="15"/>
  <c r="O2568" i="15"/>
  <c r="O3244" i="15"/>
  <c r="O2569" i="15"/>
  <c r="O3245" i="15"/>
  <c r="Q2603" i="15"/>
  <c r="Q3226" i="15"/>
  <c r="O2593" i="15"/>
  <c r="O3222" i="15"/>
  <c r="R2569" i="15"/>
  <c r="R3245" i="15"/>
  <c r="O2591" i="15"/>
  <c r="O3220" i="15"/>
  <c r="Q2608" i="15"/>
  <c r="Q3231" i="15"/>
  <c r="R2568" i="15"/>
  <c r="R3244" i="15"/>
  <c r="Q2604" i="15"/>
  <c r="Q3227" i="15"/>
  <c r="O2595" i="15"/>
  <c r="O3224" i="15"/>
  <c r="I2593" i="15"/>
  <c r="I3225" i="15"/>
  <c r="I2591" i="15"/>
  <c r="I3223" i="15"/>
  <c r="I2589" i="15"/>
  <c r="I3221" i="15"/>
  <c r="C2589" i="15"/>
  <c r="C3221" i="15"/>
  <c r="O2679" i="15"/>
  <c r="O3120" i="15"/>
  <c r="R2679" i="15"/>
  <c r="R3120" i="15"/>
  <c r="O2680" i="15"/>
  <c r="O3121" i="15"/>
  <c r="O2612" i="15"/>
  <c r="O3098" i="15"/>
  <c r="I2597" i="15"/>
  <c r="I3093" i="15"/>
  <c r="I2595" i="15"/>
  <c r="I3091" i="15"/>
  <c r="P3088" i="15"/>
  <c r="O3088" i="15"/>
  <c r="N3088" i="15"/>
  <c r="R2653" i="15"/>
  <c r="R3071" i="15"/>
  <c r="O2639" i="15"/>
  <c r="O2935" i="15"/>
  <c r="O2571" i="15"/>
  <c r="O2953" i="15"/>
  <c r="O2642" i="15"/>
  <c r="O2938" i="15"/>
  <c r="R2641" i="15"/>
  <c r="R2937" i="15"/>
  <c r="R2642" i="15"/>
  <c r="R2938" i="15"/>
  <c r="O2567" i="15"/>
  <c r="O2952" i="15"/>
  <c r="R2571" i="15"/>
  <c r="R2953" i="15"/>
  <c r="O2641" i="15"/>
  <c r="O2937" i="15"/>
  <c r="O2640" i="15"/>
  <c r="O2936" i="15"/>
  <c r="R2639" i="15"/>
  <c r="R2935" i="15"/>
  <c r="R2567" i="15"/>
  <c r="R2952" i="15"/>
  <c r="R2640" i="15"/>
  <c r="R2936" i="15"/>
  <c r="O2432" i="15"/>
  <c r="O2661" i="15"/>
  <c r="R2437" i="15"/>
  <c r="R2666" i="15"/>
  <c r="R2439" i="15"/>
  <c r="R2668" i="15"/>
  <c r="R2249" i="15"/>
  <c r="R2602" i="15"/>
  <c r="O2248" i="15"/>
  <c r="O2601" i="15"/>
  <c r="O2429" i="15"/>
  <c r="O2658" i="15"/>
  <c r="O2257" i="15"/>
  <c r="O2610" i="15"/>
  <c r="R2436" i="15"/>
  <c r="R2665" i="15"/>
  <c r="R2246" i="15"/>
  <c r="R2599" i="15"/>
  <c r="R2426" i="15"/>
  <c r="R2655" i="15"/>
  <c r="R2429" i="15"/>
  <c r="R2658" i="15"/>
  <c r="O2433" i="15"/>
  <c r="O2662" i="15"/>
  <c r="R2248" i="15"/>
  <c r="R2601" i="15"/>
  <c r="N2254" i="15"/>
  <c r="N2607" i="15"/>
  <c r="R2438" i="15"/>
  <c r="R2667" i="15"/>
  <c r="N2260" i="15"/>
  <c r="N2613" i="15"/>
  <c r="O2436" i="15"/>
  <c r="O2665" i="15"/>
  <c r="R2427" i="15"/>
  <c r="R2656" i="15"/>
  <c r="R2408" i="15"/>
  <c r="R2589" i="15"/>
  <c r="O2438" i="15"/>
  <c r="O2667" i="15"/>
  <c r="O2246" i="15"/>
  <c r="O2599" i="15"/>
  <c r="O2435" i="15"/>
  <c r="O2664" i="15"/>
  <c r="O2439" i="15"/>
  <c r="O2668" i="15"/>
  <c r="O2434" i="15"/>
  <c r="O2663" i="15"/>
  <c r="N2253" i="15"/>
  <c r="N2606" i="15"/>
  <c r="R2244" i="15"/>
  <c r="R2597" i="15"/>
  <c r="N2250" i="15"/>
  <c r="N2603" i="15"/>
  <c r="O2426" i="15"/>
  <c r="O2655" i="15"/>
  <c r="O2437" i="15"/>
  <c r="O2666" i="15"/>
  <c r="O2408" i="15"/>
  <c r="O2589" i="15"/>
  <c r="R2242" i="15"/>
  <c r="R2595" i="15"/>
  <c r="R2454" i="15"/>
  <c r="R2680" i="15"/>
  <c r="R2260" i="15"/>
  <c r="R2407" i="15"/>
  <c r="R2588" i="15"/>
  <c r="N2252" i="15"/>
  <c r="N2605" i="15"/>
  <c r="O2428" i="15"/>
  <c r="O2657" i="15"/>
  <c r="N2255" i="15"/>
  <c r="N2608" i="15"/>
  <c r="N2251" i="15"/>
  <c r="N2604" i="15"/>
  <c r="R2455" i="15"/>
  <c r="R2683" i="15"/>
  <c r="R2431" i="15"/>
  <c r="R2660" i="15"/>
  <c r="O2258" i="15"/>
  <c r="O2611" i="15"/>
  <c r="O2430" i="15"/>
  <c r="O2659" i="15"/>
  <c r="R2240" i="15"/>
  <c r="R2593" i="15"/>
  <c r="R2432" i="15"/>
  <c r="R2661" i="15"/>
  <c r="R2238" i="15"/>
  <c r="R2591" i="15"/>
  <c r="R2245" i="15"/>
  <c r="R2598" i="15"/>
  <c r="R2239" i="15"/>
  <c r="R2592" i="15"/>
  <c r="R2428" i="15"/>
  <c r="R2657" i="15"/>
  <c r="R2435" i="15"/>
  <c r="R2664" i="15"/>
  <c r="R2434" i="15"/>
  <c r="R2663" i="15"/>
  <c r="O2427" i="15"/>
  <c r="O2656" i="15"/>
  <c r="R2247" i="15"/>
  <c r="R2600" i="15"/>
  <c r="O2407" i="15"/>
  <c r="O2588" i="15"/>
  <c r="O2431" i="15"/>
  <c r="O2660" i="15"/>
  <c r="O2244" i="15"/>
  <c r="O2597" i="15"/>
  <c r="R2241" i="15"/>
  <c r="R2594" i="15"/>
  <c r="Q2260" i="15"/>
  <c r="Q2613" i="15"/>
  <c r="R2430" i="15"/>
  <c r="R2659" i="15"/>
  <c r="R2433" i="15"/>
  <c r="R2662" i="15"/>
  <c r="R2243" i="15"/>
  <c r="R2596" i="15"/>
  <c r="I2249" i="15"/>
  <c r="I2600" i="15"/>
  <c r="I2259" i="15"/>
  <c r="I2610" i="15"/>
  <c r="L2259" i="15"/>
  <c r="L2610" i="15"/>
  <c r="L2260" i="15"/>
  <c r="L2611" i="15"/>
  <c r="I2260" i="15"/>
  <c r="I2611" i="15"/>
  <c r="C2244" i="15"/>
  <c r="C2595" i="15"/>
  <c r="C2240" i="15"/>
  <c r="C2591" i="15"/>
  <c r="C2248" i="15"/>
  <c r="C2599" i="15"/>
  <c r="C2260" i="15"/>
  <c r="C2611" i="15"/>
  <c r="F2259" i="15"/>
  <c r="F2610" i="15"/>
  <c r="C2242" i="15"/>
  <c r="C2593" i="15"/>
  <c r="F2260" i="15"/>
  <c r="F2611" i="15"/>
  <c r="C2246" i="15"/>
  <c r="C2597" i="15"/>
  <c r="C2259" i="15"/>
  <c r="C2610" i="15"/>
  <c r="Q2584" i="15"/>
  <c r="S2584" i="15"/>
  <c r="R2584" i="15"/>
  <c r="P2584" i="15"/>
  <c r="N2584" i="15"/>
  <c r="O2584" i="15"/>
  <c r="R2451" i="15"/>
  <c r="R2570" i="15"/>
  <c r="R1867" i="15"/>
  <c r="R2421" i="15"/>
  <c r="R1869" i="15"/>
  <c r="R2423" i="15"/>
  <c r="O1867" i="15"/>
  <c r="O2421" i="15"/>
  <c r="R1880" i="15"/>
  <c r="R2450" i="15"/>
  <c r="R1878" i="15"/>
  <c r="R2448" i="15"/>
  <c r="O1878" i="15"/>
  <c r="O2448" i="15"/>
  <c r="O1866" i="15"/>
  <c r="O2420" i="15"/>
  <c r="O1884" i="15"/>
  <c r="O2454" i="15"/>
  <c r="R1879" i="15"/>
  <c r="R2449" i="15"/>
  <c r="O1882" i="15"/>
  <c r="O2452" i="15"/>
  <c r="O1869" i="15"/>
  <c r="O2423" i="15"/>
  <c r="R1868" i="15"/>
  <c r="R2422" i="15"/>
  <c r="R1883" i="15"/>
  <c r="R2453" i="15"/>
  <c r="R1882" i="15"/>
  <c r="R2452" i="15"/>
  <c r="O1879" i="15"/>
  <c r="O2449" i="15"/>
  <c r="R2043" i="15"/>
  <c r="R2424" i="15"/>
  <c r="O1868" i="15"/>
  <c r="O2422" i="15"/>
  <c r="O1880" i="15"/>
  <c r="O2450" i="15"/>
  <c r="O1883" i="15"/>
  <c r="O2453" i="15"/>
  <c r="R1866" i="15"/>
  <c r="R2420" i="15"/>
  <c r="O2030" i="15"/>
  <c r="O2259" i="15"/>
  <c r="Q2026" i="15"/>
  <c r="Q2255" i="15"/>
  <c r="Q2022" i="15"/>
  <c r="Q2251" i="15"/>
  <c r="O2013" i="15"/>
  <c r="O2242" i="15"/>
  <c r="Q2021" i="15"/>
  <c r="Q2250" i="15"/>
  <c r="O2009" i="15"/>
  <c r="O2238" i="15"/>
  <c r="O2011" i="15"/>
  <c r="O2240" i="15"/>
  <c r="I2011" i="15"/>
  <c r="I2240" i="15"/>
  <c r="I2017" i="15"/>
  <c r="I2246" i="15"/>
  <c r="I2013" i="15"/>
  <c r="I2242" i="15"/>
  <c r="I2009" i="15"/>
  <c r="I2238" i="15"/>
  <c r="I2015" i="15"/>
  <c r="I2244" i="15"/>
  <c r="C2009" i="15"/>
  <c r="C2238" i="15"/>
  <c r="O1514" i="15"/>
  <c r="O2050" i="15"/>
  <c r="O1695" i="15"/>
  <c r="O2015" i="15"/>
  <c r="R1692" i="15"/>
  <c r="R2012" i="15"/>
  <c r="Q1711" i="15"/>
  <c r="Q2031" i="15"/>
  <c r="R1513" i="15"/>
  <c r="R2049" i="15"/>
  <c r="R1516" i="15"/>
  <c r="R2052" i="15"/>
  <c r="R1694" i="15"/>
  <c r="R2014" i="15"/>
  <c r="N1706" i="15"/>
  <c r="N2026" i="15"/>
  <c r="O1513" i="15"/>
  <c r="O2049" i="15"/>
  <c r="N1703" i="15"/>
  <c r="N2023" i="15"/>
  <c r="R1511" i="15"/>
  <c r="R2047" i="15"/>
  <c r="O1521" i="15"/>
  <c r="O2057" i="15"/>
  <c r="O1515" i="15"/>
  <c r="O2051" i="15"/>
  <c r="O1517" i="15"/>
  <c r="O2053" i="15"/>
  <c r="R1512" i="15"/>
  <c r="R2048" i="15"/>
  <c r="N1702" i="15"/>
  <c r="N2022" i="15"/>
  <c r="O1709" i="15"/>
  <c r="O2029" i="15"/>
  <c r="R1689" i="15"/>
  <c r="R2009" i="15"/>
  <c r="R1699" i="15"/>
  <c r="R2019" i="15"/>
  <c r="R1691" i="15"/>
  <c r="R2011" i="15"/>
  <c r="R1690" i="15"/>
  <c r="R2010" i="15"/>
  <c r="O1697" i="15"/>
  <c r="O2017" i="15"/>
  <c r="O1516" i="15"/>
  <c r="O2052" i="15"/>
  <c r="O1699" i="15"/>
  <c r="O2019" i="15"/>
  <c r="O1512" i="15"/>
  <c r="O2048" i="15"/>
  <c r="O1708" i="15"/>
  <c r="O2028" i="15"/>
  <c r="R1519" i="15"/>
  <c r="R2055" i="15"/>
  <c r="R1697" i="15"/>
  <c r="R2017" i="15"/>
  <c r="R1509" i="15"/>
  <c r="R2045" i="15"/>
  <c r="R1514" i="15"/>
  <c r="R2050" i="15"/>
  <c r="R1520" i="15"/>
  <c r="R2056" i="15"/>
  <c r="R1522" i="15"/>
  <c r="R2058" i="15"/>
  <c r="N1705" i="15"/>
  <c r="N2025" i="15"/>
  <c r="R1521" i="15"/>
  <c r="R2057" i="15"/>
  <c r="N1711" i="15"/>
  <c r="N2031" i="15"/>
  <c r="O1519" i="15"/>
  <c r="O2055" i="15"/>
  <c r="R1510" i="15"/>
  <c r="R2046" i="15"/>
  <c r="R1696" i="15"/>
  <c r="R2016" i="15"/>
  <c r="R1518" i="15"/>
  <c r="R2054" i="15"/>
  <c r="R1700" i="15"/>
  <c r="R2020" i="15"/>
  <c r="N1704" i="15"/>
  <c r="N2024" i="15"/>
  <c r="O1511" i="15"/>
  <c r="O2047" i="15"/>
  <c r="R1517" i="15"/>
  <c r="R2053" i="15"/>
  <c r="O1510" i="15"/>
  <c r="O2046" i="15"/>
  <c r="O1518" i="15"/>
  <c r="O2054" i="15"/>
  <c r="R1698" i="15"/>
  <c r="R2018" i="15"/>
  <c r="R1695" i="15"/>
  <c r="R2015" i="15"/>
  <c r="O1522" i="15"/>
  <c r="O2058" i="15"/>
  <c r="R1531" i="15"/>
  <c r="R2067" i="15"/>
  <c r="R1515" i="15"/>
  <c r="R2051" i="15"/>
  <c r="N1701" i="15"/>
  <c r="N2021" i="15"/>
  <c r="O1509" i="15"/>
  <c r="O2045" i="15"/>
  <c r="O1520" i="15"/>
  <c r="O2056" i="15"/>
  <c r="R1693" i="15"/>
  <c r="R2013" i="15"/>
  <c r="I1712" i="15"/>
  <c r="I2031" i="15"/>
  <c r="I1711" i="15"/>
  <c r="I2030" i="15"/>
  <c r="I1701" i="15"/>
  <c r="I2020" i="15"/>
  <c r="L1712" i="15"/>
  <c r="L2031" i="15"/>
  <c r="L1711" i="15"/>
  <c r="L2030" i="15"/>
  <c r="C1712" i="15"/>
  <c r="C2031" i="15"/>
  <c r="F1711" i="15"/>
  <c r="F2030" i="15"/>
  <c r="C1694" i="15"/>
  <c r="C2013" i="15"/>
  <c r="C1698" i="15"/>
  <c r="C2017" i="15"/>
  <c r="C1711" i="15"/>
  <c r="C2030" i="15"/>
  <c r="F1712" i="15"/>
  <c r="F2031" i="15"/>
  <c r="C1692" i="15"/>
  <c r="C2011" i="15"/>
  <c r="C1700" i="15"/>
  <c r="C2019" i="15"/>
  <c r="C1696" i="15"/>
  <c r="C2015" i="15"/>
  <c r="O1687" i="15"/>
  <c r="O1847" i="15"/>
  <c r="R1747" i="15"/>
  <c r="R1881" i="15"/>
  <c r="R1688" i="15"/>
  <c r="R1848" i="15"/>
  <c r="O1688" i="15"/>
  <c r="O1848" i="15"/>
  <c r="R1750" i="15"/>
  <c r="R1884" i="15"/>
  <c r="R1687" i="15"/>
  <c r="R1847" i="15"/>
  <c r="O1155" i="15"/>
  <c r="O1733" i="15"/>
  <c r="O1175" i="15"/>
  <c r="O1746" i="15"/>
  <c r="O1124" i="15"/>
  <c r="O1749" i="15"/>
  <c r="R1153" i="15"/>
  <c r="R1731" i="15"/>
  <c r="R1177" i="15"/>
  <c r="R1748" i="15"/>
  <c r="R1175" i="15"/>
  <c r="R1746" i="15"/>
  <c r="R1124" i="15"/>
  <c r="R1749" i="15"/>
  <c r="O1178" i="15"/>
  <c r="O1750" i="15"/>
  <c r="O1277" i="15"/>
  <c r="O1710" i="15"/>
  <c r="O1174" i="15"/>
  <c r="O1745" i="15"/>
  <c r="Q1273" i="15"/>
  <c r="Q1706" i="15"/>
  <c r="R1173" i="15"/>
  <c r="R1744" i="15"/>
  <c r="R1174" i="15"/>
  <c r="R1745" i="15"/>
  <c r="R1154" i="15"/>
  <c r="R1732" i="15"/>
  <c r="Q1271" i="15"/>
  <c r="Q1702" i="15"/>
  <c r="R1156" i="15"/>
  <c r="R1734" i="15"/>
  <c r="O1154" i="15"/>
  <c r="O1732" i="15"/>
  <c r="O1148" i="15"/>
  <c r="O1693" i="15"/>
  <c r="O1173" i="15"/>
  <c r="O1744" i="15"/>
  <c r="O1153" i="15"/>
  <c r="O1731" i="15"/>
  <c r="Q1111" i="15"/>
  <c r="Q1701" i="15"/>
  <c r="O1177" i="15"/>
  <c r="O1748" i="15"/>
  <c r="O1156" i="15"/>
  <c r="O1734" i="15"/>
  <c r="O1109" i="15"/>
  <c r="O1689" i="15"/>
  <c r="O1147" i="15"/>
  <c r="O1691" i="15"/>
  <c r="R1155" i="15"/>
  <c r="R1733" i="15"/>
  <c r="I1266" i="15"/>
  <c r="I1694" i="15"/>
  <c r="I1268" i="15"/>
  <c r="I1698" i="15"/>
  <c r="I1264" i="15"/>
  <c r="I1690" i="15"/>
  <c r="I1267" i="15"/>
  <c r="I1696" i="15"/>
  <c r="I1265" i="15"/>
  <c r="I1692" i="15"/>
  <c r="C1264" i="15"/>
  <c r="C1690" i="15"/>
  <c r="R1441" i="15"/>
  <c r="R1507" i="15"/>
  <c r="R795" i="15"/>
  <c r="R1371" i="15"/>
  <c r="N985" i="15"/>
  <c r="N1273" i="15"/>
  <c r="R971" i="15"/>
  <c r="R1266" i="15"/>
  <c r="Q990" i="15"/>
  <c r="Q1278" i="15"/>
  <c r="R973" i="15"/>
  <c r="R1267" i="15"/>
  <c r="R975" i="15"/>
  <c r="R1268" i="15"/>
  <c r="O988" i="15"/>
  <c r="O1276" i="15"/>
  <c r="R979" i="15"/>
  <c r="R1270" i="15"/>
  <c r="O987" i="15"/>
  <c r="O1275" i="15"/>
  <c r="N990" i="15"/>
  <c r="N1278" i="15"/>
  <c r="N981" i="15"/>
  <c r="N1271" i="15"/>
  <c r="R969" i="15"/>
  <c r="R1265" i="15"/>
  <c r="N983" i="15"/>
  <c r="N1272" i="15"/>
  <c r="R977" i="15"/>
  <c r="R1269" i="15"/>
  <c r="L989" i="15"/>
  <c r="L1277" i="15"/>
  <c r="I989" i="15"/>
  <c r="I1277" i="15"/>
  <c r="L990" i="15"/>
  <c r="L1278" i="15"/>
  <c r="I990" i="15"/>
  <c r="I1278" i="15"/>
  <c r="C990" i="15"/>
  <c r="C1278" i="15"/>
  <c r="F989" i="15"/>
  <c r="F1277" i="15"/>
  <c r="C972" i="15"/>
  <c r="C1266" i="15"/>
  <c r="F990" i="15"/>
  <c r="F1278" i="15"/>
  <c r="C976" i="15"/>
  <c r="C1268" i="15"/>
  <c r="C989" i="15"/>
  <c r="C1277" i="15"/>
  <c r="C970" i="15"/>
  <c r="C1265" i="15"/>
  <c r="C974" i="15"/>
  <c r="C1267" i="15"/>
  <c r="C978" i="15"/>
  <c r="C1269" i="15"/>
  <c r="O773" i="15"/>
  <c r="O1160" i="15"/>
  <c r="O784" i="15"/>
  <c r="O1169" i="15"/>
  <c r="R972" i="15"/>
  <c r="R1148" i="15"/>
  <c r="R793" i="15"/>
  <c r="R1178" i="15"/>
  <c r="O777" i="15"/>
  <c r="O1163" i="15"/>
  <c r="R970" i="15"/>
  <c r="R1147" i="15"/>
  <c r="R779" i="15"/>
  <c r="R1164" i="15"/>
  <c r="O782" i="15"/>
  <c r="O1167" i="15"/>
  <c r="R777" i="15"/>
  <c r="R1163" i="15"/>
  <c r="R780" i="15"/>
  <c r="R1165" i="15"/>
  <c r="R781" i="15"/>
  <c r="R1166" i="15"/>
  <c r="N982" i="15"/>
  <c r="N1151" i="15"/>
  <c r="O785" i="15"/>
  <c r="O1170" i="15"/>
  <c r="O779" i="15"/>
  <c r="O1164" i="15"/>
  <c r="O781" i="15"/>
  <c r="O1166" i="15"/>
  <c r="R776" i="15"/>
  <c r="R1162" i="15"/>
  <c r="O774" i="15"/>
  <c r="O1161" i="15"/>
  <c r="O976" i="15"/>
  <c r="O1149" i="15"/>
  <c r="R784" i="15"/>
  <c r="R1169" i="15"/>
  <c r="R782" i="15"/>
  <c r="R1167" i="15"/>
  <c r="R786" i="15"/>
  <c r="R1171" i="15"/>
  <c r="O780" i="15"/>
  <c r="O1165" i="15"/>
  <c r="R978" i="15"/>
  <c r="R1150" i="15"/>
  <c r="O978" i="15"/>
  <c r="O1150" i="15"/>
  <c r="O776" i="15"/>
  <c r="O1162" i="15"/>
  <c r="R783" i="15"/>
  <c r="R1168" i="15"/>
  <c r="R976" i="15"/>
  <c r="R1149" i="15"/>
  <c r="R773" i="15"/>
  <c r="R1160" i="15"/>
  <c r="O786" i="15"/>
  <c r="O1171" i="15"/>
  <c r="N984" i="15"/>
  <c r="N1152" i="15"/>
  <c r="R785" i="15"/>
  <c r="R1170" i="15"/>
  <c r="R719" i="15"/>
  <c r="R1176" i="15"/>
  <c r="O783" i="15"/>
  <c r="O1168" i="15"/>
  <c r="R774" i="15"/>
  <c r="R1161" i="15"/>
  <c r="H1144" i="15"/>
  <c r="J1144" i="15"/>
  <c r="I1144" i="15"/>
  <c r="M1144" i="15"/>
  <c r="K1144" i="15"/>
  <c r="L1144" i="15"/>
  <c r="O778" i="15"/>
  <c r="O1122" i="15"/>
  <c r="O974" i="15"/>
  <c r="O1110" i="15"/>
  <c r="R775" i="15"/>
  <c r="R1121" i="15"/>
  <c r="R778" i="15"/>
  <c r="R1122" i="15"/>
  <c r="O775" i="15"/>
  <c r="O1121" i="15"/>
  <c r="R974" i="15"/>
  <c r="R1110" i="15"/>
  <c r="R968" i="15"/>
  <c r="R1109" i="15"/>
  <c r="N980" i="15"/>
  <c r="N1111" i="15"/>
  <c r="I979" i="15"/>
  <c r="I1111" i="15"/>
  <c r="Q677" i="15"/>
  <c r="Q985" i="15"/>
  <c r="Q673" i="15"/>
  <c r="Q981" i="15"/>
  <c r="O664" i="15"/>
  <c r="O972" i="15"/>
  <c r="O681" i="15"/>
  <c r="O989" i="15"/>
  <c r="Q672" i="15"/>
  <c r="Q980" i="15"/>
  <c r="O660" i="15"/>
  <c r="O968" i="15"/>
  <c r="O662" i="15"/>
  <c r="O970" i="15"/>
  <c r="I661" i="15"/>
  <c r="I968" i="15"/>
  <c r="I667" i="15"/>
  <c r="I974" i="15"/>
  <c r="I663" i="15"/>
  <c r="I970" i="15"/>
  <c r="I665" i="15"/>
  <c r="I972" i="15"/>
  <c r="I669" i="15"/>
  <c r="I976" i="15"/>
  <c r="C661" i="15"/>
  <c r="C968" i="15"/>
  <c r="R442" i="15"/>
  <c r="R771" i="15"/>
  <c r="O721" i="15"/>
  <c r="O792" i="15"/>
  <c r="R721" i="15"/>
  <c r="R792" i="15"/>
  <c r="O722" i="15"/>
  <c r="O793" i="15"/>
  <c r="F30" i="15"/>
  <c r="F682" i="15"/>
  <c r="C13" i="15"/>
  <c r="C665" i="15"/>
  <c r="F31" i="15"/>
  <c r="F683" i="15"/>
  <c r="C30" i="15"/>
  <c r="C682" i="15"/>
  <c r="C11" i="15"/>
  <c r="C663" i="15"/>
  <c r="C15" i="15"/>
  <c r="C667" i="15"/>
  <c r="C17" i="15"/>
  <c r="C669" i="15"/>
  <c r="C19" i="15"/>
  <c r="C671" i="15"/>
  <c r="C31" i="15"/>
  <c r="C683" i="15"/>
  <c r="L31" i="15"/>
  <c r="L683" i="15"/>
  <c r="I31" i="15"/>
  <c r="I683" i="15"/>
  <c r="I30" i="15"/>
  <c r="I682" i="15"/>
  <c r="I20" i="15"/>
  <c r="I672" i="15"/>
  <c r="L30" i="15"/>
  <c r="L682" i="15"/>
  <c r="R88" i="15"/>
  <c r="R702" i="15"/>
  <c r="R20" i="15"/>
  <c r="R669" i="15"/>
  <c r="O9" i="15"/>
  <c r="O659" i="15"/>
  <c r="R66" i="15"/>
  <c r="R690" i="15"/>
  <c r="N24" i="15"/>
  <c r="N673" i="15"/>
  <c r="R112" i="15"/>
  <c r="R720" i="15"/>
  <c r="O84" i="15"/>
  <c r="O698" i="15"/>
  <c r="R13" i="15"/>
  <c r="R662" i="15"/>
  <c r="R11" i="15"/>
  <c r="R660" i="15"/>
  <c r="O110" i="15"/>
  <c r="O718" i="15"/>
  <c r="O8" i="15"/>
  <c r="O658" i="15"/>
  <c r="O85" i="15"/>
  <c r="O699" i="15"/>
  <c r="O17" i="15"/>
  <c r="O666" i="15"/>
  <c r="R14" i="15"/>
  <c r="R663" i="15"/>
  <c r="Q33" i="15"/>
  <c r="Q682" i="15"/>
  <c r="R84" i="15"/>
  <c r="R698" i="15"/>
  <c r="R87" i="15"/>
  <c r="R701" i="15"/>
  <c r="R16" i="15"/>
  <c r="R665" i="15"/>
  <c r="R64" i="15"/>
  <c r="R688" i="15"/>
  <c r="O81" i="15"/>
  <c r="O695" i="15"/>
  <c r="O67" i="15"/>
  <c r="O691" i="15"/>
  <c r="R114" i="15"/>
  <c r="R722" i="15"/>
  <c r="O109" i="15"/>
  <c r="O717" i="15"/>
  <c r="R18" i="15"/>
  <c r="R667" i="15"/>
  <c r="O66" i="15"/>
  <c r="O690" i="15"/>
  <c r="N25" i="15"/>
  <c r="N674" i="15"/>
  <c r="R82" i="15"/>
  <c r="R696" i="15"/>
  <c r="O92" i="15"/>
  <c r="O706" i="15"/>
  <c r="O86" i="15"/>
  <c r="O700" i="15"/>
  <c r="O88" i="15"/>
  <c r="O702" i="15"/>
  <c r="R110" i="15"/>
  <c r="R718" i="15"/>
  <c r="R83" i="15"/>
  <c r="R697" i="15"/>
  <c r="O64" i="15"/>
  <c r="O688" i="15"/>
  <c r="R17" i="15"/>
  <c r="R666" i="15"/>
  <c r="O112" i="15"/>
  <c r="O720" i="15"/>
  <c r="R8" i="15"/>
  <c r="R658" i="15"/>
  <c r="N28" i="15"/>
  <c r="N677" i="15"/>
  <c r="R85" i="15"/>
  <c r="R699" i="15"/>
  <c r="O19" i="15"/>
  <c r="O668" i="15"/>
  <c r="R91" i="15"/>
  <c r="R705" i="15"/>
  <c r="R108" i="15"/>
  <c r="R716" i="15"/>
  <c r="R89" i="15"/>
  <c r="R703" i="15"/>
  <c r="R109" i="15"/>
  <c r="R717" i="15"/>
  <c r="R93" i="15"/>
  <c r="R707" i="15"/>
  <c r="O87" i="15"/>
  <c r="O701" i="15"/>
  <c r="R22" i="15"/>
  <c r="R671" i="15"/>
  <c r="R21" i="15"/>
  <c r="R670" i="15"/>
  <c r="R65" i="15"/>
  <c r="R689" i="15"/>
  <c r="N26" i="15"/>
  <c r="N675" i="15"/>
  <c r="O82" i="15"/>
  <c r="O696" i="15"/>
  <c r="O89" i="15"/>
  <c r="O703" i="15"/>
  <c r="O93" i="15"/>
  <c r="O707" i="15"/>
  <c r="N23" i="15"/>
  <c r="N672" i="15"/>
  <c r="O80" i="15"/>
  <c r="O694" i="15"/>
  <c r="O91" i="15"/>
  <c r="O705" i="15"/>
  <c r="R15" i="15"/>
  <c r="R664" i="15"/>
  <c r="O31" i="15"/>
  <c r="O680" i="15"/>
  <c r="R86" i="15"/>
  <c r="R700" i="15"/>
  <c r="R12" i="15"/>
  <c r="R661" i="15"/>
  <c r="O21" i="15"/>
  <c r="O670" i="15"/>
  <c r="R67" i="15"/>
  <c r="R691" i="15"/>
  <c r="O65" i="15"/>
  <c r="O689" i="15"/>
  <c r="O83" i="15"/>
  <c r="O697" i="15"/>
  <c r="O30" i="15"/>
  <c r="O679" i="15"/>
  <c r="R90" i="15"/>
  <c r="R704" i="15"/>
  <c r="R19" i="15"/>
  <c r="R668" i="15"/>
  <c r="R80" i="15"/>
  <c r="R694" i="15"/>
  <c r="N27" i="15"/>
  <c r="N676" i="15"/>
  <c r="R92" i="15"/>
  <c r="R706" i="15"/>
  <c r="O108" i="15"/>
  <c r="O716" i="15"/>
  <c r="N33" i="15"/>
  <c r="N682" i="15"/>
  <c r="O90" i="15"/>
  <c r="O704" i="15"/>
  <c r="R81" i="15"/>
  <c r="R695" i="15"/>
  <c r="R9" i="15"/>
  <c r="R659" i="15"/>
  <c r="R117" i="15"/>
  <c r="R450" i="15"/>
  <c r="R113" i="15"/>
  <c r="O114" i="15"/>
  <c r="DJ74" i="7"/>
  <c r="O32" i="15"/>
  <c r="DB36" i="7"/>
  <c r="O3221" i="15" s="1"/>
  <c r="O11" i="15"/>
  <c r="Q28" i="15"/>
  <c r="Q23" i="15"/>
  <c r="DB38" i="7"/>
  <c r="O3223" i="15" s="1"/>
  <c r="O13" i="15"/>
  <c r="DJ271" i="7"/>
  <c r="R78" i="15"/>
  <c r="O113" i="15"/>
  <c r="Q24" i="15"/>
  <c r="DB40" i="7"/>
  <c r="O3225" i="15" s="1"/>
  <c r="O15" i="15"/>
  <c r="DL407" i="7"/>
  <c r="R111" i="15"/>
  <c r="CW40" i="7"/>
  <c r="I13" i="15"/>
  <c r="CW36" i="7"/>
  <c r="I9" i="15"/>
  <c r="CW42" i="7"/>
  <c r="I15" i="15"/>
  <c r="CW38" i="7"/>
  <c r="I11" i="15"/>
  <c r="CW44" i="7"/>
  <c r="I17" i="15"/>
  <c r="CJ36" i="7"/>
  <c r="C9" i="15"/>
  <c r="DJ31" i="7"/>
  <c r="DJ224" i="7"/>
  <c r="DJ30" i="7"/>
  <c r="DJ223" i="7"/>
  <c r="DJ346" i="7"/>
  <c r="DJ222" i="7"/>
  <c r="DJ343" i="7"/>
  <c r="DL350" i="7"/>
  <c r="DJ413" i="7"/>
  <c r="DJ353" i="7"/>
  <c r="DJ347" i="7"/>
  <c r="DJ37" i="7"/>
  <c r="DD347" i="7"/>
  <c r="DJ35" i="7"/>
  <c r="DK347" i="7"/>
  <c r="DJ350" i="7"/>
  <c r="DK413" i="7"/>
  <c r="DL413" i="7"/>
  <c r="DL412" i="7"/>
  <c r="DL347" i="7"/>
  <c r="DJ344" i="7"/>
  <c r="DK412" i="7"/>
  <c r="DJ412" i="7"/>
  <c r="DJ340" i="7"/>
  <c r="DK350" i="7"/>
  <c r="DJ341" i="7"/>
  <c r="DJ39" i="7"/>
  <c r="DJ351" i="7"/>
  <c r="DJ406" i="7"/>
  <c r="DJ225" i="7"/>
  <c r="DJ405" i="7"/>
  <c r="DJ342" i="7"/>
  <c r="DJ352" i="7"/>
  <c r="DJ349" i="7"/>
  <c r="CW75" i="7"/>
  <c r="DJ345" i="7"/>
  <c r="DB75" i="7"/>
  <c r="DJ73" i="7"/>
  <c r="CJ76" i="7"/>
  <c r="CW76" i="7"/>
  <c r="DB44" i="7"/>
  <c r="DJ43" i="7"/>
  <c r="DJ408" i="7"/>
  <c r="DB42" i="7"/>
  <c r="DJ41" i="7"/>
  <c r="DJ404" i="7"/>
  <c r="CJ75" i="7"/>
  <c r="DB46" i="7"/>
  <c r="DJ45" i="7"/>
  <c r="DJ348" i="7"/>
  <c r="DB76" i="7"/>
  <c r="DJ72" i="7"/>
  <c r="DJ407" i="7"/>
  <c r="DL30" i="7"/>
  <c r="DK30" i="7"/>
  <c r="DK407" i="7"/>
  <c r="DB47" i="7"/>
  <c r="DK404" i="7"/>
  <c r="DL404" i="7"/>
  <c r="DL343" i="7"/>
  <c r="DK343" i="7"/>
  <c r="DK344" i="7"/>
  <c r="DL344" i="7"/>
  <c r="DL349" i="7"/>
  <c r="DK349" i="7"/>
  <c r="DL340" i="7"/>
  <c r="DK340" i="7"/>
  <c r="DL405" i="7"/>
  <c r="DK405" i="7"/>
  <c r="DD348" i="7"/>
  <c r="DK348" i="7"/>
  <c r="DL348" i="7"/>
  <c r="DK341" i="7"/>
  <c r="DL341" i="7"/>
  <c r="DK406" i="7"/>
  <c r="DL406" i="7"/>
  <c r="DL342" i="7"/>
  <c r="DK342" i="7"/>
  <c r="DL345" i="7"/>
  <c r="DK345" i="7"/>
  <c r="DL346" i="7"/>
  <c r="DK346" i="7"/>
  <c r="DL408" i="7"/>
  <c r="DK408" i="7"/>
  <c r="CL76" i="7"/>
  <c r="CK76" i="7"/>
  <c r="CL36" i="7"/>
  <c r="CK36" i="7"/>
  <c r="CL75" i="7"/>
  <c r="CK75" i="7"/>
  <c r="CX76" i="7"/>
  <c r="CY76" i="7"/>
  <c r="CY36" i="7"/>
  <c r="CX36" i="7"/>
  <c r="CX38" i="7"/>
  <c r="CY38" i="7"/>
  <c r="CX42" i="7"/>
  <c r="CY42" i="7"/>
  <c r="CY75" i="7"/>
  <c r="CX75" i="7"/>
  <c r="CY44" i="7"/>
  <c r="CX44" i="7"/>
  <c r="CY40" i="7"/>
  <c r="CX40" i="7"/>
  <c r="DL35" i="7"/>
  <c r="DK35" i="7"/>
  <c r="DL73" i="7"/>
  <c r="DK73" i="7"/>
  <c r="DK74" i="7"/>
  <c r="DL74" i="7"/>
  <c r="DK353" i="7"/>
  <c r="DL353" i="7"/>
  <c r="DK352" i="7"/>
  <c r="DL352" i="7"/>
  <c r="DL351" i="7"/>
  <c r="DK351" i="7"/>
  <c r="DK71" i="7"/>
  <c r="DL71" i="7"/>
  <c r="DL72" i="7"/>
  <c r="DK72" i="7"/>
  <c r="DO59" i="7"/>
  <c r="DR66" i="7"/>
  <c r="DS54" i="7"/>
  <c r="X3227" i="15" s="1"/>
  <c r="DO197" i="7"/>
  <c r="DS206" i="7"/>
  <c r="X2983" i="15" s="1"/>
  <c r="DO53" i="7"/>
  <c r="DS55" i="7"/>
  <c r="X3228" i="15" s="1"/>
  <c r="DR67" i="7"/>
  <c r="DO63" i="7"/>
  <c r="DO198" i="7"/>
  <c r="DS207" i="7"/>
  <c r="DO361" i="7"/>
  <c r="DN70" i="7"/>
  <c r="DS56" i="7"/>
  <c r="X3229" i="15" s="1"/>
  <c r="DR68" i="7"/>
  <c r="DS208" i="7"/>
  <c r="DO362" i="7"/>
  <c r="DS57" i="7"/>
  <c r="X3230" i="15" s="1"/>
  <c r="DR69" i="7"/>
  <c r="DS209" i="7"/>
  <c r="DO363" i="7"/>
  <c r="DO207" i="7"/>
  <c r="DO55" i="7"/>
  <c r="U3228" i="15" s="1"/>
  <c r="DN67" i="7"/>
  <c r="DO208" i="7"/>
  <c r="DO57" i="7"/>
  <c r="U3230" i="15" s="1"/>
  <c r="DO209" i="7"/>
  <c r="DR65" i="7"/>
  <c r="DS53" i="7"/>
  <c r="DO61" i="7"/>
  <c r="DN65" i="7"/>
  <c r="EA156" i="7"/>
  <c r="E392" i="7"/>
  <c r="E365" i="7"/>
  <c r="E366" i="7"/>
  <c r="E367" i="7"/>
  <c r="E368" i="7"/>
  <c r="E369" i="7"/>
  <c r="E370" i="7"/>
  <c r="E371" i="7"/>
  <c r="E372" i="7"/>
  <c r="E373" i="7"/>
  <c r="E374" i="7"/>
  <c r="E375" i="7"/>
  <c r="E376" i="7"/>
  <c r="E377" i="7"/>
  <c r="E378" i="7"/>
  <c r="E379" i="7"/>
  <c r="E380" i="7"/>
  <c r="E381" i="7"/>
  <c r="E382" i="7"/>
  <c r="E383" i="7"/>
  <c r="E384" i="7"/>
  <c r="E385" i="7"/>
  <c r="E386" i="7"/>
  <c r="E387" i="7"/>
  <c r="E364" i="7"/>
  <c r="E173" i="7"/>
  <c r="E411" i="7"/>
  <c r="E410" i="7"/>
  <c r="E172" i="7"/>
  <c r="Q413" i="7"/>
  <c r="Q412" i="7"/>
  <c r="Q393" i="7"/>
  <c r="Q381" i="7"/>
  <c r="Q380" i="7"/>
  <c r="Q373" i="7"/>
  <c r="Q372" i="7"/>
  <c r="Q365" i="7"/>
  <c r="Q364" i="7"/>
  <c r="Q360" i="7"/>
  <c r="Q270" i="7"/>
  <c r="Q220" i="7"/>
  <c r="Q219" i="7"/>
  <c r="Q218" i="7"/>
  <c r="Q217" i="7"/>
  <c r="Q198" i="7"/>
  <c r="Q197" i="7"/>
  <c r="Q196" i="7"/>
  <c r="Q195" i="7"/>
  <c r="Q194" i="7"/>
  <c r="Q164" i="7"/>
  <c r="Q165" i="7"/>
  <c r="Q163" i="7"/>
  <c r="Q162" i="7"/>
  <c r="Q132" i="7"/>
  <c r="Q130" i="7"/>
  <c r="Q128" i="7"/>
  <c r="EE221" i="7"/>
  <c r="EA221" i="7"/>
  <c r="R2032" i="15" l="1"/>
  <c r="R1278" i="15"/>
  <c r="R2031" i="15"/>
  <c r="R990" i="15"/>
  <c r="R1711" i="15"/>
  <c r="R682" i="15"/>
  <c r="R33" i="15"/>
  <c r="R2613" i="15"/>
  <c r="R2614" i="15"/>
  <c r="R1279" i="15"/>
  <c r="R683" i="15"/>
  <c r="R1712" i="15"/>
  <c r="R2261" i="15"/>
  <c r="R34" i="15"/>
  <c r="R991" i="15"/>
  <c r="DX211" i="7"/>
  <c r="X1699" i="15"/>
  <c r="X670" i="15"/>
  <c r="U503" i="15"/>
  <c r="X58" i="15"/>
  <c r="X671" i="15"/>
  <c r="DO131" i="7"/>
  <c r="U1905" i="15" s="1"/>
  <c r="X103" i="15"/>
  <c r="X3098" i="15"/>
  <c r="U1904" i="15"/>
  <c r="U466" i="15"/>
  <c r="X891" i="15"/>
  <c r="X278" i="15"/>
  <c r="X566" i="15"/>
  <c r="X277" i="15"/>
  <c r="DY130" i="7"/>
  <c r="X102" i="15"/>
  <c r="DX130" i="7"/>
  <c r="X1298" i="15"/>
  <c r="DW130" i="7"/>
  <c r="X783" i="15"/>
  <c r="X467" i="15"/>
  <c r="X466" i="15"/>
  <c r="X682" i="15"/>
  <c r="X1904" i="15"/>
  <c r="X101" i="15"/>
  <c r="X1114" i="15"/>
  <c r="X1726" i="15"/>
  <c r="DO129" i="7"/>
  <c r="U2945" i="15" s="1"/>
  <c r="X782" i="15"/>
  <c r="X2670" i="15"/>
  <c r="X1905" i="15"/>
  <c r="X2429" i="15"/>
  <c r="X1727" i="15"/>
  <c r="X1697" i="15"/>
  <c r="X165" i="15"/>
  <c r="U99" i="15"/>
  <c r="X812" i="15"/>
  <c r="X57" i="15"/>
  <c r="X2428" i="15"/>
  <c r="X668" i="15"/>
  <c r="X1160" i="15"/>
  <c r="X1395" i="15"/>
  <c r="X2727" i="15"/>
  <c r="X47" i="15"/>
  <c r="X981" i="15"/>
  <c r="X818" i="15"/>
  <c r="X2284" i="15"/>
  <c r="X497" i="15"/>
  <c r="X1948" i="15"/>
  <c r="X175" i="15"/>
  <c r="X1754" i="15"/>
  <c r="X2624" i="15"/>
  <c r="X2017" i="15"/>
  <c r="X1059" i="15"/>
  <c r="X2829" i="15"/>
  <c r="X2341" i="15"/>
  <c r="X565" i="15"/>
  <c r="X1237" i="15"/>
  <c r="X2118" i="15"/>
  <c r="X1236" i="15"/>
  <c r="X1774" i="15"/>
  <c r="X2668" i="15"/>
  <c r="DX132" i="7"/>
  <c r="U464" i="15"/>
  <c r="X2669" i="15"/>
  <c r="X648" i="15"/>
  <c r="X1123" i="15"/>
  <c r="X2946" i="15"/>
  <c r="X2117" i="15"/>
  <c r="X983" i="15"/>
  <c r="U1395" i="15"/>
  <c r="DY211" i="7"/>
  <c r="X2019" i="15"/>
  <c r="X1907" i="15"/>
  <c r="X2672" i="15"/>
  <c r="U497" i="15"/>
  <c r="X1365" i="15"/>
  <c r="U175" i="15"/>
  <c r="X2626" i="15"/>
  <c r="U818" i="15"/>
  <c r="X2340" i="15"/>
  <c r="U1115" i="15"/>
  <c r="U2671" i="15"/>
  <c r="U468" i="15"/>
  <c r="U1906" i="15"/>
  <c r="DO133" i="7"/>
  <c r="U1365" i="15" s="1"/>
  <c r="U103" i="15"/>
  <c r="U784" i="15"/>
  <c r="U1728" i="15"/>
  <c r="U2430" i="15"/>
  <c r="X1235" i="15"/>
  <c r="X890" i="15"/>
  <c r="X564" i="15"/>
  <c r="DW132" i="7"/>
  <c r="X276" i="15"/>
  <c r="U2948" i="15"/>
  <c r="DY132" i="7"/>
  <c r="X1974" i="15"/>
  <c r="X2827" i="15"/>
  <c r="X1772" i="15"/>
  <c r="X2493" i="15"/>
  <c r="X760" i="15"/>
  <c r="X2634" i="15"/>
  <c r="U2667" i="15"/>
  <c r="X1946" i="15"/>
  <c r="X2027" i="15"/>
  <c r="U1113" i="15"/>
  <c r="U1902" i="15"/>
  <c r="X780" i="15"/>
  <c r="U780" i="15"/>
  <c r="X2717" i="15"/>
  <c r="X1748" i="15"/>
  <c r="U2944" i="15"/>
  <c r="U1724" i="15"/>
  <c r="X1707" i="15"/>
  <c r="X2257" i="15"/>
  <c r="X3113" i="15"/>
  <c r="U760" i="15"/>
  <c r="X2247" i="15"/>
  <c r="X1438" i="15"/>
  <c r="X2020" i="15"/>
  <c r="U101" i="15"/>
  <c r="X50" i="15"/>
  <c r="X1115" i="15"/>
  <c r="U1726" i="15"/>
  <c r="X1700" i="15"/>
  <c r="X2258" i="15"/>
  <c r="X2635" i="15"/>
  <c r="X784" i="15"/>
  <c r="X2028" i="15"/>
  <c r="X2671" i="15"/>
  <c r="X468" i="15"/>
  <c r="U648" i="15"/>
  <c r="U1114" i="15"/>
  <c r="X2430" i="15"/>
  <c r="U57" i="15"/>
  <c r="U782" i="15"/>
  <c r="X1284" i="15"/>
  <c r="U2669" i="15"/>
  <c r="DY77" i="7"/>
  <c r="DW77" i="7"/>
  <c r="X984" i="15"/>
  <c r="X1708" i="15"/>
  <c r="X2627" i="15"/>
  <c r="U2428" i="15"/>
  <c r="X2948" i="15"/>
  <c r="DX77" i="7"/>
  <c r="X761" i="15"/>
  <c r="X1906" i="15"/>
  <c r="U2027" i="15"/>
  <c r="X2250" i="15"/>
  <c r="DO78" i="7"/>
  <c r="U3098" i="15" s="1"/>
  <c r="U1438" i="15"/>
  <c r="U1707" i="15"/>
  <c r="U2727" i="15"/>
  <c r="U2257" i="15"/>
  <c r="X2426" i="15"/>
  <c r="DX128" i="7"/>
  <c r="DW211" i="7"/>
  <c r="X465" i="15"/>
  <c r="X666" i="15"/>
  <c r="X781" i="15"/>
  <c r="U1948" i="15"/>
  <c r="X2427" i="15"/>
  <c r="X2431" i="15"/>
  <c r="X2249" i="15"/>
  <c r="X100" i="15"/>
  <c r="X45" i="15"/>
  <c r="X1161" i="15"/>
  <c r="X1283" i="15"/>
  <c r="U1754" i="15"/>
  <c r="X2621" i="15"/>
  <c r="X2245" i="15"/>
  <c r="U2736" i="15"/>
  <c r="X469" i="15"/>
  <c r="X49" i="15"/>
  <c r="X1110" i="15"/>
  <c r="X785" i="15"/>
  <c r="X1725" i="15"/>
  <c r="X1729" i="15"/>
  <c r="X1698" i="15"/>
  <c r="X104" i="15"/>
  <c r="X669" i="15"/>
  <c r="X979" i="15"/>
  <c r="X1695" i="15"/>
  <c r="X2944" i="15"/>
  <c r="X48" i="15"/>
  <c r="U185" i="15"/>
  <c r="DS70" i="7"/>
  <c r="X3237" i="15" s="1"/>
  <c r="X982" i="15"/>
  <c r="X1902" i="15"/>
  <c r="X1773" i="15"/>
  <c r="U1475" i="15"/>
  <c r="X2244" i="15"/>
  <c r="U2542" i="15"/>
  <c r="Z3040" i="15"/>
  <c r="Z2667" i="15"/>
  <c r="Z2535" i="15"/>
  <c r="Z1470" i="15"/>
  <c r="Z1280" i="15"/>
  <c r="Z795" i="15"/>
  <c r="Z474" i="15"/>
  <c r="Z105" i="15"/>
  <c r="DW128" i="7"/>
  <c r="X665" i="15"/>
  <c r="U1306" i="15"/>
  <c r="X1281" i="15"/>
  <c r="X1364" i="15"/>
  <c r="X1724" i="15"/>
  <c r="X2015" i="15"/>
  <c r="X2018" i="15"/>
  <c r="X2014" i="15"/>
  <c r="X2828" i="15"/>
  <c r="X2622" i="15"/>
  <c r="U2634" i="15"/>
  <c r="X44" i="15"/>
  <c r="U824" i="15"/>
  <c r="X978" i="15"/>
  <c r="X1694" i="15"/>
  <c r="AC3040" i="15"/>
  <c r="AC2667" i="15"/>
  <c r="AC2535" i="15"/>
  <c r="AC1470" i="15"/>
  <c r="AC1280" i="15"/>
  <c r="AC474" i="15"/>
  <c r="AC105" i="15"/>
  <c r="AC795" i="15"/>
  <c r="X2625" i="15"/>
  <c r="Z2944" i="15"/>
  <c r="Z2641" i="15"/>
  <c r="Z2424" i="15"/>
  <c r="Z1888" i="15"/>
  <c r="Z1524" i="15"/>
  <c r="Z605" i="15"/>
  <c r="Z77" i="15"/>
  <c r="DY128" i="7"/>
  <c r="X464" i="15"/>
  <c r="X1903" i="15"/>
  <c r="U2284" i="15"/>
  <c r="X2248" i="15"/>
  <c r="X99" i="15"/>
  <c r="X1113" i="15"/>
  <c r="X3226" i="15"/>
  <c r="U3226" i="15"/>
  <c r="T3232" i="15"/>
  <c r="O3226" i="15"/>
  <c r="DJ38" i="7"/>
  <c r="W2628" i="15"/>
  <c r="W3232" i="15"/>
  <c r="W2632" i="15"/>
  <c r="W3236" i="15"/>
  <c r="W2629" i="15"/>
  <c r="W3233" i="15"/>
  <c r="T2630" i="15"/>
  <c r="T3234" i="15"/>
  <c r="W2630" i="15"/>
  <c r="W3234" i="15"/>
  <c r="T2633" i="15"/>
  <c r="T3237" i="15"/>
  <c r="W2631" i="15"/>
  <c r="W3235" i="15"/>
  <c r="O2613" i="15"/>
  <c r="O3234" i="15"/>
  <c r="O2614" i="15"/>
  <c r="O3235" i="15"/>
  <c r="U2622" i="15"/>
  <c r="U3091" i="15"/>
  <c r="U2626" i="15"/>
  <c r="U3095" i="15"/>
  <c r="U2624" i="15"/>
  <c r="U3093" i="15"/>
  <c r="U2716" i="15"/>
  <c r="U3112" i="15"/>
  <c r="U2717" i="15"/>
  <c r="U3113" i="15"/>
  <c r="O2600" i="15"/>
  <c r="O3094" i="15"/>
  <c r="O2602" i="15"/>
  <c r="O3096" i="15"/>
  <c r="O2598" i="15"/>
  <c r="O3092" i="15"/>
  <c r="U2828" i="15"/>
  <c r="U3052" i="15"/>
  <c r="U2827" i="15"/>
  <c r="U3051" i="15"/>
  <c r="U2829" i="15"/>
  <c r="U3053" i="15"/>
  <c r="U2723" i="15"/>
  <c r="U2984" i="15"/>
  <c r="U2725" i="15"/>
  <c r="U2986" i="15"/>
  <c r="X2723" i="15"/>
  <c r="X2984" i="15"/>
  <c r="U2670" i="15"/>
  <c r="U2724" i="15"/>
  <c r="U2985" i="15"/>
  <c r="X2724" i="15"/>
  <c r="X2985" i="15"/>
  <c r="X2725" i="15"/>
  <c r="X2986" i="15"/>
  <c r="U2239" i="15"/>
  <c r="U2616" i="15"/>
  <c r="X2239" i="15"/>
  <c r="X2616" i="15"/>
  <c r="X2223" i="15"/>
  <c r="X2722" i="15"/>
  <c r="X2240" i="15"/>
  <c r="X2617" i="15"/>
  <c r="U2243" i="15"/>
  <c r="U2620" i="15"/>
  <c r="X2243" i="15"/>
  <c r="X2620" i="15"/>
  <c r="X2242" i="15"/>
  <c r="X2619" i="15"/>
  <c r="T2251" i="15"/>
  <c r="T2628" i="15"/>
  <c r="U2241" i="15"/>
  <c r="U2618" i="15"/>
  <c r="X2241" i="15"/>
  <c r="X2618" i="15"/>
  <c r="O2250" i="15"/>
  <c r="O2603" i="15"/>
  <c r="O2239" i="15"/>
  <c r="O2592" i="15"/>
  <c r="O2243" i="15"/>
  <c r="O2596" i="15"/>
  <c r="O2241" i="15"/>
  <c r="O2594" i="15"/>
  <c r="U1974" i="15"/>
  <c r="U2493" i="15"/>
  <c r="U1945" i="15"/>
  <c r="U2456" i="15"/>
  <c r="U1946" i="15"/>
  <c r="U2457" i="15"/>
  <c r="W2021" i="15"/>
  <c r="W2251" i="15"/>
  <c r="W2025" i="15"/>
  <c r="W2255" i="15"/>
  <c r="U2117" i="15"/>
  <c r="U2340" i="15"/>
  <c r="U2019" i="15"/>
  <c r="U2249" i="15"/>
  <c r="U2015" i="15"/>
  <c r="U2245" i="15"/>
  <c r="W2022" i="15"/>
  <c r="W2252" i="15"/>
  <c r="T2023" i="15"/>
  <c r="T2253" i="15"/>
  <c r="W2023" i="15"/>
  <c r="W2253" i="15"/>
  <c r="W2024" i="15"/>
  <c r="W2254" i="15"/>
  <c r="U2017" i="15"/>
  <c r="U2247" i="15"/>
  <c r="U2118" i="15"/>
  <c r="U2341" i="15"/>
  <c r="T2026" i="15"/>
  <c r="T2256" i="15"/>
  <c r="O2031" i="15"/>
  <c r="O2260" i="15"/>
  <c r="O2032" i="15"/>
  <c r="O2261" i="15"/>
  <c r="O2016" i="15"/>
  <c r="O2245" i="15"/>
  <c r="O2018" i="15"/>
  <c r="O2247" i="15"/>
  <c r="O2020" i="15"/>
  <c r="O2249" i="15"/>
  <c r="X1751" i="15"/>
  <c r="X2225" i="15"/>
  <c r="U1750" i="15"/>
  <c r="U2224" i="15"/>
  <c r="X1752" i="15"/>
  <c r="X2226" i="15"/>
  <c r="U1752" i="15"/>
  <c r="U2226" i="15"/>
  <c r="X1750" i="15"/>
  <c r="X2224" i="15"/>
  <c r="U1751" i="15"/>
  <c r="U2225" i="15"/>
  <c r="U1691" i="15"/>
  <c r="U2011" i="15"/>
  <c r="X1691" i="15"/>
  <c r="X2011" i="15"/>
  <c r="X1692" i="15"/>
  <c r="X2012" i="15"/>
  <c r="U1689" i="15"/>
  <c r="U2009" i="15"/>
  <c r="X1689" i="15"/>
  <c r="X2009" i="15"/>
  <c r="X1690" i="15"/>
  <c r="X2010" i="15"/>
  <c r="U1693" i="15"/>
  <c r="U2013" i="15"/>
  <c r="X1693" i="15"/>
  <c r="X2013" i="15"/>
  <c r="T1701" i="15"/>
  <c r="T2021" i="15"/>
  <c r="O1701" i="15"/>
  <c r="O2021" i="15"/>
  <c r="O1690" i="15"/>
  <c r="O2010" i="15"/>
  <c r="O1694" i="15"/>
  <c r="O2014" i="15"/>
  <c r="O1692" i="15"/>
  <c r="O2012" i="15"/>
  <c r="W1286" i="15"/>
  <c r="W1704" i="15"/>
  <c r="U1161" i="15"/>
  <c r="U1699" i="15"/>
  <c r="U1160" i="15"/>
  <c r="U1697" i="15"/>
  <c r="T1162" i="15"/>
  <c r="T1703" i="15"/>
  <c r="U1237" i="15"/>
  <c r="U1774" i="15"/>
  <c r="T1287" i="15"/>
  <c r="T1706" i="15"/>
  <c r="X1186" i="15"/>
  <c r="X1749" i="15"/>
  <c r="W1111" i="15"/>
  <c r="W1701" i="15"/>
  <c r="U1235" i="15"/>
  <c r="U1772" i="15"/>
  <c r="U1122" i="15"/>
  <c r="U1747" i="15"/>
  <c r="U1110" i="15"/>
  <c r="U1695" i="15"/>
  <c r="W1163" i="15"/>
  <c r="W1705" i="15"/>
  <c r="U1236" i="15"/>
  <c r="U1773" i="15"/>
  <c r="W1162" i="15"/>
  <c r="W1703" i="15"/>
  <c r="U1123" i="15"/>
  <c r="U1748" i="15"/>
  <c r="W1285" i="15"/>
  <c r="W1702" i="15"/>
  <c r="O1269" i="15"/>
  <c r="O1698" i="15"/>
  <c r="O1279" i="15"/>
  <c r="O1712" i="15"/>
  <c r="O1270" i="15"/>
  <c r="O1700" i="15"/>
  <c r="O1278" i="15"/>
  <c r="O1711" i="15"/>
  <c r="O1268" i="15"/>
  <c r="O1696" i="15"/>
  <c r="U815" i="15"/>
  <c r="U1303" i="15"/>
  <c r="X976" i="15"/>
  <c r="X1280" i="15"/>
  <c r="X817" i="15"/>
  <c r="X1304" i="15"/>
  <c r="U817" i="15"/>
  <c r="U1304" i="15"/>
  <c r="X815" i="15"/>
  <c r="X1303" i="15"/>
  <c r="X974" i="15"/>
  <c r="X1279" i="15"/>
  <c r="O969" i="15"/>
  <c r="O1265" i="15"/>
  <c r="O973" i="15"/>
  <c r="O1267" i="15"/>
  <c r="O971" i="15"/>
  <c r="O1266" i="15"/>
  <c r="U977" i="15"/>
  <c r="U1159" i="15"/>
  <c r="X977" i="15"/>
  <c r="X1159" i="15"/>
  <c r="X816" i="15"/>
  <c r="X1187" i="15"/>
  <c r="U816" i="15"/>
  <c r="U1187" i="15"/>
  <c r="U975" i="15"/>
  <c r="U1158" i="15"/>
  <c r="X975" i="15"/>
  <c r="X1158" i="15"/>
  <c r="X973" i="15"/>
  <c r="X1109" i="15"/>
  <c r="U973" i="15"/>
  <c r="U1109" i="15"/>
  <c r="T985" i="15"/>
  <c r="T1111" i="15"/>
  <c r="O980" i="15"/>
  <c r="O1111" i="15"/>
  <c r="W675" i="15"/>
  <c r="W988" i="15"/>
  <c r="U666" i="15"/>
  <c r="U979" i="15"/>
  <c r="W674" i="15"/>
  <c r="W987" i="15"/>
  <c r="U668" i="15"/>
  <c r="U981" i="15"/>
  <c r="T677" i="15"/>
  <c r="T990" i="15"/>
  <c r="W672" i="15"/>
  <c r="W985" i="15"/>
  <c r="U670" i="15"/>
  <c r="U983" i="15"/>
  <c r="W676" i="15"/>
  <c r="W989" i="15"/>
  <c r="U565" i="15"/>
  <c r="U1059" i="15"/>
  <c r="T674" i="15"/>
  <c r="T987" i="15"/>
  <c r="W673" i="15"/>
  <c r="W986" i="15"/>
  <c r="O682" i="15"/>
  <c r="O990" i="15"/>
  <c r="O671" i="15"/>
  <c r="O979" i="15"/>
  <c r="O667" i="15"/>
  <c r="O975" i="15"/>
  <c r="O683" i="15"/>
  <c r="O991" i="15"/>
  <c r="O669" i="15"/>
  <c r="O977" i="15"/>
  <c r="U681" i="15"/>
  <c r="U811" i="15"/>
  <c r="U564" i="15"/>
  <c r="U890" i="15"/>
  <c r="U682" i="15"/>
  <c r="U812" i="15"/>
  <c r="U566" i="15"/>
  <c r="U891" i="15"/>
  <c r="X684" i="15"/>
  <c r="X814" i="15"/>
  <c r="O16" i="15"/>
  <c r="O665" i="15"/>
  <c r="O14" i="15"/>
  <c r="O663" i="15"/>
  <c r="O23" i="15"/>
  <c r="O672" i="15"/>
  <c r="O12" i="15"/>
  <c r="O661" i="15"/>
  <c r="U41" i="15"/>
  <c r="U662" i="15"/>
  <c r="U171" i="15"/>
  <c r="U685" i="15"/>
  <c r="X39" i="15"/>
  <c r="X660" i="15"/>
  <c r="X173" i="15"/>
  <c r="X687" i="15"/>
  <c r="X171" i="15"/>
  <c r="X685" i="15"/>
  <c r="U43" i="15"/>
  <c r="U664" i="15"/>
  <c r="X43" i="15"/>
  <c r="X664" i="15"/>
  <c r="U39" i="15"/>
  <c r="U660" i="15"/>
  <c r="X40" i="15"/>
  <c r="X661" i="15"/>
  <c r="U172" i="15"/>
  <c r="U686" i="15"/>
  <c r="X42" i="15"/>
  <c r="X663" i="15"/>
  <c r="T51" i="15"/>
  <c r="T672" i="15"/>
  <c r="U173" i="15"/>
  <c r="U687" i="15"/>
  <c r="X172" i="15"/>
  <c r="X686" i="15"/>
  <c r="X41" i="15"/>
  <c r="X662" i="15"/>
  <c r="DW198" i="7"/>
  <c r="U165" i="15"/>
  <c r="DW59" i="7"/>
  <c r="U45" i="15"/>
  <c r="DW61" i="7"/>
  <c r="U47" i="15"/>
  <c r="W52" i="15"/>
  <c r="DW362" i="7"/>
  <c r="U277" i="15"/>
  <c r="W53" i="15"/>
  <c r="W54" i="15"/>
  <c r="DW363" i="7"/>
  <c r="U278" i="15"/>
  <c r="T56" i="15"/>
  <c r="DW206" i="7"/>
  <c r="X170" i="15"/>
  <c r="DW197" i="7"/>
  <c r="U164" i="15"/>
  <c r="DW63" i="7"/>
  <c r="U49" i="15"/>
  <c r="T53" i="15"/>
  <c r="W51" i="15"/>
  <c r="DW361" i="7"/>
  <c r="U276" i="15"/>
  <c r="W55" i="15"/>
  <c r="DJ40" i="7"/>
  <c r="DJ44" i="7"/>
  <c r="O20" i="15"/>
  <c r="DJ75" i="7"/>
  <c r="O33" i="15"/>
  <c r="DJ42" i="7"/>
  <c r="O18" i="15"/>
  <c r="DJ76" i="7"/>
  <c r="O34" i="15"/>
  <c r="DJ46" i="7"/>
  <c r="O22" i="15"/>
  <c r="DJ36" i="7"/>
  <c r="DW209" i="7"/>
  <c r="DW55" i="7"/>
  <c r="DW207" i="7"/>
  <c r="DW57" i="7"/>
  <c r="DW53" i="7"/>
  <c r="DW208" i="7"/>
  <c r="DL75" i="7"/>
  <c r="DK75" i="7"/>
  <c r="DK36" i="7"/>
  <c r="DL36" i="7"/>
  <c r="DL76" i="7"/>
  <c r="DK76" i="7"/>
  <c r="DX362" i="7"/>
  <c r="DY362" i="7"/>
  <c r="DY361" i="7"/>
  <c r="DX361" i="7"/>
  <c r="DO58" i="7"/>
  <c r="DX57" i="7"/>
  <c r="DY57" i="7"/>
  <c r="DX207" i="7"/>
  <c r="DY207" i="7"/>
  <c r="DX363" i="7"/>
  <c r="DY363" i="7"/>
  <c r="DO62" i="7"/>
  <c r="DX61" i="7"/>
  <c r="DY61" i="7"/>
  <c r="DX208" i="7"/>
  <c r="DY208" i="7"/>
  <c r="DX198" i="7"/>
  <c r="DY198" i="7"/>
  <c r="DX206" i="7"/>
  <c r="DY206" i="7"/>
  <c r="DO60" i="7"/>
  <c r="U3092" i="15" s="1"/>
  <c r="DX59" i="7"/>
  <c r="DY59" i="7"/>
  <c r="DO56" i="7"/>
  <c r="DX55" i="7"/>
  <c r="DY55" i="7"/>
  <c r="DO64" i="7"/>
  <c r="DX63" i="7"/>
  <c r="DY63" i="7"/>
  <c r="DX197" i="7"/>
  <c r="DY197" i="7"/>
  <c r="DX53" i="7"/>
  <c r="DY53" i="7"/>
  <c r="DX209" i="7"/>
  <c r="DY209" i="7"/>
  <c r="DO54" i="7"/>
  <c r="DO65" i="7"/>
  <c r="EA216" i="7"/>
  <c r="EA99" i="7"/>
  <c r="EB99" i="7"/>
  <c r="EE99" i="7"/>
  <c r="EF99" i="7"/>
  <c r="EA104" i="7"/>
  <c r="EE104" i="7"/>
  <c r="EA105" i="7"/>
  <c r="EE105" i="7"/>
  <c r="EA106" i="7"/>
  <c r="EE106" i="7"/>
  <c r="EA107" i="7"/>
  <c r="EE107" i="7"/>
  <c r="EA108" i="7"/>
  <c r="EE108" i="7"/>
  <c r="EA109" i="7"/>
  <c r="EE109" i="7"/>
  <c r="EA110" i="7"/>
  <c r="EE110" i="7"/>
  <c r="EA111" i="7"/>
  <c r="EE111" i="7"/>
  <c r="EB135" i="7"/>
  <c r="EF135" i="7"/>
  <c r="EB136" i="7"/>
  <c r="EF136" i="7"/>
  <c r="EB137" i="7"/>
  <c r="EF137" i="7"/>
  <c r="EB138" i="7"/>
  <c r="EF138" i="7"/>
  <c r="EB139" i="7"/>
  <c r="EF139" i="7"/>
  <c r="EB140" i="7"/>
  <c r="EF140" i="7"/>
  <c r="EB141" i="7"/>
  <c r="EF141" i="7"/>
  <c r="EB142" i="7"/>
  <c r="EF142" i="7"/>
  <c r="EB143" i="7"/>
  <c r="EF143" i="7"/>
  <c r="EB144" i="7"/>
  <c r="EF144" i="7"/>
  <c r="EA145" i="7"/>
  <c r="EE145" i="7"/>
  <c r="EA146" i="7"/>
  <c r="EE146" i="7"/>
  <c r="ED148" i="7"/>
  <c r="EA149" i="7"/>
  <c r="Z1886" i="15" s="1"/>
  <c r="EB149" i="7"/>
  <c r="ED150" i="7"/>
  <c r="ED151" i="7"/>
  <c r="EA152" i="7"/>
  <c r="EB152" i="7"/>
  <c r="EE152" i="7"/>
  <c r="EF152" i="7"/>
  <c r="EA153" i="7"/>
  <c r="EB153" i="7"/>
  <c r="EE153" i="7"/>
  <c r="EF153" i="7"/>
  <c r="EA154" i="7"/>
  <c r="EB154" i="7"/>
  <c r="EE154" i="7"/>
  <c r="EA155" i="7"/>
  <c r="EB155" i="7"/>
  <c r="EB156" i="7"/>
  <c r="EE156" i="7"/>
  <c r="EF156" i="7"/>
  <c r="EA157" i="7"/>
  <c r="EB157" i="7"/>
  <c r="EE157" i="7"/>
  <c r="EF157" i="7"/>
  <c r="EE98" i="7"/>
  <c r="EA98" i="7"/>
  <c r="DY131" i="7" l="1"/>
  <c r="U2429" i="15"/>
  <c r="DX131" i="7"/>
  <c r="U102" i="15"/>
  <c r="U467" i="15"/>
  <c r="DW131" i="7"/>
  <c r="U1298" i="15"/>
  <c r="U2947" i="15"/>
  <c r="U783" i="15"/>
  <c r="U1727" i="15"/>
  <c r="U465" i="15"/>
  <c r="DY129" i="7"/>
  <c r="DX129" i="7"/>
  <c r="U1364" i="15"/>
  <c r="U2668" i="15"/>
  <c r="DW129" i="7"/>
  <c r="U1903" i="15"/>
  <c r="U781" i="15"/>
  <c r="U100" i="15"/>
  <c r="U1725" i="15"/>
  <c r="U2427" i="15"/>
  <c r="U1729" i="15"/>
  <c r="DW133" i="7"/>
  <c r="U785" i="15"/>
  <c r="DY133" i="7"/>
  <c r="DX133" i="7"/>
  <c r="U104" i="15"/>
  <c r="U2431" i="15"/>
  <c r="U1907" i="15"/>
  <c r="U2949" i="15"/>
  <c r="U2672" i="15"/>
  <c r="U469" i="15"/>
  <c r="U2258" i="15"/>
  <c r="X2633" i="15"/>
  <c r="U2028" i="15"/>
  <c r="X2256" i="15"/>
  <c r="X1287" i="15"/>
  <c r="U1708" i="15"/>
  <c r="X990" i="15"/>
  <c r="U761" i="15"/>
  <c r="DY78" i="7"/>
  <c r="DX78" i="7"/>
  <c r="X2026" i="15"/>
  <c r="X1706" i="15"/>
  <c r="DW78" i="7"/>
  <c r="X677" i="15"/>
  <c r="U2635" i="15"/>
  <c r="U58" i="15"/>
  <c r="X56" i="15"/>
  <c r="U649" i="15"/>
  <c r="AD3036" i="15"/>
  <c r="AD2527" i="15"/>
  <c r="AD2022" i="15"/>
  <c r="AD1466" i="15"/>
  <c r="AD989" i="15"/>
  <c r="AD380" i="15"/>
  <c r="AD75" i="15"/>
  <c r="Z2609" i="15"/>
  <c r="Z2415" i="15"/>
  <c r="Z1700" i="15"/>
  <c r="Z1861" i="15"/>
  <c r="Z1272" i="15"/>
  <c r="Z437" i="15"/>
  <c r="Z762" i="15"/>
  <c r="Z29" i="15"/>
  <c r="AC3036" i="15"/>
  <c r="AC2527" i="15"/>
  <c r="AC2022" i="15"/>
  <c r="AC1466" i="15"/>
  <c r="AC989" i="15"/>
  <c r="AC380" i="15"/>
  <c r="AC75" i="15"/>
  <c r="AC2608" i="15"/>
  <c r="AC2414" i="15"/>
  <c r="AC1699" i="15"/>
  <c r="AC1860" i="15"/>
  <c r="AC1361" i="15"/>
  <c r="AC761" i="15"/>
  <c r="AC436" i="15"/>
  <c r="AC28" i="15"/>
  <c r="Z3029" i="15"/>
  <c r="Z2605" i="15"/>
  <c r="Z2524" i="15"/>
  <c r="Z1857" i="15"/>
  <c r="Z1269" i="15"/>
  <c r="Z1463" i="15"/>
  <c r="Z759" i="15"/>
  <c r="Z433" i="15"/>
  <c r="Z25" i="15"/>
  <c r="AA2944" i="15"/>
  <c r="AA2641" i="15"/>
  <c r="AA2424" i="15"/>
  <c r="AA1888" i="15"/>
  <c r="AA1524" i="15"/>
  <c r="AA605" i="15"/>
  <c r="AA77" i="15"/>
  <c r="AA3036" i="15"/>
  <c r="AA2527" i="15"/>
  <c r="AA2022" i="15"/>
  <c r="AA1466" i="15"/>
  <c r="AA989" i="15"/>
  <c r="AA75" i="15"/>
  <c r="AA380" i="15"/>
  <c r="AA2943" i="15"/>
  <c r="AA2638" i="15"/>
  <c r="AA2257" i="15"/>
  <c r="AA1721" i="15"/>
  <c r="AA1278" i="15"/>
  <c r="AA782" i="15"/>
  <c r="AA458" i="15"/>
  <c r="AA66" i="15"/>
  <c r="AA2939" i="15"/>
  <c r="AA2634" i="15"/>
  <c r="AA2253" i="15"/>
  <c r="AA1717" i="15"/>
  <c r="AA1371" i="15"/>
  <c r="AA778" i="15"/>
  <c r="AA454" i="15"/>
  <c r="AA62" i="15"/>
  <c r="AA2935" i="15"/>
  <c r="AA2630" i="15"/>
  <c r="AA2249" i="15"/>
  <c r="AA1713" i="15"/>
  <c r="AA1367" i="15"/>
  <c r="AA774" i="15"/>
  <c r="AA450" i="15"/>
  <c r="AA58" i="15"/>
  <c r="Z2612" i="15"/>
  <c r="Z2245" i="15"/>
  <c r="Z2015" i="15"/>
  <c r="Z1703" i="15"/>
  <c r="Z1363" i="15"/>
  <c r="Z764" i="15"/>
  <c r="Z440" i="15"/>
  <c r="Z32" i="15"/>
  <c r="Z2608" i="15"/>
  <c r="Z2414" i="15"/>
  <c r="Z1699" i="15"/>
  <c r="Z1860" i="15"/>
  <c r="Z1361" i="15"/>
  <c r="Z761" i="15"/>
  <c r="Z436" i="15"/>
  <c r="Z28" i="15"/>
  <c r="Z2613" i="15"/>
  <c r="Z2246" i="15"/>
  <c r="Z2016" i="15"/>
  <c r="Z1704" i="15"/>
  <c r="Z1274" i="15"/>
  <c r="Z441" i="15"/>
  <c r="Z33" i="15"/>
  <c r="Z765" i="15"/>
  <c r="AD2939" i="15"/>
  <c r="AD2634" i="15"/>
  <c r="AD2253" i="15"/>
  <c r="AD1717" i="15"/>
  <c r="AD1371" i="15"/>
  <c r="AD778" i="15"/>
  <c r="AD454" i="15"/>
  <c r="AD62" i="15"/>
  <c r="Z3104" i="15"/>
  <c r="Z2662" i="15"/>
  <c r="Z2266" i="15"/>
  <c r="Z2027" i="15"/>
  <c r="Z1541" i="15"/>
  <c r="Z1441" i="15"/>
  <c r="Z792" i="15"/>
  <c r="Z471" i="15"/>
  <c r="Z100" i="15"/>
  <c r="AC3029" i="15"/>
  <c r="AC2605" i="15"/>
  <c r="AC2524" i="15"/>
  <c r="AC1857" i="15"/>
  <c r="AC1269" i="15"/>
  <c r="AC1463" i="15"/>
  <c r="AC759" i="15"/>
  <c r="AC433" i="15"/>
  <c r="AC25" i="15"/>
  <c r="Z3036" i="15"/>
  <c r="Z2527" i="15"/>
  <c r="Z2022" i="15"/>
  <c r="Z1466" i="15"/>
  <c r="Z989" i="15"/>
  <c r="Z380" i="15"/>
  <c r="Z75" i="15"/>
  <c r="AD2942" i="15"/>
  <c r="AD2637" i="15"/>
  <c r="AD2256" i="15"/>
  <c r="AD1720" i="15"/>
  <c r="AD1277" i="15"/>
  <c r="AD781" i="15"/>
  <c r="AD457" i="15"/>
  <c r="AD65" i="15"/>
  <c r="AD2938" i="15"/>
  <c r="AD2633" i="15"/>
  <c r="AD2252" i="15"/>
  <c r="AD1716" i="15"/>
  <c r="AD1370" i="15"/>
  <c r="AD777" i="15"/>
  <c r="AD61" i="15"/>
  <c r="AD453" i="15"/>
  <c r="AD2934" i="15"/>
  <c r="AD2629" i="15"/>
  <c r="AD2248" i="15"/>
  <c r="AD1712" i="15"/>
  <c r="AD1276" i="15"/>
  <c r="AD773" i="15"/>
  <c r="AD449" i="15"/>
  <c r="AD57" i="15"/>
  <c r="AC2611" i="15"/>
  <c r="AC2244" i="15"/>
  <c r="AC2014" i="15"/>
  <c r="AC1702" i="15"/>
  <c r="AC1273" i="15"/>
  <c r="AC763" i="15"/>
  <c r="AC439" i="15"/>
  <c r="AC31" i="15"/>
  <c r="AC2607" i="15"/>
  <c r="AC2413" i="15"/>
  <c r="AC1698" i="15"/>
  <c r="AC1859" i="15"/>
  <c r="AC1271" i="15"/>
  <c r="AC760" i="15"/>
  <c r="AC27" i="15"/>
  <c r="AC435" i="15"/>
  <c r="AD2935" i="15"/>
  <c r="AD2630" i="15"/>
  <c r="AD2249" i="15"/>
  <c r="AD1713" i="15"/>
  <c r="AD1367" i="15"/>
  <c r="AD774" i="15"/>
  <c r="AD450" i="15"/>
  <c r="AD58" i="15"/>
  <c r="AD2945" i="15"/>
  <c r="AD2642" i="15"/>
  <c r="AD2425" i="15"/>
  <c r="AD1889" i="15"/>
  <c r="AD1525" i="15"/>
  <c r="AD606" i="15"/>
  <c r="AD78" i="15"/>
  <c r="AD3035" i="15"/>
  <c r="AD2526" i="15"/>
  <c r="AD2021" i="15"/>
  <c r="AD1465" i="15"/>
  <c r="AD784" i="15"/>
  <c r="AD462" i="15"/>
  <c r="AD74" i="15"/>
  <c r="AA2942" i="15"/>
  <c r="AA2637" i="15"/>
  <c r="AA2256" i="15"/>
  <c r="AA1720" i="15"/>
  <c r="AA1277" i="15"/>
  <c r="AA781" i="15"/>
  <c r="AA457" i="15"/>
  <c r="AA65" i="15"/>
  <c r="AA2938" i="15"/>
  <c r="AA2633" i="15"/>
  <c r="AA2252" i="15"/>
  <c r="AA1716" i="15"/>
  <c r="AA777" i="15"/>
  <c r="AA1370" i="15"/>
  <c r="AA61" i="15"/>
  <c r="AA453" i="15"/>
  <c r="AA2934" i="15"/>
  <c r="AA2629" i="15"/>
  <c r="AA2248" i="15"/>
  <c r="AA1712" i="15"/>
  <c r="AA1276" i="15"/>
  <c r="AA449" i="15"/>
  <c r="AA773" i="15"/>
  <c r="AA57" i="15"/>
  <c r="Z2611" i="15"/>
  <c r="Z2244" i="15"/>
  <c r="Z2014" i="15"/>
  <c r="Z1702" i="15"/>
  <c r="Z1273" i="15"/>
  <c r="Z763" i="15"/>
  <c r="Z439" i="15"/>
  <c r="Z31" i="15"/>
  <c r="Z2607" i="15"/>
  <c r="Z2413" i="15"/>
  <c r="Z1698" i="15"/>
  <c r="Z1859" i="15"/>
  <c r="Z1271" i="15"/>
  <c r="Z760" i="15"/>
  <c r="Z435" i="15"/>
  <c r="Z27" i="15"/>
  <c r="Z3031" i="15"/>
  <c r="Z2639" i="15"/>
  <c r="Z2258" i="15"/>
  <c r="Z2018" i="15"/>
  <c r="Z1522" i="15"/>
  <c r="Z1372" i="15"/>
  <c r="Z783" i="15"/>
  <c r="Z459" i="15"/>
  <c r="Z67" i="15"/>
  <c r="AD2943" i="15"/>
  <c r="AD2638" i="15"/>
  <c r="AD2257" i="15"/>
  <c r="AD1721" i="15"/>
  <c r="AD1278" i="15"/>
  <c r="AD782" i="15"/>
  <c r="AD458" i="15"/>
  <c r="AD66" i="15"/>
  <c r="AC3032" i="15"/>
  <c r="AC2640" i="15"/>
  <c r="AC2259" i="15"/>
  <c r="AC2019" i="15"/>
  <c r="AC1523" i="15"/>
  <c r="AC647" i="15"/>
  <c r="AC988" i="15"/>
  <c r="AC68" i="15"/>
  <c r="AC2610" i="15"/>
  <c r="AC2416" i="15"/>
  <c r="AC1701" i="15"/>
  <c r="AC1862" i="15"/>
  <c r="AC1362" i="15"/>
  <c r="AC971" i="15"/>
  <c r="AC438" i="15"/>
  <c r="AC30" i="15"/>
  <c r="AA2936" i="15"/>
  <c r="AA2631" i="15"/>
  <c r="AA2250" i="15"/>
  <c r="AA1714" i="15"/>
  <c r="AA1368" i="15"/>
  <c r="AA775" i="15"/>
  <c r="AA451" i="15"/>
  <c r="AA59" i="15"/>
  <c r="AD3030" i="15"/>
  <c r="AD2606" i="15"/>
  <c r="AD2525" i="15"/>
  <c r="AD1858" i="15"/>
  <c r="AD1464" i="15"/>
  <c r="AD1270" i="15"/>
  <c r="AD970" i="15"/>
  <c r="AD434" i="15"/>
  <c r="AD26" i="15"/>
  <c r="Z3032" i="15"/>
  <c r="Z2640" i="15"/>
  <c r="Z2259" i="15"/>
  <c r="Z2019" i="15"/>
  <c r="Z1523" i="15"/>
  <c r="Z988" i="15"/>
  <c r="Z647" i="15"/>
  <c r="Z68" i="15"/>
  <c r="EJ142" i="7"/>
  <c r="AA2941" i="15"/>
  <c r="AA2636" i="15"/>
  <c r="AA2255" i="15"/>
  <c r="AA1719" i="15"/>
  <c r="AA1439" i="15"/>
  <c r="AA780" i="15"/>
  <c r="AA456" i="15"/>
  <c r="AA64" i="15"/>
  <c r="EJ138" i="7"/>
  <c r="AA2632" i="15"/>
  <c r="AA2937" i="15"/>
  <c r="AA2251" i="15"/>
  <c r="AA1715" i="15"/>
  <c r="AA1369" i="15"/>
  <c r="AA776" i="15"/>
  <c r="AA452" i="15"/>
  <c r="AA60" i="15"/>
  <c r="Z2614" i="15"/>
  <c r="Z2247" i="15"/>
  <c r="Z2017" i="15"/>
  <c r="Z1705" i="15"/>
  <c r="Z1364" i="15"/>
  <c r="Z766" i="15"/>
  <c r="Z442" i="15"/>
  <c r="Z34" i="15"/>
  <c r="Z2610" i="15"/>
  <c r="Z2416" i="15"/>
  <c r="Z1701" i="15"/>
  <c r="Z1862" i="15"/>
  <c r="Z1362" i="15"/>
  <c r="Z438" i="15"/>
  <c r="Z971" i="15"/>
  <c r="Z30" i="15"/>
  <c r="AC3030" i="15"/>
  <c r="AC2606" i="15"/>
  <c r="AC2525" i="15"/>
  <c r="AC1858" i="15"/>
  <c r="AC1270" i="15"/>
  <c r="AC1464" i="15"/>
  <c r="AC970" i="15"/>
  <c r="AC434" i="15"/>
  <c r="AC26" i="15"/>
  <c r="AD2944" i="15"/>
  <c r="AD2641" i="15"/>
  <c r="AD2424" i="15"/>
  <c r="AD1888" i="15"/>
  <c r="AD1524" i="15"/>
  <c r="AD605" i="15"/>
  <c r="AD77" i="15"/>
  <c r="AA2940" i="15"/>
  <c r="AA2635" i="15"/>
  <c r="AA2254" i="15"/>
  <c r="AA1718" i="15"/>
  <c r="AA1438" i="15"/>
  <c r="AA779" i="15"/>
  <c r="AA455" i="15"/>
  <c r="AA63" i="15"/>
  <c r="AC2944" i="15"/>
  <c r="AC2641" i="15"/>
  <c r="AC2424" i="15"/>
  <c r="AC1888" i="15"/>
  <c r="AC1524" i="15"/>
  <c r="AC605" i="15"/>
  <c r="AC77" i="15"/>
  <c r="AC2612" i="15"/>
  <c r="AC2245" i="15"/>
  <c r="AC2015" i="15"/>
  <c r="AC1703" i="15"/>
  <c r="AC1363" i="15"/>
  <c r="AC764" i="15"/>
  <c r="AC440" i="15"/>
  <c r="AC32" i="15"/>
  <c r="AC2945" i="15"/>
  <c r="AC2642" i="15"/>
  <c r="AC2425" i="15"/>
  <c r="AC1889" i="15"/>
  <c r="AC1525" i="15"/>
  <c r="AC606" i="15"/>
  <c r="AC78" i="15"/>
  <c r="AC3037" i="15"/>
  <c r="AC2528" i="15"/>
  <c r="AC2023" i="15"/>
  <c r="AC1467" i="15"/>
  <c r="AC990" i="15"/>
  <c r="AC381" i="15"/>
  <c r="AC76" i="15"/>
  <c r="AC3035" i="15"/>
  <c r="AC2526" i="15"/>
  <c r="AC2021" i="15"/>
  <c r="AC1465" i="15"/>
  <c r="AC784" i="15"/>
  <c r="AC462" i="15"/>
  <c r="AC74" i="15"/>
  <c r="AD2941" i="15"/>
  <c r="AD2636" i="15"/>
  <c r="AD2255" i="15"/>
  <c r="AD1719" i="15"/>
  <c r="AD1439" i="15"/>
  <c r="AD780" i="15"/>
  <c r="AD456" i="15"/>
  <c r="AD64" i="15"/>
  <c r="AD2632" i="15"/>
  <c r="AD2937" i="15"/>
  <c r="AD2251" i="15"/>
  <c r="AD1715" i="15"/>
  <c r="AD1369" i="15"/>
  <c r="AD776" i="15"/>
  <c r="AD452" i="15"/>
  <c r="AD60" i="15"/>
  <c r="AC2614" i="15"/>
  <c r="AC2247" i="15"/>
  <c r="AC2017" i="15"/>
  <c r="AC1705" i="15"/>
  <c r="AC1364" i="15"/>
  <c r="AC766" i="15"/>
  <c r="AC442" i="15"/>
  <c r="AC34" i="15"/>
  <c r="EJ157" i="7"/>
  <c r="AA2945" i="15"/>
  <c r="AA2642" i="15"/>
  <c r="AA2425" i="15"/>
  <c r="AA1889" i="15"/>
  <c r="AA1525" i="15"/>
  <c r="AA606" i="15"/>
  <c r="AA78" i="15"/>
  <c r="AA3037" i="15"/>
  <c r="AA2528" i="15"/>
  <c r="AA2023" i="15"/>
  <c r="AA1467" i="15"/>
  <c r="AA990" i="15"/>
  <c r="AA381" i="15"/>
  <c r="AA76" i="15"/>
  <c r="EJ152" i="7"/>
  <c r="AA3035" i="15"/>
  <c r="AA2526" i="15"/>
  <c r="AA2021" i="15"/>
  <c r="AA1465" i="15"/>
  <c r="AA784" i="15"/>
  <c r="AA462" i="15"/>
  <c r="AA74" i="15"/>
  <c r="Z2945" i="15"/>
  <c r="Z2642" i="15"/>
  <c r="Z2425" i="15"/>
  <c r="Z1889" i="15"/>
  <c r="Z1525" i="15"/>
  <c r="Z606" i="15"/>
  <c r="Z78" i="15"/>
  <c r="Z3037" i="15"/>
  <c r="Z2528" i="15"/>
  <c r="Z2023" i="15"/>
  <c r="Z1467" i="15"/>
  <c r="Z990" i="15"/>
  <c r="Z381" i="15"/>
  <c r="Z76" i="15"/>
  <c r="Z3035" i="15"/>
  <c r="Z2526" i="15"/>
  <c r="Z2021" i="15"/>
  <c r="Z1465" i="15"/>
  <c r="Z784" i="15"/>
  <c r="Z462" i="15"/>
  <c r="Z74" i="15"/>
  <c r="AC3031" i="15"/>
  <c r="AC2639" i="15"/>
  <c r="AC2258" i="15"/>
  <c r="AC2018" i="15"/>
  <c r="AC1522" i="15"/>
  <c r="AC1372" i="15"/>
  <c r="AC783" i="15"/>
  <c r="AC459" i="15"/>
  <c r="AC67" i="15"/>
  <c r="AD2940" i="15"/>
  <c r="AD2635" i="15"/>
  <c r="AD2254" i="15"/>
  <c r="AD1718" i="15"/>
  <c r="AD1438" i="15"/>
  <c r="AD779" i="15"/>
  <c r="AD455" i="15"/>
  <c r="AD63" i="15"/>
  <c r="AD2936" i="15"/>
  <c r="AD2631" i="15"/>
  <c r="AD2250" i="15"/>
  <c r="AD1714" i="15"/>
  <c r="AD1368" i="15"/>
  <c r="AD775" i="15"/>
  <c r="AD451" i="15"/>
  <c r="AD59" i="15"/>
  <c r="AC2613" i="15"/>
  <c r="AC2246" i="15"/>
  <c r="AC2016" i="15"/>
  <c r="AC1704" i="15"/>
  <c r="AC1274" i="15"/>
  <c r="AC765" i="15"/>
  <c r="AC441" i="15"/>
  <c r="AC33" i="15"/>
  <c r="AC2609" i="15"/>
  <c r="AC2415" i="15"/>
  <c r="AC1700" i="15"/>
  <c r="AC1861" i="15"/>
  <c r="AC762" i="15"/>
  <c r="AC437" i="15"/>
  <c r="AC1272" i="15"/>
  <c r="AC29" i="15"/>
  <c r="AA3030" i="15"/>
  <c r="AA2606" i="15"/>
  <c r="AA2525" i="15"/>
  <c r="AA1858" i="15"/>
  <c r="AA1464" i="15"/>
  <c r="AA1270" i="15"/>
  <c r="AA970" i="15"/>
  <c r="AA434" i="15"/>
  <c r="AA26" i="15"/>
  <c r="Z3030" i="15"/>
  <c r="Z2606" i="15"/>
  <c r="Z2525" i="15"/>
  <c r="Z1858" i="15"/>
  <c r="Z1464" i="15"/>
  <c r="Z970" i="15"/>
  <c r="Z1270" i="15"/>
  <c r="Z26" i="15"/>
  <c r="Z434" i="15"/>
  <c r="U3232" i="15"/>
  <c r="U2619" i="15"/>
  <c r="U3229" i="15"/>
  <c r="U2621" i="15"/>
  <c r="U3231" i="15"/>
  <c r="U2617" i="15"/>
  <c r="U3227" i="15"/>
  <c r="U2627" i="15"/>
  <c r="U3096" i="15"/>
  <c r="U2625" i="15"/>
  <c r="U3094" i="15"/>
  <c r="U2251" i="15"/>
  <c r="U2628" i="15"/>
  <c r="U2246" i="15"/>
  <c r="U2623" i="15"/>
  <c r="U2014" i="15"/>
  <c r="U2244" i="15"/>
  <c r="U2018" i="15"/>
  <c r="U2248" i="15"/>
  <c r="U2010" i="15"/>
  <c r="U2240" i="15"/>
  <c r="U2020" i="15"/>
  <c r="U2250" i="15"/>
  <c r="U2012" i="15"/>
  <c r="U2242" i="15"/>
  <c r="U1701" i="15"/>
  <c r="U2021" i="15"/>
  <c r="U1696" i="15"/>
  <c r="U2016" i="15"/>
  <c r="AA398" i="15"/>
  <c r="AA1886" i="15"/>
  <c r="U1280" i="15"/>
  <c r="U1692" i="15"/>
  <c r="U1281" i="15"/>
  <c r="U1694" i="15"/>
  <c r="U1283" i="15"/>
  <c r="U1698" i="15"/>
  <c r="U1279" i="15"/>
  <c r="U1690" i="15"/>
  <c r="U1284" i="15"/>
  <c r="U1700" i="15"/>
  <c r="U980" i="15"/>
  <c r="U1282" i="15"/>
  <c r="U985" i="15"/>
  <c r="U1111" i="15"/>
  <c r="U661" i="15"/>
  <c r="U974" i="15"/>
  <c r="U671" i="15"/>
  <c r="U984" i="15"/>
  <c r="U665" i="15"/>
  <c r="U978" i="15"/>
  <c r="U663" i="15"/>
  <c r="U976" i="15"/>
  <c r="U669" i="15"/>
  <c r="U982" i="15"/>
  <c r="U46" i="15"/>
  <c r="U667" i="15"/>
  <c r="U51" i="15"/>
  <c r="U672" i="15"/>
  <c r="Z71" i="15"/>
  <c r="Z398" i="15"/>
  <c r="EJ149" i="7"/>
  <c r="AA71" i="15"/>
  <c r="DW64" i="7"/>
  <c r="U50" i="15"/>
  <c r="DW62" i="7"/>
  <c r="U48" i="15"/>
  <c r="DW56" i="7"/>
  <c r="U42" i="15"/>
  <c r="DW54" i="7"/>
  <c r="U40" i="15"/>
  <c r="DW58" i="7"/>
  <c r="U44" i="15"/>
  <c r="EJ99" i="7"/>
  <c r="EJ141" i="7"/>
  <c r="EJ137" i="7"/>
  <c r="EJ156" i="7"/>
  <c r="EJ153" i="7"/>
  <c r="EJ144" i="7"/>
  <c r="EJ140" i="7"/>
  <c r="EJ136" i="7"/>
  <c r="EJ143" i="7"/>
  <c r="EJ139" i="7"/>
  <c r="EJ135" i="7"/>
  <c r="EL157" i="7"/>
  <c r="EK157" i="7"/>
  <c r="ED142" i="7"/>
  <c r="EK142" i="7"/>
  <c r="EL142" i="7"/>
  <c r="EK99" i="7"/>
  <c r="EL99" i="7"/>
  <c r="ED138" i="7"/>
  <c r="EK138" i="7"/>
  <c r="EL138" i="7"/>
  <c r="ED141" i="7"/>
  <c r="EL141" i="7"/>
  <c r="EK141" i="7"/>
  <c r="EL156" i="7"/>
  <c r="EK156" i="7"/>
  <c r="EK153" i="7"/>
  <c r="EL153" i="7"/>
  <c r="ED144" i="7"/>
  <c r="EL144" i="7"/>
  <c r="EK144" i="7"/>
  <c r="ED140" i="7"/>
  <c r="EL140" i="7"/>
  <c r="EK140" i="7"/>
  <c r="ED136" i="7"/>
  <c r="EL136" i="7"/>
  <c r="EK136" i="7"/>
  <c r="EL152" i="7"/>
  <c r="EK152" i="7"/>
  <c r="ED137" i="7"/>
  <c r="EL137" i="7"/>
  <c r="EK137" i="7"/>
  <c r="ED143" i="7"/>
  <c r="EL143" i="7"/>
  <c r="EK143" i="7"/>
  <c r="ED139" i="7"/>
  <c r="EL139" i="7"/>
  <c r="EK139" i="7"/>
  <c r="ED135" i="7"/>
  <c r="EL135" i="7"/>
  <c r="EK135" i="7"/>
  <c r="EK149" i="7"/>
  <c r="EL149" i="7"/>
  <c r="DO70" i="7"/>
  <c r="U3237" i="15" s="1"/>
  <c r="DX62" i="7"/>
  <c r="DY62" i="7"/>
  <c r="DX56" i="7"/>
  <c r="DY56" i="7"/>
  <c r="DX54" i="7"/>
  <c r="DY54" i="7"/>
  <c r="DX64" i="7"/>
  <c r="DY64" i="7"/>
  <c r="DX58" i="7"/>
  <c r="DY58" i="7"/>
  <c r="ED156" i="7"/>
  <c r="ED153" i="7"/>
  <c r="ED155" i="7"/>
  <c r="ED154" i="7"/>
  <c r="ED152" i="7"/>
  <c r="ED157" i="7"/>
  <c r="EI98" i="7"/>
  <c r="ED99" i="7"/>
  <c r="ED149" i="7"/>
  <c r="Z1461" i="15" l="1"/>
  <c r="AA1461" i="15"/>
  <c r="AB1461" i="15"/>
  <c r="AB414" i="15"/>
  <c r="Z414" i="15"/>
  <c r="AA414" i="15"/>
  <c r="U2256" i="15"/>
  <c r="U2633" i="15"/>
  <c r="U1706" i="15"/>
  <c r="U2026" i="15"/>
  <c r="U990" i="15"/>
  <c r="U1287" i="15"/>
  <c r="U56" i="15"/>
  <c r="U677" i="15"/>
  <c r="DX70" i="7"/>
  <c r="DW70" i="7"/>
  <c r="DY70" i="7"/>
  <c r="DO98" i="7"/>
  <c r="DO99" i="7"/>
  <c r="U3033" i="15" l="1"/>
  <c r="U2646" i="15"/>
  <c r="U2528" i="15"/>
  <c r="U1880" i="15"/>
  <c r="U1467" i="15"/>
  <c r="U768" i="15"/>
  <c r="U1292" i="15"/>
  <c r="U450" i="15"/>
  <c r="U69" i="15"/>
  <c r="U3034" i="15"/>
  <c r="U2647" i="15"/>
  <c r="U2529" i="15"/>
  <c r="U1881" i="15"/>
  <c r="U1468" i="15"/>
  <c r="U1293" i="15"/>
  <c r="U992" i="15"/>
  <c r="U451" i="15"/>
  <c r="U70" i="15"/>
  <c r="DN134" i="7"/>
  <c r="DO134" i="7"/>
  <c r="DO103" i="7"/>
  <c r="DR166" i="7"/>
  <c r="DN166" i="7"/>
  <c r="DR111" i="7"/>
  <c r="DR110" i="7"/>
  <c r="DR109" i="7"/>
  <c r="DR108" i="7"/>
  <c r="DR107" i="7"/>
  <c r="DR106" i="7"/>
  <c r="DR105" i="7"/>
  <c r="DR104" i="7"/>
  <c r="DN111" i="7"/>
  <c r="DN110" i="7"/>
  <c r="DN109" i="7"/>
  <c r="DN108" i="7"/>
  <c r="DN107" i="7"/>
  <c r="DN106" i="7"/>
  <c r="DN105" i="7"/>
  <c r="DN104" i="7"/>
  <c r="EB411" i="7"/>
  <c r="EE166" i="7"/>
  <c r="EA166" i="7"/>
  <c r="EF87" i="7"/>
  <c r="EF86" i="7"/>
  <c r="EF85" i="7"/>
  <c r="EF84" i="7"/>
  <c r="EE87" i="7"/>
  <c r="EE86" i="7"/>
  <c r="EE85" i="7"/>
  <c r="EE84" i="7"/>
  <c r="EB87" i="7"/>
  <c r="EB86" i="7"/>
  <c r="EB85" i="7"/>
  <c r="EA87" i="7"/>
  <c r="EA86" i="7"/>
  <c r="EA85" i="7"/>
  <c r="EA84" i="7"/>
  <c r="EB84" i="7"/>
  <c r="U3109" i="15" l="1"/>
  <c r="U2566" i="15"/>
  <c r="U2421" i="15"/>
  <c r="U2034" i="15"/>
  <c r="U1531" i="15"/>
  <c r="U1167" i="15"/>
  <c r="U772" i="15"/>
  <c r="U74" i="15"/>
  <c r="U455" i="15"/>
  <c r="AD3090" i="15"/>
  <c r="AD2593" i="15"/>
  <c r="AD2407" i="15"/>
  <c r="AD1851" i="15"/>
  <c r="AD1687" i="15"/>
  <c r="AD1267" i="15"/>
  <c r="AD750" i="15"/>
  <c r="AD422" i="15"/>
  <c r="AD13" i="15"/>
  <c r="AD3091" i="15"/>
  <c r="AD2594" i="15"/>
  <c r="AD2408" i="15"/>
  <c r="AD1688" i="15"/>
  <c r="AD1852" i="15"/>
  <c r="AD1352" i="15"/>
  <c r="AD967" i="15"/>
  <c r="AD423" i="15"/>
  <c r="AD14" i="15"/>
  <c r="W2653" i="15"/>
  <c r="W2424" i="15"/>
  <c r="W1718" i="15"/>
  <c r="W1884" i="15"/>
  <c r="W1295" i="15"/>
  <c r="W775" i="15"/>
  <c r="W77" i="15"/>
  <c r="W458" i="15"/>
  <c r="EJ86" i="7"/>
  <c r="AA3092" i="15"/>
  <c r="AA2595" i="15"/>
  <c r="AA2238" i="15"/>
  <c r="AA2008" i="15"/>
  <c r="AA1689" i="15"/>
  <c r="AA1268" i="15"/>
  <c r="AA751" i="15"/>
  <c r="AA424" i="15"/>
  <c r="AA15" i="15"/>
  <c r="AD3092" i="15"/>
  <c r="AD2595" i="15"/>
  <c r="AD2238" i="15"/>
  <c r="AD2008" i="15"/>
  <c r="AD1689" i="15"/>
  <c r="AD1268" i="15"/>
  <c r="AD751" i="15"/>
  <c r="AD424" i="15"/>
  <c r="AD15" i="15"/>
  <c r="T2654" i="15"/>
  <c r="T2425" i="15"/>
  <c r="T1719" i="15"/>
  <c r="T1885" i="15"/>
  <c r="T1361" i="15"/>
  <c r="T993" i="15"/>
  <c r="T459" i="15"/>
  <c r="T78" i="15"/>
  <c r="W2654" i="15"/>
  <c r="W2425" i="15"/>
  <c r="W1885" i="15"/>
  <c r="W1719" i="15"/>
  <c r="W1361" i="15"/>
  <c r="W78" i="15"/>
  <c r="W459" i="15"/>
  <c r="W993" i="15"/>
  <c r="U3035" i="15"/>
  <c r="U2673" i="15"/>
  <c r="U2265" i="15"/>
  <c r="U1548" i="15"/>
  <c r="U1010" i="15"/>
  <c r="U105" i="15"/>
  <c r="U470" i="15"/>
  <c r="Z3093" i="15"/>
  <c r="Z2596" i="15"/>
  <c r="Z2239" i="15"/>
  <c r="Z2009" i="15"/>
  <c r="Z1690" i="15"/>
  <c r="Z1353" i="15"/>
  <c r="Z752" i="15"/>
  <c r="Z425" i="15"/>
  <c r="Z16" i="15"/>
  <c r="EJ85" i="7"/>
  <c r="AA3091" i="15"/>
  <c r="AA2594" i="15"/>
  <c r="AA2408" i="15"/>
  <c r="AA1688" i="15"/>
  <c r="AA1852" i="15"/>
  <c r="AA1352" i="15"/>
  <c r="AA967" i="15"/>
  <c r="AA423" i="15"/>
  <c r="AA14" i="15"/>
  <c r="T2653" i="15"/>
  <c r="T2424" i="15"/>
  <c r="T1718" i="15"/>
  <c r="T1884" i="15"/>
  <c r="T1295" i="15"/>
  <c r="T775" i="15"/>
  <c r="T458" i="15"/>
  <c r="T77" i="15"/>
  <c r="EJ87" i="7"/>
  <c r="AA3093" i="15"/>
  <c r="AA2596" i="15"/>
  <c r="AA2239" i="15"/>
  <c r="AA2009" i="15"/>
  <c r="AA1690" i="15"/>
  <c r="AA752" i="15"/>
  <c r="AA425" i="15"/>
  <c r="AA1353" i="15"/>
  <c r="AA16" i="15"/>
  <c r="AD3093" i="15"/>
  <c r="AD2596" i="15"/>
  <c r="AD2239" i="15"/>
  <c r="AD2009" i="15"/>
  <c r="AD1690" i="15"/>
  <c r="AD1353" i="15"/>
  <c r="AD752" i="15"/>
  <c r="AD425" i="15"/>
  <c r="AD16" i="15"/>
  <c r="T2655" i="15"/>
  <c r="T2261" i="15"/>
  <c r="T2035" i="15"/>
  <c r="T1720" i="15"/>
  <c r="T1296" i="15"/>
  <c r="T776" i="15"/>
  <c r="T460" i="15"/>
  <c r="T79" i="15"/>
  <c r="W2655" i="15"/>
  <c r="W2035" i="15"/>
  <c r="W2261" i="15"/>
  <c r="W1720" i="15"/>
  <c r="W776" i="15"/>
  <c r="W1296" i="15"/>
  <c r="W79" i="15"/>
  <c r="W460" i="15"/>
  <c r="T3035" i="15"/>
  <c r="T2673" i="15"/>
  <c r="T2265" i="15"/>
  <c r="T1548" i="15"/>
  <c r="T1010" i="15"/>
  <c r="T470" i="15"/>
  <c r="T105" i="15"/>
  <c r="T2652" i="15"/>
  <c r="T2423" i="15"/>
  <c r="T1883" i="15"/>
  <c r="T1717" i="15"/>
  <c r="T1360" i="15"/>
  <c r="T774" i="15"/>
  <c r="T457" i="15"/>
  <c r="T76" i="15"/>
  <c r="Z3075" i="15"/>
  <c r="Z2651" i="15"/>
  <c r="Z2203" i="15"/>
  <c r="Z1898" i="15"/>
  <c r="Z1534" i="15"/>
  <c r="Z788" i="15"/>
  <c r="Z1165" i="15"/>
  <c r="Z615" i="15"/>
  <c r="Z87" i="15"/>
  <c r="Z3090" i="15"/>
  <c r="Z2593" i="15"/>
  <c r="Z2407" i="15"/>
  <c r="Z1687" i="15"/>
  <c r="Z1851" i="15"/>
  <c r="Z750" i="15"/>
  <c r="Z422" i="15"/>
  <c r="Z1267" i="15"/>
  <c r="Z13" i="15"/>
  <c r="AC3091" i="15"/>
  <c r="AC2594" i="15"/>
  <c r="AC2408" i="15"/>
  <c r="AC1688" i="15"/>
  <c r="AC1852" i="15"/>
  <c r="AC1352" i="15"/>
  <c r="AC967" i="15"/>
  <c r="AC423" i="15"/>
  <c r="AC14" i="15"/>
  <c r="AC3075" i="15"/>
  <c r="AC2651" i="15"/>
  <c r="AC2203" i="15"/>
  <c r="AC1898" i="15"/>
  <c r="AC1534" i="15"/>
  <c r="AC1165" i="15"/>
  <c r="AC788" i="15"/>
  <c r="AC615" i="15"/>
  <c r="AC87" i="15"/>
  <c r="T2657" i="15"/>
  <c r="T2263" i="15"/>
  <c r="T1722" i="15"/>
  <c r="T2037" i="15"/>
  <c r="T1297" i="15"/>
  <c r="T778" i="15"/>
  <c r="T462" i="15"/>
  <c r="T81" i="15"/>
  <c r="W2657" i="15"/>
  <c r="W2263" i="15"/>
  <c r="W2037" i="15"/>
  <c r="W1722" i="15"/>
  <c r="W778" i="15"/>
  <c r="W1297" i="15"/>
  <c r="W81" i="15"/>
  <c r="W462" i="15"/>
  <c r="W3075" i="15"/>
  <c r="W2696" i="15"/>
  <c r="W2221" i="15"/>
  <c r="W1921" i="15"/>
  <c r="W1561" i="15"/>
  <c r="W1184" i="15"/>
  <c r="W801" i="15"/>
  <c r="W619" i="15"/>
  <c r="W137" i="15"/>
  <c r="AC3090" i="15"/>
  <c r="AC2593" i="15"/>
  <c r="AC2407" i="15"/>
  <c r="AC1687" i="15"/>
  <c r="AC1851" i="15"/>
  <c r="AC1267" i="15"/>
  <c r="AC750" i="15"/>
  <c r="AC422" i="15"/>
  <c r="AC13" i="15"/>
  <c r="T2656" i="15"/>
  <c r="T2262" i="15"/>
  <c r="T2036" i="15"/>
  <c r="T1721" i="15"/>
  <c r="T1362" i="15"/>
  <c r="T777" i="15"/>
  <c r="T461" i="15"/>
  <c r="T80" i="15"/>
  <c r="Z3091" i="15"/>
  <c r="Z2594" i="15"/>
  <c r="Z2408" i="15"/>
  <c r="Z1852" i="15"/>
  <c r="Z1688" i="15"/>
  <c r="Z1352" i="15"/>
  <c r="Z967" i="15"/>
  <c r="Z423" i="15"/>
  <c r="Z14" i="15"/>
  <c r="AC3092" i="15"/>
  <c r="AC2595" i="15"/>
  <c r="AC2238" i="15"/>
  <c r="AC2008" i="15"/>
  <c r="AC1689" i="15"/>
  <c r="AC751" i="15"/>
  <c r="AC1268" i="15"/>
  <c r="AC424" i="15"/>
  <c r="AC15" i="15"/>
  <c r="AA3042" i="15"/>
  <c r="AA2537" i="15"/>
  <c r="AA1472" i="15"/>
  <c r="AA619" i="15"/>
  <c r="AA122" i="15"/>
  <c r="T2658" i="15"/>
  <c r="T2264" i="15"/>
  <c r="T2038" i="15"/>
  <c r="T1723" i="15"/>
  <c r="T1363" i="15"/>
  <c r="T779" i="15"/>
  <c r="T82" i="15"/>
  <c r="T463" i="15"/>
  <c r="W2658" i="15"/>
  <c r="W2264" i="15"/>
  <c r="W2038" i="15"/>
  <c r="W1723" i="15"/>
  <c r="W1363" i="15"/>
  <c r="W779" i="15"/>
  <c r="W82" i="15"/>
  <c r="W463" i="15"/>
  <c r="W2652" i="15"/>
  <c r="W2423" i="15"/>
  <c r="W1717" i="15"/>
  <c r="W1883" i="15"/>
  <c r="W1360" i="15"/>
  <c r="W774" i="15"/>
  <c r="W457" i="15"/>
  <c r="W76" i="15"/>
  <c r="EJ84" i="7"/>
  <c r="AA3090" i="15"/>
  <c r="AA2593" i="15"/>
  <c r="AA2407" i="15"/>
  <c r="AA1687" i="15"/>
  <c r="AA1851" i="15"/>
  <c r="AA1267" i="15"/>
  <c r="AA750" i="15"/>
  <c r="AA422" i="15"/>
  <c r="AA13" i="15"/>
  <c r="W2656" i="15"/>
  <c r="W2262" i="15"/>
  <c r="W2036" i="15"/>
  <c r="W1721" i="15"/>
  <c r="W1362" i="15"/>
  <c r="W777" i="15"/>
  <c r="W461" i="15"/>
  <c r="W80" i="15"/>
  <c r="Z3092" i="15"/>
  <c r="Z2595" i="15"/>
  <c r="Z2238" i="15"/>
  <c r="Z2008" i="15"/>
  <c r="Z1689" i="15"/>
  <c r="Z1268" i="15"/>
  <c r="Z751" i="15"/>
  <c r="Z424" i="15"/>
  <c r="Z15" i="15"/>
  <c r="AC3093" i="15"/>
  <c r="AC2596" i="15"/>
  <c r="AC2239" i="15"/>
  <c r="AC2009" i="15"/>
  <c r="AC1690" i="15"/>
  <c r="AC1353" i="15"/>
  <c r="AC425" i="15"/>
  <c r="AC752" i="15"/>
  <c r="AC16" i="15"/>
  <c r="T2651" i="15"/>
  <c r="T2422" i="15"/>
  <c r="T1716" i="15"/>
  <c r="T1882" i="15"/>
  <c r="T1294" i="15"/>
  <c r="T773" i="15"/>
  <c r="T456" i="15"/>
  <c r="T75" i="15"/>
  <c r="W2651" i="15"/>
  <c r="W2422" i="15"/>
  <c r="W1882" i="15"/>
  <c r="W1716" i="15"/>
  <c r="W1294" i="15"/>
  <c r="W773" i="15"/>
  <c r="W75" i="15"/>
  <c r="W456" i="15"/>
  <c r="T3075" i="15"/>
  <c r="T2696" i="15"/>
  <c r="T2221" i="15"/>
  <c r="T1921" i="15"/>
  <c r="T1561" i="15"/>
  <c r="T1184" i="15"/>
  <c r="T801" i="15"/>
  <c r="T619" i="15"/>
  <c r="T137" i="15"/>
  <c r="EK85" i="7"/>
  <c r="EL85" i="7"/>
  <c r="EL86" i="7"/>
  <c r="EK86" i="7"/>
  <c r="EL87" i="7"/>
  <c r="EK87" i="7"/>
  <c r="EL84" i="7"/>
  <c r="EK84" i="7"/>
  <c r="ED84" i="7"/>
  <c r="LU33" i="7" l="1"/>
  <c r="LU411" i="7" l="1"/>
  <c r="EA411" i="7"/>
  <c r="AK410" i="7"/>
  <c r="AE211" i="7"/>
  <c r="Z3042" i="15" l="1"/>
  <c r="Z2537" i="15"/>
  <c r="Z1472" i="15"/>
  <c r="Z619" i="15"/>
  <c r="Z122" i="15"/>
  <c r="AK211" i="7"/>
  <c r="ED85" i="7" l="1"/>
  <c r="ED86" i="7"/>
  <c r="EV175" i="7" l="1"/>
  <c r="AB167" i="7" l="1"/>
  <c r="AE167" i="7"/>
  <c r="AH167" i="7"/>
  <c r="AJ167" i="7"/>
  <c r="AT167" i="7"/>
  <c r="AU167" i="7"/>
  <c r="AX167" i="7"/>
  <c r="AY167" i="7"/>
  <c r="EV167" i="7"/>
  <c r="HC167" i="7"/>
  <c r="HD167" i="7"/>
  <c r="HG167" i="7"/>
  <c r="HH167" i="7"/>
  <c r="IW167" i="7"/>
  <c r="IX167" i="7"/>
  <c r="JA167" i="7"/>
  <c r="JB167" i="7"/>
  <c r="KM167" i="7"/>
  <c r="KN167" i="7"/>
  <c r="KQ167" i="7"/>
  <c r="KU167" i="7" s="1"/>
  <c r="KR167" i="7"/>
  <c r="LT167" i="7"/>
  <c r="LW167" i="7"/>
  <c r="MA167" i="7"/>
  <c r="RC167" i="7"/>
  <c r="RD167" i="7"/>
  <c r="RF167" i="7"/>
  <c r="RG167" i="7"/>
  <c r="EV27" i="7"/>
  <c r="KV167" i="7" l="1"/>
  <c r="HL167" i="7"/>
  <c r="HK167" i="7"/>
  <c r="JE167" i="7"/>
  <c r="BC167" i="7"/>
  <c r="JF167" i="7"/>
  <c r="BB167" i="7"/>
  <c r="BA167" i="7"/>
  <c r="IZ167" i="7"/>
  <c r="HF167" i="7"/>
  <c r="JD167" i="7"/>
  <c r="KT167" i="7"/>
  <c r="AW167" i="7"/>
  <c r="LU167" i="7"/>
  <c r="AK167" i="7"/>
  <c r="LV167" i="7"/>
  <c r="HJ167" i="7"/>
  <c r="LY167" i="7"/>
  <c r="LZ167" i="7"/>
  <c r="KP167" i="7"/>
  <c r="MC167" i="7" l="1"/>
  <c r="MD167" i="7"/>
  <c r="LX167" i="7"/>
  <c r="MB167" i="7"/>
  <c r="DA149" i="7" l="1"/>
  <c r="N1856" i="15" s="1"/>
  <c r="N49" i="15" l="1"/>
  <c r="N398" i="15"/>
  <c r="P414" i="15" l="1"/>
  <c r="N414" i="15"/>
  <c r="O414" i="15"/>
  <c r="NP122" i="7" l="1"/>
  <c r="ND124" i="7"/>
  <c r="BW205" i="7" l="1"/>
  <c r="BS205" i="7"/>
  <c r="DR87" i="7" l="1"/>
  <c r="DR86" i="7"/>
  <c r="DN87" i="7"/>
  <c r="DN86" i="7"/>
  <c r="DR85" i="7"/>
  <c r="DR84" i="7"/>
  <c r="DN85" i="7"/>
  <c r="DN84" i="7"/>
  <c r="W3103" i="15" l="1"/>
  <c r="W2641" i="15"/>
  <c r="W2417" i="15"/>
  <c r="W1879" i="15"/>
  <c r="W1713" i="15"/>
  <c r="W1358" i="15"/>
  <c r="W991" i="15"/>
  <c r="W64" i="15"/>
  <c r="W445" i="15"/>
  <c r="T3102" i="15"/>
  <c r="T2640" i="15"/>
  <c r="T2416" i="15"/>
  <c r="T1878" i="15"/>
  <c r="T1712" i="15"/>
  <c r="T1288" i="15"/>
  <c r="T765" i="15"/>
  <c r="T444" i="15"/>
  <c r="T63" i="15"/>
  <c r="T3104" i="15"/>
  <c r="T2642" i="15"/>
  <c r="T2259" i="15"/>
  <c r="T2029" i="15"/>
  <c r="T1714" i="15"/>
  <c r="T1289" i="15"/>
  <c r="T766" i="15"/>
  <c r="T446" i="15"/>
  <c r="T65" i="15"/>
  <c r="T3105" i="15"/>
  <c r="T2643" i="15"/>
  <c r="T2260" i="15"/>
  <c r="T1715" i="15"/>
  <c r="T2030" i="15"/>
  <c r="T1359" i="15"/>
  <c r="T767" i="15"/>
  <c r="T447" i="15"/>
  <c r="T66" i="15"/>
  <c r="T3103" i="15"/>
  <c r="T2641" i="15"/>
  <c r="T2417" i="15"/>
  <c r="T1879" i="15"/>
  <c r="T1713" i="15"/>
  <c r="T1358" i="15"/>
  <c r="T991" i="15"/>
  <c r="T445" i="15"/>
  <c r="T64" i="15"/>
  <c r="W3102" i="15"/>
  <c r="W2640" i="15"/>
  <c r="W2416" i="15"/>
  <c r="W1712" i="15"/>
  <c r="W1878" i="15"/>
  <c r="W1288" i="15"/>
  <c r="W765" i="15"/>
  <c r="W444" i="15"/>
  <c r="W63" i="15"/>
  <c r="W3104" i="15"/>
  <c r="W2642" i="15"/>
  <c r="W2259" i="15"/>
  <c r="W2029" i="15"/>
  <c r="W1714" i="15"/>
  <c r="W1289" i="15"/>
  <c r="W766" i="15"/>
  <c r="W446" i="15"/>
  <c r="W65" i="15"/>
  <c r="W3105" i="15"/>
  <c r="W2643" i="15"/>
  <c r="W2260" i="15"/>
  <c r="W2030" i="15"/>
  <c r="W1715" i="15"/>
  <c r="W1359" i="15"/>
  <c r="W767" i="15"/>
  <c r="W66" i="15"/>
  <c r="W447" i="15"/>
  <c r="AK33" i="7"/>
  <c r="AK14" i="7"/>
  <c r="AK416" i="7"/>
  <c r="AJ416" i="7"/>
  <c r="AK411" i="7"/>
  <c r="AJ411" i="7"/>
  <c r="AJ410" i="7"/>
  <c r="AK395" i="7"/>
  <c r="AJ395" i="7"/>
  <c r="AK394" i="7"/>
  <c r="AJ394" i="7"/>
  <c r="AK392" i="7"/>
  <c r="AJ392" i="7"/>
  <c r="AK387" i="7"/>
  <c r="AJ387" i="7"/>
  <c r="AK386" i="7"/>
  <c r="AJ386" i="7"/>
  <c r="AK385" i="7"/>
  <c r="AJ385" i="7"/>
  <c r="AK384" i="7"/>
  <c r="AJ384" i="7"/>
  <c r="AK383" i="7"/>
  <c r="AJ383" i="7"/>
  <c r="AK382" i="7"/>
  <c r="AJ382" i="7"/>
  <c r="AK381" i="7"/>
  <c r="AJ381" i="7"/>
  <c r="AK380" i="7"/>
  <c r="AJ380" i="7"/>
  <c r="AK379" i="7"/>
  <c r="AJ379" i="7"/>
  <c r="AK378" i="7"/>
  <c r="AJ378" i="7"/>
  <c r="AK377" i="7"/>
  <c r="AJ377" i="7"/>
  <c r="AK376" i="7"/>
  <c r="AJ376" i="7"/>
  <c r="AK375" i="7"/>
  <c r="AJ375" i="7"/>
  <c r="AK374" i="7"/>
  <c r="AJ374" i="7"/>
  <c r="AK373" i="7"/>
  <c r="AJ373" i="7"/>
  <c r="AK372" i="7"/>
  <c r="AJ372" i="7"/>
  <c r="AK371" i="7"/>
  <c r="AJ371" i="7"/>
  <c r="AK370" i="7"/>
  <c r="AJ370" i="7"/>
  <c r="AK369" i="7"/>
  <c r="AJ369" i="7"/>
  <c r="AK368" i="7"/>
  <c r="AJ368" i="7"/>
  <c r="AK367" i="7"/>
  <c r="AJ367" i="7"/>
  <c r="AK366" i="7"/>
  <c r="AJ366" i="7"/>
  <c r="AK365" i="7"/>
  <c r="AJ365" i="7"/>
  <c r="AJ364" i="7"/>
  <c r="AK364" i="7"/>
  <c r="AK332" i="7"/>
  <c r="AK331" i="7"/>
  <c r="AK221" i="7"/>
  <c r="AJ221" i="7"/>
  <c r="AK220" i="7"/>
  <c r="AJ220" i="7"/>
  <c r="AK219" i="7"/>
  <c r="AJ219" i="7"/>
  <c r="AK218" i="7"/>
  <c r="AJ218" i="7"/>
  <c r="AK217" i="7"/>
  <c r="AJ217" i="7"/>
  <c r="AK216" i="7"/>
  <c r="AJ216" i="7"/>
  <c r="AK214" i="7"/>
  <c r="AJ214" i="7"/>
  <c r="AK213" i="7"/>
  <c r="AJ213" i="7"/>
  <c r="AJ212" i="7"/>
  <c r="AJ211" i="7"/>
  <c r="AK205" i="7"/>
  <c r="AJ205" i="7"/>
  <c r="AK204" i="7"/>
  <c r="AJ204" i="7"/>
  <c r="AK203" i="7"/>
  <c r="AJ203" i="7"/>
  <c r="AK194" i="7"/>
  <c r="AJ194" i="7"/>
  <c r="AJ193" i="7"/>
  <c r="AJ192" i="7"/>
  <c r="AJ191" i="7"/>
  <c r="AK190" i="7"/>
  <c r="AJ190" i="7"/>
  <c r="AK189" i="7"/>
  <c r="AJ189" i="7"/>
  <c r="AK188" i="7"/>
  <c r="AJ188" i="7"/>
  <c r="AK187" i="7"/>
  <c r="AJ187" i="7"/>
  <c r="AK186" i="7"/>
  <c r="AJ186" i="7"/>
  <c r="AK185" i="7"/>
  <c r="AJ185" i="7"/>
  <c r="AK184" i="7"/>
  <c r="AJ184" i="7"/>
  <c r="AK183" i="7"/>
  <c r="AJ183" i="7"/>
  <c r="AK182" i="7"/>
  <c r="AJ182" i="7"/>
  <c r="AK172" i="7"/>
  <c r="AJ172" i="7"/>
  <c r="AK166" i="7"/>
  <c r="AJ166" i="7"/>
  <c r="AK165" i="7"/>
  <c r="AJ165" i="7"/>
  <c r="AK164" i="7"/>
  <c r="AJ164" i="7"/>
  <c r="AK163" i="7"/>
  <c r="AJ163" i="7"/>
  <c r="AJ161" i="7"/>
  <c r="AJ160" i="7"/>
  <c r="AJ159" i="7"/>
  <c r="AJ158" i="7"/>
  <c r="AJ157" i="7"/>
  <c r="AJ156" i="7"/>
  <c r="AK144" i="7"/>
  <c r="AJ144" i="7"/>
  <c r="AK143" i="7"/>
  <c r="AJ143" i="7"/>
  <c r="AK142" i="7"/>
  <c r="AJ142" i="7"/>
  <c r="AK141" i="7"/>
  <c r="AJ141" i="7"/>
  <c r="AK140" i="7"/>
  <c r="AJ140" i="7"/>
  <c r="AK139" i="7"/>
  <c r="AJ139" i="7"/>
  <c r="AK138" i="7"/>
  <c r="AJ138" i="7"/>
  <c r="AK137" i="7"/>
  <c r="AJ137" i="7"/>
  <c r="AK136" i="7"/>
  <c r="AJ136" i="7"/>
  <c r="AK135" i="7"/>
  <c r="AJ135" i="7"/>
  <c r="AK134" i="7"/>
  <c r="AJ134" i="7"/>
  <c r="AJ127" i="7"/>
  <c r="AJ126" i="7"/>
  <c r="AJ125" i="7"/>
  <c r="AJ124" i="7"/>
  <c r="AJ123" i="7"/>
  <c r="AJ122" i="7"/>
  <c r="AJ121" i="7"/>
  <c r="AJ120" i="7"/>
  <c r="AJ119" i="7"/>
  <c r="AJ118" i="7"/>
  <c r="AJ117" i="7"/>
  <c r="AJ116" i="7"/>
  <c r="AJ115" i="7"/>
  <c r="AJ114" i="7"/>
  <c r="AJ113" i="7"/>
  <c r="AJ112" i="7"/>
  <c r="AK111" i="7"/>
  <c r="AJ111" i="7"/>
  <c r="AK110" i="7"/>
  <c r="AJ110" i="7"/>
  <c r="AK109" i="7"/>
  <c r="AJ109" i="7"/>
  <c r="AK108" i="7"/>
  <c r="AJ108" i="7"/>
  <c r="AK107" i="7"/>
  <c r="AJ107" i="7"/>
  <c r="AK106" i="7"/>
  <c r="AJ106" i="7"/>
  <c r="AK105" i="7"/>
  <c r="AJ105" i="7"/>
  <c r="AK104" i="7"/>
  <c r="AJ104" i="7"/>
  <c r="AJ98" i="7"/>
  <c r="AJ78" i="7"/>
  <c r="AJ77" i="7"/>
  <c r="AK34" i="7"/>
  <c r="AJ34" i="7"/>
  <c r="AJ33" i="7"/>
  <c r="AJ15" i="7"/>
  <c r="AJ16" i="7"/>
  <c r="AJ17" i="7"/>
  <c r="AJ14" i="7"/>
  <c r="AK15" i="7"/>
  <c r="AK16" i="7"/>
  <c r="AK17" i="7"/>
  <c r="AE212" i="7"/>
  <c r="AE193" i="7"/>
  <c r="AE192" i="7"/>
  <c r="AE191" i="7"/>
  <c r="AE161" i="7"/>
  <c r="AE160" i="7"/>
  <c r="AE159" i="7"/>
  <c r="AE158" i="7"/>
  <c r="AE157" i="7"/>
  <c r="AE156" i="7"/>
  <c r="AE127" i="7"/>
  <c r="AE126" i="7"/>
  <c r="AE125" i="7"/>
  <c r="AE124" i="7"/>
  <c r="AE123" i="7"/>
  <c r="AE122" i="7"/>
  <c r="AE121" i="7"/>
  <c r="AE120" i="7"/>
  <c r="AE119" i="7"/>
  <c r="AE118" i="7"/>
  <c r="AE117" i="7"/>
  <c r="AE116" i="7"/>
  <c r="AE115" i="7"/>
  <c r="AE114" i="7"/>
  <c r="AE113" i="7"/>
  <c r="AE112" i="7"/>
  <c r="AE98" i="7"/>
  <c r="AE78" i="7"/>
  <c r="AE77" i="7"/>
  <c r="AH191" i="7"/>
  <c r="AH192" i="7" s="1"/>
  <c r="AH127" i="7"/>
  <c r="AH126" i="7"/>
  <c r="AH125" i="7"/>
  <c r="AH124" i="7"/>
  <c r="AH123" i="7"/>
  <c r="AH122" i="7"/>
  <c r="AH121" i="7"/>
  <c r="AH120" i="7"/>
  <c r="AH119" i="7"/>
  <c r="AH118" i="7"/>
  <c r="AH117" i="7"/>
  <c r="AH116" i="7"/>
  <c r="AH115" i="7"/>
  <c r="AH114" i="7"/>
  <c r="AH113" i="7"/>
  <c r="AH112" i="7"/>
  <c r="AH98" i="7"/>
  <c r="AH78" i="7"/>
  <c r="AH77" i="7"/>
  <c r="AB191" i="7"/>
  <c r="AB98" i="7"/>
  <c r="AB78" i="7"/>
  <c r="AB77" i="7"/>
  <c r="AB192" i="7" l="1"/>
  <c r="AK158" i="7"/>
  <c r="AK159" i="7"/>
  <c r="AK160" i="7"/>
  <c r="AK161" i="7"/>
  <c r="AK156" i="7"/>
  <c r="AK157" i="7"/>
  <c r="AK212" i="7"/>
  <c r="AK127" i="7"/>
  <c r="AK113" i="7"/>
  <c r="AK121" i="7"/>
  <c r="AK114" i="7"/>
  <c r="AK122" i="7"/>
  <c r="AK77" i="7"/>
  <c r="AK117" i="7"/>
  <c r="AK125" i="7"/>
  <c r="AK78" i="7"/>
  <c r="AK118" i="7"/>
  <c r="AK126" i="7"/>
  <c r="AK98" i="7"/>
  <c r="AK119" i="7"/>
  <c r="AK112" i="7"/>
  <c r="AK120" i="7"/>
  <c r="AK115" i="7"/>
  <c r="AK123" i="7"/>
  <c r="AK116" i="7"/>
  <c r="AK124" i="7"/>
  <c r="AH193" i="7"/>
  <c r="AK193" i="7" s="1"/>
  <c r="AK192" i="7"/>
  <c r="AK191" i="7"/>
  <c r="AB193" i="7"/>
  <c r="DI32" i="7" l="1"/>
  <c r="EV419" i="7" l="1"/>
  <c r="EV418" i="7"/>
  <c r="EV417" i="7"/>
  <c r="EV416" i="7"/>
  <c r="EV415" i="7"/>
  <c r="EV413" i="7"/>
  <c r="EV412" i="7"/>
  <c r="EV400" i="7"/>
  <c r="EV391" i="7"/>
  <c r="EV390" i="7"/>
  <c r="EV389" i="7"/>
  <c r="EV379" i="7"/>
  <c r="EV378" i="7"/>
  <c r="EV377" i="7"/>
  <c r="EV376" i="7"/>
  <c r="EV375" i="7"/>
  <c r="EV374" i="7"/>
  <c r="EV373" i="7"/>
  <c r="EV372" i="7"/>
  <c r="EV363" i="7"/>
  <c r="EV362" i="7"/>
  <c r="EV361" i="7"/>
  <c r="EV360" i="7"/>
  <c r="EV359" i="7"/>
  <c r="EV358" i="7"/>
  <c r="EV357" i="7"/>
  <c r="EV356" i="7"/>
  <c r="EV355" i="7"/>
  <c r="EV354" i="7"/>
  <c r="EV347" i="7"/>
  <c r="EV346" i="7"/>
  <c r="EV345" i="7"/>
  <c r="EV344" i="7"/>
  <c r="EV343" i="7"/>
  <c r="EV342" i="7"/>
  <c r="EV341" i="7"/>
  <c r="EV340" i="7"/>
  <c r="EV339" i="7"/>
  <c r="EV338" i="7"/>
  <c r="EV337" i="7"/>
  <c r="EV336" i="7"/>
  <c r="EV335" i="7"/>
  <c r="EV334" i="7"/>
  <c r="EV333" i="7"/>
  <c r="EV332" i="7"/>
  <c r="EV331" i="7"/>
  <c r="EV330" i="7"/>
  <c r="EV329" i="7"/>
  <c r="EV328" i="7"/>
  <c r="EV327" i="7"/>
  <c r="EV326" i="7"/>
  <c r="EV325" i="7"/>
  <c r="EV324" i="7"/>
  <c r="EV323" i="7"/>
  <c r="EV322" i="7"/>
  <c r="EV321" i="7"/>
  <c r="EV320" i="7"/>
  <c r="EV319" i="7"/>
  <c r="EV318" i="7"/>
  <c r="EV317" i="7"/>
  <c r="EV316" i="7"/>
  <c r="EV315" i="7"/>
  <c r="EV314" i="7"/>
  <c r="EV313" i="7"/>
  <c r="EV312" i="7"/>
  <c r="EV311" i="7"/>
  <c r="EV310" i="7"/>
  <c r="EV309" i="7"/>
  <c r="EV308" i="7"/>
  <c r="EV307" i="7"/>
  <c r="EV306" i="7"/>
  <c r="EV305" i="7"/>
  <c r="EV304" i="7"/>
  <c r="EV303" i="7"/>
  <c r="EV302" i="7"/>
  <c r="EV301" i="7"/>
  <c r="EV300" i="7"/>
  <c r="EV299" i="7"/>
  <c r="EV298" i="7"/>
  <c r="EV297" i="7"/>
  <c r="EV296" i="7"/>
  <c r="EV295" i="7"/>
  <c r="EV294" i="7"/>
  <c r="EV293" i="7"/>
  <c r="EV292" i="7"/>
  <c r="EV291" i="7"/>
  <c r="EV290" i="7"/>
  <c r="EV289" i="7"/>
  <c r="EV288" i="7"/>
  <c r="EV287" i="7"/>
  <c r="EV286" i="7"/>
  <c r="EV285" i="7"/>
  <c r="EV284" i="7"/>
  <c r="EV283" i="7"/>
  <c r="EV282" i="7"/>
  <c r="EV281" i="7"/>
  <c r="EV280" i="7"/>
  <c r="EV279" i="7"/>
  <c r="EV278" i="7"/>
  <c r="EV277" i="7"/>
  <c r="EV276" i="7"/>
  <c r="EV275" i="7"/>
  <c r="EV274" i="7"/>
  <c r="EV271" i="7"/>
  <c r="EV270" i="7"/>
  <c r="EV268" i="7"/>
  <c r="EV267" i="7"/>
  <c r="EV266" i="7"/>
  <c r="EV265" i="7"/>
  <c r="EV264" i="7"/>
  <c r="EV262" i="7"/>
  <c r="EV261" i="7"/>
  <c r="EV260" i="7"/>
  <c r="EV258" i="7"/>
  <c r="EV257" i="7"/>
  <c r="EV256" i="7"/>
  <c r="EV255" i="7"/>
  <c r="EV254" i="7"/>
  <c r="EV252" i="7"/>
  <c r="EV251" i="7"/>
  <c r="EV250" i="7"/>
  <c r="EV227" i="7"/>
  <c r="EV228" i="7"/>
  <c r="EV229" i="7"/>
  <c r="EV230" i="7"/>
  <c r="EV231" i="7"/>
  <c r="EV232" i="7"/>
  <c r="EV233" i="7"/>
  <c r="EV234" i="7"/>
  <c r="EV235" i="7"/>
  <c r="EV236" i="7"/>
  <c r="EV237" i="7"/>
  <c r="EV238" i="7"/>
  <c r="EV239" i="7"/>
  <c r="EV240" i="7"/>
  <c r="EV241" i="7"/>
  <c r="EV242" i="7"/>
  <c r="EV243" i="7"/>
  <c r="EV244" i="7"/>
  <c r="EV245" i="7"/>
  <c r="EV226" i="7"/>
  <c r="EV221" i="7"/>
  <c r="EV218" i="7"/>
  <c r="EV217" i="7"/>
  <c r="EV216" i="7"/>
  <c r="EV214" i="7"/>
  <c r="EV213" i="7"/>
  <c r="EV212" i="7"/>
  <c r="EV211" i="7"/>
  <c r="EV209" i="7"/>
  <c r="EV208" i="7"/>
  <c r="EV207" i="7"/>
  <c r="EV206" i="7"/>
  <c r="EV205" i="7"/>
  <c r="EV204" i="7"/>
  <c r="EV203" i="7"/>
  <c r="EV202" i="7"/>
  <c r="EV201" i="7"/>
  <c r="EV200" i="7"/>
  <c r="EV199" i="7"/>
  <c r="EV198" i="7"/>
  <c r="EV197" i="7"/>
  <c r="EV196" i="7"/>
  <c r="EV195" i="7"/>
  <c r="EV194" i="7"/>
  <c r="EV178" i="7"/>
  <c r="EV177" i="7"/>
  <c r="EV176" i="7"/>
  <c r="EV174" i="7"/>
  <c r="EV173" i="7"/>
  <c r="EV171" i="7"/>
  <c r="EV170" i="7"/>
  <c r="EV169" i="7"/>
  <c r="EV168" i="7"/>
  <c r="EV166" i="7"/>
  <c r="EV165" i="7"/>
  <c r="EV164" i="7"/>
  <c r="EV163" i="7"/>
  <c r="EV155" i="7"/>
  <c r="EV154" i="7"/>
  <c r="EV153" i="7"/>
  <c r="EV152" i="7"/>
  <c r="EV144" i="7"/>
  <c r="EV143" i="7"/>
  <c r="EV142" i="7"/>
  <c r="EV141" i="7"/>
  <c r="EV140" i="7"/>
  <c r="EV139" i="7"/>
  <c r="EV138" i="7"/>
  <c r="EV137" i="7"/>
  <c r="EV136" i="7"/>
  <c r="EV135" i="7"/>
  <c r="EV134" i="7"/>
  <c r="EV133" i="7"/>
  <c r="EV132" i="7"/>
  <c r="EV131" i="7"/>
  <c r="EV130" i="7"/>
  <c r="EV129" i="7"/>
  <c r="EV128" i="7"/>
  <c r="EV111" i="7"/>
  <c r="EV110" i="7"/>
  <c r="EV109" i="7"/>
  <c r="EV108" i="7"/>
  <c r="EV107" i="7"/>
  <c r="EV106" i="7"/>
  <c r="EV105" i="7"/>
  <c r="EV104" i="7"/>
  <c r="EV99" i="7"/>
  <c r="EV97" i="7"/>
  <c r="EV96" i="7"/>
  <c r="EV95" i="7"/>
  <c r="EV94" i="7"/>
  <c r="EV93" i="7"/>
  <c r="EV92" i="7"/>
  <c r="EV91" i="7"/>
  <c r="EV90" i="7"/>
  <c r="EV87" i="7"/>
  <c r="EV86" i="7"/>
  <c r="EV85" i="7"/>
  <c r="EV84" i="7"/>
  <c r="EV83" i="7"/>
  <c r="EV82" i="7"/>
  <c r="EV81" i="7"/>
  <c r="EV74" i="7"/>
  <c r="EV73" i="7"/>
  <c r="EV72" i="7"/>
  <c r="EV71" i="7"/>
  <c r="EV60" i="7"/>
  <c r="EV59" i="7"/>
  <c r="EV54" i="7"/>
  <c r="EV53" i="7"/>
  <c r="EV42" i="7"/>
  <c r="EV41" i="7"/>
  <c r="EV36" i="7"/>
  <c r="EV35" i="7"/>
  <c r="EV33" i="7"/>
  <c r="EV32" i="7"/>
  <c r="EV29" i="7"/>
  <c r="EV28" i="7"/>
  <c r="EV26" i="7"/>
  <c r="EV25" i="7"/>
  <c r="EV24" i="7"/>
  <c r="EV23" i="7"/>
  <c r="EV22" i="7"/>
  <c r="EV21" i="7"/>
  <c r="EV20" i="7"/>
  <c r="EV19" i="7"/>
  <c r="EV18" i="7"/>
  <c r="EI33" i="7"/>
  <c r="EI137" i="7"/>
  <c r="EI136" i="7"/>
  <c r="EI135" i="7"/>
  <c r="EI151" i="7"/>
  <c r="EI150" i="7"/>
  <c r="EI148" i="7"/>
  <c r="EI147" i="7"/>
  <c r="EI144" i="7"/>
  <c r="EI143" i="7"/>
  <c r="EI142" i="7"/>
  <c r="EI141" i="7"/>
  <c r="EI140" i="7"/>
  <c r="EI139" i="7"/>
  <c r="EI138" i="7"/>
  <c r="EI202" i="7"/>
  <c r="EI201" i="7"/>
  <c r="EI214" i="7"/>
  <c r="EI218" i="7"/>
  <c r="EI217" i="7"/>
  <c r="DV399" i="7"/>
  <c r="DV398" i="7"/>
  <c r="DV397" i="7"/>
  <c r="DV395" i="7"/>
  <c r="DV394" i="7"/>
  <c r="DV330" i="7"/>
  <c r="DV329" i="7"/>
  <c r="DV328" i="7"/>
  <c r="DV327" i="7"/>
  <c r="DV326" i="7"/>
  <c r="DV325" i="7"/>
  <c r="DV324" i="7"/>
  <c r="DV323" i="7"/>
  <c r="DV322" i="7"/>
  <c r="DV321" i="7"/>
  <c r="DV320" i="7"/>
  <c r="DV319" i="7"/>
  <c r="DV318" i="7"/>
  <c r="DV317" i="7"/>
  <c r="DV316" i="7"/>
  <c r="DV279" i="7"/>
  <c r="DV278" i="7"/>
  <c r="DV277" i="7"/>
  <c r="DV276" i="7"/>
  <c r="DV275" i="7"/>
  <c r="DV274" i="7"/>
  <c r="DV220" i="7"/>
  <c r="DV219" i="7"/>
  <c r="DV218" i="7"/>
  <c r="DV217" i="7"/>
  <c r="DV214" i="7"/>
  <c r="DV213" i="7"/>
  <c r="DV194" i="7"/>
  <c r="DV152" i="7"/>
  <c r="DV151" i="7"/>
  <c r="DV150" i="7"/>
  <c r="DV148" i="7"/>
  <c r="DV147" i="7"/>
  <c r="DV144" i="7"/>
  <c r="DV143" i="7"/>
  <c r="DV142" i="7"/>
  <c r="DV141" i="7"/>
  <c r="DV140" i="7"/>
  <c r="DV139" i="7"/>
  <c r="DV138" i="7"/>
  <c r="DV137" i="7"/>
  <c r="DV136" i="7"/>
  <c r="DV135" i="7"/>
  <c r="DV33" i="7"/>
  <c r="DV4" i="7"/>
  <c r="DV5" i="7"/>
  <c r="DV6" i="7"/>
  <c r="DV7" i="7"/>
  <c r="DI140" i="7"/>
  <c r="DI139" i="7"/>
  <c r="DI138" i="7"/>
  <c r="DI137" i="7"/>
  <c r="DI136" i="7"/>
  <c r="DI135" i="7"/>
  <c r="DI151" i="7"/>
  <c r="DI150" i="7"/>
  <c r="DI148" i="7"/>
  <c r="DI147" i="7"/>
  <c r="DI214" i="7"/>
  <c r="DI213" i="7"/>
  <c r="DI398" i="7"/>
  <c r="DI397" i="7"/>
  <c r="DI396" i="7"/>
  <c r="CV403" i="7"/>
  <c r="CV401" i="7"/>
  <c r="CI403" i="7"/>
  <c r="CI402" i="7"/>
  <c r="CI401" i="7"/>
  <c r="EH218" i="7" l="1"/>
  <c r="EH217" i="7"/>
  <c r="ED218" i="7"/>
  <c r="ED217" i="7"/>
  <c r="EH151" i="7"/>
  <c r="EH150" i="7"/>
  <c r="EH149" i="7"/>
  <c r="EH148" i="7"/>
  <c r="EH147" i="7"/>
  <c r="DQ3" i="7"/>
  <c r="DQ2" i="7"/>
  <c r="DU7" i="7"/>
  <c r="DU6" i="7"/>
  <c r="DU5" i="7"/>
  <c r="DU4" i="7"/>
  <c r="DQ7" i="7"/>
  <c r="DQ6" i="7"/>
  <c r="DQ5" i="7"/>
  <c r="DQ4" i="7"/>
  <c r="DU152" i="7"/>
  <c r="DU151" i="7"/>
  <c r="DU150" i="7"/>
  <c r="DU149" i="7"/>
  <c r="DU148" i="7"/>
  <c r="DU147" i="7"/>
  <c r="DQ152" i="7"/>
  <c r="DQ151" i="7"/>
  <c r="DQ150" i="7"/>
  <c r="DQ148" i="7"/>
  <c r="DQ147" i="7"/>
  <c r="DQ155" i="7"/>
  <c r="DQ154" i="7"/>
  <c r="DQ153" i="7"/>
  <c r="DU218" i="7"/>
  <c r="DU217" i="7"/>
  <c r="DQ218" i="7"/>
  <c r="DQ217" i="7"/>
  <c r="DU275" i="7"/>
  <c r="DU274" i="7"/>
  <c r="DQ275" i="7"/>
  <c r="DQ274" i="7"/>
  <c r="DU279" i="7"/>
  <c r="DU278" i="7"/>
  <c r="DU277" i="7"/>
  <c r="DU276" i="7"/>
  <c r="DQ279" i="7"/>
  <c r="DQ278" i="7"/>
  <c r="DQ277" i="7"/>
  <c r="DQ276" i="7"/>
  <c r="DU395" i="7"/>
  <c r="DU394" i="7"/>
  <c r="DQ395" i="7"/>
  <c r="DQ394" i="7"/>
  <c r="DH147" i="7"/>
  <c r="DH151" i="7"/>
  <c r="DH150" i="7"/>
  <c r="DH149" i="7"/>
  <c r="DH148" i="7"/>
  <c r="DD151" i="7"/>
  <c r="DD150" i="7"/>
  <c r="DD148" i="7"/>
  <c r="DD147" i="7"/>
  <c r="CQ413" i="7"/>
  <c r="CQ412" i="7"/>
  <c r="CD413" i="7"/>
  <c r="CD412" i="7"/>
  <c r="EU419" i="7" l="1"/>
  <c r="EU418" i="7"/>
  <c r="EU417" i="7"/>
  <c r="EU416" i="7"/>
  <c r="EU415" i="7"/>
  <c r="EU413" i="7"/>
  <c r="EU412" i="7"/>
  <c r="EU400" i="7"/>
  <c r="EU379" i="7"/>
  <c r="EU378" i="7"/>
  <c r="EU377" i="7"/>
  <c r="EU376" i="7"/>
  <c r="EU375" i="7"/>
  <c r="EU374" i="7"/>
  <c r="EU373" i="7"/>
  <c r="EU372" i="7"/>
  <c r="EU359" i="7"/>
  <c r="EU358" i="7"/>
  <c r="EU357" i="7"/>
  <c r="EU356" i="7"/>
  <c r="EU355" i="7"/>
  <c r="EU354" i="7"/>
  <c r="EU347" i="7"/>
  <c r="EU346" i="7"/>
  <c r="EU345" i="7"/>
  <c r="EU344" i="7"/>
  <c r="EU343" i="7"/>
  <c r="EU342" i="7"/>
  <c r="EU341" i="7"/>
  <c r="EU340" i="7"/>
  <c r="EU339" i="7"/>
  <c r="EU332" i="7"/>
  <c r="EU331" i="7"/>
  <c r="EU330" i="7"/>
  <c r="EU329" i="7"/>
  <c r="EU328" i="7"/>
  <c r="EU327" i="7"/>
  <c r="EU326" i="7"/>
  <c r="EU325" i="7"/>
  <c r="EU324" i="7"/>
  <c r="EU323" i="7"/>
  <c r="EU322" i="7"/>
  <c r="EU321" i="7"/>
  <c r="EU320" i="7"/>
  <c r="EU319" i="7"/>
  <c r="EU318" i="7"/>
  <c r="EU317" i="7"/>
  <c r="EU316" i="7"/>
  <c r="EU279" i="7"/>
  <c r="EU278" i="7"/>
  <c r="EU277" i="7"/>
  <c r="EU276" i="7"/>
  <c r="EU275" i="7"/>
  <c r="EU274" i="7"/>
  <c r="EU271" i="7"/>
  <c r="EU221" i="7"/>
  <c r="EU218" i="7"/>
  <c r="EU217" i="7"/>
  <c r="EU214" i="7"/>
  <c r="EU213" i="7"/>
  <c r="EU212" i="7"/>
  <c r="EU211" i="7"/>
  <c r="EU209" i="7"/>
  <c r="EU208" i="7"/>
  <c r="EU207" i="7"/>
  <c r="EU206" i="7"/>
  <c r="EU205" i="7"/>
  <c r="EU198" i="7"/>
  <c r="EU197" i="7"/>
  <c r="EU196" i="7"/>
  <c r="EU195" i="7"/>
  <c r="EU181" i="7"/>
  <c r="EU180" i="7"/>
  <c r="EU179" i="7"/>
  <c r="EU178" i="7"/>
  <c r="EU177" i="7"/>
  <c r="EU176" i="7"/>
  <c r="EU173" i="7"/>
  <c r="EU171" i="7"/>
  <c r="EU170" i="7"/>
  <c r="EU169" i="7"/>
  <c r="EU168" i="7"/>
  <c r="EU155" i="7"/>
  <c r="EU154" i="7"/>
  <c r="EU153" i="7"/>
  <c r="EU152" i="7"/>
  <c r="EU144" i="7"/>
  <c r="EU143" i="7"/>
  <c r="EU142" i="7"/>
  <c r="EU141" i="7"/>
  <c r="EU140" i="7"/>
  <c r="EU139" i="7"/>
  <c r="EU138" i="7"/>
  <c r="EU137" i="7"/>
  <c r="EU136" i="7"/>
  <c r="EU135" i="7"/>
  <c r="EU111" i="7"/>
  <c r="EU110" i="7"/>
  <c r="EU109" i="7"/>
  <c r="EU108" i="7"/>
  <c r="EU107" i="7"/>
  <c r="EU106" i="7"/>
  <c r="EU105" i="7"/>
  <c r="EU104" i="7"/>
  <c r="EU99" i="7"/>
  <c r="EU98" i="7"/>
  <c r="EU97" i="7"/>
  <c r="EU96" i="7"/>
  <c r="EU95" i="7"/>
  <c r="EU94" i="7"/>
  <c r="EU93" i="7"/>
  <c r="EU92" i="7"/>
  <c r="EU91" i="7"/>
  <c r="EU87" i="7"/>
  <c r="EU86" i="7"/>
  <c r="EU85" i="7"/>
  <c r="EU84" i="7"/>
  <c r="EU74" i="7"/>
  <c r="EU73" i="7"/>
  <c r="EU72" i="7"/>
  <c r="EU71" i="7"/>
  <c r="EU60" i="7"/>
  <c r="EU59" i="7"/>
  <c r="EU54" i="7"/>
  <c r="EU53" i="7"/>
  <c r="EU42" i="7"/>
  <c r="EU41" i="7"/>
  <c r="EU36" i="7"/>
  <c r="EU35" i="7"/>
  <c r="EU33" i="7"/>
  <c r="EU32" i="7"/>
  <c r="EU29" i="7"/>
  <c r="EU28" i="7"/>
  <c r="EU27" i="7"/>
  <c r="EU26" i="7"/>
  <c r="EU25" i="7"/>
  <c r="EU24" i="7"/>
  <c r="EU23" i="7"/>
  <c r="EU22" i="7"/>
  <c r="EU21" i="7"/>
  <c r="EU20" i="7"/>
  <c r="EU19" i="7"/>
  <c r="EU18" i="7"/>
  <c r="EU17" i="7"/>
  <c r="EU15" i="7"/>
  <c r="EQ419" i="7"/>
  <c r="EQ418" i="7"/>
  <c r="EQ417" i="7"/>
  <c r="EQ416" i="7"/>
  <c r="EQ415" i="7"/>
  <c r="EQ413" i="7"/>
  <c r="EQ412" i="7"/>
  <c r="EQ400" i="7"/>
  <c r="EQ379" i="7"/>
  <c r="EQ378" i="7"/>
  <c r="EQ377" i="7"/>
  <c r="EQ376" i="7"/>
  <c r="EQ375" i="7"/>
  <c r="EQ374" i="7"/>
  <c r="EQ373" i="7"/>
  <c r="EQ372" i="7"/>
  <c r="EQ359" i="7"/>
  <c r="EQ358" i="7"/>
  <c r="EQ357" i="7"/>
  <c r="EQ356" i="7"/>
  <c r="EQ355" i="7"/>
  <c r="EQ354" i="7"/>
  <c r="EQ347" i="7"/>
  <c r="EQ346" i="7"/>
  <c r="EQ345" i="7"/>
  <c r="EQ344" i="7"/>
  <c r="EQ343" i="7"/>
  <c r="EQ342" i="7"/>
  <c r="EQ341" i="7"/>
  <c r="EQ340" i="7"/>
  <c r="EQ339" i="7"/>
  <c r="EQ332" i="7"/>
  <c r="EQ331" i="7"/>
  <c r="EQ330" i="7"/>
  <c r="EQ329" i="7"/>
  <c r="EQ328" i="7"/>
  <c r="EQ327" i="7"/>
  <c r="EQ326" i="7"/>
  <c r="EQ325" i="7"/>
  <c r="EQ324" i="7"/>
  <c r="EQ323" i="7"/>
  <c r="EQ322" i="7"/>
  <c r="EQ321" i="7"/>
  <c r="EQ320" i="7"/>
  <c r="EQ319" i="7"/>
  <c r="EQ318" i="7"/>
  <c r="EQ317" i="7"/>
  <c r="EQ316" i="7"/>
  <c r="EQ279" i="7"/>
  <c r="EQ278" i="7"/>
  <c r="EQ277" i="7"/>
  <c r="EQ276" i="7"/>
  <c r="EQ275" i="7"/>
  <c r="EQ274" i="7"/>
  <c r="EQ271" i="7"/>
  <c r="EQ221" i="7"/>
  <c r="EQ218" i="7"/>
  <c r="EQ217" i="7"/>
  <c r="EQ214" i="7"/>
  <c r="EQ213" i="7"/>
  <c r="EQ212" i="7"/>
  <c r="EQ211" i="7"/>
  <c r="EQ209" i="7"/>
  <c r="EQ208" i="7"/>
  <c r="EQ207" i="7"/>
  <c r="EQ206" i="7"/>
  <c r="EQ205" i="7"/>
  <c r="EQ198" i="7"/>
  <c r="EQ197" i="7"/>
  <c r="EQ196" i="7"/>
  <c r="EQ195" i="7"/>
  <c r="EQ186" i="7"/>
  <c r="EQ185" i="7"/>
  <c r="EQ183" i="7"/>
  <c r="EQ182" i="7"/>
  <c r="EQ178" i="7"/>
  <c r="EQ177" i="7"/>
  <c r="EQ176" i="7"/>
  <c r="EQ173" i="7"/>
  <c r="EQ171" i="7"/>
  <c r="EQ170" i="7"/>
  <c r="EQ169" i="7"/>
  <c r="EQ168" i="7"/>
  <c r="EQ155" i="7"/>
  <c r="EQ154" i="7"/>
  <c r="EQ153" i="7"/>
  <c r="EQ152" i="7"/>
  <c r="EQ144" i="7"/>
  <c r="EQ143" i="7"/>
  <c r="EQ142" i="7"/>
  <c r="EQ141" i="7"/>
  <c r="EQ140" i="7"/>
  <c r="EQ139" i="7"/>
  <c r="EQ138" i="7"/>
  <c r="EQ137" i="7"/>
  <c r="EQ136" i="7"/>
  <c r="EQ135" i="7"/>
  <c r="EQ111" i="7"/>
  <c r="EQ110" i="7"/>
  <c r="EQ109" i="7"/>
  <c r="EQ108" i="7"/>
  <c r="EQ107" i="7"/>
  <c r="EQ106" i="7"/>
  <c r="EQ105" i="7"/>
  <c r="EQ104" i="7"/>
  <c r="EQ99" i="7"/>
  <c r="EQ97" i="7"/>
  <c r="EQ96" i="7"/>
  <c r="EQ95" i="7"/>
  <c r="EQ94" i="7"/>
  <c r="EQ93" i="7"/>
  <c r="EQ92" i="7"/>
  <c r="EQ91" i="7"/>
  <c r="EQ87" i="7"/>
  <c r="EQ86" i="7"/>
  <c r="EQ85" i="7"/>
  <c r="EQ84" i="7"/>
  <c r="EQ74" i="7"/>
  <c r="EQ73" i="7"/>
  <c r="EQ72" i="7"/>
  <c r="EQ71" i="7"/>
  <c r="EQ60" i="7"/>
  <c r="EQ59" i="7"/>
  <c r="EQ54" i="7"/>
  <c r="EQ53" i="7"/>
  <c r="EQ42" i="7"/>
  <c r="EQ41" i="7"/>
  <c r="EQ36" i="7"/>
  <c r="EQ35" i="7"/>
  <c r="EQ33" i="7"/>
  <c r="EQ32" i="7"/>
  <c r="EQ29" i="7"/>
  <c r="EQ28" i="7"/>
  <c r="EQ27" i="7"/>
  <c r="EQ26" i="7"/>
  <c r="EQ25" i="7"/>
  <c r="EQ24" i="7"/>
  <c r="EQ23" i="7"/>
  <c r="EQ22" i="7"/>
  <c r="EQ21" i="7"/>
  <c r="EQ20" i="7"/>
  <c r="EQ19" i="7"/>
  <c r="EQ18" i="7"/>
  <c r="EU14" i="7"/>
  <c r="AU213" i="7"/>
  <c r="SP161" i="7" l="1"/>
  <c r="SP160" i="7"/>
  <c r="SP159" i="7"/>
  <c r="SP158" i="7"/>
  <c r="SP157" i="7"/>
  <c r="SP156" i="7"/>
  <c r="SL156" i="7"/>
  <c r="SL157" i="7"/>
  <c r="SL158" i="7"/>
  <c r="SL159" i="7"/>
  <c r="SL160" i="7"/>
  <c r="SL161" i="7"/>
  <c r="SP395" i="7"/>
  <c r="SP394" i="7"/>
  <c r="SL395" i="7"/>
  <c r="SL394" i="7"/>
  <c r="QG175" i="7"/>
  <c r="QG174" i="7"/>
  <c r="QG160" i="7"/>
  <c r="QG159" i="7"/>
  <c r="QG157" i="7"/>
  <c r="QG156" i="7"/>
  <c r="QC175" i="7"/>
  <c r="QC174" i="7"/>
  <c r="QC161" i="7"/>
  <c r="QC160" i="7"/>
  <c r="QC159" i="7"/>
  <c r="QC158" i="7"/>
  <c r="QC157" i="7"/>
  <c r="QC156" i="7"/>
  <c r="QG76" i="7"/>
  <c r="QG75" i="7"/>
  <c r="QG74" i="7"/>
  <c r="QG73" i="7"/>
  <c r="QG72" i="7"/>
  <c r="QG71" i="7"/>
  <c r="QC71" i="7"/>
  <c r="QC72" i="7"/>
  <c r="QC73" i="7"/>
  <c r="QC74" i="7"/>
  <c r="QC75" i="7"/>
  <c r="QC76" i="7"/>
  <c r="QG17" i="7"/>
  <c r="QG16" i="7"/>
  <c r="QG15" i="7"/>
  <c r="QG14" i="7"/>
  <c r="QC15" i="7"/>
  <c r="QC16" i="7"/>
  <c r="QC17" i="7"/>
  <c r="QC14" i="7"/>
  <c r="NV33" i="7"/>
  <c r="NR33" i="7"/>
  <c r="NV99" i="7"/>
  <c r="NV221" i="7"/>
  <c r="NR221" i="7"/>
  <c r="NV395" i="7"/>
  <c r="NV394" i="7"/>
  <c r="NR395" i="7"/>
  <c r="NR394" i="7"/>
  <c r="NJ395" i="7"/>
  <c r="NJ394" i="7"/>
  <c r="NF395" i="7"/>
  <c r="NF394" i="7"/>
  <c r="NJ221" i="7"/>
  <c r="NF221" i="7"/>
  <c r="NJ99" i="7"/>
  <c r="NJ33" i="7"/>
  <c r="NF33" i="7"/>
  <c r="MU194" i="7"/>
  <c r="BA417" i="7"/>
  <c r="BA416" i="7"/>
  <c r="AW417" i="7"/>
  <c r="AW416" i="7"/>
  <c r="BA395" i="7"/>
  <c r="BA394" i="7"/>
  <c r="AW395" i="7"/>
  <c r="AW394" i="7"/>
  <c r="BA221" i="7"/>
  <c r="AW221" i="7"/>
  <c r="BA205" i="7"/>
  <c r="AW205" i="7"/>
  <c r="BA134" i="7"/>
  <c r="AW134" i="7"/>
  <c r="BA111" i="7"/>
  <c r="BA110" i="7"/>
  <c r="BA109" i="7"/>
  <c r="BA108" i="7"/>
  <c r="BA107" i="7"/>
  <c r="BA106" i="7"/>
  <c r="BA105" i="7"/>
  <c r="BA104" i="7"/>
  <c r="AW111" i="7"/>
  <c r="AW110" i="7"/>
  <c r="AW109" i="7"/>
  <c r="AW108" i="7"/>
  <c r="AW107" i="7"/>
  <c r="AW106" i="7"/>
  <c r="AW105" i="7"/>
  <c r="AW104" i="7"/>
  <c r="BA34" i="7"/>
  <c r="BA33" i="7"/>
  <c r="AW34" i="7"/>
  <c r="AW33" i="7"/>
  <c r="BA17" i="7"/>
  <c r="BA16" i="7"/>
  <c r="BA15" i="7"/>
  <c r="AW15" i="7"/>
  <c r="AW16" i="7"/>
  <c r="AW17" i="7"/>
  <c r="AW14" i="7"/>
  <c r="LE205" i="7"/>
  <c r="LA205" i="7"/>
  <c r="KT417" i="7"/>
  <c r="KT416" i="7"/>
  <c r="KP417" i="7"/>
  <c r="KP416" i="7"/>
  <c r="KT395" i="7"/>
  <c r="KT394" i="7"/>
  <c r="KP395" i="7"/>
  <c r="KP394" i="7"/>
  <c r="KT221" i="7"/>
  <c r="KP221" i="7"/>
  <c r="KT205" i="7"/>
  <c r="KP205" i="7"/>
  <c r="KT161" i="7"/>
  <c r="KT160" i="7"/>
  <c r="KT159" i="7"/>
  <c r="KT158" i="7"/>
  <c r="KT157" i="7"/>
  <c r="KT156" i="7"/>
  <c r="KP157" i="7"/>
  <c r="KP158" i="7"/>
  <c r="KP159" i="7"/>
  <c r="KP160" i="7"/>
  <c r="KP161" i="7"/>
  <c r="KP156" i="7"/>
  <c r="KT134" i="7"/>
  <c r="KP134" i="7"/>
  <c r="KT111" i="7"/>
  <c r="KT110" i="7"/>
  <c r="KT109" i="7"/>
  <c r="KT108" i="7"/>
  <c r="KT107" i="7"/>
  <c r="KT106" i="7"/>
  <c r="KT105" i="7"/>
  <c r="KT104" i="7"/>
  <c r="KP111" i="7"/>
  <c r="KP110" i="7"/>
  <c r="KP109" i="7"/>
  <c r="KP108" i="7"/>
  <c r="KP107" i="7"/>
  <c r="KP106" i="7"/>
  <c r="KP105" i="7"/>
  <c r="KP104" i="7"/>
  <c r="KT34" i="7"/>
  <c r="KP34" i="7"/>
  <c r="KT17" i="7"/>
  <c r="KT16" i="7"/>
  <c r="KT15" i="7"/>
  <c r="KT14" i="7"/>
  <c r="KP15" i="7"/>
  <c r="KP16" i="7"/>
  <c r="KP17" i="7"/>
  <c r="KP14" i="7"/>
  <c r="JD417" i="7"/>
  <c r="JD416" i="7"/>
  <c r="IZ417" i="7"/>
  <c r="IZ416" i="7"/>
  <c r="JD395" i="7"/>
  <c r="JD394" i="7"/>
  <c r="IZ395" i="7"/>
  <c r="IZ394" i="7"/>
  <c r="IZ363" i="7"/>
  <c r="IZ362" i="7"/>
  <c r="IZ361" i="7"/>
  <c r="IZ315" i="7"/>
  <c r="IZ314" i="7"/>
  <c r="IZ313" i="7"/>
  <c r="IZ312" i="7"/>
  <c r="IZ311" i="7"/>
  <c r="IZ310" i="7"/>
  <c r="IZ309" i="7"/>
  <c r="IZ308" i="7"/>
  <c r="IZ307" i="7"/>
  <c r="IZ306" i="7"/>
  <c r="IZ305" i="7"/>
  <c r="IZ304" i="7"/>
  <c r="IZ303" i="7"/>
  <c r="IZ302" i="7"/>
  <c r="IZ301" i="7"/>
  <c r="IZ300" i="7"/>
  <c r="IZ299" i="7"/>
  <c r="IZ298" i="7"/>
  <c r="IZ297" i="7"/>
  <c r="IZ296" i="7"/>
  <c r="IZ295" i="7"/>
  <c r="IZ294" i="7"/>
  <c r="IZ293" i="7"/>
  <c r="IZ292" i="7"/>
  <c r="IZ291" i="7"/>
  <c r="IZ290" i="7"/>
  <c r="IZ289" i="7"/>
  <c r="IZ288" i="7"/>
  <c r="IZ287" i="7"/>
  <c r="IZ286" i="7"/>
  <c r="IZ285" i="7"/>
  <c r="IZ284" i="7"/>
  <c r="IZ283" i="7"/>
  <c r="IZ282" i="7"/>
  <c r="IZ281" i="7"/>
  <c r="IZ280" i="7"/>
  <c r="IZ221" i="7"/>
  <c r="JD221" i="7"/>
  <c r="IZ202" i="7"/>
  <c r="IZ201" i="7"/>
  <c r="JD161" i="7"/>
  <c r="JD160" i="7"/>
  <c r="JD159" i="7"/>
  <c r="JD158" i="7"/>
  <c r="JD157" i="7"/>
  <c r="JD156" i="7"/>
  <c r="IZ161" i="7"/>
  <c r="IZ160" i="7"/>
  <c r="IZ159" i="7"/>
  <c r="IZ158" i="7"/>
  <c r="IZ157" i="7"/>
  <c r="IZ156" i="7"/>
  <c r="JD144" i="7"/>
  <c r="JD143" i="7"/>
  <c r="JD142" i="7"/>
  <c r="JD141" i="7"/>
  <c r="JD134" i="7"/>
  <c r="IZ144" i="7"/>
  <c r="IZ143" i="7"/>
  <c r="IZ142" i="7"/>
  <c r="IZ141" i="7"/>
  <c r="IZ134" i="7"/>
  <c r="JD99" i="7"/>
  <c r="IZ99" i="7"/>
  <c r="JD14" i="7"/>
  <c r="JD34" i="7"/>
  <c r="IZ76" i="7"/>
  <c r="IZ75" i="7"/>
  <c r="IZ74" i="7"/>
  <c r="IZ73" i="7"/>
  <c r="IZ72" i="7"/>
  <c r="IZ71" i="7"/>
  <c r="IZ70" i="7"/>
  <c r="IZ69" i="7"/>
  <c r="IZ68" i="7"/>
  <c r="IZ67" i="7"/>
  <c r="IZ66" i="7"/>
  <c r="IZ65" i="7"/>
  <c r="IZ64" i="7"/>
  <c r="IZ63" i="7"/>
  <c r="IZ62" i="7"/>
  <c r="IZ61" i="7"/>
  <c r="IZ60" i="7"/>
  <c r="IZ59" i="7"/>
  <c r="IZ58" i="7"/>
  <c r="IZ57" i="7"/>
  <c r="IZ56" i="7"/>
  <c r="IZ55" i="7"/>
  <c r="IZ54" i="7"/>
  <c r="IZ53" i="7"/>
  <c r="IZ52" i="7"/>
  <c r="IZ51" i="7"/>
  <c r="IZ50" i="7"/>
  <c r="IZ49" i="7"/>
  <c r="IZ48" i="7"/>
  <c r="IZ47" i="7"/>
  <c r="IZ46" i="7"/>
  <c r="IZ45" i="7"/>
  <c r="IZ44" i="7"/>
  <c r="IZ43" i="7"/>
  <c r="IZ42" i="7"/>
  <c r="IZ41" i="7"/>
  <c r="IZ40" i="7"/>
  <c r="IZ39" i="7"/>
  <c r="IZ38" i="7"/>
  <c r="IZ37" i="7"/>
  <c r="IZ36" i="7"/>
  <c r="IZ35" i="7"/>
  <c r="IZ34" i="7"/>
  <c r="JD17" i="7"/>
  <c r="JD16" i="7"/>
  <c r="JD15" i="7"/>
  <c r="IZ15" i="7"/>
  <c r="IZ16" i="7"/>
  <c r="IZ17" i="7"/>
  <c r="IZ14" i="7"/>
  <c r="IR99" i="7"/>
  <c r="IR474" i="7" s="1"/>
  <c r="IN99" i="7"/>
  <c r="IN474" i="7" s="1"/>
  <c r="IB190" i="7"/>
  <c r="IB189" i="7"/>
  <c r="IB188" i="7"/>
  <c r="IB184" i="7"/>
  <c r="IB183" i="7"/>
  <c r="IB182" i="7"/>
  <c r="IF80" i="7"/>
  <c r="IB80" i="7"/>
  <c r="HU80" i="7"/>
  <c r="HQ80" i="7"/>
  <c r="HJ417" i="7"/>
  <c r="HJ416" i="7"/>
  <c r="HF417" i="7"/>
  <c r="HF416" i="7"/>
  <c r="HJ395" i="7"/>
  <c r="HJ394" i="7"/>
  <c r="HF395" i="7"/>
  <c r="HF394" i="7"/>
  <c r="HJ272" i="7"/>
  <c r="HJ205" i="7"/>
  <c r="HF205" i="7"/>
  <c r="HJ161" i="7"/>
  <c r="HJ160" i="7"/>
  <c r="HJ159" i="7"/>
  <c r="HJ158" i="7"/>
  <c r="HJ157" i="7"/>
  <c r="HJ156" i="7"/>
  <c r="HF157" i="7"/>
  <c r="HF158" i="7"/>
  <c r="HF159" i="7"/>
  <c r="HF160" i="7"/>
  <c r="HF161" i="7"/>
  <c r="HF156" i="7"/>
  <c r="HJ134" i="7"/>
  <c r="HF134" i="7"/>
  <c r="HJ111" i="7"/>
  <c r="HJ110" i="7"/>
  <c r="HJ109" i="7"/>
  <c r="HJ108" i="7"/>
  <c r="HJ107" i="7"/>
  <c r="HJ106" i="7"/>
  <c r="HJ105" i="7"/>
  <c r="HF111" i="7"/>
  <c r="HF110" i="7"/>
  <c r="HF109" i="7"/>
  <c r="HF108" i="7"/>
  <c r="HF107" i="7"/>
  <c r="HF106" i="7"/>
  <c r="HF105" i="7"/>
  <c r="HJ104" i="7"/>
  <c r="HF104" i="7"/>
  <c r="HJ80" i="7"/>
  <c r="HF80" i="7"/>
  <c r="HF33" i="7"/>
  <c r="HJ17" i="7"/>
  <c r="HJ16" i="7"/>
  <c r="HJ15" i="7"/>
  <c r="HJ14" i="7"/>
  <c r="HF15" i="7"/>
  <c r="HF16" i="7"/>
  <c r="HF17" i="7"/>
  <c r="HF14" i="7"/>
  <c r="GL415" i="7"/>
  <c r="GH415" i="7"/>
  <c r="GL395" i="7"/>
  <c r="GL394" i="7"/>
  <c r="GH395" i="7"/>
  <c r="GH394" i="7"/>
  <c r="GL392" i="7"/>
  <c r="GH392" i="7"/>
  <c r="GL221" i="7"/>
  <c r="GH221" i="7"/>
  <c r="GL218" i="7"/>
  <c r="GL217" i="7"/>
  <c r="GH218" i="7"/>
  <c r="GH217" i="7"/>
  <c r="GL134" i="7"/>
  <c r="GH134" i="7"/>
  <c r="GL33" i="7"/>
  <c r="GH33" i="7"/>
  <c r="GX15" i="7" l="1"/>
  <c r="GX14" i="7"/>
  <c r="GX17" i="7"/>
  <c r="GX29" i="7"/>
  <c r="GX28" i="7"/>
  <c r="GX27" i="7"/>
  <c r="GX26" i="7"/>
  <c r="GX25" i="7"/>
  <c r="GX24" i="7"/>
  <c r="GX23" i="7"/>
  <c r="GX22" i="7"/>
  <c r="GX21" i="7"/>
  <c r="GX20" i="7"/>
  <c r="GX19" i="7"/>
  <c r="GX18" i="7"/>
  <c r="GX76" i="7"/>
  <c r="GX58" i="7"/>
  <c r="GX57" i="7"/>
  <c r="GX56" i="7"/>
  <c r="GX55" i="7"/>
  <c r="GX54" i="7"/>
  <c r="GX53" i="7"/>
  <c r="GX46" i="7"/>
  <c r="GX45" i="7"/>
  <c r="GX44" i="7"/>
  <c r="GX43" i="7"/>
  <c r="GX42" i="7"/>
  <c r="GX41" i="7"/>
  <c r="GX40" i="7"/>
  <c r="GX39" i="7"/>
  <c r="GX38" i="7"/>
  <c r="GX37" i="7"/>
  <c r="GX36" i="7"/>
  <c r="GX35" i="7"/>
  <c r="GX75" i="7"/>
  <c r="GX74" i="7"/>
  <c r="GX73" i="7"/>
  <c r="GX72" i="7"/>
  <c r="GX71" i="7"/>
  <c r="GX64" i="7"/>
  <c r="GX63" i="7"/>
  <c r="GX62" i="7"/>
  <c r="GX61" i="7"/>
  <c r="GX60" i="7"/>
  <c r="GX59" i="7"/>
  <c r="GX87" i="7"/>
  <c r="GX86" i="7"/>
  <c r="GX85" i="7"/>
  <c r="GX84" i="7"/>
  <c r="GX97" i="7"/>
  <c r="GX96" i="7"/>
  <c r="GX95" i="7"/>
  <c r="GX94" i="7"/>
  <c r="GX93" i="7"/>
  <c r="GX92" i="7"/>
  <c r="GX91" i="7"/>
  <c r="GX99" i="7"/>
  <c r="GX111" i="7"/>
  <c r="GX110" i="7"/>
  <c r="GX109" i="7"/>
  <c r="GX108" i="7"/>
  <c r="GX107" i="7"/>
  <c r="GX106" i="7"/>
  <c r="GX105" i="7"/>
  <c r="GX104" i="7"/>
  <c r="GX134" i="7"/>
  <c r="GX152" i="7"/>
  <c r="GX155" i="7"/>
  <c r="GX154" i="7"/>
  <c r="GX153" i="7"/>
  <c r="GX198" i="7"/>
  <c r="GX197" i="7"/>
  <c r="GX196" i="7"/>
  <c r="GX195" i="7"/>
  <c r="GX212" i="7"/>
  <c r="GX211" i="7"/>
  <c r="GX221" i="7"/>
  <c r="GX270" i="7"/>
  <c r="GX332" i="7"/>
  <c r="GX331" i="7"/>
  <c r="GX330" i="7"/>
  <c r="GX329" i="7"/>
  <c r="GX328" i="7"/>
  <c r="GX327" i="7"/>
  <c r="GX326" i="7"/>
  <c r="GX325" i="7"/>
  <c r="GX324" i="7"/>
  <c r="GX323" i="7"/>
  <c r="GX322" i="7"/>
  <c r="GX321" i="7"/>
  <c r="GX320" i="7"/>
  <c r="GX319" i="7"/>
  <c r="GX318" i="7"/>
  <c r="GX317" i="7"/>
  <c r="GX316" i="7"/>
  <c r="GX398" i="7"/>
  <c r="GX397" i="7"/>
  <c r="GX413" i="7"/>
  <c r="GX412" i="7"/>
  <c r="GT413" i="7"/>
  <c r="GT412" i="7"/>
  <c r="GT398" i="7"/>
  <c r="GT397" i="7"/>
  <c r="GT332" i="7"/>
  <c r="GT331" i="7"/>
  <c r="GT330" i="7"/>
  <c r="GT329" i="7"/>
  <c r="GT328" i="7"/>
  <c r="GT327" i="7"/>
  <c r="GT326" i="7"/>
  <c r="GT325" i="7"/>
  <c r="GT324" i="7"/>
  <c r="GT323" i="7"/>
  <c r="GT322" i="7"/>
  <c r="GT321" i="7"/>
  <c r="GT320" i="7"/>
  <c r="GT319" i="7"/>
  <c r="GT318" i="7"/>
  <c r="GT317" i="7"/>
  <c r="GT316" i="7"/>
  <c r="GT270" i="7"/>
  <c r="GT221" i="7"/>
  <c r="GT212" i="7"/>
  <c r="GT211" i="7"/>
  <c r="GT198" i="7"/>
  <c r="GT197" i="7"/>
  <c r="GT196" i="7"/>
  <c r="GT195" i="7"/>
  <c r="GT186" i="7"/>
  <c r="GT185" i="7"/>
  <c r="GT183" i="7"/>
  <c r="GT182" i="7"/>
  <c r="GT155" i="7"/>
  <c r="GT154" i="7"/>
  <c r="GT153" i="7"/>
  <c r="GT152" i="7"/>
  <c r="GT134" i="7"/>
  <c r="GT111" i="7"/>
  <c r="GT110" i="7"/>
  <c r="GT109" i="7"/>
  <c r="GT108" i="7"/>
  <c r="GT107" i="7"/>
  <c r="GT106" i="7"/>
  <c r="GT105" i="7"/>
  <c r="GT104" i="7"/>
  <c r="GT99" i="7"/>
  <c r="GT97" i="7"/>
  <c r="GT96" i="7"/>
  <c r="GT95" i="7"/>
  <c r="GT94" i="7"/>
  <c r="GT93" i="7"/>
  <c r="GT92" i="7"/>
  <c r="GT91" i="7"/>
  <c r="GT87" i="7"/>
  <c r="GT86" i="7"/>
  <c r="GT85" i="7"/>
  <c r="GT84" i="7"/>
  <c r="GT76" i="7"/>
  <c r="GT75" i="7"/>
  <c r="GT74" i="7"/>
  <c r="GT73" i="7"/>
  <c r="GT72" i="7"/>
  <c r="GT71" i="7"/>
  <c r="GT64" i="7"/>
  <c r="GT63" i="7"/>
  <c r="GT62" i="7"/>
  <c r="GT61" i="7"/>
  <c r="GT60" i="7"/>
  <c r="GT59" i="7"/>
  <c r="GT58" i="7"/>
  <c r="GT57" i="7"/>
  <c r="GT56" i="7"/>
  <c r="GT55" i="7"/>
  <c r="GT54" i="7"/>
  <c r="GT53" i="7"/>
  <c r="GT46" i="7"/>
  <c r="GT45" i="7"/>
  <c r="GT44" i="7"/>
  <c r="GT43" i="7"/>
  <c r="GT42" i="7"/>
  <c r="GT41" i="7"/>
  <c r="GT40" i="7"/>
  <c r="GT39" i="7"/>
  <c r="GT38" i="7"/>
  <c r="GT37" i="7"/>
  <c r="GT36" i="7"/>
  <c r="GT35" i="7"/>
  <c r="GT19" i="7"/>
  <c r="GT20" i="7"/>
  <c r="GT21" i="7"/>
  <c r="GT22" i="7"/>
  <c r="GT23" i="7"/>
  <c r="GT24" i="7"/>
  <c r="GT25" i="7"/>
  <c r="GT26" i="7"/>
  <c r="GT27" i="7"/>
  <c r="GT28" i="7"/>
  <c r="GT29" i="7"/>
  <c r="GT18" i="7"/>
  <c r="DR146" i="7" l="1"/>
  <c r="DN216" i="7"/>
  <c r="DO149" i="7"/>
  <c r="DN145" i="7"/>
  <c r="EA172" i="7"/>
  <c r="EF265" i="7"/>
  <c r="EB172" i="7"/>
  <c r="EF172" i="7"/>
  <c r="EE172" i="7"/>
  <c r="EE97" i="7"/>
  <c r="EE96" i="7"/>
  <c r="EE95" i="7"/>
  <c r="EE94" i="7"/>
  <c r="EE93" i="7"/>
  <c r="EE92" i="7"/>
  <c r="EE91" i="7"/>
  <c r="EA91" i="7"/>
  <c r="EA97" i="7"/>
  <c r="EA96" i="7"/>
  <c r="EA95" i="7"/>
  <c r="EA94" i="7"/>
  <c r="EA93" i="7"/>
  <c r="EA92" i="7"/>
  <c r="DS392" i="7"/>
  <c r="DR392" i="7"/>
  <c r="DN392" i="7"/>
  <c r="DO392" i="7"/>
  <c r="DN388" i="7"/>
  <c r="DS360" i="7"/>
  <c r="DR360" i="7"/>
  <c r="DO360" i="7"/>
  <c r="DN360" i="7"/>
  <c r="DS332" i="7"/>
  <c r="DS331" i="7"/>
  <c r="DR332" i="7"/>
  <c r="DR331" i="7"/>
  <c r="DN332" i="7"/>
  <c r="DO332" i="7"/>
  <c r="DO331" i="7"/>
  <c r="DN331" i="7"/>
  <c r="EF221" i="7"/>
  <c r="EB221" i="7"/>
  <c r="DS205" i="7"/>
  <c r="DR205" i="7"/>
  <c r="DR145" i="7"/>
  <c r="DN146" i="7"/>
  <c r="DS99" i="7"/>
  <c r="EF98" i="7"/>
  <c r="EB98" i="7"/>
  <c r="DS98" i="7"/>
  <c r="DR83" i="7"/>
  <c r="DR82" i="7"/>
  <c r="DR81" i="7"/>
  <c r="DN81" i="7"/>
  <c r="DN82" i="7"/>
  <c r="DN83" i="7"/>
  <c r="DN79" i="7"/>
  <c r="DS79" i="7"/>
  <c r="DR79" i="7"/>
  <c r="DO79" i="7"/>
  <c r="DS60" i="7"/>
  <c r="DR3" i="7"/>
  <c r="DR2" i="7"/>
  <c r="CF31" i="7"/>
  <c r="CF30" i="7"/>
  <c r="CB31" i="7"/>
  <c r="CB30" i="7"/>
  <c r="DB51" i="7"/>
  <c r="O3230" i="15" s="1"/>
  <c r="CO46" i="7"/>
  <c r="CF46" i="7"/>
  <c r="CF45" i="7"/>
  <c r="CF44" i="7"/>
  <c r="CF43" i="7"/>
  <c r="CF42" i="7"/>
  <c r="CF41" i="7"/>
  <c r="CF40" i="7"/>
  <c r="CF39" i="7"/>
  <c r="CF38" i="7"/>
  <c r="CF37" i="7"/>
  <c r="DO273" i="7"/>
  <c r="LT417" i="7"/>
  <c r="LU417" i="7"/>
  <c r="LV417" i="7"/>
  <c r="LW417" i="7"/>
  <c r="LY417" i="7"/>
  <c r="LZ417" i="7"/>
  <c r="MA417" i="7"/>
  <c r="MA416" i="7"/>
  <c r="LZ416" i="7"/>
  <c r="LY416" i="7"/>
  <c r="LW416" i="7"/>
  <c r="LV416" i="7"/>
  <c r="LU416" i="7"/>
  <c r="LT416" i="7"/>
  <c r="CS415" i="7"/>
  <c r="DE418" i="7"/>
  <c r="DF419" i="7"/>
  <c r="DE419" i="7"/>
  <c r="DF418" i="7"/>
  <c r="DB419" i="7"/>
  <c r="DA419" i="7"/>
  <c r="DB418" i="7"/>
  <c r="DA418" i="7"/>
  <c r="CR419" i="7"/>
  <c r="CR418" i="7"/>
  <c r="CN419" i="7"/>
  <c r="CN418" i="7"/>
  <c r="CE419" i="7"/>
  <c r="CE418" i="7"/>
  <c r="CA419" i="7"/>
  <c r="CA418" i="7"/>
  <c r="K419" i="7"/>
  <c r="K418" i="7"/>
  <c r="I419" i="7"/>
  <c r="I418" i="7"/>
  <c r="CE249" i="7"/>
  <c r="CE248" i="7"/>
  <c r="CE247" i="7"/>
  <c r="CE246" i="7"/>
  <c r="CA249" i="7"/>
  <c r="CA248" i="7"/>
  <c r="CA247" i="7"/>
  <c r="CA246" i="7"/>
  <c r="DA246" i="7"/>
  <c r="CR249" i="7"/>
  <c r="CR248" i="7"/>
  <c r="CR247" i="7"/>
  <c r="CR246" i="7"/>
  <c r="CN249" i="7"/>
  <c r="CN248" i="7"/>
  <c r="CN247" i="7"/>
  <c r="CN246" i="7"/>
  <c r="DE249" i="7"/>
  <c r="DE248" i="7"/>
  <c r="DE247" i="7"/>
  <c r="DE246" i="7"/>
  <c r="DA249" i="7"/>
  <c r="DA248" i="7"/>
  <c r="DA247" i="7"/>
  <c r="DR230" i="7"/>
  <c r="DR229" i="7"/>
  <c r="DR227" i="7"/>
  <c r="DR228" i="7"/>
  <c r="DR226" i="7"/>
  <c r="DN227" i="7"/>
  <c r="DN228" i="7"/>
  <c r="DN229" i="7"/>
  <c r="DN230" i="7"/>
  <c r="DN226" i="7"/>
  <c r="DA229" i="7"/>
  <c r="DA227" i="7"/>
  <c r="DA230" i="7"/>
  <c r="DA228" i="7"/>
  <c r="CE202" i="7"/>
  <c r="DF3" i="7"/>
  <c r="DE3" i="7"/>
  <c r="DB3" i="7"/>
  <c r="DA3" i="7"/>
  <c r="DF2" i="7"/>
  <c r="DA2" i="7"/>
  <c r="EE205" i="7"/>
  <c r="NO411" i="7"/>
  <c r="NO410" i="7"/>
  <c r="NC411" i="7"/>
  <c r="NC410" i="7"/>
  <c r="MA411" i="7"/>
  <c r="LY411" i="7"/>
  <c r="LW411" i="7"/>
  <c r="LT411" i="7"/>
  <c r="MA410" i="7"/>
  <c r="LW410" i="7"/>
  <c r="LT410" i="7"/>
  <c r="GU411" i="7"/>
  <c r="GV411" i="7"/>
  <c r="GV410" i="7"/>
  <c r="GU410" i="7"/>
  <c r="GQ411" i="7"/>
  <c r="GR411" i="7"/>
  <c r="GR410" i="7"/>
  <c r="GQ410" i="7"/>
  <c r="GI411" i="7"/>
  <c r="GJ411" i="7"/>
  <c r="GJ410" i="7"/>
  <c r="GI410" i="7"/>
  <c r="GE411" i="7"/>
  <c r="GF411" i="7"/>
  <c r="GF410" i="7"/>
  <c r="GE410" i="7"/>
  <c r="EF411" i="7"/>
  <c r="EE411" i="7"/>
  <c r="EF410" i="7"/>
  <c r="EE410" i="7"/>
  <c r="EB410" i="7"/>
  <c r="EA410" i="7"/>
  <c r="DO409" i="7"/>
  <c r="DS409" i="7"/>
  <c r="DR409" i="7"/>
  <c r="DN409" i="7"/>
  <c r="DS155" i="7"/>
  <c r="DR155" i="7"/>
  <c r="DR154" i="7"/>
  <c r="DS153" i="7"/>
  <c r="DR153" i="7"/>
  <c r="DS89" i="7"/>
  <c r="DR89" i="7"/>
  <c r="DO89" i="7"/>
  <c r="DN89" i="7"/>
  <c r="DS88" i="7"/>
  <c r="DR88" i="7"/>
  <c r="DO88" i="7"/>
  <c r="DN88" i="7"/>
  <c r="DN157" i="7"/>
  <c r="DN156" i="7"/>
  <c r="DR388" i="7"/>
  <c r="CF202" i="7"/>
  <c r="CS202" i="7"/>
  <c r="CR202" i="7"/>
  <c r="CS201" i="7"/>
  <c r="DF202" i="7"/>
  <c r="DF201" i="7"/>
  <c r="CR201" i="7"/>
  <c r="DA202" i="7"/>
  <c r="AX158" i="7"/>
  <c r="AX157" i="7"/>
  <c r="EF161" i="7"/>
  <c r="EE161" i="7"/>
  <c r="EB161" i="7"/>
  <c r="EA161" i="7"/>
  <c r="EF160" i="7"/>
  <c r="EE160" i="7"/>
  <c r="EB160" i="7"/>
  <c r="EA160" i="7"/>
  <c r="EF159" i="7"/>
  <c r="EE159" i="7"/>
  <c r="EB159" i="7"/>
  <c r="EA159" i="7"/>
  <c r="EF158" i="7"/>
  <c r="EE158" i="7"/>
  <c r="EB158" i="7"/>
  <c r="EA158" i="7"/>
  <c r="DS161" i="7"/>
  <c r="DR161" i="7"/>
  <c r="DO161" i="7"/>
  <c r="DN161" i="7"/>
  <c r="DS160" i="7"/>
  <c r="DR160" i="7"/>
  <c r="DO160" i="7"/>
  <c r="DN160" i="7"/>
  <c r="DS159" i="7"/>
  <c r="DR159" i="7"/>
  <c r="DO159" i="7"/>
  <c r="DN159" i="7"/>
  <c r="DS158" i="7"/>
  <c r="DR158" i="7"/>
  <c r="DO158" i="7"/>
  <c r="DN158" i="7"/>
  <c r="DS157" i="7"/>
  <c r="DR157" i="7"/>
  <c r="DO157" i="7"/>
  <c r="DS156" i="7"/>
  <c r="DR156" i="7"/>
  <c r="DO156" i="7"/>
  <c r="AT157" i="7"/>
  <c r="AU157" i="7"/>
  <c r="AT158" i="7"/>
  <c r="AU158" i="7"/>
  <c r="AT159" i="7"/>
  <c r="AU159" i="7"/>
  <c r="AT160" i="7"/>
  <c r="AU160" i="7"/>
  <c r="AT161" i="7"/>
  <c r="AU161" i="7"/>
  <c r="AY161" i="7"/>
  <c r="AX161" i="7"/>
  <c r="AY160" i="7"/>
  <c r="AX160" i="7"/>
  <c r="AY159" i="7"/>
  <c r="AX159" i="7"/>
  <c r="AY158" i="7"/>
  <c r="AY157" i="7"/>
  <c r="LT394" i="7"/>
  <c r="LU394" i="7"/>
  <c r="LV394" i="7"/>
  <c r="LW394" i="7"/>
  <c r="LY394" i="7"/>
  <c r="LZ394" i="7"/>
  <c r="MA394" i="7"/>
  <c r="LT395" i="7"/>
  <c r="LU395" i="7"/>
  <c r="LV395" i="7"/>
  <c r="LW395" i="7"/>
  <c r="LY395" i="7"/>
  <c r="LZ395" i="7"/>
  <c r="MA395" i="7"/>
  <c r="MA392" i="7"/>
  <c r="AY392" i="7"/>
  <c r="KR392" i="7"/>
  <c r="LY392" i="7"/>
  <c r="LW392" i="7"/>
  <c r="AU392" i="7"/>
  <c r="KN392" i="7"/>
  <c r="LU392" i="7"/>
  <c r="LT392" i="7"/>
  <c r="PA392" i="7"/>
  <c r="OX392" i="7"/>
  <c r="NT392" i="7"/>
  <c r="NP392" i="7"/>
  <c r="NH392" i="7"/>
  <c r="ND392" i="7"/>
  <c r="JB392" i="7"/>
  <c r="IX392" i="7"/>
  <c r="LW387" i="7"/>
  <c r="LU387" i="7"/>
  <c r="LT387" i="7"/>
  <c r="LW386" i="7"/>
  <c r="LU386" i="7"/>
  <c r="LT386" i="7"/>
  <c r="LW385" i="7"/>
  <c r="LU385" i="7"/>
  <c r="LT385" i="7"/>
  <c r="LW384" i="7"/>
  <c r="LU384" i="7"/>
  <c r="LT384" i="7"/>
  <c r="LW383" i="7"/>
  <c r="LU383" i="7"/>
  <c r="LT383" i="7"/>
  <c r="LW382" i="7"/>
  <c r="LU382" i="7"/>
  <c r="LT382" i="7"/>
  <c r="LW381" i="7"/>
  <c r="LU381" i="7"/>
  <c r="LT381" i="7"/>
  <c r="LW380" i="7"/>
  <c r="LU380" i="7"/>
  <c r="LT380" i="7"/>
  <c r="LW379" i="7"/>
  <c r="LU379" i="7"/>
  <c r="LT379" i="7"/>
  <c r="LW378" i="7"/>
  <c r="LU378" i="7"/>
  <c r="LT378" i="7"/>
  <c r="LW377" i="7"/>
  <c r="LU377" i="7"/>
  <c r="LT377" i="7"/>
  <c r="LW376" i="7"/>
  <c r="LU376" i="7"/>
  <c r="LT376" i="7"/>
  <c r="LW375" i="7"/>
  <c r="LU375" i="7"/>
  <c r="LT375" i="7"/>
  <c r="LW374" i="7"/>
  <c r="LU374" i="7"/>
  <c r="LT374" i="7"/>
  <c r="LW373" i="7"/>
  <c r="LU373" i="7"/>
  <c r="LT373" i="7"/>
  <c r="LW372" i="7"/>
  <c r="LU372" i="7"/>
  <c r="LT372" i="7"/>
  <c r="LW371" i="7"/>
  <c r="LU371" i="7"/>
  <c r="LT371" i="7"/>
  <c r="LW370" i="7"/>
  <c r="LU370" i="7"/>
  <c r="LT370" i="7"/>
  <c r="LW369" i="7"/>
  <c r="LU369" i="7"/>
  <c r="LT369" i="7"/>
  <c r="LW368" i="7"/>
  <c r="LU368" i="7"/>
  <c r="LT368" i="7"/>
  <c r="LW367" i="7"/>
  <c r="LU367" i="7"/>
  <c r="LT367" i="7"/>
  <c r="LW366" i="7"/>
  <c r="LU366" i="7"/>
  <c r="LT366" i="7"/>
  <c r="LW365" i="7"/>
  <c r="LU365" i="7"/>
  <c r="LT365" i="7"/>
  <c r="LW364" i="7"/>
  <c r="LU364" i="7"/>
  <c r="LT364" i="7"/>
  <c r="ES353" i="7"/>
  <c r="ER353" i="7"/>
  <c r="EO353" i="7"/>
  <c r="EN353" i="7"/>
  <c r="ES352" i="7"/>
  <c r="ER352" i="7"/>
  <c r="EO352" i="7"/>
  <c r="EN352" i="7"/>
  <c r="ES351" i="7"/>
  <c r="ER351" i="7"/>
  <c r="EO351" i="7"/>
  <c r="EN351" i="7"/>
  <c r="ES350" i="7"/>
  <c r="ER350" i="7"/>
  <c r="EO350" i="7"/>
  <c r="EN350" i="7"/>
  <c r="ES349" i="7"/>
  <c r="ER349" i="7"/>
  <c r="EO349" i="7"/>
  <c r="EN349" i="7"/>
  <c r="ES348" i="7"/>
  <c r="ER348" i="7"/>
  <c r="EO348" i="7"/>
  <c r="EN348" i="7"/>
  <c r="GV347" i="7"/>
  <c r="GR347" i="7"/>
  <c r="GV344" i="7"/>
  <c r="GR344" i="7"/>
  <c r="GV341" i="7"/>
  <c r="GR341" i="7"/>
  <c r="PA332" i="7"/>
  <c r="OX332" i="7"/>
  <c r="MA332" i="7"/>
  <c r="LY332" i="7"/>
  <c r="LW332" i="7"/>
  <c r="LU332" i="7"/>
  <c r="LT332" i="7"/>
  <c r="KR332" i="7"/>
  <c r="KN332" i="7"/>
  <c r="JB332" i="7"/>
  <c r="IX332" i="7"/>
  <c r="AY332" i="7"/>
  <c r="AU332" i="7"/>
  <c r="PA331" i="7"/>
  <c r="OX331" i="7"/>
  <c r="MA331" i="7"/>
  <c r="LY331" i="7"/>
  <c r="LW331" i="7"/>
  <c r="LU331" i="7"/>
  <c r="LT331" i="7"/>
  <c r="KR331" i="7"/>
  <c r="KN331" i="7"/>
  <c r="JB331" i="7"/>
  <c r="IX331" i="7"/>
  <c r="AY331" i="7"/>
  <c r="AU331" i="7"/>
  <c r="HH273" i="7"/>
  <c r="HD273" i="7"/>
  <c r="HD272" i="7"/>
  <c r="JB271" i="7"/>
  <c r="IX271" i="7"/>
  <c r="MA221" i="7"/>
  <c r="LZ221" i="7"/>
  <c r="LY221" i="7"/>
  <c r="LW221" i="7"/>
  <c r="LV221" i="7"/>
  <c r="LU221" i="7"/>
  <c r="LT221" i="7"/>
  <c r="MW220" i="7"/>
  <c r="MU220" i="7"/>
  <c r="MS220" i="7"/>
  <c r="MQ220" i="7"/>
  <c r="MP220" i="7"/>
  <c r="ML220" i="7"/>
  <c r="MJ220" i="7"/>
  <c r="MH220" i="7"/>
  <c r="MF220" i="7"/>
  <c r="ME220" i="7"/>
  <c r="MA220" i="7"/>
  <c r="LY220" i="7"/>
  <c r="LW220" i="7"/>
  <c r="LU220" i="7"/>
  <c r="LT220" i="7"/>
  <c r="LN220" i="7"/>
  <c r="LJ220" i="7"/>
  <c r="LC220" i="7"/>
  <c r="KY220" i="7"/>
  <c r="KR220" i="7"/>
  <c r="KN220" i="7"/>
  <c r="JX220" i="7"/>
  <c r="JT220" i="7"/>
  <c r="JM220" i="7"/>
  <c r="JI220" i="7"/>
  <c r="JB220" i="7"/>
  <c r="IX220" i="7"/>
  <c r="ID220" i="7"/>
  <c r="HZ220" i="7"/>
  <c r="HS220" i="7"/>
  <c r="HO220" i="7"/>
  <c r="HH220" i="7"/>
  <c r="HD220" i="7"/>
  <c r="EF220" i="7"/>
  <c r="EE220" i="7"/>
  <c r="EB220" i="7"/>
  <c r="EA220" i="7"/>
  <c r="DS220" i="7"/>
  <c r="DO220" i="7"/>
  <c r="BU220" i="7"/>
  <c r="BQ220" i="7"/>
  <c r="BJ220" i="7"/>
  <c r="BF220" i="7"/>
  <c r="AY220" i="7"/>
  <c r="AU220" i="7"/>
  <c r="MW219" i="7"/>
  <c r="MU219" i="7"/>
  <c r="MS219" i="7"/>
  <c r="MQ219" i="7"/>
  <c r="MP219" i="7"/>
  <c r="ML219" i="7"/>
  <c r="BJ219" i="7"/>
  <c r="LC219" i="7"/>
  <c r="MJ219" i="7"/>
  <c r="MH219" i="7"/>
  <c r="MF219" i="7"/>
  <c r="ME219" i="7"/>
  <c r="MA219" i="7"/>
  <c r="AY219" i="7"/>
  <c r="KR219" i="7"/>
  <c r="LY219" i="7"/>
  <c r="LW219" i="7"/>
  <c r="LU219" i="7"/>
  <c r="LT219" i="7"/>
  <c r="LN219" i="7"/>
  <c r="LJ219" i="7"/>
  <c r="KY219" i="7"/>
  <c r="KN219" i="7"/>
  <c r="JX219" i="7"/>
  <c r="JT219" i="7"/>
  <c r="JM219" i="7"/>
  <c r="JI219" i="7"/>
  <c r="JB219" i="7"/>
  <c r="IX219" i="7"/>
  <c r="ID219" i="7"/>
  <c r="HZ219" i="7"/>
  <c r="HS219" i="7"/>
  <c r="HO219" i="7"/>
  <c r="HH219" i="7"/>
  <c r="HD219" i="7"/>
  <c r="EF219" i="7"/>
  <c r="EE219" i="7"/>
  <c r="EB219" i="7"/>
  <c r="EA219" i="7"/>
  <c r="DS219" i="7"/>
  <c r="DO219" i="7"/>
  <c r="BU219" i="7"/>
  <c r="BQ219" i="7"/>
  <c r="BF219" i="7"/>
  <c r="AU219" i="7"/>
  <c r="LW218" i="7"/>
  <c r="LU218" i="7"/>
  <c r="LT218" i="7"/>
  <c r="LW217" i="7"/>
  <c r="LU217" i="7"/>
  <c r="LT217" i="7"/>
  <c r="NT216" i="7"/>
  <c r="NP216" i="7"/>
  <c r="NH216" i="7"/>
  <c r="ND216" i="7"/>
  <c r="MA216" i="7"/>
  <c r="LY216" i="7"/>
  <c r="LW216" i="7"/>
  <c r="LU216" i="7"/>
  <c r="LT216" i="7"/>
  <c r="EF216" i="7"/>
  <c r="EE216" i="7"/>
  <c r="EB216" i="7"/>
  <c r="DS216" i="7"/>
  <c r="DR216" i="7"/>
  <c r="DO216" i="7"/>
  <c r="GJ215" i="7"/>
  <c r="ML214" i="7"/>
  <c r="MJ214" i="7"/>
  <c r="MH214" i="7"/>
  <c r="MF214" i="7"/>
  <c r="ME214" i="7"/>
  <c r="MA214" i="7"/>
  <c r="LY214" i="7"/>
  <c r="LW214" i="7"/>
  <c r="LU214" i="7"/>
  <c r="LT214" i="7"/>
  <c r="LC214" i="7"/>
  <c r="KY214" i="7"/>
  <c r="KR214" i="7"/>
  <c r="KN214" i="7"/>
  <c r="AU214" i="7"/>
  <c r="JM214" i="7"/>
  <c r="JI214" i="7"/>
  <c r="JB214" i="7"/>
  <c r="IX214" i="7"/>
  <c r="HS214" i="7"/>
  <c r="HO214" i="7"/>
  <c r="HH214" i="7"/>
  <c r="HD214" i="7"/>
  <c r="BJ214" i="7"/>
  <c r="BF214" i="7"/>
  <c r="AY214" i="7"/>
  <c r="ML213" i="7"/>
  <c r="MJ213" i="7"/>
  <c r="MH213" i="7"/>
  <c r="MF213" i="7"/>
  <c r="ME213" i="7"/>
  <c r="MA213" i="7"/>
  <c r="LY213" i="7"/>
  <c r="LW213" i="7"/>
  <c r="LU213" i="7"/>
  <c r="LT213" i="7"/>
  <c r="LC213" i="7"/>
  <c r="KY213" i="7"/>
  <c r="KR213" i="7"/>
  <c r="KN213" i="7"/>
  <c r="JM213" i="7"/>
  <c r="JI213" i="7"/>
  <c r="JB213" i="7"/>
  <c r="IX213" i="7"/>
  <c r="HS213" i="7"/>
  <c r="HO213" i="7"/>
  <c r="HH213" i="7"/>
  <c r="HD213" i="7"/>
  <c r="BJ213" i="7"/>
  <c r="BF213" i="7"/>
  <c r="AY213" i="7"/>
  <c r="ML212" i="7"/>
  <c r="BE212" i="7"/>
  <c r="MA212" i="7"/>
  <c r="AX212" i="7"/>
  <c r="LW212" i="7"/>
  <c r="LT212" i="7"/>
  <c r="BI212" i="7"/>
  <c r="AT212" i="7"/>
  <c r="ML211" i="7"/>
  <c r="MA211" i="7"/>
  <c r="LW211" i="7"/>
  <c r="LT211" i="7"/>
  <c r="BI211" i="7"/>
  <c r="BE211" i="7"/>
  <c r="AX211" i="7"/>
  <c r="AT211" i="7"/>
  <c r="ME205" i="7"/>
  <c r="MA205" i="7"/>
  <c r="LZ205" i="7"/>
  <c r="LY205" i="7"/>
  <c r="LW205" i="7"/>
  <c r="LV205" i="7"/>
  <c r="LU205" i="7"/>
  <c r="LT205" i="7"/>
  <c r="EF205" i="7"/>
  <c r="EB205" i="7"/>
  <c r="EA205" i="7"/>
  <c r="ML204" i="7"/>
  <c r="MJ204" i="7"/>
  <c r="MH204" i="7"/>
  <c r="BF204" i="7"/>
  <c r="KY204" i="7"/>
  <c r="MF204" i="7"/>
  <c r="ME204" i="7"/>
  <c r="MA204" i="7"/>
  <c r="LY204" i="7"/>
  <c r="LW204" i="7"/>
  <c r="LU204" i="7"/>
  <c r="LT204" i="7"/>
  <c r="LC204" i="7"/>
  <c r="LG204" i="7" s="1"/>
  <c r="KR204" i="7"/>
  <c r="KN204" i="7"/>
  <c r="HS204" i="7"/>
  <c r="HO204" i="7"/>
  <c r="HH204" i="7"/>
  <c r="HD204" i="7"/>
  <c r="EF204" i="7"/>
  <c r="EE204" i="7"/>
  <c r="EB204" i="7"/>
  <c r="EA204" i="7"/>
  <c r="BJ204" i="7"/>
  <c r="AY204" i="7"/>
  <c r="AU204" i="7"/>
  <c r="ML203" i="7"/>
  <c r="MJ203" i="7"/>
  <c r="MH203" i="7"/>
  <c r="MF203" i="7"/>
  <c r="ME203" i="7"/>
  <c r="MA203" i="7"/>
  <c r="LY203" i="7"/>
  <c r="LW203" i="7"/>
  <c r="LU203" i="7"/>
  <c r="LT203" i="7"/>
  <c r="LC203" i="7"/>
  <c r="BJ203" i="7"/>
  <c r="KY203" i="7"/>
  <c r="KR203" i="7"/>
  <c r="AY203" i="7"/>
  <c r="KN203" i="7"/>
  <c r="HS203" i="7"/>
  <c r="HO203" i="7"/>
  <c r="HH203" i="7"/>
  <c r="HD203" i="7"/>
  <c r="EF203" i="7"/>
  <c r="EE203" i="7"/>
  <c r="EB203" i="7"/>
  <c r="EA203" i="7"/>
  <c r="BF203" i="7"/>
  <c r="AU203" i="7"/>
  <c r="ES202" i="7"/>
  <c r="EO202" i="7"/>
  <c r="DN202" i="7"/>
  <c r="ES201" i="7"/>
  <c r="EO201" i="7"/>
  <c r="DN201" i="7"/>
  <c r="DA201" i="7"/>
  <c r="JB200" i="7"/>
  <c r="IX200" i="7"/>
  <c r="ES200" i="7"/>
  <c r="EO200" i="7"/>
  <c r="JB199" i="7"/>
  <c r="JF199" i="7" s="1"/>
  <c r="IX199" i="7"/>
  <c r="ES199" i="7"/>
  <c r="EO199" i="7"/>
  <c r="MW194" i="7"/>
  <c r="MV194" i="7"/>
  <c r="MS194" i="7"/>
  <c r="MQ194" i="7"/>
  <c r="MP194" i="7"/>
  <c r="MH194" i="7"/>
  <c r="MF194" i="7"/>
  <c r="ME194" i="7"/>
  <c r="LW194" i="7"/>
  <c r="LU194" i="7"/>
  <c r="LT194" i="7"/>
  <c r="MW193" i="7"/>
  <c r="MS193" i="7"/>
  <c r="MP193" i="7"/>
  <c r="ML193" i="7"/>
  <c r="MH193" i="7"/>
  <c r="ME193" i="7"/>
  <c r="MA193" i="7"/>
  <c r="LW193" i="7"/>
  <c r="LT193" i="7"/>
  <c r="LM193" i="7"/>
  <c r="LB193" i="7"/>
  <c r="KQ193" i="7"/>
  <c r="JA193" i="7"/>
  <c r="ID193" i="7"/>
  <c r="IC193" i="7"/>
  <c r="HY193" i="7"/>
  <c r="HS193" i="7"/>
  <c r="HR193" i="7"/>
  <c r="HN193" i="7"/>
  <c r="HH193" i="7"/>
  <c r="HG193" i="7"/>
  <c r="HC193" i="7"/>
  <c r="GV193" i="7"/>
  <c r="GU193" i="7"/>
  <c r="ES193" i="7"/>
  <c r="ER193" i="7"/>
  <c r="EP192" i="7"/>
  <c r="AH2962" i="15" s="1"/>
  <c r="BU193" i="7"/>
  <c r="BT193" i="7"/>
  <c r="BP193" i="7"/>
  <c r="BJ193" i="7"/>
  <c r="BI193" i="7"/>
  <c r="BE193" i="7"/>
  <c r="AY193" i="7"/>
  <c r="AX193" i="7"/>
  <c r="AV193" i="7"/>
  <c r="AT193" i="7"/>
  <c r="MW192" i="7"/>
  <c r="MS192" i="7"/>
  <c r="MP192" i="7"/>
  <c r="ML192" i="7"/>
  <c r="MH192" i="7"/>
  <c r="ME192" i="7"/>
  <c r="MA192" i="7"/>
  <c r="LW192" i="7"/>
  <c r="LT192" i="7"/>
  <c r="LM192" i="7"/>
  <c r="LB192" i="7"/>
  <c r="KQ192" i="7"/>
  <c r="JA192" i="7"/>
  <c r="ID192" i="7"/>
  <c r="IC192" i="7"/>
  <c r="HY192" i="7"/>
  <c r="HS192" i="7"/>
  <c r="HR192" i="7"/>
  <c r="HO187" i="7"/>
  <c r="HN192" i="7"/>
  <c r="HH192" i="7"/>
  <c r="HG192" i="7"/>
  <c r="HC192" i="7"/>
  <c r="GV192" i="7"/>
  <c r="GU192" i="7"/>
  <c r="ES192" i="7"/>
  <c r="ER192" i="7"/>
  <c r="BU192" i="7"/>
  <c r="BT192" i="7"/>
  <c r="BP192" i="7"/>
  <c r="BJ192" i="7"/>
  <c r="BI192" i="7"/>
  <c r="BE192" i="7"/>
  <c r="AY192" i="7"/>
  <c r="AX192" i="7"/>
  <c r="AV192" i="7"/>
  <c r="AT192" i="7"/>
  <c r="MW191" i="7"/>
  <c r="MS191" i="7"/>
  <c r="MP191" i="7"/>
  <c r="ML191" i="7"/>
  <c r="MH191" i="7"/>
  <c r="ME191" i="7"/>
  <c r="MA191" i="7"/>
  <c r="LW191" i="7"/>
  <c r="LT191" i="7"/>
  <c r="LM191" i="7"/>
  <c r="BU191" i="7"/>
  <c r="BT191" i="7"/>
  <c r="LI191" i="7"/>
  <c r="BQ188" i="7"/>
  <c r="LB191" i="7"/>
  <c r="KX191" i="7"/>
  <c r="KQ191" i="7"/>
  <c r="KM191" i="7"/>
  <c r="JA191" i="7"/>
  <c r="IW191" i="7"/>
  <c r="ID191" i="7"/>
  <c r="IC191" i="7"/>
  <c r="HY191" i="7"/>
  <c r="HS191" i="7"/>
  <c r="HR191" i="7"/>
  <c r="HN191" i="7"/>
  <c r="HH191" i="7"/>
  <c r="HG191" i="7"/>
  <c r="HC191" i="7"/>
  <c r="GV191" i="7"/>
  <c r="GU191" i="7"/>
  <c r="ES191" i="7"/>
  <c r="ER191" i="7"/>
  <c r="EP191" i="7"/>
  <c r="AH2961" i="15" s="1"/>
  <c r="BP191" i="7"/>
  <c r="BJ191" i="7"/>
  <c r="BI191" i="7"/>
  <c r="BE191" i="7"/>
  <c r="AY191" i="7"/>
  <c r="AX191" i="7"/>
  <c r="AV191" i="7"/>
  <c r="AT191" i="7"/>
  <c r="MW190" i="7"/>
  <c r="MS190" i="7"/>
  <c r="MQ190" i="7"/>
  <c r="MP190" i="7"/>
  <c r="ML190" i="7"/>
  <c r="MH190" i="7"/>
  <c r="MF190" i="7"/>
  <c r="ME190" i="7"/>
  <c r="MA190" i="7"/>
  <c r="LW190" i="7"/>
  <c r="LU190" i="7"/>
  <c r="LT190" i="7"/>
  <c r="LM190" i="7"/>
  <c r="LQ190" i="7" s="1"/>
  <c r="LB190" i="7"/>
  <c r="LF190" i="7" s="1"/>
  <c r="BJ190" i="7"/>
  <c r="BI190" i="7"/>
  <c r="BM190" i="7" s="1"/>
  <c r="KQ190" i="7"/>
  <c r="KU190" i="7" s="1"/>
  <c r="JA190" i="7"/>
  <c r="ID190" i="7"/>
  <c r="IC190" i="7"/>
  <c r="IG190" i="7" s="1"/>
  <c r="HS190" i="7"/>
  <c r="HR190" i="7"/>
  <c r="HV190" i="7" s="1"/>
  <c r="HO190" i="7"/>
  <c r="HH190" i="7"/>
  <c r="HG190" i="7"/>
  <c r="HD190" i="7"/>
  <c r="GV190" i="7"/>
  <c r="GU190" i="7"/>
  <c r="ES190" i="7"/>
  <c r="ER190" i="7"/>
  <c r="BU190" i="7"/>
  <c r="BT190" i="7"/>
  <c r="BX190" i="7" s="1"/>
  <c r="BQ190" i="7"/>
  <c r="BF190" i="7"/>
  <c r="AY190" i="7"/>
  <c r="AX190" i="7"/>
  <c r="AU190" i="7"/>
  <c r="MW189" i="7"/>
  <c r="MS189" i="7"/>
  <c r="MQ189" i="7"/>
  <c r="MP189" i="7"/>
  <c r="ML189" i="7"/>
  <c r="MH189" i="7"/>
  <c r="MF189" i="7"/>
  <c r="ME189" i="7"/>
  <c r="MA189" i="7"/>
  <c r="LW189" i="7"/>
  <c r="LU189" i="7"/>
  <c r="LT189" i="7"/>
  <c r="LM189" i="7"/>
  <c r="LQ189" i="7" s="1"/>
  <c r="LB189" i="7"/>
  <c r="LF189" i="7" s="1"/>
  <c r="BJ189" i="7"/>
  <c r="BI189" i="7"/>
  <c r="BM189" i="7" s="1"/>
  <c r="KQ189" i="7"/>
  <c r="KU189" i="7" s="1"/>
  <c r="AY189" i="7"/>
  <c r="AX189" i="7"/>
  <c r="JA189" i="7"/>
  <c r="ID189" i="7"/>
  <c r="IC189" i="7"/>
  <c r="IG189" i="7" s="1"/>
  <c r="HS189" i="7"/>
  <c r="HR189" i="7"/>
  <c r="HV189" i="7" s="1"/>
  <c r="HO189" i="7"/>
  <c r="HH189" i="7"/>
  <c r="HG189" i="7"/>
  <c r="HD189" i="7"/>
  <c r="GV189" i="7"/>
  <c r="GU189" i="7"/>
  <c r="ES189" i="7"/>
  <c r="ER189" i="7"/>
  <c r="EP189" i="7"/>
  <c r="AH2959" i="15" s="1"/>
  <c r="BU189" i="7"/>
  <c r="BT189" i="7"/>
  <c r="BX189" i="7" s="1"/>
  <c r="BQ189" i="7"/>
  <c r="BF189" i="7"/>
  <c r="AU189" i="7"/>
  <c r="MW188" i="7"/>
  <c r="MS188" i="7"/>
  <c r="MQ188" i="7"/>
  <c r="MP188" i="7"/>
  <c r="ML188" i="7"/>
  <c r="LB188" i="7"/>
  <c r="LF188" i="7" s="1"/>
  <c r="BJ188" i="7"/>
  <c r="BI188" i="7"/>
  <c r="BM188" i="7" s="1"/>
  <c r="MH188" i="7"/>
  <c r="MF188" i="7"/>
  <c r="ME188" i="7"/>
  <c r="MA188" i="7"/>
  <c r="LW188" i="7"/>
  <c r="LU188" i="7"/>
  <c r="LT188" i="7"/>
  <c r="LM188" i="7"/>
  <c r="LQ188" i="7" s="1"/>
  <c r="KQ188" i="7"/>
  <c r="KU188" i="7" s="1"/>
  <c r="AY188" i="7"/>
  <c r="AX188" i="7"/>
  <c r="JA188" i="7"/>
  <c r="ID188" i="7"/>
  <c r="IC188" i="7"/>
  <c r="IG188" i="7" s="1"/>
  <c r="HS188" i="7"/>
  <c r="HR188" i="7"/>
  <c r="HV188" i="7" s="1"/>
  <c r="HO188" i="7"/>
  <c r="HH188" i="7"/>
  <c r="HG188" i="7"/>
  <c r="HD188" i="7"/>
  <c r="GV188" i="7"/>
  <c r="GU188" i="7"/>
  <c r="ES188" i="7"/>
  <c r="ER188" i="7"/>
  <c r="EP188" i="7"/>
  <c r="AH2958" i="15" s="1"/>
  <c r="BU188" i="7"/>
  <c r="BT188" i="7"/>
  <c r="BX188" i="7" s="1"/>
  <c r="BF188" i="7"/>
  <c r="AU188" i="7"/>
  <c r="MW187" i="7"/>
  <c r="MS187" i="7"/>
  <c r="MQ187" i="7"/>
  <c r="MP187" i="7"/>
  <c r="ML187" i="7"/>
  <c r="BI187" i="7"/>
  <c r="BM187" i="7" s="1"/>
  <c r="LB187" i="7"/>
  <c r="LF187" i="7" s="1"/>
  <c r="MH187" i="7"/>
  <c r="MF187" i="7"/>
  <c r="ME187" i="7"/>
  <c r="MA187" i="7"/>
  <c r="AX187" i="7"/>
  <c r="KQ187" i="7"/>
  <c r="KU187" i="7" s="1"/>
  <c r="LW187" i="7"/>
  <c r="LU187" i="7"/>
  <c r="LT187" i="7"/>
  <c r="LM187" i="7"/>
  <c r="LQ187" i="7" s="1"/>
  <c r="BU187" i="7"/>
  <c r="BT187" i="7"/>
  <c r="BX187" i="7" s="1"/>
  <c r="JA187" i="7"/>
  <c r="ID187" i="7"/>
  <c r="IC187" i="7"/>
  <c r="IG187" i="7" s="1"/>
  <c r="HZ187" i="7"/>
  <c r="HS187" i="7"/>
  <c r="HR187" i="7"/>
  <c r="HV187" i="7" s="1"/>
  <c r="HH187" i="7"/>
  <c r="HG187" i="7"/>
  <c r="HD187" i="7"/>
  <c r="GV187" i="7"/>
  <c r="GU187" i="7"/>
  <c r="GR187" i="7"/>
  <c r="GQ187" i="7"/>
  <c r="ES187" i="7"/>
  <c r="ER187" i="7"/>
  <c r="EO187" i="7"/>
  <c r="BQ187" i="7"/>
  <c r="BJ187" i="7"/>
  <c r="BF187" i="7"/>
  <c r="AY187" i="7"/>
  <c r="AU187" i="7"/>
  <c r="MW186" i="7"/>
  <c r="MS186" i="7"/>
  <c r="MQ186" i="7"/>
  <c r="MP186" i="7"/>
  <c r="ML186" i="7"/>
  <c r="BI186" i="7"/>
  <c r="BM186" i="7" s="1"/>
  <c r="LB186" i="7"/>
  <c r="LF186" i="7" s="1"/>
  <c r="MH186" i="7"/>
  <c r="MF186" i="7"/>
  <c r="ME186" i="7"/>
  <c r="MA186" i="7"/>
  <c r="LW186" i="7"/>
  <c r="LU186" i="7"/>
  <c r="LT186" i="7"/>
  <c r="LM186" i="7"/>
  <c r="LQ186" i="7" s="1"/>
  <c r="KQ186" i="7"/>
  <c r="KU186" i="7" s="1"/>
  <c r="JA186" i="7"/>
  <c r="ID186" i="7"/>
  <c r="IC186" i="7"/>
  <c r="IG186" i="7" s="1"/>
  <c r="HZ186" i="7"/>
  <c r="HS186" i="7"/>
  <c r="HR186" i="7"/>
  <c r="HV186" i="7" s="1"/>
  <c r="HO186" i="7"/>
  <c r="HH186" i="7"/>
  <c r="HG186" i="7"/>
  <c r="HD186" i="7"/>
  <c r="GV186" i="7"/>
  <c r="GU186" i="7"/>
  <c r="GY186" i="7" s="1"/>
  <c r="ES186" i="7"/>
  <c r="ER186" i="7"/>
  <c r="BU186" i="7"/>
  <c r="BT186" i="7"/>
  <c r="BX186" i="7" s="1"/>
  <c r="BQ186" i="7"/>
  <c r="BJ186" i="7"/>
  <c r="BF186" i="7"/>
  <c r="AY186" i="7"/>
  <c r="AX186" i="7"/>
  <c r="AU186" i="7"/>
  <c r="MW185" i="7"/>
  <c r="MS185" i="7"/>
  <c r="MQ185" i="7"/>
  <c r="MP185" i="7"/>
  <c r="ML185" i="7"/>
  <c r="BI185" i="7"/>
  <c r="BM185" i="7" s="1"/>
  <c r="LB185" i="7"/>
  <c r="LF185" i="7" s="1"/>
  <c r="MH185" i="7"/>
  <c r="MF185" i="7"/>
  <c r="ME185" i="7"/>
  <c r="MA185" i="7"/>
  <c r="LW185" i="7"/>
  <c r="LU185" i="7"/>
  <c r="LT185" i="7"/>
  <c r="LM185" i="7"/>
  <c r="LQ185" i="7" s="1"/>
  <c r="KQ185" i="7"/>
  <c r="KU185" i="7" s="1"/>
  <c r="JA185" i="7"/>
  <c r="ID185" i="7"/>
  <c r="IC185" i="7"/>
  <c r="IG185" i="7" s="1"/>
  <c r="HZ185" i="7"/>
  <c r="HS185" i="7"/>
  <c r="HR185" i="7"/>
  <c r="HV185" i="7" s="1"/>
  <c r="HO185" i="7"/>
  <c r="HH185" i="7"/>
  <c r="HG185" i="7"/>
  <c r="HD185" i="7"/>
  <c r="GV185" i="7"/>
  <c r="GU185" i="7"/>
  <c r="GY185" i="7" s="1"/>
  <c r="ES185" i="7"/>
  <c r="ER185" i="7"/>
  <c r="BU185" i="7"/>
  <c r="BT185" i="7"/>
  <c r="BX185" i="7" s="1"/>
  <c r="BQ185" i="7"/>
  <c r="BJ185" i="7"/>
  <c r="BF185" i="7"/>
  <c r="AY185" i="7"/>
  <c r="AX185" i="7"/>
  <c r="AU185" i="7"/>
  <c r="MW184" i="7"/>
  <c r="MS184" i="7"/>
  <c r="MQ184" i="7"/>
  <c r="MP184" i="7"/>
  <c r="ML184" i="7"/>
  <c r="MH184" i="7"/>
  <c r="MF184" i="7"/>
  <c r="ME184" i="7"/>
  <c r="MA184" i="7"/>
  <c r="LW184" i="7"/>
  <c r="LU184" i="7"/>
  <c r="LT184" i="7"/>
  <c r="LM184" i="7"/>
  <c r="LQ184" i="7" s="1"/>
  <c r="LB184" i="7"/>
  <c r="LF184" i="7" s="1"/>
  <c r="BJ184" i="7"/>
  <c r="BI184" i="7"/>
  <c r="BM184" i="7" s="1"/>
  <c r="KQ184" i="7"/>
  <c r="KU184" i="7" s="1"/>
  <c r="JA184" i="7"/>
  <c r="ID184" i="7"/>
  <c r="IC184" i="7"/>
  <c r="IG184" i="7" s="1"/>
  <c r="HS184" i="7"/>
  <c r="HR184" i="7"/>
  <c r="HV184" i="7" s="1"/>
  <c r="HO184" i="7"/>
  <c r="HH184" i="7"/>
  <c r="HG184" i="7"/>
  <c r="HD184" i="7"/>
  <c r="GV184" i="7"/>
  <c r="GU184" i="7"/>
  <c r="GR184" i="7"/>
  <c r="GQ184" i="7"/>
  <c r="ES184" i="7"/>
  <c r="ER184" i="7"/>
  <c r="EO184" i="7"/>
  <c r="AG2954" i="15" s="1"/>
  <c r="BU184" i="7"/>
  <c r="BT184" i="7"/>
  <c r="BX184" i="7" s="1"/>
  <c r="BQ184" i="7"/>
  <c r="BF184" i="7"/>
  <c r="AY184" i="7"/>
  <c r="AX184" i="7"/>
  <c r="AU184" i="7"/>
  <c r="MW183" i="7"/>
  <c r="MS183" i="7"/>
  <c r="MQ183" i="7"/>
  <c r="MP183" i="7"/>
  <c r="ML183" i="7"/>
  <c r="MH183" i="7"/>
  <c r="MF183" i="7"/>
  <c r="ME183" i="7"/>
  <c r="MA183" i="7"/>
  <c r="LW183" i="7"/>
  <c r="LU183" i="7"/>
  <c r="LT183" i="7"/>
  <c r="LM183" i="7"/>
  <c r="LQ183" i="7" s="1"/>
  <c r="LB183" i="7"/>
  <c r="LF183" i="7" s="1"/>
  <c r="BJ183" i="7"/>
  <c r="BI183" i="7"/>
  <c r="BM183" i="7" s="1"/>
  <c r="KQ183" i="7"/>
  <c r="KU183" i="7" s="1"/>
  <c r="JA183" i="7"/>
  <c r="ID183" i="7"/>
  <c r="IH183" i="7" s="1"/>
  <c r="IC183" i="7"/>
  <c r="IG183" i="7" s="1"/>
  <c r="HS183" i="7"/>
  <c r="HR183" i="7"/>
  <c r="HV183" i="7" s="1"/>
  <c r="HO183" i="7"/>
  <c r="HH183" i="7"/>
  <c r="HG183" i="7"/>
  <c r="HD183" i="7"/>
  <c r="GV183" i="7"/>
  <c r="GZ183" i="7" s="1"/>
  <c r="GU183" i="7"/>
  <c r="GY183" i="7" s="1"/>
  <c r="ES183" i="7"/>
  <c r="ER183" i="7"/>
  <c r="BU183" i="7"/>
  <c r="BT183" i="7"/>
  <c r="BX183" i="7" s="1"/>
  <c r="BQ183" i="7"/>
  <c r="BF183" i="7"/>
  <c r="AY183" i="7"/>
  <c r="AX183" i="7"/>
  <c r="AU183" i="7"/>
  <c r="MW182" i="7"/>
  <c r="MS182" i="7"/>
  <c r="MQ182" i="7"/>
  <c r="MP182" i="7"/>
  <c r="ML182" i="7"/>
  <c r="MH182" i="7"/>
  <c r="MF182" i="7"/>
  <c r="ME182" i="7"/>
  <c r="MA182" i="7"/>
  <c r="LW182" i="7"/>
  <c r="LU182" i="7"/>
  <c r="LT182" i="7"/>
  <c r="LM182" i="7"/>
  <c r="LQ182" i="7" s="1"/>
  <c r="LB182" i="7"/>
  <c r="LF182" i="7" s="1"/>
  <c r="BJ182" i="7"/>
  <c r="BI182" i="7"/>
  <c r="BM182" i="7" s="1"/>
  <c r="KQ182" i="7"/>
  <c r="KU182" i="7" s="1"/>
  <c r="JA182" i="7"/>
  <c r="ID182" i="7"/>
  <c r="IC182" i="7"/>
  <c r="IG182" i="7" s="1"/>
  <c r="HS182" i="7"/>
  <c r="HR182" i="7"/>
  <c r="HV182" i="7" s="1"/>
  <c r="HO182" i="7"/>
  <c r="HH182" i="7"/>
  <c r="HG182" i="7"/>
  <c r="HD182" i="7"/>
  <c r="GV182" i="7"/>
  <c r="GU182" i="7"/>
  <c r="GY182" i="7" s="1"/>
  <c r="BU182" i="7"/>
  <c r="BT182" i="7"/>
  <c r="BX182" i="7" s="1"/>
  <c r="BQ182" i="7"/>
  <c r="BF182" i="7"/>
  <c r="AY182" i="7"/>
  <c r="AX182" i="7"/>
  <c r="AU182" i="7"/>
  <c r="EO181" i="7"/>
  <c r="EN181" i="7"/>
  <c r="EO180" i="7"/>
  <c r="EN180" i="7"/>
  <c r="EO179" i="7"/>
  <c r="EN179" i="7"/>
  <c r="PA172" i="7"/>
  <c r="OX172" i="7"/>
  <c r="NT172" i="7"/>
  <c r="NP172" i="7"/>
  <c r="NH172" i="7"/>
  <c r="ND172" i="7"/>
  <c r="MA172" i="7"/>
  <c r="AY172" i="7"/>
  <c r="KR172" i="7"/>
  <c r="LY172" i="7"/>
  <c r="LW172" i="7"/>
  <c r="LU172" i="7"/>
  <c r="LT172" i="7"/>
  <c r="KN172" i="7"/>
  <c r="JB172" i="7"/>
  <c r="IX172" i="7"/>
  <c r="GJ172" i="7"/>
  <c r="GF172" i="7"/>
  <c r="AU172" i="7"/>
  <c r="MA166" i="7"/>
  <c r="LY166" i="7"/>
  <c r="LW166" i="7"/>
  <c r="LU166" i="7"/>
  <c r="LT166" i="7"/>
  <c r="MA165" i="7"/>
  <c r="LY165" i="7"/>
  <c r="LW165" i="7"/>
  <c r="LU165" i="7"/>
  <c r="LT165" i="7"/>
  <c r="MA164" i="7"/>
  <c r="LY164" i="7"/>
  <c r="LW164" i="7"/>
  <c r="LU164" i="7"/>
  <c r="LT164" i="7"/>
  <c r="MA163" i="7"/>
  <c r="LY163" i="7"/>
  <c r="LW163" i="7"/>
  <c r="LU163" i="7"/>
  <c r="LT163" i="7"/>
  <c r="MA161" i="7"/>
  <c r="LW161" i="7"/>
  <c r="LT161" i="7"/>
  <c r="MA160" i="7"/>
  <c r="LW160" i="7"/>
  <c r="LT160" i="7"/>
  <c r="MA159" i="7"/>
  <c r="LW159" i="7"/>
  <c r="LT159" i="7"/>
  <c r="MA158" i="7"/>
  <c r="LW158" i="7"/>
  <c r="LT158" i="7"/>
  <c r="MA157" i="7"/>
  <c r="LW157" i="7"/>
  <c r="LT157" i="7"/>
  <c r="MA156" i="7"/>
  <c r="LW156" i="7"/>
  <c r="AU156" i="7"/>
  <c r="AT156" i="7"/>
  <c r="LT156" i="7"/>
  <c r="AY156" i="7"/>
  <c r="AX156" i="7"/>
  <c r="DN149" i="7"/>
  <c r="T1909" i="15" s="1"/>
  <c r="DB149" i="7"/>
  <c r="ER146" i="7"/>
  <c r="EN146" i="7"/>
  <c r="ER145" i="7"/>
  <c r="EN145" i="7"/>
  <c r="MA144" i="7"/>
  <c r="LY144" i="7"/>
  <c r="LW144" i="7"/>
  <c r="LU144" i="7"/>
  <c r="LT144" i="7"/>
  <c r="KR144" i="7"/>
  <c r="KN144" i="7"/>
  <c r="DS144" i="7"/>
  <c r="DO144" i="7"/>
  <c r="AY144" i="7"/>
  <c r="AU144" i="7"/>
  <c r="MA143" i="7"/>
  <c r="LY143" i="7"/>
  <c r="LW143" i="7"/>
  <c r="LU143" i="7"/>
  <c r="LT143" i="7"/>
  <c r="KR143" i="7"/>
  <c r="KN143" i="7"/>
  <c r="DS143" i="7"/>
  <c r="DO143" i="7"/>
  <c r="AY143" i="7"/>
  <c r="AU143" i="7"/>
  <c r="MA142" i="7"/>
  <c r="LY142" i="7"/>
  <c r="LW142" i="7"/>
  <c r="LU142" i="7"/>
  <c r="LT142" i="7"/>
  <c r="KR142" i="7"/>
  <c r="KN142" i="7"/>
  <c r="DS142" i="7"/>
  <c r="DO142" i="7"/>
  <c r="AY142" i="7"/>
  <c r="AU142" i="7"/>
  <c r="MA141" i="7"/>
  <c r="LY141" i="7"/>
  <c r="LW141" i="7"/>
  <c r="LU141" i="7"/>
  <c r="LT141" i="7"/>
  <c r="KR141" i="7"/>
  <c r="KN141" i="7"/>
  <c r="DS141" i="7"/>
  <c r="DO141" i="7"/>
  <c r="AY141" i="7"/>
  <c r="AU141" i="7"/>
  <c r="MA140" i="7"/>
  <c r="LY140" i="7"/>
  <c r="LW140" i="7"/>
  <c r="LU140" i="7"/>
  <c r="LT140" i="7"/>
  <c r="KR140" i="7"/>
  <c r="KN140" i="7"/>
  <c r="JB140" i="7"/>
  <c r="IX140" i="7"/>
  <c r="DS140" i="7"/>
  <c r="DO140" i="7"/>
  <c r="AY140" i="7"/>
  <c r="AU140" i="7"/>
  <c r="MA139" i="7"/>
  <c r="LY139" i="7"/>
  <c r="LW139" i="7"/>
  <c r="LU139" i="7"/>
  <c r="LT139" i="7"/>
  <c r="KR139" i="7"/>
  <c r="KN139" i="7"/>
  <c r="JB139" i="7"/>
  <c r="IX139" i="7"/>
  <c r="DS139" i="7"/>
  <c r="DO139" i="7"/>
  <c r="AY139" i="7"/>
  <c r="AU139" i="7"/>
  <c r="MA138" i="7"/>
  <c r="LY138" i="7"/>
  <c r="LW138" i="7"/>
  <c r="LU138" i="7"/>
  <c r="LT138" i="7"/>
  <c r="KR138" i="7"/>
  <c r="KN138" i="7"/>
  <c r="JB138" i="7"/>
  <c r="IX138" i="7"/>
  <c r="DS138" i="7"/>
  <c r="DO138" i="7"/>
  <c r="AY138" i="7"/>
  <c r="AU138" i="7"/>
  <c r="MA137" i="7"/>
  <c r="LY137" i="7"/>
  <c r="LW137" i="7"/>
  <c r="LU137" i="7"/>
  <c r="LT137" i="7"/>
  <c r="KR137" i="7"/>
  <c r="KN137" i="7"/>
  <c r="JB137" i="7"/>
  <c r="IX137" i="7"/>
  <c r="DS137" i="7"/>
  <c r="DO137" i="7"/>
  <c r="AY137" i="7"/>
  <c r="AU137" i="7"/>
  <c r="MA136" i="7"/>
  <c r="LY136" i="7"/>
  <c r="LW136" i="7"/>
  <c r="LU136" i="7"/>
  <c r="LT136" i="7"/>
  <c r="KR136" i="7"/>
  <c r="KN136" i="7"/>
  <c r="JB136" i="7"/>
  <c r="IX136" i="7"/>
  <c r="DS136" i="7"/>
  <c r="DO136" i="7"/>
  <c r="AY136" i="7"/>
  <c r="AU136" i="7"/>
  <c r="MA135" i="7"/>
  <c r="LY135" i="7"/>
  <c r="LW135" i="7"/>
  <c r="LU135" i="7"/>
  <c r="LT135" i="7"/>
  <c r="KR135" i="7"/>
  <c r="KN135" i="7"/>
  <c r="JB135" i="7"/>
  <c r="IX135" i="7"/>
  <c r="DS135" i="7"/>
  <c r="DO135" i="7"/>
  <c r="AY135" i="7"/>
  <c r="AU135" i="7"/>
  <c r="MA134" i="7"/>
  <c r="LZ134" i="7"/>
  <c r="LY134" i="7"/>
  <c r="LW134" i="7"/>
  <c r="LV134" i="7"/>
  <c r="LU134" i="7"/>
  <c r="LT134" i="7"/>
  <c r="ES134" i="7"/>
  <c r="EO134" i="7"/>
  <c r="DS134" i="7"/>
  <c r="DR134" i="7"/>
  <c r="SN127" i="7"/>
  <c r="SJ127" i="7"/>
  <c r="NT127" i="7"/>
  <c r="NP127" i="7"/>
  <c r="NH127" i="7"/>
  <c r="ND127" i="7"/>
  <c r="MA127" i="7"/>
  <c r="LW127" i="7"/>
  <c r="LT127" i="7"/>
  <c r="KR127" i="7"/>
  <c r="KQ127" i="7"/>
  <c r="AX127" i="7"/>
  <c r="KN127" i="7"/>
  <c r="KM127" i="7"/>
  <c r="HH127" i="7"/>
  <c r="HD127" i="7"/>
  <c r="AY127" i="7"/>
  <c r="AU127" i="7"/>
  <c r="AT127" i="7"/>
  <c r="SN126" i="7"/>
  <c r="SJ126" i="7"/>
  <c r="NT126" i="7"/>
  <c r="NP126" i="7"/>
  <c r="NH126" i="7"/>
  <c r="ND126" i="7"/>
  <c r="MA126" i="7"/>
  <c r="LW126" i="7"/>
  <c r="LT126" i="7"/>
  <c r="KR126" i="7"/>
  <c r="KQ126" i="7"/>
  <c r="AY126" i="7"/>
  <c r="AX126" i="7"/>
  <c r="KN126" i="7"/>
  <c r="KM126" i="7"/>
  <c r="AU126" i="7"/>
  <c r="AT126" i="7"/>
  <c r="HH126" i="7"/>
  <c r="HD126" i="7"/>
  <c r="SN125" i="7"/>
  <c r="SJ125" i="7"/>
  <c r="NT125" i="7"/>
  <c r="NP125" i="7"/>
  <c r="NH125" i="7"/>
  <c r="ND125" i="7"/>
  <c r="MA125" i="7"/>
  <c r="LW125" i="7"/>
  <c r="LT125" i="7"/>
  <c r="KR125" i="7"/>
  <c r="KQ125" i="7"/>
  <c r="KN125" i="7"/>
  <c r="KM125" i="7"/>
  <c r="HH125" i="7"/>
  <c r="HD125" i="7"/>
  <c r="AY125" i="7"/>
  <c r="AX125" i="7"/>
  <c r="AU125" i="7"/>
  <c r="AT125" i="7"/>
  <c r="SN124" i="7"/>
  <c r="SJ124" i="7"/>
  <c r="NT124" i="7"/>
  <c r="NP124" i="7"/>
  <c r="NH124" i="7"/>
  <c r="MA124" i="7"/>
  <c r="LW124" i="7"/>
  <c r="LT124" i="7"/>
  <c r="KR124" i="7"/>
  <c r="KQ124" i="7"/>
  <c r="KN124" i="7"/>
  <c r="KM124" i="7"/>
  <c r="AU124" i="7"/>
  <c r="AT124" i="7"/>
  <c r="HH124" i="7"/>
  <c r="HD124" i="7"/>
  <c r="AY124" i="7"/>
  <c r="AX124" i="7"/>
  <c r="SN123" i="7"/>
  <c r="SJ123" i="7"/>
  <c r="NT123" i="7"/>
  <c r="NP123" i="7"/>
  <c r="NH123" i="7"/>
  <c r="ND123" i="7"/>
  <c r="MA123" i="7"/>
  <c r="LW123" i="7"/>
  <c r="KM123" i="7"/>
  <c r="AU123" i="7"/>
  <c r="AT123" i="7"/>
  <c r="KN123" i="7"/>
  <c r="LT123" i="7"/>
  <c r="KR123" i="7"/>
  <c r="KQ123" i="7"/>
  <c r="HH123" i="7"/>
  <c r="HD123" i="7"/>
  <c r="AY123" i="7"/>
  <c r="AX123" i="7"/>
  <c r="SN122" i="7"/>
  <c r="SJ122" i="7"/>
  <c r="NT122" i="7"/>
  <c r="NH122" i="7"/>
  <c r="ND122" i="7"/>
  <c r="MA122" i="7"/>
  <c r="LW122" i="7"/>
  <c r="LT122" i="7"/>
  <c r="KR122" i="7"/>
  <c r="KQ122" i="7"/>
  <c r="AY122" i="7"/>
  <c r="AX122" i="7"/>
  <c r="KN122" i="7"/>
  <c r="KM122" i="7"/>
  <c r="HH122" i="7"/>
  <c r="HD122" i="7"/>
  <c r="AU122" i="7"/>
  <c r="AT122" i="7"/>
  <c r="SN121" i="7"/>
  <c r="SJ121" i="7"/>
  <c r="NT121" i="7"/>
  <c r="NP121" i="7"/>
  <c r="NH121" i="7"/>
  <c r="ND121" i="7"/>
  <c r="MA121" i="7"/>
  <c r="LW121" i="7"/>
  <c r="LT121" i="7"/>
  <c r="KR121" i="7"/>
  <c r="KQ121" i="7"/>
  <c r="KN121" i="7"/>
  <c r="KM121" i="7"/>
  <c r="AU121" i="7"/>
  <c r="AT121" i="7"/>
  <c r="HH121" i="7"/>
  <c r="HD121" i="7"/>
  <c r="AY121" i="7"/>
  <c r="AX121" i="7"/>
  <c r="SN120" i="7"/>
  <c r="SJ120" i="7"/>
  <c r="NT120" i="7"/>
  <c r="NP120" i="7"/>
  <c r="NH120" i="7"/>
  <c r="ND120" i="7"/>
  <c r="MA120" i="7"/>
  <c r="LW120" i="7"/>
  <c r="LT120" i="7"/>
  <c r="KR120" i="7"/>
  <c r="KQ120" i="7"/>
  <c r="KN120" i="7"/>
  <c r="KM120" i="7"/>
  <c r="AU120" i="7"/>
  <c r="AT120" i="7"/>
  <c r="HH120" i="7"/>
  <c r="HD120" i="7"/>
  <c r="AY120" i="7"/>
  <c r="AX120" i="7"/>
  <c r="SN119" i="7"/>
  <c r="SJ119" i="7"/>
  <c r="NT119" i="7"/>
  <c r="NP119" i="7"/>
  <c r="NH119" i="7"/>
  <c r="ND119" i="7"/>
  <c r="MA119" i="7"/>
  <c r="LW119" i="7"/>
  <c r="LT119" i="7"/>
  <c r="KR119" i="7"/>
  <c r="KQ119" i="7"/>
  <c r="AY119" i="7"/>
  <c r="AX119" i="7"/>
  <c r="KN119" i="7"/>
  <c r="KM119" i="7"/>
  <c r="HH119" i="7"/>
  <c r="HD119" i="7"/>
  <c r="AU119" i="7"/>
  <c r="AT119" i="7"/>
  <c r="SN118" i="7"/>
  <c r="SJ118" i="7"/>
  <c r="NT118" i="7"/>
  <c r="NP118" i="7"/>
  <c r="NH118" i="7"/>
  <c r="ND118" i="7"/>
  <c r="MA118" i="7"/>
  <c r="LW118" i="7"/>
  <c r="LT118" i="7"/>
  <c r="KR118" i="7"/>
  <c r="KQ118" i="7"/>
  <c r="KN118" i="7"/>
  <c r="KM118" i="7"/>
  <c r="HH118" i="7"/>
  <c r="HD118" i="7"/>
  <c r="AY118" i="7"/>
  <c r="AX118" i="7"/>
  <c r="AU118" i="7"/>
  <c r="AT118" i="7"/>
  <c r="SN117" i="7"/>
  <c r="SJ117" i="7"/>
  <c r="NT117" i="7"/>
  <c r="NP117" i="7"/>
  <c r="NH117" i="7"/>
  <c r="ND117" i="7"/>
  <c r="MA117" i="7"/>
  <c r="LW117" i="7"/>
  <c r="LT117" i="7"/>
  <c r="KR117" i="7"/>
  <c r="KQ117" i="7"/>
  <c r="KN117" i="7"/>
  <c r="KM117" i="7"/>
  <c r="HH117" i="7"/>
  <c r="HD117" i="7"/>
  <c r="AY117" i="7"/>
  <c r="AX117" i="7"/>
  <c r="AU117" i="7"/>
  <c r="AT117" i="7"/>
  <c r="SN116" i="7"/>
  <c r="SJ116" i="7"/>
  <c r="NT116" i="7"/>
  <c r="NP116" i="7"/>
  <c r="NH116" i="7"/>
  <c r="ND116" i="7"/>
  <c r="MA116" i="7"/>
  <c r="LW116" i="7"/>
  <c r="LT116" i="7"/>
  <c r="KR116" i="7"/>
  <c r="KQ116" i="7"/>
  <c r="AY116" i="7"/>
  <c r="AX116" i="7"/>
  <c r="KN116" i="7"/>
  <c r="KM116" i="7"/>
  <c r="AU116" i="7"/>
  <c r="AT116" i="7"/>
  <c r="HH116" i="7"/>
  <c r="HD116" i="7"/>
  <c r="SN115" i="7"/>
  <c r="SJ115" i="7"/>
  <c r="NT115" i="7"/>
  <c r="NP115" i="7"/>
  <c r="NH115" i="7"/>
  <c r="ND115" i="7"/>
  <c r="MA115" i="7"/>
  <c r="LW115" i="7"/>
  <c r="LT115" i="7"/>
  <c r="KR115" i="7"/>
  <c r="KQ115" i="7"/>
  <c r="KN115" i="7"/>
  <c r="KM115" i="7"/>
  <c r="AU115" i="7"/>
  <c r="AT115" i="7"/>
  <c r="HH115" i="7"/>
  <c r="HD115" i="7"/>
  <c r="AY115" i="7"/>
  <c r="AX115" i="7"/>
  <c r="SN114" i="7"/>
  <c r="SR114" i="7" s="1"/>
  <c r="SJ114" i="7"/>
  <c r="NT114" i="7"/>
  <c r="NP114" i="7"/>
  <c r="NH114" i="7"/>
  <c r="ND114" i="7"/>
  <c r="MA114" i="7"/>
  <c r="LW114" i="7"/>
  <c r="LT114" i="7"/>
  <c r="KR114" i="7"/>
  <c r="KQ114" i="7"/>
  <c r="KN114" i="7"/>
  <c r="KM114" i="7"/>
  <c r="HH114" i="7"/>
  <c r="HD114" i="7"/>
  <c r="AY114" i="7"/>
  <c r="AX114" i="7"/>
  <c r="AU114" i="7"/>
  <c r="AT114" i="7"/>
  <c r="SN113" i="7"/>
  <c r="SJ113" i="7"/>
  <c r="NT113" i="7"/>
  <c r="NP113" i="7"/>
  <c r="NH113" i="7"/>
  <c r="ND113" i="7"/>
  <c r="MA113" i="7"/>
  <c r="LW113" i="7"/>
  <c r="LT113" i="7"/>
  <c r="KR113" i="7"/>
  <c r="KQ113" i="7"/>
  <c r="AY113" i="7"/>
  <c r="AX113" i="7"/>
  <c r="KN113" i="7"/>
  <c r="KM113" i="7"/>
  <c r="AU113" i="7"/>
  <c r="AT113" i="7"/>
  <c r="HH113" i="7"/>
  <c r="HD113" i="7"/>
  <c r="SN112" i="7"/>
  <c r="SJ112" i="7"/>
  <c r="NT112" i="7"/>
  <c r="NP112" i="7"/>
  <c r="NH112" i="7"/>
  <c r="ND112" i="7"/>
  <c r="MA112" i="7"/>
  <c r="LW112" i="7"/>
  <c r="LT112" i="7"/>
  <c r="KR112" i="7"/>
  <c r="KQ112" i="7"/>
  <c r="KN112" i="7"/>
  <c r="KM112" i="7"/>
  <c r="HH112" i="7"/>
  <c r="HD112" i="7"/>
  <c r="AY112" i="7"/>
  <c r="AX112" i="7"/>
  <c r="AU112" i="7"/>
  <c r="AT112" i="7"/>
  <c r="MA111" i="7"/>
  <c r="LZ111" i="7"/>
  <c r="LY111" i="7"/>
  <c r="LW111" i="7"/>
  <c r="LV111" i="7"/>
  <c r="LU111" i="7"/>
  <c r="LT111" i="7"/>
  <c r="MA110" i="7"/>
  <c r="LZ110" i="7"/>
  <c r="LY110" i="7"/>
  <c r="LW110" i="7"/>
  <c r="LV110" i="7"/>
  <c r="LU110" i="7"/>
  <c r="LT110" i="7"/>
  <c r="MA109" i="7"/>
  <c r="LZ109" i="7"/>
  <c r="LY109" i="7"/>
  <c r="LW109" i="7"/>
  <c r="LV109" i="7"/>
  <c r="LU109" i="7"/>
  <c r="LT109" i="7"/>
  <c r="MA108" i="7"/>
  <c r="LZ108" i="7"/>
  <c r="LY108" i="7"/>
  <c r="LW108" i="7"/>
  <c r="LV108" i="7"/>
  <c r="LU108" i="7"/>
  <c r="LT108" i="7"/>
  <c r="MA107" i="7"/>
  <c r="LZ107" i="7"/>
  <c r="LY107" i="7"/>
  <c r="LW107" i="7"/>
  <c r="LV107" i="7"/>
  <c r="LU107" i="7"/>
  <c r="LT107" i="7"/>
  <c r="MA106" i="7"/>
  <c r="LZ106" i="7"/>
  <c r="LY106" i="7"/>
  <c r="LW106" i="7"/>
  <c r="LV106" i="7"/>
  <c r="LU106" i="7"/>
  <c r="LT106" i="7"/>
  <c r="MA105" i="7"/>
  <c r="LZ105" i="7"/>
  <c r="LY105" i="7"/>
  <c r="LW105" i="7"/>
  <c r="LV105" i="7"/>
  <c r="LU105" i="7"/>
  <c r="LT105" i="7"/>
  <c r="MA104" i="7"/>
  <c r="LZ104" i="7"/>
  <c r="LY104" i="7"/>
  <c r="LW104" i="7"/>
  <c r="LV104" i="7"/>
  <c r="LU104" i="7"/>
  <c r="LT104" i="7"/>
  <c r="ES103" i="7"/>
  <c r="ER103" i="7"/>
  <c r="EO103" i="7"/>
  <c r="EN103" i="7"/>
  <c r="DS103" i="7"/>
  <c r="DR103" i="7"/>
  <c r="DN103" i="7"/>
  <c r="ES102" i="7"/>
  <c r="ER102" i="7"/>
  <c r="EO102" i="7"/>
  <c r="EN102" i="7"/>
  <c r="DS102" i="7"/>
  <c r="DR102" i="7"/>
  <c r="DO102" i="7"/>
  <c r="DN102" i="7"/>
  <c r="ES101" i="7"/>
  <c r="ER101" i="7"/>
  <c r="EO101" i="7"/>
  <c r="EN101" i="7"/>
  <c r="DS101" i="7"/>
  <c r="DR101" i="7"/>
  <c r="DO101" i="7"/>
  <c r="DN101" i="7"/>
  <c r="NP99" i="7"/>
  <c r="NX99" i="7" s="1"/>
  <c r="NO99" i="7"/>
  <c r="NW99" i="7" s="1"/>
  <c r="ND99" i="7"/>
  <c r="NC99" i="7"/>
  <c r="NK99" i="7" s="1"/>
  <c r="MA98" i="7"/>
  <c r="LY98" i="7"/>
  <c r="LW98" i="7"/>
  <c r="LT98" i="7"/>
  <c r="KN98" i="7"/>
  <c r="KM98" i="7"/>
  <c r="IX98" i="7"/>
  <c r="IW98" i="7"/>
  <c r="JE98" i="7" s="1"/>
  <c r="EO98" i="7"/>
  <c r="EN98" i="7"/>
  <c r="AU98" i="7"/>
  <c r="AT98" i="7"/>
  <c r="IO90" i="7"/>
  <c r="IK90" i="7"/>
  <c r="SN78" i="7"/>
  <c r="SM78" i="7"/>
  <c r="SJ78" i="7"/>
  <c r="SI78" i="7"/>
  <c r="NT78" i="7"/>
  <c r="NS78" i="7"/>
  <c r="NP78" i="7"/>
  <c r="NO78" i="7"/>
  <c r="NH78" i="7"/>
  <c r="NG78" i="7"/>
  <c r="ND78" i="7"/>
  <c r="NC78" i="7"/>
  <c r="MA78" i="7"/>
  <c r="LW78" i="7"/>
  <c r="LT78" i="7"/>
  <c r="KR78" i="7"/>
  <c r="KQ78" i="7"/>
  <c r="AY78" i="7"/>
  <c r="AX78" i="7"/>
  <c r="KN78" i="7"/>
  <c r="KM78" i="7"/>
  <c r="JB78" i="7"/>
  <c r="JA78" i="7"/>
  <c r="IX78" i="7"/>
  <c r="IW78" i="7"/>
  <c r="ES78" i="7"/>
  <c r="ER78" i="7"/>
  <c r="EO78" i="7"/>
  <c r="EN78" i="7"/>
  <c r="AU78" i="7"/>
  <c r="AT78" i="7"/>
  <c r="SN77" i="7"/>
  <c r="SM77" i="7"/>
  <c r="SJ77" i="7"/>
  <c r="SI77" i="7"/>
  <c r="NT77" i="7"/>
  <c r="NS77" i="7"/>
  <c r="NP77" i="7"/>
  <c r="NO77" i="7"/>
  <c r="NH77" i="7"/>
  <c r="NG77" i="7"/>
  <c r="ND77" i="7"/>
  <c r="NC77" i="7"/>
  <c r="MA77" i="7"/>
  <c r="LW77" i="7"/>
  <c r="LT77" i="7"/>
  <c r="KR77" i="7"/>
  <c r="KQ77" i="7"/>
  <c r="AY77" i="7"/>
  <c r="AX77" i="7"/>
  <c r="KN77" i="7"/>
  <c r="KM77" i="7"/>
  <c r="JB77" i="7"/>
  <c r="JA77" i="7"/>
  <c r="IX77" i="7"/>
  <c r="IW77" i="7"/>
  <c r="ES77" i="7"/>
  <c r="ER77" i="7"/>
  <c r="EO77" i="7"/>
  <c r="EN77" i="7"/>
  <c r="AU77" i="7"/>
  <c r="AT77" i="7"/>
  <c r="ES76" i="7"/>
  <c r="ER76" i="7"/>
  <c r="EO76" i="7"/>
  <c r="AG3253" i="15" s="1"/>
  <c r="EN76" i="7"/>
  <c r="ES75" i="7"/>
  <c r="ER75" i="7"/>
  <c r="EO75" i="7"/>
  <c r="AG3252" i="15" s="1"/>
  <c r="EN75" i="7"/>
  <c r="QO70" i="7"/>
  <c r="QN70" i="7"/>
  <c r="QL70" i="7"/>
  <c r="QK70" i="7"/>
  <c r="QE70" i="7"/>
  <c r="QD70" i="7"/>
  <c r="QA70" i="7"/>
  <c r="PZ70" i="7"/>
  <c r="GV70" i="7"/>
  <c r="GU70" i="7"/>
  <c r="GR70" i="7"/>
  <c r="GQ70" i="7"/>
  <c r="ES70" i="7"/>
  <c r="EO70" i="7"/>
  <c r="AG3249" i="15" s="1"/>
  <c r="QO69" i="7"/>
  <c r="QN69" i="7"/>
  <c r="QQ69" i="7" s="1"/>
  <c r="QL69" i="7"/>
  <c r="QK69" i="7"/>
  <c r="QE69" i="7"/>
  <c r="QD69" i="7"/>
  <c r="QA69" i="7"/>
  <c r="PZ69" i="7"/>
  <c r="GV69" i="7"/>
  <c r="GU69" i="7"/>
  <c r="GR69" i="7"/>
  <c r="GQ69" i="7"/>
  <c r="ES69" i="7"/>
  <c r="EO69" i="7"/>
  <c r="AG3248" i="15" s="1"/>
  <c r="QO68" i="7"/>
  <c r="QN68" i="7"/>
  <c r="QL68" i="7"/>
  <c r="QK68" i="7"/>
  <c r="QE68" i="7"/>
  <c r="QD68" i="7"/>
  <c r="QA68" i="7"/>
  <c r="PZ68" i="7"/>
  <c r="GV68" i="7"/>
  <c r="GU68" i="7"/>
  <c r="GR68" i="7"/>
  <c r="GQ68" i="7"/>
  <c r="ES68" i="7"/>
  <c r="EO68" i="7"/>
  <c r="AG3247" i="15" s="1"/>
  <c r="QO67" i="7"/>
  <c r="QN67" i="7"/>
  <c r="QL67" i="7"/>
  <c r="QK67" i="7"/>
  <c r="QE67" i="7"/>
  <c r="QD67" i="7"/>
  <c r="QA67" i="7"/>
  <c r="PZ67" i="7"/>
  <c r="GV67" i="7"/>
  <c r="GU67" i="7"/>
  <c r="GR67" i="7"/>
  <c r="GQ67" i="7"/>
  <c r="ES67" i="7"/>
  <c r="EO67" i="7"/>
  <c r="AG3246" i="15" s="1"/>
  <c r="QO66" i="7"/>
  <c r="QN66" i="7"/>
  <c r="QL66" i="7"/>
  <c r="QK66" i="7"/>
  <c r="QE66" i="7"/>
  <c r="QD66" i="7"/>
  <c r="QA66" i="7"/>
  <c r="PZ66" i="7"/>
  <c r="GV66" i="7"/>
  <c r="GU66" i="7"/>
  <c r="GR66" i="7"/>
  <c r="GQ66" i="7"/>
  <c r="ES66" i="7"/>
  <c r="ER66" i="7"/>
  <c r="EO66" i="7"/>
  <c r="AG3245" i="15" s="1"/>
  <c r="EN66" i="7"/>
  <c r="QO65" i="7"/>
  <c r="QN65" i="7"/>
  <c r="QL65" i="7"/>
  <c r="QK65" i="7"/>
  <c r="QE65" i="7"/>
  <c r="QD65" i="7"/>
  <c r="QA65" i="7"/>
  <c r="PZ65" i="7"/>
  <c r="GV65" i="7"/>
  <c r="GU65" i="7"/>
  <c r="GR65" i="7"/>
  <c r="GQ65" i="7"/>
  <c r="ES65" i="7"/>
  <c r="ER65" i="7"/>
  <c r="EO65" i="7"/>
  <c r="EN65" i="7"/>
  <c r="QO64" i="7"/>
  <c r="QR64" i="7" s="1"/>
  <c r="QL64" i="7"/>
  <c r="QE64" i="7"/>
  <c r="QA64" i="7"/>
  <c r="EN62" i="7"/>
  <c r="QO63" i="7"/>
  <c r="QL63" i="7"/>
  <c r="QE63" i="7"/>
  <c r="QA63" i="7"/>
  <c r="QO62" i="7"/>
  <c r="QL62" i="7"/>
  <c r="QE62" i="7"/>
  <c r="QA62" i="7"/>
  <c r="ER62" i="7"/>
  <c r="QO61" i="7"/>
  <c r="QL61" i="7"/>
  <c r="QE61" i="7"/>
  <c r="QI61" i="7" s="1"/>
  <c r="QA61" i="7"/>
  <c r="ER61" i="7"/>
  <c r="EN61" i="7"/>
  <c r="QO60" i="7"/>
  <c r="QL60" i="7"/>
  <c r="QE60" i="7"/>
  <c r="QA60" i="7"/>
  <c r="QO59" i="7"/>
  <c r="QR59" i="7" s="1"/>
  <c r="QL59" i="7"/>
  <c r="QE59" i="7"/>
  <c r="QA59" i="7"/>
  <c r="QO58" i="7"/>
  <c r="QL58" i="7"/>
  <c r="QE58" i="7"/>
  <c r="QA58" i="7"/>
  <c r="QO57" i="7"/>
  <c r="QR57" i="7" s="1"/>
  <c r="QL57" i="7"/>
  <c r="QE57" i="7"/>
  <c r="QA57" i="7"/>
  <c r="QO56" i="7"/>
  <c r="QL56" i="7"/>
  <c r="QE56" i="7"/>
  <c r="QA56" i="7"/>
  <c r="ER56" i="7"/>
  <c r="EN56" i="7"/>
  <c r="QO55" i="7"/>
  <c r="QL55" i="7"/>
  <c r="QE55" i="7"/>
  <c r="QA55" i="7"/>
  <c r="ER55" i="7"/>
  <c r="EN55" i="7"/>
  <c r="QO54" i="7"/>
  <c r="QR54" i="7" s="1"/>
  <c r="QL54" i="7"/>
  <c r="QE54" i="7"/>
  <c r="QA54" i="7"/>
  <c r="QO53" i="7"/>
  <c r="QL53" i="7"/>
  <c r="QE53" i="7"/>
  <c r="QA53" i="7"/>
  <c r="QO52" i="7"/>
  <c r="QN52" i="7"/>
  <c r="QL52" i="7"/>
  <c r="QK52" i="7"/>
  <c r="QE52" i="7"/>
  <c r="QD52" i="7"/>
  <c r="QA52" i="7"/>
  <c r="PZ52" i="7"/>
  <c r="GV52" i="7"/>
  <c r="GU52" i="7"/>
  <c r="GR52" i="7"/>
  <c r="GQ52" i="7"/>
  <c r="ES52" i="7"/>
  <c r="EO52" i="7"/>
  <c r="AG3237" i="15" s="1"/>
  <c r="QO51" i="7"/>
  <c r="QN51" i="7"/>
  <c r="QL51" i="7"/>
  <c r="QK51" i="7"/>
  <c r="QE51" i="7"/>
  <c r="QD51" i="7"/>
  <c r="QA51" i="7"/>
  <c r="PZ51" i="7"/>
  <c r="GV51" i="7"/>
  <c r="GU51" i="7"/>
  <c r="GR51" i="7"/>
  <c r="GQ51" i="7"/>
  <c r="ES51" i="7"/>
  <c r="EO51" i="7"/>
  <c r="AG3236" i="15" s="1"/>
  <c r="QO50" i="7"/>
  <c r="QN50" i="7"/>
  <c r="QL50" i="7"/>
  <c r="QK50" i="7"/>
  <c r="QE50" i="7"/>
  <c r="QD50" i="7"/>
  <c r="QA50" i="7"/>
  <c r="PZ50" i="7"/>
  <c r="GV50" i="7"/>
  <c r="GU50" i="7"/>
  <c r="GR50" i="7"/>
  <c r="GQ50" i="7"/>
  <c r="ES50" i="7"/>
  <c r="EO50" i="7"/>
  <c r="AG3235" i="15" s="1"/>
  <c r="QO49" i="7"/>
  <c r="QN49" i="7"/>
  <c r="QL49" i="7"/>
  <c r="QK49" i="7"/>
  <c r="QE49" i="7"/>
  <c r="QD49" i="7"/>
  <c r="QH49" i="7" s="1"/>
  <c r="QA49" i="7"/>
  <c r="PZ49" i="7"/>
  <c r="GV49" i="7"/>
  <c r="GU49" i="7"/>
  <c r="GR49" i="7"/>
  <c r="GQ49" i="7"/>
  <c r="ES49" i="7"/>
  <c r="EO49" i="7"/>
  <c r="AG3234" i="15" s="1"/>
  <c r="QO48" i="7"/>
  <c r="QN48" i="7"/>
  <c r="QL48" i="7"/>
  <c r="QK48" i="7"/>
  <c r="QE48" i="7"/>
  <c r="QD48" i="7"/>
  <c r="QA48" i="7"/>
  <c r="PZ48" i="7"/>
  <c r="GV48" i="7"/>
  <c r="GU48" i="7"/>
  <c r="GR48" i="7"/>
  <c r="GQ48" i="7"/>
  <c r="ES48" i="7"/>
  <c r="ER48" i="7"/>
  <c r="EO48" i="7"/>
  <c r="AG3233" i="15" s="1"/>
  <c r="EN48" i="7"/>
  <c r="QO47" i="7"/>
  <c r="QN47" i="7"/>
  <c r="QL47" i="7"/>
  <c r="QK47" i="7"/>
  <c r="QE47" i="7"/>
  <c r="QD47" i="7"/>
  <c r="QA47" i="7"/>
  <c r="PZ47" i="7"/>
  <c r="GV47" i="7"/>
  <c r="GU47" i="7"/>
  <c r="GR47" i="7"/>
  <c r="GQ47" i="7"/>
  <c r="ES47" i="7"/>
  <c r="ER47" i="7"/>
  <c r="EO47" i="7"/>
  <c r="EN47" i="7"/>
  <c r="QO46" i="7"/>
  <c r="QR46" i="7" s="1"/>
  <c r="QL46" i="7"/>
  <c r="QE46" i="7"/>
  <c r="QA46" i="7"/>
  <c r="QO45" i="7"/>
  <c r="QL45" i="7"/>
  <c r="QE45" i="7"/>
  <c r="QA45" i="7"/>
  <c r="QO44" i="7"/>
  <c r="QR44" i="7" s="1"/>
  <c r="QL44" i="7"/>
  <c r="QE44" i="7"/>
  <c r="QA44" i="7"/>
  <c r="ER44" i="7"/>
  <c r="EN44" i="7"/>
  <c r="QO43" i="7"/>
  <c r="QL43" i="7"/>
  <c r="QE43" i="7"/>
  <c r="QI43" i="7" s="1"/>
  <c r="QA43" i="7"/>
  <c r="ER43" i="7"/>
  <c r="EN43" i="7"/>
  <c r="QO42" i="7"/>
  <c r="QL42" i="7"/>
  <c r="QE42" i="7"/>
  <c r="QI42" i="7" s="1"/>
  <c r="QA42" i="7"/>
  <c r="QO41" i="7"/>
  <c r="QR41" i="7" s="1"/>
  <c r="QL41" i="7"/>
  <c r="QE41" i="7"/>
  <c r="QA41" i="7"/>
  <c r="QO40" i="7"/>
  <c r="QL40" i="7"/>
  <c r="QE40" i="7"/>
  <c r="QI40" i="7" s="1"/>
  <c r="QA40" i="7"/>
  <c r="QO39" i="7"/>
  <c r="QR39" i="7" s="1"/>
  <c r="QL39" i="7"/>
  <c r="QE39" i="7"/>
  <c r="QA39" i="7"/>
  <c r="QO38" i="7"/>
  <c r="QL38" i="7"/>
  <c r="QE38" i="7"/>
  <c r="QI38" i="7" s="1"/>
  <c r="QA38" i="7"/>
  <c r="ER38" i="7"/>
  <c r="EN38" i="7"/>
  <c r="QO37" i="7"/>
  <c r="QL37" i="7"/>
  <c r="QE37" i="7"/>
  <c r="QA37" i="7"/>
  <c r="ER37" i="7"/>
  <c r="EN37" i="7"/>
  <c r="QO36" i="7"/>
  <c r="QR36" i="7" s="1"/>
  <c r="QL36" i="7"/>
  <c r="QE36" i="7"/>
  <c r="QA36" i="7"/>
  <c r="QO35" i="7"/>
  <c r="QL35" i="7"/>
  <c r="QE35" i="7"/>
  <c r="QI35" i="7" s="1"/>
  <c r="QA35" i="7"/>
  <c r="MA34" i="7"/>
  <c r="LZ34" i="7"/>
  <c r="LY34" i="7"/>
  <c r="LW34" i="7"/>
  <c r="LV34" i="7"/>
  <c r="LU34" i="7"/>
  <c r="LT34" i="7"/>
  <c r="GV34" i="7"/>
  <c r="GU34" i="7"/>
  <c r="GR34" i="7"/>
  <c r="GQ34" i="7"/>
  <c r="MA33" i="7"/>
  <c r="LY33" i="7"/>
  <c r="LW33" i="7"/>
  <c r="LT33" i="7"/>
  <c r="KR33" i="7"/>
  <c r="KN33" i="7"/>
  <c r="HH33" i="7"/>
  <c r="EF33" i="7"/>
  <c r="EB33" i="7"/>
  <c r="DS33" i="7"/>
  <c r="DO33" i="7"/>
  <c r="MA17" i="7"/>
  <c r="LZ17" i="7"/>
  <c r="LY17" i="7"/>
  <c r="LW17" i="7"/>
  <c r="LV17" i="7"/>
  <c r="LU17" i="7"/>
  <c r="GR17" i="7"/>
  <c r="GQ17" i="7"/>
  <c r="GY17" i="7" s="1"/>
  <c r="EO17" i="7"/>
  <c r="EN17" i="7"/>
  <c r="MA16" i="7"/>
  <c r="LZ16" i="7"/>
  <c r="LY16" i="7"/>
  <c r="LW16" i="7"/>
  <c r="LV16" i="7"/>
  <c r="LU16" i="7"/>
  <c r="GR16" i="7"/>
  <c r="GQ16" i="7"/>
  <c r="EO16" i="7"/>
  <c r="EN16" i="7"/>
  <c r="MA15" i="7"/>
  <c r="LZ15" i="7"/>
  <c r="LY15" i="7"/>
  <c r="LW15" i="7"/>
  <c r="LV15" i="7"/>
  <c r="LU15" i="7"/>
  <c r="GR15" i="7"/>
  <c r="GZ15" i="7" s="1"/>
  <c r="GQ15" i="7"/>
  <c r="GY15" i="7" s="1"/>
  <c r="EO15" i="7"/>
  <c r="EN15" i="7"/>
  <c r="MA14" i="7"/>
  <c r="LZ14" i="7"/>
  <c r="LY14" i="7"/>
  <c r="LW14" i="7"/>
  <c r="LV14" i="7"/>
  <c r="LU14" i="7"/>
  <c r="GR14" i="7"/>
  <c r="GQ14" i="7"/>
  <c r="GY14" i="7" s="1"/>
  <c r="EO14" i="7"/>
  <c r="EN14" i="7"/>
  <c r="DS3" i="7"/>
  <c r="DS2" i="7"/>
  <c r="QR43" i="7" l="1"/>
  <c r="QI45" i="7"/>
  <c r="SR120" i="7"/>
  <c r="SR123" i="7"/>
  <c r="SR126" i="7"/>
  <c r="KV143" i="7"/>
  <c r="BC332" i="7"/>
  <c r="AD2925" i="15"/>
  <c r="AD2592" i="15"/>
  <c r="AD2237" i="15"/>
  <c r="AD1504" i="15"/>
  <c r="AD1437" i="15"/>
  <c r="AD749" i="15"/>
  <c r="AD604" i="15"/>
  <c r="AD12" i="15"/>
  <c r="AJ3105" i="15"/>
  <c r="AJ2643" i="15"/>
  <c r="AJ2281" i="15"/>
  <c r="AJ2051" i="15"/>
  <c r="AJ1729" i="15"/>
  <c r="AJ1438" i="15"/>
  <c r="AJ760" i="15"/>
  <c r="AJ648" i="15"/>
  <c r="AJ65" i="15"/>
  <c r="N2920" i="15"/>
  <c r="N2587" i="15"/>
  <c r="N2194" i="15"/>
  <c r="N1499" i="15"/>
  <c r="N1846" i="15"/>
  <c r="N1264" i="15"/>
  <c r="N417" i="15"/>
  <c r="N7" i="15"/>
  <c r="W3047" i="15"/>
  <c r="W2738" i="15"/>
  <c r="W2544" i="15"/>
  <c r="W1477" i="15"/>
  <c r="W1037" i="15"/>
  <c r="W187" i="15"/>
  <c r="W386" i="15"/>
  <c r="O3040" i="15"/>
  <c r="O2684" i="15"/>
  <c r="O2282" i="15"/>
  <c r="O1532" i="15"/>
  <c r="O1442" i="15"/>
  <c r="O1003" i="15"/>
  <c r="O118" i="15"/>
  <c r="O369" i="15"/>
  <c r="U3082" i="15"/>
  <c r="U2745" i="15"/>
  <c r="U2463" i="15"/>
  <c r="U2057" i="15"/>
  <c r="U1593" i="15"/>
  <c r="U1447" i="15"/>
  <c r="U194" i="15"/>
  <c r="U506" i="15"/>
  <c r="CJ44" i="7"/>
  <c r="F3093" i="15"/>
  <c r="F2597" i="15"/>
  <c r="F2246" i="15"/>
  <c r="F2017" i="15"/>
  <c r="F1698" i="15"/>
  <c r="F1268" i="15"/>
  <c r="F976" i="15"/>
  <c r="F669" i="15"/>
  <c r="F17" i="15"/>
  <c r="F2920" i="15"/>
  <c r="F2587" i="15"/>
  <c r="F2408" i="15"/>
  <c r="F1688" i="15"/>
  <c r="F1846" i="15"/>
  <c r="F659" i="15"/>
  <c r="F7" i="15"/>
  <c r="T3101" i="15"/>
  <c r="T2639" i="15"/>
  <c r="T2415" i="15"/>
  <c r="T1877" i="15"/>
  <c r="T1711" i="15"/>
  <c r="T1357" i="15"/>
  <c r="T764" i="15"/>
  <c r="T443" i="15"/>
  <c r="T62" i="15"/>
  <c r="AD3029" i="15"/>
  <c r="AD2605" i="15"/>
  <c r="AD2524" i="15"/>
  <c r="AD1857" i="15"/>
  <c r="AD1269" i="15"/>
  <c r="AD1463" i="15"/>
  <c r="AD759" i="15"/>
  <c r="AD25" i="15"/>
  <c r="AD433" i="15"/>
  <c r="T3003" i="15"/>
  <c r="T2803" i="15"/>
  <c r="T2228" i="15"/>
  <c r="T1636" i="15"/>
  <c r="T868" i="15"/>
  <c r="T634" i="15"/>
  <c r="T252" i="15"/>
  <c r="T3176" i="15"/>
  <c r="T2826" i="15"/>
  <c r="T2116" i="15"/>
  <c r="T2339" i="15"/>
  <c r="T1659" i="15"/>
  <c r="T1136" i="15"/>
  <c r="T889" i="15"/>
  <c r="T711" i="15"/>
  <c r="T275" i="15"/>
  <c r="X3055" i="15"/>
  <c r="X2549" i="15"/>
  <c r="X1481" i="15"/>
  <c r="X571" i="15"/>
  <c r="X283" i="15"/>
  <c r="AC3094" i="15"/>
  <c r="AC2598" i="15"/>
  <c r="AC2410" i="15"/>
  <c r="AC1691" i="15"/>
  <c r="AC1854" i="15"/>
  <c r="AC753" i="15"/>
  <c r="AC1354" i="15"/>
  <c r="AC426" i="15"/>
  <c r="AC18" i="15"/>
  <c r="AD3038" i="15"/>
  <c r="AD2531" i="15"/>
  <c r="AD1468" i="15"/>
  <c r="AD465" i="15"/>
  <c r="AD90" i="15"/>
  <c r="AI3120" i="15"/>
  <c r="AI2663" i="15"/>
  <c r="AI2420" i="15"/>
  <c r="AI2060" i="15"/>
  <c r="AI1517" i="15"/>
  <c r="AI1165" i="15"/>
  <c r="AI776" i="15"/>
  <c r="AI445" i="15"/>
  <c r="AI85" i="15"/>
  <c r="AI3121" i="15"/>
  <c r="AI2664" i="15"/>
  <c r="AI2421" i="15"/>
  <c r="AI2061" i="15"/>
  <c r="AI1518" i="15"/>
  <c r="AI1166" i="15"/>
  <c r="AI777" i="15"/>
  <c r="AI446" i="15"/>
  <c r="AI86" i="15"/>
  <c r="AJ3122" i="15"/>
  <c r="AJ2565" i="15"/>
  <c r="AJ2422" i="15"/>
  <c r="AJ2062" i="15"/>
  <c r="AJ1519" i="15"/>
  <c r="AJ1167" i="15"/>
  <c r="AJ778" i="15"/>
  <c r="AJ447" i="15"/>
  <c r="AJ87" i="15"/>
  <c r="DW134" i="7"/>
  <c r="X3035" i="15"/>
  <c r="X2673" i="15"/>
  <c r="X2265" i="15"/>
  <c r="X1548" i="15"/>
  <c r="X1010" i="15"/>
  <c r="X470" i="15"/>
  <c r="X105" i="15"/>
  <c r="DW139" i="7"/>
  <c r="U2954" i="15"/>
  <c r="U2678" i="15"/>
  <c r="U2270" i="15"/>
  <c r="U1734" i="15"/>
  <c r="U1369" i="15"/>
  <c r="U790" i="15"/>
  <c r="U475" i="15"/>
  <c r="U110" i="15"/>
  <c r="DW143" i="7"/>
  <c r="U2958" i="15"/>
  <c r="U2682" i="15"/>
  <c r="U2274" i="15"/>
  <c r="U1738" i="15"/>
  <c r="U1300" i="15"/>
  <c r="U794" i="15"/>
  <c r="U479" i="15"/>
  <c r="U114" i="15"/>
  <c r="AF2950" i="15"/>
  <c r="AF2715" i="15"/>
  <c r="AF2306" i="15"/>
  <c r="AF2073" i="15"/>
  <c r="AF1548" i="15"/>
  <c r="AF1387" i="15"/>
  <c r="AF815" i="15"/>
  <c r="AF483" i="15"/>
  <c r="AF150" i="15"/>
  <c r="AI3077" i="15"/>
  <c r="AI2575" i="15"/>
  <c r="AI2439" i="15"/>
  <c r="AI1912" i="15"/>
  <c r="AI1552" i="15"/>
  <c r="AI1391" i="15"/>
  <c r="AI613" i="15"/>
  <c r="AI1046" i="15"/>
  <c r="AI154" i="15"/>
  <c r="AI2957" i="15"/>
  <c r="AI2720" i="15"/>
  <c r="AI2443" i="15"/>
  <c r="AI1916" i="15"/>
  <c r="AI1556" i="15"/>
  <c r="AI1395" i="15"/>
  <c r="AI1050" i="15"/>
  <c r="AI617" i="15"/>
  <c r="AI158" i="15"/>
  <c r="AJ2958" i="15"/>
  <c r="AJ2577" i="15"/>
  <c r="AJ2444" i="15"/>
  <c r="AJ1917" i="15"/>
  <c r="AJ1557" i="15"/>
  <c r="AJ1396" i="15"/>
  <c r="AJ618" i="15"/>
  <c r="AJ1051" i="15"/>
  <c r="AJ159" i="15"/>
  <c r="AD3077" i="15"/>
  <c r="AD2657" i="15"/>
  <c r="AD2431" i="15"/>
  <c r="AD1902" i="15"/>
  <c r="AD1538" i="15"/>
  <c r="AD1376" i="15"/>
  <c r="AD995" i="15"/>
  <c r="AD467" i="15"/>
  <c r="AD94" i="15"/>
  <c r="AD3104" i="15"/>
  <c r="AD2662" i="15"/>
  <c r="AD2266" i="15"/>
  <c r="AD2027" i="15"/>
  <c r="AD1541" i="15"/>
  <c r="AD1441" i="15"/>
  <c r="AD792" i="15"/>
  <c r="AD471" i="15"/>
  <c r="AD100" i="15"/>
  <c r="AC3079" i="15"/>
  <c r="AC2665" i="15"/>
  <c r="AC2533" i="15"/>
  <c r="AC1907" i="15"/>
  <c r="AC1544" i="15"/>
  <c r="AC1121" i="15"/>
  <c r="AC472" i="15"/>
  <c r="AC103" i="15"/>
  <c r="AD3080" i="15"/>
  <c r="AD2666" i="15"/>
  <c r="AD2534" i="15"/>
  <c r="AD1908" i="15"/>
  <c r="AD1545" i="15"/>
  <c r="AD1122" i="15"/>
  <c r="AD473" i="15"/>
  <c r="AD104" i="15"/>
  <c r="AI3202" i="15"/>
  <c r="AI2859" i="15"/>
  <c r="AI2501" i="15"/>
  <c r="AI2155" i="15"/>
  <c r="AI1634" i="15"/>
  <c r="AI924" i="15"/>
  <c r="AI1238" i="15"/>
  <c r="AI735" i="15"/>
  <c r="AI301" i="15"/>
  <c r="AI3204" i="15"/>
  <c r="AI2861" i="15"/>
  <c r="AI2503" i="15"/>
  <c r="AI2157" i="15"/>
  <c r="AI1636" i="15"/>
  <c r="AI926" i="15"/>
  <c r="AI1240" i="15"/>
  <c r="AI737" i="15"/>
  <c r="AI303" i="15"/>
  <c r="AI3206" i="15"/>
  <c r="AI2863" i="15"/>
  <c r="AI2505" i="15"/>
  <c r="AI2159" i="15"/>
  <c r="AI1638" i="15"/>
  <c r="AI928" i="15"/>
  <c r="AI1242" i="15"/>
  <c r="AI739" i="15"/>
  <c r="AI305" i="15"/>
  <c r="W2960" i="15"/>
  <c r="W2686" i="15"/>
  <c r="W2433" i="15"/>
  <c r="W1551" i="15"/>
  <c r="W1911" i="15"/>
  <c r="W609" i="15"/>
  <c r="W127" i="15"/>
  <c r="X2962" i="15"/>
  <c r="X2688" i="15"/>
  <c r="X2435" i="15"/>
  <c r="X1913" i="15"/>
  <c r="X1553" i="15"/>
  <c r="X611" i="15"/>
  <c r="X129" i="15"/>
  <c r="X2964" i="15"/>
  <c r="X2690" i="15"/>
  <c r="X2437" i="15"/>
  <c r="X1915" i="15"/>
  <c r="X1555" i="15"/>
  <c r="X613" i="15"/>
  <c r="X131" i="15"/>
  <c r="AD2946" i="15"/>
  <c r="AD2643" i="15"/>
  <c r="AD2426" i="15"/>
  <c r="AD1890" i="15"/>
  <c r="AD1526" i="15"/>
  <c r="AD607" i="15"/>
  <c r="AD79" i="15"/>
  <c r="AD2948" i="15"/>
  <c r="AD2645" i="15"/>
  <c r="AD2428" i="15"/>
  <c r="AD1892" i="15"/>
  <c r="AD1528" i="15"/>
  <c r="AD81" i="15"/>
  <c r="AD609" i="15"/>
  <c r="T2960" i="15"/>
  <c r="T2686" i="15"/>
  <c r="T2433" i="15"/>
  <c r="T1911" i="15"/>
  <c r="T1551" i="15"/>
  <c r="T609" i="15"/>
  <c r="T127" i="15"/>
  <c r="W3032" i="15"/>
  <c r="W2645" i="15"/>
  <c r="W2527" i="15"/>
  <c r="W1466" i="15"/>
  <c r="W1291" i="15"/>
  <c r="W68" i="15"/>
  <c r="W449" i="15"/>
  <c r="W3056" i="15"/>
  <c r="W2550" i="15"/>
  <c r="W1482" i="15"/>
  <c r="W290" i="15"/>
  <c r="W390" i="15"/>
  <c r="EJ411" i="7"/>
  <c r="AD3042" i="15"/>
  <c r="AD2537" i="15"/>
  <c r="AD1472" i="15"/>
  <c r="AD619" i="15"/>
  <c r="AD122" i="15"/>
  <c r="O2920" i="15"/>
  <c r="O2587" i="15"/>
  <c r="O2194" i="15"/>
  <c r="O1846" i="15"/>
  <c r="O1499" i="15"/>
  <c r="O1264" i="15"/>
  <c r="O417" i="15"/>
  <c r="O7" i="15"/>
  <c r="T3046" i="15"/>
  <c r="T2737" i="15"/>
  <c r="T2543" i="15"/>
  <c r="T1476" i="15"/>
  <c r="T1036" i="15"/>
  <c r="T385" i="15"/>
  <c r="T186" i="15"/>
  <c r="W3049" i="15"/>
  <c r="W2740" i="15"/>
  <c r="W2546" i="15"/>
  <c r="W1479" i="15"/>
  <c r="W1039" i="15"/>
  <c r="W189" i="15"/>
  <c r="W388" i="15"/>
  <c r="Q3039" i="15"/>
  <c r="Q2651" i="15"/>
  <c r="Q2536" i="15"/>
  <c r="Q2041" i="15"/>
  <c r="Q1471" i="15"/>
  <c r="Q1282" i="15"/>
  <c r="Q441" i="15"/>
  <c r="Q76" i="15"/>
  <c r="K3032" i="15"/>
  <c r="K2627" i="15"/>
  <c r="K2527" i="15"/>
  <c r="K2035" i="15"/>
  <c r="K1280" i="15"/>
  <c r="K1466" i="15"/>
  <c r="K425" i="15"/>
  <c r="K47" i="15"/>
  <c r="E3031" i="15"/>
  <c r="E2626" i="15"/>
  <c r="E2526" i="15"/>
  <c r="E2034" i="15"/>
  <c r="E1465" i="15"/>
  <c r="E1158" i="15"/>
  <c r="E424" i="15"/>
  <c r="E46" i="15"/>
  <c r="E3033" i="15"/>
  <c r="E2655" i="15"/>
  <c r="E2269" i="15"/>
  <c r="E1525" i="15"/>
  <c r="E1440" i="15"/>
  <c r="E994" i="15"/>
  <c r="E363" i="15"/>
  <c r="E83" i="15"/>
  <c r="N3041" i="15"/>
  <c r="N2685" i="15"/>
  <c r="N2283" i="15"/>
  <c r="N1533" i="15"/>
  <c r="N1443" i="15"/>
  <c r="N1004" i="15"/>
  <c r="N370" i="15"/>
  <c r="N119" i="15"/>
  <c r="CJ37" i="7"/>
  <c r="F3222" i="15"/>
  <c r="F2590" i="15"/>
  <c r="F2239" i="15"/>
  <c r="F2010" i="15"/>
  <c r="F1691" i="15"/>
  <c r="F1146" i="15"/>
  <c r="F969" i="15"/>
  <c r="F662" i="15"/>
  <c r="F10" i="15"/>
  <c r="CJ45" i="7"/>
  <c r="F3094" i="15"/>
  <c r="F2598" i="15"/>
  <c r="F2247" i="15"/>
  <c r="F2018" i="15"/>
  <c r="F1699" i="15"/>
  <c r="F1149" i="15"/>
  <c r="F670" i="15"/>
  <c r="F977" i="15"/>
  <c r="F18" i="15"/>
  <c r="W2919" i="15"/>
  <c r="W2586" i="15"/>
  <c r="W2193" i="15"/>
  <c r="W1845" i="15"/>
  <c r="W1498" i="15"/>
  <c r="W1146" i="15"/>
  <c r="W416" i="15"/>
  <c r="W6" i="15"/>
  <c r="T3100" i="15"/>
  <c r="T2638" i="15"/>
  <c r="T2414" i="15"/>
  <c r="T1876" i="15"/>
  <c r="T1710" i="15"/>
  <c r="T1356" i="15"/>
  <c r="T763" i="15"/>
  <c r="T442" i="15"/>
  <c r="T61" i="15"/>
  <c r="DW99" i="7"/>
  <c r="X3034" i="15"/>
  <c r="X2647" i="15"/>
  <c r="X2529" i="15"/>
  <c r="X1881" i="15"/>
  <c r="X1293" i="15"/>
  <c r="X1468" i="15"/>
  <c r="X992" i="15"/>
  <c r="X70" i="15"/>
  <c r="X451" i="15"/>
  <c r="U3003" i="15"/>
  <c r="U2803" i="15"/>
  <c r="U2228" i="15"/>
  <c r="U1636" i="15"/>
  <c r="U868" i="15"/>
  <c r="U634" i="15"/>
  <c r="U252" i="15"/>
  <c r="U3176" i="15"/>
  <c r="U2826" i="15"/>
  <c r="U2339" i="15"/>
  <c r="U2116" i="15"/>
  <c r="U1659" i="15"/>
  <c r="U1136" i="15"/>
  <c r="U889" i="15"/>
  <c r="U711" i="15"/>
  <c r="U275" i="15"/>
  <c r="Z2599" i="15"/>
  <c r="Z2926" i="15"/>
  <c r="Z2411" i="15"/>
  <c r="Z1692" i="15"/>
  <c r="Z1855" i="15"/>
  <c r="Z1355" i="15"/>
  <c r="Z754" i="15"/>
  <c r="Z19" i="15"/>
  <c r="Z427" i="15"/>
  <c r="AC2599" i="15"/>
  <c r="AC2926" i="15"/>
  <c r="AC2411" i="15"/>
  <c r="AC1692" i="15"/>
  <c r="AC1855" i="15"/>
  <c r="AC1355" i="15"/>
  <c r="AC754" i="15"/>
  <c r="AC427" i="15"/>
  <c r="AC19" i="15"/>
  <c r="AA3038" i="15"/>
  <c r="AA2531" i="15"/>
  <c r="AA1468" i="15"/>
  <c r="AA465" i="15"/>
  <c r="AA90" i="15"/>
  <c r="EW134" i="7"/>
  <c r="AG3031" i="15"/>
  <c r="AG2687" i="15"/>
  <c r="AG2293" i="15"/>
  <c r="AG1536" i="15"/>
  <c r="AG1036" i="15"/>
  <c r="AG118" i="15"/>
  <c r="AG462" i="15"/>
  <c r="DW136" i="7"/>
  <c r="U2951" i="15"/>
  <c r="U2675" i="15"/>
  <c r="U2267" i="15"/>
  <c r="U1731" i="15"/>
  <c r="U1366" i="15"/>
  <c r="U787" i="15"/>
  <c r="U472" i="15"/>
  <c r="U107" i="15"/>
  <c r="X2954" i="15"/>
  <c r="X2678" i="15"/>
  <c r="X2270" i="15"/>
  <c r="X1734" i="15"/>
  <c r="X1369" i="15"/>
  <c r="X790" i="15"/>
  <c r="X110" i="15"/>
  <c r="X475" i="15"/>
  <c r="X2958" i="15"/>
  <c r="X2682" i="15"/>
  <c r="X2274" i="15"/>
  <c r="X1738" i="15"/>
  <c r="X1300" i="15"/>
  <c r="X794" i="15"/>
  <c r="X479" i="15"/>
  <c r="X114" i="15"/>
  <c r="EW179" i="7"/>
  <c r="AG2950" i="15"/>
  <c r="AG2715" i="15"/>
  <c r="AG2306" i="15"/>
  <c r="AG2073" i="15"/>
  <c r="AG1548" i="15"/>
  <c r="AG1387" i="15"/>
  <c r="AG815" i="15"/>
  <c r="AG483" i="15"/>
  <c r="AG150" i="15"/>
  <c r="EW183" i="7"/>
  <c r="AJ3077" i="15"/>
  <c r="AJ2439" i="15"/>
  <c r="AJ2575" i="15"/>
  <c r="AJ1912" i="15"/>
  <c r="AJ1552" i="15"/>
  <c r="AJ1391" i="15"/>
  <c r="AJ1046" i="15"/>
  <c r="AJ613" i="15"/>
  <c r="AJ154" i="15"/>
  <c r="AJ2957" i="15"/>
  <c r="AJ2720" i="15"/>
  <c r="AJ2443" i="15"/>
  <c r="AJ1916" i="15"/>
  <c r="AJ1556" i="15"/>
  <c r="AJ1395" i="15"/>
  <c r="AJ1050" i="15"/>
  <c r="AJ617" i="15"/>
  <c r="AJ158" i="15"/>
  <c r="EW199" i="7"/>
  <c r="AG3127" i="15"/>
  <c r="AG2728" i="15"/>
  <c r="AG2454" i="15"/>
  <c r="AG1928" i="15"/>
  <c r="AG1563" i="15"/>
  <c r="AG1441" i="15"/>
  <c r="AG822" i="15"/>
  <c r="AG707" i="15"/>
  <c r="AG170" i="15"/>
  <c r="N3103" i="15"/>
  <c r="N2635" i="15"/>
  <c r="N2269" i="15"/>
  <c r="N2034" i="15"/>
  <c r="N1503" i="15"/>
  <c r="N1117" i="15"/>
  <c r="N993" i="15"/>
  <c r="N649" i="15"/>
  <c r="N60" i="15"/>
  <c r="AD3079" i="15"/>
  <c r="AD2665" i="15"/>
  <c r="AD2533" i="15"/>
  <c r="AD1907" i="15"/>
  <c r="AD1544" i="15"/>
  <c r="AD1121" i="15"/>
  <c r="AD472" i="15"/>
  <c r="AD103" i="15"/>
  <c r="AJ3202" i="15"/>
  <c r="AJ2859" i="15"/>
  <c r="AJ2501" i="15"/>
  <c r="AJ2155" i="15"/>
  <c r="AJ1634" i="15"/>
  <c r="AJ924" i="15"/>
  <c r="AJ1238" i="15"/>
  <c r="AJ735" i="15"/>
  <c r="AJ301" i="15"/>
  <c r="AJ3204" i="15"/>
  <c r="AJ2861" i="15"/>
  <c r="AJ2503" i="15"/>
  <c r="AJ2157" i="15"/>
  <c r="AJ1636" i="15"/>
  <c r="AJ926" i="15"/>
  <c r="AJ1240" i="15"/>
  <c r="AJ737" i="15"/>
  <c r="AJ303" i="15"/>
  <c r="AJ3206" i="15"/>
  <c r="AJ2863" i="15"/>
  <c r="AJ2505" i="15"/>
  <c r="AJ2159" i="15"/>
  <c r="AJ1638" i="15"/>
  <c r="AJ928" i="15"/>
  <c r="AJ1242" i="15"/>
  <c r="AJ739" i="15"/>
  <c r="AJ305" i="15"/>
  <c r="X2960" i="15"/>
  <c r="X2686" i="15"/>
  <c r="X2433" i="15"/>
  <c r="X1911" i="15"/>
  <c r="X1551" i="15"/>
  <c r="X609" i="15"/>
  <c r="X127" i="15"/>
  <c r="T2963" i="15"/>
  <c r="T2689" i="15"/>
  <c r="T2436" i="15"/>
  <c r="T1914" i="15"/>
  <c r="T1554" i="15"/>
  <c r="T612" i="15"/>
  <c r="T130" i="15"/>
  <c r="T2965" i="15"/>
  <c r="T2691" i="15"/>
  <c r="T2438" i="15"/>
  <c r="T1916" i="15"/>
  <c r="T1556" i="15"/>
  <c r="T614" i="15"/>
  <c r="T132" i="15"/>
  <c r="Z2947" i="15"/>
  <c r="Z2644" i="15"/>
  <c r="Z2427" i="15"/>
  <c r="Z1891" i="15"/>
  <c r="Z1527" i="15"/>
  <c r="Z608" i="15"/>
  <c r="Z80" i="15"/>
  <c r="Z2949" i="15"/>
  <c r="Z2646" i="15"/>
  <c r="Z2429" i="15"/>
  <c r="Z1893" i="15"/>
  <c r="Z1529" i="15"/>
  <c r="Z610" i="15"/>
  <c r="Z82" i="15"/>
  <c r="R3103" i="15"/>
  <c r="R2635" i="15"/>
  <c r="R2269" i="15"/>
  <c r="R2034" i="15"/>
  <c r="R1503" i="15"/>
  <c r="R1117" i="15"/>
  <c r="R993" i="15"/>
  <c r="R649" i="15"/>
  <c r="R60" i="15"/>
  <c r="T2961" i="15"/>
  <c r="T2687" i="15"/>
  <c r="T2434" i="15"/>
  <c r="T1912" i="15"/>
  <c r="T1552" i="15"/>
  <c r="T610" i="15"/>
  <c r="T128" i="15"/>
  <c r="X3032" i="15"/>
  <c r="X2645" i="15"/>
  <c r="X2527" i="15"/>
  <c r="X1466" i="15"/>
  <c r="X449" i="15"/>
  <c r="X1291" i="15"/>
  <c r="X68" i="15"/>
  <c r="X3056" i="15"/>
  <c r="X2550" i="15"/>
  <c r="X1482" i="15"/>
  <c r="X290" i="15"/>
  <c r="X390" i="15"/>
  <c r="Q2920" i="15"/>
  <c r="Q2587" i="15"/>
  <c r="Q2194" i="15"/>
  <c r="Q1846" i="15"/>
  <c r="Q1499" i="15"/>
  <c r="Q1264" i="15"/>
  <c r="Q417" i="15"/>
  <c r="Q7" i="15"/>
  <c r="T3050" i="15"/>
  <c r="T2741" i="15"/>
  <c r="T2547" i="15"/>
  <c r="T1480" i="15"/>
  <c r="T1040" i="15"/>
  <c r="T389" i="15"/>
  <c r="T190" i="15"/>
  <c r="W3050" i="15"/>
  <c r="W2741" i="15"/>
  <c r="W2547" i="15"/>
  <c r="W1480" i="15"/>
  <c r="W1040" i="15"/>
  <c r="W389" i="15"/>
  <c r="W190" i="15"/>
  <c r="H3029" i="15"/>
  <c r="H2624" i="15"/>
  <c r="H2524" i="15"/>
  <c r="H2032" i="15"/>
  <c r="H1463" i="15"/>
  <c r="H1156" i="15"/>
  <c r="H44" i="15"/>
  <c r="H422" i="15"/>
  <c r="N3036" i="15"/>
  <c r="N2648" i="15"/>
  <c r="N2533" i="15"/>
  <c r="N2038" i="15"/>
  <c r="N1468" i="15"/>
  <c r="N1157" i="15"/>
  <c r="N438" i="15"/>
  <c r="N73" i="15"/>
  <c r="E3032" i="15"/>
  <c r="E2627" i="15"/>
  <c r="E2527" i="15"/>
  <c r="E2035" i="15"/>
  <c r="E1280" i="15"/>
  <c r="E1466" i="15"/>
  <c r="E425" i="15"/>
  <c r="E47" i="15"/>
  <c r="E3034" i="15"/>
  <c r="E2656" i="15"/>
  <c r="E2270" i="15"/>
  <c r="E1526" i="15"/>
  <c r="E995" i="15"/>
  <c r="E1441" i="15"/>
  <c r="E364" i="15"/>
  <c r="E84" i="15"/>
  <c r="DJ419" i="7"/>
  <c r="O3041" i="15"/>
  <c r="O2685" i="15"/>
  <c r="O2283" i="15"/>
  <c r="O1533" i="15"/>
  <c r="O1443" i="15"/>
  <c r="O1004" i="15"/>
  <c r="O370" i="15"/>
  <c r="O119" i="15"/>
  <c r="CJ38" i="7"/>
  <c r="F3223" i="15"/>
  <c r="F2591" i="15"/>
  <c r="F2240" i="15"/>
  <c r="F2011" i="15"/>
  <c r="F1692" i="15"/>
  <c r="F1265" i="15"/>
  <c r="F970" i="15"/>
  <c r="F663" i="15"/>
  <c r="F11" i="15"/>
  <c r="CJ46" i="7"/>
  <c r="F3095" i="15"/>
  <c r="F2599" i="15"/>
  <c r="F2248" i="15"/>
  <c r="F2019" i="15"/>
  <c r="F1700" i="15"/>
  <c r="F978" i="15"/>
  <c r="F1269" i="15"/>
  <c r="F671" i="15"/>
  <c r="F19" i="15"/>
  <c r="W2920" i="15"/>
  <c r="W2587" i="15"/>
  <c r="W2194" i="15"/>
  <c r="W1846" i="15"/>
  <c r="W1499" i="15"/>
  <c r="W1264" i="15"/>
  <c r="W417" i="15"/>
  <c r="W7" i="15"/>
  <c r="T3099" i="15"/>
  <c r="T2637" i="15"/>
  <c r="T2413" i="15"/>
  <c r="T1875" i="15"/>
  <c r="T1709" i="15"/>
  <c r="T1355" i="15"/>
  <c r="T762" i="15"/>
  <c r="T441" i="15"/>
  <c r="T60" i="15"/>
  <c r="T3037" i="15"/>
  <c r="T2685" i="15"/>
  <c r="T2277" i="15"/>
  <c r="T2040" i="15"/>
  <c r="T1550" i="15"/>
  <c r="T1011" i="15"/>
  <c r="T650" i="15"/>
  <c r="T117" i="15"/>
  <c r="U3004" i="15"/>
  <c r="U2804" i="15"/>
  <c r="U2229" i="15"/>
  <c r="U1637" i="15"/>
  <c r="U869" i="15"/>
  <c r="U635" i="15"/>
  <c r="U253" i="15"/>
  <c r="W3176" i="15"/>
  <c r="W2826" i="15"/>
  <c r="W2339" i="15"/>
  <c r="W2116" i="15"/>
  <c r="W1659" i="15"/>
  <c r="W889" i="15"/>
  <c r="W1136" i="15"/>
  <c r="W711" i="15"/>
  <c r="W275" i="15"/>
  <c r="Z2927" i="15"/>
  <c r="Z2600" i="15"/>
  <c r="Z2412" i="15"/>
  <c r="Z1693" i="15"/>
  <c r="Z1856" i="15"/>
  <c r="Z1356" i="15"/>
  <c r="Z969" i="15"/>
  <c r="Z428" i="15"/>
  <c r="Z20" i="15"/>
  <c r="AC2927" i="15"/>
  <c r="AC2600" i="15"/>
  <c r="AC2412" i="15"/>
  <c r="AC1693" i="15"/>
  <c r="AC1856" i="15"/>
  <c r="AC1356" i="15"/>
  <c r="AC428" i="15"/>
  <c r="AC969" i="15"/>
  <c r="AC20" i="15"/>
  <c r="AD3112" i="15"/>
  <c r="AD2679" i="15"/>
  <c r="AD2274" i="15"/>
  <c r="AD2035" i="15"/>
  <c r="AD1737" i="15"/>
  <c r="AD1385" i="15"/>
  <c r="AD806" i="15"/>
  <c r="AD486" i="15"/>
  <c r="AD117" i="15"/>
  <c r="EW15" i="7"/>
  <c r="AG2920" i="15"/>
  <c r="AG2564" i="15"/>
  <c r="AG2408" i="15"/>
  <c r="AG1846" i="15"/>
  <c r="AG1499" i="15"/>
  <c r="AG1353" i="15"/>
  <c r="AG968" i="15"/>
  <c r="AG605" i="15"/>
  <c r="AG7" i="15"/>
  <c r="EW102" i="7"/>
  <c r="AG3121" i="15"/>
  <c r="AG2664" i="15"/>
  <c r="AG2421" i="15"/>
  <c r="AG2061" i="15"/>
  <c r="AG1518" i="15"/>
  <c r="AG1166" i="15"/>
  <c r="AG777" i="15"/>
  <c r="AG446" i="15"/>
  <c r="AG86" i="15"/>
  <c r="N3034" i="15"/>
  <c r="N2646" i="15"/>
  <c r="N2531" i="15"/>
  <c r="N1466" i="15"/>
  <c r="N998" i="15"/>
  <c r="N367" i="15"/>
  <c r="N71" i="15"/>
  <c r="B3034" i="15"/>
  <c r="B2656" i="15"/>
  <c r="B2270" i="15"/>
  <c r="B1526" i="15"/>
  <c r="B1441" i="15"/>
  <c r="B995" i="15"/>
  <c r="B364" i="15"/>
  <c r="B84" i="15"/>
  <c r="DW2" i="7"/>
  <c r="X2919" i="15"/>
  <c r="X2586" i="15"/>
  <c r="X2193" i="15"/>
  <c r="X1845" i="15"/>
  <c r="X1498" i="15"/>
  <c r="X1146" i="15"/>
  <c r="X6" i="15"/>
  <c r="X416" i="15"/>
  <c r="AF2921" i="15"/>
  <c r="AF2586" i="15"/>
  <c r="AF2409" i="15"/>
  <c r="AF1847" i="15"/>
  <c r="AF1500" i="15"/>
  <c r="AF1264" i="15"/>
  <c r="AF749" i="15"/>
  <c r="AF606" i="15"/>
  <c r="AF8" i="15"/>
  <c r="T3107" i="15"/>
  <c r="T2649" i="15"/>
  <c r="T2419" i="15"/>
  <c r="T2032" i="15"/>
  <c r="T1529" i="15"/>
  <c r="T1165" i="15"/>
  <c r="T770" i="15"/>
  <c r="T453" i="15"/>
  <c r="T72" i="15"/>
  <c r="T3108" i="15"/>
  <c r="T2650" i="15"/>
  <c r="T2420" i="15"/>
  <c r="T2033" i="15"/>
  <c r="T1530" i="15"/>
  <c r="T1166" i="15"/>
  <c r="T771" i="15"/>
  <c r="T454" i="15"/>
  <c r="T73" i="15"/>
  <c r="T3109" i="15"/>
  <c r="T2566" i="15"/>
  <c r="T2421" i="15"/>
  <c r="T2034" i="15"/>
  <c r="T1531" i="15"/>
  <c r="T1167" i="15"/>
  <c r="T772" i="15"/>
  <c r="T455" i="15"/>
  <c r="T74" i="15"/>
  <c r="AJ3031" i="15"/>
  <c r="AJ2687" i="15"/>
  <c r="AJ2293" i="15"/>
  <c r="AJ1536" i="15"/>
  <c r="AJ1036" i="15"/>
  <c r="AJ462" i="15"/>
  <c r="AJ118" i="15"/>
  <c r="X2951" i="15"/>
  <c r="X2675" i="15"/>
  <c r="X2267" i="15"/>
  <c r="X1731" i="15"/>
  <c r="X787" i="15"/>
  <c r="X1366" i="15"/>
  <c r="X472" i="15"/>
  <c r="X107" i="15"/>
  <c r="DW141" i="7"/>
  <c r="U2956" i="15"/>
  <c r="U2680" i="15"/>
  <c r="U2272" i="15"/>
  <c r="U1736" i="15"/>
  <c r="U1439" i="15"/>
  <c r="U792" i="15"/>
  <c r="U477" i="15"/>
  <c r="U112" i="15"/>
  <c r="AF2951" i="15"/>
  <c r="AF2716" i="15"/>
  <c r="AF2307" i="15"/>
  <c r="AF2074" i="15"/>
  <c r="AF1549" i="15"/>
  <c r="AF1388" i="15"/>
  <c r="AF816" i="15"/>
  <c r="AF484" i="15"/>
  <c r="AF151" i="15"/>
  <c r="AJ3127" i="15"/>
  <c r="AJ2728" i="15"/>
  <c r="AJ2454" i="15"/>
  <c r="AJ1928" i="15"/>
  <c r="AJ1563" i="15"/>
  <c r="AJ1441" i="15"/>
  <c r="AJ822" i="15"/>
  <c r="AJ707" i="15"/>
  <c r="AJ170" i="15"/>
  <c r="T3115" i="15"/>
  <c r="T2719" i="15"/>
  <c r="T2282" i="15"/>
  <c r="T2049" i="15"/>
  <c r="T1581" i="15"/>
  <c r="T1032" i="15"/>
  <c r="T1124" i="15"/>
  <c r="T652" i="15"/>
  <c r="T167" i="15"/>
  <c r="Z3076" i="15"/>
  <c r="Z2656" i="15"/>
  <c r="Z2430" i="15"/>
  <c r="Z1901" i="15"/>
  <c r="Z1537" i="15"/>
  <c r="Z1375" i="15"/>
  <c r="Z994" i="15"/>
  <c r="Z466" i="15"/>
  <c r="Z93" i="15"/>
  <c r="AF3203" i="15"/>
  <c r="AF2860" i="15"/>
  <c r="AF2502" i="15"/>
  <c r="AF2156" i="15"/>
  <c r="AF1635" i="15"/>
  <c r="AF1239" i="15"/>
  <c r="AF925" i="15"/>
  <c r="AF736" i="15"/>
  <c r="AF302" i="15"/>
  <c r="AF3205" i="15"/>
  <c r="AF2862" i="15"/>
  <c r="AF2504" i="15"/>
  <c r="AF2158" i="15"/>
  <c r="AF1637" i="15"/>
  <c r="AF1241" i="15"/>
  <c r="AF927" i="15"/>
  <c r="AF738" i="15"/>
  <c r="AF304" i="15"/>
  <c r="AF3207" i="15"/>
  <c r="AF2864" i="15"/>
  <c r="AF2506" i="15"/>
  <c r="AF2160" i="15"/>
  <c r="AF1639" i="15"/>
  <c r="AF1243" i="15"/>
  <c r="AF929" i="15"/>
  <c r="AF740" i="15"/>
  <c r="AF306" i="15"/>
  <c r="U2961" i="15"/>
  <c r="U2687" i="15"/>
  <c r="U2434" i="15"/>
  <c r="U1912" i="15"/>
  <c r="U1552" i="15"/>
  <c r="U610" i="15"/>
  <c r="U128" i="15"/>
  <c r="U2963" i="15"/>
  <c r="U2689" i="15"/>
  <c r="U2436" i="15"/>
  <c r="U1914" i="15"/>
  <c r="U1554" i="15"/>
  <c r="U612" i="15"/>
  <c r="U130" i="15"/>
  <c r="U2965" i="15"/>
  <c r="U2691" i="15"/>
  <c r="U2438" i="15"/>
  <c r="U1916" i="15"/>
  <c r="U1556" i="15"/>
  <c r="U614" i="15"/>
  <c r="U132" i="15"/>
  <c r="AA2947" i="15"/>
  <c r="AA2644" i="15"/>
  <c r="AA2427" i="15"/>
  <c r="AA1891" i="15"/>
  <c r="AA1527" i="15"/>
  <c r="AA608" i="15"/>
  <c r="AA80" i="15"/>
  <c r="AA2949" i="15"/>
  <c r="AA2646" i="15"/>
  <c r="AA2429" i="15"/>
  <c r="AA1893" i="15"/>
  <c r="AA1529" i="15"/>
  <c r="AA610" i="15"/>
  <c r="AA82" i="15"/>
  <c r="R3104" i="15"/>
  <c r="R2636" i="15"/>
  <c r="R2270" i="15"/>
  <c r="R2035" i="15"/>
  <c r="R1504" i="15"/>
  <c r="R1118" i="15"/>
  <c r="R994" i="15"/>
  <c r="R650" i="15"/>
  <c r="R61" i="15"/>
  <c r="T3031" i="15"/>
  <c r="T2644" i="15"/>
  <c r="T2526" i="15"/>
  <c r="T1465" i="15"/>
  <c r="T1290" i="15"/>
  <c r="T448" i="15"/>
  <c r="T67" i="15"/>
  <c r="W3041" i="15"/>
  <c r="W2531" i="15"/>
  <c r="W2043" i="15"/>
  <c r="W1470" i="15"/>
  <c r="W1012" i="15"/>
  <c r="W380" i="15"/>
  <c r="W124" i="15"/>
  <c r="U3056" i="15"/>
  <c r="U2550" i="15"/>
  <c r="U1482" i="15"/>
  <c r="U390" i="15"/>
  <c r="U290" i="15"/>
  <c r="R2920" i="15"/>
  <c r="R2587" i="15"/>
  <c r="R2194" i="15"/>
  <c r="R1846" i="15"/>
  <c r="R1499" i="15"/>
  <c r="R1264" i="15"/>
  <c r="R417" i="15"/>
  <c r="R7" i="15"/>
  <c r="T3049" i="15"/>
  <c r="T2740" i="15"/>
  <c r="T2546" i="15"/>
  <c r="T1479" i="15"/>
  <c r="T1039" i="15"/>
  <c r="T388" i="15"/>
  <c r="T189" i="15"/>
  <c r="N3037" i="15"/>
  <c r="N2649" i="15"/>
  <c r="N2534" i="15"/>
  <c r="N2039" i="15"/>
  <c r="N1158" i="15"/>
  <c r="N1469" i="15"/>
  <c r="N439" i="15"/>
  <c r="N74" i="15"/>
  <c r="H3030" i="15"/>
  <c r="H2625" i="15"/>
  <c r="H2525" i="15"/>
  <c r="H2033" i="15"/>
  <c r="H1464" i="15"/>
  <c r="H1157" i="15"/>
  <c r="H423" i="15"/>
  <c r="H45" i="15"/>
  <c r="B3029" i="15"/>
  <c r="B2624" i="15"/>
  <c r="B2524" i="15"/>
  <c r="B2032" i="15"/>
  <c r="B1463" i="15"/>
  <c r="B1156" i="15"/>
  <c r="B422" i="15"/>
  <c r="B44" i="15"/>
  <c r="H3033" i="15"/>
  <c r="H2655" i="15"/>
  <c r="H2269" i="15"/>
  <c r="H1525" i="15"/>
  <c r="H1440" i="15"/>
  <c r="H994" i="15"/>
  <c r="H363" i="15"/>
  <c r="H83" i="15"/>
  <c r="R3040" i="15"/>
  <c r="R2684" i="15"/>
  <c r="R2282" i="15"/>
  <c r="R1532" i="15"/>
  <c r="R1442" i="15"/>
  <c r="R1003" i="15"/>
  <c r="R369" i="15"/>
  <c r="R118" i="15"/>
  <c r="CJ39" i="7"/>
  <c r="F3224" i="15"/>
  <c r="F2592" i="15"/>
  <c r="F2241" i="15"/>
  <c r="F1693" i="15"/>
  <c r="F2012" i="15"/>
  <c r="F1147" i="15"/>
  <c r="F971" i="15"/>
  <c r="F664" i="15"/>
  <c r="F12" i="15"/>
  <c r="CW46" i="7"/>
  <c r="I3095" i="15"/>
  <c r="I2599" i="15"/>
  <c r="I2248" i="15"/>
  <c r="I2019" i="15"/>
  <c r="I1700" i="15"/>
  <c r="I1269" i="15"/>
  <c r="I978" i="15"/>
  <c r="I671" i="15"/>
  <c r="I19" i="15"/>
  <c r="DW60" i="7"/>
  <c r="X3092" i="15"/>
  <c r="X2623" i="15"/>
  <c r="X2246" i="15"/>
  <c r="X2016" i="15"/>
  <c r="X1696" i="15"/>
  <c r="X1282" i="15"/>
  <c r="X980" i="15"/>
  <c r="X667" i="15"/>
  <c r="X46" i="15"/>
  <c r="W3099" i="15"/>
  <c r="W2637" i="15"/>
  <c r="W2413" i="15"/>
  <c r="W1875" i="15"/>
  <c r="W1709" i="15"/>
  <c r="W1355" i="15"/>
  <c r="W762" i="15"/>
  <c r="W60" i="15"/>
  <c r="W441" i="15"/>
  <c r="W3036" i="15"/>
  <c r="W2684" i="15"/>
  <c r="W2276" i="15"/>
  <c r="W2039" i="15"/>
  <c r="W1549" i="15"/>
  <c r="W1371" i="15"/>
  <c r="W796" i="15"/>
  <c r="W116" i="15"/>
  <c r="W481" i="15"/>
  <c r="T3004" i="15"/>
  <c r="T2804" i="15"/>
  <c r="T2229" i="15"/>
  <c r="T1637" i="15"/>
  <c r="T869" i="15"/>
  <c r="T635" i="15"/>
  <c r="T253" i="15"/>
  <c r="X3176" i="15"/>
  <c r="X2826" i="15"/>
  <c r="X2339" i="15"/>
  <c r="X2116" i="15"/>
  <c r="X1659" i="15"/>
  <c r="X889" i="15"/>
  <c r="X1136" i="15"/>
  <c r="X711" i="15"/>
  <c r="X275" i="15"/>
  <c r="Z3095" i="15"/>
  <c r="Z2601" i="15"/>
  <c r="Z2240" i="15"/>
  <c r="Z2010" i="15"/>
  <c r="Z1694" i="15"/>
  <c r="Z1357" i="15"/>
  <c r="Z755" i="15"/>
  <c r="Z429" i="15"/>
  <c r="Z21" i="15"/>
  <c r="AC3095" i="15"/>
  <c r="AC2601" i="15"/>
  <c r="AC2240" i="15"/>
  <c r="AC2010" i="15"/>
  <c r="AC1694" i="15"/>
  <c r="AC1357" i="15"/>
  <c r="AC755" i="15"/>
  <c r="AC429" i="15"/>
  <c r="AC21" i="15"/>
  <c r="Z3038" i="15"/>
  <c r="Z2531" i="15"/>
  <c r="Z1468" i="15"/>
  <c r="Z465" i="15"/>
  <c r="Z90" i="15"/>
  <c r="AI3122" i="15"/>
  <c r="AI2565" i="15"/>
  <c r="AI2422" i="15"/>
  <c r="AI2062" i="15"/>
  <c r="AI1519" i="15"/>
  <c r="AI447" i="15"/>
  <c r="AI1167" i="15"/>
  <c r="AI778" i="15"/>
  <c r="AI87" i="15"/>
  <c r="W3035" i="15"/>
  <c r="W2673" i="15"/>
  <c r="W2265" i="15"/>
  <c r="W1548" i="15"/>
  <c r="W1010" i="15"/>
  <c r="W470" i="15"/>
  <c r="W105" i="15"/>
  <c r="AJ2954" i="15"/>
  <c r="AJ2576" i="15"/>
  <c r="AJ2440" i="15"/>
  <c r="AJ1913" i="15"/>
  <c r="AJ1553" i="15"/>
  <c r="AJ1392" i="15"/>
  <c r="AJ1047" i="15"/>
  <c r="AJ614" i="15"/>
  <c r="AJ155" i="15"/>
  <c r="AI2958" i="15"/>
  <c r="AI2577" i="15"/>
  <c r="AI2444" i="15"/>
  <c r="AI1917" i="15"/>
  <c r="AI1557" i="15"/>
  <c r="AI1396" i="15"/>
  <c r="AI1051" i="15"/>
  <c r="AI618" i="15"/>
  <c r="AI159" i="15"/>
  <c r="AC3080" i="15"/>
  <c r="AC2666" i="15"/>
  <c r="AC2534" i="15"/>
  <c r="AC1908" i="15"/>
  <c r="AC1545" i="15"/>
  <c r="AC1122" i="15"/>
  <c r="AC473" i="15"/>
  <c r="AC104" i="15"/>
  <c r="W2962" i="15"/>
  <c r="W2688" i="15"/>
  <c r="W2435" i="15"/>
  <c r="W1913" i="15"/>
  <c r="W1553" i="15"/>
  <c r="W611" i="15"/>
  <c r="W129" i="15"/>
  <c r="DW89" i="7"/>
  <c r="U3032" i="15"/>
  <c r="U2645" i="15"/>
  <c r="U2527" i="15"/>
  <c r="U1466" i="15"/>
  <c r="U1291" i="15"/>
  <c r="U449" i="15"/>
  <c r="U68" i="15"/>
  <c r="AJ3120" i="15"/>
  <c r="AJ2663" i="15"/>
  <c r="AJ2420" i="15"/>
  <c r="AJ2060" i="15"/>
  <c r="AJ1517" i="15"/>
  <c r="AJ1165" i="15"/>
  <c r="AJ776" i="15"/>
  <c r="AJ445" i="15"/>
  <c r="AJ85" i="15"/>
  <c r="AJ3121" i="15"/>
  <c r="AJ2664" i="15"/>
  <c r="AJ2421" i="15"/>
  <c r="AJ2061" i="15"/>
  <c r="AJ1518" i="15"/>
  <c r="AJ1166" i="15"/>
  <c r="AJ777" i="15"/>
  <c r="AJ86" i="15"/>
  <c r="AJ446" i="15"/>
  <c r="DW3" i="7"/>
  <c r="X2920" i="15"/>
  <c r="X2587" i="15"/>
  <c r="X2194" i="15"/>
  <c r="X1846" i="15"/>
  <c r="X1499" i="15"/>
  <c r="X1264" i="15"/>
  <c r="X417" i="15"/>
  <c r="X7" i="15"/>
  <c r="EW17" i="7"/>
  <c r="AG2921" i="15"/>
  <c r="AG2586" i="15"/>
  <c r="AG2409" i="15"/>
  <c r="AG1847" i="15"/>
  <c r="AG1500" i="15"/>
  <c r="AG1264" i="15"/>
  <c r="AG749" i="15"/>
  <c r="AG8" i="15"/>
  <c r="AG606" i="15"/>
  <c r="AF3106" i="15"/>
  <c r="AF2644" i="15"/>
  <c r="AF2282" i="15"/>
  <c r="AF2052" i="15"/>
  <c r="AF1730" i="15"/>
  <c r="AF761" i="15"/>
  <c r="AF649" i="15"/>
  <c r="AF66" i="15"/>
  <c r="DW101" i="7"/>
  <c r="U3107" i="15"/>
  <c r="U2649" i="15"/>
  <c r="U2419" i="15"/>
  <c r="U2032" i="15"/>
  <c r="U1529" i="15"/>
  <c r="U1165" i="15"/>
  <c r="U770" i="15"/>
  <c r="U453" i="15"/>
  <c r="U72" i="15"/>
  <c r="DW102" i="7"/>
  <c r="U3108" i="15"/>
  <c r="U2650" i="15"/>
  <c r="U2420" i="15"/>
  <c r="U2033" i="15"/>
  <c r="U1530" i="15"/>
  <c r="U1166" i="15"/>
  <c r="U771" i="15"/>
  <c r="U454" i="15"/>
  <c r="U73" i="15"/>
  <c r="W3109" i="15"/>
  <c r="W2566" i="15"/>
  <c r="W2421" i="15"/>
  <c r="W2034" i="15"/>
  <c r="W1531" i="15"/>
  <c r="W1167" i="15"/>
  <c r="W772" i="15"/>
  <c r="W74" i="15"/>
  <c r="W455" i="15"/>
  <c r="U2953" i="15"/>
  <c r="U2677" i="15"/>
  <c r="U2269" i="15"/>
  <c r="U1733" i="15"/>
  <c r="U1368" i="15"/>
  <c r="U789" i="15"/>
  <c r="U474" i="15"/>
  <c r="U109" i="15"/>
  <c r="X2956" i="15"/>
  <c r="X2680" i="15"/>
  <c r="X2272" i="15"/>
  <c r="X1736" i="15"/>
  <c r="X1439" i="15"/>
  <c r="X477" i="15"/>
  <c r="X792" i="15"/>
  <c r="X112" i="15"/>
  <c r="U2959" i="15"/>
  <c r="U2683" i="15"/>
  <c r="U2275" i="15"/>
  <c r="U1739" i="15"/>
  <c r="U795" i="15"/>
  <c r="U1301" i="15"/>
  <c r="U480" i="15"/>
  <c r="U115" i="15"/>
  <c r="EW180" i="7"/>
  <c r="AG2951" i="15"/>
  <c r="AG2716" i="15"/>
  <c r="AG2307" i="15"/>
  <c r="AG2074" i="15"/>
  <c r="AG1549" i="15"/>
  <c r="AG1388" i="15"/>
  <c r="AG816" i="15"/>
  <c r="AG484" i="15"/>
  <c r="AG151" i="15"/>
  <c r="AI2961" i="15"/>
  <c r="AI2721" i="15"/>
  <c r="AI2447" i="15"/>
  <c r="AI1920" i="15"/>
  <c r="AI1560" i="15"/>
  <c r="AI1399" i="15"/>
  <c r="AI1054" i="15"/>
  <c r="AI621" i="15"/>
  <c r="AI162" i="15"/>
  <c r="AG3129" i="15"/>
  <c r="AG2730" i="15"/>
  <c r="AG2309" i="15"/>
  <c r="AG2076" i="15"/>
  <c r="AG1565" i="15"/>
  <c r="AG1058" i="15"/>
  <c r="AG1126" i="15"/>
  <c r="AG651" i="15"/>
  <c r="AG172" i="15"/>
  <c r="EJ203" i="7"/>
  <c r="AA3076" i="15"/>
  <c r="AA2656" i="15"/>
  <c r="AA2430" i="15"/>
  <c r="AA1901" i="15"/>
  <c r="AA1537" i="15"/>
  <c r="AA1375" i="15"/>
  <c r="AA994" i="15"/>
  <c r="AA466" i="15"/>
  <c r="AA93" i="15"/>
  <c r="DW216" i="7"/>
  <c r="U3121" i="15"/>
  <c r="U2731" i="15"/>
  <c r="U2288" i="15"/>
  <c r="U2053" i="15"/>
  <c r="U1586" i="15"/>
  <c r="U821" i="15"/>
  <c r="U1444" i="15"/>
  <c r="U180" i="15"/>
  <c r="U500" i="15"/>
  <c r="U3079" i="15"/>
  <c r="U2735" i="15"/>
  <c r="U2541" i="15"/>
  <c r="U1953" i="15"/>
  <c r="U1590" i="15"/>
  <c r="U1129" i="15"/>
  <c r="U502" i="15"/>
  <c r="U184" i="15"/>
  <c r="EW349" i="7"/>
  <c r="AG3203" i="15"/>
  <c r="AG2860" i="15"/>
  <c r="AG2502" i="15"/>
  <c r="AG2156" i="15"/>
  <c r="AG1635" i="15"/>
  <c r="AG1239" i="15"/>
  <c r="AG736" i="15"/>
  <c r="AG925" i="15"/>
  <c r="AG302" i="15"/>
  <c r="EW351" i="7"/>
  <c r="AG3205" i="15"/>
  <c r="AG2862" i="15"/>
  <c r="AG2504" i="15"/>
  <c r="AG2158" i="15"/>
  <c r="AG1637" i="15"/>
  <c r="AG1241" i="15"/>
  <c r="AG927" i="15"/>
  <c r="AG738" i="15"/>
  <c r="AG304" i="15"/>
  <c r="EW353" i="7"/>
  <c r="AG3207" i="15"/>
  <c r="AG2864" i="15"/>
  <c r="AG2506" i="15"/>
  <c r="AG2160" i="15"/>
  <c r="AG1639" i="15"/>
  <c r="AG1243" i="15"/>
  <c r="AG929" i="15"/>
  <c r="AG740" i="15"/>
  <c r="AG306" i="15"/>
  <c r="W2961" i="15"/>
  <c r="W2687" i="15"/>
  <c r="W2434" i="15"/>
  <c r="W1912" i="15"/>
  <c r="W1552" i="15"/>
  <c r="W610" i="15"/>
  <c r="W128" i="15"/>
  <c r="W2963" i="15"/>
  <c r="W2689" i="15"/>
  <c r="W2436" i="15"/>
  <c r="W1914" i="15"/>
  <c r="W1554" i="15"/>
  <c r="W612" i="15"/>
  <c r="W130" i="15"/>
  <c r="W2965" i="15"/>
  <c r="W2691" i="15"/>
  <c r="W2438" i="15"/>
  <c r="W1916" i="15"/>
  <c r="W1556" i="15"/>
  <c r="W614" i="15"/>
  <c r="W132" i="15"/>
  <c r="AC2947" i="15"/>
  <c r="AC2644" i="15"/>
  <c r="AC2427" i="15"/>
  <c r="AC1891" i="15"/>
  <c r="AC1527" i="15"/>
  <c r="AC608" i="15"/>
  <c r="AC80" i="15"/>
  <c r="AC2949" i="15"/>
  <c r="AC2646" i="15"/>
  <c r="AC2429" i="15"/>
  <c r="AC1893" i="15"/>
  <c r="AC1529" i="15"/>
  <c r="AC610" i="15"/>
  <c r="AC82" i="15"/>
  <c r="DW88" i="7"/>
  <c r="U3031" i="15"/>
  <c r="U2644" i="15"/>
  <c r="U2526" i="15"/>
  <c r="U1465" i="15"/>
  <c r="U1290" i="15"/>
  <c r="U448" i="15"/>
  <c r="U67" i="15"/>
  <c r="DW153" i="7"/>
  <c r="X3041" i="15"/>
  <c r="X2531" i="15"/>
  <c r="X2043" i="15"/>
  <c r="X1470" i="15"/>
  <c r="X1012" i="15"/>
  <c r="X380" i="15"/>
  <c r="X124" i="15"/>
  <c r="Z3041" i="15"/>
  <c r="Z2536" i="15"/>
  <c r="Z1471" i="15"/>
  <c r="Z618" i="15"/>
  <c r="Z121" i="15"/>
  <c r="T3048" i="15"/>
  <c r="T2739" i="15"/>
  <c r="T2545" i="15"/>
  <c r="T1478" i="15"/>
  <c r="T1038" i="15"/>
  <c r="T188" i="15"/>
  <c r="T387" i="15"/>
  <c r="N3038" i="15"/>
  <c r="N2650" i="15"/>
  <c r="N2535" i="15"/>
  <c r="N2040" i="15"/>
  <c r="N1470" i="15"/>
  <c r="N1159" i="15"/>
  <c r="N440" i="15"/>
  <c r="N75" i="15"/>
  <c r="H3031" i="15"/>
  <c r="H2626" i="15"/>
  <c r="H2526" i="15"/>
  <c r="H2034" i="15"/>
  <c r="H1465" i="15"/>
  <c r="H1158" i="15"/>
  <c r="H424" i="15"/>
  <c r="H46" i="15"/>
  <c r="B3030" i="15"/>
  <c r="B2625" i="15"/>
  <c r="B2525" i="15"/>
  <c r="B2033" i="15"/>
  <c r="B1464" i="15"/>
  <c r="B1157" i="15"/>
  <c r="B423" i="15"/>
  <c r="B45" i="15"/>
  <c r="H3034" i="15"/>
  <c r="H2656" i="15"/>
  <c r="H2270" i="15"/>
  <c r="H1526" i="15"/>
  <c r="H1441" i="15"/>
  <c r="H995" i="15"/>
  <c r="H364" i="15"/>
  <c r="H84" i="15"/>
  <c r="Q3041" i="15"/>
  <c r="Q2685" i="15"/>
  <c r="Q2283" i="15"/>
  <c r="Q1533" i="15"/>
  <c r="Q1443" i="15"/>
  <c r="Q1004" i="15"/>
  <c r="Q370" i="15"/>
  <c r="Q119" i="15"/>
  <c r="CJ40" i="7"/>
  <c r="F3225" i="15"/>
  <c r="F2593" i="15"/>
  <c r="F2242" i="15"/>
  <c r="F2013" i="15"/>
  <c r="F1694" i="15"/>
  <c r="F1266" i="15"/>
  <c r="F972" i="15"/>
  <c r="F665" i="15"/>
  <c r="F13" i="15"/>
  <c r="U3030" i="15"/>
  <c r="U2636" i="15"/>
  <c r="U2525" i="15"/>
  <c r="U1464" i="15"/>
  <c r="U1112" i="15"/>
  <c r="U678" i="15"/>
  <c r="U59" i="15"/>
  <c r="W3100" i="15"/>
  <c r="W2638" i="15"/>
  <c r="W2414" i="15"/>
  <c r="W1710" i="15"/>
  <c r="W1876" i="15"/>
  <c r="W763" i="15"/>
  <c r="W1356" i="15"/>
  <c r="W442" i="15"/>
  <c r="W61" i="15"/>
  <c r="W3044" i="15"/>
  <c r="W2721" i="15"/>
  <c r="W2539" i="15"/>
  <c r="W1474" i="15"/>
  <c r="W1034" i="15"/>
  <c r="W1302" i="15"/>
  <c r="W169" i="15"/>
  <c r="W496" i="15"/>
  <c r="W3003" i="15"/>
  <c r="W2803" i="15"/>
  <c r="W2228" i="15"/>
  <c r="W1636" i="15"/>
  <c r="W868" i="15"/>
  <c r="W634" i="15"/>
  <c r="W252" i="15"/>
  <c r="T3054" i="15"/>
  <c r="T2830" i="15"/>
  <c r="T2548" i="15"/>
  <c r="T1660" i="15"/>
  <c r="T279" i="15"/>
  <c r="T567" i="15"/>
  <c r="Z3096" i="15"/>
  <c r="Z2602" i="15"/>
  <c r="Z2241" i="15"/>
  <c r="Z2011" i="15"/>
  <c r="Z1695" i="15"/>
  <c r="Z1358" i="15"/>
  <c r="Z756" i="15"/>
  <c r="Z430" i="15"/>
  <c r="Z22" i="15"/>
  <c r="AC3096" i="15"/>
  <c r="AC2602" i="15"/>
  <c r="AC2241" i="15"/>
  <c r="AC2011" i="15"/>
  <c r="AC1695" i="15"/>
  <c r="AC1358" i="15"/>
  <c r="AC756" i="15"/>
  <c r="AC430" i="15"/>
  <c r="AC22" i="15"/>
  <c r="T3036" i="15"/>
  <c r="T2684" i="15"/>
  <c r="T2276" i="15"/>
  <c r="T2039" i="15"/>
  <c r="T1549" i="15"/>
  <c r="T1371" i="15"/>
  <c r="T796" i="15"/>
  <c r="T116" i="15"/>
  <c r="T481" i="15"/>
  <c r="EW101" i="7"/>
  <c r="AG3120" i="15"/>
  <c r="AG2663" i="15"/>
  <c r="AG2420" i="15"/>
  <c r="AG2060" i="15"/>
  <c r="AG1517" i="15"/>
  <c r="AG776" i="15"/>
  <c r="AG1165" i="15"/>
  <c r="AG85" i="15"/>
  <c r="AG445" i="15"/>
  <c r="X2952" i="15"/>
  <c r="X2676" i="15"/>
  <c r="X2268" i="15"/>
  <c r="X1732" i="15"/>
  <c r="X1367" i="15"/>
  <c r="X788" i="15"/>
  <c r="X473" i="15"/>
  <c r="X108" i="15"/>
  <c r="EW185" i="7"/>
  <c r="AJ2718" i="15"/>
  <c r="AJ2955" i="15"/>
  <c r="AJ2441" i="15"/>
  <c r="AJ1914" i="15"/>
  <c r="AJ1554" i="15"/>
  <c r="AJ1393" i="15"/>
  <c r="AJ1048" i="15"/>
  <c r="AJ615" i="15"/>
  <c r="AJ156" i="15"/>
  <c r="AJ2962" i="15"/>
  <c r="AJ2722" i="15"/>
  <c r="AJ2448" i="15"/>
  <c r="AJ1921" i="15"/>
  <c r="AJ1561" i="15"/>
  <c r="AJ1400" i="15"/>
  <c r="AJ1055" i="15"/>
  <c r="AJ622" i="15"/>
  <c r="AJ163" i="15"/>
  <c r="AJ3130" i="15"/>
  <c r="AJ2731" i="15"/>
  <c r="AJ2310" i="15"/>
  <c r="AJ2077" i="15"/>
  <c r="AJ1566" i="15"/>
  <c r="AJ1127" i="15"/>
  <c r="AJ1059" i="15"/>
  <c r="AJ652" i="15"/>
  <c r="AJ173" i="15"/>
  <c r="AC3077" i="15"/>
  <c r="AC2657" i="15"/>
  <c r="AC2431" i="15"/>
  <c r="AC1902" i="15"/>
  <c r="AC1538" i="15"/>
  <c r="AC1376" i="15"/>
  <c r="AC995" i="15"/>
  <c r="AC467" i="15"/>
  <c r="AC94" i="15"/>
  <c r="AC3104" i="15"/>
  <c r="AC2662" i="15"/>
  <c r="AC2266" i="15"/>
  <c r="AC2027" i="15"/>
  <c r="AC1541" i="15"/>
  <c r="AC1441" i="15"/>
  <c r="AC792" i="15"/>
  <c r="AC471" i="15"/>
  <c r="AC100" i="15"/>
  <c r="EW348" i="7"/>
  <c r="AG3202" i="15"/>
  <c r="AG2859" i="15"/>
  <c r="AG2501" i="15"/>
  <c r="AG2155" i="15"/>
  <c r="AG1634" i="15"/>
  <c r="AG1238" i="15"/>
  <c r="AG924" i="15"/>
  <c r="AG735" i="15"/>
  <c r="AG301" i="15"/>
  <c r="AC2946" i="15"/>
  <c r="AC2643" i="15"/>
  <c r="AC2426" i="15"/>
  <c r="AC1890" i="15"/>
  <c r="AC1526" i="15"/>
  <c r="AC79" i="15"/>
  <c r="AC607" i="15"/>
  <c r="W3054" i="15"/>
  <c r="W2830" i="15"/>
  <c r="W2548" i="15"/>
  <c r="W1660" i="15"/>
  <c r="W567" i="15"/>
  <c r="W279" i="15"/>
  <c r="AC3042" i="15"/>
  <c r="AC2537" i="15"/>
  <c r="AC1472" i="15"/>
  <c r="AC619" i="15"/>
  <c r="AC122" i="15"/>
  <c r="EI411" i="7"/>
  <c r="K3031" i="15"/>
  <c r="K2526" i="15"/>
  <c r="K2626" i="15"/>
  <c r="K2034" i="15"/>
  <c r="K1465" i="15"/>
  <c r="K1158" i="15"/>
  <c r="K46" i="15"/>
  <c r="K424" i="15"/>
  <c r="AF2919" i="15"/>
  <c r="AF2563" i="15"/>
  <c r="AF2407" i="15"/>
  <c r="AF1845" i="15"/>
  <c r="AF1498" i="15"/>
  <c r="AF1352" i="15"/>
  <c r="AF967" i="15"/>
  <c r="AF604" i="15"/>
  <c r="AF6" i="15"/>
  <c r="U2943" i="15"/>
  <c r="U2615" i="15"/>
  <c r="U2238" i="15"/>
  <c r="U1527" i="15"/>
  <c r="U1437" i="15"/>
  <c r="U759" i="15"/>
  <c r="U608" i="15"/>
  <c r="U37" i="15"/>
  <c r="AF3105" i="15"/>
  <c r="AF2643" i="15"/>
  <c r="AF2281" i="15"/>
  <c r="AF2051" i="15"/>
  <c r="AF1729" i="15"/>
  <c r="AF1438" i="15"/>
  <c r="AF760" i="15"/>
  <c r="AF648" i="15"/>
  <c r="AF65" i="15"/>
  <c r="AG3106" i="15"/>
  <c r="AG2644" i="15"/>
  <c r="AG2282" i="15"/>
  <c r="AG2052" i="15"/>
  <c r="AG1730" i="15"/>
  <c r="AG761" i="15"/>
  <c r="AG649" i="15"/>
  <c r="AG66" i="15"/>
  <c r="AF3029" i="15"/>
  <c r="AF2660" i="15"/>
  <c r="AF2524" i="15"/>
  <c r="AF1869" i="15"/>
  <c r="AF1463" i="15"/>
  <c r="AF1297" i="15"/>
  <c r="AF774" i="15"/>
  <c r="AF82" i="15"/>
  <c r="AF442" i="15"/>
  <c r="W3107" i="15"/>
  <c r="W2649" i="15"/>
  <c r="W2419" i="15"/>
  <c r="W2032" i="15"/>
  <c r="W1529" i="15"/>
  <c r="W1165" i="15"/>
  <c r="W770" i="15"/>
  <c r="W453" i="15"/>
  <c r="W72" i="15"/>
  <c r="W3108" i="15"/>
  <c r="W2650" i="15"/>
  <c r="W2420" i="15"/>
  <c r="W2033" i="15"/>
  <c r="W1530" i="15"/>
  <c r="W1166" i="15"/>
  <c r="W771" i="15"/>
  <c r="W454" i="15"/>
  <c r="W73" i="15"/>
  <c r="DW103" i="7"/>
  <c r="X3109" i="15"/>
  <c r="X2566" i="15"/>
  <c r="X2421" i="15"/>
  <c r="X2034" i="15"/>
  <c r="X1531" i="15"/>
  <c r="X1167" i="15"/>
  <c r="X772" i="15"/>
  <c r="X74" i="15"/>
  <c r="X455" i="15"/>
  <c r="DW135" i="7"/>
  <c r="U2950" i="15"/>
  <c r="U2674" i="15"/>
  <c r="U2266" i="15"/>
  <c r="U1730" i="15"/>
  <c r="U1299" i="15"/>
  <c r="U786" i="15"/>
  <c r="U471" i="15"/>
  <c r="U106" i="15"/>
  <c r="X2953" i="15"/>
  <c r="X2677" i="15"/>
  <c r="X2269" i="15"/>
  <c r="X1733" i="15"/>
  <c r="X1368" i="15"/>
  <c r="X789" i="15"/>
  <c r="X474" i="15"/>
  <c r="X109" i="15"/>
  <c r="X2959" i="15"/>
  <c r="X2683" i="15"/>
  <c r="X2275" i="15"/>
  <c r="X1739" i="15"/>
  <c r="X1301" i="15"/>
  <c r="X795" i="15"/>
  <c r="X480" i="15"/>
  <c r="X115" i="15"/>
  <c r="AF3032" i="15"/>
  <c r="AF2698" i="15"/>
  <c r="AF2304" i="15"/>
  <c r="AF2067" i="15"/>
  <c r="AF1537" i="15"/>
  <c r="AF802" i="15"/>
  <c r="AF1378" i="15"/>
  <c r="AF129" i="15"/>
  <c r="AF473" i="15"/>
  <c r="AF2952" i="15"/>
  <c r="AF2717" i="15"/>
  <c r="AF2308" i="15"/>
  <c r="AF2075" i="15"/>
  <c r="AF1550" i="15"/>
  <c r="AF1389" i="15"/>
  <c r="AF817" i="15"/>
  <c r="AF152" i="15"/>
  <c r="AF485" i="15"/>
  <c r="AI2956" i="15"/>
  <c r="AI2719" i="15"/>
  <c r="AI2442" i="15"/>
  <c r="AI1915" i="15"/>
  <c r="AI1555" i="15"/>
  <c r="AI1394" i="15"/>
  <c r="AI1049" i="15"/>
  <c r="AI157" i="15"/>
  <c r="AI616" i="15"/>
  <c r="AI2960" i="15"/>
  <c r="AI2579" i="15"/>
  <c r="AI2446" i="15"/>
  <c r="AI1919" i="15"/>
  <c r="AI1559" i="15"/>
  <c r="AI1398" i="15"/>
  <c r="AI1053" i="15"/>
  <c r="AI620" i="15"/>
  <c r="AI161" i="15"/>
  <c r="AJ2961" i="15"/>
  <c r="AJ2721" i="15"/>
  <c r="AJ2447" i="15"/>
  <c r="AJ1920" i="15"/>
  <c r="AJ1560" i="15"/>
  <c r="AJ1399" i="15"/>
  <c r="AJ1054" i="15"/>
  <c r="AJ162" i="15"/>
  <c r="AJ621" i="15"/>
  <c r="AI2963" i="15"/>
  <c r="AI2723" i="15"/>
  <c r="AI2449" i="15"/>
  <c r="AI1922" i="15"/>
  <c r="AI1562" i="15"/>
  <c r="AI1401" i="15"/>
  <c r="AI1056" i="15"/>
  <c r="AI623" i="15"/>
  <c r="AI164" i="15"/>
  <c r="AJ3129" i="15"/>
  <c r="AJ2730" i="15"/>
  <c r="AJ2309" i="15"/>
  <c r="AJ2076" i="15"/>
  <c r="AJ1565" i="15"/>
  <c r="AJ651" i="15"/>
  <c r="AJ1058" i="15"/>
  <c r="AJ172" i="15"/>
  <c r="AJ1126" i="15"/>
  <c r="AC3076" i="15"/>
  <c r="AC2656" i="15"/>
  <c r="AC2430" i="15"/>
  <c r="AC1901" i="15"/>
  <c r="AC1537" i="15"/>
  <c r="AC1375" i="15"/>
  <c r="AC466" i="15"/>
  <c r="AC994" i="15"/>
  <c r="AC93" i="15"/>
  <c r="Z3039" i="15"/>
  <c r="Z2658" i="15"/>
  <c r="Z2532" i="15"/>
  <c r="Z1279" i="15"/>
  <c r="Z1469" i="15"/>
  <c r="Z996" i="15"/>
  <c r="Z468" i="15"/>
  <c r="Z95" i="15"/>
  <c r="W3121" i="15"/>
  <c r="W2731" i="15"/>
  <c r="W2288" i="15"/>
  <c r="W2053" i="15"/>
  <c r="W1586" i="15"/>
  <c r="W1444" i="15"/>
  <c r="W821" i="15"/>
  <c r="W500" i="15"/>
  <c r="W180" i="15"/>
  <c r="DW219" i="7"/>
  <c r="U3078" i="15"/>
  <c r="U2734" i="15"/>
  <c r="U2540" i="15"/>
  <c r="U1952" i="15"/>
  <c r="U1589" i="15"/>
  <c r="U1128" i="15"/>
  <c r="U183" i="15"/>
  <c r="U501" i="15"/>
  <c r="X3079" i="15"/>
  <c r="X2735" i="15"/>
  <c r="X2541" i="15"/>
  <c r="X1953" i="15"/>
  <c r="X1590" i="15"/>
  <c r="X1129" i="15"/>
  <c r="X502" i="15"/>
  <c r="X184" i="15"/>
  <c r="AI3203" i="15"/>
  <c r="AI2860" i="15"/>
  <c r="AI2502" i="15"/>
  <c r="AI2156" i="15"/>
  <c r="AI1635" i="15"/>
  <c r="AI1239" i="15"/>
  <c r="AI736" i="15"/>
  <c r="AI925" i="15"/>
  <c r="AI302" i="15"/>
  <c r="AI3205" i="15"/>
  <c r="AI2862" i="15"/>
  <c r="AI2504" i="15"/>
  <c r="AI2158" i="15"/>
  <c r="AI1637" i="15"/>
  <c r="AI927" i="15"/>
  <c r="AI1241" i="15"/>
  <c r="AI738" i="15"/>
  <c r="AI304" i="15"/>
  <c r="AI3207" i="15"/>
  <c r="AI2864" i="15"/>
  <c r="AI2506" i="15"/>
  <c r="AI2160" i="15"/>
  <c r="AI1639" i="15"/>
  <c r="AI929" i="15"/>
  <c r="AI1243" i="15"/>
  <c r="AI740" i="15"/>
  <c r="AI306" i="15"/>
  <c r="X2961" i="15"/>
  <c r="X2687" i="15"/>
  <c r="X2434" i="15"/>
  <c r="X1912" i="15"/>
  <c r="X1552" i="15"/>
  <c r="X610" i="15"/>
  <c r="X128" i="15"/>
  <c r="X2963" i="15"/>
  <c r="X2689" i="15"/>
  <c r="X2436" i="15"/>
  <c r="X1914" i="15"/>
  <c r="X1554" i="15"/>
  <c r="X612" i="15"/>
  <c r="X130" i="15"/>
  <c r="X2965" i="15"/>
  <c r="X2691" i="15"/>
  <c r="X2438" i="15"/>
  <c r="X1556" i="15"/>
  <c r="X1916" i="15"/>
  <c r="X614" i="15"/>
  <c r="X132" i="15"/>
  <c r="AD2947" i="15"/>
  <c r="AD2644" i="15"/>
  <c r="AD2427" i="15"/>
  <c r="AD1891" i="15"/>
  <c r="AD1527" i="15"/>
  <c r="AD608" i="15"/>
  <c r="AD80" i="15"/>
  <c r="AD2949" i="15"/>
  <c r="AD2646" i="15"/>
  <c r="AD2429" i="15"/>
  <c r="AD1893" i="15"/>
  <c r="AD1529" i="15"/>
  <c r="AD610" i="15"/>
  <c r="AD82" i="15"/>
  <c r="W3031" i="15"/>
  <c r="W2644" i="15"/>
  <c r="W2526" i="15"/>
  <c r="W1290" i="15"/>
  <c r="W1465" i="15"/>
  <c r="W448" i="15"/>
  <c r="W67" i="15"/>
  <c r="W3042" i="15"/>
  <c r="W2532" i="15"/>
  <c r="W2044" i="15"/>
  <c r="W1471" i="15"/>
  <c r="W1013" i="15"/>
  <c r="W381" i="15"/>
  <c r="W125" i="15"/>
  <c r="AA3041" i="15"/>
  <c r="AA2536" i="15"/>
  <c r="AA1471" i="15"/>
  <c r="AA121" i="15"/>
  <c r="AA618" i="15"/>
  <c r="AC3039" i="15"/>
  <c r="AC2658" i="15"/>
  <c r="AC2532" i="15"/>
  <c r="AC1279" i="15"/>
  <c r="AC1469" i="15"/>
  <c r="AC996" i="15"/>
  <c r="AC95" i="15"/>
  <c r="AC468" i="15"/>
  <c r="N3033" i="15"/>
  <c r="N2645" i="15"/>
  <c r="N2530" i="15"/>
  <c r="N1465" i="15"/>
  <c r="N997" i="15"/>
  <c r="N366" i="15"/>
  <c r="N70" i="15"/>
  <c r="T3047" i="15"/>
  <c r="T2738" i="15"/>
  <c r="T2544" i="15"/>
  <c r="T1477" i="15"/>
  <c r="T1037" i="15"/>
  <c r="T386" i="15"/>
  <c r="T187" i="15"/>
  <c r="N3039" i="15"/>
  <c r="N2651" i="15"/>
  <c r="N2536" i="15"/>
  <c r="N2041" i="15"/>
  <c r="N1471" i="15"/>
  <c r="N1282" i="15"/>
  <c r="N441" i="15"/>
  <c r="N76" i="15"/>
  <c r="H3032" i="15"/>
  <c r="H2627" i="15"/>
  <c r="H2527" i="15"/>
  <c r="H2035" i="15"/>
  <c r="H1466" i="15"/>
  <c r="H1280" i="15"/>
  <c r="H425" i="15"/>
  <c r="H47" i="15"/>
  <c r="B3031" i="15"/>
  <c r="B2626" i="15"/>
  <c r="B2526" i="15"/>
  <c r="B2034" i="15"/>
  <c r="B1465" i="15"/>
  <c r="B1158" i="15"/>
  <c r="B46" i="15"/>
  <c r="B424" i="15"/>
  <c r="K3033" i="15"/>
  <c r="K2655" i="15"/>
  <c r="K2269" i="15"/>
  <c r="K1525" i="15"/>
  <c r="K1440" i="15"/>
  <c r="K994" i="15"/>
  <c r="K363" i="15"/>
  <c r="K83" i="15"/>
  <c r="R3041" i="15"/>
  <c r="R2685" i="15"/>
  <c r="R2283" i="15"/>
  <c r="R1533" i="15"/>
  <c r="R1443" i="15"/>
  <c r="R1004" i="15"/>
  <c r="R370" i="15"/>
  <c r="R119" i="15"/>
  <c r="CJ41" i="7"/>
  <c r="F3090" i="15"/>
  <c r="F2594" i="15"/>
  <c r="F2243" i="15"/>
  <c r="F2014" i="15"/>
  <c r="F1695" i="15"/>
  <c r="F1110" i="15"/>
  <c r="F973" i="15"/>
  <c r="F666" i="15"/>
  <c r="F14" i="15"/>
  <c r="C2919" i="15"/>
  <c r="C2586" i="15"/>
  <c r="C2407" i="15"/>
  <c r="C1687" i="15"/>
  <c r="C1845" i="15"/>
  <c r="C658" i="15"/>
  <c r="C6" i="15"/>
  <c r="W3030" i="15"/>
  <c r="W2636" i="15"/>
  <c r="W2525" i="15"/>
  <c r="W1464" i="15"/>
  <c r="W1112" i="15"/>
  <c r="W678" i="15"/>
  <c r="W59" i="15"/>
  <c r="W3101" i="15"/>
  <c r="W2639" i="15"/>
  <c r="W2415" i="15"/>
  <c r="W1711" i="15"/>
  <c r="W1877" i="15"/>
  <c r="W1357" i="15"/>
  <c r="W764" i="15"/>
  <c r="W62" i="15"/>
  <c r="W443" i="15"/>
  <c r="DW205" i="7"/>
  <c r="X3044" i="15"/>
  <c r="X2721" i="15"/>
  <c r="X2539" i="15"/>
  <c r="X1474" i="15"/>
  <c r="X1302" i="15"/>
  <c r="X1034" i="15"/>
  <c r="X496" i="15"/>
  <c r="X169" i="15"/>
  <c r="W3004" i="15"/>
  <c r="W2804" i="15"/>
  <c r="W2229" i="15"/>
  <c r="W1637" i="15"/>
  <c r="W869" i="15"/>
  <c r="W635" i="15"/>
  <c r="W253" i="15"/>
  <c r="U3055" i="15"/>
  <c r="U2549" i="15"/>
  <c r="U1481" i="15"/>
  <c r="U571" i="15"/>
  <c r="U283" i="15"/>
  <c r="Z3097" i="15"/>
  <c r="Z2603" i="15"/>
  <c r="Z2242" i="15"/>
  <c r="Z2012" i="15"/>
  <c r="Z1696" i="15"/>
  <c r="Z1359" i="15"/>
  <c r="Z757" i="15"/>
  <c r="Z431" i="15"/>
  <c r="Z23" i="15"/>
  <c r="AC3097" i="15"/>
  <c r="AC2603" i="15"/>
  <c r="AC2242" i="15"/>
  <c r="AC2012" i="15"/>
  <c r="AC1696" i="15"/>
  <c r="AC1359" i="15"/>
  <c r="AC757" i="15"/>
  <c r="AC431" i="15"/>
  <c r="AC23" i="15"/>
  <c r="EW350" i="7"/>
  <c r="AG3204" i="15"/>
  <c r="AG2861" i="15"/>
  <c r="AG2503" i="15"/>
  <c r="AG2157" i="15"/>
  <c r="AG1636" i="15"/>
  <c r="AG1240" i="15"/>
  <c r="AG926" i="15"/>
  <c r="AG303" i="15"/>
  <c r="AG737" i="15"/>
  <c r="W2964" i="15"/>
  <c r="W2690" i="15"/>
  <c r="W2437" i="15"/>
  <c r="W1915" i="15"/>
  <c r="W1555" i="15"/>
  <c r="W613" i="15"/>
  <c r="W131" i="15"/>
  <c r="N3104" i="15"/>
  <c r="N2636" i="15"/>
  <c r="N2270" i="15"/>
  <c r="N2035" i="15"/>
  <c r="N1504" i="15"/>
  <c r="N994" i="15"/>
  <c r="N650" i="15"/>
  <c r="N1118" i="15"/>
  <c r="N61" i="15"/>
  <c r="E3030" i="15"/>
  <c r="E2625" i="15"/>
  <c r="E2525" i="15"/>
  <c r="E2033" i="15"/>
  <c r="E1157" i="15"/>
  <c r="E1464" i="15"/>
  <c r="E423" i="15"/>
  <c r="E45" i="15"/>
  <c r="EW14" i="7"/>
  <c r="AG2919" i="15"/>
  <c r="AG2563" i="15"/>
  <c r="AG2407" i="15"/>
  <c r="AG1845" i="15"/>
  <c r="AG1498" i="15"/>
  <c r="AG1352" i="15"/>
  <c r="AG967" i="15"/>
  <c r="AG604" i="15"/>
  <c r="AG6" i="15"/>
  <c r="X2943" i="15"/>
  <c r="X2615" i="15"/>
  <c r="X2238" i="15"/>
  <c r="X1527" i="15"/>
  <c r="X1437" i="15"/>
  <c r="X759" i="15"/>
  <c r="X608" i="15"/>
  <c r="X37" i="15"/>
  <c r="AG3105" i="15"/>
  <c r="AG2643" i="15"/>
  <c r="AG2281" i="15"/>
  <c r="AG2051" i="15"/>
  <c r="AG1729" i="15"/>
  <c r="AG1438" i="15"/>
  <c r="AG648" i="15"/>
  <c r="AG760" i="15"/>
  <c r="AG65" i="15"/>
  <c r="AI3106" i="15"/>
  <c r="AI2644" i="15"/>
  <c r="AI2282" i="15"/>
  <c r="AI2052" i="15"/>
  <c r="AI1730" i="15"/>
  <c r="AI761" i="15"/>
  <c r="AI649" i="15"/>
  <c r="AI66" i="15"/>
  <c r="EW98" i="7"/>
  <c r="AG3029" i="15"/>
  <c r="AG2660" i="15"/>
  <c r="AG2524" i="15"/>
  <c r="AG1869" i="15"/>
  <c r="AG1463" i="15"/>
  <c r="AG1297" i="15"/>
  <c r="AG774" i="15"/>
  <c r="AG82" i="15"/>
  <c r="AG442" i="15"/>
  <c r="X3107" i="15"/>
  <c r="X2649" i="15"/>
  <c r="X2419" i="15"/>
  <c r="X2032" i="15"/>
  <c r="X1529" i="15"/>
  <c r="X1165" i="15"/>
  <c r="X770" i="15"/>
  <c r="X72" i="15"/>
  <c r="X453" i="15"/>
  <c r="X3108" i="15"/>
  <c r="X2650" i="15"/>
  <c r="X2420" i="15"/>
  <c r="X2033" i="15"/>
  <c r="X1530" i="15"/>
  <c r="X1166" i="15"/>
  <c r="X771" i="15"/>
  <c r="X454" i="15"/>
  <c r="X73" i="15"/>
  <c r="AF3122" i="15"/>
  <c r="AF2565" i="15"/>
  <c r="AF2422" i="15"/>
  <c r="AF2062" i="15"/>
  <c r="AF1519" i="15"/>
  <c r="AF1167" i="15"/>
  <c r="AF778" i="15"/>
  <c r="AF447" i="15"/>
  <c r="AF87" i="15"/>
  <c r="X2950" i="15"/>
  <c r="X2674" i="15"/>
  <c r="X2266" i="15"/>
  <c r="X1730" i="15"/>
  <c r="X1299" i="15"/>
  <c r="X786" i="15"/>
  <c r="X471" i="15"/>
  <c r="X106" i="15"/>
  <c r="U2955" i="15"/>
  <c r="U2679" i="15"/>
  <c r="U2271" i="15"/>
  <c r="U1735" i="15"/>
  <c r="U1370" i="15"/>
  <c r="U791" i="15"/>
  <c r="U476" i="15"/>
  <c r="U111" i="15"/>
  <c r="U2957" i="15"/>
  <c r="U2681" i="15"/>
  <c r="U2273" i="15"/>
  <c r="U1737" i="15"/>
  <c r="U1440" i="15"/>
  <c r="U793" i="15"/>
  <c r="U113" i="15"/>
  <c r="U478" i="15"/>
  <c r="AI3032" i="15"/>
  <c r="AI2698" i="15"/>
  <c r="AI2304" i="15"/>
  <c r="AI2067" i="15"/>
  <c r="AI1537" i="15"/>
  <c r="AI1378" i="15"/>
  <c r="AI802" i="15"/>
  <c r="AI473" i="15"/>
  <c r="AI129" i="15"/>
  <c r="EW181" i="7"/>
  <c r="AG2952" i="15"/>
  <c r="AG2717" i="15"/>
  <c r="AG2308" i="15"/>
  <c r="AG2075" i="15"/>
  <c r="AG1550" i="15"/>
  <c r="AG1389" i="15"/>
  <c r="AG817" i="15"/>
  <c r="AG152" i="15"/>
  <c r="AG485" i="15"/>
  <c r="EW186" i="7"/>
  <c r="AJ2956" i="15"/>
  <c r="AJ2719" i="15"/>
  <c r="AJ2442" i="15"/>
  <c r="AJ1915" i="15"/>
  <c r="AJ1555" i="15"/>
  <c r="AJ1394" i="15"/>
  <c r="AJ1049" i="15"/>
  <c r="AJ157" i="15"/>
  <c r="AJ616" i="15"/>
  <c r="AI2959" i="15"/>
  <c r="AI2578" i="15"/>
  <c r="AI2445" i="15"/>
  <c r="AI1918" i="15"/>
  <c r="AI1558" i="15"/>
  <c r="AI1397" i="15"/>
  <c r="AI1052" i="15"/>
  <c r="AI619" i="15"/>
  <c r="AI160" i="15"/>
  <c r="AJ2960" i="15"/>
  <c r="AJ2579" i="15"/>
  <c r="AJ2446" i="15"/>
  <c r="AJ1919" i="15"/>
  <c r="AJ1559" i="15"/>
  <c r="AJ1398" i="15"/>
  <c r="AJ1053" i="15"/>
  <c r="AJ620" i="15"/>
  <c r="AJ161" i="15"/>
  <c r="AJ2963" i="15"/>
  <c r="AJ2723" i="15"/>
  <c r="AJ2449" i="15"/>
  <c r="AJ1922" i="15"/>
  <c r="AJ1562" i="15"/>
  <c r="AJ1401" i="15"/>
  <c r="AJ1056" i="15"/>
  <c r="AJ623" i="15"/>
  <c r="AJ164" i="15"/>
  <c r="AG3128" i="15"/>
  <c r="AG2729" i="15"/>
  <c r="AG2455" i="15"/>
  <c r="AG1929" i="15"/>
  <c r="AG1564" i="15"/>
  <c r="AG1442" i="15"/>
  <c r="AG823" i="15"/>
  <c r="AG708" i="15"/>
  <c r="AG171" i="15"/>
  <c r="T3116" i="15"/>
  <c r="T2720" i="15"/>
  <c r="T2283" i="15"/>
  <c r="T2050" i="15"/>
  <c r="T1582" i="15"/>
  <c r="T1033" i="15"/>
  <c r="T653" i="15"/>
  <c r="T1125" i="15"/>
  <c r="T168" i="15"/>
  <c r="AD3076" i="15"/>
  <c r="AD2656" i="15"/>
  <c r="AD2430" i="15"/>
  <c r="AD1901" i="15"/>
  <c r="AD1537" i="15"/>
  <c r="AD1375" i="15"/>
  <c r="AD994" i="15"/>
  <c r="AD466" i="15"/>
  <c r="AD93" i="15"/>
  <c r="Z3077" i="15"/>
  <c r="Z2657" i="15"/>
  <c r="Z2431" i="15"/>
  <c r="Z1902" i="15"/>
  <c r="Z1538" i="15"/>
  <c r="Z1376" i="15"/>
  <c r="Z467" i="15"/>
  <c r="Z94" i="15"/>
  <c r="Z995" i="15"/>
  <c r="AA3039" i="15"/>
  <c r="AA2658" i="15"/>
  <c r="AA2532" i="15"/>
  <c r="AA1469" i="15"/>
  <c r="AA996" i="15"/>
  <c r="AA1279" i="15"/>
  <c r="AA95" i="15"/>
  <c r="AA468" i="15"/>
  <c r="X3121" i="15"/>
  <c r="X2731" i="15"/>
  <c r="X2288" i="15"/>
  <c r="X2053" i="15"/>
  <c r="X1586" i="15"/>
  <c r="X1444" i="15"/>
  <c r="X821" i="15"/>
  <c r="X180" i="15"/>
  <c r="X500" i="15"/>
  <c r="X3078" i="15"/>
  <c r="X2734" i="15"/>
  <c r="X2540" i="15"/>
  <c r="X1589" i="15"/>
  <c r="X1952" i="15"/>
  <c r="X1128" i="15"/>
  <c r="X183" i="15"/>
  <c r="X501" i="15"/>
  <c r="Z3080" i="15"/>
  <c r="Z2666" i="15"/>
  <c r="Z2534" i="15"/>
  <c r="Z1908" i="15"/>
  <c r="Z1545" i="15"/>
  <c r="Z473" i="15"/>
  <c r="Z1122" i="15"/>
  <c r="Z104" i="15"/>
  <c r="AJ3203" i="15"/>
  <c r="AJ2860" i="15"/>
  <c r="AJ2502" i="15"/>
  <c r="AJ2156" i="15"/>
  <c r="AJ1635" i="15"/>
  <c r="AJ925" i="15"/>
  <c r="AJ1239" i="15"/>
  <c r="AJ736" i="15"/>
  <c r="AJ302" i="15"/>
  <c r="AJ3205" i="15"/>
  <c r="AJ2862" i="15"/>
  <c r="AJ2504" i="15"/>
  <c r="AJ2158" i="15"/>
  <c r="AJ1637" i="15"/>
  <c r="AJ927" i="15"/>
  <c r="AJ738" i="15"/>
  <c r="AJ1241" i="15"/>
  <c r="AJ304" i="15"/>
  <c r="AJ3207" i="15"/>
  <c r="AJ2864" i="15"/>
  <c r="AJ2506" i="15"/>
  <c r="AJ2160" i="15"/>
  <c r="AJ1639" i="15"/>
  <c r="AJ929" i="15"/>
  <c r="AJ1243" i="15"/>
  <c r="AJ740" i="15"/>
  <c r="AJ306" i="15"/>
  <c r="T2962" i="15"/>
  <c r="T2688" i="15"/>
  <c r="T2435" i="15"/>
  <c r="T1913" i="15"/>
  <c r="T1553" i="15"/>
  <c r="T611" i="15"/>
  <c r="T129" i="15"/>
  <c r="T2964" i="15"/>
  <c r="T2690" i="15"/>
  <c r="T2437" i="15"/>
  <c r="T1915" i="15"/>
  <c r="T1555" i="15"/>
  <c r="T613" i="15"/>
  <c r="T131" i="15"/>
  <c r="Z2946" i="15"/>
  <c r="Z2643" i="15"/>
  <c r="Z2426" i="15"/>
  <c r="Z1890" i="15"/>
  <c r="Z1526" i="15"/>
  <c r="Z79" i="15"/>
  <c r="Z607" i="15"/>
  <c r="Z2645" i="15"/>
  <c r="Z2948" i="15"/>
  <c r="Z2428" i="15"/>
  <c r="Z1892" i="15"/>
  <c r="Z1528" i="15"/>
  <c r="Z609" i="15"/>
  <c r="Z81" i="15"/>
  <c r="X3031" i="15"/>
  <c r="X2644" i="15"/>
  <c r="X2526" i="15"/>
  <c r="X1290" i="15"/>
  <c r="X1465" i="15"/>
  <c r="X67" i="15"/>
  <c r="X448" i="15"/>
  <c r="W3043" i="15"/>
  <c r="W2533" i="15"/>
  <c r="W2045" i="15"/>
  <c r="W1472" i="15"/>
  <c r="W1014" i="15"/>
  <c r="W382" i="15"/>
  <c r="W126" i="15"/>
  <c r="AC3041" i="15"/>
  <c r="AC2536" i="15"/>
  <c r="AC1471" i="15"/>
  <c r="AC618" i="15"/>
  <c r="AC121" i="15"/>
  <c r="N2919" i="15"/>
  <c r="N2586" i="15"/>
  <c r="N2193" i="15"/>
  <c r="N1498" i="15"/>
  <c r="N1845" i="15"/>
  <c r="N1146" i="15"/>
  <c r="N416" i="15"/>
  <c r="N6" i="15"/>
  <c r="N3035" i="15"/>
  <c r="N2647" i="15"/>
  <c r="N2532" i="15"/>
  <c r="N1467" i="15"/>
  <c r="N999" i="15"/>
  <c r="N368" i="15"/>
  <c r="N72" i="15"/>
  <c r="W3046" i="15"/>
  <c r="W2737" i="15"/>
  <c r="W2543" i="15"/>
  <c r="W1476" i="15"/>
  <c r="W1036" i="15"/>
  <c r="W385" i="15"/>
  <c r="W186" i="15"/>
  <c r="DI246" i="7"/>
  <c r="Q3036" i="15"/>
  <c r="Q2648" i="15"/>
  <c r="Q2533" i="15"/>
  <c r="Q2038" i="15"/>
  <c r="Q1468" i="15"/>
  <c r="Q1157" i="15"/>
  <c r="Q73" i="15"/>
  <c r="Q438" i="15"/>
  <c r="K3029" i="15"/>
  <c r="K2624" i="15"/>
  <c r="K2524" i="15"/>
  <c r="K2032" i="15"/>
  <c r="K1156" i="15"/>
  <c r="K1463" i="15"/>
  <c r="K422" i="15"/>
  <c r="K44" i="15"/>
  <c r="B3032" i="15"/>
  <c r="B2627" i="15"/>
  <c r="B2527" i="15"/>
  <c r="B2035" i="15"/>
  <c r="B1466" i="15"/>
  <c r="B1280" i="15"/>
  <c r="B425" i="15"/>
  <c r="B47" i="15"/>
  <c r="K3034" i="15"/>
  <c r="K2656" i="15"/>
  <c r="K2270" i="15"/>
  <c r="K1526" i="15"/>
  <c r="K1441" i="15"/>
  <c r="K995" i="15"/>
  <c r="K364" i="15"/>
  <c r="K84" i="15"/>
  <c r="Q3040" i="15"/>
  <c r="Q2684" i="15"/>
  <c r="Q2282" i="15"/>
  <c r="Q1532" i="15"/>
  <c r="Q1003" i="15"/>
  <c r="Q1442" i="15"/>
  <c r="Q369" i="15"/>
  <c r="Q118" i="15"/>
  <c r="CJ42" i="7"/>
  <c r="F3091" i="15"/>
  <c r="F2595" i="15"/>
  <c r="F2244" i="15"/>
  <c r="F2015" i="15"/>
  <c r="F1696" i="15"/>
  <c r="F1267" i="15"/>
  <c r="F667" i="15"/>
  <c r="F15" i="15"/>
  <c r="F974" i="15"/>
  <c r="C2920" i="15"/>
  <c r="C2587" i="15"/>
  <c r="C2408" i="15"/>
  <c r="C1846" i="15"/>
  <c r="C1688" i="15"/>
  <c r="C659" i="15"/>
  <c r="C7" i="15"/>
  <c r="X3030" i="15"/>
  <c r="X2636" i="15"/>
  <c r="X2525" i="15"/>
  <c r="X1464" i="15"/>
  <c r="X1112" i="15"/>
  <c r="X678" i="15"/>
  <c r="X59" i="15"/>
  <c r="DW98" i="7"/>
  <c r="X3033" i="15"/>
  <c r="X2646" i="15"/>
  <c r="X2528" i="15"/>
  <c r="X1880" i="15"/>
  <c r="X1467" i="15"/>
  <c r="X1292" i="15"/>
  <c r="X768" i="15"/>
  <c r="X450" i="15"/>
  <c r="X69" i="15"/>
  <c r="EJ221" i="7"/>
  <c r="AA2667" i="15"/>
  <c r="AA3040" i="15"/>
  <c r="AA2535" i="15"/>
  <c r="AA1470" i="15"/>
  <c r="AA1280" i="15"/>
  <c r="AA795" i="15"/>
  <c r="AA474" i="15"/>
  <c r="AA105" i="15"/>
  <c r="X3003" i="15"/>
  <c r="X2803" i="15"/>
  <c r="X2228" i="15"/>
  <c r="X1636" i="15"/>
  <c r="X868" i="15"/>
  <c r="X634" i="15"/>
  <c r="X252" i="15"/>
  <c r="T3055" i="15"/>
  <c r="T2549" i="15"/>
  <c r="T1481" i="15"/>
  <c r="T571" i="15"/>
  <c r="T283" i="15"/>
  <c r="Z3098" i="15"/>
  <c r="Z2604" i="15"/>
  <c r="Z2243" i="15"/>
  <c r="Z2013" i="15"/>
  <c r="Z1697" i="15"/>
  <c r="Z1360" i="15"/>
  <c r="Z758" i="15"/>
  <c r="Z432" i="15"/>
  <c r="Z24" i="15"/>
  <c r="AC3098" i="15"/>
  <c r="AC2604" i="15"/>
  <c r="AC2243" i="15"/>
  <c r="AC2013" i="15"/>
  <c r="AC1697" i="15"/>
  <c r="AC1360" i="15"/>
  <c r="AC758" i="15"/>
  <c r="AC432" i="15"/>
  <c r="AC24" i="15"/>
  <c r="T3121" i="15"/>
  <c r="T2731" i="15"/>
  <c r="T2288" i="15"/>
  <c r="T2053" i="15"/>
  <c r="T1586" i="15"/>
  <c r="T1444" i="15"/>
  <c r="T821" i="15"/>
  <c r="T500" i="15"/>
  <c r="T180" i="15"/>
  <c r="AI3033" i="15"/>
  <c r="AI2699" i="15"/>
  <c r="AI2305" i="15"/>
  <c r="AI2068" i="15"/>
  <c r="AI1538" i="15"/>
  <c r="AI650" i="15"/>
  <c r="AI130" i="15"/>
  <c r="AI1037" i="15"/>
  <c r="EJ219" i="7"/>
  <c r="AA3079" i="15"/>
  <c r="AA2665" i="15"/>
  <c r="AA2533" i="15"/>
  <c r="AA1907" i="15"/>
  <c r="AA1544" i="15"/>
  <c r="AA1121" i="15"/>
  <c r="AA472" i="15"/>
  <c r="AA103" i="15"/>
  <c r="EW352" i="7"/>
  <c r="AG2863" i="15"/>
  <c r="AG3206" i="15"/>
  <c r="AG2505" i="15"/>
  <c r="AG2159" i="15"/>
  <c r="AG1638" i="15"/>
  <c r="AG928" i="15"/>
  <c r="AG739" i="15"/>
  <c r="AG1242" i="15"/>
  <c r="AG305" i="15"/>
  <c r="DW156" i="7"/>
  <c r="U2960" i="15"/>
  <c r="U2686" i="15"/>
  <c r="U2433" i="15"/>
  <c r="U1911" i="15"/>
  <c r="U1551" i="15"/>
  <c r="U609" i="15"/>
  <c r="U127" i="15"/>
  <c r="AC2948" i="15"/>
  <c r="AC2645" i="15"/>
  <c r="AC2428" i="15"/>
  <c r="AC1892" i="15"/>
  <c r="AC1528" i="15"/>
  <c r="AC609" i="15"/>
  <c r="AC81" i="15"/>
  <c r="T3056" i="15"/>
  <c r="T2550" i="15"/>
  <c r="T1482" i="15"/>
  <c r="T390" i="15"/>
  <c r="T290" i="15"/>
  <c r="Q3038" i="15"/>
  <c r="Q2650" i="15"/>
  <c r="Q2535" i="15"/>
  <c r="Q2040" i="15"/>
  <c r="Q1159" i="15"/>
  <c r="Q1470" i="15"/>
  <c r="Q440" i="15"/>
  <c r="Q75" i="15"/>
  <c r="AF2920" i="15"/>
  <c r="AF2564" i="15"/>
  <c r="AF2408" i="15"/>
  <c r="AF1846" i="15"/>
  <c r="AF1499" i="15"/>
  <c r="AF1353" i="15"/>
  <c r="AF605" i="15"/>
  <c r="AF968" i="15"/>
  <c r="AF7" i="15"/>
  <c r="AA2925" i="15"/>
  <c r="AA2592" i="15"/>
  <c r="AA2237" i="15"/>
  <c r="AA1504" i="15"/>
  <c r="AA1437" i="15"/>
  <c r="AA749" i="15"/>
  <c r="AA604" i="15"/>
  <c r="AA12" i="15"/>
  <c r="AI3105" i="15"/>
  <c r="AI2643" i="15"/>
  <c r="AI2281" i="15"/>
  <c r="AI2051" i="15"/>
  <c r="AI1729" i="15"/>
  <c r="AI1438" i="15"/>
  <c r="AI648" i="15"/>
  <c r="AI760" i="15"/>
  <c r="AI65" i="15"/>
  <c r="AJ3106" i="15"/>
  <c r="AJ2644" i="15"/>
  <c r="AJ2282" i="15"/>
  <c r="AJ2052" i="15"/>
  <c r="AJ1730" i="15"/>
  <c r="AJ761" i="15"/>
  <c r="AJ649" i="15"/>
  <c r="AJ66" i="15"/>
  <c r="AF3120" i="15"/>
  <c r="AF2663" i="15"/>
  <c r="AF2420" i="15"/>
  <c r="AF2060" i="15"/>
  <c r="AF1517" i="15"/>
  <c r="AF1165" i="15"/>
  <c r="AF776" i="15"/>
  <c r="AF445" i="15"/>
  <c r="AF85" i="15"/>
  <c r="AF3121" i="15"/>
  <c r="AF2664" i="15"/>
  <c r="AF2421" i="15"/>
  <c r="AF2061" i="15"/>
  <c r="AF1518" i="15"/>
  <c r="AF1166" i="15"/>
  <c r="AF777" i="15"/>
  <c r="AF446" i="15"/>
  <c r="AF86" i="15"/>
  <c r="EW103" i="7"/>
  <c r="AG3122" i="15"/>
  <c r="AG2565" i="15"/>
  <c r="AG2422" i="15"/>
  <c r="AG2062" i="15"/>
  <c r="AG1519" i="15"/>
  <c r="AG1167" i="15"/>
  <c r="AG447" i="15"/>
  <c r="AG778" i="15"/>
  <c r="AG87" i="15"/>
  <c r="U2952" i="15"/>
  <c r="U2676" i="15"/>
  <c r="U2268" i="15"/>
  <c r="U1732" i="15"/>
  <c r="U1367" i="15"/>
  <c r="U788" i="15"/>
  <c r="U473" i="15"/>
  <c r="U108" i="15"/>
  <c r="X2955" i="15"/>
  <c r="X2679" i="15"/>
  <c r="X2271" i="15"/>
  <c r="X1735" i="15"/>
  <c r="X1370" i="15"/>
  <c r="X791" i="15"/>
  <c r="X476" i="15"/>
  <c r="X111" i="15"/>
  <c r="X2957" i="15"/>
  <c r="X2681" i="15"/>
  <c r="X2273" i="15"/>
  <c r="X1737" i="15"/>
  <c r="X1440" i="15"/>
  <c r="X793" i="15"/>
  <c r="X113" i="15"/>
  <c r="X478" i="15"/>
  <c r="AF3033" i="15"/>
  <c r="AF2699" i="15"/>
  <c r="AF2305" i="15"/>
  <c r="AF2068" i="15"/>
  <c r="AF1538" i="15"/>
  <c r="AF1037" i="15"/>
  <c r="AF650" i="15"/>
  <c r="AF130" i="15"/>
  <c r="AI2954" i="15"/>
  <c r="AI2576" i="15"/>
  <c r="AI2440" i="15"/>
  <c r="AI1913" i="15"/>
  <c r="AI1553" i="15"/>
  <c r="AI1392" i="15"/>
  <c r="AI1047" i="15"/>
  <c r="AI614" i="15"/>
  <c r="AI155" i="15"/>
  <c r="AI2955" i="15"/>
  <c r="AI2718" i="15"/>
  <c r="AI2441" i="15"/>
  <c r="AI1914" i="15"/>
  <c r="AI1554" i="15"/>
  <c r="AI1393" i="15"/>
  <c r="AI1048" i="15"/>
  <c r="AI615" i="15"/>
  <c r="AI156" i="15"/>
  <c r="AJ2959" i="15"/>
  <c r="AJ2578" i="15"/>
  <c r="AJ2445" i="15"/>
  <c r="AJ1918" i="15"/>
  <c r="AJ1558" i="15"/>
  <c r="AJ1052" i="15"/>
  <c r="AJ619" i="15"/>
  <c r="AJ1397" i="15"/>
  <c r="AJ160" i="15"/>
  <c r="AI2962" i="15"/>
  <c r="AI2722" i="15"/>
  <c r="AI2448" i="15"/>
  <c r="AI1921" i="15"/>
  <c r="AI1561" i="15"/>
  <c r="AI1055" i="15"/>
  <c r="AI1400" i="15"/>
  <c r="AI622" i="15"/>
  <c r="AI163" i="15"/>
  <c r="AJ3128" i="15"/>
  <c r="AJ2729" i="15"/>
  <c r="AJ2455" i="15"/>
  <c r="AJ1929" i="15"/>
  <c r="AJ1564" i="15"/>
  <c r="AJ1442" i="15"/>
  <c r="AJ823" i="15"/>
  <c r="AJ708" i="15"/>
  <c r="AJ171" i="15"/>
  <c r="AG3130" i="15"/>
  <c r="AG2731" i="15"/>
  <c r="AG2310" i="15"/>
  <c r="AG2077" i="15"/>
  <c r="AG1566" i="15"/>
  <c r="AG1127" i="15"/>
  <c r="AG1059" i="15"/>
  <c r="AG652" i="15"/>
  <c r="AG173" i="15"/>
  <c r="EJ204" i="7"/>
  <c r="AA3077" i="15"/>
  <c r="AA2657" i="15"/>
  <c r="AA2431" i="15"/>
  <c r="AA1902" i="15"/>
  <c r="AA1538" i="15"/>
  <c r="AA1376" i="15"/>
  <c r="AA995" i="15"/>
  <c r="AA467" i="15"/>
  <c r="AA94" i="15"/>
  <c r="AD3039" i="15"/>
  <c r="AD2658" i="15"/>
  <c r="AD2532" i="15"/>
  <c r="AD1279" i="15"/>
  <c r="AD1469" i="15"/>
  <c r="AD996" i="15"/>
  <c r="AD468" i="15"/>
  <c r="AD95" i="15"/>
  <c r="EJ216" i="7"/>
  <c r="AA3104" i="15"/>
  <c r="AA2662" i="15"/>
  <c r="AA2266" i="15"/>
  <c r="AA2027" i="15"/>
  <c r="AA1541" i="15"/>
  <c r="AA1441" i="15"/>
  <c r="AA792" i="15"/>
  <c r="AA471" i="15"/>
  <c r="AA100" i="15"/>
  <c r="Z3079" i="15"/>
  <c r="Z2665" i="15"/>
  <c r="Z2533" i="15"/>
  <c r="Z1907" i="15"/>
  <c r="Z1544" i="15"/>
  <c r="Z1121" i="15"/>
  <c r="Z103" i="15"/>
  <c r="Z472" i="15"/>
  <c r="EJ220" i="7"/>
  <c r="AA3080" i="15"/>
  <c r="AA2666" i="15"/>
  <c r="AA2534" i="15"/>
  <c r="AA1908" i="15"/>
  <c r="AA1545" i="15"/>
  <c r="AA473" i="15"/>
  <c r="AA1122" i="15"/>
  <c r="AA104" i="15"/>
  <c r="AF3202" i="15"/>
  <c r="AF2859" i="15"/>
  <c r="AF2501" i="15"/>
  <c r="AF2155" i="15"/>
  <c r="AF1634" i="15"/>
  <c r="AF1238" i="15"/>
  <c r="AF924" i="15"/>
  <c r="AF735" i="15"/>
  <c r="AF301" i="15"/>
  <c r="AF3204" i="15"/>
  <c r="AF2861" i="15"/>
  <c r="AF2503" i="15"/>
  <c r="AF2157" i="15"/>
  <c r="AF1636" i="15"/>
  <c r="AF1240" i="15"/>
  <c r="AF926" i="15"/>
  <c r="AF737" i="15"/>
  <c r="AF303" i="15"/>
  <c r="AF3206" i="15"/>
  <c r="AF2863" i="15"/>
  <c r="AF2505" i="15"/>
  <c r="AF2159" i="15"/>
  <c r="AF1638" i="15"/>
  <c r="AF928" i="15"/>
  <c r="AF739" i="15"/>
  <c r="AF1242" i="15"/>
  <c r="AF305" i="15"/>
  <c r="DW158" i="7"/>
  <c r="U2962" i="15"/>
  <c r="U2688" i="15"/>
  <c r="U2435" i="15"/>
  <c r="U1913" i="15"/>
  <c r="U1553" i="15"/>
  <c r="U611" i="15"/>
  <c r="U129" i="15"/>
  <c r="DW160" i="7"/>
  <c r="U2964" i="15"/>
  <c r="U2690" i="15"/>
  <c r="U2437" i="15"/>
  <c r="U1915" i="15"/>
  <c r="U1555" i="15"/>
  <c r="U613" i="15"/>
  <c r="U131" i="15"/>
  <c r="EJ158" i="7"/>
  <c r="AA2946" i="15"/>
  <c r="AA2643" i="15"/>
  <c r="AA2426" i="15"/>
  <c r="AA1890" i="15"/>
  <c r="AA1526" i="15"/>
  <c r="AA607" i="15"/>
  <c r="AA79" i="15"/>
  <c r="EJ160" i="7"/>
  <c r="AA2948" i="15"/>
  <c r="AA2645" i="15"/>
  <c r="AA2428" i="15"/>
  <c r="AA1892" i="15"/>
  <c r="AA1528" i="15"/>
  <c r="AA609" i="15"/>
  <c r="AA81" i="15"/>
  <c r="T3032" i="15"/>
  <c r="T2645" i="15"/>
  <c r="T2527" i="15"/>
  <c r="T1466" i="15"/>
  <c r="T1291" i="15"/>
  <c r="T449" i="15"/>
  <c r="T68" i="15"/>
  <c r="DW155" i="7"/>
  <c r="X3043" i="15"/>
  <c r="X2533" i="15"/>
  <c r="X2045" i="15"/>
  <c r="X1472" i="15"/>
  <c r="X1014" i="15"/>
  <c r="X382" i="15"/>
  <c r="X126" i="15"/>
  <c r="AD3041" i="15"/>
  <c r="AD2536" i="15"/>
  <c r="AD1471" i="15"/>
  <c r="AD121" i="15"/>
  <c r="AD618" i="15"/>
  <c r="R2919" i="15"/>
  <c r="R2586" i="15"/>
  <c r="R2193" i="15"/>
  <c r="R1845" i="15"/>
  <c r="R1498" i="15"/>
  <c r="R1146" i="15"/>
  <c r="R416" i="15"/>
  <c r="R6" i="15"/>
  <c r="N3032" i="15"/>
  <c r="N2644" i="15"/>
  <c r="N2529" i="15"/>
  <c r="N1464" i="15"/>
  <c r="N996" i="15"/>
  <c r="N365" i="15"/>
  <c r="N69" i="15"/>
  <c r="W3048" i="15"/>
  <c r="W2739" i="15"/>
  <c r="W2545" i="15"/>
  <c r="W1478" i="15"/>
  <c r="W1038" i="15"/>
  <c r="W188" i="15"/>
  <c r="W387" i="15"/>
  <c r="Q3037" i="15"/>
  <c r="Q2649" i="15"/>
  <c r="Q2534" i="15"/>
  <c r="Q2039" i="15"/>
  <c r="Q1158" i="15"/>
  <c r="Q1469" i="15"/>
  <c r="Q439" i="15"/>
  <c r="Q74" i="15"/>
  <c r="K3030" i="15"/>
  <c r="K2625" i="15"/>
  <c r="K2525" i="15"/>
  <c r="K2033" i="15"/>
  <c r="K1157" i="15"/>
  <c r="K1464" i="15"/>
  <c r="K423" i="15"/>
  <c r="K45" i="15"/>
  <c r="E3029" i="15"/>
  <c r="E2624" i="15"/>
  <c r="E2524" i="15"/>
  <c r="E2032" i="15"/>
  <c r="E1156" i="15"/>
  <c r="E1463" i="15"/>
  <c r="E422" i="15"/>
  <c r="E44" i="15"/>
  <c r="B3033" i="15"/>
  <c r="B2655" i="15"/>
  <c r="B2269" i="15"/>
  <c r="B1525" i="15"/>
  <c r="B1440" i="15"/>
  <c r="B994" i="15"/>
  <c r="B363" i="15"/>
  <c r="B83" i="15"/>
  <c r="N3040" i="15"/>
  <c r="N2684" i="15"/>
  <c r="N2282" i="15"/>
  <c r="N1532" i="15"/>
  <c r="N1442" i="15"/>
  <c r="N1003" i="15"/>
  <c r="N369" i="15"/>
  <c r="N118" i="15"/>
  <c r="CJ43" i="7"/>
  <c r="F3092" i="15"/>
  <c r="F2596" i="15"/>
  <c r="F2245" i="15"/>
  <c r="F2016" i="15"/>
  <c r="F1697" i="15"/>
  <c r="F975" i="15"/>
  <c r="F1148" i="15"/>
  <c r="F668" i="15"/>
  <c r="F16" i="15"/>
  <c r="F2919" i="15"/>
  <c r="F2407" i="15"/>
  <c r="F2586" i="15"/>
  <c r="F1845" i="15"/>
  <c r="F1687" i="15"/>
  <c r="F658" i="15"/>
  <c r="F6" i="15"/>
  <c r="T3030" i="15"/>
  <c r="T2636" i="15"/>
  <c r="T2525" i="15"/>
  <c r="T1464" i="15"/>
  <c r="T678" i="15"/>
  <c r="T1112" i="15"/>
  <c r="T59" i="15"/>
  <c r="EJ98" i="7"/>
  <c r="AA3029" i="15"/>
  <c r="AA2605" i="15"/>
  <c r="AA2524" i="15"/>
  <c r="AA1857" i="15"/>
  <c r="AA1463" i="15"/>
  <c r="AA759" i="15"/>
  <c r="AA1269" i="15"/>
  <c r="AA433" i="15"/>
  <c r="AA25" i="15"/>
  <c r="AD3040" i="15"/>
  <c r="AD2667" i="15"/>
  <c r="AD2535" i="15"/>
  <c r="AD1280" i="15"/>
  <c r="AD1470" i="15"/>
  <c r="AD795" i="15"/>
  <c r="AD474" i="15"/>
  <c r="AD105" i="15"/>
  <c r="X3004" i="15"/>
  <c r="X2804" i="15"/>
  <c r="X2229" i="15"/>
  <c r="X1637" i="15"/>
  <c r="X869" i="15"/>
  <c r="X635" i="15"/>
  <c r="X253" i="15"/>
  <c r="W3055" i="15"/>
  <c r="W2549" i="15"/>
  <c r="W1481" i="15"/>
  <c r="W571" i="15"/>
  <c r="W283" i="15"/>
  <c r="Z3094" i="15"/>
  <c r="Z2598" i="15"/>
  <c r="Z2410" i="15"/>
  <c r="Z1691" i="15"/>
  <c r="Z1854" i="15"/>
  <c r="Z1354" i="15"/>
  <c r="Z753" i="15"/>
  <c r="Z426" i="15"/>
  <c r="Z18" i="15"/>
  <c r="AC3038" i="15"/>
  <c r="AC2531" i="15"/>
  <c r="AC1468" i="15"/>
  <c r="AC465" i="15"/>
  <c r="AC90" i="15"/>
  <c r="W3037" i="15"/>
  <c r="W2685" i="15"/>
  <c r="W2277" i="15"/>
  <c r="W2040" i="15"/>
  <c r="W1550" i="15"/>
  <c r="W1011" i="15"/>
  <c r="W650" i="15"/>
  <c r="W117" i="15"/>
  <c r="AG3232" i="15"/>
  <c r="AG3244" i="15"/>
  <c r="AJ2634" i="15"/>
  <c r="AJ3247" i="15"/>
  <c r="AJ2617" i="15"/>
  <c r="AJ3236" i="15"/>
  <c r="AJ2635" i="15"/>
  <c r="AJ3248" i="15"/>
  <c r="AF2604" i="15"/>
  <c r="AF3229" i="15"/>
  <c r="AF2622" i="15"/>
  <c r="AF3241" i="15"/>
  <c r="AI2642" i="15"/>
  <c r="AI3253" i="15"/>
  <c r="AJ2616" i="15"/>
  <c r="AJ3235" i="15"/>
  <c r="AI2622" i="15"/>
  <c r="AI3241" i="15"/>
  <c r="AF2603" i="15"/>
  <c r="AF3228" i="15"/>
  <c r="AF2613" i="15"/>
  <c r="AF3232" i="15"/>
  <c r="AF2614" i="15"/>
  <c r="AF3233" i="15"/>
  <c r="AF2621" i="15"/>
  <c r="AF3240" i="15"/>
  <c r="AF2631" i="15"/>
  <c r="AF3244" i="15"/>
  <c r="AF2632" i="15"/>
  <c r="AF3245" i="15"/>
  <c r="AF2641" i="15"/>
  <c r="AF3252" i="15"/>
  <c r="AI2603" i="15"/>
  <c r="AI3228" i="15"/>
  <c r="AJ2615" i="15"/>
  <c r="AJ3234" i="15"/>
  <c r="AI2621" i="15"/>
  <c r="AI3240" i="15"/>
  <c r="AJ2633" i="15"/>
  <c r="AJ3246" i="15"/>
  <c r="AI2604" i="15"/>
  <c r="AI3229" i="15"/>
  <c r="AI2613" i="15"/>
  <c r="AI3232" i="15"/>
  <c r="AI2614" i="15"/>
  <c r="AI3233" i="15"/>
  <c r="AI2631" i="15"/>
  <c r="AI3244" i="15"/>
  <c r="AI2632" i="15"/>
  <c r="AI3245" i="15"/>
  <c r="AI2641" i="15"/>
  <c r="AI3252" i="15"/>
  <c r="AJ2642" i="15"/>
  <c r="AJ3253" i="15"/>
  <c r="AJ2613" i="15"/>
  <c r="AJ3232" i="15"/>
  <c r="AJ2614" i="15"/>
  <c r="AJ3233" i="15"/>
  <c r="AJ2618" i="15"/>
  <c r="AJ3237" i="15"/>
  <c r="AJ2631" i="15"/>
  <c r="AJ3244" i="15"/>
  <c r="AJ2632" i="15"/>
  <c r="AJ3245" i="15"/>
  <c r="AJ2636" i="15"/>
  <c r="AJ3249" i="15"/>
  <c r="AJ2641" i="15"/>
  <c r="AJ3252" i="15"/>
  <c r="AF2642" i="15"/>
  <c r="AF3253" i="15"/>
  <c r="AI2609" i="15"/>
  <c r="AI3093" i="15"/>
  <c r="AI2627" i="15"/>
  <c r="AI3099" i="15"/>
  <c r="AF2610" i="15"/>
  <c r="AF3094" i="15"/>
  <c r="AI2628" i="15"/>
  <c r="AI3100" i="15"/>
  <c r="AI2610" i="15"/>
  <c r="AI3094" i="15"/>
  <c r="AF2628" i="15"/>
  <c r="AF3100" i="15"/>
  <c r="AF2609" i="15"/>
  <c r="AF3093" i="15"/>
  <c r="AF2627" i="15"/>
  <c r="AF3099" i="15"/>
  <c r="L2652" i="15"/>
  <c r="L3114" i="15"/>
  <c r="AG2720" i="15"/>
  <c r="AG2957" i="15"/>
  <c r="AG2254" i="15"/>
  <c r="AG2616" i="15"/>
  <c r="AG2272" i="15"/>
  <c r="AG2634" i="15"/>
  <c r="AG2253" i="15"/>
  <c r="AG2615" i="15"/>
  <c r="AG2271" i="15"/>
  <c r="AG2633" i="15"/>
  <c r="AH2447" i="15"/>
  <c r="AH2721" i="15"/>
  <c r="AG2280" i="15"/>
  <c r="AG2642" i="15"/>
  <c r="AG2251" i="15"/>
  <c r="AG2613" i="15"/>
  <c r="AG2252" i="15"/>
  <c r="AG2614" i="15"/>
  <c r="AG2269" i="15"/>
  <c r="AG2631" i="15"/>
  <c r="AG2270" i="15"/>
  <c r="AG2632" i="15"/>
  <c r="AG2279" i="15"/>
  <c r="AG2641" i="15"/>
  <c r="AH2448" i="15"/>
  <c r="AH2722" i="15"/>
  <c r="AG2256" i="15"/>
  <c r="AG2618" i="15"/>
  <c r="AG2274" i="15"/>
  <c r="AG2636" i="15"/>
  <c r="AG2255" i="15"/>
  <c r="AG2617" i="15"/>
  <c r="AG2273" i="15"/>
  <c r="AG2635" i="15"/>
  <c r="O2254" i="15"/>
  <c r="O2607" i="15"/>
  <c r="AH2445" i="15"/>
  <c r="AH2578" i="15"/>
  <c r="AG2440" i="15"/>
  <c r="AG2576" i="15"/>
  <c r="AH2444" i="15"/>
  <c r="AH2577" i="15"/>
  <c r="AG1916" i="15"/>
  <c r="AG2443" i="15"/>
  <c r="AI2050" i="15"/>
  <c r="AI2280" i="15"/>
  <c r="AJ2024" i="15"/>
  <c r="AJ2254" i="15"/>
  <c r="AI2030" i="15"/>
  <c r="AI2260" i="15"/>
  <c r="AJ2043" i="15"/>
  <c r="AJ2273" i="15"/>
  <c r="AF2012" i="15"/>
  <c r="AF2242" i="15"/>
  <c r="AF2011" i="15"/>
  <c r="AF2241" i="15"/>
  <c r="AF2021" i="15"/>
  <c r="AF2251" i="15"/>
  <c r="AF2022" i="15"/>
  <c r="AF2252" i="15"/>
  <c r="AF2029" i="15"/>
  <c r="AF2259" i="15"/>
  <c r="AF2039" i="15"/>
  <c r="AF2269" i="15"/>
  <c r="AF2040" i="15"/>
  <c r="AF2270" i="15"/>
  <c r="AF2049" i="15"/>
  <c r="AF2279" i="15"/>
  <c r="AI2035" i="15"/>
  <c r="AI2265" i="15"/>
  <c r="AI2011" i="15"/>
  <c r="AI2241" i="15"/>
  <c r="AJ2023" i="15"/>
  <c r="AJ2253" i="15"/>
  <c r="AI2029" i="15"/>
  <c r="AI2259" i="15"/>
  <c r="AJ2041" i="15"/>
  <c r="AJ2271" i="15"/>
  <c r="AF2018" i="15"/>
  <c r="AF2248" i="15"/>
  <c r="AI2021" i="15"/>
  <c r="AI2251" i="15"/>
  <c r="AI2022" i="15"/>
  <c r="AI2252" i="15"/>
  <c r="AI2036" i="15"/>
  <c r="AI2266" i="15"/>
  <c r="AI2039" i="15"/>
  <c r="AI2269" i="15"/>
  <c r="AI2040" i="15"/>
  <c r="AI2270" i="15"/>
  <c r="AI2049" i="15"/>
  <c r="AI2279" i="15"/>
  <c r="AJ2025" i="15"/>
  <c r="AJ2255" i="15"/>
  <c r="AJ2042" i="15"/>
  <c r="AJ2272" i="15"/>
  <c r="AI2018" i="15"/>
  <c r="AI2248" i="15"/>
  <c r="AJ2021" i="15"/>
  <c r="AJ2251" i="15"/>
  <c r="AJ2022" i="15"/>
  <c r="AJ2252" i="15"/>
  <c r="AJ2026" i="15"/>
  <c r="AJ2256" i="15"/>
  <c r="AF2036" i="15"/>
  <c r="AF2266" i="15"/>
  <c r="AJ2039" i="15"/>
  <c r="AJ2269" i="15"/>
  <c r="AJ2040" i="15"/>
  <c r="AJ2270" i="15"/>
  <c r="AJ2044" i="15"/>
  <c r="AJ2274" i="15"/>
  <c r="AJ2049" i="15"/>
  <c r="AJ2279" i="15"/>
  <c r="AI2017" i="15"/>
  <c r="AI2247" i="15"/>
  <c r="AF2030" i="15"/>
  <c r="AF2260" i="15"/>
  <c r="AI2012" i="15"/>
  <c r="AI2242" i="15"/>
  <c r="AJ2050" i="15"/>
  <c r="AJ2280" i="15"/>
  <c r="AF2017" i="15"/>
  <c r="AF2247" i="15"/>
  <c r="AF2035" i="15"/>
  <c r="AF2265" i="15"/>
  <c r="AF2050" i="15"/>
  <c r="AF2280" i="15"/>
  <c r="L2058" i="15"/>
  <c r="L2267" i="15"/>
  <c r="AG1702" i="15"/>
  <c r="AG2024" i="15"/>
  <c r="AG1720" i="15"/>
  <c r="AG2042" i="15"/>
  <c r="AG1701" i="15"/>
  <c r="AG2023" i="15"/>
  <c r="AG1699" i="15"/>
  <c r="AG2021" i="15"/>
  <c r="AG1700" i="15"/>
  <c r="AG2022" i="15"/>
  <c r="AG1717" i="15"/>
  <c r="AG2039" i="15"/>
  <c r="AG1718" i="15"/>
  <c r="AG2040" i="15"/>
  <c r="AG1727" i="15"/>
  <c r="AG2049" i="15"/>
  <c r="AG1704" i="15"/>
  <c r="AG2026" i="15"/>
  <c r="AG1722" i="15"/>
  <c r="AG2044" i="15"/>
  <c r="AG1703" i="15"/>
  <c r="AG2025" i="15"/>
  <c r="AG1721" i="15"/>
  <c r="AG2043" i="15"/>
  <c r="AG1719" i="15"/>
  <c r="AG2041" i="15"/>
  <c r="AG1728" i="15"/>
  <c r="AG2050" i="15"/>
  <c r="O1705" i="15"/>
  <c r="O2025" i="15"/>
  <c r="AH1560" i="15"/>
  <c r="AH1920" i="15"/>
  <c r="AH1561" i="15"/>
  <c r="AH1921" i="15"/>
  <c r="AH1558" i="15"/>
  <c r="AH1918" i="15"/>
  <c r="AG1553" i="15"/>
  <c r="AG1913" i="15"/>
  <c r="AH1557" i="15"/>
  <c r="AH1917" i="15"/>
  <c r="U398" i="15"/>
  <c r="U1909" i="15"/>
  <c r="O398" i="15"/>
  <c r="O1856" i="15"/>
  <c r="AI1272" i="15"/>
  <c r="AI1690" i="15"/>
  <c r="AJ1278" i="15"/>
  <c r="AJ1702" i="15"/>
  <c r="AI1281" i="15"/>
  <c r="AI1708" i="15"/>
  <c r="AJ1287" i="15"/>
  <c r="AJ1720" i="15"/>
  <c r="AJ1294" i="15"/>
  <c r="AJ1728" i="15"/>
  <c r="AF1281" i="15"/>
  <c r="AF1708" i="15"/>
  <c r="AI1294" i="15"/>
  <c r="AI1728" i="15"/>
  <c r="AF1152" i="15"/>
  <c r="AF1689" i="15"/>
  <c r="AF1111" i="15"/>
  <c r="AF1699" i="15"/>
  <c r="AF1277" i="15"/>
  <c r="AF1700" i="15"/>
  <c r="AF1158" i="15"/>
  <c r="AF1707" i="15"/>
  <c r="AF1114" i="15"/>
  <c r="AF1717" i="15"/>
  <c r="AF1286" i="15"/>
  <c r="AF1718" i="15"/>
  <c r="AF1293" i="15"/>
  <c r="AF1727" i="15"/>
  <c r="AF1272" i="15"/>
  <c r="AF1690" i="15"/>
  <c r="AI1152" i="15"/>
  <c r="AI1689" i="15"/>
  <c r="AF1275" i="15"/>
  <c r="AF1696" i="15"/>
  <c r="AI1111" i="15"/>
  <c r="AI1699" i="15"/>
  <c r="AI1277" i="15"/>
  <c r="AI1700" i="15"/>
  <c r="AI1284" i="15"/>
  <c r="AI1714" i="15"/>
  <c r="AI1114" i="15"/>
  <c r="AI1717" i="15"/>
  <c r="AI1286" i="15"/>
  <c r="AI1718" i="15"/>
  <c r="AI1293" i="15"/>
  <c r="AI1727" i="15"/>
  <c r="AJ1156" i="15"/>
  <c r="AJ1701" i="15"/>
  <c r="AI1275" i="15"/>
  <c r="AI1696" i="15"/>
  <c r="AJ1111" i="15"/>
  <c r="AJ1699" i="15"/>
  <c r="AJ1277" i="15"/>
  <c r="AJ1700" i="15"/>
  <c r="AJ1279" i="15"/>
  <c r="AJ1704" i="15"/>
  <c r="AF1284" i="15"/>
  <c r="AF1714" i="15"/>
  <c r="AJ1114" i="15"/>
  <c r="AJ1717" i="15"/>
  <c r="AJ1286" i="15"/>
  <c r="AJ1718" i="15"/>
  <c r="AJ1288" i="15"/>
  <c r="AJ1722" i="15"/>
  <c r="AJ1293" i="15"/>
  <c r="AJ1727" i="15"/>
  <c r="AF1154" i="15"/>
  <c r="AF1695" i="15"/>
  <c r="AF1160" i="15"/>
  <c r="AF1713" i="15"/>
  <c r="AF1294" i="15"/>
  <c r="AF1728" i="15"/>
  <c r="AI1158" i="15"/>
  <c r="AI1707" i="15"/>
  <c r="AJ1162" i="15"/>
  <c r="AJ1719" i="15"/>
  <c r="AI1154" i="15"/>
  <c r="AI1695" i="15"/>
  <c r="AJ1157" i="15"/>
  <c r="AJ1703" i="15"/>
  <c r="AI1160" i="15"/>
  <c r="AI1713" i="15"/>
  <c r="AJ1163" i="15"/>
  <c r="AJ1721" i="15"/>
  <c r="L1178" i="15"/>
  <c r="L1522" i="15"/>
  <c r="AG1395" i="15"/>
  <c r="AG1556" i="15"/>
  <c r="AH1054" i="15"/>
  <c r="AH1399" i="15"/>
  <c r="AH1055" i="15"/>
  <c r="AH1400" i="15"/>
  <c r="AH1052" i="15"/>
  <c r="AH1397" i="15"/>
  <c r="AG1047" i="15"/>
  <c r="AG1392" i="15"/>
  <c r="AH1051" i="15"/>
  <c r="AH1396" i="15"/>
  <c r="AG988" i="15"/>
  <c r="AG1278" i="15"/>
  <c r="AG986" i="15"/>
  <c r="AG1277" i="15"/>
  <c r="AG1004" i="15"/>
  <c r="AG1286" i="15"/>
  <c r="AG1013" i="15"/>
  <c r="AG1293" i="15"/>
  <c r="AG990" i="15"/>
  <c r="AG1279" i="15"/>
  <c r="AG1008" i="15"/>
  <c r="AG1288" i="15"/>
  <c r="AG1006" i="15"/>
  <c r="AG1287" i="15"/>
  <c r="AG1014" i="15"/>
  <c r="AG1294" i="15"/>
  <c r="O984" i="15"/>
  <c r="O1152" i="15"/>
  <c r="AG987" i="15"/>
  <c r="AG1156" i="15"/>
  <c r="AG1005" i="15"/>
  <c r="AG1162" i="15"/>
  <c r="AG989" i="15"/>
  <c r="AG1157" i="15"/>
  <c r="AG1007" i="15"/>
  <c r="AG1163" i="15"/>
  <c r="AG985" i="15"/>
  <c r="AG1111" i="15"/>
  <c r="AG1003" i="15"/>
  <c r="AG1114" i="15"/>
  <c r="AF679" i="15"/>
  <c r="AF994" i="15"/>
  <c r="AI699" i="15"/>
  <c r="AI1014" i="15"/>
  <c r="AI661" i="15"/>
  <c r="AI976" i="15"/>
  <c r="AJ673" i="15"/>
  <c r="AJ988" i="15"/>
  <c r="AI679" i="15"/>
  <c r="AI994" i="15"/>
  <c r="AJ691" i="15"/>
  <c r="AJ1006" i="15"/>
  <c r="AJ699" i="15"/>
  <c r="AJ1014" i="15"/>
  <c r="AF660" i="15"/>
  <c r="AF975" i="15"/>
  <c r="AF670" i="15"/>
  <c r="AF985" i="15"/>
  <c r="AF671" i="15"/>
  <c r="AF986" i="15"/>
  <c r="AF678" i="15"/>
  <c r="AF993" i="15"/>
  <c r="AF688" i="15"/>
  <c r="AF1003" i="15"/>
  <c r="AF689" i="15"/>
  <c r="AF1004" i="15"/>
  <c r="AF698" i="15"/>
  <c r="AF1013" i="15"/>
  <c r="AI660" i="15"/>
  <c r="AI975" i="15"/>
  <c r="AJ672" i="15"/>
  <c r="AJ987" i="15"/>
  <c r="AI678" i="15"/>
  <c r="AI993" i="15"/>
  <c r="AJ690" i="15"/>
  <c r="AJ1005" i="15"/>
  <c r="AF661" i="15"/>
  <c r="AF976" i="15"/>
  <c r="AF667" i="15"/>
  <c r="AF982" i="15"/>
  <c r="AI670" i="15"/>
  <c r="AI985" i="15"/>
  <c r="AI671" i="15"/>
  <c r="AI986" i="15"/>
  <c r="AI685" i="15"/>
  <c r="AI1000" i="15"/>
  <c r="AI688" i="15"/>
  <c r="AI1003" i="15"/>
  <c r="AI689" i="15"/>
  <c r="AI1004" i="15"/>
  <c r="AI698" i="15"/>
  <c r="AI1013" i="15"/>
  <c r="AI667" i="15"/>
  <c r="AI982" i="15"/>
  <c r="AJ670" i="15"/>
  <c r="AJ985" i="15"/>
  <c r="AJ671" i="15"/>
  <c r="AJ986" i="15"/>
  <c r="AJ675" i="15"/>
  <c r="AJ990" i="15"/>
  <c r="AF685" i="15"/>
  <c r="AF1000" i="15"/>
  <c r="AJ688" i="15"/>
  <c r="AJ1003" i="15"/>
  <c r="AJ689" i="15"/>
  <c r="AJ1004" i="15"/>
  <c r="AJ693" i="15"/>
  <c r="AJ1008" i="15"/>
  <c r="AJ698" i="15"/>
  <c r="AJ1013" i="15"/>
  <c r="AF666" i="15"/>
  <c r="AF981" i="15"/>
  <c r="AF684" i="15"/>
  <c r="AF999" i="15"/>
  <c r="AF699" i="15"/>
  <c r="AF1014" i="15"/>
  <c r="AI666" i="15"/>
  <c r="AI981" i="15"/>
  <c r="AJ674" i="15"/>
  <c r="AJ989" i="15"/>
  <c r="AI684" i="15"/>
  <c r="AI999" i="15"/>
  <c r="AJ692" i="15"/>
  <c r="AJ1007" i="15"/>
  <c r="AG617" i="15"/>
  <c r="AG1050" i="15"/>
  <c r="L715" i="15"/>
  <c r="L993" i="15"/>
  <c r="O27" i="15"/>
  <c r="O676" i="15"/>
  <c r="AG56" i="15"/>
  <c r="AG691" i="15"/>
  <c r="AG37" i="15"/>
  <c r="AG672" i="15"/>
  <c r="AG55" i="15"/>
  <c r="AG690" i="15"/>
  <c r="AG38" i="15"/>
  <c r="AG673" i="15"/>
  <c r="AG35" i="15"/>
  <c r="AG670" i="15"/>
  <c r="AG36" i="15"/>
  <c r="AG671" i="15"/>
  <c r="AG53" i="15"/>
  <c r="AG688" i="15"/>
  <c r="AG54" i="15"/>
  <c r="AG689" i="15"/>
  <c r="AG63" i="15"/>
  <c r="AG698" i="15"/>
  <c r="AG40" i="15"/>
  <c r="AG675" i="15"/>
  <c r="AG58" i="15"/>
  <c r="AG693" i="15"/>
  <c r="AG39" i="15"/>
  <c r="AG674" i="15"/>
  <c r="AG57" i="15"/>
  <c r="AG692" i="15"/>
  <c r="AG64" i="15"/>
  <c r="AG699" i="15"/>
  <c r="AH162" i="15"/>
  <c r="AH621" i="15"/>
  <c r="AH163" i="15"/>
  <c r="AH622" i="15"/>
  <c r="AH160" i="15"/>
  <c r="AH619" i="15"/>
  <c r="AG155" i="15"/>
  <c r="AG614" i="15"/>
  <c r="AH159" i="15"/>
  <c r="AH618" i="15"/>
  <c r="T120" i="15"/>
  <c r="T398" i="15"/>
  <c r="AF35" i="15"/>
  <c r="AF26" i="15"/>
  <c r="AF44" i="15"/>
  <c r="AI64" i="15"/>
  <c r="AI26" i="15"/>
  <c r="AJ38" i="15"/>
  <c r="AI44" i="15"/>
  <c r="AJ56" i="15"/>
  <c r="AJ64" i="15"/>
  <c r="AF53" i="15"/>
  <c r="AF32" i="15"/>
  <c r="AI35" i="15"/>
  <c r="AI36" i="15"/>
  <c r="AI50" i="15"/>
  <c r="AI53" i="15"/>
  <c r="AI54" i="15"/>
  <c r="AI63" i="15"/>
  <c r="AF36" i="15"/>
  <c r="AF43" i="15"/>
  <c r="AF54" i="15"/>
  <c r="AF63" i="15"/>
  <c r="AJ37" i="15"/>
  <c r="AJ55" i="15"/>
  <c r="AI32" i="15"/>
  <c r="AJ35" i="15"/>
  <c r="AJ36" i="15"/>
  <c r="AJ40" i="15"/>
  <c r="AF50" i="15"/>
  <c r="AJ53" i="15"/>
  <c r="AJ54" i="15"/>
  <c r="AJ58" i="15"/>
  <c r="AJ63" i="15"/>
  <c r="AI25" i="15"/>
  <c r="AI43" i="15"/>
  <c r="AF31" i="15"/>
  <c r="AF49" i="15"/>
  <c r="AF64" i="15"/>
  <c r="AF25" i="15"/>
  <c r="AI31" i="15"/>
  <c r="AJ39" i="15"/>
  <c r="AI49" i="15"/>
  <c r="AJ57" i="15"/>
  <c r="EW187" i="7"/>
  <c r="AG158" i="15"/>
  <c r="DW149" i="7"/>
  <c r="U120" i="15"/>
  <c r="DJ149" i="7"/>
  <c r="O49" i="15"/>
  <c r="CW415" i="7"/>
  <c r="L80" i="15"/>
  <c r="DW33" i="7"/>
  <c r="EW78" i="7"/>
  <c r="EJ410" i="7"/>
  <c r="DW79" i="7"/>
  <c r="BM193" i="7"/>
  <c r="EJ205" i="7"/>
  <c r="GZ14" i="7"/>
  <c r="QI36" i="7"/>
  <c r="QR37" i="7"/>
  <c r="QI39" i="7"/>
  <c r="QI41" i="7"/>
  <c r="QI44" i="7"/>
  <c r="QI46" i="7"/>
  <c r="QI54" i="7"/>
  <c r="QR55" i="7"/>
  <c r="QI57" i="7"/>
  <c r="QI59" i="7"/>
  <c r="QI64" i="7"/>
  <c r="NL99" i="7"/>
  <c r="SR116" i="7"/>
  <c r="GN172" i="7"/>
  <c r="GZ186" i="7"/>
  <c r="QQ47" i="7"/>
  <c r="QH50" i="7"/>
  <c r="QQ52" i="7"/>
  <c r="QQ65" i="7"/>
  <c r="DW332" i="7"/>
  <c r="EW77" i="7"/>
  <c r="KU123" i="7"/>
  <c r="DW140" i="7"/>
  <c r="DW142" i="7"/>
  <c r="EW184" i="7"/>
  <c r="EW200" i="7"/>
  <c r="EJ33" i="7"/>
  <c r="DW137" i="7"/>
  <c r="EW202" i="7"/>
  <c r="DJ418" i="7"/>
  <c r="DJ3" i="7"/>
  <c r="CJ30" i="7"/>
  <c r="DW331" i="7"/>
  <c r="QR51" i="7"/>
  <c r="GZ17" i="7"/>
  <c r="QR35" i="7"/>
  <c r="QI37" i="7"/>
  <c r="QR38" i="7"/>
  <c r="QR40" i="7"/>
  <c r="KU116" i="7"/>
  <c r="SR118" i="7"/>
  <c r="KV121" i="7"/>
  <c r="KV124" i="7"/>
  <c r="SR124" i="7"/>
  <c r="KV139" i="7"/>
  <c r="EJ172" i="7"/>
  <c r="KU125" i="7"/>
  <c r="KV172" i="7"/>
  <c r="BN183" i="7"/>
  <c r="IH190" i="7"/>
  <c r="QQ66" i="7"/>
  <c r="KV135" i="7"/>
  <c r="DW392" i="7"/>
  <c r="QQ51" i="7"/>
  <c r="QI63" i="7"/>
  <c r="QH67" i="7"/>
  <c r="DW157" i="7"/>
  <c r="DW159" i="7"/>
  <c r="DW161" i="7"/>
  <c r="EJ159" i="7"/>
  <c r="EJ161" i="7"/>
  <c r="DW409" i="7"/>
  <c r="CJ31" i="7"/>
  <c r="DW360" i="7"/>
  <c r="QI49" i="7"/>
  <c r="KV137" i="7"/>
  <c r="DW138" i="7"/>
  <c r="DW144" i="7"/>
  <c r="EW201" i="7"/>
  <c r="DW220" i="7"/>
  <c r="EW52" i="7"/>
  <c r="EW70" i="7"/>
  <c r="EW67" i="7"/>
  <c r="EW49" i="7"/>
  <c r="EW69" i="7"/>
  <c r="MC411" i="7"/>
  <c r="EW76" i="7"/>
  <c r="EW50" i="7"/>
  <c r="EW68" i="7"/>
  <c r="MC33" i="7"/>
  <c r="EW51" i="7"/>
  <c r="EW47" i="7"/>
  <c r="EW48" i="7"/>
  <c r="EW65" i="7"/>
  <c r="EW66" i="7"/>
  <c r="EW75" i="7"/>
  <c r="DX2" i="7"/>
  <c r="DY2" i="7"/>
  <c r="AW112" i="7"/>
  <c r="BB115" i="7"/>
  <c r="DX141" i="7"/>
  <c r="DY141" i="7"/>
  <c r="HK189" i="7"/>
  <c r="PD331" i="7"/>
  <c r="DX157" i="7"/>
  <c r="DY157" i="7"/>
  <c r="DX159" i="7"/>
  <c r="DY159" i="7"/>
  <c r="DX161" i="7"/>
  <c r="DY161" i="7"/>
  <c r="EK159" i="7"/>
  <c r="EL159" i="7"/>
  <c r="EL161" i="7"/>
  <c r="EK161" i="7"/>
  <c r="DX409" i="7"/>
  <c r="DY409" i="7"/>
  <c r="DL419" i="7"/>
  <c r="DK419" i="7"/>
  <c r="CL41" i="7"/>
  <c r="CK41" i="7"/>
  <c r="CL30" i="7"/>
  <c r="CK30" i="7"/>
  <c r="DX99" i="7"/>
  <c r="DY99" i="7"/>
  <c r="QI53" i="7"/>
  <c r="QI56" i="7"/>
  <c r="QI58" i="7"/>
  <c r="QI60" i="7"/>
  <c r="QR61" i="7"/>
  <c r="DX101" i="7"/>
  <c r="DY101" i="7"/>
  <c r="DX102" i="7"/>
  <c r="DY102" i="7"/>
  <c r="SR112" i="7"/>
  <c r="DX138" i="7"/>
  <c r="DY138" i="7"/>
  <c r="DY144" i="7"/>
  <c r="DX144" i="7"/>
  <c r="EX180" i="7"/>
  <c r="EY180" i="7"/>
  <c r="IH184" i="7"/>
  <c r="HK185" i="7"/>
  <c r="BC187" i="7"/>
  <c r="EX201" i="7"/>
  <c r="EY201" i="7"/>
  <c r="EK203" i="7"/>
  <c r="EL203" i="7"/>
  <c r="BC203" i="7"/>
  <c r="DX216" i="7"/>
  <c r="DY216" i="7"/>
  <c r="DX220" i="7"/>
  <c r="DY220" i="7"/>
  <c r="HL272" i="7"/>
  <c r="EX349" i="7"/>
  <c r="EY349" i="7"/>
  <c r="EY351" i="7"/>
  <c r="EX351" i="7"/>
  <c r="EX353" i="7"/>
  <c r="EY353" i="7"/>
  <c r="DX88" i="7"/>
  <c r="DY88" i="7"/>
  <c r="DX153" i="7"/>
  <c r="DY153" i="7"/>
  <c r="CK42" i="7"/>
  <c r="CL42" i="7"/>
  <c r="CL31" i="7"/>
  <c r="CK31" i="7"/>
  <c r="EL172" i="7"/>
  <c r="EK172" i="7"/>
  <c r="EY17" i="7"/>
  <c r="EX17" i="7"/>
  <c r="EV14" i="7"/>
  <c r="DX33" i="7"/>
  <c r="DY33" i="7"/>
  <c r="EY78" i="7"/>
  <c r="EX78" i="7"/>
  <c r="DX103" i="7"/>
  <c r="DY103" i="7"/>
  <c r="DX135" i="7"/>
  <c r="DY135" i="7"/>
  <c r="HK188" i="7"/>
  <c r="DX219" i="7"/>
  <c r="DY219" i="7"/>
  <c r="EL410" i="7"/>
  <c r="EK410" i="7"/>
  <c r="CK43" i="7"/>
  <c r="CL43" i="7"/>
  <c r="DX60" i="7"/>
  <c r="DY60" i="7"/>
  <c r="DX3" i="7"/>
  <c r="DY3" i="7"/>
  <c r="EY14" i="7"/>
  <c r="EX14" i="7"/>
  <c r="EY77" i="7"/>
  <c r="EX77" i="7"/>
  <c r="EY98" i="7"/>
  <c r="EX98" i="7"/>
  <c r="HL113" i="7"/>
  <c r="HL115" i="7"/>
  <c r="HL117" i="7"/>
  <c r="BB118" i="7"/>
  <c r="BC119" i="7"/>
  <c r="BC121" i="7"/>
  <c r="BB122" i="7"/>
  <c r="BC124" i="7"/>
  <c r="DY140" i="7"/>
  <c r="DX140" i="7"/>
  <c r="DX142" i="7"/>
  <c r="DY142" i="7"/>
  <c r="EY181" i="7"/>
  <c r="EX181" i="7"/>
  <c r="HK183" i="7"/>
  <c r="HK184" i="7"/>
  <c r="EY186" i="7"/>
  <c r="EX186" i="7"/>
  <c r="EY200" i="7"/>
  <c r="EX200" i="7"/>
  <c r="EL205" i="7"/>
  <c r="EK205" i="7"/>
  <c r="BC392" i="7"/>
  <c r="CL44" i="7"/>
  <c r="CK44" i="7"/>
  <c r="DX79" i="7"/>
  <c r="DY79" i="7"/>
  <c r="EI94" i="7"/>
  <c r="EL33" i="7"/>
  <c r="EK33" i="7"/>
  <c r="EY103" i="7"/>
  <c r="EX103" i="7"/>
  <c r="DX137" i="7"/>
  <c r="DY137" i="7"/>
  <c r="EY202" i="7"/>
  <c r="EX202" i="7"/>
  <c r="EL204" i="7"/>
  <c r="EK204" i="7"/>
  <c r="EL216" i="7"/>
  <c r="EK216" i="7"/>
  <c r="EL220" i="7"/>
  <c r="EK220" i="7"/>
  <c r="BC158" i="7"/>
  <c r="DX158" i="7"/>
  <c r="DY158" i="7"/>
  <c r="DY160" i="7"/>
  <c r="DX160" i="7"/>
  <c r="EL158" i="7"/>
  <c r="EK158" i="7"/>
  <c r="EL160" i="7"/>
  <c r="EK160" i="7"/>
  <c r="DX155" i="7"/>
  <c r="DY155" i="7"/>
  <c r="CL37" i="7"/>
  <c r="CK37" i="7"/>
  <c r="CK45" i="7"/>
  <c r="CL45" i="7"/>
  <c r="EY15" i="7"/>
  <c r="EX15" i="7"/>
  <c r="EY101" i="7"/>
  <c r="EX101" i="7"/>
  <c r="EY102" i="7"/>
  <c r="EX102" i="7"/>
  <c r="KU122" i="7"/>
  <c r="BC143" i="7"/>
  <c r="PD172" i="7"/>
  <c r="BN184" i="7"/>
  <c r="EX185" i="7"/>
  <c r="EY185" i="7"/>
  <c r="HK187" i="7"/>
  <c r="HL203" i="7"/>
  <c r="BC213" i="7"/>
  <c r="EL219" i="7"/>
  <c r="EK219" i="7"/>
  <c r="EY348" i="7"/>
  <c r="EX348" i="7"/>
  <c r="EY350" i="7"/>
  <c r="EX350" i="7"/>
  <c r="EY352" i="7"/>
  <c r="EX352" i="7"/>
  <c r="DY156" i="7"/>
  <c r="DX156" i="7"/>
  <c r="DY89" i="7"/>
  <c r="DX89" i="7"/>
  <c r="DK2" i="7"/>
  <c r="DJ2" i="7"/>
  <c r="DL2" i="7"/>
  <c r="CK38" i="7"/>
  <c r="CL38" i="7"/>
  <c r="CL46" i="7"/>
  <c r="CK46" i="7"/>
  <c r="DX98" i="7"/>
  <c r="DY98" i="7"/>
  <c r="DX205" i="7"/>
  <c r="DY205" i="7"/>
  <c r="DY392" i="7"/>
  <c r="DX392" i="7"/>
  <c r="HL33" i="7"/>
  <c r="QQ48" i="7"/>
  <c r="QH68" i="7"/>
  <c r="KU117" i="7"/>
  <c r="DX134" i="7"/>
  <c r="DY134" i="7"/>
  <c r="DX139" i="7"/>
  <c r="DY139" i="7"/>
  <c r="DX143" i="7"/>
  <c r="DY143" i="7"/>
  <c r="HK182" i="7"/>
  <c r="BC214" i="7"/>
  <c r="EL411" i="7"/>
  <c r="EK411" i="7"/>
  <c r="DL418" i="7"/>
  <c r="DK418" i="7"/>
  <c r="CL39" i="7"/>
  <c r="CK39" i="7"/>
  <c r="CX46" i="7"/>
  <c r="CY46" i="7"/>
  <c r="EL98" i="7"/>
  <c r="EK98" i="7"/>
  <c r="EK221" i="7"/>
  <c r="EL221" i="7"/>
  <c r="DX331" i="7"/>
  <c r="DY331" i="7"/>
  <c r="DY360" i="7"/>
  <c r="DX360" i="7"/>
  <c r="BB123" i="7"/>
  <c r="EX134" i="7"/>
  <c r="EY134" i="7"/>
  <c r="DY136" i="7"/>
  <c r="DX136" i="7"/>
  <c r="EY179" i="7"/>
  <c r="EX179" i="7"/>
  <c r="EY183" i="7"/>
  <c r="EX183" i="7"/>
  <c r="HK186" i="7"/>
  <c r="HK190" i="7"/>
  <c r="EY199" i="7"/>
  <c r="EX199" i="7"/>
  <c r="DK3" i="7"/>
  <c r="DL3" i="7"/>
  <c r="CK40" i="7"/>
  <c r="CL40" i="7"/>
  <c r="DX332" i="7"/>
  <c r="DY332" i="7"/>
  <c r="GY51" i="7"/>
  <c r="GY47" i="7"/>
  <c r="GY48" i="7"/>
  <c r="GY65" i="7"/>
  <c r="GY66" i="7"/>
  <c r="GY70" i="7"/>
  <c r="MN203" i="7"/>
  <c r="MN214" i="7"/>
  <c r="MY220" i="7"/>
  <c r="GY69" i="7"/>
  <c r="EY47" i="7"/>
  <c r="EX47" i="7"/>
  <c r="EY48" i="7"/>
  <c r="EX48" i="7"/>
  <c r="EX65" i="7"/>
  <c r="EY65" i="7"/>
  <c r="EY66" i="7"/>
  <c r="EX66" i="7"/>
  <c r="EY75" i="7"/>
  <c r="EX75" i="7"/>
  <c r="EY52" i="7"/>
  <c r="EX52" i="7"/>
  <c r="EY70" i="7"/>
  <c r="EX70" i="7"/>
  <c r="EY184" i="7"/>
  <c r="EX184" i="7"/>
  <c r="EX49" i="7"/>
  <c r="EY49" i="7"/>
  <c r="EY67" i="7"/>
  <c r="EX67" i="7"/>
  <c r="EY51" i="7"/>
  <c r="EX51" i="7"/>
  <c r="EX69" i="7"/>
  <c r="EY69" i="7"/>
  <c r="EY76" i="7"/>
  <c r="EX76" i="7"/>
  <c r="EY187" i="7"/>
  <c r="EX187" i="7"/>
  <c r="EY50" i="7"/>
  <c r="EX50" i="7"/>
  <c r="EY68" i="7"/>
  <c r="EX68" i="7"/>
  <c r="MC14" i="7"/>
  <c r="MC17" i="7"/>
  <c r="CY415" i="7"/>
  <c r="CX415" i="7"/>
  <c r="DL149" i="7"/>
  <c r="DK149" i="7"/>
  <c r="MC394" i="7"/>
  <c r="DL41" i="7"/>
  <c r="DK41" i="7"/>
  <c r="DL42" i="7"/>
  <c r="DK42" i="7"/>
  <c r="DL31" i="7"/>
  <c r="DK31" i="7"/>
  <c r="DL43" i="7"/>
  <c r="DK43" i="7"/>
  <c r="DK44" i="7"/>
  <c r="DL44" i="7"/>
  <c r="DK37" i="7"/>
  <c r="DL37" i="7"/>
  <c r="DK45" i="7"/>
  <c r="DL45" i="7"/>
  <c r="DK38" i="7"/>
  <c r="DL38" i="7"/>
  <c r="DL39" i="7"/>
  <c r="DK39" i="7"/>
  <c r="DK46" i="7"/>
  <c r="DL46" i="7"/>
  <c r="DK40" i="7"/>
  <c r="DL40" i="7"/>
  <c r="MC417" i="7"/>
  <c r="GY52" i="7"/>
  <c r="MC166" i="7"/>
  <c r="MC105" i="7"/>
  <c r="HV193" i="7"/>
  <c r="BM191" i="7"/>
  <c r="IG193" i="7"/>
  <c r="HV191" i="7"/>
  <c r="KU191" i="7"/>
  <c r="HK192" i="7"/>
  <c r="MC142" i="7"/>
  <c r="GY187" i="7"/>
  <c r="MC216" i="7"/>
  <c r="MC332" i="7"/>
  <c r="MC15" i="7"/>
  <c r="MC140" i="7"/>
  <c r="MC165" i="7"/>
  <c r="MC172" i="7"/>
  <c r="MC134" i="7"/>
  <c r="DX149" i="7"/>
  <c r="DY149" i="7"/>
  <c r="MC107" i="7"/>
  <c r="KV112" i="7"/>
  <c r="SR117" i="7"/>
  <c r="HL122" i="7"/>
  <c r="BC123" i="7"/>
  <c r="HL126" i="7"/>
  <c r="BC144" i="7"/>
  <c r="IH188" i="7"/>
  <c r="IG192" i="7"/>
  <c r="HL204" i="7"/>
  <c r="MN204" i="7"/>
  <c r="BN214" i="7"/>
  <c r="JQ214" i="7"/>
  <c r="BY220" i="7"/>
  <c r="HL220" i="7"/>
  <c r="JQ220" i="7"/>
  <c r="LR220" i="7"/>
  <c r="QI67" i="7"/>
  <c r="QR69" i="7"/>
  <c r="BC183" i="7"/>
  <c r="BY186" i="7"/>
  <c r="BY189" i="7"/>
  <c r="HL189" i="7"/>
  <c r="BY190" i="7"/>
  <c r="MC203" i="7"/>
  <c r="MC204" i="7"/>
  <c r="MC214" i="7"/>
  <c r="MY219" i="7"/>
  <c r="MN220" i="7"/>
  <c r="QH47" i="7"/>
  <c r="QH52" i="7"/>
  <c r="HL114" i="7"/>
  <c r="SR115" i="7"/>
  <c r="HW220" i="7"/>
  <c r="BC161" i="7"/>
  <c r="MC111" i="7"/>
  <c r="SR113" i="7"/>
  <c r="SR121" i="7"/>
  <c r="SR127" i="7"/>
  <c r="KV136" i="7"/>
  <c r="KV144" i="7"/>
  <c r="GZ182" i="7"/>
  <c r="IH182" i="7"/>
  <c r="IG191" i="7"/>
  <c r="KV204" i="7"/>
  <c r="BC220" i="7"/>
  <c r="GN410" i="7"/>
  <c r="GZ410" i="7"/>
  <c r="MC143" i="7"/>
  <c r="BY183" i="7"/>
  <c r="BC190" i="7"/>
  <c r="HV192" i="7"/>
  <c r="LG203" i="7"/>
  <c r="QQ70" i="7"/>
  <c r="HL118" i="7"/>
  <c r="SR119" i="7"/>
  <c r="KV122" i="7"/>
  <c r="SR122" i="7"/>
  <c r="BB125" i="7"/>
  <c r="SR125" i="7"/>
  <c r="BC126" i="7"/>
  <c r="BC172" i="7"/>
  <c r="BX191" i="7"/>
  <c r="BM192" i="7"/>
  <c r="BX193" i="7"/>
  <c r="BB211" i="7"/>
  <c r="BM212" i="7"/>
  <c r="BN220" i="7"/>
  <c r="LG220" i="7"/>
  <c r="KV332" i="7"/>
  <c r="BC159" i="7"/>
  <c r="QR47" i="7"/>
  <c r="QR52" i="7"/>
  <c r="QR65" i="7"/>
  <c r="QR66" i="7"/>
  <c r="QI68" i="7"/>
  <c r="QR70" i="7"/>
  <c r="BB114" i="7"/>
  <c r="KU120" i="7"/>
  <c r="BB113" i="7"/>
  <c r="BC114" i="7"/>
  <c r="KU115" i="7"/>
  <c r="BN185" i="7"/>
  <c r="BC160" i="7"/>
  <c r="MC106" i="7"/>
  <c r="BC204" i="7"/>
  <c r="MC205" i="7"/>
  <c r="HL213" i="7"/>
  <c r="KV213" i="7"/>
  <c r="BY219" i="7"/>
  <c r="HL219" i="7"/>
  <c r="JQ219" i="7"/>
  <c r="NX392" i="7"/>
  <c r="QH48" i="7"/>
  <c r="QQ50" i="7"/>
  <c r="QH65" i="7"/>
  <c r="QH66" i="7"/>
  <c r="QQ68" i="7"/>
  <c r="QH70" i="7"/>
  <c r="HL120" i="7"/>
  <c r="HL123" i="7"/>
  <c r="MC163" i="7"/>
  <c r="KV203" i="7"/>
  <c r="BN204" i="7"/>
  <c r="MN219" i="7"/>
  <c r="QR42" i="7"/>
  <c r="QR45" i="7"/>
  <c r="QR53" i="7"/>
  <c r="QI55" i="7"/>
  <c r="QR56" i="7"/>
  <c r="QR58" i="7"/>
  <c r="KV113" i="7"/>
  <c r="KV127" i="7"/>
  <c r="BY185" i="7"/>
  <c r="BN187" i="7"/>
  <c r="IH187" i="7"/>
  <c r="BY188" i="7"/>
  <c r="HW213" i="7"/>
  <c r="BC157" i="7"/>
  <c r="GM410" i="7"/>
  <c r="QQ49" i="7"/>
  <c r="QH51" i="7"/>
  <c r="QQ67" i="7"/>
  <c r="QH69" i="7"/>
  <c r="SQ78" i="7"/>
  <c r="HW189" i="7"/>
  <c r="IH220" i="7"/>
  <c r="MC16" i="7"/>
  <c r="MC34" i="7"/>
  <c r="SQ77" i="7"/>
  <c r="SR78" i="7"/>
  <c r="LG214" i="7"/>
  <c r="BC331" i="7"/>
  <c r="SR77" i="7"/>
  <c r="MC109" i="7"/>
  <c r="HL127" i="7"/>
  <c r="KV138" i="7"/>
  <c r="BC182" i="7"/>
  <c r="BN186" i="7"/>
  <c r="IH186" i="7"/>
  <c r="HL187" i="7"/>
  <c r="MC108" i="7"/>
  <c r="KU112" i="7"/>
  <c r="MD17" i="7"/>
  <c r="KV33" i="7"/>
  <c r="GZ34" i="7"/>
  <c r="JE77" i="7"/>
  <c r="JF78" i="7"/>
  <c r="NW78" i="7"/>
  <c r="BB98" i="7"/>
  <c r="NL113" i="7"/>
  <c r="NX115" i="7"/>
  <c r="BB117" i="7"/>
  <c r="BC120" i="7"/>
  <c r="KV120" i="7"/>
  <c r="NL121" i="7"/>
  <c r="KV126" i="7"/>
  <c r="NL127" i="7"/>
  <c r="MC136" i="7"/>
  <c r="BC138" i="7"/>
  <c r="KV140" i="7"/>
  <c r="MC144" i="7"/>
  <c r="BN182" i="7"/>
  <c r="BB183" i="7"/>
  <c r="GY184" i="7"/>
  <c r="IH185" i="7"/>
  <c r="HL186" i="7"/>
  <c r="HW187" i="7"/>
  <c r="BB189" i="7"/>
  <c r="HL190" i="7"/>
  <c r="LQ191" i="7"/>
  <c r="BM211" i="7"/>
  <c r="JF271" i="7"/>
  <c r="NW410" i="7"/>
  <c r="JF77" i="7"/>
  <c r="NW77" i="7"/>
  <c r="NX78" i="7"/>
  <c r="BB112" i="7"/>
  <c r="BC113" i="7"/>
  <c r="BC115" i="7"/>
  <c r="KV115" i="7"/>
  <c r="BB116" i="7"/>
  <c r="NL116" i="7"/>
  <c r="BC117" i="7"/>
  <c r="KU118" i="7"/>
  <c r="NX118" i="7"/>
  <c r="NX124" i="7"/>
  <c r="HL125" i="7"/>
  <c r="BB127" i="7"/>
  <c r="BC135" i="7"/>
  <c r="JF139" i="7"/>
  <c r="BB156" i="7"/>
  <c r="NL172" i="7"/>
  <c r="JE185" i="7"/>
  <c r="JE188" i="7"/>
  <c r="BC189" i="7"/>
  <c r="BN190" i="7"/>
  <c r="BX192" i="7"/>
  <c r="BB212" i="7"/>
  <c r="KV331" i="7"/>
  <c r="GZ344" i="7"/>
  <c r="MC392" i="7"/>
  <c r="BB161" i="7"/>
  <c r="NW411" i="7"/>
  <c r="MD14" i="7"/>
  <c r="GY50" i="7"/>
  <c r="QR63" i="7"/>
  <c r="GY68" i="7"/>
  <c r="NX77" i="7"/>
  <c r="BC112" i="7"/>
  <c r="KU113" i="7"/>
  <c r="NX113" i="7"/>
  <c r="BC116" i="7"/>
  <c r="KV118" i="7"/>
  <c r="BB119" i="7"/>
  <c r="NL119" i="7"/>
  <c r="BB121" i="7"/>
  <c r="KU121" i="7"/>
  <c r="NX121" i="7"/>
  <c r="BB124" i="7"/>
  <c r="KU124" i="7"/>
  <c r="NL125" i="7"/>
  <c r="KU127" i="7"/>
  <c r="NX127" i="7"/>
  <c r="JF136" i="7"/>
  <c r="MC138" i="7"/>
  <c r="BC140" i="7"/>
  <c r="BC142" i="7"/>
  <c r="BC156" i="7"/>
  <c r="BY182" i="7"/>
  <c r="HW182" i="7"/>
  <c r="JE183" i="7"/>
  <c r="BY184" i="7"/>
  <c r="JE184" i="7"/>
  <c r="HL185" i="7"/>
  <c r="BB188" i="7"/>
  <c r="BB191" i="7"/>
  <c r="HW204" i="7"/>
  <c r="HL214" i="7"/>
  <c r="KB220" i="7"/>
  <c r="KV392" i="7"/>
  <c r="QI47" i="7"/>
  <c r="QI48" i="7"/>
  <c r="QR50" i="7"/>
  <c r="QI52" i="7"/>
  <c r="QR60" i="7"/>
  <c r="QI65" i="7"/>
  <c r="QI66" i="7"/>
  <c r="QR68" i="7"/>
  <c r="QI70" i="7"/>
  <c r="BB78" i="7"/>
  <c r="MC104" i="7"/>
  <c r="NL114" i="7"/>
  <c r="NX116" i="7"/>
  <c r="NL122" i="7"/>
  <c r="MC135" i="7"/>
  <c r="BC137" i="7"/>
  <c r="KV141" i="7"/>
  <c r="NX172" i="7"/>
  <c r="BB186" i="7"/>
  <c r="HW186" i="7"/>
  <c r="HL188" i="7"/>
  <c r="BC188" i="7"/>
  <c r="HW190" i="7"/>
  <c r="LF191" i="7"/>
  <c r="LG213" i="7"/>
  <c r="KV214" i="7"/>
  <c r="HW219" i="7"/>
  <c r="KB219" i="7"/>
  <c r="MC219" i="7"/>
  <c r="LG219" i="7"/>
  <c r="HL273" i="7"/>
  <c r="GZ347" i="7"/>
  <c r="PD392" i="7"/>
  <c r="BB157" i="7"/>
  <c r="GY410" i="7"/>
  <c r="MD15" i="7"/>
  <c r="GY49" i="7"/>
  <c r="QI62" i="7"/>
  <c r="GY67" i="7"/>
  <c r="BB77" i="7"/>
  <c r="BC78" i="7"/>
  <c r="NK78" i="7"/>
  <c r="HL112" i="7"/>
  <c r="HL116" i="7"/>
  <c r="KV116" i="7"/>
  <c r="NL117" i="7"/>
  <c r="BC118" i="7"/>
  <c r="KU119" i="7"/>
  <c r="NX119" i="7"/>
  <c r="BC122" i="7"/>
  <c r="NX122" i="7"/>
  <c r="KV123" i="7"/>
  <c r="NX125" i="7"/>
  <c r="BC127" i="7"/>
  <c r="JF138" i="7"/>
  <c r="HL183" i="7"/>
  <c r="HL184" i="7"/>
  <c r="BC186" i="7"/>
  <c r="JE187" i="7"/>
  <c r="BB187" i="7"/>
  <c r="BN189" i="7"/>
  <c r="BB190" i="7"/>
  <c r="BN203" i="7"/>
  <c r="MN213" i="7"/>
  <c r="HW214" i="7"/>
  <c r="KV219" i="7"/>
  <c r="BN219" i="7"/>
  <c r="KV220" i="7"/>
  <c r="MC220" i="7"/>
  <c r="MC221" i="7"/>
  <c r="JF332" i="7"/>
  <c r="BB158" i="7"/>
  <c r="QR49" i="7"/>
  <c r="QI51" i="7"/>
  <c r="QR67" i="7"/>
  <c r="QI69" i="7"/>
  <c r="BC77" i="7"/>
  <c r="NK77" i="7"/>
  <c r="KU78" i="7"/>
  <c r="NL78" i="7"/>
  <c r="MC110" i="7"/>
  <c r="NL112" i="7"/>
  <c r="KU114" i="7"/>
  <c r="NX114" i="7"/>
  <c r="KV119" i="7"/>
  <c r="NL120" i="7"/>
  <c r="HL121" i="7"/>
  <c r="NL123" i="7"/>
  <c r="HL124" i="7"/>
  <c r="KV125" i="7"/>
  <c r="BB126" i="7"/>
  <c r="NL126" i="7"/>
  <c r="JF135" i="7"/>
  <c r="MC137" i="7"/>
  <c r="BC139" i="7"/>
  <c r="BB182" i="7"/>
  <c r="JE182" i="7"/>
  <c r="BB184" i="7"/>
  <c r="BB185" i="7"/>
  <c r="HW185" i="7"/>
  <c r="JF213" i="7"/>
  <c r="NL216" i="7"/>
  <c r="IH219" i="7"/>
  <c r="BC219" i="7"/>
  <c r="MC331" i="7"/>
  <c r="PD332" i="7"/>
  <c r="JF392" i="7"/>
  <c r="BB159" i="7"/>
  <c r="GN411" i="7"/>
  <c r="GZ411" i="7"/>
  <c r="MD16" i="7"/>
  <c r="QR62" i="7"/>
  <c r="KU77" i="7"/>
  <c r="NL77" i="7"/>
  <c r="KV78" i="7"/>
  <c r="KU98" i="7"/>
  <c r="KV114" i="7"/>
  <c r="NL115" i="7"/>
  <c r="NX117" i="7"/>
  <c r="BC136" i="7"/>
  <c r="JF140" i="7"/>
  <c r="KV142" i="7"/>
  <c r="BC184" i="7"/>
  <c r="BC185" i="7"/>
  <c r="BY187" i="7"/>
  <c r="HW188" i="7"/>
  <c r="BN188" i="7"/>
  <c r="IH189" i="7"/>
  <c r="JE190" i="7"/>
  <c r="HK191" i="7"/>
  <c r="JF200" i="7"/>
  <c r="JF214" i="7"/>
  <c r="JF220" i="7"/>
  <c r="GM411" i="7"/>
  <c r="GY411" i="7"/>
  <c r="NK410" i="7"/>
  <c r="GY34" i="7"/>
  <c r="QR48" i="7"/>
  <c r="QI50" i="7"/>
  <c r="KV77" i="7"/>
  <c r="JE78" i="7"/>
  <c r="IS90" i="7"/>
  <c r="NX112" i="7"/>
  <c r="KV117" i="7"/>
  <c r="NL118" i="7"/>
  <c r="HL119" i="7"/>
  <c r="BB120" i="7"/>
  <c r="NX120" i="7"/>
  <c r="NX123" i="7"/>
  <c r="NL124" i="7"/>
  <c r="BC125" i="7"/>
  <c r="KU126" i="7"/>
  <c r="NX126" i="7"/>
  <c r="JF137" i="7"/>
  <c r="MC139" i="7"/>
  <c r="BC141" i="7"/>
  <c r="MC141" i="7"/>
  <c r="MC164" i="7"/>
  <c r="JF172" i="7"/>
  <c r="HL182" i="7"/>
  <c r="HW183" i="7"/>
  <c r="HW184" i="7"/>
  <c r="GZ185" i="7"/>
  <c r="JE186" i="7"/>
  <c r="JE189" i="7"/>
  <c r="JE191" i="7"/>
  <c r="HK193" i="7"/>
  <c r="HW203" i="7"/>
  <c r="BN213" i="7"/>
  <c r="JQ213" i="7"/>
  <c r="MC213" i="7"/>
  <c r="NX216" i="7"/>
  <c r="JF219" i="7"/>
  <c r="LR219" i="7"/>
  <c r="JF331" i="7"/>
  <c r="GZ341" i="7"/>
  <c r="NL392" i="7"/>
  <c r="MC395" i="7"/>
  <c r="BB160" i="7"/>
  <c r="NK411" i="7"/>
  <c r="MC416" i="7"/>
  <c r="BB192" i="7"/>
  <c r="BB193" i="7"/>
  <c r="GZ50" i="7"/>
  <c r="GZ68" i="7"/>
  <c r="MD417" i="7"/>
  <c r="GZ187" i="7"/>
  <c r="MD104" i="7"/>
  <c r="MD105" i="7"/>
  <c r="GZ49" i="7"/>
  <c r="GZ67" i="7"/>
  <c r="MD111" i="7"/>
  <c r="MD221" i="7"/>
  <c r="MD394" i="7"/>
  <c r="MD34" i="7"/>
  <c r="MD110" i="7"/>
  <c r="MD134" i="7"/>
  <c r="MD395" i="7"/>
  <c r="GZ47" i="7"/>
  <c r="GZ48" i="7"/>
  <c r="GZ52" i="7"/>
  <c r="GZ65" i="7"/>
  <c r="GZ66" i="7"/>
  <c r="GZ70" i="7"/>
  <c r="MD109" i="7"/>
  <c r="GZ184" i="7"/>
  <c r="MD108" i="7"/>
  <c r="MD416" i="7"/>
  <c r="GZ51" i="7"/>
  <c r="GZ69" i="7"/>
  <c r="MD107" i="7"/>
  <c r="MD106" i="7"/>
  <c r="MD205" i="7"/>
  <c r="DB52" i="7"/>
  <c r="O3231" i="15" s="1"/>
  <c r="DU134" i="7"/>
  <c r="NV392" i="7"/>
  <c r="MB416" i="7"/>
  <c r="DH419" i="7"/>
  <c r="DH418" i="7"/>
  <c r="LY211" i="7"/>
  <c r="CH222" i="7"/>
  <c r="CH224" i="7"/>
  <c r="LU158" i="7"/>
  <c r="CQ353" i="7"/>
  <c r="DQ270" i="7"/>
  <c r="CQ222" i="7"/>
  <c r="CQ223" i="7"/>
  <c r="LV112" i="7"/>
  <c r="DQ99" i="7"/>
  <c r="ED33" i="7"/>
  <c r="EH137" i="7"/>
  <c r="DU139" i="7"/>
  <c r="DQ140" i="7"/>
  <c r="DQ142" i="7"/>
  <c r="DU143" i="7"/>
  <c r="DH201" i="7"/>
  <c r="DE230" i="7"/>
  <c r="Q3035" i="15" s="1"/>
  <c r="DV3" i="7"/>
  <c r="EH138" i="7"/>
  <c r="DU140" i="7"/>
  <c r="DQ141" i="7"/>
  <c r="DU142" i="7"/>
  <c r="EH144" i="7"/>
  <c r="DQ216" i="7"/>
  <c r="DH202" i="7"/>
  <c r="DV105" i="7"/>
  <c r="DE227" i="7"/>
  <c r="ED87" i="7"/>
  <c r="EH139" i="7"/>
  <c r="DU141" i="7"/>
  <c r="EH143" i="7"/>
  <c r="DV216" i="7"/>
  <c r="DQ219" i="7"/>
  <c r="DV153" i="7"/>
  <c r="DE229" i="7"/>
  <c r="Q3034" i="15" s="1"/>
  <c r="DQ205" i="7"/>
  <c r="EI84" i="7"/>
  <c r="DQ135" i="7"/>
  <c r="EH140" i="7"/>
  <c r="EH142" i="7"/>
  <c r="DI201" i="7"/>
  <c r="DU219" i="7"/>
  <c r="DQ220" i="7"/>
  <c r="DU135" i="7"/>
  <c r="DQ136" i="7"/>
  <c r="EH141" i="7"/>
  <c r="DV201" i="7"/>
  <c r="DU220" i="7"/>
  <c r="DV154" i="7"/>
  <c r="DU33" i="7"/>
  <c r="DQ137" i="7"/>
  <c r="DV155" i="7"/>
  <c r="DQ33" i="7"/>
  <c r="EH135" i="7"/>
  <c r="DU137" i="7"/>
  <c r="DQ138" i="7"/>
  <c r="DQ144" i="7"/>
  <c r="EI156" i="7"/>
  <c r="DI202" i="7"/>
  <c r="DE228" i="7"/>
  <c r="DV205" i="7"/>
  <c r="EH33" i="7"/>
  <c r="EH136" i="7"/>
  <c r="DU138" i="7"/>
  <c r="DQ139" i="7"/>
  <c r="DQ143" i="7"/>
  <c r="DU144" i="7"/>
  <c r="DV202" i="7"/>
  <c r="DE226" i="7"/>
  <c r="CF129" i="7"/>
  <c r="DV2" i="7"/>
  <c r="EI149" i="7"/>
  <c r="DI149" i="7"/>
  <c r="DV149" i="7"/>
  <c r="CD72" i="7"/>
  <c r="CD36" i="7"/>
  <c r="CQ36" i="7"/>
  <c r="CD37" i="7"/>
  <c r="CD39" i="7"/>
  <c r="CQ346" i="7"/>
  <c r="CQ39" i="7"/>
  <c r="CQ347" i="7"/>
  <c r="CD35" i="7"/>
  <c r="DV388" i="7"/>
  <c r="CQ40" i="7"/>
  <c r="CD224" i="7"/>
  <c r="CV30" i="7"/>
  <c r="CQ225" i="7"/>
  <c r="DN100" i="7"/>
  <c r="EV98" i="7"/>
  <c r="SP112" i="7"/>
  <c r="NR113" i="7"/>
  <c r="HF114" i="7"/>
  <c r="SL115" i="7"/>
  <c r="NJ116" i="7"/>
  <c r="NV118" i="7"/>
  <c r="NF119" i="7"/>
  <c r="HF120" i="7"/>
  <c r="SP120" i="7"/>
  <c r="NR121" i="7"/>
  <c r="SL123" i="7"/>
  <c r="NJ124" i="7"/>
  <c r="HF126" i="7"/>
  <c r="NV126" i="7"/>
  <c r="NF127" i="7"/>
  <c r="KT136" i="7"/>
  <c r="KP137" i="7"/>
  <c r="JD138" i="7"/>
  <c r="AW139" i="7"/>
  <c r="IZ139" i="7"/>
  <c r="AW143" i="7"/>
  <c r="KT144" i="7"/>
  <c r="KP172" i="7"/>
  <c r="NF172" i="7"/>
  <c r="EV180" i="7"/>
  <c r="EV183" i="7"/>
  <c r="HQ184" i="7"/>
  <c r="HD193" i="7"/>
  <c r="HQ188" i="7"/>
  <c r="JD200" i="7"/>
  <c r="HQ203" i="7"/>
  <c r="BH204" i="7"/>
  <c r="MJ211" i="7"/>
  <c r="BH213" i="7"/>
  <c r="JK213" i="7"/>
  <c r="JD214" i="7"/>
  <c r="HQ219" i="7"/>
  <c r="JV219" i="7"/>
  <c r="HJ220" i="7"/>
  <c r="JO220" i="7"/>
  <c r="LP220" i="7"/>
  <c r="JD271" i="7"/>
  <c r="KP331" i="7"/>
  <c r="GT344" i="7"/>
  <c r="NR392" i="7"/>
  <c r="QC60" i="7"/>
  <c r="NR112" i="7"/>
  <c r="NF118" i="7"/>
  <c r="HJ124" i="7"/>
  <c r="SP127" i="7"/>
  <c r="JD135" i="7"/>
  <c r="HF188" i="7"/>
  <c r="EP193" i="7"/>
  <c r="AH2963" i="15" s="1"/>
  <c r="KP204" i="7"/>
  <c r="HU213" i="7"/>
  <c r="KT214" i="7"/>
  <c r="NV216" i="7"/>
  <c r="BW219" i="7"/>
  <c r="LP219" i="7"/>
  <c r="BS220" i="7"/>
  <c r="LA220" i="7"/>
  <c r="BA331" i="7"/>
  <c r="QG37" i="7"/>
  <c r="QC36" i="7"/>
  <c r="QC39" i="7"/>
  <c r="QC41" i="7"/>
  <c r="QC44" i="7"/>
  <c r="QC46" i="7"/>
  <c r="QC54" i="7"/>
  <c r="QC57" i="7"/>
  <c r="QC59" i="7"/>
  <c r="QG62" i="7"/>
  <c r="QC64" i="7"/>
  <c r="HF113" i="7"/>
  <c r="NV113" i="7"/>
  <c r="HJ114" i="7"/>
  <c r="NF114" i="7"/>
  <c r="HF115" i="7"/>
  <c r="SP115" i="7"/>
  <c r="NR116" i="7"/>
  <c r="HF117" i="7"/>
  <c r="SL118" i="7"/>
  <c r="NJ119" i="7"/>
  <c r="HJ120" i="7"/>
  <c r="NV121" i="7"/>
  <c r="NF122" i="7"/>
  <c r="HF123" i="7"/>
  <c r="SP123" i="7"/>
  <c r="NR124" i="7"/>
  <c r="HF125" i="7"/>
  <c r="HJ126" i="7"/>
  <c r="SL126" i="7"/>
  <c r="NJ127" i="7"/>
  <c r="KT137" i="7"/>
  <c r="KP138" i="7"/>
  <c r="BA139" i="7"/>
  <c r="JD139" i="7"/>
  <c r="AW140" i="7"/>
  <c r="IZ140" i="7"/>
  <c r="KP142" i="7"/>
  <c r="KT143" i="7"/>
  <c r="NJ172" i="7"/>
  <c r="GQ188" i="7"/>
  <c r="GQ190" i="7" s="1"/>
  <c r="GY190" i="7" s="1"/>
  <c r="IB185" i="7"/>
  <c r="HF186" i="7"/>
  <c r="EQ199" i="7"/>
  <c r="BH203" i="7"/>
  <c r="HU203" i="7"/>
  <c r="HF204" i="7"/>
  <c r="BL213" i="7"/>
  <c r="JO213" i="7"/>
  <c r="JK214" i="7"/>
  <c r="HU219" i="7"/>
  <c r="JZ219" i="7"/>
  <c r="LE219" i="7"/>
  <c r="AW220" i="7"/>
  <c r="HQ220" i="7"/>
  <c r="JV220" i="7"/>
  <c r="HF272" i="7"/>
  <c r="KT331" i="7"/>
  <c r="AW332" i="7"/>
  <c r="GX344" i="7"/>
  <c r="LY161" i="7"/>
  <c r="QC43" i="7"/>
  <c r="QC61" i="7"/>
  <c r="NV117" i="7"/>
  <c r="HF119" i="7"/>
  <c r="NJ123" i="7"/>
  <c r="NF126" i="7"/>
  <c r="AW136" i="7"/>
  <c r="HF184" i="7"/>
  <c r="JD219" i="7"/>
  <c r="LY159" i="7"/>
  <c r="EV15" i="7"/>
  <c r="QG55" i="7"/>
  <c r="QC62" i="7"/>
  <c r="HJ33" i="7"/>
  <c r="QG36" i="7"/>
  <c r="QG39" i="7"/>
  <c r="QG41" i="7"/>
  <c r="QG44" i="7"/>
  <c r="QG46" i="7"/>
  <c r="QG54" i="7"/>
  <c r="QG57" i="7"/>
  <c r="QG59" i="7"/>
  <c r="QG64" i="7"/>
  <c r="EN100" i="7"/>
  <c r="HF112" i="7"/>
  <c r="HJ113" i="7"/>
  <c r="SL113" i="7"/>
  <c r="NJ114" i="7"/>
  <c r="HJ115" i="7"/>
  <c r="HF116" i="7"/>
  <c r="NV116" i="7"/>
  <c r="HJ117" i="7"/>
  <c r="NF117" i="7"/>
  <c r="SP118" i="7"/>
  <c r="NR119" i="7"/>
  <c r="SL121" i="7"/>
  <c r="NJ122" i="7"/>
  <c r="HJ123" i="7"/>
  <c r="LY124" i="7"/>
  <c r="NV124" i="7"/>
  <c r="HJ125" i="7"/>
  <c r="NF125" i="7"/>
  <c r="SP126" i="7"/>
  <c r="NR127" i="7"/>
  <c r="KT138" i="7"/>
  <c r="KP139" i="7"/>
  <c r="BA140" i="7"/>
  <c r="JD140" i="7"/>
  <c r="AW141" i="7"/>
  <c r="KP141" i="7"/>
  <c r="KT142" i="7"/>
  <c r="NR172" i="7"/>
  <c r="EV181" i="7"/>
  <c r="HQ182" i="7"/>
  <c r="BH185" i="7"/>
  <c r="BH190" i="7"/>
  <c r="HF190" i="7"/>
  <c r="EU199" i="7"/>
  <c r="KP203" i="7"/>
  <c r="HJ204" i="7"/>
  <c r="HF213" i="7"/>
  <c r="KP213" i="7"/>
  <c r="BL214" i="7"/>
  <c r="JO214" i="7"/>
  <c r="NF216" i="7"/>
  <c r="AW219" i="7"/>
  <c r="IB219" i="7"/>
  <c r="KP219" i="7"/>
  <c r="KT219" i="7"/>
  <c r="BL219" i="7"/>
  <c r="BA220" i="7"/>
  <c r="HU220" i="7"/>
  <c r="JZ220" i="7"/>
  <c r="HF273" i="7"/>
  <c r="GT347" i="7"/>
  <c r="KT392" i="7"/>
  <c r="LY157" i="7"/>
  <c r="HJ112" i="7"/>
  <c r="SP113" i="7"/>
  <c r="NJ117" i="7"/>
  <c r="SP121" i="7"/>
  <c r="SL124" i="7"/>
  <c r="NV127" i="7"/>
  <c r="KP140" i="7"/>
  <c r="BA141" i="7"/>
  <c r="KT141" i="7"/>
  <c r="AW187" i="7"/>
  <c r="HF189" i="7"/>
  <c r="EQ201" i="7"/>
  <c r="HJ213" i="7"/>
  <c r="KT213" i="7"/>
  <c r="LA219" i="7"/>
  <c r="IB220" i="7"/>
  <c r="KP220" i="7"/>
  <c r="HJ273" i="7"/>
  <c r="GX347" i="7"/>
  <c r="BA392" i="7"/>
  <c r="NF112" i="7"/>
  <c r="NR114" i="7"/>
  <c r="HJ116" i="7"/>
  <c r="SL116" i="7"/>
  <c r="NV119" i="7"/>
  <c r="NF120" i="7"/>
  <c r="HF121" i="7"/>
  <c r="NR122" i="7"/>
  <c r="NJ125" i="7"/>
  <c r="EQ134" i="7"/>
  <c r="AW172" i="7"/>
  <c r="NV172" i="7"/>
  <c r="EV182" i="7"/>
  <c r="HF185" i="7"/>
  <c r="IZ199" i="7"/>
  <c r="BA203" i="7"/>
  <c r="BA204" i="7"/>
  <c r="HQ204" i="7"/>
  <c r="HF214" i="7"/>
  <c r="AW214" i="7"/>
  <c r="NJ216" i="7"/>
  <c r="IF219" i="7"/>
  <c r="BA219" i="7"/>
  <c r="BH220" i="7"/>
  <c r="IZ332" i="7"/>
  <c r="LY158" i="7"/>
  <c r="EV17" i="7"/>
  <c r="QG43" i="7"/>
  <c r="QG61" i="7"/>
  <c r="QC63" i="7"/>
  <c r="IL90" i="7"/>
  <c r="NJ112" i="7"/>
  <c r="NV114" i="7"/>
  <c r="NF115" i="7"/>
  <c r="SP116" i="7"/>
  <c r="NR117" i="7"/>
  <c r="HF118" i="7"/>
  <c r="SL119" i="7"/>
  <c r="NJ120" i="7"/>
  <c r="HJ121" i="7"/>
  <c r="NV122" i="7"/>
  <c r="NF123" i="7"/>
  <c r="HF124" i="7"/>
  <c r="SP124" i="7"/>
  <c r="NR125" i="7"/>
  <c r="SL127" i="7"/>
  <c r="EU134" i="7"/>
  <c r="AW135" i="7"/>
  <c r="IZ135" i="7"/>
  <c r="KT140" i="7"/>
  <c r="GH172" i="7"/>
  <c r="HF183" i="7"/>
  <c r="BS185" i="7"/>
  <c r="HQ186" i="7"/>
  <c r="GQ191" i="7"/>
  <c r="GQ193" i="7" s="1"/>
  <c r="GY193" i="7" s="1"/>
  <c r="JD199" i="7"/>
  <c r="EU201" i="7"/>
  <c r="KT203" i="7"/>
  <c r="BL204" i="7"/>
  <c r="HU204" i="7"/>
  <c r="HQ213" i="7"/>
  <c r="HJ214" i="7"/>
  <c r="KP214" i="7"/>
  <c r="NR216" i="7"/>
  <c r="IZ219" i="7"/>
  <c r="LL219" i="7"/>
  <c r="IF220" i="7"/>
  <c r="JD332" i="7"/>
  <c r="IZ392" i="7"/>
  <c r="LU161" i="7"/>
  <c r="LU157" i="7"/>
  <c r="QC40" i="7"/>
  <c r="QC58" i="7"/>
  <c r="IP90" i="7"/>
  <c r="NJ115" i="7"/>
  <c r="KT172" i="7"/>
  <c r="AW186" i="7"/>
  <c r="EQ200" i="7"/>
  <c r="HQ214" i="7"/>
  <c r="KP332" i="7"/>
  <c r="QC35" i="7"/>
  <c r="QC42" i="7"/>
  <c r="QC45" i="7"/>
  <c r="QC53" i="7"/>
  <c r="SL114" i="7"/>
  <c r="NR120" i="7"/>
  <c r="NV125" i="7"/>
  <c r="GL172" i="7"/>
  <c r="EN188" i="7"/>
  <c r="AF2958" i="15" s="1"/>
  <c r="EV186" i="7"/>
  <c r="HQ190" i="7"/>
  <c r="LA203" i="7"/>
  <c r="LE213" i="7"/>
  <c r="IZ220" i="7"/>
  <c r="JD392" i="7"/>
  <c r="QG38" i="7"/>
  <c r="QG42" i="7"/>
  <c r="QG45" i="7"/>
  <c r="QG53" i="7"/>
  <c r="QG56" i="7"/>
  <c r="QG58" i="7"/>
  <c r="QG60" i="7"/>
  <c r="NV112" i="7"/>
  <c r="NF113" i="7"/>
  <c r="SP114" i="7"/>
  <c r="NR115" i="7"/>
  <c r="SL117" i="7"/>
  <c r="NJ118" i="7"/>
  <c r="HJ119" i="7"/>
  <c r="LY120" i="7"/>
  <c r="NV120" i="7"/>
  <c r="NF121" i="7"/>
  <c r="HF122" i="7"/>
  <c r="SP122" i="7"/>
  <c r="NR123" i="7"/>
  <c r="SL125" i="7"/>
  <c r="NJ126" i="7"/>
  <c r="HF127" i="7"/>
  <c r="KP135" i="7"/>
  <c r="JD136" i="7"/>
  <c r="IZ137" i="7"/>
  <c r="IZ172" i="7"/>
  <c r="EV179" i="7"/>
  <c r="AW184" i="7"/>
  <c r="HQ185" i="7"/>
  <c r="BL187" i="7"/>
  <c r="EP190" i="7"/>
  <c r="AH2960" i="15" s="1"/>
  <c r="HQ189" i="7"/>
  <c r="EU200" i="7"/>
  <c r="EQ202" i="7"/>
  <c r="HF203" i="7"/>
  <c r="BL203" i="7"/>
  <c r="IZ213" i="7"/>
  <c r="HU214" i="7"/>
  <c r="LA214" i="7"/>
  <c r="HF219" i="7"/>
  <c r="JK219" i="7"/>
  <c r="BW220" i="7"/>
  <c r="JD220" i="7"/>
  <c r="LE220" i="7"/>
  <c r="IZ331" i="7"/>
  <c r="KT332" i="7"/>
  <c r="GT341" i="7"/>
  <c r="NF392" i="7"/>
  <c r="KP392" i="7"/>
  <c r="LU160" i="7"/>
  <c r="QC38" i="7"/>
  <c r="QC56" i="7"/>
  <c r="QG63" i="7"/>
  <c r="HJ118" i="7"/>
  <c r="SP119" i="7"/>
  <c r="SL122" i="7"/>
  <c r="IZ136" i="7"/>
  <c r="QG35" i="7"/>
  <c r="QG40" i="7"/>
  <c r="QC37" i="7"/>
  <c r="QC55" i="7"/>
  <c r="SL112" i="7"/>
  <c r="NJ113" i="7"/>
  <c r="LY115" i="7"/>
  <c r="NV115" i="7"/>
  <c r="NF116" i="7"/>
  <c r="SP117" i="7"/>
  <c r="NR118" i="7"/>
  <c r="SL120" i="7"/>
  <c r="NJ121" i="7"/>
  <c r="HJ122" i="7"/>
  <c r="NV123" i="7"/>
  <c r="NF124" i="7"/>
  <c r="SP125" i="7"/>
  <c r="NR126" i="7"/>
  <c r="HJ127" i="7"/>
  <c r="KT135" i="7"/>
  <c r="KP136" i="7"/>
  <c r="BA137" i="7"/>
  <c r="JD137" i="7"/>
  <c r="AW138" i="7"/>
  <c r="IZ138" i="7"/>
  <c r="AW144" i="7"/>
  <c r="KP144" i="7"/>
  <c r="JD172" i="7"/>
  <c r="HF182" i="7"/>
  <c r="HQ183" i="7"/>
  <c r="EV185" i="7"/>
  <c r="IB186" i="7"/>
  <c r="BS187" i="7"/>
  <c r="IZ200" i="7"/>
  <c r="EU202" i="7"/>
  <c r="HJ203" i="7"/>
  <c r="LE203" i="7"/>
  <c r="LE204" i="7"/>
  <c r="LA204" i="7"/>
  <c r="JD213" i="7"/>
  <c r="IZ214" i="7"/>
  <c r="LE214" i="7"/>
  <c r="HJ219" i="7"/>
  <c r="JO219" i="7"/>
  <c r="HF220" i="7"/>
  <c r="JK220" i="7"/>
  <c r="LL220" i="7"/>
  <c r="IZ271" i="7"/>
  <c r="JD331" i="7"/>
  <c r="GX341" i="7"/>
  <c r="NJ392" i="7"/>
  <c r="AW392" i="7"/>
  <c r="LY160" i="7"/>
  <c r="DF49" i="7"/>
  <c r="R3228" i="15" s="1"/>
  <c r="DF50" i="7"/>
  <c r="R3229" i="15" s="1"/>
  <c r="HD192" i="7"/>
  <c r="CF49" i="7"/>
  <c r="DI249" i="7"/>
  <c r="CV249" i="7"/>
  <c r="CI248" i="7"/>
  <c r="ED158" i="7"/>
  <c r="CD223" i="7"/>
  <c r="CV31" i="7"/>
  <c r="CU223" i="7"/>
  <c r="CD71" i="7"/>
  <c r="CQ71" i="7"/>
  <c r="CB49" i="7"/>
  <c r="C3228" i="15" s="1"/>
  <c r="CQ35" i="7"/>
  <c r="CO49" i="7"/>
  <c r="I3228" i="15" s="1"/>
  <c r="CD30" i="7"/>
  <c r="EH205" i="7"/>
  <c r="CF47" i="7"/>
  <c r="CQ31" i="7"/>
  <c r="LZ159" i="7"/>
  <c r="CD225" i="7"/>
  <c r="CF131" i="7"/>
  <c r="F2924" i="15" s="1"/>
  <c r="DV157" i="7"/>
  <c r="ED160" i="7"/>
  <c r="DV159" i="7"/>
  <c r="MJ184" i="7"/>
  <c r="MN184" i="7" s="1"/>
  <c r="MJ189" i="7"/>
  <c r="MN189" i="7" s="1"/>
  <c r="CS48" i="7"/>
  <c r="DV85" i="7"/>
  <c r="AW125" i="7"/>
  <c r="KT125" i="7"/>
  <c r="DV161" i="7"/>
  <c r="DV227" i="7"/>
  <c r="DU3" i="7"/>
  <c r="CH225" i="7"/>
  <c r="CU224" i="7"/>
  <c r="ED216" i="7"/>
  <c r="CQ345" i="7"/>
  <c r="CI222" i="7"/>
  <c r="EI216" i="7"/>
  <c r="CD222" i="7"/>
  <c r="CQ38" i="7"/>
  <c r="CB47" i="7"/>
  <c r="CU222" i="7"/>
  <c r="BA160" i="7"/>
  <c r="DQ159" i="7"/>
  <c r="EI157" i="7"/>
  <c r="EI159" i="7"/>
  <c r="EI161" i="7"/>
  <c r="CU201" i="7"/>
  <c r="CU30" i="7"/>
  <c r="DO66" i="7"/>
  <c r="U3233" i="15" s="1"/>
  <c r="DV331" i="7"/>
  <c r="LY123" i="7"/>
  <c r="MU188" i="7"/>
  <c r="MY188" i="7" s="1"/>
  <c r="LV158" i="7"/>
  <c r="CV404" i="7"/>
  <c r="CD31" i="7"/>
  <c r="CB51" i="7"/>
  <c r="C3230" i="15" s="1"/>
  <c r="CD271" i="7"/>
  <c r="CI31" i="7"/>
  <c r="EI86" i="7"/>
  <c r="CO51" i="7"/>
  <c r="I3230" i="15" s="1"/>
  <c r="QG47" i="7"/>
  <c r="QC70" i="7"/>
  <c r="IZ77" i="7"/>
  <c r="KT77" i="7"/>
  <c r="NR78" i="7"/>
  <c r="EQ98" i="7"/>
  <c r="EU349" i="7"/>
  <c r="EU351" i="7"/>
  <c r="CH202" i="7"/>
  <c r="EQ14" i="7"/>
  <c r="DQ134" i="7"/>
  <c r="HU184" i="7"/>
  <c r="CQ224" i="7"/>
  <c r="QC68" i="7"/>
  <c r="EQ78" i="7"/>
  <c r="BW191" i="7"/>
  <c r="DI2" i="7"/>
  <c r="EV78" i="7"/>
  <c r="EI203" i="7"/>
  <c r="CU405" i="7"/>
  <c r="CH223" i="7"/>
  <c r="CF130" i="7"/>
  <c r="DO68" i="7"/>
  <c r="U3235" i="15" s="1"/>
  <c r="LY191" i="7"/>
  <c r="DQ392" i="7"/>
  <c r="EU77" i="7"/>
  <c r="BA77" i="7"/>
  <c r="NJ78" i="7"/>
  <c r="SP78" i="7"/>
  <c r="AW98" i="7"/>
  <c r="QG49" i="7"/>
  <c r="QC52" i="7"/>
  <c r="QC65" i="7"/>
  <c r="QC66" i="7"/>
  <c r="QG67" i="7"/>
  <c r="DV106" i="7"/>
  <c r="DV110" i="7"/>
  <c r="EI106" i="7"/>
  <c r="EI110" i="7"/>
  <c r="DU88" i="7"/>
  <c r="DU153" i="7"/>
  <c r="DV409" i="7"/>
  <c r="EH410" i="7"/>
  <c r="GL410" i="7"/>
  <c r="GX410" i="7"/>
  <c r="DV392" i="7"/>
  <c r="BA190" i="7"/>
  <c r="EU192" i="7"/>
  <c r="EI158" i="7"/>
  <c r="EI160" i="7"/>
  <c r="CI408" i="7"/>
  <c r="DV89" i="7"/>
  <c r="DU155" i="7"/>
  <c r="EI152" i="7"/>
  <c r="DD2" i="7"/>
  <c r="DI419" i="7"/>
  <c r="DV84" i="7"/>
  <c r="CV224" i="7"/>
  <c r="EV101" i="7"/>
  <c r="EV102" i="7"/>
  <c r="EV103" i="7"/>
  <c r="KP125" i="7"/>
  <c r="LU126" i="7"/>
  <c r="AW127" i="7"/>
  <c r="KT127" i="7"/>
  <c r="HJ191" i="7"/>
  <c r="MJ192" i="7"/>
  <c r="CI405" i="7"/>
  <c r="EI153" i="7"/>
  <c r="BW184" i="7"/>
  <c r="GX184" i="7"/>
  <c r="CO48" i="7"/>
  <c r="DF52" i="7"/>
  <c r="R3231" i="15" s="1"/>
  <c r="DU102" i="7"/>
  <c r="DV109" i="7"/>
  <c r="EI105" i="7"/>
  <c r="EI109" i="7"/>
  <c r="DQ88" i="7"/>
  <c r="ED411" i="7"/>
  <c r="EI91" i="7"/>
  <c r="EH172" i="7"/>
  <c r="DU103" i="7"/>
  <c r="KP127" i="7"/>
  <c r="LY118" i="7"/>
  <c r="BA184" i="7"/>
  <c r="EU184" i="7"/>
  <c r="BL184" i="7"/>
  <c r="EU185" i="7"/>
  <c r="HU185" i="7"/>
  <c r="GX186" i="7"/>
  <c r="GX187" i="7"/>
  <c r="IF187" i="7"/>
  <c r="EU190" i="7"/>
  <c r="EU193" i="7"/>
  <c r="EI204" i="7"/>
  <c r="CU202" i="7"/>
  <c r="CD404" i="7"/>
  <c r="CU404" i="7"/>
  <c r="DV88" i="7"/>
  <c r="DD3" i="7"/>
  <c r="DI248" i="7"/>
  <c r="CV248" i="7"/>
  <c r="CI247" i="7"/>
  <c r="DD418" i="7"/>
  <c r="CQ72" i="7"/>
  <c r="CU31" i="7"/>
  <c r="EI85" i="7"/>
  <c r="KP124" i="7"/>
  <c r="DI3" i="7"/>
  <c r="EI146" i="7"/>
  <c r="MJ188" i="7"/>
  <c r="MN188" i="7" s="1"/>
  <c r="DQ158" i="7"/>
  <c r="DQ160" i="7"/>
  <c r="CD405" i="7"/>
  <c r="CQ404" i="7"/>
  <c r="CI249" i="7"/>
  <c r="DD419" i="7"/>
  <c r="DS66" i="7"/>
  <c r="X3233" i="15" s="1"/>
  <c r="DU332" i="7"/>
  <c r="DQ360" i="7"/>
  <c r="DU392" i="7"/>
  <c r="EI87" i="7"/>
  <c r="KT126" i="7"/>
  <c r="DU2" i="7"/>
  <c r="ER100" i="7"/>
  <c r="DV134" i="7"/>
  <c r="AU192" i="7"/>
  <c r="EH219" i="7"/>
  <c r="EI220" i="7"/>
  <c r="EQ348" i="7"/>
  <c r="EQ350" i="7"/>
  <c r="EQ352" i="7"/>
  <c r="AW160" i="7"/>
  <c r="DV158" i="7"/>
  <c r="DV160" i="7"/>
  <c r="EH156" i="7"/>
  <c r="EH158" i="7"/>
  <c r="EH160" i="7"/>
  <c r="DV107" i="7"/>
  <c r="EI107" i="7"/>
  <c r="EI111" i="7"/>
  <c r="DQ89" i="7"/>
  <c r="CH31" i="7"/>
  <c r="DV82" i="7"/>
  <c r="LZ112" i="7"/>
  <c r="LU118" i="7"/>
  <c r="DV166" i="7"/>
  <c r="HJ185" i="7"/>
  <c r="MJ186" i="7"/>
  <c r="MN186" i="7" s="1"/>
  <c r="BA187" i="7"/>
  <c r="HU187" i="7"/>
  <c r="GX188" i="7"/>
  <c r="IF188" i="7"/>
  <c r="LY189" i="7"/>
  <c r="MC189" i="7" s="1"/>
  <c r="EU350" i="7"/>
  <c r="EU352" i="7"/>
  <c r="AW159" i="7"/>
  <c r="DU156" i="7"/>
  <c r="ED159" i="7"/>
  <c r="ED161" i="7"/>
  <c r="CI404" i="7"/>
  <c r="CH405" i="7"/>
  <c r="CV408" i="7"/>
  <c r="DS69" i="7"/>
  <c r="X3236" i="15" s="1"/>
  <c r="DU79" i="7"/>
  <c r="DV145" i="7"/>
  <c r="DQ332" i="7"/>
  <c r="CV225" i="7"/>
  <c r="LY78" i="7"/>
  <c r="DV104" i="7"/>
  <c r="DV108" i="7"/>
  <c r="EI104" i="7"/>
  <c r="EI108" i="7"/>
  <c r="DU89" i="7"/>
  <c r="ED410" i="7"/>
  <c r="GH410" i="7"/>
  <c r="GT410" i="7"/>
  <c r="DS100" i="7"/>
  <c r="X3106" i="15" s="1"/>
  <c r="DU101" i="7"/>
  <c r="EQ16" i="7"/>
  <c r="QG48" i="7"/>
  <c r="ES100" i="7"/>
  <c r="EU101" i="7"/>
  <c r="EU102" i="7"/>
  <c r="EU103" i="7"/>
  <c r="KP112" i="7"/>
  <c r="AW114" i="7"/>
  <c r="KT114" i="7"/>
  <c r="AW116" i="7"/>
  <c r="KP120" i="7"/>
  <c r="AW122" i="7"/>
  <c r="KT122" i="7"/>
  <c r="EQ180" i="7"/>
  <c r="HJ182" i="7"/>
  <c r="EU183" i="7"/>
  <c r="HU183" i="7"/>
  <c r="EU189" i="7"/>
  <c r="GX191" i="7"/>
  <c r="LY192" i="7"/>
  <c r="EH204" i="7"/>
  <c r="DU216" i="7"/>
  <c r="EQ349" i="7"/>
  <c r="EQ351" i="7"/>
  <c r="EQ353" i="7"/>
  <c r="DQ156" i="7"/>
  <c r="EH157" i="7"/>
  <c r="EH159" i="7"/>
  <c r="EH161" i="7"/>
  <c r="CH404" i="7"/>
  <c r="CD408" i="7"/>
  <c r="LY183" i="7"/>
  <c r="MC183" i="7" s="1"/>
  <c r="DQ79" i="7"/>
  <c r="KP123" i="7"/>
  <c r="GT16" i="7"/>
  <c r="DQ101" i="7"/>
  <c r="DQ102" i="7"/>
  <c r="DQ103" i="7"/>
  <c r="KT112" i="7"/>
  <c r="LY113" i="7"/>
  <c r="BA114" i="7"/>
  <c r="KP116" i="7"/>
  <c r="KP118" i="7"/>
  <c r="BA120" i="7"/>
  <c r="KT120" i="7"/>
  <c r="LU123" i="7"/>
  <c r="EQ181" i="7"/>
  <c r="BA183" i="7"/>
  <c r="GX183" i="7"/>
  <c r="IF183" i="7"/>
  <c r="IF185" i="7"/>
  <c r="HJ186" i="7"/>
  <c r="HJ187" i="7"/>
  <c r="BW187" i="7"/>
  <c r="EU188" i="7"/>
  <c r="BL191" i="7"/>
  <c r="HU192" i="7"/>
  <c r="IF193" i="7"/>
  <c r="ED219" i="7"/>
  <c r="EQ17" i="7"/>
  <c r="QG70" i="7"/>
  <c r="AW77" i="7"/>
  <c r="JD77" i="7"/>
  <c r="NV78" i="7"/>
  <c r="IZ98" i="7"/>
  <c r="DR100" i="7"/>
  <c r="DV101" i="7"/>
  <c r="DV102" i="7"/>
  <c r="DV103" i="7"/>
  <c r="EV145" i="7"/>
  <c r="EU182" i="7"/>
  <c r="IF184" i="7"/>
  <c r="EU187" i="7"/>
  <c r="GX192" i="7"/>
  <c r="ED203" i="7"/>
  <c r="EH216" i="7"/>
  <c r="EI219" i="7"/>
  <c r="EQ77" i="7"/>
  <c r="NR99" i="7"/>
  <c r="KT113" i="7"/>
  <c r="BA119" i="7"/>
  <c r="BA121" i="7"/>
  <c r="KT121" i="7"/>
  <c r="EV146" i="7"/>
  <c r="BA182" i="7"/>
  <c r="GX182" i="7"/>
  <c r="IF182" i="7"/>
  <c r="HJ183" i="7"/>
  <c r="BW185" i="7"/>
  <c r="EU186" i="7"/>
  <c r="HU186" i="7"/>
  <c r="BW190" i="7"/>
  <c r="BL190" i="7"/>
  <c r="IF192" i="7"/>
  <c r="LY193" i="7"/>
  <c r="EH203" i="7"/>
  <c r="ED205" i="7"/>
  <c r="MV219" i="7"/>
  <c r="EQ15" i="7"/>
  <c r="EV77" i="7"/>
  <c r="NF77" i="7"/>
  <c r="SL77" i="7"/>
  <c r="EU78" i="7"/>
  <c r="BA78" i="7"/>
  <c r="EO100" i="7"/>
  <c r="AG3119" i="15" s="1"/>
  <c r="EQ101" i="7"/>
  <c r="EQ102" i="7"/>
  <c r="EQ103" i="7"/>
  <c r="KP114" i="7"/>
  <c r="KT116" i="7"/>
  <c r="BA118" i="7"/>
  <c r="LY119" i="7"/>
  <c r="AW120" i="7"/>
  <c r="LZ141" i="7"/>
  <c r="EQ179" i="7"/>
  <c r="HJ184" i="7"/>
  <c r="EU191" i="7"/>
  <c r="ED204" i="7"/>
  <c r="CI223" i="7"/>
  <c r="EH220" i="7"/>
  <c r="EV348" i="7"/>
  <c r="EV350" i="7"/>
  <c r="EV352" i="7"/>
  <c r="BA159" i="7"/>
  <c r="DU157" i="7"/>
  <c r="DU159" i="7"/>
  <c r="DU161" i="7"/>
  <c r="CH408" i="7"/>
  <c r="CV405" i="7"/>
  <c r="CU407" i="7"/>
  <c r="DU409" i="7"/>
  <c r="EI205" i="7"/>
  <c r="DH3" i="7"/>
  <c r="DV229" i="7"/>
  <c r="CI418" i="7"/>
  <c r="CU225" i="7"/>
  <c r="CQ37" i="7"/>
  <c r="DV79" i="7"/>
  <c r="DV83" i="7"/>
  <c r="DV332" i="7"/>
  <c r="EI92" i="7"/>
  <c r="ED172" i="7"/>
  <c r="DV146" i="7"/>
  <c r="EU348" i="7"/>
  <c r="AW157" i="7"/>
  <c r="CU408" i="7"/>
  <c r="DV111" i="7"/>
  <c r="DQ409" i="7"/>
  <c r="EH411" i="7"/>
  <c r="DV230" i="7"/>
  <c r="CI419" i="7"/>
  <c r="CB131" i="7"/>
  <c r="C2924" i="15" s="1"/>
  <c r="CB128" i="7"/>
  <c r="CD38" i="7"/>
  <c r="CH30" i="7"/>
  <c r="DU331" i="7"/>
  <c r="EI93" i="7"/>
  <c r="CI224" i="7"/>
  <c r="EI166" i="7"/>
  <c r="CQ271" i="7"/>
  <c r="CD40" i="7"/>
  <c r="CF50" i="7"/>
  <c r="CS51" i="7"/>
  <c r="DV360" i="7"/>
  <c r="EH84" i="7"/>
  <c r="EI95" i="7"/>
  <c r="CI225" i="7"/>
  <c r="EV349" i="7"/>
  <c r="EV351" i="7"/>
  <c r="EV353" i="7"/>
  <c r="DV156" i="7"/>
  <c r="DU158" i="7"/>
  <c r="DU160" i="7"/>
  <c r="CH406" i="7"/>
  <c r="CQ405" i="7"/>
  <c r="EH153" i="7"/>
  <c r="GH411" i="7"/>
  <c r="GT411" i="7"/>
  <c r="DH2" i="7"/>
  <c r="CV418" i="7"/>
  <c r="DV86" i="7"/>
  <c r="EI145" i="7"/>
  <c r="DU205" i="7"/>
  <c r="DQ331" i="7"/>
  <c r="DU360" i="7"/>
  <c r="EH85" i="7"/>
  <c r="EI96" i="7"/>
  <c r="CV222" i="7"/>
  <c r="EU353" i="7"/>
  <c r="BA157" i="7"/>
  <c r="CQ408" i="7"/>
  <c r="EH152" i="7"/>
  <c r="EI154" i="7"/>
  <c r="DV226" i="7"/>
  <c r="CV246" i="7"/>
  <c r="CV419" i="7"/>
  <c r="DI418" i="7"/>
  <c r="CQ350" i="7"/>
  <c r="EH86" i="7"/>
  <c r="EI97" i="7"/>
  <c r="ED220" i="7"/>
  <c r="DQ157" i="7"/>
  <c r="DQ161" i="7"/>
  <c r="CH407" i="7"/>
  <c r="CU406" i="7"/>
  <c r="EI410" i="7"/>
  <c r="DV228" i="7"/>
  <c r="DI247" i="7"/>
  <c r="CV247" i="7"/>
  <c r="CI246" i="7"/>
  <c r="DV81" i="7"/>
  <c r="DV87" i="7"/>
  <c r="EH87" i="7"/>
  <c r="EI172" i="7"/>
  <c r="CV223" i="7"/>
  <c r="ED98" i="7"/>
  <c r="EV37" i="7"/>
  <c r="EV75" i="7"/>
  <c r="EV61" i="7"/>
  <c r="EV48" i="7"/>
  <c r="LX394" i="7"/>
  <c r="EV38" i="7"/>
  <c r="EV43" i="7"/>
  <c r="EV44" i="7"/>
  <c r="EU55" i="7"/>
  <c r="EV55" i="7"/>
  <c r="EV62" i="7"/>
  <c r="EV65" i="7"/>
  <c r="EV66" i="7"/>
  <c r="EV76" i="7"/>
  <c r="EN191" i="7"/>
  <c r="AF2961" i="15" s="1"/>
  <c r="EV187" i="7"/>
  <c r="EV47" i="7"/>
  <c r="EN189" i="7"/>
  <c r="EV184" i="7"/>
  <c r="EU56" i="7"/>
  <c r="EV56" i="7"/>
  <c r="EH98" i="7"/>
  <c r="EH99" i="7"/>
  <c r="EI99" i="7"/>
  <c r="MB395" i="7"/>
  <c r="EU75" i="7"/>
  <c r="EU47" i="7"/>
  <c r="EQ66" i="7"/>
  <c r="GX70" i="7"/>
  <c r="LX108" i="7"/>
  <c r="GX51" i="7"/>
  <c r="EQ65" i="7"/>
  <c r="EQ76" i="7"/>
  <c r="MB111" i="7"/>
  <c r="LX17" i="7"/>
  <c r="EQ47" i="7"/>
  <c r="LX417" i="7"/>
  <c r="LX34" i="7"/>
  <c r="LX395" i="7"/>
  <c r="EQ48" i="7"/>
  <c r="GT69" i="7"/>
  <c r="MB106" i="7"/>
  <c r="LX111" i="7"/>
  <c r="LI193" i="7"/>
  <c r="LQ193" i="7" s="1"/>
  <c r="LX205" i="7"/>
  <c r="DQ149" i="7"/>
  <c r="EN192" i="7"/>
  <c r="IW193" i="7"/>
  <c r="MB34" i="7"/>
  <c r="LX16" i="7"/>
  <c r="DD149" i="7"/>
  <c r="KM192" i="7"/>
  <c r="KU192" i="7" s="1"/>
  <c r="EU65" i="7"/>
  <c r="EU66" i="7"/>
  <c r="EU76" i="7"/>
  <c r="LX106" i="7"/>
  <c r="MB109" i="7"/>
  <c r="KX193" i="7"/>
  <c r="LF193" i="7" s="1"/>
  <c r="MB394" i="7"/>
  <c r="LX416" i="7"/>
  <c r="MB417" i="7"/>
  <c r="MB221" i="7"/>
  <c r="LX221" i="7"/>
  <c r="MB205" i="7"/>
  <c r="LX134" i="7"/>
  <c r="EO191" i="7"/>
  <c r="EQ187" i="7"/>
  <c r="MB134" i="7"/>
  <c r="EO189" i="7"/>
  <c r="EQ184" i="7"/>
  <c r="LX107" i="7"/>
  <c r="MB110" i="7"/>
  <c r="LX105" i="7"/>
  <c r="MB108" i="7"/>
  <c r="LX104" i="7"/>
  <c r="MB107" i="7"/>
  <c r="MB105" i="7"/>
  <c r="LX110" i="7"/>
  <c r="MB104" i="7"/>
  <c r="LX109" i="7"/>
  <c r="EN64" i="7"/>
  <c r="EQ62" i="7"/>
  <c r="ER46" i="7"/>
  <c r="EU44" i="7"/>
  <c r="EN40" i="7"/>
  <c r="EQ38" i="7"/>
  <c r="EN45" i="7"/>
  <c r="EQ43" i="7"/>
  <c r="EU48" i="7"/>
  <c r="ER64" i="7"/>
  <c r="EU62" i="7"/>
  <c r="ER39" i="7"/>
  <c r="EU37" i="7"/>
  <c r="ER63" i="7"/>
  <c r="EU61" i="7"/>
  <c r="EQ75" i="7"/>
  <c r="ER40" i="7"/>
  <c r="EU38" i="7"/>
  <c r="ER45" i="7"/>
  <c r="EU43" i="7"/>
  <c r="EN39" i="7"/>
  <c r="EQ37" i="7"/>
  <c r="GX68" i="7"/>
  <c r="GX48" i="7"/>
  <c r="EN58" i="7"/>
  <c r="EQ56" i="7"/>
  <c r="EN63" i="7"/>
  <c r="EQ61" i="7"/>
  <c r="EN46" i="7"/>
  <c r="EQ44" i="7"/>
  <c r="EN57" i="7"/>
  <c r="EQ55" i="7"/>
  <c r="LX14" i="7"/>
  <c r="MB16" i="7"/>
  <c r="MB17" i="7"/>
  <c r="LX15" i="7"/>
  <c r="MB14" i="7"/>
  <c r="MB15" i="7"/>
  <c r="BH187" i="7"/>
  <c r="LZ213" i="7"/>
  <c r="BA213" i="7"/>
  <c r="LZ142" i="7"/>
  <c r="BA142" i="7"/>
  <c r="HZ191" i="7"/>
  <c r="IH191" i="7" s="1"/>
  <c r="IB187" i="7"/>
  <c r="BH188" i="7"/>
  <c r="GT14" i="7"/>
  <c r="GT34" i="7"/>
  <c r="GX47" i="7"/>
  <c r="GX49" i="7"/>
  <c r="QC50" i="7"/>
  <c r="QG51" i="7"/>
  <c r="GT52" i="7"/>
  <c r="GX67" i="7"/>
  <c r="QC69" i="7"/>
  <c r="NR77" i="7"/>
  <c r="AW78" i="7"/>
  <c r="JD78" i="7"/>
  <c r="KP113" i="7"/>
  <c r="KP115" i="7"/>
  <c r="AW117" i="7"/>
  <c r="KT117" i="7"/>
  <c r="LZ120" i="7"/>
  <c r="AW121" i="7"/>
  <c r="KP126" i="7"/>
  <c r="BA127" i="7"/>
  <c r="AW156" i="7"/>
  <c r="BW182" i="7"/>
  <c r="BL182" i="7"/>
  <c r="BH184" i="7"/>
  <c r="BA185" i="7"/>
  <c r="BA186" i="7"/>
  <c r="BW189" i="7"/>
  <c r="HJ189" i="7"/>
  <c r="BA189" i="7"/>
  <c r="HJ190" i="7"/>
  <c r="BL192" i="7"/>
  <c r="BW193" i="7"/>
  <c r="HJ193" i="7"/>
  <c r="LZ214" i="7"/>
  <c r="BA214" i="7"/>
  <c r="LZ332" i="7"/>
  <c r="BA332" i="7"/>
  <c r="BA161" i="7"/>
  <c r="GL411" i="7"/>
  <c r="GX411" i="7"/>
  <c r="DF48" i="7"/>
  <c r="R3227" i="15" s="1"/>
  <c r="LY117" i="7"/>
  <c r="BF191" i="7"/>
  <c r="BN191" i="7" s="1"/>
  <c r="BH186" i="7"/>
  <c r="CB52" i="7"/>
  <c r="C3231" i="15" s="1"/>
  <c r="CF48" i="7"/>
  <c r="CO52" i="7"/>
  <c r="I3231" i="15" s="1"/>
  <c r="CS49" i="7"/>
  <c r="L3228" i="15" s="1"/>
  <c r="BS184" i="7"/>
  <c r="MG214" i="7"/>
  <c r="BH214" i="7"/>
  <c r="LV138" i="7"/>
  <c r="GT15" i="7"/>
  <c r="GX34" i="7"/>
  <c r="QC47" i="7"/>
  <c r="QC49" i="7"/>
  <c r="QG50" i="7"/>
  <c r="GX52" i="7"/>
  <c r="GX65" i="7"/>
  <c r="GX66" i="7"/>
  <c r="QC67" i="7"/>
  <c r="QG69" i="7"/>
  <c r="NV77" i="7"/>
  <c r="KP78" i="7"/>
  <c r="NF99" i="7"/>
  <c r="BA113" i="7"/>
  <c r="BA115" i="7"/>
  <c r="KT115" i="7"/>
  <c r="BA117" i="7"/>
  <c r="KP119" i="7"/>
  <c r="KP121" i="7"/>
  <c r="BA123" i="7"/>
  <c r="AW123" i="7"/>
  <c r="AW124" i="7"/>
  <c r="BA126" i="7"/>
  <c r="LZ136" i="7"/>
  <c r="BA136" i="7"/>
  <c r="LV137" i="7"/>
  <c r="AW137" i="7"/>
  <c r="AW182" i="7"/>
  <c r="HU182" i="7"/>
  <c r="BH183" i="7"/>
  <c r="MU184" i="7"/>
  <c r="MY184" i="7" s="1"/>
  <c r="BL186" i="7"/>
  <c r="IF186" i="7"/>
  <c r="HD191" i="7"/>
  <c r="HF187" i="7"/>
  <c r="LY187" i="7"/>
  <c r="MC187" i="7" s="1"/>
  <c r="BW188" i="7"/>
  <c r="HJ188" i="7"/>
  <c r="BA188" i="7"/>
  <c r="AW190" i="7"/>
  <c r="HU191" i="7"/>
  <c r="HJ192" i="7"/>
  <c r="BA193" i="7"/>
  <c r="MR219" i="7"/>
  <c r="BS219" i="7"/>
  <c r="MK220" i="7"/>
  <c r="BL220" i="7"/>
  <c r="LZ220" i="7"/>
  <c r="KT220" i="7"/>
  <c r="LV331" i="7"/>
  <c r="AW331" i="7"/>
  <c r="LZ158" i="7"/>
  <c r="BA158" i="7"/>
  <c r="LV159" i="7"/>
  <c r="CS50" i="7"/>
  <c r="LZ139" i="7"/>
  <c r="KT139" i="7"/>
  <c r="BS190" i="7"/>
  <c r="LV204" i="7"/>
  <c r="AW204" i="7"/>
  <c r="LZ135" i="7"/>
  <c r="BA135" i="7"/>
  <c r="MG219" i="7"/>
  <c r="BH219" i="7"/>
  <c r="LV33" i="7"/>
  <c r="KP33" i="7"/>
  <c r="QC48" i="7"/>
  <c r="QG68" i="7"/>
  <c r="KP77" i="7"/>
  <c r="NF78" i="7"/>
  <c r="SL78" i="7"/>
  <c r="KP98" i="7"/>
  <c r="BA112" i="7"/>
  <c r="BA116" i="7"/>
  <c r="AW118" i="7"/>
  <c r="KT118" i="7"/>
  <c r="KP122" i="7"/>
  <c r="BA125" i="7"/>
  <c r="BS183" i="7"/>
  <c r="BL185" i="7"/>
  <c r="GX185" i="7"/>
  <c r="BS186" i="7"/>
  <c r="HU189" i="7"/>
  <c r="BL189" i="7"/>
  <c r="HU190" i="7"/>
  <c r="MU190" i="7"/>
  <c r="MY190" i="7" s="1"/>
  <c r="BA191" i="7"/>
  <c r="BW192" i="7"/>
  <c r="HU193" i="7"/>
  <c r="LZ204" i="7"/>
  <c r="KT204" i="7"/>
  <c r="AW158" i="7"/>
  <c r="HZ192" i="7"/>
  <c r="IH192" i="7" s="1"/>
  <c r="LZ33" i="7"/>
  <c r="KT33" i="7"/>
  <c r="LZ138" i="7"/>
  <c r="BA138" i="7"/>
  <c r="LZ172" i="7"/>
  <c r="BA172" i="7"/>
  <c r="LY186" i="7"/>
  <c r="MC186" i="7" s="1"/>
  <c r="AW189" i="7"/>
  <c r="BQ193" i="7"/>
  <c r="BY193" i="7" s="1"/>
  <c r="BS188" i="7"/>
  <c r="HO192" i="7"/>
  <c r="HW192" i="7" s="1"/>
  <c r="HQ187" i="7"/>
  <c r="MG213" i="7"/>
  <c r="LA213" i="7"/>
  <c r="BA156" i="7"/>
  <c r="BH182" i="7"/>
  <c r="BW183" i="7"/>
  <c r="BL183" i="7"/>
  <c r="BW186" i="7"/>
  <c r="HU188" i="7"/>
  <c r="BL188" i="7"/>
  <c r="BH189" i="7"/>
  <c r="GX189" i="7"/>
  <c r="IF189" i="7"/>
  <c r="GX190" i="7"/>
  <c r="IF190" i="7"/>
  <c r="IF191" i="7"/>
  <c r="BA192" i="7"/>
  <c r="BL193" i="7"/>
  <c r="GX193" i="7"/>
  <c r="LV203" i="7"/>
  <c r="AW203" i="7"/>
  <c r="AW161" i="7"/>
  <c r="DF416" i="7"/>
  <c r="CB129" i="7"/>
  <c r="C2922" i="15" s="1"/>
  <c r="CF132" i="7"/>
  <c r="CB48" i="7"/>
  <c r="CF52" i="7"/>
  <c r="DB48" i="7"/>
  <c r="O3227" i="15" s="1"/>
  <c r="DS65" i="7"/>
  <c r="DS67" i="7"/>
  <c r="X3234" i="15" s="1"/>
  <c r="DV34" i="7"/>
  <c r="AW183" i="7"/>
  <c r="LU119" i="7"/>
  <c r="LZ122" i="7"/>
  <c r="BA122" i="7"/>
  <c r="LV143" i="7"/>
  <c r="KP143" i="7"/>
  <c r="LZ144" i="7"/>
  <c r="BA144" i="7"/>
  <c r="GT17" i="7"/>
  <c r="GT47" i="7"/>
  <c r="GT49" i="7"/>
  <c r="GX50" i="7"/>
  <c r="QC51" i="7"/>
  <c r="QG52" i="7"/>
  <c r="QG65" i="7"/>
  <c r="QG66" i="7"/>
  <c r="GX69" i="7"/>
  <c r="NJ77" i="7"/>
  <c r="SP77" i="7"/>
  <c r="IZ78" i="7"/>
  <c r="KT78" i="7"/>
  <c r="AW113" i="7"/>
  <c r="AW115" i="7"/>
  <c r="LU116" i="7"/>
  <c r="KP117" i="7"/>
  <c r="AW119" i="7"/>
  <c r="KT119" i="7"/>
  <c r="KT123" i="7"/>
  <c r="BA124" i="7"/>
  <c r="KT124" i="7"/>
  <c r="AW126" i="7"/>
  <c r="LV142" i="7"/>
  <c r="AW142" i="7"/>
  <c r="LZ143" i="7"/>
  <c r="BA143" i="7"/>
  <c r="BS182" i="7"/>
  <c r="AW185" i="7"/>
  <c r="LY185" i="7"/>
  <c r="MC185" i="7" s="1"/>
  <c r="AU193" i="7"/>
  <c r="AW188" i="7"/>
  <c r="BS189" i="7"/>
  <c r="GT67" i="7"/>
  <c r="GR191" i="7"/>
  <c r="GT187" i="7"/>
  <c r="GR188" i="7"/>
  <c r="GT184" i="7"/>
  <c r="GT68" i="7"/>
  <c r="GT51" i="7"/>
  <c r="GT65" i="7"/>
  <c r="GT50" i="7"/>
  <c r="GT66" i="7"/>
  <c r="GT48" i="7"/>
  <c r="GT70" i="7"/>
  <c r="MU187" i="7"/>
  <c r="MY187" i="7" s="1"/>
  <c r="MJ191" i="7"/>
  <c r="MU185" i="7"/>
  <c r="MY185" i="7" s="1"/>
  <c r="CB133" i="7"/>
  <c r="LU77" i="7"/>
  <c r="LV78" i="7"/>
  <c r="LU117" i="7"/>
  <c r="LY122" i="7"/>
  <c r="LZ137" i="7"/>
  <c r="MU192" i="7"/>
  <c r="LZ203" i="7"/>
  <c r="LZ331" i="7"/>
  <c r="MQ191" i="7"/>
  <c r="EN67" i="7"/>
  <c r="LV77" i="7"/>
  <c r="LU78" i="7"/>
  <c r="LZ117" i="7"/>
  <c r="MU189" i="7"/>
  <c r="MY189" i="7" s="1"/>
  <c r="DS68" i="7"/>
  <c r="X3235" i="15" s="1"/>
  <c r="LU211" i="7"/>
  <c r="LI192" i="7"/>
  <c r="LQ192" i="7" s="1"/>
  <c r="LZ113" i="7"/>
  <c r="LY116" i="7"/>
  <c r="LZ127" i="7"/>
  <c r="LV140" i="7"/>
  <c r="MV220" i="7"/>
  <c r="CB50" i="7"/>
  <c r="CO50" i="7"/>
  <c r="I3229" i="15" s="1"/>
  <c r="DB49" i="7"/>
  <c r="MU183" i="7"/>
  <c r="MY183" i="7" s="1"/>
  <c r="LY77" i="7"/>
  <c r="LU98" i="7"/>
  <c r="LZ118" i="7"/>
  <c r="LV122" i="7"/>
  <c r="MG204" i="7"/>
  <c r="LV220" i="7"/>
  <c r="LV160" i="7"/>
  <c r="DB50" i="7"/>
  <c r="DO69" i="7"/>
  <c r="U3236" i="15" s="1"/>
  <c r="LY184" i="7"/>
  <c r="MC184" i="7" s="1"/>
  <c r="IW192" i="7"/>
  <c r="LV115" i="7"/>
  <c r="LZ125" i="7"/>
  <c r="LV141" i="7"/>
  <c r="LY182" i="7"/>
  <c r="MC182" i="7" s="1"/>
  <c r="LZ392" i="7"/>
  <c r="CF128" i="7"/>
  <c r="LV116" i="7"/>
  <c r="LZ121" i="7"/>
  <c r="MF191" i="7"/>
  <c r="BF193" i="7"/>
  <c r="BN193" i="7" s="1"/>
  <c r="HZ193" i="7"/>
  <c r="IH193" i="7" s="1"/>
  <c r="BF192" i="7"/>
  <c r="BN192" i="7" s="1"/>
  <c r="LY114" i="7"/>
  <c r="LV117" i="7"/>
  <c r="LU120" i="7"/>
  <c r="LU124" i="7"/>
  <c r="LY126" i="7"/>
  <c r="DF47" i="7"/>
  <c r="MJ183" i="7"/>
  <c r="MN183" i="7" s="1"/>
  <c r="LY112" i="7"/>
  <c r="LZ119" i="7"/>
  <c r="MJ193" i="7"/>
  <c r="LV219" i="7"/>
  <c r="LV332" i="7"/>
  <c r="CF51" i="7"/>
  <c r="CS52" i="7"/>
  <c r="CS47" i="7"/>
  <c r="DF51" i="7"/>
  <c r="LV157" i="7"/>
  <c r="LV119" i="7"/>
  <c r="BQ191" i="7"/>
  <c r="BY191" i="7" s="1"/>
  <c r="LV98" i="7"/>
  <c r="LZ157" i="7"/>
  <c r="ER67" i="7"/>
  <c r="LZ78" i="7"/>
  <c r="LV139" i="7"/>
  <c r="LV172" i="7"/>
  <c r="MU182" i="7"/>
  <c r="MY182" i="7" s="1"/>
  <c r="MJ187" i="7"/>
  <c r="MN187" i="7" s="1"/>
  <c r="MJ190" i="7"/>
  <c r="MN190" i="7" s="1"/>
  <c r="MU191" i="7"/>
  <c r="MK213" i="7"/>
  <c r="LV392" i="7"/>
  <c r="KX192" i="7"/>
  <c r="LF192" i="7" s="1"/>
  <c r="LY188" i="7"/>
  <c r="MC188" i="7" s="1"/>
  <c r="LU212" i="7"/>
  <c r="LU114" i="7"/>
  <c r="LY127" i="7"/>
  <c r="LU159" i="7"/>
  <c r="MU193" i="7"/>
  <c r="MG203" i="7"/>
  <c r="MK204" i="7"/>
  <c r="DO67" i="7"/>
  <c r="U3234" i="15" s="1"/>
  <c r="ER49" i="7"/>
  <c r="EO192" i="7"/>
  <c r="LU113" i="7"/>
  <c r="LV121" i="7"/>
  <c r="LV125" i="7"/>
  <c r="LV126" i="7"/>
  <c r="LV135" i="7"/>
  <c r="LV144" i="7"/>
  <c r="LY190" i="7"/>
  <c r="MC190" i="7" s="1"/>
  <c r="MK203" i="7"/>
  <c r="LV214" i="7"/>
  <c r="MG220" i="7"/>
  <c r="LZ160" i="7"/>
  <c r="LV161" i="7"/>
  <c r="EN50" i="7"/>
  <c r="ER50" i="7"/>
  <c r="ER68" i="7"/>
  <c r="KM193" i="7"/>
  <c r="KU193" i="7" s="1"/>
  <c r="EN68" i="7"/>
  <c r="LU191" i="7"/>
  <c r="ER57" i="7"/>
  <c r="ER58" i="7"/>
  <c r="EN49" i="7"/>
  <c r="MJ182" i="7"/>
  <c r="MN182" i="7" s="1"/>
  <c r="EO188" i="7"/>
  <c r="LZ77" i="7"/>
  <c r="LY121" i="7"/>
  <c r="LV127" i="7"/>
  <c r="LU127" i="7"/>
  <c r="LV136" i="7"/>
  <c r="LZ140" i="7"/>
  <c r="MJ212" i="7"/>
  <c r="MR220" i="7"/>
  <c r="LZ156" i="7"/>
  <c r="LY156" i="7"/>
  <c r="CB130" i="7"/>
  <c r="LZ161" i="7"/>
  <c r="LZ114" i="7"/>
  <c r="HO191" i="7"/>
  <c r="HW191" i="7" s="1"/>
  <c r="LV120" i="7"/>
  <c r="LV123" i="7"/>
  <c r="LY125" i="7"/>
  <c r="LY212" i="7"/>
  <c r="MK219" i="7"/>
  <c r="CB132" i="7"/>
  <c r="BQ192" i="7"/>
  <c r="BY192" i="7" s="1"/>
  <c r="LU125" i="7"/>
  <c r="LV114" i="7"/>
  <c r="DO100" i="7"/>
  <c r="U3106" i="15" s="1"/>
  <c r="LU112" i="7"/>
  <c r="LV113" i="7"/>
  <c r="LU122" i="7"/>
  <c r="LV124" i="7"/>
  <c r="MU186" i="7"/>
  <c r="MY186" i="7" s="1"/>
  <c r="LZ219" i="7"/>
  <c r="LU115" i="7"/>
  <c r="LZ116" i="7"/>
  <c r="LU121" i="7"/>
  <c r="LZ123" i="7"/>
  <c r="LZ126" i="7"/>
  <c r="LU156" i="7"/>
  <c r="LV156" i="7"/>
  <c r="AU191" i="7"/>
  <c r="MK214" i="7"/>
  <c r="LZ115" i="7"/>
  <c r="HO193" i="7"/>
  <c r="HW193" i="7" s="1"/>
  <c r="LV118" i="7"/>
  <c r="LZ124" i="7"/>
  <c r="MJ185" i="7"/>
  <c r="MN185" i="7" s="1"/>
  <c r="N396" i="15" l="1"/>
  <c r="T396" i="15"/>
  <c r="D1496" i="15"/>
  <c r="C1496" i="15"/>
  <c r="B1496" i="15"/>
  <c r="AE3069" i="15"/>
  <c r="AD3069" i="15"/>
  <c r="AC3069" i="15"/>
  <c r="Z645" i="15"/>
  <c r="AB645" i="15"/>
  <c r="AA645" i="15"/>
  <c r="AK3069" i="15"/>
  <c r="AJ3069" i="15"/>
  <c r="AI3069" i="15"/>
  <c r="L396" i="15"/>
  <c r="M396" i="15"/>
  <c r="K396" i="15"/>
  <c r="AF1496" i="15"/>
  <c r="AG1496" i="15"/>
  <c r="AH1496" i="15"/>
  <c r="AE1461" i="15"/>
  <c r="AC1461" i="15"/>
  <c r="AD1461" i="15"/>
  <c r="J602" i="15"/>
  <c r="H602" i="15"/>
  <c r="I602" i="15"/>
  <c r="V396" i="15"/>
  <c r="U396" i="15"/>
  <c r="AJ645" i="15"/>
  <c r="AK645" i="15"/>
  <c r="AI645" i="15"/>
  <c r="AG656" i="15"/>
  <c r="AH656" i="15"/>
  <c r="AF656" i="15"/>
  <c r="F3069" i="15"/>
  <c r="G3069" i="15"/>
  <c r="E3069" i="15"/>
  <c r="N3069" i="15"/>
  <c r="O3069" i="15"/>
  <c r="P3069" i="15"/>
  <c r="K2561" i="15"/>
  <c r="M2561" i="15"/>
  <c r="L2561" i="15"/>
  <c r="AF1461" i="15"/>
  <c r="AG1461" i="15"/>
  <c r="AH1461" i="15"/>
  <c r="D2561" i="15"/>
  <c r="B2561" i="15"/>
  <c r="C2561" i="15"/>
  <c r="E1461" i="15"/>
  <c r="F1461" i="15"/>
  <c r="G1461" i="15"/>
  <c r="N1461" i="15"/>
  <c r="O1461" i="15"/>
  <c r="P1461" i="15"/>
  <c r="B396" i="15"/>
  <c r="C396" i="15"/>
  <c r="D396" i="15"/>
  <c r="S1461" i="15"/>
  <c r="Q1461" i="15"/>
  <c r="R1461" i="15"/>
  <c r="N1262" i="15"/>
  <c r="P1262" i="15"/>
  <c r="O1262" i="15"/>
  <c r="AH2561" i="15"/>
  <c r="AG2561" i="15"/>
  <c r="AF2561" i="15"/>
  <c r="Q2006" i="15"/>
  <c r="R2006" i="15"/>
  <c r="S2006" i="15"/>
  <c r="E1685" i="15"/>
  <c r="G1685" i="15"/>
  <c r="F1685" i="15"/>
  <c r="F2561" i="15"/>
  <c r="G2561" i="15"/>
  <c r="E2561" i="15"/>
  <c r="J3069" i="15"/>
  <c r="I3069" i="15"/>
  <c r="H3069" i="15"/>
  <c r="W656" i="15"/>
  <c r="X656" i="15"/>
  <c r="Y656" i="15"/>
  <c r="T1496" i="15"/>
  <c r="V1496" i="15"/>
  <c r="U1496" i="15"/>
  <c r="AI656" i="15"/>
  <c r="AK656" i="15"/>
  <c r="AJ656" i="15"/>
  <c r="K3069" i="15"/>
  <c r="M3069" i="15"/>
  <c r="L3069" i="15"/>
  <c r="P2006" i="15"/>
  <c r="O2006" i="15"/>
  <c r="N2006" i="15"/>
  <c r="AK1435" i="15"/>
  <c r="AI1435" i="15"/>
  <c r="AJ1435" i="15"/>
  <c r="C3069" i="15"/>
  <c r="D3069" i="15"/>
  <c r="B3069" i="15"/>
  <c r="Y396" i="15"/>
  <c r="X396" i="15"/>
  <c r="W396" i="15"/>
  <c r="I1496" i="15"/>
  <c r="H1496" i="15"/>
  <c r="J1496" i="15"/>
  <c r="R2235" i="15"/>
  <c r="S2235" i="15"/>
  <c r="Q2235" i="15"/>
  <c r="N656" i="15"/>
  <c r="O656" i="15"/>
  <c r="P656" i="15"/>
  <c r="AI2006" i="15"/>
  <c r="AJ2006" i="15"/>
  <c r="AK2006" i="15"/>
  <c r="O2561" i="15"/>
  <c r="P2561" i="15"/>
  <c r="N2561" i="15"/>
  <c r="E396" i="15"/>
  <c r="G396" i="15"/>
  <c r="F396" i="15"/>
  <c r="U2561" i="15"/>
  <c r="V2561" i="15"/>
  <c r="T2561" i="15"/>
  <c r="C1461" i="15"/>
  <c r="D1461" i="15"/>
  <c r="B1461" i="15"/>
  <c r="G1496" i="15"/>
  <c r="E1496" i="15"/>
  <c r="F1496" i="15"/>
  <c r="O396" i="15"/>
  <c r="P396" i="15"/>
  <c r="AJ3027" i="15"/>
  <c r="AI3027" i="15"/>
  <c r="AK3027" i="15"/>
  <c r="AJ1461" i="15"/>
  <c r="AK1461" i="15"/>
  <c r="AI1461" i="15"/>
  <c r="AH3069" i="15"/>
  <c r="AF3069" i="15"/>
  <c r="AG3069" i="15"/>
  <c r="AA1496" i="15"/>
  <c r="AB1496" i="15"/>
  <c r="Z1496" i="15"/>
  <c r="H396" i="15"/>
  <c r="I396" i="15"/>
  <c r="J396" i="15"/>
  <c r="M602" i="15"/>
  <c r="L602" i="15"/>
  <c r="K602" i="15"/>
  <c r="N2235" i="15"/>
  <c r="P2235" i="15"/>
  <c r="O2235" i="15"/>
  <c r="I2561" i="15"/>
  <c r="H2561" i="15"/>
  <c r="J2561" i="15"/>
  <c r="N1144" i="15"/>
  <c r="O1144" i="15"/>
  <c r="P1144" i="15"/>
  <c r="AD1496" i="15"/>
  <c r="AC1496" i="15"/>
  <c r="AE1496" i="15"/>
  <c r="V3069" i="15"/>
  <c r="U3069" i="15"/>
  <c r="T3069" i="15"/>
  <c r="N1496" i="15"/>
  <c r="P1496" i="15"/>
  <c r="O1496" i="15"/>
  <c r="L1496" i="15"/>
  <c r="M1496" i="15"/>
  <c r="K1496" i="15"/>
  <c r="AE645" i="15"/>
  <c r="AD645" i="15"/>
  <c r="AC645" i="15"/>
  <c r="AI2584" i="15"/>
  <c r="AK2584" i="15"/>
  <c r="AJ2584" i="15"/>
  <c r="AB3069" i="15"/>
  <c r="Z3069" i="15"/>
  <c r="AA3069" i="15"/>
  <c r="V656" i="15"/>
  <c r="U656" i="15"/>
  <c r="T656" i="15"/>
  <c r="AJ3088" i="15"/>
  <c r="AI3088" i="15"/>
  <c r="AK3088" i="15"/>
  <c r="U414" i="15"/>
  <c r="T414" i="15"/>
  <c r="V414" i="15"/>
  <c r="T3106" i="15"/>
  <c r="C2923" i="15"/>
  <c r="C2925" i="15"/>
  <c r="C2921" i="15"/>
  <c r="C3226" i="15"/>
  <c r="AI2624" i="15"/>
  <c r="AI3243" i="15"/>
  <c r="AF2623" i="15"/>
  <c r="AF3242" i="15"/>
  <c r="AF2616" i="15"/>
  <c r="AF3235" i="15"/>
  <c r="AI2623" i="15"/>
  <c r="AI3242" i="15"/>
  <c r="AI2633" i="15"/>
  <c r="AI3246" i="15"/>
  <c r="AF2633" i="15"/>
  <c r="AF3246" i="15"/>
  <c r="AF2605" i="15"/>
  <c r="AF3230" i="15"/>
  <c r="AF2606" i="15"/>
  <c r="AF3231" i="15"/>
  <c r="AF2615" i="15"/>
  <c r="AF3234" i="15"/>
  <c r="AF2634" i="15"/>
  <c r="AF3247" i="15"/>
  <c r="AI2605" i="15"/>
  <c r="AI3230" i="15"/>
  <c r="AI2634" i="15"/>
  <c r="AI3247" i="15"/>
  <c r="AI2615" i="15"/>
  <c r="AI3234" i="15"/>
  <c r="AI2616" i="15"/>
  <c r="AI3235" i="15"/>
  <c r="AF2624" i="15"/>
  <c r="AF3243" i="15"/>
  <c r="AI2606" i="15"/>
  <c r="AI3231" i="15"/>
  <c r="X2628" i="15"/>
  <c r="X3232" i="15"/>
  <c r="R2603" i="15"/>
  <c r="R3226" i="15"/>
  <c r="O2605" i="15"/>
  <c r="O3228" i="15"/>
  <c r="R2607" i="15"/>
  <c r="R3230" i="15"/>
  <c r="O2606" i="15"/>
  <c r="O3229" i="15"/>
  <c r="L2604" i="15"/>
  <c r="L3230" i="15"/>
  <c r="I2601" i="15"/>
  <c r="I3227" i="15"/>
  <c r="L2601" i="15"/>
  <c r="L3227" i="15"/>
  <c r="L2603" i="15"/>
  <c r="L3229" i="15"/>
  <c r="L2600" i="15"/>
  <c r="L3226" i="15"/>
  <c r="L2605" i="15"/>
  <c r="L3231" i="15"/>
  <c r="F2600" i="15"/>
  <c r="F3226" i="15"/>
  <c r="C2603" i="15"/>
  <c r="C3229" i="15"/>
  <c r="F2603" i="15"/>
  <c r="F3229" i="15"/>
  <c r="F2604" i="15"/>
  <c r="F3230" i="15"/>
  <c r="C2601" i="15"/>
  <c r="C3227" i="15"/>
  <c r="F2601" i="15"/>
  <c r="F3227" i="15"/>
  <c r="F2602" i="15"/>
  <c r="F3228" i="15"/>
  <c r="F2605" i="15"/>
  <c r="F3231" i="15"/>
  <c r="AF2629" i="15"/>
  <c r="AF3101" i="15"/>
  <c r="AI2611" i="15"/>
  <c r="AI3095" i="15"/>
  <c r="AI2612" i="15"/>
  <c r="AI3096" i="15"/>
  <c r="AF2662" i="15"/>
  <c r="AF3119" i="15"/>
  <c r="AI2630" i="15"/>
  <c r="AI3102" i="15"/>
  <c r="AF2630" i="15"/>
  <c r="AF3102" i="15"/>
  <c r="AJ2662" i="15"/>
  <c r="AJ3119" i="15"/>
  <c r="AI2662" i="15"/>
  <c r="AI3119" i="15"/>
  <c r="AF2611" i="15"/>
  <c r="AF3095" i="15"/>
  <c r="AI2629" i="15"/>
  <c r="AI3101" i="15"/>
  <c r="AF2612" i="15"/>
  <c r="AF3096" i="15"/>
  <c r="W2648" i="15"/>
  <c r="W3106" i="15"/>
  <c r="Q2643" i="15"/>
  <c r="Q3031" i="15"/>
  <c r="Q2644" i="15"/>
  <c r="Q3032" i="15"/>
  <c r="Q2645" i="15"/>
  <c r="Q3033" i="15"/>
  <c r="AF2722" i="15"/>
  <c r="AF2962" i="15"/>
  <c r="AG2577" i="15"/>
  <c r="AG2958" i="15"/>
  <c r="AG2721" i="15"/>
  <c r="AG2961" i="15"/>
  <c r="AF2578" i="15"/>
  <c r="AF2959" i="15"/>
  <c r="AG2578" i="15"/>
  <c r="AG2959" i="15"/>
  <c r="AG2722" i="15"/>
  <c r="AG2962" i="15"/>
  <c r="R2682" i="15"/>
  <c r="R2954" i="15"/>
  <c r="F2612" i="15"/>
  <c r="F2921" i="15"/>
  <c r="F2614" i="15"/>
  <c r="F2923" i="15"/>
  <c r="F2616" i="15"/>
  <c r="F2925" i="15"/>
  <c r="F2613" i="15"/>
  <c r="F2922" i="15"/>
  <c r="C2617" i="15"/>
  <c r="C2926" i="15"/>
  <c r="AF2447" i="15"/>
  <c r="AF2721" i="15"/>
  <c r="AG2419" i="15"/>
  <c r="AG2662" i="15"/>
  <c r="AH2449" i="15"/>
  <c r="AH2723" i="15"/>
  <c r="U2252" i="15"/>
  <c r="U2629" i="15"/>
  <c r="U2255" i="15"/>
  <c r="U2632" i="15"/>
  <c r="X2253" i="15"/>
  <c r="X2630" i="15"/>
  <c r="X2255" i="15"/>
  <c r="X2632" i="15"/>
  <c r="X2418" i="15"/>
  <c r="X2648" i="15"/>
  <c r="T2418" i="15"/>
  <c r="T2648" i="15"/>
  <c r="U2418" i="15"/>
  <c r="U2648" i="15"/>
  <c r="X2254" i="15"/>
  <c r="X2631" i="15"/>
  <c r="U2253" i="15"/>
  <c r="U2630" i="15"/>
  <c r="X2252" i="15"/>
  <c r="X2629" i="15"/>
  <c r="U2254" i="15"/>
  <c r="U2631" i="15"/>
  <c r="R2251" i="15"/>
  <c r="R2604" i="15"/>
  <c r="R2253" i="15"/>
  <c r="R2606" i="15"/>
  <c r="O2251" i="15"/>
  <c r="O2604" i="15"/>
  <c r="R2252" i="15"/>
  <c r="R2605" i="15"/>
  <c r="O2255" i="15"/>
  <c r="O2608" i="15"/>
  <c r="R2255" i="15"/>
  <c r="R2608" i="15"/>
  <c r="Q2532" i="15"/>
  <c r="Q2647" i="15"/>
  <c r="Q2531" i="15"/>
  <c r="Q2646" i="15"/>
  <c r="L2251" i="15"/>
  <c r="L2602" i="15"/>
  <c r="I2254" i="15"/>
  <c r="I2605" i="15"/>
  <c r="I2251" i="15"/>
  <c r="I2602" i="15"/>
  <c r="I2253" i="15"/>
  <c r="I2604" i="15"/>
  <c r="I2252" i="15"/>
  <c r="I2603" i="15"/>
  <c r="C2410" i="15"/>
  <c r="C2613" i="15"/>
  <c r="F2412" i="15"/>
  <c r="F2615" i="15"/>
  <c r="C2409" i="15"/>
  <c r="C2612" i="15"/>
  <c r="C2412" i="15"/>
  <c r="C2615" i="15"/>
  <c r="C2411" i="15"/>
  <c r="C2614" i="15"/>
  <c r="C2249" i="15"/>
  <c r="C2600" i="15"/>
  <c r="C2413" i="15"/>
  <c r="C2616" i="15"/>
  <c r="C2254" i="15"/>
  <c r="C2605" i="15"/>
  <c r="C2253" i="15"/>
  <c r="C2604" i="15"/>
  <c r="C2251" i="15"/>
  <c r="C2602" i="15"/>
  <c r="AF2444" i="15"/>
  <c r="AF2577" i="15"/>
  <c r="AH2446" i="15"/>
  <c r="AH2579" i="15"/>
  <c r="Q1465" i="15"/>
  <c r="Q2530" i="15"/>
  <c r="Q1463" i="15"/>
  <c r="Q2528" i="15"/>
  <c r="Q1464" i="15"/>
  <c r="Q2529" i="15"/>
  <c r="AG1918" i="15"/>
  <c r="AG2445" i="15"/>
  <c r="AI2059" i="15"/>
  <c r="AI2419" i="15"/>
  <c r="AF2059" i="15"/>
  <c r="AF2419" i="15"/>
  <c r="AG1921" i="15"/>
  <c r="AG2448" i="15"/>
  <c r="AF1921" i="15"/>
  <c r="AF2448" i="15"/>
  <c r="AF1918" i="15"/>
  <c r="AF2445" i="15"/>
  <c r="AG1917" i="15"/>
  <c r="AG2444" i="15"/>
  <c r="AG1920" i="15"/>
  <c r="AG2447" i="15"/>
  <c r="AJ2059" i="15"/>
  <c r="AJ2419" i="15"/>
  <c r="W2031" i="15"/>
  <c r="W2418" i="15"/>
  <c r="F1848" i="15"/>
  <c r="F2410" i="15"/>
  <c r="C1852" i="15"/>
  <c r="C2414" i="15"/>
  <c r="F1849" i="15"/>
  <c r="F2411" i="15"/>
  <c r="F1847" i="15"/>
  <c r="F2409" i="15"/>
  <c r="F1851" i="15"/>
  <c r="F2413" i="15"/>
  <c r="AI2042" i="15"/>
  <c r="AI2272" i="15"/>
  <c r="AI2014" i="15"/>
  <c r="AI2244" i="15"/>
  <c r="AF2023" i="15"/>
  <c r="AF2253" i="15"/>
  <c r="AF2024" i="15"/>
  <c r="AF2254" i="15"/>
  <c r="AI2032" i="15"/>
  <c r="AI2262" i="15"/>
  <c r="AF2031" i="15"/>
  <c r="AF2261" i="15"/>
  <c r="AF2019" i="15"/>
  <c r="AF2249" i="15"/>
  <c r="AI2031" i="15"/>
  <c r="AI2261" i="15"/>
  <c r="AI2037" i="15"/>
  <c r="AI2267" i="15"/>
  <c r="AI2038" i="15"/>
  <c r="AI2268" i="15"/>
  <c r="AF2032" i="15"/>
  <c r="AF2262" i="15"/>
  <c r="AI2041" i="15"/>
  <c r="AI2271" i="15"/>
  <c r="AF2041" i="15"/>
  <c r="AF2271" i="15"/>
  <c r="AF2020" i="15"/>
  <c r="AF2250" i="15"/>
  <c r="AF2013" i="15"/>
  <c r="AF2243" i="15"/>
  <c r="AF2014" i="15"/>
  <c r="AF2244" i="15"/>
  <c r="AF2042" i="15"/>
  <c r="AF2272" i="15"/>
  <c r="AI2013" i="15"/>
  <c r="AI2243" i="15"/>
  <c r="AI2023" i="15"/>
  <c r="AI2253" i="15"/>
  <c r="AI2024" i="15"/>
  <c r="AI2254" i="15"/>
  <c r="AF2038" i="15"/>
  <c r="AF2268" i="15"/>
  <c r="AF2037" i="15"/>
  <c r="AF2267" i="15"/>
  <c r="AI2019" i="15"/>
  <c r="AI2249" i="15"/>
  <c r="AI2020" i="15"/>
  <c r="AI2250" i="15"/>
  <c r="X2021" i="15"/>
  <c r="X2251" i="15"/>
  <c r="O2024" i="15"/>
  <c r="O2253" i="15"/>
  <c r="O2023" i="15"/>
  <c r="O2252" i="15"/>
  <c r="R2066" i="15"/>
  <c r="R2281" i="15"/>
  <c r="R2021" i="15"/>
  <c r="R2250" i="15"/>
  <c r="R2025" i="15"/>
  <c r="R2254" i="15"/>
  <c r="L2024" i="15"/>
  <c r="L2253" i="15"/>
  <c r="L2020" i="15"/>
  <c r="L2249" i="15"/>
  <c r="L2025" i="15"/>
  <c r="L2254" i="15"/>
  <c r="L2021" i="15"/>
  <c r="L2250" i="15"/>
  <c r="I2021" i="15"/>
  <c r="I2250" i="15"/>
  <c r="L2023" i="15"/>
  <c r="L2252" i="15"/>
  <c r="F2025" i="15"/>
  <c r="F2254" i="15"/>
  <c r="F2022" i="15"/>
  <c r="F2251" i="15"/>
  <c r="F2024" i="15"/>
  <c r="F2253" i="15"/>
  <c r="C2021" i="15"/>
  <c r="C2250" i="15"/>
  <c r="F2021" i="15"/>
  <c r="F2250" i="15"/>
  <c r="F2020" i="15"/>
  <c r="F2249" i="15"/>
  <c r="C2023" i="15"/>
  <c r="C2252" i="15"/>
  <c r="F2023" i="15"/>
  <c r="F2252" i="15"/>
  <c r="AG1516" i="15"/>
  <c r="AG2059" i="15"/>
  <c r="U1528" i="15"/>
  <c r="U2031" i="15"/>
  <c r="X1704" i="15"/>
  <c r="X2024" i="15"/>
  <c r="U1703" i="15"/>
  <c r="U2023" i="15"/>
  <c r="X1702" i="15"/>
  <c r="X2022" i="15"/>
  <c r="U1704" i="15"/>
  <c r="U2024" i="15"/>
  <c r="X1703" i="15"/>
  <c r="X2023" i="15"/>
  <c r="U1702" i="15"/>
  <c r="U2022" i="15"/>
  <c r="T1528" i="15"/>
  <c r="T2031" i="15"/>
  <c r="X1705" i="15"/>
  <c r="X2025" i="15"/>
  <c r="U1705" i="15"/>
  <c r="U2025" i="15"/>
  <c r="X1528" i="15"/>
  <c r="X2031" i="15"/>
  <c r="R1706" i="15"/>
  <c r="R2026" i="15"/>
  <c r="O1706" i="15"/>
  <c r="O2026" i="15"/>
  <c r="R1702" i="15"/>
  <c r="R2022" i="15"/>
  <c r="O1702" i="15"/>
  <c r="O2022" i="15"/>
  <c r="R1703" i="15"/>
  <c r="R2023" i="15"/>
  <c r="R1704" i="15"/>
  <c r="R2024" i="15"/>
  <c r="I1706" i="15"/>
  <c r="I2025" i="15"/>
  <c r="I1703" i="15"/>
  <c r="I2022" i="15"/>
  <c r="L1703" i="15"/>
  <c r="L2022" i="15"/>
  <c r="I1705" i="15"/>
  <c r="I2024" i="15"/>
  <c r="I1704" i="15"/>
  <c r="I2023" i="15"/>
  <c r="C1706" i="15"/>
  <c r="C2025" i="15"/>
  <c r="C1701" i="15"/>
  <c r="C2020" i="15"/>
  <c r="C1705" i="15"/>
  <c r="C2024" i="15"/>
  <c r="C1703" i="15"/>
  <c r="C2022" i="15"/>
  <c r="AF1560" i="15"/>
  <c r="AF1920" i="15"/>
  <c r="AF1557" i="15"/>
  <c r="AF1917" i="15"/>
  <c r="AH1562" i="15"/>
  <c r="AH1922" i="15"/>
  <c r="AH1559" i="15"/>
  <c r="AH1919" i="15"/>
  <c r="AJ1144" i="15"/>
  <c r="C1714" i="15"/>
  <c r="C1848" i="15"/>
  <c r="F1716" i="15"/>
  <c r="F1850" i="15"/>
  <c r="C1717" i="15"/>
  <c r="C1851" i="15"/>
  <c r="C1713" i="15"/>
  <c r="C1847" i="15"/>
  <c r="C1716" i="15"/>
  <c r="C1850" i="15"/>
  <c r="C1715" i="15"/>
  <c r="C1849" i="15"/>
  <c r="AG1144" i="15"/>
  <c r="AK1144" i="15"/>
  <c r="AF1144" i="15"/>
  <c r="AI1162" i="15"/>
  <c r="AI1719" i="15"/>
  <c r="AF1162" i="15"/>
  <c r="AF1719" i="15"/>
  <c r="AF1276" i="15"/>
  <c r="AF1698" i="15"/>
  <c r="AF1153" i="15"/>
  <c r="AF1691" i="15"/>
  <c r="AF1273" i="15"/>
  <c r="AF1692" i="15"/>
  <c r="AH1144" i="15"/>
  <c r="AI1161" i="15"/>
  <c r="AI1715" i="15"/>
  <c r="AF1287" i="15"/>
  <c r="AF1720" i="15"/>
  <c r="AF1161" i="15"/>
  <c r="AF1715" i="15"/>
  <c r="AI1155" i="15"/>
  <c r="AI1697" i="15"/>
  <c r="AI1276" i="15"/>
  <c r="AI1698" i="15"/>
  <c r="AI1144" i="15"/>
  <c r="AI1287" i="15"/>
  <c r="AI1720" i="15"/>
  <c r="AI1156" i="15"/>
  <c r="AI1701" i="15"/>
  <c r="AI1285" i="15"/>
  <c r="AI1716" i="15"/>
  <c r="AI1159" i="15"/>
  <c r="AI1709" i="15"/>
  <c r="AI1153" i="15"/>
  <c r="AI1691" i="15"/>
  <c r="AI1278" i="15"/>
  <c r="AI1702" i="15"/>
  <c r="AF1282" i="15"/>
  <c r="AF1710" i="15"/>
  <c r="AI1273" i="15"/>
  <c r="AI1692" i="15"/>
  <c r="AF1285" i="15"/>
  <c r="AF1716" i="15"/>
  <c r="AF1156" i="15"/>
  <c r="AF1701" i="15"/>
  <c r="AF1278" i="15"/>
  <c r="AF1702" i="15"/>
  <c r="AI1282" i="15"/>
  <c r="AI1710" i="15"/>
  <c r="AF1159" i="15"/>
  <c r="AF1709" i="15"/>
  <c r="AF1155" i="15"/>
  <c r="AF1697" i="15"/>
  <c r="X1111" i="15"/>
  <c r="X1701" i="15"/>
  <c r="R1152" i="15"/>
  <c r="R1705" i="15"/>
  <c r="O1272" i="15"/>
  <c r="O1704" i="15"/>
  <c r="R1111" i="15"/>
  <c r="R1701" i="15"/>
  <c r="O1151" i="15"/>
  <c r="O1703" i="15"/>
  <c r="L1271" i="15"/>
  <c r="L1704" i="15"/>
  <c r="L1270" i="15"/>
  <c r="L1702" i="15"/>
  <c r="I1270" i="15"/>
  <c r="I1702" i="15"/>
  <c r="L1111" i="15"/>
  <c r="L1701" i="15"/>
  <c r="L1272" i="15"/>
  <c r="L1706" i="15"/>
  <c r="L1151" i="15"/>
  <c r="L1705" i="15"/>
  <c r="F1352" i="15"/>
  <c r="F1714" i="15"/>
  <c r="F1271" i="15"/>
  <c r="F1704" i="15"/>
  <c r="F1113" i="15"/>
  <c r="F1715" i="15"/>
  <c r="F1150" i="15"/>
  <c r="F1703" i="15"/>
  <c r="C1271" i="15"/>
  <c r="C1704" i="15"/>
  <c r="F1112" i="15"/>
  <c r="F1713" i="15"/>
  <c r="F1272" i="15"/>
  <c r="F1706" i="15"/>
  <c r="C1353" i="15"/>
  <c r="C1718" i="15"/>
  <c r="F1151" i="15"/>
  <c r="F1705" i="15"/>
  <c r="C1270" i="15"/>
  <c r="C1702" i="15"/>
  <c r="F1270" i="15"/>
  <c r="F1702" i="15"/>
  <c r="F1114" i="15"/>
  <c r="F1717" i="15"/>
  <c r="F1111" i="15"/>
  <c r="F1701" i="15"/>
  <c r="R1370" i="15"/>
  <c r="R1530" i="15"/>
  <c r="W1164" i="15"/>
  <c r="W1528" i="15"/>
  <c r="AJ1164" i="15"/>
  <c r="AJ1516" i="15"/>
  <c r="AI1164" i="15"/>
  <c r="AI1516" i="15"/>
  <c r="AG1400" i="15"/>
  <c r="AG1561" i="15"/>
  <c r="AF1400" i="15"/>
  <c r="AF1561" i="15"/>
  <c r="AF1397" i="15"/>
  <c r="AF1558" i="15"/>
  <c r="AG1399" i="15"/>
  <c r="AG1560" i="15"/>
  <c r="AF1164" i="15"/>
  <c r="AF1516" i="15"/>
  <c r="AG1396" i="15"/>
  <c r="AG1557" i="15"/>
  <c r="AG1397" i="15"/>
  <c r="AG1558" i="15"/>
  <c r="Q999" i="15"/>
  <c r="Q1467" i="15"/>
  <c r="Q998" i="15"/>
  <c r="Q1466" i="15"/>
  <c r="C750" i="15"/>
  <c r="C1352" i="15"/>
  <c r="AH1053" i="15"/>
  <c r="AH1398" i="15"/>
  <c r="AF1051" i="15"/>
  <c r="AF1396" i="15"/>
  <c r="AH1056" i="15"/>
  <c r="AH1401" i="15"/>
  <c r="AF1054" i="15"/>
  <c r="AF1399" i="15"/>
  <c r="U986" i="15"/>
  <c r="U1285" i="15"/>
  <c r="X988" i="15"/>
  <c r="X1286" i="15"/>
  <c r="X986" i="15"/>
  <c r="X1285" i="15"/>
  <c r="U988" i="15"/>
  <c r="U1286" i="15"/>
  <c r="R981" i="15"/>
  <c r="R1271" i="15"/>
  <c r="O981" i="15"/>
  <c r="O1271" i="15"/>
  <c r="R983" i="15"/>
  <c r="R1272" i="15"/>
  <c r="O985" i="15"/>
  <c r="O1273" i="15"/>
  <c r="R985" i="15"/>
  <c r="R1273" i="15"/>
  <c r="I984" i="15"/>
  <c r="I1272" i="15"/>
  <c r="I982" i="15"/>
  <c r="I1271" i="15"/>
  <c r="C752" i="15"/>
  <c r="C1279" i="15"/>
  <c r="F752" i="15"/>
  <c r="F1279" i="15"/>
  <c r="C984" i="15"/>
  <c r="C1272" i="15"/>
  <c r="C983" i="15"/>
  <c r="C1151" i="15"/>
  <c r="C981" i="15"/>
  <c r="C1150" i="15"/>
  <c r="L981" i="15"/>
  <c r="L1150" i="15"/>
  <c r="I981" i="15"/>
  <c r="I1150" i="15"/>
  <c r="I983" i="15"/>
  <c r="I1151" i="15"/>
  <c r="R982" i="15"/>
  <c r="R1151" i="15"/>
  <c r="U987" i="15"/>
  <c r="U1162" i="15"/>
  <c r="X987" i="15"/>
  <c r="X1162" i="15"/>
  <c r="T769" i="15"/>
  <c r="T1164" i="15"/>
  <c r="X989" i="15"/>
  <c r="X1163" i="15"/>
  <c r="U989" i="15"/>
  <c r="U1163" i="15"/>
  <c r="X769" i="15"/>
  <c r="X1164" i="15"/>
  <c r="U769" i="15"/>
  <c r="U1164" i="15"/>
  <c r="AG775" i="15"/>
  <c r="AG1164" i="15"/>
  <c r="C749" i="15"/>
  <c r="C1112" i="15"/>
  <c r="C753" i="15"/>
  <c r="C1114" i="15"/>
  <c r="C751" i="15"/>
  <c r="C1113" i="15"/>
  <c r="C979" i="15"/>
  <c r="C1111" i="15"/>
  <c r="AG622" i="15"/>
  <c r="AG1055" i="15"/>
  <c r="AF686" i="15"/>
  <c r="AF1001" i="15"/>
  <c r="AI668" i="15"/>
  <c r="AI983" i="15"/>
  <c r="AI669" i="15"/>
  <c r="AI984" i="15"/>
  <c r="AF622" i="15"/>
  <c r="AF1055" i="15"/>
  <c r="AF619" i="15"/>
  <c r="AF1052" i="15"/>
  <c r="AI662" i="15"/>
  <c r="AI977" i="15"/>
  <c r="AG618" i="15"/>
  <c r="AG1051" i="15"/>
  <c r="AI691" i="15"/>
  <c r="AI1006" i="15"/>
  <c r="AI672" i="15"/>
  <c r="AI987" i="15"/>
  <c r="AI687" i="15"/>
  <c r="AI1002" i="15"/>
  <c r="AG621" i="15"/>
  <c r="AG1054" i="15"/>
  <c r="AI673" i="15"/>
  <c r="AI988" i="15"/>
  <c r="AF681" i="15"/>
  <c r="AF996" i="15"/>
  <c r="AI663" i="15"/>
  <c r="AI978" i="15"/>
  <c r="AF687" i="15"/>
  <c r="AF1002" i="15"/>
  <c r="AF691" i="15"/>
  <c r="AF1006" i="15"/>
  <c r="AF672" i="15"/>
  <c r="AF987" i="15"/>
  <c r="AF673" i="15"/>
  <c r="AF988" i="15"/>
  <c r="AI681" i="15"/>
  <c r="AI996" i="15"/>
  <c r="AF680" i="15"/>
  <c r="AF995" i="15"/>
  <c r="AF668" i="15"/>
  <c r="AF983" i="15"/>
  <c r="AI680" i="15"/>
  <c r="AI995" i="15"/>
  <c r="AI686" i="15"/>
  <c r="AI1001" i="15"/>
  <c r="AI690" i="15"/>
  <c r="AI1005" i="15"/>
  <c r="AF690" i="15"/>
  <c r="AF1005" i="15"/>
  <c r="AF669" i="15"/>
  <c r="AF984" i="15"/>
  <c r="AF662" i="15"/>
  <c r="AF977" i="15"/>
  <c r="AF663" i="15"/>
  <c r="AF978" i="15"/>
  <c r="AG619" i="15"/>
  <c r="AG1052" i="15"/>
  <c r="X672" i="15"/>
  <c r="X985" i="15"/>
  <c r="Q364" i="15"/>
  <c r="Q995" i="15"/>
  <c r="Q365" i="15"/>
  <c r="Q996" i="15"/>
  <c r="R676" i="15"/>
  <c r="R984" i="15"/>
  <c r="Q366" i="15"/>
  <c r="Q997" i="15"/>
  <c r="O675" i="15"/>
  <c r="O983" i="15"/>
  <c r="R672" i="15"/>
  <c r="R980" i="15"/>
  <c r="O674" i="15"/>
  <c r="O982" i="15"/>
  <c r="I673" i="15"/>
  <c r="I980" i="15"/>
  <c r="L673" i="15"/>
  <c r="L980" i="15"/>
  <c r="L675" i="15"/>
  <c r="L982" i="15"/>
  <c r="L672" i="15"/>
  <c r="L979" i="15"/>
  <c r="L677" i="15"/>
  <c r="L984" i="15"/>
  <c r="L676" i="15"/>
  <c r="L983" i="15"/>
  <c r="F672" i="15"/>
  <c r="F979" i="15"/>
  <c r="F676" i="15"/>
  <c r="F983" i="15"/>
  <c r="F673" i="15"/>
  <c r="F980" i="15"/>
  <c r="C675" i="15"/>
  <c r="C982" i="15"/>
  <c r="F675" i="15"/>
  <c r="F982" i="15"/>
  <c r="C673" i="15"/>
  <c r="C980" i="15"/>
  <c r="F674" i="15"/>
  <c r="F981" i="15"/>
  <c r="F677" i="15"/>
  <c r="F984" i="15"/>
  <c r="AJ444" i="15"/>
  <c r="AJ775" i="15"/>
  <c r="AF444" i="15"/>
  <c r="AF602" i="15" s="1"/>
  <c r="AF775" i="15"/>
  <c r="AI444" i="15"/>
  <c r="AI602" i="15" s="1"/>
  <c r="AI775" i="15"/>
  <c r="W452" i="15"/>
  <c r="W769" i="15"/>
  <c r="R449" i="15"/>
  <c r="R794" i="15"/>
  <c r="F420" i="15"/>
  <c r="F753" i="15"/>
  <c r="C421" i="15"/>
  <c r="C754" i="15"/>
  <c r="F417" i="15"/>
  <c r="F750" i="15"/>
  <c r="F418" i="15"/>
  <c r="F751" i="15"/>
  <c r="F416" i="15"/>
  <c r="F749" i="15"/>
  <c r="C20" i="15"/>
  <c r="C672" i="15"/>
  <c r="C25" i="15"/>
  <c r="C677" i="15"/>
  <c r="C24" i="15"/>
  <c r="C676" i="15"/>
  <c r="C22" i="15"/>
  <c r="C674" i="15"/>
  <c r="I23" i="15"/>
  <c r="I675" i="15"/>
  <c r="I24" i="15"/>
  <c r="I676" i="15"/>
  <c r="L22" i="15"/>
  <c r="L674" i="15"/>
  <c r="I25" i="15"/>
  <c r="I677" i="15"/>
  <c r="I22" i="15"/>
  <c r="I674" i="15"/>
  <c r="R28" i="15"/>
  <c r="R677" i="15"/>
  <c r="R25" i="15"/>
  <c r="R674" i="15"/>
  <c r="O28" i="15"/>
  <c r="O677" i="15"/>
  <c r="O24" i="15"/>
  <c r="O673" i="15"/>
  <c r="R24" i="15"/>
  <c r="R673" i="15"/>
  <c r="R26" i="15"/>
  <c r="R675" i="15"/>
  <c r="X54" i="15"/>
  <c r="X675" i="15"/>
  <c r="U53" i="15"/>
  <c r="U674" i="15"/>
  <c r="X52" i="15"/>
  <c r="X673" i="15"/>
  <c r="U54" i="15"/>
  <c r="U675" i="15"/>
  <c r="X53" i="15"/>
  <c r="X674" i="15"/>
  <c r="U52" i="15"/>
  <c r="U673" i="15"/>
  <c r="U55" i="15"/>
  <c r="U676" i="15"/>
  <c r="X55" i="15"/>
  <c r="X676" i="15"/>
  <c r="AF162" i="15"/>
  <c r="AF621" i="15"/>
  <c r="AF159" i="15"/>
  <c r="AF618" i="15"/>
  <c r="AH164" i="15"/>
  <c r="AH623" i="15"/>
  <c r="AH161" i="15"/>
  <c r="AH620" i="15"/>
  <c r="AG84" i="15"/>
  <c r="AG444" i="15"/>
  <c r="X71" i="15"/>
  <c r="X452" i="15"/>
  <c r="U71" i="15"/>
  <c r="U452" i="15"/>
  <c r="T71" i="15"/>
  <c r="T452" i="15"/>
  <c r="C33" i="15"/>
  <c r="C417" i="15"/>
  <c r="F35" i="15"/>
  <c r="F419" i="15"/>
  <c r="C36" i="15"/>
  <c r="C420" i="15"/>
  <c r="C32" i="15"/>
  <c r="C416" i="15"/>
  <c r="C35" i="15"/>
  <c r="C419" i="15"/>
  <c r="C34" i="15"/>
  <c r="C418" i="15"/>
  <c r="Q72" i="15"/>
  <c r="Q368" i="15"/>
  <c r="Q71" i="15"/>
  <c r="Q367" i="15"/>
  <c r="AF45" i="15"/>
  <c r="AI51" i="15"/>
  <c r="AI55" i="15"/>
  <c r="AF55" i="15"/>
  <c r="AF34" i="15"/>
  <c r="AF27" i="15"/>
  <c r="AF28" i="15"/>
  <c r="EW189" i="7"/>
  <c r="AG160" i="15"/>
  <c r="AI45" i="15"/>
  <c r="AF56" i="15"/>
  <c r="AF84" i="15"/>
  <c r="AI27" i="15"/>
  <c r="EW192" i="7"/>
  <c r="AG163" i="15"/>
  <c r="AF51" i="15"/>
  <c r="AI33" i="15"/>
  <c r="AI34" i="15"/>
  <c r="AF163" i="15"/>
  <c r="AF160" i="15"/>
  <c r="EY188" i="7"/>
  <c r="AG159" i="15"/>
  <c r="AI56" i="15"/>
  <c r="AI37" i="15"/>
  <c r="EY191" i="7"/>
  <c r="AG162" i="15"/>
  <c r="AI46" i="15"/>
  <c r="AI52" i="15"/>
  <c r="AI38" i="15"/>
  <c r="AF46" i="15"/>
  <c r="AI28" i="15"/>
  <c r="AF52" i="15"/>
  <c r="AJ84" i="15"/>
  <c r="AF33" i="15"/>
  <c r="AF37" i="15"/>
  <c r="AF38" i="15"/>
  <c r="AI84" i="15"/>
  <c r="W71" i="15"/>
  <c r="DW65" i="7"/>
  <c r="X51" i="15"/>
  <c r="Q70" i="15"/>
  <c r="DL51" i="7"/>
  <c r="R27" i="15"/>
  <c r="DJ50" i="7"/>
  <c r="O26" i="15"/>
  <c r="DJ47" i="7"/>
  <c r="R23" i="15"/>
  <c r="DJ49" i="7"/>
  <c r="O25" i="15"/>
  <c r="Q68" i="15"/>
  <c r="Q69" i="15"/>
  <c r="R116" i="15"/>
  <c r="F34" i="15"/>
  <c r="L23" i="15"/>
  <c r="F22" i="15"/>
  <c r="CW47" i="7"/>
  <c r="L20" i="15"/>
  <c r="F32" i="15"/>
  <c r="L25" i="15"/>
  <c r="F25" i="15"/>
  <c r="F24" i="15"/>
  <c r="CJ48" i="7"/>
  <c r="C21" i="15"/>
  <c r="F21" i="15"/>
  <c r="F36" i="15"/>
  <c r="L24" i="15"/>
  <c r="F20" i="15"/>
  <c r="F33" i="15"/>
  <c r="CJ50" i="7"/>
  <c r="C23" i="15"/>
  <c r="CJ133" i="7"/>
  <c r="C37" i="15"/>
  <c r="F23" i="15"/>
  <c r="CW48" i="7"/>
  <c r="I21" i="15"/>
  <c r="L21" i="15"/>
  <c r="LP474" i="7"/>
  <c r="LN187" i="7" s="1"/>
  <c r="HU474" i="7"/>
  <c r="HS444" i="7" s="1"/>
  <c r="LL474" i="7"/>
  <c r="LJ194" i="7" s="1"/>
  <c r="JV474" i="7"/>
  <c r="JT194" i="7" s="1"/>
  <c r="JZ474" i="7"/>
  <c r="GH474" i="7"/>
  <c r="GF165" i="7" s="1"/>
  <c r="JO474" i="7"/>
  <c r="JM444" i="7" s="1"/>
  <c r="QC474" i="7"/>
  <c r="NV474" i="7"/>
  <c r="NT444" i="7" s="1"/>
  <c r="BL474" i="7"/>
  <c r="BJ444" i="7" s="1"/>
  <c r="IF474" i="7"/>
  <c r="JD474" i="7"/>
  <c r="BA474" i="7"/>
  <c r="GL474" i="7"/>
  <c r="GJ444" i="7" s="1"/>
  <c r="GX474" i="7"/>
  <c r="GV315" i="7" s="1"/>
  <c r="BW474" i="7"/>
  <c r="BU80" i="7" s="1"/>
  <c r="SL474" i="7"/>
  <c r="SJ444" i="7" s="1"/>
  <c r="JK474" i="7"/>
  <c r="JI444" i="7" s="1"/>
  <c r="IZ474" i="7"/>
  <c r="IX389" i="7" s="1"/>
  <c r="NJ474" i="7"/>
  <c r="NH444" i="7" s="1"/>
  <c r="NF474" i="7"/>
  <c r="ND444" i="7" s="1"/>
  <c r="LE474" i="7"/>
  <c r="LC444" i="7" s="1"/>
  <c r="QG474" i="7"/>
  <c r="SP474" i="7"/>
  <c r="KP474" i="7"/>
  <c r="KN193" i="7" s="1"/>
  <c r="HJ474" i="7"/>
  <c r="HH444" i="7" s="1"/>
  <c r="KT474" i="7"/>
  <c r="LA474" i="7"/>
  <c r="KY188" i="7" s="1"/>
  <c r="NR474" i="7"/>
  <c r="NP444" i="7" s="1"/>
  <c r="MC98" i="7"/>
  <c r="EW100" i="7"/>
  <c r="EW191" i="7"/>
  <c r="EW188" i="7"/>
  <c r="CJ47" i="7"/>
  <c r="DW69" i="7"/>
  <c r="DW100" i="7"/>
  <c r="DW68" i="7"/>
  <c r="CJ132" i="7"/>
  <c r="DW66" i="7"/>
  <c r="CW50" i="7"/>
  <c r="DW67" i="7"/>
  <c r="CJ129" i="7"/>
  <c r="CJ128" i="7"/>
  <c r="CJ131" i="7"/>
  <c r="CW52" i="7"/>
  <c r="CW49" i="7"/>
  <c r="CW51" i="7"/>
  <c r="DJ52" i="7"/>
  <c r="CJ130" i="7"/>
  <c r="CJ52" i="7"/>
  <c r="CJ51" i="7"/>
  <c r="CJ49" i="7"/>
  <c r="DJ48" i="7"/>
  <c r="DJ51" i="7"/>
  <c r="BC192" i="7"/>
  <c r="BC191" i="7"/>
  <c r="BC193" i="7"/>
  <c r="HL192" i="7"/>
  <c r="HL191" i="7"/>
  <c r="HL193" i="7"/>
  <c r="EY189" i="7"/>
  <c r="EY192" i="7"/>
  <c r="EX188" i="7"/>
  <c r="EX192" i="7"/>
  <c r="EX189" i="7"/>
  <c r="EX191" i="7"/>
  <c r="EY100" i="7"/>
  <c r="EX100" i="7"/>
  <c r="MC160" i="7"/>
  <c r="CL130" i="7"/>
  <c r="CK130" i="7"/>
  <c r="CK131" i="7"/>
  <c r="CL131" i="7"/>
  <c r="CL48" i="7"/>
  <c r="CK48" i="7"/>
  <c r="CL52" i="7"/>
  <c r="CK52" i="7"/>
  <c r="CL47" i="7"/>
  <c r="CK47" i="7"/>
  <c r="CL128" i="7"/>
  <c r="CK128" i="7"/>
  <c r="CL50" i="7"/>
  <c r="CK50" i="7"/>
  <c r="CL133" i="7"/>
  <c r="CK133" i="7"/>
  <c r="CL129" i="7"/>
  <c r="CK129" i="7"/>
  <c r="CL51" i="7"/>
  <c r="CK51" i="7"/>
  <c r="CL49" i="7"/>
  <c r="CK49" i="7"/>
  <c r="CL132" i="7"/>
  <c r="CK132" i="7"/>
  <c r="CY47" i="7"/>
  <c r="CX47" i="7"/>
  <c r="CY52" i="7"/>
  <c r="CX52" i="7"/>
  <c r="CX50" i="7"/>
  <c r="CY50" i="7"/>
  <c r="CY49" i="7"/>
  <c r="CX49" i="7"/>
  <c r="CY51" i="7"/>
  <c r="CX51" i="7"/>
  <c r="CY48" i="7"/>
  <c r="CX48" i="7"/>
  <c r="DK51" i="7"/>
  <c r="DK52" i="7"/>
  <c r="DL52" i="7"/>
  <c r="DK48" i="7"/>
  <c r="DL48" i="7"/>
  <c r="DK50" i="7"/>
  <c r="DL50" i="7"/>
  <c r="DK47" i="7"/>
  <c r="DL47" i="7"/>
  <c r="DL49" i="7"/>
  <c r="DK49" i="7"/>
  <c r="DL271" i="7"/>
  <c r="DK271" i="7"/>
  <c r="MC212" i="7"/>
  <c r="MC77" i="7"/>
  <c r="IT90" i="7"/>
  <c r="MC158" i="7"/>
  <c r="DX66" i="7"/>
  <c r="DY66" i="7"/>
  <c r="DX65" i="7"/>
  <c r="DY65" i="7"/>
  <c r="DX69" i="7"/>
  <c r="DY69" i="7"/>
  <c r="MC116" i="7"/>
  <c r="DX100" i="7"/>
  <c r="DY100" i="7"/>
  <c r="DX68" i="7"/>
  <c r="DY68" i="7"/>
  <c r="DX67" i="7"/>
  <c r="DY67" i="7"/>
  <c r="MC126" i="7"/>
  <c r="MY191" i="7"/>
  <c r="MC122" i="7"/>
  <c r="MC125" i="7"/>
  <c r="MC156" i="7"/>
  <c r="MC121" i="7"/>
  <c r="MC127" i="7"/>
  <c r="MC114" i="7"/>
  <c r="MC119" i="7"/>
  <c r="MC113" i="7"/>
  <c r="MC157" i="7"/>
  <c r="GY191" i="7"/>
  <c r="MC118" i="7"/>
  <c r="MC211" i="7"/>
  <c r="MC78" i="7"/>
  <c r="MC123" i="7"/>
  <c r="MC159" i="7"/>
  <c r="JE193" i="7"/>
  <c r="GY188" i="7"/>
  <c r="MC115" i="7"/>
  <c r="JE192" i="7"/>
  <c r="MN191" i="7"/>
  <c r="MC117" i="7"/>
  <c r="MC191" i="7"/>
  <c r="MC161" i="7"/>
  <c r="MC112" i="7"/>
  <c r="MC120" i="7"/>
  <c r="MC124" i="7"/>
  <c r="MO219" i="7"/>
  <c r="MO214" i="7"/>
  <c r="MD77" i="7"/>
  <c r="MO203" i="7"/>
  <c r="GZ191" i="7"/>
  <c r="MO204" i="7"/>
  <c r="MZ220" i="7"/>
  <c r="MZ219" i="7"/>
  <c r="MD143" i="7"/>
  <c r="MD219" i="7"/>
  <c r="MD125" i="7"/>
  <c r="MD331" i="7"/>
  <c r="MD138" i="7"/>
  <c r="MD139" i="7"/>
  <c r="MD220" i="7"/>
  <c r="MD136" i="7"/>
  <c r="MD332" i="7"/>
  <c r="MD142" i="7"/>
  <c r="MD112" i="7"/>
  <c r="MD159" i="7"/>
  <c r="MD124" i="7"/>
  <c r="MD114" i="7"/>
  <c r="MD140" i="7"/>
  <c r="MD203" i="7"/>
  <c r="MD172" i="7"/>
  <c r="MD126" i="7"/>
  <c r="MD119" i="7"/>
  <c r="MD121" i="7"/>
  <c r="MD118" i="7"/>
  <c r="MD117" i="7"/>
  <c r="MD144" i="7"/>
  <c r="MD33" i="7"/>
  <c r="MO220" i="7"/>
  <c r="MD214" i="7"/>
  <c r="MD156" i="7"/>
  <c r="MD122" i="7"/>
  <c r="MD204" i="7"/>
  <c r="MD123" i="7"/>
  <c r="MD161" i="7"/>
  <c r="MD160" i="7"/>
  <c r="MD127" i="7"/>
  <c r="MD135" i="7"/>
  <c r="MD120" i="7"/>
  <c r="MO213" i="7"/>
  <c r="GZ188" i="7"/>
  <c r="MD158" i="7"/>
  <c r="MD78" i="7"/>
  <c r="MD137" i="7"/>
  <c r="MD141" i="7"/>
  <c r="MD115" i="7"/>
  <c r="MD116" i="7"/>
  <c r="MD157" i="7"/>
  <c r="MD392" i="7"/>
  <c r="MD113" i="7"/>
  <c r="DI226" i="7"/>
  <c r="DI228" i="7"/>
  <c r="DI227" i="7"/>
  <c r="DI229" i="7"/>
  <c r="DI230" i="7"/>
  <c r="DO188" i="7"/>
  <c r="U2977" i="15" s="1"/>
  <c r="EV188" i="7"/>
  <c r="HF192" i="7"/>
  <c r="HF193" i="7"/>
  <c r="DQ100" i="7"/>
  <c r="DV100" i="7"/>
  <c r="HQ193" i="7"/>
  <c r="MM213" i="7"/>
  <c r="EQ67" i="7"/>
  <c r="MI219" i="7"/>
  <c r="LX158" i="7"/>
  <c r="MM219" i="7"/>
  <c r="MB161" i="7"/>
  <c r="MM203" i="7"/>
  <c r="MB157" i="7"/>
  <c r="GT191" i="7"/>
  <c r="AW193" i="7"/>
  <c r="MB144" i="7"/>
  <c r="MB220" i="7"/>
  <c r="MB136" i="7"/>
  <c r="LX138" i="7"/>
  <c r="EQ57" i="7"/>
  <c r="EQ45" i="7"/>
  <c r="AW192" i="7"/>
  <c r="EQ50" i="7"/>
  <c r="MB213" i="7"/>
  <c r="MM204" i="7"/>
  <c r="MX220" i="7"/>
  <c r="MI213" i="7"/>
  <c r="MB172" i="7"/>
  <c r="MB135" i="7"/>
  <c r="MB141" i="7"/>
  <c r="MX219" i="7"/>
  <c r="LX214" i="7"/>
  <c r="MB115" i="7"/>
  <c r="MI203" i="7"/>
  <c r="BH192" i="7"/>
  <c r="LX140" i="7"/>
  <c r="LX143" i="7"/>
  <c r="MM220" i="7"/>
  <c r="MI214" i="7"/>
  <c r="BH191" i="7"/>
  <c r="MB332" i="7"/>
  <c r="EQ46" i="7"/>
  <c r="EQ39" i="7"/>
  <c r="EQ40" i="7"/>
  <c r="EO190" i="7"/>
  <c r="EQ100" i="7"/>
  <c r="EV100" i="7"/>
  <c r="LX136" i="7"/>
  <c r="LX142" i="7"/>
  <c r="MM214" i="7"/>
  <c r="EQ68" i="7"/>
  <c r="LX144" i="7"/>
  <c r="IB193" i="7"/>
  <c r="LX160" i="7"/>
  <c r="HQ192" i="7"/>
  <c r="MB138" i="7"/>
  <c r="LX204" i="7"/>
  <c r="IB191" i="7"/>
  <c r="MB137" i="7"/>
  <c r="MT220" i="7"/>
  <c r="LX161" i="7"/>
  <c r="LX135" i="7"/>
  <c r="LX172" i="7"/>
  <c r="LX157" i="7"/>
  <c r="LX332" i="7"/>
  <c r="MB392" i="7"/>
  <c r="LX220" i="7"/>
  <c r="MB331" i="7"/>
  <c r="LX203" i="7"/>
  <c r="MB204" i="7"/>
  <c r="MB158" i="7"/>
  <c r="MT219" i="7"/>
  <c r="MB214" i="7"/>
  <c r="EQ63" i="7"/>
  <c r="MB159" i="7"/>
  <c r="EQ49" i="7"/>
  <c r="MF193" i="7"/>
  <c r="MN193" i="7" s="1"/>
  <c r="MB124" i="7"/>
  <c r="EQ188" i="7"/>
  <c r="MB219" i="7"/>
  <c r="HQ191" i="7"/>
  <c r="MB160" i="7"/>
  <c r="LX139" i="7"/>
  <c r="LX219" i="7"/>
  <c r="MI204" i="7"/>
  <c r="MB203" i="7"/>
  <c r="MB143" i="7"/>
  <c r="MB33" i="7"/>
  <c r="LX33" i="7"/>
  <c r="MB142" i="7"/>
  <c r="EV191" i="7"/>
  <c r="GQ192" i="7"/>
  <c r="GY192" i="7" s="1"/>
  <c r="GQ189" i="7"/>
  <c r="GY189" i="7" s="1"/>
  <c r="MB140" i="7"/>
  <c r="MI220" i="7"/>
  <c r="LX392" i="7"/>
  <c r="LX141" i="7"/>
  <c r="GR190" i="7"/>
  <c r="GZ190" i="7" s="1"/>
  <c r="IB192" i="7"/>
  <c r="MB139" i="7"/>
  <c r="LX331" i="7"/>
  <c r="HF191" i="7"/>
  <c r="LX137" i="7"/>
  <c r="MB120" i="7"/>
  <c r="EQ58" i="7"/>
  <c r="EQ64" i="7"/>
  <c r="LU192" i="7"/>
  <c r="MB123" i="7"/>
  <c r="MB119" i="7"/>
  <c r="LX118" i="7"/>
  <c r="MB113" i="7"/>
  <c r="MB78" i="7"/>
  <c r="DV390" i="7"/>
  <c r="LX126" i="7"/>
  <c r="MB112" i="7"/>
  <c r="EU100" i="7"/>
  <c r="DV391" i="7"/>
  <c r="MB118" i="7"/>
  <c r="LX123" i="7"/>
  <c r="DU100" i="7"/>
  <c r="EV58" i="7"/>
  <c r="EV57" i="7"/>
  <c r="EQ191" i="7"/>
  <c r="EU68" i="7"/>
  <c r="EV68" i="7"/>
  <c r="EU39" i="7"/>
  <c r="EV39" i="7"/>
  <c r="EU50" i="7"/>
  <c r="EV50" i="7"/>
  <c r="EU45" i="7"/>
  <c r="EV45" i="7"/>
  <c r="EU46" i="7"/>
  <c r="EV46" i="7"/>
  <c r="EU40" i="7"/>
  <c r="EV40" i="7"/>
  <c r="EN193" i="7"/>
  <c r="EV192" i="7"/>
  <c r="EU64" i="7"/>
  <c r="EV64" i="7"/>
  <c r="EN190" i="7"/>
  <c r="EV189" i="7"/>
  <c r="EU67" i="7"/>
  <c r="EV67" i="7"/>
  <c r="EU63" i="7"/>
  <c r="EV63" i="7"/>
  <c r="EU49" i="7"/>
  <c r="EV49" i="7"/>
  <c r="EN70" i="7"/>
  <c r="LX156" i="7"/>
  <c r="MB116" i="7"/>
  <c r="MB126" i="7"/>
  <c r="LX119" i="7"/>
  <c r="MQ193" i="7"/>
  <c r="MY193" i="7" s="1"/>
  <c r="MB125" i="7"/>
  <c r="LX121" i="7"/>
  <c r="EN69" i="7"/>
  <c r="LX114" i="7"/>
  <c r="LX115" i="7"/>
  <c r="LX78" i="7"/>
  <c r="DU32" i="7"/>
  <c r="DV32" i="7"/>
  <c r="LX125" i="7"/>
  <c r="LX124" i="7"/>
  <c r="MB114" i="7"/>
  <c r="LU193" i="7"/>
  <c r="LX112" i="7"/>
  <c r="LX117" i="7"/>
  <c r="MQ192" i="7"/>
  <c r="MY192" i="7" s="1"/>
  <c r="ER51" i="7"/>
  <c r="DU34" i="7"/>
  <c r="EN51" i="7"/>
  <c r="MB77" i="7"/>
  <c r="MF192" i="7"/>
  <c r="MN192" i="7" s="1"/>
  <c r="EQ189" i="7"/>
  <c r="BS193" i="7"/>
  <c r="GR192" i="7"/>
  <c r="MB156" i="7"/>
  <c r="LX159" i="7"/>
  <c r="LX116" i="7"/>
  <c r="LX113" i="7"/>
  <c r="MB121" i="7"/>
  <c r="MB127" i="7"/>
  <c r="MB117" i="7"/>
  <c r="MB122" i="7"/>
  <c r="LX127" i="7"/>
  <c r="LX122" i="7"/>
  <c r="LX120" i="7"/>
  <c r="LX98" i="7"/>
  <c r="EN52" i="7"/>
  <c r="ER69" i="7"/>
  <c r="EU57" i="7"/>
  <c r="ER70" i="7"/>
  <c r="EU58" i="7"/>
  <c r="ER52" i="7"/>
  <c r="LX77" i="7"/>
  <c r="EO193" i="7"/>
  <c r="EQ192" i="7"/>
  <c r="GR193" i="7"/>
  <c r="GZ193" i="7" s="1"/>
  <c r="BS191" i="7"/>
  <c r="BS192" i="7"/>
  <c r="BH193" i="7"/>
  <c r="AW191" i="7"/>
  <c r="GR189" i="7"/>
  <c r="GT188" i="7"/>
  <c r="LV213" i="7"/>
  <c r="MD213" i="7" s="1"/>
  <c r="AW213" i="7"/>
  <c r="AI2617" i="15" l="1"/>
  <c r="AI3236" i="15"/>
  <c r="AI2618" i="15"/>
  <c r="AI3237" i="15"/>
  <c r="AI2636" i="15"/>
  <c r="AI3249" i="15"/>
  <c r="AI2635" i="15"/>
  <c r="AI3248" i="15"/>
  <c r="AF2618" i="15"/>
  <c r="AF3237" i="15"/>
  <c r="AF2635" i="15"/>
  <c r="AF3248" i="15"/>
  <c r="AF2636" i="15"/>
  <c r="AF3249" i="15"/>
  <c r="AF2617" i="15"/>
  <c r="AF3236" i="15"/>
  <c r="AK3218" i="15"/>
  <c r="AJ3218" i="15"/>
  <c r="AI3218" i="15"/>
  <c r="AH3218" i="15"/>
  <c r="AG3218" i="15"/>
  <c r="AF3218" i="15"/>
  <c r="S3069" i="15"/>
  <c r="R3069" i="15"/>
  <c r="Q3069" i="15"/>
  <c r="AG2723" i="15"/>
  <c r="AG2963" i="15"/>
  <c r="AF2579" i="15"/>
  <c r="AH2584" i="15" s="1"/>
  <c r="AF2960" i="15"/>
  <c r="AG2579" i="15"/>
  <c r="AG2960" i="15"/>
  <c r="AF2723" i="15"/>
  <c r="AF2963" i="15"/>
  <c r="U2448" i="15"/>
  <c r="U2578" i="15"/>
  <c r="S2561" i="15"/>
  <c r="R2561" i="15"/>
  <c r="Q2561" i="15"/>
  <c r="AJ2522" i="15"/>
  <c r="AK2522" i="15"/>
  <c r="AI2522" i="15"/>
  <c r="AG1919" i="15"/>
  <c r="AG2446" i="15"/>
  <c r="AF1922" i="15"/>
  <c r="AF2449" i="15"/>
  <c r="AG1922" i="15"/>
  <c r="AG2449" i="15"/>
  <c r="AF1919" i="15"/>
  <c r="AF2446" i="15"/>
  <c r="AF2026" i="15"/>
  <c r="AF2256" i="15"/>
  <c r="AI2043" i="15"/>
  <c r="AI2273" i="15"/>
  <c r="AF2025" i="15"/>
  <c r="AF2255" i="15"/>
  <c r="AI2026" i="15"/>
  <c r="AI2256" i="15"/>
  <c r="AF2044" i="15"/>
  <c r="AF2274" i="15"/>
  <c r="AI2025" i="15"/>
  <c r="AI2255" i="15"/>
  <c r="AI2044" i="15"/>
  <c r="AI2274" i="15"/>
  <c r="AF2043" i="15"/>
  <c r="AF2273" i="15"/>
  <c r="U1574" i="15"/>
  <c r="U1936" i="15"/>
  <c r="AF1279" i="15"/>
  <c r="AF1704" i="15"/>
  <c r="AF1163" i="15"/>
  <c r="AF1721" i="15"/>
  <c r="AF1288" i="15"/>
  <c r="AF1722" i="15"/>
  <c r="AF1157" i="15"/>
  <c r="AF1703" i="15"/>
  <c r="AI1157" i="15"/>
  <c r="AI1703" i="15"/>
  <c r="AI1288" i="15"/>
  <c r="AI1722" i="15"/>
  <c r="AI1279" i="15"/>
  <c r="AI1704" i="15"/>
  <c r="AI1163" i="15"/>
  <c r="AI1721" i="15"/>
  <c r="AJ1685" i="15"/>
  <c r="AK1685" i="15"/>
  <c r="AI1685" i="15"/>
  <c r="AF1401" i="15"/>
  <c r="AF1562" i="15"/>
  <c r="AG1401" i="15"/>
  <c r="AG1562" i="15"/>
  <c r="AF1398" i="15"/>
  <c r="AF1559" i="15"/>
  <c r="AG1398" i="15"/>
  <c r="AG1559" i="15"/>
  <c r="S1496" i="15"/>
  <c r="Q1496" i="15"/>
  <c r="R1496" i="15"/>
  <c r="U1025" i="15"/>
  <c r="U1389" i="15"/>
  <c r="AI693" i="15"/>
  <c r="AI1008" i="15"/>
  <c r="AI692" i="15"/>
  <c r="AI1007" i="15"/>
  <c r="AF623" i="15"/>
  <c r="AF1056" i="15"/>
  <c r="AG623" i="15"/>
  <c r="AG1056" i="15"/>
  <c r="AF692" i="15"/>
  <c r="AF1007" i="15"/>
  <c r="AF693" i="15"/>
  <c r="AF1008" i="15"/>
  <c r="AF620" i="15"/>
  <c r="AF1053" i="15"/>
  <c r="AF674" i="15"/>
  <c r="AF989" i="15"/>
  <c r="AG620" i="15"/>
  <c r="AG1053" i="15"/>
  <c r="AF675" i="15"/>
  <c r="AF990" i="15"/>
  <c r="AI675" i="15"/>
  <c r="AI990" i="15"/>
  <c r="AI674" i="15"/>
  <c r="AI989" i="15"/>
  <c r="AJ602" i="15"/>
  <c r="AH602" i="15"/>
  <c r="AG602" i="15"/>
  <c r="AI965" i="15"/>
  <c r="AK965" i="15"/>
  <c r="AJ965" i="15"/>
  <c r="AK602" i="15"/>
  <c r="AG965" i="15"/>
  <c r="AF965" i="15"/>
  <c r="AH965" i="15"/>
  <c r="U155" i="15"/>
  <c r="U626" i="15"/>
  <c r="S396" i="15"/>
  <c r="R396" i="15"/>
  <c r="Q396" i="15"/>
  <c r="EX193" i="7"/>
  <c r="AG164" i="15"/>
  <c r="AF57" i="15"/>
  <c r="AF58" i="15"/>
  <c r="AF161" i="15"/>
  <c r="AF40" i="15"/>
  <c r="AF39" i="15"/>
  <c r="EX190" i="7"/>
  <c r="AG161" i="15"/>
  <c r="AI40" i="15"/>
  <c r="AI58" i="15"/>
  <c r="AF164" i="15"/>
  <c r="AI39" i="15"/>
  <c r="AI57" i="15"/>
  <c r="MC192" i="7"/>
  <c r="MC193" i="7"/>
  <c r="DW188" i="7"/>
  <c r="AW474" i="7"/>
  <c r="AU449" i="7" s="1"/>
  <c r="MX474" i="7"/>
  <c r="HH459" i="7"/>
  <c r="HH457" i="7"/>
  <c r="HH458" i="7"/>
  <c r="HH456" i="7"/>
  <c r="HH460" i="7"/>
  <c r="HH461" i="7"/>
  <c r="BS474" i="7"/>
  <c r="BQ194" i="7" s="1"/>
  <c r="HF474" i="7"/>
  <c r="HD444" i="7" s="1"/>
  <c r="IB474" i="7"/>
  <c r="HZ211" i="7" s="1"/>
  <c r="HQ474" i="7"/>
  <c r="HO444" i="7" s="1"/>
  <c r="HW444" i="7" s="1"/>
  <c r="BH474" i="7"/>
  <c r="BF194" i="7" s="1"/>
  <c r="MM474" i="7"/>
  <c r="MK444" i="7" s="1"/>
  <c r="MI474" i="7"/>
  <c r="MT474" i="7"/>
  <c r="AY444" i="7"/>
  <c r="AY448" i="7"/>
  <c r="LZ448" i="7" s="1"/>
  <c r="AY449" i="7"/>
  <c r="LZ449" i="7" s="1"/>
  <c r="EW190" i="7"/>
  <c r="EW193" i="7"/>
  <c r="EY190" i="7"/>
  <c r="EY193" i="7"/>
  <c r="DK224" i="7"/>
  <c r="DL224" i="7"/>
  <c r="DK223" i="7"/>
  <c r="DL223" i="7"/>
  <c r="DL225" i="7"/>
  <c r="DK225" i="7"/>
  <c r="DL222" i="7"/>
  <c r="DK222" i="7"/>
  <c r="DX188" i="7"/>
  <c r="DY188" i="7"/>
  <c r="NX444" i="7"/>
  <c r="GZ189" i="7"/>
  <c r="JQ444" i="7"/>
  <c r="GZ192" i="7"/>
  <c r="NT204" i="7"/>
  <c r="LC182" i="7"/>
  <c r="AY411" i="7"/>
  <c r="JI194" i="7"/>
  <c r="SJ321" i="7"/>
  <c r="ND204" i="7"/>
  <c r="JM211" i="7"/>
  <c r="GJ165" i="7"/>
  <c r="GN165" i="7" s="1"/>
  <c r="KN444" i="7"/>
  <c r="KN434" i="7"/>
  <c r="KN435" i="7"/>
  <c r="IX443" i="7"/>
  <c r="IX432" i="7"/>
  <c r="IX441" i="7"/>
  <c r="IX438" i="7"/>
  <c r="IX435" i="7"/>
  <c r="IX437" i="7"/>
  <c r="IX442" i="7"/>
  <c r="IX444" i="7"/>
  <c r="IX434" i="7"/>
  <c r="IX433" i="7"/>
  <c r="JB317" i="7"/>
  <c r="JB443" i="7"/>
  <c r="JB442" i="7"/>
  <c r="JB438" i="7"/>
  <c r="JB437" i="7"/>
  <c r="JB433" i="7"/>
  <c r="JB444" i="7"/>
  <c r="JB441" i="7"/>
  <c r="JB432" i="7"/>
  <c r="SN317" i="7"/>
  <c r="SN444" i="7"/>
  <c r="SR444" i="7" s="1"/>
  <c r="NP204" i="7"/>
  <c r="KR444" i="7"/>
  <c r="NH411" i="7"/>
  <c r="GF444" i="7"/>
  <c r="GF436" i="7"/>
  <c r="GN436" i="7" s="1"/>
  <c r="IX191" i="7"/>
  <c r="IX90" i="7"/>
  <c r="ID212" i="7"/>
  <c r="ID211" i="7"/>
  <c r="ID206" i="7"/>
  <c r="IH206" i="7" s="1"/>
  <c r="ID207" i="7"/>
  <c r="IH207" i="7" s="1"/>
  <c r="HH327" i="7"/>
  <c r="HH245" i="7"/>
  <c r="HH244" i="7"/>
  <c r="DO193" i="7"/>
  <c r="U2982" i="15" s="1"/>
  <c r="DO190" i="7"/>
  <c r="U2979" i="15" s="1"/>
  <c r="DO189" i="7"/>
  <c r="U2978" i="15" s="1"/>
  <c r="DO192" i="7"/>
  <c r="U2981" i="15" s="1"/>
  <c r="LN184" i="7"/>
  <c r="LN192" i="7"/>
  <c r="LN190" i="7"/>
  <c r="LN182" i="7"/>
  <c r="LN193" i="7"/>
  <c r="LN188" i="7"/>
  <c r="LN183" i="7"/>
  <c r="LN189" i="7"/>
  <c r="LN186" i="7"/>
  <c r="LN185" i="7"/>
  <c r="LN191" i="7"/>
  <c r="JI212" i="7"/>
  <c r="LJ192" i="7"/>
  <c r="MR192" i="7" s="1"/>
  <c r="LJ184" i="7"/>
  <c r="MR184" i="7" s="1"/>
  <c r="LJ193" i="7"/>
  <c r="MR193" i="7" s="1"/>
  <c r="LJ186" i="7"/>
  <c r="MR186" i="7" s="1"/>
  <c r="LJ189" i="7"/>
  <c r="LJ185" i="7"/>
  <c r="MR185" i="7" s="1"/>
  <c r="LJ191" i="7"/>
  <c r="MR191" i="7" s="1"/>
  <c r="LJ183" i="7"/>
  <c r="MR183" i="7" s="1"/>
  <c r="LJ187" i="7"/>
  <c r="MR187" i="7" s="1"/>
  <c r="LJ188" i="7"/>
  <c r="MR188" i="7" s="1"/>
  <c r="LJ182" i="7"/>
  <c r="LJ190" i="7"/>
  <c r="MR190" i="7" s="1"/>
  <c r="KY193" i="7"/>
  <c r="KY182" i="7"/>
  <c r="MG182" i="7" s="1"/>
  <c r="KY194" i="7"/>
  <c r="KY191" i="7"/>
  <c r="KY185" i="7"/>
  <c r="JI211" i="7"/>
  <c r="KY192" i="7"/>
  <c r="MG192" i="7" s="1"/>
  <c r="LC190" i="7"/>
  <c r="KY183" i="7"/>
  <c r="MG183" i="7" s="1"/>
  <c r="KY186" i="7"/>
  <c r="MG186" i="7" s="1"/>
  <c r="KY184" i="7"/>
  <c r="MG184" i="7" s="1"/>
  <c r="KY190" i="7"/>
  <c r="MG190" i="7" s="1"/>
  <c r="KY189" i="7"/>
  <c r="KY187" i="7"/>
  <c r="MG187" i="7" s="1"/>
  <c r="LC185" i="7"/>
  <c r="LC193" i="7"/>
  <c r="LC186" i="7"/>
  <c r="LC191" i="7"/>
  <c r="JM212" i="7"/>
  <c r="LC187" i="7"/>
  <c r="LC211" i="7"/>
  <c r="LC188" i="7"/>
  <c r="LC184" i="7"/>
  <c r="LC183" i="7"/>
  <c r="LC212" i="7"/>
  <c r="LC192" i="7"/>
  <c r="LC189" i="7"/>
  <c r="GT190" i="7"/>
  <c r="LX213" i="7"/>
  <c r="EQ69" i="7"/>
  <c r="EV193" i="7"/>
  <c r="MV187" i="7"/>
  <c r="EQ70" i="7"/>
  <c r="GT192" i="7"/>
  <c r="GT193" i="7"/>
  <c r="LV193" i="7"/>
  <c r="EQ51" i="7"/>
  <c r="MG188" i="7"/>
  <c r="EV190" i="7"/>
  <c r="GT189" i="7"/>
  <c r="EQ52" i="7"/>
  <c r="SJ317" i="7"/>
  <c r="NH203" i="7"/>
  <c r="NP203" i="7"/>
  <c r="NH204" i="7"/>
  <c r="NH211" i="7"/>
  <c r="SN325" i="7"/>
  <c r="NH212" i="7"/>
  <c r="SN319" i="7"/>
  <c r="NH410" i="7"/>
  <c r="SN316" i="7"/>
  <c r="IX97" i="7"/>
  <c r="SN212" i="7"/>
  <c r="SN211" i="7"/>
  <c r="SN326" i="7"/>
  <c r="IX106" i="7"/>
  <c r="SN327" i="7"/>
  <c r="SN318" i="7"/>
  <c r="NP411" i="7"/>
  <c r="SN329" i="7"/>
  <c r="NP212" i="7"/>
  <c r="SN321" i="7"/>
  <c r="SN328" i="7"/>
  <c r="NP211" i="7"/>
  <c r="IX327" i="7"/>
  <c r="SJ329" i="7"/>
  <c r="IX381" i="7"/>
  <c r="IX184" i="7"/>
  <c r="IX324" i="7"/>
  <c r="IX320" i="7"/>
  <c r="IX411" i="7"/>
  <c r="IX189" i="7"/>
  <c r="IX259" i="7"/>
  <c r="IX190" i="7"/>
  <c r="IX105" i="7"/>
  <c r="IX232" i="7"/>
  <c r="SJ318" i="7"/>
  <c r="IX374" i="7"/>
  <c r="IX110" i="7"/>
  <c r="IX257" i="7"/>
  <c r="SJ328" i="7"/>
  <c r="IX267" i="7"/>
  <c r="IX317" i="7"/>
  <c r="IX364" i="7"/>
  <c r="IX391" i="7"/>
  <c r="IX376" i="7"/>
  <c r="IX412" i="7"/>
  <c r="IX107" i="7"/>
  <c r="IX233" i="7"/>
  <c r="IX234" i="7"/>
  <c r="IX261" i="7"/>
  <c r="IX365" i="7"/>
  <c r="NT411" i="7"/>
  <c r="NT211" i="7"/>
  <c r="SJ327" i="7"/>
  <c r="SJ325" i="7"/>
  <c r="SJ212" i="7"/>
  <c r="SJ319" i="7"/>
  <c r="SJ316" i="7"/>
  <c r="SJ320" i="7"/>
  <c r="SJ326" i="7"/>
  <c r="SJ324" i="7"/>
  <c r="IX269" i="7"/>
  <c r="IX316" i="7"/>
  <c r="IX104" i="7"/>
  <c r="IX111" i="7"/>
  <c r="IX325" i="7"/>
  <c r="IX169" i="7"/>
  <c r="IX371" i="7"/>
  <c r="IX170" i="7"/>
  <c r="IX372" i="7"/>
  <c r="IX231" i="7"/>
  <c r="IX390" i="7"/>
  <c r="IX240" i="7"/>
  <c r="IX30" i="7"/>
  <c r="IX266" i="7"/>
  <c r="IX193" i="7"/>
  <c r="IX31" i="7"/>
  <c r="IX384" i="7"/>
  <c r="IX194" i="7"/>
  <c r="IX185" i="7"/>
  <c r="IX369" i="7"/>
  <c r="IX187" i="7"/>
  <c r="IX379" i="7"/>
  <c r="IX188" i="7"/>
  <c r="IX380" i="7"/>
  <c r="IX239" i="7"/>
  <c r="IX393" i="7"/>
  <c r="IX256" i="7"/>
  <c r="IX95" i="7"/>
  <c r="IX323" i="7"/>
  <c r="IX368" i="7"/>
  <c r="IX186" i="7"/>
  <c r="IX236" i="7"/>
  <c r="IX211" i="7"/>
  <c r="IX377" i="7"/>
  <c r="IX217" i="7"/>
  <c r="IX387" i="7"/>
  <c r="IX218" i="7"/>
  <c r="IX255" i="7"/>
  <c r="IX94" i="7"/>
  <c r="IX265" i="7"/>
  <c r="IX109" i="7"/>
  <c r="IX367" i="7"/>
  <c r="IX168" i="7"/>
  <c r="IX318" i="7"/>
  <c r="IX260" i="7"/>
  <c r="IX235" i="7"/>
  <c r="IX385" i="7"/>
  <c r="IX237" i="7"/>
  <c r="IX238" i="7"/>
  <c r="IX321" i="7"/>
  <c r="IX108" i="7"/>
  <c r="IX322" i="7"/>
  <c r="IX183" i="7"/>
  <c r="IX375" i="7"/>
  <c r="IX212" i="7"/>
  <c r="IX326" i="7"/>
  <c r="IX243" i="7"/>
  <c r="IX253" i="7"/>
  <c r="IX378" i="7"/>
  <c r="IX254" i="7"/>
  <c r="IX93" i="7"/>
  <c r="IX329" i="7"/>
  <c r="IX182" i="7"/>
  <c r="IX366" i="7"/>
  <c r="IX205" i="7"/>
  <c r="IX383" i="7"/>
  <c r="IX242" i="7"/>
  <c r="IX96" i="7"/>
  <c r="IX258" i="7"/>
  <c r="IX33" i="7"/>
  <c r="IX268" i="7"/>
  <c r="IX91" i="7"/>
  <c r="IX319" i="7"/>
  <c r="IX92" i="7"/>
  <c r="IX328" i="7"/>
  <c r="IX171" i="7"/>
  <c r="IX373" i="7"/>
  <c r="IX216" i="7"/>
  <c r="IX382" i="7"/>
  <c r="IX241" i="7"/>
  <c r="NT212" i="7"/>
  <c r="SN324" i="7"/>
  <c r="IX263" i="7"/>
  <c r="IX413" i="7"/>
  <c r="IX264" i="7"/>
  <c r="IX386" i="7"/>
  <c r="IX250" i="7"/>
  <c r="IX370" i="7"/>
  <c r="IX251" i="7"/>
  <c r="IX410" i="7"/>
  <c r="SJ211" i="7"/>
  <c r="NP410" i="7"/>
  <c r="IX192" i="7"/>
  <c r="SN320" i="7"/>
  <c r="GF212" i="7"/>
  <c r="GF163" i="7"/>
  <c r="GF166" i="7"/>
  <c r="GF194" i="7"/>
  <c r="GF203" i="7"/>
  <c r="GF164" i="7"/>
  <c r="GF90" i="7"/>
  <c r="GF162" i="7"/>
  <c r="GF204" i="7"/>
  <c r="GF211" i="7"/>
  <c r="GF216" i="7"/>
  <c r="GF215" i="7"/>
  <c r="GN215" i="7" s="1"/>
  <c r="JB251" i="7"/>
  <c r="JB242" i="7"/>
  <c r="JB106" i="7"/>
  <c r="JB193" i="7"/>
  <c r="JB321" i="7"/>
  <c r="JB257" i="7"/>
  <c r="JB231" i="7"/>
  <c r="JB188" i="7"/>
  <c r="JB111" i="7"/>
  <c r="JB191" i="7"/>
  <c r="JB110" i="7"/>
  <c r="JB262" i="7"/>
  <c r="JB233" i="7"/>
  <c r="JB325" i="7"/>
  <c r="JB94" i="7"/>
  <c r="JB91" i="7"/>
  <c r="JB411" i="7"/>
  <c r="JB190" i="7"/>
  <c r="JB266" i="7"/>
  <c r="GJ162" i="7"/>
  <c r="GJ211" i="7"/>
  <c r="GJ212" i="7"/>
  <c r="GJ203" i="7"/>
  <c r="GJ216" i="7"/>
  <c r="GJ163" i="7"/>
  <c r="GJ90" i="7"/>
  <c r="GJ194" i="7"/>
  <c r="GJ166" i="7"/>
  <c r="GJ204" i="7"/>
  <c r="JB326" i="7"/>
  <c r="JB250" i="7"/>
  <c r="JB238" i="7"/>
  <c r="JB182" i="7"/>
  <c r="JB329" i="7"/>
  <c r="JB212" i="7"/>
  <c r="JB320" i="7"/>
  <c r="JB256" i="7"/>
  <c r="JB235" i="7"/>
  <c r="JB96" i="7"/>
  <c r="JB390" i="7"/>
  <c r="GJ164" i="7"/>
  <c r="JB205" i="7"/>
  <c r="JB252" i="7"/>
  <c r="JB261" i="7"/>
  <c r="JB211" i="7"/>
  <c r="JB410" i="7"/>
  <c r="JB241" i="7"/>
  <c r="JB108" i="7"/>
  <c r="JB323" i="7"/>
  <c r="JB267" i="7"/>
  <c r="JB186" i="7"/>
  <c r="NT203" i="7"/>
  <c r="JB237" i="7"/>
  <c r="JB319" i="7"/>
  <c r="JB328" i="7"/>
  <c r="JB255" i="7"/>
  <c r="JB236" i="7"/>
  <c r="JB187" i="7"/>
  <c r="JB97" i="7"/>
  <c r="JB232" i="7"/>
  <c r="JB184" i="7"/>
  <c r="JB316" i="7"/>
  <c r="NT410" i="7"/>
  <c r="JB318" i="7"/>
  <c r="JB260" i="7"/>
  <c r="JB391" i="7"/>
  <c r="JB327" i="7"/>
  <c r="JB240" i="7"/>
  <c r="JB93" i="7"/>
  <c r="JB265" i="7"/>
  <c r="JB192" i="7"/>
  <c r="JB95" i="7"/>
  <c r="JB324" i="7"/>
  <c r="JB258" i="7"/>
  <c r="JB105" i="7"/>
  <c r="JB33" i="7"/>
  <c r="JB98" i="7"/>
  <c r="JB254" i="7"/>
  <c r="JB107" i="7"/>
  <c r="JB322" i="7"/>
  <c r="JB216" i="7"/>
  <c r="JB109" i="7"/>
  <c r="JB389" i="7"/>
  <c r="JB268" i="7"/>
  <c r="JB189" i="7"/>
  <c r="JB239" i="7"/>
  <c r="JB104" i="7"/>
  <c r="JB92" i="7"/>
  <c r="JB264" i="7"/>
  <c r="JB183" i="7"/>
  <c r="JB234" i="7"/>
  <c r="JB185" i="7"/>
  <c r="HH325" i="7"/>
  <c r="EU70" i="7"/>
  <c r="EV70" i="7"/>
  <c r="EU69" i="7"/>
  <c r="EV69" i="7"/>
  <c r="EQ193" i="7"/>
  <c r="EU51" i="7"/>
  <c r="EV51" i="7"/>
  <c r="EQ190" i="7"/>
  <c r="EU52" i="7"/>
  <c r="EV52" i="7"/>
  <c r="ND212" i="7"/>
  <c r="ND411" i="7"/>
  <c r="ND203" i="7"/>
  <c r="ND211" i="7"/>
  <c r="ND410" i="7"/>
  <c r="AY410" i="7"/>
  <c r="HH216" i="7"/>
  <c r="HH324" i="7"/>
  <c r="HH138" i="7"/>
  <c r="HH212" i="7"/>
  <c r="HH326" i="7"/>
  <c r="HH330" i="7"/>
  <c r="HH319" i="7"/>
  <c r="HH235" i="7"/>
  <c r="HH317" i="7"/>
  <c r="HH136" i="7"/>
  <c r="HH320" i="7"/>
  <c r="HH142" i="7"/>
  <c r="HH243" i="7"/>
  <c r="HH143" i="7"/>
  <c r="HH240" i="7"/>
  <c r="HH241" i="7"/>
  <c r="HH238" i="7"/>
  <c r="HH237" i="7"/>
  <c r="HH410" i="7"/>
  <c r="HH322" i="7"/>
  <c r="HH323" i="7"/>
  <c r="HH321" i="7"/>
  <c r="HH242" i="7"/>
  <c r="HH316" i="7"/>
  <c r="HH411" i="7"/>
  <c r="HH231" i="7"/>
  <c r="HH233" i="7"/>
  <c r="HH318" i="7"/>
  <c r="HH211" i="7"/>
  <c r="HH137" i="7"/>
  <c r="HH234" i="7"/>
  <c r="HH144" i="7"/>
  <c r="HH141" i="7"/>
  <c r="HH236" i="7"/>
  <c r="HH239" i="7"/>
  <c r="HH328" i="7"/>
  <c r="HH232" i="7"/>
  <c r="HH135" i="7"/>
  <c r="HH329" i="7"/>
  <c r="HH139" i="7"/>
  <c r="HH140" i="7"/>
  <c r="KN192" i="7"/>
  <c r="QE166" i="7"/>
  <c r="QE165" i="7"/>
  <c r="QE164" i="7"/>
  <c r="QE163" i="7"/>
  <c r="QE162" i="7"/>
  <c r="QA163" i="7"/>
  <c r="QA166" i="7"/>
  <c r="QA162" i="7"/>
  <c r="QA165" i="7"/>
  <c r="QA164" i="7"/>
  <c r="KN189" i="7"/>
  <c r="KN243" i="7"/>
  <c r="KN235" i="7"/>
  <c r="KN263" i="7"/>
  <c r="KN253" i="7"/>
  <c r="KN322" i="7"/>
  <c r="KN366" i="7"/>
  <c r="KN382" i="7"/>
  <c r="KN374" i="7"/>
  <c r="KN389" i="7"/>
  <c r="KN93" i="7"/>
  <c r="KN218" i="7"/>
  <c r="KN238" i="7"/>
  <c r="KN266" i="7"/>
  <c r="KN385" i="7"/>
  <c r="KN369" i="7"/>
  <c r="KN97" i="7"/>
  <c r="KN188" i="7"/>
  <c r="KN242" i="7"/>
  <c r="KN234" i="7"/>
  <c r="KN261" i="7"/>
  <c r="KN251" i="7"/>
  <c r="KN329" i="7"/>
  <c r="KN321" i="7"/>
  <c r="KN365" i="7"/>
  <c r="KN381" i="7"/>
  <c r="KN373" i="7"/>
  <c r="KN96" i="7"/>
  <c r="KN187" i="7"/>
  <c r="KN212" i="7"/>
  <c r="KN241" i="7"/>
  <c r="KN233" i="7"/>
  <c r="KN260" i="7"/>
  <c r="KN250" i="7"/>
  <c r="KN328" i="7"/>
  <c r="KN320" i="7"/>
  <c r="KN364" i="7"/>
  <c r="KN380" i="7"/>
  <c r="KN372" i="7"/>
  <c r="KN95" i="7"/>
  <c r="KN166" i="7"/>
  <c r="KN194" i="7"/>
  <c r="KN186" i="7"/>
  <c r="KN211" i="7"/>
  <c r="KN216" i="7"/>
  <c r="KN240" i="7"/>
  <c r="KN232" i="7"/>
  <c r="KN269" i="7"/>
  <c r="KN259" i="7"/>
  <c r="KN327" i="7"/>
  <c r="KN319" i="7"/>
  <c r="KN387" i="7"/>
  <c r="KN379" i="7"/>
  <c r="KN371" i="7"/>
  <c r="KN411" i="7"/>
  <c r="KN164" i="7"/>
  <c r="KN256" i="7"/>
  <c r="KN325" i="7"/>
  <c r="KN377" i="7"/>
  <c r="KN94" i="7"/>
  <c r="KN165" i="7"/>
  <c r="KN185" i="7"/>
  <c r="KN239" i="7"/>
  <c r="KN231" i="7"/>
  <c r="KN268" i="7"/>
  <c r="KN258" i="7"/>
  <c r="KN326" i="7"/>
  <c r="KN318" i="7"/>
  <c r="KN386" i="7"/>
  <c r="KN378" i="7"/>
  <c r="KN370" i="7"/>
  <c r="KN410" i="7"/>
  <c r="KN184" i="7"/>
  <c r="KN317" i="7"/>
  <c r="KN92" i="7"/>
  <c r="KN163" i="7"/>
  <c r="KN183" i="7"/>
  <c r="KN217" i="7"/>
  <c r="KN237" i="7"/>
  <c r="KN265" i="7"/>
  <c r="KN255" i="7"/>
  <c r="KN324" i="7"/>
  <c r="KN316" i="7"/>
  <c r="KN384" i="7"/>
  <c r="KN376" i="7"/>
  <c r="KN368" i="7"/>
  <c r="KN391" i="7"/>
  <c r="KN323" i="7"/>
  <c r="KN236" i="7"/>
  <c r="KN367" i="7"/>
  <c r="KN383" i="7"/>
  <c r="KN375" i="7"/>
  <c r="KN190" i="7"/>
  <c r="KN264" i="7"/>
  <c r="KN182" i="7"/>
  <c r="KN254" i="7"/>
  <c r="KN390" i="7"/>
  <c r="KN191" i="7"/>
  <c r="KR92" i="7"/>
  <c r="KR165" i="7"/>
  <c r="KR192" i="7"/>
  <c r="KR184" i="7"/>
  <c r="KR212" i="7"/>
  <c r="KR238" i="7"/>
  <c r="KR264" i="7"/>
  <c r="KR252" i="7"/>
  <c r="KR324" i="7"/>
  <c r="KR316" i="7"/>
  <c r="KR319" i="7"/>
  <c r="KR164" i="7"/>
  <c r="KR191" i="7"/>
  <c r="KR183" i="7"/>
  <c r="KR211" i="7"/>
  <c r="KR237" i="7"/>
  <c r="KR262" i="7"/>
  <c r="KR251" i="7"/>
  <c r="KR323" i="7"/>
  <c r="KR411" i="7"/>
  <c r="KR268" i="7"/>
  <c r="KR98" i="7"/>
  <c r="KV98" i="7" s="1"/>
  <c r="KR163" i="7"/>
  <c r="KR190" i="7"/>
  <c r="KR182" i="7"/>
  <c r="KR236" i="7"/>
  <c r="KR261" i="7"/>
  <c r="KR250" i="7"/>
  <c r="KR322" i="7"/>
  <c r="KR410" i="7"/>
  <c r="KR327" i="7"/>
  <c r="KR97" i="7"/>
  <c r="KR189" i="7"/>
  <c r="KR235" i="7"/>
  <c r="KR260" i="7"/>
  <c r="KR329" i="7"/>
  <c r="KR321" i="7"/>
  <c r="KR241" i="7"/>
  <c r="KR96" i="7"/>
  <c r="KR188" i="7"/>
  <c r="KR216" i="7"/>
  <c r="KR242" i="7"/>
  <c r="KR234" i="7"/>
  <c r="KR258" i="7"/>
  <c r="KR328" i="7"/>
  <c r="KR320" i="7"/>
  <c r="KR95" i="7"/>
  <c r="KR187" i="7"/>
  <c r="KR233" i="7"/>
  <c r="KR256" i="7"/>
  <c r="KR391" i="7"/>
  <c r="KR94" i="7"/>
  <c r="KR186" i="7"/>
  <c r="KR240" i="7"/>
  <c r="KR232" i="7"/>
  <c r="KR266" i="7"/>
  <c r="KR255" i="7"/>
  <c r="KR326" i="7"/>
  <c r="KR318" i="7"/>
  <c r="KR390" i="7"/>
  <c r="KR93" i="7"/>
  <c r="KR166" i="7"/>
  <c r="KR193" i="7"/>
  <c r="KV193" i="7" s="1"/>
  <c r="KR239" i="7"/>
  <c r="KR231" i="7"/>
  <c r="KR265" i="7"/>
  <c r="KR185" i="7"/>
  <c r="KR254" i="7"/>
  <c r="KR389" i="7"/>
  <c r="KR325" i="7"/>
  <c r="KR317" i="7"/>
  <c r="GV310" i="7"/>
  <c r="GV288" i="7"/>
  <c r="GV305" i="7"/>
  <c r="GV130" i="7"/>
  <c r="GV216" i="7"/>
  <c r="GV363" i="7"/>
  <c r="GV286" i="7"/>
  <c r="GV311" i="7"/>
  <c r="GV281" i="7"/>
  <c r="GV312" i="7"/>
  <c r="GV283" i="7"/>
  <c r="GV301" i="7"/>
  <c r="GV303" i="7"/>
  <c r="GV128" i="7"/>
  <c r="GV290" i="7"/>
  <c r="GV308" i="7"/>
  <c r="GV285" i="7"/>
  <c r="GV287" i="7"/>
  <c r="GV362" i="7"/>
  <c r="GV282" i="7"/>
  <c r="GV307" i="7"/>
  <c r="GV292" i="7"/>
  <c r="GV309" i="7"/>
  <c r="GV304" i="7"/>
  <c r="GV129" i="7"/>
  <c r="GV295" i="7"/>
  <c r="GV299" i="7"/>
  <c r="GV293" i="7"/>
  <c r="GV296" i="7"/>
  <c r="GV313" i="7"/>
  <c r="GV131" i="7"/>
  <c r="GV291" i="7"/>
  <c r="GV280" i="7"/>
  <c r="GV297" i="7"/>
  <c r="GV314" i="7"/>
  <c r="GV284" i="7"/>
  <c r="GV302" i="7"/>
  <c r="GV289" i="7"/>
  <c r="GV306" i="7"/>
  <c r="GV300" i="7"/>
  <c r="GV132" i="7"/>
  <c r="GV294" i="7"/>
  <c r="GV361" i="7"/>
  <c r="GV298" i="7"/>
  <c r="GV133" i="7"/>
  <c r="AY80" i="7"/>
  <c r="AY164" i="7"/>
  <c r="AY98" i="7"/>
  <c r="AY166" i="7"/>
  <c r="AY163" i="7"/>
  <c r="AY216" i="7"/>
  <c r="AY165" i="7"/>
  <c r="AY211" i="7"/>
  <c r="AY212" i="7"/>
  <c r="BJ80" i="7"/>
  <c r="BJ211" i="7"/>
  <c r="BJ212" i="7"/>
  <c r="LV449" i="7" l="1"/>
  <c r="LX449" i="7" s="1"/>
  <c r="AI3264" i="15"/>
  <c r="AF2917" i="15"/>
  <c r="AK3264" i="15"/>
  <c r="AG3264" i="15"/>
  <c r="AI2917" i="15"/>
  <c r="AJ3264" i="15"/>
  <c r="AJ2917" i="15"/>
  <c r="AH3264" i="15"/>
  <c r="AK2917" i="15"/>
  <c r="AF3264" i="15"/>
  <c r="AG3027" i="15"/>
  <c r="AG2584" i="15"/>
  <c r="AF2584" i="15"/>
  <c r="AF3027" i="15"/>
  <c r="AH3027" i="15"/>
  <c r="AG2917" i="15"/>
  <c r="AH2917" i="15"/>
  <c r="U2453" i="15"/>
  <c r="U2713" i="15"/>
  <c r="U2452" i="15"/>
  <c r="U2712" i="15"/>
  <c r="U2450" i="15"/>
  <c r="U2580" i="15"/>
  <c r="U2449" i="15"/>
  <c r="U2579" i="15"/>
  <c r="AF2522" i="15"/>
  <c r="AG2006" i="15"/>
  <c r="AG2522" i="15"/>
  <c r="AH2522" i="15"/>
  <c r="AF2006" i="15"/>
  <c r="AH2006" i="15"/>
  <c r="AJ2191" i="15"/>
  <c r="AF2191" i="15"/>
  <c r="AK2405" i="15"/>
  <c r="AJ2405" i="15"/>
  <c r="AI2191" i="15"/>
  <c r="AK2191" i="15"/>
  <c r="AH2191" i="15"/>
  <c r="AG2191" i="15"/>
  <c r="AI2405" i="15"/>
  <c r="AH2405" i="15"/>
  <c r="AF2405" i="15"/>
  <c r="AG2405" i="15"/>
  <c r="AF1262" i="15"/>
  <c r="AI1262" i="15"/>
  <c r="U1575" i="15"/>
  <c r="U1937" i="15"/>
  <c r="U1579" i="15"/>
  <c r="U1941" i="15"/>
  <c r="U1576" i="15"/>
  <c r="U1938" i="15"/>
  <c r="U1578" i="15"/>
  <c r="U1940" i="15"/>
  <c r="AG1350" i="15"/>
  <c r="AH1262" i="15"/>
  <c r="AK1350" i="15"/>
  <c r="AF1843" i="15"/>
  <c r="AJ1262" i="15"/>
  <c r="AH1350" i="15"/>
  <c r="AK1262" i="15"/>
  <c r="AH1843" i="15"/>
  <c r="AK1843" i="15"/>
  <c r="AF1350" i="15"/>
  <c r="AJ1843" i="15"/>
  <c r="AI1843" i="15"/>
  <c r="AG1262" i="15"/>
  <c r="AI1350" i="15"/>
  <c r="AJ1350" i="15"/>
  <c r="AG1843" i="15"/>
  <c r="AF1685" i="15"/>
  <c r="AG1685" i="15"/>
  <c r="AH1685" i="15"/>
  <c r="AF1435" i="15"/>
  <c r="AH1435" i="15"/>
  <c r="AG1435" i="15"/>
  <c r="AF645" i="15"/>
  <c r="U1029" i="15"/>
  <c r="U1393" i="15"/>
  <c r="U1026" i="15"/>
  <c r="U1390" i="15"/>
  <c r="U1030" i="15"/>
  <c r="U1394" i="15"/>
  <c r="U1027" i="15"/>
  <c r="U1391" i="15"/>
  <c r="AK1107" i="15"/>
  <c r="AK747" i="15"/>
  <c r="AF747" i="15"/>
  <c r="AG1107" i="15"/>
  <c r="AJ1107" i="15"/>
  <c r="AI747" i="15"/>
  <c r="AH1107" i="15"/>
  <c r="AH747" i="15"/>
  <c r="AG747" i="15"/>
  <c r="AJ747" i="15"/>
  <c r="AG645" i="15"/>
  <c r="AF1107" i="15"/>
  <c r="AH645" i="15"/>
  <c r="AI1107" i="15"/>
  <c r="U156" i="15"/>
  <c r="U627" i="15"/>
  <c r="U160" i="15"/>
  <c r="U631" i="15"/>
  <c r="U157" i="15"/>
  <c r="U628" i="15"/>
  <c r="U159" i="15"/>
  <c r="U630" i="15"/>
  <c r="AF361" i="15"/>
  <c r="AG361" i="15"/>
  <c r="AH361" i="15"/>
  <c r="AK361" i="15"/>
  <c r="AJ361" i="15"/>
  <c r="AI361" i="15"/>
  <c r="DW192" i="7"/>
  <c r="DW189" i="7"/>
  <c r="DW193" i="7"/>
  <c r="DW190" i="7"/>
  <c r="EQ474" i="7"/>
  <c r="EO127" i="7" s="1"/>
  <c r="AG2573" i="15" s="1"/>
  <c r="EU474" i="7"/>
  <c r="HD457" i="7"/>
  <c r="HL457" i="7" s="1"/>
  <c r="HD456" i="7"/>
  <c r="HD461" i="7"/>
  <c r="HD459" i="7"/>
  <c r="HL459" i="7" s="1"/>
  <c r="HD460" i="7"/>
  <c r="HL460" i="7" s="1"/>
  <c r="HD458" i="7"/>
  <c r="HL458" i="7" s="1"/>
  <c r="GT474" i="7"/>
  <c r="GR294" i="7" s="1"/>
  <c r="GZ294" i="7" s="1"/>
  <c r="MB449" i="7"/>
  <c r="MB448" i="7"/>
  <c r="AU448" i="7"/>
  <c r="AU412" i="7"/>
  <c r="KV188" i="7"/>
  <c r="KV410" i="7"/>
  <c r="GN204" i="7"/>
  <c r="HL444" i="7"/>
  <c r="BC98" i="7"/>
  <c r="KV92" i="7"/>
  <c r="SR321" i="7"/>
  <c r="SR319" i="7"/>
  <c r="SR211" i="7"/>
  <c r="SR327" i="7"/>
  <c r="SR329" i="7"/>
  <c r="SR324" i="7"/>
  <c r="JF264" i="7"/>
  <c r="JF260" i="7"/>
  <c r="DX192" i="7"/>
  <c r="DY192" i="7"/>
  <c r="DX189" i="7"/>
  <c r="DY189" i="7"/>
  <c r="DX193" i="7"/>
  <c r="DY193" i="7"/>
  <c r="JF410" i="7"/>
  <c r="DX190" i="7"/>
  <c r="DY190" i="7"/>
  <c r="SR328" i="7"/>
  <c r="SR326" i="7"/>
  <c r="SR325" i="7"/>
  <c r="SR320" i="7"/>
  <c r="SR212" i="7"/>
  <c r="SR317" i="7"/>
  <c r="SR316" i="7"/>
  <c r="SR318" i="7"/>
  <c r="KV261" i="7"/>
  <c r="KV326" i="7"/>
  <c r="KV242" i="7"/>
  <c r="KV235" i="7"/>
  <c r="KV316" i="7"/>
  <c r="JF258" i="7"/>
  <c r="GN162" i="7"/>
  <c r="LG189" i="7"/>
  <c r="KV325" i="7"/>
  <c r="JF254" i="7"/>
  <c r="KV240" i="7"/>
  <c r="JF239" i="7"/>
  <c r="JF265" i="7"/>
  <c r="KV444" i="7"/>
  <c r="JF437" i="7"/>
  <c r="KV389" i="7"/>
  <c r="KV319" i="7"/>
  <c r="JF97" i="7"/>
  <c r="JF266" i="7"/>
  <c r="MZ187" i="7"/>
  <c r="GN194" i="7"/>
  <c r="KV317" i="7"/>
  <c r="NL211" i="7"/>
  <c r="KV241" i="7"/>
  <c r="QI165" i="7"/>
  <c r="JF257" i="7"/>
  <c r="KV318" i="7"/>
  <c r="KV234" i="7"/>
  <c r="KV327" i="7"/>
  <c r="JF441" i="7"/>
  <c r="GN203" i="7"/>
  <c r="KV320" i="7"/>
  <c r="KV183" i="7"/>
  <c r="KV238" i="7"/>
  <c r="JF235" i="7"/>
  <c r="GN212" i="7"/>
  <c r="IH211" i="7"/>
  <c r="KV93" i="7"/>
  <c r="KV186" i="7"/>
  <c r="KV328" i="7"/>
  <c r="JF93" i="7"/>
  <c r="KV94" i="7"/>
  <c r="JF232" i="7"/>
  <c r="LR184" i="7"/>
  <c r="QI163" i="7"/>
  <c r="JF255" i="7"/>
  <c r="KV96" i="7"/>
  <c r="KV163" i="7"/>
  <c r="KV211" i="7"/>
  <c r="JF433" i="7"/>
  <c r="KV322" i="7"/>
  <c r="KV191" i="7"/>
  <c r="KV212" i="7"/>
  <c r="JF237" i="7"/>
  <c r="NX212" i="7"/>
  <c r="JF438" i="7"/>
  <c r="QI166" i="7"/>
  <c r="KV268" i="7"/>
  <c r="KV390" i="7"/>
  <c r="KV258" i="7"/>
  <c r="KV250" i="7"/>
  <c r="KV184" i="7"/>
  <c r="JF268" i="7"/>
  <c r="JF240" i="7"/>
  <c r="JF261" i="7"/>
  <c r="LR186" i="7"/>
  <c r="JF442" i="7"/>
  <c r="KV260" i="7"/>
  <c r="KV256" i="7"/>
  <c r="KV236" i="7"/>
  <c r="JF267" i="7"/>
  <c r="JF242" i="7"/>
  <c r="LR183" i="7"/>
  <c r="JF234" i="7"/>
  <c r="KV255" i="7"/>
  <c r="KV189" i="7"/>
  <c r="KV324" i="7"/>
  <c r="KV166" i="7"/>
  <c r="JQ212" i="7"/>
  <c r="LG190" i="7"/>
  <c r="KV97" i="7"/>
  <c r="JF95" i="7"/>
  <c r="GN216" i="7"/>
  <c r="NL212" i="7"/>
  <c r="MV185" i="7"/>
  <c r="MZ185" i="7" s="1"/>
  <c r="LR185" i="7"/>
  <c r="MV192" i="7"/>
  <c r="MZ192" i="7" s="1"/>
  <c r="LR192" i="7"/>
  <c r="NX204" i="7"/>
  <c r="MK182" i="7"/>
  <c r="MO182" i="7" s="1"/>
  <c r="LG182" i="7"/>
  <c r="JF321" i="7"/>
  <c r="KV254" i="7"/>
  <c r="KV329" i="7"/>
  <c r="JF184" i="7"/>
  <c r="MK191" i="7"/>
  <c r="LG191" i="7"/>
  <c r="JF105" i="7"/>
  <c r="JF106" i="7"/>
  <c r="MK183" i="7"/>
  <c r="MO183" i="7" s="1"/>
  <c r="LG183" i="7"/>
  <c r="MV189" i="7"/>
  <c r="LR189" i="7"/>
  <c r="JF316" i="7"/>
  <c r="JF319" i="7"/>
  <c r="JF326" i="7"/>
  <c r="JF325" i="7"/>
  <c r="MV191" i="7"/>
  <c r="MZ191" i="7" s="1"/>
  <c r="LR191" i="7"/>
  <c r="JF233" i="7"/>
  <c r="MK192" i="7"/>
  <c r="MO192" i="7" s="1"/>
  <c r="LG192" i="7"/>
  <c r="KV192" i="7"/>
  <c r="MK193" i="7"/>
  <c r="LG193" i="7"/>
  <c r="KV265" i="7"/>
  <c r="KV251" i="7"/>
  <c r="KV165" i="7"/>
  <c r="JF183" i="7"/>
  <c r="JF109" i="7"/>
  <c r="JF391" i="7"/>
  <c r="JF187" i="7"/>
  <c r="JF205" i="7"/>
  <c r="JF329" i="7"/>
  <c r="GN90" i="7"/>
  <c r="JF190" i="7"/>
  <c r="JF191" i="7"/>
  <c r="NX411" i="7"/>
  <c r="NL204" i="7"/>
  <c r="MK184" i="7"/>
  <c r="MO184" i="7" s="1"/>
  <c r="LG184" i="7"/>
  <c r="MK185" i="7"/>
  <c r="LG185" i="7"/>
  <c r="JF443" i="7"/>
  <c r="JF189" i="7"/>
  <c r="JF211" i="7"/>
  <c r="KV411" i="7"/>
  <c r="JF185" i="7"/>
  <c r="JF33" i="7"/>
  <c r="GN166" i="7"/>
  <c r="JF193" i="7"/>
  <c r="KV185" i="7"/>
  <c r="KV231" i="7"/>
  <c r="KV233" i="7"/>
  <c r="KV216" i="7"/>
  <c r="KV182" i="7"/>
  <c r="QI162" i="7"/>
  <c r="JF216" i="7"/>
  <c r="JF324" i="7"/>
  <c r="JF236" i="7"/>
  <c r="JF323" i="7"/>
  <c r="GN164" i="7"/>
  <c r="JF182" i="7"/>
  <c r="GN163" i="7"/>
  <c r="JF411" i="7"/>
  <c r="JF111" i="7"/>
  <c r="JF251" i="7"/>
  <c r="MK188" i="7"/>
  <c r="MO188" i="7" s="1"/>
  <c r="LG188" i="7"/>
  <c r="LR188" i="7"/>
  <c r="JF432" i="7"/>
  <c r="JF317" i="7"/>
  <c r="JQ211" i="7"/>
  <c r="LR187" i="7"/>
  <c r="NL411" i="7"/>
  <c r="KV321" i="7"/>
  <c r="GN211" i="7"/>
  <c r="KV164" i="7"/>
  <c r="NX203" i="7"/>
  <c r="JF389" i="7"/>
  <c r="KV239" i="7"/>
  <c r="KV266" i="7"/>
  <c r="KV187" i="7"/>
  <c r="KV190" i="7"/>
  <c r="KV237" i="7"/>
  <c r="JF92" i="7"/>
  <c r="JF322" i="7"/>
  <c r="JF318" i="7"/>
  <c r="JF108" i="7"/>
  <c r="JF390" i="7"/>
  <c r="JF238" i="7"/>
  <c r="JF91" i="7"/>
  <c r="JF188" i="7"/>
  <c r="NL203" i="7"/>
  <c r="MV193" i="7"/>
  <c r="MZ193" i="7" s="1"/>
  <c r="LR193" i="7"/>
  <c r="MV190" i="7"/>
  <c r="MZ190" i="7" s="1"/>
  <c r="LR190" i="7"/>
  <c r="JF98" i="7"/>
  <c r="JF256" i="7"/>
  <c r="JF320" i="7"/>
  <c r="LG186" i="7"/>
  <c r="KV391" i="7"/>
  <c r="KV323" i="7"/>
  <c r="JF327" i="7"/>
  <c r="JF186" i="7"/>
  <c r="JF212" i="7"/>
  <c r="JF110" i="7"/>
  <c r="NX211" i="7"/>
  <c r="KV232" i="7"/>
  <c r="KV95" i="7"/>
  <c r="KV264" i="7"/>
  <c r="QI164" i="7"/>
  <c r="JF104" i="7"/>
  <c r="JF107" i="7"/>
  <c r="JF192" i="7"/>
  <c r="NX410" i="7"/>
  <c r="JF328" i="7"/>
  <c r="JF241" i="7"/>
  <c r="JF96" i="7"/>
  <c r="JF250" i="7"/>
  <c r="JF94" i="7"/>
  <c r="JF231" i="7"/>
  <c r="NL410" i="7"/>
  <c r="MK187" i="7"/>
  <c r="MO187" i="7" s="1"/>
  <c r="LG187" i="7"/>
  <c r="MV182" i="7"/>
  <c r="LR182" i="7"/>
  <c r="JF444" i="7"/>
  <c r="HD135" i="7"/>
  <c r="AU444" i="7"/>
  <c r="AU435" i="7"/>
  <c r="AU434" i="7"/>
  <c r="AU410" i="7"/>
  <c r="BF444" i="7"/>
  <c r="BN444" i="7" s="1"/>
  <c r="BF211" i="7"/>
  <c r="BN211" i="7" s="1"/>
  <c r="AU413" i="7"/>
  <c r="HZ194" i="7"/>
  <c r="HZ212" i="7"/>
  <c r="IH212" i="7" s="1"/>
  <c r="MV184" i="7"/>
  <c r="MZ184" i="7" s="1"/>
  <c r="MV183" i="7"/>
  <c r="MZ183" i="7" s="1"/>
  <c r="MV188" i="7"/>
  <c r="MZ188" i="7" s="1"/>
  <c r="MV186" i="7"/>
  <c r="MZ186" i="7" s="1"/>
  <c r="HD138" i="7"/>
  <c r="HD197" i="7"/>
  <c r="HD327" i="7"/>
  <c r="MG189" i="7"/>
  <c r="HD195" i="7"/>
  <c r="HD234" i="7"/>
  <c r="HD240" i="7"/>
  <c r="HD412" i="7"/>
  <c r="HD330" i="7"/>
  <c r="HD411" i="7"/>
  <c r="HD212" i="7"/>
  <c r="HD198" i="7"/>
  <c r="HD238" i="7"/>
  <c r="HD328" i="7"/>
  <c r="MR182" i="7"/>
  <c r="MR189" i="7"/>
  <c r="MG191" i="7"/>
  <c r="HD140" i="7"/>
  <c r="HD325" i="7"/>
  <c r="HD326" i="7"/>
  <c r="HD319" i="7"/>
  <c r="HD320" i="7"/>
  <c r="HD233" i="7"/>
  <c r="HD196" i="7"/>
  <c r="HD329" i="7"/>
  <c r="HD236" i="7"/>
  <c r="HD323" i="7"/>
  <c r="HD243" i="7"/>
  <c r="HD141" i="7"/>
  <c r="HD241" i="7"/>
  <c r="HD139" i="7"/>
  <c r="HD194" i="7"/>
  <c r="HD137" i="7"/>
  <c r="HD237" i="7"/>
  <c r="HD232" i="7"/>
  <c r="HD142" i="7"/>
  <c r="HD322" i="7"/>
  <c r="HD216" i="7"/>
  <c r="HD136" i="7"/>
  <c r="HD239" i="7"/>
  <c r="HD316" i="7"/>
  <c r="HD235" i="7"/>
  <c r="HD143" i="7"/>
  <c r="HD318" i="7"/>
  <c r="HD317" i="7"/>
  <c r="HD211" i="7"/>
  <c r="HD242" i="7"/>
  <c r="HD321" i="7"/>
  <c r="HD410" i="7"/>
  <c r="HD144" i="7"/>
  <c r="HD413" i="7"/>
  <c r="HD324" i="7"/>
  <c r="HD231" i="7"/>
  <c r="MG185" i="7"/>
  <c r="MG193" i="7"/>
  <c r="MK190" i="7"/>
  <c r="MO190" i="7" s="1"/>
  <c r="HO194" i="7"/>
  <c r="MK189" i="7"/>
  <c r="MK186" i="7"/>
  <c r="MO186" i="7" s="1"/>
  <c r="MG194" i="7"/>
  <c r="LV183" i="7"/>
  <c r="LZ186" i="7"/>
  <c r="LZ190" i="7"/>
  <c r="LV189" i="7"/>
  <c r="MK211" i="7"/>
  <c r="BF80" i="7"/>
  <c r="BN80" i="7" s="1"/>
  <c r="LV191" i="7"/>
  <c r="LV187" i="7"/>
  <c r="BF212" i="7"/>
  <c r="BN212" i="7" s="1"/>
  <c r="LZ185" i="7"/>
  <c r="LV184" i="7"/>
  <c r="LV186" i="7"/>
  <c r="LV190" i="7"/>
  <c r="LV188" i="7"/>
  <c r="LV192" i="7"/>
  <c r="LZ182" i="7"/>
  <c r="LZ193" i="7"/>
  <c r="MD193" i="7" s="1"/>
  <c r="LZ188" i="7"/>
  <c r="LZ184" i="7"/>
  <c r="LV185" i="7"/>
  <c r="LZ183" i="7"/>
  <c r="MR194" i="7"/>
  <c r="LZ191" i="7"/>
  <c r="LV182" i="7"/>
  <c r="LZ189" i="7"/>
  <c r="LZ192" i="7"/>
  <c r="MK212" i="7"/>
  <c r="LZ187" i="7"/>
  <c r="LZ410" i="7"/>
  <c r="AU198" i="7"/>
  <c r="AU374" i="7"/>
  <c r="AU212" i="7"/>
  <c r="AU197" i="7"/>
  <c r="AU382" i="7"/>
  <c r="AU168" i="7"/>
  <c r="AU365" i="7"/>
  <c r="AU163" i="7"/>
  <c r="AU381" i="7"/>
  <c r="AU369" i="7"/>
  <c r="AU217" i="7"/>
  <c r="AU367" i="7"/>
  <c r="AU385" i="7"/>
  <c r="AU411" i="7"/>
  <c r="AU379" i="7"/>
  <c r="AU218" i="7"/>
  <c r="AU364" i="7"/>
  <c r="AU80" i="7"/>
  <c r="AU169" i="7"/>
  <c r="AU386" i="7"/>
  <c r="AU387" i="7"/>
  <c r="AU380" i="7"/>
  <c r="AU165" i="7"/>
  <c r="AU164" i="7"/>
  <c r="AU372" i="7"/>
  <c r="AU370" i="7"/>
  <c r="AU373" i="7"/>
  <c r="AU195" i="7"/>
  <c r="AU368" i="7"/>
  <c r="AU384" i="7"/>
  <c r="AU383" i="7"/>
  <c r="AU166" i="7"/>
  <c r="AU171" i="7"/>
  <c r="AU378" i="7"/>
  <c r="AU375" i="7"/>
  <c r="AU211" i="7"/>
  <c r="AU170" i="7"/>
  <c r="AU377" i="7"/>
  <c r="AU216" i="7"/>
  <c r="AU194" i="7"/>
  <c r="AU366" i="7"/>
  <c r="AU376" i="7"/>
  <c r="AU371" i="7"/>
  <c r="AU196" i="7"/>
  <c r="LZ98" i="7"/>
  <c r="LZ211" i="7"/>
  <c r="LZ163" i="7"/>
  <c r="LZ165" i="7"/>
  <c r="LZ411" i="7"/>
  <c r="LZ216" i="7"/>
  <c r="LZ212" i="7"/>
  <c r="LZ164" i="7"/>
  <c r="LZ166" i="7"/>
  <c r="BQ80" i="7"/>
  <c r="BY80" i="7" s="1"/>
  <c r="MD449" i="7" l="1"/>
  <c r="HL411" i="7"/>
  <c r="BC411" i="7"/>
  <c r="HL456" i="7"/>
  <c r="BC410" i="7"/>
  <c r="HL410" i="7"/>
  <c r="LV448" i="7"/>
  <c r="LX448" i="7" s="1"/>
  <c r="LX474" i="7" s="1"/>
  <c r="LV432" i="7" s="1"/>
  <c r="HL461" i="7"/>
  <c r="AG1535" i="15"/>
  <c r="AG1890" i="15"/>
  <c r="AG1035" i="15"/>
  <c r="AG1183" i="15"/>
  <c r="AG111" i="15"/>
  <c r="AG378" i="15"/>
  <c r="EO117" i="7"/>
  <c r="AG2567" i="15" s="1"/>
  <c r="EO123" i="7"/>
  <c r="AG2571" i="15" s="1"/>
  <c r="EO115" i="7"/>
  <c r="AG2676" i="15" s="1"/>
  <c r="EO112" i="7"/>
  <c r="AG2673" i="15" s="1"/>
  <c r="EO122" i="7"/>
  <c r="AG2570" i="15" s="1"/>
  <c r="EO119" i="7"/>
  <c r="AG2569" i="15" s="1"/>
  <c r="EO126" i="7"/>
  <c r="AG2572" i="15" s="1"/>
  <c r="EO125" i="7"/>
  <c r="AG2680" i="15" s="1"/>
  <c r="EO114" i="7"/>
  <c r="AG2675" i="15" s="1"/>
  <c r="EO113" i="7"/>
  <c r="AG2674" i="15" s="1"/>
  <c r="EO124" i="7"/>
  <c r="AG2679" i="15" s="1"/>
  <c r="EO118" i="7"/>
  <c r="AG2568" i="15" s="1"/>
  <c r="EO121" i="7"/>
  <c r="AG2678" i="15" s="1"/>
  <c r="EO120" i="7"/>
  <c r="AG2677" i="15" s="1"/>
  <c r="EO116" i="7"/>
  <c r="AG2566" i="15" s="1"/>
  <c r="ES120" i="7"/>
  <c r="AJ2677" i="15" s="1"/>
  <c r="ES112" i="7"/>
  <c r="AJ2673" i="15" s="1"/>
  <c r="ES127" i="7"/>
  <c r="ES119" i="7"/>
  <c r="AJ2569" i="15" s="1"/>
  <c r="ES126" i="7"/>
  <c r="AJ2572" i="15" s="1"/>
  <c r="ES118" i="7"/>
  <c r="AJ2568" i="15" s="1"/>
  <c r="ES113" i="7"/>
  <c r="AJ2674" i="15" s="1"/>
  <c r="ES125" i="7"/>
  <c r="AJ2680" i="15" s="1"/>
  <c r="ES117" i="7"/>
  <c r="AJ2567" i="15" s="1"/>
  <c r="ES124" i="7"/>
  <c r="AJ2679" i="15" s="1"/>
  <c r="ES116" i="7"/>
  <c r="AJ2566" i="15" s="1"/>
  <c r="ES121" i="7"/>
  <c r="AJ2678" i="15" s="1"/>
  <c r="ES123" i="7"/>
  <c r="AJ2571" i="15" s="1"/>
  <c r="ES115" i="7"/>
  <c r="AJ2676" i="15" s="1"/>
  <c r="ES122" i="7"/>
  <c r="AJ2570" i="15" s="1"/>
  <c r="ES114" i="7"/>
  <c r="AJ2675" i="15" s="1"/>
  <c r="EO450" i="7"/>
  <c r="EO458" i="7"/>
  <c r="EO457" i="7"/>
  <c r="EO456" i="7"/>
  <c r="EO461" i="7"/>
  <c r="AG3067" i="15" s="1"/>
  <c r="EO460" i="7"/>
  <c r="AG3066" i="15" s="1"/>
  <c r="EO459" i="7"/>
  <c r="AG3065" i="15" s="1"/>
  <c r="ES451" i="7"/>
  <c r="ES460" i="7"/>
  <c r="ES458" i="7"/>
  <c r="ES457" i="7"/>
  <c r="ES459" i="7"/>
  <c r="ES456" i="7"/>
  <c r="ES461" i="7"/>
  <c r="ES450" i="7"/>
  <c r="ES453" i="7"/>
  <c r="ES452" i="7"/>
  <c r="EO451" i="7"/>
  <c r="EO452" i="7"/>
  <c r="EO453" i="7"/>
  <c r="MB474" i="7"/>
  <c r="ES128" i="7"/>
  <c r="ES129" i="7"/>
  <c r="ES130" i="7"/>
  <c r="ES131" i="7"/>
  <c r="ES132" i="7"/>
  <c r="ES133" i="7"/>
  <c r="EO128" i="7"/>
  <c r="EO132" i="7"/>
  <c r="EO129" i="7"/>
  <c r="AG2932" i="15" s="1"/>
  <c r="EO133" i="7"/>
  <c r="AG2936" i="15" s="1"/>
  <c r="EO130" i="7"/>
  <c r="EO131" i="7"/>
  <c r="AG2934" i="15" s="1"/>
  <c r="EO389" i="7"/>
  <c r="AG3209" i="15" s="1"/>
  <c r="HL216" i="7"/>
  <c r="BC216" i="7"/>
  <c r="HL141" i="7"/>
  <c r="HL142" i="7"/>
  <c r="HL327" i="7"/>
  <c r="HL329" i="7"/>
  <c r="BC444" i="7"/>
  <c r="BC80" i="7"/>
  <c r="HL319" i="7"/>
  <c r="HL326" i="7"/>
  <c r="HL137" i="7"/>
  <c r="HL330" i="7"/>
  <c r="HL317" i="7"/>
  <c r="HL323" i="7"/>
  <c r="HL325" i="7"/>
  <c r="HL140" i="7"/>
  <c r="BC211" i="7"/>
  <c r="HL136" i="7"/>
  <c r="HL139" i="7"/>
  <c r="HL138" i="7"/>
  <c r="HL321" i="7"/>
  <c r="HL211" i="7"/>
  <c r="HL328" i="7"/>
  <c r="HL241" i="7"/>
  <c r="HL320" i="7"/>
  <c r="HL234" i="7"/>
  <c r="HL231" i="7"/>
  <c r="HL322" i="7"/>
  <c r="HL238" i="7"/>
  <c r="HL135" i="7"/>
  <c r="HL233" i="7"/>
  <c r="HL240" i="7"/>
  <c r="HL232" i="7"/>
  <c r="HL324" i="7"/>
  <c r="HL143" i="7"/>
  <c r="HL144" i="7"/>
  <c r="HL235" i="7"/>
  <c r="HL237" i="7"/>
  <c r="HL236" i="7"/>
  <c r="HL318" i="7"/>
  <c r="HL243" i="7"/>
  <c r="HL316" i="7"/>
  <c r="HL242" i="7"/>
  <c r="HL239" i="7"/>
  <c r="BC166" i="7"/>
  <c r="HL212" i="7"/>
  <c r="BC212" i="7"/>
  <c r="BC165" i="7"/>
  <c r="BC164" i="7"/>
  <c r="BC163" i="7"/>
  <c r="MD184" i="7"/>
  <c r="MO193" i="7"/>
  <c r="MD187" i="7"/>
  <c r="MD183" i="7"/>
  <c r="MO189" i="7"/>
  <c r="MD185" i="7"/>
  <c r="MD186" i="7"/>
  <c r="MD182" i="7"/>
  <c r="MO191" i="7"/>
  <c r="MD188" i="7"/>
  <c r="MD192" i="7"/>
  <c r="MD191" i="7"/>
  <c r="MO185" i="7"/>
  <c r="MZ182" i="7"/>
  <c r="MZ189" i="7"/>
  <c r="MD98" i="7"/>
  <c r="MD190" i="7"/>
  <c r="MD189" i="7"/>
  <c r="ES226" i="7"/>
  <c r="ES167" i="7"/>
  <c r="EO241" i="7"/>
  <c r="AG2980" i="15" s="1"/>
  <c r="EO167" i="7"/>
  <c r="AG3254" i="15" s="1"/>
  <c r="GR305" i="7"/>
  <c r="GZ305" i="7" s="1"/>
  <c r="GR283" i="7"/>
  <c r="GZ283" i="7" s="1"/>
  <c r="GR133" i="7"/>
  <c r="GZ133" i="7" s="1"/>
  <c r="GR282" i="7"/>
  <c r="GZ282" i="7" s="1"/>
  <c r="GR306" i="7"/>
  <c r="GZ306" i="7" s="1"/>
  <c r="GR288" i="7"/>
  <c r="GZ288" i="7" s="1"/>
  <c r="GR287" i="7"/>
  <c r="GZ287" i="7" s="1"/>
  <c r="GR285" i="7"/>
  <c r="GZ285" i="7" s="1"/>
  <c r="GR296" i="7"/>
  <c r="GZ296" i="7" s="1"/>
  <c r="GR293" i="7"/>
  <c r="GZ293" i="7" s="1"/>
  <c r="GR313" i="7"/>
  <c r="GZ313" i="7" s="1"/>
  <c r="GR280" i="7"/>
  <c r="GZ280" i="7" s="1"/>
  <c r="GR300" i="7"/>
  <c r="GZ300" i="7" s="1"/>
  <c r="GR297" i="7"/>
  <c r="GZ297" i="7" s="1"/>
  <c r="GR290" i="7"/>
  <c r="GZ290" i="7" s="1"/>
  <c r="GR298" i="7"/>
  <c r="GZ298" i="7" s="1"/>
  <c r="GR129" i="7"/>
  <c r="GZ129" i="7" s="1"/>
  <c r="GR315" i="7"/>
  <c r="GZ315" i="7" s="1"/>
  <c r="GR361" i="7"/>
  <c r="GZ361" i="7" s="1"/>
  <c r="GR128" i="7"/>
  <c r="GZ128" i="7" s="1"/>
  <c r="GR303" i="7"/>
  <c r="GZ303" i="7" s="1"/>
  <c r="GR130" i="7"/>
  <c r="GZ130" i="7" s="1"/>
  <c r="GR289" i="7"/>
  <c r="GZ289" i="7" s="1"/>
  <c r="GR286" i="7"/>
  <c r="GZ286" i="7" s="1"/>
  <c r="GR284" i="7"/>
  <c r="GZ284" i="7" s="1"/>
  <c r="GR299" i="7"/>
  <c r="GZ299" i="7" s="1"/>
  <c r="GR292" i="7"/>
  <c r="GZ292" i="7" s="1"/>
  <c r="GR309" i="7"/>
  <c r="GZ309" i="7" s="1"/>
  <c r="GR310" i="7"/>
  <c r="GZ310" i="7" s="1"/>
  <c r="GR314" i="7"/>
  <c r="GZ314" i="7" s="1"/>
  <c r="GR132" i="7"/>
  <c r="GZ132" i="7" s="1"/>
  <c r="GR363" i="7"/>
  <c r="GZ363" i="7" s="1"/>
  <c r="GR295" i="7"/>
  <c r="GZ295" i="7" s="1"/>
  <c r="GR304" i="7"/>
  <c r="GZ304" i="7" s="1"/>
  <c r="GR216" i="7"/>
  <c r="GZ216" i="7" s="1"/>
  <c r="GR281" i="7"/>
  <c r="GZ281" i="7" s="1"/>
  <c r="GR301" i="7"/>
  <c r="GZ301" i="7" s="1"/>
  <c r="GR291" i="7"/>
  <c r="GZ291" i="7" s="1"/>
  <c r="GR311" i="7"/>
  <c r="GZ311" i="7" s="1"/>
  <c r="GR302" i="7"/>
  <c r="GZ302" i="7" s="1"/>
  <c r="GR307" i="7"/>
  <c r="GZ307" i="7" s="1"/>
  <c r="GR131" i="7"/>
  <c r="GZ131" i="7" s="1"/>
  <c r="GR312" i="7"/>
  <c r="GZ312" i="7" s="1"/>
  <c r="GR362" i="7"/>
  <c r="GZ362" i="7" s="1"/>
  <c r="GR308" i="7"/>
  <c r="GZ308" i="7" s="1"/>
  <c r="LV371" i="7"/>
  <c r="LV211" i="7"/>
  <c r="LV368" i="7"/>
  <c r="LV380" i="7"/>
  <c r="LV411" i="7"/>
  <c r="LV365" i="7"/>
  <c r="LV379" i="7"/>
  <c r="LV374" i="7"/>
  <c r="LV376" i="7"/>
  <c r="LV375" i="7"/>
  <c r="LV387" i="7"/>
  <c r="LV385" i="7"/>
  <c r="LV384" i="7"/>
  <c r="LV366" i="7"/>
  <c r="LV378" i="7"/>
  <c r="LV373" i="7"/>
  <c r="LV386" i="7"/>
  <c r="LV367" i="7"/>
  <c r="LV382" i="7"/>
  <c r="LV410" i="7"/>
  <c r="LV370" i="7"/>
  <c r="LV217" i="7"/>
  <c r="LV165" i="7"/>
  <c r="LV194" i="7"/>
  <c r="LV166" i="7"/>
  <c r="LV372" i="7"/>
  <c r="LV369" i="7"/>
  <c r="LV216" i="7"/>
  <c r="LV364" i="7"/>
  <c r="LV381" i="7"/>
  <c r="LV377" i="7"/>
  <c r="LV383" i="7"/>
  <c r="LV164" i="7"/>
  <c r="LV218" i="7"/>
  <c r="LV163" i="7"/>
  <c r="LV212" i="7"/>
  <c r="ES337" i="7"/>
  <c r="ES293" i="7"/>
  <c r="ES285" i="7"/>
  <c r="ES302" i="7"/>
  <c r="ES270" i="7"/>
  <c r="ES82" i="7"/>
  <c r="ES308" i="7"/>
  <c r="ES90" i="7"/>
  <c r="ES306" i="7"/>
  <c r="ES254" i="7"/>
  <c r="ES282" i="7"/>
  <c r="ES363" i="7"/>
  <c r="ES288" i="7"/>
  <c r="ES252" i="7"/>
  <c r="ES235" i="7"/>
  <c r="ES231" i="7"/>
  <c r="ES234" i="7"/>
  <c r="ES256" i="7"/>
  <c r="ES174" i="7"/>
  <c r="ES243" i="7"/>
  <c r="ES165" i="7"/>
  <c r="ES297" i="7"/>
  <c r="ES268" i="7"/>
  <c r="ES286" i="7"/>
  <c r="ES290" i="7"/>
  <c r="ES166" i="7"/>
  <c r="AJ3074" i="15" s="1"/>
  <c r="ES304" i="7"/>
  <c r="ES145" i="7"/>
  <c r="ES305" i="7"/>
  <c r="ES265" i="7"/>
  <c r="ES312" i="7"/>
  <c r="ES216" i="7"/>
  <c r="ES292" i="7"/>
  <c r="ES333" i="7"/>
  <c r="ES227" i="7"/>
  <c r="ES314" i="7"/>
  <c r="ES361" i="7"/>
  <c r="ES287" i="7"/>
  <c r="ES238" i="7"/>
  <c r="ES291" i="7"/>
  <c r="ES262" i="7"/>
  <c r="ES280" i="7"/>
  <c r="ES255" i="7"/>
  <c r="ES336" i="7"/>
  <c r="ES242" i="7"/>
  <c r="ES335" i="7"/>
  <c r="ES229" i="7"/>
  <c r="ES390" i="7"/>
  <c r="ES251" i="7"/>
  <c r="ES236" i="7"/>
  <c r="ES260" i="7"/>
  <c r="ES244" i="7"/>
  <c r="AJ3136" i="15" s="1"/>
  <c r="ES360" i="7"/>
  <c r="ES257" i="7"/>
  <c r="ES230" i="7"/>
  <c r="ES298" i="7"/>
  <c r="ES289" i="7"/>
  <c r="ES146" i="7"/>
  <c r="AJ3033" i="15" s="1"/>
  <c r="ES245" i="7"/>
  <c r="AJ3137" i="15" s="1"/>
  <c r="ES204" i="7"/>
  <c r="ES233" i="7"/>
  <c r="ES240" i="7"/>
  <c r="ES281" i="7"/>
  <c r="ES310" i="7"/>
  <c r="ES266" i="7"/>
  <c r="ES296" i="7"/>
  <c r="ES315" i="7"/>
  <c r="ES283" i="7"/>
  <c r="ES241" i="7"/>
  <c r="ES83" i="7"/>
  <c r="ES267" i="7"/>
  <c r="ES311" i="7"/>
  <c r="ES163" i="7"/>
  <c r="ES391" i="7"/>
  <c r="ES303" i="7"/>
  <c r="ES175" i="7"/>
  <c r="ES261" i="7"/>
  <c r="ES284" i="7"/>
  <c r="ES307" i="7"/>
  <c r="ES301" i="7"/>
  <c r="ES338" i="7"/>
  <c r="ES309" i="7"/>
  <c r="ES250" i="7"/>
  <c r="ES237" i="7"/>
  <c r="ES228" i="7"/>
  <c r="ES294" i="7"/>
  <c r="ES313" i="7"/>
  <c r="ES164" i="7"/>
  <c r="ES258" i="7"/>
  <c r="ES194" i="7"/>
  <c r="ES264" i="7"/>
  <c r="ES299" i="7"/>
  <c r="ES239" i="7"/>
  <c r="ES295" i="7"/>
  <c r="ES232" i="7"/>
  <c r="ES203" i="7"/>
  <c r="ES81" i="7"/>
  <c r="ES334" i="7"/>
  <c r="ES362" i="7"/>
  <c r="ES300" i="7"/>
  <c r="ES389" i="7"/>
  <c r="EO204" i="7"/>
  <c r="AG3079" i="15" s="1"/>
  <c r="EO231" i="7"/>
  <c r="AG2970" i="15" s="1"/>
  <c r="EO265" i="7"/>
  <c r="AG3144" i="15" s="1"/>
  <c r="EO303" i="7"/>
  <c r="AG3178" i="15" s="1"/>
  <c r="EO258" i="7"/>
  <c r="AG3142" i="15" s="1"/>
  <c r="EO297" i="7"/>
  <c r="AG3172" i="15" s="1"/>
  <c r="EO289" i="7"/>
  <c r="AG3164" i="15" s="1"/>
  <c r="EO336" i="7"/>
  <c r="EO361" i="7"/>
  <c r="AG3046" i="15" s="1"/>
  <c r="EO290" i="7"/>
  <c r="AG3165" i="15" s="1"/>
  <c r="EO291" i="7"/>
  <c r="AG3166" i="15" s="1"/>
  <c r="EO234" i="7"/>
  <c r="AG2973" i="15" s="1"/>
  <c r="EO301" i="7"/>
  <c r="AG3176" i="15" s="1"/>
  <c r="EO165" i="7"/>
  <c r="EO194" i="7"/>
  <c r="EO264" i="7"/>
  <c r="AG3143" i="15" s="1"/>
  <c r="EO253" i="7"/>
  <c r="EO266" i="7"/>
  <c r="AG3145" i="15" s="1"/>
  <c r="EO312" i="7"/>
  <c r="AG3187" i="15" s="1"/>
  <c r="EO284" i="7"/>
  <c r="AG3159" i="15" s="1"/>
  <c r="EO146" i="7"/>
  <c r="EO269" i="7"/>
  <c r="EO309" i="7"/>
  <c r="AG3184" i="15" s="1"/>
  <c r="EO164" i="7"/>
  <c r="EO283" i="7"/>
  <c r="AG3158" i="15" s="1"/>
  <c r="EO239" i="7"/>
  <c r="AG2978" i="15" s="1"/>
  <c r="EO360" i="7"/>
  <c r="EO225" i="7"/>
  <c r="EO237" i="7"/>
  <c r="AG2976" i="15" s="1"/>
  <c r="EO232" i="7"/>
  <c r="AG2971" i="15" s="1"/>
  <c r="EO259" i="7"/>
  <c r="EO263" i="7"/>
  <c r="EO145" i="7"/>
  <c r="AG3032" i="15" s="1"/>
  <c r="EO313" i="7"/>
  <c r="AG3188" i="15" s="1"/>
  <c r="EO257" i="7"/>
  <c r="AG3141" i="15" s="1"/>
  <c r="EO282" i="7"/>
  <c r="AG3157" i="15" s="1"/>
  <c r="EO166" i="7"/>
  <c r="AG3074" i="15" s="1"/>
  <c r="EO245" i="7"/>
  <c r="AG3137" i="15" s="1"/>
  <c r="EO252" i="7"/>
  <c r="AG2985" i="15" s="1"/>
  <c r="EO285" i="7"/>
  <c r="AG3160" i="15" s="1"/>
  <c r="EO81" i="7"/>
  <c r="AG3107" i="15" s="1"/>
  <c r="EO286" i="7"/>
  <c r="AG3161" i="15" s="1"/>
  <c r="EO228" i="7"/>
  <c r="AG3043" i="15" s="1"/>
  <c r="EO310" i="7"/>
  <c r="AG3185" i="15" s="1"/>
  <c r="EO260" i="7"/>
  <c r="AG2986" i="15" s="1"/>
  <c r="EO270" i="7"/>
  <c r="EO90" i="7"/>
  <c r="EO250" i="7"/>
  <c r="AG2983" i="15" s="1"/>
  <c r="EO295" i="7"/>
  <c r="EO82" i="7"/>
  <c r="AG3108" i="15" s="1"/>
  <c r="EO287" i="7"/>
  <c r="AG3162" i="15" s="1"/>
  <c r="EO175" i="7"/>
  <c r="AG3076" i="15" s="1"/>
  <c r="EO281" i="7"/>
  <c r="AG3156" i="15" s="1"/>
  <c r="EO334" i="7"/>
  <c r="AG3005" i="15" s="1"/>
  <c r="EO288" i="7"/>
  <c r="AG3163" i="15" s="1"/>
  <c r="EO391" i="7"/>
  <c r="AG3020" i="15" s="1"/>
  <c r="EO311" i="7"/>
  <c r="AG3186" i="15" s="1"/>
  <c r="EO251" i="7"/>
  <c r="AG2984" i="15" s="1"/>
  <c r="EO308" i="7"/>
  <c r="AG3183" i="15" s="1"/>
  <c r="EO216" i="7"/>
  <c r="AG3135" i="15" s="1"/>
  <c r="EO307" i="7"/>
  <c r="AG3182" i="15" s="1"/>
  <c r="EO233" i="7"/>
  <c r="AG2972" i="15" s="1"/>
  <c r="EO244" i="7"/>
  <c r="EO390" i="7"/>
  <c r="AG3210" i="15" s="1"/>
  <c r="EO163" i="7"/>
  <c r="EO226" i="7"/>
  <c r="AG3041" i="15" s="1"/>
  <c r="EO174" i="7"/>
  <c r="AG3075" i="15" s="1"/>
  <c r="EO222" i="7"/>
  <c r="EO240" i="7"/>
  <c r="AG2979" i="15" s="1"/>
  <c r="EO262" i="7"/>
  <c r="AG2988" i="15" s="1"/>
  <c r="EO224" i="7"/>
  <c r="EO299" i="7"/>
  <c r="AG3174" i="15" s="1"/>
  <c r="EO238" i="7"/>
  <c r="AG2977" i="15" s="1"/>
  <c r="EO363" i="7"/>
  <c r="AG3048" i="15" s="1"/>
  <c r="EO333" i="7"/>
  <c r="EO83" i="7"/>
  <c r="AG3109" i="15" s="1"/>
  <c r="EO255" i="7"/>
  <c r="AG3139" i="15" s="1"/>
  <c r="EO293" i="7"/>
  <c r="AG3168" i="15" s="1"/>
  <c r="EO229" i="7"/>
  <c r="AG3044" i="15" s="1"/>
  <c r="EO243" i="7"/>
  <c r="AG2982" i="15" s="1"/>
  <c r="EO235" i="7"/>
  <c r="AG2974" i="15" s="1"/>
  <c r="EO236" i="7"/>
  <c r="AG2975" i="15" s="1"/>
  <c r="EO300" i="7"/>
  <c r="AG3175" i="15" s="1"/>
  <c r="EO314" i="7"/>
  <c r="AG3189" i="15" s="1"/>
  <c r="EO261" i="7"/>
  <c r="AG2987" i="15" s="1"/>
  <c r="EO304" i="7"/>
  <c r="AG3179" i="15" s="1"/>
  <c r="EO267" i="7"/>
  <c r="AG3146" i="15" s="1"/>
  <c r="EO230" i="7"/>
  <c r="AG3045" i="15" s="1"/>
  <c r="EO242" i="7"/>
  <c r="AG2981" i="15" s="1"/>
  <c r="EO223" i="7"/>
  <c r="EO227" i="7"/>
  <c r="AG3042" i="15" s="1"/>
  <c r="EO254" i="7"/>
  <c r="AG3138" i="15" s="1"/>
  <c r="EO337" i="7"/>
  <c r="AG3194" i="15" s="1"/>
  <c r="EO294" i="7"/>
  <c r="AG3169" i="15" s="1"/>
  <c r="EO335" i="7"/>
  <c r="AG3006" i="15" s="1"/>
  <c r="EO315" i="7"/>
  <c r="AG3190" i="15" s="1"/>
  <c r="EO362" i="7"/>
  <c r="AG3047" i="15" s="1"/>
  <c r="EO338" i="7"/>
  <c r="AG3195" i="15" s="1"/>
  <c r="EO296" i="7"/>
  <c r="AG3171" i="15" s="1"/>
  <c r="EO298" i="7"/>
  <c r="AG3173" i="15" s="1"/>
  <c r="EO256" i="7"/>
  <c r="AG3140" i="15" s="1"/>
  <c r="EO280" i="7"/>
  <c r="AG3155" i="15" s="1"/>
  <c r="EO292" i="7"/>
  <c r="AG3167" i="15" s="1"/>
  <c r="EO203" i="7"/>
  <c r="AG3078" i="15" s="1"/>
  <c r="EO302" i="7"/>
  <c r="AG3177" i="15" s="1"/>
  <c r="EO305" i="7"/>
  <c r="AG3180" i="15" s="1"/>
  <c r="EO268" i="7"/>
  <c r="AG3147" i="15" s="1"/>
  <c r="EO306" i="7"/>
  <c r="MD448" i="7" l="1"/>
  <c r="LV435" i="7"/>
  <c r="LV433" i="7"/>
  <c r="AG3071" i="15"/>
  <c r="AJ3073" i="15"/>
  <c r="AG2933" i="15"/>
  <c r="LV202" i="7"/>
  <c r="AG3193" i="15"/>
  <c r="AG3148" i="15"/>
  <c r="AG3073" i="15"/>
  <c r="LV444" i="7"/>
  <c r="AG3072" i="15"/>
  <c r="LV434" i="7"/>
  <c r="AJ3071" i="15"/>
  <c r="AG2935" i="15"/>
  <c r="AG3208" i="15"/>
  <c r="AJ3072" i="15"/>
  <c r="AJ2652" i="15"/>
  <c r="AG2931" i="15"/>
  <c r="AG3004" i="15"/>
  <c r="LV201" i="7"/>
  <c r="AJ2704" i="15"/>
  <c r="AJ3254" i="15"/>
  <c r="AG2817" i="15"/>
  <c r="AG3181" i="15"/>
  <c r="AJ2774" i="15"/>
  <c r="AJ3142" i="15"/>
  <c r="AJ2801" i="15"/>
  <c r="AJ3165" i="15"/>
  <c r="AJ2822" i="15"/>
  <c r="AJ3186" i="15"/>
  <c r="AJ2824" i="15"/>
  <c r="AJ3188" i="15"/>
  <c r="AJ2818" i="15"/>
  <c r="AJ3182" i="15"/>
  <c r="AJ2781" i="15"/>
  <c r="AJ3146" i="15"/>
  <c r="AJ2792" i="15"/>
  <c r="AJ3156" i="15"/>
  <c r="AJ2823" i="15"/>
  <c r="AJ3187" i="15"/>
  <c r="AJ2782" i="15"/>
  <c r="AJ3147" i="15"/>
  <c r="AJ2819" i="15"/>
  <c r="AJ3183" i="15"/>
  <c r="AJ2645" i="15"/>
  <c r="AJ3107" i="15"/>
  <c r="AJ2800" i="15"/>
  <c r="AJ3164" i="15"/>
  <c r="AJ2817" i="15"/>
  <c r="AJ3181" i="15"/>
  <c r="AJ2809" i="15"/>
  <c r="AJ3173" i="15"/>
  <c r="AG2806" i="15"/>
  <c r="AG3170" i="15"/>
  <c r="AJ2806" i="15"/>
  <c r="AJ3170" i="15"/>
  <c r="AJ2805" i="15"/>
  <c r="AJ3169" i="15"/>
  <c r="AJ2795" i="15"/>
  <c r="AJ3159" i="15"/>
  <c r="AJ2647" i="15"/>
  <c r="AJ3109" i="15"/>
  <c r="AJ2773" i="15"/>
  <c r="AJ3141" i="15"/>
  <c r="AJ2798" i="15"/>
  <c r="AJ3162" i="15"/>
  <c r="AJ2779" i="15"/>
  <c r="AJ3144" i="15"/>
  <c r="AJ2808" i="15"/>
  <c r="AJ3172" i="15"/>
  <c r="AJ2646" i="15"/>
  <c r="AJ3108" i="15"/>
  <c r="AJ2883" i="15"/>
  <c r="AJ3209" i="15"/>
  <c r="AJ2871" i="15"/>
  <c r="AJ3208" i="15"/>
  <c r="AJ2816" i="15"/>
  <c r="AJ3180" i="15"/>
  <c r="AJ2799" i="15"/>
  <c r="AJ3163" i="15"/>
  <c r="AJ2783" i="15"/>
  <c r="AJ3148" i="15"/>
  <c r="AJ2821" i="15"/>
  <c r="AJ3185" i="15"/>
  <c r="AJ2802" i="15"/>
  <c r="AJ3166" i="15"/>
  <c r="AJ2797" i="15"/>
  <c r="AJ3161" i="15"/>
  <c r="AG2765" i="15"/>
  <c r="AG3136" i="15"/>
  <c r="AJ2811" i="15"/>
  <c r="AJ3175" i="15"/>
  <c r="AJ2810" i="15"/>
  <c r="AJ3174" i="15"/>
  <c r="AJ2794" i="15"/>
  <c r="AJ3158" i="15"/>
  <c r="AJ2847" i="15"/>
  <c r="AJ3193" i="15"/>
  <c r="AJ2825" i="15"/>
  <c r="AJ3189" i="15"/>
  <c r="AJ2813" i="15"/>
  <c r="AJ3177" i="15"/>
  <c r="AJ2780" i="15"/>
  <c r="AJ3145" i="15"/>
  <c r="AJ2803" i="15"/>
  <c r="AJ3167" i="15"/>
  <c r="AJ2848" i="15"/>
  <c r="AJ3194" i="15"/>
  <c r="AJ2884" i="15"/>
  <c r="AJ3210" i="15"/>
  <c r="AJ2778" i="15"/>
  <c r="AJ3143" i="15"/>
  <c r="AJ2814" i="15"/>
  <c r="AJ3178" i="15"/>
  <c r="AJ2826" i="15"/>
  <c r="AJ3190" i="15"/>
  <c r="AJ2771" i="15"/>
  <c r="AJ3139" i="15"/>
  <c r="AJ2815" i="15"/>
  <c r="AJ3179" i="15"/>
  <c r="AJ2793" i="15"/>
  <c r="AJ3157" i="15"/>
  <c r="AJ2796" i="15"/>
  <c r="AJ3160" i="15"/>
  <c r="AJ2849" i="15"/>
  <c r="AJ3195" i="15"/>
  <c r="AJ2812" i="15"/>
  <c r="AJ3176" i="15"/>
  <c r="AJ2743" i="15"/>
  <c r="AJ3135" i="15"/>
  <c r="AJ2820" i="15"/>
  <c r="AJ3184" i="15"/>
  <c r="AJ2807" i="15"/>
  <c r="AJ3171" i="15"/>
  <c r="AJ2791" i="15"/>
  <c r="AJ3155" i="15"/>
  <c r="AJ2772" i="15"/>
  <c r="AJ3140" i="15"/>
  <c r="AJ2770" i="15"/>
  <c r="AJ3138" i="15"/>
  <c r="AJ2804" i="15"/>
  <c r="AJ3168" i="15"/>
  <c r="AJ2732" i="15"/>
  <c r="AJ3078" i="15"/>
  <c r="AJ2711" i="15"/>
  <c r="AJ3076" i="15"/>
  <c r="AJ2733" i="15"/>
  <c r="AJ3079" i="15"/>
  <c r="AJ2710" i="15"/>
  <c r="AJ3075" i="15"/>
  <c r="AJ2751" i="15"/>
  <c r="AJ3045" i="15"/>
  <c r="AJ2750" i="15"/>
  <c r="AJ3044" i="15"/>
  <c r="AG2905" i="15"/>
  <c r="AG3059" i="15"/>
  <c r="AJ2912" i="15"/>
  <c r="AJ3064" i="15"/>
  <c r="AG2912" i="15"/>
  <c r="AG3064" i="15"/>
  <c r="AJ2906" i="15"/>
  <c r="AJ3060" i="15"/>
  <c r="AJ2914" i="15"/>
  <c r="AJ3066" i="15"/>
  <c r="AG2904" i="15"/>
  <c r="AG3058" i="15"/>
  <c r="AG2906" i="15"/>
  <c r="AG3060" i="15"/>
  <c r="AJ2911" i="15"/>
  <c r="AJ3063" i="15"/>
  <c r="AJ2749" i="15"/>
  <c r="AJ3043" i="15"/>
  <c r="AJ2872" i="15"/>
  <c r="AJ3046" i="15"/>
  <c r="AJ2907" i="15"/>
  <c r="AJ3061" i="15"/>
  <c r="AJ2905" i="15"/>
  <c r="AJ3059" i="15"/>
  <c r="AG2699" i="15"/>
  <c r="AG3033" i="15"/>
  <c r="AJ2698" i="15"/>
  <c r="AJ3032" i="15"/>
  <c r="AJ2874" i="15"/>
  <c r="AJ3048" i="15"/>
  <c r="AJ2904" i="15"/>
  <c r="AJ3058" i="15"/>
  <c r="AG2911" i="15"/>
  <c r="AG3063" i="15"/>
  <c r="AJ2873" i="15"/>
  <c r="AJ3047" i="15"/>
  <c r="AJ2748" i="15"/>
  <c r="AJ3042" i="15"/>
  <c r="AJ2747" i="15"/>
  <c r="AJ3041" i="15"/>
  <c r="AJ2915" i="15"/>
  <c r="AJ3067" i="15"/>
  <c r="AJ2910" i="15"/>
  <c r="AJ3062" i="15"/>
  <c r="AG2907" i="15"/>
  <c r="AG3061" i="15"/>
  <c r="AJ2913" i="15"/>
  <c r="AJ3065" i="15"/>
  <c r="AG2910" i="15"/>
  <c r="AG3062" i="15"/>
  <c r="AJ2768" i="15"/>
  <c r="AJ2984" i="15"/>
  <c r="AJ2752" i="15"/>
  <c r="AJ2970" i="15"/>
  <c r="AJ2769" i="15"/>
  <c r="AJ2985" i="15"/>
  <c r="AJ2776" i="15"/>
  <c r="AJ2987" i="15"/>
  <c r="AJ2753" i="15"/>
  <c r="AJ2971" i="15"/>
  <c r="AJ2759" i="15"/>
  <c r="AJ2977" i="15"/>
  <c r="AJ2756" i="15"/>
  <c r="AJ2974" i="15"/>
  <c r="AJ2686" i="15"/>
  <c r="AJ2936" i="15"/>
  <c r="AJ2846" i="15"/>
  <c r="AJ3006" i="15"/>
  <c r="AJ2754" i="15"/>
  <c r="AJ2972" i="15"/>
  <c r="AJ2684" i="15"/>
  <c r="AJ2934" i="15"/>
  <c r="AJ2758" i="15"/>
  <c r="AJ2976" i="15"/>
  <c r="AJ2764" i="15"/>
  <c r="AJ2982" i="15"/>
  <c r="AJ2683" i="15"/>
  <c r="AJ2933" i="15"/>
  <c r="AJ2767" i="15"/>
  <c r="AJ2983" i="15"/>
  <c r="AJ2775" i="15"/>
  <c r="AJ2986" i="15"/>
  <c r="AJ2682" i="15"/>
  <c r="AJ2932" i="15"/>
  <c r="AJ2685" i="15"/>
  <c r="AJ2935" i="15"/>
  <c r="AJ2760" i="15"/>
  <c r="AJ2978" i="15"/>
  <c r="AJ2762" i="15"/>
  <c r="AJ2980" i="15"/>
  <c r="AJ2763" i="15"/>
  <c r="AJ2981" i="15"/>
  <c r="AJ2845" i="15"/>
  <c r="AJ3005" i="15"/>
  <c r="AJ2885" i="15"/>
  <c r="AJ3020" i="15"/>
  <c r="AJ2757" i="15"/>
  <c r="AJ2975" i="15"/>
  <c r="AJ2844" i="15"/>
  <c r="AJ3004" i="15"/>
  <c r="AJ2681" i="15"/>
  <c r="AJ2931" i="15"/>
  <c r="AJ2761" i="15"/>
  <c r="AJ2979" i="15"/>
  <c r="AJ2777" i="15"/>
  <c r="AJ2988" i="15"/>
  <c r="AJ2755" i="15"/>
  <c r="AJ2973" i="15"/>
  <c r="AG2356" i="15"/>
  <c r="AG2816" i="15"/>
  <c r="AG2388" i="15"/>
  <c r="AG2874" i="15"/>
  <c r="AG2411" i="15"/>
  <c r="AG2646" i="15"/>
  <c r="AG2482" i="15"/>
  <c r="AG2801" i="15"/>
  <c r="AG2353" i="15"/>
  <c r="AG2813" i="15"/>
  <c r="AG2387" i="15"/>
  <c r="AG2873" i="15"/>
  <c r="AG2463" i="15"/>
  <c r="AG2763" i="15"/>
  <c r="AG2320" i="15"/>
  <c r="AG2756" i="15"/>
  <c r="AG2323" i="15"/>
  <c r="AG2759" i="15"/>
  <c r="AG2205" i="15"/>
  <c r="AG2700" i="15"/>
  <c r="AG2362" i="15"/>
  <c r="AG2822" i="15"/>
  <c r="AG2410" i="15"/>
  <c r="AG2645" i="15"/>
  <c r="AG2304" i="15"/>
  <c r="AG2698" i="15"/>
  <c r="AG2475" i="15"/>
  <c r="AG2794" i="15"/>
  <c r="AG2507" i="15"/>
  <c r="AG2872" i="15"/>
  <c r="AG2457" i="15"/>
  <c r="AG2733" i="15"/>
  <c r="AG2530" i="15"/>
  <c r="AG2704" i="15"/>
  <c r="AG2389" i="15"/>
  <c r="AG2883" i="15"/>
  <c r="AG2433" i="15"/>
  <c r="AG2710" i="15"/>
  <c r="AG2483" i="15"/>
  <c r="AG2802" i="15"/>
  <c r="AG2538" i="15"/>
  <c r="AG2747" i="15"/>
  <c r="AG2333" i="15"/>
  <c r="AG2780" i="15"/>
  <c r="AG2456" i="15"/>
  <c r="AG2732" i="15"/>
  <c r="AG2366" i="15"/>
  <c r="AG2826" i="15"/>
  <c r="AG2542" i="15"/>
  <c r="AG2751" i="15"/>
  <c r="AG2464" i="15"/>
  <c r="AG2764" i="15"/>
  <c r="AG2350" i="15"/>
  <c r="AG2810" i="15"/>
  <c r="AG2390" i="15"/>
  <c r="AG2884" i="15"/>
  <c r="AG2516" i="15"/>
  <c r="AG2885" i="15"/>
  <c r="AG2465" i="15"/>
  <c r="AG2767" i="15"/>
  <c r="AG2477" i="15"/>
  <c r="AG2796" i="15"/>
  <c r="AG2206" i="15"/>
  <c r="AG2701" i="15"/>
  <c r="AG2331" i="15"/>
  <c r="AG2778" i="15"/>
  <c r="AG2377" i="15"/>
  <c r="AG2847" i="15"/>
  <c r="AJ2207" i="15"/>
  <c r="AJ2702" i="15"/>
  <c r="AG2462" i="15"/>
  <c r="AG2762" i="15"/>
  <c r="AG2430" i="15"/>
  <c r="AG2684" i="15"/>
  <c r="AG2539" i="15"/>
  <c r="AG2748" i="15"/>
  <c r="AG2329" i="15"/>
  <c r="AG2773" i="15"/>
  <c r="AG2364" i="15"/>
  <c r="AG2824" i="15"/>
  <c r="AG2343" i="15"/>
  <c r="AG2803" i="15"/>
  <c r="AG2491" i="15"/>
  <c r="AG2846" i="15"/>
  <c r="AG2334" i="15"/>
  <c r="AG2781" i="15"/>
  <c r="AG2541" i="15"/>
  <c r="AG2750" i="15"/>
  <c r="AG2480" i="15"/>
  <c r="AG2799" i="15"/>
  <c r="AG2415" i="15"/>
  <c r="AG2652" i="15"/>
  <c r="AG2467" i="15"/>
  <c r="AG2769" i="15"/>
  <c r="AG2360" i="15"/>
  <c r="AG2820" i="15"/>
  <c r="AG2481" i="15"/>
  <c r="AG2800" i="15"/>
  <c r="AJ2324" i="15"/>
  <c r="AJ2765" i="15"/>
  <c r="AG2429" i="15"/>
  <c r="AG2683" i="15"/>
  <c r="AG2555" i="15"/>
  <c r="AG2913" i="15"/>
  <c r="AG2335" i="15"/>
  <c r="AG2782" i="15"/>
  <c r="AG2489" i="15"/>
  <c r="AG2844" i="15"/>
  <c r="AG2479" i="15"/>
  <c r="AG2798" i="15"/>
  <c r="AG2363" i="15"/>
  <c r="AG2823" i="15"/>
  <c r="AJ2206" i="15"/>
  <c r="AJ2701" i="15"/>
  <c r="AG2427" i="15"/>
  <c r="AG2681" i="15"/>
  <c r="AG2321" i="15"/>
  <c r="AG2757" i="15"/>
  <c r="AG2478" i="15"/>
  <c r="AG2797" i="15"/>
  <c r="AG2316" i="15"/>
  <c r="AG2752" i="15"/>
  <c r="AG2345" i="15"/>
  <c r="AG2805" i="15"/>
  <c r="AG2344" i="15"/>
  <c r="AG2804" i="15"/>
  <c r="AG2490" i="15"/>
  <c r="AG2845" i="15"/>
  <c r="AG2317" i="15"/>
  <c r="AG2753" i="15"/>
  <c r="AG2207" i="15"/>
  <c r="AG2702" i="15"/>
  <c r="AG2432" i="15"/>
  <c r="AG2686" i="15"/>
  <c r="AG2556" i="15"/>
  <c r="AG2914" i="15"/>
  <c r="AG2351" i="15"/>
  <c r="AG2811" i="15"/>
  <c r="AG2540" i="15"/>
  <c r="AG2749" i="15"/>
  <c r="AG2379" i="15"/>
  <c r="AG2849" i="15"/>
  <c r="AG2466" i="15"/>
  <c r="AG2768" i="15"/>
  <c r="AG2460" i="15"/>
  <c r="AG2760" i="15"/>
  <c r="AG2472" i="15"/>
  <c r="AG2791" i="15"/>
  <c r="AG2355" i="15"/>
  <c r="AG2815" i="15"/>
  <c r="AG2470" i="15"/>
  <c r="AG2777" i="15"/>
  <c r="AG2318" i="15"/>
  <c r="AG2754" i="15"/>
  <c r="AG2336" i="15"/>
  <c r="AG2783" i="15"/>
  <c r="AG2325" i="15"/>
  <c r="AG2766" i="15"/>
  <c r="AG2348" i="15"/>
  <c r="AG2808" i="15"/>
  <c r="AJ2325" i="15"/>
  <c r="AJ2766" i="15"/>
  <c r="AG2328" i="15"/>
  <c r="AG2772" i="15"/>
  <c r="AG2378" i="15"/>
  <c r="AG2848" i="15"/>
  <c r="AG2469" i="15"/>
  <c r="AG2776" i="15"/>
  <c r="AG2327" i="15"/>
  <c r="AG2771" i="15"/>
  <c r="AG2461" i="15"/>
  <c r="AG2761" i="15"/>
  <c r="AG2358" i="15"/>
  <c r="AG2818" i="15"/>
  <c r="AG2473" i="15"/>
  <c r="AG2792" i="15"/>
  <c r="AG2468" i="15"/>
  <c r="AG2775" i="15"/>
  <c r="AG2208" i="15"/>
  <c r="AG2703" i="15"/>
  <c r="AG2322" i="15"/>
  <c r="AG2758" i="15"/>
  <c r="AG2352" i="15"/>
  <c r="AG2812" i="15"/>
  <c r="AG2330" i="15"/>
  <c r="AG2774" i="15"/>
  <c r="AJ2305" i="15"/>
  <c r="AJ2699" i="15"/>
  <c r="AJ2208" i="15"/>
  <c r="AJ2703" i="15"/>
  <c r="AG2428" i="15"/>
  <c r="AG2682" i="15"/>
  <c r="AG2557" i="15"/>
  <c r="AG2915" i="15"/>
  <c r="AG2347" i="15"/>
  <c r="AG2807" i="15"/>
  <c r="AG2359" i="15"/>
  <c r="AG2819" i="15"/>
  <c r="AG2386" i="15"/>
  <c r="AG2871" i="15"/>
  <c r="AG2332" i="15"/>
  <c r="AG2779" i="15"/>
  <c r="AG2349" i="15"/>
  <c r="AG2809" i="15"/>
  <c r="AG2326" i="15"/>
  <c r="AG2770" i="15"/>
  <c r="AG2365" i="15"/>
  <c r="AG2825" i="15"/>
  <c r="AG2412" i="15"/>
  <c r="AG2647" i="15"/>
  <c r="AG2315" i="15"/>
  <c r="AG2743" i="15"/>
  <c r="AG2434" i="15"/>
  <c r="AG2711" i="15"/>
  <c r="AG2361" i="15"/>
  <c r="AG2821" i="15"/>
  <c r="AG2474" i="15"/>
  <c r="AG2793" i="15"/>
  <c r="AG2476" i="15"/>
  <c r="AG2795" i="15"/>
  <c r="AG2319" i="15"/>
  <c r="AG2755" i="15"/>
  <c r="AG2354" i="15"/>
  <c r="AG2814" i="15"/>
  <c r="AJ2205" i="15"/>
  <c r="AJ2700" i="15"/>
  <c r="AG2431" i="15"/>
  <c r="AG2685" i="15"/>
  <c r="AJ1890" i="15"/>
  <c r="AJ2573" i="15"/>
  <c r="AG2209" i="15"/>
  <c r="AG2580" i="15"/>
  <c r="AJ2209" i="15"/>
  <c r="AJ2580" i="15"/>
  <c r="AJ1477" i="15"/>
  <c r="AJ2542" i="15"/>
  <c r="AJ1476" i="15"/>
  <c r="AJ2541" i="15"/>
  <c r="AG2181" i="15"/>
  <c r="AG2549" i="15"/>
  <c r="AJ2186" i="15"/>
  <c r="AJ2554" i="15"/>
  <c r="AG2186" i="15"/>
  <c r="AG2554" i="15"/>
  <c r="AJ2182" i="15"/>
  <c r="AJ2550" i="15"/>
  <c r="AJ2188" i="15"/>
  <c r="AJ2556" i="15"/>
  <c r="AG2180" i="15"/>
  <c r="AG2548" i="15"/>
  <c r="AG2182" i="15"/>
  <c r="AG2550" i="15"/>
  <c r="AJ1475" i="15"/>
  <c r="AJ2540" i="15"/>
  <c r="AJ2183" i="15"/>
  <c r="AJ2551" i="15"/>
  <c r="AJ2181" i="15"/>
  <c r="AJ2549" i="15"/>
  <c r="AG2185" i="15"/>
  <c r="AG2553" i="15"/>
  <c r="AJ1901" i="15"/>
  <c r="AJ2530" i="15"/>
  <c r="AJ2180" i="15"/>
  <c r="AJ2548" i="15"/>
  <c r="AJ2185" i="15"/>
  <c r="AJ2553" i="15"/>
  <c r="AJ1474" i="15"/>
  <c r="AJ2539" i="15"/>
  <c r="AJ1473" i="15"/>
  <c r="AJ2538" i="15"/>
  <c r="AJ2189" i="15"/>
  <c r="AJ2557" i="15"/>
  <c r="AJ2184" i="15"/>
  <c r="AJ2552" i="15"/>
  <c r="AG2183" i="15"/>
  <c r="AG2551" i="15"/>
  <c r="AJ2187" i="15"/>
  <c r="AJ2555" i="15"/>
  <c r="AG2184" i="15"/>
  <c r="AG2552" i="15"/>
  <c r="AJ1951" i="15"/>
  <c r="AJ2476" i="15"/>
  <c r="AJ1862" i="15"/>
  <c r="AJ2412" i="15"/>
  <c r="AJ1937" i="15"/>
  <c r="AJ2461" i="15"/>
  <c r="AJ1966" i="15"/>
  <c r="AJ2491" i="15"/>
  <c r="AJ1954" i="15"/>
  <c r="AJ2479" i="15"/>
  <c r="AJ1943" i="15"/>
  <c r="AJ2467" i="15"/>
  <c r="AJ1861" i="15"/>
  <c r="AJ2411" i="15"/>
  <c r="AJ1895" i="15"/>
  <c r="AJ2431" i="15"/>
  <c r="AJ1936" i="15"/>
  <c r="AJ2460" i="15"/>
  <c r="AJ1945" i="15"/>
  <c r="AJ2469" i="15"/>
  <c r="AJ1938" i="15"/>
  <c r="AJ2462" i="15"/>
  <c r="AJ1939" i="15"/>
  <c r="AJ2463" i="15"/>
  <c r="AJ1967" i="15"/>
  <c r="AJ2507" i="15"/>
  <c r="AJ1955" i="15"/>
  <c r="AJ2480" i="15"/>
  <c r="AJ1894" i="15"/>
  <c r="AJ2430" i="15"/>
  <c r="AJ1907" i="15"/>
  <c r="AJ2434" i="15"/>
  <c r="AJ1950" i="15"/>
  <c r="AJ2475" i="15"/>
  <c r="AJ1931" i="15"/>
  <c r="AJ2457" i="15"/>
  <c r="AJ1940" i="15"/>
  <c r="AJ2464" i="15"/>
  <c r="AJ1893" i="15"/>
  <c r="AJ2429" i="15"/>
  <c r="AJ1930" i="15"/>
  <c r="AJ2456" i="15"/>
  <c r="AJ1865" i="15"/>
  <c r="AJ2415" i="15"/>
  <c r="AJ1896" i="15"/>
  <c r="AJ2432" i="15"/>
  <c r="AJ1941" i="15"/>
  <c r="AJ2465" i="15"/>
  <c r="AJ1944" i="15"/>
  <c r="AJ2468" i="15"/>
  <c r="AJ1906" i="15"/>
  <c r="AJ2433" i="15"/>
  <c r="AJ1949" i="15"/>
  <c r="AJ2474" i="15"/>
  <c r="AJ1952" i="15"/>
  <c r="AJ2477" i="15"/>
  <c r="AJ1892" i="15"/>
  <c r="AJ2428" i="15"/>
  <c r="AJ1958" i="15"/>
  <c r="AJ2483" i="15"/>
  <c r="AJ1953" i="15"/>
  <c r="AJ2478" i="15"/>
  <c r="AJ1965" i="15"/>
  <c r="AJ2490" i="15"/>
  <c r="AJ1976" i="15"/>
  <c r="AJ2516" i="15"/>
  <c r="AJ1947" i="15"/>
  <c r="AJ2472" i="15"/>
  <c r="AJ1964" i="15"/>
  <c r="AJ2489" i="15"/>
  <c r="AJ1891" i="15"/>
  <c r="AJ2427" i="15"/>
  <c r="AJ1948" i="15"/>
  <c r="AJ2473" i="15"/>
  <c r="AJ1860" i="15"/>
  <c r="AJ2410" i="15"/>
  <c r="AJ1956" i="15"/>
  <c r="AJ2481" i="15"/>
  <c r="AJ1942" i="15"/>
  <c r="AJ2466" i="15"/>
  <c r="AJ1946" i="15"/>
  <c r="AJ2470" i="15"/>
  <c r="AJ1957" i="15"/>
  <c r="AJ2482" i="15"/>
  <c r="AJ2082" i="15"/>
  <c r="AJ2317" i="15"/>
  <c r="AJ2130" i="15"/>
  <c r="AJ2364" i="15"/>
  <c r="AJ2124" i="15"/>
  <c r="AJ2358" i="15"/>
  <c r="AJ2099" i="15"/>
  <c r="AJ2334" i="15"/>
  <c r="AJ2088" i="15"/>
  <c r="AJ2323" i="15"/>
  <c r="AJ2129" i="15"/>
  <c r="AJ2363" i="15"/>
  <c r="AJ2100" i="15"/>
  <c r="AJ2335" i="15"/>
  <c r="AJ2085" i="15"/>
  <c r="AJ2320" i="15"/>
  <c r="AJ2125" i="15"/>
  <c r="AJ2359" i="15"/>
  <c r="AG2112" i="15"/>
  <c r="AG2346" i="15"/>
  <c r="AJ2112" i="15"/>
  <c r="AJ2346" i="15"/>
  <c r="AJ2097" i="15"/>
  <c r="AJ2332" i="15"/>
  <c r="AJ2114" i="15"/>
  <c r="AJ2348" i="15"/>
  <c r="AJ2083" i="15"/>
  <c r="AJ2318" i="15"/>
  <c r="AG2089" i="15"/>
  <c r="AG2324" i="15"/>
  <c r="AJ2117" i="15"/>
  <c r="AJ2351" i="15"/>
  <c r="AJ2116" i="15"/>
  <c r="AJ2350" i="15"/>
  <c r="AJ2087" i="15"/>
  <c r="AJ2322" i="15"/>
  <c r="AJ2143" i="15"/>
  <c r="AJ2377" i="15"/>
  <c r="AJ2131" i="15"/>
  <c r="AJ2365" i="15"/>
  <c r="AJ2067" i="15"/>
  <c r="AJ2304" i="15"/>
  <c r="AJ2169" i="15"/>
  <c r="AJ2388" i="15"/>
  <c r="AJ2119" i="15"/>
  <c r="AJ2353" i="15"/>
  <c r="AJ2167" i="15"/>
  <c r="AJ2386" i="15"/>
  <c r="AJ2168" i="15"/>
  <c r="AJ2387" i="15"/>
  <c r="AJ2096" i="15"/>
  <c r="AJ2331" i="15"/>
  <c r="AJ2120" i="15"/>
  <c r="AJ2354" i="15"/>
  <c r="AJ2132" i="15"/>
  <c r="AJ2366" i="15"/>
  <c r="AJ2092" i="15"/>
  <c r="AJ2327" i="15"/>
  <c r="AJ2121" i="15"/>
  <c r="AJ2355" i="15"/>
  <c r="AJ2118" i="15"/>
  <c r="AJ2352" i="15"/>
  <c r="AJ2127" i="15"/>
  <c r="AJ2361" i="15"/>
  <c r="AJ2115" i="15"/>
  <c r="AJ2349" i="15"/>
  <c r="AJ2080" i="15"/>
  <c r="AJ2315" i="15"/>
  <c r="AJ2081" i="15"/>
  <c r="AJ2316" i="15"/>
  <c r="AJ2170" i="15"/>
  <c r="AJ2389" i="15"/>
  <c r="AJ2101" i="15"/>
  <c r="AJ2336" i="15"/>
  <c r="AG2068" i="15"/>
  <c r="AG2305" i="15"/>
  <c r="AJ2126" i="15"/>
  <c r="AJ2360" i="15"/>
  <c r="AJ2113" i="15"/>
  <c r="AJ2347" i="15"/>
  <c r="AJ2086" i="15"/>
  <c r="AJ2321" i="15"/>
  <c r="AJ2093" i="15"/>
  <c r="AJ2328" i="15"/>
  <c r="AJ2091" i="15"/>
  <c r="AJ2326" i="15"/>
  <c r="AJ2110" i="15"/>
  <c r="AJ2344" i="15"/>
  <c r="AJ2128" i="15"/>
  <c r="AJ2362" i="15"/>
  <c r="AJ2171" i="15"/>
  <c r="AJ2390" i="15"/>
  <c r="AJ2111" i="15"/>
  <c r="AJ2345" i="15"/>
  <c r="AJ2094" i="15"/>
  <c r="AJ2329" i="15"/>
  <c r="AJ2122" i="15"/>
  <c r="AJ2356" i="15"/>
  <c r="AG2123" i="15"/>
  <c r="AG2357" i="15"/>
  <c r="AJ2095" i="15"/>
  <c r="AJ2330" i="15"/>
  <c r="AJ2145" i="15"/>
  <c r="AJ2379" i="15"/>
  <c r="AJ2098" i="15"/>
  <c r="AJ2333" i="15"/>
  <c r="AJ2109" i="15"/>
  <c r="AJ2343" i="15"/>
  <c r="AJ2084" i="15"/>
  <c r="AJ2319" i="15"/>
  <c r="AJ2123" i="15"/>
  <c r="AJ2357" i="15"/>
  <c r="AJ2144" i="15"/>
  <c r="AJ2378" i="15"/>
  <c r="AG1597" i="15"/>
  <c r="AG2113" i="15"/>
  <c r="AG1603" i="15"/>
  <c r="AG2119" i="15"/>
  <c r="AG1832" i="15"/>
  <c r="AG2168" i="15"/>
  <c r="AG1788" i="15"/>
  <c r="AG2085" i="15"/>
  <c r="AG1791" i="15"/>
  <c r="AG2088" i="15"/>
  <c r="AG1612" i="15"/>
  <c r="AG2128" i="15"/>
  <c r="AG1537" i="15"/>
  <c r="AG2067" i="15"/>
  <c r="AG1834" i="15"/>
  <c r="AG2170" i="15"/>
  <c r="AG1613" i="15"/>
  <c r="AG2129" i="15"/>
  <c r="AG1784" i="15"/>
  <c r="AG2081" i="15"/>
  <c r="AG1616" i="15"/>
  <c r="AG2132" i="15"/>
  <c r="AG1600" i="15"/>
  <c r="AG2116" i="15"/>
  <c r="AG1835" i="15"/>
  <c r="AG2171" i="15"/>
  <c r="AG1810" i="15"/>
  <c r="AG2096" i="15"/>
  <c r="AG1622" i="15"/>
  <c r="AG2143" i="15"/>
  <c r="AG1609" i="15"/>
  <c r="AG2125" i="15"/>
  <c r="AG1646" i="15"/>
  <c r="AG2167" i="15"/>
  <c r="AG1606" i="15"/>
  <c r="AG2122" i="15"/>
  <c r="AG1593" i="15"/>
  <c r="AG2109" i="15"/>
  <c r="AG1813" i="15"/>
  <c r="AG2099" i="15"/>
  <c r="AG1610" i="15"/>
  <c r="AG2126" i="15"/>
  <c r="AJ1797" i="15"/>
  <c r="AJ2089" i="15"/>
  <c r="AG1492" i="15"/>
  <c r="AG2187" i="15"/>
  <c r="AG1789" i="15"/>
  <c r="AG2086" i="15"/>
  <c r="AG1614" i="15"/>
  <c r="AG2130" i="15"/>
  <c r="AG1595" i="15"/>
  <c r="AG2111" i="15"/>
  <c r="AG1605" i="15"/>
  <c r="AG2121" i="15"/>
  <c r="AG1594" i="15"/>
  <c r="AG2110" i="15"/>
  <c r="AG1786" i="15"/>
  <c r="AG2083" i="15"/>
  <c r="AG1815" i="15"/>
  <c r="AG2101" i="15"/>
  <c r="AG1798" i="15"/>
  <c r="AG2090" i="15"/>
  <c r="AG1785" i="15"/>
  <c r="AG2082" i="15"/>
  <c r="AG1598" i="15"/>
  <c r="AG2114" i="15"/>
  <c r="AJ1798" i="15"/>
  <c r="AJ2090" i="15"/>
  <c r="AG1493" i="15"/>
  <c r="AG2188" i="15"/>
  <c r="AG1601" i="15"/>
  <c r="AG2117" i="15"/>
  <c r="AG1624" i="15"/>
  <c r="AG2145" i="15"/>
  <c r="AG1812" i="15"/>
  <c r="AG2098" i="15"/>
  <c r="AG1804" i="15"/>
  <c r="AG2093" i="15"/>
  <c r="AG1623" i="15"/>
  <c r="AG2144" i="15"/>
  <c r="AG1803" i="15"/>
  <c r="AG2092" i="15"/>
  <c r="AG1608" i="15"/>
  <c r="AG2124" i="15"/>
  <c r="AG1790" i="15"/>
  <c r="AG2087" i="15"/>
  <c r="AG1602" i="15"/>
  <c r="AG2118" i="15"/>
  <c r="AG1806" i="15"/>
  <c r="AG2095" i="15"/>
  <c r="AJ1538" i="15"/>
  <c r="AJ2068" i="15"/>
  <c r="AG1494" i="15"/>
  <c r="AG2189" i="15"/>
  <c r="AG1814" i="15"/>
  <c r="AG2100" i="15"/>
  <c r="AG1805" i="15"/>
  <c r="AG2094" i="15"/>
  <c r="AG1811" i="15"/>
  <c r="AG2097" i="15"/>
  <c r="AG1833" i="15"/>
  <c r="AG2169" i="15"/>
  <c r="AG1599" i="15"/>
  <c r="AG2115" i="15"/>
  <c r="AG1802" i="15"/>
  <c r="AG2091" i="15"/>
  <c r="AG1615" i="15"/>
  <c r="AG2131" i="15"/>
  <c r="AG1571" i="15"/>
  <c r="AG2080" i="15"/>
  <c r="AG1611" i="15"/>
  <c r="AG2127" i="15"/>
  <c r="AG1787" i="15"/>
  <c r="AG2084" i="15"/>
  <c r="AG1604" i="15"/>
  <c r="AG2120" i="15"/>
  <c r="AJ1524" i="15"/>
  <c r="AJ1879" i="15"/>
  <c r="AG1521" i="15"/>
  <c r="AG1876" i="15"/>
  <c r="AG1531" i="15"/>
  <c r="AG1886" i="15"/>
  <c r="AG1800" i="15"/>
  <c r="AG1942" i="15"/>
  <c r="AG1732" i="15"/>
  <c r="AG1861" i="15"/>
  <c r="AG1587" i="15"/>
  <c r="AG1953" i="15"/>
  <c r="AG1792" i="15"/>
  <c r="AG1936" i="15"/>
  <c r="AG1591" i="15"/>
  <c r="AG1957" i="15"/>
  <c r="AJ1532" i="15"/>
  <c r="AJ1887" i="15"/>
  <c r="AJ1520" i="15"/>
  <c r="AJ1875" i="15"/>
  <c r="AG1522" i="15"/>
  <c r="AG1877" i="15"/>
  <c r="AG1525" i="15"/>
  <c r="AG1880" i="15"/>
  <c r="AG1619" i="15"/>
  <c r="AG1964" i="15"/>
  <c r="AG1795" i="15"/>
  <c r="AG1939" i="15"/>
  <c r="AJ1525" i="15"/>
  <c r="AJ1880" i="15"/>
  <c r="AG1567" i="15"/>
  <c r="AG1930" i="15"/>
  <c r="AG1799" i="15"/>
  <c r="AG1941" i="15"/>
  <c r="AG1794" i="15"/>
  <c r="AG1938" i="15"/>
  <c r="AG1756" i="15"/>
  <c r="AG1894" i="15"/>
  <c r="AJ1522" i="15"/>
  <c r="AJ1877" i="15"/>
  <c r="AG1534" i="15"/>
  <c r="AG1889" i="15"/>
  <c r="AG1755" i="15"/>
  <c r="AG1893" i="15"/>
  <c r="AJ1530" i="15"/>
  <c r="AJ1885" i="15"/>
  <c r="AJ1521" i="15"/>
  <c r="AJ1876" i="15"/>
  <c r="AG1528" i="15"/>
  <c r="AG1883" i="15"/>
  <c r="AG1527" i="15"/>
  <c r="AG1882" i="15"/>
  <c r="AG1543" i="15"/>
  <c r="AG1906" i="15"/>
  <c r="AG1592" i="15"/>
  <c r="AG1958" i="15"/>
  <c r="AG1731" i="15"/>
  <c r="AG1860" i="15"/>
  <c r="AG1584" i="15"/>
  <c r="AG1950" i="15"/>
  <c r="AG1586" i="15"/>
  <c r="AG1952" i="15"/>
  <c r="AJ1533" i="15"/>
  <c r="AJ1888" i="15"/>
  <c r="AG1524" i="15"/>
  <c r="AG1879" i="15"/>
  <c r="AG1589" i="15"/>
  <c r="AG1955" i="15"/>
  <c r="AG1801" i="15"/>
  <c r="AG1943" i="15"/>
  <c r="AG1590" i="15"/>
  <c r="AG1956" i="15"/>
  <c r="AG1581" i="15"/>
  <c r="AG1947" i="15"/>
  <c r="AG1809" i="15"/>
  <c r="AG1946" i="15"/>
  <c r="AG1620" i="15"/>
  <c r="AG1965" i="15"/>
  <c r="AG1541" i="15"/>
  <c r="AG1899" i="15"/>
  <c r="AG1758" i="15"/>
  <c r="AG1896" i="15"/>
  <c r="AJ1523" i="15"/>
  <c r="AJ1878" i="15"/>
  <c r="AJ1526" i="15"/>
  <c r="AJ1881" i="15"/>
  <c r="AG1529" i="15"/>
  <c r="AG1884" i="15"/>
  <c r="AG1530" i="15"/>
  <c r="AG1885" i="15"/>
  <c r="AG1588" i="15"/>
  <c r="AG1954" i="15"/>
  <c r="AG1753" i="15"/>
  <c r="AG1891" i="15"/>
  <c r="AG1831" i="15"/>
  <c r="AG1967" i="15"/>
  <c r="AJ1528" i="15"/>
  <c r="AJ1883" i="15"/>
  <c r="AG1540" i="15"/>
  <c r="AG1898" i="15"/>
  <c r="AJ1541" i="15"/>
  <c r="AJ1899" i="15"/>
  <c r="AG1621" i="15"/>
  <c r="AG1966" i="15"/>
  <c r="AG1515" i="15"/>
  <c r="AG1865" i="15"/>
  <c r="AG1470" i="15"/>
  <c r="AG1923" i="15"/>
  <c r="AG1808" i="15"/>
  <c r="AG1945" i="15"/>
  <c r="AG1793" i="15"/>
  <c r="AG1937" i="15"/>
  <c r="AG1582" i="15"/>
  <c r="AG1948" i="15"/>
  <c r="AG1807" i="15"/>
  <c r="AG1944" i="15"/>
  <c r="AG1542" i="15"/>
  <c r="AG1900" i="15"/>
  <c r="AJ1470" i="15"/>
  <c r="AJ1923" i="15"/>
  <c r="AJ1542" i="15"/>
  <c r="AJ1900" i="15"/>
  <c r="AG1754" i="15"/>
  <c r="AG1892" i="15"/>
  <c r="AJ1531" i="15"/>
  <c r="AJ1886" i="15"/>
  <c r="AJ1534" i="15"/>
  <c r="AJ1889" i="15"/>
  <c r="AG1526" i="15"/>
  <c r="AG1881" i="15"/>
  <c r="AG1520" i="15"/>
  <c r="AG1875" i="15"/>
  <c r="AJ1540" i="15"/>
  <c r="AJ1898" i="15"/>
  <c r="AG1539" i="15"/>
  <c r="AG1897" i="15"/>
  <c r="AG1568" i="15"/>
  <c r="AG1931" i="15"/>
  <c r="AG1769" i="15"/>
  <c r="AG1901" i="15"/>
  <c r="AG1533" i="15"/>
  <c r="AG1888" i="15"/>
  <c r="AG1796" i="15"/>
  <c r="AG1940" i="15"/>
  <c r="AG1836" i="15"/>
  <c r="AG1976" i="15"/>
  <c r="AG1733" i="15"/>
  <c r="AG1862" i="15"/>
  <c r="AG1544" i="15"/>
  <c r="AG1907" i="15"/>
  <c r="AG1583" i="15"/>
  <c r="AG1949" i="15"/>
  <c r="AG1585" i="15"/>
  <c r="AG1951" i="15"/>
  <c r="AJ1539" i="15"/>
  <c r="AJ1897" i="15"/>
  <c r="AG1757" i="15"/>
  <c r="AG1895" i="15"/>
  <c r="AJ1529" i="15"/>
  <c r="AJ1884" i="15"/>
  <c r="AJ1527" i="15"/>
  <c r="AJ1882" i="15"/>
  <c r="AG1532" i="15"/>
  <c r="AG1887" i="15"/>
  <c r="AG1523" i="15"/>
  <c r="AG1878" i="15"/>
  <c r="AJ1116" i="15"/>
  <c r="AJ1753" i="15"/>
  <c r="AJ1355" i="15"/>
  <c r="AJ1731" i="15"/>
  <c r="AJ1409" i="15"/>
  <c r="AJ1806" i="15"/>
  <c r="AJ1412" i="15"/>
  <c r="AJ1812" i="15"/>
  <c r="AJ1327" i="15"/>
  <c r="AJ1800" i="15"/>
  <c r="AJ1331" i="15"/>
  <c r="AJ1809" i="15"/>
  <c r="AJ1314" i="15"/>
  <c r="AJ1787" i="15"/>
  <c r="AJ1316" i="15"/>
  <c r="AJ1789" i="15"/>
  <c r="AJ1338" i="15"/>
  <c r="AJ1835" i="15"/>
  <c r="AJ1311" i="15"/>
  <c r="AJ1784" i="15"/>
  <c r="AJ1312" i="15"/>
  <c r="AJ1785" i="15"/>
  <c r="AJ1413" i="15"/>
  <c r="AJ1813" i="15"/>
  <c r="AJ1318" i="15"/>
  <c r="AJ1791" i="15"/>
  <c r="AJ1414" i="15"/>
  <c r="AJ1814" i="15"/>
  <c r="AJ1315" i="15"/>
  <c r="AJ1788" i="15"/>
  <c r="AJ1372" i="15"/>
  <c r="AJ1758" i="15"/>
  <c r="AJ1410" i="15"/>
  <c r="AJ1810" i="15"/>
  <c r="AJ1405" i="15"/>
  <c r="AJ1802" i="15"/>
  <c r="AJ1357" i="15"/>
  <c r="AJ1733" i="15"/>
  <c r="AJ1320" i="15"/>
  <c r="AJ1793" i="15"/>
  <c r="AJ1408" i="15"/>
  <c r="AJ1805" i="15"/>
  <c r="AJ1411" i="15"/>
  <c r="AJ1811" i="15"/>
  <c r="AJ1328" i="15"/>
  <c r="AJ1801" i="15"/>
  <c r="AJ1356" i="15"/>
  <c r="AJ1732" i="15"/>
  <c r="AJ1118" i="15"/>
  <c r="AJ1757" i="15"/>
  <c r="AJ1407" i="15"/>
  <c r="AJ1804" i="15"/>
  <c r="AJ1337" i="15"/>
  <c r="AJ1834" i="15"/>
  <c r="AJ1319" i="15"/>
  <c r="AJ1792" i="15"/>
  <c r="AJ1330" i="15"/>
  <c r="AJ1808" i="15"/>
  <c r="AJ1321" i="15"/>
  <c r="AJ1794" i="15"/>
  <c r="AJ1313" i="15"/>
  <c r="AJ1786" i="15"/>
  <c r="AJ1322" i="15"/>
  <c r="AJ1795" i="15"/>
  <c r="AJ1244" i="15"/>
  <c r="AJ1831" i="15"/>
  <c r="AJ1130" i="15"/>
  <c r="AJ1815" i="15"/>
  <c r="AJ1303" i="15"/>
  <c r="AJ1756" i="15"/>
  <c r="AJ1326" i="15"/>
  <c r="AJ1799" i="15"/>
  <c r="AJ1339" i="15"/>
  <c r="AJ1836" i="15"/>
  <c r="AG1324" i="15"/>
  <c r="AG1797" i="15"/>
  <c r="AJ1317" i="15"/>
  <c r="AJ1790" i="15"/>
  <c r="AJ1323" i="15"/>
  <c r="AJ1796" i="15"/>
  <c r="AJ1246" i="15"/>
  <c r="AJ1833" i="15"/>
  <c r="AJ1379" i="15"/>
  <c r="AJ1769" i="15"/>
  <c r="AJ1117" i="15"/>
  <c r="AJ1755" i="15"/>
  <c r="AJ1245" i="15"/>
  <c r="AJ1832" i="15"/>
  <c r="AJ1329" i="15"/>
  <c r="AJ1807" i="15"/>
  <c r="AJ1406" i="15"/>
  <c r="AJ1803" i="15"/>
  <c r="AJ1371" i="15"/>
  <c r="AJ1754" i="15"/>
  <c r="AJ1223" i="15"/>
  <c r="AJ1612" i="15"/>
  <c r="AJ1445" i="15"/>
  <c r="AJ1571" i="15"/>
  <c r="AJ1198" i="15"/>
  <c r="AJ1587" i="15"/>
  <c r="AJ1115" i="15"/>
  <c r="AJ1515" i="15"/>
  <c r="AJ1183" i="15"/>
  <c r="AJ1535" i="15"/>
  <c r="AJ1221" i="15"/>
  <c r="AJ1610" i="15"/>
  <c r="AJ1192" i="15"/>
  <c r="AJ1581" i="15"/>
  <c r="AJ1202" i="15"/>
  <c r="AJ1591" i="15"/>
  <c r="AJ1230" i="15"/>
  <c r="AJ1623" i="15"/>
  <c r="AJ1402" i="15"/>
  <c r="AJ1567" i="15"/>
  <c r="AJ1213" i="15"/>
  <c r="AJ1602" i="15"/>
  <c r="AJ1222" i="15"/>
  <c r="AJ1611" i="15"/>
  <c r="AJ1210" i="15"/>
  <c r="AJ1599" i="15"/>
  <c r="AJ1203" i="15"/>
  <c r="AJ1592" i="15"/>
  <c r="AJ1225" i="15"/>
  <c r="AJ1614" i="15"/>
  <c r="AJ1219" i="15"/>
  <c r="AJ1608" i="15"/>
  <c r="AJ1193" i="15"/>
  <c r="AJ1582" i="15"/>
  <c r="AJ1224" i="15"/>
  <c r="AJ1613" i="15"/>
  <c r="AJ1220" i="15"/>
  <c r="AJ1609" i="15"/>
  <c r="AJ1231" i="15"/>
  <c r="AJ1624" i="15"/>
  <c r="AJ1206" i="15"/>
  <c r="AJ1595" i="15"/>
  <c r="AJ1199" i="15"/>
  <c r="AJ1588" i="15"/>
  <c r="AJ1209" i="15"/>
  <c r="AJ1598" i="15"/>
  <c r="AJ1228" i="15"/>
  <c r="AJ1620" i="15"/>
  <c r="AJ1208" i="15"/>
  <c r="AJ1597" i="15"/>
  <c r="AJ1131" i="15"/>
  <c r="AJ1619" i="15"/>
  <c r="AJ1201" i="15"/>
  <c r="AJ1590" i="15"/>
  <c r="AJ1207" i="15"/>
  <c r="AJ1596" i="15"/>
  <c r="AJ1196" i="15"/>
  <c r="AJ1585" i="15"/>
  <c r="AJ1229" i="15"/>
  <c r="AJ1621" i="15"/>
  <c r="AJ1136" i="15"/>
  <c r="AJ1646" i="15"/>
  <c r="AJ1217" i="15"/>
  <c r="AJ1606" i="15"/>
  <c r="AJ1200" i="15"/>
  <c r="AJ1589" i="15"/>
  <c r="AJ1205" i="15"/>
  <c r="AJ1594" i="15"/>
  <c r="AJ1212" i="15"/>
  <c r="AJ1601" i="15"/>
  <c r="AJ1211" i="15"/>
  <c r="AJ1600" i="15"/>
  <c r="AJ1187" i="15"/>
  <c r="AJ1544" i="15"/>
  <c r="AJ1403" i="15"/>
  <c r="AJ1568" i="15"/>
  <c r="AJ1226" i="15"/>
  <c r="AJ1615" i="15"/>
  <c r="AJ1378" i="15"/>
  <c r="AJ1537" i="15"/>
  <c r="AJ1214" i="15"/>
  <c r="AJ1603" i="15"/>
  <c r="AJ1204" i="15"/>
  <c r="AJ1593" i="15"/>
  <c r="AJ1218" i="15"/>
  <c r="AJ1607" i="15"/>
  <c r="AJ1195" i="15"/>
  <c r="AJ1584" i="15"/>
  <c r="AJ1132" i="15"/>
  <c r="AJ1622" i="15"/>
  <c r="AJ1215" i="15"/>
  <c r="AJ1604" i="15"/>
  <c r="AJ1227" i="15"/>
  <c r="AJ1616" i="15"/>
  <c r="AJ1216" i="15"/>
  <c r="AJ1605" i="15"/>
  <c r="AJ1186" i="15"/>
  <c r="AJ1543" i="15"/>
  <c r="AJ1194" i="15"/>
  <c r="AJ1583" i="15"/>
  <c r="AJ1197" i="15"/>
  <c r="AJ1586" i="15"/>
  <c r="AG1218" i="15"/>
  <c r="AG1607" i="15"/>
  <c r="AG1207" i="15"/>
  <c r="AG1596" i="15"/>
  <c r="AG1037" i="15"/>
  <c r="AG1538" i="15"/>
  <c r="AJ1344" i="15"/>
  <c r="AJ1489" i="15"/>
  <c r="AG1066" i="15"/>
  <c r="AG1475" i="15"/>
  <c r="AG1259" i="15"/>
  <c r="AG1485" i="15"/>
  <c r="AG1341" i="15"/>
  <c r="AG1486" i="15"/>
  <c r="AJ1260" i="15"/>
  <c r="AJ1492" i="15"/>
  <c r="AG1344" i="15"/>
  <c r="AG1489" i="15"/>
  <c r="AG1064" i="15"/>
  <c r="AG1473" i="15"/>
  <c r="AG1258" i="15"/>
  <c r="AG1484" i="15"/>
  <c r="AJ1346" i="15"/>
  <c r="AJ1491" i="15"/>
  <c r="AG1346" i="15"/>
  <c r="AG1491" i="15"/>
  <c r="AJ1259" i="15"/>
  <c r="AJ1485" i="15"/>
  <c r="AJ1347" i="15"/>
  <c r="AJ1493" i="15"/>
  <c r="AG1257" i="15"/>
  <c r="AG1483" i="15"/>
  <c r="AG1345" i="15"/>
  <c r="AG1490" i="15"/>
  <c r="AG1068" i="15"/>
  <c r="AG1477" i="15"/>
  <c r="AJ1341" i="15"/>
  <c r="AJ1486" i="15"/>
  <c r="AJ1258" i="15"/>
  <c r="AJ1484" i="15"/>
  <c r="AG1065" i="15"/>
  <c r="AG1474" i="15"/>
  <c r="AJ1345" i="15"/>
  <c r="AJ1490" i="15"/>
  <c r="AG1067" i="15"/>
  <c r="AG1476" i="15"/>
  <c r="AJ1257" i="15"/>
  <c r="AJ1483" i="15"/>
  <c r="AJ1348" i="15"/>
  <c r="AJ1494" i="15"/>
  <c r="AG831" i="15"/>
  <c r="AG1445" i="15"/>
  <c r="AG854" i="15"/>
  <c r="AG1407" i="15"/>
  <c r="AG787" i="15"/>
  <c r="AG1371" i="15"/>
  <c r="AG852" i="15"/>
  <c r="AG1405" i="15"/>
  <c r="AG764" i="15"/>
  <c r="AG1357" i="15"/>
  <c r="AG863" i="15"/>
  <c r="AG1414" i="15"/>
  <c r="AG855" i="15"/>
  <c r="AG1408" i="15"/>
  <c r="AG860" i="15"/>
  <c r="AG1411" i="15"/>
  <c r="AG853" i="15"/>
  <c r="AG1406" i="15"/>
  <c r="AG861" i="15"/>
  <c r="AG1412" i="15"/>
  <c r="AG862" i="15"/>
  <c r="AG1413" i="15"/>
  <c r="AG856" i="15"/>
  <c r="AG1409" i="15"/>
  <c r="AG763" i="15"/>
  <c r="AG1356" i="15"/>
  <c r="AG762" i="15"/>
  <c r="AG1355" i="15"/>
  <c r="AG802" i="15"/>
  <c r="AG1378" i="15"/>
  <c r="AG1061" i="15"/>
  <c r="AG1403" i="15"/>
  <c r="AG808" i="15"/>
  <c r="AG1379" i="15"/>
  <c r="AG1060" i="15"/>
  <c r="AG1402" i="15"/>
  <c r="AG859" i="15"/>
  <c r="AG1410" i="15"/>
  <c r="AG791" i="15"/>
  <c r="AG1372" i="15"/>
  <c r="AG844" i="15"/>
  <c r="AG1320" i="15"/>
  <c r="AG1105" i="15"/>
  <c r="AG1348" i="15"/>
  <c r="AG838" i="15"/>
  <c r="AG1314" i="15"/>
  <c r="AG858" i="15"/>
  <c r="AG1330" i="15"/>
  <c r="AG840" i="15"/>
  <c r="AG1316" i="15"/>
  <c r="AG851" i="15"/>
  <c r="AG1327" i="15"/>
  <c r="AG843" i="15"/>
  <c r="AG1319" i="15"/>
  <c r="AG835" i="15"/>
  <c r="AG1311" i="15"/>
  <c r="AG841" i="15"/>
  <c r="AG1317" i="15"/>
  <c r="AG846" i="15"/>
  <c r="AG1322" i="15"/>
  <c r="AG839" i="15"/>
  <c r="AG1315" i="15"/>
  <c r="AG842" i="15"/>
  <c r="AG1318" i="15"/>
  <c r="AG945" i="15"/>
  <c r="AG1337" i="15"/>
  <c r="AG857" i="15"/>
  <c r="AG1329" i="15"/>
  <c r="AG847" i="15"/>
  <c r="AG1323" i="15"/>
  <c r="AG946" i="15"/>
  <c r="AG1338" i="15"/>
  <c r="AG947" i="15"/>
  <c r="AG1339" i="15"/>
  <c r="AG850" i="15"/>
  <c r="AG1326" i="15"/>
  <c r="AG845" i="15"/>
  <c r="AG1321" i="15"/>
  <c r="AG789" i="15"/>
  <c r="AG1303" i="15"/>
  <c r="AG1069" i="15"/>
  <c r="AG1328" i="15"/>
  <c r="AJ848" i="15"/>
  <c r="AJ1324" i="15"/>
  <c r="AG1070" i="15"/>
  <c r="AG1331" i="15"/>
  <c r="AG837" i="15"/>
  <c r="AG1313" i="15"/>
  <c r="AG849" i="15"/>
  <c r="AG1325" i="15"/>
  <c r="AG836" i="15"/>
  <c r="AG1312" i="15"/>
  <c r="AJ849" i="15"/>
  <c r="AJ1325" i="15"/>
  <c r="AG1104" i="15"/>
  <c r="AG1347" i="15"/>
  <c r="AG887" i="15"/>
  <c r="AG1213" i="15"/>
  <c r="AJ1034" i="15"/>
  <c r="AJ1182" i="15"/>
  <c r="AG1073" i="15"/>
  <c r="AG1196" i="15"/>
  <c r="AG1032" i="15"/>
  <c r="AG1180" i="15"/>
  <c r="AG882" i="15"/>
  <c r="AG1208" i="15"/>
  <c r="AG813" i="15"/>
  <c r="AG1186" i="15"/>
  <c r="AG877" i="15"/>
  <c r="AG1203" i="15"/>
  <c r="AJ1024" i="15"/>
  <c r="AJ1172" i="15"/>
  <c r="AG1021" i="15"/>
  <c r="AG1169" i="15"/>
  <c r="AG1031" i="15"/>
  <c r="AG1179" i="15"/>
  <c r="AG1020" i="15"/>
  <c r="AG1168" i="15"/>
  <c r="AG884" i="15"/>
  <c r="AG1210" i="15"/>
  <c r="AG1084" i="15"/>
  <c r="AG1226" i="15"/>
  <c r="AG1081" i="15"/>
  <c r="AG1222" i="15"/>
  <c r="AG889" i="15"/>
  <c r="AG1215" i="15"/>
  <c r="AJ1029" i="15"/>
  <c r="AJ1177" i="15"/>
  <c r="AG886" i="15"/>
  <c r="AG1212" i="15"/>
  <c r="AG1077" i="15"/>
  <c r="AG1217" i="15"/>
  <c r="AG914" i="15"/>
  <c r="AG1231" i="15"/>
  <c r="AG936" i="15"/>
  <c r="AG1246" i="15"/>
  <c r="AG1074" i="15"/>
  <c r="AG1198" i="15"/>
  <c r="AG1083" i="15"/>
  <c r="AG1225" i="15"/>
  <c r="AG1076" i="15"/>
  <c r="AG1202" i="15"/>
  <c r="AJ1032" i="15"/>
  <c r="AJ1180" i="15"/>
  <c r="AJ1020" i="15"/>
  <c r="AJ1168" i="15"/>
  <c r="AG1022" i="15"/>
  <c r="AG1170" i="15"/>
  <c r="AG1025" i="15"/>
  <c r="AG1173" i="15"/>
  <c r="AG872" i="15"/>
  <c r="AG1193" i="15"/>
  <c r="AJ1031" i="15"/>
  <c r="AJ1179" i="15"/>
  <c r="AJ1027" i="15"/>
  <c r="AJ1175" i="15"/>
  <c r="AG888" i="15"/>
  <c r="AG1214" i="15"/>
  <c r="AG1089" i="15"/>
  <c r="AG1245" i="15"/>
  <c r="AG1082" i="15"/>
  <c r="AG1223" i="15"/>
  <c r="AG873" i="15"/>
  <c r="AG1195" i="15"/>
  <c r="AG935" i="15"/>
  <c r="AG1244" i="15"/>
  <c r="AJ1025" i="15"/>
  <c r="AJ1173" i="15"/>
  <c r="AJ1028" i="15"/>
  <c r="AJ1176" i="15"/>
  <c r="AG1033" i="15"/>
  <c r="AG1181" i="15"/>
  <c r="AG807" i="15"/>
  <c r="AG1184" i="15"/>
  <c r="AG875" i="15"/>
  <c r="AG1199" i="15"/>
  <c r="AG1085" i="15"/>
  <c r="AG1227" i="15"/>
  <c r="AG885" i="15"/>
  <c r="AG1211" i="15"/>
  <c r="AG874" i="15"/>
  <c r="AG1197" i="15"/>
  <c r="AJ1022" i="15"/>
  <c r="AJ1170" i="15"/>
  <c r="AJ1033" i="15"/>
  <c r="AJ1181" i="15"/>
  <c r="AG1024" i="15"/>
  <c r="AG1172" i="15"/>
  <c r="AG1034" i="15"/>
  <c r="AG1182" i="15"/>
  <c r="AJ807" i="15"/>
  <c r="AJ1184" i="15"/>
  <c r="AG1026" i="15"/>
  <c r="AG1174" i="15"/>
  <c r="AG814" i="15"/>
  <c r="AG1187" i="15"/>
  <c r="AG1023" i="15"/>
  <c r="AG1171" i="15"/>
  <c r="AG892" i="15"/>
  <c r="AG1224" i="15"/>
  <c r="AG878" i="15"/>
  <c r="AG1204" i="15"/>
  <c r="AG911" i="15"/>
  <c r="AG1229" i="15"/>
  <c r="AG1075" i="15"/>
  <c r="AG1200" i="15"/>
  <c r="AG1080" i="15"/>
  <c r="AG1221" i="15"/>
  <c r="AG876" i="15"/>
  <c r="AG1201" i="15"/>
  <c r="AG1103" i="15"/>
  <c r="AG1260" i="15"/>
  <c r="AJ1030" i="15"/>
  <c r="AJ1178" i="15"/>
  <c r="AJ1021" i="15"/>
  <c r="AJ1169" i="15"/>
  <c r="AG1028" i="15"/>
  <c r="AG1176" i="15"/>
  <c r="AG1027" i="15"/>
  <c r="AG1175" i="15"/>
  <c r="AG913" i="15"/>
  <c r="AG1230" i="15"/>
  <c r="AG1079" i="15"/>
  <c r="AG1219" i="15"/>
  <c r="AG1072" i="15"/>
  <c r="AG1194" i="15"/>
  <c r="AG891" i="15"/>
  <c r="AG1220" i="15"/>
  <c r="AG1071" i="15"/>
  <c r="AG1192" i="15"/>
  <c r="AG880" i="15"/>
  <c r="AG1206" i="15"/>
  <c r="AG890" i="15"/>
  <c r="AG1216" i="15"/>
  <c r="AG879" i="15"/>
  <c r="AG1205" i="15"/>
  <c r="AG910" i="15"/>
  <c r="AG1228" i="15"/>
  <c r="AG883" i="15"/>
  <c r="AG1209" i="15"/>
  <c r="AJ1023" i="15"/>
  <c r="AJ1171" i="15"/>
  <c r="AJ1026" i="15"/>
  <c r="AJ1174" i="15"/>
  <c r="AG1029" i="15"/>
  <c r="AG1177" i="15"/>
  <c r="AG1030" i="15"/>
  <c r="AG1178" i="15"/>
  <c r="AG864" i="15"/>
  <c r="AG1130" i="15"/>
  <c r="AJ804" i="15"/>
  <c r="AJ1119" i="15"/>
  <c r="AG790" i="15"/>
  <c r="AG1118" i="15"/>
  <c r="AG786" i="15"/>
  <c r="AG1116" i="15"/>
  <c r="AG788" i="15"/>
  <c r="AG1117" i="15"/>
  <c r="AJ1057" i="15"/>
  <c r="AJ1122" i="15"/>
  <c r="AG909" i="15"/>
  <c r="AG1131" i="15"/>
  <c r="AG806" i="15"/>
  <c r="AG1121" i="15"/>
  <c r="AG934" i="15"/>
  <c r="AG1136" i="15"/>
  <c r="AG804" i="15"/>
  <c r="AG1119" i="15"/>
  <c r="AG1016" i="15"/>
  <c r="AG1115" i="15"/>
  <c r="AG1057" i="15"/>
  <c r="AG1122" i="15"/>
  <c r="AJ805" i="15"/>
  <c r="AJ1120" i="15"/>
  <c r="AG805" i="15"/>
  <c r="AG1120" i="15"/>
  <c r="AG912" i="15"/>
  <c r="AG1132" i="15"/>
  <c r="AJ806" i="15"/>
  <c r="AJ1121" i="15"/>
  <c r="AJ386" i="15"/>
  <c r="AJ1066" i="15"/>
  <c r="AJ551" i="15"/>
  <c r="AJ1077" i="15"/>
  <c r="AJ487" i="15"/>
  <c r="AJ1061" i="15"/>
  <c r="AJ560" i="15"/>
  <c r="AJ1084" i="15"/>
  <c r="AJ594" i="15"/>
  <c r="AJ1097" i="15"/>
  <c r="AJ584" i="15"/>
  <c r="AJ1089" i="15"/>
  <c r="AJ561" i="15"/>
  <c r="AJ1085" i="15"/>
  <c r="AJ385" i="15"/>
  <c r="AJ1065" i="15"/>
  <c r="AJ528" i="15"/>
  <c r="AJ1072" i="15"/>
  <c r="AJ384" i="15"/>
  <c r="AJ1064" i="15"/>
  <c r="AJ394" i="15"/>
  <c r="AJ1105" i="15"/>
  <c r="AJ486" i="15"/>
  <c r="AJ1060" i="15"/>
  <c r="AJ556" i="15"/>
  <c r="AJ1081" i="15"/>
  <c r="AJ700" i="15"/>
  <c r="AJ1016" i="15"/>
  <c r="AJ555" i="15"/>
  <c r="AJ1080" i="15"/>
  <c r="AJ650" i="15"/>
  <c r="AJ1037" i="15"/>
  <c r="AJ526" i="15"/>
  <c r="AJ1071" i="15"/>
  <c r="AJ519" i="15"/>
  <c r="AJ1070" i="15"/>
  <c r="AJ536" i="15"/>
  <c r="AJ1076" i="15"/>
  <c r="AJ552" i="15"/>
  <c r="AJ1078" i="15"/>
  <c r="AG597" i="15"/>
  <c r="AG1100" i="15"/>
  <c r="AJ392" i="15"/>
  <c r="AJ1103" i="15"/>
  <c r="AG552" i="15"/>
  <c r="AG1078" i="15"/>
  <c r="AG596" i="15"/>
  <c r="AG1099" i="15"/>
  <c r="AJ378" i="15"/>
  <c r="AJ1035" i="15"/>
  <c r="AJ557" i="15"/>
  <c r="AJ1082" i="15"/>
  <c r="AJ532" i="15"/>
  <c r="AJ1074" i="15"/>
  <c r="AJ559" i="15"/>
  <c r="AJ1083" i="15"/>
  <c r="AJ553" i="15"/>
  <c r="AJ1079" i="15"/>
  <c r="AJ388" i="15"/>
  <c r="AJ1068" i="15"/>
  <c r="AJ387" i="15"/>
  <c r="AJ1067" i="15"/>
  <c r="AG595" i="15"/>
  <c r="AG1098" i="15"/>
  <c r="AJ511" i="15"/>
  <c r="AJ1069" i="15"/>
  <c r="AJ596" i="15"/>
  <c r="AJ1099" i="15"/>
  <c r="AJ393" i="15"/>
  <c r="AJ1104" i="15"/>
  <c r="AG594" i="15"/>
  <c r="AG1097" i="15"/>
  <c r="AJ530" i="15"/>
  <c r="AJ1073" i="15"/>
  <c r="AJ534" i="15"/>
  <c r="AJ1075" i="15"/>
  <c r="AJ597" i="15"/>
  <c r="AJ1100" i="15"/>
  <c r="AJ595" i="15"/>
  <c r="AJ1098" i="15"/>
  <c r="AJ500" i="15"/>
  <c r="AJ841" i="15"/>
  <c r="AJ506" i="15"/>
  <c r="AJ847" i="15"/>
  <c r="AJ475" i="15"/>
  <c r="AJ808" i="15"/>
  <c r="AJ458" i="15"/>
  <c r="AJ788" i="15"/>
  <c r="AJ520" i="15"/>
  <c r="AJ859" i="15"/>
  <c r="AJ509" i="15"/>
  <c r="AJ850" i="15"/>
  <c r="AJ549" i="15"/>
  <c r="AJ889" i="15"/>
  <c r="AJ517" i="15"/>
  <c r="AJ857" i="15"/>
  <c r="AJ513" i="15"/>
  <c r="AJ853" i="15"/>
  <c r="AJ550" i="15"/>
  <c r="AJ890" i="15"/>
  <c r="AJ701" i="15"/>
  <c r="AJ813" i="15"/>
  <c r="AJ531" i="15"/>
  <c r="AJ874" i="15"/>
  <c r="AJ457" i="15"/>
  <c r="AJ787" i="15"/>
  <c r="AJ545" i="15"/>
  <c r="AJ885" i="15"/>
  <c r="AJ585" i="15"/>
  <c r="AJ936" i="15"/>
  <c r="AJ721" i="15"/>
  <c r="AJ910" i="15"/>
  <c r="AJ588" i="15"/>
  <c r="AJ947" i="15"/>
  <c r="AJ542" i="15"/>
  <c r="AJ882" i="15"/>
  <c r="AJ499" i="15"/>
  <c r="AJ840" i="15"/>
  <c r="AJ720" i="15"/>
  <c r="AJ909" i="15"/>
  <c r="AJ514" i="15"/>
  <c r="AJ854" i="15"/>
  <c r="AJ512" i="15"/>
  <c r="AJ852" i="15"/>
  <c r="AJ539" i="15"/>
  <c r="AJ879" i="15"/>
  <c r="AJ456" i="15"/>
  <c r="AJ786" i="15"/>
  <c r="AJ598" i="15"/>
  <c r="AJ961" i="15"/>
  <c r="AJ546" i="15"/>
  <c r="AJ886" i="15"/>
  <c r="AJ702" i="15"/>
  <c r="AJ814" i="15"/>
  <c r="AJ723" i="15"/>
  <c r="AJ912" i="15"/>
  <c r="AJ473" i="15"/>
  <c r="AJ802" i="15"/>
  <c r="AJ548" i="15"/>
  <c r="AJ888" i="15"/>
  <c r="AJ725" i="15"/>
  <c r="AJ914" i="15"/>
  <c r="AJ510" i="15"/>
  <c r="AJ851" i="15"/>
  <c r="AJ497" i="15"/>
  <c r="AJ838" i="15"/>
  <c r="AG598" i="15"/>
  <c r="AG961" i="15"/>
  <c r="AJ529" i="15"/>
  <c r="AJ873" i="15"/>
  <c r="AJ516" i="15"/>
  <c r="AJ856" i="15"/>
  <c r="AJ522" i="15"/>
  <c r="AJ861" i="15"/>
  <c r="AJ538" i="15"/>
  <c r="AJ878" i="15"/>
  <c r="AJ724" i="15"/>
  <c r="AJ913" i="15"/>
  <c r="AJ544" i="15"/>
  <c r="AJ884" i="15"/>
  <c r="AJ587" i="15"/>
  <c r="AJ946" i="15"/>
  <c r="AJ537" i="15"/>
  <c r="AJ877" i="15"/>
  <c r="AJ492" i="15"/>
  <c r="AJ831" i="15"/>
  <c r="AJ494" i="15"/>
  <c r="AJ835" i="15"/>
  <c r="AJ599" i="15"/>
  <c r="AJ962" i="15"/>
  <c r="AG599" i="15"/>
  <c r="AG962" i="15"/>
  <c r="AG507" i="15"/>
  <c r="AG848" i="15"/>
  <c r="AJ428" i="15"/>
  <c r="AJ762" i="15"/>
  <c r="AJ535" i="15"/>
  <c r="AJ876" i="15"/>
  <c r="AJ547" i="15"/>
  <c r="AJ887" i="15"/>
  <c r="AJ495" i="15"/>
  <c r="AJ836" i="15"/>
  <c r="AJ523" i="15"/>
  <c r="AJ862" i="15"/>
  <c r="AJ527" i="15"/>
  <c r="AJ872" i="15"/>
  <c r="AJ501" i="15"/>
  <c r="AJ842" i="15"/>
  <c r="AJ558" i="15"/>
  <c r="AJ892" i="15"/>
  <c r="AJ524" i="15"/>
  <c r="AJ863" i="15"/>
  <c r="AJ498" i="15"/>
  <c r="AJ839" i="15"/>
  <c r="AJ554" i="15"/>
  <c r="AJ891" i="15"/>
  <c r="AJ461" i="15"/>
  <c r="AJ791" i="15"/>
  <c r="AJ600" i="15"/>
  <c r="AJ963" i="15"/>
  <c r="AG600" i="15"/>
  <c r="AG963" i="15"/>
  <c r="AG541" i="15"/>
  <c r="AG881" i="15"/>
  <c r="AJ541" i="15"/>
  <c r="AJ881" i="15"/>
  <c r="AJ540" i="15"/>
  <c r="AJ880" i="15"/>
  <c r="AJ430" i="15"/>
  <c r="AJ764" i="15"/>
  <c r="AJ503" i="15"/>
  <c r="AJ844" i="15"/>
  <c r="AJ515" i="15"/>
  <c r="AJ855" i="15"/>
  <c r="AJ722" i="15"/>
  <c r="AJ911" i="15"/>
  <c r="AJ533" i="15"/>
  <c r="AJ875" i="15"/>
  <c r="AJ521" i="15"/>
  <c r="AJ860" i="15"/>
  <c r="AJ543" i="15"/>
  <c r="AJ883" i="15"/>
  <c r="AJ429" i="15"/>
  <c r="AJ763" i="15"/>
  <c r="AJ460" i="15"/>
  <c r="AJ790" i="15"/>
  <c r="AJ586" i="15"/>
  <c r="AJ945" i="15"/>
  <c r="AJ502" i="15"/>
  <c r="AJ843" i="15"/>
  <c r="AJ518" i="15"/>
  <c r="AJ858" i="15"/>
  <c r="AJ504" i="15"/>
  <c r="AJ845" i="15"/>
  <c r="AJ496" i="15"/>
  <c r="AJ837" i="15"/>
  <c r="AJ741" i="15"/>
  <c r="AJ934" i="15"/>
  <c r="AJ505" i="15"/>
  <c r="AJ846" i="15"/>
  <c r="AJ583" i="15"/>
  <c r="AJ935" i="15"/>
  <c r="AJ713" i="15"/>
  <c r="AJ864" i="15"/>
  <c r="AJ459" i="15"/>
  <c r="AJ789" i="15"/>
  <c r="AG287" i="15"/>
  <c r="AG721" i="15"/>
  <c r="AG225" i="15"/>
  <c r="AG713" i="15"/>
  <c r="AG74" i="15"/>
  <c r="AG700" i="15"/>
  <c r="AG146" i="15"/>
  <c r="AG702" i="15"/>
  <c r="AG290" i="15"/>
  <c r="AG724" i="15"/>
  <c r="AG145" i="15"/>
  <c r="AG701" i="15"/>
  <c r="AG313" i="15"/>
  <c r="AG741" i="15"/>
  <c r="AG288" i="15"/>
  <c r="AG722" i="15"/>
  <c r="AG286" i="15"/>
  <c r="AG720" i="15"/>
  <c r="AG291" i="15"/>
  <c r="AG725" i="15"/>
  <c r="AG289" i="15"/>
  <c r="AG723" i="15"/>
  <c r="AG130" i="15"/>
  <c r="AG650" i="15"/>
  <c r="AG137" i="15"/>
  <c r="AG610" i="15"/>
  <c r="AG138" i="15"/>
  <c r="AG611" i="15"/>
  <c r="AJ138" i="15"/>
  <c r="AJ611" i="15"/>
  <c r="AJ135" i="15"/>
  <c r="AJ608" i="15"/>
  <c r="AJ136" i="15"/>
  <c r="AJ609" i="15"/>
  <c r="AG135" i="15"/>
  <c r="AG608" i="15"/>
  <c r="AG136" i="15"/>
  <c r="AG609" i="15"/>
  <c r="AJ137" i="15"/>
  <c r="AJ610" i="15"/>
  <c r="AG210" i="15"/>
  <c r="AG510" i="15"/>
  <c r="AG222" i="15"/>
  <c r="AG522" i="15"/>
  <c r="AG255" i="15"/>
  <c r="AG548" i="15"/>
  <c r="AG205" i="15"/>
  <c r="AG505" i="15"/>
  <c r="AG67" i="15"/>
  <c r="AG428" i="15"/>
  <c r="AG236" i="15"/>
  <c r="AG529" i="15"/>
  <c r="AG175" i="15"/>
  <c r="AG487" i="15"/>
  <c r="AG174" i="15"/>
  <c r="AG486" i="15"/>
  <c r="AG206" i="15"/>
  <c r="AG506" i="15"/>
  <c r="AG326" i="15"/>
  <c r="AG587" i="15"/>
  <c r="AG327" i="15"/>
  <c r="AG588" i="15"/>
  <c r="AG238" i="15"/>
  <c r="AG531" i="15"/>
  <c r="AG204" i="15"/>
  <c r="AG504" i="15"/>
  <c r="AG245" i="15"/>
  <c r="AG538" i="15"/>
  <c r="AG223" i="15"/>
  <c r="AG523" i="15"/>
  <c r="AG241" i="15"/>
  <c r="AG534" i="15"/>
  <c r="AG211" i="15"/>
  <c r="AG511" i="15"/>
  <c r="AG262" i="15"/>
  <c r="AG555" i="15"/>
  <c r="AG242" i="15"/>
  <c r="AG535" i="15"/>
  <c r="AJ207" i="15"/>
  <c r="AJ507" i="15"/>
  <c r="AG114" i="15"/>
  <c r="AG458" i="15"/>
  <c r="AG233" i="15"/>
  <c r="AG526" i="15"/>
  <c r="AG219" i="15"/>
  <c r="AG519" i="15"/>
  <c r="AG195" i="15"/>
  <c r="AG495" i="15"/>
  <c r="AG117" i="15"/>
  <c r="AG461" i="15"/>
  <c r="AG246" i="15"/>
  <c r="AG539" i="15"/>
  <c r="AG250" i="15"/>
  <c r="AG543" i="15"/>
  <c r="AJ208" i="15"/>
  <c r="AJ508" i="15"/>
  <c r="AG260" i="15"/>
  <c r="AG553" i="15"/>
  <c r="AG113" i="15"/>
  <c r="AG457" i="15"/>
  <c r="AG247" i="15"/>
  <c r="AG540" i="15"/>
  <c r="AG208" i="15"/>
  <c r="AG508" i="15"/>
  <c r="AG214" i="15"/>
  <c r="AG514" i="15"/>
  <c r="AG213" i="15"/>
  <c r="AG513" i="15"/>
  <c r="AG234" i="15"/>
  <c r="AG527" i="15"/>
  <c r="AG217" i="15"/>
  <c r="AG517" i="15"/>
  <c r="AG200" i="15"/>
  <c r="AG500" i="15"/>
  <c r="AG216" i="15"/>
  <c r="AG516" i="15"/>
  <c r="AG212" i="15"/>
  <c r="AG512" i="15"/>
  <c r="AG69" i="15"/>
  <c r="AG430" i="15"/>
  <c r="AG197" i="15"/>
  <c r="AG497" i="15"/>
  <c r="AG116" i="15"/>
  <c r="AG460" i="15"/>
  <c r="AG257" i="15"/>
  <c r="AG550" i="15"/>
  <c r="AG196" i="15"/>
  <c r="AG496" i="15"/>
  <c r="AG218" i="15"/>
  <c r="AG518" i="15"/>
  <c r="AG203" i="15"/>
  <c r="AG503" i="15"/>
  <c r="AG254" i="15"/>
  <c r="AG547" i="15"/>
  <c r="AG251" i="15"/>
  <c r="AG544" i="15"/>
  <c r="AG267" i="15"/>
  <c r="AG560" i="15"/>
  <c r="AG185" i="15"/>
  <c r="AG492" i="15"/>
  <c r="AG263" i="15"/>
  <c r="AG556" i="15"/>
  <c r="AG235" i="15"/>
  <c r="AG528" i="15"/>
  <c r="AG237" i="15"/>
  <c r="AG530" i="15"/>
  <c r="AG256" i="15"/>
  <c r="AG549" i="15"/>
  <c r="AG224" i="15"/>
  <c r="AG524" i="15"/>
  <c r="AG249" i="15"/>
  <c r="AG542" i="15"/>
  <c r="AG253" i="15"/>
  <c r="AG546" i="15"/>
  <c r="AG261" i="15"/>
  <c r="AG554" i="15"/>
  <c r="AG240" i="15"/>
  <c r="AG533" i="15"/>
  <c r="AG215" i="15"/>
  <c r="AG515" i="15"/>
  <c r="AG265" i="15"/>
  <c r="AG558" i="15"/>
  <c r="AG244" i="15"/>
  <c r="AG537" i="15"/>
  <c r="AG221" i="15"/>
  <c r="AG521" i="15"/>
  <c r="AG112" i="15"/>
  <c r="AG456" i="15"/>
  <c r="AG243" i="15"/>
  <c r="AG536" i="15"/>
  <c r="AG199" i="15"/>
  <c r="AG499" i="15"/>
  <c r="AG68" i="15"/>
  <c r="AG429" i="15"/>
  <c r="AG266" i="15"/>
  <c r="AG559" i="15"/>
  <c r="AG194" i="15"/>
  <c r="AG494" i="15"/>
  <c r="AG198" i="15"/>
  <c r="AG498" i="15"/>
  <c r="AG264" i="15"/>
  <c r="AG557" i="15"/>
  <c r="AG139" i="15"/>
  <c r="AG475" i="15"/>
  <c r="AG325" i="15"/>
  <c r="AG586" i="15"/>
  <c r="AG258" i="15"/>
  <c r="AG551" i="15"/>
  <c r="AG316" i="15"/>
  <c r="AG585" i="15"/>
  <c r="AG239" i="15"/>
  <c r="AG532" i="15"/>
  <c r="AG202" i="15"/>
  <c r="AG502" i="15"/>
  <c r="AG315" i="15"/>
  <c r="AG584" i="15"/>
  <c r="AG201" i="15"/>
  <c r="AG501" i="15"/>
  <c r="AG129" i="15"/>
  <c r="AG473" i="15"/>
  <c r="AG314" i="15"/>
  <c r="AG583" i="15"/>
  <c r="AG268" i="15"/>
  <c r="AG561" i="15"/>
  <c r="AG252" i="15"/>
  <c r="AG545" i="15"/>
  <c r="AG209" i="15"/>
  <c r="AG509" i="15"/>
  <c r="AG220" i="15"/>
  <c r="AG520" i="15"/>
  <c r="AG115" i="15"/>
  <c r="AG459" i="15"/>
  <c r="AG357" i="15"/>
  <c r="AG392" i="15"/>
  <c r="AJ106" i="15"/>
  <c r="AJ373" i="15"/>
  <c r="AJ97" i="15"/>
  <c r="AJ364" i="15"/>
  <c r="AG104" i="15"/>
  <c r="AG371" i="15"/>
  <c r="AG103" i="15"/>
  <c r="AG370" i="15"/>
  <c r="AG358" i="15"/>
  <c r="AG393" i="15"/>
  <c r="AJ99" i="15"/>
  <c r="AJ366" i="15"/>
  <c r="AJ102" i="15"/>
  <c r="AJ369" i="15"/>
  <c r="AG105" i="15"/>
  <c r="AG372" i="15"/>
  <c r="AG106" i="15"/>
  <c r="AG373" i="15"/>
  <c r="AG359" i="15"/>
  <c r="AG394" i="15"/>
  <c r="AJ107" i="15"/>
  <c r="AJ374" i="15"/>
  <c r="AJ110" i="15"/>
  <c r="AJ377" i="15"/>
  <c r="AG102" i="15"/>
  <c r="AG369" i="15"/>
  <c r="AG96" i="15"/>
  <c r="AG363" i="15"/>
  <c r="AJ105" i="15"/>
  <c r="AJ372" i="15"/>
  <c r="AJ103" i="15"/>
  <c r="AJ370" i="15"/>
  <c r="AG108" i="15"/>
  <c r="AG375" i="15"/>
  <c r="AG99" i="15"/>
  <c r="AG366" i="15"/>
  <c r="AJ100" i="15"/>
  <c r="AJ367" i="15"/>
  <c r="AG97" i="15"/>
  <c r="AG364" i="15"/>
  <c r="AG107" i="15"/>
  <c r="AG374" i="15"/>
  <c r="AG192" i="15"/>
  <c r="AG387" i="15"/>
  <c r="AJ165" i="15"/>
  <c r="AJ383" i="15"/>
  <c r="AG189" i="15"/>
  <c r="AG384" i="15"/>
  <c r="AJ108" i="15"/>
  <c r="AJ375" i="15"/>
  <c r="AJ96" i="15"/>
  <c r="AJ363" i="15"/>
  <c r="AG98" i="15"/>
  <c r="AG365" i="15"/>
  <c r="AG101" i="15"/>
  <c r="AG368" i="15"/>
  <c r="AJ101" i="15"/>
  <c r="AJ368" i="15"/>
  <c r="AJ104" i="15"/>
  <c r="AJ371" i="15"/>
  <c r="AG109" i="15"/>
  <c r="AG376" i="15"/>
  <c r="AG165" i="15"/>
  <c r="AG383" i="15"/>
  <c r="AG190" i="15"/>
  <c r="AG385" i="15"/>
  <c r="AG191" i="15"/>
  <c r="AG386" i="15"/>
  <c r="AG193" i="15"/>
  <c r="AG388" i="15"/>
  <c r="AJ98" i="15"/>
  <c r="AJ365" i="15"/>
  <c r="AJ109" i="15"/>
  <c r="AJ376" i="15"/>
  <c r="AG100" i="15"/>
  <c r="AG367" i="15"/>
  <c r="AG110" i="15"/>
  <c r="AG377" i="15"/>
  <c r="EW295" i="7"/>
  <c r="AG248" i="15"/>
  <c r="AJ69" i="15"/>
  <c r="AJ116" i="15"/>
  <c r="AJ358" i="15"/>
  <c r="AJ202" i="15"/>
  <c r="AJ314" i="15"/>
  <c r="AJ241" i="15"/>
  <c r="EW244" i="7"/>
  <c r="AG207" i="15"/>
  <c r="AJ252" i="15"/>
  <c r="AJ236" i="15"/>
  <c r="AJ289" i="15"/>
  <c r="AJ316" i="15"/>
  <c r="AJ139" i="15"/>
  <c r="AJ315" i="15"/>
  <c r="AJ220" i="15"/>
  <c r="AJ209" i="15"/>
  <c r="AJ256" i="15"/>
  <c r="AJ268" i="15"/>
  <c r="AJ217" i="15"/>
  <c r="AJ213" i="15"/>
  <c r="AJ190" i="15"/>
  <c r="AJ257" i="15"/>
  <c r="AJ145" i="15"/>
  <c r="AJ235" i="15"/>
  <c r="AJ238" i="15"/>
  <c r="AJ189" i="15"/>
  <c r="AJ113" i="15"/>
  <c r="AJ359" i="15"/>
  <c r="AJ203" i="15"/>
  <c r="AJ211" i="15"/>
  <c r="AJ204" i="15"/>
  <c r="AJ115" i="15"/>
  <c r="AJ253" i="15"/>
  <c r="AJ200" i="15"/>
  <c r="AJ129" i="15"/>
  <c r="AJ348" i="15"/>
  <c r="AJ287" i="15"/>
  <c r="AJ262" i="15"/>
  <c r="AJ327" i="15"/>
  <c r="AJ249" i="15"/>
  <c r="AJ130" i="15"/>
  <c r="AJ199" i="15"/>
  <c r="AJ233" i="15"/>
  <c r="AJ286" i="15"/>
  <c r="AJ214" i="15"/>
  <c r="AJ212" i="15"/>
  <c r="AJ246" i="15"/>
  <c r="AJ112" i="15"/>
  <c r="AJ354" i="15"/>
  <c r="AJ247" i="15"/>
  <c r="AJ288" i="15"/>
  <c r="AJ250" i="15"/>
  <c r="AJ350" i="15"/>
  <c r="AJ196" i="15"/>
  <c r="AJ146" i="15"/>
  <c r="AJ175" i="15"/>
  <c r="AJ267" i="15"/>
  <c r="AJ206" i="15"/>
  <c r="AJ255" i="15"/>
  <c r="AJ114" i="15"/>
  <c r="EW306" i="7"/>
  <c r="AG259" i="15"/>
  <c r="AJ67" i="15"/>
  <c r="AJ216" i="15"/>
  <c r="AJ291" i="15"/>
  <c r="AJ222" i="15"/>
  <c r="AJ242" i="15"/>
  <c r="AJ210" i="15"/>
  <c r="AJ219" i="15"/>
  <c r="AJ245" i="15"/>
  <c r="AJ243" i="15"/>
  <c r="AJ197" i="15"/>
  <c r="AJ259" i="15"/>
  <c r="AJ290" i="15"/>
  <c r="AG351" i="15"/>
  <c r="AJ357" i="15"/>
  <c r="AG354" i="15"/>
  <c r="AJ248" i="15"/>
  <c r="AJ215" i="15"/>
  <c r="AJ221" i="15"/>
  <c r="AJ325" i="15"/>
  <c r="AJ218" i="15"/>
  <c r="AJ313" i="15"/>
  <c r="AJ258" i="15"/>
  <c r="AJ225" i="15"/>
  <c r="AJ349" i="15"/>
  <c r="AJ174" i="15"/>
  <c r="AJ254" i="15"/>
  <c r="AJ263" i="15"/>
  <c r="AJ244" i="15"/>
  <c r="AJ194" i="15"/>
  <c r="AG350" i="15"/>
  <c r="AJ355" i="15"/>
  <c r="AG355" i="15"/>
  <c r="EW127" i="7"/>
  <c r="AJ111" i="15"/>
  <c r="AJ237" i="15"/>
  <c r="AJ240" i="15"/>
  <c r="AJ68" i="15"/>
  <c r="AG348" i="15"/>
  <c r="AJ191" i="15"/>
  <c r="AJ205" i="15"/>
  <c r="AJ351" i="15"/>
  <c r="AJ264" i="15"/>
  <c r="AJ251" i="15"/>
  <c r="AJ326" i="15"/>
  <c r="AJ185" i="15"/>
  <c r="AJ239" i="15"/>
  <c r="AJ74" i="15"/>
  <c r="AJ195" i="15"/>
  <c r="AJ266" i="15"/>
  <c r="AJ260" i="15"/>
  <c r="AJ223" i="15"/>
  <c r="AJ234" i="15"/>
  <c r="AJ193" i="15"/>
  <c r="AJ192" i="15"/>
  <c r="AJ201" i="15"/>
  <c r="AJ265" i="15"/>
  <c r="AJ224" i="15"/>
  <c r="AJ198" i="15"/>
  <c r="AJ261" i="15"/>
  <c r="AJ117" i="15"/>
  <c r="AG349" i="15"/>
  <c r="AJ356" i="15"/>
  <c r="AG356" i="15"/>
  <c r="EW146" i="7"/>
  <c r="EW304" i="7"/>
  <c r="EW166" i="7"/>
  <c r="EW234" i="7"/>
  <c r="EW256" i="7"/>
  <c r="EW313" i="7"/>
  <c r="EW245" i="7"/>
  <c r="EX112" i="7"/>
  <c r="EW125" i="7"/>
  <c r="EX127" i="7"/>
  <c r="EX122" i="7"/>
  <c r="EY127" i="7"/>
  <c r="EW124" i="7"/>
  <c r="EX113" i="7"/>
  <c r="EX116" i="7"/>
  <c r="EW112" i="7"/>
  <c r="EY116" i="7"/>
  <c r="EY119" i="7"/>
  <c r="EX115" i="7"/>
  <c r="EW121" i="7"/>
  <c r="EW114" i="7"/>
  <c r="EX124" i="7"/>
  <c r="EY124" i="7"/>
  <c r="EW120" i="7"/>
  <c r="EY114" i="7"/>
  <c r="EY112" i="7"/>
  <c r="EX117" i="7"/>
  <c r="EY117" i="7"/>
  <c r="EX114" i="7"/>
  <c r="EW116" i="7"/>
  <c r="EW123" i="7"/>
  <c r="EX119" i="7"/>
  <c r="EY121" i="7"/>
  <c r="EX121" i="7"/>
  <c r="EX126" i="7"/>
  <c r="EW119" i="7"/>
  <c r="EY113" i="7"/>
  <c r="EW117" i="7"/>
  <c r="EX123" i="7"/>
  <c r="EX118" i="7"/>
  <c r="EY126" i="7"/>
  <c r="EW126" i="7"/>
  <c r="EY120" i="7"/>
  <c r="EX120" i="7"/>
  <c r="EY123" i="7"/>
  <c r="EY125" i="7"/>
  <c r="EY118" i="7"/>
  <c r="EY115" i="7"/>
  <c r="EW118" i="7"/>
  <c r="EX125" i="7"/>
  <c r="EY122" i="7"/>
  <c r="EW122" i="7"/>
  <c r="EW113" i="7"/>
  <c r="EW115" i="7"/>
  <c r="EW130" i="7"/>
  <c r="EW291" i="7"/>
  <c r="EW131" i="7"/>
  <c r="EY451" i="7"/>
  <c r="EX450" i="7"/>
  <c r="EW459" i="7"/>
  <c r="EY459" i="7"/>
  <c r="EX459" i="7"/>
  <c r="EX460" i="7"/>
  <c r="EW460" i="7"/>
  <c r="EY460" i="7"/>
  <c r="EX461" i="7"/>
  <c r="EW461" i="7"/>
  <c r="EY461" i="7"/>
  <c r="EW456" i="7"/>
  <c r="EY456" i="7"/>
  <c r="EX456" i="7"/>
  <c r="EX457" i="7"/>
  <c r="EY457" i="7"/>
  <c r="EW457" i="7"/>
  <c r="EY458" i="7"/>
  <c r="EW458" i="7"/>
  <c r="EX458" i="7"/>
  <c r="EW450" i="7"/>
  <c r="EW452" i="7"/>
  <c r="EW453" i="7"/>
  <c r="EX453" i="7"/>
  <c r="EY453" i="7"/>
  <c r="EX451" i="7"/>
  <c r="EY450" i="7"/>
  <c r="EY452" i="7"/>
  <c r="EX452" i="7"/>
  <c r="EW451" i="7"/>
  <c r="LZ433" i="7"/>
  <c r="LZ444" i="7"/>
  <c r="LZ432" i="7"/>
  <c r="EW307" i="7"/>
  <c r="EW281" i="7"/>
  <c r="EW337" i="7"/>
  <c r="EW268" i="7"/>
  <c r="EW308" i="7"/>
  <c r="EW312" i="7"/>
  <c r="EW258" i="7"/>
  <c r="EW233" i="7"/>
  <c r="EW270" i="7"/>
  <c r="EW165" i="7"/>
  <c r="EW261" i="7"/>
  <c r="EW260" i="7"/>
  <c r="EW255" i="7"/>
  <c r="EW227" i="7"/>
  <c r="EW174" i="7"/>
  <c r="EW228" i="7"/>
  <c r="EW360" i="7"/>
  <c r="EW298" i="7"/>
  <c r="EW216" i="7"/>
  <c r="EW310" i="7"/>
  <c r="EW282" i="7"/>
  <c r="EW303" i="7"/>
  <c r="EW128" i="7"/>
  <c r="EW283" i="7"/>
  <c r="EW302" i="7"/>
  <c r="EW145" i="7"/>
  <c r="EW204" i="7"/>
  <c r="EW315" i="7"/>
  <c r="EW250" i="7"/>
  <c r="EW285" i="7"/>
  <c r="EW305" i="7"/>
  <c r="EW239" i="7"/>
  <c r="EW362" i="7"/>
  <c r="EW242" i="7"/>
  <c r="EW361" i="7"/>
  <c r="EW264" i="7"/>
  <c r="EW288" i="7"/>
  <c r="EW338" i="7"/>
  <c r="EW251" i="7"/>
  <c r="EW235" i="7"/>
  <c r="EW238" i="7"/>
  <c r="EW163" i="7"/>
  <c r="EW311" i="7"/>
  <c r="EW81" i="7"/>
  <c r="EW286" i="7"/>
  <c r="EW290" i="7"/>
  <c r="EW203" i="7"/>
  <c r="EW230" i="7"/>
  <c r="EW390" i="7"/>
  <c r="EW226" i="7"/>
  <c r="EW266" i="7"/>
  <c r="EW292" i="7"/>
  <c r="EW267" i="7"/>
  <c r="EW229" i="7"/>
  <c r="EW90" i="7"/>
  <c r="EW289" i="7"/>
  <c r="EW133" i="7"/>
  <c r="EW231" i="7"/>
  <c r="EW262" i="7"/>
  <c r="EW167" i="7"/>
  <c r="EW254" i="7"/>
  <c r="EW296" i="7"/>
  <c r="EW333" i="7"/>
  <c r="EW236" i="7"/>
  <c r="EW391" i="7"/>
  <c r="EW309" i="7"/>
  <c r="EW194" i="7"/>
  <c r="EW280" i="7"/>
  <c r="EW293" i="7"/>
  <c r="EW334" i="7"/>
  <c r="EW243" i="7"/>
  <c r="EW299" i="7"/>
  <c r="EW164" i="7"/>
  <c r="EW336" i="7"/>
  <c r="EW252" i="7"/>
  <c r="EW294" i="7"/>
  <c r="EW232" i="7"/>
  <c r="EW297" i="7"/>
  <c r="EW129" i="7"/>
  <c r="EW240" i="7"/>
  <c r="EW237" i="7"/>
  <c r="EW301" i="7"/>
  <c r="EW241" i="7"/>
  <c r="EW132" i="7"/>
  <c r="EW335" i="7"/>
  <c r="EW314" i="7"/>
  <c r="EW83" i="7"/>
  <c r="EW175" i="7"/>
  <c r="EW284" i="7"/>
  <c r="EW300" i="7"/>
  <c r="EW287" i="7"/>
  <c r="EW257" i="7"/>
  <c r="EW265" i="7"/>
  <c r="EW363" i="7"/>
  <c r="EW82" i="7"/>
  <c r="EW389" i="7"/>
  <c r="EY314" i="7"/>
  <c r="EX314" i="7"/>
  <c r="EY310" i="7"/>
  <c r="EX310" i="7"/>
  <c r="EY228" i="7"/>
  <c r="EX228" i="7"/>
  <c r="EX165" i="7"/>
  <c r="EY165" i="7"/>
  <c r="EY241" i="7"/>
  <c r="EX241" i="7"/>
  <c r="EY362" i="7"/>
  <c r="EX362" i="7"/>
  <c r="EY82" i="7"/>
  <c r="EX82" i="7"/>
  <c r="EY203" i="7"/>
  <c r="EX203" i="7"/>
  <c r="EX230" i="7"/>
  <c r="EY230" i="7"/>
  <c r="EX238" i="7"/>
  <c r="EY238" i="7"/>
  <c r="EY311" i="7"/>
  <c r="EX311" i="7"/>
  <c r="EY295" i="7"/>
  <c r="EX295" i="7"/>
  <c r="EX360" i="7"/>
  <c r="EY360" i="7"/>
  <c r="EX234" i="7"/>
  <c r="EY234" i="7"/>
  <c r="EX292" i="7"/>
  <c r="EY292" i="7"/>
  <c r="EY335" i="7"/>
  <c r="EX335" i="7"/>
  <c r="EX133" i="7"/>
  <c r="EY133" i="7"/>
  <c r="EY243" i="7"/>
  <c r="EX243" i="7"/>
  <c r="EY299" i="7"/>
  <c r="EX299" i="7"/>
  <c r="EY390" i="7"/>
  <c r="EX390" i="7"/>
  <c r="EY391" i="7"/>
  <c r="EX391" i="7"/>
  <c r="EY250" i="7"/>
  <c r="EX250" i="7"/>
  <c r="EY285" i="7"/>
  <c r="EX285" i="7"/>
  <c r="EY313" i="7"/>
  <c r="EX313" i="7"/>
  <c r="EY239" i="7"/>
  <c r="EX239" i="7"/>
  <c r="EY312" i="7"/>
  <c r="EX312" i="7"/>
  <c r="EY291" i="7"/>
  <c r="EX291" i="7"/>
  <c r="EY303" i="7"/>
  <c r="EX303" i="7"/>
  <c r="EX296" i="7"/>
  <c r="EY296" i="7"/>
  <c r="EY175" i="7"/>
  <c r="EX175" i="7"/>
  <c r="EX300" i="7"/>
  <c r="EY300" i="7"/>
  <c r="EY287" i="7"/>
  <c r="EX287" i="7"/>
  <c r="EY297" i="7"/>
  <c r="EX297" i="7"/>
  <c r="EY389" i="7"/>
  <c r="EX242" i="7"/>
  <c r="EY242" i="7"/>
  <c r="EX226" i="7"/>
  <c r="EY226" i="7"/>
  <c r="EY132" i="7"/>
  <c r="EX132" i="7"/>
  <c r="EY258" i="7"/>
  <c r="EX258" i="7"/>
  <c r="EY315" i="7"/>
  <c r="EX315" i="7"/>
  <c r="EY235" i="7"/>
  <c r="EX235" i="7"/>
  <c r="EY163" i="7"/>
  <c r="EX163" i="7"/>
  <c r="EY81" i="7"/>
  <c r="EX81" i="7"/>
  <c r="EY257" i="7"/>
  <c r="EX257" i="7"/>
  <c r="EX284" i="7"/>
  <c r="EY284" i="7"/>
  <c r="EY131" i="7"/>
  <c r="EX131" i="7"/>
  <c r="EY280" i="7"/>
  <c r="EX280" i="7"/>
  <c r="EY294" i="7"/>
  <c r="EX294" i="7"/>
  <c r="EY267" i="7"/>
  <c r="EX267" i="7"/>
  <c r="EY229" i="7"/>
  <c r="EX229" i="7"/>
  <c r="EY244" i="7"/>
  <c r="EX244" i="7"/>
  <c r="EX288" i="7"/>
  <c r="EY288" i="7"/>
  <c r="EY90" i="7"/>
  <c r="EX90" i="7"/>
  <c r="EY252" i="7"/>
  <c r="EX252" i="7"/>
  <c r="EX145" i="7"/>
  <c r="EY145" i="7"/>
  <c r="EY283" i="7"/>
  <c r="EX283" i="7"/>
  <c r="EY266" i="7"/>
  <c r="EX266" i="7"/>
  <c r="EY290" i="7"/>
  <c r="EX290" i="7"/>
  <c r="EX265" i="7"/>
  <c r="EY265" i="7"/>
  <c r="EY227" i="7"/>
  <c r="EX227" i="7"/>
  <c r="EY282" i="7"/>
  <c r="EX282" i="7"/>
  <c r="EY128" i="7"/>
  <c r="EX128" i="7"/>
  <c r="EX174" i="7"/>
  <c r="EY174" i="7"/>
  <c r="EY237" i="7"/>
  <c r="EX237" i="7"/>
  <c r="EY236" i="7"/>
  <c r="EX236" i="7"/>
  <c r="EY256" i="7"/>
  <c r="EX256" i="7"/>
  <c r="EX304" i="7"/>
  <c r="EY304" i="7"/>
  <c r="EY262" i="7"/>
  <c r="EX262" i="7"/>
  <c r="EY334" i="7"/>
  <c r="EX334" i="7"/>
  <c r="EY245" i="7"/>
  <c r="EX245" i="7"/>
  <c r="EY164" i="7"/>
  <c r="EX164" i="7"/>
  <c r="EY361" i="7"/>
  <c r="EX361" i="7"/>
  <c r="EX83" i="7"/>
  <c r="EY83" i="7"/>
  <c r="EY232" i="7"/>
  <c r="EX232" i="7"/>
  <c r="EY289" i="7"/>
  <c r="EX289" i="7"/>
  <c r="EY333" i="7"/>
  <c r="EX333" i="7"/>
  <c r="EY130" i="7"/>
  <c r="EX130" i="7"/>
  <c r="EY302" i="7"/>
  <c r="EX302" i="7"/>
  <c r="EY251" i="7"/>
  <c r="EX251" i="7"/>
  <c r="EX129" i="7"/>
  <c r="EY129" i="7"/>
  <c r="EY306" i="7"/>
  <c r="EX306" i="7"/>
  <c r="EY337" i="7"/>
  <c r="EX337" i="7"/>
  <c r="EY293" i="7"/>
  <c r="EX293" i="7"/>
  <c r="EY233" i="7"/>
  <c r="EX233" i="7"/>
  <c r="EX270" i="7"/>
  <c r="EY270" i="7"/>
  <c r="EY231" i="7"/>
  <c r="EX231" i="7"/>
  <c r="EY268" i="7"/>
  <c r="EX268" i="7"/>
  <c r="EY298" i="7"/>
  <c r="EX298" i="7"/>
  <c r="EY254" i="7"/>
  <c r="EX254" i="7"/>
  <c r="EY261" i="7"/>
  <c r="EX261" i="7"/>
  <c r="EX255" i="7"/>
  <c r="EY255" i="7"/>
  <c r="EY240" i="7"/>
  <c r="EX240" i="7"/>
  <c r="EY307" i="7"/>
  <c r="EX307" i="7"/>
  <c r="EY281" i="7"/>
  <c r="EX281" i="7"/>
  <c r="EX260" i="7"/>
  <c r="EY260" i="7"/>
  <c r="EY166" i="7"/>
  <c r="EX166" i="7"/>
  <c r="EY309" i="7"/>
  <c r="EX309" i="7"/>
  <c r="EY264" i="7"/>
  <c r="EX264" i="7"/>
  <c r="EY336" i="7"/>
  <c r="EX336" i="7"/>
  <c r="EY204" i="7"/>
  <c r="EX204" i="7"/>
  <c r="EX194" i="7"/>
  <c r="EY194" i="7"/>
  <c r="EY167" i="7"/>
  <c r="EX167" i="7"/>
  <c r="EY305" i="7"/>
  <c r="EX305" i="7"/>
  <c r="EX216" i="7"/>
  <c r="EY216" i="7"/>
  <c r="EY338" i="7"/>
  <c r="EX338" i="7"/>
  <c r="EX308" i="7"/>
  <c r="EY308" i="7"/>
  <c r="EY146" i="7"/>
  <c r="EX146" i="7"/>
  <c r="EY363" i="7"/>
  <c r="EX363" i="7"/>
  <c r="EY286" i="7"/>
  <c r="EX286" i="7"/>
  <c r="EY301" i="7"/>
  <c r="EX301" i="7"/>
  <c r="EX389" i="7"/>
  <c r="MD164" i="7"/>
  <c r="MD166" i="7"/>
  <c r="MD165" i="7"/>
  <c r="MD163" i="7"/>
  <c r="MD411" i="7"/>
  <c r="MD211" i="7"/>
  <c r="MD212" i="7"/>
  <c r="MD410" i="7"/>
  <c r="MD433" i="7" l="1"/>
  <c r="MD432" i="7"/>
  <c r="MD444" i="7"/>
  <c r="EH221" i="7"/>
  <c r="ED221" i="7" l="1"/>
  <c r="EI221" i="7"/>
  <c r="CA416" i="7" l="1"/>
  <c r="B2941" i="15" l="1"/>
  <c r="B2653" i="15"/>
  <c r="B2268" i="15"/>
  <c r="B2059" i="15"/>
  <c r="B1523" i="15"/>
  <c r="B1360" i="15"/>
  <c r="B779" i="15"/>
  <c r="B433" i="15"/>
  <c r="B81" i="15"/>
  <c r="CB416" i="7"/>
  <c r="C2941" i="15" s="1"/>
  <c r="DD270" i="7"/>
  <c r="DA416" i="7"/>
  <c r="N2954" i="15" s="1"/>
  <c r="DA417" i="7"/>
  <c r="N3123" i="15" s="1"/>
  <c r="CQ416" i="7"/>
  <c r="B1685" i="15" l="1"/>
  <c r="C1685" i="15"/>
  <c r="D1685" i="15"/>
  <c r="P3218" i="15"/>
  <c r="O3218" i="15"/>
  <c r="N3218" i="15"/>
  <c r="N2281" i="15"/>
  <c r="N2682" i="15"/>
  <c r="N2455" i="15"/>
  <c r="O2522" i="15" s="1"/>
  <c r="N2683" i="15"/>
  <c r="C2268" i="15"/>
  <c r="C2653" i="15"/>
  <c r="N1530" i="15"/>
  <c r="N2066" i="15"/>
  <c r="N1531" i="15"/>
  <c r="N2067" i="15"/>
  <c r="C1523" i="15"/>
  <c r="C2059" i="15"/>
  <c r="C779" i="15"/>
  <c r="C1360" i="15"/>
  <c r="N795" i="15"/>
  <c r="N1371" i="15"/>
  <c r="N794" i="15"/>
  <c r="N1370" i="15"/>
  <c r="N117" i="15"/>
  <c r="N450" i="15"/>
  <c r="N116" i="15"/>
  <c r="N449" i="15"/>
  <c r="C81" i="15"/>
  <c r="C433" i="15"/>
  <c r="DB416" i="7"/>
  <c r="CJ416" i="7"/>
  <c r="CD416" i="7"/>
  <c r="CL416" i="7"/>
  <c r="CK416" i="7"/>
  <c r="CQ133" i="7"/>
  <c r="CA133" i="7"/>
  <c r="B2926" i="15" s="1"/>
  <c r="CH46" i="7"/>
  <c r="CI46" i="7"/>
  <c r="CA51" i="7"/>
  <c r="B3230" i="15" s="1"/>
  <c r="CD45" i="7"/>
  <c r="DH412" i="7"/>
  <c r="DH404" i="7"/>
  <c r="CD407" i="7"/>
  <c r="CI407" i="7"/>
  <c r="DH131" i="7"/>
  <c r="CH35" i="7"/>
  <c r="CI35" i="7"/>
  <c r="CN200" i="7"/>
  <c r="H3099" i="15" s="1"/>
  <c r="DI170" i="7"/>
  <c r="CI199" i="7"/>
  <c r="DD39" i="7"/>
  <c r="DD225" i="7"/>
  <c r="CD43" i="7"/>
  <c r="CA49" i="7"/>
  <c r="B3228" i="15" s="1"/>
  <c r="DD223" i="7"/>
  <c r="CQ348" i="7"/>
  <c r="CH45" i="7"/>
  <c r="CI45" i="7"/>
  <c r="CD74" i="7"/>
  <c r="DH413" i="7"/>
  <c r="DH405" i="7"/>
  <c r="CH271" i="7"/>
  <c r="CI271" i="7"/>
  <c r="DH223" i="7"/>
  <c r="DH132" i="7"/>
  <c r="DI132" i="7"/>
  <c r="CI72" i="7"/>
  <c r="CH72" i="7"/>
  <c r="CE76" i="7"/>
  <c r="E3235" i="15" s="1"/>
  <c r="CN199" i="7"/>
  <c r="H3098" i="15" s="1"/>
  <c r="DI171" i="7"/>
  <c r="DD133" i="7"/>
  <c r="DD40" i="7"/>
  <c r="DD30" i="7"/>
  <c r="CH39" i="7"/>
  <c r="CI39" i="7"/>
  <c r="CE51" i="7"/>
  <c r="E3230" i="15" s="1"/>
  <c r="CV406" i="7"/>
  <c r="CQ406" i="7"/>
  <c r="CI200" i="7"/>
  <c r="CQ339" i="7"/>
  <c r="CH73" i="7"/>
  <c r="CI73" i="7"/>
  <c r="CD41" i="7"/>
  <c r="DH225" i="7"/>
  <c r="DH128" i="7"/>
  <c r="CH37" i="7"/>
  <c r="CI37" i="7"/>
  <c r="CE49" i="7"/>
  <c r="E3228" i="15" s="1"/>
  <c r="CQ129" i="7"/>
  <c r="CA129" i="7"/>
  <c r="B2922" i="15" s="1"/>
  <c r="DI168" i="7"/>
  <c r="DD132" i="7"/>
  <c r="DD71" i="7"/>
  <c r="DD222" i="7"/>
  <c r="CU341" i="7"/>
  <c r="CV341" i="7"/>
  <c r="DI401" i="7"/>
  <c r="DI408" i="7"/>
  <c r="DI405" i="7"/>
  <c r="DI402" i="7"/>
  <c r="DI404" i="7"/>
  <c r="DI403" i="7"/>
  <c r="CQ340" i="7"/>
  <c r="CH42" i="7"/>
  <c r="CI42" i="7"/>
  <c r="CU412" i="7"/>
  <c r="CD44" i="7"/>
  <c r="CA50" i="7"/>
  <c r="B3229" i="15" s="1"/>
  <c r="DA354" i="7"/>
  <c r="DH222" i="7"/>
  <c r="DI133" i="7"/>
  <c r="DH133" i="7"/>
  <c r="CI71" i="7"/>
  <c r="CH71" i="7"/>
  <c r="CQ130" i="7"/>
  <c r="CA130" i="7"/>
  <c r="DI169" i="7"/>
  <c r="DD129" i="7"/>
  <c r="DD38" i="7"/>
  <c r="DD224" i="7"/>
  <c r="DI412" i="7"/>
  <c r="CQ341" i="7"/>
  <c r="CH43" i="7"/>
  <c r="CI43" i="7"/>
  <c r="CU413" i="7"/>
  <c r="CD46" i="7"/>
  <c r="DA357" i="7"/>
  <c r="N2943" i="15" s="1"/>
  <c r="DH224" i="7"/>
  <c r="DH130" i="7"/>
  <c r="DI130" i="7"/>
  <c r="CI36" i="7"/>
  <c r="CH36" i="7"/>
  <c r="CA131" i="7"/>
  <c r="B2924" i="15" s="1"/>
  <c r="CQ131" i="7"/>
  <c r="DD130" i="7"/>
  <c r="DD72" i="7"/>
  <c r="DD31" i="7"/>
  <c r="DD271" i="7"/>
  <c r="CD406" i="7"/>
  <c r="CI406" i="7"/>
  <c r="DD36" i="7"/>
  <c r="CD415" i="7"/>
  <c r="CQ351" i="7"/>
  <c r="CI41" i="7"/>
  <c r="CH41" i="7"/>
  <c r="CA48" i="7"/>
  <c r="B3227" i="15" s="1"/>
  <c r="CD42" i="7"/>
  <c r="DH408" i="7"/>
  <c r="CU340" i="7"/>
  <c r="CV340" i="7"/>
  <c r="DH31" i="7"/>
  <c r="DI31" i="7"/>
  <c r="DI129" i="7"/>
  <c r="DH129" i="7"/>
  <c r="CE52" i="7"/>
  <c r="E3231" i="15" s="1"/>
  <c r="CH40" i="7"/>
  <c r="CI40" i="7"/>
  <c r="CQ128" i="7"/>
  <c r="CA128" i="7"/>
  <c r="DD406" i="7"/>
  <c r="DD131" i="7"/>
  <c r="DD35" i="7"/>
  <c r="CH44" i="7"/>
  <c r="CI44" i="7"/>
  <c r="CH74" i="7"/>
  <c r="CI74" i="7"/>
  <c r="CD73" i="7"/>
  <c r="CU339" i="7"/>
  <c r="CV339" i="7"/>
  <c r="DH30" i="7"/>
  <c r="CH38" i="7"/>
  <c r="CI38" i="7"/>
  <c r="CE50" i="7"/>
  <c r="E3229" i="15" s="1"/>
  <c r="CV407" i="7"/>
  <c r="CQ407" i="7"/>
  <c r="CQ132" i="7"/>
  <c r="CA132" i="7"/>
  <c r="DD407" i="7"/>
  <c r="DD128" i="7"/>
  <c r="DD37" i="7"/>
  <c r="N2942" i="15" l="1"/>
  <c r="P3027" i="15" s="1"/>
  <c r="B2923" i="15"/>
  <c r="B2921" i="15"/>
  <c r="B2925" i="15"/>
  <c r="G3264" i="15"/>
  <c r="E3264" i="15"/>
  <c r="F3264" i="15"/>
  <c r="B3264" i="15"/>
  <c r="C3264" i="15"/>
  <c r="D3264" i="15"/>
  <c r="O2682" i="15"/>
  <c r="O2954" i="15"/>
  <c r="N2522" i="15"/>
  <c r="P2522" i="15"/>
  <c r="N2277" i="15"/>
  <c r="N2672" i="15"/>
  <c r="N2274" i="15"/>
  <c r="N2669" i="15"/>
  <c r="H2416" i="15"/>
  <c r="H2619" i="15"/>
  <c r="H2415" i="15"/>
  <c r="H2618" i="15"/>
  <c r="E2252" i="15"/>
  <c r="E2603" i="15"/>
  <c r="B2250" i="15"/>
  <c r="B2601" i="15"/>
  <c r="E2260" i="15"/>
  <c r="E2611" i="15"/>
  <c r="B2413" i="15"/>
  <c r="B2616" i="15"/>
  <c r="B2251" i="15"/>
  <c r="B2602" i="15"/>
  <c r="B2412" i="15"/>
  <c r="B2615" i="15"/>
  <c r="B2411" i="15"/>
  <c r="B2614" i="15"/>
  <c r="E2251" i="15"/>
  <c r="E2602" i="15"/>
  <c r="B2410" i="15"/>
  <c r="B2613" i="15"/>
  <c r="B2252" i="15"/>
  <c r="B2603" i="15"/>
  <c r="B2253" i="15"/>
  <c r="B2604" i="15"/>
  <c r="B2414" i="15"/>
  <c r="B2617" i="15"/>
  <c r="B2409" i="15"/>
  <c r="B2612" i="15"/>
  <c r="E2254" i="15"/>
  <c r="E2605" i="15"/>
  <c r="E2253" i="15"/>
  <c r="E2604" i="15"/>
  <c r="O2066" i="15"/>
  <c r="O2281" i="15"/>
  <c r="N1526" i="15"/>
  <c r="N2062" i="15"/>
  <c r="N1523" i="15"/>
  <c r="N2059" i="15"/>
  <c r="E1706" i="15"/>
  <c r="E2025" i="15"/>
  <c r="E1704" i="15"/>
  <c r="E2023" i="15"/>
  <c r="B1702" i="15"/>
  <c r="B2021" i="15"/>
  <c r="E1712" i="15"/>
  <c r="E2031" i="15"/>
  <c r="E1703" i="15"/>
  <c r="E2022" i="15"/>
  <c r="B1703" i="15"/>
  <c r="B2022" i="15"/>
  <c r="B1704" i="15"/>
  <c r="B2023" i="15"/>
  <c r="B1705" i="15"/>
  <c r="B2024" i="15"/>
  <c r="E1705" i="15"/>
  <c r="E2024" i="15"/>
  <c r="H1498" i="15"/>
  <c r="H1853" i="15"/>
  <c r="H1499" i="15"/>
  <c r="H1854" i="15"/>
  <c r="B1718" i="15"/>
  <c r="B1852" i="15"/>
  <c r="B1717" i="15"/>
  <c r="B1851" i="15"/>
  <c r="B1714" i="15"/>
  <c r="B1848" i="15"/>
  <c r="B1713" i="15"/>
  <c r="B1847" i="15"/>
  <c r="B1716" i="15"/>
  <c r="B1850" i="15"/>
  <c r="B1715" i="15"/>
  <c r="B1849" i="15"/>
  <c r="O1370" i="15"/>
  <c r="O1530" i="15"/>
  <c r="H755" i="15"/>
  <c r="H1437" i="15"/>
  <c r="H756" i="15"/>
  <c r="H1438" i="15"/>
  <c r="B754" i="15"/>
  <c r="B1353" i="15"/>
  <c r="B750" i="15"/>
  <c r="B1352" i="15"/>
  <c r="N789" i="15"/>
  <c r="N1367" i="15"/>
  <c r="N787" i="15"/>
  <c r="N1364" i="15"/>
  <c r="E982" i="15"/>
  <c r="E1271" i="15"/>
  <c r="B980" i="15"/>
  <c r="B1270" i="15"/>
  <c r="E990" i="15"/>
  <c r="E1278" i="15"/>
  <c r="E984" i="15"/>
  <c r="E1272" i="15"/>
  <c r="B752" i="15"/>
  <c r="B1279" i="15"/>
  <c r="B982" i="15"/>
  <c r="B1271" i="15"/>
  <c r="B981" i="15"/>
  <c r="B1150" i="15"/>
  <c r="E983" i="15"/>
  <c r="E1151" i="15"/>
  <c r="E981" i="15"/>
  <c r="E1150" i="15"/>
  <c r="B983" i="15"/>
  <c r="B1151" i="15"/>
  <c r="B753" i="15"/>
  <c r="B1114" i="15"/>
  <c r="B751" i="15"/>
  <c r="B1113" i="15"/>
  <c r="B749" i="15"/>
  <c r="B1112" i="15"/>
  <c r="O449" i="15"/>
  <c r="O794" i="15"/>
  <c r="B22" i="15"/>
  <c r="B674" i="15"/>
  <c r="B21" i="15"/>
  <c r="B673" i="15"/>
  <c r="E31" i="15"/>
  <c r="E683" i="15"/>
  <c r="E24" i="15"/>
  <c r="E676" i="15"/>
  <c r="E23" i="15"/>
  <c r="E675" i="15"/>
  <c r="E25" i="15"/>
  <c r="E677" i="15"/>
  <c r="E22" i="15"/>
  <c r="E674" i="15"/>
  <c r="B23" i="15"/>
  <c r="B675" i="15"/>
  <c r="B24" i="15"/>
  <c r="B676" i="15"/>
  <c r="H39" i="15"/>
  <c r="H685" i="15"/>
  <c r="H38" i="15"/>
  <c r="H684" i="15"/>
  <c r="N97" i="15"/>
  <c r="N446" i="15"/>
  <c r="N94" i="15"/>
  <c r="N443" i="15"/>
  <c r="B34" i="15"/>
  <c r="B418" i="15"/>
  <c r="B33" i="15"/>
  <c r="B417" i="15"/>
  <c r="B35" i="15"/>
  <c r="B419" i="15"/>
  <c r="B37" i="15"/>
  <c r="B421" i="15"/>
  <c r="B32" i="15"/>
  <c r="B416" i="15"/>
  <c r="B36" i="15"/>
  <c r="B420" i="15"/>
  <c r="DJ416" i="7"/>
  <c r="O116" i="15"/>
  <c r="DE76" i="7"/>
  <c r="DD416" i="7"/>
  <c r="DK416" i="7"/>
  <c r="DL416" i="7"/>
  <c r="DH37" i="7"/>
  <c r="DI37" i="7"/>
  <c r="DE49" i="7"/>
  <c r="DD45" i="7"/>
  <c r="DH46" i="7"/>
  <c r="DI46" i="7"/>
  <c r="DH43" i="7"/>
  <c r="CQ41" i="7"/>
  <c r="DD46" i="7"/>
  <c r="CU39" i="7"/>
  <c r="CV39" i="7"/>
  <c r="CR51" i="7"/>
  <c r="K3230" i="15" s="1"/>
  <c r="CU35" i="7"/>
  <c r="CV35" i="7"/>
  <c r="DD198" i="7"/>
  <c r="CU132" i="7"/>
  <c r="CV132" i="7"/>
  <c r="CE132" i="7"/>
  <c r="CD130" i="7"/>
  <c r="CD341" i="7"/>
  <c r="CH349" i="7"/>
  <c r="CV41" i="7"/>
  <c r="CU41" i="7"/>
  <c r="CH412" i="7"/>
  <c r="CI412" i="7"/>
  <c r="DH72" i="7"/>
  <c r="DI72" i="7"/>
  <c r="DA358" i="7"/>
  <c r="N3242" i="15" s="1"/>
  <c r="CU343" i="7"/>
  <c r="CV343" i="7"/>
  <c r="DD197" i="7"/>
  <c r="CH49" i="7"/>
  <c r="CI49" i="7"/>
  <c r="CH413" i="7"/>
  <c r="CI413" i="7"/>
  <c r="DI199" i="7"/>
  <c r="CN52" i="7"/>
  <c r="H3231" i="15" s="1"/>
  <c r="CQ46" i="7"/>
  <c r="DH36" i="7"/>
  <c r="DI36" i="7"/>
  <c r="CU36" i="7"/>
  <c r="CV36" i="7"/>
  <c r="CR48" i="7"/>
  <c r="K3227" i="15" s="1"/>
  <c r="CI340" i="7"/>
  <c r="CH340" i="7"/>
  <c r="CV129" i="7"/>
  <c r="CU129" i="7"/>
  <c r="CE129" i="7"/>
  <c r="E2922" i="15" s="1"/>
  <c r="CI75" i="7"/>
  <c r="CH75" i="7"/>
  <c r="CD351" i="7"/>
  <c r="CH351" i="7"/>
  <c r="CI351" i="7"/>
  <c r="CV74" i="7"/>
  <c r="CU74" i="7"/>
  <c r="CH415" i="7"/>
  <c r="CI415" i="7"/>
  <c r="DA359" i="7"/>
  <c r="CV344" i="7"/>
  <c r="CU344" i="7"/>
  <c r="CE131" i="7"/>
  <c r="E2924" i="15" s="1"/>
  <c r="CU131" i="7"/>
  <c r="DH73" i="7"/>
  <c r="CD76" i="7"/>
  <c r="DA356" i="7"/>
  <c r="CU342" i="7"/>
  <c r="CV342" i="7"/>
  <c r="DI200" i="7"/>
  <c r="CR200" i="7"/>
  <c r="K3099" i="15" s="1"/>
  <c r="CH50" i="7"/>
  <c r="CI50" i="7"/>
  <c r="DH44" i="7"/>
  <c r="CQ73" i="7"/>
  <c r="CH48" i="7"/>
  <c r="CI48" i="7"/>
  <c r="CU40" i="7"/>
  <c r="CV40" i="7"/>
  <c r="CR52" i="7"/>
  <c r="K3231" i="15" s="1"/>
  <c r="CI341" i="7"/>
  <c r="CH341" i="7"/>
  <c r="CU130" i="7"/>
  <c r="CE130" i="7"/>
  <c r="CV130" i="7"/>
  <c r="DH71" i="7"/>
  <c r="DI71" i="7"/>
  <c r="CI352" i="7"/>
  <c r="CH352" i="7"/>
  <c r="DI400" i="7"/>
  <c r="CV44" i="7"/>
  <c r="CU44" i="7"/>
  <c r="CU271" i="7"/>
  <c r="CV271" i="7"/>
  <c r="CD51" i="7"/>
  <c r="CQ344" i="7"/>
  <c r="DD408" i="7"/>
  <c r="CN50" i="7"/>
  <c r="H3229" i="15" s="1"/>
  <c r="CQ44" i="7"/>
  <c r="DH38" i="7"/>
  <c r="DI38" i="7"/>
  <c r="DE50" i="7"/>
  <c r="CD75" i="7"/>
  <c r="CQ42" i="7"/>
  <c r="DI407" i="7"/>
  <c r="DH407" i="7"/>
  <c r="CU71" i="7"/>
  <c r="CV71" i="7"/>
  <c r="DE339" i="7"/>
  <c r="CI339" i="7"/>
  <c r="CH339" i="7"/>
  <c r="DH42" i="7"/>
  <c r="CI348" i="7"/>
  <c r="CH348" i="7"/>
  <c r="CV45" i="7"/>
  <c r="CU45" i="7"/>
  <c r="CH47" i="7"/>
  <c r="CI47" i="7"/>
  <c r="CI52" i="7"/>
  <c r="CH52" i="7"/>
  <c r="DH74" i="7"/>
  <c r="DI73" i="7"/>
  <c r="CQ43" i="7"/>
  <c r="CN49" i="7"/>
  <c r="H3228" i="15" s="1"/>
  <c r="CD128" i="7"/>
  <c r="DI406" i="7"/>
  <c r="DH406" i="7"/>
  <c r="CR49" i="7"/>
  <c r="K3228" i="15" s="1"/>
  <c r="CU37" i="7"/>
  <c r="DI44" i="7"/>
  <c r="DD404" i="7"/>
  <c r="CD129" i="7"/>
  <c r="CI353" i="7"/>
  <c r="CH353" i="7"/>
  <c r="CD47" i="7"/>
  <c r="CU73" i="7"/>
  <c r="CV73" i="7"/>
  <c r="CD49" i="7"/>
  <c r="CD133" i="7"/>
  <c r="CU43" i="7"/>
  <c r="CV43" i="7"/>
  <c r="CQ342" i="7"/>
  <c r="CQ45" i="7"/>
  <c r="CN51" i="7"/>
  <c r="H3230" i="15" s="1"/>
  <c r="CU38" i="7"/>
  <c r="CV38" i="7"/>
  <c r="CR50" i="7"/>
  <c r="K3229" i="15" s="1"/>
  <c r="DD412" i="7"/>
  <c r="CV133" i="7"/>
  <c r="CU133" i="7"/>
  <c r="CE133" i="7"/>
  <c r="E2926" i="15" s="1"/>
  <c r="CD50" i="7"/>
  <c r="CD339" i="7"/>
  <c r="CI350" i="7"/>
  <c r="CH350" i="7"/>
  <c r="CU42" i="7"/>
  <c r="CV42" i="7"/>
  <c r="DI43" i="7"/>
  <c r="CD132" i="7"/>
  <c r="CD340" i="7"/>
  <c r="CD353" i="7"/>
  <c r="DH40" i="7"/>
  <c r="DI40" i="7"/>
  <c r="CQ343" i="7"/>
  <c r="CQ74" i="7"/>
  <c r="CN76" i="7"/>
  <c r="H3235" i="15" s="1"/>
  <c r="CD48" i="7"/>
  <c r="DH271" i="7"/>
  <c r="CD131" i="7"/>
  <c r="CD52" i="7"/>
  <c r="CU72" i="7"/>
  <c r="CV72" i="7"/>
  <c r="DD413" i="7"/>
  <c r="CU128" i="7"/>
  <c r="CV128" i="7"/>
  <c r="CE128" i="7"/>
  <c r="CD348" i="7"/>
  <c r="DD405" i="7"/>
  <c r="CD350" i="7"/>
  <c r="CU46" i="7"/>
  <c r="CV46" i="7"/>
  <c r="CH51" i="7"/>
  <c r="CI51" i="7"/>
  <c r="CH76" i="7"/>
  <c r="CI76" i="7"/>
  <c r="DI74" i="7"/>
  <c r="DA355" i="7"/>
  <c r="N3240" i="15" s="1"/>
  <c r="B361" i="15" l="1"/>
  <c r="O3027" i="15"/>
  <c r="N3027" i="15"/>
  <c r="C3027" i="15"/>
  <c r="Q3108" i="15"/>
  <c r="B3027" i="15"/>
  <c r="D3027" i="15"/>
  <c r="E2923" i="15"/>
  <c r="E2925" i="15"/>
  <c r="E2921" i="15"/>
  <c r="K3264" i="15"/>
  <c r="L3264" i="15"/>
  <c r="M3264" i="15"/>
  <c r="J3264" i="15"/>
  <c r="H3264" i="15"/>
  <c r="I3264" i="15"/>
  <c r="Q2605" i="15"/>
  <c r="Q3228" i="15"/>
  <c r="Q2606" i="15"/>
  <c r="Q3229" i="15"/>
  <c r="N2674" i="15"/>
  <c r="N3243" i="15"/>
  <c r="N2671" i="15"/>
  <c r="N3241" i="15"/>
  <c r="Q2614" i="15"/>
  <c r="Q3235" i="15"/>
  <c r="K3218" i="15"/>
  <c r="L3218" i="15"/>
  <c r="M3218" i="15"/>
  <c r="D2917" i="15"/>
  <c r="B2917" i="15"/>
  <c r="C2917" i="15"/>
  <c r="I2522" i="15"/>
  <c r="J2522" i="15"/>
  <c r="H2522" i="15"/>
  <c r="Q2425" i="15"/>
  <c r="Q2654" i="15"/>
  <c r="N2278" i="15"/>
  <c r="N2673" i="15"/>
  <c r="N2275" i="15"/>
  <c r="N2670" i="15"/>
  <c r="D2405" i="15"/>
  <c r="B2522" i="15"/>
  <c r="C2405" i="15"/>
  <c r="H2254" i="15"/>
  <c r="H2605" i="15"/>
  <c r="H2252" i="15"/>
  <c r="H2603" i="15"/>
  <c r="K2254" i="15"/>
  <c r="K2605" i="15"/>
  <c r="K2250" i="15"/>
  <c r="K2601" i="15"/>
  <c r="K2253" i="15"/>
  <c r="K2604" i="15"/>
  <c r="B2405" i="15"/>
  <c r="K2252" i="15"/>
  <c r="K2603" i="15"/>
  <c r="H2251" i="15"/>
  <c r="H2602" i="15"/>
  <c r="H2253" i="15"/>
  <c r="H2604" i="15"/>
  <c r="K2416" i="15"/>
  <c r="M2522" i="15" s="1"/>
  <c r="K2619" i="15"/>
  <c r="D2522" i="15"/>
  <c r="F2405" i="15"/>
  <c r="K2251" i="15"/>
  <c r="K2602" i="15"/>
  <c r="H2260" i="15"/>
  <c r="H2611" i="15"/>
  <c r="C2522" i="15"/>
  <c r="E2410" i="15"/>
  <c r="E2613" i="15"/>
  <c r="E2405" i="15"/>
  <c r="G2405" i="15"/>
  <c r="E2413" i="15"/>
  <c r="E2616" i="15"/>
  <c r="E2409" i="15"/>
  <c r="E2612" i="15"/>
  <c r="E2414" i="15"/>
  <c r="E2617" i="15"/>
  <c r="E2411" i="15"/>
  <c r="E2614" i="15"/>
  <c r="E2412" i="15"/>
  <c r="E2615" i="15"/>
  <c r="Q2024" i="15"/>
  <c r="Q2253" i="15"/>
  <c r="N2064" i="15"/>
  <c r="N2279" i="15"/>
  <c r="N2061" i="15"/>
  <c r="N2276" i="15"/>
  <c r="Q2023" i="15"/>
  <c r="Q2252" i="15"/>
  <c r="Q2032" i="15"/>
  <c r="Q2261" i="15"/>
  <c r="G2191" i="15"/>
  <c r="F2191" i="15"/>
  <c r="E2191" i="15"/>
  <c r="C2191" i="15"/>
  <c r="B2191" i="15"/>
  <c r="D2191" i="15"/>
  <c r="N1524" i="15"/>
  <c r="N2060" i="15"/>
  <c r="Q1508" i="15"/>
  <c r="Q2044" i="15"/>
  <c r="N1527" i="15"/>
  <c r="N2063" i="15"/>
  <c r="H1703" i="15"/>
  <c r="H2022" i="15"/>
  <c r="H1704" i="15"/>
  <c r="H2023" i="15"/>
  <c r="K1706" i="15"/>
  <c r="K2025" i="15"/>
  <c r="K1704" i="15"/>
  <c r="K2023" i="15"/>
  <c r="H1706" i="15"/>
  <c r="H2025" i="15"/>
  <c r="H1705" i="15"/>
  <c r="H2024" i="15"/>
  <c r="K1703" i="15"/>
  <c r="K2022" i="15"/>
  <c r="H1712" i="15"/>
  <c r="H2031" i="15"/>
  <c r="K1702" i="15"/>
  <c r="K2021" i="15"/>
  <c r="K1705" i="15"/>
  <c r="K2024" i="15"/>
  <c r="D2006" i="15"/>
  <c r="B2006" i="15"/>
  <c r="C2006" i="15"/>
  <c r="I2006" i="15"/>
  <c r="H2006" i="15"/>
  <c r="J2006" i="15"/>
  <c r="D1843" i="15"/>
  <c r="B1843" i="15"/>
  <c r="K1499" i="15"/>
  <c r="K1685" i="15" s="1"/>
  <c r="K1854" i="15"/>
  <c r="C1843" i="15"/>
  <c r="E1713" i="15"/>
  <c r="E1847" i="15"/>
  <c r="E1714" i="15"/>
  <c r="E1848" i="15"/>
  <c r="E1718" i="15"/>
  <c r="E1852" i="15"/>
  <c r="E1715" i="15"/>
  <c r="E1849" i="15"/>
  <c r="E1716" i="15"/>
  <c r="E1850" i="15"/>
  <c r="E1717" i="15"/>
  <c r="E1851" i="15"/>
  <c r="Q1151" i="15"/>
  <c r="Q1703" i="15"/>
  <c r="Q1272" i="15"/>
  <c r="Q1704" i="15"/>
  <c r="Q1279" i="15"/>
  <c r="Q1712" i="15"/>
  <c r="N1366" i="15"/>
  <c r="N1525" i="15"/>
  <c r="N1369" i="15"/>
  <c r="N1528" i="15"/>
  <c r="J1461" i="15"/>
  <c r="I1461" i="15"/>
  <c r="H1461" i="15"/>
  <c r="J965" i="15"/>
  <c r="I965" i="15"/>
  <c r="H965" i="15"/>
  <c r="K756" i="15"/>
  <c r="L965" i="15" s="1"/>
  <c r="K1438" i="15"/>
  <c r="E754" i="15"/>
  <c r="E1353" i="15"/>
  <c r="D1435" i="15"/>
  <c r="C1435" i="15"/>
  <c r="B1435" i="15"/>
  <c r="E750" i="15"/>
  <c r="E1352" i="15"/>
  <c r="N788" i="15"/>
  <c r="N1365" i="15"/>
  <c r="N790" i="15"/>
  <c r="N1368" i="15"/>
  <c r="B1350" i="15"/>
  <c r="D1350" i="15"/>
  <c r="C1350" i="15"/>
  <c r="E1107" i="15"/>
  <c r="D1107" i="15"/>
  <c r="K980" i="15"/>
  <c r="K1270" i="15"/>
  <c r="H984" i="15"/>
  <c r="H1272" i="15"/>
  <c r="F1107" i="15"/>
  <c r="H990" i="15"/>
  <c r="H1278" i="15"/>
  <c r="H982" i="15"/>
  <c r="H1271" i="15"/>
  <c r="K984" i="15"/>
  <c r="K1272" i="15"/>
  <c r="K982" i="15"/>
  <c r="K1271" i="15"/>
  <c r="G1107" i="15"/>
  <c r="E752" i="15"/>
  <c r="E1279" i="15"/>
  <c r="G1350" i="15" s="1"/>
  <c r="B1107" i="15"/>
  <c r="C1107" i="15"/>
  <c r="E1262" i="15"/>
  <c r="G1262" i="15"/>
  <c r="F1262" i="15"/>
  <c r="D1262" i="15"/>
  <c r="C1262" i="15"/>
  <c r="B1262" i="15"/>
  <c r="K981" i="15"/>
  <c r="K1150" i="15"/>
  <c r="K983" i="15"/>
  <c r="K1151" i="15"/>
  <c r="H981" i="15"/>
  <c r="H1150" i="15"/>
  <c r="H983" i="15"/>
  <c r="H1151" i="15"/>
  <c r="B1144" i="15"/>
  <c r="C1144" i="15"/>
  <c r="D1144" i="15"/>
  <c r="Q772" i="15"/>
  <c r="Q1120" i="15"/>
  <c r="D965" i="15"/>
  <c r="B965" i="15"/>
  <c r="C965" i="15"/>
  <c r="E753" i="15"/>
  <c r="E1114" i="15"/>
  <c r="E749" i="15"/>
  <c r="E1112" i="15"/>
  <c r="E751" i="15"/>
  <c r="E1113" i="15"/>
  <c r="Q683" i="15"/>
  <c r="Q991" i="15"/>
  <c r="N445" i="15"/>
  <c r="N1000" i="15"/>
  <c r="Q674" i="15"/>
  <c r="Q982" i="15"/>
  <c r="Q675" i="15"/>
  <c r="Q983" i="15"/>
  <c r="N448" i="15"/>
  <c r="N1001" i="15"/>
  <c r="F747" i="15"/>
  <c r="G747" i="15"/>
  <c r="E747" i="15"/>
  <c r="B747" i="15"/>
  <c r="C747" i="15"/>
  <c r="D747" i="15"/>
  <c r="H23" i="15"/>
  <c r="H675" i="15"/>
  <c r="K23" i="15"/>
  <c r="K675" i="15"/>
  <c r="H24" i="15"/>
  <c r="H676" i="15"/>
  <c r="K39" i="15"/>
  <c r="K685" i="15"/>
  <c r="K22" i="15"/>
  <c r="K674" i="15"/>
  <c r="K25" i="15"/>
  <c r="K677" i="15"/>
  <c r="K21" i="15"/>
  <c r="K673" i="15"/>
  <c r="K24" i="15"/>
  <c r="K676" i="15"/>
  <c r="H22" i="15"/>
  <c r="H674" i="15"/>
  <c r="H31" i="15"/>
  <c r="H683" i="15"/>
  <c r="H25" i="15"/>
  <c r="H677" i="15"/>
  <c r="Q79" i="15"/>
  <c r="Q693" i="15"/>
  <c r="D602" i="15"/>
  <c r="C602" i="15"/>
  <c r="B602" i="15"/>
  <c r="N98" i="15"/>
  <c r="N447" i="15"/>
  <c r="N95" i="15"/>
  <c r="N444" i="15"/>
  <c r="C361" i="15"/>
  <c r="D361" i="15"/>
  <c r="E32" i="15"/>
  <c r="E416" i="15"/>
  <c r="E34" i="15"/>
  <c r="E418" i="15"/>
  <c r="E35" i="15"/>
  <c r="E419" i="15"/>
  <c r="E37" i="15"/>
  <c r="E421" i="15"/>
  <c r="E33" i="15"/>
  <c r="E417" i="15"/>
  <c r="E36" i="15"/>
  <c r="E420" i="15"/>
  <c r="Q25" i="15"/>
  <c r="Q26" i="15"/>
  <c r="N99" i="15"/>
  <c r="N96" i="15"/>
  <c r="Q34" i="15"/>
  <c r="DF339" i="7"/>
  <c r="DH352" i="7"/>
  <c r="CH129" i="7"/>
  <c r="CI129" i="7"/>
  <c r="DH76" i="7"/>
  <c r="CU415" i="7"/>
  <c r="DH197" i="7"/>
  <c r="DI197" i="7"/>
  <c r="CI133" i="7"/>
  <c r="CH133" i="7"/>
  <c r="CU49" i="7"/>
  <c r="CV49" i="7"/>
  <c r="CD343" i="7"/>
  <c r="CV52" i="7"/>
  <c r="CU52" i="7"/>
  <c r="CQ47" i="7"/>
  <c r="DD350" i="7"/>
  <c r="DH52" i="7"/>
  <c r="DI52" i="7"/>
  <c r="DD41" i="7"/>
  <c r="DI353" i="7"/>
  <c r="DH353" i="7"/>
  <c r="CV349" i="7"/>
  <c r="CU349" i="7"/>
  <c r="DH41" i="7"/>
  <c r="DD74" i="7"/>
  <c r="DH198" i="7"/>
  <c r="DI198" i="7"/>
  <c r="DH341" i="7"/>
  <c r="DH349" i="7"/>
  <c r="CQ76" i="7"/>
  <c r="DH39" i="7"/>
  <c r="DI39" i="7"/>
  <c r="DE51" i="7"/>
  <c r="DH35" i="7"/>
  <c r="DI35" i="7"/>
  <c r="CI354" i="7"/>
  <c r="DD42" i="7"/>
  <c r="CU350" i="7"/>
  <c r="CV350" i="7"/>
  <c r="DI339" i="7"/>
  <c r="CV75" i="7"/>
  <c r="CU75" i="7"/>
  <c r="CD344" i="7"/>
  <c r="DD351" i="7"/>
  <c r="DH340" i="7"/>
  <c r="DH49" i="7"/>
  <c r="DD48" i="7"/>
  <c r="DI348" i="7"/>
  <c r="DH348" i="7"/>
  <c r="CU76" i="7"/>
  <c r="CV76" i="7"/>
  <c r="DD43" i="7"/>
  <c r="CI357" i="7"/>
  <c r="CI342" i="7"/>
  <c r="CH342" i="7"/>
  <c r="CV351" i="7"/>
  <c r="CU351" i="7"/>
  <c r="DD75" i="7"/>
  <c r="CQ352" i="7"/>
  <c r="CU48" i="7"/>
  <c r="CV48" i="7"/>
  <c r="DD44" i="7"/>
  <c r="DI50" i="7"/>
  <c r="DD353" i="7"/>
  <c r="DD52" i="7"/>
  <c r="CH343" i="7"/>
  <c r="CI343" i="7"/>
  <c r="CQ49" i="7"/>
  <c r="CV352" i="7"/>
  <c r="CU352" i="7"/>
  <c r="DI42" i="7"/>
  <c r="DH50" i="7"/>
  <c r="CQ349" i="7"/>
  <c r="CV200" i="7"/>
  <c r="DA76" i="7"/>
  <c r="CV47" i="7"/>
  <c r="CU47" i="7"/>
  <c r="DD51" i="7"/>
  <c r="CD352" i="7"/>
  <c r="DI352" i="7"/>
  <c r="DD341" i="7"/>
  <c r="CH128" i="7"/>
  <c r="CI128" i="7"/>
  <c r="DI350" i="7"/>
  <c r="DH350" i="7"/>
  <c r="CH344" i="7"/>
  <c r="CI344" i="7"/>
  <c r="DD73" i="7"/>
  <c r="CU348" i="7"/>
  <c r="CV348" i="7"/>
  <c r="CQ48" i="7"/>
  <c r="CV347" i="7"/>
  <c r="CU347" i="7"/>
  <c r="CD349" i="7"/>
  <c r="CH130" i="7"/>
  <c r="CI130" i="7"/>
  <c r="CV199" i="7"/>
  <c r="CU345" i="7"/>
  <c r="CV345" i="7"/>
  <c r="DH75" i="7"/>
  <c r="DI75" i="7"/>
  <c r="DH270" i="7"/>
  <c r="DI270" i="7"/>
  <c r="DD340" i="7"/>
  <c r="DD339" i="7"/>
  <c r="CU50" i="7"/>
  <c r="CV50" i="7"/>
  <c r="CQ51" i="7"/>
  <c r="DH45" i="7"/>
  <c r="DI45" i="7"/>
  <c r="DD47" i="7"/>
  <c r="CU353" i="7"/>
  <c r="CV353" i="7"/>
  <c r="CQ50" i="7"/>
  <c r="CU346" i="7"/>
  <c r="CV346" i="7"/>
  <c r="CD342" i="7"/>
  <c r="CQ75" i="7"/>
  <c r="CH131" i="7"/>
  <c r="CI131" i="7"/>
  <c r="DH48" i="7"/>
  <c r="DI48" i="7"/>
  <c r="CQ52" i="7"/>
  <c r="CI349" i="7"/>
  <c r="CH132" i="7"/>
  <c r="CI132" i="7"/>
  <c r="CU51" i="7"/>
  <c r="CV51" i="7"/>
  <c r="E3027" i="15" l="1"/>
  <c r="R3108" i="15"/>
  <c r="G3027" i="15"/>
  <c r="F3027" i="15"/>
  <c r="Q2607" i="15"/>
  <c r="Q3230" i="15"/>
  <c r="N2614" i="15"/>
  <c r="N2917" i="15" s="1"/>
  <c r="N3235" i="15"/>
  <c r="G2917" i="15"/>
  <c r="E2917" i="15"/>
  <c r="F2917" i="15"/>
  <c r="L2917" i="15"/>
  <c r="M2917" i="15"/>
  <c r="K2917" i="15"/>
  <c r="L2522" i="15"/>
  <c r="K2522" i="15"/>
  <c r="K2405" i="15"/>
  <c r="R2425" i="15"/>
  <c r="R2654" i="15"/>
  <c r="M2405" i="15"/>
  <c r="L2405" i="15"/>
  <c r="F2522" i="15"/>
  <c r="G2522" i="15"/>
  <c r="E2522" i="15"/>
  <c r="Q2025" i="15"/>
  <c r="Q2254" i="15"/>
  <c r="N2032" i="15"/>
  <c r="N2261" i="15"/>
  <c r="L2191" i="15"/>
  <c r="M2191" i="15"/>
  <c r="K2191" i="15"/>
  <c r="J1843" i="15"/>
  <c r="L1843" i="15"/>
  <c r="R1508" i="15"/>
  <c r="R2044" i="15"/>
  <c r="I1843" i="15"/>
  <c r="H1843" i="15"/>
  <c r="K1843" i="15"/>
  <c r="M1843" i="15"/>
  <c r="F2006" i="15"/>
  <c r="G2006" i="15"/>
  <c r="E2006" i="15"/>
  <c r="L1685" i="15"/>
  <c r="K2006" i="15"/>
  <c r="L2006" i="15"/>
  <c r="M2006" i="15"/>
  <c r="M1685" i="15"/>
  <c r="E1843" i="15"/>
  <c r="F1843" i="15"/>
  <c r="G1843" i="15"/>
  <c r="S1350" i="15"/>
  <c r="R1350" i="15"/>
  <c r="Q1350" i="15"/>
  <c r="N1685" i="15"/>
  <c r="Q1152" i="15"/>
  <c r="Q1262" i="15" s="1"/>
  <c r="Q1705" i="15"/>
  <c r="R1843" i="15" s="1"/>
  <c r="N1279" i="15"/>
  <c r="P1350" i="15" s="1"/>
  <c r="N1712" i="15"/>
  <c r="O1685" i="15"/>
  <c r="P1685" i="15"/>
  <c r="K965" i="15"/>
  <c r="O965" i="15"/>
  <c r="M1461" i="15"/>
  <c r="L1461" i="15"/>
  <c r="K1461" i="15"/>
  <c r="M965" i="15"/>
  <c r="N1435" i="15"/>
  <c r="P1435" i="15"/>
  <c r="O1435" i="15"/>
  <c r="G1435" i="15"/>
  <c r="F1435" i="15"/>
  <c r="E1435" i="15"/>
  <c r="P965" i="15"/>
  <c r="N965" i="15"/>
  <c r="E1350" i="15"/>
  <c r="F1350" i="15"/>
  <c r="M1350" i="15"/>
  <c r="K1350" i="15"/>
  <c r="L1350" i="15"/>
  <c r="I1350" i="15"/>
  <c r="H1350" i="15"/>
  <c r="J1350" i="15"/>
  <c r="K1107" i="15"/>
  <c r="L1107" i="15"/>
  <c r="M1107" i="15"/>
  <c r="K1262" i="15"/>
  <c r="M1262" i="15"/>
  <c r="L1262" i="15"/>
  <c r="R1144" i="15"/>
  <c r="S1144" i="15"/>
  <c r="Q1144" i="15"/>
  <c r="F1144" i="15"/>
  <c r="E1144" i="15"/>
  <c r="G1144" i="15"/>
  <c r="R772" i="15"/>
  <c r="R1120" i="15"/>
  <c r="G965" i="15"/>
  <c r="F965" i="15"/>
  <c r="E965" i="15"/>
  <c r="N683" i="15"/>
  <c r="P747" i="15" s="1"/>
  <c r="N991" i="15"/>
  <c r="Q676" i="15"/>
  <c r="S747" i="15" s="1"/>
  <c r="Q984" i="15"/>
  <c r="K747" i="15"/>
  <c r="M747" i="15"/>
  <c r="L747" i="15"/>
  <c r="K361" i="15"/>
  <c r="M361" i="15"/>
  <c r="L361" i="15"/>
  <c r="R79" i="15"/>
  <c r="R693" i="15"/>
  <c r="P602" i="15"/>
  <c r="G602" i="15"/>
  <c r="F602" i="15"/>
  <c r="E602" i="15"/>
  <c r="N602" i="15"/>
  <c r="O602" i="15"/>
  <c r="G361" i="15"/>
  <c r="F361" i="15"/>
  <c r="E361" i="15"/>
  <c r="Q27" i="15"/>
  <c r="N34" i="15"/>
  <c r="DH339" i="7"/>
  <c r="DJ339" i="7"/>
  <c r="DL339" i="7"/>
  <c r="DK339" i="7"/>
  <c r="CI359" i="7"/>
  <c r="DD49" i="7"/>
  <c r="CI347" i="7"/>
  <c r="CH347" i="7"/>
  <c r="CD347" i="7"/>
  <c r="DD343" i="7"/>
  <c r="CV357" i="7"/>
  <c r="CD345" i="7"/>
  <c r="DH343" i="7"/>
  <c r="DH342" i="7"/>
  <c r="DI342" i="7"/>
  <c r="DE357" i="7"/>
  <c r="CV354" i="7"/>
  <c r="DI49" i="7"/>
  <c r="CI346" i="7"/>
  <c r="CH346" i="7"/>
  <c r="DD349" i="7"/>
  <c r="DE358" i="7"/>
  <c r="DE356" i="7"/>
  <c r="DE355" i="7"/>
  <c r="DI349" i="7"/>
  <c r="CH345" i="7"/>
  <c r="CI345" i="7"/>
  <c r="DH344" i="7"/>
  <c r="DD76" i="7"/>
  <c r="CI355" i="7"/>
  <c r="DD344" i="7"/>
  <c r="DE354" i="7"/>
  <c r="DH51" i="7"/>
  <c r="DI51" i="7"/>
  <c r="DI76" i="7"/>
  <c r="CD346" i="7"/>
  <c r="DD415" i="7"/>
  <c r="CN415" i="7"/>
  <c r="H3114" i="15" s="1"/>
  <c r="DI415" i="7"/>
  <c r="DH351" i="7"/>
  <c r="DI351" i="7"/>
  <c r="CI356" i="7"/>
  <c r="DD50" i="7"/>
  <c r="DD342" i="7"/>
  <c r="DD352" i="7"/>
  <c r="CI358" i="7"/>
  <c r="DH47" i="7"/>
  <c r="DI47" i="7"/>
  <c r="O361" i="15" l="1"/>
  <c r="P361" i="15"/>
  <c r="P2191" i="15"/>
  <c r="N2191" i="15"/>
  <c r="O3264" i="15"/>
  <c r="N3264" i="15"/>
  <c r="P3264" i="15"/>
  <c r="P2917" i="15"/>
  <c r="O2917" i="15"/>
  <c r="Q2670" i="15"/>
  <c r="Q3240" i="15"/>
  <c r="Q2671" i="15"/>
  <c r="Q3241" i="15"/>
  <c r="Q2673" i="15"/>
  <c r="Q3242" i="15"/>
  <c r="I3218" i="15"/>
  <c r="H3218" i="15"/>
  <c r="J3218" i="15"/>
  <c r="Q2672" i="15"/>
  <c r="Q2943" i="15"/>
  <c r="Q2669" i="15"/>
  <c r="Q2942" i="15"/>
  <c r="H2267" i="15"/>
  <c r="H2405" i="15" s="1"/>
  <c r="H2652" i="15"/>
  <c r="P2405" i="15"/>
  <c r="O2405" i="15"/>
  <c r="N2405" i="15"/>
  <c r="O2191" i="15"/>
  <c r="Q2062" i="15"/>
  <c r="Q2277" i="15"/>
  <c r="Q2063" i="15"/>
  <c r="Q2278" i="15"/>
  <c r="Q2059" i="15"/>
  <c r="Q2274" i="15"/>
  <c r="Q2061" i="15"/>
  <c r="Q2276" i="15"/>
  <c r="Q2060" i="15"/>
  <c r="Q2275" i="15"/>
  <c r="H1522" i="15"/>
  <c r="J1685" i="15" s="1"/>
  <c r="H2058" i="15"/>
  <c r="N1350" i="15"/>
  <c r="Q1843" i="15"/>
  <c r="O1843" i="15"/>
  <c r="N1843" i="15"/>
  <c r="P1843" i="15"/>
  <c r="S1843" i="15"/>
  <c r="O1350" i="15"/>
  <c r="R1262" i="15"/>
  <c r="S1262" i="15"/>
  <c r="Q1368" i="15"/>
  <c r="Q1527" i="15"/>
  <c r="Q1365" i="15"/>
  <c r="Q1524" i="15"/>
  <c r="Q1364" i="15"/>
  <c r="Q1523" i="15"/>
  <c r="Q1367" i="15"/>
  <c r="Q1526" i="15"/>
  <c r="Q1366" i="15"/>
  <c r="Q1525" i="15"/>
  <c r="H993" i="15"/>
  <c r="H1107" i="15" s="1"/>
  <c r="H1178" i="15"/>
  <c r="Q747" i="15"/>
  <c r="O1107" i="15"/>
  <c r="N1107" i="15"/>
  <c r="P1107" i="15"/>
  <c r="R747" i="15"/>
  <c r="O747" i="15"/>
  <c r="N747" i="15"/>
  <c r="Q445" i="15"/>
  <c r="Q1000" i="15"/>
  <c r="Q444" i="15"/>
  <c r="Q788" i="15"/>
  <c r="Q446" i="15"/>
  <c r="Q789" i="15"/>
  <c r="Q447" i="15"/>
  <c r="Q790" i="15"/>
  <c r="Q443" i="15"/>
  <c r="Q787" i="15"/>
  <c r="H80" i="15"/>
  <c r="I361" i="15" s="1"/>
  <c r="H715" i="15"/>
  <c r="N361" i="15"/>
  <c r="Q95" i="15"/>
  <c r="Q97" i="15"/>
  <c r="Q96" i="15"/>
  <c r="Q98" i="15"/>
  <c r="Q94" i="15"/>
  <c r="CD474" i="7"/>
  <c r="CB466" i="7" s="1"/>
  <c r="C3078" i="15" s="1"/>
  <c r="DI358" i="7"/>
  <c r="DD346" i="7"/>
  <c r="DE417" i="7"/>
  <c r="DE416" i="7"/>
  <c r="CV359" i="7"/>
  <c r="DI356" i="7"/>
  <c r="DI354" i="7"/>
  <c r="DH345" i="7"/>
  <c r="DI345" i="7"/>
  <c r="DI357" i="7"/>
  <c r="CH416" i="7"/>
  <c r="CI416" i="7"/>
  <c r="DH347" i="7"/>
  <c r="DE359" i="7"/>
  <c r="CH417" i="7"/>
  <c r="CI417" i="7"/>
  <c r="CQ415" i="7"/>
  <c r="CV415" i="7"/>
  <c r="CV355" i="7"/>
  <c r="CV356" i="7"/>
  <c r="DH346" i="7"/>
  <c r="DD345" i="7"/>
  <c r="DI355" i="7"/>
  <c r="CV358" i="7"/>
  <c r="AP354" i="15" l="1"/>
  <c r="AN354" i="15"/>
  <c r="AO354" i="15"/>
  <c r="Q2674" i="15"/>
  <c r="Q3243" i="15"/>
  <c r="R3264" i="15" s="1"/>
  <c r="Q2683" i="15"/>
  <c r="Q3123" i="15"/>
  <c r="I2405" i="15"/>
  <c r="J2405" i="15"/>
  <c r="Q2682" i="15"/>
  <c r="Q2954" i="15"/>
  <c r="R3027" i="15" s="1"/>
  <c r="I2917" i="15"/>
  <c r="J2917" i="15"/>
  <c r="H2917" i="15"/>
  <c r="C2197" i="15"/>
  <c r="C2576" i="15"/>
  <c r="Q2067" i="15"/>
  <c r="Q2455" i="15"/>
  <c r="Q2064" i="15"/>
  <c r="Q2279" i="15"/>
  <c r="Q2066" i="15"/>
  <c r="Q2281" i="15"/>
  <c r="H2191" i="15"/>
  <c r="J2191" i="15"/>
  <c r="I2191" i="15"/>
  <c r="H1685" i="15"/>
  <c r="I1685" i="15"/>
  <c r="C1186" i="15"/>
  <c r="C1535" i="15"/>
  <c r="Q1369" i="15"/>
  <c r="Q1528" i="15"/>
  <c r="Q1370" i="15"/>
  <c r="Q1530" i="15"/>
  <c r="Q1371" i="15"/>
  <c r="Q1531" i="15"/>
  <c r="I1107" i="15"/>
  <c r="J1107" i="15"/>
  <c r="J1262" i="15"/>
  <c r="H1262" i="15"/>
  <c r="I1262" i="15"/>
  <c r="Q448" i="15"/>
  <c r="Q1001" i="15"/>
  <c r="S1107" i="15" s="1"/>
  <c r="Q449" i="15"/>
  <c r="Q794" i="15"/>
  <c r="Q450" i="15"/>
  <c r="Q795" i="15"/>
  <c r="C100" i="15"/>
  <c r="C720" i="15"/>
  <c r="H747" i="15"/>
  <c r="J747" i="15"/>
  <c r="I747" i="15"/>
  <c r="H361" i="15"/>
  <c r="J361" i="15"/>
  <c r="Q117" i="15"/>
  <c r="Q99" i="15"/>
  <c r="Q116" i="15"/>
  <c r="DH416" i="7"/>
  <c r="DH417" i="7"/>
  <c r="CH474" i="7"/>
  <c r="CF469" i="7" s="1"/>
  <c r="F3080" i="15" s="1"/>
  <c r="CB465" i="7"/>
  <c r="C3077" i="15" s="1"/>
  <c r="CB463" i="7"/>
  <c r="CB467" i="7"/>
  <c r="C3079" i="15" s="1"/>
  <c r="CB462" i="7"/>
  <c r="CB469" i="7"/>
  <c r="C3080" i="15" s="1"/>
  <c r="CB468" i="7"/>
  <c r="CB464" i="7"/>
  <c r="C3076" i="15" s="1"/>
  <c r="CQ474" i="7"/>
  <c r="CO469" i="7" s="1"/>
  <c r="I3080" i="15" s="1"/>
  <c r="CB403" i="7"/>
  <c r="C2938" i="15" s="1"/>
  <c r="CB451" i="7"/>
  <c r="CB450" i="7"/>
  <c r="CB453" i="7"/>
  <c r="CB452" i="7"/>
  <c r="CB359" i="7"/>
  <c r="C3239" i="15" s="1"/>
  <c r="CB419" i="7"/>
  <c r="CB355" i="7"/>
  <c r="C3236" i="15" s="1"/>
  <c r="CB247" i="7"/>
  <c r="CB354" i="7"/>
  <c r="C2934" i="15" s="1"/>
  <c r="CB248" i="7"/>
  <c r="CB199" i="7"/>
  <c r="C3098" i="15" s="1"/>
  <c r="CB401" i="7"/>
  <c r="CB200" i="7"/>
  <c r="C3099" i="15" s="1"/>
  <c r="CB402" i="7"/>
  <c r="CB357" i="7"/>
  <c r="C2935" i="15" s="1"/>
  <c r="CB418" i="7"/>
  <c r="CB356" i="7"/>
  <c r="C3237" i="15" s="1"/>
  <c r="CB417" i="7"/>
  <c r="C3115" i="15" s="1"/>
  <c r="CB246" i="7"/>
  <c r="CB358" i="7"/>
  <c r="C3238" i="15" s="1"/>
  <c r="CB249" i="7"/>
  <c r="CV416" i="7"/>
  <c r="CU416" i="7"/>
  <c r="CU417" i="7"/>
  <c r="CV417" i="7"/>
  <c r="DI359" i="7"/>
  <c r="DI416" i="7"/>
  <c r="DI417" i="7"/>
  <c r="Q361" i="15" l="1"/>
  <c r="Q3264" i="15"/>
  <c r="S3264" i="15"/>
  <c r="Q2917" i="15"/>
  <c r="R3218" i="15"/>
  <c r="S3218" i="15"/>
  <c r="Q3218" i="15"/>
  <c r="C2667" i="15"/>
  <c r="C3117" i="15"/>
  <c r="C2573" i="15"/>
  <c r="C3075" i="15"/>
  <c r="C2572" i="15"/>
  <c r="C3074" i="15"/>
  <c r="C2626" i="15"/>
  <c r="C3031" i="15"/>
  <c r="C2656" i="15"/>
  <c r="C3034" i="15"/>
  <c r="C2663" i="15"/>
  <c r="C3039" i="15"/>
  <c r="C2655" i="15"/>
  <c r="C3033" i="15"/>
  <c r="C2624" i="15"/>
  <c r="C3029" i="15"/>
  <c r="C2664" i="15"/>
  <c r="C3040" i="15"/>
  <c r="C2661" i="15"/>
  <c r="C3037" i="15"/>
  <c r="C2625" i="15"/>
  <c r="C3030" i="15"/>
  <c r="C2662" i="15"/>
  <c r="C3038" i="15"/>
  <c r="C2627" i="15"/>
  <c r="C3032" i="15"/>
  <c r="S3027" i="15"/>
  <c r="Q3027" i="15"/>
  <c r="R2917" i="15"/>
  <c r="S2917" i="15"/>
  <c r="C2563" i="15"/>
  <c r="C2936" i="15"/>
  <c r="C2564" i="15"/>
  <c r="C2937" i="15"/>
  <c r="I2199" i="15"/>
  <c r="I2668" i="15"/>
  <c r="C2261" i="15"/>
  <c r="C2644" i="15"/>
  <c r="F2199" i="15"/>
  <c r="F2668" i="15"/>
  <c r="C2447" i="15"/>
  <c r="C2654" i="15"/>
  <c r="C2264" i="15"/>
  <c r="C2647" i="15"/>
  <c r="C2263" i="15"/>
  <c r="C2646" i="15"/>
  <c r="C2416" i="15"/>
  <c r="C2619" i="15"/>
  <c r="C2262" i="15"/>
  <c r="C2645" i="15"/>
  <c r="C2266" i="15"/>
  <c r="C2649" i="15"/>
  <c r="C2199" i="15"/>
  <c r="C2668" i="15"/>
  <c r="C2415" i="15"/>
  <c r="C2618" i="15"/>
  <c r="C2265" i="15"/>
  <c r="C2648" i="15"/>
  <c r="C2195" i="15"/>
  <c r="C2574" i="15"/>
  <c r="C2196" i="15"/>
  <c r="C2575" i="15"/>
  <c r="C2439" i="15"/>
  <c r="C2565" i="15"/>
  <c r="C2198" i="15"/>
  <c r="C2577" i="15"/>
  <c r="C2034" i="15"/>
  <c r="C2526" i="15"/>
  <c r="C2066" i="15"/>
  <c r="C2530" i="15"/>
  <c r="C2035" i="15"/>
  <c r="C2527" i="15"/>
  <c r="C2032" i="15"/>
  <c r="C2524" i="15"/>
  <c r="C2067" i="15"/>
  <c r="C2531" i="15"/>
  <c r="C2064" i="15"/>
  <c r="C2528" i="15"/>
  <c r="C2033" i="15"/>
  <c r="C2525" i="15"/>
  <c r="C2065" i="15"/>
  <c r="C2529" i="15"/>
  <c r="Q2522" i="15"/>
  <c r="S2522" i="15"/>
  <c r="R2522" i="15"/>
  <c r="S2191" i="15"/>
  <c r="C1860" i="15"/>
  <c r="C2438" i="15"/>
  <c r="C1871" i="15"/>
  <c r="C2448" i="15"/>
  <c r="C1859" i="15"/>
  <c r="C2437" i="15"/>
  <c r="Q2191" i="15"/>
  <c r="S2405" i="15"/>
  <c r="Q2405" i="15"/>
  <c r="R2405" i="15"/>
  <c r="R2191" i="15"/>
  <c r="C1526" i="15"/>
  <c r="C2270" i="15"/>
  <c r="C1525" i="15"/>
  <c r="C2269" i="15"/>
  <c r="C1531" i="15"/>
  <c r="C2193" i="15"/>
  <c r="C1532" i="15"/>
  <c r="C2194" i="15"/>
  <c r="C1518" i="15"/>
  <c r="C2054" i="15"/>
  <c r="C1524" i="15"/>
  <c r="C2060" i="15"/>
  <c r="C1520" i="15"/>
  <c r="C2056" i="15"/>
  <c r="C1521" i="15"/>
  <c r="C2057" i="15"/>
  <c r="C1519" i="15"/>
  <c r="C2055" i="15"/>
  <c r="C1517" i="15"/>
  <c r="C2053" i="15"/>
  <c r="C1516" i="15"/>
  <c r="C2052" i="15"/>
  <c r="C1499" i="15"/>
  <c r="C1854" i="15"/>
  <c r="C1725" i="15"/>
  <c r="C1861" i="15"/>
  <c r="C1498" i="15"/>
  <c r="C1853" i="15"/>
  <c r="C1281" i="15"/>
  <c r="C1724" i="15"/>
  <c r="C1171" i="15"/>
  <c r="C1723" i="15"/>
  <c r="Q1685" i="15"/>
  <c r="C1187" i="15"/>
  <c r="C1536" i="15"/>
  <c r="Q1435" i="15"/>
  <c r="C1185" i="15"/>
  <c r="C1534" i="15"/>
  <c r="S1685" i="15"/>
  <c r="F365" i="15"/>
  <c r="F1538" i="15"/>
  <c r="R1685" i="15"/>
  <c r="C1184" i="15"/>
  <c r="C1533" i="15"/>
  <c r="C1365" i="15"/>
  <c r="C1537" i="15"/>
  <c r="C365" i="15"/>
  <c r="C1538" i="15"/>
  <c r="I365" i="15"/>
  <c r="I1538" i="15"/>
  <c r="S1435" i="15"/>
  <c r="R1435" i="15"/>
  <c r="C1280" i="15"/>
  <c r="C1466" i="15"/>
  <c r="C1158" i="15"/>
  <c r="C1465" i="15"/>
  <c r="C1181" i="15"/>
  <c r="C1469" i="15"/>
  <c r="C1156" i="15"/>
  <c r="C1463" i="15"/>
  <c r="C1283" i="15"/>
  <c r="C1470" i="15"/>
  <c r="C1179" i="15"/>
  <c r="C1467" i="15"/>
  <c r="C1157" i="15"/>
  <c r="C1464" i="15"/>
  <c r="C1180" i="15"/>
  <c r="C1468" i="15"/>
  <c r="C994" i="15"/>
  <c r="C1440" i="15"/>
  <c r="C995" i="15"/>
  <c r="C1441" i="15"/>
  <c r="C755" i="15"/>
  <c r="C1437" i="15"/>
  <c r="C756" i="15"/>
  <c r="C1438" i="15"/>
  <c r="C776" i="15"/>
  <c r="C1358" i="15"/>
  <c r="C775" i="15"/>
  <c r="C1357" i="15"/>
  <c r="C774" i="15"/>
  <c r="C1355" i="15"/>
  <c r="C992" i="15"/>
  <c r="C1359" i="15"/>
  <c r="C773" i="15"/>
  <c r="C1354" i="15"/>
  <c r="C780" i="15"/>
  <c r="C1361" i="15"/>
  <c r="C991" i="15"/>
  <c r="C1356" i="15"/>
  <c r="C707" i="15"/>
  <c r="C1282" i="15"/>
  <c r="C716" i="15"/>
  <c r="C1182" i="15"/>
  <c r="C717" i="15"/>
  <c r="C1183" i="15"/>
  <c r="R1107" i="15"/>
  <c r="Q1107" i="15"/>
  <c r="R602" i="15"/>
  <c r="C438" i="15"/>
  <c r="C999" i="15"/>
  <c r="C439" i="15"/>
  <c r="C1000" i="15"/>
  <c r="C440" i="15"/>
  <c r="C1001" i="15"/>
  <c r="C437" i="15"/>
  <c r="C998" i="15"/>
  <c r="R965" i="15"/>
  <c r="S965" i="15"/>
  <c r="Q965" i="15"/>
  <c r="Q602" i="15"/>
  <c r="S602" i="15"/>
  <c r="C71" i="15"/>
  <c r="C706" i="15"/>
  <c r="C38" i="15"/>
  <c r="C684" i="15"/>
  <c r="C70" i="15"/>
  <c r="C705" i="15"/>
  <c r="C39" i="15"/>
  <c r="C685" i="15"/>
  <c r="C101" i="15"/>
  <c r="C721" i="15"/>
  <c r="C99" i="15"/>
  <c r="C719" i="15"/>
  <c r="C98" i="15"/>
  <c r="C718" i="15"/>
  <c r="C102" i="15"/>
  <c r="C647" i="15"/>
  <c r="C64" i="15"/>
  <c r="C427" i="15"/>
  <c r="C44" i="15"/>
  <c r="C422" i="15"/>
  <c r="C82" i="15"/>
  <c r="C434" i="15"/>
  <c r="C66" i="15"/>
  <c r="C429" i="15"/>
  <c r="C45" i="15"/>
  <c r="C423" i="15"/>
  <c r="C47" i="15"/>
  <c r="C425" i="15"/>
  <c r="C65" i="15"/>
  <c r="C428" i="15"/>
  <c r="C69" i="15"/>
  <c r="C432" i="15"/>
  <c r="C68" i="15"/>
  <c r="C431" i="15"/>
  <c r="C67" i="15"/>
  <c r="C430" i="15"/>
  <c r="C46" i="15"/>
  <c r="C424" i="15"/>
  <c r="C84" i="15"/>
  <c r="C364" i="15"/>
  <c r="C83" i="15"/>
  <c r="C363" i="15"/>
  <c r="S361" i="15"/>
  <c r="R361" i="15"/>
  <c r="C90" i="15"/>
  <c r="C91" i="15"/>
  <c r="C72" i="15"/>
  <c r="C103" i="15"/>
  <c r="C96" i="15"/>
  <c r="C97" i="15"/>
  <c r="C92" i="15"/>
  <c r="I103" i="15"/>
  <c r="C93" i="15"/>
  <c r="F103" i="15"/>
  <c r="DH474" i="7"/>
  <c r="DF469" i="7" s="1"/>
  <c r="R3080" i="15" s="1"/>
  <c r="CL468" i="7"/>
  <c r="CO359" i="7"/>
  <c r="CO418" i="7"/>
  <c r="I3033" i="15" s="1"/>
  <c r="CO355" i="7"/>
  <c r="CO356" i="7"/>
  <c r="CO402" i="7"/>
  <c r="I2937" i="15" s="1"/>
  <c r="CO248" i="7"/>
  <c r="I3031" i="15" s="1"/>
  <c r="CO358" i="7"/>
  <c r="CO247" i="7"/>
  <c r="I3030" i="15" s="1"/>
  <c r="CO200" i="7"/>
  <c r="CO403" i="7"/>
  <c r="I2938" i="15" s="1"/>
  <c r="CO249" i="7"/>
  <c r="I3032" i="15" s="1"/>
  <c r="CO199" i="7"/>
  <c r="CO357" i="7"/>
  <c r="CO401" i="7"/>
  <c r="I2936" i="15" s="1"/>
  <c r="CL469" i="7"/>
  <c r="CO246" i="7"/>
  <c r="I3029" i="15" s="1"/>
  <c r="CO354" i="7"/>
  <c r="CO419" i="7"/>
  <c r="I3034" i="15" s="1"/>
  <c r="CO451" i="7"/>
  <c r="CO453" i="7"/>
  <c r="CO466" i="7"/>
  <c r="I3078" i="15" s="1"/>
  <c r="CJ468" i="7"/>
  <c r="CK468" i="7"/>
  <c r="CO462" i="7"/>
  <c r="CO465" i="7"/>
  <c r="I3077" i="15" s="1"/>
  <c r="CO463" i="7"/>
  <c r="CO450" i="7"/>
  <c r="CO467" i="7"/>
  <c r="I3079" i="15" s="1"/>
  <c r="CU474" i="7"/>
  <c r="CS469" i="7" s="1"/>
  <c r="L3080" i="15" s="1"/>
  <c r="CO452" i="7"/>
  <c r="CO417" i="7"/>
  <c r="CO464" i="7"/>
  <c r="I3076" i="15" s="1"/>
  <c r="CK469" i="7"/>
  <c r="CJ469" i="7"/>
  <c r="CF467" i="7"/>
  <c r="CF466" i="7"/>
  <c r="CF465" i="7"/>
  <c r="CF463" i="7"/>
  <c r="CF464" i="7"/>
  <c r="CF462" i="7"/>
  <c r="CF453" i="7"/>
  <c r="F3040" i="15" s="1"/>
  <c r="CF452" i="7"/>
  <c r="F3039" i="15" s="1"/>
  <c r="CF451" i="7"/>
  <c r="F3038" i="15" s="1"/>
  <c r="CF450" i="7"/>
  <c r="F3037" i="15" s="1"/>
  <c r="CJ417" i="7"/>
  <c r="CL417" i="7"/>
  <c r="CK417" i="7"/>
  <c r="CF419" i="7"/>
  <c r="F3034" i="15" s="1"/>
  <c r="CF200" i="7"/>
  <c r="CF418" i="7"/>
  <c r="F3033" i="15" s="1"/>
  <c r="CF249" i="7"/>
  <c r="F3032" i="15" s="1"/>
  <c r="CF401" i="7"/>
  <c r="F2936" i="15" s="1"/>
  <c r="CF248" i="7"/>
  <c r="F3031" i="15" s="1"/>
  <c r="CF246" i="7"/>
  <c r="F3029" i="15" s="1"/>
  <c r="CF247" i="7"/>
  <c r="F3030" i="15" s="1"/>
  <c r="CF402" i="7"/>
  <c r="F2937" i="15" s="1"/>
  <c r="CF403" i="7"/>
  <c r="F2938" i="15" s="1"/>
  <c r="CF199" i="7"/>
  <c r="CF354" i="7"/>
  <c r="CF357" i="7"/>
  <c r="CF358" i="7"/>
  <c r="CF355" i="7"/>
  <c r="CF359" i="7"/>
  <c r="CF356" i="7"/>
  <c r="I2648" i="15" l="1"/>
  <c r="I3238" i="15"/>
  <c r="I2646" i="15"/>
  <c r="I3237" i="15"/>
  <c r="I2645" i="15"/>
  <c r="I3236" i="15"/>
  <c r="I2649" i="15"/>
  <c r="I3239" i="15"/>
  <c r="F2648" i="15"/>
  <c r="F3238" i="15"/>
  <c r="F2645" i="15"/>
  <c r="F3236" i="15"/>
  <c r="F2646" i="15"/>
  <c r="F3237" i="15"/>
  <c r="F2649" i="15"/>
  <c r="F3239" i="15"/>
  <c r="I2654" i="15"/>
  <c r="I3115" i="15"/>
  <c r="I2619" i="15"/>
  <c r="I3099" i="15"/>
  <c r="I2618" i="15"/>
  <c r="I3098" i="15"/>
  <c r="F2619" i="15"/>
  <c r="F3099" i="15"/>
  <c r="F2618" i="15"/>
  <c r="F3098" i="15"/>
  <c r="I2573" i="15"/>
  <c r="I3075" i="15"/>
  <c r="I2572" i="15"/>
  <c r="I3074" i="15"/>
  <c r="F2573" i="15"/>
  <c r="F3075" i="15"/>
  <c r="F2575" i="15"/>
  <c r="F3077" i="15"/>
  <c r="F2576" i="15"/>
  <c r="F3078" i="15"/>
  <c r="F2577" i="15"/>
  <c r="F3079" i="15"/>
  <c r="F2572" i="15"/>
  <c r="F3074" i="15"/>
  <c r="F2574" i="15"/>
  <c r="F3076" i="15"/>
  <c r="I2661" i="15"/>
  <c r="I3037" i="15"/>
  <c r="I2664" i="15"/>
  <c r="I3040" i="15"/>
  <c r="I2662" i="15"/>
  <c r="I3038" i="15"/>
  <c r="I2663" i="15"/>
  <c r="I3039" i="15"/>
  <c r="I2647" i="15"/>
  <c r="I2935" i="15"/>
  <c r="F2647" i="15"/>
  <c r="F2935" i="15"/>
  <c r="F2644" i="15"/>
  <c r="F2934" i="15"/>
  <c r="I2644" i="15"/>
  <c r="I2934" i="15"/>
  <c r="R2201" i="15"/>
  <c r="R2703" i="15"/>
  <c r="I2527" i="15"/>
  <c r="I2627" i="15"/>
  <c r="I2270" i="15"/>
  <c r="I2656" i="15"/>
  <c r="I2525" i="15"/>
  <c r="I2625" i="15"/>
  <c r="I2269" i="15"/>
  <c r="I2655" i="15"/>
  <c r="L2199" i="15"/>
  <c r="L2668" i="15"/>
  <c r="I2524" i="15"/>
  <c r="I2624" i="15"/>
  <c r="I2526" i="15"/>
  <c r="I2626" i="15"/>
  <c r="F2526" i="15"/>
  <c r="F2626" i="15"/>
  <c r="F2528" i="15"/>
  <c r="F2661" i="15"/>
  <c r="F2529" i="15"/>
  <c r="F2662" i="15"/>
  <c r="F2269" i="15"/>
  <c r="F2655" i="15"/>
  <c r="F2531" i="15"/>
  <c r="F2664" i="15"/>
  <c r="F2524" i="15"/>
  <c r="F2624" i="15"/>
  <c r="F2527" i="15"/>
  <c r="F2627" i="15"/>
  <c r="F2270" i="15"/>
  <c r="F2656" i="15"/>
  <c r="F2530" i="15"/>
  <c r="F2663" i="15"/>
  <c r="F2525" i="15"/>
  <c r="F2625" i="15"/>
  <c r="I2439" i="15"/>
  <c r="I2565" i="15"/>
  <c r="I2196" i="15"/>
  <c r="I2575" i="15"/>
  <c r="I2198" i="15"/>
  <c r="I2577" i="15"/>
  <c r="I2437" i="15"/>
  <c r="I2563" i="15"/>
  <c r="I2197" i="15"/>
  <c r="I2576" i="15"/>
  <c r="I2195" i="15"/>
  <c r="I2574" i="15"/>
  <c r="I2438" i="15"/>
  <c r="I2564" i="15"/>
  <c r="F2439" i="15"/>
  <c r="F2565" i="15"/>
  <c r="F2438" i="15"/>
  <c r="F2564" i="15"/>
  <c r="F2437" i="15"/>
  <c r="F2563" i="15"/>
  <c r="I2065" i="15"/>
  <c r="I2529" i="15"/>
  <c r="I2066" i="15"/>
  <c r="I2530" i="15"/>
  <c r="I2064" i="15"/>
  <c r="I2528" i="15"/>
  <c r="I2067" i="15"/>
  <c r="I2531" i="15"/>
  <c r="I1853" i="15"/>
  <c r="I2415" i="15"/>
  <c r="I2060" i="15"/>
  <c r="I2447" i="15"/>
  <c r="I1854" i="15"/>
  <c r="I2416" i="15"/>
  <c r="F1853" i="15"/>
  <c r="F2415" i="15"/>
  <c r="F1854" i="15"/>
  <c r="F2416" i="15"/>
  <c r="I2053" i="15"/>
  <c r="I2262" i="15"/>
  <c r="I2052" i="15"/>
  <c r="I2261" i="15"/>
  <c r="I2057" i="15"/>
  <c r="I2266" i="15"/>
  <c r="I2056" i="15"/>
  <c r="I2265" i="15"/>
  <c r="I2055" i="15"/>
  <c r="I2264" i="15"/>
  <c r="I2054" i="15"/>
  <c r="I2263" i="15"/>
  <c r="F2054" i="15"/>
  <c r="F2263" i="15"/>
  <c r="F2057" i="15"/>
  <c r="F2266" i="15"/>
  <c r="F2053" i="15"/>
  <c r="F2262" i="15"/>
  <c r="F2056" i="15"/>
  <c r="F2265" i="15"/>
  <c r="F2052" i="15"/>
  <c r="F2261" i="15"/>
  <c r="F2055" i="15"/>
  <c r="F2264" i="15"/>
  <c r="I1532" i="15"/>
  <c r="I2194" i="15"/>
  <c r="I1531" i="15"/>
  <c r="I2193" i="15"/>
  <c r="F1531" i="15"/>
  <c r="F2193" i="15"/>
  <c r="F1532" i="15"/>
  <c r="F2194" i="15"/>
  <c r="F1534" i="15"/>
  <c r="F2196" i="15"/>
  <c r="F1533" i="15"/>
  <c r="F2195" i="15"/>
  <c r="F1535" i="15"/>
  <c r="F2197" i="15"/>
  <c r="F1536" i="15"/>
  <c r="F2198" i="15"/>
  <c r="I1463" i="15"/>
  <c r="I2032" i="15"/>
  <c r="I1464" i="15"/>
  <c r="I2033" i="15"/>
  <c r="I1465" i="15"/>
  <c r="I2034" i="15"/>
  <c r="I1466" i="15"/>
  <c r="I2035" i="15"/>
  <c r="F1470" i="15"/>
  <c r="F2067" i="15"/>
  <c r="F1464" i="15"/>
  <c r="F2033" i="15"/>
  <c r="F1466" i="15"/>
  <c r="F2035" i="15"/>
  <c r="F1469" i="15"/>
  <c r="F2066" i="15"/>
  <c r="F1463" i="15"/>
  <c r="F2032" i="15"/>
  <c r="F1465" i="15"/>
  <c r="F2034" i="15"/>
  <c r="F1467" i="15"/>
  <c r="F2064" i="15"/>
  <c r="F1468" i="15"/>
  <c r="F2065" i="15"/>
  <c r="I1723" i="15"/>
  <c r="I1859" i="15"/>
  <c r="I1724" i="15"/>
  <c r="I1860" i="15"/>
  <c r="I1725" i="15"/>
  <c r="I1861" i="15"/>
  <c r="F1725" i="15"/>
  <c r="F1861" i="15"/>
  <c r="F1724" i="15"/>
  <c r="F1860" i="15"/>
  <c r="F1723" i="15"/>
  <c r="F1859" i="15"/>
  <c r="F1357" i="15"/>
  <c r="F1519" i="15"/>
  <c r="F1440" i="15"/>
  <c r="F1525" i="15"/>
  <c r="F1354" i="15"/>
  <c r="F1516" i="15"/>
  <c r="F1437" i="15"/>
  <c r="F1498" i="15"/>
  <c r="F1356" i="15"/>
  <c r="F1518" i="15"/>
  <c r="F1441" i="15"/>
  <c r="F1526" i="15"/>
  <c r="F1359" i="15"/>
  <c r="F1521" i="15"/>
  <c r="F1438" i="15"/>
  <c r="F1499" i="15"/>
  <c r="F1355" i="15"/>
  <c r="F1517" i="15"/>
  <c r="F1358" i="15"/>
  <c r="F1520" i="15"/>
  <c r="I1441" i="15"/>
  <c r="I1526" i="15"/>
  <c r="I1185" i="15"/>
  <c r="I1534" i="15"/>
  <c r="I1354" i="15"/>
  <c r="I1516" i="15"/>
  <c r="I1438" i="15"/>
  <c r="I1499" i="15"/>
  <c r="I1440" i="15"/>
  <c r="I1525" i="15"/>
  <c r="I1355" i="15"/>
  <c r="I1517" i="15"/>
  <c r="L365" i="15"/>
  <c r="L1538" i="15"/>
  <c r="I1359" i="15"/>
  <c r="I1521" i="15"/>
  <c r="I1187" i="15"/>
  <c r="I1536" i="15"/>
  <c r="I1358" i="15"/>
  <c r="I1520" i="15"/>
  <c r="I1186" i="15"/>
  <c r="I1535" i="15"/>
  <c r="I1357" i="15"/>
  <c r="I1519" i="15"/>
  <c r="I1184" i="15"/>
  <c r="I1533" i="15"/>
  <c r="I1437" i="15"/>
  <c r="I1498" i="15"/>
  <c r="I1361" i="15"/>
  <c r="I1524" i="15"/>
  <c r="I1356" i="15"/>
  <c r="I1518" i="15"/>
  <c r="R371" i="15"/>
  <c r="R1551" i="15"/>
  <c r="I1179" i="15"/>
  <c r="I1467" i="15"/>
  <c r="I1283" i="15"/>
  <c r="I1470" i="15"/>
  <c r="I1180" i="15"/>
  <c r="I1468" i="15"/>
  <c r="I1181" i="15"/>
  <c r="I1469" i="15"/>
  <c r="I425" i="15"/>
  <c r="I1280" i="15"/>
  <c r="I706" i="15"/>
  <c r="I1281" i="15"/>
  <c r="I707" i="15"/>
  <c r="I1282" i="15"/>
  <c r="F425" i="15"/>
  <c r="F1280" i="15"/>
  <c r="F1001" i="15"/>
  <c r="F1283" i="15"/>
  <c r="F707" i="15"/>
  <c r="F1282" i="15"/>
  <c r="F706" i="15"/>
  <c r="F1281" i="15"/>
  <c r="F423" i="15"/>
  <c r="F1157" i="15"/>
  <c r="F716" i="15"/>
  <c r="F1182" i="15"/>
  <c r="F424" i="15"/>
  <c r="F1158" i="15"/>
  <c r="F998" i="15"/>
  <c r="F1179" i="15"/>
  <c r="F718" i="15"/>
  <c r="F1184" i="15"/>
  <c r="F422" i="15"/>
  <c r="F1156" i="15"/>
  <c r="F705" i="15"/>
  <c r="F1171" i="15"/>
  <c r="F999" i="15"/>
  <c r="F1180" i="15"/>
  <c r="F717" i="15"/>
  <c r="F1183" i="15"/>
  <c r="F1000" i="15"/>
  <c r="F1181" i="15"/>
  <c r="F719" i="15"/>
  <c r="F1185" i="15"/>
  <c r="F720" i="15"/>
  <c r="F1186" i="15"/>
  <c r="F721" i="15"/>
  <c r="F1187" i="15"/>
  <c r="I717" i="15"/>
  <c r="I1183" i="15"/>
  <c r="I716" i="15"/>
  <c r="I1182" i="15"/>
  <c r="I422" i="15"/>
  <c r="I1156" i="15"/>
  <c r="I423" i="15"/>
  <c r="I1157" i="15"/>
  <c r="I705" i="15"/>
  <c r="I1171" i="15"/>
  <c r="I424" i="15"/>
  <c r="I1158" i="15"/>
  <c r="I438" i="15"/>
  <c r="I999" i="15"/>
  <c r="I429" i="15"/>
  <c r="I991" i="15"/>
  <c r="I364" i="15"/>
  <c r="I995" i="15"/>
  <c r="I437" i="15"/>
  <c r="I998" i="15"/>
  <c r="I439" i="15"/>
  <c r="I1000" i="15"/>
  <c r="I363" i="15"/>
  <c r="I994" i="15"/>
  <c r="I432" i="15"/>
  <c r="I992" i="15"/>
  <c r="I440" i="15"/>
  <c r="I1001" i="15"/>
  <c r="F363" i="15"/>
  <c r="F994" i="15"/>
  <c r="F429" i="15"/>
  <c r="F991" i="15"/>
  <c r="F364" i="15"/>
  <c r="F995" i="15"/>
  <c r="F432" i="15"/>
  <c r="F992" i="15"/>
  <c r="I427" i="15"/>
  <c r="I773" i="15"/>
  <c r="I685" i="15"/>
  <c r="I756" i="15"/>
  <c r="I428" i="15"/>
  <c r="I774" i="15"/>
  <c r="I431" i="15"/>
  <c r="I776" i="15"/>
  <c r="I430" i="15"/>
  <c r="I775" i="15"/>
  <c r="I684" i="15"/>
  <c r="I755" i="15"/>
  <c r="I434" i="15"/>
  <c r="I780" i="15"/>
  <c r="F684" i="15"/>
  <c r="F755" i="15"/>
  <c r="F685" i="15"/>
  <c r="F756" i="15"/>
  <c r="F427" i="15"/>
  <c r="F773" i="15"/>
  <c r="F428" i="15"/>
  <c r="F774" i="15"/>
  <c r="F431" i="15"/>
  <c r="F776" i="15"/>
  <c r="F430" i="15"/>
  <c r="F775" i="15"/>
  <c r="I101" i="15"/>
  <c r="I721" i="15"/>
  <c r="I100" i="15"/>
  <c r="I720" i="15"/>
  <c r="I98" i="15"/>
  <c r="I718" i="15"/>
  <c r="I99" i="15"/>
  <c r="I719" i="15"/>
  <c r="F92" i="15"/>
  <c r="F439" i="15"/>
  <c r="F93" i="15"/>
  <c r="F440" i="15"/>
  <c r="F90" i="15"/>
  <c r="F437" i="15"/>
  <c r="F91" i="15"/>
  <c r="F438" i="15"/>
  <c r="R144" i="15"/>
  <c r="I70" i="15"/>
  <c r="I68" i="15"/>
  <c r="F45" i="15"/>
  <c r="F44" i="15"/>
  <c r="F96" i="15"/>
  <c r="I90" i="15"/>
  <c r="I67" i="15"/>
  <c r="I46" i="15"/>
  <c r="F84" i="15"/>
  <c r="CL358" i="7"/>
  <c r="F68" i="15"/>
  <c r="F46" i="15"/>
  <c r="F98" i="15"/>
  <c r="I93" i="15"/>
  <c r="I38" i="15"/>
  <c r="I71" i="15"/>
  <c r="CL402" i="7"/>
  <c r="F71" i="15"/>
  <c r="I45" i="15"/>
  <c r="CL357" i="7"/>
  <c r="F67" i="15"/>
  <c r="CK401" i="7"/>
  <c r="F70" i="15"/>
  <c r="F97" i="15"/>
  <c r="CW417" i="7"/>
  <c r="I82" i="15"/>
  <c r="I91" i="15"/>
  <c r="I47" i="15"/>
  <c r="I66" i="15"/>
  <c r="CL355" i="7"/>
  <c r="F65" i="15"/>
  <c r="CL354" i="7"/>
  <c r="F64" i="15"/>
  <c r="F47" i="15"/>
  <c r="F99" i="15"/>
  <c r="I97" i="15"/>
  <c r="I84" i="15"/>
  <c r="I72" i="15"/>
  <c r="I65" i="15"/>
  <c r="CK359" i="7"/>
  <c r="F69" i="15"/>
  <c r="CL199" i="7"/>
  <c r="F38" i="15"/>
  <c r="F83" i="15"/>
  <c r="F100" i="15"/>
  <c r="I92" i="15"/>
  <c r="I64" i="15"/>
  <c r="I39" i="15"/>
  <c r="I83" i="15"/>
  <c r="CL356" i="7"/>
  <c r="F66" i="15"/>
  <c r="CJ403" i="7"/>
  <c r="F72" i="15"/>
  <c r="CL200" i="7"/>
  <c r="F39" i="15"/>
  <c r="F101" i="15"/>
  <c r="L103" i="15"/>
  <c r="I96" i="15"/>
  <c r="I44" i="15"/>
  <c r="I69" i="15"/>
  <c r="DF355" i="7"/>
  <c r="DF139" i="7"/>
  <c r="R2933" i="15" s="1"/>
  <c r="DF399" i="7"/>
  <c r="R2947" i="15" s="1"/>
  <c r="DF400" i="7"/>
  <c r="DF358" i="7"/>
  <c r="DF248" i="7"/>
  <c r="R3038" i="15" s="1"/>
  <c r="DF357" i="7"/>
  <c r="DF226" i="7"/>
  <c r="DF229" i="7"/>
  <c r="DF359" i="7"/>
  <c r="DF200" i="7"/>
  <c r="DF396" i="7"/>
  <c r="R2944" i="15" s="1"/>
  <c r="DF462" i="7"/>
  <c r="DF140" i="7"/>
  <c r="R2934" i="15" s="1"/>
  <c r="DF137" i="7"/>
  <c r="R2931" i="15" s="1"/>
  <c r="DF464" i="7"/>
  <c r="DF213" i="7"/>
  <c r="DF227" i="7"/>
  <c r="DF249" i="7"/>
  <c r="R3039" i="15" s="1"/>
  <c r="DF228" i="7"/>
  <c r="DF168" i="7"/>
  <c r="DF246" i="7"/>
  <c r="R3036" i="15" s="1"/>
  <c r="DF465" i="7"/>
  <c r="DF214" i="7"/>
  <c r="DF230" i="7"/>
  <c r="DF138" i="7"/>
  <c r="R2932" i="15" s="1"/>
  <c r="DF401" i="7"/>
  <c r="R2949" i="15" s="1"/>
  <c r="DF135" i="7"/>
  <c r="R2929" i="15" s="1"/>
  <c r="DF170" i="7"/>
  <c r="DF450" i="7"/>
  <c r="DF397" i="7"/>
  <c r="R2945" i="15" s="1"/>
  <c r="DF402" i="7"/>
  <c r="R2950" i="15" s="1"/>
  <c r="DF171" i="7"/>
  <c r="DF398" i="7"/>
  <c r="R2946" i="15" s="1"/>
  <c r="DF136" i="7"/>
  <c r="R2930" i="15" s="1"/>
  <c r="DF356" i="7"/>
  <c r="DF169" i="7"/>
  <c r="DF452" i="7"/>
  <c r="DF403" i="7"/>
  <c r="R2951" i="15" s="1"/>
  <c r="DF199" i="7"/>
  <c r="DF247" i="7"/>
  <c r="R3037" i="15" s="1"/>
  <c r="DF453" i="7"/>
  <c r="DF354" i="7"/>
  <c r="DF466" i="7"/>
  <c r="DF467" i="7"/>
  <c r="DF451" i="7"/>
  <c r="DF463" i="7"/>
  <c r="CK453" i="7"/>
  <c r="CJ452" i="7"/>
  <c r="CL450" i="7"/>
  <c r="CL451" i="7"/>
  <c r="CY417" i="7"/>
  <c r="DB417" i="7"/>
  <c r="CX417" i="7"/>
  <c r="CX469" i="7"/>
  <c r="CY469" i="7"/>
  <c r="CW469" i="7"/>
  <c r="CL463" i="7"/>
  <c r="CK463" i="7"/>
  <c r="CJ463" i="7"/>
  <c r="CL464" i="7"/>
  <c r="CJ464" i="7"/>
  <c r="CK464" i="7"/>
  <c r="CJ465" i="7"/>
  <c r="CK465" i="7"/>
  <c r="CL465" i="7"/>
  <c r="CL466" i="7"/>
  <c r="CJ466" i="7"/>
  <c r="CK466" i="7"/>
  <c r="CS463" i="7"/>
  <c r="CS462" i="7"/>
  <c r="CS467" i="7"/>
  <c r="CS466" i="7"/>
  <c r="CS465" i="7"/>
  <c r="CS464" i="7"/>
  <c r="CL467" i="7"/>
  <c r="CK467" i="7"/>
  <c r="CJ467" i="7"/>
  <c r="CJ462" i="7"/>
  <c r="CK462" i="7"/>
  <c r="CL462" i="7"/>
  <c r="CK452" i="7"/>
  <c r="CL452" i="7"/>
  <c r="CK451" i="7"/>
  <c r="CJ450" i="7"/>
  <c r="CK450" i="7"/>
  <c r="CJ453" i="7"/>
  <c r="CS453" i="7"/>
  <c r="CS450" i="7"/>
  <c r="CS451" i="7"/>
  <c r="CS452" i="7"/>
  <c r="CL453" i="7"/>
  <c r="CJ451" i="7"/>
  <c r="CJ249" i="7"/>
  <c r="CJ357" i="7"/>
  <c r="CJ401" i="7"/>
  <c r="CJ419" i="7"/>
  <c r="CJ247" i="7"/>
  <c r="CJ354" i="7"/>
  <c r="CJ418" i="7"/>
  <c r="CJ199" i="7"/>
  <c r="CJ359" i="7"/>
  <c r="CJ402" i="7"/>
  <c r="CJ355" i="7"/>
  <c r="CJ356" i="7"/>
  <c r="CJ358" i="7"/>
  <c r="CJ200" i="7"/>
  <c r="CJ246" i="7"/>
  <c r="CJ248" i="7"/>
  <c r="CL401" i="7"/>
  <c r="CL359" i="7"/>
  <c r="CK247" i="7"/>
  <c r="CK403" i="7"/>
  <c r="CL403" i="7"/>
  <c r="CL418" i="7"/>
  <c r="CK355" i="7"/>
  <c r="CL247" i="7"/>
  <c r="CK418" i="7"/>
  <c r="CK419" i="7"/>
  <c r="CK358" i="7"/>
  <c r="CK199" i="7"/>
  <c r="CL419" i="7"/>
  <c r="CK248" i="7"/>
  <c r="CK354" i="7"/>
  <c r="CL248" i="7"/>
  <c r="CK200" i="7"/>
  <c r="CK402" i="7"/>
  <c r="CK357" i="7"/>
  <c r="CK246" i="7"/>
  <c r="CL246" i="7"/>
  <c r="CK249" i="7"/>
  <c r="CK356" i="7"/>
  <c r="CL249" i="7"/>
  <c r="CS419" i="7"/>
  <c r="L3034" i="15" s="1"/>
  <c r="CS249" i="7"/>
  <c r="L3032" i="15" s="1"/>
  <c r="CS247" i="7"/>
  <c r="L3030" i="15" s="1"/>
  <c r="CS246" i="7"/>
  <c r="L3029" i="15" s="1"/>
  <c r="CS402" i="7"/>
  <c r="L2937" i="15" s="1"/>
  <c r="CS403" i="7"/>
  <c r="L2938" i="15" s="1"/>
  <c r="CS418" i="7"/>
  <c r="L3033" i="15" s="1"/>
  <c r="CS401" i="7"/>
  <c r="L2936" i="15" s="1"/>
  <c r="CS248" i="7"/>
  <c r="L3031" i="15" s="1"/>
  <c r="CS200" i="7"/>
  <c r="CS199" i="7"/>
  <c r="CS357" i="7"/>
  <c r="CS354" i="7"/>
  <c r="CS356" i="7"/>
  <c r="CS358" i="7"/>
  <c r="CS355" i="7"/>
  <c r="CS359" i="7"/>
  <c r="R2630" i="15" l="1"/>
  <c r="R3239" i="15"/>
  <c r="R2670" i="15"/>
  <c r="R3240" i="15"/>
  <c r="R2674" i="15"/>
  <c r="R3243" i="15"/>
  <c r="R2628" i="15"/>
  <c r="R3237" i="15"/>
  <c r="R2629" i="15"/>
  <c r="R3238" i="15"/>
  <c r="R2627" i="15"/>
  <c r="R3236" i="15"/>
  <c r="R2673" i="15"/>
  <c r="R3242" i="15"/>
  <c r="R2671" i="15"/>
  <c r="R3241" i="15"/>
  <c r="L2649" i="15"/>
  <c r="L3239" i="15"/>
  <c r="L2645" i="15"/>
  <c r="L3236" i="15"/>
  <c r="L2648" i="15"/>
  <c r="L3238" i="15"/>
  <c r="L2646" i="15"/>
  <c r="L3237" i="15"/>
  <c r="R2637" i="15"/>
  <c r="R3105" i="15"/>
  <c r="R2633" i="15"/>
  <c r="R3101" i="15"/>
  <c r="R2638" i="15"/>
  <c r="R3106" i="15"/>
  <c r="O2683" i="15"/>
  <c r="O3123" i="15"/>
  <c r="R2634" i="15"/>
  <c r="R3102" i="15"/>
  <c r="L2618" i="15"/>
  <c r="L3098" i="15"/>
  <c r="L2619" i="15"/>
  <c r="L3099" i="15"/>
  <c r="R2577" i="15"/>
  <c r="R3078" i="15"/>
  <c r="R2575" i="15"/>
  <c r="R3076" i="15"/>
  <c r="R2574" i="15"/>
  <c r="R3075" i="15"/>
  <c r="R2576" i="15"/>
  <c r="R3077" i="15"/>
  <c r="R2578" i="15"/>
  <c r="R3079" i="15"/>
  <c r="R2573" i="15"/>
  <c r="R3074" i="15"/>
  <c r="L2577" i="15"/>
  <c r="L3079" i="15"/>
  <c r="L2572" i="15"/>
  <c r="L3074" i="15"/>
  <c r="L2573" i="15"/>
  <c r="L3075" i="15"/>
  <c r="L2574" i="15"/>
  <c r="L3076" i="15"/>
  <c r="L2575" i="15"/>
  <c r="L3077" i="15"/>
  <c r="L2576" i="15"/>
  <c r="L3078" i="15"/>
  <c r="R2699" i="15"/>
  <c r="R3050" i="15"/>
  <c r="R2644" i="15"/>
  <c r="R3032" i="15"/>
  <c r="R2645" i="15"/>
  <c r="R3033" i="15"/>
  <c r="R2647" i="15"/>
  <c r="R3035" i="15"/>
  <c r="R2646" i="15"/>
  <c r="R3034" i="15"/>
  <c r="R2643" i="15"/>
  <c r="R3031" i="15"/>
  <c r="R2697" i="15"/>
  <c r="R3048" i="15"/>
  <c r="R2698" i="15"/>
  <c r="R3049" i="15"/>
  <c r="R2696" i="15"/>
  <c r="R3047" i="15"/>
  <c r="L2664" i="15"/>
  <c r="L3040" i="15"/>
  <c r="L2663" i="15"/>
  <c r="L3039" i="15"/>
  <c r="L2662" i="15"/>
  <c r="L3038" i="15"/>
  <c r="L2661" i="15"/>
  <c r="L3037" i="15"/>
  <c r="R2669" i="15"/>
  <c r="R2942" i="15"/>
  <c r="R2563" i="15"/>
  <c r="R2948" i="15"/>
  <c r="R2672" i="15"/>
  <c r="R2943" i="15"/>
  <c r="L2644" i="15"/>
  <c r="L2934" i="15"/>
  <c r="L2647" i="15"/>
  <c r="L2935" i="15"/>
  <c r="R2262" i="15"/>
  <c r="R2621" i="15"/>
  <c r="R2536" i="15"/>
  <c r="R2651" i="15"/>
  <c r="R2443" i="15"/>
  <c r="R2678" i="15"/>
  <c r="R2442" i="15"/>
  <c r="R2677" i="15"/>
  <c r="R2265" i="15"/>
  <c r="R2624" i="15"/>
  <c r="R2266" i="15"/>
  <c r="R2625" i="15"/>
  <c r="R2263" i="15"/>
  <c r="R2622" i="15"/>
  <c r="R2534" i="15"/>
  <c r="R2649" i="15"/>
  <c r="R2440" i="15"/>
  <c r="R2675" i="15"/>
  <c r="R2441" i="15"/>
  <c r="R2676" i="15"/>
  <c r="R2264" i="15"/>
  <c r="R2623" i="15"/>
  <c r="R2533" i="15"/>
  <c r="R2648" i="15"/>
  <c r="R2267" i="15"/>
  <c r="R2626" i="15"/>
  <c r="R2535" i="15"/>
  <c r="R2650" i="15"/>
  <c r="L2524" i="15"/>
  <c r="L2624" i="15"/>
  <c r="L2527" i="15"/>
  <c r="L2627" i="15"/>
  <c r="L2526" i="15"/>
  <c r="L2626" i="15"/>
  <c r="L2270" i="15"/>
  <c r="L2656" i="15"/>
  <c r="L2269" i="15"/>
  <c r="L2655" i="15"/>
  <c r="L2525" i="15"/>
  <c r="L2625" i="15"/>
  <c r="R2446" i="15"/>
  <c r="R2565" i="15"/>
  <c r="R2447" i="15"/>
  <c r="R2566" i="15"/>
  <c r="R2445" i="15"/>
  <c r="R2564" i="15"/>
  <c r="L2438" i="15"/>
  <c r="L2564" i="15"/>
  <c r="L2439" i="15"/>
  <c r="L2565" i="15"/>
  <c r="L2437" i="15"/>
  <c r="L2563" i="15"/>
  <c r="R2076" i="15"/>
  <c r="R2540" i="15"/>
  <c r="R1464" i="15"/>
  <c r="R2529" i="15"/>
  <c r="R1465" i="15"/>
  <c r="R2530" i="15"/>
  <c r="R1861" i="15"/>
  <c r="R2527" i="15"/>
  <c r="R1467" i="15"/>
  <c r="R2532" i="15"/>
  <c r="R1466" i="15"/>
  <c r="R2531" i="15"/>
  <c r="R1463" i="15"/>
  <c r="R2528" i="15"/>
  <c r="R2074" i="15"/>
  <c r="R2538" i="15"/>
  <c r="R2075" i="15"/>
  <c r="R2539" i="15"/>
  <c r="R2073" i="15"/>
  <c r="R2537" i="15"/>
  <c r="R1859" i="15"/>
  <c r="R2525" i="15"/>
  <c r="R1860" i="15"/>
  <c r="R2526" i="15"/>
  <c r="R1858" i="15"/>
  <c r="R2524" i="15"/>
  <c r="L2067" i="15"/>
  <c r="L2531" i="15"/>
  <c r="L2066" i="15"/>
  <c r="L2530" i="15"/>
  <c r="L2065" i="15"/>
  <c r="L2529" i="15"/>
  <c r="L2064" i="15"/>
  <c r="L2528" i="15"/>
  <c r="R1874" i="15"/>
  <c r="R2444" i="15"/>
  <c r="R1865" i="15"/>
  <c r="R2419" i="15"/>
  <c r="R1864" i="15"/>
  <c r="R2418" i="15"/>
  <c r="O2067" i="15"/>
  <c r="O2455" i="15"/>
  <c r="L1854" i="15"/>
  <c r="L2416" i="15"/>
  <c r="L1853" i="15"/>
  <c r="L2415" i="15"/>
  <c r="R2061" i="15"/>
  <c r="R2276" i="15"/>
  <c r="R2059" i="15"/>
  <c r="R2274" i="15"/>
  <c r="R2063" i="15"/>
  <c r="R2278" i="15"/>
  <c r="R2064" i="15"/>
  <c r="R2279" i="15"/>
  <c r="R2036" i="15"/>
  <c r="R2271" i="15"/>
  <c r="R2060" i="15"/>
  <c r="R2275" i="15"/>
  <c r="R2037" i="15"/>
  <c r="R2272" i="15"/>
  <c r="R2062" i="15"/>
  <c r="R2277" i="15"/>
  <c r="L2052" i="15"/>
  <c r="L2261" i="15"/>
  <c r="L2055" i="15"/>
  <c r="L2264" i="15"/>
  <c r="L2057" i="15"/>
  <c r="L2266" i="15"/>
  <c r="L2053" i="15"/>
  <c r="L2262" i="15"/>
  <c r="L2056" i="15"/>
  <c r="L2265" i="15"/>
  <c r="L2054" i="15"/>
  <c r="L2263" i="15"/>
  <c r="R1549" i="15"/>
  <c r="R2200" i="15"/>
  <c r="R1544" i="15"/>
  <c r="R2195" i="15"/>
  <c r="R1548" i="15"/>
  <c r="R2199" i="15"/>
  <c r="R1546" i="15"/>
  <c r="R2197" i="15"/>
  <c r="R1545" i="15"/>
  <c r="R2196" i="15"/>
  <c r="R1547" i="15"/>
  <c r="R2198" i="15"/>
  <c r="L1535" i="15"/>
  <c r="L2197" i="15"/>
  <c r="L1536" i="15"/>
  <c r="L2198" i="15"/>
  <c r="L1531" i="15"/>
  <c r="L2193" i="15"/>
  <c r="L1532" i="15"/>
  <c r="L2194" i="15"/>
  <c r="L1534" i="15"/>
  <c r="L2196" i="15"/>
  <c r="L1533" i="15"/>
  <c r="L2195" i="15"/>
  <c r="R1468" i="15"/>
  <c r="R2038" i="15"/>
  <c r="R1469" i="15"/>
  <c r="R2039" i="15"/>
  <c r="R1470" i="15"/>
  <c r="R2040" i="15"/>
  <c r="R1471" i="15"/>
  <c r="R2041" i="15"/>
  <c r="L1463" i="15"/>
  <c r="L2032" i="15"/>
  <c r="L1466" i="15"/>
  <c r="L2035" i="15"/>
  <c r="L1465" i="15"/>
  <c r="L2034" i="15"/>
  <c r="L1464" i="15"/>
  <c r="L2033" i="15"/>
  <c r="R1741" i="15"/>
  <c r="R1875" i="15"/>
  <c r="R1739" i="15"/>
  <c r="R1873" i="15"/>
  <c r="R1738" i="15"/>
  <c r="R1872" i="15"/>
  <c r="R1736" i="15"/>
  <c r="R1870" i="15"/>
  <c r="R1742" i="15"/>
  <c r="R1876" i="15"/>
  <c r="R1743" i="15"/>
  <c r="R1877" i="15"/>
  <c r="R1737" i="15"/>
  <c r="R1871" i="15"/>
  <c r="L1723" i="15"/>
  <c r="L1859" i="15"/>
  <c r="L1724" i="15"/>
  <c r="L1860" i="15"/>
  <c r="L1725" i="15"/>
  <c r="L1861" i="15"/>
  <c r="R1357" i="15"/>
  <c r="R1722" i="15"/>
  <c r="R1358" i="15"/>
  <c r="R1723" i="15"/>
  <c r="R1363" i="15"/>
  <c r="R1728" i="15"/>
  <c r="R1356" i="15"/>
  <c r="R1721" i="15"/>
  <c r="R1359" i="15"/>
  <c r="R1724" i="15"/>
  <c r="R1361" i="15"/>
  <c r="R1726" i="15"/>
  <c r="R1362" i="15"/>
  <c r="R1727" i="15"/>
  <c r="R1360" i="15"/>
  <c r="R1725" i="15"/>
  <c r="R1281" i="15"/>
  <c r="R1719" i="15"/>
  <c r="R1123" i="15"/>
  <c r="R1740" i="15"/>
  <c r="R1355" i="15"/>
  <c r="R1720" i="15"/>
  <c r="L1438" i="15"/>
  <c r="L1499" i="15"/>
  <c r="L1354" i="15"/>
  <c r="L1516" i="15"/>
  <c r="L1359" i="15"/>
  <c r="L1521" i="15"/>
  <c r="L1441" i="15"/>
  <c r="L1526" i="15"/>
  <c r="L1355" i="15"/>
  <c r="L1517" i="15"/>
  <c r="L1357" i="15"/>
  <c r="L1519" i="15"/>
  <c r="L1437" i="15"/>
  <c r="L1498" i="15"/>
  <c r="L1358" i="15"/>
  <c r="L1520" i="15"/>
  <c r="L1440" i="15"/>
  <c r="L1525" i="15"/>
  <c r="L1356" i="15"/>
  <c r="L1518" i="15"/>
  <c r="R1368" i="15"/>
  <c r="R1527" i="15"/>
  <c r="O1371" i="15"/>
  <c r="O1531" i="15"/>
  <c r="R1366" i="15"/>
  <c r="R1525" i="15"/>
  <c r="R1364" i="15"/>
  <c r="R1523" i="15"/>
  <c r="R1438" i="15"/>
  <c r="R1502" i="15"/>
  <c r="R1369" i="15"/>
  <c r="R1528" i="15"/>
  <c r="R1439" i="15"/>
  <c r="R1505" i="15"/>
  <c r="R1365" i="15"/>
  <c r="R1524" i="15"/>
  <c r="R1437" i="15"/>
  <c r="R1501" i="15"/>
  <c r="R1440" i="15"/>
  <c r="R1506" i="15"/>
  <c r="R1367" i="15"/>
  <c r="R1526" i="15"/>
  <c r="R1182" i="15"/>
  <c r="R1474" i="15"/>
  <c r="R1180" i="15"/>
  <c r="R1472" i="15"/>
  <c r="R1181" i="15"/>
  <c r="R1473" i="15"/>
  <c r="R1289" i="15"/>
  <c r="R1475" i="15"/>
  <c r="L1181" i="15"/>
  <c r="L1469" i="15"/>
  <c r="L1180" i="15"/>
  <c r="L1468" i="15"/>
  <c r="L1179" i="15"/>
  <c r="L1467" i="15"/>
  <c r="L1283" i="15"/>
  <c r="L1470" i="15"/>
  <c r="R715" i="15"/>
  <c r="R1288" i="15"/>
  <c r="R709" i="15"/>
  <c r="R1284" i="15"/>
  <c r="R708" i="15"/>
  <c r="R1283" i="15"/>
  <c r="R441" i="15"/>
  <c r="R1282" i="15"/>
  <c r="R711" i="15"/>
  <c r="R1286" i="15"/>
  <c r="R714" i="15"/>
  <c r="R1287" i="15"/>
  <c r="R710" i="15"/>
  <c r="R1285" i="15"/>
  <c r="L707" i="15"/>
  <c r="L1282" i="15"/>
  <c r="L706" i="15"/>
  <c r="L1281" i="15"/>
  <c r="L425" i="15"/>
  <c r="L1280" i="15"/>
  <c r="L705" i="15"/>
  <c r="L1171" i="15"/>
  <c r="L718" i="15"/>
  <c r="L1184" i="15"/>
  <c r="L422" i="15"/>
  <c r="L1156" i="15"/>
  <c r="L720" i="15"/>
  <c r="L1186" i="15"/>
  <c r="L719" i="15"/>
  <c r="L1185" i="15"/>
  <c r="L721" i="15"/>
  <c r="L1187" i="15"/>
  <c r="L423" i="15"/>
  <c r="L1157" i="15"/>
  <c r="L716" i="15"/>
  <c r="L1182" i="15"/>
  <c r="L424" i="15"/>
  <c r="L1158" i="15"/>
  <c r="L717" i="15"/>
  <c r="L1183" i="15"/>
  <c r="R713" i="15"/>
  <c r="R1172" i="15"/>
  <c r="R439" i="15"/>
  <c r="R1158" i="15"/>
  <c r="R726" i="15"/>
  <c r="R1185" i="15"/>
  <c r="R728" i="15"/>
  <c r="R1187" i="15"/>
  <c r="R725" i="15"/>
  <c r="R1184" i="15"/>
  <c r="R727" i="15"/>
  <c r="R1186" i="15"/>
  <c r="R438" i="15"/>
  <c r="R1157" i="15"/>
  <c r="R440" i="15"/>
  <c r="R1159" i="15"/>
  <c r="R729" i="15"/>
  <c r="R1188" i="15"/>
  <c r="R724" i="15"/>
  <c r="R1183" i="15"/>
  <c r="R366" i="15"/>
  <c r="R997" i="15"/>
  <c r="R445" i="15"/>
  <c r="R1000" i="15"/>
  <c r="R462" i="15"/>
  <c r="R1010" i="15"/>
  <c r="R365" i="15"/>
  <c r="R996" i="15"/>
  <c r="R448" i="15"/>
  <c r="R1001" i="15"/>
  <c r="R368" i="15"/>
  <c r="R999" i="15"/>
  <c r="R367" i="15"/>
  <c r="R998" i="15"/>
  <c r="R364" i="15"/>
  <c r="R995" i="15"/>
  <c r="R460" i="15"/>
  <c r="R1008" i="15"/>
  <c r="R461" i="15"/>
  <c r="R1009" i="15"/>
  <c r="R459" i="15"/>
  <c r="R1007" i="15"/>
  <c r="R432" i="15"/>
  <c r="R992" i="15"/>
  <c r="L432" i="15"/>
  <c r="L992" i="15"/>
  <c r="L364" i="15"/>
  <c r="L995" i="15"/>
  <c r="L440" i="15"/>
  <c r="L1001" i="15"/>
  <c r="L429" i="15"/>
  <c r="L991" i="15"/>
  <c r="L439" i="15"/>
  <c r="L1000" i="15"/>
  <c r="L363" i="15"/>
  <c r="L994" i="15"/>
  <c r="L438" i="15"/>
  <c r="L999" i="15"/>
  <c r="L437" i="15"/>
  <c r="L998" i="15"/>
  <c r="R427" i="15"/>
  <c r="R758" i="15"/>
  <c r="R428" i="15"/>
  <c r="R759" i="15"/>
  <c r="R687" i="15"/>
  <c r="R767" i="15"/>
  <c r="R435" i="15"/>
  <c r="R763" i="15"/>
  <c r="R436" i="15"/>
  <c r="R768" i="15"/>
  <c r="R444" i="15"/>
  <c r="R788" i="15"/>
  <c r="R443" i="15"/>
  <c r="R787" i="15"/>
  <c r="R686" i="15"/>
  <c r="R766" i="15"/>
  <c r="R437" i="15"/>
  <c r="R769" i="15"/>
  <c r="R426" i="15"/>
  <c r="R757" i="15"/>
  <c r="R446" i="15"/>
  <c r="R789" i="15"/>
  <c r="R712" i="15"/>
  <c r="R791" i="15"/>
  <c r="R429" i="15"/>
  <c r="R760" i="15"/>
  <c r="O450" i="15"/>
  <c r="O795" i="15"/>
  <c r="R424" i="15"/>
  <c r="R755" i="15"/>
  <c r="R425" i="15"/>
  <c r="R756" i="15"/>
  <c r="R433" i="15"/>
  <c r="R761" i="15"/>
  <c r="R434" i="15"/>
  <c r="R762" i="15"/>
  <c r="R447" i="15"/>
  <c r="R790" i="15"/>
  <c r="L684" i="15"/>
  <c r="L755" i="15"/>
  <c r="L685" i="15"/>
  <c r="L756" i="15"/>
  <c r="L428" i="15"/>
  <c r="L774" i="15"/>
  <c r="L431" i="15"/>
  <c r="L776" i="15"/>
  <c r="L427" i="15"/>
  <c r="L773" i="15"/>
  <c r="L430" i="15"/>
  <c r="L775" i="15"/>
  <c r="R132" i="15"/>
  <c r="R73" i="15"/>
  <c r="R54" i="15"/>
  <c r="R98" i="15"/>
  <c r="R70" i="15"/>
  <c r="R42" i="15"/>
  <c r="R59" i="15"/>
  <c r="R102" i="15"/>
  <c r="R45" i="15"/>
  <c r="R74" i="15"/>
  <c r="R55" i="15"/>
  <c r="R72" i="15"/>
  <c r="R62" i="15"/>
  <c r="R71" i="15"/>
  <c r="R95" i="15"/>
  <c r="R133" i="15"/>
  <c r="R46" i="15"/>
  <c r="R142" i="15"/>
  <c r="R52" i="15"/>
  <c r="DJ417" i="7"/>
  <c r="O117" i="15"/>
  <c r="R96" i="15"/>
  <c r="R100" i="15"/>
  <c r="R94" i="15"/>
  <c r="R105" i="15"/>
  <c r="R76" i="15"/>
  <c r="R103" i="15"/>
  <c r="R134" i="15"/>
  <c r="R69" i="15"/>
  <c r="R58" i="15"/>
  <c r="R106" i="15"/>
  <c r="R63" i="15"/>
  <c r="R139" i="15"/>
  <c r="R68" i="15"/>
  <c r="R131" i="15"/>
  <c r="R75" i="15"/>
  <c r="R53" i="15"/>
  <c r="R137" i="15"/>
  <c r="R141" i="15"/>
  <c r="R41" i="15"/>
  <c r="R104" i="15"/>
  <c r="R44" i="15"/>
  <c r="R99" i="15"/>
  <c r="R138" i="15"/>
  <c r="R107" i="15"/>
  <c r="R101" i="15"/>
  <c r="R140" i="15"/>
  <c r="R43" i="15"/>
  <c r="R97" i="15"/>
  <c r="CW356" i="7"/>
  <c r="L66" i="15"/>
  <c r="L98" i="15"/>
  <c r="CW357" i="7"/>
  <c r="L67" i="15"/>
  <c r="CW246" i="7"/>
  <c r="L44" i="15"/>
  <c r="L91" i="15"/>
  <c r="L99" i="15"/>
  <c r="L92" i="15"/>
  <c r="CW199" i="7"/>
  <c r="L38" i="15"/>
  <c r="CW247" i="7"/>
  <c r="L45" i="15"/>
  <c r="L90" i="15"/>
  <c r="L100" i="15"/>
  <c r="CW403" i="7"/>
  <c r="L72" i="15"/>
  <c r="CW402" i="7"/>
  <c r="L71" i="15"/>
  <c r="CW249" i="7"/>
  <c r="L47" i="15"/>
  <c r="L93" i="15"/>
  <c r="CW248" i="7"/>
  <c r="L46" i="15"/>
  <c r="L96" i="15"/>
  <c r="CW354" i="7"/>
  <c r="L64" i="15"/>
  <c r="CW200" i="7"/>
  <c r="L39" i="15"/>
  <c r="L101" i="15"/>
  <c r="CW359" i="7"/>
  <c r="L69" i="15"/>
  <c r="CW419" i="7"/>
  <c r="L84" i="15"/>
  <c r="CW355" i="7"/>
  <c r="L65" i="15"/>
  <c r="CW401" i="7"/>
  <c r="L70" i="15"/>
  <c r="L97" i="15"/>
  <c r="CW358" i="7"/>
  <c r="L68" i="15"/>
  <c r="CW418" i="7"/>
  <c r="L83" i="15"/>
  <c r="DL417" i="7"/>
  <c r="DD417" i="7"/>
  <c r="DD474" i="7" s="1"/>
  <c r="DB469" i="7" s="1"/>
  <c r="O3080" i="15" s="1"/>
  <c r="DK417" i="7"/>
  <c r="CY466" i="7"/>
  <c r="CX466" i="7"/>
  <c r="CW466" i="7"/>
  <c r="CY467" i="7"/>
  <c r="CX467" i="7"/>
  <c r="CW467" i="7"/>
  <c r="CY462" i="7"/>
  <c r="CX462" i="7"/>
  <c r="CW462" i="7"/>
  <c r="CW463" i="7"/>
  <c r="CY463" i="7"/>
  <c r="CX463" i="7"/>
  <c r="CY464" i="7"/>
  <c r="CX464" i="7"/>
  <c r="CW464" i="7"/>
  <c r="CY465" i="7"/>
  <c r="CX465" i="7"/>
  <c r="CW465" i="7"/>
  <c r="CW452" i="7"/>
  <c r="CY452" i="7"/>
  <c r="CX452" i="7"/>
  <c r="CY451" i="7"/>
  <c r="CX451" i="7"/>
  <c r="CW451" i="7"/>
  <c r="CY450" i="7"/>
  <c r="CW450" i="7"/>
  <c r="CX450" i="7"/>
  <c r="CW453" i="7"/>
  <c r="CX453" i="7"/>
  <c r="CY453" i="7"/>
  <c r="CX200" i="7"/>
  <c r="CY200" i="7"/>
  <c r="CY419" i="7"/>
  <c r="CX419" i="7"/>
  <c r="CY355" i="7"/>
  <c r="CX355" i="7"/>
  <c r="CY358" i="7"/>
  <c r="CX358" i="7"/>
  <c r="CY418" i="7"/>
  <c r="CX418" i="7"/>
  <c r="CY248" i="7"/>
  <c r="CX248" i="7"/>
  <c r="CY403" i="7"/>
  <c r="CX403" i="7"/>
  <c r="CX354" i="7"/>
  <c r="CY354" i="7"/>
  <c r="CX402" i="7"/>
  <c r="CY402" i="7"/>
  <c r="CX249" i="7"/>
  <c r="CY249" i="7"/>
  <c r="CX359" i="7"/>
  <c r="CY359" i="7"/>
  <c r="CY357" i="7"/>
  <c r="CX357" i="7"/>
  <c r="CY246" i="7"/>
  <c r="CX246" i="7"/>
  <c r="CY401" i="7"/>
  <c r="CX401" i="7"/>
  <c r="CY356" i="7"/>
  <c r="CX356" i="7"/>
  <c r="CY199" i="7"/>
  <c r="CX199" i="7"/>
  <c r="CY247" i="7"/>
  <c r="CX247" i="7"/>
  <c r="O2201" i="15" l="1"/>
  <c r="O2703" i="15"/>
  <c r="O371" i="15"/>
  <c r="O1551" i="15"/>
  <c r="O144" i="15"/>
  <c r="DB465" i="7"/>
  <c r="DB137" i="7"/>
  <c r="O2931" i="15" s="1"/>
  <c r="DB462" i="7"/>
  <c r="DB463" i="7"/>
  <c r="O3075" i="15" s="1"/>
  <c r="DJ469" i="7"/>
  <c r="DK469" i="7"/>
  <c r="DL469" i="7"/>
  <c r="DB464" i="7"/>
  <c r="O3076" i="15" s="1"/>
  <c r="DB466" i="7"/>
  <c r="DB467" i="7"/>
  <c r="DB139" i="7"/>
  <c r="O2933" i="15" s="1"/>
  <c r="DB140" i="7"/>
  <c r="O2934" i="15" s="1"/>
  <c r="DB356" i="7"/>
  <c r="DB169" i="7"/>
  <c r="DB249" i="7"/>
  <c r="O3039" i="15" s="1"/>
  <c r="DB135" i="7"/>
  <c r="O2929" i="15" s="1"/>
  <c r="DB397" i="7"/>
  <c r="O2945" i="15" s="1"/>
  <c r="DB227" i="7"/>
  <c r="DB136" i="7"/>
  <c r="O2930" i="15" s="1"/>
  <c r="DB230" i="7"/>
  <c r="DB357" i="7"/>
  <c r="DB171" i="7"/>
  <c r="DB402" i="7"/>
  <c r="O2950" i="15" s="1"/>
  <c r="DB200" i="7"/>
  <c r="DB396" i="7"/>
  <c r="O2944" i="15" s="1"/>
  <c r="DB201" i="7"/>
  <c r="DB400" i="7"/>
  <c r="DB401" i="7"/>
  <c r="O2949" i="15" s="1"/>
  <c r="DB138" i="7"/>
  <c r="O2932" i="15" s="1"/>
  <c r="DB199" i="7"/>
  <c r="DB399" i="7"/>
  <c r="O2947" i="15" s="1"/>
  <c r="DB202" i="7"/>
  <c r="DB247" i="7"/>
  <c r="O3037" i="15" s="1"/>
  <c r="DB226" i="7"/>
  <c r="DB213" i="7"/>
  <c r="DJ213" i="7" s="1"/>
  <c r="DB358" i="7"/>
  <c r="DB214" i="7"/>
  <c r="DB229" i="7"/>
  <c r="DB170" i="7"/>
  <c r="DB248" i="7"/>
  <c r="O3038" i="15" s="1"/>
  <c r="DB228" i="7"/>
  <c r="DB398" i="7"/>
  <c r="O2946" i="15" s="1"/>
  <c r="DB355" i="7"/>
  <c r="DB403" i="7"/>
  <c r="O2951" i="15" s="1"/>
  <c r="DB354" i="7"/>
  <c r="DB359" i="7"/>
  <c r="DB246" i="7"/>
  <c r="O3036" i="15" s="1"/>
  <c r="DB168" i="7"/>
  <c r="DB452" i="7"/>
  <c r="DB450" i="7"/>
  <c r="DB453" i="7"/>
  <c r="DB451" i="7"/>
  <c r="O2670" i="15" l="1"/>
  <c r="O3240" i="15"/>
  <c r="O2629" i="15"/>
  <c r="O3238" i="15"/>
  <c r="O2627" i="15"/>
  <c r="O3236" i="15"/>
  <c r="O2674" i="15"/>
  <c r="O3243" i="15"/>
  <c r="O2630" i="15"/>
  <c r="O3239" i="15"/>
  <c r="O2628" i="15"/>
  <c r="O3237" i="15"/>
  <c r="O2671" i="15"/>
  <c r="O3241" i="15"/>
  <c r="O2673" i="15"/>
  <c r="O3242" i="15"/>
  <c r="O2636" i="15"/>
  <c r="O3104" i="15"/>
  <c r="O2634" i="15"/>
  <c r="O3102" i="15"/>
  <c r="O2637" i="15"/>
  <c r="O3105" i="15"/>
  <c r="O2633" i="15"/>
  <c r="O3101" i="15"/>
  <c r="O2635" i="15"/>
  <c r="O3103" i="15"/>
  <c r="O2638" i="15"/>
  <c r="O3106" i="15"/>
  <c r="O2578" i="15"/>
  <c r="O3079" i="15"/>
  <c r="O2577" i="15"/>
  <c r="O3078" i="15"/>
  <c r="O2576" i="15"/>
  <c r="O3077" i="15"/>
  <c r="O2573" i="15"/>
  <c r="O3074" i="15"/>
  <c r="O2696" i="15"/>
  <c r="O3047" i="15"/>
  <c r="O2643" i="15"/>
  <c r="O3031" i="15"/>
  <c r="O2644" i="15"/>
  <c r="O3032" i="15"/>
  <c r="O2698" i="15"/>
  <c r="O3049" i="15"/>
  <c r="O2645" i="15"/>
  <c r="O3033" i="15"/>
  <c r="O2699" i="15"/>
  <c r="O3050" i="15"/>
  <c r="O2697" i="15"/>
  <c r="O3048" i="15"/>
  <c r="O2647" i="15"/>
  <c r="O3035" i="15"/>
  <c r="O2646" i="15"/>
  <c r="O3034" i="15"/>
  <c r="O2669" i="15"/>
  <c r="O2942" i="15"/>
  <c r="O2672" i="15"/>
  <c r="O2943" i="15"/>
  <c r="O2563" i="15"/>
  <c r="O2948" i="15"/>
  <c r="O2442" i="15"/>
  <c r="O2677" i="15"/>
  <c r="O2534" i="15"/>
  <c r="O2649" i="15"/>
  <c r="O2262" i="15"/>
  <c r="O2621" i="15"/>
  <c r="O2533" i="15"/>
  <c r="O2648" i="15"/>
  <c r="O2443" i="15"/>
  <c r="O2678" i="15"/>
  <c r="O2536" i="15"/>
  <c r="O2651" i="15"/>
  <c r="O2441" i="15"/>
  <c r="O2676" i="15"/>
  <c r="O2265" i="15"/>
  <c r="O2624" i="15"/>
  <c r="O2264" i="15"/>
  <c r="O2623" i="15"/>
  <c r="O2440" i="15"/>
  <c r="O2675" i="15"/>
  <c r="O2267" i="15"/>
  <c r="O2626" i="15"/>
  <c r="O2535" i="15"/>
  <c r="O2650" i="15"/>
  <c r="O2263" i="15"/>
  <c r="O2622" i="15"/>
  <c r="O2266" i="15"/>
  <c r="O2625" i="15"/>
  <c r="O2197" i="15"/>
  <c r="O2575" i="15"/>
  <c r="O2446" i="15"/>
  <c r="O2565" i="15"/>
  <c r="O2447" i="15"/>
  <c r="O2566" i="15"/>
  <c r="O2445" i="15"/>
  <c r="O2564" i="15"/>
  <c r="O2196" i="15"/>
  <c r="O2574" i="15"/>
  <c r="O2073" i="15"/>
  <c r="O2537" i="15"/>
  <c r="O1463" i="15"/>
  <c r="O2528" i="15"/>
  <c r="O1464" i="15"/>
  <c r="O2529" i="15"/>
  <c r="O2075" i="15"/>
  <c r="O2539" i="15"/>
  <c r="O1465" i="15"/>
  <c r="O2530" i="15"/>
  <c r="O2076" i="15"/>
  <c r="O2540" i="15"/>
  <c r="O1858" i="15"/>
  <c r="O2524" i="15"/>
  <c r="O2074" i="15"/>
  <c r="O2538" i="15"/>
  <c r="O1860" i="15"/>
  <c r="O2526" i="15"/>
  <c r="O1466" i="15"/>
  <c r="O2531" i="15"/>
  <c r="O1861" i="15"/>
  <c r="O2527" i="15"/>
  <c r="O1859" i="15"/>
  <c r="O2525" i="15"/>
  <c r="O1467" i="15"/>
  <c r="O2532" i="15"/>
  <c r="O1865" i="15"/>
  <c r="O2419" i="15"/>
  <c r="O1874" i="15"/>
  <c r="O2444" i="15"/>
  <c r="O1864" i="15"/>
  <c r="O2418" i="15"/>
  <c r="O2063" i="15"/>
  <c r="O2278" i="15"/>
  <c r="O2034" i="15"/>
  <c r="O2269" i="15"/>
  <c r="O2060" i="15"/>
  <c r="O2275" i="15"/>
  <c r="O2035" i="15"/>
  <c r="O2270" i="15"/>
  <c r="O2064" i="15"/>
  <c r="O2279" i="15"/>
  <c r="O2036" i="15"/>
  <c r="O2271" i="15"/>
  <c r="O2059" i="15"/>
  <c r="O2274" i="15"/>
  <c r="O2037" i="15"/>
  <c r="O2272" i="15"/>
  <c r="O2062" i="15"/>
  <c r="O2277" i="15"/>
  <c r="O2061" i="15"/>
  <c r="O2276" i="15"/>
  <c r="O1544" i="15"/>
  <c r="O2195" i="15"/>
  <c r="O1549" i="15"/>
  <c r="O2200" i="15"/>
  <c r="O1548" i="15"/>
  <c r="O2199" i="15"/>
  <c r="O1547" i="15"/>
  <c r="O2198" i="15"/>
  <c r="O1469" i="15"/>
  <c r="O2039" i="15"/>
  <c r="O1471" i="15"/>
  <c r="O2041" i="15"/>
  <c r="O1468" i="15"/>
  <c r="O2038" i="15"/>
  <c r="O1470" i="15"/>
  <c r="O2040" i="15"/>
  <c r="O1741" i="15"/>
  <c r="O1875" i="15"/>
  <c r="O1738" i="15"/>
  <c r="O1872" i="15"/>
  <c r="O1736" i="15"/>
  <c r="O1870" i="15"/>
  <c r="O1737" i="15"/>
  <c r="O1871" i="15"/>
  <c r="O1743" i="15"/>
  <c r="O1877" i="15"/>
  <c r="O1739" i="15"/>
  <c r="O1873" i="15"/>
  <c r="O1742" i="15"/>
  <c r="O1876" i="15"/>
  <c r="O1361" i="15"/>
  <c r="O1726" i="15"/>
  <c r="O1359" i="15"/>
  <c r="O1724" i="15"/>
  <c r="O1123" i="15"/>
  <c r="O1740" i="15"/>
  <c r="O1355" i="15"/>
  <c r="O1720" i="15"/>
  <c r="O1358" i="15"/>
  <c r="O1723" i="15"/>
  <c r="O1356" i="15"/>
  <c r="O1721" i="15"/>
  <c r="O1363" i="15"/>
  <c r="O1728" i="15"/>
  <c r="O1357" i="15"/>
  <c r="O1722" i="15"/>
  <c r="O1360" i="15"/>
  <c r="O1725" i="15"/>
  <c r="O1281" i="15"/>
  <c r="O1719" i="15"/>
  <c r="O1362" i="15"/>
  <c r="O1727" i="15"/>
  <c r="O1368" i="15"/>
  <c r="O1527" i="15"/>
  <c r="O1365" i="15"/>
  <c r="O1524" i="15"/>
  <c r="O1439" i="15"/>
  <c r="O1505" i="15"/>
  <c r="O1118" i="15"/>
  <c r="O1504" i="15"/>
  <c r="O1438" i="15"/>
  <c r="O1502" i="15"/>
  <c r="O1185" i="15"/>
  <c r="O1546" i="15"/>
  <c r="O1117" i="15"/>
  <c r="O1503" i="15"/>
  <c r="O1184" i="15"/>
  <c r="O1545" i="15"/>
  <c r="O1369" i="15"/>
  <c r="O1528" i="15"/>
  <c r="O1437" i="15"/>
  <c r="O1501" i="15"/>
  <c r="O1364" i="15"/>
  <c r="O1523" i="15"/>
  <c r="O1440" i="15"/>
  <c r="O1506" i="15"/>
  <c r="O1367" i="15"/>
  <c r="O1526" i="15"/>
  <c r="O1366" i="15"/>
  <c r="O1525" i="15"/>
  <c r="O1180" i="15"/>
  <c r="O1472" i="15"/>
  <c r="O1181" i="15"/>
  <c r="O1473" i="15"/>
  <c r="O1289" i="15"/>
  <c r="O1475" i="15"/>
  <c r="O1182" i="15"/>
  <c r="O1474" i="15"/>
  <c r="O715" i="15"/>
  <c r="O1288" i="15"/>
  <c r="O708" i="15"/>
  <c r="O1283" i="15"/>
  <c r="O710" i="15"/>
  <c r="O1285" i="15"/>
  <c r="O709" i="15"/>
  <c r="O1284" i="15"/>
  <c r="O711" i="15"/>
  <c r="O1286" i="15"/>
  <c r="O714" i="15"/>
  <c r="O1287" i="15"/>
  <c r="O441" i="15"/>
  <c r="O1282" i="15"/>
  <c r="O729" i="15"/>
  <c r="O1188" i="15"/>
  <c r="O713" i="15"/>
  <c r="O1172" i="15"/>
  <c r="O439" i="15"/>
  <c r="O1158" i="15"/>
  <c r="O728" i="15"/>
  <c r="O1187" i="15"/>
  <c r="O727" i="15"/>
  <c r="O1186" i="15"/>
  <c r="O440" i="15"/>
  <c r="O1159" i="15"/>
  <c r="O724" i="15"/>
  <c r="O1183" i="15"/>
  <c r="O438" i="15"/>
  <c r="O1157" i="15"/>
  <c r="O432" i="15"/>
  <c r="O992" i="15"/>
  <c r="O448" i="15"/>
  <c r="O1001" i="15"/>
  <c r="O367" i="15"/>
  <c r="O998" i="15"/>
  <c r="O445" i="15"/>
  <c r="O1000" i="15"/>
  <c r="O368" i="15"/>
  <c r="O999" i="15"/>
  <c r="O459" i="15"/>
  <c r="O1007" i="15"/>
  <c r="O364" i="15"/>
  <c r="O995" i="15"/>
  <c r="O649" i="15"/>
  <c r="O993" i="15"/>
  <c r="O365" i="15"/>
  <c r="O996" i="15"/>
  <c r="O650" i="15"/>
  <c r="O994" i="15"/>
  <c r="O460" i="15"/>
  <c r="O1008" i="15"/>
  <c r="O462" i="15"/>
  <c r="O1010" i="15"/>
  <c r="O461" i="15"/>
  <c r="O1009" i="15"/>
  <c r="O366" i="15"/>
  <c r="O997" i="15"/>
  <c r="O687" i="15"/>
  <c r="O767" i="15"/>
  <c r="O435" i="15"/>
  <c r="O763" i="15"/>
  <c r="O433" i="15"/>
  <c r="O761" i="15"/>
  <c r="O443" i="15"/>
  <c r="O787" i="15"/>
  <c r="O437" i="15"/>
  <c r="O769" i="15"/>
  <c r="O427" i="15"/>
  <c r="O758" i="15"/>
  <c r="O446" i="15"/>
  <c r="O789" i="15"/>
  <c r="O424" i="15"/>
  <c r="O755" i="15"/>
  <c r="O434" i="15"/>
  <c r="O762" i="15"/>
  <c r="O444" i="15"/>
  <c r="O788" i="15"/>
  <c r="O436" i="15"/>
  <c r="O768" i="15"/>
  <c r="O712" i="15"/>
  <c r="O791" i="15"/>
  <c r="O425" i="15"/>
  <c r="O756" i="15"/>
  <c r="O428" i="15"/>
  <c r="O759" i="15"/>
  <c r="O686" i="15"/>
  <c r="O766" i="15"/>
  <c r="O447" i="15"/>
  <c r="O790" i="15"/>
  <c r="O429" i="15"/>
  <c r="O760" i="15"/>
  <c r="O426" i="15"/>
  <c r="O757" i="15"/>
  <c r="O138" i="15"/>
  <c r="O725" i="15"/>
  <c r="O139" i="15"/>
  <c r="O726" i="15"/>
  <c r="DJ359" i="7"/>
  <c r="O99" i="15"/>
  <c r="DJ171" i="7"/>
  <c r="O55" i="15"/>
  <c r="DJ214" i="7"/>
  <c r="O63" i="15"/>
  <c r="DJ356" i="7"/>
  <c r="O96" i="15"/>
  <c r="DJ230" i="7"/>
  <c r="O72" i="15"/>
  <c r="DJ140" i="7"/>
  <c r="O46" i="15"/>
  <c r="O134" i="15"/>
  <c r="DJ355" i="7"/>
  <c r="O95" i="15"/>
  <c r="O62" i="15"/>
  <c r="DJ400" i="7"/>
  <c r="O104" i="15"/>
  <c r="DJ136" i="7"/>
  <c r="O42" i="15"/>
  <c r="DJ139" i="7"/>
  <c r="O45" i="15"/>
  <c r="DL462" i="7"/>
  <c r="O137" i="15"/>
  <c r="DJ199" i="7"/>
  <c r="O58" i="15"/>
  <c r="DJ229" i="7"/>
  <c r="O71" i="15"/>
  <c r="DJ358" i="7"/>
  <c r="O98" i="15"/>
  <c r="DJ398" i="7"/>
  <c r="O102" i="15"/>
  <c r="DJ227" i="7"/>
  <c r="O69" i="15"/>
  <c r="DJ228" i="7"/>
  <c r="O70" i="15"/>
  <c r="DJ247" i="7"/>
  <c r="O74" i="15"/>
  <c r="DJ396" i="7"/>
  <c r="O100" i="15"/>
  <c r="DJ397" i="7"/>
  <c r="O101" i="15"/>
  <c r="DK466" i="7"/>
  <c r="O141" i="15"/>
  <c r="DL465" i="7"/>
  <c r="O140" i="15"/>
  <c r="DJ138" i="7"/>
  <c r="O44" i="15"/>
  <c r="O132" i="15"/>
  <c r="DJ401" i="7"/>
  <c r="O105" i="15"/>
  <c r="DJ226" i="7"/>
  <c r="O68" i="15"/>
  <c r="DJ467" i="7"/>
  <c r="O142" i="15"/>
  <c r="O133" i="15"/>
  <c r="DJ168" i="7"/>
  <c r="O52" i="15"/>
  <c r="DJ248" i="7"/>
  <c r="O75" i="15"/>
  <c r="DJ202" i="7"/>
  <c r="O61" i="15"/>
  <c r="DJ200" i="7"/>
  <c r="O59" i="15"/>
  <c r="DJ135" i="7"/>
  <c r="O41" i="15"/>
  <c r="DJ169" i="7"/>
  <c r="O53" i="15"/>
  <c r="DJ354" i="7"/>
  <c r="O94" i="15"/>
  <c r="DJ357" i="7"/>
  <c r="O97" i="15"/>
  <c r="DJ403" i="7"/>
  <c r="O107" i="15"/>
  <c r="O131" i="15"/>
  <c r="DJ201" i="7"/>
  <c r="O60" i="15"/>
  <c r="DJ137" i="7"/>
  <c r="O43" i="15"/>
  <c r="DK246" i="7"/>
  <c r="O73" i="15"/>
  <c r="DJ170" i="7"/>
  <c r="O54" i="15"/>
  <c r="DJ399" i="7"/>
  <c r="O103" i="15"/>
  <c r="DJ402" i="7"/>
  <c r="O106" i="15"/>
  <c r="DJ249" i="7"/>
  <c r="O76" i="15"/>
  <c r="DL464" i="7"/>
  <c r="DK463" i="7"/>
  <c r="DL137" i="7"/>
  <c r="DK464" i="7"/>
  <c r="DL463" i="7"/>
  <c r="DL402" i="7"/>
  <c r="DJ465" i="7"/>
  <c r="DK465" i="7"/>
  <c r="DK462" i="7"/>
  <c r="DJ466" i="7"/>
  <c r="DJ464" i="7"/>
  <c r="DK467" i="7"/>
  <c r="DJ463" i="7"/>
  <c r="DL467" i="7"/>
  <c r="DK137" i="7"/>
  <c r="DJ462" i="7"/>
  <c r="DK402" i="7"/>
  <c r="DL466" i="7"/>
  <c r="DK140" i="7"/>
  <c r="DK169" i="7"/>
  <c r="DL249" i="7"/>
  <c r="DK249" i="7"/>
  <c r="DL229" i="7"/>
  <c r="DL171" i="7"/>
  <c r="DK199" i="7"/>
  <c r="DL169" i="7"/>
  <c r="DK171" i="7"/>
  <c r="DL230" i="7"/>
  <c r="DK138" i="7"/>
  <c r="DL138" i="7"/>
  <c r="DL356" i="7"/>
  <c r="DL214" i="7"/>
  <c r="DK356" i="7"/>
  <c r="DK357" i="7"/>
  <c r="DK139" i="7"/>
  <c r="DK403" i="7"/>
  <c r="DL357" i="7"/>
  <c r="DL401" i="7"/>
  <c r="DK136" i="7"/>
  <c r="DL139" i="7"/>
  <c r="DL400" i="7"/>
  <c r="DL396" i="7"/>
  <c r="DK396" i="7"/>
  <c r="DL397" i="7"/>
  <c r="DK397" i="7"/>
  <c r="DL355" i="7"/>
  <c r="DK399" i="7"/>
  <c r="DK401" i="7"/>
  <c r="DL213" i="7"/>
  <c r="DL168" i="7"/>
  <c r="DK168" i="7"/>
  <c r="DK201" i="7"/>
  <c r="DL199" i="7"/>
  <c r="DK398" i="7"/>
  <c r="DL136" i="7"/>
  <c r="DK230" i="7"/>
  <c r="DK355" i="7"/>
  <c r="DL398" i="7"/>
  <c r="DL140" i="7"/>
  <c r="DK400" i="7"/>
  <c r="DK213" i="7"/>
  <c r="DK135" i="7"/>
  <c r="DL202" i="7"/>
  <c r="DK200" i="7"/>
  <c r="DL200" i="7"/>
  <c r="DL201" i="7"/>
  <c r="DK202" i="7"/>
  <c r="DL135" i="7"/>
  <c r="DL228" i="7"/>
  <c r="DJ246" i="7"/>
  <c r="DK228" i="7"/>
  <c r="DK227" i="7"/>
  <c r="DL403" i="7"/>
  <c r="DL226" i="7"/>
  <c r="DL246" i="7"/>
  <c r="DL227" i="7"/>
  <c r="DK170" i="7"/>
  <c r="DK226" i="7"/>
  <c r="DL170" i="7"/>
  <c r="DK358" i="7"/>
  <c r="DL358" i="7"/>
  <c r="DL451" i="7"/>
  <c r="DK451" i="7"/>
  <c r="DJ451" i="7"/>
  <c r="DK359" i="7"/>
  <c r="DL453" i="7"/>
  <c r="DK453" i="7"/>
  <c r="DJ453" i="7"/>
  <c r="DL359" i="7"/>
  <c r="DK248" i="7"/>
  <c r="DK247" i="7"/>
  <c r="DJ450" i="7"/>
  <c r="DK450" i="7"/>
  <c r="DL450" i="7"/>
  <c r="DK354" i="7"/>
  <c r="DL248" i="7"/>
  <c r="DL247" i="7"/>
  <c r="DJ452" i="7"/>
  <c r="DK452" i="7"/>
  <c r="DL452" i="7"/>
  <c r="DL354" i="7"/>
  <c r="DK229" i="7"/>
  <c r="DL399" i="7"/>
  <c r="DK214" i="7"/>
  <c r="EA90" i="7" l="1"/>
  <c r="EE393" i="7"/>
  <c r="EE215" i="7"/>
  <c r="EE90" i="7"/>
  <c r="AC3115" i="15" l="1"/>
  <c r="AC2682" i="15"/>
  <c r="AC2277" i="15"/>
  <c r="AC2038" i="15"/>
  <c r="AC1546" i="15"/>
  <c r="AC1123" i="15"/>
  <c r="AC659" i="15"/>
  <c r="AC120" i="15"/>
  <c r="AC2597" i="15"/>
  <c r="AC2409" i="15"/>
  <c r="AC1853" i="15"/>
  <c r="AC1505" i="15"/>
  <c r="AC968" i="15"/>
  <c r="AC1109" i="15"/>
  <c r="AC658" i="15"/>
  <c r="AC17" i="15"/>
  <c r="Z2597" i="15"/>
  <c r="Z2409" i="15"/>
  <c r="Z1853" i="15"/>
  <c r="Z1505" i="15"/>
  <c r="Z1109" i="15"/>
  <c r="Z968" i="15"/>
  <c r="Z17" i="15"/>
  <c r="Z658" i="15"/>
  <c r="AC3078" i="15"/>
  <c r="AC1540" i="15"/>
  <c r="AC382" i="15"/>
  <c r="AC99" i="15"/>
  <c r="EA263" i="7"/>
  <c r="EA250" i="7"/>
  <c r="EA261" i="7"/>
  <c r="EA131" i="7"/>
  <c r="EA133" i="7"/>
  <c r="EA130" i="7"/>
  <c r="EA260" i="7"/>
  <c r="EA132" i="7"/>
  <c r="EA253" i="7"/>
  <c r="EA251" i="7"/>
  <c r="EA269" i="7"/>
  <c r="EB269" i="7" s="1"/>
  <c r="EA254" i="7"/>
  <c r="EA255" i="7"/>
  <c r="EA268" i="7"/>
  <c r="EA259" i="7"/>
  <c r="EA265" i="7"/>
  <c r="EA211" i="7"/>
  <c r="EA264" i="7"/>
  <c r="EA258" i="7"/>
  <c r="EA257" i="7"/>
  <c r="EA129" i="7"/>
  <c r="EA128" i="7"/>
  <c r="EI90" i="7"/>
  <c r="EA169" i="7"/>
  <c r="EA168" i="7"/>
  <c r="EE9" i="7"/>
  <c r="EE8" i="7"/>
  <c r="EA256" i="7"/>
  <c r="EA393" i="7"/>
  <c r="EA212" i="7"/>
  <c r="EE212" i="7"/>
  <c r="Z3220" i="15" l="1"/>
  <c r="Z2652" i="15"/>
  <c r="Z2529" i="15"/>
  <c r="Z1722" i="15"/>
  <c r="Z1899" i="15"/>
  <c r="Z1373" i="15"/>
  <c r="Z991" i="15"/>
  <c r="Z463" i="15"/>
  <c r="Z88" i="15"/>
  <c r="AE3088" i="15"/>
  <c r="AD3088" i="15"/>
  <c r="AC3088" i="15"/>
  <c r="Z2928" i="15"/>
  <c r="Z2623" i="15"/>
  <c r="Z2417" i="15"/>
  <c r="Z1706" i="15"/>
  <c r="Z1879" i="15"/>
  <c r="Z1110" i="15"/>
  <c r="Z443" i="15"/>
  <c r="Z767" i="15"/>
  <c r="Z51" i="15"/>
  <c r="Z3114" i="15"/>
  <c r="Z2681" i="15"/>
  <c r="Z2276" i="15"/>
  <c r="Z2037" i="15"/>
  <c r="Z1739" i="15"/>
  <c r="Z1387" i="15"/>
  <c r="Z808" i="15"/>
  <c r="Z488" i="15"/>
  <c r="Z119" i="15"/>
  <c r="Z2929" i="15"/>
  <c r="Z2624" i="15"/>
  <c r="Z2418" i="15"/>
  <c r="Z1707" i="15"/>
  <c r="Z1880" i="15"/>
  <c r="Z1365" i="15"/>
  <c r="Z768" i="15"/>
  <c r="Z444" i="15"/>
  <c r="Z52" i="15"/>
  <c r="Z3106" i="15"/>
  <c r="Z2671" i="15"/>
  <c r="Z2268" i="15"/>
  <c r="Z2029" i="15"/>
  <c r="Z1729" i="15"/>
  <c r="Z1379" i="15"/>
  <c r="Z799" i="15"/>
  <c r="Z478" i="15"/>
  <c r="Z109" i="15"/>
  <c r="Z2933" i="15"/>
  <c r="Z2628" i="15"/>
  <c r="Z2422" i="15"/>
  <c r="Z1711" i="15"/>
  <c r="Z1884" i="15"/>
  <c r="Z1366" i="15"/>
  <c r="Z772" i="15"/>
  <c r="Z448" i="15"/>
  <c r="Z56" i="15"/>
  <c r="Z2954" i="15"/>
  <c r="Z2676" i="15"/>
  <c r="Z2436" i="15"/>
  <c r="Z1734" i="15"/>
  <c r="Z1911" i="15"/>
  <c r="Z1283" i="15"/>
  <c r="Z803" i="15"/>
  <c r="Z483" i="15"/>
  <c r="Z114" i="15"/>
  <c r="Z3221" i="15"/>
  <c r="Z2653" i="15"/>
  <c r="Z2530" i="15"/>
  <c r="Z1723" i="15"/>
  <c r="Z1900" i="15"/>
  <c r="Z1374" i="15"/>
  <c r="Z789" i="15"/>
  <c r="Z464" i="15"/>
  <c r="Z89" i="15"/>
  <c r="Z2930" i="15"/>
  <c r="Z2625" i="15"/>
  <c r="Z2419" i="15"/>
  <c r="Z1708" i="15"/>
  <c r="Z1881" i="15"/>
  <c r="Z769" i="15"/>
  <c r="Z1111" i="15"/>
  <c r="Z445" i="15"/>
  <c r="Z53" i="15"/>
  <c r="AC3102" i="15"/>
  <c r="AC2660" i="15"/>
  <c r="AC2264" i="15"/>
  <c r="AC1904" i="15"/>
  <c r="AC1725" i="15"/>
  <c r="AC997" i="15"/>
  <c r="AC1166" i="15"/>
  <c r="AC651" i="15"/>
  <c r="AC97" i="15"/>
  <c r="Z3108" i="15"/>
  <c r="Z2673" i="15"/>
  <c r="Z2270" i="15"/>
  <c r="Z2031" i="15"/>
  <c r="Z1731" i="15"/>
  <c r="Z1381" i="15"/>
  <c r="Z801" i="15"/>
  <c r="Z480" i="15"/>
  <c r="Z111" i="15"/>
  <c r="Z3105" i="15"/>
  <c r="Z2670" i="15"/>
  <c r="Z2267" i="15"/>
  <c r="Z2028" i="15"/>
  <c r="Z1728" i="15"/>
  <c r="Z1378" i="15"/>
  <c r="Z798" i="15"/>
  <c r="Z477" i="15"/>
  <c r="Z108" i="15"/>
  <c r="Z2931" i="15"/>
  <c r="Z2626" i="15"/>
  <c r="Z2420" i="15"/>
  <c r="Z1709" i="15"/>
  <c r="Z1882" i="15"/>
  <c r="Z1275" i="15"/>
  <c r="Z770" i="15"/>
  <c r="Z54" i="15"/>
  <c r="Z446" i="15"/>
  <c r="Z2955" i="15"/>
  <c r="Z2677" i="15"/>
  <c r="Z2437" i="15"/>
  <c r="Z1912" i="15"/>
  <c r="Z1735" i="15"/>
  <c r="Z804" i="15"/>
  <c r="Z484" i="15"/>
  <c r="Z1284" i="15"/>
  <c r="Z115" i="15"/>
  <c r="Z3110" i="15"/>
  <c r="Z2675" i="15"/>
  <c r="Z2272" i="15"/>
  <c r="Z2033" i="15"/>
  <c r="Z1733" i="15"/>
  <c r="Z1383" i="15"/>
  <c r="Z113" i="15"/>
  <c r="Z482" i="15"/>
  <c r="Z2952" i="15"/>
  <c r="Z2668" i="15"/>
  <c r="Z2434" i="15"/>
  <c r="Z1726" i="15"/>
  <c r="Z1909" i="15"/>
  <c r="Z1281" i="15"/>
  <c r="Z796" i="15"/>
  <c r="Z475" i="15"/>
  <c r="Z106" i="15"/>
  <c r="Z3102" i="15"/>
  <c r="Z2660" i="15"/>
  <c r="Z2264" i="15"/>
  <c r="Z1904" i="15"/>
  <c r="Z1725" i="15"/>
  <c r="Z1166" i="15"/>
  <c r="Z997" i="15"/>
  <c r="Z651" i="15"/>
  <c r="Z97" i="15"/>
  <c r="Z3109" i="15"/>
  <c r="Z2674" i="15"/>
  <c r="Z2271" i="15"/>
  <c r="Z2032" i="15"/>
  <c r="Z1732" i="15"/>
  <c r="Z1382" i="15"/>
  <c r="Z802" i="15"/>
  <c r="Z481" i="15"/>
  <c r="Z112" i="15"/>
  <c r="Z3107" i="15"/>
  <c r="Z2672" i="15"/>
  <c r="Z2269" i="15"/>
  <c r="Z2030" i="15"/>
  <c r="Z1730" i="15"/>
  <c r="Z1380" i="15"/>
  <c r="Z800" i="15"/>
  <c r="Z479" i="15"/>
  <c r="Z110" i="15"/>
  <c r="Z3111" i="15"/>
  <c r="Z2678" i="15"/>
  <c r="Z2273" i="15"/>
  <c r="Z2034" i="15"/>
  <c r="Z1736" i="15"/>
  <c r="Z1384" i="15"/>
  <c r="Z805" i="15"/>
  <c r="Z116" i="15"/>
  <c r="Z485" i="15"/>
  <c r="Z2953" i="15"/>
  <c r="Z2669" i="15"/>
  <c r="Z2435" i="15"/>
  <c r="Z1727" i="15"/>
  <c r="Z1910" i="15"/>
  <c r="Z1282" i="15"/>
  <c r="Z797" i="15"/>
  <c r="Z107" i="15"/>
  <c r="Z476" i="15"/>
  <c r="AC2919" i="15"/>
  <c r="AC2586" i="15"/>
  <c r="AC2193" i="15"/>
  <c r="AC1845" i="15"/>
  <c r="AC1498" i="15"/>
  <c r="AC1146" i="15"/>
  <c r="AC416" i="15"/>
  <c r="AC6" i="15"/>
  <c r="Z3101" i="15"/>
  <c r="Z2659" i="15"/>
  <c r="Z2263" i="15"/>
  <c r="Z1903" i="15"/>
  <c r="Z1724" i="15"/>
  <c r="Z790" i="15"/>
  <c r="Z1377" i="15"/>
  <c r="Z96" i="15"/>
  <c r="Z469" i="15"/>
  <c r="AC396" i="15"/>
  <c r="AE396" i="15"/>
  <c r="AD396" i="15"/>
  <c r="Z3115" i="15"/>
  <c r="Z2682" i="15"/>
  <c r="Z2277" i="15"/>
  <c r="Z2038" i="15"/>
  <c r="Z1546" i="15"/>
  <c r="Z1123" i="15"/>
  <c r="Z659" i="15"/>
  <c r="Z747" i="15" s="1"/>
  <c r="Z120" i="15"/>
  <c r="AC2920" i="15"/>
  <c r="AC2587" i="15"/>
  <c r="AC2194" i="15"/>
  <c r="AC1846" i="15"/>
  <c r="AC1499" i="15"/>
  <c r="AC1264" i="15"/>
  <c r="AC417" i="15"/>
  <c r="AC7" i="15"/>
  <c r="Z3112" i="15"/>
  <c r="Z2679" i="15"/>
  <c r="Z2274" i="15"/>
  <c r="Z2035" i="15"/>
  <c r="Z1737" i="15"/>
  <c r="Z806" i="15"/>
  <c r="Z1385" i="15"/>
  <c r="Z486" i="15"/>
  <c r="Z117" i="15"/>
  <c r="Z2932" i="15"/>
  <c r="Z2627" i="15"/>
  <c r="Z2421" i="15"/>
  <c r="Z1710" i="15"/>
  <c r="Z1883" i="15"/>
  <c r="Z1112" i="15"/>
  <c r="Z447" i="15"/>
  <c r="Z771" i="15"/>
  <c r="Z55" i="15"/>
  <c r="AC747" i="15"/>
  <c r="AD747" i="15"/>
  <c r="AE747" i="15"/>
  <c r="EE168" i="7"/>
  <c r="EI165" i="7"/>
  <c r="EE12" i="7"/>
  <c r="EE10" i="7"/>
  <c r="EE266" i="7"/>
  <c r="EE256" i="7"/>
  <c r="EI163" i="7"/>
  <c r="EI164" i="7"/>
  <c r="EE264" i="7"/>
  <c r="EE259" i="7"/>
  <c r="EE257" i="7"/>
  <c r="EE258" i="7"/>
  <c r="EE255" i="7"/>
  <c r="EE254" i="7"/>
  <c r="EE211" i="7"/>
  <c r="EE268" i="7"/>
  <c r="EE265" i="7"/>
  <c r="EE132" i="7"/>
  <c r="EE261" i="7"/>
  <c r="EE130" i="7"/>
  <c r="EE260" i="7"/>
  <c r="EE129" i="7"/>
  <c r="EE131" i="7"/>
  <c r="EE251" i="7"/>
  <c r="EE128" i="7"/>
  <c r="EE252" i="7"/>
  <c r="EE262" i="7"/>
  <c r="EE250" i="7"/>
  <c r="EE11" i="7"/>
  <c r="EE13" i="7"/>
  <c r="EI212" i="7"/>
  <c r="EI393" i="7"/>
  <c r="EA215" i="7"/>
  <c r="AA1107" i="15" l="1"/>
  <c r="Z2522" i="15"/>
  <c r="AB1107" i="15"/>
  <c r="AB2522" i="15"/>
  <c r="AA1144" i="15"/>
  <c r="Z3078" i="15"/>
  <c r="Z1540" i="15"/>
  <c r="Z382" i="15"/>
  <c r="Z99" i="15"/>
  <c r="AC2931" i="15"/>
  <c r="AC2626" i="15"/>
  <c r="AC2420" i="15"/>
  <c r="AC1709" i="15"/>
  <c r="AC1882" i="15"/>
  <c r="AC770" i="15"/>
  <c r="AC1275" i="15"/>
  <c r="AC446" i="15"/>
  <c r="AC54" i="15"/>
  <c r="AC3110" i="15"/>
  <c r="AC2675" i="15"/>
  <c r="AC2272" i="15"/>
  <c r="AC2033" i="15"/>
  <c r="AC1733" i="15"/>
  <c r="AC1383" i="15"/>
  <c r="AC482" i="15"/>
  <c r="AC113" i="15"/>
  <c r="AA747" i="15"/>
  <c r="AA2191" i="15"/>
  <c r="AB2191" i="15"/>
  <c r="Z2191" i="15"/>
  <c r="AC2953" i="15"/>
  <c r="AC2669" i="15"/>
  <c r="AC2435" i="15"/>
  <c r="AC1910" i="15"/>
  <c r="AC1727" i="15"/>
  <c r="AC1282" i="15"/>
  <c r="AC797" i="15"/>
  <c r="AC476" i="15"/>
  <c r="AC107" i="15"/>
  <c r="AC2929" i="15"/>
  <c r="AC2624" i="15"/>
  <c r="AC2418" i="15"/>
  <c r="AC1707" i="15"/>
  <c r="AC1880" i="15"/>
  <c r="AC1365" i="15"/>
  <c r="AC768" i="15"/>
  <c r="AC444" i="15"/>
  <c r="AC52" i="15"/>
  <c r="AC3112" i="15"/>
  <c r="AC2679" i="15"/>
  <c r="AC2274" i="15"/>
  <c r="AC2035" i="15"/>
  <c r="AC1737" i="15"/>
  <c r="AC1385" i="15"/>
  <c r="AC806" i="15"/>
  <c r="AC486" i="15"/>
  <c r="AC117" i="15"/>
  <c r="AC3111" i="15"/>
  <c r="AC2678" i="15"/>
  <c r="AC2273" i="15"/>
  <c r="AC2034" i="15"/>
  <c r="AC1736" i="15"/>
  <c r="AC1384" i="15"/>
  <c r="AC805" i="15"/>
  <c r="AC485" i="15"/>
  <c r="AC116" i="15"/>
  <c r="Z1144" i="15"/>
  <c r="Z2405" i="15"/>
  <c r="AB2405" i="15"/>
  <c r="AA2405" i="15"/>
  <c r="AB747" i="15"/>
  <c r="AA1435" i="15"/>
  <c r="AB1435" i="15"/>
  <c r="Z1435" i="15"/>
  <c r="AC2954" i="15"/>
  <c r="AC2676" i="15"/>
  <c r="AC2436" i="15"/>
  <c r="AC1911" i="15"/>
  <c r="AC1734" i="15"/>
  <c r="AC1283" i="15"/>
  <c r="AC803" i="15"/>
  <c r="AC483" i="15"/>
  <c r="AC114" i="15"/>
  <c r="AC3114" i="15"/>
  <c r="AC2681" i="15"/>
  <c r="AC2276" i="15"/>
  <c r="AC1739" i="15"/>
  <c r="AC2037" i="15"/>
  <c r="AC1387" i="15"/>
  <c r="AC808" i="15"/>
  <c r="AC488" i="15"/>
  <c r="AC119" i="15"/>
  <c r="AC3107" i="15"/>
  <c r="AC2672" i="15"/>
  <c r="AC2030" i="15"/>
  <c r="AC2269" i="15"/>
  <c r="AC1730" i="15"/>
  <c r="AC1380" i="15"/>
  <c r="AC800" i="15"/>
  <c r="AC479" i="15"/>
  <c r="AC110" i="15"/>
  <c r="AC2921" i="15"/>
  <c r="AC2588" i="15"/>
  <c r="AC2195" i="15"/>
  <c r="AC1847" i="15"/>
  <c r="AC1500" i="15"/>
  <c r="AC418" i="15"/>
  <c r="AC1147" i="15"/>
  <c r="AC8" i="15"/>
  <c r="AB1144" i="15"/>
  <c r="AA656" i="15"/>
  <c r="AB656" i="15"/>
  <c r="Z656" i="15"/>
  <c r="AC2924" i="15"/>
  <c r="AC2591" i="15"/>
  <c r="AC2198" i="15"/>
  <c r="AC1850" i="15"/>
  <c r="AC1503" i="15"/>
  <c r="AC1266" i="15"/>
  <c r="AC421" i="15"/>
  <c r="AC11" i="15"/>
  <c r="AC2952" i="15"/>
  <c r="AC2668" i="15"/>
  <c r="AC2434" i="15"/>
  <c r="AC1909" i="15"/>
  <c r="AC1726" i="15"/>
  <c r="AC1281" i="15"/>
  <c r="AC796" i="15"/>
  <c r="AC106" i="15"/>
  <c r="AC475" i="15"/>
  <c r="AC2930" i="15"/>
  <c r="AC2625" i="15"/>
  <c r="AC2419" i="15"/>
  <c r="AC1708" i="15"/>
  <c r="AC1881" i="15"/>
  <c r="AC1111" i="15"/>
  <c r="AC769" i="15"/>
  <c r="AC53" i="15"/>
  <c r="AC445" i="15"/>
  <c r="AC3101" i="15"/>
  <c r="AC2659" i="15"/>
  <c r="AC2263" i="15"/>
  <c r="AC1903" i="15"/>
  <c r="AC1724" i="15"/>
  <c r="AC1377" i="15"/>
  <c r="AC790" i="15"/>
  <c r="AC469" i="15"/>
  <c r="AC96" i="15"/>
  <c r="AC3113" i="15"/>
  <c r="AC2680" i="15"/>
  <c r="AC2275" i="15"/>
  <c r="AC2036" i="15"/>
  <c r="AC1738" i="15"/>
  <c r="AC1386" i="15"/>
  <c r="AC807" i="15"/>
  <c r="AC487" i="15"/>
  <c r="AC118" i="15"/>
  <c r="AC2923" i="15"/>
  <c r="AC2590" i="15"/>
  <c r="AC2197" i="15"/>
  <c r="AC1849" i="15"/>
  <c r="AC1502" i="15"/>
  <c r="AC1265" i="15"/>
  <c r="AC10" i="15"/>
  <c r="AC420" i="15"/>
  <c r="AB3218" i="15"/>
  <c r="AA3218" i="15"/>
  <c r="Z3218" i="15"/>
  <c r="Z1107" i="15"/>
  <c r="Z965" i="15"/>
  <c r="AA965" i="15"/>
  <c r="AB965" i="15"/>
  <c r="AC2922" i="15"/>
  <c r="AC2589" i="15"/>
  <c r="AC2196" i="15"/>
  <c r="AC1848" i="15"/>
  <c r="AC1501" i="15"/>
  <c r="AC1148" i="15"/>
  <c r="AC419" i="15"/>
  <c r="AC9" i="15"/>
  <c r="AC2955" i="15"/>
  <c r="AC2677" i="15"/>
  <c r="AC2437" i="15"/>
  <c r="AC1735" i="15"/>
  <c r="AC1912" i="15"/>
  <c r="AC1284" i="15"/>
  <c r="AC484" i="15"/>
  <c r="AC804" i="15"/>
  <c r="AC115" i="15"/>
  <c r="AC3105" i="15"/>
  <c r="AC2670" i="15"/>
  <c r="AC2267" i="15"/>
  <c r="AC2028" i="15"/>
  <c r="AC1728" i="15"/>
  <c r="AC1378" i="15"/>
  <c r="AC798" i="15"/>
  <c r="AC108" i="15"/>
  <c r="AC477" i="15"/>
  <c r="AC3220" i="15"/>
  <c r="AC2652" i="15"/>
  <c r="AC2529" i="15"/>
  <c r="AC1899" i="15"/>
  <c r="AC1722" i="15"/>
  <c r="AC1373" i="15"/>
  <c r="AC991" i="15"/>
  <c r="AC463" i="15"/>
  <c r="AC88" i="15"/>
  <c r="AD656" i="15"/>
  <c r="AC656" i="15"/>
  <c r="AE656" i="15"/>
  <c r="AC3108" i="15"/>
  <c r="AC2673" i="15"/>
  <c r="AC2270" i="15"/>
  <c r="AC2031" i="15"/>
  <c r="AC1731" i="15"/>
  <c r="AC1381" i="15"/>
  <c r="AC801" i="15"/>
  <c r="AC480" i="15"/>
  <c r="AC111" i="15"/>
  <c r="AC2932" i="15"/>
  <c r="AC2627" i="15"/>
  <c r="AC2421" i="15"/>
  <c r="AC1710" i="15"/>
  <c r="AC1883" i="15"/>
  <c r="AC1112" i="15"/>
  <c r="AC771" i="15"/>
  <c r="AC447" i="15"/>
  <c r="AC55" i="15"/>
  <c r="AC3106" i="15"/>
  <c r="AC2671" i="15"/>
  <c r="AC2268" i="15"/>
  <c r="AC2029" i="15"/>
  <c r="AC1729" i="15"/>
  <c r="AC1379" i="15"/>
  <c r="AC799" i="15"/>
  <c r="AC478" i="15"/>
  <c r="AC109" i="15"/>
  <c r="AA2522" i="15"/>
  <c r="AA2561" i="15"/>
  <c r="AB2561" i="15"/>
  <c r="Z2561" i="15"/>
  <c r="Z1843" i="15"/>
  <c r="AB1843" i="15"/>
  <c r="AA1843" i="15"/>
  <c r="AC2928" i="15"/>
  <c r="AC2623" i="15"/>
  <c r="AC2417" i="15"/>
  <c r="AC1706" i="15"/>
  <c r="AC1879" i="15"/>
  <c r="AC767" i="15"/>
  <c r="AC1110" i="15"/>
  <c r="AC443" i="15"/>
  <c r="AC51" i="15"/>
  <c r="AC3109" i="15"/>
  <c r="AC2674" i="15"/>
  <c r="AC2271" i="15"/>
  <c r="AC2032" i="15"/>
  <c r="AC1732" i="15"/>
  <c r="AC1382" i="15"/>
  <c r="AC802" i="15"/>
  <c r="AC112" i="15"/>
  <c r="AC481" i="15"/>
  <c r="AB3264" i="15"/>
  <c r="Z3264" i="15"/>
  <c r="AA3264" i="15"/>
  <c r="EA8" i="7"/>
  <c r="EA9" i="7"/>
  <c r="EI133" i="7"/>
  <c r="EI261" i="7"/>
  <c r="EI254" i="7"/>
  <c r="EI130" i="7"/>
  <c r="EI132" i="7"/>
  <c r="EI255" i="7"/>
  <c r="EI256" i="7"/>
  <c r="EI211" i="7"/>
  <c r="EI128" i="7"/>
  <c r="EI258" i="7"/>
  <c r="EI266" i="7"/>
  <c r="EI112" i="7"/>
  <c r="EI251" i="7"/>
  <c r="EI257" i="7"/>
  <c r="EI131" i="7"/>
  <c r="EI129" i="7"/>
  <c r="EH265" i="7"/>
  <c r="EI265" i="7"/>
  <c r="EI264" i="7"/>
  <c r="EI168" i="7"/>
  <c r="EI215" i="7"/>
  <c r="EI259" i="7"/>
  <c r="EI250" i="7"/>
  <c r="EI260" i="7"/>
  <c r="EI268" i="7"/>
  <c r="EI169" i="7"/>
  <c r="AC1262" i="15" l="1"/>
  <c r="AD2235" i="15"/>
  <c r="AE1685" i="15"/>
  <c r="AC2235" i="15"/>
  <c r="AE2235" i="15"/>
  <c r="AE602" i="15"/>
  <c r="AD2917" i="15"/>
  <c r="AC2917" i="15"/>
  <c r="AD602" i="15"/>
  <c r="AC3027" i="15"/>
  <c r="AE361" i="15"/>
  <c r="AE1262" i="15"/>
  <c r="AC361" i="15"/>
  <c r="AD1350" i="15"/>
  <c r="AE1350" i="15"/>
  <c r="AC1685" i="15"/>
  <c r="AE2006" i="15"/>
  <c r="AC1843" i="15"/>
  <c r="AD1843" i="15"/>
  <c r="AE1843" i="15"/>
  <c r="AD1685" i="15"/>
  <c r="AD3264" i="15"/>
  <c r="AE3264" i="15"/>
  <c r="AC3264" i="15"/>
  <c r="AE2191" i="15"/>
  <c r="AC2191" i="15"/>
  <c r="AD2191" i="15"/>
  <c r="AD1262" i="15"/>
  <c r="AE3218" i="15"/>
  <c r="AC3218" i="15"/>
  <c r="AD3218" i="15"/>
  <c r="AD361" i="15"/>
  <c r="AC1350" i="15"/>
  <c r="AC1435" i="15"/>
  <c r="AD1435" i="15"/>
  <c r="AE1435" i="15"/>
  <c r="Z2920" i="15"/>
  <c r="Z2587" i="15"/>
  <c r="Z2194" i="15"/>
  <c r="Z1846" i="15"/>
  <c r="Z1499" i="15"/>
  <c r="Z1264" i="15"/>
  <c r="Z7" i="15"/>
  <c r="Z417" i="15"/>
  <c r="AC2522" i="15"/>
  <c r="AD2522" i="15"/>
  <c r="AE2522" i="15"/>
  <c r="AC2006" i="15"/>
  <c r="AC602" i="15"/>
  <c r="AA3088" i="15"/>
  <c r="Z3088" i="15"/>
  <c r="AB3088" i="15"/>
  <c r="Z2919" i="15"/>
  <c r="Z2586" i="15"/>
  <c r="Z2193" i="15"/>
  <c r="Z1845" i="15"/>
  <c r="Z1498" i="15"/>
  <c r="Z1146" i="15"/>
  <c r="Z416" i="15"/>
  <c r="Z6" i="15"/>
  <c r="AD1107" i="15"/>
  <c r="AC1107" i="15"/>
  <c r="AE1107" i="15"/>
  <c r="AD1144" i="15"/>
  <c r="AE1144" i="15"/>
  <c r="AC1144" i="15"/>
  <c r="AD2006" i="15"/>
  <c r="AE3027" i="15"/>
  <c r="AE2917" i="15"/>
  <c r="Z396" i="15"/>
  <c r="AB396" i="15"/>
  <c r="AA396" i="15"/>
  <c r="AE965" i="15"/>
  <c r="AC965" i="15"/>
  <c r="AD965" i="15"/>
  <c r="AD2561" i="15"/>
  <c r="AC2561" i="15"/>
  <c r="AE2561" i="15"/>
  <c r="AE2405" i="15"/>
  <c r="AC2405" i="15"/>
  <c r="AD2405" i="15"/>
  <c r="AD3027" i="15"/>
  <c r="EB8" i="7"/>
  <c r="AA2919" i="15" s="1"/>
  <c r="EI8" i="7"/>
  <c r="EI117" i="7"/>
  <c r="EI121" i="7"/>
  <c r="EA10" i="7"/>
  <c r="EA12" i="7"/>
  <c r="EI127" i="7"/>
  <c r="EI115" i="7"/>
  <c r="EI116" i="7"/>
  <c r="EI162" i="7"/>
  <c r="EI123" i="7"/>
  <c r="EI114" i="7"/>
  <c r="EI119" i="7"/>
  <c r="EI113" i="7"/>
  <c r="EI126" i="7"/>
  <c r="EI125" i="7"/>
  <c r="EI122" i="7"/>
  <c r="EI124" i="7"/>
  <c r="EI118" i="7"/>
  <c r="EI120" i="7"/>
  <c r="EI9" i="7"/>
  <c r="Z2923" i="15" l="1"/>
  <c r="Z2590" i="15"/>
  <c r="Z2197" i="15"/>
  <c r="Z1849" i="15"/>
  <c r="Z1502" i="15"/>
  <c r="Z1265" i="15"/>
  <c r="Z420" i="15"/>
  <c r="Z10" i="15"/>
  <c r="Z2921" i="15"/>
  <c r="Z2588" i="15"/>
  <c r="Z2195" i="15"/>
  <c r="Z1847" i="15"/>
  <c r="Z1500" i="15"/>
  <c r="Z1147" i="15"/>
  <c r="Z418" i="15"/>
  <c r="Z8" i="15"/>
  <c r="AA2193" i="15"/>
  <c r="AA2586" i="15"/>
  <c r="AA1498" i="15"/>
  <c r="AA1845" i="15"/>
  <c r="AA416" i="15"/>
  <c r="AA1146" i="15"/>
  <c r="AA6" i="15"/>
  <c r="ED8" i="7"/>
  <c r="EB9" i="7"/>
  <c r="AA2920" i="15" s="1"/>
  <c r="EI10" i="7"/>
  <c r="EA11" i="7"/>
  <c r="EA13" i="7"/>
  <c r="EI12" i="7"/>
  <c r="Z2922" i="15" l="1"/>
  <c r="Z2589" i="15"/>
  <c r="Z2196" i="15"/>
  <c r="Z1848" i="15"/>
  <c r="Z1501" i="15"/>
  <c r="Z1148" i="15"/>
  <c r="AB1262" i="15" s="1"/>
  <c r="Z419" i="15"/>
  <c r="Z9" i="15"/>
  <c r="EI13" i="7"/>
  <c r="Z2924" i="15"/>
  <c r="Z2591" i="15"/>
  <c r="Z2198" i="15"/>
  <c r="Z1850" i="15"/>
  <c r="Z1503" i="15"/>
  <c r="Z1266" i="15"/>
  <c r="AA1350" i="15" s="1"/>
  <c r="Z11" i="15"/>
  <c r="Z421" i="15"/>
  <c r="AA2194" i="15"/>
  <c r="AA2587" i="15"/>
  <c r="AA1499" i="15"/>
  <c r="AA1846" i="15"/>
  <c r="AA417" i="15"/>
  <c r="AA1264" i="15"/>
  <c r="ED9" i="7"/>
  <c r="AA7" i="15"/>
  <c r="EI11" i="7"/>
  <c r="AB2235" i="15" l="1"/>
  <c r="Z602" i="15"/>
  <c r="Z1685" i="15"/>
  <c r="AA2235" i="15"/>
  <c r="AB1685" i="15"/>
  <c r="AA1685" i="15"/>
  <c r="AB3027" i="15"/>
  <c r="AA3027" i="15"/>
  <c r="Z3027" i="15"/>
  <c r="Z361" i="15"/>
  <c r="AB361" i="15"/>
  <c r="AA361" i="15"/>
  <c r="Z2235" i="15"/>
  <c r="AA2006" i="15"/>
  <c r="AB2006" i="15"/>
  <c r="Z1262" i="15"/>
  <c r="AA1262" i="15"/>
  <c r="AA602" i="15"/>
  <c r="Z1350" i="15"/>
  <c r="AB1350" i="15"/>
  <c r="AB602" i="15"/>
  <c r="Z2917" i="15"/>
  <c r="AB2917" i="15"/>
  <c r="AA2917" i="15"/>
  <c r="Z2006" i="15"/>
  <c r="AU354" i="15" l="1"/>
  <c r="AV354" i="15"/>
  <c r="AT354" i="15"/>
  <c r="DR221" i="7" l="1"/>
  <c r="DS221" i="7" l="1"/>
  <c r="X2542" i="15" s="1"/>
  <c r="W3045" i="15"/>
  <c r="W2736" i="15"/>
  <c r="W2542" i="15"/>
  <c r="W1475" i="15"/>
  <c r="W824" i="15"/>
  <c r="W1306" i="15"/>
  <c r="W503" i="15"/>
  <c r="W185" i="15"/>
  <c r="DU98" i="7"/>
  <c r="DV98" i="7"/>
  <c r="DV221" i="7"/>
  <c r="DU99" i="7"/>
  <c r="DV99" i="7"/>
  <c r="DQ98" i="7"/>
  <c r="DQ221" i="7"/>
  <c r="DX221" i="7" l="1"/>
  <c r="X3045" i="15"/>
  <c r="DW221" i="7"/>
  <c r="X2736" i="15"/>
  <c r="DU221" i="7"/>
  <c r="X503" i="15"/>
  <c r="X1306" i="15"/>
  <c r="W2561" i="15"/>
  <c r="X2561" i="15"/>
  <c r="Y2561" i="15"/>
  <c r="X1475" i="15"/>
  <c r="X185" i="15"/>
  <c r="X1496" i="15"/>
  <c r="Y1496" i="15"/>
  <c r="W1496" i="15"/>
  <c r="X824" i="15"/>
  <c r="DY221" i="7"/>
  <c r="W3069" i="15"/>
  <c r="Y3069" i="15"/>
  <c r="X3069" i="15"/>
  <c r="DN164" i="7" l="1"/>
  <c r="DN163" i="7"/>
  <c r="DN165" i="7"/>
  <c r="DR165" i="7"/>
  <c r="DR164" i="7"/>
  <c r="DR163" i="7"/>
  <c r="DN25" i="7"/>
  <c r="DN23" i="7"/>
  <c r="DN11" i="7"/>
  <c r="DN13" i="7"/>
  <c r="T2930" i="15" l="1"/>
  <c r="T2597" i="15"/>
  <c r="T2204" i="15"/>
  <c r="T1856" i="15"/>
  <c r="T1509" i="15"/>
  <c r="T1269" i="15"/>
  <c r="T427" i="15"/>
  <c r="T17" i="15"/>
  <c r="T3072" i="15"/>
  <c r="T2693" i="15"/>
  <c r="T2218" i="15"/>
  <c r="T1918" i="15"/>
  <c r="T1558" i="15"/>
  <c r="T1117" i="15"/>
  <c r="T798" i="15"/>
  <c r="T616" i="15"/>
  <c r="T134" i="15"/>
  <c r="T3073" i="15"/>
  <c r="T2694" i="15"/>
  <c r="T2219" i="15"/>
  <c r="T1919" i="15"/>
  <c r="T1559" i="15"/>
  <c r="T799" i="15"/>
  <c r="T1118" i="15"/>
  <c r="T617" i="15"/>
  <c r="T135" i="15"/>
  <c r="T2938" i="15"/>
  <c r="T2605" i="15"/>
  <c r="T2210" i="15"/>
  <c r="T1866" i="15"/>
  <c r="T1519" i="15"/>
  <c r="T753" i="15"/>
  <c r="T1155" i="15"/>
  <c r="T433" i="15"/>
  <c r="T27" i="15"/>
  <c r="T2928" i="15"/>
  <c r="T2595" i="15"/>
  <c r="T2202" i="15"/>
  <c r="T1854" i="15"/>
  <c r="T1507" i="15"/>
  <c r="T1151" i="15"/>
  <c r="T425" i="15"/>
  <c r="T15" i="15"/>
  <c r="T2940" i="15"/>
  <c r="T2607" i="15"/>
  <c r="T2212" i="15"/>
  <c r="T1868" i="15"/>
  <c r="T1521" i="15"/>
  <c r="T1275" i="15"/>
  <c r="T754" i="15"/>
  <c r="T435" i="15"/>
  <c r="T29" i="15"/>
  <c r="T3074" i="15"/>
  <c r="T2695" i="15"/>
  <c r="T2220" i="15"/>
  <c r="T1920" i="15"/>
  <c r="T1560" i="15"/>
  <c r="T800" i="15"/>
  <c r="T1119" i="15"/>
  <c r="T618" i="15"/>
  <c r="T136" i="15"/>
  <c r="W3072" i="15"/>
  <c r="W2693" i="15"/>
  <c r="W2218" i="15"/>
  <c r="W1918" i="15"/>
  <c r="W1558" i="15"/>
  <c r="W1117" i="15"/>
  <c r="W616" i="15"/>
  <c r="W134" i="15"/>
  <c r="W798" i="15"/>
  <c r="W3073" i="15"/>
  <c r="W2694" i="15"/>
  <c r="W2219" i="15"/>
  <c r="W1919" i="15"/>
  <c r="W1559" i="15"/>
  <c r="W1118" i="15"/>
  <c r="W799" i="15"/>
  <c r="W617" i="15"/>
  <c r="W135" i="15"/>
  <c r="W3074" i="15"/>
  <c r="W2695" i="15"/>
  <c r="W2220" i="15"/>
  <c r="W1920" i="15"/>
  <c r="W1560" i="15"/>
  <c r="W1119" i="15"/>
  <c r="W800" i="15"/>
  <c r="W618" i="15"/>
  <c r="W136" i="15"/>
  <c r="DV163" i="7"/>
  <c r="DV164" i="7"/>
  <c r="DV165" i="7"/>
  <c r="DV210" i="7"/>
  <c r="DR13" i="7"/>
  <c r="DR11" i="7"/>
  <c r="DN24" i="7"/>
  <c r="DN22" i="7"/>
  <c r="DN12" i="7"/>
  <c r="DR22" i="7"/>
  <c r="DR24" i="7"/>
  <c r="DR25" i="7"/>
  <c r="DR23" i="7"/>
  <c r="DR12" i="7"/>
  <c r="DR162" i="7"/>
  <c r="W2940" i="15" l="1"/>
  <c r="W2607" i="15"/>
  <c r="W2212" i="15"/>
  <c r="W1868" i="15"/>
  <c r="W1521" i="15"/>
  <c r="W1275" i="15"/>
  <c r="W754" i="15"/>
  <c r="W435" i="15"/>
  <c r="W29" i="15"/>
  <c r="W2928" i="15"/>
  <c r="W2595" i="15"/>
  <c r="W2202" i="15"/>
  <c r="W1854" i="15"/>
  <c r="W1507" i="15"/>
  <c r="W1151" i="15"/>
  <c r="W425" i="15"/>
  <c r="W15" i="15"/>
  <c r="W2938" i="15"/>
  <c r="W2605" i="15"/>
  <c r="W2210" i="15"/>
  <c r="W1866" i="15"/>
  <c r="W1519" i="15"/>
  <c r="W1155" i="15"/>
  <c r="W753" i="15"/>
  <c r="W27" i="15"/>
  <c r="W433" i="15"/>
  <c r="W2939" i="15"/>
  <c r="W2606" i="15"/>
  <c r="W2211" i="15"/>
  <c r="W1867" i="15"/>
  <c r="W1520" i="15"/>
  <c r="W1274" i="15"/>
  <c r="W971" i="15"/>
  <c r="W434" i="15"/>
  <c r="W28" i="15"/>
  <c r="W2930" i="15"/>
  <c r="W2597" i="15"/>
  <c r="W2204" i="15"/>
  <c r="W1856" i="15"/>
  <c r="W1509" i="15"/>
  <c r="W1269" i="15"/>
  <c r="W427" i="15"/>
  <c r="W17" i="15"/>
  <c r="W2937" i="15"/>
  <c r="W2604" i="15"/>
  <c r="W2209" i="15"/>
  <c r="W1865" i="15"/>
  <c r="W1518" i="15"/>
  <c r="W1154" i="15"/>
  <c r="W970" i="15"/>
  <c r="W432" i="15"/>
  <c r="W26" i="15"/>
  <c r="T2937" i="15"/>
  <c r="T2604" i="15"/>
  <c r="T2209" i="15"/>
  <c r="T1865" i="15"/>
  <c r="T1518" i="15"/>
  <c r="T1154" i="15"/>
  <c r="T970" i="15"/>
  <c r="T432" i="15"/>
  <c r="T26" i="15"/>
  <c r="W3071" i="15"/>
  <c r="W2692" i="15"/>
  <c r="W2217" i="15"/>
  <c r="W1917" i="15"/>
  <c r="W1557" i="15"/>
  <c r="W1116" i="15"/>
  <c r="W615" i="15"/>
  <c r="W133" i="15"/>
  <c r="T2929" i="15"/>
  <c r="T2596" i="15"/>
  <c r="T2203" i="15"/>
  <c r="T1855" i="15"/>
  <c r="T1508" i="15"/>
  <c r="T1268" i="15"/>
  <c r="T426" i="15"/>
  <c r="T16" i="15"/>
  <c r="W2929" i="15"/>
  <c r="W2596" i="15"/>
  <c r="W2203" i="15"/>
  <c r="W1855" i="15"/>
  <c r="W1508" i="15"/>
  <c r="W1268" i="15"/>
  <c r="W16" i="15"/>
  <c r="W426" i="15"/>
  <c r="T2939" i="15"/>
  <c r="T2606" i="15"/>
  <c r="T2211" i="15"/>
  <c r="T1867" i="15"/>
  <c r="T1520" i="15"/>
  <c r="T1274" i="15"/>
  <c r="T434" i="15"/>
  <c r="T971" i="15"/>
  <c r="T28" i="15"/>
  <c r="DQ361" i="7"/>
  <c r="DU215" i="7"/>
  <c r="DV361" i="7"/>
  <c r="DU361" i="7"/>
  <c r="DQ400" i="7"/>
  <c r="DV25" i="7"/>
  <c r="DV24" i="7"/>
  <c r="DV10" i="7"/>
  <c r="DV22" i="7"/>
  <c r="DV12" i="7"/>
  <c r="DV11" i="7"/>
  <c r="DV23" i="7"/>
  <c r="DV13" i="7"/>
  <c r="DN200" i="7"/>
  <c r="DV215" i="7"/>
  <c r="T3114" i="15" l="1"/>
  <c r="T2718" i="15"/>
  <c r="T2458" i="15"/>
  <c r="T1947" i="15"/>
  <c r="T1580" i="15"/>
  <c r="T1441" i="15"/>
  <c r="T813" i="15"/>
  <c r="T683" i="15"/>
  <c r="T166" i="15"/>
  <c r="DR31" i="7"/>
  <c r="DR30" i="7"/>
  <c r="DN31" i="7"/>
  <c r="DN30" i="7"/>
  <c r="DN333" i="7"/>
  <c r="DN335" i="7"/>
  <c r="DN334" i="7"/>
  <c r="DV170" i="7"/>
  <c r="DV171" i="7"/>
  <c r="DV167" i="7"/>
  <c r="DV168" i="7"/>
  <c r="DQ198" i="7"/>
  <c r="DV78" i="7"/>
  <c r="DV270" i="7"/>
  <c r="DV211" i="7"/>
  <c r="DV77" i="7"/>
  <c r="DQ195" i="7"/>
  <c r="DU78" i="7"/>
  <c r="DU362" i="7"/>
  <c r="DV362" i="7"/>
  <c r="DQ342" i="7"/>
  <c r="DU363" i="7"/>
  <c r="DV363" i="7"/>
  <c r="DU77" i="7"/>
  <c r="DU167" i="7"/>
  <c r="DU400" i="7"/>
  <c r="DV400" i="7"/>
  <c r="DQ344" i="7"/>
  <c r="DQ339" i="7"/>
  <c r="DQ362" i="7"/>
  <c r="DQ347" i="7"/>
  <c r="DQ197" i="7"/>
  <c r="DU211" i="7"/>
  <c r="DQ343" i="7"/>
  <c r="DQ340" i="7"/>
  <c r="DQ363" i="7"/>
  <c r="DQ346" i="7"/>
  <c r="DQ215" i="7"/>
  <c r="DQ196" i="7"/>
  <c r="DQ341" i="7"/>
  <c r="DQ345" i="7"/>
  <c r="DN29" i="7"/>
  <c r="DN28" i="7"/>
  <c r="DN27" i="7"/>
  <c r="DN21" i="7"/>
  <c r="DN176" i="7"/>
  <c r="DN178" i="7"/>
  <c r="DN177" i="7"/>
  <c r="DN271" i="7"/>
  <c r="DN273" i="7"/>
  <c r="DN272" i="7"/>
  <c r="DR200" i="7"/>
  <c r="DN162" i="7"/>
  <c r="DV162" i="7" l="1"/>
  <c r="T3071" i="15"/>
  <c r="T2692" i="15"/>
  <c r="T2217" i="15"/>
  <c r="T1917" i="15"/>
  <c r="T1557" i="15"/>
  <c r="T1116" i="15"/>
  <c r="T615" i="15"/>
  <c r="T133" i="15"/>
  <c r="T3223" i="15"/>
  <c r="T2609" i="15"/>
  <c r="T2214" i="15"/>
  <c r="T1870" i="15"/>
  <c r="T1523" i="15"/>
  <c r="T756" i="15"/>
  <c r="T1157" i="15"/>
  <c r="T437" i="15"/>
  <c r="T31" i="15"/>
  <c r="T2941" i="15"/>
  <c r="T2612" i="15"/>
  <c r="T2411" i="15"/>
  <c r="T1873" i="15"/>
  <c r="T1687" i="15"/>
  <c r="T658" i="15"/>
  <c r="T34" i="15"/>
  <c r="T3005" i="15"/>
  <c r="T2805" i="15"/>
  <c r="T2481" i="15"/>
  <c r="T1971" i="15"/>
  <c r="T1638" i="15"/>
  <c r="T870" i="15"/>
  <c r="T1131" i="15"/>
  <c r="T696" i="15"/>
  <c r="T254" i="15"/>
  <c r="T2942" i="15"/>
  <c r="T2613" i="15"/>
  <c r="T2412" i="15"/>
  <c r="T1874" i="15"/>
  <c r="T1688" i="15"/>
  <c r="T659" i="15"/>
  <c r="T35" i="15"/>
  <c r="W3114" i="15"/>
  <c r="W2718" i="15"/>
  <c r="W2458" i="15"/>
  <c r="W1947" i="15"/>
  <c r="W1580" i="15"/>
  <c r="W1441" i="15"/>
  <c r="W813" i="15"/>
  <c r="W683" i="15"/>
  <c r="W166" i="15"/>
  <c r="DO272" i="7"/>
  <c r="U3081" i="15" s="1"/>
  <c r="T3081" i="15"/>
  <c r="T2744" i="15"/>
  <c r="T2462" i="15"/>
  <c r="T2056" i="15"/>
  <c r="T1592" i="15"/>
  <c r="T1446" i="15"/>
  <c r="T505" i="15"/>
  <c r="T193" i="15"/>
  <c r="T3225" i="15"/>
  <c r="T2611" i="15"/>
  <c r="T2216" i="15"/>
  <c r="T1872" i="15"/>
  <c r="T1525" i="15"/>
  <c r="T1277" i="15"/>
  <c r="T758" i="15"/>
  <c r="T439" i="15"/>
  <c r="T33" i="15"/>
  <c r="W2941" i="15"/>
  <c r="W2612" i="15"/>
  <c r="W2411" i="15"/>
  <c r="W1873" i="15"/>
  <c r="W1687" i="15"/>
  <c r="W658" i="15"/>
  <c r="W34" i="15"/>
  <c r="T3221" i="15"/>
  <c r="T2603" i="15"/>
  <c r="T2208" i="15"/>
  <c r="T1864" i="15"/>
  <c r="T1517" i="15"/>
  <c r="T1273" i="15"/>
  <c r="T752" i="15"/>
  <c r="T431" i="15"/>
  <c r="T25" i="15"/>
  <c r="T3224" i="15"/>
  <c r="T2610" i="15"/>
  <c r="T2215" i="15"/>
  <c r="T1871" i="15"/>
  <c r="T1524" i="15"/>
  <c r="T1276" i="15"/>
  <c r="T757" i="15"/>
  <c r="T438" i="15"/>
  <c r="T32" i="15"/>
  <c r="T3082" i="15"/>
  <c r="T2745" i="15"/>
  <c r="T2463" i="15"/>
  <c r="T2057" i="15"/>
  <c r="T1593" i="15"/>
  <c r="T1447" i="15"/>
  <c r="T194" i="15"/>
  <c r="T506" i="15"/>
  <c r="W2942" i="15"/>
  <c r="W2613" i="15"/>
  <c r="W2412" i="15"/>
  <c r="W1874" i="15"/>
  <c r="W1688" i="15"/>
  <c r="W659" i="15"/>
  <c r="W35" i="15"/>
  <c r="DO177" i="7"/>
  <c r="U2967" i="15" s="1"/>
  <c r="T2967" i="15"/>
  <c r="T2703" i="15"/>
  <c r="T2440" i="15"/>
  <c r="T1928" i="15"/>
  <c r="T1563" i="15"/>
  <c r="T1378" i="15"/>
  <c r="T1017" i="15"/>
  <c r="T491" i="15"/>
  <c r="T144" i="15"/>
  <c r="T3080" i="15"/>
  <c r="T2743" i="15"/>
  <c r="T2461" i="15"/>
  <c r="T2055" i="15"/>
  <c r="T1591" i="15"/>
  <c r="T1445" i="15"/>
  <c r="T826" i="15"/>
  <c r="T192" i="15"/>
  <c r="T504" i="15"/>
  <c r="T3006" i="15"/>
  <c r="T2806" i="15"/>
  <c r="T2482" i="15"/>
  <c r="T1972" i="15"/>
  <c r="T1639" i="15"/>
  <c r="T1225" i="15"/>
  <c r="T871" i="15"/>
  <c r="T697" i="15"/>
  <c r="T255" i="15"/>
  <c r="DO178" i="7"/>
  <c r="U2968" i="15" s="1"/>
  <c r="T2968" i="15"/>
  <c r="T2704" i="15"/>
  <c r="T2441" i="15"/>
  <c r="T1929" i="15"/>
  <c r="T1564" i="15"/>
  <c r="T1379" i="15"/>
  <c r="T1018" i="15"/>
  <c r="T492" i="15"/>
  <c r="T145" i="15"/>
  <c r="DO176" i="7"/>
  <c r="U2966" i="15" s="1"/>
  <c r="T2966" i="15"/>
  <c r="T2702" i="15"/>
  <c r="T2439" i="15"/>
  <c r="T1927" i="15"/>
  <c r="T1562" i="15"/>
  <c r="T1377" i="15"/>
  <c r="T1016" i="15"/>
  <c r="T490" i="15"/>
  <c r="T143" i="15"/>
  <c r="T3007" i="15"/>
  <c r="T2807" i="15"/>
  <c r="T2483" i="15"/>
  <c r="T1973" i="15"/>
  <c r="T1640" i="15"/>
  <c r="T1226" i="15"/>
  <c r="T872" i="15"/>
  <c r="T698" i="15"/>
  <c r="T256" i="15"/>
  <c r="DO271" i="7"/>
  <c r="U3080" i="15" s="1"/>
  <c r="DO334" i="7"/>
  <c r="U3006" i="15" s="1"/>
  <c r="DO335" i="7"/>
  <c r="U3007" i="15" s="1"/>
  <c r="DO333" i="7"/>
  <c r="DV30" i="7"/>
  <c r="DV31" i="7"/>
  <c r="DN417" i="7"/>
  <c r="DQ289" i="7"/>
  <c r="DR335" i="7"/>
  <c r="DR334" i="7"/>
  <c r="DR333" i="7"/>
  <c r="DV129" i="7"/>
  <c r="DQ129" i="7"/>
  <c r="DU62" i="7"/>
  <c r="DV62" i="7"/>
  <c r="DU58" i="7"/>
  <c r="DV58" i="7"/>
  <c r="DR70" i="7"/>
  <c r="DU208" i="7"/>
  <c r="DV208" i="7"/>
  <c r="DQ53" i="7"/>
  <c r="DV131" i="7"/>
  <c r="DU131" i="7"/>
  <c r="DQ207" i="7"/>
  <c r="DQ128" i="7"/>
  <c r="DU59" i="7"/>
  <c r="DV59" i="7"/>
  <c r="DU55" i="7"/>
  <c r="DV55" i="7"/>
  <c r="DQ63" i="7"/>
  <c r="DV206" i="7"/>
  <c r="DU206" i="7"/>
  <c r="DQ55" i="7"/>
  <c r="DU128" i="7"/>
  <c r="DV128" i="7"/>
  <c r="DU342" i="7"/>
  <c r="DV342" i="7"/>
  <c r="DQ132" i="7"/>
  <c r="DU133" i="7"/>
  <c r="DV133" i="7"/>
  <c r="DQ167" i="7"/>
  <c r="DQ131" i="7"/>
  <c r="DU60" i="7"/>
  <c r="DV60" i="7"/>
  <c r="DQ61" i="7"/>
  <c r="DV195" i="7"/>
  <c r="DU195" i="7"/>
  <c r="DU339" i="7"/>
  <c r="DV339" i="7"/>
  <c r="DQ58" i="7"/>
  <c r="DU129" i="7"/>
  <c r="DV344" i="7"/>
  <c r="DU344" i="7"/>
  <c r="DV54" i="7"/>
  <c r="DU54" i="7"/>
  <c r="DU346" i="7"/>
  <c r="DV346" i="7"/>
  <c r="DU64" i="7"/>
  <c r="DV64" i="7"/>
  <c r="DQ59" i="7"/>
  <c r="DV196" i="7"/>
  <c r="DU196" i="7"/>
  <c r="DU340" i="7"/>
  <c r="DV340" i="7"/>
  <c r="DV212" i="7"/>
  <c r="DQ77" i="7"/>
  <c r="DV169" i="7"/>
  <c r="DU345" i="7"/>
  <c r="DV345" i="7"/>
  <c r="DV56" i="7"/>
  <c r="DU56" i="7"/>
  <c r="DQ62" i="7"/>
  <c r="DU197" i="7"/>
  <c r="DV197" i="7"/>
  <c r="DQ211" i="7"/>
  <c r="DQ208" i="7"/>
  <c r="DV63" i="7"/>
  <c r="DU63" i="7"/>
  <c r="DQ60" i="7"/>
  <c r="DQ54" i="7"/>
  <c r="DN66" i="7"/>
  <c r="DQ133" i="7"/>
  <c r="DU347" i="7"/>
  <c r="DV347" i="7"/>
  <c r="DU57" i="7"/>
  <c r="DV57" i="7"/>
  <c r="DQ64" i="7"/>
  <c r="DU198" i="7"/>
  <c r="DV198" i="7"/>
  <c r="DU207" i="7"/>
  <c r="DV207" i="7"/>
  <c r="DN69" i="7"/>
  <c r="T3236" i="15" s="1"/>
  <c r="DQ57" i="7"/>
  <c r="DV130" i="7"/>
  <c r="DU130" i="7"/>
  <c r="DQ209" i="7"/>
  <c r="DU341" i="7"/>
  <c r="DV341" i="7"/>
  <c r="DU343" i="7"/>
  <c r="DV343" i="7"/>
  <c r="DQ130" i="7"/>
  <c r="DV61" i="7"/>
  <c r="DU61" i="7"/>
  <c r="DV53" i="7"/>
  <c r="DU53" i="7"/>
  <c r="DU209" i="7"/>
  <c r="DV209" i="7"/>
  <c r="DQ56" i="7"/>
  <c r="DN68" i="7"/>
  <c r="T3235" i="15" s="1"/>
  <c r="DU132" i="7"/>
  <c r="DV132" i="7"/>
  <c r="DQ78" i="7"/>
  <c r="DQ206" i="7"/>
  <c r="DN19" i="7"/>
  <c r="DN9" i="7"/>
  <c r="DQ178" i="7"/>
  <c r="DR21" i="7"/>
  <c r="DR20" i="7"/>
  <c r="DR176" i="7"/>
  <c r="DR178" i="7"/>
  <c r="DR177" i="7"/>
  <c r="DV200" i="7"/>
  <c r="DR17" i="7"/>
  <c r="DR16" i="7"/>
  <c r="DR15" i="7"/>
  <c r="DR14" i="7"/>
  <c r="DQ185" i="7"/>
  <c r="DR19" i="7"/>
  <c r="DR18" i="7"/>
  <c r="DR9" i="7"/>
  <c r="DR8" i="7"/>
  <c r="DN355" i="7"/>
  <c r="DN358" i="7"/>
  <c r="DN338" i="7"/>
  <c r="DN336" i="7"/>
  <c r="DN357" i="7"/>
  <c r="DN356" i="7"/>
  <c r="DN337" i="7"/>
  <c r="DN359" i="7"/>
  <c r="DN14" i="7"/>
  <c r="DN16" i="7"/>
  <c r="DN15" i="7"/>
  <c r="DN416" i="7"/>
  <c r="DN181" i="7"/>
  <c r="DN180" i="7"/>
  <c r="DN179" i="7"/>
  <c r="DN354" i="7"/>
  <c r="DR416" i="7"/>
  <c r="DR181" i="7"/>
  <c r="DR180" i="7"/>
  <c r="DR179" i="7"/>
  <c r="DQ273" i="7"/>
  <c r="DQ272" i="7" l="1"/>
  <c r="DQ177" i="7"/>
  <c r="U1378" i="15"/>
  <c r="DQ176" i="7"/>
  <c r="U1563" i="15"/>
  <c r="U1377" i="15"/>
  <c r="U144" i="15"/>
  <c r="U1017" i="15"/>
  <c r="V1461" i="15"/>
  <c r="U1927" i="15"/>
  <c r="U491" i="15"/>
  <c r="U1928" i="15"/>
  <c r="U505" i="15"/>
  <c r="U2703" i="15"/>
  <c r="U145" i="15"/>
  <c r="U2440" i="15"/>
  <c r="U2704" i="15"/>
  <c r="U2441" i="15"/>
  <c r="U1592" i="15"/>
  <c r="T1461" i="15"/>
  <c r="U1929" i="15"/>
  <c r="U2056" i="15"/>
  <c r="U1379" i="15"/>
  <c r="U1564" i="15"/>
  <c r="U490" i="15"/>
  <c r="U1018" i="15"/>
  <c r="U2462" i="15"/>
  <c r="U492" i="15"/>
  <c r="U1446" i="15"/>
  <c r="U2702" i="15"/>
  <c r="U2744" i="15"/>
  <c r="DO179" i="7"/>
  <c r="U2969" i="15" s="1"/>
  <c r="T2969" i="15"/>
  <c r="T2705" i="15"/>
  <c r="T2279" i="15"/>
  <c r="T2046" i="15"/>
  <c r="T1565" i="15"/>
  <c r="T1380" i="15"/>
  <c r="T806" i="15"/>
  <c r="T493" i="15"/>
  <c r="T146" i="15"/>
  <c r="T3246" i="15"/>
  <c r="T2825" i="15"/>
  <c r="T2338" i="15"/>
  <c r="T2115" i="15"/>
  <c r="T1658" i="15"/>
  <c r="T1409" i="15"/>
  <c r="T1058" i="15"/>
  <c r="T563" i="15"/>
  <c r="T274" i="15"/>
  <c r="W2926" i="15"/>
  <c r="W2593" i="15"/>
  <c r="W2200" i="15"/>
  <c r="W1852" i="15"/>
  <c r="W1505" i="15"/>
  <c r="W1267" i="15"/>
  <c r="W423" i="15"/>
  <c r="W13" i="15"/>
  <c r="W3221" i="15"/>
  <c r="W2603" i="15"/>
  <c r="W2208" i="15"/>
  <c r="W1864" i="15"/>
  <c r="W1517" i="15"/>
  <c r="W1273" i="15"/>
  <c r="W752" i="15"/>
  <c r="W431" i="15"/>
  <c r="W25" i="15"/>
  <c r="T3179" i="15"/>
  <c r="T2841" i="15"/>
  <c r="T2499" i="15"/>
  <c r="T2123" i="15"/>
  <c r="T1664" i="15"/>
  <c r="T1411" i="15"/>
  <c r="T898" i="15"/>
  <c r="T293" i="15"/>
  <c r="T574" i="15"/>
  <c r="T3243" i="15"/>
  <c r="T2821" i="15"/>
  <c r="T2334" i="15"/>
  <c r="T2111" i="15"/>
  <c r="T1654" i="15"/>
  <c r="T1405" i="15"/>
  <c r="T886" i="15"/>
  <c r="T559" i="15"/>
  <c r="T270" i="15"/>
  <c r="T3168" i="15"/>
  <c r="T2809" i="15"/>
  <c r="T2331" i="15"/>
  <c r="T2099" i="15"/>
  <c r="T1642" i="15"/>
  <c r="T1227" i="15"/>
  <c r="T874" i="15"/>
  <c r="T700" i="15"/>
  <c r="T258" i="15"/>
  <c r="W2935" i="15"/>
  <c r="W2600" i="15"/>
  <c r="W2205" i="15"/>
  <c r="W1861" i="15"/>
  <c r="W1514" i="15"/>
  <c r="W1152" i="15"/>
  <c r="W750" i="15"/>
  <c r="W428" i="15"/>
  <c r="W22" i="15"/>
  <c r="T2926" i="15"/>
  <c r="T2593" i="15"/>
  <c r="T2200" i="15"/>
  <c r="T1852" i="15"/>
  <c r="T1505" i="15"/>
  <c r="T1267" i="15"/>
  <c r="T423" i="15"/>
  <c r="T13" i="15"/>
  <c r="T3088" i="15"/>
  <c r="U3088" i="15"/>
  <c r="V3088" i="15"/>
  <c r="W2925" i="15"/>
  <c r="W2592" i="15"/>
  <c r="W2199" i="15"/>
  <c r="W1851" i="15"/>
  <c r="W1504" i="15"/>
  <c r="W1149" i="15"/>
  <c r="W12" i="15"/>
  <c r="W422" i="15"/>
  <c r="DS179" i="7"/>
  <c r="X2969" i="15" s="1"/>
  <c r="W2969" i="15"/>
  <c r="W2705" i="15"/>
  <c r="W2279" i="15"/>
  <c r="W2046" i="15"/>
  <c r="W1565" i="15"/>
  <c r="W1380" i="15"/>
  <c r="W806" i="15"/>
  <c r="W493" i="15"/>
  <c r="W146" i="15"/>
  <c r="DO181" i="7"/>
  <c r="U2971" i="15" s="1"/>
  <c r="T2971" i="15"/>
  <c r="T2707" i="15"/>
  <c r="T2281" i="15"/>
  <c r="T2048" i="15"/>
  <c r="T1567" i="15"/>
  <c r="T1382" i="15"/>
  <c r="T808" i="15"/>
  <c r="T495" i="15"/>
  <c r="T148" i="15"/>
  <c r="T3244" i="15"/>
  <c r="T2822" i="15"/>
  <c r="T2112" i="15"/>
  <c r="T2335" i="15"/>
  <c r="T1655" i="15"/>
  <c r="T1406" i="15"/>
  <c r="T1057" i="15"/>
  <c r="T271" i="15"/>
  <c r="T560" i="15"/>
  <c r="W2936" i="15"/>
  <c r="W2601" i="15"/>
  <c r="W2206" i="15"/>
  <c r="W1862" i="15"/>
  <c r="W1515" i="15"/>
  <c r="W1272" i="15"/>
  <c r="W969" i="15"/>
  <c r="W23" i="15"/>
  <c r="W429" i="15"/>
  <c r="DS14" i="7"/>
  <c r="X2931" i="15" s="1"/>
  <c r="W2931" i="15"/>
  <c r="W2563" i="15"/>
  <c r="W2407" i="15"/>
  <c r="W1857" i="15"/>
  <c r="W1510" i="15"/>
  <c r="W1352" i="15"/>
  <c r="W967" i="15"/>
  <c r="W604" i="15"/>
  <c r="W18" i="15"/>
  <c r="T2936" i="15"/>
  <c r="T2601" i="15"/>
  <c r="T2206" i="15"/>
  <c r="T1862" i="15"/>
  <c r="T1515" i="15"/>
  <c r="T1272" i="15"/>
  <c r="T969" i="15"/>
  <c r="T429" i="15"/>
  <c r="T23" i="15"/>
  <c r="DS333" i="7"/>
  <c r="X1638" i="15" s="1"/>
  <c r="W3005" i="15"/>
  <c r="W2805" i="15"/>
  <c r="W2481" i="15"/>
  <c r="W1638" i="15"/>
  <c r="W1971" i="15"/>
  <c r="W1131" i="15"/>
  <c r="W870" i="15"/>
  <c r="W254" i="15"/>
  <c r="W696" i="15"/>
  <c r="U193" i="15"/>
  <c r="DO180" i="7"/>
  <c r="U2970" i="15" s="1"/>
  <c r="T2970" i="15"/>
  <c r="T2706" i="15"/>
  <c r="T2280" i="15"/>
  <c r="T2047" i="15"/>
  <c r="T1566" i="15"/>
  <c r="T1381" i="15"/>
  <c r="T807" i="15"/>
  <c r="T494" i="15"/>
  <c r="T147" i="15"/>
  <c r="DS180" i="7"/>
  <c r="X2970" i="15" s="1"/>
  <c r="W2970" i="15"/>
  <c r="W2706" i="15"/>
  <c r="W2280" i="15"/>
  <c r="W2047" i="15"/>
  <c r="W1566" i="15"/>
  <c r="W1381" i="15"/>
  <c r="W807" i="15"/>
  <c r="W494" i="15"/>
  <c r="W147" i="15"/>
  <c r="T3018" i="15"/>
  <c r="T2840" i="15"/>
  <c r="T2344" i="15"/>
  <c r="T2122" i="15"/>
  <c r="T1663" i="15"/>
  <c r="T1410" i="15"/>
  <c r="T897" i="15"/>
  <c r="T573" i="15"/>
  <c r="T292" i="15"/>
  <c r="T3012" i="15"/>
  <c r="T2823" i="15"/>
  <c r="T2336" i="15"/>
  <c r="T2113" i="15"/>
  <c r="T1656" i="15"/>
  <c r="T1407" i="15"/>
  <c r="T887" i="15"/>
  <c r="T561" i="15"/>
  <c r="T272" i="15"/>
  <c r="W2932" i="15"/>
  <c r="W2564" i="15"/>
  <c r="W2408" i="15"/>
  <c r="W1858" i="15"/>
  <c r="W1511" i="15"/>
  <c r="W1353" i="15"/>
  <c r="W968" i="15"/>
  <c r="W605" i="15"/>
  <c r="W19" i="15"/>
  <c r="DS334" i="7"/>
  <c r="X3006" i="15" s="1"/>
  <c r="W3006" i="15"/>
  <c r="W2806" i="15"/>
  <c r="W2482" i="15"/>
  <c r="W1639" i="15"/>
  <c r="W1972" i="15"/>
  <c r="W1225" i="15"/>
  <c r="W871" i="15"/>
  <c r="W697" i="15"/>
  <c r="W255" i="15"/>
  <c r="DO14" i="7"/>
  <c r="U2931" i="15" s="1"/>
  <c r="T2931" i="15"/>
  <c r="T2563" i="15"/>
  <c r="T2407" i="15"/>
  <c r="T1857" i="15"/>
  <c r="T1510" i="15"/>
  <c r="T1352" i="15"/>
  <c r="T967" i="15"/>
  <c r="T604" i="15"/>
  <c r="T18" i="15"/>
  <c r="T3167" i="15"/>
  <c r="T2808" i="15"/>
  <c r="T2330" i="15"/>
  <c r="T2098" i="15"/>
  <c r="T1641" i="15"/>
  <c r="T873" i="15"/>
  <c r="T1132" i="15"/>
  <c r="U1144" i="15" s="1"/>
  <c r="T699" i="15"/>
  <c r="T257" i="15"/>
  <c r="W2933" i="15"/>
  <c r="W2598" i="15"/>
  <c r="W2409" i="15"/>
  <c r="W1859" i="15"/>
  <c r="W1512" i="15"/>
  <c r="W1270" i="15"/>
  <c r="W606" i="15"/>
  <c r="W20" i="15"/>
  <c r="DS177" i="7"/>
  <c r="X2967" i="15" s="1"/>
  <c r="W2967" i="15"/>
  <c r="W2703" i="15"/>
  <c r="W2440" i="15"/>
  <c r="W1928" i="15"/>
  <c r="W1563" i="15"/>
  <c r="W1378" i="15"/>
  <c r="W1017" i="15"/>
  <c r="W491" i="15"/>
  <c r="W144" i="15"/>
  <c r="DS335" i="7"/>
  <c r="X3007" i="15" s="1"/>
  <c r="W3007" i="15"/>
  <c r="W2807" i="15"/>
  <c r="W2483" i="15"/>
  <c r="W1973" i="15"/>
  <c r="W1640" i="15"/>
  <c r="W1226" i="15"/>
  <c r="W872" i="15"/>
  <c r="W698" i="15"/>
  <c r="W256" i="15"/>
  <c r="U1461" i="15"/>
  <c r="W3220" i="15"/>
  <c r="W2602" i="15"/>
  <c r="W2207" i="15"/>
  <c r="W1863" i="15"/>
  <c r="W1516" i="15"/>
  <c r="W1153" i="15"/>
  <c r="W751" i="15"/>
  <c r="W430" i="15"/>
  <c r="W24" i="15"/>
  <c r="DS181" i="7"/>
  <c r="X2971" i="15" s="1"/>
  <c r="W2971" i="15"/>
  <c r="W2707" i="15"/>
  <c r="W2281" i="15"/>
  <c r="W2048" i="15"/>
  <c r="W1567" i="15"/>
  <c r="W1382" i="15"/>
  <c r="W808" i="15"/>
  <c r="W148" i="15"/>
  <c r="W495" i="15"/>
  <c r="DO15" i="7"/>
  <c r="U2932" i="15" s="1"/>
  <c r="T2932" i="15"/>
  <c r="T2564" i="15"/>
  <c r="T2408" i="15"/>
  <c r="T1858" i="15"/>
  <c r="T1511" i="15"/>
  <c r="T1353" i="15"/>
  <c r="T605" i="15"/>
  <c r="T968" i="15"/>
  <c r="T19" i="15"/>
  <c r="W2934" i="15"/>
  <c r="W2599" i="15"/>
  <c r="W2410" i="15"/>
  <c r="W1860" i="15"/>
  <c r="W1513" i="15"/>
  <c r="W1271" i="15"/>
  <c r="W749" i="15"/>
  <c r="W607" i="15"/>
  <c r="W21" i="15"/>
  <c r="DS178" i="7"/>
  <c r="X2441" i="15" s="1"/>
  <c r="W2968" i="15"/>
  <c r="W2704" i="15"/>
  <c r="W2441" i="15"/>
  <c r="W1564" i="15"/>
  <c r="W1929" i="15"/>
  <c r="W1379" i="15"/>
  <c r="W1018" i="15"/>
  <c r="W492" i="15"/>
  <c r="W145" i="15"/>
  <c r="T3011" i="15"/>
  <c r="T2820" i="15"/>
  <c r="T2333" i="15"/>
  <c r="T2110" i="15"/>
  <c r="T1653" i="15"/>
  <c r="T1404" i="15"/>
  <c r="T885" i="15"/>
  <c r="T558" i="15"/>
  <c r="T269" i="15"/>
  <c r="DS416" i="7"/>
  <c r="X3018" i="15" s="1"/>
  <c r="W3018" i="15"/>
  <c r="W2840" i="15"/>
  <c r="W2344" i="15"/>
  <c r="W2122" i="15"/>
  <c r="W1663" i="15"/>
  <c r="W1410" i="15"/>
  <c r="W897" i="15"/>
  <c r="W573" i="15"/>
  <c r="W292" i="15"/>
  <c r="T3169" i="15"/>
  <c r="T2810" i="15"/>
  <c r="T2332" i="15"/>
  <c r="T2100" i="15"/>
  <c r="T1643" i="15"/>
  <c r="T1228" i="15"/>
  <c r="T875" i="15"/>
  <c r="T701" i="15"/>
  <c r="T259" i="15"/>
  <c r="DO16" i="7"/>
  <c r="U2933" i="15" s="1"/>
  <c r="T2933" i="15"/>
  <c r="T2598" i="15"/>
  <c r="T2409" i="15"/>
  <c r="T1859" i="15"/>
  <c r="T1512" i="15"/>
  <c r="T1270" i="15"/>
  <c r="T606" i="15"/>
  <c r="T20" i="15"/>
  <c r="T3245" i="15"/>
  <c r="T2824" i="15"/>
  <c r="T2337" i="15"/>
  <c r="T2114" i="15"/>
  <c r="T1657" i="15"/>
  <c r="T1408" i="15"/>
  <c r="T888" i="15"/>
  <c r="T562" i="15"/>
  <c r="T273" i="15"/>
  <c r="DS176" i="7"/>
  <c r="X2966" i="15" s="1"/>
  <c r="W2966" i="15"/>
  <c r="W2702" i="15"/>
  <c r="W2439" i="15"/>
  <c r="W1927" i="15"/>
  <c r="W1562" i="15"/>
  <c r="W1377" i="15"/>
  <c r="W1016" i="15"/>
  <c r="W490" i="15"/>
  <c r="W143" i="15"/>
  <c r="U143" i="15"/>
  <c r="U1016" i="15"/>
  <c r="U1562" i="15"/>
  <c r="U2439" i="15"/>
  <c r="T3233" i="15"/>
  <c r="U3005" i="15"/>
  <c r="W2633" i="15"/>
  <c r="W3237" i="15"/>
  <c r="T2255" i="15"/>
  <c r="T2632" i="15"/>
  <c r="U2461" i="15"/>
  <c r="U2743" i="15"/>
  <c r="T2252" i="15"/>
  <c r="T2629" i="15"/>
  <c r="U2481" i="15"/>
  <c r="U2805" i="15"/>
  <c r="U2483" i="15"/>
  <c r="U2807" i="15"/>
  <c r="T2254" i="15"/>
  <c r="T2631" i="15"/>
  <c r="U2482" i="15"/>
  <c r="U2806" i="15"/>
  <c r="W2026" i="15"/>
  <c r="W2256" i="15"/>
  <c r="T1705" i="15"/>
  <c r="T2025" i="15"/>
  <c r="U1591" i="15"/>
  <c r="U2055" i="15"/>
  <c r="T1704" i="15"/>
  <c r="T2024" i="15"/>
  <c r="T1702" i="15"/>
  <c r="T2022" i="15"/>
  <c r="U1638" i="15"/>
  <c r="U1971" i="15"/>
  <c r="U1640" i="15"/>
  <c r="U1973" i="15"/>
  <c r="U1639" i="15"/>
  <c r="U1972" i="15"/>
  <c r="W1287" i="15"/>
  <c r="W1706" i="15"/>
  <c r="U826" i="15"/>
  <c r="U1445" i="15"/>
  <c r="T986" i="15"/>
  <c r="T1285" i="15"/>
  <c r="T988" i="15"/>
  <c r="T1286" i="15"/>
  <c r="U872" i="15"/>
  <c r="U1226" i="15"/>
  <c r="U871" i="15"/>
  <c r="U1225" i="15"/>
  <c r="T989" i="15"/>
  <c r="T1163" i="15"/>
  <c r="U870" i="15"/>
  <c r="U1131" i="15"/>
  <c r="W677" i="15"/>
  <c r="W990" i="15"/>
  <c r="U255" i="15"/>
  <c r="U697" i="15"/>
  <c r="U254" i="15"/>
  <c r="U696" i="15"/>
  <c r="T52" i="15"/>
  <c r="T673" i="15"/>
  <c r="U256" i="15"/>
  <c r="U698" i="15"/>
  <c r="T54" i="15"/>
  <c r="T675" i="15"/>
  <c r="T55" i="15"/>
  <c r="T676" i="15"/>
  <c r="U192" i="15"/>
  <c r="U504" i="15"/>
  <c r="W56" i="15"/>
  <c r="DQ335" i="7"/>
  <c r="DQ271" i="7"/>
  <c r="DQ334" i="7"/>
  <c r="DQ333" i="7"/>
  <c r="DO416" i="7"/>
  <c r="U3018" i="15" s="1"/>
  <c r="DO337" i="7"/>
  <c r="U3168" i="15" s="1"/>
  <c r="DO336" i="7"/>
  <c r="DO338" i="7"/>
  <c r="U3169" i="15" s="1"/>
  <c r="DV334" i="7"/>
  <c r="DV335" i="7"/>
  <c r="DV333" i="7"/>
  <c r="DN188" i="7"/>
  <c r="DQ282" i="7"/>
  <c r="DQ291" i="7"/>
  <c r="DQ284" i="7"/>
  <c r="DV15" i="7"/>
  <c r="DQ285" i="7"/>
  <c r="DQ290" i="7"/>
  <c r="DQ288" i="7"/>
  <c r="DQ281" i="7"/>
  <c r="DQ283" i="7"/>
  <c r="DQ286" i="7"/>
  <c r="DQ287" i="7"/>
  <c r="DQ280" i="7"/>
  <c r="DV67" i="7"/>
  <c r="DU67" i="7"/>
  <c r="DQ70" i="7"/>
  <c r="DQ65" i="7"/>
  <c r="DU70" i="7"/>
  <c r="DV70" i="7"/>
  <c r="DQ67" i="7"/>
  <c r="DQ68" i="7"/>
  <c r="DQ69" i="7"/>
  <c r="DQ66" i="7"/>
  <c r="DV66" i="7"/>
  <c r="DU66" i="7"/>
  <c r="DV65" i="7"/>
  <c r="DU65" i="7"/>
  <c r="DU69" i="7"/>
  <c r="DV69" i="7"/>
  <c r="DV68" i="7"/>
  <c r="DU68" i="7"/>
  <c r="DQ297" i="7"/>
  <c r="DV8" i="7"/>
  <c r="DV14" i="7"/>
  <c r="DU188" i="7"/>
  <c r="DQ294" i="7"/>
  <c r="DQ293" i="7"/>
  <c r="DQ310" i="7"/>
  <c r="DQ304" i="7"/>
  <c r="DQ311" i="7"/>
  <c r="DQ17" i="7"/>
  <c r="DV18" i="7"/>
  <c r="DV16" i="7"/>
  <c r="DV178" i="7"/>
  <c r="DQ300" i="7"/>
  <c r="DQ292" i="7"/>
  <c r="DV9" i="7"/>
  <c r="DR26" i="7"/>
  <c r="DR28" i="7"/>
  <c r="DQ183" i="7"/>
  <c r="DQ307" i="7"/>
  <c r="DQ295" i="7"/>
  <c r="DV19" i="7"/>
  <c r="DV17" i="7"/>
  <c r="DV176" i="7"/>
  <c r="DQ312" i="7"/>
  <c r="DV181" i="7"/>
  <c r="DU182" i="7"/>
  <c r="DV182" i="7"/>
  <c r="DR29" i="7"/>
  <c r="DR27" i="7"/>
  <c r="DQ182" i="7"/>
  <c r="DQ303" i="7"/>
  <c r="DQ314" i="7"/>
  <c r="DQ309" i="7"/>
  <c r="DV20" i="7"/>
  <c r="DQ308" i="7"/>
  <c r="DV416" i="7"/>
  <c r="DV177" i="7"/>
  <c r="DQ298" i="7"/>
  <c r="DQ313" i="7"/>
  <c r="DQ306" i="7"/>
  <c r="DQ305" i="7"/>
  <c r="DV21" i="7"/>
  <c r="DV180" i="7"/>
  <c r="DR271" i="7"/>
  <c r="DQ302" i="7"/>
  <c r="DU179" i="7"/>
  <c r="DV179" i="7"/>
  <c r="DQ299" i="7"/>
  <c r="DQ296" i="7"/>
  <c r="DQ301" i="7"/>
  <c r="DU181" i="7" l="1"/>
  <c r="U807" i="15"/>
  <c r="DQ181" i="7"/>
  <c r="DU180" i="7"/>
  <c r="X147" i="15"/>
  <c r="X146" i="15"/>
  <c r="U147" i="15"/>
  <c r="DX180" i="7"/>
  <c r="X1566" i="15"/>
  <c r="X494" i="15"/>
  <c r="X2706" i="15"/>
  <c r="X1381" i="15"/>
  <c r="DU177" i="7"/>
  <c r="U2048" i="15"/>
  <c r="DQ180" i="7"/>
  <c r="U148" i="15"/>
  <c r="U1567" i="15"/>
  <c r="U2047" i="15"/>
  <c r="U2707" i="15"/>
  <c r="DW180" i="7"/>
  <c r="U1382" i="15"/>
  <c r="U2281" i="15"/>
  <c r="U2280" i="15"/>
  <c r="U495" i="15"/>
  <c r="DY180" i="7"/>
  <c r="U494" i="15"/>
  <c r="U808" i="15"/>
  <c r="DU176" i="7"/>
  <c r="DX176" i="7"/>
  <c r="DY176" i="7"/>
  <c r="U1566" i="15"/>
  <c r="U1381" i="15"/>
  <c r="U2706" i="15"/>
  <c r="X493" i="15"/>
  <c r="X1382" i="15"/>
  <c r="X1928" i="15"/>
  <c r="X148" i="15"/>
  <c r="X1565" i="15"/>
  <c r="DY181" i="7"/>
  <c r="X1380" i="15"/>
  <c r="X2705" i="15"/>
  <c r="DX181" i="7"/>
  <c r="X806" i="15"/>
  <c r="DQ179" i="7"/>
  <c r="DW181" i="7"/>
  <c r="X1017" i="15"/>
  <c r="U1380" i="15"/>
  <c r="DY179" i="7"/>
  <c r="DW179" i="7"/>
  <c r="X491" i="15"/>
  <c r="U806" i="15"/>
  <c r="U2046" i="15"/>
  <c r="DX179" i="7"/>
  <c r="U493" i="15"/>
  <c r="U1565" i="15"/>
  <c r="U2705" i="15"/>
  <c r="DY177" i="7"/>
  <c r="X144" i="15"/>
  <c r="U146" i="15"/>
  <c r="U2279" i="15"/>
  <c r="DW177" i="7"/>
  <c r="X1563" i="15"/>
  <c r="DX177" i="7"/>
  <c r="V1144" i="15"/>
  <c r="DU416" i="7"/>
  <c r="DY14" i="7"/>
  <c r="X2122" i="15"/>
  <c r="X1663" i="15"/>
  <c r="DU334" i="7"/>
  <c r="X2703" i="15"/>
  <c r="X1378" i="15"/>
  <c r="T1144" i="15"/>
  <c r="X2440" i="15"/>
  <c r="DY178" i="7"/>
  <c r="U18" i="15"/>
  <c r="X967" i="15"/>
  <c r="X18" i="15"/>
  <c r="X1510" i="15"/>
  <c r="DQ14" i="7"/>
  <c r="DU178" i="7"/>
  <c r="DX178" i="7"/>
  <c r="DX14" i="7"/>
  <c r="DW14" i="7"/>
  <c r="X2048" i="15"/>
  <c r="X1562" i="15"/>
  <c r="DW176" i="7"/>
  <c r="X897" i="15"/>
  <c r="X2707" i="15"/>
  <c r="X495" i="15"/>
  <c r="X808" i="15"/>
  <c r="X1379" i="15"/>
  <c r="X1567" i="15"/>
  <c r="X2407" i="15"/>
  <c r="X143" i="15"/>
  <c r="X807" i="15"/>
  <c r="X2281" i="15"/>
  <c r="X2280" i="15"/>
  <c r="X1016" i="15"/>
  <c r="U1352" i="15"/>
  <c r="U1510" i="15"/>
  <c r="X1927" i="15"/>
  <c r="X492" i="15"/>
  <c r="X2047" i="15"/>
  <c r="X1929" i="15"/>
  <c r="X2702" i="15"/>
  <c r="X490" i="15"/>
  <c r="X2840" i="15"/>
  <c r="X573" i="15"/>
  <c r="X2344" i="15"/>
  <c r="X292" i="15"/>
  <c r="X1410" i="15"/>
  <c r="X2439" i="15"/>
  <c r="T965" i="15"/>
  <c r="X1377" i="15"/>
  <c r="X698" i="15"/>
  <c r="X1973" i="15"/>
  <c r="X2805" i="15"/>
  <c r="X256" i="15"/>
  <c r="X870" i="15"/>
  <c r="U967" i="15"/>
  <c r="U1270" i="15"/>
  <c r="X1640" i="15"/>
  <c r="U1859" i="15"/>
  <c r="X2481" i="15"/>
  <c r="X2279" i="15"/>
  <c r="X2483" i="15"/>
  <c r="DU335" i="7"/>
  <c r="DX335" i="7"/>
  <c r="U604" i="15"/>
  <c r="X696" i="15"/>
  <c r="X1018" i="15"/>
  <c r="X1857" i="15"/>
  <c r="U1857" i="15"/>
  <c r="X2046" i="15"/>
  <c r="DQ16" i="7"/>
  <c r="DX333" i="7"/>
  <c r="DY335" i="7"/>
  <c r="DW335" i="7"/>
  <c r="X254" i="15"/>
  <c r="DY333" i="7"/>
  <c r="DW333" i="7"/>
  <c r="X145" i="15"/>
  <c r="U606" i="15"/>
  <c r="X1226" i="15"/>
  <c r="U2563" i="15"/>
  <c r="X2968" i="15"/>
  <c r="X1131" i="15"/>
  <c r="U1512" i="15"/>
  <c r="U2409" i="15"/>
  <c r="DW178" i="7"/>
  <c r="U20" i="15"/>
  <c r="X872" i="15"/>
  <c r="U2407" i="15"/>
  <c r="X2704" i="15"/>
  <c r="X2807" i="15"/>
  <c r="X604" i="15"/>
  <c r="X1352" i="15"/>
  <c r="X1564" i="15"/>
  <c r="X1971" i="15"/>
  <c r="X2563" i="15"/>
  <c r="U2598" i="15"/>
  <c r="X3005" i="15"/>
  <c r="DU333" i="7"/>
  <c r="X2482" i="15"/>
  <c r="X1225" i="15"/>
  <c r="X1972" i="15"/>
  <c r="V3264" i="15"/>
  <c r="U605" i="15"/>
  <c r="X871" i="15"/>
  <c r="X1639" i="15"/>
  <c r="V602" i="15"/>
  <c r="U602" i="15"/>
  <c r="T602" i="15"/>
  <c r="U19" i="15"/>
  <c r="U1353" i="15"/>
  <c r="W3080" i="15"/>
  <c r="W2743" i="15"/>
  <c r="W2461" i="15"/>
  <c r="W2055" i="15"/>
  <c r="W1591" i="15"/>
  <c r="W1445" i="15"/>
  <c r="W504" i="15"/>
  <c r="W826" i="15"/>
  <c r="W192" i="15"/>
  <c r="W3224" i="15"/>
  <c r="W2610" i="15"/>
  <c r="W2215" i="15"/>
  <c r="W1871" i="15"/>
  <c r="W1524" i="15"/>
  <c r="W1276" i="15"/>
  <c r="W757" i="15"/>
  <c r="W438" i="15"/>
  <c r="W32" i="15"/>
  <c r="DQ15" i="7"/>
  <c r="DY334" i="7"/>
  <c r="X697" i="15"/>
  <c r="U968" i="15"/>
  <c r="V3218" i="15"/>
  <c r="T3218" i="15"/>
  <c r="U3218" i="15"/>
  <c r="W3222" i="15"/>
  <c r="W2608" i="15"/>
  <c r="W2213" i="15"/>
  <c r="W1869" i="15"/>
  <c r="W1522" i="15"/>
  <c r="W1156" i="15"/>
  <c r="W755" i="15"/>
  <c r="W436" i="15"/>
  <c r="W30" i="15"/>
  <c r="DX334" i="7"/>
  <c r="X255" i="15"/>
  <c r="U1858" i="15"/>
  <c r="W2584" i="15"/>
  <c r="X2584" i="15"/>
  <c r="Y2584" i="15"/>
  <c r="V965" i="15"/>
  <c r="U2408" i="15"/>
  <c r="W3223" i="15"/>
  <c r="W2609" i="15"/>
  <c r="W2214" i="15"/>
  <c r="W1870" i="15"/>
  <c r="W1523" i="15"/>
  <c r="W1157" i="15"/>
  <c r="W756" i="15"/>
  <c r="W437" i="15"/>
  <c r="W31" i="15"/>
  <c r="DW334" i="7"/>
  <c r="U1511" i="15"/>
  <c r="U2235" i="15"/>
  <c r="T2235" i="15"/>
  <c r="V2235" i="15"/>
  <c r="U965" i="15"/>
  <c r="W3225" i="15"/>
  <c r="W2611" i="15"/>
  <c r="W2216" i="15"/>
  <c r="W1872" i="15"/>
  <c r="W1525" i="15"/>
  <c r="W1277" i="15"/>
  <c r="W758" i="15"/>
  <c r="W439" i="15"/>
  <c r="W33" i="15"/>
  <c r="U2564" i="15"/>
  <c r="X2806" i="15"/>
  <c r="X645" i="15"/>
  <c r="W645" i="15"/>
  <c r="Y645" i="15"/>
  <c r="U3264" i="15"/>
  <c r="T3264" i="15"/>
  <c r="U3167" i="15"/>
  <c r="T2578" i="15"/>
  <c r="T2977" i="15"/>
  <c r="T2405" i="15"/>
  <c r="U2331" i="15"/>
  <c r="U2809" i="15"/>
  <c r="U2332" i="15"/>
  <c r="U2810" i="15"/>
  <c r="U2344" i="15"/>
  <c r="U2840" i="15"/>
  <c r="U2405" i="15"/>
  <c r="U2330" i="15"/>
  <c r="U2808" i="15"/>
  <c r="V2405" i="15"/>
  <c r="T1936" i="15"/>
  <c r="T2448" i="15"/>
  <c r="T1843" i="15"/>
  <c r="U2191" i="15"/>
  <c r="V2191" i="15"/>
  <c r="T2191" i="15"/>
  <c r="U1843" i="15"/>
  <c r="U1641" i="15"/>
  <c r="U2098" i="15"/>
  <c r="U1643" i="15"/>
  <c r="U2100" i="15"/>
  <c r="U1642" i="15"/>
  <c r="U2099" i="15"/>
  <c r="U1663" i="15"/>
  <c r="U2122" i="15"/>
  <c r="V1843" i="15"/>
  <c r="Y1843" i="15"/>
  <c r="W1843" i="15"/>
  <c r="X1843" i="15"/>
  <c r="T1389" i="15"/>
  <c r="T1574" i="15"/>
  <c r="U897" i="15"/>
  <c r="U1410" i="15"/>
  <c r="T1350" i="15"/>
  <c r="U1350" i="15"/>
  <c r="V1350" i="15"/>
  <c r="V1262" i="15"/>
  <c r="U1262" i="15"/>
  <c r="T1262" i="15"/>
  <c r="U875" i="15"/>
  <c r="U1228" i="15"/>
  <c r="U874" i="15"/>
  <c r="U1227" i="15"/>
  <c r="U873" i="15"/>
  <c r="U1132" i="15"/>
  <c r="T626" i="15"/>
  <c r="T1025" i="15"/>
  <c r="V747" i="15"/>
  <c r="T747" i="15"/>
  <c r="U747" i="15"/>
  <c r="U259" i="15"/>
  <c r="U701" i="15"/>
  <c r="U258" i="15"/>
  <c r="U700" i="15"/>
  <c r="U257" i="15"/>
  <c r="U699" i="15"/>
  <c r="U292" i="15"/>
  <c r="U573" i="15"/>
  <c r="T155" i="15"/>
  <c r="DW416" i="7"/>
  <c r="DQ336" i="7"/>
  <c r="DQ416" i="7"/>
  <c r="DX416" i="7"/>
  <c r="DY416" i="7"/>
  <c r="DQ338" i="7"/>
  <c r="DQ337" i="7"/>
  <c r="DS271" i="7"/>
  <c r="X3080" i="15" s="1"/>
  <c r="DR273" i="7"/>
  <c r="DV29" i="7"/>
  <c r="DV28" i="7"/>
  <c r="DU183" i="7"/>
  <c r="DV183" i="7"/>
  <c r="DV271" i="7"/>
  <c r="DV26" i="7"/>
  <c r="DR272" i="7"/>
  <c r="DQ184" i="7"/>
  <c r="DV27" i="7"/>
  <c r="Y1350" i="15" l="1"/>
  <c r="W2235" i="15"/>
  <c r="X2235" i="15"/>
  <c r="Y2235" i="15"/>
  <c r="X1350" i="15"/>
  <c r="X2006" i="15"/>
  <c r="DS273" i="7"/>
  <c r="X3082" i="15" s="1"/>
  <c r="W3082" i="15"/>
  <c r="W2745" i="15"/>
  <c r="W2463" i="15"/>
  <c r="W2057" i="15"/>
  <c r="W1593" i="15"/>
  <c r="W1447" i="15"/>
  <c r="W194" i="15"/>
  <c r="W506" i="15"/>
  <c r="W1350" i="15"/>
  <c r="DS272" i="7"/>
  <c r="X3081" i="15" s="1"/>
  <c r="W3081" i="15"/>
  <c r="W2744" i="15"/>
  <c r="W2462" i="15"/>
  <c r="W2056" i="15"/>
  <c r="W1592" i="15"/>
  <c r="W1446" i="15"/>
  <c r="W505" i="15"/>
  <c r="W193" i="15"/>
  <c r="W2006" i="15"/>
  <c r="Y2006" i="15"/>
  <c r="X2461" i="15"/>
  <c r="X2743" i="15"/>
  <c r="X1591" i="15"/>
  <c r="X2055" i="15"/>
  <c r="X826" i="15"/>
  <c r="X1445" i="15"/>
  <c r="X192" i="15"/>
  <c r="X504" i="15"/>
  <c r="DW271" i="7"/>
  <c r="DU271" i="7"/>
  <c r="DY271" i="7"/>
  <c r="DX271" i="7"/>
  <c r="DN189" i="7"/>
  <c r="DN190" i="7"/>
  <c r="DQ188" i="7"/>
  <c r="DV188" i="7"/>
  <c r="DU189" i="7"/>
  <c r="DU190" i="7"/>
  <c r="DV184" i="7"/>
  <c r="DU184" i="7"/>
  <c r="DV273" i="7"/>
  <c r="DU187" i="7"/>
  <c r="DV272" i="7"/>
  <c r="DU272" i="7" l="1"/>
  <c r="Y3088" i="15"/>
  <c r="DX272" i="7"/>
  <c r="X1592" i="15"/>
  <c r="X2462" i="15"/>
  <c r="W3088" i="15"/>
  <c r="X1461" i="15"/>
  <c r="W1461" i="15"/>
  <c r="Y1461" i="15"/>
  <c r="X194" i="15"/>
  <c r="DW273" i="7"/>
  <c r="X506" i="15"/>
  <c r="X2745" i="15"/>
  <c r="X2463" i="15"/>
  <c r="DU273" i="7"/>
  <c r="X1447" i="15"/>
  <c r="DX273" i="7"/>
  <c r="X2057" i="15"/>
  <c r="DY273" i="7"/>
  <c r="X193" i="15"/>
  <c r="X1446" i="15"/>
  <c r="X1593" i="15"/>
  <c r="DY272" i="7"/>
  <c r="DW272" i="7"/>
  <c r="X505" i="15"/>
  <c r="X2744" i="15"/>
  <c r="X2056" i="15"/>
  <c r="X3088" i="15"/>
  <c r="T2579" i="15"/>
  <c r="T2978" i="15"/>
  <c r="T2580" i="15"/>
  <c r="T2979" i="15"/>
  <c r="T1937" i="15"/>
  <c r="T2449" i="15"/>
  <c r="T1938" i="15"/>
  <c r="T2450" i="15"/>
  <c r="T1390" i="15"/>
  <c r="T1575" i="15"/>
  <c r="T1391" i="15"/>
  <c r="T1576" i="15"/>
  <c r="T627" i="15"/>
  <c r="T1026" i="15"/>
  <c r="T628" i="15"/>
  <c r="T1027" i="15"/>
  <c r="T156" i="15"/>
  <c r="T157" i="15"/>
  <c r="DV189" i="7"/>
  <c r="DV190" i="7"/>
  <c r="DU286" i="7"/>
  <c r="DV286" i="7"/>
  <c r="DU287" i="7"/>
  <c r="DV287" i="7"/>
  <c r="DU284" i="7"/>
  <c r="DV284" i="7"/>
  <c r="DU280" i="7"/>
  <c r="DV280" i="7"/>
  <c r="DU282" i="7"/>
  <c r="DV282" i="7"/>
  <c r="DU281" i="7"/>
  <c r="DV281" i="7"/>
  <c r="DU283" i="7"/>
  <c r="DV283" i="7"/>
  <c r="DU285" i="7"/>
  <c r="DV285" i="7"/>
  <c r="DU299" i="7"/>
  <c r="DV299" i="7"/>
  <c r="DU304" i="7"/>
  <c r="DV304" i="7"/>
  <c r="DQ190" i="7"/>
  <c r="DU297" i="7"/>
  <c r="DV297" i="7"/>
  <c r="DQ189" i="7"/>
  <c r="DU295" i="7"/>
  <c r="DV295" i="7"/>
  <c r="DV298" i="7"/>
  <c r="DU298" i="7"/>
  <c r="DV186" i="7"/>
  <c r="DU293" i="7"/>
  <c r="DV293" i="7"/>
  <c r="DU307" i="7"/>
  <c r="DV307" i="7"/>
  <c r="DU292" i="7"/>
  <c r="DV292" i="7"/>
  <c r="DU296" i="7"/>
  <c r="DV296" i="7"/>
  <c r="DU305" i="7"/>
  <c r="DV305" i="7"/>
  <c r="DU186" i="7"/>
  <c r="DV294" i="7"/>
  <c r="DU294" i="7"/>
  <c r="DU185" i="7"/>
  <c r="DV185" i="7"/>
  <c r="DU306" i="7"/>
  <c r="DV306" i="7"/>
  <c r="T2584" i="15" l="1"/>
  <c r="U2584" i="15"/>
  <c r="V2584" i="15"/>
  <c r="DV288" i="7"/>
  <c r="DU288" i="7"/>
  <c r="DU289" i="7"/>
  <c r="DV289" i="7"/>
  <c r="DU290" i="7"/>
  <c r="DV290" i="7"/>
  <c r="DU291" i="7"/>
  <c r="DV291" i="7"/>
  <c r="DU300" i="7"/>
  <c r="DV300" i="7"/>
  <c r="DR338" i="7"/>
  <c r="DR337" i="7"/>
  <c r="DR336" i="7"/>
  <c r="DV315" i="7"/>
  <c r="DU315" i="7"/>
  <c r="DU314" i="7"/>
  <c r="DV314" i="7"/>
  <c r="DU312" i="7"/>
  <c r="DV312" i="7"/>
  <c r="DQ186" i="7"/>
  <c r="DU303" i="7"/>
  <c r="DV303" i="7"/>
  <c r="DU313" i="7"/>
  <c r="DV313" i="7"/>
  <c r="DU302" i="7"/>
  <c r="DV302" i="7"/>
  <c r="DV301" i="7"/>
  <c r="DU301" i="7"/>
  <c r="W3167" i="15" l="1"/>
  <c r="W2808" i="15"/>
  <c r="W2330" i="15"/>
  <c r="W2098" i="15"/>
  <c r="W1641" i="15"/>
  <c r="W873" i="15"/>
  <c r="W699" i="15"/>
  <c r="W1132" i="15"/>
  <c r="W257" i="15"/>
  <c r="W3168" i="15"/>
  <c r="W2809" i="15"/>
  <c r="W2331" i="15"/>
  <c r="W2099" i="15"/>
  <c r="W1642" i="15"/>
  <c r="W1227" i="15"/>
  <c r="W874" i="15"/>
  <c r="W258" i="15"/>
  <c r="W700" i="15"/>
  <c r="W3169" i="15"/>
  <c r="W2810" i="15"/>
  <c r="W2332" i="15"/>
  <c r="W2100" i="15"/>
  <c r="W1643" i="15"/>
  <c r="W1228" i="15"/>
  <c r="W701" i="15"/>
  <c r="W875" i="15"/>
  <c r="W259" i="15"/>
  <c r="DS336" i="7"/>
  <c r="DS337" i="7"/>
  <c r="DS338" i="7"/>
  <c r="DV308" i="7"/>
  <c r="DU308" i="7"/>
  <c r="DV309" i="7"/>
  <c r="DU309" i="7"/>
  <c r="DV310" i="7"/>
  <c r="DU310" i="7"/>
  <c r="DV311" i="7"/>
  <c r="DU311" i="7"/>
  <c r="DN191" i="7"/>
  <c r="DQ187" i="7"/>
  <c r="DV187" i="7"/>
  <c r="DU191" i="7"/>
  <c r="DV336" i="7"/>
  <c r="DU193" i="7"/>
  <c r="DV338" i="7"/>
  <c r="DV337" i="7"/>
  <c r="DR354" i="7"/>
  <c r="DR357" i="7"/>
  <c r="DU192" i="7"/>
  <c r="DR356" i="7"/>
  <c r="DR355" i="7"/>
  <c r="DR359" i="7"/>
  <c r="DR358" i="7"/>
  <c r="DR417" i="7"/>
  <c r="W747" i="15" l="1"/>
  <c r="W3246" i="15"/>
  <c r="W2825" i="15"/>
  <c r="W2338" i="15"/>
  <c r="W2115" i="15"/>
  <c r="W1658" i="15"/>
  <c r="W1409" i="15"/>
  <c r="W1058" i="15"/>
  <c r="W563" i="15"/>
  <c r="W274" i="15"/>
  <c r="W3245" i="15"/>
  <c r="W2824" i="15"/>
  <c r="W2337" i="15"/>
  <c r="W2114" i="15"/>
  <c r="W1657" i="15"/>
  <c r="W1408" i="15"/>
  <c r="W888" i="15"/>
  <c r="W562" i="15"/>
  <c r="W273" i="15"/>
  <c r="W3243" i="15"/>
  <c r="W2821" i="15"/>
  <c r="W2111" i="15"/>
  <c r="W2334" i="15"/>
  <c r="W1654" i="15"/>
  <c r="W1405" i="15"/>
  <c r="W886" i="15"/>
  <c r="W559" i="15"/>
  <c r="W270" i="15"/>
  <c r="W3244" i="15"/>
  <c r="W2822" i="15"/>
  <c r="W2335" i="15"/>
  <c r="W2112" i="15"/>
  <c r="W1655" i="15"/>
  <c r="W1406" i="15"/>
  <c r="W1057" i="15"/>
  <c r="W560" i="15"/>
  <c r="W271" i="15"/>
  <c r="W3012" i="15"/>
  <c r="W2823" i="15"/>
  <c r="W2336" i="15"/>
  <c r="W2113" i="15"/>
  <c r="W1656" i="15"/>
  <c r="W1407" i="15"/>
  <c r="W887" i="15"/>
  <c r="W561" i="15"/>
  <c r="W272" i="15"/>
  <c r="W3011" i="15"/>
  <c r="W2820" i="15"/>
  <c r="W2333" i="15"/>
  <c r="W2110" i="15"/>
  <c r="W1653" i="15"/>
  <c r="W1404" i="15"/>
  <c r="W885" i="15"/>
  <c r="W558" i="15"/>
  <c r="W269" i="15"/>
  <c r="Y1262" i="15"/>
  <c r="W1262" i="15"/>
  <c r="X1262" i="15"/>
  <c r="X747" i="15"/>
  <c r="Y747" i="15"/>
  <c r="DS417" i="7"/>
  <c r="X3179" i="15" s="1"/>
  <c r="W3179" i="15"/>
  <c r="W3218" i="15" s="1"/>
  <c r="W2841" i="15"/>
  <c r="W2499" i="15"/>
  <c r="W2123" i="15"/>
  <c r="W1664" i="15"/>
  <c r="W1411" i="15"/>
  <c r="W898" i="15"/>
  <c r="W293" i="15"/>
  <c r="W574" i="15"/>
  <c r="X1144" i="15"/>
  <c r="W1144" i="15"/>
  <c r="Y1144" i="15"/>
  <c r="X2809" i="15"/>
  <c r="X3168" i="15"/>
  <c r="X2810" i="15"/>
  <c r="X3169" i="15"/>
  <c r="X2808" i="15"/>
  <c r="X3167" i="15"/>
  <c r="T2711" i="15"/>
  <c r="T2980" i="15"/>
  <c r="T1939" i="15"/>
  <c r="T2451" i="15"/>
  <c r="X2099" i="15"/>
  <c r="X2331" i="15"/>
  <c r="X2100" i="15"/>
  <c r="X2332" i="15"/>
  <c r="X2098" i="15"/>
  <c r="X2330" i="15"/>
  <c r="X1228" i="15"/>
  <c r="X1643" i="15"/>
  <c r="X1227" i="15"/>
  <c r="X1642" i="15"/>
  <c r="T1392" i="15"/>
  <c r="T1577" i="15"/>
  <c r="X1132" i="15"/>
  <c r="X1641" i="15"/>
  <c r="T629" i="15"/>
  <c r="T1028" i="15"/>
  <c r="X701" i="15"/>
  <c r="X875" i="15"/>
  <c r="X700" i="15"/>
  <c r="X874" i="15"/>
  <c r="X699" i="15"/>
  <c r="X873" i="15"/>
  <c r="DW338" i="7"/>
  <c r="X259" i="15"/>
  <c r="DW337" i="7"/>
  <c r="X258" i="15"/>
  <c r="T158" i="15"/>
  <c r="DW336" i="7"/>
  <c r="X257" i="15"/>
  <c r="DU337" i="7"/>
  <c r="DY337" i="7"/>
  <c r="DX337" i="7"/>
  <c r="DU336" i="7"/>
  <c r="DX336" i="7"/>
  <c r="DY336" i="7"/>
  <c r="DU338" i="7"/>
  <c r="DY338" i="7"/>
  <c r="DX338" i="7"/>
  <c r="DN193" i="7"/>
  <c r="DV417" i="7"/>
  <c r="DV355" i="7"/>
  <c r="DV357" i="7"/>
  <c r="DV358" i="7"/>
  <c r="DV359" i="7"/>
  <c r="DV356" i="7"/>
  <c r="DV354" i="7"/>
  <c r="DV191" i="7"/>
  <c r="DN192" i="7"/>
  <c r="DQ191" i="7"/>
  <c r="X3264" i="15" l="1"/>
  <c r="Y2405" i="15"/>
  <c r="Y1685" i="15"/>
  <c r="X1411" i="15"/>
  <c r="X1664" i="15"/>
  <c r="W2405" i="15"/>
  <c r="Y965" i="15"/>
  <c r="W2917" i="15"/>
  <c r="X574" i="15"/>
  <c r="X293" i="15"/>
  <c r="W2191" i="15"/>
  <c r="X361" i="15"/>
  <c r="X3218" i="15"/>
  <c r="X1685" i="15"/>
  <c r="DU417" i="7"/>
  <c r="X898" i="15"/>
  <c r="X2123" i="15"/>
  <c r="X2841" i="15"/>
  <c r="X2499" i="15"/>
  <c r="Y3218" i="15"/>
  <c r="X965" i="15"/>
  <c r="Y1107" i="15"/>
  <c r="X1107" i="15"/>
  <c r="W1107" i="15"/>
  <c r="Y2522" i="15"/>
  <c r="W2522" i="15"/>
  <c r="X2522" i="15"/>
  <c r="X2917" i="15"/>
  <c r="Y3264" i="15"/>
  <c r="W3264" i="15"/>
  <c r="W965" i="15"/>
  <c r="Y2917" i="15"/>
  <c r="W3027" i="15"/>
  <c r="X3027" i="15"/>
  <c r="Y3027" i="15"/>
  <c r="W1685" i="15"/>
  <c r="Y602" i="15"/>
  <c r="Y361" i="15"/>
  <c r="X602" i="15"/>
  <c r="W602" i="15"/>
  <c r="X2191" i="15"/>
  <c r="W361" i="15"/>
  <c r="X2405" i="15"/>
  <c r="Y2191" i="15"/>
  <c r="Y1435" i="15"/>
  <c r="W1435" i="15"/>
  <c r="X1435" i="15"/>
  <c r="T2712" i="15"/>
  <c r="T2981" i="15"/>
  <c r="T2713" i="15"/>
  <c r="T2982" i="15"/>
  <c r="T1941" i="15"/>
  <c r="T2453" i="15"/>
  <c r="T1940" i="15"/>
  <c r="T2452" i="15"/>
  <c r="T1394" i="15"/>
  <c r="T1579" i="15"/>
  <c r="T1393" i="15"/>
  <c r="T1578" i="15"/>
  <c r="T630" i="15"/>
  <c r="T1029" i="15"/>
  <c r="T631" i="15"/>
  <c r="T1030" i="15"/>
  <c r="T159" i="15"/>
  <c r="T160" i="15"/>
  <c r="DQ193" i="7"/>
  <c r="DV193" i="7"/>
  <c r="DQ192" i="7"/>
  <c r="DV192" i="7"/>
  <c r="V361" i="15" l="1"/>
  <c r="V3027" i="15"/>
  <c r="T2917" i="15"/>
  <c r="U3027" i="15"/>
  <c r="T3027" i="15"/>
  <c r="U2917" i="15"/>
  <c r="V2917" i="15"/>
  <c r="T2006" i="15"/>
  <c r="U2006" i="15"/>
  <c r="V2006" i="15"/>
  <c r="T2522" i="15"/>
  <c r="V2522" i="15"/>
  <c r="U2522" i="15"/>
  <c r="V1685" i="15"/>
  <c r="U1685" i="15"/>
  <c r="T1685" i="15"/>
  <c r="V1435" i="15"/>
  <c r="T1435" i="15"/>
  <c r="U1435" i="15"/>
  <c r="V645" i="15"/>
  <c r="U645" i="15"/>
  <c r="T645" i="15"/>
  <c r="V1107" i="15"/>
  <c r="U1107" i="15"/>
  <c r="T1107" i="15"/>
  <c r="T361" i="15"/>
  <c r="U361" i="15"/>
  <c r="AS354" i="15" l="1"/>
  <c r="AQ354" i="15"/>
  <c r="AR354" i="15"/>
  <c r="EB90" i="7" l="1"/>
  <c r="EB128" i="7"/>
  <c r="EF215" i="7"/>
  <c r="AA2928" i="15" l="1"/>
  <c r="AD1540" i="15"/>
  <c r="AD3078" i="15"/>
  <c r="AA2417" i="15"/>
  <c r="AA2623" i="15"/>
  <c r="AA2409" i="15"/>
  <c r="AA2597" i="15"/>
  <c r="AA1505" i="15"/>
  <c r="AA1853" i="15"/>
  <c r="AA1706" i="15"/>
  <c r="AA1879" i="15"/>
  <c r="AA767" i="15"/>
  <c r="AA1110" i="15"/>
  <c r="AA968" i="15"/>
  <c r="AA1109" i="15"/>
  <c r="AA17" i="15"/>
  <c r="AA658" i="15"/>
  <c r="AA51" i="15"/>
  <c r="AA443" i="15"/>
  <c r="AD99" i="15"/>
  <c r="AD382" i="15"/>
  <c r="EB266" i="7"/>
  <c r="AA3113" i="15" s="1"/>
  <c r="EB256" i="7"/>
  <c r="AA3107" i="15" s="1"/>
  <c r="EB253" i="7"/>
  <c r="EB260" i="7"/>
  <c r="AA2954" i="15" s="1"/>
  <c r="EB132" i="7"/>
  <c r="EB130" i="7"/>
  <c r="EB250" i="7"/>
  <c r="AA2952" i="15" s="1"/>
  <c r="EB261" i="7"/>
  <c r="AA2955" i="15" s="1"/>
  <c r="EB251" i="7"/>
  <c r="AA2953" i="15" s="1"/>
  <c r="EB129" i="7"/>
  <c r="AA2929" i="15" s="1"/>
  <c r="ED128" i="7"/>
  <c r="ED90" i="7"/>
  <c r="EB258" i="7"/>
  <c r="AA3109" i="15" s="1"/>
  <c r="EB259" i="7"/>
  <c r="EB257" i="7"/>
  <c r="AA3108" i="15" s="1"/>
  <c r="EB255" i="7"/>
  <c r="AA3106" i="15" s="1"/>
  <c r="EB264" i="7"/>
  <c r="AA3111" i="15" s="1"/>
  <c r="EB211" i="7"/>
  <c r="EB265" i="7"/>
  <c r="EB268" i="7"/>
  <c r="AA3114" i="15" s="1"/>
  <c r="EB254" i="7"/>
  <c r="AA3105" i="15" s="1"/>
  <c r="EH215" i="7"/>
  <c r="EF90" i="7"/>
  <c r="EF9" i="7"/>
  <c r="AD2920" i="15" s="1"/>
  <c r="AD2597" i="15" l="1"/>
  <c r="AA2930" i="15"/>
  <c r="AA2932" i="15"/>
  <c r="AA2659" i="15"/>
  <c r="AA3101" i="15"/>
  <c r="AA2679" i="15"/>
  <c r="AA3112" i="15"/>
  <c r="AA2675" i="15"/>
  <c r="AA3110" i="15"/>
  <c r="AA2421" i="15"/>
  <c r="AA2627" i="15"/>
  <c r="AD2194" i="15"/>
  <c r="AD2587" i="15"/>
  <c r="AA2267" i="15"/>
  <c r="AA2670" i="15"/>
  <c r="AA2271" i="15"/>
  <c r="AA2674" i="15"/>
  <c r="AA2436" i="15"/>
  <c r="AA2676" i="15"/>
  <c r="AA2276" i="15"/>
  <c r="AA2681" i="15"/>
  <c r="AA2419" i="15"/>
  <c r="AA2625" i="15"/>
  <c r="AA2418" i="15"/>
  <c r="AA2624" i="15"/>
  <c r="AA2269" i="15"/>
  <c r="AA2672" i="15"/>
  <c r="AA2270" i="15"/>
  <c r="AA2673" i="15"/>
  <c r="AA2435" i="15"/>
  <c r="AA2669" i="15"/>
  <c r="AA2275" i="15"/>
  <c r="AA2680" i="15"/>
  <c r="AA2273" i="15"/>
  <c r="AA2678" i="15"/>
  <c r="AA2437" i="15"/>
  <c r="AA2677" i="15"/>
  <c r="AA2268" i="15"/>
  <c r="AA2671" i="15"/>
  <c r="AA2434" i="15"/>
  <c r="AA2668" i="15"/>
  <c r="AD1853" i="15"/>
  <c r="AD2409" i="15"/>
  <c r="AA1903" i="15"/>
  <c r="AA2263" i="15"/>
  <c r="AA2033" i="15"/>
  <c r="AA2272" i="15"/>
  <c r="AA2035" i="15"/>
  <c r="AA2274" i="15"/>
  <c r="AA1730" i="15"/>
  <c r="AA2030" i="15"/>
  <c r="AA1738" i="15"/>
  <c r="AA2036" i="15"/>
  <c r="AA1729" i="15"/>
  <c r="AA2029" i="15"/>
  <c r="AA1731" i="15"/>
  <c r="AA2031" i="15"/>
  <c r="AA1728" i="15"/>
  <c r="AA2028" i="15"/>
  <c r="AA1732" i="15"/>
  <c r="AA2032" i="15"/>
  <c r="AA1736" i="15"/>
  <c r="AA2034" i="15"/>
  <c r="AA1739" i="15"/>
  <c r="AA2037" i="15"/>
  <c r="AA1707" i="15"/>
  <c r="AA1880" i="15"/>
  <c r="AA1727" i="15"/>
  <c r="AA1910" i="15"/>
  <c r="AA1735" i="15"/>
  <c r="AA1912" i="15"/>
  <c r="AA1726" i="15"/>
  <c r="AA1909" i="15"/>
  <c r="AD1499" i="15"/>
  <c r="AD1846" i="15"/>
  <c r="AA1708" i="15"/>
  <c r="AA1881" i="15"/>
  <c r="AA1710" i="15"/>
  <c r="AA1883" i="15"/>
  <c r="AA1734" i="15"/>
  <c r="AA1911" i="15"/>
  <c r="AA1383" i="15"/>
  <c r="AA1733" i="15"/>
  <c r="AA1385" i="15"/>
  <c r="AA1737" i="15"/>
  <c r="AA1377" i="15"/>
  <c r="AA1724" i="15"/>
  <c r="AD1109" i="15"/>
  <c r="AD1505" i="15"/>
  <c r="AA801" i="15"/>
  <c r="AA1381" i="15"/>
  <c r="AA798" i="15"/>
  <c r="AA1378" i="15"/>
  <c r="AA768" i="15"/>
  <c r="AA1365" i="15"/>
  <c r="AA800" i="15"/>
  <c r="AA1380" i="15"/>
  <c r="AA807" i="15"/>
  <c r="AA1386" i="15"/>
  <c r="AA799" i="15"/>
  <c r="AA1379" i="15"/>
  <c r="AA802" i="15"/>
  <c r="AA1382" i="15"/>
  <c r="AA808" i="15"/>
  <c r="AA1387" i="15"/>
  <c r="AA805" i="15"/>
  <c r="AA1384" i="15"/>
  <c r="AA803" i="15"/>
  <c r="AA1283" i="15"/>
  <c r="AD417" i="15"/>
  <c r="AD1264" i="15"/>
  <c r="AA797" i="15"/>
  <c r="AA1282" i="15"/>
  <c r="AA804" i="15"/>
  <c r="AA1284" i="15"/>
  <c r="AA796" i="15"/>
  <c r="AA1281" i="15"/>
  <c r="AA769" i="15"/>
  <c r="AA1111" i="15"/>
  <c r="AA771" i="15"/>
  <c r="AA1112" i="15"/>
  <c r="AD658" i="15"/>
  <c r="AD968" i="15"/>
  <c r="AA486" i="15"/>
  <c r="AA806" i="15"/>
  <c r="AA469" i="15"/>
  <c r="AA790" i="15"/>
  <c r="AA119" i="15"/>
  <c r="AA488" i="15"/>
  <c r="AA114" i="15"/>
  <c r="AA483" i="15"/>
  <c r="AA52" i="15"/>
  <c r="AA444" i="15"/>
  <c r="AA110" i="15"/>
  <c r="AA479" i="15"/>
  <c r="AA107" i="15"/>
  <c r="AA476" i="15"/>
  <c r="AA118" i="15"/>
  <c r="AA487" i="15"/>
  <c r="AA116" i="15"/>
  <c r="AA485" i="15"/>
  <c r="AA115" i="15"/>
  <c r="AA484" i="15"/>
  <c r="AA109" i="15"/>
  <c r="AA478" i="15"/>
  <c r="AA106" i="15"/>
  <c r="AA475" i="15"/>
  <c r="AA108" i="15"/>
  <c r="AA477" i="15"/>
  <c r="AA111" i="15"/>
  <c r="AA480" i="15"/>
  <c r="AA53" i="15"/>
  <c r="AA445" i="15"/>
  <c r="AA112" i="15"/>
  <c r="AA481" i="15"/>
  <c r="AA113" i="15"/>
  <c r="AA482" i="15"/>
  <c r="AA55" i="15"/>
  <c r="AA447" i="15"/>
  <c r="EJ9" i="7"/>
  <c r="AD7" i="15"/>
  <c r="EL90" i="7"/>
  <c r="AD17" i="15"/>
  <c r="EJ265" i="7"/>
  <c r="AA117" i="15"/>
  <c r="AA96" i="15"/>
  <c r="EJ90" i="7"/>
  <c r="EK90" i="7"/>
  <c r="EL9" i="7"/>
  <c r="EK9" i="7"/>
  <c r="EL265" i="7"/>
  <c r="EK265" i="7"/>
  <c r="EH90" i="7"/>
  <c r="EH9" i="7"/>
  <c r="ED261" i="7"/>
  <c r="EF13" i="7"/>
  <c r="EF11" i="7"/>
  <c r="ED265" i="7"/>
  <c r="EF8" i="7"/>
  <c r="ED250" i="7"/>
  <c r="ED258" i="7"/>
  <c r="ED211" i="7"/>
  <c r="EB131" i="7"/>
  <c r="AA2931" i="15" s="1"/>
  <c r="ED130" i="7"/>
  <c r="EF266" i="7"/>
  <c r="EF256" i="7"/>
  <c r="ED269" i="7"/>
  <c r="EB133" i="7"/>
  <c r="AA2933" i="15" s="1"/>
  <c r="ED132" i="7"/>
  <c r="ED268" i="7"/>
  <c r="EF12" i="7"/>
  <c r="EF10" i="7"/>
  <c r="ED264" i="7"/>
  <c r="ED260" i="7"/>
  <c r="ED255" i="7"/>
  <c r="ED253" i="7"/>
  <c r="ED257" i="7"/>
  <c r="ED129" i="7"/>
  <c r="ED256" i="7"/>
  <c r="EF268" i="7"/>
  <c r="EF258" i="7"/>
  <c r="EF264" i="7"/>
  <c r="EF255" i="7"/>
  <c r="EF254" i="7"/>
  <c r="EF211" i="7"/>
  <c r="EF257" i="7"/>
  <c r="EF259" i="7"/>
  <c r="AD3110" i="15" s="1"/>
  <c r="EF131" i="7"/>
  <c r="AD2931" i="15" s="1"/>
  <c r="EF129" i="7"/>
  <c r="EF128" i="7"/>
  <c r="EF251" i="7"/>
  <c r="EF130" i="7"/>
  <c r="EF252" i="7"/>
  <c r="EF250" i="7"/>
  <c r="EF133" i="7"/>
  <c r="AD2933" i="15" s="1"/>
  <c r="EF132" i="7"/>
  <c r="EF262" i="7"/>
  <c r="EF261" i="7"/>
  <c r="EF260" i="7"/>
  <c r="ED254" i="7"/>
  <c r="ED259" i="7"/>
  <c r="ED251" i="7"/>
  <c r="ED266" i="7"/>
  <c r="EB215" i="7"/>
  <c r="AA3078" i="15" s="1"/>
  <c r="AD2672" i="15" l="1"/>
  <c r="AD3107" i="15"/>
  <c r="AD2678" i="15"/>
  <c r="AD3111" i="15"/>
  <c r="AD2680" i="15"/>
  <c r="AD3113" i="15"/>
  <c r="AD2681" i="15"/>
  <c r="AD3114" i="15"/>
  <c r="AD2674" i="15"/>
  <c r="AD3109" i="15"/>
  <c r="AD2671" i="15"/>
  <c r="AD3106" i="15"/>
  <c r="AD2673" i="15"/>
  <c r="AD3108" i="15"/>
  <c r="AD2659" i="15"/>
  <c r="AD3101" i="15"/>
  <c r="AD2670" i="15"/>
  <c r="AD3105" i="15"/>
  <c r="AD2590" i="15"/>
  <c r="AD2923" i="15"/>
  <c r="AD2627" i="15"/>
  <c r="AD2932" i="15"/>
  <c r="AD2586" i="15"/>
  <c r="AD2919" i="15"/>
  <c r="AD2589" i="15"/>
  <c r="AD2922" i="15"/>
  <c r="AD2668" i="15"/>
  <c r="AD2952" i="15"/>
  <c r="AD2591" i="15"/>
  <c r="AD2924" i="15"/>
  <c r="AD2624" i="15"/>
  <c r="AD2929" i="15"/>
  <c r="AD2625" i="15"/>
  <c r="AD2930" i="15"/>
  <c r="AD2676" i="15"/>
  <c r="AD2954" i="15"/>
  <c r="AD2669" i="15"/>
  <c r="AD2953" i="15"/>
  <c r="AD2677" i="15"/>
  <c r="AD2955" i="15"/>
  <c r="AD2623" i="15"/>
  <c r="AD2928" i="15"/>
  <c r="AD2588" i="15"/>
  <c r="AD2921" i="15"/>
  <c r="AD2420" i="15"/>
  <c r="AD2626" i="15"/>
  <c r="AA2420" i="15"/>
  <c r="AA2626" i="15"/>
  <c r="AD2422" i="15"/>
  <c r="AD2628" i="15"/>
  <c r="AD2272" i="15"/>
  <c r="AD2675" i="15"/>
  <c r="AA2422" i="15"/>
  <c r="AA2628" i="15"/>
  <c r="AD1883" i="15"/>
  <c r="AD2421" i="15"/>
  <c r="AD1880" i="15"/>
  <c r="AD2418" i="15"/>
  <c r="AD1909" i="15"/>
  <c r="AD2434" i="15"/>
  <c r="AD1881" i="15"/>
  <c r="AD2419" i="15"/>
  <c r="AD1911" i="15"/>
  <c r="AD2436" i="15"/>
  <c r="AD1910" i="15"/>
  <c r="AD2435" i="15"/>
  <c r="AD1912" i="15"/>
  <c r="AD2437" i="15"/>
  <c r="AD1879" i="15"/>
  <c r="AD2417" i="15"/>
  <c r="AD2029" i="15"/>
  <c r="AD2268" i="15"/>
  <c r="AD2034" i="15"/>
  <c r="AD2273" i="15"/>
  <c r="AD2036" i="15"/>
  <c r="AD2275" i="15"/>
  <c r="AD2037" i="15"/>
  <c r="AD2276" i="15"/>
  <c r="AD2030" i="15"/>
  <c r="AD2269" i="15"/>
  <c r="AD2031" i="15"/>
  <c r="AD2270" i="15"/>
  <c r="AD1903" i="15"/>
  <c r="AD2263" i="15"/>
  <c r="AD2032" i="15"/>
  <c r="AD2271" i="15"/>
  <c r="AD2028" i="15"/>
  <c r="AD2267" i="15"/>
  <c r="AD1845" i="15"/>
  <c r="AD2193" i="15"/>
  <c r="AD1848" i="15"/>
  <c r="AD2196" i="15"/>
  <c r="AD1850" i="15"/>
  <c r="AD2198" i="15"/>
  <c r="AD1849" i="15"/>
  <c r="AD2197" i="15"/>
  <c r="AD1847" i="15"/>
  <c r="AD2195" i="15"/>
  <c r="AD1733" i="15"/>
  <c r="AD2033" i="15"/>
  <c r="AD1709" i="15"/>
  <c r="AD1882" i="15"/>
  <c r="AA1709" i="15"/>
  <c r="AA1882" i="15"/>
  <c r="AA1711" i="15"/>
  <c r="AA1884" i="15"/>
  <c r="AD1711" i="15"/>
  <c r="AD1884" i="15"/>
  <c r="AD1382" i="15"/>
  <c r="AD1732" i="15"/>
  <c r="AD1112" i="15"/>
  <c r="AD1710" i="15"/>
  <c r="AD1387" i="15"/>
  <c r="AD1739" i="15"/>
  <c r="AD1284" i="15"/>
  <c r="AD1735" i="15"/>
  <c r="AD1365" i="15"/>
  <c r="AD1707" i="15"/>
  <c r="AD1281" i="15"/>
  <c r="AD1726" i="15"/>
  <c r="AD1377" i="15"/>
  <c r="AD1724" i="15"/>
  <c r="AD1381" i="15"/>
  <c r="AD1731" i="15"/>
  <c r="AD1111" i="15"/>
  <c r="AD1708" i="15"/>
  <c r="AD1378" i="15"/>
  <c r="AD1728" i="15"/>
  <c r="AD1283" i="15"/>
  <c r="AD1734" i="15"/>
  <c r="AD1282" i="15"/>
  <c r="AD1727" i="15"/>
  <c r="AD1379" i="15"/>
  <c r="AD1729" i="15"/>
  <c r="AD1380" i="15"/>
  <c r="AD1730" i="15"/>
  <c r="AD1110" i="15"/>
  <c r="AD1706" i="15"/>
  <c r="AD1384" i="15"/>
  <c r="AD1736" i="15"/>
  <c r="AD1386" i="15"/>
  <c r="AD1738" i="15"/>
  <c r="AD1266" i="15"/>
  <c r="AD1503" i="15"/>
  <c r="AD1146" i="15"/>
  <c r="AD1498" i="15"/>
  <c r="AA382" i="15"/>
  <c r="AA1540" i="15"/>
  <c r="AD1147" i="15"/>
  <c r="AD1500" i="15"/>
  <c r="AD1265" i="15"/>
  <c r="AD1502" i="15"/>
  <c r="AD1148" i="15"/>
  <c r="AD1501" i="15"/>
  <c r="AD482" i="15"/>
  <c r="AD1383" i="15"/>
  <c r="AD772" i="15"/>
  <c r="AD1366" i="15"/>
  <c r="AA772" i="15"/>
  <c r="AA1366" i="15"/>
  <c r="AD770" i="15"/>
  <c r="AD1275" i="15"/>
  <c r="AA770" i="15"/>
  <c r="AA1275" i="15"/>
  <c r="AD476" i="15"/>
  <c r="AD797" i="15"/>
  <c r="AD447" i="15"/>
  <c r="AD771" i="15"/>
  <c r="AD488" i="15"/>
  <c r="AD808" i="15"/>
  <c r="AD484" i="15"/>
  <c r="AD804" i="15"/>
  <c r="AD487" i="15"/>
  <c r="AD807" i="15"/>
  <c r="AD483" i="15"/>
  <c r="AD803" i="15"/>
  <c r="AD485" i="15"/>
  <c r="AD805" i="15"/>
  <c r="AD444" i="15"/>
  <c r="AD768" i="15"/>
  <c r="AD475" i="15"/>
  <c r="AD796" i="15"/>
  <c r="AD480" i="15"/>
  <c r="AD801" i="15"/>
  <c r="AD478" i="15"/>
  <c r="AD799" i="15"/>
  <c r="AD443" i="15"/>
  <c r="AD767" i="15"/>
  <c r="AD481" i="15"/>
  <c r="AD802" i="15"/>
  <c r="AD469" i="15"/>
  <c r="AD790" i="15"/>
  <c r="AD479" i="15"/>
  <c r="AD800" i="15"/>
  <c r="AD445" i="15"/>
  <c r="AD769" i="15"/>
  <c r="AD477" i="15"/>
  <c r="AD798" i="15"/>
  <c r="AD9" i="15"/>
  <c r="AD419" i="15"/>
  <c r="AD11" i="15"/>
  <c r="AD421" i="15"/>
  <c r="AA56" i="15"/>
  <c r="AA448" i="15"/>
  <c r="AD6" i="15"/>
  <c r="AD416" i="15"/>
  <c r="AD8" i="15"/>
  <c r="AD418" i="15"/>
  <c r="AD10" i="15"/>
  <c r="AD420" i="15"/>
  <c r="AD56" i="15"/>
  <c r="AD448" i="15"/>
  <c r="AD54" i="15"/>
  <c r="AD446" i="15"/>
  <c r="AA54" i="15"/>
  <c r="AA446" i="15"/>
  <c r="EJ130" i="7"/>
  <c r="AD53" i="15"/>
  <c r="EJ254" i="7"/>
  <c r="AD108" i="15"/>
  <c r="EK257" i="7"/>
  <c r="AD111" i="15"/>
  <c r="AD96" i="15"/>
  <c r="EJ251" i="7"/>
  <c r="AD107" i="15"/>
  <c r="EL261" i="7"/>
  <c r="AD115" i="15"/>
  <c r="EJ128" i="7"/>
  <c r="AD51" i="15"/>
  <c r="EK264" i="7"/>
  <c r="AD116" i="15"/>
  <c r="EJ266" i="7"/>
  <c r="AD118" i="15"/>
  <c r="EL259" i="7"/>
  <c r="AD113" i="15"/>
  <c r="EJ250" i="7"/>
  <c r="AD106" i="15"/>
  <c r="EJ255" i="7"/>
  <c r="AD109" i="15"/>
  <c r="EJ256" i="7"/>
  <c r="AD110" i="15"/>
  <c r="EJ129" i="7"/>
  <c r="AD52" i="15"/>
  <c r="EJ258" i="7"/>
  <c r="AD112" i="15"/>
  <c r="EJ215" i="7"/>
  <c r="AA99" i="15"/>
  <c r="EL260" i="7"/>
  <c r="AD114" i="15"/>
  <c r="EJ132" i="7"/>
  <c r="AD55" i="15"/>
  <c r="EJ268" i="7"/>
  <c r="AD119" i="15"/>
  <c r="EJ211" i="7"/>
  <c r="EJ8" i="7"/>
  <c r="EL8" i="7"/>
  <c r="EK8" i="7"/>
  <c r="EJ261" i="7"/>
  <c r="EJ131" i="7"/>
  <c r="EJ264" i="7"/>
  <c r="EJ133" i="7"/>
  <c r="EJ260" i="7"/>
  <c r="EJ259" i="7"/>
  <c r="EJ257" i="7"/>
  <c r="EL257" i="7"/>
  <c r="EL250" i="7"/>
  <c r="EL255" i="7"/>
  <c r="EK251" i="7"/>
  <c r="EL130" i="7"/>
  <c r="EK211" i="7"/>
  <c r="EK261" i="7"/>
  <c r="EL132" i="7"/>
  <c r="EK255" i="7"/>
  <c r="EL251" i="7"/>
  <c r="EL133" i="7"/>
  <c r="EK133" i="7"/>
  <c r="EK259" i="7"/>
  <c r="EK129" i="7"/>
  <c r="EL264" i="7"/>
  <c r="EL211" i="7"/>
  <c r="EL131" i="7"/>
  <c r="EK131" i="7"/>
  <c r="EL129" i="7"/>
  <c r="EK268" i="7"/>
  <c r="EK256" i="7"/>
  <c r="EL258" i="7"/>
  <c r="EK260" i="7"/>
  <c r="EL268" i="7"/>
  <c r="EL256" i="7"/>
  <c r="EK258" i="7"/>
  <c r="EK266" i="7"/>
  <c r="EK254" i="7"/>
  <c r="EL128" i="7"/>
  <c r="EK128" i="7"/>
  <c r="EK132" i="7"/>
  <c r="EL215" i="7"/>
  <c r="EK215" i="7"/>
  <c r="EK130" i="7"/>
  <c r="EK250" i="7"/>
  <c r="EL266" i="7"/>
  <c r="EL254" i="7"/>
  <c r="EH260" i="7"/>
  <c r="EH251" i="7"/>
  <c r="EH255" i="7"/>
  <c r="EH12" i="7"/>
  <c r="EH256" i="7"/>
  <c r="EH261" i="7"/>
  <c r="EH128" i="7"/>
  <c r="EH264" i="7"/>
  <c r="EH266" i="7"/>
  <c r="EH8" i="7"/>
  <c r="EH10" i="7"/>
  <c r="EH262" i="7"/>
  <c r="EH129" i="7"/>
  <c r="EH258" i="7"/>
  <c r="EH11" i="7"/>
  <c r="ED215" i="7"/>
  <c r="EH132" i="7"/>
  <c r="EH131" i="7"/>
  <c r="EH268" i="7"/>
  <c r="EH13" i="7"/>
  <c r="EH133" i="7"/>
  <c r="EH259" i="7"/>
  <c r="ED133" i="7"/>
  <c r="ED131" i="7"/>
  <c r="EH130" i="7"/>
  <c r="EH250" i="7"/>
  <c r="EH257" i="7"/>
  <c r="EH254" i="7"/>
  <c r="EH211" i="7"/>
  <c r="EH474" i="7" l="1"/>
  <c r="EB10" i="7"/>
  <c r="AA2921" i="15" s="1"/>
  <c r="AA2195" i="15" l="1"/>
  <c r="AA2588" i="15"/>
  <c r="AA1500" i="15"/>
  <c r="AA1847" i="15"/>
  <c r="AA418" i="15"/>
  <c r="AA1147" i="15"/>
  <c r="EJ10" i="7"/>
  <c r="AA8" i="15"/>
  <c r="EL10" i="7"/>
  <c r="EK10" i="7"/>
  <c r="EF154" i="7"/>
  <c r="EF439" i="7"/>
  <c r="EF113" i="7"/>
  <c r="EF120" i="7"/>
  <c r="EF146" i="7"/>
  <c r="EF118" i="7"/>
  <c r="EF123" i="7"/>
  <c r="EF93" i="7"/>
  <c r="AD2927" i="15" s="1"/>
  <c r="EF122" i="7"/>
  <c r="EF92" i="7"/>
  <c r="AD2926" i="15" s="1"/>
  <c r="EF96" i="7"/>
  <c r="AD3097" i="15" s="1"/>
  <c r="EF168" i="7"/>
  <c r="AD3220" i="15" s="1"/>
  <c r="EF214" i="7"/>
  <c r="EF121" i="7"/>
  <c r="EF108" i="7"/>
  <c r="AD2611" i="15" s="1"/>
  <c r="EF117" i="7"/>
  <c r="EF105" i="7"/>
  <c r="AD2608" i="15" s="1"/>
  <c r="EF126" i="7"/>
  <c r="EF94" i="7"/>
  <c r="AD3095" i="15" s="1"/>
  <c r="EF201" i="7"/>
  <c r="EF119" i="7"/>
  <c r="EF165" i="7"/>
  <c r="EF212" i="7"/>
  <c r="EF91" i="7"/>
  <c r="AD3094" i="15" s="1"/>
  <c r="EF124" i="7"/>
  <c r="EF95" i="7"/>
  <c r="AD3096" i="15" s="1"/>
  <c r="EF106" i="7"/>
  <c r="AD2609" i="15" s="1"/>
  <c r="EF163" i="7"/>
  <c r="EF114" i="7"/>
  <c r="EF169" i="7"/>
  <c r="AD3221" i="15" s="1"/>
  <c r="EF440" i="7"/>
  <c r="EF202" i="7"/>
  <c r="EF164" i="7"/>
  <c r="EF111" i="7"/>
  <c r="AD2614" i="15" s="1"/>
  <c r="EF115" i="7"/>
  <c r="EF116" i="7"/>
  <c r="EF97" i="7"/>
  <c r="AD3098" i="15" s="1"/>
  <c r="EF435" i="7"/>
  <c r="EF393" i="7"/>
  <c r="EF166" i="7"/>
  <c r="EF104" i="7"/>
  <c r="AD2607" i="15" s="1"/>
  <c r="EF110" i="7"/>
  <c r="AD2613" i="15" s="1"/>
  <c r="EF127" i="7"/>
  <c r="EF434" i="7"/>
  <c r="EF107" i="7"/>
  <c r="AD2610" i="15" s="1"/>
  <c r="EF162" i="7"/>
  <c r="EF125" i="7"/>
  <c r="EF145" i="7"/>
  <c r="AD3031" i="15" s="1"/>
  <c r="EF112" i="7"/>
  <c r="EF109" i="7"/>
  <c r="AD2612" i="15" s="1"/>
  <c r="EB11" i="7"/>
  <c r="AA2922" i="15" s="1"/>
  <c r="ED10" i="7"/>
  <c r="AD2654" i="15" l="1"/>
  <c r="AD3099" i="15"/>
  <c r="AD2661" i="15"/>
  <c r="AD3103" i="15"/>
  <c r="AD2655" i="15"/>
  <c r="AD3100" i="15"/>
  <c r="AD2682" i="15"/>
  <c r="AD3115" i="15"/>
  <c r="AD2660" i="15"/>
  <c r="AD3102" i="15"/>
  <c r="AD2649" i="15"/>
  <c r="AD3073" i="15"/>
  <c r="AD2648" i="15"/>
  <c r="AD3072" i="15"/>
  <c r="AD2651" i="15"/>
  <c r="AD3075" i="15"/>
  <c r="AD2647" i="15"/>
  <c r="AD3071" i="15"/>
  <c r="AD2650" i="15"/>
  <c r="AD3074" i="15"/>
  <c r="AD2692" i="15"/>
  <c r="AD3043" i="15"/>
  <c r="AD2528" i="15"/>
  <c r="AD3037" i="15"/>
  <c r="AD2693" i="15"/>
  <c r="AD3044" i="15"/>
  <c r="AD2640" i="15"/>
  <c r="AD3032" i="15"/>
  <c r="AD2688" i="15"/>
  <c r="AD2958" i="15"/>
  <c r="AD2689" i="15"/>
  <c r="AD2959" i="15"/>
  <c r="AA2196" i="15"/>
  <c r="AA2589" i="15"/>
  <c r="AD1866" i="15"/>
  <c r="AD2618" i="15"/>
  <c r="AD2240" i="15"/>
  <c r="AD2601" i="15"/>
  <c r="AD2242" i="15"/>
  <c r="AD2603" i="15"/>
  <c r="AD1864" i="15"/>
  <c r="AD2616" i="15"/>
  <c r="AD2529" i="15"/>
  <c r="AD2652" i="15"/>
  <c r="AD2241" i="15"/>
  <c r="AD2602" i="15"/>
  <c r="AD2411" i="15"/>
  <c r="AD2599" i="15"/>
  <c r="AD1863" i="15"/>
  <c r="AD2615" i="15"/>
  <c r="AD1875" i="15"/>
  <c r="AD2621" i="15"/>
  <c r="AD1871" i="15"/>
  <c r="AD2619" i="15"/>
  <c r="AD2258" i="15"/>
  <c r="AD2639" i="15"/>
  <c r="AD2410" i="15"/>
  <c r="AD2598" i="15"/>
  <c r="AD2412" i="15"/>
  <c r="AD2600" i="15"/>
  <c r="AD1876" i="15"/>
  <c r="AD2622" i="15"/>
  <c r="AD2530" i="15"/>
  <c r="AD2653" i="15"/>
  <c r="AD1872" i="15"/>
  <c r="AD2620" i="15"/>
  <c r="AD2243" i="15"/>
  <c r="AD2604" i="15"/>
  <c r="AD1865" i="15"/>
  <c r="AD2617" i="15"/>
  <c r="AD1867" i="15"/>
  <c r="AD2563" i="15"/>
  <c r="AD1870" i="15"/>
  <c r="AD2566" i="15"/>
  <c r="AD1878" i="15"/>
  <c r="AD2570" i="15"/>
  <c r="AD1869" i="15"/>
  <c r="AD2565" i="15"/>
  <c r="AD1877" i="15"/>
  <c r="AD2569" i="15"/>
  <c r="AD1873" i="15"/>
  <c r="AD2567" i="15"/>
  <c r="AD1868" i="15"/>
  <c r="AD2564" i="15"/>
  <c r="AD1874" i="15"/>
  <c r="AD2568" i="15"/>
  <c r="AD1922" i="15"/>
  <c r="AD2538" i="15"/>
  <c r="AD2040" i="15"/>
  <c r="AD2539" i="15"/>
  <c r="AD1918" i="15"/>
  <c r="AD2441" i="15"/>
  <c r="AD1917" i="15"/>
  <c r="AD2440" i="15"/>
  <c r="AD1862" i="15"/>
  <c r="AD2416" i="15"/>
  <c r="AD1861" i="15"/>
  <c r="AD2415" i="15"/>
  <c r="AD1859" i="15"/>
  <c r="AD2413" i="15"/>
  <c r="AD1860" i="15"/>
  <c r="AD2414" i="15"/>
  <c r="AD2024" i="15"/>
  <c r="AD2261" i="15"/>
  <c r="AD2015" i="15"/>
  <c r="AD2245" i="15"/>
  <c r="AD2016" i="15"/>
  <c r="AD2246" i="15"/>
  <c r="AD2017" i="15"/>
  <c r="AD2247" i="15"/>
  <c r="AD2019" i="15"/>
  <c r="AD2259" i="15"/>
  <c r="AD2025" i="15"/>
  <c r="AD2262" i="15"/>
  <c r="AD2026" i="15"/>
  <c r="AD2265" i="15"/>
  <c r="AD2038" i="15"/>
  <c r="AD2277" i="15"/>
  <c r="AD1904" i="15"/>
  <c r="AD2264" i="15"/>
  <c r="AD2014" i="15"/>
  <c r="AD2244" i="15"/>
  <c r="AD1894" i="15"/>
  <c r="AD2199" i="15"/>
  <c r="AD1897" i="15"/>
  <c r="AD2202" i="15"/>
  <c r="AD1896" i="15"/>
  <c r="AD2201" i="15"/>
  <c r="AD1898" i="15"/>
  <c r="AD2203" i="15"/>
  <c r="AD1895" i="15"/>
  <c r="AD2200" i="15"/>
  <c r="AD1697" i="15"/>
  <c r="AD2013" i="15"/>
  <c r="AD1694" i="15"/>
  <c r="AD2010" i="15"/>
  <c r="AD1696" i="15"/>
  <c r="AD2012" i="15"/>
  <c r="AD1695" i="15"/>
  <c r="AD2011" i="15"/>
  <c r="AD1467" i="15"/>
  <c r="AD2023" i="15"/>
  <c r="AD1522" i="15"/>
  <c r="AD2018" i="15"/>
  <c r="AD1722" i="15"/>
  <c r="AD1899" i="15"/>
  <c r="AA1501" i="15"/>
  <c r="AA1848" i="15"/>
  <c r="AD1723" i="15"/>
  <c r="AD1900" i="15"/>
  <c r="AD1692" i="15"/>
  <c r="AD1855" i="15"/>
  <c r="AD1691" i="15"/>
  <c r="AD1854" i="15"/>
  <c r="AD1693" i="15"/>
  <c r="AD1856" i="15"/>
  <c r="AD1166" i="15"/>
  <c r="AD1725" i="15"/>
  <c r="AD1273" i="15"/>
  <c r="AD1702" i="15"/>
  <c r="AD1445" i="15"/>
  <c r="AD1741" i="15"/>
  <c r="AD1271" i="15"/>
  <c r="AD1698" i="15"/>
  <c r="AD1361" i="15"/>
  <c r="AD1699" i="15"/>
  <c r="AD1444" i="15"/>
  <c r="AD1740" i="15"/>
  <c r="AD1362" i="15"/>
  <c r="AD1701" i="15"/>
  <c r="AD1272" i="15"/>
  <c r="AD1700" i="15"/>
  <c r="AD1363" i="15"/>
  <c r="AD1703" i="15"/>
  <c r="AD1274" i="15"/>
  <c r="AD1704" i="15"/>
  <c r="AD1364" i="15"/>
  <c r="AD1705" i="15"/>
  <c r="AD1154" i="15"/>
  <c r="AD1511" i="15"/>
  <c r="AD1113" i="15"/>
  <c r="AD1530" i="15"/>
  <c r="AD1116" i="15"/>
  <c r="AD1533" i="15"/>
  <c r="AD1158" i="15"/>
  <c r="AD1515" i="15"/>
  <c r="AD1155" i="15"/>
  <c r="AD1512" i="15"/>
  <c r="AD1162" i="15"/>
  <c r="AD1519" i="15"/>
  <c r="AD1160" i="15"/>
  <c r="AD1517" i="15"/>
  <c r="AD1151" i="15"/>
  <c r="AD1508" i="15"/>
  <c r="AD1156" i="15"/>
  <c r="AD1513" i="15"/>
  <c r="AD1440" i="15"/>
  <c r="AD1539" i="15"/>
  <c r="AD988" i="15"/>
  <c r="AD1523" i="15"/>
  <c r="AD1153" i="15"/>
  <c r="AD1510" i="15"/>
  <c r="AD1114" i="15"/>
  <c r="AD1531" i="15"/>
  <c r="AD1117" i="15"/>
  <c r="AD1535" i="15"/>
  <c r="AD1157" i="15"/>
  <c r="AD1514" i="15"/>
  <c r="AD1118" i="15"/>
  <c r="AD1536" i="15"/>
  <c r="AD1123" i="15"/>
  <c r="AD1546" i="15"/>
  <c r="AD1164" i="15"/>
  <c r="AD1521" i="15"/>
  <c r="AD1152" i="15"/>
  <c r="AD1509" i="15"/>
  <c r="AD1150" i="15"/>
  <c r="AD1507" i="15"/>
  <c r="AD1163" i="15"/>
  <c r="AD1520" i="15"/>
  <c r="AD1165" i="15"/>
  <c r="AD1534" i="15"/>
  <c r="AD1149" i="15"/>
  <c r="AD1506" i="15"/>
  <c r="AD1115" i="15"/>
  <c r="AD1532" i="15"/>
  <c r="AD1161" i="15"/>
  <c r="AD1518" i="15"/>
  <c r="AD1159" i="15"/>
  <c r="AD1516" i="15"/>
  <c r="AD1168" i="15"/>
  <c r="AD1474" i="15"/>
  <c r="AD1167" i="15"/>
  <c r="AD1473" i="15"/>
  <c r="AD758" i="15"/>
  <c r="AD1360" i="15"/>
  <c r="AD783" i="15"/>
  <c r="AD1372" i="15"/>
  <c r="AD969" i="15"/>
  <c r="AD1356" i="15"/>
  <c r="AD991" i="15"/>
  <c r="AD1373" i="15"/>
  <c r="AD753" i="15"/>
  <c r="AD1354" i="15"/>
  <c r="AD789" i="15"/>
  <c r="AD1374" i="15"/>
  <c r="AD755" i="15"/>
  <c r="AD1357" i="15"/>
  <c r="AD757" i="15"/>
  <c r="AD1359" i="15"/>
  <c r="AD756" i="15"/>
  <c r="AD1358" i="15"/>
  <c r="AD754" i="15"/>
  <c r="AD1355" i="15"/>
  <c r="AA419" i="15"/>
  <c r="AA1148" i="15"/>
  <c r="AD363" i="15"/>
  <c r="AD972" i="15"/>
  <c r="AD375" i="15"/>
  <c r="AD984" i="15"/>
  <c r="AD373" i="15"/>
  <c r="AD982" i="15"/>
  <c r="AD381" i="15"/>
  <c r="AD990" i="15"/>
  <c r="AD650" i="15"/>
  <c r="AD993" i="15"/>
  <c r="AD368" i="15"/>
  <c r="AD977" i="15"/>
  <c r="AD377" i="15"/>
  <c r="AD986" i="15"/>
  <c r="AD376" i="15"/>
  <c r="AD985" i="15"/>
  <c r="AD651" i="15"/>
  <c r="AD997" i="15"/>
  <c r="AD374" i="15"/>
  <c r="AD983" i="15"/>
  <c r="AD372" i="15"/>
  <c r="AD981" i="15"/>
  <c r="AD369" i="15"/>
  <c r="AD978" i="15"/>
  <c r="AD438" i="15"/>
  <c r="AD971" i="15"/>
  <c r="AD365" i="15"/>
  <c r="AD974" i="15"/>
  <c r="AD370" i="15"/>
  <c r="AD979" i="15"/>
  <c r="AD367" i="15"/>
  <c r="AD976" i="15"/>
  <c r="AD649" i="15"/>
  <c r="AD992" i="15"/>
  <c r="AD371" i="15"/>
  <c r="AD980" i="15"/>
  <c r="AD378" i="15"/>
  <c r="AD987" i="15"/>
  <c r="AD366" i="15"/>
  <c r="AD975" i="15"/>
  <c r="AD364" i="15"/>
  <c r="AD973" i="15"/>
  <c r="AD402" i="15"/>
  <c r="AD809" i="15"/>
  <c r="AD435" i="15"/>
  <c r="AD760" i="15"/>
  <c r="AD613" i="15"/>
  <c r="AD786" i="15"/>
  <c r="AD436" i="15"/>
  <c r="AD761" i="15"/>
  <c r="AD440" i="15"/>
  <c r="AD764" i="15"/>
  <c r="AD383" i="15"/>
  <c r="AD810" i="15"/>
  <c r="AD439" i="15"/>
  <c r="AD763" i="15"/>
  <c r="AD441" i="15"/>
  <c r="AD765" i="15"/>
  <c r="AD614" i="15"/>
  <c r="AD787" i="15"/>
  <c r="AD442" i="15"/>
  <c r="AD766" i="15"/>
  <c r="AD615" i="15"/>
  <c r="AD788" i="15"/>
  <c r="AD470" i="15"/>
  <c r="AD791" i="15"/>
  <c r="AD612" i="15"/>
  <c r="AD785" i="15"/>
  <c r="AD437" i="15"/>
  <c r="AD762" i="15"/>
  <c r="AD120" i="15"/>
  <c r="AD659" i="15"/>
  <c r="AD68" i="15"/>
  <c r="AD647" i="15"/>
  <c r="AD83" i="15"/>
  <c r="AD611" i="15"/>
  <c r="AD129" i="15"/>
  <c r="AD623" i="15"/>
  <c r="AD128" i="15"/>
  <c r="AD622" i="15"/>
  <c r="AD22" i="15"/>
  <c r="AD430" i="15"/>
  <c r="AD19" i="15"/>
  <c r="AD427" i="15"/>
  <c r="AD67" i="15"/>
  <c r="AD459" i="15"/>
  <c r="AD18" i="15"/>
  <c r="AD426" i="15"/>
  <c r="AD20" i="15"/>
  <c r="AD428" i="15"/>
  <c r="AD89" i="15"/>
  <c r="AD464" i="15"/>
  <c r="AD88" i="15"/>
  <c r="AD463" i="15"/>
  <c r="AD24" i="15"/>
  <c r="AD432" i="15"/>
  <c r="AD21" i="15"/>
  <c r="AD429" i="15"/>
  <c r="AD23" i="15"/>
  <c r="AD431" i="15"/>
  <c r="AD32" i="15"/>
  <c r="AD27" i="15"/>
  <c r="AD47" i="15"/>
  <c r="AD28" i="15"/>
  <c r="AD92" i="15"/>
  <c r="AD40" i="15"/>
  <c r="AD48" i="15"/>
  <c r="AD134" i="15"/>
  <c r="AD97" i="15"/>
  <c r="AD31" i="15"/>
  <c r="AD46" i="15"/>
  <c r="AD34" i="15"/>
  <c r="AD49" i="15"/>
  <c r="AD35" i="15"/>
  <c r="AD45" i="15"/>
  <c r="AD87" i="15"/>
  <c r="AD30" i="15"/>
  <c r="AD37" i="15"/>
  <c r="AD42" i="15"/>
  <c r="AD98" i="15"/>
  <c r="AD33" i="15"/>
  <c r="AD85" i="15"/>
  <c r="EJ154" i="7"/>
  <c r="AD76" i="15"/>
  <c r="AD86" i="15"/>
  <c r="AD44" i="15"/>
  <c r="AD41" i="15"/>
  <c r="AD39" i="15"/>
  <c r="AD84" i="15"/>
  <c r="AD91" i="15"/>
  <c r="AD43" i="15"/>
  <c r="AD133" i="15"/>
  <c r="EJ11" i="7"/>
  <c r="AA9" i="15"/>
  <c r="AD50" i="15"/>
  <c r="AD38" i="15"/>
  <c r="AD29" i="15"/>
  <c r="AD36" i="15"/>
  <c r="EL11" i="7"/>
  <c r="EK11" i="7"/>
  <c r="EL154" i="7"/>
  <c r="EK154" i="7"/>
  <c r="EB12" i="7"/>
  <c r="AA2923" i="15" s="1"/>
  <c r="ED11" i="7"/>
  <c r="AA2197" i="15" l="1"/>
  <c r="AA2590" i="15"/>
  <c r="AA1502" i="15"/>
  <c r="AA1849" i="15"/>
  <c r="AA420" i="15"/>
  <c r="AA1265" i="15"/>
  <c r="EJ12" i="7"/>
  <c r="AA10" i="15"/>
  <c r="EL12" i="7"/>
  <c r="EK12" i="7"/>
  <c r="EB13" i="7"/>
  <c r="AA2924" i="15" s="1"/>
  <c r="ED12" i="7"/>
  <c r="AA2198" i="15" l="1"/>
  <c r="AA2591" i="15"/>
  <c r="AA1503" i="15"/>
  <c r="AA1850" i="15"/>
  <c r="AA421" i="15"/>
  <c r="AA1266" i="15"/>
  <c r="EJ13" i="7"/>
  <c r="AA11" i="15"/>
  <c r="EL13" i="7"/>
  <c r="EK13" i="7"/>
  <c r="ED13" i="7"/>
  <c r="ED474" i="7" s="1"/>
  <c r="EB201" i="7" l="1"/>
  <c r="AA2654" i="15" l="1"/>
  <c r="AA3099" i="15"/>
  <c r="AA2024" i="15"/>
  <c r="AA2261" i="15"/>
  <c r="AA1117" i="15"/>
  <c r="AA1535" i="15"/>
  <c r="AA649" i="15"/>
  <c r="AA992" i="15"/>
  <c r="AA91" i="15"/>
  <c r="EJ201" i="7"/>
  <c r="EL201" i="7"/>
  <c r="EK201" i="7"/>
  <c r="EB116" i="7"/>
  <c r="EB164" i="7"/>
  <c r="EB439" i="7"/>
  <c r="EB110" i="7"/>
  <c r="AA2613" i="15" s="1"/>
  <c r="EB434" i="7"/>
  <c r="AA2958" i="15" s="1"/>
  <c r="EB212" i="7"/>
  <c r="EB109" i="7"/>
  <c r="AA2612" i="15" s="1"/>
  <c r="EB121" i="7"/>
  <c r="EB123" i="7"/>
  <c r="EB145" i="7"/>
  <c r="EB107" i="7"/>
  <c r="AA2610" i="15" s="1"/>
  <c r="EB126" i="7"/>
  <c r="EB125" i="7"/>
  <c r="EB106" i="7"/>
  <c r="AA2609" i="15" s="1"/>
  <c r="EB214" i="7"/>
  <c r="EB119" i="7"/>
  <c r="EB163" i="7"/>
  <c r="EB162" i="7"/>
  <c r="EB120" i="7"/>
  <c r="EB202" i="7"/>
  <c r="EB113" i="7"/>
  <c r="EB263" i="7"/>
  <c r="EB393" i="7"/>
  <c r="EB92" i="7"/>
  <c r="EB95" i="7"/>
  <c r="EB440" i="7"/>
  <c r="EB104" i="7"/>
  <c r="AA2607" i="15" s="1"/>
  <c r="EB114" i="7"/>
  <c r="EB169" i="7"/>
  <c r="EB97" i="7"/>
  <c r="EB117" i="7"/>
  <c r="EB115" i="7"/>
  <c r="EB166" i="7"/>
  <c r="EB118" i="7"/>
  <c r="EB165" i="7"/>
  <c r="EB108" i="7"/>
  <c r="AA2611" i="15" s="1"/>
  <c r="EB127" i="7"/>
  <c r="EB93" i="7"/>
  <c r="EB168" i="7"/>
  <c r="EB146" i="7"/>
  <c r="AA3032" i="15" s="1"/>
  <c r="EB105" i="7"/>
  <c r="AA2608" i="15" s="1"/>
  <c r="EB122" i="7"/>
  <c r="EB94" i="7"/>
  <c r="EB124" i="7"/>
  <c r="EB435" i="7"/>
  <c r="EB111" i="7"/>
  <c r="AA2614" i="15" s="1"/>
  <c r="EB112" i="7"/>
  <c r="EB96" i="7"/>
  <c r="EB91" i="7"/>
  <c r="AA3071" i="15" l="1"/>
  <c r="AA3100" i="15"/>
  <c r="AA3115" i="15"/>
  <c r="AA2653" i="15"/>
  <c r="AA3221" i="15"/>
  <c r="AA2652" i="15"/>
  <c r="AA3220" i="15"/>
  <c r="AA2601" i="15"/>
  <c r="AA3095" i="15"/>
  <c r="AA2598" i="15"/>
  <c r="AA3094" i="15"/>
  <c r="AA2602" i="15"/>
  <c r="AA3096" i="15"/>
  <c r="AA2661" i="15"/>
  <c r="AA3103" i="15"/>
  <c r="AA2603" i="15"/>
  <c r="AA3097" i="15"/>
  <c r="AA2604" i="15"/>
  <c r="AA3098" i="15"/>
  <c r="AA2660" i="15"/>
  <c r="AA3102" i="15"/>
  <c r="AA2650" i="15"/>
  <c r="AA3074" i="15"/>
  <c r="AA2649" i="15"/>
  <c r="AA3073" i="15"/>
  <c r="AA2651" i="15"/>
  <c r="AA3075" i="15"/>
  <c r="AA2648" i="15"/>
  <c r="AA3072" i="15"/>
  <c r="AA2692" i="15"/>
  <c r="AA3043" i="15"/>
  <c r="AA2693" i="15"/>
  <c r="AA3044" i="15"/>
  <c r="AA2639" i="15"/>
  <c r="AA3031" i="15"/>
  <c r="AA2599" i="15"/>
  <c r="AA2926" i="15"/>
  <c r="AA2689" i="15"/>
  <c r="AA2959" i="15"/>
  <c r="AA2600" i="15"/>
  <c r="AA2927" i="15"/>
  <c r="AA1871" i="15"/>
  <c r="AA2619" i="15"/>
  <c r="AA2199" i="15"/>
  <c r="AA2647" i="15"/>
  <c r="AA2440" i="15"/>
  <c r="AA2688" i="15"/>
  <c r="AA1865" i="15"/>
  <c r="AA2617" i="15"/>
  <c r="AA1876" i="15"/>
  <c r="AA2622" i="15"/>
  <c r="AA2262" i="15"/>
  <c r="AA2655" i="15"/>
  <c r="AA2259" i="15"/>
  <c r="AA2640" i="15"/>
  <c r="AA1866" i="15"/>
  <c r="AA2618" i="15"/>
  <c r="AA1872" i="15"/>
  <c r="AA2620" i="15"/>
  <c r="AA1864" i="15"/>
  <c r="AA2616" i="15"/>
  <c r="AA1863" i="15"/>
  <c r="AA2615" i="15"/>
  <c r="AA2277" i="15"/>
  <c r="AA2682" i="15"/>
  <c r="AA1875" i="15"/>
  <c r="AA2621" i="15"/>
  <c r="AA1873" i="15"/>
  <c r="AA2567" i="15"/>
  <c r="AA1869" i="15"/>
  <c r="AA2565" i="15"/>
  <c r="AA1878" i="15"/>
  <c r="AA2570" i="15"/>
  <c r="AA1874" i="15"/>
  <c r="AA2568" i="15"/>
  <c r="AA1867" i="15"/>
  <c r="AA2563" i="15"/>
  <c r="AA1870" i="15"/>
  <c r="AA2566" i="15"/>
  <c r="AA1877" i="15"/>
  <c r="AA2569" i="15"/>
  <c r="AA1868" i="15"/>
  <c r="AA2564" i="15"/>
  <c r="AA1922" i="15"/>
  <c r="AA2538" i="15"/>
  <c r="AA2040" i="15"/>
  <c r="AA2539" i="15"/>
  <c r="AA1899" i="15"/>
  <c r="AA2529" i="15"/>
  <c r="AA1900" i="15"/>
  <c r="AA2530" i="15"/>
  <c r="AA1859" i="15"/>
  <c r="AA2413" i="15"/>
  <c r="AA1862" i="15"/>
  <c r="AA2416" i="15"/>
  <c r="AA1854" i="15"/>
  <c r="AA2410" i="15"/>
  <c r="AA1860" i="15"/>
  <c r="AA2414" i="15"/>
  <c r="AA1918" i="15"/>
  <c r="AA2441" i="15"/>
  <c r="AA1855" i="15"/>
  <c r="AA2411" i="15"/>
  <c r="AA1856" i="15"/>
  <c r="AA2412" i="15"/>
  <c r="AA1861" i="15"/>
  <c r="AA2415" i="15"/>
  <c r="AA2010" i="15"/>
  <c r="AA2240" i="15"/>
  <c r="AA2014" i="15"/>
  <c r="AA2244" i="15"/>
  <c r="AA2016" i="15"/>
  <c r="AA2246" i="15"/>
  <c r="AA2018" i="15"/>
  <c r="AA2258" i="15"/>
  <c r="AA2012" i="15"/>
  <c r="AA2242" i="15"/>
  <c r="AA2026" i="15"/>
  <c r="AA2265" i="15"/>
  <c r="AA2015" i="15"/>
  <c r="AA2245" i="15"/>
  <c r="AA2011" i="15"/>
  <c r="AA2241" i="15"/>
  <c r="AA2017" i="15"/>
  <c r="AA2247" i="15"/>
  <c r="AA2013" i="15"/>
  <c r="AA2243" i="15"/>
  <c r="AA1904" i="15"/>
  <c r="AA2264" i="15"/>
  <c r="AA1896" i="15"/>
  <c r="AA2201" i="15"/>
  <c r="AA1898" i="15"/>
  <c r="AA2203" i="15"/>
  <c r="AA1895" i="15"/>
  <c r="AA2200" i="15"/>
  <c r="AA1897" i="15"/>
  <c r="AA2202" i="15"/>
  <c r="AA1546" i="15"/>
  <c r="AA2038" i="15"/>
  <c r="AA1536" i="15"/>
  <c r="AA2025" i="15"/>
  <c r="AA1523" i="15"/>
  <c r="AA2019" i="15"/>
  <c r="AA1740" i="15"/>
  <c r="AA1917" i="15"/>
  <c r="AA1530" i="15"/>
  <c r="AA1894" i="15"/>
  <c r="AA1356" i="15"/>
  <c r="AA1693" i="15"/>
  <c r="AA1360" i="15"/>
  <c r="AA1697" i="15"/>
  <c r="AA1272" i="15"/>
  <c r="AA1700" i="15"/>
  <c r="AA1166" i="15"/>
  <c r="AA1725" i="15"/>
  <c r="AA1445" i="15"/>
  <c r="AA1741" i="15"/>
  <c r="AA1374" i="15"/>
  <c r="AA1723" i="15"/>
  <c r="AA1273" i="15"/>
  <c r="AA1702" i="15"/>
  <c r="AA1274" i="15"/>
  <c r="AA1704" i="15"/>
  <c r="AA1373" i="15"/>
  <c r="AA1722" i="15"/>
  <c r="AA1364" i="15"/>
  <c r="AA1705" i="15"/>
  <c r="AA1357" i="15"/>
  <c r="AA1694" i="15"/>
  <c r="AA1271" i="15"/>
  <c r="AA1698" i="15"/>
  <c r="AA1362" i="15"/>
  <c r="AA1701" i="15"/>
  <c r="AA1363" i="15"/>
  <c r="AA1703" i="15"/>
  <c r="AA1354" i="15"/>
  <c r="AA1691" i="15"/>
  <c r="AA1361" i="15"/>
  <c r="AA1699" i="15"/>
  <c r="AA1358" i="15"/>
  <c r="AA1695" i="15"/>
  <c r="AA1359" i="15"/>
  <c r="AA1696" i="15"/>
  <c r="AA1355" i="15"/>
  <c r="AA1692" i="15"/>
  <c r="AA1440" i="15"/>
  <c r="AA1539" i="15"/>
  <c r="AA1161" i="15"/>
  <c r="AA1518" i="15"/>
  <c r="AA1151" i="15"/>
  <c r="AA1508" i="15"/>
  <c r="AA1163" i="15"/>
  <c r="AA1520" i="15"/>
  <c r="AA1164" i="15"/>
  <c r="AA1521" i="15"/>
  <c r="AA1116" i="15"/>
  <c r="AA1533" i="15"/>
  <c r="AA1157" i="15"/>
  <c r="AA1514" i="15"/>
  <c r="AA1162" i="15"/>
  <c r="AA1519" i="15"/>
  <c r="AA1159" i="15"/>
  <c r="AA1516" i="15"/>
  <c r="AA1155" i="15"/>
  <c r="AA1512" i="15"/>
  <c r="AA1372" i="15"/>
  <c r="AA1522" i="15"/>
  <c r="AA1115" i="15"/>
  <c r="AA1532" i="15"/>
  <c r="AA1149" i="15"/>
  <c r="AA1506" i="15"/>
  <c r="AA1154" i="15"/>
  <c r="AA1511" i="15"/>
  <c r="AA1165" i="15"/>
  <c r="AA1534" i="15"/>
  <c r="AA1114" i="15"/>
  <c r="AA1531" i="15"/>
  <c r="AA1160" i="15"/>
  <c r="AA1517" i="15"/>
  <c r="AA1153" i="15"/>
  <c r="AA1510" i="15"/>
  <c r="AA1150" i="15"/>
  <c r="AA1507" i="15"/>
  <c r="AA1152" i="15"/>
  <c r="AA1509" i="15"/>
  <c r="AA1156" i="15"/>
  <c r="AA1513" i="15"/>
  <c r="AA1158" i="15"/>
  <c r="AA1515" i="15"/>
  <c r="AA1167" i="15"/>
  <c r="AA1473" i="15"/>
  <c r="AA1168" i="15"/>
  <c r="AA1474" i="15"/>
  <c r="AA622" i="15"/>
  <c r="AA1444" i="15"/>
  <c r="AA659" i="15"/>
  <c r="AA1123" i="15"/>
  <c r="AA993" i="15"/>
  <c r="AA1118" i="15"/>
  <c r="AA611" i="15"/>
  <c r="AA1113" i="15"/>
  <c r="AA363" i="15"/>
  <c r="AA972" i="15"/>
  <c r="AA463" i="15"/>
  <c r="AA991" i="15"/>
  <c r="AA368" i="15"/>
  <c r="AA977" i="15"/>
  <c r="AA367" i="15"/>
  <c r="AA976" i="15"/>
  <c r="AA428" i="15"/>
  <c r="AA969" i="15"/>
  <c r="AA651" i="15"/>
  <c r="AA997" i="15"/>
  <c r="AA374" i="15"/>
  <c r="AA983" i="15"/>
  <c r="AA378" i="15"/>
  <c r="AA987" i="15"/>
  <c r="AA364" i="15"/>
  <c r="AA973" i="15"/>
  <c r="AA376" i="15"/>
  <c r="AA985" i="15"/>
  <c r="AA647" i="15"/>
  <c r="AA988" i="15"/>
  <c r="AA366" i="15"/>
  <c r="AA975" i="15"/>
  <c r="AA375" i="15"/>
  <c r="AA984" i="15"/>
  <c r="AA365" i="15"/>
  <c r="AA974" i="15"/>
  <c r="AA377" i="15"/>
  <c r="AA986" i="15"/>
  <c r="AA370" i="15"/>
  <c r="AA979" i="15"/>
  <c r="AA371" i="15"/>
  <c r="AA980" i="15"/>
  <c r="AA438" i="15"/>
  <c r="AA971" i="15"/>
  <c r="AA372" i="15"/>
  <c r="AA981" i="15"/>
  <c r="AA373" i="15"/>
  <c r="AA982" i="15"/>
  <c r="AA369" i="15"/>
  <c r="AA978" i="15"/>
  <c r="AA614" i="15"/>
  <c r="AA787" i="15"/>
  <c r="AA383" i="15"/>
  <c r="AA810" i="15"/>
  <c r="AA459" i="15"/>
  <c r="AA783" i="15"/>
  <c r="AA426" i="15"/>
  <c r="AA753" i="15"/>
  <c r="AA436" i="15"/>
  <c r="AA761" i="15"/>
  <c r="AA615" i="15"/>
  <c r="AA788" i="15"/>
  <c r="AA430" i="15"/>
  <c r="AA756" i="15"/>
  <c r="AA612" i="15"/>
  <c r="AA785" i="15"/>
  <c r="AA442" i="15"/>
  <c r="AA766" i="15"/>
  <c r="AA435" i="15"/>
  <c r="AA760" i="15"/>
  <c r="AA402" i="15"/>
  <c r="AA809" i="15"/>
  <c r="AA613" i="15"/>
  <c r="AA786" i="15"/>
  <c r="AA431" i="15"/>
  <c r="AA757" i="15"/>
  <c r="AA427" i="15"/>
  <c r="AA754" i="15"/>
  <c r="AA429" i="15"/>
  <c r="AA755" i="15"/>
  <c r="AA470" i="15"/>
  <c r="AA791" i="15"/>
  <c r="AA440" i="15"/>
  <c r="AA764" i="15"/>
  <c r="AA432" i="15"/>
  <c r="AA758" i="15"/>
  <c r="AA437" i="15"/>
  <c r="AA762" i="15"/>
  <c r="AA464" i="15"/>
  <c r="AA789" i="15"/>
  <c r="AA439" i="15"/>
  <c r="AA763" i="15"/>
  <c r="AA441" i="15"/>
  <c r="AA765" i="15"/>
  <c r="AA92" i="15"/>
  <c r="AA650" i="15"/>
  <c r="AA129" i="15"/>
  <c r="AA623" i="15"/>
  <c r="EJ94" i="7"/>
  <c r="AA21" i="15"/>
  <c r="AA30" i="15"/>
  <c r="AA41" i="15"/>
  <c r="AA39" i="15"/>
  <c r="EJ96" i="7"/>
  <c r="AA23" i="15"/>
  <c r="EJ146" i="7"/>
  <c r="AA68" i="15"/>
  <c r="AA38" i="15"/>
  <c r="EJ92" i="7"/>
  <c r="AA19" i="15"/>
  <c r="AA42" i="15"/>
  <c r="AA44" i="15"/>
  <c r="AA27" i="15"/>
  <c r="AA134" i="15"/>
  <c r="AA46" i="15"/>
  <c r="AA35" i="15"/>
  <c r="EJ168" i="7"/>
  <c r="AA88" i="15"/>
  <c r="AA40" i="15"/>
  <c r="EJ393" i="7"/>
  <c r="AA120" i="15"/>
  <c r="AA98" i="15"/>
  <c r="AA32" i="15"/>
  <c r="AA133" i="15"/>
  <c r="EJ162" i="7"/>
  <c r="AA83" i="15"/>
  <c r="AA84" i="15"/>
  <c r="AA34" i="15"/>
  <c r="EJ93" i="7"/>
  <c r="AA20" i="15"/>
  <c r="EJ97" i="7"/>
  <c r="AA24" i="15"/>
  <c r="AA29" i="15"/>
  <c r="AA97" i="15"/>
  <c r="AA43" i="15"/>
  <c r="AA85" i="15"/>
  <c r="AA28" i="15"/>
  <c r="EJ95" i="7"/>
  <c r="AA22" i="15"/>
  <c r="AA50" i="15"/>
  <c r="EJ169" i="7"/>
  <c r="AA89" i="15"/>
  <c r="AA36" i="15"/>
  <c r="AA48" i="15"/>
  <c r="AA128" i="15"/>
  <c r="AA86" i="15"/>
  <c r="AA45" i="15"/>
  <c r="EJ145" i="7"/>
  <c r="AA67" i="15"/>
  <c r="EJ91" i="7"/>
  <c r="AA18" i="15"/>
  <c r="AA87" i="15"/>
  <c r="AA47" i="15"/>
  <c r="AA31" i="15"/>
  <c r="AA37" i="15"/>
  <c r="AA49" i="15"/>
  <c r="AA33" i="15"/>
  <c r="EJ435" i="7"/>
  <c r="EJ202" i="7"/>
  <c r="EJ124" i="7"/>
  <c r="EJ108" i="7"/>
  <c r="EJ114" i="7"/>
  <c r="EJ126" i="7"/>
  <c r="EJ110" i="7"/>
  <c r="EJ125" i="7"/>
  <c r="EJ165" i="7"/>
  <c r="EJ104" i="7"/>
  <c r="EJ120" i="7"/>
  <c r="EJ107" i="7"/>
  <c r="EJ127" i="7"/>
  <c r="EJ113" i="7"/>
  <c r="EJ122" i="7"/>
  <c r="EJ118" i="7"/>
  <c r="EJ440" i="7"/>
  <c r="EJ164" i="7"/>
  <c r="EJ105" i="7"/>
  <c r="EJ166" i="7"/>
  <c r="EJ163" i="7"/>
  <c r="EJ123" i="7"/>
  <c r="EJ116" i="7"/>
  <c r="EJ111" i="7"/>
  <c r="EJ115" i="7"/>
  <c r="EJ119" i="7"/>
  <c r="EJ121" i="7"/>
  <c r="EJ112" i="7"/>
  <c r="EJ117" i="7"/>
  <c r="EJ214" i="7"/>
  <c r="EJ109" i="7"/>
  <c r="EJ106" i="7"/>
  <c r="EJ212" i="7"/>
  <c r="EJ434" i="7"/>
  <c r="EJ439" i="7"/>
  <c r="EK95" i="7"/>
  <c r="EK163" i="7"/>
  <c r="EL123" i="7"/>
  <c r="EL122" i="7"/>
  <c r="EL126" i="7"/>
  <c r="EK108" i="7"/>
  <c r="EK121" i="7"/>
  <c r="EL109" i="7"/>
  <c r="EL168" i="7"/>
  <c r="EL117" i="7"/>
  <c r="EK112" i="7"/>
  <c r="EK393" i="7"/>
  <c r="EL119" i="7"/>
  <c r="EL92" i="7"/>
  <c r="EK96" i="7"/>
  <c r="EK115" i="7"/>
  <c r="EK92" i="7"/>
  <c r="EL115" i="7"/>
  <c r="EK146" i="7"/>
  <c r="EL121" i="7"/>
  <c r="EL146" i="7"/>
  <c r="EK119" i="7"/>
  <c r="EL95" i="7"/>
  <c r="EK105" i="7"/>
  <c r="EL166" i="7"/>
  <c r="EK116" i="7"/>
  <c r="EK166" i="7"/>
  <c r="EL105" i="7"/>
  <c r="EL116" i="7"/>
  <c r="EK123" i="7"/>
  <c r="EL163" i="7"/>
  <c r="EL114" i="7"/>
  <c r="EL108" i="7"/>
  <c r="EK202" i="7"/>
  <c r="EL124" i="7"/>
  <c r="EK110" i="7"/>
  <c r="EK124" i="7"/>
  <c r="EL110" i="7"/>
  <c r="EL202" i="7"/>
  <c r="EK114" i="7"/>
  <c r="EK126" i="7"/>
  <c r="EL91" i="7"/>
  <c r="EL165" i="7"/>
  <c r="EL439" i="7"/>
  <c r="EL104" i="7"/>
  <c r="EK91" i="7"/>
  <c r="EK165" i="7"/>
  <c r="EK439" i="7"/>
  <c r="EK93" i="7"/>
  <c r="EK120" i="7"/>
  <c r="EL120" i="7"/>
  <c r="EK107" i="7"/>
  <c r="EK104" i="7"/>
  <c r="EL107" i="7"/>
  <c r="EK97" i="7"/>
  <c r="EK118" i="7"/>
  <c r="EL106" i="7"/>
  <c r="EL93" i="7"/>
  <c r="EL96" i="7"/>
  <c r="EL440" i="7"/>
  <c r="EK106" i="7"/>
  <c r="EL97" i="7"/>
  <c r="EK212" i="7"/>
  <c r="EK162" i="7"/>
  <c r="EL212" i="7"/>
  <c r="EL164" i="7"/>
  <c r="EK214" i="7"/>
  <c r="EK145" i="7"/>
  <c r="EK94" i="7"/>
  <c r="EL214" i="7"/>
  <c r="EL145" i="7"/>
  <c r="EK122" i="7"/>
  <c r="EL118" i="7"/>
  <c r="EL162" i="7"/>
  <c r="EK117" i="7"/>
  <c r="EK168" i="7"/>
  <c r="EK164" i="7"/>
  <c r="EK440" i="7"/>
  <c r="EL393" i="7"/>
  <c r="EK109" i="7"/>
  <c r="EL112" i="7"/>
  <c r="EL94" i="7"/>
  <c r="EK125" i="7"/>
  <c r="EL125" i="7"/>
  <c r="EK127" i="7"/>
  <c r="EK113" i="7"/>
  <c r="EL434" i="7"/>
  <c r="EK111" i="7"/>
  <c r="EL127" i="7"/>
  <c r="EL113" i="7"/>
  <c r="EK434" i="7"/>
  <c r="EL111" i="7"/>
  <c r="EK169" i="7"/>
  <c r="EK435" i="7"/>
  <c r="EL169" i="7"/>
  <c r="EL435" i="7"/>
  <c r="DS23" i="7"/>
  <c r="X2938" i="15" s="1"/>
  <c r="DS22" i="7"/>
  <c r="X2937" i="15" s="1"/>
  <c r="DS12" i="7"/>
  <c r="DS10" i="7"/>
  <c r="X2927" i="15" s="1"/>
  <c r="DS25" i="7"/>
  <c r="X2940" i="15" s="1"/>
  <c r="DS24" i="7"/>
  <c r="X2939" i="15" s="1"/>
  <c r="DO22" i="7"/>
  <c r="U2937" i="15" s="1"/>
  <c r="DS13" i="7"/>
  <c r="DS11" i="7"/>
  <c r="DO11" i="7"/>
  <c r="DQ10" i="7"/>
  <c r="U2595" i="15" l="1"/>
  <c r="U2928" i="15"/>
  <c r="X2595" i="15"/>
  <c r="X2928" i="15"/>
  <c r="X2597" i="15"/>
  <c r="X2930" i="15"/>
  <c r="X2596" i="15"/>
  <c r="X2929" i="15"/>
  <c r="X2212" i="15"/>
  <c r="X2607" i="15"/>
  <c r="X2201" i="15"/>
  <c r="X2594" i="15"/>
  <c r="X2211" i="15"/>
  <c r="X2606" i="15"/>
  <c r="X2209" i="15"/>
  <c r="X2604" i="15"/>
  <c r="X2210" i="15"/>
  <c r="X2605" i="15"/>
  <c r="U2209" i="15"/>
  <c r="U2604" i="15"/>
  <c r="U1854" i="15"/>
  <c r="U2202" i="15"/>
  <c r="X1855" i="15"/>
  <c r="X2203" i="15"/>
  <c r="X1854" i="15"/>
  <c r="X2202" i="15"/>
  <c r="X1856" i="15"/>
  <c r="X2204" i="15"/>
  <c r="X1521" i="15"/>
  <c r="X1868" i="15"/>
  <c r="X1520" i="15"/>
  <c r="X1867" i="15"/>
  <c r="X1518" i="15"/>
  <c r="X1865" i="15"/>
  <c r="X1506" i="15"/>
  <c r="X1853" i="15"/>
  <c r="X1519" i="15"/>
  <c r="X1866" i="15"/>
  <c r="U1518" i="15"/>
  <c r="U1865" i="15"/>
  <c r="X1268" i="15"/>
  <c r="X1508" i="15"/>
  <c r="U1151" i="15"/>
  <c r="U1507" i="15"/>
  <c r="X1151" i="15"/>
  <c r="X1507" i="15"/>
  <c r="X1269" i="15"/>
  <c r="X1509" i="15"/>
  <c r="X971" i="15"/>
  <c r="X1274" i="15"/>
  <c r="X754" i="15"/>
  <c r="X1275" i="15"/>
  <c r="X753" i="15"/>
  <c r="X1155" i="15"/>
  <c r="X424" i="15"/>
  <c r="X1150" i="15"/>
  <c r="X970" i="15"/>
  <c r="X1154" i="15"/>
  <c r="U970" i="15"/>
  <c r="U1154" i="15"/>
  <c r="X29" i="15"/>
  <c r="X435" i="15"/>
  <c r="X16" i="15"/>
  <c r="X426" i="15"/>
  <c r="X17" i="15"/>
  <c r="X427" i="15"/>
  <c r="U15" i="15"/>
  <c r="U425" i="15"/>
  <c r="X26" i="15"/>
  <c r="X432" i="15"/>
  <c r="X15" i="15"/>
  <c r="X425" i="15"/>
  <c r="X27" i="15"/>
  <c r="X433" i="15"/>
  <c r="U26" i="15"/>
  <c r="U432" i="15"/>
  <c r="X28" i="15"/>
  <c r="X434" i="15"/>
  <c r="DW10" i="7"/>
  <c r="X14" i="15"/>
  <c r="DW11" i="7"/>
  <c r="DW22" i="7"/>
  <c r="DY10" i="7"/>
  <c r="DX10" i="7"/>
  <c r="DX11" i="7"/>
  <c r="DY11" i="7"/>
  <c r="DX22" i="7"/>
  <c r="DY22" i="7"/>
  <c r="DU24" i="7"/>
  <c r="DU25" i="7"/>
  <c r="DU10" i="7"/>
  <c r="DU12" i="7"/>
  <c r="DO23" i="7"/>
  <c r="DQ22" i="7"/>
  <c r="DO12" i="7"/>
  <c r="U2929" i="15" s="1"/>
  <c r="DQ11" i="7"/>
  <c r="DU22" i="7"/>
  <c r="DU11" i="7"/>
  <c r="DU23" i="7"/>
  <c r="DU13" i="7"/>
  <c r="U2605" i="15" l="1"/>
  <c r="U2938" i="15"/>
  <c r="U2203" i="15"/>
  <c r="U2596" i="15"/>
  <c r="U1866" i="15"/>
  <c r="U2210" i="15"/>
  <c r="U1508" i="15"/>
  <c r="U1855" i="15"/>
  <c r="U1155" i="15"/>
  <c r="U1519" i="15"/>
  <c r="U426" i="15"/>
  <c r="U1268" i="15"/>
  <c r="U433" i="15"/>
  <c r="U753" i="15"/>
  <c r="DW12" i="7"/>
  <c r="U16" i="15"/>
  <c r="DW23" i="7"/>
  <c r="U27" i="15"/>
  <c r="DY23" i="7"/>
  <c r="DX23" i="7"/>
  <c r="DY12" i="7"/>
  <c r="DX12" i="7"/>
  <c r="DS31" i="7"/>
  <c r="X2942" i="15" s="1"/>
  <c r="DS30" i="7"/>
  <c r="X2941" i="15" s="1"/>
  <c r="DO31" i="7"/>
  <c r="U2942" i="15" s="1"/>
  <c r="DO30" i="7"/>
  <c r="U2941" i="15" s="1"/>
  <c r="DO13" i="7"/>
  <c r="U2930" i="15" s="1"/>
  <c r="DQ12" i="7"/>
  <c r="DO26" i="7"/>
  <c r="U3222" i="15" s="1"/>
  <c r="DO20" i="7"/>
  <c r="U3220" i="15" s="1"/>
  <c r="DO24" i="7"/>
  <c r="DQ23" i="7"/>
  <c r="U2606" i="15" l="1"/>
  <c r="U2939" i="15"/>
  <c r="X2412" i="15"/>
  <c r="X2613" i="15"/>
  <c r="U2207" i="15"/>
  <c r="U2602" i="15"/>
  <c r="X2411" i="15"/>
  <c r="X2612" i="15"/>
  <c r="U2213" i="15"/>
  <c r="U2608" i="15"/>
  <c r="U2204" i="15"/>
  <c r="U2597" i="15"/>
  <c r="U2411" i="15"/>
  <c r="U2612" i="15"/>
  <c r="U2412" i="15"/>
  <c r="U2613" i="15"/>
  <c r="U1867" i="15"/>
  <c r="U2211" i="15"/>
  <c r="U1516" i="15"/>
  <c r="U1863" i="15"/>
  <c r="U1509" i="15"/>
  <c r="U1856" i="15"/>
  <c r="U1688" i="15"/>
  <c r="U1874" i="15"/>
  <c r="X1687" i="15"/>
  <c r="X1873" i="15"/>
  <c r="U1687" i="15"/>
  <c r="U1873" i="15"/>
  <c r="X1688" i="15"/>
  <c r="X1874" i="15"/>
  <c r="U1522" i="15"/>
  <c r="U1869" i="15"/>
  <c r="U1274" i="15"/>
  <c r="U1520" i="15"/>
  <c r="U427" i="15"/>
  <c r="U1269" i="15"/>
  <c r="U755" i="15"/>
  <c r="U1156" i="15"/>
  <c r="U751" i="15"/>
  <c r="U1153" i="15"/>
  <c r="U434" i="15"/>
  <c r="U971" i="15"/>
  <c r="U34" i="15"/>
  <c r="U658" i="15"/>
  <c r="U35" i="15"/>
  <c r="U659" i="15"/>
  <c r="X34" i="15"/>
  <c r="X658" i="15"/>
  <c r="X35" i="15"/>
  <c r="X659" i="15"/>
  <c r="U30" i="15"/>
  <c r="U436" i="15"/>
  <c r="U24" i="15"/>
  <c r="U430" i="15"/>
  <c r="DW13" i="7"/>
  <c r="U17" i="15"/>
  <c r="DW24" i="7"/>
  <c r="U28" i="15"/>
  <c r="DW31" i="7"/>
  <c r="DW30" i="7"/>
  <c r="DY31" i="7"/>
  <c r="DX31" i="7"/>
  <c r="DX30" i="7"/>
  <c r="DY30" i="7"/>
  <c r="DY24" i="7"/>
  <c r="DX24" i="7"/>
  <c r="DY13" i="7"/>
  <c r="DX13" i="7"/>
  <c r="DS18" i="7"/>
  <c r="DS21" i="7"/>
  <c r="X3221" i="15" s="1"/>
  <c r="DS20" i="7"/>
  <c r="DS8" i="7"/>
  <c r="X2925" i="15" s="1"/>
  <c r="DS19" i="7"/>
  <c r="X2936" i="15" s="1"/>
  <c r="DS9" i="7"/>
  <c r="DO19" i="7"/>
  <c r="U2936" i="15" s="1"/>
  <c r="DQ18" i="7"/>
  <c r="DS16" i="7"/>
  <c r="DS15" i="7"/>
  <c r="X2932" i="15" s="1"/>
  <c r="DQ13" i="7"/>
  <c r="DO25" i="7"/>
  <c r="DQ24" i="7"/>
  <c r="DO21" i="7"/>
  <c r="U3221" i="15" s="1"/>
  <c r="DQ20" i="7"/>
  <c r="DQ30" i="7"/>
  <c r="DO27" i="7"/>
  <c r="U3223" i="15" s="1"/>
  <c r="DQ26" i="7"/>
  <c r="DQ31" i="7"/>
  <c r="DO9" i="7"/>
  <c r="DQ8" i="7"/>
  <c r="DU30" i="7"/>
  <c r="DU31" i="7"/>
  <c r="X2602" i="15" l="1"/>
  <c r="X3220" i="15"/>
  <c r="U2607" i="15"/>
  <c r="U2940" i="15"/>
  <c r="X2600" i="15"/>
  <c r="X2935" i="15"/>
  <c r="U2593" i="15"/>
  <c r="U2926" i="15"/>
  <c r="X2598" i="15"/>
  <c r="X2933" i="15"/>
  <c r="X2593" i="15"/>
  <c r="X2926" i="15"/>
  <c r="X2199" i="15"/>
  <c r="X2592" i="15"/>
  <c r="X2206" i="15"/>
  <c r="X2601" i="15"/>
  <c r="X2208" i="15"/>
  <c r="X2603" i="15"/>
  <c r="U2208" i="15"/>
  <c r="U2603" i="15"/>
  <c r="U2214" i="15"/>
  <c r="U2609" i="15"/>
  <c r="U2206" i="15"/>
  <c r="U2601" i="15"/>
  <c r="X2408" i="15"/>
  <c r="X2564" i="15"/>
  <c r="X1859" i="15"/>
  <c r="X2409" i="15"/>
  <c r="U1868" i="15"/>
  <c r="U2212" i="15"/>
  <c r="X1863" i="15"/>
  <c r="X2207" i="15"/>
  <c r="X1861" i="15"/>
  <c r="X2205" i="15"/>
  <c r="U1852" i="15"/>
  <c r="U2200" i="15"/>
  <c r="X1852" i="15"/>
  <c r="X2200" i="15"/>
  <c r="X1504" i="15"/>
  <c r="X1851" i="15"/>
  <c r="X1511" i="15"/>
  <c r="X1858" i="15"/>
  <c r="U1517" i="15"/>
  <c r="U1864" i="15"/>
  <c r="X1515" i="15"/>
  <c r="X1862" i="15"/>
  <c r="X1517" i="15"/>
  <c r="X1864" i="15"/>
  <c r="U1523" i="15"/>
  <c r="U1870" i="15"/>
  <c r="U1515" i="15"/>
  <c r="U1862" i="15"/>
  <c r="U1275" i="15"/>
  <c r="U1521" i="15"/>
  <c r="X1153" i="15"/>
  <c r="X1516" i="15"/>
  <c r="X1152" i="15"/>
  <c r="X1514" i="15"/>
  <c r="U1267" i="15"/>
  <c r="U1505" i="15"/>
  <c r="X1270" i="15"/>
  <c r="X1512" i="15"/>
  <c r="X1267" i="15"/>
  <c r="X1505" i="15"/>
  <c r="X968" i="15"/>
  <c r="X1353" i="15"/>
  <c r="X969" i="15"/>
  <c r="X1272" i="15"/>
  <c r="X752" i="15"/>
  <c r="X1273" i="15"/>
  <c r="U752" i="15"/>
  <c r="U1273" i="15"/>
  <c r="U969" i="15"/>
  <c r="U1272" i="15"/>
  <c r="U756" i="15"/>
  <c r="U1157" i="15"/>
  <c r="X422" i="15"/>
  <c r="X1149" i="15"/>
  <c r="U435" i="15"/>
  <c r="U754" i="15"/>
  <c r="X430" i="15"/>
  <c r="X751" i="15"/>
  <c r="X428" i="15"/>
  <c r="X750" i="15"/>
  <c r="X19" i="15"/>
  <c r="X605" i="15"/>
  <c r="X20" i="15"/>
  <c r="X606" i="15"/>
  <c r="U25" i="15"/>
  <c r="U431" i="15"/>
  <c r="X13" i="15"/>
  <c r="X423" i="15"/>
  <c r="X23" i="15"/>
  <c r="X429" i="15"/>
  <c r="X25" i="15"/>
  <c r="X431" i="15"/>
  <c r="U13" i="15"/>
  <c r="U423" i="15"/>
  <c r="U31" i="15"/>
  <c r="U437" i="15"/>
  <c r="U23" i="15"/>
  <c r="U429" i="15"/>
  <c r="DW18" i="7"/>
  <c r="X22" i="15"/>
  <c r="DW8" i="7"/>
  <c r="X12" i="15"/>
  <c r="DW25" i="7"/>
  <c r="U29" i="15"/>
  <c r="DW20" i="7"/>
  <c r="X24" i="15"/>
  <c r="DW15" i="7"/>
  <c r="DW16" i="7"/>
  <c r="DW9" i="7"/>
  <c r="DW19" i="7"/>
  <c r="DW21" i="7"/>
  <c r="DX20" i="7"/>
  <c r="DY8" i="7"/>
  <c r="DX8" i="7"/>
  <c r="DY20" i="7"/>
  <c r="DY15" i="7"/>
  <c r="DX15" i="7"/>
  <c r="DY18" i="7"/>
  <c r="DX18" i="7"/>
  <c r="DY21" i="7"/>
  <c r="DX21" i="7"/>
  <c r="DY16" i="7"/>
  <c r="DX16" i="7"/>
  <c r="DX19" i="7"/>
  <c r="DY19" i="7"/>
  <c r="DY25" i="7"/>
  <c r="DX25" i="7"/>
  <c r="DY9" i="7"/>
  <c r="DX9" i="7"/>
  <c r="DO28" i="7"/>
  <c r="U3224" i="15" s="1"/>
  <c r="DQ27" i="7"/>
  <c r="DS29" i="7"/>
  <c r="X3225" i="15" s="1"/>
  <c r="DS27" i="7"/>
  <c r="DQ19" i="7"/>
  <c r="DS28" i="7"/>
  <c r="X3224" i="15" s="1"/>
  <c r="DS26" i="7"/>
  <c r="DQ25" i="7"/>
  <c r="DU9" i="7"/>
  <c r="DU19" i="7"/>
  <c r="DQ9" i="7"/>
  <c r="DU8" i="7"/>
  <c r="DU15" i="7"/>
  <c r="DU20" i="7"/>
  <c r="DQ21" i="7"/>
  <c r="DS17" i="7"/>
  <c r="X2934" i="15" s="1"/>
  <c r="DU16" i="7"/>
  <c r="DU21" i="7"/>
  <c r="DU14" i="7"/>
  <c r="DU18" i="7"/>
  <c r="X2608" i="15" l="1"/>
  <c r="X3222" i="15"/>
  <c r="X2609" i="15"/>
  <c r="X3223" i="15"/>
  <c r="X2216" i="15"/>
  <c r="X2611" i="15"/>
  <c r="U2215" i="15"/>
  <c r="U2610" i="15"/>
  <c r="X2410" i="15"/>
  <c r="X2599" i="15"/>
  <c r="X2215" i="15"/>
  <c r="X2610" i="15"/>
  <c r="X1870" i="15"/>
  <c r="X2214" i="15"/>
  <c r="X1869" i="15"/>
  <c r="X2213" i="15"/>
  <c r="U1524" i="15"/>
  <c r="U1871" i="15"/>
  <c r="X1513" i="15"/>
  <c r="X1860" i="15"/>
  <c r="X1524" i="15"/>
  <c r="X1871" i="15"/>
  <c r="X1525" i="15"/>
  <c r="X1872" i="15"/>
  <c r="X1157" i="15"/>
  <c r="X1523" i="15"/>
  <c r="X1156" i="15"/>
  <c r="X1522" i="15"/>
  <c r="X758" i="15"/>
  <c r="X1277" i="15"/>
  <c r="U757" i="15"/>
  <c r="U1276" i="15"/>
  <c r="X749" i="15"/>
  <c r="X1271" i="15"/>
  <c r="X757" i="15"/>
  <c r="X1276" i="15"/>
  <c r="X436" i="15"/>
  <c r="X755" i="15"/>
  <c r="X437" i="15"/>
  <c r="X756" i="15"/>
  <c r="X21" i="15"/>
  <c r="X607" i="15"/>
  <c r="U32" i="15"/>
  <c r="U438" i="15"/>
  <c r="X32" i="15"/>
  <c r="X438" i="15"/>
  <c r="X33" i="15"/>
  <c r="X439" i="15"/>
  <c r="DW26" i="7"/>
  <c r="X30" i="15"/>
  <c r="DY27" i="7"/>
  <c r="X31" i="15"/>
  <c r="DW17" i="7"/>
  <c r="DW28" i="7"/>
  <c r="DW27" i="7"/>
  <c r="DX26" i="7"/>
  <c r="DY26" i="7"/>
  <c r="DY28" i="7"/>
  <c r="DX28" i="7"/>
  <c r="DX27" i="7"/>
  <c r="DY17" i="7"/>
  <c r="DX17" i="7"/>
  <c r="DU27" i="7"/>
  <c r="DU29" i="7"/>
  <c r="DU17" i="7"/>
  <c r="DU26" i="7"/>
  <c r="DU28" i="7"/>
  <c r="DO29" i="7"/>
  <c r="DQ28" i="7"/>
  <c r="U2611" i="15" l="1"/>
  <c r="U3225" i="15"/>
  <c r="U1872" i="15"/>
  <c r="U2216" i="15"/>
  <c r="U1277" i="15"/>
  <c r="U1525" i="15"/>
  <c r="U439" i="15"/>
  <c r="U758" i="15"/>
  <c r="DW29" i="7"/>
  <c r="U33" i="15"/>
  <c r="DU474" i="7"/>
  <c r="DS200" i="7" s="1"/>
  <c r="DY29" i="7"/>
  <c r="DX29" i="7"/>
  <c r="DQ29" i="7"/>
  <c r="DQ474" i="7" s="1"/>
  <c r="DO457" i="7" l="1"/>
  <c r="DO458" i="7"/>
  <c r="DO460" i="7"/>
  <c r="U3066" i="15" s="1"/>
  <c r="DO461" i="7"/>
  <c r="U3067" i="15" s="1"/>
  <c r="DO434" i="7"/>
  <c r="U3021" i="15" s="1"/>
  <c r="DO459" i="7"/>
  <c r="U3065" i="15" s="1"/>
  <c r="DO456" i="7"/>
  <c r="DS456" i="7"/>
  <c r="DS461" i="7"/>
  <c r="DS459" i="7"/>
  <c r="DS458" i="7"/>
  <c r="DS457" i="7"/>
  <c r="DS460" i="7"/>
  <c r="DO194" i="7"/>
  <c r="DS154" i="7"/>
  <c r="X3114" i="15"/>
  <c r="DS330" i="7"/>
  <c r="DS104" i="7"/>
  <c r="DS84" i="7"/>
  <c r="DS106" i="7"/>
  <c r="DS317" i="7"/>
  <c r="X2991" i="15" s="1"/>
  <c r="DS431" i="7"/>
  <c r="X2852" i="15" s="1"/>
  <c r="DS229" i="7"/>
  <c r="DS109" i="7"/>
  <c r="DS355" i="7"/>
  <c r="DS170" i="7"/>
  <c r="DS328" i="7"/>
  <c r="X3000" i="15" s="1"/>
  <c r="DS213" i="7"/>
  <c r="X3119" i="15" s="1"/>
  <c r="DS81" i="7"/>
  <c r="DS201" i="7"/>
  <c r="DS145" i="7"/>
  <c r="DS324" i="7"/>
  <c r="X2996" i="15" s="1"/>
  <c r="DS326" i="7"/>
  <c r="X2998" i="15" s="1"/>
  <c r="DS354" i="7"/>
  <c r="DS428" i="7"/>
  <c r="X2849" i="15" s="1"/>
  <c r="DS434" i="7"/>
  <c r="X3021" i="15" s="1"/>
  <c r="DS214" i="7"/>
  <c r="X3120" i="15" s="1"/>
  <c r="DS398" i="7"/>
  <c r="X3015" i="15" s="1"/>
  <c r="DS212" i="7"/>
  <c r="X3118" i="15" s="1"/>
  <c r="DS321" i="7"/>
  <c r="X2995" i="15" s="1"/>
  <c r="DS435" i="7"/>
  <c r="X3022" i="15" s="1"/>
  <c r="DS82" i="7"/>
  <c r="DS194" i="7"/>
  <c r="DS228" i="7"/>
  <c r="DS399" i="7"/>
  <c r="X3016" i="15" s="1"/>
  <c r="DS319" i="7"/>
  <c r="X2993" i="15" s="1"/>
  <c r="DS171" i="7"/>
  <c r="DS316" i="7"/>
  <c r="X2990" i="15" s="1"/>
  <c r="DS358" i="7"/>
  <c r="DS397" i="7"/>
  <c r="X3014" i="15" s="1"/>
  <c r="DS323" i="7"/>
  <c r="X3166" i="15" s="1"/>
  <c r="DS107" i="7"/>
  <c r="DS202" i="7"/>
  <c r="DS322" i="7"/>
  <c r="X3165" i="15" s="1"/>
  <c r="DS105" i="7"/>
  <c r="DS165" i="7"/>
  <c r="DS426" i="7"/>
  <c r="X2847" i="15" s="1"/>
  <c r="DS164" i="7"/>
  <c r="DS318" i="7"/>
  <c r="X2992" i="15" s="1"/>
  <c r="DS163" i="7"/>
  <c r="DS162" i="7"/>
  <c r="DS325" i="7"/>
  <c r="X2997" i="15" s="1"/>
  <c r="DS359" i="7"/>
  <c r="DS210" i="7"/>
  <c r="DS85" i="7"/>
  <c r="DS83" i="7"/>
  <c r="DS329" i="7"/>
  <c r="X3001" i="15" s="1"/>
  <c r="DS226" i="7"/>
  <c r="DS327" i="7"/>
  <c r="X2999" i="15" s="1"/>
  <c r="DS166" i="7"/>
  <c r="DS430" i="7"/>
  <c r="X2851" i="15" s="1"/>
  <c r="DS227" i="7"/>
  <c r="DS169" i="7"/>
  <c r="DS320" i="7"/>
  <c r="X2994" i="15" s="1"/>
  <c r="DS108" i="7"/>
  <c r="DS110" i="7"/>
  <c r="DS388" i="7"/>
  <c r="X3054" i="15" s="1"/>
  <c r="DS429" i="7"/>
  <c r="X2850" i="15" s="1"/>
  <c r="DS87" i="7"/>
  <c r="DS111" i="7"/>
  <c r="DS168" i="7"/>
  <c r="DS427" i="7"/>
  <c r="X2848" i="15" s="1"/>
  <c r="DS146" i="7"/>
  <c r="X3037" i="15" s="1"/>
  <c r="DS86" i="7"/>
  <c r="DS230" i="7"/>
  <c r="DS357" i="7"/>
  <c r="DS356" i="7"/>
  <c r="DO162" i="7"/>
  <c r="DO145" i="7"/>
  <c r="U3036" i="15" s="1"/>
  <c r="DO171" i="7"/>
  <c r="U3242" i="15" s="1"/>
  <c r="DO330" i="7"/>
  <c r="U3002" i="15" s="1"/>
  <c r="DO430" i="7"/>
  <c r="U2851" i="15" s="1"/>
  <c r="DO322" i="7"/>
  <c r="U3165" i="15" s="1"/>
  <c r="DO328" i="7"/>
  <c r="U3000" i="15" s="1"/>
  <c r="DO168" i="7"/>
  <c r="U3239" i="15" s="1"/>
  <c r="DO398" i="7"/>
  <c r="DO146" i="7"/>
  <c r="DO105" i="7"/>
  <c r="DO329" i="7"/>
  <c r="U3001" i="15" s="1"/>
  <c r="DO317" i="7"/>
  <c r="U2991" i="15" s="1"/>
  <c r="DO417" i="7"/>
  <c r="U3179" i="15" s="1"/>
  <c r="DO107" i="7"/>
  <c r="DO429" i="7"/>
  <c r="U2850" i="15" s="1"/>
  <c r="DO202" i="7"/>
  <c r="DO325" i="7"/>
  <c r="U2997" i="15" s="1"/>
  <c r="DO170" i="7"/>
  <c r="U3241" i="15" s="1"/>
  <c r="DO82" i="7"/>
  <c r="U3100" i="15" s="1"/>
  <c r="DO323" i="7"/>
  <c r="U3166" i="15" s="1"/>
  <c r="DO324" i="7"/>
  <c r="U2996" i="15" s="1"/>
  <c r="DO166" i="7"/>
  <c r="U3075" i="15" s="1"/>
  <c r="DO354" i="7"/>
  <c r="U3011" i="15" s="1"/>
  <c r="DO109" i="7"/>
  <c r="DO435" i="7"/>
  <c r="DO110" i="7"/>
  <c r="DO428" i="7"/>
  <c r="DO84" i="7"/>
  <c r="U3102" i="15" s="1"/>
  <c r="DO108" i="7"/>
  <c r="DO316" i="7"/>
  <c r="U2990" i="15" s="1"/>
  <c r="DO397" i="7"/>
  <c r="DO320" i="7"/>
  <c r="U2994" i="15" s="1"/>
  <c r="DO210" i="7"/>
  <c r="U2987" i="15" s="1"/>
  <c r="DO213" i="7"/>
  <c r="U3119" i="15" s="1"/>
  <c r="DO355" i="7"/>
  <c r="U3243" i="15" s="1"/>
  <c r="DO399" i="7"/>
  <c r="DO106" i="7"/>
  <c r="DO427" i="7"/>
  <c r="DO318" i="7"/>
  <c r="U2992" i="15" s="1"/>
  <c r="DO164" i="7"/>
  <c r="DO212" i="7"/>
  <c r="U3118" i="15" s="1"/>
  <c r="DO321" i="7"/>
  <c r="U2995" i="15" s="1"/>
  <c r="DO359" i="7"/>
  <c r="U3246" i="15" s="1"/>
  <c r="DO214" i="7"/>
  <c r="U3120" i="15" s="1"/>
  <c r="DO356" i="7"/>
  <c r="U3244" i="15" s="1"/>
  <c r="DO426" i="7"/>
  <c r="U2847" i="15" s="1"/>
  <c r="DO319" i="7"/>
  <c r="U2993" i="15" s="1"/>
  <c r="DO163" i="7"/>
  <c r="DO86" i="7"/>
  <c r="U3104" i="15" s="1"/>
  <c r="DO104" i="7"/>
  <c r="DO228" i="7"/>
  <c r="U3048" i="15" s="1"/>
  <c r="DO227" i="7"/>
  <c r="U3047" i="15" s="1"/>
  <c r="DO326" i="7"/>
  <c r="U2998" i="15" s="1"/>
  <c r="DO357" i="7"/>
  <c r="DO111" i="7"/>
  <c r="DO230" i="7"/>
  <c r="U3050" i="15" s="1"/>
  <c r="DO431" i="7"/>
  <c r="U2852" i="15" s="1"/>
  <c r="DO169" i="7"/>
  <c r="U3240" i="15" s="1"/>
  <c r="DO327" i="7"/>
  <c r="U2999" i="15" s="1"/>
  <c r="DO165" i="7"/>
  <c r="DO83" i="7"/>
  <c r="U3101" i="15" s="1"/>
  <c r="DO85" i="7"/>
  <c r="U3103" i="15" s="1"/>
  <c r="DO226" i="7"/>
  <c r="U3046" i="15" s="1"/>
  <c r="DO358" i="7"/>
  <c r="U3245" i="15" s="1"/>
  <c r="DO87" i="7"/>
  <c r="U3105" i="15" s="1"/>
  <c r="DO388" i="7"/>
  <c r="DO81" i="7"/>
  <c r="U3099" i="15" s="1"/>
  <c r="DO201" i="7"/>
  <c r="DO229" i="7"/>
  <c r="U3049" i="15" s="1"/>
  <c r="DO200" i="7"/>
  <c r="U3114" i="15" s="1"/>
  <c r="DW200" i="7" l="1"/>
  <c r="U3072" i="15"/>
  <c r="U3116" i="15"/>
  <c r="X3071" i="15"/>
  <c r="U3115" i="15"/>
  <c r="U3074" i="15"/>
  <c r="X2581" i="15"/>
  <c r="U3073" i="15"/>
  <c r="X2822" i="15"/>
  <c r="X3244" i="15"/>
  <c r="X2825" i="15"/>
  <c r="X3246" i="15"/>
  <c r="X2701" i="15"/>
  <c r="X3242" i="15"/>
  <c r="X2700" i="15"/>
  <c r="X3241" i="15"/>
  <c r="X2698" i="15"/>
  <c r="X3239" i="15"/>
  <c r="X2699" i="15"/>
  <c r="X3240" i="15"/>
  <c r="X2824" i="15"/>
  <c r="X3245" i="15"/>
  <c r="X2821" i="15"/>
  <c r="X3243" i="15"/>
  <c r="X2719" i="15"/>
  <c r="X3115" i="15"/>
  <c r="X2643" i="15"/>
  <c r="X3105" i="15"/>
  <c r="X2720" i="15"/>
  <c r="X3116" i="15"/>
  <c r="X2637" i="15"/>
  <c r="X3099" i="15"/>
  <c r="X2642" i="15"/>
  <c r="X3104" i="15"/>
  <c r="X2640" i="15"/>
  <c r="X3102" i="15"/>
  <c r="X2639" i="15"/>
  <c r="X3101" i="15"/>
  <c r="X2638" i="15"/>
  <c r="X3100" i="15"/>
  <c r="X2641" i="15"/>
  <c r="X3103" i="15"/>
  <c r="X2695" i="15"/>
  <c r="X3074" i="15"/>
  <c r="X2696" i="15"/>
  <c r="X3075" i="15"/>
  <c r="U2692" i="15"/>
  <c r="U3071" i="15"/>
  <c r="X2693" i="15"/>
  <c r="X3072" i="15"/>
  <c r="X2694" i="15"/>
  <c r="X3073" i="15"/>
  <c r="X2866" i="15"/>
  <c r="X3062" i="15"/>
  <c r="X2684" i="15"/>
  <c r="X3036" i="15"/>
  <c r="X2740" i="15"/>
  <c r="X3049" i="15"/>
  <c r="X2532" i="15"/>
  <c r="X3042" i="15"/>
  <c r="U2866" i="15"/>
  <c r="U3062" i="15"/>
  <c r="X2738" i="15"/>
  <c r="X3047" i="15"/>
  <c r="X2741" i="15"/>
  <c r="X3050" i="15"/>
  <c r="X2870" i="15"/>
  <c r="X3066" i="15"/>
  <c r="X2737" i="15"/>
  <c r="X3046" i="15"/>
  <c r="X2739" i="15"/>
  <c r="X3048" i="15"/>
  <c r="X2867" i="15"/>
  <c r="X3063" i="15"/>
  <c r="X2868" i="15"/>
  <c r="X3064" i="15"/>
  <c r="U2830" i="15"/>
  <c r="U3054" i="15"/>
  <c r="X2869" i="15"/>
  <c r="X3065" i="15"/>
  <c r="U2868" i="15"/>
  <c r="U3064" i="15"/>
  <c r="U2685" i="15"/>
  <c r="U3037" i="15"/>
  <c r="X2871" i="15"/>
  <c r="X3067" i="15"/>
  <c r="U2867" i="15"/>
  <c r="U3063" i="15"/>
  <c r="U2836" i="15"/>
  <c r="U3014" i="15"/>
  <c r="X2823" i="15"/>
  <c r="X3012" i="15"/>
  <c r="U2838" i="15"/>
  <c r="U3016" i="15"/>
  <c r="U2837" i="15"/>
  <c r="U3015" i="15"/>
  <c r="X2726" i="15"/>
  <c r="X2987" i="15"/>
  <c r="U2823" i="15"/>
  <c r="U3012" i="15"/>
  <c r="X2820" i="15"/>
  <c r="X3011" i="15"/>
  <c r="U2856" i="15"/>
  <c r="U3022" i="15"/>
  <c r="X2802" i="15"/>
  <c r="X3002" i="15"/>
  <c r="U2283" i="15"/>
  <c r="U2720" i="15"/>
  <c r="U2543" i="15"/>
  <c r="U2737" i="15"/>
  <c r="U2264" i="15"/>
  <c r="U2658" i="15"/>
  <c r="U2323" i="15"/>
  <c r="U2791" i="15"/>
  <c r="U2322" i="15"/>
  <c r="U2790" i="15"/>
  <c r="U2333" i="15"/>
  <c r="U2820" i="15"/>
  <c r="U2535" i="15"/>
  <c r="U2698" i="15"/>
  <c r="X2423" i="15"/>
  <c r="X2652" i="15"/>
  <c r="X2285" i="15"/>
  <c r="X2728" i="15"/>
  <c r="U2324" i="15"/>
  <c r="U2792" i="15"/>
  <c r="X2262" i="15"/>
  <c r="X2656" i="15"/>
  <c r="U2458" i="15"/>
  <c r="U2718" i="15"/>
  <c r="U2417" i="15"/>
  <c r="U2641" i="15"/>
  <c r="U2347" i="15"/>
  <c r="U2848" i="15"/>
  <c r="U2320" i="15"/>
  <c r="U2788" i="15"/>
  <c r="U2221" i="15"/>
  <c r="U2696" i="15"/>
  <c r="U2425" i="15"/>
  <c r="U2654" i="15"/>
  <c r="U2478" i="15"/>
  <c r="U2800" i="15"/>
  <c r="X2329" i="15"/>
  <c r="X2797" i="15"/>
  <c r="X2326" i="15"/>
  <c r="X2794" i="15"/>
  <c r="X2323" i="15"/>
  <c r="X2791" i="15"/>
  <c r="X2496" i="15"/>
  <c r="X2837" i="15"/>
  <c r="U2557" i="15"/>
  <c r="U2869" i="15"/>
  <c r="U2218" i="15"/>
  <c r="U2693" i="15"/>
  <c r="X2458" i="15"/>
  <c r="X2718" i="15"/>
  <c r="U2546" i="15"/>
  <c r="U2740" i="15"/>
  <c r="U2415" i="15"/>
  <c r="U2639" i="15"/>
  <c r="U2476" i="15"/>
  <c r="U2798" i="15"/>
  <c r="U2335" i="15"/>
  <c r="U2822" i="15"/>
  <c r="U2424" i="15"/>
  <c r="U2653" i="15"/>
  <c r="U2261" i="15"/>
  <c r="U2655" i="15"/>
  <c r="U2328" i="15"/>
  <c r="U2796" i="15"/>
  <c r="U2499" i="15"/>
  <c r="U2841" i="15"/>
  <c r="U2326" i="15"/>
  <c r="U2794" i="15"/>
  <c r="X2548" i="15"/>
  <c r="X2830" i="15"/>
  <c r="X2477" i="15"/>
  <c r="X2799" i="15"/>
  <c r="X2217" i="15"/>
  <c r="X2692" i="15"/>
  <c r="X2497" i="15"/>
  <c r="X2838" i="15"/>
  <c r="X2287" i="15"/>
  <c r="X2730" i="15"/>
  <c r="X2321" i="15"/>
  <c r="X2789" i="15"/>
  <c r="U2504" i="15"/>
  <c r="U2855" i="15"/>
  <c r="U2337" i="15"/>
  <c r="U2824" i="15"/>
  <c r="X2320" i="15"/>
  <c r="X2788" i="15"/>
  <c r="U2282" i="15"/>
  <c r="U2719" i="15"/>
  <c r="U2220" i="15"/>
  <c r="U2695" i="15"/>
  <c r="U2544" i="15"/>
  <c r="U2738" i="15"/>
  <c r="U2287" i="15"/>
  <c r="U2730" i="15"/>
  <c r="U2416" i="15"/>
  <c r="U2640" i="15"/>
  <c r="U2327" i="15"/>
  <c r="U2795" i="15"/>
  <c r="U2321" i="15"/>
  <c r="U2789" i="15"/>
  <c r="X2263" i="15"/>
  <c r="X2657" i="15"/>
  <c r="X2425" i="15"/>
  <c r="X2654" i="15"/>
  <c r="X2504" i="15"/>
  <c r="X2855" i="15"/>
  <c r="X2286" i="15"/>
  <c r="X2729" i="15"/>
  <c r="X2424" i="15"/>
  <c r="X2653" i="15"/>
  <c r="U2559" i="15"/>
  <c r="U2871" i="15"/>
  <c r="U2413" i="15"/>
  <c r="U2637" i="15"/>
  <c r="U2477" i="15"/>
  <c r="U2799" i="15"/>
  <c r="U2545" i="15"/>
  <c r="U2739" i="15"/>
  <c r="U2338" i="15"/>
  <c r="U2825" i="15"/>
  <c r="U2334" i="15"/>
  <c r="U2821" i="15"/>
  <c r="U2348" i="15"/>
  <c r="U2849" i="15"/>
  <c r="U2414" i="15"/>
  <c r="U2638" i="15"/>
  <c r="U2479" i="15"/>
  <c r="U2801" i="15"/>
  <c r="U2480" i="15"/>
  <c r="U2802" i="15"/>
  <c r="X2277" i="15"/>
  <c r="X2685" i="15"/>
  <c r="X2261" i="15"/>
  <c r="X2655" i="15"/>
  <c r="X2479" i="15"/>
  <c r="X2801" i="15"/>
  <c r="X2322" i="15"/>
  <c r="X2790" i="15"/>
  <c r="X2327" i="15"/>
  <c r="X2795" i="15"/>
  <c r="X2478" i="15"/>
  <c r="X2800" i="15"/>
  <c r="U2558" i="15"/>
  <c r="U2870" i="15"/>
  <c r="U2219" i="15"/>
  <c r="U2694" i="15"/>
  <c r="X2328" i="15"/>
  <c r="X2796" i="15"/>
  <c r="U2536" i="15"/>
  <c r="U2699" i="15"/>
  <c r="U2422" i="15"/>
  <c r="U2651" i="15"/>
  <c r="U2325" i="15"/>
  <c r="U2793" i="15"/>
  <c r="U2286" i="15"/>
  <c r="U2729" i="15"/>
  <c r="U2263" i="15"/>
  <c r="U2657" i="15"/>
  <c r="U2537" i="15"/>
  <c r="U2700" i="15"/>
  <c r="U2423" i="15"/>
  <c r="U2652" i="15"/>
  <c r="U2538" i="15"/>
  <c r="U2701" i="15"/>
  <c r="X2324" i="15"/>
  <c r="X2792" i="15"/>
  <c r="X2495" i="15"/>
  <c r="X2836" i="15"/>
  <c r="X2422" i="15"/>
  <c r="X2651" i="15"/>
  <c r="U2547" i="15"/>
  <c r="U2741" i="15"/>
  <c r="U2262" i="15"/>
  <c r="U2656" i="15"/>
  <c r="X2264" i="15"/>
  <c r="X2658" i="15"/>
  <c r="X2325" i="15"/>
  <c r="X2793" i="15"/>
  <c r="U2260" i="15"/>
  <c r="U2643" i="15"/>
  <c r="U2259" i="15"/>
  <c r="U2642" i="15"/>
  <c r="U2285" i="15"/>
  <c r="U2728" i="15"/>
  <c r="U2227" i="15"/>
  <c r="U2726" i="15"/>
  <c r="U2329" i="15"/>
  <c r="U2797" i="15"/>
  <c r="U2276" i="15"/>
  <c r="U2684" i="15"/>
  <c r="X2505" i="15"/>
  <c r="X2856" i="15"/>
  <c r="X2476" i="15"/>
  <c r="X2798" i="15"/>
  <c r="U2222" i="15"/>
  <c r="U2581" i="15"/>
  <c r="X2125" i="15"/>
  <c r="X2554" i="15"/>
  <c r="X1926" i="15"/>
  <c r="X2538" i="15"/>
  <c r="X1479" i="15"/>
  <c r="X2546" i="15"/>
  <c r="U2125" i="15"/>
  <c r="U2554" i="15"/>
  <c r="X1477" i="15"/>
  <c r="X2544" i="15"/>
  <c r="X1480" i="15"/>
  <c r="X2547" i="15"/>
  <c r="X2129" i="15"/>
  <c r="X2558" i="15"/>
  <c r="X1476" i="15"/>
  <c r="X2543" i="15"/>
  <c r="X1478" i="15"/>
  <c r="X2545" i="15"/>
  <c r="X2126" i="15"/>
  <c r="X2555" i="15"/>
  <c r="X2127" i="15"/>
  <c r="X2556" i="15"/>
  <c r="U1660" i="15"/>
  <c r="U2548" i="15"/>
  <c r="X1925" i="15"/>
  <c r="X2537" i="15"/>
  <c r="X2128" i="15"/>
  <c r="X2557" i="15"/>
  <c r="U2127" i="15"/>
  <c r="U2556" i="15"/>
  <c r="X1923" i="15"/>
  <c r="X2535" i="15"/>
  <c r="X1924" i="15"/>
  <c r="X2536" i="15"/>
  <c r="X2130" i="15"/>
  <c r="X2559" i="15"/>
  <c r="U2126" i="15"/>
  <c r="U2555" i="15"/>
  <c r="U1978" i="15"/>
  <c r="U2495" i="15"/>
  <c r="X1875" i="15"/>
  <c r="X2413" i="15"/>
  <c r="U1979" i="15"/>
  <c r="U2496" i="15"/>
  <c r="X1878" i="15"/>
  <c r="X2416" i="15"/>
  <c r="U1980" i="15"/>
  <c r="U2497" i="15"/>
  <c r="X1877" i="15"/>
  <c r="X2415" i="15"/>
  <c r="X1876" i="15"/>
  <c r="X2414" i="15"/>
  <c r="U1995" i="15"/>
  <c r="U2505" i="15"/>
  <c r="X1879" i="15"/>
  <c r="X2417" i="15"/>
  <c r="X1970" i="15"/>
  <c r="X2480" i="15"/>
  <c r="X1988" i="15"/>
  <c r="X2348" i="15"/>
  <c r="X2110" i="15"/>
  <c r="X2333" i="15"/>
  <c r="U1991" i="15"/>
  <c r="U2351" i="15"/>
  <c r="U1989" i="15"/>
  <c r="U2349" i="15"/>
  <c r="X2112" i="15"/>
  <c r="X2335" i="15"/>
  <c r="X2030" i="15"/>
  <c r="X2260" i="15"/>
  <c r="X1990" i="15"/>
  <c r="X2350" i="15"/>
  <c r="X2115" i="15"/>
  <c r="X2338" i="15"/>
  <c r="X2039" i="15"/>
  <c r="X2276" i="15"/>
  <c r="U2113" i="15"/>
  <c r="U2336" i="15"/>
  <c r="U1986" i="15"/>
  <c r="U2346" i="15"/>
  <c r="X2113" i="15"/>
  <c r="X2336" i="15"/>
  <c r="X1991" i="15"/>
  <c r="X2351" i="15"/>
  <c r="X1989" i="15"/>
  <c r="X2349" i="15"/>
  <c r="X2049" i="15"/>
  <c r="X2282" i="15"/>
  <c r="X2050" i="15"/>
  <c r="X2283" i="15"/>
  <c r="U1990" i="15"/>
  <c r="U2350" i="15"/>
  <c r="X2029" i="15"/>
  <c r="X2259" i="15"/>
  <c r="X1987" i="15"/>
  <c r="X2347" i="15"/>
  <c r="U2040" i="15"/>
  <c r="U2277" i="15"/>
  <c r="X1986" i="15"/>
  <c r="X2346" i="15"/>
  <c r="X2114" i="15"/>
  <c r="X2337" i="15"/>
  <c r="X2111" i="15"/>
  <c r="X2334" i="15"/>
  <c r="X1921" i="15"/>
  <c r="X2221" i="15"/>
  <c r="X1753" i="15"/>
  <c r="X2227" i="15"/>
  <c r="X1942" i="15"/>
  <c r="X2222" i="15"/>
  <c r="X1920" i="15"/>
  <c r="X2220" i="15"/>
  <c r="X1919" i="15"/>
  <c r="X2219" i="15"/>
  <c r="U1917" i="15"/>
  <c r="U2217" i="15"/>
  <c r="X1918" i="15"/>
  <c r="X2218" i="15"/>
  <c r="U1714" i="15"/>
  <c r="U2029" i="15"/>
  <c r="U1766" i="15"/>
  <c r="U2097" i="15"/>
  <c r="X1757" i="15"/>
  <c r="X2088" i="15"/>
  <c r="X1721" i="15"/>
  <c r="X2036" i="15"/>
  <c r="U1760" i="15"/>
  <c r="U2091" i="15"/>
  <c r="U1653" i="15"/>
  <c r="U2110" i="15"/>
  <c r="X1471" i="15"/>
  <c r="X2044" i="15"/>
  <c r="U1757" i="15"/>
  <c r="U2088" i="15"/>
  <c r="X1766" i="15"/>
  <c r="X2097" i="15"/>
  <c r="X1763" i="15"/>
  <c r="X2094" i="15"/>
  <c r="X1760" i="15"/>
  <c r="X2091" i="15"/>
  <c r="U1490" i="15"/>
  <c r="U2128" i="15"/>
  <c r="U1657" i="15"/>
  <c r="U2114" i="15"/>
  <c r="U1582" i="15"/>
  <c r="U2050" i="15"/>
  <c r="X1723" i="15"/>
  <c r="X2038" i="15"/>
  <c r="X1762" i="15"/>
  <c r="X2093" i="15"/>
  <c r="U1723" i="15"/>
  <c r="U2038" i="15"/>
  <c r="U1759" i="15"/>
  <c r="U2090" i="15"/>
  <c r="U1655" i="15"/>
  <c r="U2112" i="15"/>
  <c r="U1720" i="15"/>
  <c r="U2035" i="15"/>
  <c r="U1765" i="15"/>
  <c r="U2096" i="15"/>
  <c r="U1664" i="15"/>
  <c r="U2123" i="15"/>
  <c r="U1763" i="15"/>
  <c r="U2094" i="15"/>
  <c r="X1584" i="15"/>
  <c r="X2052" i="15"/>
  <c r="X1758" i="15"/>
  <c r="X2089" i="15"/>
  <c r="U1715" i="15"/>
  <c r="U2030" i="15"/>
  <c r="X1765" i="15"/>
  <c r="X2096" i="15"/>
  <c r="U1581" i="15"/>
  <c r="U2049" i="15"/>
  <c r="U1584" i="15"/>
  <c r="U2052" i="15"/>
  <c r="U1764" i="15"/>
  <c r="U2095" i="15"/>
  <c r="U1758" i="15"/>
  <c r="U2089" i="15"/>
  <c r="X1722" i="15"/>
  <c r="X2037" i="15"/>
  <c r="X1583" i="15"/>
  <c r="X2051" i="15"/>
  <c r="U1492" i="15"/>
  <c r="U2130" i="15"/>
  <c r="U1721" i="15"/>
  <c r="U2036" i="15"/>
  <c r="U1658" i="15"/>
  <c r="U2115" i="15"/>
  <c r="X1550" i="15"/>
  <c r="X2040" i="15"/>
  <c r="X1764" i="15"/>
  <c r="X2095" i="15"/>
  <c r="U1549" i="15"/>
  <c r="U2039" i="15"/>
  <c r="U1761" i="15"/>
  <c r="U2092" i="15"/>
  <c r="U1654" i="15"/>
  <c r="U2111" i="15"/>
  <c r="X1720" i="15"/>
  <c r="X2035" i="15"/>
  <c r="X1759" i="15"/>
  <c r="X2090" i="15"/>
  <c r="U1491" i="15"/>
  <c r="U2129" i="15"/>
  <c r="U1762" i="15"/>
  <c r="U2093" i="15"/>
  <c r="U1583" i="15"/>
  <c r="U2051" i="15"/>
  <c r="U1722" i="15"/>
  <c r="U2037" i="15"/>
  <c r="X1761" i="15"/>
  <c r="X2092" i="15"/>
  <c r="X1768" i="15"/>
  <c r="X1967" i="15"/>
  <c r="U1558" i="15"/>
  <c r="U1918" i="15"/>
  <c r="X1580" i="15"/>
  <c r="X1947" i="15"/>
  <c r="U1713" i="15"/>
  <c r="U1879" i="15"/>
  <c r="U1719" i="15"/>
  <c r="U1885" i="15"/>
  <c r="U1559" i="15"/>
  <c r="U1919" i="15"/>
  <c r="U1741" i="15"/>
  <c r="U1923" i="15"/>
  <c r="X1717" i="15"/>
  <c r="X1883" i="15"/>
  <c r="X1755" i="15"/>
  <c r="X1949" i="15"/>
  <c r="X1779" i="15"/>
  <c r="X1979" i="15"/>
  <c r="U1767" i="15"/>
  <c r="U1966" i="15"/>
  <c r="U1560" i="15"/>
  <c r="U1920" i="15"/>
  <c r="U1712" i="15"/>
  <c r="U1878" i="15"/>
  <c r="X1719" i="15"/>
  <c r="X1885" i="15"/>
  <c r="X1782" i="15"/>
  <c r="X1994" i="15"/>
  <c r="X1718" i="15"/>
  <c r="X1884" i="15"/>
  <c r="U1580" i="15"/>
  <c r="U1947" i="15"/>
  <c r="U1561" i="15"/>
  <c r="U1921" i="15"/>
  <c r="U1473" i="15"/>
  <c r="U1942" i="15"/>
  <c r="U1718" i="15"/>
  <c r="U1884" i="15"/>
  <c r="U1782" i="15"/>
  <c r="U1994" i="15"/>
  <c r="U1709" i="15"/>
  <c r="U1875" i="15"/>
  <c r="U1768" i="15"/>
  <c r="U1967" i="15"/>
  <c r="U1672" i="15"/>
  <c r="U1988" i="15"/>
  <c r="U1710" i="15"/>
  <c r="U1876" i="15"/>
  <c r="U1770" i="15"/>
  <c r="U1969" i="15"/>
  <c r="U1771" i="15"/>
  <c r="U1970" i="15"/>
  <c r="X1770" i="15"/>
  <c r="X1969" i="15"/>
  <c r="X1769" i="15"/>
  <c r="X1968" i="15"/>
  <c r="U1671" i="15"/>
  <c r="U1987" i="15"/>
  <c r="U1711" i="15"/>
  <c r="U1877" i="15"/>
  <c r="X1780" i="15"/>
  <c r="X1980" i="15"/>
  <c r="U1742" i="15"/>
  <c r="U1924" i="15"/>
  <c r="U1716" i="15"/>
  <c r="U1882" i="15"/>
  <c r="U1743" i="15"/>
  <c r="U1925" i="15"/>
  <c r="U1717" i="15"/>
  <c r="U1883" i="15"/>
  <c r="U1744" i="15"/>
  <c r="U1926" i="15"/>
  <c r="X1778" i="15"/>
  <c r="X1978" i="15"/>
  <c r="X1716" i="15"/>
  <c r="X1882" i="15"/>
  <c r="U1769" i="15"/>
  <c r="U1968" i="15"/>
  <c r="X1557" i="15"/>
  <c r="X1917" i="15"/>
  <c r="U1755" i="15"/>
  <c r="U1949" i="15"/>
  <c r="X1783" i="15"/>
  <c r="X1995" i="15"/>
  <c r="X1767" i="15"/>
  <c r="X1966" i="15"/>
  <c r="U1315" i="15"/>
  <c r="U1778" i="15"/>
  <c r="X1359" i="15"/>
  <c r="X1715" i="15"/>
  <c r="X1376" i="15"/>
  <c r="X1744" i="15"/>
  <c r="X1355" i="15"/>
  <c r="X1709" i="15"/>
  <c r="U1317" i="15"/>
  <c r="U1780" i="15"/>
  <c r="X1289" i="15"/>
  <c r="X1714" i="15"/>
  <c r="X1288" i="15"/>
  <c r="X1712" i="15"/>
  <c r="X1357" i="15"/>
  <c r="X1711" i="15"/>
  <c r="X1356" i="15"/>
  <c r="X1710" i="15"/>
  <c r="X1375" i="15"/>
  <c r="X1743" i="15"/>
  <c r="U1316" i="15"/>
  <c r="U1779" i="15"/>
  <c r="U1305" i="15"/>
  <c r="U1753" i="15"/>
  <c r="U1453" i="15"/>
  <c r="U1783" i="15"/>
  <c r="X1373" i="15"/>
  <c r="X1741" i="15"/>
  <c r="X1374" i="15"/>
  <c r="X1742" i="15"/>
  <c r="X1358" i="15"/>
  <c r="X1713" i="15"/>
  <c r="X1403" i="15"/>
  <c r="X1771" i="15"/>
  <c r="U402" i="15"/>
  <c r="U1673" i="15"/>
  <c r="X1406" i="15"/>
  <c r="X1655" i="15"/>
  <c r="X403" i="15"/>
  <c r="X1674" i="15"/>
  <c r="X1409" i="15"/>
  <c r="X1658" i="15"/>
  <c r="X1371" i="15"/>
  <c r="X1549" i="15"/>
  <c r="U1407" i="15"/>
  <c r="U1656" i="15"/>
  <c r="U399" i="15"/>
  <c r="U1670" i="15"/>
  <c r="X1407" i="15"/>
  <c r="X1656" i="15"/>
  <c r="X402" i="15"/>
  <c r="X1673" i="15"/>
  <c r="X1184" i="15"/>
  <c r="X1561" i="15"/>
  <c r="X1124" i="15"/>
  <c r="X1581" i="15"/>
  <c r="X404" i="15"/>
  <c r="X1675" i="15"/>
  <c r="X567" i="15"/>
  <c r="X1660" i="15"/>
  <c r="X1125" i="15"/>
  <c r="X1582" i="15"/>
  <c r="U1116" i="15"/>
  <c r="U1557" i="15"/>
  <c r="X1119" i="15"/>
  <c r="X1560" i="15"/>
  <c r="U403" i="15"/>
  <c r="U1674" i="15"/>
  <c r="X1117" i="15"/>
  <c r="X1558" i="15"/>
  <c r="X401" i="15"/>
  <c r="X1672" i="15"/>
  <c r="X400" i="15"/>
  <c r="X1671" i="15"/>
  <c r="X1118" i="15"/>
  <c r="X1559" i="15"/>
  <c r="X1404" i="15"/>
  <c r="X1653" i="15"/>
  <c r="U404" i="15"/>
  <c r="U1675" i="15"/>
  <c r="U1011" i="15"/>
  <c r="U1550" i="15"/>
  <c r="X399" i="15"/>
  <c r="X1670" i="15"/>
  <c r="X1408" i="15"/>
  <c r="X1657" i="15"/>
  <c r="X1405" i="15"/>
  <c r="X1654" i="15"/>
  <c r="U1040" i="15"/>
  <c r="U1480" i="15"/>
  <c r="X1320" i="15"/>
  <c r="X1487" i="15"/>
  <c r="U1320" i="15"/>
  <c r="U1487" i="15"/>
  <c r="U1039" i="15"/>
  <c r="U1479" i="15"/>
  <c r="X1323" i="15"/>
  <c r="X1491" i="15"/>
  <c r="U1037" i="15"/>
  <c r="U1477" i="15"/>
  <c r="X1321" i="15"/>
  <c r="X1488" i="15"/>
  <c r="U1036" i="15"/>
  <c r="U1476" i="15"/>
  <c r="U1038" i="15"/>
  <c r="U1478" i="15"/>
  <c r="X1120" i="15"/>
  <c r="X1473" i="15"/>
  <c r="X1322" i="15"/>
  <c r="X1489" i="15"/>
  <c r="X1238" i="15"/>
  <c r="X1490" i="15"/>
  <c r="U1322" i="15"/>
  <c r="U1489" i="15"/>
  <c r="X1324" i="15"/>
  <c r="X1492" i="15"/>
  <c r="U1321" i="15"/>
  <c r="U1488" i="15"/>
  <c r="X866" i="15"/>
  <c r="X1449" i="15"/>
  <c r="U866" i="15"/>
  <c r="U1449" i="15"/>
  <c r="U813" i="15"/>
  <c r="U1441" i="15"/>
  <c r="U1056" i="15"/>
  <c r="U1448" i="15"/>
  <c r="X1056" i="15"/>
  <c r="X1448" i="15"/>
  <c r="X820" i="15"/>
  <c r="X1443" i="15"/>
  <c r="U640" i="15"/>
  <c r="U1452" i="15"/>
  <c r="U819" i="15"/>
  <c r="U1442" i="15"/>
  <c r="X813" i="15"/>
  <c r="X1441" i="15"/>
  <c r="U820" i="15"/>
  <c r="U1443" i="15"/>
  <c r="X640" i="15"/>
  <c r="X1452" i="15"/>
  <c r="X819" i="15"/>
  <c r="X1442" i="15"/>
  <c r="X641" i="15"/>
  <c r="X1453" i="15"/>
  <c r="U777" i="15"/>
  <c r="U1362" i="15"/>
  <c r="X859" i="15"/>
  <c r="X1398" i="15"/>
  <c r="X777" i="15"/>
  <c r="X1362" i="15"/>
  <c r="U779" i="15"/>
  <c r="U1363" i="15"/>
  <c r="U857" i="15"/>
  <c r="U1397" i="15"/>
  <c r="U885" i="15"/>
  <c r="U1404" i="15"/>
  <c r="U1015" i="15"/>
  <c r="U1373" i="15"/>
  <c r="X774" i="15"/>
  <c r="X1360" i="15"/>
  <c r="U991" i="15"/>
  <c r="U1358" i="15"/>
  <c r="X863" i="15"/>
  <c r="X1400" i="15"/>
  <c r="U1057" i="15"/>
  <c r="U1406" i="15"/>
  <c r="X855" i="15"/>
  <c r="X1396" i="15"/>
  <c r="U888" i="15"/>
  <c r="U1408" i="15"/>
  <c r="X779" i="15"/>
  <c r="X1363" i="15"/>
  <c r="U993" i="15"/>
  <c r="U1361" i="15"/>
  <c r="U864" i="15"/>
  <c r="U1401" i="15"/>
  <c r="U898" i="15"/>
  <c r="U1411" i="15"/>
  <c r="U861" i="15"/>
  <c r="U1399" i="15"/>
  <c r="U855" i="15"/>
  <c r="U1396" i="15"/>
  <c r="X993" i="15"/>
  <c r="X1361" i="15"/>
  <c r="U764" i="15"/>
  <c r="U1357" i="15"/>
  <c r="U762" i="15"/>
  <c r="U1355" i="15"/>
  <c r="U1058" i="15"/>
  <c r="U1409" i="15"/>
  <c r="U886" i="15"/>
  <c r="U1405" i="15"/>
  <c r="U763" i="15"/>
  <c r="U1356" i="15"/>
  <c r="U867" i="15"/>
  <c r="U1403" i="15"/>
  <c r="X861" i="15"/>
  <c r="X1399" i="15"/>
  <c r="X865" i="15"/>
  <c r="X1402" i="15"/>
  <c r="U865" i="15"/>
  <c r="U1402" i="15"/>
  <c r="X857" i="15"/>
  <c r="X1397" i="15"/>
  <c r="U803" i="15"/>
  <c r="U1374" i="15"/>
  <c r="U859" i="15"/>
  <c r="U1398" i="15"/>
  <c r="U804" i="15"/>
  <c r="U1375" i="15"/>
  <c r="U774" i="15"/>
  <c r="U1360" i="15"/>
  <c r="U805" i="15"/>
  <c r="U1376" i="15"/>
  <c r="U767" i="15"/>
  <c r="U1359" i="15"/>
  <c r="U863" i="15"/>
  <c r="U1400" i="15"/>
  <c r="U796" i="15"/>
  <c r="U1371" i="15"/>
  <c r="X864" i="15"/>
  <c r="X1401" i="15"/>
  <c r="X688" i="15"/>
  <c r="X1305" i="15"/>
  <c r="U856" i="15"/>
  <c r="U1308" i="15"/>
  <c r="U854" i="15"/>
  <c r="U1307" i="15"/>
  <c r="X713" i="15"/>
  <c r="X1316" i="15"/>
  <c r="U775" i="15"/>
  <c r="U1295" i="15"/>
  <c r="U776" i="15"/>
  <c r="U1296" i="15"/>
  <c r="U862" i="15"/>
  <c r="U1311" i="15"/>
  <c r="U860" i="15"/>
  <c r="U1310" i="15"/>
  <c r="X714" i="15"/>
  <c r="X1317" i="15"/>
  <c r="X862" i="15"/>
  <c r="X1311" i="15"/>
  <c r="X860" i="15"/>
  <c r="X1310" i="15"/>
  <c r="U765" i="15"/>
  <c r="U1288" i="15"/>
  <c r="X778" i="15"/>
  <c r="X1297" i="15"/>
  <c r="X775" i="15"/>
  <c r="X1295" i="15"/>
  <c r="U1067" i="15"/>
  <c r="U1324" i="15"/>
  <c r="X776" i="15"/>
  <c r="X1296" i="15"/>
  <c r="X856" i="15"/>
  <c r="X1308" i="15"/>
  <c r="U1066" i="15"/>
  <c r="U1323" i="15"/>
  <c r="U858" i="15"/>
  <c r="U1309" i="15"/>
  <c r="U773" i="15"/>
  <c r="U1294" i="15"/>
  <c r="U778" i="15"/>
  <c r="U1297" i="15"/>
  <c r="X858" i="15"/>
  <c r="X1309" i="15"/>
  <c r="X712" i="15"/>
  <c r="X1315" i="15"/>
  <c r="X773" i="15"/>
  <c r="X1294" i="15"/>
  <c r="X854" i="15"/>
  <c r="X1307" i="15"/>
  <c r="U766" i="15"/>
  <c r="U1289" i="15"/>
  <c r="X1035" i="15"/>
  <c r="X1188" i="15"/>
  <c r="U801" i="15"/>
  <c r="U1184" i="15"/>
  <c r="U1065" i="15"/>
  <c r="U1238" i="15"/>
  <c r="U1035" i="15"/>
  <c r="U1188" i="15"/>
  <c r="U798" i="15"/>
  <c r="U1117" i="15"/>
  <c r="U1033" i="15"/>
  <c r="U1125" i="15"/>
  <c r="U1031" i="15"/>
  <c r="U1120" i="15"/>
  <c r="X615" i="15"/>
  <c r="X1116" i="15"/>
  <c r="U799" i="15"/>
  <c r="U1118" i="15"/>
  <c r="U1032" i="15"/>
  <c r="U1124" i="15"/>
  <c r="U800" i="15"/>
  <c r="U1119" i="15"/>
  <c r="X560" i="15"/>
  <c r="X1057" i="15"/>
  <c r="X563" i="15"/>
  <c r="X1058" i="15"/>
  <c r="X388" i="15"/>
  <c r="X1039" i="15"/>
  <c r="X381" i="15"/>
  <c r="X1013" i="15"/>
  <c r="X652" i="15"/>
  <c r="X1032" i="15"/>
  <c r="X389" i="15"/>
  <c r="X1040" i="15"/>
  <c r="X653" i="15"/>
  <c r="X1033" i="15"/>
  <c r="X392" i="15"/>
  <c r="X1066" i="15"/>
  <c r="X385" i="15"/>
  <c r="X1036" i="15"/>
  <c r="X387" i="15"/>
  <c r="X1038" i="15"/>
  <c r="X650" i="15"/>
  <c r="X1011" i="15"/>
  <c r="X383" i="15"/>
  <c r="X1031" i="15"/>
  <c r="X391" i="15"/>
  <c r="X1065" i="15"/>
  <c r="X386" i="15"/>
  <c r="X1037" i="15"/>
  <c r="X486" i="15"/>
  <c r="X1015" i="15"/>
  <c r="X445" i="15"/>
  <c r="X991" i="15"/>
  <c r="X393" i="15"/>
  <c r="X1067" i="15"/>
  <c r="X580" i="15"/>
  <c r="X901" i="15"/>
  <c r="X447" i="15"/>
  <c r="X767" i="15"/>
  <c r="X489" i="15"/>
  <c r="X805" i="15"/>
  <c r="X481" i="15"/>
  <c r="X796" i="15"/>
  <c r="U580" i="15"/>
  <c r="U901" i="15"/>
  <c r="U561" i="15"/>
  <c r="U887" i="15"/>
  <c r="X561" i="15"/>
  <c r="X887" i="15"/>
  <c r="X619" i="15"/>
  <c r="X801" i="15"/>
  <c r="X441" i="15"/>
  <c r="X762" i="15"/>
  <c r="X446" i="15"/>
  <c r="X766" i="15"/>
  <c r="X616" i="15"/>
  <c r="X798" i="15"/>
  <c r="X581" i="15"/>
  <c r="X902" i="15"/>
  <c r="X618" i="15"/>
  <c r="X800" i="15"/>
  <c r="X444" i="15"/>
  <c r="X765" i="15"/>
  <c r="X582" i="15"/>
  <c r="X903" i="15"/>
  <c r="X443" i="15"/>
  <c r="X764" i="15"/>
  <c r="X617" i="15"/>
  <c r="X799" i="15"/>
  <c r="X442" i="15"/>
  <c r="X763" i="15"/>
  <c r="X558" i="15"/>
  <c r="X885" i="15"/>
  <c r="X488" i="15"/>
  <c r="X804" i="15"/>
  <c r="U582" i="15"/>
  <c r="U903" i="15"/>
  <c r="X487" i="15"/>
  <c r="X803" i="15"/>
  <c r="X562" i="15"/>
  <c r="X888" i="15"/>
  <c r="X559" i="15"/>
  <c r="X886" i="15"/>
  <c r="X557" i="15"/>
  <c r="X867" i="15"/>
  <c r="U581" i="15"/>
  <c r="U902" i="15"/>
  <c r="X166" i="15"/>
  <c r="X683" i="15"/>
  <c r="U286" i="15"/>
  <c r="U712" i="15"/>
  <c r="U287" i="15"/>
  <c r="U713" i="15"/>
  <c r="U166" i="15"/>
  <c r="U683" i="15"/>
  <c r="U288" i="15"/>
  <c r="U714" i="15"/>
  <c r="U174" i="15"/>
  <c r="U688" i="15"/>
  <c r="U168" i="15"/>
  <c r="U653" i="15"/>
  <c r="X176" i="15"/>
  <c r="X654" i="15"/>
  <c r="U167" i="15"/>
  <c r="U652" i="15"/>
  <c r="U176" i="15"/>
  <c r="U654" i="15"/>
  <c r="U117" i="15"/>
  <c r="U650" i="15"/>
  <c r="U134" i="15"/>
  <c r="U616" i="15"/>
  <c r="U135" i="15"/>
  <c r="U617" i="15"/>
  <c r="U133" i="15"/>
  <c r="U615" i="15"/>
  <c r="U137" i="15"/>
  <c r="U619" i="15"/>
  <c r="U136" i="15"/>
  <c r="U618" i="15"/>
  <c r="U308" i="15"/>
  <c r="U641" i="15"/>
  <c r="U65" i="15"/>
  <c r="U446" i="15"/>
  <c r="U273" i="15"/>
  <c r="U562" i="15"/>
  <c r="U241" i="15"/>
  <c r="U547" i="15"/>
  <c r="U80" i="15"/>
  <c r="U461" i="15"/>
  <c r="X82" i="15"/>
  <c r="X463" i="15"/>
  <c r="X237" i="15"/>
  <c r="X543" i="15"/>
  <c r="X242" i="15"/>
  <c r="X548" i="15"/>
  <c r="X245" i="15"/>
  <c r="X551" i="15"/>
  <c r="X80" i="15"/>
  <c r="X461" i="15"/>
  <c r="U270" i="15"/>
  <c r="U559" i="15"/>
  <c r="U82" i="15"/>
  <c r="U463" i="15"/>
  <c r="U240" i="15"/>
  <c r="U546" i="15"/>
  <c r="U239" i="15"/>
  <c r="U545" i="15"/>
  <c r="U269" i="15"/>
  <c r="U558" i="15"/>
  <c r="U139" i="15"/>
  <c r="U486" i="15"/>
  <c r="X76" i="15"/>
  <c r="X457" i="15"/>
  <c r="U61" i="15"/>
  <c r="U442" i="15"/>
  <c r="U64" i="15"/>
  <c r="U445" i="15"/>
  <c r="U237" i="15"/>
  <c r="U543" i="15"/>
  <c r="U78" i="15"/>
  <c r="U459" i="15"/>
  <c r="U249" i="15"/>
  <c r="U555" i="15"/>
  <c r="X246" i="15"/>
  <c r="X552" i="15"/>
  <c r="X243" i="15"/>
  <c r="X549" i="15"/>
  <c r="X240" i="15"/>
  <c r="X546" i="15"/>
  <c r="U274" i="15"/>
  <c r="U563" i="15"/>
  <c r="U66" i="15"/>
  <c r="U447" i="15"/>
  <c r="U62" i="15"/>
  <c r="U443" i="15"/>
  <c r="U247" i="15"/>
  <c r="U553" i="15"/>
  <c r="U271" i="15"/>
  <c r="U560" i="15"/>
  <c r="U77" i="15"/>
  <c r="U458" i="15"/>
  <c r="U79" i="15"/>
  <c r="U460" i="15"/>
  <c r="U245" i="15"/>
  <c r="U551" i="15"/>
  <c r="U293" i="15"/>
  <c r="U574" i="15"/>
  <c r="U243" i="15"/>
  <c r="U549" i="15"/>
  <c r="X248" i="15"/>
  <c r="X554" i="15"/>
  <c r="X178" i="15"/>
  <c r="X499" i="15"/>
  <c r="X238" i="15"/>
  <c r="X544" i="15"/>
  <c r="U178" i="15"/>
  <c r="U499" i="15"/>
  <c r="U63" i="15"/>
  <c r="U444" i="15"/>
  <c r="U244" i="15"/>
  <c r="U550" i="15"/>
  <c r="U238" i="15"/>
  <c r="U544" i="15"/>
  <c r="X81" i="15"/>
  <c r="X462" i="15"/>
  <c r="X78" i="15"/>
  <c r="X459" i="15"/>
  <c r="X177" i="15"/>
  <c r="X498" i="15"/>
  <c r="X77" i="15"/>
  <c r="X458" i="15"/>
  <c r="U251" i="15"/>
  <c r="U557" i="15"/>
  <c r="X79" i="15"/>
  <c r="X460" i="15"/>
  <c r="X250" i="15"/>
  <c r="X556" i="15"/>
  <c r="X239" i="15"/>
  <c r="X545" i="15"/>
  <c r="X244" i="15"/>
  <c r="X550" i="15"/>
  <c r="X249" i="15"/>
  <c r="X555" i="15"/>
  <c r="U60" i="15"/>
  <c r="U441" i="15"/>
  <c r="U250" i="15"/>
  <c r="U556" i="15"/>
  <c r="U279" i="15"/>
  <c r="U567" i="15"/>
  <c r="U140" i="15"/>
  <c r="U487" i="15"/>
  <c r="U75" i="15"/>
  <c r="U456" i="15"/>
  <c r="U242" i="15"/>
  <c r="U548" i="15"/>
  <c r="U177" i="15"/>
  <c r="U498" i="15"/>
  <c r="U81" i="15"/>
  <c r="U462" i="15"/>
  <c r="U141" i="15"/>
  <c r="U488" i="15"/>
  <c r="U76" i="15"/>
  <c r="U457" i="15"/>
  <c r="U142" i="15"/>
  <c r="U489" i="15"/>
  <c r="X241" i="15"/>
  <c r="X547" i="15"/>
  <c r="X75" i="15"/>
  <c r="X456" i="15"/>
  <c r="U248" i="15"/>
  <c r="U554" i="15"/>
  <c r="U246" i="15"/>
  <c r="U552" i="15"/>
  <c r="U116" i="15"/>
  <c r="U481" i="15"/>
  <c r="X247" i="15"/>
  <c r="X553" i="15"/>
  <c r="U300" i="15"/>
  <c r="U400" i="15"/>
  <c r="U301" i="15"/>
  <c r="U401" i="15"/>
  <c r="U322" i="15"/>
  <c r="U391" i="15"/>
  <c r="U190" i="15"/>
  <c r="U389" i="15"/>
  <c r="U186" i="15"/>
  <c r="U385" i="15"/>
  <c r="U187" i="15"/>
  <c r="U386" i="15"/>
  <c r="U324" i="15"/>
  <c r="U393" i="15"/>
  <c r="U188" i="15"/>
  <c r="U387" i="15"/>
  <c r="U323" i="15"/>
  <c r="U392" i="15"/>
  <c r="U189" i="15"/>
  <c r="U388" i="15"/>
  <c r="U161" i="15"/>
  <c r="U383" i="15"/>
  <c r="X187" i="15"/>
  <c r="X190" i="15"/>
  <c r="X279" i="15"/>
  <c r="X133" i="15"/>
  <c r="X168" i="15"/>
  <c r="X288" i="15"/>
  <c r="X60" i="15"/>
  <c r="X323" i="15"/>
  <c r="U307" i="15"/>
  <c r="X174" i="15"/>
  <c r="X271" i="15"/>
  <c r="X274" i="15"/>
  <c r="X142" i="15"/>
  <c r="DW357" i="7"/>
  <c r="U272" i="15"/>
  <c r="X137" i="15"/>
  <c r="X304" i="15"/>
  <c r="X307" i="15"/>
  <c r="X117" i="15"/>
  <c r="X161" i="15"/>
  <c r="X301" i="15"/>
  <c r="X63" i="15"/>
  <c r="X321" i="15"/>
  <c r="X136" i="15"/>
  <c r="U302" i="15"/>
  <c r="X66" i="15"/>
  <c r="X116" i="15"/>
  <c r="DW154" i="7"/>
  <c r="X125" i="15"/>
  <c r="U319" i="15"/>
  <c r="U299" i="15"/>
  <c r="X272" i="15"/>
  <c r="X167" i="15"/>
  <c r="X65" i="15"/>
  <c r="X134" i="15"/>
  <c r="X320" i="15"/>
  <c r="X300" i="15"/>
  <c r="X62" i="15"/>
  <c r="X135" i="15"/>
  <c r="X286" i="15"/>
  <c r="X61" i="15"/>
  <c r="X269" i="15"/>
  <c r="X141" i="15"/>
  <c r="X322" i="15"/>
  <c r="U321" i="15"/>
  <c r="X319" i="15"/>
  <c r="X303" i="15"/>
  <c r="X189" i="15"/>
  <c r="X302" i="15"/>
  <c r="X287" i="15"/>
  <c r="U303" i="15"/>
  <c r="X186" i="15"/>
  <c r="X188" i="15"/>
  <c r="U304" i="15"/>
  <c r="X139" i="15"/>
  <c r="X140" i="15"/>
  <c r="X64" i="15"/>
  <c r="X299" i="15"/>
  <c r="X273" i="15"/>
  <c r="X308" i="15"/>
  <c r="X270" i="15"/>
  <c r="X251" i="15"/>
  <c r="X324" i="15"/>
  <c r="U320" i="15"/>
  <c r="DW417" i="7"/>
  <c r="DW104" i="7"/>
  <c r="DW428" i="7"/>
  <c r="DW435" i="7"/>
  <c r="DW329" i="7"/>
  <c r="DW170" i="7"/>
  <c r="DW109" i="7"/>
  <c r="DW166" i="7"/>
  <c r="DW456" i="7"/>
  <c r="DW434" i="7"/>
  <c r="DW106" i="7"/>
  <c r="DW326" i="7"/>
  <c r="DW461" i="7"/>
  <c r="DY461" i="7"/>
  <c r="DX461" i="7"/>
  <c r="DW459" i="7"/>
  <c r="DX459" i="7"/>
  <c r="DY459" i="7"/>
  <c r="DY460" i="7"/>
  <c r="DX460" i="7"/>
  <c r="DW460" i="7"/>
  <c r="DY458" i="7"/>
  <c r="DX458" i="7"/>
  <c r="DW458" i="7"/>
  <c r="DY456" i="7"/>
  <c r="DX456" i="7"/>
  <c r="DY457" i="7"/>
  <c r="DX457" i="7"/>
  <c r="DW457" i="7"/>
  <c r="DW228" i="7"/>
  <c r="DW355" i="7"/>
  <c r="DW330" i="7"/>
  <c r="DW169" i="7"/>
  <c r="DW213" i="7"/>
  <c r="DW110" i="7"/>
  <c r="DW86" i="7"/>
  <c r="DW358" i="7"/>
  <c r="DW163" i="7"/>
  <c r="DW226" i="7"/>
  <c r="DW85" i="7"/>
  <c r="DW426" i="7"/>
  <c r="DW107" i="7"/>
  <c r="DW168" i="7"/>
  <c r="DW108" i="7"/>
  <c r="DW105" i="7"/>
  <c r="DW171" i="7"/>
  <c r="DW201" i="7"/>
  <c r="DW431" i="7"/>
  <c r="DW398" i="7"/>
  <c r="DW319" i="7"/>
  <c r="DW81" i="7"/>
  <c r="DW214" i="7"/>
  <c r="DW399" i="7"/>
  <c r="DW84" i="7"/>
  <c r="DW323" i="7"/>
  <c r="DW317" i="7"/>
  <c r="DW327" i="7"/>
  <c r="DW388" i="7"/>
  <c r="DW146" i="7"/>
  <c r="DW230" i="7"/>
  <c r="DW202" i="7"/>
  <c r="DW162" i="7"/>
  <c r="DW318" i="7"/>
  <c r="DW328" i="7"/>
  <c r="DW322" i="7"/>
  <c r="DW325" i="7"/>
  <c r="DW429" i="7"/>
  <c r="DW164" i="7"/>
  <c r="DW320" i="7"/>
  <c r="DW397" i="7"/>
  <c r="DW354" i="7"/>
  <c r="DW321" i="7"/>
  <c r="DW87" i="7"/>
  <c r="DW212" i="7"/>
  <c r="DW210" i="7"/>
  <c r="DW145" i="7"/>
  <c r="DW229" i="7"/>
  <c r="DW427" i="7"/>
  <c r="DW316" i="7"/>
  <c r="DW194" i="7"/>
  <c r="DW83" i="7"/>
  <c r="DW356" i="7"/>
  <c r="DW324" i="7"/>
  <c r="DW165" i="7"/>
  <c r="DW227" i="7"/>
  <c r="DW430" i="7"/>
  <c r="DW111" i="7"/>
  <c r="DW359" i="7"/>
  <c r="DW82" i="7"/>
  <c r="DY162" i="7"/>
  <c r="DX200" i="7"/>
  <c r="DY200" i="7"/>
  <c r="DY417" i="7"/>
  <c r="DX417" i="7"/>
  <c r="DY317" i="7"/>
  <c r="DX317" i="7"/>
  <c r="DX81" i="7"/>
  <c r="DY81" i="7"/>
  <c r="DY327" i="7"/>
  <c r="DX327" i="7"/>
  <c r="DX228" i="7"/>
  <c r="DY228" i="7"/>
  <c r="DX359" i="7"/>
  <c r="DY359" i="7"/>
  <c r="DX355" i="7"/>
  <c r="DY355" i="7"/>
  <c r="DX428" i="7"/>
  <c r="DY428" i="7"/>
  <c r="DX82" i="7"/>
  <c r="DY82" i="7"/>
  <c r="DY329" i="7"/>
  <c r="DX329" i="7"/>
  <c r="DX330" i="7"/>
  <c r="DY330" i="7"/>
  <c r="DX356" i="7"/>
  <c r="DY356" i="7"/>
  <c r="DX165" i="7"/>
  <c r="DY165" i="7"/>
  <c r="DX323" i="7"/>
  <c r="DY323" i="7"/>
  <c r="DX169" i="7"/>
  <c r="DY169" i="7"/>
  <c r="DX110" i="7"/>
  <c r="DY110" i="7"/>
  <c r="DX83" i="7"/>
  <c r="DY83" i="7"/>
  <c r="DX324" i="7"/>
  <c r="DY324" i="7"/>
  <c r="DX201" i="7"/>
  <c r="DY201" i="7"/>
  <c r="DX84" i="7"/>
  <c r="DY84" i="7"/>
  <c r="DY321" i="7"/>
  <c r="DX321" i="7"/>
  <c r="DX105" i="7"/>
  <c r="DY105" i="7"/>
  <c r="DX87" i="7"/>
  <c r="DY87" i="7"/>
  <c r="DY431" i="7"/>
  <c r="DX431" i="7"/>
  <c r="DX86" i="7"/>
  <c r="DY86" i="7"/>
  <c r="DX212" i="7"/>
  <c r="DY212" i="7"/>
  <c r="DX210" i="7"/>
  <c r="DY210" i="7"/>
  <c r="DY435" i="7"/>
  <c r="DX435" i="7"/>
  <c r="DY325" i="7"/>
  <c r="DX325" i="7"/>
  <c r="DX146" i="7"/>
  <c r="DY146" i="7"/>
  <c r="DX145" i="7"/>
  <c r="DY145" i="7"/>
  <c r="DX434" i="7"/>
  <c r="DY434" i="7"/>
  <c r="DX108" i="7"/>
  <c r="DY108" i="7"/>
  <c r="DX322" i="7"/>
  <c r="DY322" i="7"/>
  <c r="DX214" i="7"/>
  <c r="DY214" i="7"/>
  <c r="DX399" i="7"/>
  <c r="DY399" i="7"/>
  <c r="DX430" i="7"/>
  <c r="DY430" i="7"/>
  <c r="DX104" i="7"/>
  <c r="DY104" i="7"/>
  <c r="DX170" i="7"/>
  <c r="DY170" i="7"/>
  <c r="DX358" i="7"/>
  <c r="DY358" i="7"/>
  <c r="DX230" i="7"/>
  <c r="DY230" i="7"/>
  <c r="DX163" i="7"/>
  <c r="DY163" i="7"/>
  <c r="DX164" i="7"/>
  <c r="DY164" i="7"/>
  <c r="DX320" i="7"/>
  <c r="DY320" i="7"/>
  <c r="DX109" i="7"/>
  <c r="DY109" i="7"/>
  <c r="DX202" i="7"/>
  <c r="DY202" i="7"/>
  <c r="DX398" i="7"/>
  <c r="DY398" i="7"/>
  <c r="DX162" i="7"/>
  <c r="DX106" i="7"/>
  <c r="DY106" i="7"/>
  <c r="DX227" i="7"/>
  <c r="DY227" i="7"/>
  <c r="DX388" i="7"/>
  <c r="DY388" i="7"/>
  <c r="DX213" i="7"/>
  <c r="DY213" i="7"/>
  <c r="DX171" i="7"/>
  <c r="DY171" i="7"/>
  <c r="DX226" i="7"/>
  <c r="DY226" i="7"/>
  <c r="DX111" i="7"/>
  <c r="DY111" i="7"/>
  <c r="DY319" i="7"/>
  <c r="DX319" i="7"/>
  <c r="DX318" i="7"/>
  <c r="DY318" i="7"/>
  <c r="DY397" i="7"/>
  <c r="DX397" i="7"/>
  <c r="DX354" i="7"/>
  <c r="DY354" i="7"/>
  <c r="DY429" i="7"/>
  <c r="DX429" i="7"/>
  <c r="DX168" i="7"/>
  <c r="DY168" i="7"/>
  <c r="DX154" i="7"/>
  <c r="DY154" i="7"/>
  <c r="DX326" i="7"/>
  <c r="DY326" i="7"/>
  <c r="DY229" i="7"/>
  <c r="DX229" i="7"/>
  <c r="DX85" i="7"/>
  <c r="DY85" i="7"/>
  <c r="DY357" i="7"/>
  <c r="DX357" i="7"/>
  <c r="DX426" i="7"/>
  <c r="DY426" i="7"/>
  <c r="DY427" i="7"/>
  <c r="DX427" i="7"/>
  <c r="DX316" i="7"/>
  <c r="DY316" i="7"/>
  <c r="DX166" i="7"/>
  <c r="DY166" i="7"/>
  <c r="DX107" i="7"/>
  <c r="DY107" i="7"/>
  <c r="DX328" i="7"/>
  <c r="DY328" i="7"/>
  <c r="DX194" i="7"/>
  <c r="DY19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1" authorId="0" shapeId="0" xr:uid="{9FD354F5-F3F1-4676-B8ED-A0AC5887979C}">
      <text>
        <r>
          <rPr>
            <b/>
            <sz val="9"/>
            <color indexed="81"/>
            <rFont val="Tahoma"/>
            <family val="2"/>
          </rPr>
          <t>Author:</t>
        </r>
        <r>
          <rPr>
            <sz val="9"/>
            <color indexed="81"/>
            <rFont val="Tahoma"/>
            <family val="2"/>
          </rPr>
          <t xml:space="preserve">
Tropical
Subtropical
Temperate
Boreal</t>
        </r>
      </text>
    </comment>
    <comment ref="U1" authorId="0" shapeId="0" xr:uid="{C24F53E8-B90C-43B9-9A8C-28A8A2176253}">
      <text>
        <r>
          <rPr>
            <b/>
            <sz val="9"/>
            <color indexed="81"/>
            <rFont val="Tahoma"/>
            <family val="2"/>
          </rPr>
          <t>Author:</t>
        </r>
        <r>
          <rPr>
            <sz val="9"/>
            <color indexed="81"/>
            <rFont val="Tahoma"/>
            <family val="2"/>
          </rPr>
          <t xml:space="preserve">
Hummock
Lawn
Hallow</t>
        </r>
      </text>
    </comment>
    <comment ref="X1" authorId="0" shapeId="0" xr:uid="{FD61E8CF-0C99-4BE6-911C-B74884BA0EA0}">
      <text>
        <r>
          <rPr>
            <b/>
            <sz val="9"/>
            <color indexed="81"/>
            <rFont val="Tahoma"/>
            <family val="2"/>
          </rPr>
          <t>Author:</t>
        </r>
        <r>
          <rPr>
            <sz val="9"/>
            <color indexed="81"/>
            <rFont val="Tahoma"/>
            <family val="2"/>
          </rPr>
          <t xml:space="preserve">
Graminoid
Legume
Cyperaceae
Peat moss
Shrub
Forest
Forbs</t>
        </r>
      </text>
    </comment>
    <comment ref="AB1" authorId="0" shapeId="0" xr:uid="{02C6A4E4-AEB6-4073-B272-4ED449AF48AE}">
      <text>
        <r>
          <rPr>
            <b/>
            <sz val="9"/>
            <color indexed="81"/>
            <rFont val="Tahoma"/>
            <family val="2"/>
          </rPr>
          <t>Author:</t>
        </r>
        <r>
          <rPr>
            <sz val="9"/>
            <color indexed="81"/>
            <rFont val="Tahoma"/>
            <family val="2"/>
          </rPr>
          <t xml:space="preserve">
Annual
Growing season
Non-growing season</t>
        </r>
      </text>
    </comment>
    <comment ref="AK1" authorId="0" shapeId="0" xr:uid="{AA5902CD-158D-4FDA-8689-DD6886D60E5F}">
      <text>
        <r>
          <rPr>
            <b/>
            <sz val="9"/>
            <color indexed="81"/>
            <rFont val="Tahoma"/>
            <family val="2"/>
          </rPr>
          <t>ML:
number of replicates</t>
        </r>
        <r>
          <rPr>
            <sz val="9"/>
            <color indexed="81"/>
            <rFont val="Tahoma"/>
            <family val="2"/>
          </rPr>
          <t xml:space="preserve">
</t>
        </r>
      </text>
    </comment>
    <comment ref="AO1" authorId="0" shapeId="0" xr:uid="{80770472-9A38-4EFA-A397-A4CDD0CC3CDE}">
      <text>
        <r>
          <rPr>
            <b/>
            <sz val="9"/>
            <color indexed="81"/>
            <rFont val="Tahoma"/>
            <family val="2"/>
          </rPr>
          <t>ML:
number of replicates</t>
        </r>
        <r>
          <rPr>
            <sz val="9"/>
            <color indexed="81"/>
            <rFont val="Tahoma"/>
            <family val="2"/>
          </rPr>
          <t xml:space="preserve">
</t>
        </r>
      </text>
    </comment>
    <comment ref="AV1" authorId="0" shapeId="0" xr:uid="{2AC9D7BD-B149-426A-8D8A-CCCF11858222}">
      <text>
        <r>
          <rPr>
            <b/>
            <sz val="9"/>
            <color indexed="81"/>
            <rFont val="Tahoma"/>
            <family val="2"/>
          </rPr>
          <t>ML:
number of replicates</t>
        </r>
        <r>
          <rPr>
            <sz val="9"/>
            <color indexed="81"/>
            <rFont val="Tahoma"/>
            <family val="2"/>
          </rPr>
          <t xml:space="preserve">
</t>
        </r>
      </text>
    </comment>
    <comment ref="AY1" authorId="0" shapeId="0" xr:uid="{5F0959B2-C0F0-489D-AB5F-084BD4B61919}">
      <text>
        <r>
          <rPr>
            <b/>
            <sz val="9"/>
            <color indexed="81"/>
            <rFont val="Tahoma"/>
            <family val="2"/>
          </rPr>
          <t>ML:
number of replicates</t>
        </r>
        <r>
          <rPr>
            <sz val="9"/>
            <color indexed="81"/>
            <rFont val="Tahoma"/>
            <family val="2"/>
          </rPr>
          <t xml:space="preserve">
</t>
        </r>
      </text>
    </comment>
    <comment ref="BE1" authorId="0" shapeId="0" xr:uid="{66CA246C-3F89-4E7A-9B57-E47517563184}">
      <text>
        <r>
          <rPr>
            <b/>
            <sz val="9"/>
            <color indexed="81"/>
            <rFont val="Tahoma"/>
            <family val="2"/>
          </rPr>
          <t>ML:
number of replicates</t>
        </r>
        <r>
          <rPr>
            <sz val="9"/>
            <color indexed="81"/>
            <rFont val="Tahoma"/>
            <family val="2"/>
          </rPr>
          <t xml:space="preserve">
</t>
        </r>
      </text>
    </comment>
    <comment ref="BH1" authorId="0" shapeId="0" xr:uid="{01772598-8E24-4F57-8B27-2515A65CB468}">
      <text>
        <r>
          <rPr>
            <b/>
            <sz val="9"/>
            <color indexed="81"/>
            <rFont val="Tahoma"/>
            <family val="2"/>
          </rPr>
          <t>ML:
number of replicates</t>
        </r>
        <r>
          <rPr>
            <sz val="9"/>
            <color indexed="81"/>
            <rFont val="Tahoma"/>
            <family val="2"/>
          </rPr>
          <t xml:space="preserve">
</t>
        </r>
      </text>
    </comment>
    <comment ref="BI1" authorId="0" shapeId="0" xr:uid="{AB32DCB9-3781-41E9-B070-6453DB0D9F26}">
      <text>
        <r>
          <rPr>
            <b/>
            <sz val="9"/>
            <color indexed="81"/>
            <rFont val="Tahoma"/>
            <family val="2"/>
          </rPr>
          <t>Author:</t>
        </r>
        <r>
          <rPr>
            <sz val="9"/>
            <color indexed="81"/>
            <rFont val="Tahoma"/>
            <family val="2"/>
          </rPr>
          <t xml:space="preserve">
Gross primary production, positive and negative values indicate source and sink, respectively.</t>
        </r>
      </text>
    </comment>
    <comment ref="BL1" authorId="0" shapeId="0" xr:uid="{EAEF87D2-1A0F-46D6-A967-21DAE862BC7C}">
      <text>
        <r>
          <rPr>
            <b/>
            <sz val="9"/>
            <color indexed="81"/>
            <rFont val="Tahoma"/>
            <family val="2"/>
          </rPr>
          <t>ML:
number of replicates</t>
        </r>
        <r>
          <rPr>
            <sz val="9"/>
            <color indexed="81"/>
            <rFont val="Tahoma"/>
            <family val="2"/>
          </rPr>
          <t xml:space="preserve">
</t>
        </r>
      </text>
    </comment>
    <comment ref="BO1" authorId="0" shapeId="0" xr:uid="{C4EA7EFA-B330-4AFD-A65C-DDED42140C5B}">
      <text>
        <r>
          <rPr>
            <b/>
            <sz val="9"/>
            <color indexed="81"/>
            <rFont val="Tahoma"/>
            <family val="2"/>
          </rPr>
          <t>ML:
number of replicates</t>
        </r>
        <r>
          <rPr>
            <sz val="9"/>
            <color indexed="81"/>
            <rFont val="Tahoma"/>
            <family val="2"/>
          </rPr>
          <t xml:space="preserve">
</t>
        </r>
      </text>
    </comment>
    <comment ref="BP1" authorId="0" shapeId="0" xr:uid="{5CB093D5-9958-4ECE-8C18-BE3E7A4A42DF}">
      <text>
        <r>
          <rPr>
            <b/>
            <sz val="9"/>
            <color indexed="81"/>
            <rFont val="Tahoma"/>
            <family val="2"/>
          </rPr>
          <t>Author:</t>
        </r>
        <r>
          <rPr>
            <sz val="9"/>
            <color indexed="81"/>
            <rFont val="Tahoma"/>
            <family val="2"/>
          </rPr>
          <t xml:space="preserve">
Differences between control and drained wetland</t>
        </r>
      </text>
    </comment>
    <comment ref="BQ1" authorId="0" shapeId="0" xr:uid="{B9E69483-1AD2-41CB-9BD0-C68E97922960}">
      <text>
        <r>
          <rPr>
            <b/>
            <sz val="9"/>
            <color indexed="81"/>
            <rFont val="Tahoma"/>
            <family val="2"/>
          </rPr>
          <t>Ma, Lei
SD of difference between drained and pristine wetland</t>
        </r>
      </text>
    </comment>
    <comment ref="BR1" authorId="0" shapeId="0" xr:uid="{04605C7F-9FDB-407C-A1E3-6CE8B14A540E}">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BS1" authorId="0" shapeId="0" xr:uid="{3CBFDDE0-C9F4-4DE7-B504-0EF6BD60240B}">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BT1" authorId="0" shapeId="0" xr:uid="{13811EEA-96BE-4A07-96AE-5A474A775A99}">
      <text>
        <r>
          <rPr>
            <b/>
            <sz val="9"/>
            <color indexed="81"/>
            <rFont val="Tahoma"/>
            <family val="2"/>
          </rPr>
          <t>Author:</t>
        </r>
        <r>
          <rPr>
            <sz val="9"/>
            <color indexed="81"/>
            <rFont val="Tahoma"/>
            <family val="2"/>
          </rPr>
          <t xml:space="preserve">
Ecosystem respiration, </t>
        </r>
      </text>
    </comment>
    <comment ref="BW1" authorId="0" shapeId="0" xr:uid="{2580059A-678C-4320-9C66-91DE055A6B7B}">
      <text>
        <r>
          <rPr>
            <b/>
            <sz val="9"/>
            <color indexed="81"/>
            <rFont val="Tahoma"/>
            <family val="2"/>
          </rPr>
          <t>ML:
number of replicates</t>
        </r>
        <r>
          <rPr>
            <sz val="9"/>
            <color indexed="81"/>
            <rFont val="Tahoma"/>
            <family val="2"/>
          </rPr>
          <t xml:space="preserve">
</t>
        </r>
      </text>
    </comment>
    <comment ref="BZ1" authorId="0" shapeId="0" xr:uid="{E5504503-891C-4E9F-816D-7DD9FB6D3632}">
      <text>
        <r>
          <rPr>
            <b/>
            <sz val="9"/>
            <color indexed="81"/>
            <rFont val="Tahoma"/>
            <family val="2"/>
          </rPr>
          <t>ML:
number of replicates</t>
        </r>
        <r>
          <rPr>
            <sz val="9"/>
            <color indexed="81"/>
            <rFont val="Tahoma"/>
            <family val="2"/>
          </rPr>
          <t xml:space="preserve">
</t>
        </r>
      </text>
    </comment>
    <comment ref="CA1" authorId="0" shapeId="0" xr:uid="{41F54D3B-1487-4C67-A5AE-D31043540F9D}">
      <text>
        <r>
          <rPr>
            <b/>
            <sz val="9"/>
            <color indexed="81"/>
            <rFont val="Tahoma"/>
            <family val="2"/>
          </rPr>
          <t>Author:</t>
        </r>
        <r>
          <rPr>
            <sz val="9"/>
            <color indexed="81"/>
            <rFont val="Tahoma"/>
            <family val="2"/>
          </rPr>
          <t xml:space="preserve">
Differences between control and drained wetland</t>
        </r>
      </text>
    </comment>
    <comment ref="CB1" authorId="0" shapeId="0" xr:uid="{38B34CE4-F9CC-44F2-A5F0-EDAAAB958EC3}">
      <text>
        <r>
          <rPr>
            <b/>
            <sz val="9"/>
            <color indexed="81"/>
            <rFont val="Tahoma"/>
            <family val="2"/>
          </rPr>
          <t>Ma, Lei
SD of difference between drained and pristine wetland</t>
        </r>
      </text>
    </comment>
    <comment ref="CC1" authorId="0" shapeId="0" xr:uid="{D5ACC2A1-6919-4300-916B-8D236C2B3795}">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CD1" authorId="0" shapeId="0" xr:uid="{86C65FB6-9ACF-4FAE-B580-E8D23816D4EC}">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CE1" authorId="0" shapeId="0" xr:uid="{6EA23CBD-D6BD-4D63-B420-2838047F333F}">
      <text>
        <r>
          <rPr>
            <b/>
            <sz val="9"/>
            <color indexed="81"/>
            <rFont val="Tahoma"/>
            <family val="2"/>
          </rPr>
          <t>Author:</t>
        </r>
        <r>
          <rPr>
            <sz val="9"/>
            <color indexed="81"/>
            <rFont val="Tahoma"/>
            <family val="2"/>
          </rPr>
          <t xml:space="preserve">
Net ecosystem exchange, positive and negative values indicate source and sink, respectively.</t>
        </r>
      </text>
    </comment>
    <comment ref="CH1" authorId="0" shapeId="0" xr:uid="{C1F44B04-F347-415F-BB59-B359FC3B80D8}">
      <text>
        <r>
          <rPr>
            <b/>
            <sz val="9"/>
            <color indexed="81"/>
            <rFont val="Tahoma"/>
            <family val="2"/>
          </rPr>
          <t>ML:
number of replicates</t>
        </r>
        <r>
          <rPr>
            <sz val="9"/>
            <color indexed="81"/>
            <rFont val="Tahoma"/>
            <family val="2"/>
          </rPr>
          <t xml:space="preserve">
</t>
        </r>
      </text>
    </comment>
    <comment ref="CK1" authorId="0" shapeId="0" xr:uid="{C6337926-8C2D-4800-9B93-4477D853E29A}">
      <text>
        <r>
          <rPr>
            <b/>
            <sz val="9"/>
            <color indexed="81"/>
            <rFont val="Tahoma"/>
            <family val="2"/>
          </rPr>
          <t>ML:
number of replicates</t>
        </r>
        <r>
          <rPr>
            <sz val="9"/>
            <color indexed="81"/>
            <rFont val="Tahoma"/>
            <family val="2"/>
          </rPr>
          <t xml:space="preserve">
</t>
        </r>
      </text>
    </comment>
    <comment ref="CL1" authorId="0" shapeId="0" xr:uid="{8F5A4427-A76A-4E94-A7EA-1231F7BB99B2}">
      <text>
        <r>
          <rPr>
            <b/>
            <sz val="9"/>
            <color indexed="81"/>
            <rFont val="Tahoma"/>
            <family val="2"/>
          </rPr>
          <t>Author:</t>
        </r>
        <r>
          <rPr>
            <sz val="9"/>
            <color indexed="81"/>
            <rFont val="Tahoma"/>
            <family val="2"/>
          </rPr>
          <t xml:space="preserve">
Differences between control and drained wetland</t>
        </r>
      </text>
    </comment>
    <comment ref="CM1" authorId="0" shapeId="0" xr:uid="{0FA950CE-206A-48C1-8223-36BE0A61F044}">
      <text>
        <r>
          <rPr>
            <b/>
            <sz val="9"/>
            <color indexed="81"/>
            <rFont val="Tahoma"/>
            <family val="2"/>
          </rPr>
          <t>Ma, Lei
SD of difference between drained and pristine wetland</t>
        </r>
      </text>
    </comment>
    <comment ref="CN1" authorId="0" shapeId="0" xr:uid="{C5B283F4-C137-4329-AE5C-EC49C21EBA28}">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CO1" authorId="0" shapeId="0" xr:uid="{0E4832A0-4712-48A9-B900-1643E84E44E1}">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CP1" authorId="0" shapeId="0" xr:uid="{DE70DAF0-62A5-4A56-B0AC-01B6BB81F858}">
      <text>
        <r>
          <rPr>
            <b/>
            <sz val="9"/>
            <color indexed="81"/>
            <rFont val="Tahoma"/>
            <family val="2"/>
          </rPr>
          <t>Author:</t>
        </r>
        <r>
          <rPr>
            <sz val="9"/>
            <color indexed="81"/>
            <rFont val="Tahoma"/>
            <family val="2"/>
          </rPr>
          <t xml:space="preserve">
GS: growing season
NGS: non-growing season</t>
        </r>
      </text>
    </comment>
    <comment ref="CS1" authorId="0" shapeId="0" xr:uid="{406BBEF9-A4B9-4D46-9A3D-1050F75C6C3B}">
      <text>
        <r>
          <rPr>
            <b/>
            <sz val="9"/>
            <color indexed="81"/>
            <rFont val="Tahoma"/>
            <family val="2"/>
          </rPr>
          <t>ML:
number of replicates</t>
        </r>
        <r>
          <rPr>
            <sz val="9"/>
            <color indexed="81"/>
            <rFont val="Tahoma"/>
            <family val="2"/>
          </rPr>
          <t xml:space="preserve">
</t>
        </r>
      </text>
    </comment>
    <comment ref="CW1" authorId="0" shapeId="0" xr:uid="{3BDD3EB2-4D2A-4EF2-84F8-351E6ADF79FC}">
      <text>
        <r>
          <rPr>
            <b/>
            <sz val="9"/>
            <color indexed="81"/>
            <rFont val="Tahoma"/>
            <family val="2"/>
          </rPr>
          <t>ML:
number of replicates</t>
        </r>
        <r>
          <rPr>
            <sz val="9"/>
            <color indexed="81"/>
            <rFont val="Tahoma"/>
            <family val="2"/>
          </rPr>
          <t xml:space="preserve">
</t>
        </r>
      </text>
    </comment>
    <comment ref="CY1" authorId="0" shapeId="0" xr:uid="{AEF996E1-7F6F-4174-BA96-C8A6AA07F177}">
      <text>
        <r>
          <rPr>
            <b/>
            <sz val="9"/>
            <color indexed="81"/>
            <rFont val="Tahoma"/>
            <family val="2"/>
          </rPr>
          <t>Author:</t>
        </r>
        <r>
          <rPr>
            <sz val="9"/>
            <color indexed="81"/>
            <rFont val="Tahoma"/>
            <family val="2"/>
          </rPr>
          <t xml:space="preserve">
Differences between control and drained wetland</t>
        </r>
      </text>
    </comment>
    <comment ref="CZ1" authorId="0" shapeId="0" xr:uid="{FA0DDAE6-E2EE-4B8E-8426-DA641312E821}">
      <text>
        <r>
          <rPr>
            <b/>
            <sz val="9"/>
            <color indexed="81"/>
            <rFont val="Tahoma"/>
            <family val="2"/>
          </rPr>
          <t>Ma, Lei
SD of difference between drained and pristine wetland</t>
        </r>
      </text>
    </comment>
    <comment ref="DA1" authorId="0" shapeId="0" xr:uid="{6EBEBEAA-EFD8-45E7-823B-D12D84103441}">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DB1" authorId="0" shapeId="0" xr:uid="{EBDC7CBC-ABD7-410C-AE53-72A9ECE07585}">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DF1" authorId="0" shapeId="0" xr:uid="{30FB132D-AD8B-4733-9499-8FAE321BDE69}">
      <text>
        <r>
          <rPr>
            <b/>
            <sz val="9"/>
            <color indexed="81"/>
            <rFont val="Tahoma"/>
            <family val="2"/>
          </rPr>
          <t>ML:
number of replicates</t>
        </r>
        <r>
          <rPr>
            <sz val="9"/>
            <color indexed="81"/>
            <rFont val="Tahoma"/>
            <family val="2"/>
          </rPr>
          <t xml:space="preserve">
</t>
        </r>
      </text>
    </comment>
    <comment ref="DJ1" authorId="0" shapeId="0" xr:uid="{02E897E1-29EA-4FA1-8B4A-1CEC9A905B31}">
      <text>
        <r>
          <rPr>
            <b/>
            <sz val="9"/>
            <color indexed="81"/>
            <rFont val="Tahoma"/>
            <family val="2"/>
          </rPr>
          <t>ML:
number of replicates</t>
        </r>
        <r>
          <rPr>
            <sz val="9"/>
            <color indexed="81"/>
            <rFont val="Tahoma"/>
            <family val="2"/>
          </rPr>
          <t xml:space="preserve">
</t>
        </r>
      </text>
    </comment>
    <comment ref="DL1" authorId="0" shapeId="0" xr:uid="{090E6F0C-2538-46D5-B098-0DCDBC4FE569}">
      <text>
        <r>
          <rPr>
            <b/>
            <sz val="9"/>
            <color indexed="81"/>
            <rFont val="Tahoma"/>
            <family val="2"/>
          </rPr>
          <t>Author:</t>
        </r>
        <r>
          <rPr>
            <sz val="9"/>
            <color indexed="81"/>
            <rFont val="Tahoma"/>
            <family val="2"/>
          </rPr>
          <t xml:space="preserve">
Differences between control and drained wetland</t>
        </r>
      </text>
    </comment>
    <comment ref="DM1" authorId="0" shapeId="0" xr:uid="{861B9F68-9FD4-43EA-ABD3-F1BAF6F736A3}">
      <text>
        <r>
          <rPr>
            <b/>
            <sz val="9"/>
            <color indexed="81"/>
            <rFont val="Tahoma"/>
            <family val="2"/>
          </rPr>
          <t>Ma, Lei
SD of difference between drained and pristine wetland</t>
        </r>
      </text>
    </comment>
    <comment ref="DN1" authorId="0" shapeId="0" xr:uid="{C966D7A3-9400-4F46-8AED-26D701071A17}">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DO1" authorId="0" shapeId="0" xr:uid="{65E607DC-F0BC-4F23-A1CC-70825FC009B7}">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DP1" authorId="0" shapeId="0" xr:uid="{DD3B3D70-91F7-497D-9F77-F6CA4073A6BC}">
      <text>
        <r>
          <rPr>
            <b/>
            <sz val="9"/>
            <color indexed="81"/>
            <rFont val="宋体"/>
            <family val="3"/>
            <charset val="134"/>
          </rPr>
          <t>Author:</t>
        </r>
        <r>
          <rPr>
            <sz val="9"/>
            <color indexed="81"/>
            <rFont val="宋体"/>
            <family val="3"/>
            <charset val="134"/>
          </rPr>
          <t xml:space="preserve">
Water table depth</t>
        </r>
      </text>
    </comment>
    <comment ref="DS1" authorId="0" shapeId="0" xr:uid="{B26CFE2A-3943-43CD-976F-5AF9D341892D}">
      <text>
        <r>
          <rPr>
            <b/>
            <sz val="9"/>
            <color indexed="81"/>
            <rFont val="Tahoma"/>
            <family val="2"/>
          </rPr>
          <t>ML:
number of replicates</t>
        </r>
        <r>
          <rPr>
            <sz val="9"/>
            <color indexed="81"/>
            <rFont val="Tahoma"/>
            <family val="2"/>
          </rPr>
          <t xml:space="preserve">
</t>
        </r>
      </text>
    </comment>
    <comment ref="DW1" authorId="0" shapeId="0" xr:uid="{B2796398-B55B-42FB-BDED-A8CDBBDEA959}">
      <text>
        <r>
          <rPr>
            <b/>
            <sz val="9"/>
            <color indexed="81"/>
            <rFont val="Tahoma"/>
            <family val="2"/>
          </rPr>
          <t>ML:
number of replicates</t>
        </r>
        <r>
          <rPr>
            <sz val="9"/>
            <color indexed="81"/>
            <rFont val="Tahoma"/>
            <family val="2"/>
          </rPr>
          <t xml:space="preserve">
</t>
        </r>
      </text>
    </comment>
    <comment ref="DY1" authorId="0" shapeId="0" xr:uid="{1942C05C-088D-4717-BA37-0AF4E1A68F12}">
      <text>
        <r>
          <rPr>
            <b/>
            <sz val="9"/>
            <color indexed="81"/>
            <rFont val="Tahoma"/>
            <family val="2"/>
          </rPr>
          <t>Author:</t>
        </r>
        <r>
          <rPr>
            <sz val="9"/>
            <color indexed="81"/>
            <rFont val="Tahoma"/>
            <family val="2"/>
          </rPr>
          <t xml:space="preserve">
Differences between control and drained wetland</t>
        </r>
      </text>
    </comment>
    <comment ref="DZ1" authorId="0" shapeId="0" xr:uid="{73B71A8E-6C36-413A-8939-03FBACB4DE23}">
      <text>
        <r>
          <rPr>
            <b/>
            <sz val="9"/>
            <color indexed="81"/>
            <rFont val="Tahoma"/>
            <family val="2"/>
          </rPr>
          <t>Ma, Lei
SD of difference between drained and pristine wetland</t>
        </r>
      </text>
    </comment>
    <comment ref="EA1" authorId="0" shapeId="0" xr:uid="{E3103618-F408-4EB1-ADFC-7109091B1BFF}">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EB1" authorId="0" shapeId="0" xr:uid="{F5FC9443-6657-4118-AC91-4D31E867ED64}">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EG1" authorId="0" shapeId="0" xr:uid="{291BCA53-F66B-441A-855D-AC4809550FB2}">
      <text>
        <r>
          <rPr>
            <b/>
            <sz val="9"/>
            <color indexed="81"/>
            <rFont val="Tahoma"/>
            <family val="2"/>
          </rPr>
          <t>ML:
number of replicates</t>
        </r>
        <r>
          <rPr>
            <sz val="9"/>
            <color indexed="81"/>
            <rFont val="Tahoma"/>
            <family val="2"/>
          </rPr>
          <t xml:space="preserve">
</t>
        </r>
      </text>
    </comment>
    <comment ref="EK1" authorId="0" shapeId="0" xr:uid="{728986C8-0369-4038-9E20-72A707DDA364}">
      <text>
        <r>
          <rPr>
            <b/>
            <sz val="9"/>
            <color indexed="81"/>
            <rFont val="Tahoma"/>
            <family val="2"/>
          </rPr>
          <t>ML:
number of replicates</t>
        </r>
        <r>
          <rPr>
            <sz val="9"/>
            <color indexed="81"/>
            <rFont val="Tahoma"/>
            <family val="2"/>
          </rPr>
          <t xml:space="preserve">
</t>
        </r>
      </text>
    </comment>
    <comment ref="EM1" authorId="0" shapeId="0" xr:uid="{220CDFD7-24CE-4772-96D3-A350C779326D}">
      <text>
        <r>
          <rPr>
            <b/>
            <sz val="9"/>
            <color indexed="81"/>
            <rFont val="Tahoma"/>
            <family val="2"/>
          </rPr>
          <t>Author:</t>
        </r>
        <r>
          <rPr>
            <sz val="9"/>
            <color indexed="81"/>
            <rFont val="Tahoma"/>
            <family val="2"/>
          </rPr>
          <t xml:space="preserve">
Differences between control and drained wetland</t>
        </r>
      </text>
    </comment>
    <comment ref="EN1" authorId="0" shapeId="0" xr:uid="{158E0922-06C8-4983-82DB-6838C9C0577D}">
      <text>
        <r>
          <rPr>
            <b/>
            <sz val="9"/>
            <color indexed="81"/>
            <rFont val="Tahoma"/>
            <family val="2"/>
          </rPr>
          <t>Ma, Lei
SD of difference between drained and pristine wetland</t>
        </r>
      </text>
    </comment>
    <comment ref="EO1" authorId="0" shapeId="0" xr:uid="{1E2E664D-3EB0-44C6-8DED-513BF729C2FE}">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EP1" authorId="0" shapeId="0" xr:uid="{1473C897-33E5-4828-83D1-105A50C35452}">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ET1" authorId="0" shapeId="0" xr:uid="{F0F9A2E2-CD64-4D04-AD9A-D4EFD9CEEBA7}">
      <text>
        <r>
          <rPr>
            <b/>
            <sz val="9"/>
            <color indexed="81"/>
            <rFont val="Tahoma"/>
            <family val="2"/>
          </rPr>
          <t>ML:
number of replicates</t>
        </r>
        <r>
          <rPr>
            <sz val="9"/>
            <color indexed="81"/>
            <rFont val="Tahoma"/>
            <family val="2"/>
          </rPr>
          <t xml:space="preserve">
</t>
        </r>
      </text>
    </comment>
    <comment ref="EX1" authorId="0" shapeId="0" xr:uid="{C2CFEC8D-1461-409E-8DFA-18020A5B79AA}">
      <text>
        <r>
          <rPr>
            <b/>
            <sz val="9"/>
            <color indexed="81"/>
            <rFont val="Tahoma"/>
            <family val="2"/>
          </rPr>
          <t>ML:
number of replicates</t>
        </r>
        <r>
          <rPr>
            <sz val="9"/>
            <color indexed="81"/>
            <rFont val="Tahoma"/>
            <family val="2"/>
          </rPr>
          <t xml:space="preserve">
</t>
        </r>
      </text>
    </comment>
    <comment ref="EZ1" authorId="0" shapeId="0" xr:uid="{DC663725-F923-4B22-8661-E08594BAE297}">
      <text>
        <r>
          <rPr>
            <b/>
            <sz val="9"/>
            <color indexed="81"/>
            <rFont val="Tahoma"/>
            <family val="2"/>
          </rPr>
          <t>Author:</t>
        </r>
        <r>
          <rPr>
            <sz val="9"/>
            <color indexed="81"/>
            <rFont val="Tahoma"/>
            <family val="2"/>
          </rPr>
          <t xml:space="preserve">
Differences between control and drained wetland</t>
        </r>
      </text>
    </comment>
    <comment ref="FA1" authorId="0" shapeId="0" xr:uid="{8134D48B-E2E6-4E90-8914-DBCFA9416C47}">
      <text>
        <r>
          <rPr>
            <b/>
            <sz val="9"/>
            <color indexed="81"/>
            <rFont val="Tahoma"/>
            <family val="2"/>
          </rPr>
          <t>Ma, Lei
SD of difference between drained and pristine wetland</t>
        </r>
      </text>
    </comment>
    <comment ref="FF1" authorId="0" shapeId="0" xr:uid="{14F9F229-849E-45B0-AD57-935FDEC36F15}">
      <text>
        <r>
          <rPr>
            <b/>
            <sz val="9"/>
            <color indexed="81"/>
            <rFont val="Tahoma"/>
            <family val="2"/>
          </rPr>
          <t>ML:
number of replicates</t>
        </r>
        <r>
          <rPr>
            <sz val="9"/>
            <color indexed="81"/>
            <rFont val="Tahoma"/>
            <family val="2"/>
          </rPr>
          <t xml:space="preserve">
</t>
        </r>
      </text>
    </comment>
    <comment ref="FI1" authorId="0" shapeId="0" xr:uid="{2A9916DB-AEDE-45CC-9584-00834D440C4B}">
      <text>
        <r>
          <rPr>
            <b/>
            <sz val="9"/>
            <color indexed="81"/>
            <rFont val="Tahoma"/>
            <family val="2"/>
          </rPr>
          <t>ML:
number of replicates</t>
        </r>
        <r>
          <rPr>
            <sz val="9"/>
            <color indexed="81"/>
            <rFont val="Tahoma"/>
            <family val="2"/>
          </rPr>
          <t xml:space="preserve">
</t>
        </r>
      </text>
    </comment>
    <comment ref="FJ1" authorId="0" shapeId="0" xr:uid="{E68ACC68-1A4B-45A2-B095-4AE1CB6F307A}">
      <text>
        <r>
          <rPr>
            <b/>
            <sz val="9"/>
            <color indexed="81"/>
            <rFont val="Tahoma"/>
            <family val="2"/>
          </rPr>
          <t>Author:</t>
        </r>
        <r>
          <rPr>
            <sz val="9"/>
            <color indexed="81"/>
            <rFont val="Tahoma"/>
            <family val="2"/>
          </rPr>
          <t xml:space="preserve">
Differences between control and drained wetland</t>
        </r>
      </text>
    </comment>
    <comment ref="FK1" authorId="0" shapeId="0" xr:uid="{AE80798E-B51C-4BD1-9BFC-AA7BB68966AD}">
      <text>
        <r>
          <rPr>
            <b/>
            <sz val="9"/>
            <color indexed="81"/>
            <rFont val="Tahoma"/>
            <family val="2"/>
          </rPr>
          <t>Ma, Lei
SD of difference between drained and pristine wetland</t>
        </r>
      </text>
    </comment>
    <comment ref="FP1" authorId="0" shapeId="0" xr:uid="{A73717F6-3B4F-43E0-B914-D4B3FA3A476E}">
      <text>
        <r>
          <rPr>
            <b/>
            <sz val="9"/>
            <color indexed="81"/>
            <rFont val="Tahoma"/>
            <family val="2"/>
          </rPr>
          <t>ML:
number of replicates</t>
        </r>
        <r>
          <rPr>
            <sz val="9"/>
            <color indexed="81"/>
            <rFont val="Tahoma"/>
            <family val="2"/>
          </rPr>
          <t xml:space="preserve">
</t>
        </r>
      </text>
    </comment>
    <comment ref="FS1" authorId="0" shapeId="0" xr:uid="{2AAF84BB-0571-4D14-B939-E13549508D19}">
      <text>
        <r>
          <rPr>
            <b/>
            <sz val="9"/>
            <color indexed="81"/>
            <rFont val="Tahoma"/>
            <family val="2"/>
          </rPr>
          <t>ML:
number of replicates</t>
        </r>
        <r>
          <rPr>
            <sz val="9"/>
            <color indexed="81"/>
            <rFont val="Tahoma"/>
            <family val="2"/>
          </rPr>
          <t xml:space="preserve">
</t>
        </r>
      </text>
    </comment>
    <comment ref="FT1" authorId="0" shapeId="0" xr:uid="{C2401760-0B24-4477-B4E8-1047A0F367DC}">
      <text>
        <r>
          <rPr>
            <b/>
            <sz val="9"/>
            <color indexed="81"/>
            <rFont val="Tahoma"/>
            <family val="2"/>
          </rPr>
          <t>Author:</t>
        </r>
        <r>
          <rPr>
            <sz val="9"/>
            <color indexed="81"/>
            <rFont val="Tahoma"/>
            <family val="2"/>
          </rPr>
          <t xml:space="preserve">
Differences between control and drained wetland</t>
        </r>
      </text>
    </comment>
    <comment ref="FU1" authorId="0" shapeId="0" xr:uid="{AB5E21BF-8908-4EB8-B2CB-EF2BE46F5A01}">
      <text>
        <r>
          <rPr>
            <b/>
            <sz val="9"/>
            <color indexed="81"/>
            <rFont val="Tahoma"/>
            <family val="2"/>
          </rPr>
          <t>Ma, Lei
SD of difference between drained and pristine wetland</t>
        </r>
      </text>
    </comment>
    <comment ref="FW1" authorId="0" shapeId="0" xr:uid="{45714C70-4AF9-45D4-9032-D10A5F5F33A0}">
      <text>
        <r>
          <rPr>
            <b/>
            <sz val="9"/>
            <color indexed="81"/>
            <rFont val="宋体"/>
            <family val="3"/>
            <charset val="134"/>
          </rPr>
          <t>Author:</t>
        </r>
        <r>
          <rPr>
            <sz val="9"/>
            <color indexed="81"/>
            <rFont val="宋体"/>
            <family val="3"/>
            <charset val="134"/>
          </rPr>
          <t xml:space="preserve">
Soil Moisture</t>
        </r>
      </text>
    </comment>
    <comment ref="GA1" authorId="0" shapeId="0" xr:uid="{E20D8FB6-08B1-4628-80BC-B9F76477725C}">
      <text>
        <r>
          <rPr>
            <b/>
            <sz val="9"/>
            <color indexed="81"/>
            <rFont val="Tahoma"/>
            <family val="2"/>
          </rPr>
          <t>ML:
number of replicates</t>
        </r>
        <r>
          <rPr>
            <sz val="9"/>
            <color indexed="81"/>
            <rFont val="Tahoma"/>
            <family val="2"/>
          </rPr>
          <t xml:space="preserve">
</t>
        </r>
      </text>
    </comment>
    <comment ref="GD1" authorId="0" shapeId="0" xr:uid="{7A3795DB-CE52-4F9D-8088-6163EE90CFAD}">
      <text>
        <r>
          <rPr>
            <b/>
            <sz val="9"/>
            <color indexed="81"/>
            <rFont val="Tahoma"/>
            <family val="2"/>
          </rPr>
          <t>ML:
number of replicates</t>
        </r>
        <r>
          <rPr>
            <sz val="9"/>
            <color indexed="81"/>
            <rFont val="Tahoma"/>
            <family val="2"/>
          </rPr>
          <t xml:space="preserve">
</t>
        </r>
      </text>
    </comment>
    <comment ref="GG1" authorId="0" shapeId="0" xr:uid="{252FE934-F245-4E63-917E-EA359E532774}">
      <text>
        <r>
          <rPr>
            <b/>
            <sz val="9"/>
            <color indexed="81"/>
            <rFont val="宋体"/>
            <family val="3"/>
            <charset val="134"/>
          </rPr>
          <t>Author:</t>
        </r>
        <r>
          <rPr>
            <sz val="9"/>
            <color indexed="81"/>
            <rFont val="宋体"/>
            <family val="3"/>
            <charset val="134"/>
          </rPr>
          <t xml:space="preserve">
Soil Temperature</t>
        </r>
      </text>
    </comment>
    <comment ref="GK1" authorId="0" shapeId="0" xr:uid="{D9CA3280-0039-41B1-BE35-DB7E93938A56}">
      <text>
        <r>
          <rPr>
            <b/>
            <sz val="9"/>
            <color indexed="81"/>
            <rFont val="Tahoma"/>
            <family val="2"/>
          </rPr>
          <t>ML:
number of replicates</t>
        </r>
        <r>
          <rPr>
            <sz val="9"/>
            <color indexed="81"/>
            <rFont val="Tahoma"/>
            <family val="2"/>
          </rPr>
          <t xml:space="preserve">
</t>
        </r>
      </text>
    </comment>
    <comment ref="GO1" authorId="0" shapeId="0" xr:uid="{6869E015-E9E3-43CE-A617-1049BA59755E}">
      <text>
        <r>
          <rPr>
            <b/>
            <sz val="9"/>
            <color indexed="81"/>
            <rFont val="Tahoma"/>
            <family val="2"/>
          </rPr>
          <t>ML:
number of replicates</t>
        </r>
        <r>
          <rPr>
            <sz val="9"/>
            <color indexed="81"/>
            <rFont val="Tahoma"/>
            <family val="2"/>
          </rPr>
          <t xml:space="preserve">
</t>
        </r>
      </text>
    </comment>
    <comment ref="GS1" authorId="0" shapeId="0" xr:uid="{1BFB823D-94CD-477B-8003-73430E793D94}">
      <text>
        <r>
          <rPr>
            <b/>
            <sz val="9"/>
            <color indexed="81"/>
            <rFont val="宋体"/>
            <family val="3"/>
            <charset val="134"/>
          </rPr>
          <t>Author:</t>
        </r>
        <r>
          <rPr>
            <sz val="9"/>
            <color indexed="81"/>
            <rFont val="宋体"/>
            <family val="3"/>
            <charset val="134"/>
          </rPr>
          <t xml:space="preserve">
Bulk Density</t>
        </r>
      </text>
    </comment>
    <comment ref="GW1" authorId="0" shapeId="0" xr:uid="{89841019-7635-4AC0-AF64-B7DE2E77F415}">
      <text>
        <r>
          <rPr>
            <b/>
            <sz val="9"/>
            <color indexed="81"/>
            <rFont val="Tahoma"/>
            <family val="2"/>
          </rPr>
          <t>ML:
number of replicates</t>
        </r>
        <r>
          <rPr>
            <sz val="9"/>
            <color indexed="81"/>
            <rFont val="Tahoma"/>
            <family val="2"/>
          </rPr>
          <t xml:space="preserve">
</t>
        </r>
      </text>
    </comment>
    <comment ref="HA1" authorId="0" shapeId="0" xr:uid="{A66AFFDA-8F9F-4D83-B795-805E84F659ED}">
      <text>
        <r>
          <rPr>
            <b/>
            <sz val="9"/>
            <color indexed="81"/>
            <rFont val="Tahoma"/>
            <family val="2"/>
          </rPr>
          <t>ML:
number of replicates</t>
        </r>
        <r>
          <rPr>
            <sz val="9"/>
            <color indexed="81"/>
            <rFont val="Tahoma"/>
            <family val="2"/>
          </rPr>
          <t xml:space="preserve">
</t>
        </r>
      </text>
    </comment>
    <comment ref="HH1" authorId="0" shapeId="0" xr:uid="{651DE97E-8AD4-4A5B-9E8E-13B5DD7C236D}">
      <text>
        <r>
          <rPr>
            <b/>
            <sz val="9"/>
            <color indexed="81"/>
            <rFont val="Tahoma"/>
            <family val="2"/>
          </rPr>
          <t>ML:
number of replicates</t>
        </r>
        <r>
          <rPr>
            <sz val="9"/>
            <color indexed="81"/>
            <rFont val="Tahoma"/>
            <family val="2"/>
          </rPr>
          <t xml:space="preserve">
</t>
        </r>
      </text>
    </comment>
    <comment ref="HK1" authorId="0" shapeId="0" xr:uid="{90C9A9FC-1D27-401D-AD41-62F61D5F8A7B}">
      <text>
        <r>
          <rPr>
            <b/>
            <sz val="9"/>
            <color indexed="81"/>
            <rFont val="Tahoma"/>
            <family val="2"/>
          </rPr>
          <t>ML:
number of replicates</t>
        </r>
        <r>
          <rPr>
            <sz val="9"/>
            <color indexed="81"/>
            <rFont val="Tahoma"/>
            <family val="2"/>
          </rPr>
          <t xml:space="preserve">
</t>
        </r>
      </text>
    </comment>
    <comment ref="HQ1" authorId="0" shapeId="0" xr:uid="{B134BB8E-78A3-4468-9063-6BC547A24D90}">
      <text>
        <r>
          <rPr>
            <b/>
            <sz val="9"/>
            <color indexed="81"/>
            <rFont val="Tahoma"/>
            <family val="2"/>
          </rPr>
          <t>ML:
number of replicates</t>
        </r>
        <r>
          <rPr>
            <sz val="9"/>
            <color indexed="81"/>
            <rFont val="Tahoma"/>
            <family val="2"/>
          </rPr>
          <t xml:space="preserve">
</t>
        </r>
      </text>
    </comment>
    <comment ref="HT1" authorId="0" shapeId="0" xr:uid="{917E5F90-C70B-4560-A748-D19F0D86A051}">
      <text>
        <r>
          <rPr>
            <b/>
            <sz val="9"/>
            <color indexed="81"/>
            <rFont val="Tahoma"/>
            <family val="2"/>
          </rPr>
          <t>ML:
number of replicates</t>
        </r>
        <r>
          <rPr>
            <sz val="9"/>
            <color indexed="81"/>
            <rFont val="Tahoma"/>
            <family val="2"/>
          </rPr>
          <t xml:space="preserve">
</t>
        </r>
      </text>
    </comment>
    <comment ref="IA1" authorId="0" shapeId="0" xr:uid="{529DF206-455E-4E63-B2DC-D1F56DE5F59D}">
      <text>
        <r>
          <rPr>
            <b/>
            <sz val="9"/>
            <color indexed="81"/>
            <rFont val="Tahoma"/>
            <family val="2"/>
          </rPr>
          <t>ML:
number of replicates</t>
        </r>
        <r>
          <rPr>
            <sz val="9"/>
            <color indexed="81"/>
            <rFont val="Tahoma"/>
            <family val="2"/>
          </rPr>
          <t xml:space="preserve">
</t>
        </r>
      </text>
    </comment>
    <comment ref="ID1" authorId="0" shapeId="0" xr:uid="{51357536-8504-4399-8543-C99ACF20BBF6}">
      <text>
        <r>
          <rPr>
            <b/>
            <sz val="9"/>
            <color indexed="81"/>
            <rFont val="Tahoma"/>
            <family val="2"/>
          </rPr>
          <t>ML:
number of replicates</t>
        </r>
        <r>
          <rPr>
            <sz val="9"/>
            <color indexed="81"/>
            <rFont val="Tahoma"/>
            <family val="2"/>
          </rPr>
          <t xml:space="preserve">
</t>
        </r>
      </text>
    </comment>
    <comment ref="II1" authorId="0" shapeId="0" xr:uid="{5B8A3732-DC5C-4208-8321-3B09D81BE5D2}">
      <text>
        <r>
          <rPr>
            <b/>
            <sz val="9"/>
            <color indexed="81"/>
            <rFont val="Tahoma"/>
            <family val="2"/>
          </rPr>
          <t>ML:
number of replicates</t>
        </r>
        <r>
          <rPr>
            <sz val="9"/>
            <color indexed="81"/>
            <rFont val="Tahoma"/>
            <family val="2"/>
          </rPr>
          <t xml:space="preserve">
</t>
        </r>
      </text>
    </comment>
    <comment ref="IM1" authorId="0" shapeId="0" xr:uid="{BB1DE84E-07F4-4B1C-B6ED-7934C3E04093}">
      <text>
        <r>
          <rPr>
            <b/>
            <sz val="9"/>
            <color indexed="81"/>
            <rFont val="Tahoma"/>
            <family val="2"/>
          </rPr>
          <t>ML:
number of replicates</t>
        </r>
        <r>
          <rPr>
            <sz val="9"/>
            <color indexed="81"/>
            <rFont val="Tahoma"/>
            <family val="2"/>
          </rPr>
          <t xml:space="preserve">
</t>
        </r>
      </text>
    </comment>
    <comment ref="IT1" authorId="0" shapeId="0" xr:uid="{B62FB65E-E010-43EE-AE45-2DB7D19FDBCF}">
      <text>
        <r>
          <rPr>
            <b/>
            <sz val="9"/>
            <color indexed="81"/>
            <rFont val="Tahoma"/>
            <family val="2"/>
          </rPr>
          <t>ML:
number of replicates</t>
        </r>
        <r>
          <rPr>
            <sz val="9"/>
            <color indexed="81"/>
            <rFont val="Tahoma"/>
            <family val="2"/>
          </rPr>
          <t xml:space="preserve">
</t>
        </r>
      </text>
    </comment>
    <comment ref="IW1" authorId="0" shapeId="0" xr:uid="{4A9F7168-AC0E-4C86-8F24-B887C65E9096}">
      <text>
        <r>
          <rPr>
            <b/>
            <sz val="9"/>
            <color indexed="81"/>
            <rFont val="Tahoma"/>
            <family val="2"/>
          </rPr>
          <t>ML:
number of replicates</t>
        </r>
        <r>
          <rPr>
            <sz val="9"/>
            <color indexed="81"/>
            <rFont val="Tahoma"/>
            <family val="2"/>
          </rPr>
          <t xml:space="preserve">
</t>
        </r>
      </text>
    </comment>
    <comment ref="JA1" authorId="0" shapeId="0" xr:uid="{5BC320AE-EDFE-43C3-A8DF-B790C38D8324}">
      <text>
        <r>
          <rPr>
            <b/>
            <sz val="9"/>
            <color indexed="81"/>
            <rFont val="Tahoma"/>
            <family val="2"/>
          </rPr>
          <t>ML:
number of replicates</t>
        </r>
        <r>
          <rPr>
            <sz val="9"/>
            <color indexed="81"/>
            <rFont val="Tahoma"/>
            <family val="2"/>
          </rPr>
          <t xml:space="preserve">
</t>
        </r>
      </text>
    </comment>
    <comment ref="JD1" authorId="0" shapeId="0" xr:uid="{AF402D1E-3A5F-454C-985A-65A8302612D2}">
      <text>
        <r>
          <rPr>
            <b/>
            <sz val="9"/>
            <color indexed="81"/>
            <rFont val="Tahoma"/>
            <family val="2"/>
          </rPr>
          <t>ML:
number of replicates</t>
        </r>
        <r>
          <rPr>
            <sz val="9"/>
            <color indexed="81"/>
            <rFont val="Tahoma"/>
            <family val="2"/>
          </rPr>
          <t xml:space="preserve">
</t>
        </r>
      </text>
    </comment>
    <comment ref="JI1" authorId="0" shapeId="0" xr:uid="{0427ECB0-47C3-49D6-89AA-51D92F6E13C7}">
      <text>
        <r>
          <rPr>
            <b/>
            <sz val="9"/>
            <color indexed="81"/>
            <rFont val="Tahoma"/>
            <family val="2"/>
          </rPr>
          <t>ML:
number of replicates</t>
        </r>
        <r>
          <rPr>
            <sz val="9"/>
            <color indexed="81"/>
            <rFont val="Tahoma"/>
            <family val="2"/>
          </rPr>
          <t xml:space="preserve">
</t>
        </r>
      </text>
    </comment>
    <comment ref="JL1" authorId="0" shapeId="0" xr:uid="{8F4D9FF4-43DD-4FE9-B9B2-4E6A634903F6}">
      <text>
        <r>
          <rPr>
            <b/>
            <sz val="9"/>
            <color indexed="81"/>
            <rFont val="Tahoma"/>
            <family val="2"/>
          </rPr>
          <t>ML:
number of replicates</t>
        </r>
        <r>
          <rPr>
            <sz val="9"/>
            <color indexed="81"/>
            <rFont val="Tahoma"/>
            <family val="2"/>
          </rPr>
          <t xml:space="preserve">
</t>
        </r>
      </text>
    </comment>
    <comment ref="JM1" authorId="0" shapeId="0" xr:uid="{70D0D42A-9AA3-4677-A220-5824F6D614A8}">
      <text>
        <r>
          <rPr>
            <b/>
            <sz val="9"/>
            <color indexed="81"/>
            <rFont val="Tahoma"/>
            <family val="2"/>
          </rPr>
          <t>ML:
Soil total nitrogen</t>
        </r>
        <r>
          <rPr>
            <sz val="9"/>
            <color indexed="81"/>
            <rFont val="Tahoma"/>
            <family val="2"/>
          </rPr>
          <t xml:space="preserve">
</t>
        </r>
      </text>
    </comment>
    <comment ref="JQ1" authorId="0" shapeId="0" xr:uid="{7C579754-0535-4799-A0DF-BB67291BE9A8}">
      <text>
        <r>
          <rPr>
            <b/>
            <sz val="9"/>
            <color indexed="81"/>
            <rFont val="Tahoma"/>
            <family val="2"/>
          </rPr>
          <t>ML:
number of replicates</t>
        </r>
        <r>
          <rPr>
            <sz val="9"/>
            <color indexed="81"/>
            <rFont val="Tahoma"/>
            <family val="2"/>
          </rPr>
          <t xml:space="preserve">
</t>
        </r>
      </text>
    </comment>
    <comment ref="JU1" authorId="0" shapeId="0" xr:uid="{80B62805-2179-4F14-A24A-A11C2CD9F570}">
      <text>
        <r>
          <rPr>
            <b/>
            <sz val="9"/>
            <color indexed="81"/>
            <rFont val="Tahoma"/>
            <family val="2"/>
          </rPr>
          <t>ML:
number of replicates</t>
        </r>
        <r>
          <rPr>
            <sz val="9"/>
            <color indexed="81"/>
            <rFont val="Tahoma"/>
            <family val="2"/>
          </rPr>
          <t xml:space="preserve">
</t>
        </r>
      </text>
    </comment>
    <comment ref="KB1" authorId="0" shapeId="0" xr:uid="{D90580A8-C9FD-4929-A33B-505CD2E6E0FE}">
      <text>
        <r>
          <rPr>
            <b/>
            <sz val="9"/>
            <color indexed="81"/>
            <rFont val="Tahoma"/>
            <family val="2"/>
          </rPr>
          <t>ML:
number of replicates</t>
        </r>
        <r>
          <rPr>
            <sz val="9"/>
            <color indexed="81"/>
            <rFont val="Tahoma"/>
            <family val="2"/>
          </rPr>
          <t xml:space="preserve">
</t>
        </r>
      </text>
    </comment>
    <comment ref="KE1" authorId="0" shapeId="0" xr:uid="{441B861A-05F3-400D-B48F-1BFA7EC212D9}">
      <text>
        <r>
          <rPr>
            <b/>
            <sz val="9"/>
            <color indexed="81"/>
            <rFont val="Tahoma"/>
            <family val="2"/>
          </rPr>
          <t>ML:
number of replicates</t>
        </r>
        <r>
          <rPr>
            <sz val="9"/>
            <color indexed="81"/>
            <rFont val="Tahoma"/>
            <family val="2"/>
          </rPr>
          <t xml:space="preserve">
</t>
        </r>
      </text>
    </comment>
    <comment ref="KK1" authorId="0" shapeId="0" xr:uid="{E76FCFA4-2E24-405D-B579-F85BE8DD7472}">
      <text>
        <r>
          <rPr>
            <b/>
            <sz val="9"/>
            <color indexed="81"/>
            <rFont val="Tahoma"/>
            <family val="2"/>
          </rPr>
          <t>ML:
number of replicates</t>
        </r>
        <r>
          <rPr>
            <sz val="9"/>
            <color indexed="81"/>
            <rFont val="Tahoma"/>
            <family val="2"/>
          </rPr>
          <t xml:space="preserve">
</t>
        </r>
      </text>
    </comment>
    <comment ref="KN1" authorId="0" shapeId="0" xr:uid="{618895DB-168A-494D-A915-22FA10E5A5E2}">
      <text>
        <r>
          <rPr>
            <b/>
            <sz val="9"/>
            <color indexed="81"/>
            <rFont val="Tahoma"/>
            <family val="2"/>
          </rPr>
          <t>ML:
number of replicates</t>
        </r>
        <r>
          <rPr>
            <sz val="9"/>
            <color indexed="81"/>
            <rFont val="Tahoma"/>
            <family val="2"/>
          </rPr>
          <t xml:space="preserve">
</t>
        </r>
      </text>
    </comment>
    <comment ref="KQ1" authorId="0" shapeId="0" xr:uid="{5D1FBA59-9AC4-419B-ABC8-3DD9FD65026B}">
      <text>
        <r>
          <rPr>
            <b/>
            <sz val="9"/>
            <color indexed="81"/>
            <rFont val="Tahoma"/>
            <family val="2"/>
          </rPr>
          <t>ML:
carbon nitrogen ratio</t>
        </r>
        <r>
          <rPr>
            <sz val="9"/>
            <color indexed="81"/>
            <rFont val="Tahoma"/>
            <family val="2"/>
          </rPr>
          <t xml:space="preserve">
</t>
        </r>
      </text>
    </comment>
    <comment ref="KU1" authorId="0" shapeId="0" xr:uid="{E2017326-130B-4167-B39B-6AFF6BFC5A65}">
      <text>
        <r>
          <rPr>
            <b/>
            <sz val="9"/>
            <color indexed="81"/>
            <rFont val="Tahoma"/>
            <family val="2"/>
          </rPr>
          <t>ML:
number of replicates</t>
        </r>
        <r>
          <rPr>
            <sz val="9"/>
            <color indexed="81"/>
            <rFont val="Tahoma"/>
            <family val="2"/>
          </rPr>
          <t xml:space="preserve">
</t>
        </r>
      </text>
    </comment>
    <comment ref="KY1" authorId="0" shapeId="0" xr:uid="{AE8063C8-9DD3-4141-B225-D90D0ED29DD3}">
      <text>
        <r>
          <rPr>
            <b/>
            <sz val="9"/>
            <color indexed="81"/>
            <rFont val="Tahoma"/>
            <family val="2"/>
          </rPr>
          <t>ML:
number of replicates</t>
        </r>
        <r>
          <rPr>
            <sz val="9"/>
            <color indexed="81"/>
            <rFont val="Tahoma"/>
            <family val="2"/>
          </rPr>
          <t xml:space="preserve">
</t>
        </r>
      </text>
    </comment>
    <comment ref="LF1" authorId="0" shapeId="0" xr:uid="{E1BB2F1C-8D45-4FB1-8BD0-4F36C6B7716A}">
      <text>
        <r>
          <rPr>
            <b/>
            <sz val="9"/>
            <color indexed="81"/>
            <rFont val="Tahoma"/>
            <family val="2"/>
          </rPr>
          <t>ML:
number of replicates</t>
        </r>
        <r>
          <rPr>
            <sz val="9"/>
            <color indexed="81"/>
            <rFont val="Tahoma"/>
            <family val="2"/>
          </rPr>
          <t xml:space="preserve">
</t>
        </r>
      </text>
    </comment>
    <comment ref="LI1" authorId="0" shapeId="0" xr:uid="{C9776D20-7A1C-400C-99AA-D8E61754D79F}">
      <text>
        <r>
          <rPr>
            <b/>
            <sz val="9"/>
            <color indexed="81"/>
            <rFont val="Tahoma"/>
            <family val="2"/>
          </rPr>
          <t>ML:
number of replicates</t>
        </r>
        <r>
          <rPr>
            <sz val="9"/>
            <color indexed="81"/>
            <rFont val="Tahoma"/>
            <family val="2"/>
          </rPr>
          <t xml:space="preserve">
</t>
        </r>
      </text>
    </comment>
    <comment ref="LO1" authorId="0" shapeId="0" xr:uid="{79B61AA6-7F40-44DD-9CD8-2ED15CF46A18}">
      <text>
        <r>
          <rPr>
            <b/>
            <sz val="9"/>
            <color indexed="81"/>
            <rFont val="Tahoma"/>
            <family val="2"/>
          </rPr>
          <t>ML:
number of replicates</t>
        </r>
        <r>
          <rPr>
            <sz val="9"/>
            <color indexed="81"/>
            <rFont val="Tahoma"/>
            <family val="2"/>
          </rPr>
          <t xml:space="preserve">
</t>
        </r>
      </text>
    </comment>
    <comment ref="LR1" authorId="0" shapeId="0" xr:uid="{DBD7ED78-4793-403A-ABCD-022BA7E05C35}">
      <text>
        <r>
          <rPr>
            <b/>
            <sz val="9"/>
            <color indexed="81"/>
            <rFont val="Tahoma"/>
            <family val="2"/>
          </rPr>
          <t>ML:
number of replicates</t>
        </r>
        <r>
          <rPr>
            <sz val="9"/>
            <color indexed="81"/>
            <rFont val="Tahoma"/>
            <family val="2"/>
          </rPr>
          <t xml:space="preserve">
</t>
        </r>
      </text>
    </comment>
    <comment ref="LW1" authorId="0" shapeId="0" xr:uid="{E853A814-7AB4-4181-BED6-D96E2D9FD753}">
      <text>
        <r>
          <rPr>
            <b/>
            <sz val="9"/>
            <color indexed="81"/>
            <rFont val="Tahoma"/>
            <family val="2"/>
          </rPr>
          <t>ML:
number of replicates</t>
        </r>
        <r>
          <rPr>
            <sz val="9"/>
            <color indexed="81"/>
            <rFont val="Tahoma"/>
            <family val="2"/>
          </rPr>
          <t xml:space="preserve">
</t>
        </r>
      </text>
    </comment>
    <comment ref="LZ1" authorId="0" shapeId="0" xr:uid="{402D846F-3BF2-4304-BCFF-5A75C903E83E}">
      <text>
        <r>
          <rPr>
            <b/>
            <sz val="9"/>
            <color indexed="81"/>
            <rFont val="Tahoma"/>
            <family val="2"/>
          </rPr>
          <t>ML:
number of replicates</t>
        </r>
        <r>
          <rPr>
            <sz val="9"/>
            <color indexed="81"/>
            <rFont val="Tahoma"/>
            <family val="2"/>
          </rPr>
          <t xml:space="preserve">
</t>
        </r>
      </text>
    </comment>
    <comment ref="MG1" authorId="0" shapeId="0" xr:uid="{6D477033-B332-4EBE-AB0D-AEFE1F362D05}">
      <text>
        <r>
          <rPr>
            <b/>
            <sz val="9"/>
            <color indexed="81"/>
            <rFont val="Tahoma"/>
            <family val="2"/>
          </rPr>
          <t>ML:
number of replicates</t>
        </r>
        <r>
          <rPr>
            <sz val="9"/>
            <color indexed="81"/>
            <rFont val="Tahoma"/>
            <family val="2"/>
          </rPr>
          <t xml:space="preserve">
</t>
        </r>
      </text>
    </comment>
    <comment ref="MJ1" authorId="0" shapeId="0" xr:uid="{4E8731A8-81C5-4571-8DC2-D3B5261150D4}">
      <text>
        <r>
          <rPr>
            <b/>
            <sz val="9"/>
            <color indexed="81"/>
            <rFont val="Tahoma"/>
            <family val="2"/>
          </rPr>
          <t>ML:
number of replicates</t>
        </r>
        <r>
          <rPr>
            <sz val="9"/>
            <color indexed="81"/>
            <rFont val="Tahoma"/>
            <family val="2"/>
          </rPr>
          <t xml:space="preserve">
</t>
        </r>
      </text>
    </comment>
    <comment ref="MM1" authorId="0" shapeId="0" xr:uid="{83514149-AA03-4FF2-A16A-E5A2BFE89981}">
      <text>
        <r>
          <rPr>
            <b/>
            <sz val="9"/>
            <color indexed="81"/>
            <rFont val="Tahoma"/>
            <family val="2"/>
          </rPr>
          <t>Author:</t>
        </r>
        <r>
          <rPr>
            <sz val="9"/>
            <color indexed="81"/>
            <rFont val="Tahoma"/>
            <family val="2"/>
          </rPr>
          <t xml:space="preserve">
Microbial biomass C</t>
        </r>
      </text>
    </comment>
    <comment ref="MQ1" authorId="0" shapeId="0" xr:uid="{0871ED58-A32A-4E06-BDA1-6A5624938317}">
      <text>
        <r>
          <rPr>
            <b/>
            <sz val="9"/>
            <color indexed="81"/>
            <rFont val="Tahoma"/>
            <family val="2"/>
          </rPr>
          <t>ML:
number of replicates</t>
        </r>
        <r>
          <rPr>
            <sz val="9"/>
            <color indexed="81"/>
            <rFont val="Tahoma"/>
            <family val="2"/>
          </rPr>
          <t xml:space="preserve">
</t>
        </r>
      </text>
    </comment>
    <comment ref="MT1" authorId="0" shapeId="0" xr:uid="{BD617FCB-794E-4F29-8772-383EBFE35312}">
      <text>
        <r>
          <rPr>
            <b/>
            <sz val="9"/>
            <color indexed="81"/>
            <rFont val="Tahoma"/>
            <family val="2"/>
          </rPr>
          <t>ML:
number of replicates</t>
        </r>
        <r>
          <rPr>
            <sz val="9"/>
            <color indexed="81"/>
            <rFont val="Tahoma"/>
            <family val="2"/>
          </rPr>
          <t xml:space="preserve">
</t>
        </r>
      </text>
    </comment>
    <comment ref="MW1" authorId="0" shapeId="0" xr:uid="{0719CE86-EDC6-412D-A5E0-B548B400FF39}">
      <text>
        <r>
          <rPr>
            <b/>
            <sz val="9"/>
            <color indexed="81"/>
            <rFont val="Tahoma"/>
            <family val="2"/>
          </rPr>
          <t>Author:</t>
        </r>
        <r>
          <rPr>
            <sz val="9"/>
            <color indexed="81"/>
            <rFont val="Tahoma"/>
            <family val="2"/>
          </rPr>
          <t xml:space="preserve">
Microbial biomass N</t>
        </r>
      </text>
    </comment>
    <comment ref="NA1" authorId="0" shapeId="0" xr:uid="{933A7AFA-EF00-4884-B3F7-E53A8DB1EF4A}">
      <text>
        <r>
          <rPr>
            <b/>
            <sz val="9"/>
            <color indexed="81"/>
            <rFont val="Tahoma"/>
            <family val="2"/>
          </rPr>
          <t>ML:
number of replicates</t>
        </r>
        <r>
          <rPr>
            <sz val="9"/>
            <color indexed="81"/>
            <rFont val="Tahoma"/>
            <family val="2"/>
          </rPr>
          <t xml:space="preserve">
</t>
        </r>
      </text>
    </comment>
    <comment ref="ND1" authorId="0" shapeId="0" xr:uid="{854ED77F-193D-4251-8541-99F9EF88B5DD}">
      <text>
        <r>
          <rPr>
            <b/>
            <sz val="9"/>
            <color indexed="81"/>
            <rFont val="Tahoma"/>
            <family val="2"/>
          </rPr>
          <t>ML:
number of replicates</t>
        </r>
        <r>
          <rPr>
            <sz val="9"/>
            <color indexed="81"/>
            <rFont val="Tahoma"/>
            <family val="2"/>
          </rPr>
          <t xml:space="preserve">
</t>
        </r>
      </text>
    </comment>
    <comment ref="NG1" authorId="0" shapeId="0" xr:uid="{3167F8B7-75A6-4D47-954C-236E7C55D56A}">
      <text>
        <r>
          <rPr>
            <b/>
            <sz val="9"/>
            <color indexed="81"/>
            <rFont val="Tahoma"/>
            <family val="2"/>
          </rPr>
          <t>Author:</t>
        </r>
        <r>
          <rPr>
            <sz val="9"/>
            <color indexed="81"/>
            <rFont val="Tahoma"/>
            <family val="2"/>
          </rPr>
          <t xml:space="preserve">
Dissolved organic carbon</t>
        </r>
      </text>
    </comment>
    <comment ref="NK1" authorId="0" shapeId="0" xr:uid="{BE4B970E-EEB5-4EAB-A921-9D4ECD70EA16}">
      <text>
        <r>
          <rPr>
            <b/>
            <sz val="9"/>
            <color indexed="81"/>
            <rFont val="Tahoma"/>
            <family val="2"/>
          </rPr>
          <t>ML:
number of replicates</t>
        </r>
        <r>
          <rPr>
            <sz val="9"/>
            <color indexed="81"/>
            <rFont val="Tahoma"/>
            <family val="2"/>
          </rPr>
          <t xml:space="preserve">
</t>
        </r>
      </text>
    </comment>
    <comment ref="NN1" authorId="0" shapeId="0" xr:uid="{E1DE3DEE-61AB-4B74-A04B-8E2153C27728}">
      <text>
        <r>
          <rPr>
            <b/>
            <sz val="9"/>
            <color indexed="81"/>
            <rFont val="Tahoma"/>
            <family val="2"/>
          </rPr>
          <t>ML:
number of replicates</t>
        </r>
        <r>
          <rPr>
            <sz val="9"/>
            <color indexed="81"/>
            <rFont val="Tahoma"/>
            <family val="2"/>
          </rPr>
          <t xml:space="preserve">
</t>
        </r>
      </text>
    </comment>
    <comment ref="NQ1" authorId="0" shapeId="0" xr:uid="{0A1A5B90-6AFB-487C-A949-FA6FD8E62D49}">
      <text>
        <r>
          <rPr>
            <b/>
            <sz val="9"/>
            <color indexed="81"/>
            <rFont val="Tahoma"/>
            <family val="2"/>
          </rPr>
          <t>Author:</t>
        </r>
        <r>
          <rPr>
            <sz val="9"/>
            <color indexed="81"/>
            <rFont val="Tahoma"/>
            <family val="2"/>
          </rPr>
          <t xml:space="preserve">
Dissolved organic nitrogen</t>
        </r>
      </text>
    </comment>
    <comment ref="NU1" authorId="0" shapeId="0" xr:uid="{398D7FA4-91E7-4818-B0CC-5AD0378C5B14}">
      <text>
        <r>
          <rPr>
            <b/>
            <sz val="9"/>
            <color indexed="81"/>
            <rFont val="Tahoma"/>
            <family val="2"/>
          </rPr>
          <t>ML:
number of replicates</t>
        </r>
        <r>
          <rPr>
            <sz val="9"/>
            <color indexed="81"/>
            <rFont val="Tahoma"/>
            <family val="2"/>
          </rPr>
          <t xml:space="preserve">
</t>
        </r>
      </text>
    </comment>
    <comment ref="NX1" authorId="0" shapeId="0" xr:uid="{832D22CC-720B-436D-98F4-B92770B21540}">
      <text>
        <r>
          <rPr>
            <b/>
            <sz val="9"/>
            <color indexed="81"/>
            <rFont val="Tahoma"/>
            <family val="2"/>
          </rPr>
          <t>ML:
number of replicates</t>
        </r>
        <r>
          <rPr>
            <sz val="9"/>
            <color indexed="81"/>
            <rFont val="Tahoma"/>
            <family val="2"/>
          </rPr>
          <t xml:space="preserve">
</t>
        </r>
      </text>
    </comment>
    <comment ref="OA1" authorId="0" shapeId="0" xr:uid="{4908CBF9-E615-43A2-B665-9ECFB82AE29F}">
      <text>
        <r>
          <rPr>
            <b/>
            <sz val="9"/>
            <color indexed="81"/>
            <rFont val="宋体"/>
            <family val="3"/>
            <charset val="134"/>
          </rPr>
          <t>Author:</t>
        </r>
        <r>
          <rPr>
            <sz val="9"/>
            <color indexed="81"/>
            <rFont val="宋体"/>
            <family val="3"/>
            <charset val="134"/>
          </rPr>
          <t xml:space="preserve">
Dissolved total P </t>
        </r>
      </text>
    </comment>
    <comment ref="OE1" authorId="0" shapeId="0" xr:uid="{1D097182-B2D0-40C2-8680-1297DD2C7AB7}">
      <text>
        <r>
          <rPr>
            <b/>
            <sz val="9"/>
            <color indexed="81"/>
            <rFont val="Tahoma"/>
            <family val="2"/>
          </rPr>
          <t>ML:
number of replicates</t>
        </r>
        <r>
          <rPr>
            <sz val="9"/>
            <color indexed="81"/>
            <rFont val="Tahoma"/>
            <family val="2"/>
          </rPr>
          <t xml:space="preserve">
</t>
        </r>
      </text>
    </comment>
    <comment ref="OH1" authorId="0" shapeId="0" xr:uid="{7532852B-C6A3-4A1C-ACCA-1038E3165E8E}">
      <text>
        <r>
          <rPr>
            <b/>
            <sz val="9"/>
            <color indexed="81"/>
            <rFont val="Tahoma"/>
            <family val="2"/>
          </rPr>
          <t>ML:
number of replicates</t>
        </r>
        <r>
          <rPr>
            <sz val="9"/>
            <color indexed="81"/>
            <rFont val="Tahoma"/>
            <family val="2"/>
          </rPr>
          <t xml:space="preserve">
</t>
        </r>
      </text>
    </comment>
    <comment ref="OK1" authorId="0" shapeId="0" xr:uid="{78DCB3AA-90E2-46F4-9571-776379B12E9F}">
      <text>
        <r>
          <rPr>
            <b/>
            <sz val="9"/>
            <color indexed="81"/>
            <rFont val="Tahoma"/>
            <family val="2"/>
          </rPr>
          <t>ML:
Aboveground biomass</t>
        </r>
        <r>
          <rPr>
            <sz val="9"/>
            <color indexed="81"/>
            <rFont val="Tahoma"/>
            <family val="2"/>
          </rPr>
          <t xml:space="preserve">
</t>
        </r>
      </text>
    </comment>
    <comment ref="ON1" authorId="0" shapeId="0" xr:uid="{7F128F33-A915-4DE3-948A-172834244884}">
      <text>
        <r>
          <rPr>
            <b/>
            <sz val="9"/>
            <color indexed="81"/>
            <rFont val="Tahoma"/>
            <family val="2"/>
          </rPr>
          <t>ML:
number of replicates</t>
        </r>
        <r>
          <rPr>
            <sz val="9"/>
            <color indexed="81"/>
            <rFont val="Tahoma"/>
            <family val="2"/>
          </rPr>
          <t xml:space="preserve">
</t>
        </r>
      </text>
    </comment>
    <comment ref="OQ1" authorId="0" shapeId="0" xr:uid="{665C78E4-3017-4A09-9FDB-149C8F58475E}">
      <text>
        <r>
          <rPr>
            <b/>
            <sz val="9"/>
            <color indexed="81"/>
            <rFont val="Tahoma"/>
            <family val="2"/>
          </rPr>
          <t>ML:
number of replicates</t>
        </r>
        <r>
          <rPr>
            <sz val="9"/>
            <color indexed="81"/>
            <rFont val="Tahoma"/>
            <family val="2"/>
          </rPr>
          <t xml:space="preserve">
</t>
        </r>
      </text>
    </comment>
    <comment ref="OU1" authorId="0" shapeId="0" xr:uid="{E84EE3CC-545F-42DC-9808-D61B1D7C4C0B}">
      <text>
        <r>
          <rPr>
            <b/>
            <sz val="9"/>
            <color indexed="81"/>
            <rFont val="Tahoma"/>
            <family val="2"/>
          </rPr>
          <t>ML:
number of replicates</t>
        </r>
        <r>
          <rPr>
            <sz val="9"/>
            <color indexed="81"/>
            <rFont val="Tahoma"/>
            <family val="2"/>
          </rPr>
          <t xml:space="preserve">
</t>
        </r>
      </text>
    </comment>
    <comment ref="OX1" authorId="0" shapeId="0" xr:uid="{2F66C56E-3CFD-4E73-8A4F-B75A93965D8F}">
      <text>
        <r>
          <rPr>
            <b/>
            <sz val="9"/>
            <color indexed="81"/>
            <rFont val="Tahoma"/>
            <family val="2"/>
          </rPr>
          <t>ML:
number of replicates</t>
        </r>
        <r>
          <rPr>
            <sz val="9"/>
            <color indexed="81"/>
            <rFont val="Tahoma"/>
            <family val="2"/>
          </rPr>
          <t xml:space="preserve">
</t>
        </r>
      </text>
    </comment>
    <comment ref="PC1" authorId="0" shapeId="0" xr:uid="{5C59CDD9-7F42-458F-BB24-D1A2451B98AB}">
      <text>
        <r>
          <rPr>
            <b/>
            <sz val="9"/>
            <color indexed="81"/>
            <rFont val="Tahoma"/>
            <family val="2"/>
          </rPr>
          <t>ML:
number of replicates</t>
        </r>
        <r>
          <rPr>
            <sz val="9"/>
            <color indexed="81"/>
            <rFont val="Tahoma"/>
            <family val="2"/>
          </rPr>
          <t xml:space="preserve">
</t>
        </r>
      </text>
    </comment>
    <comment ref="PF1" authorId="0" shapeId="0" xr:uid="{36D59553-CED9-4A4D-9437-513A18FB4FCB}">
      <text>
        <r>
          <rPr>
            <b/>
            <sz val="9"/>
            <color indexed="81"/>
            <rFont val="Tahoma"/>
            <family val="2"/>
          </rPr>
          <t>ML:
number of replicates</t>
        </r>
        <r>
          <rPr>
            <sz val="9"/>
            <color indexed="81"/>
            <rFont val="Tahoma"/>
            <family val="2"/>
          </rPr>
          <t xml:space="preserve">
</t>
        </r>
      </text>
    </comment>
    <comment ref="PK1" authorId="0" shapeId="0" xr:uid="{1E6E1CCB-3CD6-4BE9-99DC-BCD84C382569}">
      <text>
        <r>
          <rPr>
            <b/>
            <sz val="9"/>
            <color indexed="81"/>
            <rFont val="Tahoma"/>
            <family val="2"/>
          </rPr>
          <t>ML:
number of replicates</t>
        </r>
        <r>
          <rPr>
            <sz val="9"/>
            <color indexed="81"/>
            <rFont val="Tahoma"/>
            <family val="2"/>
          </rPr>
          <t xml:space="preserve">
</t>
        </r>
      </text>
    </comment>
    <comment ref="PN1" authorId="0" shapeId="0" xr:uid="{5920B141-4D94-4E6A-B8CA-8DFABDB1AC05}">
      <text>
        <r>
          <rPr>
            <b/>
            <sz val="9"/>
            <color indexed="81"/>
            <rFont val="Tahoma"/>
            <family val="2"/>
          </rPr>
          <t>ML:
number of replicates</t>
        </r>
        <r>
          <rPr>
            <sz val="9"/>
            <color indexed="81"/>
            <rFont val="Tahoma"/>
            <family val="2"/>
          </rPr>
          <t xml:space="preserve">
</t>
        </r>
      </text>
    </comment>
    <comment ref="PS1" authorId="0" shapeId="0" xr:uid="{CC732E66-6507-4289-812C-E0C4F4F3FB2B}">
      <text>
        <r>
          <rPr>
            <b/>
            <sz val="9"/>
            <color indexed="81"/>
            <rFont val="Tahoma"/>
            <family val="2"/>
          </rPr>
          <t>ML:
number of replicates</t>
        </r>
        <r>
          <rPr>
            <sz val="9"/>
            <color indexed="81"/>
            <rFont val="Tahoma"/>
            <family val="2"/>
          </rPr>
          <t xml:space="preserve">
</t>
        </r>
      </text>
    </comment>
    <comment ref="PV1" authorId="0" shapeId="0" xr:uid="{17AC5C79-1151-4BF0-BB39-CCC476038CF0}">
      <text>
        <r>
          <rPr>
            <b/>
            <sz val="9"/>
            <color indexed="81"/>
            <rFont val="Tahoma"/>
            <family val="2"/>
          </rPr>
          <t>ML:
number of replicates</t>
        </r>
        <r>
          <rPr>
            <sz val="9"/>
            <color indexed="81"/>
            <rFont val="Tahoma"/>
            <family val="2"/>
          </rPr>
          <t xml:space="preserve">
</t>
        </r>
      </text>
    </comment>
    <comment ref="QA1" authorId="0" shapeId="0" xr:uid="{47D80860-0629-40CB-8532-1D19144F92F5}">
      <text>
        <r>
          <rPr>
            <b/>
            <sz val="9"/>
            <color indexed="81"/>
            <rFont val="Tahoma"/>
            <family val="2"/>
          </rPr>
          <t>ML:
number of replicates</t>
        </r>
        <r>
          <rPr>
            <sz val="9"/>
            <color indexed="81"/>
            <rFont val="Tahoma"/>
            <family val="2"/>
          </rPr>
          <t xml:space="preserve">
</t>
        </r>
      </text>
    </comment>
    <comment ref="QD1" authorId="0" shapeId="0" xr:uid="{7D170A77-C3B7-4AB9-87D6-937A9CDE548B}">
      <text>
        <r>
          <rPr>
            <b/>
            <sz val="9"/>
            <color indexed="81"/>
            <rFont val="Tahoma"/>
            <family val="2"/>
          </rPr>
          <t>ML:
number of replicates</t>
        </r>
        <r>
          <rPr>
            <sz val="9"/>
            <color indexed="81"/>
            <rFont val="Tahoma"/>
            <family val="2"/>
          </rPr>
          <t xml:space="preserve">
</t>
        </r>
      </text>
    </comment>
    <comment ref="QI1" authorId="0" shapeId="0" xr:uid="{BB47EE27-A1A4-4EE8-8D92-146FACD2B4A7}">
      <text>
        <r>
          <rPr>
            <b/>
            <sz val="9"/>
            <color indexed="81"/>
            <rFont val="Tahoma"/>
            <family val="2"/>
          </rPr>
          <t>ML:
number of replicates</t>
        </r>
        <r>
          <rPr>
            <sz val="9"/>
            <color indexed="81"/>
            <rFont val="Tahoma"/>
            <family val="2"/>
          </rPr>
          <t xml:space="preserve">
</t>
        </r>
      </text>
    </comment>
    <comment ref="QL1" authorId="0" shapeId="0" xr:uid="{4607F699-C373-4656-BB20-BE5C2F03078D}">
      <text>
        <r>
          <rPr>
            <b/>
            <sz val="9"/>
            <color indexed="81"/>
            <rFont val="Tahoma"/>
            <family val="2"/>
          </rPr>
          <t>ML:
number of replicates</t>
        </r>
        <r>
          <rPr>
            <sz val="9"/>
            <color indexed="81"/>
            <rFont val="Tahoma"/>
            <family val="2"/>
          </rPr>
          <t xml:space="preserve">
</t>
        </r>
      </text>
    </comment>
    <comment ref="QM1" authorId="0" shapeId="0" xr:uid="{45A724E0-E8C5-4C54-A966-88953926128E}">
      <text>
        <r>
          <rPr>
            <b/>
            <sz val="9"/>
            <color indexed="81"/>
            <rFont val="Tahoma"/>
            <family val="2"/>
          </rPr>
          <t>ML:
Soil phosphorus</t>
        </r>
      </text>
    </comment>
    <comment ref="QQ1" authorId="0" shapeId="0" xr:uid="{7C1FE66E-26A5-4903-B53B-845C797F6C57}">
      <text>
        <r>
          <rPr>
            <b/>
            <sz val="9"/>
            <color indexed="81"/>
            <rFont val="Tahoma"/>
            <family val="2"/>
          </rPr>
          <t>ML:
number of replicates</t>
        </r>
        <r>
          <rPr>
            <sz val="9"/>
            <color indexed="81"/>
            <rFont val="Tahoma"/>
            <family val="2"/>
          </rPr>
          <t xml:space="preserve">
</t>
        </r>
      </text>
    </comment>
    <comment ref="QT1" authorId="0" shapeId="0" xr:uid="{70AA6B11-1B6C-4A84-AB43-FA4A997737CC}">
      <text>
        <r>
          <rPr>
            <b/>
            <sz val="9"/>
            <color indexed="81"/>
            <rFont val="Tahoma"/>
            <family val="2"/>
          </rPr>
          <t>ML:
number of replicates</t>
        </r>
        <r>
          <rPr>
            <sz val="9"/>
            <color indexed="81"/>
            <rFont val="Tahoma"/>
            <family val="2"/>
          </rPr>
          <t xml:space="preserve">
</t>
        </r>
      </text>
    </comment>
    <comment ref="RA1" authorId="0" shapeId="0" xr:uid="{F496AE16-32D0-4003-B277-76011D63E2B9}">
      <text>
        <r>
          <rPr>
            <b/>
            <sz val="9"/>
            <color indexed="81"/>
            <rFont val="Tahoma"/>
            <family val="2"/>
          </rPr>
          <t>ML:
number of replicates</t>
        </r>
        <r>
          <rPr>
            <sz val="9"/>
            <color indexed="81"/>
            <rFont val="Tahoma"/>
            <family val="2"/>
          </rPr>
          <t xml:space="preserve">
</t>
        </r>
      </text>
    </comment>
    <comment ref="RD1" authorId="0" shapeId="0" xr:uid="{F0BF8DCB-13CB-4787-B7A2-AD940F1DE3CA}">
      <text>
        <r>
          <rPr>
            <b/>
            <sz val="9"/>
            <color indexed="81"/>
            <rFont val="Tahoma"/>
            <family val="2"/>
          </rPr>
          <t>ML:
number of replicates</t>
        </r>
        <r>
          <rPr>
            <sz val="9"/>
            <color indexed="81"/>
            <rFont val="Tahoma"/>
            <family val="2"/>
          </rPr>
          <t xml:space="preserve">
</t>
        </r>
      </text>
    </comment>
    <comment ref="RK1" authorId="0" shapeId="0" xr:uid="{1F044FCE-E31A-4675-9FB0-A625836E54A5}">
      <text>
        <r>
          <rPr>
            <b/>
            <sz val="9"/>
            <color indexed="81"/>
            <rFont val="Tahoma"/>
            <family val="2"/>
          </rPr>
          <t>ML:
number of replicates</t>
        </r>
        <r>
          <rPr>
            <sz val="9"/>
            <color indexed="81"/>
            <rFont val="Tahoma"/>
            <family val="2"/>
          </rPr>
          <t xml:space="preserve">
</t>
        </r>
      </text>
    </comment>
    <comment ref="RN1" authorId="0" shapeId="0" xr:uid="{C1F22C55-0ACA-48A8-972D-7095CDC5FD11}">
      <text>
        <r>
          <rPr>
            <b/>
            <sz val="9"/>
            <color indexed="81"/>
            <rFont val="Tahoma"/>
            <family val="2"/>
          </rPr>
          <t>ML:
number of replicates</t>
        </r>
        <r>
          <rPr>
            <sz val="9"/>
            <color indexed="81"/>
            <rFont val="Tahoma"/>
            <family val="2"/>
          </rPr>
          <t xml:space="preserve">
</t>
        </r>
      </text>
    </comment>
    <comment ref="RU1" authorId="0" shapeId="0" xr:uid="{E0A17F1A-974E-42D1-96A8-D91DCA323447}">
      <text>
        <r>
          <rPr>
            <b/>
            <sz val="9"/>
            <color indexed="81"/>
            <rFont val="Tahoma"/>
            <family val="2"/>
          </rPr>
          <t>ML:
number of replicates</t>
        </r>
        <r>
          <rPr>
            <sz val="9"/>
            <color indexed="81"/>
            <rFont val="Tahoma"/>
            <family val="2"/>
          </rPr>
          <t xml:space="preserve">
</t>
        </r>
      </text>
    </comment>
    <comment ref="RX1" authorId="0" shapeId="0" xr:uid="{4529490E-6DFE-4899-B091-39FA30BD9AAA}">
      <text>
        <r>
          <rPr>
            <b/>
            <sz val="9"/>
            <color indexed="81"/>
            <rFont val="Tahoma"/>
            <family val="2"/>
          </rPr>
          <t>ML:
number of replicates</t>
        </r>
        <r>
          <rPr>
            <sz val="9"/>
            <color indexed="81"/>
            <rFont val="Tahoma"/>
            <family val="2"/>
          </rPr>
          <t xml:space="preserve">
</t>
        </r>
      </text>
    </comment>
    <comment ref="SE1" authorId="0" shapeId="0" xr:uid="{EBC484CE-E258-441C-8FC1-1261380886D3}">
      <text>
        <r>
          <rPr>
            <b/>
            <sz val="9"/>
            <color indexed="81"/>
            <rFont val="Tahoma"/>
            <family val="2"/>
          </rPr>
          <t>ML:
number of replicates</t>
        </r>
        <r>
          <rPr>
            <sz val="9"/>
            <color indexed="81"/>
            <rFont val="Tahoma"/>
            <family val="2"/>
          </rPr>
          <t xml:space="preserve">
</t>
        </r>
      </text>
    </comment>
    <comment ref="SH1" authorId="0" shapeId="0" xr:uid="{E09361E0-510E-4DF1-936E-6270621C3B8C}">
      <text>
        <r>
          <rPr>
            <b/>
            <sz val="9"/>
            <color indexed="81"/>
            <rFont val="Tahoma"/>
            <family val="2"/>
          </rPr>
          <t>ML:
number of replicates</t>
        </r>
        <r>
          <rPr>
            <sz val="9"/>
            <color indexed="81"/>
            <rFont val="Tahoma"/>
            <family val="2"/>
          </rPr>
          <t xml:space="preserve">
</t>
        </r>
      </text>
    </comment>
    <comment ref="SO1" authorId="0" shapeId="0" xr:uid="{2C2F0231-0799-41F3-8D7A-FDED41FA2348}">
      <text>
        <r>
          <rPr>
            <b/>
            <sz val="9"/>
            <color indexed="81"/>
            <rFont val="Tahoma"/>
            <family val="2"/>
          </rPr>
          <t>ML:
number of replicates</t>
        </r>
        <r>
          <rPr>
            <sz val="9"/>
            <color indexed="81"/>
            <rFont val="Tahoma"/>
            <family val="2"/>
          </rPr>
          <t xml:space="preserve">
</t>
        </r>
      </text>
    </comment>
    <comment ref="SR1" authorId="0" shapeId="0" xr:uid="{AA81502F-2125-4B9F-96BB-830C740C15D3}">
      <text>
        <r>
          <rPr>
            <b/>
            <sz val="9"/>
            <color indexed="81"/>
            <rFont val="Tahoma"/>
            <family val="2"/>
          </rPr>
          <t>ML:
number of replicates</t>
        </r>
        <r>
          <rPr>
            <sz val="9"/>
            <color indexed="81"/>
            <rFont val="Tahoma"/>
            <family val="2"/>
          </rPr>
          <t xml:space="preserve">
</t>
        </r>
      </text>
    </comment>
    <comment ref="SY1" authorId="0" shapeId="0" xr:uid="{EFAC4ED4-4B49-41F9-8E53-7A749DA3AEEE}">
      <text>
        <r>
          <rPr>
            <b/>
            <sz val="9"/>
            <color indexed="81"/>
            <rFont val="Tahoma"/>
            <family val="2"/>
          </rPr>
          <t>ML:
number of replicates</t>
        </r>
        <r>
          <rPr>
            <sz val="9"/>
            <color indexed="81"/>
            <rFont val="Tahoma"/>
            <family val="2"/>
          </rPr>
          <t xml:space="preserve">
</t>
        </r>
      </text>
    </comment>
    <comment ref="TB1" authorId="0" shapeId="0" xr:uid="{3F798C37-0881-469B-84D4-CABA2559EA30}">
      <text>
        <r>
          <rPr>
            <b/>
            <sz val="9"/>
            <color indexed="81"/>
            <rFont val="Tahoma"/>
            <family val="2"/>
          </rPr>
          <t>ML:
number of replicates</t>
        </r>
        <r>
          <rPr>
            <sz val="9"/>
            <color indexed="81"/>
            <rFont val="Tahoma"/>
            <family val="2"/>
          </rPr>
          <t xml:space="preserve">
</t>
        </r>
      </text>
    </comment>
    <comment ref="TE1" authorId="0" shapeId="0" xr:uid="{C82749EF-4940-47FA-B418-CA5859C971CE}">
      <text>
        <r>
          <rPr>
            <b/>
            <sz val="9"/>
            <color indexed="81"/>
            <rFont val="Tahoma"/>
            <family val="2"/>
          </rPr>
          <t>Author:</t>
        </r>
        <r>
          <rPr>
            <sz val="9"/>
            <color indexed="81"/>
            <rFont val="Tahoma"/>
            <family val="2"/>
          </rPr>
          <t xml:space="preserve">
Methanogen</t>
        </r>
      </text>
    </comment>
    <comment ref="TI1" authorId="0" shapeId="0" xr:uid="{81401166-3D11-43AF-9422-B0DAFBB59363}">
      <text>
        <r>
          <rPr>
            <b/>
            <sz val="9"/>
            <color indexed="81"/>
            <rFont val="Tahoma"/>
            <family val="2"/>
          </rPr>
          <t>ML:
number of replicates</t>
        </r>
        <r>
          <rPr>
            <sz val="9"/>
            <color indexed="81"/>
            <rFont val="Tahoma"/>
            <family val="2"/>
          </rPr>
          <t xml:space="preserve">
</t>
        </r>
      </text>
    </comment>
    <comment ref="TL1" authorId="0" shapeId="0" xr:uid="{1BC723A6-D910-4861-8B30-67C6AA0EC75A}">
      <text>
        <r>
          <rPr>
            <b/>
            <sz val="9"/>
            <color indexed="81"/>
            <rFont val="Tahoma"/>
            <family val="2"/>
          </rPr>
          <t>ML:
number of replicates</t>
        </r>
        <r>
          <rPr>
            <sz val="9"/>
            <color indexed="81"/>
            <rFont val="Tahoma"/>
            <family val="2"/>
          </rPr>
          <t xml:space="preserve">
</t>
        </r>
      </text>
    </comment>
    <comment ref="TO1" authorId="0" shapeId="0" xr:uid="{4559D8E7-7561-4753-A8E4-CDAA8866214A}">
      <text>
        <r>
          <rPr>
            <b/>
            <sz val="9"/>
            <color indexed="81"/>
            <rFont val="Tahoma"/>
            <family val="2"/>
          </rPr>
          <t>Author:</t>
        </r>
        <r>
          <rPr>
            <sz val="9"/>
            <color indexed="81"/>
            <rFont val="Tahoma"/>
            <family val="2"/>
          </rPr>
          <t xml:space="preserve">
Methnotrophs</t>
        </r>
      </text>
    </comment>
    <comment ref="TS1" authorId="0" shapeId="0" xr:uid="{4089BB78-4DB4-4628-8531-BD30E05E273B}">
      <text>
        <r>
          <rPr>
            <b/>
            <sz val="9"/>
            <color indexed="81"/>
            <rFont val="Tahoma"/>
            <family val="2"/>
          </rPr>
          <t>ML:
number of replicates</t>
        </r>
        <r>
          <rPr>
            <sz val="9"/>
            <color indexed="81"/>
            <rFont val="Tahoma"/>
            <family val="2"/>
          </rPr>
          <t xml:space="preserve">
</t>
        </r>
      </text>
    </comment>
    <comment ref="TW1" authorId="0" shapeId="0" xr:uid="{BB94101C-7097-4D96-A7AE-CF91E6BC14CD}">
      <text>
        <r>
          <rPr>
            <b/>
            <sz val="9"/>
            <color indexed="81"/>
            <rFont val="Tahoma"/>
            <family val="2"/>
          </rPr>
          <t>ML:
number of replicates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1DDB05E-A5FB-44D0-B429-DE1D317D0A90}">
      <text>
        <r>
          <rPr>
            <b/>
            <sz val="9"/>
            <color indexed="81"/>
            <rFont val="Tahoma"/>
            <family val="2"/>
          </rPr>
          <t>Author:</t>
        </r>
        <r>
          <rPr>
            <sz val="9"/>
            <color indexed="81"/>
            <rFont val="Tahoma"/>
            <family val="2"/>
          </rPr>
          <t xml:space="preserve">
Drained for forestry, grazing, agriculture (horticulture, cropland, rice production), artificial grassland, peat mining; “/” indicate not available.</t>
        </r>
      </text>
    </comment>
    <comment ref="F1" authorId="0" shapeId="0" xr:uid="{61B0D426-4CB6-4082-8F04-B5E530F84578}">
      <text>
        <r>
          <rPr>
            <b/>
            <sz val="9"/>
            <color indexed="81"/>
            <rFont val="Tahoma"/>
            <family val="2"/>
          </rPr>
          <t>Author:</t>
        </r>
        <r>
          <rPr>
            <sz val="9"/>
            <color indexed="81"/>
            <rFont val="Tahoma"/>
            <family val="2"/>
          </rPr>
          <t xml:space="preserve">
“/” indicate not available.</t>
        </r>
      </text>
    </comment>
    <comment ref="G1" authorId="0" shapeId="0" xr:uid="{5340C6F5-B3F7-4407-955B-F7BA2D98E6AE}">
      <text>
        <r>
          <rPr>
            <b/>
            <sz val="9"/>
            <color indexed="81"/>
            <rFont val="Tahoma"/>
            <family val="2"/>
          </rPr>
          <t>Author:</t>
        </r>
        <r>
          <rPr>
            <sz val="9"/>
            <color indexed="81"/>
            <rFont val="Tahoma"/>
            <family val="2"/>
          </rPr>
          <t xml:space="preserve">
“/” indicate not available.</t>
        </r>
      </text>
    </comment>
    <comment ref="H1" authorId="0" shapeId="0" xr:uid="{AD7AD417-F0DA-4410-B410-8D685C66B131}">
      <text>
        <r>
          <rPr>
            <b/>
            <sz val="9"/>
            <color indexed="81"/>
            <rFont val="Tahoma"/>
            <family val="2"/>
          </rPr>
          <t>Author:</t>
        </r>
        <r>
          <rPr>
            <sz val="9"/>
            <color indexed="81"/>
            <rFont val="Tahoma"/>
            <family val="2"/>
          </rPr>
          <t xml:space="preserve">
“/” indicate not available.</t>
        </r>
      </text>
    </comment>
    <comment ref="I1" authorId="0" shapeId="0" xr:uid="{8EB09F2C-E151-4EA7-8EA4-9D4AD07ECBB7}">
      <text>
        <r>
          <rPr>
            <b/>
            <sz val="9"/>
            <color indexed="81"/>
            <rFont val="Tahoma"/>
            <family val="2"/>
          </rPr>
          <t>Author:</t>
        </r>
        <r>
          <rPr>
            <sz val="9"/>
            <color indexed="81"/>
            <rFont val="Tahoma"/>
            <family val="2"/>
          </rPr>
          <t xml:space="preserve">
“/” indicate not available.</t>
        </r>
      </text>
    </comment>
    <comment ref="J1" authorId="0" shapeId="0" xr:uid="{214C994A-C61A-4E8E-AE4F-51E08D15305A}">
      <text>
        <r>
          <rPr>
            <b/>
            <sz val="9"/>
            <color indexed="81"/>
            <rFont val="Tahoma"/>
            <family val="2"/>
          </rPr>
          <t>Author:</t>
        </r>
        <r>
          <rPr>
            <sz val="9"/>
            <color indexed="81"/>
            <rFont val="Tahoma"/>
            <family val="2"/>
          </rPr>
          <t xml:space="preserve">
“/” indicate not available.</t>
        </r>
      </text>
    </comment>
    <comment ref="K1" authorId="0" shapeId="0" xr:uid="{2C2326D4-802F-45BD-8768-1F88D6138760}">
      <text>
        <r>
          <rPr>
            <b/>
            <sz val="9"/>
            <color indexed="81"/>
            <rFont val="Tahoma"/>
            <family val="2"/>
          </rPr>
          <t>Author:</t>
        </r>
        <r>
          <rPr>
            <sz val="9"/>
            <color indexed="81"/>
            <rFont val="Tahoma"/>
            <family val="2"/>
          </rPr>
          <t xml:space="preserve">
“/” indicate not available.</t>
        </r>
      </text>
    </comment>
    <comment ref="L1" authorId="0" shapeId="0" xr:uid="{7BA98218-A455-493A-8E7B-6FFDD5A2D145}">
      <text>
        <r>
          <rPr>
            <b/>
            <sz val="9"/>
            <color indexed="81"/>
            <rFont val="Tahoma"/>
            <family val="2"/>
          </rPr>
          <t>Author:</t>
        </r>
        <r>
          <rPr>
            <sz val="9"/>
            <color indexed="81"/>
            <rFont val="Tahoma"/>
            <family val="2"/>
          </rPr>
          <t xml:space="preserve">
“/” indicate not available.</t>
        </r>
      </text>
    </comment>
    <comment ref="M1" authorId="0" shapeId="0" xr:uid="{BBD8DD3D-D3AB-495F-8CAE-A28B5135178D}">
      <text>
        <r>
          <rPr>
            <b/>
            <sz val="9"/>
            <color indexed="81"/>
            <rFont val="Tahoma"/>
            <family val="2"/>
          </rPr>
          <t>Author:</t>
        </r>
        <r>
          <rPr>
            <sz val="9"/>
            <color indexed="81"/>
            <rFont val="Tahoma"/>
            <family val="2"/>
          </rPr>
          <t xml:space="preserve">
“/” indicate not available.</t>
        </r>
      </text>
    </comment>
    <comment ref="N1" authorId="0" shapeId="0" xr:uid="{C7ED321C-AC0F-463A-9421-369EBA4ECD49}">
      <text>
        <r>
          <rPr>
            <b/>
            <sz val="9"/>
            <color indexed="81"/>
            <rFont val="Tahoma"/>
            <family val="2"/>
          </rPr>
          <t>Author:</t>
        </r>
        <r>
          <rPr>
            <sz val="9"/>
            <color indexed="81"/>
            <rFont val="Tahoma"/>
            <family val="2"/>
          </rPr>
          <t xml:space="preserve">
“/” indicate not available.</t>
        </r>
      </text>
    </comment>
    <comment ref="O1" authorId="0" shapeId="0" xr:uid="{5C9B00F2-14F4-47B3-B35D-5E027DDB9DEA}">
      <text>
        <r>
          <rPr>
            <b/>
            <sz val="9"/>
            <color indexed="81"/>
            <rFont val="Tahoma"/>
            <family val="2"/>
          </rPr>
          <t>Author:</t>
        </r>
        <r>
          <rPr>
            <sz val="9"/>
            <color indexed="81"/>
            <rFont val="Tahoma"/>
            <family val="2"/>
          </rPr>
          <t xml:space="preserve">
“/” indicate not available.</t>
        </r>
      </text>
    </comment>
    <comment ref="P1" authorId="0" shapeId="0" xr:uid="{9DBD77CE-E284-4BF7-A952-1E2D78EC1DF5}">
      <text>
        <r>
          <rPr>
            <b/>
            <sz val="9"/>
            <color indexed="81"/>
            <rFont val="Tahoma"/>
            <family val="2"/>
          </rPr>
          <t>Author:</t>
        </r>
        <r>
          <rPr>
            <sz val="9"/>
            <color indexed="81"/>
            <rFont val="Tahoma"/>
            <family val="2"/>
          </rPr>
          <t xml:space="preserve">
Tropical
Subtropical
Temperate
Boreal
“/” indicate not available.</t>
        </r>
      </text>
    </comment>
    <comment ref="Q1" authorId="0" shapeId="0" xr:uid="{D22E46AE-6232-46BA-B7D3-11EA7CD36471}">
      <text>
        <r>
          <rPr>
            <b/>
            <sz val="9"/>
            <color indexed="81"/>
            <rFont val="Tahoma"/>
            <family val="2"/>
          </rPr>
          <t>Author:</t>
        </r>
        <r>
          <rPr>
            <sz val="9"/>
            <color indexed="81"/>
            <rFont val="Tahoma"/>
            <family val="2"/>
          </rPr>
          <t xml:space="preserve">
“/” indicate not available.</t>
        </r>
      </text>
    </comment>
    <comment ref="R1" authorId="0" shapeId="0" xr:uid="{00ADDF1B-7A69-4DF9-BC75-7D55C893913E}">
      <text>
        <r>
          <rPr>
            <b/>
            <sz val="9"/>
            <color indexed="81"/>
            <rFont val="Tahoma"/>
            <family val="2"/>
          </rPr>
          <t>Author:</t>
        </r>
        <r>
          <rPr>
            <sz val="9"/>
            <color indexed="81"/>
            <rFont val="Tahoma"/>
            <family val="2"/>
          </rPr>
          <t xml:space="preserve">
shallow and deep drainage indicate the net WTD drawdown less and greater than -30 cm accodring to IPCC 2014 wetland report. 
“/” indicate not available.</t>
        </r>
      </text>
    </comment>
    <comment ref="S1" authorId="0" shapeId="0" xr:uid="{BE0A43D9-601B-4FA1-922B-10E0AAF6DCB5}">
      <text>
        <r>
          <rPr>
            <b/>
            <sz val="9"/>
            <color indexed="81"/>
            <rFont val="Tahoma"/>
            <family val="2"/>
          </rPr>
          <t>Author:</t>
        </r>
        <r>
          <rPr>
            <sz val="9"/>
            <color indexed="81"/>
            <rFont val="Tahoma"/>
            <family val="2"/>
          </rPr>
          <t xml:space="preserve">
“/” indicate not available.</t>
        </r>
      </text>
    </comment>
    <comment ref="T1" authorId="0" shapeId="0" xr:uid="{ED1F4A4C-CCDB-422C-8C85-3915A01A5596}">
      <text>
        <r>
          <rPr>
            <b/>
            <sz val="9"/>
            <color indexed="81"/>
            <rFont val="Tahoma"/>
            <family val="2"/>
          </rPr>
          <t>Author:</t>
        </r>
        <r>
          <rPr>
            <sz val="9"/>
            <color indexed="81"/>
            <rFont val="Tahoma"/>
            <family val="2"/>
          </rPr>
          <t xml:space="preserve">
“/” indicate not available.</t>
        </r>
      </text>
    </comment>
    <comment ref="U1" authorId="0" shapeId="0" xr:uid="{86226C56-4CEA-422C-8FEB-21E57B061918}">
      <text>
        <r>
          <rPr>
            <b/>
            <sz val="9"/>
            <color indexed="81"/>
            <rFont val="Tahoma"/>
            <family val="2"/>
          </rPr>
          <t>Author:</t>
        </r>
        <r>
          <rPr>
            <sz val="9"/>
            <color indexed="81"/>
            <rFont val="Tahoma"/>
            <family val="2"/>
          </rPr>
          <t xml:space="preserve">
Hummock
Lawn
Hallow</t>
        </r>
      </text>
    </comment>
    <comment ref="V1" authorId="0" shapeId="0" xr:uid="{D00D7B21-4546-40DC-BE6C-ED5805E1867D}">
      <text>
        <r>
          <rPr>
            <b/>
            <sz val="9"/>
            <color indexed="81"/>
            <rFont val="Tahoma"/>
            <family val="2"/>
          </rPr>
          <t>Author:</t>
        </r>
        <r>
          <rPr>
            <sz val="9"/>
            <color indexed="81"/>
            <rFont val="Tahoma"/>
            <family val="2"/>
          </rPr>
          <t xml:space="preserve">
“/” indicate not available.</t>
        </r>
      </text>
    </comment>
    <comment ref="X1" authorId="0" shapeId="0" xr:uid="{2E75B5AA-77E4-4A07-B8E3-FF97F53D38A1}">
      <text>
        <r>
          <rPr>
            <b/>
            <sz val="9"/>
            <color indexed="81"/>
            <rFont val="Tahoma"/>
            <family val="2"/>
          </rPr>
          <t>Author:</t>
        </r>
        <r>
          <rPr>
            <sz val="9"/>
            <color indexed="81"/>
            <rFont val="Tahoma"/>
            <family val="2"/>
          </rPr>
          <t xml:space="preserve">
Graminoid
Legume
Cyperaceae
Peat moss
Shrub
Forest
Forbs
“/” indicate not available.</t>
        </r>
      </text>
    </comment>
    <comment ref="Y1" authorId="0" shapeId="0" xr:uid="{2C3E989E-8C2A-478C-8B47-FA140CBF79A6}">
      <text>
        <r>
          <rPr>
            <b/>
            <sz val="9"/>
            <color indexed="81"/>
            <rFont val="Tahoma"/>
            <family val="2"/>
          </rPr>
          <t>Author:</t>
        </r>
        <r>
          <rPr>
            <sz val="9"/>
            <color indexed="81"/>
            <rFont val="Tahoma"/>
            <family val="2"/>
          </rPr>
          <t xml:space="preserve">
“/” indicate not available.</t>
        </r>
      </text>
    </comment>
    <comment ref="Z1" authorId="0" shapeId="0" xr:uid="{9E00C34F-F0A0-4326-94FB-D8ABBEE00FD7}">
      <text>
        <r>
          <rPr>
            <b/>
            <sz val="9"/>
            <color indexed="81"/>
            <rFont val="Tahoma"/>
            <family val="2"/>
          </rPr>
          <t>Author:</t>
        </r>
        <r>
          <rPr>
            <sz val="9"/>
            <color indexed="81"/>
            <rFont val="Tahoma"/>
            <family val="2"/>
          </rPr>
          <t xml:space="preserve">
“/” indicate not available.</t>
        </r>
      </text>
    </comment>
    <comment ref="AF1" authorId="0" shapeId="0" xr:uid="{629F555D-4DC2-44EC-A2C3-2CCE5ABABD05}">
      <text>
        <r>
          <rPr>
            <b/>
            <sz val="9"/>
            <color indexed="81"/>
            <rFont val="Tahoma"/>
            <family val="2"/>
          </rPr>
          <t>ML:
Soil total nitrogen</t>
        </r>
        <r>
          <rPr>
            <sz val="9"/>
            <color indexed="81"/>
            <rFont val="Tahoma"/>
            <family val="2"/>
          </rPr>
          <t xml:space="preserve">
</t>
        </r>
      </text>
    </comment>
    <comment ref="AI1" authorId="0" shapeId="0" xr:uid="{50DC39DF-485E-4B80-8A94-0835C7A65F7C}">
      <text>
        <r>
          <rPr>
            <b/>
            <sz val="9"/>
            <color indexed="81"/>
            <rFont val="Tahoma"/>
            <family val="2"/>
          </rPr>
          <t>ML:
 Soil carbon to nitrogen ratio</t>
        </r>
        <r>
          <rPr>
            <sz val="9"/>
            <color indexed="81"/>
            <rFont val="Tahoma"/>
            <family val="2"/>
          </rPr>
          <t xml:space="preserve">
</t>
        </r>
      </text>
    </comment>
    <comment ref="AM1" authorId="0" shapeId="0" xr:uid="{2EC29C65-160D-4810-8866-BA0B0A73E40C}">
      <text>
        <r>
          <rPr>
            <b/>
            <sz val="9"/>
            <color indexed="81"/>
            <rFont val="Tahoma"/>
            <family val="2"/>
          </rPr>
          <t>Author:</t>
        </r>
        <r>
          <rPr>
            <sz val="9"/>
            <color indexed="81"/>
            <rFont val="Tahoma"/>
            <family val="2"/>
          </rPr>
          <t xml:space="preserve">
Annual
Growing season
Non-growing season</t>
        </r>
      </text>
    </comment>
    <comment ref="AV1" authorId="0" shapeId="0" xr:uid="{16F1549F-1C37-4DEE-9340-5BB3092C2069}">
      <text>
        <r>
          <rPr>
            <b/>
            <sz val="9"/>
            <color indexed="81"/>
            <rFont val="Tahoma"/>
            <family val="2"/>
          </rPr>
          <t>ML:
number of replicates</t>
        </r>
        <r>
          <rPr>
            <sz val="9"/>
            <color indexed="81"/>
            <rFont val="Tahoma"/>
            <family val="2"/>
          </rPr>
          <t xml:space="preserve">
</t>
        </r>
      </text>
    </comment>
    <comment ref="AZ1" authorId="0" shapeId="0" xr:uid="{87F36469-EE44-446B-B00E-E79A91236CA2}">
      <text>
        <r>
          <rPr>
            <b/>
            <sz val="9"/>
            <color indexed="81"/>
            <rFont val="Tahoma"/>
            <family val="2"/>
          </rPr>
          <t>ML:
number of replicates</t>
        </r>
        <r>
          <rPr>
            <sz val="9"/>
            <color indexed="81"/>
            <rFont val="Tahoma"/>
            <family val="2"/>
          </rPr>
          <t xml:space="preserve">
</t>
        </r>
      </text>
    </comment>
    <comment ref="BG1" authorId="0" shapeId="0" xr:uid="{9A3FDB4C-B310-41D9-9307-36CBD13C5323}">
      <text>
        <r>
          <rPr>
            <b/>
            <sz val="9"/>
            <color indexed="81"/>
            <rFont val="Tahoma"/>
            <family val="2"/>
          </rPr>
          <t>ML:
number of replicates</t>
        </r>
        <r>
          <rPr>
            <sz val="9"/>
            <color indexed="81"/>
            <rFont val="Tahoma"/>
            <family val="2"/>
          </rPr>
          <t xml:space="preserve">
</t>
        </r>
      </text>
    </comment>
    <comment ref="BK1" authorId="0" shapeId="0" xr:uid="{09B53759-839C-4DA8-807C-9D695299CC24}">
      <text>
        <r>
          <rPr>
            <b/>
            <sz val="9"/>
            <color indexed="81"/>
            <rFont val="Tahoma"/>
            <family val="2"/>
          </rPr>
          <t>ML:
number of replicates</t>
        </r>
        <r>
          <rPr>
            <sz val="9"/>
            <color indexed="81"/>
            <rFont val="Tahoma"/>
            <family val="2"/>
          </rPr>
          <t xml:space="preserve">
</t>
        </r>
      </text>
    </comment>
    <comment ref="BR1" authorId="0" shapeId="0" xr:uid="{41A1158C-FA84-4214-9AF6-6D89CA3A058D}">
      <text>
        <r>
          <rPr>
            <b/>
            <sz val="9"/>
            <color indexed="81"/>
            <rFont val="Tahoma"/>
            <family val="2"/>
          </rPr>
          <t>ML:
number of replicates</t>
        </r>
        <r>
          <rPr>
            <sz val="9"/>
            <color indexed="81"/>
            <rFont val="Tahoma"/>
            <family val="2"/>
          </rPr>
          <t xml:space="preserve">
</t>
        </r>
      </text>
    </comment>
    <comment ref="BV1" authorId="0" shapeId="0" xr:uid="{E56A9A6F-CA58-4ABB-8D0A-C1EB87A7FB47}">
      <text>
        <r>
          <rPr>
            <b/>
            <sz val="9"/>
            <color indexed="81"/>
            <rFont val="Tahoma"/>
            <family val="2"/>
          </rPr>
          <t>ML:
number of replicates</t>
        </r>
        <r>
          <rPr>
            <sz val="9"/>
            <color indexed="81"/>
            <rFont val="Tahoma"/>
            <family val="2"/>
          </rPr>
          <t xml:space="preserve">
</t>
        </r>
      </text>
    </comment>
    <comment ref="BZ1" authorId="0" shapeId="0" xr:uid="{215F391E-66A6-42CB-B23D-B514A82C8694}">
      <text>
        <r>
          <rPr>
            <b/>
            <sz val="9"/>
            <color indexed="81"/>
            <rFont val="Tahoma"/>
            <family val="2"/>
          </rPr>
          <t>Author:</t>
        </r>
        <r>
          <rPr>
            <sz val="9"/>
            <color indexed="81"/>
            <rFont val="Tahoma"/>
            <family val="2"/>
          </rPr>
          <t xml:space="preserve">
Gross primary production, positive and negative values indicate source and sink, respectively.</t>
        </r>
      </text>
    </comment>
    <comment ref="CC1" authorId="0" shapeId="0" xr:uid="{A3EA2D5F-FB61-4E8B-B94B-EEE3F81A6291}">
      <text>
        <r>
          <rPr>
            <b/>
            <sz val="9"/>
            <color indexed="81"/>
            <rFont val="Tahoma"/>
            <family val="2"/>
          </rPr>
          <t>ML:
number of replicates</t>
        </r>
        <r>
          <rPr>
            <sz val="9"/>
            <color indexed="81"/>
            <rFont val="Tahoma"/>
            <family val="2"/>
          </rPr>
          <t xml:space="preserve">
</t>
        </r>
      </text>
    </comment>
    <comment ref="CG1" authorId="0" shapeId="0" xr:uid="{488C4EEB-88B8-4701-AA0D-9F190EBCCBC3}">
      <text>
        <r>
          <rPr>
            <b/>
            <sz val="9"/>
            <color indexed="81"/>
            <rFont val="Tahoma"/>
            <family val="2"/>
          </rPr>
          <t>ML:
number of replicates</t>
        </r>
        <r>
          <rPr>
            <sz val="9"/>
            <color indexed="81"/>
            <rFont val="Tahoma"/>
            <family val="2"/>
          </rPr>
          <t xml:space="preserve">
</t>
        </r>
      </text>
    </comment>
    <comment ref="CI1" authorId="0" shapeId="0" xr:uid="{FBE56A15-2E21-4098-8AA4-81912D0C8777}">
      <text>
        <r>
          <rPr>
            <b/>
            <sz val="9"/>
            <color indexed="81"/>
            <rFont val="Tahoma"/>
            <family val="2"/>
          </rPr>
          <t>Author:</t>
        </r>
        <r>
          <rPr>
            <sz val="9"/>
            <color indexed="81"/>
            <rFont val="Tahoma"/>
            <family val="2"/>
          </rPr>
          <t xml:space="preserve">
Differences between control and drained wetland</t>
        </r>
      </text>
    </comment>
    <comment ref="CJ1" authorId="0" shapeId="0" xr:uid="{B405D30D-CEDA-48C1-BA20-7D21B58BB5C8}">
      <text>
        <r>
          <rPr>
            <b/>
            <sz val="9"/>
            <color indexed="81"/>
            <rFont val="Tahoma"/>
            <family val="2"/>
          </rPr>
          <t>Ma, Lei
SD of difference between drained and pristine wetland</t>
        </r>
      </text>
    </comment>
    <comment ref="CK1" authorId="0" shapeId="0" xr:uid="{C6637497-5A95-4478-8E2E-945120428BD4}">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CL1" authorId="0" shapeId="0" xr:uid="{CBB31658-E7F6-46C7-9AD0-257D04DE0711}">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CM1" authorId="0" shapeId="0" xr:uid="{1DF9FFD7-2C0B-45A9-8ACF-5C94D12327F0}">
      <text>
        <r>
          <rPr>
            <b/>
            <sz val="9"/>
            <color indexed="81"/>
            <rFont val="Tahoma"/>
            <family val="2"/>
          </rPr>
          <t>Author:</t>
        </r>
        <r>
          <rPr>
            <sz val="9"/>
            <color indexed="81"/>
            <rFont val="Tahoma"/>
            <family val="2"/>
          </rPr>
          <t xml:space="preserve">
Ecosystem respiration, </t>
        </r>
      </text>
    </comment>
    <comment ref="CP1" authorId="0" shapeId="0" xr:uid="{E027A841-68DC-4C5F-83CC-716D36F4B3A3}">
      <text>
        <r>
          <rPr>
            <b/>
            <sz val="9"/>
            <color indexed="81"/>
            <rFont val="Tahoma"/>
            <family val="2"/>
          </rPr>
          <t>ML:
number of replicates</t>
        </r>
        <r>
          <rPr>
            <sz val="9"/>
            <color indexed="81"/>
            <rFont val="Tahoma"/>
            <family val="2"/>
          </rPr>
          <t xml:space="preserve">
</t>
        </r>
      </text>
    </comment>
    <comment ref="CT1" authorId="0" shapeId="0" xr:uid="{36BD7B06-7A14-466E-B58B-6E0BB26E1CB4}">
      <text>
        <r>
          <rPr>
            <b/>
            <sz val="9"/>
            <color indexed="81"/>
            <rFont val="Tahoma"/>
            <family val="2"/>
          </rPr>
          <t>ML:
number of replicates</t>
        </r>
        <r>
          <rPr>
            <sz val="9"/>
            <color indexed="81"/>
            <rFont val="Tahoma"/>
            <family val="2"/>
          </rPr>
          <t xml:space="preserve">
</t>
        </r>
      </text>
    </comment>
    <comment ref="CV1" authorId="0" shapeId="0" xr:uid="{947919CF-D8E1-4F14-B88B-084471C1D693}">
      <text>
        <r>
          <rPr>
            <b/>
            <sz val="9"/>
            <color indexed="81"/>
            <rFont val="Tahoma"/>
            <family val="2"/>
          </rPr>
          <t>Author:</t>
        </r>
        <r>
          <rPr>
            <sz val="9"/>
            <color indexed="81"/>
            <rFont val="Tahoma"/>
            <family val="2"/>
          </rPr>
          <t xml:space="preserve">
Differences between control and drained wetland</t>
        </r>
      </text>
    </comment>
    <comment ref="CW1" authorId="0" shapeId="0" xr:uid="{4D546A53-8DA3-444D-82DC-C325EF790858}">
      <text>
        <r>
          <rPr>
            <b/>
            <sz val="9"/>
            <color indexed="81"/>
            <rFont val="Tahoma"/>
            <family val="2"/>
          </rPr>
          <t>Ma, Lei
SD of difference between drained and pristine wetland</t>
        </r>
      </text>
    </comment>
    <comment ref="CX1" authorId="0" shapeId="0" xr:uid="{CAD07239-57C1-4400-884E-E5FA951FB03C}">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CY1" authorId="0" shapeId="0" xr:uid="{AFE74096-792E-4274-AC57-145E65608795}">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CZ1" authorId="0" shapeId="0" xr:uid="{CCE2AC75-3729-4905-8293-08F34254D1B5}">
      <text>
        <r>
          <rPr>
            <b/>
            <sz val="9"/>
            <color indexed="81"/>
            <rFont val="Tahoma"/>
            <family val="2"/>
          </rPr>
          <t>Author:</t>
        </r>
        <r>
          <rPr>
            <sz val="9"/>
            <color indexed="81"/>
            <rFont val="Tahoma"/>
            <family val="2"/>
          </rPr>
          <t xml:space="preserve">
Net ecosystem exchange, positive and negative values indicate source and sink, respectively.</t>
        </r>
      </text>
    </comment>
    <comment ref="DC1" authorId="0" shapeId="0" xr:uid="{E0A54D03-610E-46A2-A248-4DA924E6F697}">
      <text>
        <r>
          <rPr>
            <b/>
            <sz val="9"/>
            <color indexed="81"/>
            <rFont val="Tahoma"/>
            <family val="2"/>
          </rPr>
          <t>ML:
number of replicates</t>
        </r>
        <r>
          <rPr>
            <sz val="9"/>
            <color indexed="81"/>
            <rFont val="Tahoma"/>
            <family val="2"/>
          </rPr>
          <t xml:space="preserve">
</t>
        </r>
      </text>
    </comment>
    <comment ref="DG1" authorId="0" shapeId="0" xr:uid="{9CA5D09D-A245-4DE3-AA8F-114ACA59F5CC}">
      <text>
        <r>
          <rPr>
            <b/>
            <sz val="9"/>
            <color indexed="81"/>
            <rFont val="Tahoma"/>
            <family val="2"/>
          </rPr>
          <t>ML:
number of replicates</t>
        </r>
        <r>
          <rPr>
            <sz val="9"/>
            <color indexed="81"/>
            <rFont val="Tahoma"/>
            <family val="2"/>
          </rPr>
          <t xml:space="preserve">
</t>
        </r>
      </text>
    </comment>
    <comment ref="DI1" authorId="0" shapeId="0" xr:uid="{299F7140-2D43-4065-BD06-3AE31A2D77C9}">
      <text>
        <r>
          <rPr>
            <b/>
            <sz val="9"/>
            <color indexed="81"/>
            <rFont val="Tahoma"/>
            <family val="2"/>
          </rPr>
          <t>Author:</t>
        </r>
        <r>
          <rPr>
            <sz val="9"/>
            <color indexed="81"/>
            <rFont val="Tahoma"/>
            <family val="2"/>
          </rPr>
          <t xml:space="preserve">
Differences between control and drained wetland</t>
        </r>
      </text>
    </comment>
    <comment ref="DJ1" authorId="0" shapeId="0" xr:uid="{C9655F67-DF56-4BB2-B114-AA5B2970DB98}">
      <text>
        <r>
          <rPr>
            <b/>
            <sz val="9"/>
            <color indexed="81"/>
            <rFont val="Tahoma"/>
            <family val="2"/>
          </rPr>
          <t>Ma, Lei
SD of difference between drained and pristine wetland</t>
        </r>
      </text>
    </comment>
    <comment ref="DK1" authorId="0" shapeId="0" xr:uid="{01A1E02D-34D0-45A5-BE5F-EF7DF091D06E}">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DL1" authorId="0" shapeId="0" xr:uid="{E15A61A5-83B6-4AB7-91DF-CAAE3D55B681}">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DM1" authorId="0" shapeId="0" xr:uid="{C39E5B44-778D-420A-831E-2E0A8E9068A0}">
      <text>
        <r>
          <rPr>
            <b/>
            <sz val="9"/>
            <color indexed="81"/>
            <rFont val="Tahoma"/>
            <family val="2"/>
          </rPr>
          <t>Author:</t>
        </r>
        <r>
          <rPr>
            <sz val="9"/>
            <color indexed="81"/>
            <rFont val="Tahoma"/>
            <family val="2"/>
          </rPr>
          <t xml:space="preserve">
GS: growing season
NGS: non-growing season</t>
        </r>
      </text>
    </comment>
    <comment ref="DP1" authorId="0" shapeId="0" xr:uid="{EEA240FC-1211-45C3-B4EA-5F007441F34A}">
      <text>
        <r>
          <rPr>
            <b/>
            <sz val="9"/>
            <color indexed="81"/>
            <rFont val="Tahoma"/>
            <family val="2"/>
          </rPr>
          <t>ML:
number of replicates</t>
        </r>
        <r>
          <rPr>
            <sz val="9"/>
            <color indexed="81"/>
            <rFont val="Tahoma"/>
            <family val="2"/>
          </rPr>
          <t xml:space="preserve">
</t>
        </r>
      </text>
    </comment>
    <comment ref="DT1" authorId="0" shapeId="0" xr:uid="{7437E757-8C72-4FFE-A2AF-0B7DC6865930}">
      <text>
        <r>
          <rPr>
            <b/>
            <sz val="9"/>
            <color indexed="81"/>
            <rFont val="Tahoma"/>
            <family val="2"/>
          </rPr>
          <t>ML:
number of replicates</t>
        </r>
        <r>
          <rPr>
            <sz val="9"/>
            <color indexed="81"/>
            <rFont val="Tahoma"/>
            <family val="2"/>
          </rPr>
          <t xml:space="preserve">
</t>
        </r>
      </text>
    </comment>
    <comment ref="DV1" authorId="0" shapeId="0" xr:uid="{D7214439-905C-45B3-8E88-F6671C79CF43}">
      <text>
        <r>
          <rPr>
            <b/>
            <sz val="9"/>
            <color indexed="81"/>
            <rFont val="Tahoma"/>
            <family val="2"/>
          </rPr>
          <t>Author:</t>
        </r>
        <r>
          <rPr>
            <sz val="9"/>
            <color indexed="81"/>
            <rFont val="Tahoma"/>
            <family val="2"/>
          </rPr>
          <t xml:space="preserve">
Differences between control and drained wetland</t>
        </r>
      </text>
    </comment>
    <comment ref="DW1" authorId="0" shapeId="0" xr:uid="{BABF2CA8-0EF7-4199-80F4-BDAC82A398E6}">
      <text>
        <r>
          <rPr>
            <b/>
            <sz val="9"/>
            <color indexed="81"/>
            <rFont val="Tahoma"/>
            <family val="2"/>
          </rPr>
          <t>Ma, Lei
SD of difference between drained and pristine wetland</t>
        </r>
      </text>
    </comment>
    <comment ref="DX1" authorId="0" shapeId="0" xr:uid="{AB1193D7-F2A7-4C65-A31E-15C051E1520B}">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DY1" authorId="0" shapeId="0" xr:uid="{62FD18CB-BB0C-4EA4-AFFB-A479895F7BB7}">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EC1" authorId="0" shapeId="0" xr:uid="{D0238461-FF3B-4634-9122-F7E6687584BA}">
      <text>
        <r>
          <rPr>
            <b/>
            <sz val="9"/>
            <color indexed="81"/>
            <rFont val="Tahoma"/>
            <family val="2"/>
          </rPr>
          <t>ML:
number of replicates</t>
        </r>
        <r>
          <rPr>
            <sz val="9"/>
            <color indexed="81"/>
            <rFont val="Tahoma"/>
            <family val="2"/>
          </rPr>
          <t xml:space="preserve">
</t>
        </r>
      </text>
    </comment>
    <comment ref="EG1" authorId="0" shapeId="0" xr:uid="{7D11A27C-C4B7-423D-A3CB-CF17A467F4D7}">
      <text>
        <r>
          <rPr>
            <b/>
            <sz val="9"/>
            <color indexed="81"/>
            <rFont val="Tahoma"/>
            <family val="2"/>
          </rPr>
          <t>ML:
number of replicates</t>
        </r>
        <r>
          <rPr>
            <sz val="9"/>
            <color indexed="81"/>
            <rFont val="Tahoma"/>
            <family val="2"/>
          </rPr>
          <t xml:space="preserve">
</t>
        </r>
      </text>
    </comment>
    <comment ref="EI1" authorId="0" shapeId="0" xr:uid="{BBB80166-6533-4F9B-8B57-AEBF800867BF}">
      <text>
        <r>
          <rPr>
            <b/>
            <sz val="9"/>
            <color indexed="81"/>
            <rFont val="Tahoma"/>
            <family val="2"/>
          </rPr>
          <t>Author:</t>
        </r>
        <r>
          <rPr>
            <sz val="9"/>
            <color indexed="81"/>
            <rFont val="Tahoma"/>
            <family val="2"/>
          </rPr>
          <t xml:space="preserve">
Differences between control and drained wetland</t>
        </r>
      </text>
    </comment>
    <comment ref="EJ1" authorId="0" shapeId="0" xr:uid="{1929110F-14D1-43BC-8AA3-51E7109B872D}">
      <text>
        <r>
          <rPr>
            <b/>
            <sz val="9"/>
            <color indexed="81"/>
            <rFont val="Tahoma"/>
            <family val="2"/>
          </rPr>
          <t>Ma, Lei
SD of difference between drained and pristine wetland</t>
        </r>
      </text>
    </comment>
    <comment ref="EK1" authorId="0" shapeId="0" xr:uid="{97C9F7ED-8CAB-4D0D-BC67-9B126DEF06B6}">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EL1" authorId="0" shapeId="0" xr:uid="{E905BF5B-7588-4B13-9819-ABCBDFAF9700}">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EM1" authorId="0" shapeId="0" xr:uid="{F8D3140C-D5B3-4709-8AAE-748B26A3FDE1}">
      <text>
        <r>
          <rPr>
            <b/>
            <sz val="9"/>
            <color indexed="81"/>
            <rFont val="宋体"/>
            <family val="3"/>
            <charset val="134"/>
          </rPr>
          <t>Author:</t>
        </r>
        <r>
          <rPr>
            <sz val="9"/>
            <color indexed="81"/>
            <rFont val="宋体"/>
            <family val="3"/>
            <charset val="134"/>
          </rPr>
          <t xml:space="preserve">
Water table depth</t>
        </r>
      </text>
    </comment>
    <comment ref="EP1" authorId="0" shapeId="0" xr:uid="{5C84E7D9-1916-4F27-A9D5-ADFC91DABCE5}">
      <text>
        <r>
          <rPr>
            <b/>
            <sz val="9"/>
            <color indexed="81"/>
            <rFont val="Tahoma"/>
            <family val="2"/>
          </rPr>
          <t>ML:
number of replicates</t>
        </r>
        <r>
          <rPr>
            <sz val="9"/>
            <color indexed="81"/>
            <rFont val="Tahoma"/>
            <family val="2"/>
          </rPr>
          <t xml:space="preserve">
</t>
        </r>
      </text>
    </comment>
    <comment ref="ET1" authorId="0" shapeId="0" xr:uid="{720BDC65-7B9B-4BF2-ADF4-836C4F6FC370}">
      <text>
        <r>
          <rPr>
            <b/>
            <sz val="9"/>
            <color indexed="81"/>
            <rFont val="Tahoma"/>
            <family val="2"/>
          </rPr>
          <t>ML:
number of replicates</t>
        </r>
        <r>
          <rPr>
            <sz val="9"/>
            <color indexed="81"/>
            <rFont val="Tahoma"/>
            <family val="2"/>
          </rPr>
          <t xml:space="preserve">
</t>
        </r>
      </text>
    </comment>
    <comment ref="EV1" authorId="0" shapeId="0" xr:uid="{97B37CC1-D5B4-41C5-A41C-258588C06B4A}">
      <text>
        <r>
          <rPr>
            <b/>
            <sz val="9"/>
            <color indexed="81"/>
            <rFont val="Tahoma"/>
            <family val="2"/>
          </rPr>
          <t>Author:</t>
        </r>
        <r>
          <rPr>
            <sz val="9"/>
            <color indexed="81"/>
            <rFont val="Tahoma"/>
            <family val="2"/>
          </rPr>
          <t xml:space="preserve">
Differences between control and drained wetland</t>
        </r>
      </text>
    </comment>
    <comment ref="EW1" authorId="0" shapeId="0" xr:uid="{876A21CC-1DAF-424B-8467-CC3030B4BF61}">
      <text>
        <r>
          <rPr>
            <b/>
            <sz val="9"/>
            <color indexed="81"/>
            <rFont val="Tahoma"/>
            <family val="2"/>
          </rPr>
          <t>Ma, Lei
SD of difference between drained and pristine wetland</t>
        </r>
      </text>
    </comment>
    <comment ref="EX1" authorId="0" shapeId="0" xr:uid="{7C81DA27-D75B-436C-B695-45201F133E19}">
      <text>
        <r>
          <rPr>
            <b/>
            <sz val="9"/>
            <color indexed="81"/>
            <rFont val="Tahoma"/>
            <family val="2"/>
          </rPr>
          <t>Author:</t>
        </r>
        <r>
          <rPr>
            <sz val="9"/>
            <color indexed="81"/>
            <rFont val="Tahoma"/>
            <family val="2"/>
          </rPr>
          <t xml:space="preserve">
variance was estimated on the basis of assumption that  data are normally distributed (Michael Borens t ein, L. V. Hedges, J. P. T. Higgins and H. R. Rothstein, 2009: Introduction to Meta-Analysis, chapter 4: Effect Sizes Based on Means)</t>
        </r>
      </text>
    </comment>
    <comment ref="EY1" authorId="0" shapeId="0" xr:uid="{28CF7F8B-9B2F-4936-B4C3-15410C5379AC}">
      <text>
        <r>
          <rPr>
            <b/>
            <sz val="9"/>
            <color indexed="81"/>
            <rFont val="Tahoma"/>
            <family val="2"/>
          </rPr>
          <t>Author:</t>
        </r>
        <r>
          <rPr>
            <sz val="9"/>
            <color indexed="81"/>
            <rFont val="Tahoma"/>
            <family val="2"/>
          </rPr>
          <t xml:space="preserve">
variance was estimated on the basis of assumption that  data are un-normally distributed (Michael Borens t ein, L. V. Hedges, J. P. T. Higgins and H. R. Rothstein, 2009: Introduction to Meta-Analysis, chapter 4: Effect Sizes Based on Means)</t>
        </r>
      </text>
    </comment>
    <comment ref="FD1" authorId="0" shapeId="0" xr:uid="{1DEB14CF-AFE0-46BD-93C0-B167CCAAC883}">
      <text>
        <r>
          <rPr>
            <b/>
            <sz val="9"/>
            <color indexed="81"/>
            <rFont val="Tahoma"/>
            <family val="2"/>
          </rPr>
          <t>ML:
number of replicates</t>
        </r>
        <r>
          <rPr>
            <sz val="9"/>
            <color indexed="81"/>
            <rFont val="Tahoma"/>
            <family val="2"/>
          </rPr>
          <t xml:space="preserve">
</t>
        </r>
      </text>
    </comment>
    <comment ref="FG1" authorId="0" shapeId="0" xr:uid="{ECEE0C41-C6E5-40BD-85B6-112B68185218}">
      <text>
        <r>
          <rPr>
            <b/>
            <sz val="9"/>
            <color indexed="81"/>
            <rFont val="Tahoma"/>
            <family val="2"/>
          </rPr>
          <t>ML:
number of replicates</t>
        </r>
        <r>
          <rPr>
            <sz val="9"/>
            <color indexed="81"/>
            <rFont val="Tahoma"/>
            <family val="2"/>
          </rPr>
          <t xml:space="preserve">
</t>
        </r>
      </text>
    </comment>
    <comment ref="FK1" authorId="0" shapeId="0" xr:uid="{910CD013-5300-4C44-AD75-112B5430B113}">
      <text>
        <r>
          <rPr>
            <b/>
            <sz val="9"/>
            <color indexed="81"/>
            <rFont val="Tahoma"/>
            <family val="2"/>
          </rPr>
          <t>ML:
number of replicates</t>
        </r>
        <r>
          <rPr>
            <sz val="9"/>
            <color indexed="81"/>
            <rFont val="Tahoma"/>
            <family val="2"/>
          </rPr>
          <t xml:space="preserve">
</t>
        </r>
      </text>
    </comment>
    <comment ref="FN1" authorId="0" shapeId="0" xr:uid="{557BFB91-BE7E-41EB-B0E8-825A182BD25D}">
      <text>
        <r>
          <rPr>
            <b/>
            <sz val="9"/>
            <color indexed="81"/>
            <rFont val="Tahoma"/>
            <family val="2"/>
          </rPr>
          <t>ML:
number of replicates</t>
        </r>
        <r>
          <rPr>
            <sz val="9"/>
            <color indexed="81"/>
            <rFont val="Tahoma"/>
            <family val="2"/>
          </rPr>
          <t xml:space="preserve">
</t>
        </r>
      </text>
    </comment>
    <comment ref="FR1" authorId="0" shapeId="0" xr:uid="{8C003745-3C43-41A2-AF8E-42ECE2E2AF45}">
      <text>
        <r>
          <rPr>
            <b/>
            <sz val="9"/>
            <color indexed="81"/>
            <rFont val="Tahoma"/>
            <family val="2"/>
          </rPr>
          <t>ML:
number of replicates</t>
        </r>
        <r>
          <rPr>
            <sz val="9"/>
            <color indexed="81"/>
            <rFont val="Tahoma"/>
            <family val="2"/>
          </rPr>
          <t xml:space="preserve">
</t>
        </r>
      </text>
    </comment>
    <comment ref="FU1" authorId="0" shapeId="0" xr:uid="{E1F2B314-5FF2-4E2B-8A1D-CE9BE269E0D5}">
      <text>
        <r>
          <rPr>
            <b/>
            <sz val="9"/>
            <color indexed="81"/>
            <rFont val="Tahoma"/>
            <family val="2"/>
          </rPr>
          <t>ML:
number of replicates</t>
        </r>
        <r>
          <rPr>
            <sz val="9"/>
            <color indexed="81"/>
            <rFont val="Tahoma"/>
            <family val="2"/>
          </rPr>
          <t xml:space="preserve">
</t>
        </r>
      </text>
    </comment>
    <comment ref="FY1" authorId="0" shapeId="0" xr:uid="{6ED0DCCB-90FE-43CE-8272-C5CBB346754A}">
      <text>
        <r>
          <rPr>
            <b/>
            <sz val="9"/>
            <color indexed="81"/>
            <rFont val="Tahoma"/>
            <family val="2"/>
          </rPr>
          <t>ML:
number of replicates</t>
        </r>
        <r>
          <rPr>
            <sz val="9"/>
            <color indexed="81"/>
            <rFont val="Tahoma"/>
            <family val="2"/>
          </rPr>
          <t xml:space="preserve">
</t>
        </r>
      </text>
    </comment>
    <comment ref="GB1" authorId="0" shapeId="0" xr:uid="{08846B4B-9037-4941-B35A-C72A154D017A}">
      <text>
        <r>
          <rPr>
            <b/>
            <sz val="9"/>
            <color indexed="81"/>
            <rFont val="Tahoma"/>
            <family val="2"/>
          </rPr>
          <t>ML:
number of replicates</t>
        </r>
        <r>
          <rPr>
            <sz val="9"/>
            <color indexed="81"/>
            <rFont val="Tahoma"/>
            <family val="2"/>
          </rPr>
          <t xml:space="preserve">
</t>
        </r>
      </text>
    </comment>
    <comment ref="GC1" authorId="0" shapeId="0" xr:uid="{7CB703A4-160F-484B-B99A-97AD6B01018F}">
      <text>
        <r>
          <rPr>
            <b/>
            <sz val="9"/>
            <color indexed="81"/>
            <rFont val="宋体"/>
            <family val="3"/>
            <charset val="134"/>
          </rPr>
          <t>Author:</t>
        </r>
        <r>
          <rPr>
            <sz val="9"/>
            <color indexed="81"/>
            <rFont val="宋体"/>
            <family val="3"/>
            <charset val="134"/>
          </rPr>
          <t xml:space="preserve">
Soil Moisture</t>
        </r>
      </text>
    </comment>
    <comment ref="GG1" authorId="0" shapeId="0" xr:uid="{F781D730-94FF-4698-89D3-6F1A77F7E36D}">
      <text>
        <r>
          <rPr>
            <b/>
            <sz val="9"/>
            <color indexed="81"/>
            <rFont val="Tahoma"/>
            <family val="2"/>
          </rPr>
          <t>ML:
number of replicates</t>
        </r>
        <r>
          <rPr>
            <sz val="9"/>
            <color indexed="81"/>
            <rFont val="Tahoma"/>
            <family val="2"/>
          </rPr>
          <t xml:space="preserve">
</t>
        </r>
      </text>
    </comment>
    <comment ref="GK1" authorId="0" shapeId="0" xr:uid="{34608A55-7A18-4906-BCED-1DE1880E6495}">
      <text>
        <r>
          <rPr>
            <b/>
            <sz val="9"/>
            <color indexed="81"/>
            <rFont val="Tahoma"/>
            <family val="2"/>
          </rPr>
          <t>ML:
number of replicates</t>
        </r>
        <r>
          <rPr>
            <sz val="9"/>
            <color indexed="81"/>
            <rFont val="Tahoma"/>
            <family val="2"/>
          </rPr>
          <t xml:space="preserve">
</t>
        </r>
      </text>
    </comment>
    <comment ref="GO1" authorId="0" shapeId="0" xr:uid="{9F764280-0FBE-4091-BC1F-F0B128D90338}">
      <text>
        <r>
          <rPr>
            <b/>
            <sz val="9"/>
            <color indexed="81"/>
            <rFont val="宋体"/>
            <family val="3"/>
            <charset val="134"/>
          </rPr>
          <t>Author:</t>
        </r>
        <r>
          <rPr>
            <sz val="9"/>
            <color indexed="81"/>
            <rFont val="宋体"/>
            <family val="3"/>
            <charset val="134"/>
          </rPr>
          <t xml:space="preserve">
Soil Temperature</t>
        </r>
      </text>
    </comment>
    <comment ref="GS1" authorId="0" shapeId="0" xr:uid="{EDF643A9-F223-49F7-9AE3-5124AD96367E}">
      <text>
        <r>
          <rPr>
            <b/>
            <sz val="9"/>
            <color indexed="81"/>
            <rFont val="Tahoma"/>
            <family val="2"/>
          </rPr>
          <t>ML:
number of replicates</t>
        </r>
        <r>
          <rPr>
            <sz val="9"/>
            <color indexed="81"/>
            <rFont val="Tahoma"/>
            <family val="2"/>
          </rPr>
          <t xml:space="preserve">
</t>
        </r>
      </text>
    </comment>
    <comment ref="GW1" authorId="0" shapeId="0" xr:uid="{59837459-67BC-4EB5-A04F-CB0738C56EED}">
      <text>
        <r>
          <rPr>
            <b/>
            <sz val="9"/>
            <color indexed="81"/>
            <rFont val="Tahoma"/>
            <family val="2"/>
          </rPr>
          <t>ML:
number of replicates</t>
        </r>
        <r>
          <rPr>
            <sz val="9"/>
            <color indexed="81"/>
            <rFont val="Tahoma"/>
            <family val="2"/>
          </rPr>
          <t xml:space="preserve">
</t>
        </r>
      </text>
    </comment>
    <comment ref="HA1" authorId="0" shapeId="0" xr:uid="{02AA2216-249E-48BC-BC78-0FB0DF32222F}">
      <text>
        <r>
          <rPr>
            <b/>
            <sz val="9"/>
            <color indexed="81"/>
            <rFont val="宋体"/>
            <family val="3"/>
            <charset val="134"/>
          </rPr>
          <t>Author:</t>
        </r>
        <r>
          <rPr>
            <sz val="9"/>
            <color indexed="81"/>
            <rFont val="宋体"/>
            <family val="3"/>
            <charset val="134"/>
          </rPr>
          <t xml:space="preserve">
Bulk Density</t>
        </r>
      </text>
    </comment>
    <comment ref="HE1" authorId="0" shapeId="0" xr:uid="{7F3D63E2-9683-4CD6-AA49-61096EDD80C5}">
      <text>
        <r>
          <rPr>
            <b/>
            <sz val="9"/>
            <color indexed="81"/>
            <rFont val="Tahoma"/>
            <family val="2"/>
          </rPr>
          <t>ML:
number of replicates</t>
        </r>
        <r>
          <rPr>
            <sz val="9"/>
            <color indexed="81"/>
            <rFont val="Tahoma"/>
            <family val="2"/>
          </rPr>
          <t xml:space="preserve">
</t>
        </r>
      </text>
    </comment>
    <comment ref="HI1" authorId="0" shapeId="0" xr:uid="{829830B4-0CDF-4641-99CA-A529B5E8D1F7}">
      <text>
        <r>
          <rPr>
            <b/>
            <sz val="9"/>
            <color indexed="81"/>
            <rFont val="Tahoma"/>
            <family val="2"/>
          </rPr>
          <t>ML:
number of replicates</t>
        </r>
        <r>
          <rPr>
            <sz val="9"/>
            <color indexed="81"/>
            <rFont val="Tahoma"/>
            <family val="2"/>
          </rPr>
          <t xml:space="preserve">
</t>
        </r>
      </text>
    </comment>
    <comment ref="HP1" authorId="0" shapeId="0" xr:uid="{DA80CE14-A147-4140-AFBC-40A1A7EE0E85}">
      <text>
        <r>
          <rPr>
            <b/>
            <sz val="9"/>
            <color indexed="81"/>
            <rFont val="Tahoma"/>
            <family val="2"/>
          </rPr>
          <t>ML:
number of replicates</t>
        </r>
        <r>
          <rPr>
            <sz val="9"/>
            <color indexed="81"/>
            <rFont val="Tahoma"/>
            <family val="2"/>
          </rPr>
          <t xml:space="preserve">
</t>
        </r>
      </text>
    </comment>
    <comment ref="HT1" authorId="0" shapeId="0" xr:uid="{36C5DD48-D878-4B26-AA15-B9F5F4AA916A}">
      <text>
        <r>
          <rPr>
            <b/>
            <sz val="9"/>
            <color indexed="81"/>
            <rFont val="Tahoma"/>
            <family val="2"/>
          </rPr>
          <t>ML:
number of replicates</t>
        </r>
        <r>
          <rPr>
            <sz val="9"/>
            <color indexed="81"/>
            <rFont val="Tahoma"/>
            <family val="2"/>
          </rPr>
          <t xml:space="preserve">
</t>
        </r>
      </text>
    </comment>
    <comment ref="IA1" authorId="0" shapeId="0" xr:uid="{0C8E2F63-DEBD-40E0-872E-F28E5D5C13FE}">
      <text>
        <r>
          <rPr>
            <b/>
            <sz val="9"/>
            <color indexed="81"/>
            <rFont val="Tahoma"/>
            <family val="2"/>
          </rPr>
          <t>ML:
number of replicates</t>
        </r>
        <r>
          <rPr>
            <sz val="9"/>
            <color indexed="81"/>
            <rFont val="Tahoma"/>
            <family val="2"/>
          </rPr>
          <t xml:space="preserve">
</t>
        </r>
      </text>
    </comment>
    <comment ref="IE1" authorId="0" shapeId="0" xr:uid="{27E5E4D0-D95A-4BA5-AD45-DAFFEC1146F7}">
      <text>
        <r>
          <rPr>
            <b/>
            <sz val="9"/>
            <color indexed="81"/>
            <rFont val="Tahoma"/>
            <family val="2"/>
          </rPr>
          <t>ML:
number of replicates</t>
        </r>
        <r>
          <rPr>
            <sz val="9"/>
            <color indexed="81"/>
            <rFont val="Tahoma"/>
            <family val="2"/>
          </rPr>
          <t xml:space="preserve">
</t>
        </r>
      </text>
    </comment>
    <comment ref="IM1" authorId="0" shapeId="0" xr:uid="{6880B949-B57D-47E6-98A4-76FD6B4FB6B2}">
      <text>
        <r>
          <rPr>
            <b/>
            <sz val="9"/>
            <color indexed="81"/>
            <rFont val="Tahoma"/>
            <family val="2"/>
          </rPr>
          <t>ML:
number of replicates</t>
        </r>
        <r>
          <rPr>
            <sz val="9"/>
            <color indexed="81"/>
            <rFont val="Tahoma"/>
            <family val="2"/>
          </rPr>
          <t xml:space="preserve">
</t>
        </r>
      </text>
    </comment>
    <comment ref="IQ1" authorId="0" shapeId="0" xr:uid="{1391A4DA-94A4-4BC0-9DE9-36FADF41457E}">
      <text>
        <r>
          <rPr>
            <b/>
            <sz val="9"/>
            <color indexed="81"/>
            <rFont val="Tahoma"/>
            <family val="2"/>
          </rPr>
          <t>ML:
number of replicates</t>
        </r>
        <r>
          <rPr>
            <sz val="9"/>
            <color indexed="81"/>
            <rFont val="Tahoma"/>
            <family val="2"/>
          </rPr>
          <t xml:space="preserve">
</t>
        </r>
      </text>
    </comment>
    <comment ref="IY1" authorId="0" shapeId="0" xr:uid="{E1632CF6-D13B-4CBC-ABEC-30F2CC2868DA}">
      <text>
        <r>
          <rPr>
            <b/>
            <sz val="9"/>
            <color indexed="81"/>
            <rFont val="Tahoma"/>
            <family val="2"/>
          </rPr>
          <t>ML:
number of replicates</t>
        </r>
        <r>
          <rPr>
            <sz val="9"/>
            <color indexed="81"/>
            <rFont val="Tahoma"/>
            <family val="2"/>
          </rPr>
          <t xml:space="preserve">
</t>
        </r>
      </text>
    </comment>
    <comment ref="JC1" authorId="0" shapeId="0" xr:uid="{3E6BE6FD-B231-48B7-86B3-0EC93C73B8D8}">
      <text>
        <r>
          <rPr>
            <b/>
            <sz val="9"/>
            <color indexed="81"/>
            <rFont val="Tahoma"/>
            <family val="2"/>
          </rPr>
          <t>ML:
number of replicates</t>
        </r>
        <r>
          <rPr>
            <sz val="9"/>
            <color indexed="81"/>
            <rFont val="Tahoma"/>
            <family val="2"/>
          </rPr>
          <t xml:space="preserve">
</t>
        </r>
      </text>
    </comment>
    <comment ref="JJ1" authorId="0" shapeId="0" xr:uid="{7D7BFE58-C557-4647-84BE-0A7CAC2CE36F}">
      <text>
        <r>
          <rPr>
            <b/>
            <sz val="9"/>
            <color indexed="81"/>
            <rFont val="Tahoma"/>
            <family val="2"/>
          </rPr>
          <t>ML:
number of replicates</t>
        </r>
        <r>
          <rPr>
            <sz val="9"/>
            <color indexed="81"/>
            <rFont val="Tahoma"/>
            <family val="2"/>
          </rPr>
          <t xml:space="preserve">
</t>
        </r>
      </text>
    </comment>
    <comment ref="JN1" authorId="0" shapeId="0" xr:uid="{C842FCBD-AC47-456D-9755-3865F86A8212}">
      <text>
        <r>
          <rPr>
            <b/>
            <sz val="9"/>
            <color indexed="81"/>
            <rFont val="Tahoma"/>
            <family val="2"/>
          </rPr>
          <t>ML:
number of replicates</t>
        </r>
        <r>
          <rPr>
            <sz val="9"/>
            <color indexed="81"/>
            <rFont val="Tahoma"/>
            <family val="2"/>
          </rPr>
          <t xml:space="preserve">
</t>
        </r>
      </text>
    </comment>
    <comment ref="JU1" authorId="0" shapeId="0" xr:uid="{DD6FBADA-B1EA-41BE-8BC0-1603D97DC8E1}">
      <text>
        <r>
          <rPr>
            <b/>
            <sz val="9"/>
            <color indexed="81"/>
            <rFont val="Tahoma"/>
            <family val="2"/>
          </rPr>
          <t>ML:
number of replicates</t>
        </r>
        <r>
          <rPr>
            <sz val="9"/>
            <color indexed="81"/>
            <rFont val="Tahoma"/>
            <family val="2"/>
          </rPr>
          <t xml:space="preserve">
</t>
        </r>
      </text>
    </comment>
    <comment ref="JY1" authorId="0" shapeId="0" xr:uid="{17265E84-0715-4960-991E-4CB61B779B4B}">
      <text>
        <r>
          <rPr>
            <b/>
            <sz val="9"/>
            <color indexed="81"/>
            <rFont val="Tahoma"/>
            <family val="2"/>
          </rPr>
          <t>ML:
number of replicates</t>
        </r>
        <r>
          <rPr>
            <sz val="9"/>
            <color indexed="81"/>
            <rFont val="Tahoma"/>
            <family val="2"/>
          </rPr>
          <t xml:space="preserve">
</t>
        </r>
      </text>
    </comment>
    <comment ref="KG1" authorId="0" shapeId="0" xr:uid="{CB03AF5D-43C7-447C-A017-FAF186CB05C1}">
      <text>
        <r>
          <rPr>
            <b/>
            <sz val="9"/>
            <color indexed="81"/>
            <rFont val="Tahoma"/>
            <family val="2"/>
          </rPr>
          <t>ML:
number of replicates</t>
        </r>
        <r>
          <rPr>
            <sz val="9"/>
            <color indexed="81"/>
            <rFont val="Tahoma"/>
            <family val="2"/>
          </rPr>
          <t xml:space="preserve">
</t>
        </r>
      </text>
    </comment>
    <comment ref="KJ1" authorId="0" shapeId="0" xr:uid="{428B0FD1-B78A-4229-9056-8A935EF16F0D}">
      <text>
        <r>
          <rPr>
            <b/>
            <sz val="9"/>
            <color indexed="81"/>
            <rFont val="Tahoma"/>
            <family val="2"/>
          </rPr>
          <t>ML:
number of replicates</t>
        </r>
        <r>
          <rPr>
            <sz val="9"/>
            <color indexed="81"/>
            <rFont val="Tahoma"/>
            <family val="2"/>
          </rPr>
          <t xml:space="preserve">
</t>
        </r>
      </text>
    </comment>
    <comment ref="KK1" authorId="0" shapeId="0" xr:uid="{921F81F1-8189-400D-A7CF-3D58119D8AE0}">
      <text>
        <r>
          <rPr>
            <b/>
            <sz val="9"/>
            <color indexed="81"/>
            <rFont val="Tahoma"/>
            <family val="2"/>
          </rPr>
          <t>ML:
Soil total nitrogen</t>
        </r>
        <r>
          <rPr>
            <sz val="9"/>
            <color indexed="81"/>
            <rFont val="Tahoma"/>
            <family val="2"/>
          </rPr>
          <t xml:space="preserve">
</t>
        </r>
      </text>
    </comment>
    <comment ref="KO1" authorId="0" shapeId="0" xr:uid="{A721C181-B154-45A6-B356-CB2488F4D98F}">
      <text>
        <r>
          <rPr>
            <b/>
            <sz val="9"/>
            <color indexed="81"/>
            <rFont val="Tahoma"/>
            <family val="2"/>
          </rPr>
          <t>ML:
number of replicates</t>
        </r>
        <r>
          <rPr>
            <sz val="9"/>
            <color indexed="81"/>
            <rFont val="Tahoma"/>
            <family val="2"/>
          </rPr>
          <t xml:space="preserve">
</t>
        </r>
      </text>
    </comment>
    <comment ref="KS1" authorId="0" shapeId="0" xr:uid="{A672D23D-E93F-4B32-8EBF-77D072D37DA2}">
      <text>
        <r>
          <rPr>
            <b/>
            <sz val="9"/>
            <color indexed="81"/>
            <rFont val="Tahoma"/>
            <family val="2"/>
          </rPr>
          <t>ML:
number of replicates</t>
        </r>
        <r>
          <rPr>
            <sz val="9"/>
            <color indexed="81"/>
            <rFont val="Tahoma"/>
            <family val="2"/>
          </rPr>
          <t xml:space="preserve">
</t>
        </r>
      </text>
    </comment>
    <comment ref="KZ1" authorId="0" shapeId="0" xr:uid="{46E7735C-1903-497B-B192-E02B0E11D979}">
      <text>
        <r>
          <rPr>
            <b/>
            <sz val="9"/>
            <color indexed="81"/>
            <rFont val="Tahoma"/>
            <family val="2"/>
          </rPr>
          <t>ML:
number of replicates</t>
        </r>
        <r>
          <rPr>
            <sz val="9"/>
            <color indexed="81"/>
            <rFont val="Tahoma"/>
            <family val="2"/>
          </rPr>
          <t xml:space="preserve">
</t>
        </r>
      </text>
    </comment>
    <comment ref="LD1" authorId="0" shapeId="0" xr:uid="{1EAA093C-0364-4DAD-9555-F6B14141D65A}">
      <text>
        <r>
          <rPr>
            <b/>
            <sz val="9"/>
            <color indexed="81"/>
            <rFont val="Tahoma"/>
            <family val="2"/>
          </rPr>
          <t>ML:
number of replicates</t>
        </r>
        <r>
          <rPr>
            <sz val="9"/>
            <color indexed="81"/>
            <rFont val="Tahoma"/>
            <family val="2"/>
          </rPr>
          <t xml:space="preserve">
</t>
        </r>
      </text>
    </comment>
    <comment ref="LK1" authorId="0" shapeId="0" xr:uid="{6B2FD8A3-6DD7-4383-B40D-807C403CC48B}">
      <text>
        <r>
          <rPr>
            <b/>
            <sz val="9"/>
            <color indexed="81"/>
            <rFont val="Tahoma"/>
            <family val="2"/>
          </rPr>
          <t>ML:
number of replicates</t>
        </r>
        <r>
          <rPr>
            <sz val="9"/>
            <color indexed="81"/>
            <rFont val="Tahoma"/>
            <family val="2"/>
          </rPr>
          <t xml:space="preserve">
</t>
        </r>
      </text>
    </comment>
    <comment ref="LO1" authorId="0" shapeId="0" xr:uid="{09819DC5-887B-40B5-B5BF-EAF928DDF61B}">
      <text>
        <r>
          <rPr>
            <b/>
            <sz val="9"/>
            <color indexed="81"/>
            <rFont val="Tahoma"/>
            <family val="2"/>
          </rPr>
          <t>ML:
number of replicates</t>
        </r>
        <r>
          <rPr>
            <sz val="9"/>
            <color indexed="81"/>
            <rFont val="Tahoma"/>
            <family val="2"/>
          </rPr>
          <t xml:space="preserve">
</t>
        </r>
      </text>
    </comment>
    <comment ref="LS1" authorId="0" shapeId="0" xr:uid="{3A50B6FD-54AF-42A7-ADC1-32F6673F65A2}">
      <text>
        <r>
          <rPr>
            <b/>
            <sz val="9"/>
            <color indexed="81"/>
            <rFont val="Tahoma"/>
            <family val="2"/>
          </rPr>
          <t>ML:
carbon nitrogen ratio</t>
        </r>
        <r>
          <rPr>
            <sz val="9"/>
            <color indexed="81"/>
            <rFont val="Tahoma"/>
            <family val="2"/>
          </rPr>
          <t xml:space="preserve">
</t>
        </r>
      </text>
    </comment>
    <comment ref="LW1" authorId="0" shapeId="0" xr:uid="{EC648BCE-2493-4085-A846-ED92317520FB}">
      <text>
        <r>
          <rPr>
            <b/>
            <sz val="9"/>
            <color indexed="81"/>
            <rFont val="Tahoma"/>
            <family val="2"/>
          </rPr>
          <t>ML:
number of replicates</t>
        </r>
        <r>
          <rPr>
            <sz val="9"/>
            <color indexed="81"/>
            <rFont val="Tahoma"/>
            <family val="2"/>
          </rPr>
          <t xml:space="preserve">
</t>
        </r>
      </text>
    </comment>
    <comment ref="MA1" authorId="0" shapeId="0" xr:uid="{2E85E45D-C673-46EE-A7AE-5E374EF8B7D0}">
      <text>
        <r>
          <rPr>
            <b/>
            <sz val="9"/>
            <color indexed="81"/>
            <rFont val="Tahoma"/>
            <family val="2"/>
          </rPr>
          <t>ML:
number of replicates</t>
        </r>
        <r>
          <rPr>
            <sz val="9"/>
            <color indexed="81"/>
            <rFont val="Tahoma"/>
            <family val="2"/>
          </rPr>
          <t xml:space="preserve">
</t>
        </r>
      </text>
    </comment>
    <comment ref="MH1" authorId="0" shapeId="0" xr:uid="{2AC3F9D5-CA99-4507-9F7E-DD4700517641}">
      <text>
        <r>
          <rPr>
            <b/>
            <sz val="9"/>
            <color indexed="81"/>
            <rFont val="Tahoma"/>
            <family val="2"/>
          </rPr>
          <t>ML:
number of replicates</t>
        </r>
        <r>
          <rPr>
            <sz val="9"/>
            <color indexed="81"/>
            <rFont val="Tahoma"/>
            <family val="2"/>
          </rPr>
          <t xml:space="preserve">
</t>
        </r>
      </text>
    </comment>
    <comment ref="ML1" authorId="0" shapeId="0" xr:uid="{6D89BCDE-4938-423F-8F84-C7BBB1ECEE38}">
      <text>
        <r>
          <rPr>
            <b/>
            <sz val="9"/>
            <color indexed="81"/>
            <rFont val="Tahoma"/>
            <family val="2"/>
          </rPr>
          <t>ML:
number of replicates</t>
        </r>
        <r>
          <rPr>
            <sz val="9"/>
            <color indexed="81"/>
            <rFont val="Tahoma"/>
            <family val="2"/>
          </rPr>
          <t xml:space="preserve">
</t>
        </r>
      </text>
    </comment>
    <comment ref="MS1" authorId="0" shapeId="0" xr:uid="{6DD326F0-5121-436A-901B-D5CE407CE738}">
      <text>
        <r>
          <rPr>
            <b/>
            <sz val="9"/>
            <color indexed="81"/>
            <rFont val="Tahoma"/>
            <family val="2"/>
          </rPr>
          <t>ML:
number of replicates</t>
        </r>
        <r>
          <rPr>
            <sz val="9"/>
            <color indexed="81"/>
            <rFont val="Tahoma"/>
            <family val="2"/>
          </rPr>
          <t xml:space="preserve">
</t>
        </r>
      </text>
    </comment>
    <comment ref="MW1" authorId="0" shapeId="0" xr:uid="{C10C3C08-740C-4926-8C44-FB2D548C78E4}">
      <text>
        <r>
          <rPr>
            <b/>
            <sz val="9"/>
            <color indexed="81"/>
            <rFont val="Tahoma"/>
            <family val="2"/>
          </rPr>
          <t>ML:
number of replicates</t>
        </r>
        <r>
          <rPr>
            <sz val="9"/>
            <color indexed="81"/>
            <rFont val="Tahoma"/>
            <family val="2"/>
          </rPr>
          <t xml:space="preserve">
</t>
        </r>
      </text>
    </comment>
    <comment ref="NE1" authorId="0" shapeId="0" xr:uid="{CB2CE9AD-54E7-4FC3-B246-9A813B510172}">
      <text>
        <r>
          <rPr>
            <b/>
            <sz val="9"/>
            <color indexed="81"/>
            <rFont val="Tahoma"/>
            <family val="2"/>
          </rPr>
          <t>ML:
number of replicates</t>
        </r>
        <r>
          <rPr>
            <sz val="9"/>
            <color indexed="81"/>
            <rFont val="Tahoma"/>
            <family val="2"/>
          </rPr>
          <t xml:space="preserve">
</t>
        </r>
      </text>
    </comment>
    <comment ref="NI1" authorId="0" shapeId="0" xr:uid="{FF0BF113-1185-447F-9C71-514F9D28F199}">
      <text>
        <r>
          <rPr>
            <b/>
            <sz val="9"/>
            <color indexed="81"/>
            <rFont val="Tahoma"/>
            <family val="2"/>
          </rPr>
          <t>ML:
number of replicates</t>
        </r>
        <r>
          <rPr>
            <sz val="9"/>
            <color indexed="81"/>
            <rFont val="Tahoma"/>
            <family val="2"/>
          </rPr>
          <t xml:space="preserve">
</t>
        </r>
      </text>
    </comment>
    <comment ref="NQ1" authorId="0" shapeId="0" xr:uid="{C6BB2C4A-8773-4511-AA2E-76AC6AF8DC70}">
      <text>
        <r>
          <rPr>
            <b/>
            <sz val="9"/>
            <color indexed="81"/>
            <rFont val="Tahoma"/>
            <family val="2"/>
          </rPr>
          <t>ML:
number of replicates</t>
        </r>
        <r>
          <rPr>
            <sz val="9"/>
            <color indexed="81"/>
            <rFont val="Tahoma"/>
            <family val="2"/>
          </rPr>
          <t xml:space="preserve">
</t>
        </r>
      </text>
    </comment>
    <comment ref="NU1" authorId="0" shapeId="0" xr:uid="{722FDB99-E452-4FE3-BEC4-9DE03B152F7E}">
      <text>
        <r>
          <rPr>
            <b/>
            <sz val="9"/>
            <color indexed="81"/>
            <rFont val="Tahoma"/>
            <family val="2"/>
          </rPr>
          <t>ML:
number of replicates</t>
        </r>
        <r>
          <rPr>
            <sz val="9"/>
            <color indexed="81"/>
            <rFont val="Tahoma"/>
            <family val="2"/>
          </rPr>
          <t xml:space="preserve">
</t>
        </r>
      </text>
    </comment>
    <comment ref="NY1" authorId="0" shapeId="0" xr:uid="{A90CA72F-8318-4682-B198-66032547320A}">
      <text>
        <r>
          <rPr>
            <b/>
            <sz val="9"/>
            <color indexed="81"/>
            <rFont val="Tahoma"/>
            <family val="2"/>
          </rPr>
          <t>Author:</t>
        </r>
        <r>
          <rPr>
            <sz val="9"/>
            <color indexed="81"/>
            <rFont val="Tahoma"/>
            <family val="2"/>
          </rPr>
          <t xml:space="preserve">
Microbial biomass C</t>
        </r>
      </text>
    </comment>
    <comment ref="OC1" authorId="0" shapeId="0" xr:uid="{19371E74-BFA3-4351-A7D8-CB6A3B330EC2}">
      <text>
        <r>
          <rPr>
            <b/>
            <sz val="9"/>
            <color indexed="81"/>
            <rFont val="Tahoma"/>
            <family val="2"/>
          </rPr>
          <t>ML:
number of replicates</t>
        </r>
        <r>
          <rPr>
            <sz val="9"/>
            <color indexed="81"/>
            <rFont val="Tahoma"/>
            <family val="2"/>
          </rPr>
          <t xml:space="preserve">
</t>
        </r>
      </text>
    </comment>
    <comment ref="OG1" authorId="0" shapeId="0" xr:uid="{D4EF5ACE-2843-43F2-8FCE-B846360C9AA7}">
      <text>
        <r>
          <rPr>
            <b/>
            <sz val="9"/>
            <color indexed="81"/>
            <rFont val="Tahoma"/>
            <family val="2"/>
          </rPr>
          <t>ML:
number of replicates</t>
        </r>
        <r>
          <rPr>
            <sz val="9"/>
            <color indexed="81"/>
            <rFont val="Tahoma"/>
            <family val="2"/>
          </rPr>
          <t xml:space="preserve">
</t>
        </r>
      </text>
    </comment>
    <comment ref="OK1" authorId="0" shapeId="0" xr:uid="{B00EC194-0F91-45DC-84C7-4DEDFECDB1D5}">
      <text>
        <r>
          <rPr>
            <b/>
            <sz val="9"/>
            <color indexed="81"/>
            <rFont val="Tahoma"/>
            <family val="2"/>
          </rPr>
          <t>Author:</t>
        </r>
        <r>
          <rPr>
            <sz val="9"/>
            <color indexed="81"/>
            <rFont val="Tahoma"/>
            <family val="2"/>
          </rPr>
          <t xml:space="preserve">
Microbial biomass N</t>
        </r>
      </text>
    </comment>
    <comment ref="OO1" authorId="0" shapeId="0" xr:uid="{A9450528-0A82-4693-B71A-F80F4C196F43}">
      <text>
        <r>
          <rPr>
            <b/>
            <sz val="9"/>
            <color indexed="81"/>
            <rFont val="Tahoma"/>
            <family val="2"/>
          </rPr>
          <t>ML:
number of replicates</t>
        </r>
        <r>
          <rPr>
            <sz val="9"/>
            <color indexed="81"/>
            <rFont val="Tahoma"/>
            <family val="2"/>
          </rPr>
          <t xml:space="preserve">
</t>
        </r>
      </text>
    </comment>
    <comment ref="OR1" authorId="0" shapeId="0" xr:uid="{51D9052E-A76F-4E64-96D6-3F7D0A4B07C9}">
      <text>
        <r>
          <rPr>
            <b/>
            <sz val="9"/>
            <color indexed="81"/>
            <rFont val="Tahoma"/>
            <family val="2"/>
          </rPr>
          <t>ML:
number of replicates</t>
        </r>
        <r>
          <rPr>
            <sz val="9"/>
            <color indexed="81"/>
            <rFont val="Tahoma"/>
            <family val="2"/>
          </rPr>
          <t xml:space="preserve">
</t>
        </r>
      </text>
    </comment>
    <comment ref="OU1" authorId="0" shapeId="0" xr:uid="{86D69510-6E10-45E2-BEB0-58294E136AFF}">
      <text>
        <r>
          <rPr>
            <b/>
            <sz val="9"/>
            <color indexed="81"/>
            <rFont val="Tahoma"/>
            <family val="2"/>
          </rPr>
          <t>Author:</t>
        </r>
        <r>
          <rPr>
            <sz val="9"/>
            <color indexed="81"/>
            <rFont val="Tahoma"/>
            <family val="2"/>
          </rPr>
          <t xml:space="preserve">
Dissolved organic carbon</t>
        </r>
      </text>
    </comment>
    <comment ref="OY1" authorId="0" shapeId="0" xr:uid="{7360D9BE-BF4D-4A4C-99F8-1B704DC86C0C}">
      <text>
        <r>
          <rPr>
            <b/>
            <sz val="9"/>
            <color indexed="81"/>
            <rFont val="Tahoma"/>
            <family val="2"/>
          </rPr>
          <t>ML:
number of replicates</t>
        </r>
        <r>
          <rPr>
            <sz val="9"/>
            <color indexed="81"/>
            <rFont val="Tahoma"/>
            <family val="2"/>
          </rPr>
          <t xml:space="preserve">
</t>
        </r>
      </text>
    </comment>
    <comment ref="PB1" authorId="0" shapeId="0" xr:uid="{0B45029C-2B62-4A62-9CCC-9E563B46F34B}">
      <text>
        <r>
          <rPr>
            <b/>
            <sz val="9"/>
            <color indexed="81"/>
            <rFont val="Tahoma"/>
            <family val="2"/>
          </rPr>
          <t>ML:
number of replicates</t>
        </r>
        <r>
          <rPr>
            <sz val="9"/>
            <color indexed="81"/>
            <rFont val="Tahoma"/>
            <family val="2"/>
          </rPr>
          <t xml:space="preserve">
</t>
        </r>
      </text>
    </comment>
    <comment ref="PE1" authorId="0" shapeId="0" xr:uid="{C8712259-95C7-44D4-9B6B-A16FAADC56A1}">
      <text>
        <r>
          <rPr>
            <b/>
            <sz val="9"/>
            <color indexed="81"/>
            <rFont val="Tahoma"/>
            <family val="2"/>
          </rPr>
          <t>Author:</t>
        </r>
        <r>
          <rPr>
            <sz val="9"/>
            <color indexed="81"/>
            <rFont val="Tahoma"/>
            <family val="2"/>
          </rPr>
          <t xml:space="preserve">
Dissolved organic nitrogen</t>
        </r>
      </text>
    </comment>
    <comment ref="PI1" authorId="0" shapeId="0" xr:uid="{8052538B-F71B-4E33-9D29-9D3658CC064D}">
      <text>
        <r>
          <rPr>
            <b/>
            <sz val="9"/>
            <color indexed="81"/>
            <rFont val="Tahoma"/>
            <family val="2"/>
          </rPr>
          <t>ML:
number of replicates</t>
        </r>
        <r>
          <rPr>
            <sz val="9"/>
            <color indexed="81"/>
            <rFont val="Tahoma"/>
            <family val="2"/>
          </rPr>
          <t xml:space="preserve">
</t>
        </r>
      </text>
    </comment>
    <comment ref="PL1" authorId="0" shapeId="0" xr:uid="{4D156FD9-BF02-4FE1-80A4-B5E688961897}">
      <text>
        <r>
          <rPr>
            <b/>
            <sz val="9"/>
            <color indexed="81"/>
            <rFont val="Tahoma"/>
            <family val="2"/>
          </rPr>
          <t>ML:
number of replicates</t>
        </r>
        <r>
          <rPr>
            <sz val="9"/>
            <color indexed="81"/>
            <rFont val="Tahoma"/>
            <family val="2"/>
          </rPr>
          <t xml:space="preserve">
</t>
        </r>
      </text>
    </comment>
    <comment ref="PO1" authorId="0" shapeId="0" xr:uid="{339C9105-786B-4038-8B73-1F2C9E13CB4B}">
      <text>
        <r>
          <rPr>
            <b/>
            <sz val="9"/>
            <color indexed="81"/>
            <rFont val="宋体"/>
            <family val="3"/>
            <charset val="134"/>
          </rPr>
          <t>Author:</t>
        </r>
        <r>
          <rPr>
            <sz val="9"/>
            <color indexed="81"/>
            <rFont val="宋体"/>
            <family val="3"/>
            <charset val="134"/>
          </rPr>
          <t xml:space="preserve">
Dissolved total P </t>
        </r>
      </text>
    </comment>
    <comment ref="PS1" authorId="0" shapeId="0" xr:uid="{F3AC154F-C526-40CD-AB9B-145D615B1B11}">
      <text>
        <r>
          <rPr>
            <b/>
            <sz val="9"/>
            <color indexed="81"/>
            <rFont val="Tahoma"/>
            <family val="2"/>
          </rPr>
          <t>ML:
number of replicates</t>
        </r>
        <r>
          <rPr>
            <sz val="9"/>
            <color indexed="81"/>
            <rFont val="Tahoma"/>
            <family val="2"/>
          </rPr>
          <t xml:space="preserve">
</t>
        </r>
      </text>
    </comment>
    <comment ref="PV1" authorId="0" shapeId="0" xr:uid="{85FED736-9336-423A-82FD-7E42E40BA320}">
      <text>
        <r>
          <rPr>
            <b/>
            <sz val="9"/>
            <color indexed="81"/>
            <rFont val="Tahoma"/>
            <family val="2"/>
          </rPr>
          <t>ML:
number of replicates</t>
        </r>
        <r>
          <rPr>
            <sz val="9"/>
            <color indexed="81"/>
            <rFont val="Tahoma"/>
            <family val="2"/>
          </rPr>
          <t xml:space="preserve">
</t>
        </r>
      </text>
    </comment>
    <comment ref="PY1" authorId="0" shapeId="0" xr:uid="{E7158389-7EB4-4701-AE01-337F67BD45B9}">
      <text>
        <r>
          <rPr>
            <b/>
            <sz val="9"/>
            <color indexed="81"/>
            <rFont val="Tahoma"/>
            <family val="2"/>
          </rPr>
          <t>ML:
Aboveground biomass</t>
        </r>
        <r>
          <rPr>
            <sz val="9"/>
            <color indexed="81"/>
            <rFont val="Tahoma"/>
            <family val="2"/>
          </rPr>
          <t xml:space="preserve">
</t>
        </r>
      </text>
    </comment>
    <comment ref="QB1" authorId="0" shapeId="0" xr:uid="{A1341FB1-5F19-434B-8E29-A5CB35C50908}">
      <text>
        <r>
          <rPr>
            <b/>
            <sz val="9"/>
            <color indexed="81"/>
            <rFont val="Tahoma"/>
            <family val="2"/>
          </rPr>
          <t>ML:
number of replicates</t>
        </r>
        <r>
          <rPr>
            <sz val="9"/>
            <color indexed="81"/>
            <rFont val="Tahoma"/>
            <family val="2"/>
          </rPr>
          <t xml:space="preserve">
</t>
        </r>
      </text>
    </comment>
    <comment ref="QF1" authorId="0" shapeId="0" xr:uid="{E28C290E-3EF3-498F-90D3-0122E36A715B}">
      <text>
        <r>
          <rPr>
            <b/>
            <sz val="9"/>
            <color indexed="81"/>
            <rFont val="Tahoma"/>
            <family val="2"/>
          </rPr>
          <t>ML:
number of replicates</t>
        </r>
        <r>
          <rPr>
            <sz val="9"/>
            <color indexed="81"/>
            <rFont val="Tahoma"/>
            <family val="2"/>
          </rPr>
          <t xml:space="preserve">
</t>
        </r>
      </text>
    </comment>
    <comment ref="QM1" authorId="0" shapeId="0" xr:uid="{F5C27B76-15D2-429E-936C-6FB1D23C0840}">
      <text>
        <r>
          <rPr>
            <b/>
            <sz val="9"/>
            <color indexed="81"/>
            <rFont val="Tahoma"/>
            <family val="2"/>
          </rPr>
          <t>ML:
number of replicates</t>
        </r>
        <r>
          <rPr>
            <sz val="9"/>
            <color indexed="81"/>
            <rFont val="Tahoma"/>
            <family val="2"/>
          </rPr>
          <t xml:space="preserve">
</t>
        </r>
      </text>
    </comment>
    <comment ref="QP1" authorId="0" shapeId="0" xr:uid="{020324C8-A185-40EC-A7CB-0B70294CE34B}">
      <text>
        <r>
          <rPr>
            <b/>
            <sz val="9"/>
            <color indexed="81"/>
            <rFont val="Tahoma"/>
            <family val="2"/>
          </rPr>
          <t>ML:
number of replicates</t>
        </r>
        <r>
          <rPr>
            <sz val="9"/>
            <color indexed="81"/>
            <rFont val="Tahoma"/>
            <family val="2"/>
          </rPr>
          <t xml:space="preserve">
</t>
        </r>
      </text>
    </comment>
    <comment ref="QW1" authorId="0" shapeId="0" xr:uid="{B927FF03-B045-42F0-8940-FE8570147D2E}">
      <text>
        <r>
          <rPr>
            <b/>
            <sz val="9"/>
            <color indexed="81"/>
            <rFont val="Tahoma"/>
            <family val="2"/>
          </rPr>
          <t>ML:
number of replicates</t>
        </r>
        <r>
          <rPr>
            <sz val="9"/>
            <color indexed="81"/>
            <rFont val="Tahoma"/>
            <family val="2"/>
          </rPr>
          <t xml:space="preserve">
</t>
        </r>
      </text>
    </comment>
    <comment ref="QZ1" authorId="0" shapeId="0" xr:uid="{CC52DA75-0A4F-4BA8-8787-DB23D7268A25}">
      <text>
        <r>
          <rPr>
            <b/>
            <sz val="9"/>
            <color indexed="81"/>
            <rFont val="Tahoma"/>
            <family val="2"/>
          </rPr>
          <t>ML:
number of replicates</t>
        </r>
        <r>
          <rPr>
            <sz val="9"/>
            <color indexed="81"/>
            <rFont val="Tahoma"/>
            <family val="2"/>
          </rPr>
          <t xml:space="preserve">
</t>
        </r>
      </text>
    </comment>
    <comment ref="RE1" authorId="0" shapeId="0" xr:uid="{944EA334-609B-400D-92E0-314744DEA289}">
      <text>
        <r>
          <rPr>
            <b/>
            <sz val="9"/>
            <color indexed="81"/>
            <rFont val="Tahoma"/>
            <family val="2"/>
          </rPr>
          <t>ML:
number of replicates</t>
        </r>
        <r>
          <rPr>
            <sz val="9"/>
            <color indexed="81"/>
            <rFont val="Tahoma"/>
            <family val="2"/>
          </rPr>
          <t xml:space="preserve">
</t>
        </r>
      </text>
    </comment>
    <comment ref="RH1" authorId="0" shapeId="0" xr:uid="{601EAD85-B05F-4033-9A15-9CCD4F752AEC}">
      <text>
        <r>
          <rPr>
            <b/>
            <sz val="9"/>
            <color indexed="81"/>
            <rFont val="Tahoma"/>
            <family val="2"/>
          </rPr>
          <t>ML:
number of replicates</t>
        </r>
        <r>
          <rPr>
            <sz val="9"/>
            <color indexed="81"/>
            <rFont val="Tahoma"/>
            <family val="2"/>
          </rPr>
          <t xml:space="preserve">
</t>
        </r>
      </text>
    </comment>
    <comment ref="RM1" authorId="0" shapeId="0" xr:uid="{94AC2EF6-A712-46C1-A87D-379A742E53BB}">
      <text>
        <r>
          <rPr>
            <b/>
            <sz val="9"/>
            <color indexed="81"/>
            <rFont val="Tahoma"/>
            <family val="2"/>
          </rPr>
          <t>ML:
number of replicates</t>
        </r>
        <r>
          <rPr>
            <sz val="9"/>
            <color indexed="81"/>
            <rFont val="Tahoma"/>
            <family val="2"/>
          </rPr>
          <t xml:space="preserve">
</t>
        </r>
      </text>
    </comment>
    <comment ref="RP1" authorId="0" shapeId="0" xr:uid="{719FD3D9-B865-403A-BDE9-4F1DAA6C0456}">
      <text>
        <r>
          <rPr>
            <b/>
            <sz val="9"/>
            <color indexed="81"/>
            <rFont val="Tahoma"/>
            <family val="2"/>
          </rPr>
          <t>ML:
number of replicates</t>
        </r>
        <r>
          <rPr>
            <sz val="9"/>
            <color indexed="81"/>
            <rFont val="Tahoma"/>
            <family val="2"/>
          </rPr>
          <t xml:space="preserve">
</t>
        </r>
      </text>
    </comment>
    <comment ref="RU1" authorId="0" shapeId="0" xr:uid="{C2D78003-4330-44A4-B448-0079E257485A}">
      <text>
        <r>
          <rPr>
            <b/>
            <sz val="9"/>
            <color indexed="81"/>
            <rFont val="Tahoma"/>
            <family val="2"/>
          </rPr>
          <t>ML:
number of replicates</t>
        </r>
        <r>
          <rPr>
            <sz val="9"/>
            <color indexed="81"/>
            <rFont val="Tahoma"/>
            <family val="2"/>
          </rPr>
          <t xml:space="preserve">
</t>
        </r>
      </text>
    </comment>
    <comment ref="RX1" authorId="0" shapeId="0" xr:uid="{40697896-740D-4ABF-828A-61D8B361027F}">
      <text>
        <r>
          <rPr>
            <b/>
            <sz val="9"/>
            <color indexed="81"/>
            <rFont val="Tahoma"/>
            <family val="2"/>
          </rPr>
          <t>ML:
number of replicates</t>
        </r>
        <r>
          <rPr>
            <sz val="9"/>
            <color indexed="81"/>
            <rFont val="Tahoma"/>
            <family val="2"/>
          </rPr>
          <t xml:space="preserve">
</t>
        </r>
      </text>
    </comment>
    <comment ref="SC1" authorId="0" shapeId="0" xr:uid="{3439889B-AA67-4F9E-A861-E0173FCB1889}">
      <text>
        <r>
          <rPr>
            <b/>
            <sz val="9"/>
            <color indexed="81"/>
            <rFont val="Tahoma"/>
            <family val="2"/>
          </rPr>
          <t>ML:
number of replicates</t>
        </r>
        <r>
          <rPr>
            <sz val="9"/>
            <color indexed="81"/>
            <rFont val="Tahoma"/>
            <family val="2"/>
          </rPr>
          <t xml:space="preserve">
</t>
        </r>
      </text>
    </comment>
    <comment ref="SF1" authorId="0" shapeId="0" xr:uid="{0CDA5E06-342B-4383-B5C5-0A1FA336D5CC}">
      <text>
        <r>
          <rPr>
            <b/>
            <sz val="9"/>
            <color indexed="81"/>
            <rFont val="Tahoma"/>
            <family val="2"/>
          </rPr>
          <t>ML:
number of replicates</t>
        </r>
        <r>
          <rPr>
            <sz val="9"/>
            <color indexed="81"/>
            <rFont val="Tahoma"/>
            <family val="2"/>
          </rPr>
          <t xml:space="preserve">
</t>
        </r>
      </text>
    </comment>
    <comment ref="SG1" authorId="0" shapeId="0" xr:uid="{7BB4C1A5-89CC-44C5-A668-9F686AA8840E}">
      <text>
        <r>
          <rPr>
            <b/>
            <sz val="9"/>
            <color indexed="81"/>
            <rFont val="Tahoma"/>
            <family val="2"/>
          </rPr>
          <t>ML:
Soil phosphorus</t>
        </r>
      </text>
    </comment>
    <comment ref="SK1" authorId="0" shapeId="0" xr:uid="{EA43F8D7-1A0B-4141-9399-3BF0D4383F28}">
      <text>
        <r>
          <rPr>
            <b/>
            <sz val="9"/>
            <color indexed="81"/>
            <rFont val="Tahoma"/>
            <family val="2"/>
          </rPr>
          <t>ML:
number of replicates</t>
        </r>
        <r>
          <rPr>
            <sz val="9"/>
            <color indexed="81"/>
            <rFont val="Tahoma"/>
            <family val="2"/>
          </rPr>
          <t xml:space="preserve">
</t>
        </r>
      </text>
    </comment>
    <comment ref="SO1" authorId="0" shapeId="0" xr:uid="{769D5164-95C1-4A6E-8113-677CD469FF99}">
      <text>
        <r>
          <rPr>
            <b/>
            <sz val="9"/>
            <color indexed="81"/>
            <rFont val="Tahoma"/>
            <family val="2"/>
          </rPr>
          <t>ML:
number of replicates</t>
        </r>
        <r>
          <rPr>
            <sz val="9"/>
            <color indexed="81"/>
            <rFont val="Tahoma"/>
            <family val="2"/>
          </rPr>
          <t xml:space="preserve">
</t>
        </r>
      </text>
    </comment>
    <comment ref="SW1" authorId="0" shapeId="0" xr:uid="{11347505-26AD-4273-B0D4-FCE566BB89A0}">
      <text>
        <r>
          <rPr>
            <b/>
            <sz val="9"/>
            <color indexed="81"/>
            <rFont val="Tahoma"/>
            <family val="2"/>
          </rPr>
          <t>ML:
number of replicates</t>
        </r>
        <r>
          <rPr>
            <sz val="9"/>
            <color indexed="81"/>
            <rFont val="Tahoma"/>
            <family val="2"/>
          </rPr>
          <t xml:space="preserve">
</t>
        </r>
      </text>
    </comment>
    <comment ref="SZ1" authorId="0" shapeId="0" xr:uid="{57AC6CD6-A3A1-41D4-86BE-25E71D27F340}">
      <text>
        <r>
          <rPr>
            <b/>
            <sz val="9"/>
            <color indexed="81"/>
            <rFont val="Tahoma"/>
            <family val="2"/>
          </rPr>
          <t>ML:
number of replicates</t>
        </r>
        <r>
          <rPr>
            <sz val="9"/>
            <color indexed="81"/>
            <rFont val="Tahoma"/>
            <family val="2"/>
          </rPr>
          <t xml:space="preserve">
</t>
        </r>
      </text>
    </comment>
    <comment ref="TG1" authorId="0" shapeId="0" xr:uid="{324AC570-B6C9-43E3-B03C-1597264F61D2}">
      <text>
        <r>
          <rPr>
            <b/>
            <sz val="9"/>
            <color indexed="81"/>
            <rFont val="Tahoma"/>
            <family val="2"/>
          </rPr>
          <t>ML:
number of replicates</t>
        </r>
        <r>
          <rPr>
            <sz val="9"/>
            <color indexed="81"/>
            <rFont val="Tahoma"/>
            <family val="2"/>
          </rPr>
          <t xml:space="preserve">
</t>
        </r>
      </text>
    </comment>
    <comment ref="TJ1" authorId="0" shapeId="0" xr:uid="{73CA005F-59E5-4650-B0F4-7BE7B786EA61}">
      <text>
        <r>
          <rPr>
            <b/>
            <sz val="9"/>
            <color indexed="81"/>
            <rFont val="Tahoma"/>
            <family val="2"/>
          </rPr>
          <t>ML:
number of replicates</t>
        </r>
        <r>
          <rPr>
            <sz val="9"/>
            <color indexed="81"/>
            <rFont val="Tahoma"/>
            <family val="2"/>
          </rPr>
          <t xml:space="preserve">
</t>
        </r>
      </text>
    </comment>
    <comment ref="TQ1" authorId="0" shapeId="0" xr:uid="{942939AF-E985-4C40-8F81-7AADD646FF5A}">
      <text>
        <r>
          <rPr>
            <b/>
            <sz val="9"/>
            <color indexed="81"/>
            <rFont val="Tahoma"/>
            <family val="2"/>
          </rPr>
          <t>ML:
number of replicates</t>
        </r>
        <r>
          <rPr>
            <sz val="9"/>
            <color indexed="81"/>
            <rFont val="Tahoma"/>
            <family val="2"/>
          </rPr>
          <t xml:space="preserve">
</t>
        </r>
      </text>
    </comment>
    <comment ref="TT1" authorId="0" shapeId="0" xr:uid="{821FA6A9-943E-49D5-A363-D57039BD1E67}">
      <text>
        <r>
          <rPr>
            <b/>
            <sz val="9"/>
            <color indexed="81"/>
            <rFont val="Tahoma"/>
            <family val="2"/>
          </rPr>
          <t>ML:
number of replicates</t>
        </r>
        <r>
          <rPr>
            <sz val="9"/>
            <color indexed="81"/>
            <rFont val="Tahoma"/>
            <family val="2"/>
          </rPr>
          <t xml:space="preserve">
</t>
        </r>
      </text>
    </comment>
    <comment ref="UA1" authorId="0" shapeId="0" xr:uid="{54173673-8A59-45D2-8DCD-C8E9FB027571}">
      <text>
        <r>
          <rPr>
            <b/>
            <sz val="9"/>
            <color indexed="81"/>
            <rFont val="Tahoma"/>
            <family val="2"/>
          </rPr>
          <t>ML:
number of replicates</t>
        </r>
        <r>
          <rPr>
            <sz val="9"/>
            <color indexed="81"/>
            <rFont val="Tahoma"/>
            <family val="2"/>
          </rPr>
          <t xml:space="preserve">
</t>
        </r>
      </text>
    </comment>
    <comment ref="UD1" authorId="0" shapeId="0" xr:uid="{65E8AE98-26B4-4BEF-8D05-B558A61E26C1}">
      <text>
        <r>
          <rPr>
            <b/>
            <sz val="9"/>
            <color indexed="81"/>
            <rFont val="Tahoma"/>
            <family val="2"/>
          </rPr>
          <t>ML:
number of replicates</t>
        </r>
        <r>
          <rPr>
            <sz val="9"/>
            <color indexed="81"/>
            <rFont val="Tahoma"/>
            <family val="2"/>
          </rPr>
          <t xml:space="preserve">
</t>
        </r>
      </text>
    </comment>
    <comment ref="UK1" authorId="0" shapeId="0" xr:uid="{C66BBF05-F14D-4BC0-AAA0-CB2078BAE43A}">
      <text>
        <r>
          <rPr>
            <b/>
            <sz val="9"/>
            <color indexed="81"/>
            <rFont val="Tahoma"/>
            <family val="2"/>
          </rPr>
          <t>ML:
number of replicates</t>
        </r>
        <r>
          <rPr>
            <sz val="9"/>
            <color indexed="81"/>
            <rFont val="Tahoma"/>
            <family val="2"/>
          </rPr>
          <t xml:space="preserve">
</t>
        </r>
      </text>
    </comment>
    <comment ref="UN1" authorId="0" shapeId="0" xr:uid="{D4B00E7F-7D34-47B9-BA5C-7EE77DF435BC}">
      <text>
        <r>
          <rPr>
            <b/>
            <sz val="9"/>
            <color indexed="81"/>
            <rFont val="Tahoma"/>
            <family val="2"/>
          </rPr>
          <t>ML:
number of replicates</t>
        </r>
        <r>
          <rPr>
            <sz val="9"/>
            <color indexed="81"/>
            <rFont val="Tahoma"/>
            <family val="2"/>
          </rPr>
          <t xml:space="preserve">
</t>
        </r>
      </text>
    </comment>
    <comment ref="UT1" authorId="0" shapeId="0" xr:uid="{D09A0458-97B5-4B61-9630-B34C8372B4EA}">
      <text>
        <r>
          <rPr>
            <b/>
            <sz val="9"/>
            <color indexed="81"/>
            <rFont val="Tahoma"/>
            <family val="2"/>
          </rPr>
          <t>ML:
number of replicates</t>
        </r>
        <r>
          <rPr>
            <sz val="9"/>
            <color indexed="81"/>
            <rFont val="Tahoma"/>
            <family val="2"/>
          </rPr>
          <t xml:space="preserve">
</t>
        </r>
      </text>
    </comment>
    <comment ref="UW1" authorId="0" shapeId="0" xr:uid="{80E76046-E23D-4BFE-AF4F-711735E95BF7}">
      <text>
        <r>
          <rPr>
            <b/>
            <sz val="9"/>
            <color indexed="81"/>
            <rFont val="Tahoma"/>
            <family val="2"/>
          </rPr>
          <t>ML:
number of replicates</t>
        </r>
        <r>
          <rPr>
            <sz val="9"/>
            <color indexed="81"/>
            <rFont val="Tahoma"/>
            <family val="2"/>
          </rPr>
          <t xml:space="preserve">
</t>
        </r>
      </text>
    </comment>
    <comment ref="VD1" authorId="0" shapeId="0" xr:uid="{2A1AF578-F76F-44F3-B0C1-86B964DF1BC5}">
      <text>
        <r>
          <rPr>
            <b/>
            <sz val="9"/>
            <color indexed="81"/>
            <rFont val="Tahoma"/>
            <family val="2"/>
          </rPr>
          <t>ML:
number of replicates</t>
        </r>
        <r>
          <rPr>
            <sz val="9"/>
            <color indexed="81"/>
            <rFont val="Tahoma"/>
            <family val="2"/>
          </rPr>
          <t xml:space="preserve">
</t>
        </r>
      </text>
    </comment>
    <comment ref="VG1" authorId="0" shapeId="0" xr:uid="{A68154E9-1952-4DB6-991E-DA680C46D92D}">
      <text>
        <r>
          <rPr>
            <b/>
            <sz val="9"/>
            <color indexed="81"/>
            <rFont val="Tahoma"/>
            <family val="2"/>
          </rPr>
          <t>ML:
number of replicates</t>
        </r>
        <r>
          <rPr>
            <sz val="9"/>
            <color indexed="81"/>
            <rFont val="Tahoma"/>
            <family val="2"/>
          </rPr>
          <t xml:space="preserve">
</t>
        </r>
      </text>
    </comment>
    <comment ref="VK1" authorId="0" shapeId="0" xr:uid="{BF1F9F24-4FF2-4B25-ADDC-999850AA58EF}">
      <text>
        <r>
          <rPr>
            <b/>
            <sz val="9"/>
            <color indexed="81"/>
            <rFont val="Tahoma"/>
            <family val="2"/>
          </rPr>
          <t>ML:
number of replicates</t>
        </r>
        <r>
          <rPr>
            <sz val="9"/>
            <color indexed="81"/>
            <rFont val="Tahoma"/>
            <family val="2"/>
          </rPr>
          <t xml:space="preserve">
</t>
        </r>
      </text>
    </comment>
    <comment ref="VN1" authorId="0" shapeId="0" xr:uid="{9921678F-B4AE-4B46-8F4C-CD39F9A96B00}">
      <text>
        <r>
          <rPr>
            <b/>
            <sz val="9"/>
            <color indexed="81"/>
            <rFont val="Tahoma"/>
            <family val="2"/>
          </rPr>
          <t>ML:
number of replicates</t>
        </r>
        <r>
          <rPr>
            <sz val="9"/>
            <color indexed="81"/>
            <rFont val="Tahoma"/>
            <family val="2"/>
          </rPr>
          <t xml:space="preserve">
</t>
        </r>
      </text>
    </comment>
    <comment ref="VO1" authorId="0" shapeId="0" xr:uid="{AC26CFDD-B8C1-4AA2-9BA4-BDF2A8DC35E9}">
      <text>
        <r>
          <rPr>
            <b/>
            <sz val="9"/>
            <color indexed="81"/>
            <rFont val="Tahoma"/>
            <family val="2"/>
          </rPr>
          <t>Author:</t>
        </r>
        <r>
          <rPr>
            <sz val="9"/>
            <color indexed="81"/>
            <rFont val="Tahoma"/>
            <family val="2"/>
          </rPr>
          <t xml:space="preserve">
Methanogen</t>
        </r>
      </text>
    </comment>
    <comment ref="VS1" authorId="0" shapeId="0" xr:uid="{710321C1-4887-4900-BBE9-C8176A3E1FE1}">
      <text>
        <r>
          <rPr>
            <b/>
            <sz val="9"/>
            <color indexed="81"/>
            <rFont val="Tahoma"/>
            <family val="2"/>
          </rPr>
          <t>ML:
number of replicates</t>
        </r>
        <r>
          <rPr>
            <sz val="9"/>
            <color indexed="81"/>
            <rFont val="Tahoma"/>
            <family val="2"/>
          </rPr>
          <t xml:space="preserve">
</t>
        </r>
      </text>
    </comment>
    <comment ref="VV1" authorId="0" shapeId="0" xr:uid="{D1F8F0EC-A7B1-4E63-AAFA-F07CE956F6FD}">
      <text>
        <r>
          <rPr>
            <b/>
            <sz val="9"/>
            <color indexed="81"/>
            <rFont val="Tahoma"/>
            <family val="2"/>
          </rPr>
          <t>ML:
number of replicates</t>
        </r>
        <r>
          <rPr>
            <sz val="9"/>
            <color indexed="81"/>
            <rFont val="Tahoma"/>
            <family val="2"/>
          </rPr>
          <t xml:space="preserve">
</t>
        </r>
      </text>
    </comment>
    <comment ref="VY1" authorId="0" shapeId="0" xr:uid="{AC65C6C7-3F0B-4A2D-8200-CFD69780D5C5}">
      <text>
        <r>
          <rPr>
            <b/>
            <sz val="9"/>
            <color indexed="81"/>
            <rFont val="Tahoma"/>
            <family val="2"/>
          </rPr>
          <t>Author:</t>
        </r>
        <r>
          <rPr>
            <sz val="9"/>
            <color indexed="81"/>
            <rFont val="Tahoma"/>
            <family val="2"/>
          </rPr>
          <t xml:space="preserve">
Methnotrophs</t>
        </r>
      </text>
    </comment>
    <comment ref="WC1" authorId="0" shapeId="0" xr:uid="{5F93E522-806E-4092-8243-BDF3A0EB75D7}">
      <text>
        <r>
          <rPr>
            <b/>
            <sz val="9"/>
            <color indexed="81"/>
            <rFont val="Tahoma"/>
            <family val="2"/>
          </rPr>
          <t>ML:
number of replicates</t>
        </r>
        <r>
          <rPr>
            <sz val="9"/>
            <color indexed="81"/>
            <rFont val="Tahoma"/>
            <family val="2"/>
          </rPr>
          <t xml:space="preserve">
</t>
        </r>
      </text>
    </comment>
    <comment ref="WF1" authorId="0" shapeId="0" xr:uid="{464064C0-86A3-4224-A44A-C75A2266688F}">
      <text>
        <r>
          <rPr>
            <b/>
            <sz val="9"/>
            <color indexed="81"/>
            <rFont val="Tahoma"/>
            <family val="2"/>
          </rPr>
          <t>ML:
number of replicates</t>
        </r>
        <r>
          <rPr>
            <sz val="9"/>
            <color indexed="81"/>
            <rFont val="Tahoma"/>
            <family val="2"/>
          </rPr>
          <t xml:space="preserve">
</t>
        </r>
      </text>
    </comment>
    <comment ref="DN8" authorId="0" shapeId="0" xr:uid="{605470A2-DF85-441B-BF77-680635DBFF36}">
      <text>
        <r>
          <rPr>
            <b/>
            <sz val="9"/>
            <color indexed="81"/>
            <rFont val="Tahoma"/>
            <family val="2"/>
          </rPr>
          <t>Author:</t>
        </r>
        <r>
          <rPr>
            <sz val="9"/>
            <color indexed="81"/>
            <rFont val="Tahoma"/>
            <family val="2"/>
          </rPr>
          <t xml:space="preserve">
gap-filled using the corresponding data in the same wetland type</t>
        </r>
      </text>
    </comment>
    <comment ref="DR8" authorId="0" shapeId="0" xr:uid="{CF60C25A-101F-4543-87A1-B5EC60AE549D}">
      <text>
        <r>
          <rPr>
            <b/>
            <sz val="9"/>
            <color indexed="81"/>
            <rFont val="Tahoma"/>
            <family val="2"/>
          </rPr>
          <t>Author:</t>
        </r>
        <r>
          <rPr>
            <sz val="9"/>
            <color indexed="81"/>
            <rFont val="Tahoma"/>
            <family val="2"/>
          </rPr>
          <t xml:space="preserve">
gap-filled using the corresponding data in the same wetland type</t>
        </r>
      </text>
    </comment>
    <comment ref="EA8" authorId="0" shapeId="0" xr:uid="{65C806C6-F5C2-4FA4-BE67-E1ED94B0A5CE}">
      <text>
        <r>
          <rPr>
            <b/>
            <sz val="9"/>
            <color indexed="81"/>
            <rFont val="Tahoma"/>
            <family val="2"/>
          </rPr>
          <t>Author:</t>
        </r>
        <r>
          <rPr>
            <sz val="9"/>
            <color indexed="81"/>
            <rFont val="Tahoma"/>
            <family val="2"/>
          </rPr>
          <t xml:space="preserve">
gap-filled using the corresponding data in the same wetland type</t>
        </r>
      </text>
    </comment>
    <comment ref="EE8" authorId="0" shapeId="0" xr:uid="{D3C3DC0F-97DB-4D28-BDC1-3D9A402D0B0B}">
      <text>
        <r>
          <rPr>
            <b/>
            <sz val="9"/>
            <color indexed="81"/>
            <rFont val="Tahoma"/>
            <family val="2"/>
          </rPr>
          <t>Author:</t>
        </r>
        <r>
          <rPr>
            <sz val="9"/>
            <color indexed="81"/>
            <rFont val="Tahoma"/>
            <family val="2"/>
          </rPr>
          <t xml:space="preserve">
gap-filled using the corresponding data in the same wetland type</t>
        </r>
      </text>
    </comment>
    <comment ref="DN9" authorId="0" shapeId="0" xr:uid="{71A5661C-A4E9-48CA-BA60-CFA144AF63A6}">
      <text>
        <r>
          <rPr>
            <b/>
            <sz val="9"/>
            <color indexed="81"/>
            <rFont val="Tahoma"/>
            <family val="2"/>
          </rPr>
          <t>Author:</t>
        </r>
        <r>
          <rPr>
            <sz val="9"/>
            <color indexed="81"/>
            <rFont val="Tahoma"/>
            <family val="2"/>
          </rPr>
          <t xml:space="preserve">
gap-filled using the corresponding data in the same wetland type</t>
        </r>
      </text>
    </comment>
    <comment ref="DR9" authorId="0" shapeId="0" xr:uid="{48A84604-B48F-4EDC-8BDC-EFF804BE68CD}">
      <text>
        <r>
          <rPr>
            <b/>
            <sz val="9"/>
            <color indexed="81"/>
            <rFont val="Tahoma"/>
            <family val="2"/>
          </rPr>
          <t>Author:</t>
        </r>
        <r>
          <rPr>
            <sz val="9"/>
            <color indexed="81"/>
            <rFont val="Tahoma"/>
            <family val="2"/>
          </rPr>
          <t xml:space="preserve">
gap-filled using the corresponding data in the same wetland type</t>
        </r>
      </text>
    </comment>
    <comment ref="EA9" authorId="0" shapeId="0" xr:uid="{B5E15389-EDED-4095-AB68-63D74716E889}">
      <text>
        <r>
          <rPr>
            <b/>
            <sz val="9"/>
            <color indexed="81"/>
            <rFont val="Tahoma"/>
            <family val="2"/>
          </rPr>
          <t>Author:</t>
        </r>
        <r>
          <rPr>
            <sz val="9"/>
            <color indexed="81"/>
            <rFont val="Tahoma"/>
            <family val="2"/>
          </rPr>
          <t xml:space="preserve">
gap-filled using the corresponding data in the same wetland type</t>
        </r>
      </text>
    </comment>
    <comment ref="EE9" authorId="0" shapeId="0" xr:uid="{253A306C-23CE-4C46-AD51-9DDDD5754CCF}">
      <text>
        <r>
          <rPr>
            <b/>
            <sz val="9"/>
            <color indexed="81"/>
            <rFont val="Tahoma"/>
            <family val="2"/>
          </rPr>
          <t>Author:</t>
        </r>
        <r>
          <rPr>
            <sz val="9"/>
            <color indexed="81"/>
            <rFont val="Tahoma"/>
            <family val="2"/>
          </rPr>
          <t xml:space="preserve">
gap-filled using the corresponding data in the same wetland type</t>
        </r>
      </text>
    </comment>
    <comment ref="DN10" authorId="0" shapeId="0" xr:uid="{74A96A94-18EB-4341-AD90-349CECC490E9}">
      <text>
        <r>
          <rPr>
            <b/>
            <sz val="9"/>
            <color indexed="81"/>
            <rFont val="Tahoma"/>
            <family val="2"/>
          </rPr>
          <t>Author:</t>
        </r>
        <r>
          <rPr>
            <sz val="9"/>
            <color indexed="81"/>
            <rFont val="Tahoma"/>
            <family val="2"/>
          </rPr>
          <t xml:space="preserve">
gap-filled using the corresponding data in the same wetland type</t>
        </r>
      </text>
    </comment>
    <comment ref="DR10" authorId="0" shapeId="0" xr:uid="{95A00B45-D388-4A3B-91F2-97A3F363E61E}">
      <text>
        <r>
          <rPr>
            <b/>
            <sz val="9"/>
            <color indexed="81"/>
            <rFont val="Tahoma"/>
            <family val="2"/>
          </rPr>
          <t>Author:</t>
        </r>
        <r>
          <rPr>
            <sz val="9"/>
            <color indexed="81"/>
            <rFont val="Tahoma"/>
            <family val="2"/>
          </rPr>
          <t xml:space="preserve">
gap-filled using the corresponding data in the same wetland type</t>
        </r>
      </text>
    </comment>
    <comment ref="EA10" authorId="0" shapeId="0" xr:uid="{C9718C75-20AD-4205-9C2C-B399DA05BA53}">
      <text>
        <r>
          <rPr>
            <b/>
            <sz val="9"/>
            <color indexed="81"/>
            <rFont val="Tahoma"/>
            <family val="2"/>
          </rPr>
          <t>Author:</t>
        </r>
        <r>
          <rPr>
            <sz val="9"/>
            <color indexed="81"/>
            <rFont val="Tahoma"/>
            <family val="2"/>
          </rPr>
          <t xml:space="preserve">
gap-filled using the corresponding data in the same wetland type</t>
        </r>
      </text>
    </comment>
    <comment ref="EE10" authorId="0" shapeId="0" xr:uid="{57851CBE-8EB1-481E-939B-903E2E15C269}">
      <text>
        <r>
          <rPr>
            <b/>
            <sz val="9"/>
            <color indexed="81"/>
            <rFont val="Tahoma"/>
            <family val="2"/>
          </rPr>
          <t>Author:</t>
        </r>
        <r>
          <rPr>
            <sz val="9"/>
            <color indexed="81"/>
            <rFont val="Tahoma"/>
            <family val="2"/>
          </rPr>
          <t xml:space="preserve">
gap-filled using the corresponding data in the same wetland type</t>
        </r>
      </text>
    </comment>
    <comment ref="DN11" authorId="0" shapeId="0" xr:uid="{DA3D2B2C-9819-432F-A506-06F7EC468071}">
      <text>
        <r>
          <rPr>
            <b/>
            <sz val="9"/>
            <color indexed="81"/>
            <rFont val="Tahoma"/>
            <family val="2"/>
          </rPr>
          <t>Author:</t>
        </r>
        <r>
          <rPr>
            <sz val="9"/>
            <color indexed="81"/>
            <rFont val="Tahoma"/>
            <family val="2"/>
          </rPr>
          <t xml:space="preserve">
gap-filled using the corresponding data in the same wetland type</t>
        </r>
      </text>
    </comment>
    <comment ref="DR11" authorId="0" shapeId="0" xr:uid="{354E01C7-133B-4BF1-A521-F380F8FD9CDD}">
      <text>
        <r>
          <rPr>
            <b/>
            <sz val="9"/>
            <color indexed="81"/>
            <rFont val="Tahoma"/>
            <family val="2"/>
          </rPr>
          <t>Author:</t>
        </r>
        <r>
          <rPr>
            <sz val="9"/>
            <color indexed="81"/>
            <rFont val="Tahoma"/>
            <family val="2"/>
          </rPr>
          <t xml:space="preserve">
gap-filled using the corresponding data in the same wetland type</t>
        </r>
      </text>
    </comment>
    <comment ref="EA11" authorId="0" shapeId="0" xr:uid="{D631535F-23BE-4D89-A147-31DFC37D435A}">
      <text>
        <r>
          <rPr>
            <b/>
            <sz val="9"/>
            <color indexed="81"/>
            <rFont val="Tahoma"/>
            <family val="2"/>
          </rPr>
          <t>Author:</t>
        </r>
        <r>
          <rPr>
            <sz val="9"/>
            <color indexed="81"/>
            <rFont val="Tahoma"/>
            <family val="2"/>
          </rPr>
          <t xml:space="preserve">
gap-filled using the corresponding data in the same wetland type</t>
        </r>
      </text>
    </comment>
    <comment ref="EE11" authorId="0" shapeId="0" xr:uid="{C3B56C27-77E6-43D0-8686-83D026DE173A}">
      <text>
        <r>
          <rPr>
            <b/>
            <sz val="9"/>
            <color indexed="81"/>
            <rFont val="Tahoma"/>
            <family val="2"/>
          </rPr>
          <t>Author:</t>
        </r>
        <r>
          <rPr>
            <sz val="9"/>
            <color indexed="81"/>
            <rFont val="Tahoma"/>
            <family val="2"/>
          </rPr>
          <t xml:space="preserve">
gap-filled using the corresponding data in the same wetland type</t>
        </r>
      </text>
    </comment>
    <comment ref="DN12" authorId="0" shapeId="0" xr:uid="{BBBE656F-0B44-428C-9189-41101BAF7D3D}">
      <text>
        <r>
          <rPr>
            <b/>
            <sz val="9"/>
            <color indexed="81"/>
            <rFont val="Tahoma"/>
            <family val="2"/>
          </rPr>
          <t>Author:</t>
        </r>
        <r>
          <rPr>
            <sz val="9"/>
            <color indexed="81"/>
            <rFont val="Tahoma"/>
            <family val="2"/>
          </rPr>
          <t xml:space="preserve">
gap-filled using the corresponding data in the same wetland type</t>
        </r>
      </text>
    </comment>
    <comment ref="DR12" authorId="0" shapeId="0" xr:uid="{AD822C7D-3492-47C0-91E1-6BA5A98819E1}">
      <text>
        <r>
          <rPr>
            <b/>
            <sz val="9"/>
            <color indexed="81"/>
            <rFont val="Tahoma"/>
            <family val="2"/>
          </rPr>
          <t>Author:</t>
        </r>
        <r>
          <rPr>
            <sz val="9"/>
            <color indexed="81"/>
            <rFont val="Tahoma"/>
            <family val="2"/>
          </rPr>
          <t xml:space="preserve">
gap-filled using the corresponding data in the same wetland type</t>
        </r>
      </text>
    </comment>
    <comment ref="EA12" authorId="0" shapeId="0" xr:uid="{DD258359-A8F4-4CEB-844C-BF085DEB9A2E}">
      <text>
        <r>
          <rPr>
            <b/>
            <sz val="9"/>
            <color indexed="81"/>
            <rFont val="Tahoma"/>
            <family val="2"/>
          </rPr>
          <t>Author:</t>
        </r>
        <r>
          <rPr>
            <sz val="9"/>
            <color indexed="81"/>
            <rFont val="Tahoma"/>
            <family val="2"/>
          </rPr>
          <t xml:space="preserve">
gap-filled using the corresponding data in the same wetland type</t>
        </r>
      </text>
    </comment>
    <comment ref="EE12" authorId="0" shapeId="0" xr:uid="{0E119FA8-8EF3-4D39-A250-BC882D118490}">
      <text>
        <r>
          <rPr>
            <b/>
            <sz val="9"/>
            <color indexed="81"/>
            <rFont val="Tahoma"/>
            <family val="2"/>
          </rPr>
          <t>Author:</t>
        </r>
        <r>
          <rPr>
            <sz val="9"/>
            <color indexed="81"/>
            <rFont val="Tahoma"/>
            <family val="2"/>
          </rPr>
          <t xml:space="preserve">
gap-filled using the corresponding data in the same wetland type</t>
        </r>
      </text>
    </comment>
    <comment ref="DN13" authorId="0" shapeId="0" xr:uid="{684AD279-690A-4990-B56E-33B347621DA2}">
      <text>
        <r>
          <rPr>
            <b/>
            <sz val="9"/>
            <color indexed="81"/>
            <rFont val="Tahoma"/>
            <family val="2"/>
          </rPr>
          <t>Author:</t>
        </r>
        <r>
          <rPr>
            <sz val="9"/>
            <color indexed="81"/>
            <rFont val="Tahoma"/>
            <family val="2"/>
          </rPr>
          <t xml:space="preserve">
gap-filled using the corresponding data in the same wetland type</t>
        </r>
      </text>
    </comment>
    <comment ref="DR13" authorId="0" shapeId="0" xr:uid="{32B4B42E-EB0F-45A4-8355-2B6F7AB62471}">
      <text>
        <r>
          <rPr>
            <b/>
            <sz val="9"/>
            <color indexed="81"/>
            <rFont val="Tahoma"/>
            <family val="2"/>
          </rPr>
          <t>Author:</t>
        </r>
        <r>
          <rPr>
            <sz val="9"/>
            <color indexed="81"/>
            <rFont val="Tahoma"/>
            <family val="2"/>
          </rPr>
          <t xml:space="preserve">
gap-filled using the corresponding data in the same wetland type</t>
        </r>
      </text>
    </comment>
    <comment ref="EA13" authorId="0" shapeId="0" xr:uid="{5D38E202-4141-4A88-BA85-B28C992A6B9B}">
      <text>
        <r>
          <rPr>
            <b/>
            <sz val="9"/>
            <color indexed="81"/>
            <rFont val="Tahoma"/>
            <family val="2"/>
          </rPr>
          <t>Author:</t>
        </r>
        <r>
          <rPr>
            <sz val="9"/>
            <color indexed="81"/>
            <rFont val="Tahoma"/>
            <family val="2"/>
          </rPr>
          <t xml:space="preserve">
gap-filled using the corresponding data in the same wetland type</t>
        </r>
      </text>
    </comment>
    <comment ref="EE13" authorId="0" shapeId="0" xr:uid="{761C2436-0985-496F-B73D-5E42858DEAD8}">
      <text>
        <r>
          <rPr>
            <b/>
            <sz val="9"/>
            <color indexed="81"/>
            <rFont val="Tahoma"/>
            <family val="2"/>
          </rPr>
          <t>Author:</t>
        </r>
        <r>
          <rPr>
            <sz val="9"/>
            <color indexed="81"/>
            <rFont val="Tahoma"/>
            <family val="2"/>
          </rPr>
          <t xml:space="preserve">
gap-filled using the corresponding data in the same wetland type</t>
        </r>
      </text>
    </comment>
    <comment ref="DN14" authorId="0" shapeId="0" xr:uid="{CBBD6F5E-12FD-4940-9EF4-34157CF2ED9F}">
      <text>
        <r>
          <rPr>
            <b/>
            <sz val="9"/>
            <color indexed="81"/>
            <rFont val="Tahoma"/>
            <family val="2"/>
          </rPr>
          <t>Author:</t>
        </r>
        <r>
          <rPr>
            <sz val="9"/>
            <color indexed="81"/>
            <rFont val="Tahoma"/>
            <family val="2"/>
          </rPr>
          <t xml:space="preserve">
gap-filled using the corresponding data in the same wetland type</t>
        </r>
      </text>
    </comment>
    <comment ref="DR14" authorId="0" shapeId="0" xr:uid="{512D7F88-692A-466F-90DD-8A20BB2214EF}">
      <text>
        <r>
          <rPr>
            <b/>
            <sz val="9"/>
            <color indexed="81"/>
            <rFont val="Tahoma"/>
            <family val="2"/>
          </rPr>
          <t>Author:</t>
        </r>
        <r>
          <rPr>
            <sz val="9"/>
            <color indexed="81"/>
            <rFont val="Tahoma"/>
            <family val="2"/>
          </rPr>
          <t xml:space="preserve">
gap-filled using the corresponding data in the same wetland type</t>
        </r>
      </text>
    </comment>
    <comment ref="DN15" authorId="0" shapeId="0" xr:uid="{25D3EBEE-39A6-42E6-8EC3-61B9ADFC5665}">
      <text>
        <r>
          <rPr>
            <b/>
            <sz val="9"/>
            <color indexed="81"/>
            <rFont val="Tahoma"/>
            <family val="2"/>
          </rPr>
          <t>Author:</t>
        </r>
        <r>
          <rPr>
            <sz val="9"/>
            <color indexed="81"/>
            <rFont val="Tahoma"/>
            <family val="2"/>
          </rPr>
          <t xml:space="preserve">
gap-filled using the corresponding data in the same wetland type</t>
        </r>
      </text>
    </comment>
    <comment ref="DR15" authorId="0" shapeId="0" xr:uid="{A716351A-54AF-4422-861C-AC746E19A5E1}">
      <text>
        <r>
          <rPr>
            <b/>
            <sz val="9"/>
            <color indexed="81"/>
            <rFont val="Tahoma"/>
            <family val="2"/>
          </rPr>
          <t>Author:</t>
        </r>
        <r>
          <rPr>
            <sz val="9"/>
            <color indexed="81"/>
            <rFont val="Tahoma"/>
            <family val="2"/>
          </rPr>
          <t xml:space="preserve">
gap-filled using the corresponding data in the same wetland type</t>
        </r>
      </text>
    </comment>
    <comment ref="DN16" authorId="0" shapeId="0" xr:uid="{9ACF6A5A-BE14-41DE-AC09-CCCF8078C334}">
      <text>
        <r>
          <rPr>
            <b/>
            <sz val="9"/>
            <color indexed="81"/>
            <rFont val="Tahoma"/>
            <family val="2"/>
          </rPr>
          <t>Author:</t>
        </r>
        <r>
          <rPr>
            <sz val="9"/>
            <color indexed="81"/>
            <rFont val="Tahoma"/>
            <family val="2"/>
          </rPr>
          <t xml:space="preserve">
gap-filled using the corresponding data in the same wetland type</t>
        </r>
      </text>
    </comment>
    <comment ref="DR16" authorId="0" shapeId="0" xr:uid="{AAEA7A51-17F2-4533-8763-BD7986B75AAD}">
      <text>
        <r>
          <rPr>
            <b/>
            <sz val="9"/>
            <color indexed="81"/>
            <rFont val="Tahoma"/>
            <family val="2"/>
          </rPr>
          <t>Author:</t>
        </r>
        <r>
          <rPr>
            <sz val="9"/>
            <color indexed="81"/>
            <rFont val="Tahoma"/>
            <family val="2"/>
          </rPr>
          <t xml:space="preserve">
gap-filled using the corresponding data in the same wetland type</t>
        </r>
      </text>
    </comment>
    <comment ref="DN17" authorId="0" shapeId="0" xr:uid="{5754BDBB-12E3-4B7F-8496-92CED40AC34F}">
      <text>
        <r>
          <rPr>
            <b/>
            <sz val="9"/>
            <color indexed="81"/>
            <rFont val="Tahoma"/>
            <family val="2"/>
          </rPr>
          <t>Author:</t>
        </r>
        <r>
          <rPr>
            <sz val="9"/>
            <color indexed="81"/>
            <rFont val="Tahoma"/>
            <family val="2"/>
          </rPr>
          <t xml:space="preserve">
gap-filled using the corresponding data in the same wetland type</t>
        </r>
      </text>
    </comment>
    <comment ref="DR17" authorId="0" shapeId="0" xr:uid="{6DAD2776-35AE-4096-8C6B-5D8752DB10AB}">
      <text>
        <r>
          <rPr>
            <b/>
            <sz val="9"/>
            <color indexed="81"/>
            <rFont val="Tahoma"/>
            <family val="2"/>
          </rPr>
          <t>Author:</t>
        </r>
        <r>
          <rPr>
            <sz val="9"/>
            <color indexed="81"/>
            <rFont val="Tahoma"/>
            <family val="2"/>
          </rPr>
          <t xml:space="preserve">
gap-filled using the corresponding data in the same wetland type</t>
        </r>
      </text>
    </comment>
    <comment ref="DN18" authorId="0" shapeId="0" xr:uid="{2576A4CF-FADE-4028-A721-0F6EDDD0153E}">
      <text>
        <r>
          <rPr>
            <b/>
            <sz val="9"/>
            <color indexed="81"/>
            <rFont val="Tahoma"/>
            <family val="2"/>
          </rPr>
          <t>Author:</t>
        </r>
        <r>
          <rPr>
            <sz val="9"/>
            <color indexed="81"/>
            <rFont val="Tahoma"/>
            <family val="2"/>
          </rPr>
          <t xml:space="preserve">
gap-filled using the corresponding data in the same wetland type</t>
        </r>
      </text>
    </comment>
    <comment ref="DR18" authorId="0" shapeId="0" xr:uid="{EFAFBE68-3064-461E-817E-5D2DD4EC3A77}">
      <text>
        <r>
          <rPr>
            <b/>
            <sz val="9"/>
            <color indexed="81"/>
            <rFont val="Tahoma"/>
            <family val="2"/>
          </rPr>
          <t>Author:</t>
        </r>
        <r>
          <rPr>
            <sz val="9"/>
            <color indexed="81"/>
            <rFont val="Tahoma"/>
            <family val="2"/>
          </rPr>
          <t xml:space="preserve">
gap-filled using the corresponding data in the same wetland type</t>
        </r>
      </text>
    </comment>
    <comment ref="DN19" authorId="0" shapeId="0" xr:uid="{B4F3F238-87CF-4278-89D8-3B87EE34EAB0}">
      <text>
        <r>
          <rPr>
            <b/>
            <sz val="9"/>
            <color indexed="81"/>
            <rFont val="Tahoma"/>
            <family val="2"/>
          </rPr>
          <t>Author:</t>
        </r>
        <r>
          <rPr>
            <sz val="9"/>
            <color indexed="81"/>
            <rFont val="Tahoma"/>
            <family val="2"/>
          </rPr>
          <t xml:space="preserve">
gap-filled using the corresponding data in the same wetland type</t>
        </r>
      </text>
    </comment>
    <comment ref="DR19" authorId="0" shapeId="0" xr:uid="{D2C24435-FB4A-4D9E-9F6B-1B797A459262}">
      <text>
        <r>
          <rPr>
            <b/>
            <sz val="9"/>
            <color indexed="81"/>
            <rFont val="Tahoma"/>
            <family val="2"/>
          </rPr>
          <t>Author:</t>
        </r>
        <r>
          <rPr>
            <sz val="9"/>
            <color indexed="81"/>
            <rFont val="Tahoma"/>
            <family val="2"/>
          </rPr>
          <t xml:space="preserve">
gap-filled using the corresponding data in the same wetland type</t>
        </r>
      </text>
    </comment>
    <comment ref="DN20" authorId="0" shapeId="0" xr:uid="{F901EF32-D23C-4CE6-80E2-CFC2A4327465}">
      <text>
        <r>
          <rPr>
            <b/>
            <sz val="9"/>
            <color indexed="81"/>
            <rFont val="Tahoma"/>
            <family val="2"/>
          </rPr>
          <t>Author:</t>
        </r>
        <r>
          <rPr>
            <sz val="9"/>
            <color indexed="81"/>
            <rFont val="Tahoma"/>
            <family val="2"/>
          </rPr>
          <t xml:space="preserve">
gap-filled using the corresponding data in the same wetland type</t>
        </r>
      </text>
    </comment>
    <comment ref="DR20" authorId="0" shapeId="0" xr:uid="{E2E461B8-98C7-4E00-AD1A-969903B39B15}">
      <text>
        <r>
          <rPr>
            <b/>
            <sz val="9"/>
            <color indexed="81"/>
            <rFont val="Tahoma"/>
            <family val="2"/>
          </rPr>
          <t>Author:</t>
        </r>
        <r>
          <rPr>
            <sz val="9"/>
            <color indexed="81"/>
            <rFont val="Tahoma"/>
            <family val="2"/>
          </rPr>
          <t xml:space="preserve">
gap-filled using the corresponding data in the same wetland type</t>
        </r>
      </text>
    </comment>
    <comment ref="DN21" authorId="0" shapeId="0" xr:uid="{2B9B6435-77EB-4122-BEF0-519D4EBD90D0}">
      <text>
        <r>
          <rPr>
            <b/>
            <sz val="9"/>
            <color indexed="81"/>
            <rFont val="Tahoma"/>
            <family val="2"/>
          </rPr>
          <t>Author:</t>
        </r>
        <r>
          <rPr>
            <sz val="9"/>
            <color indexed="81"/>
            <rFont val="Tahoma"/>
            <family val="2"/>
          </rPr>
          <t xml:space="preserve">
gap-filled using the corresponding data in the same wetland type</t>
        </r>
      </text>
    </comment>
    <comment ref="DR21" authorId="0" shapeId="0" xr:uid="{B0A8E9D6-AE51-4A2C-B276-3E8CFBB592F4}">
      <text>
        <r>
          <rPr>
            <b/>
            <sz val="9"/>
            <color indexed="81"/>
            <rFont val="Tahoma"/>
            <family val="2"/>
          </rPr>
          <t>Author:</t>
        </r>
        <r>
          <rPr>
            <sz val="9"/>
            <color indexed="81"/>
            <rFont val="Tahoma"/>
            <family val="2"/>
          </rPr>
          <t xml:space="preserve">
gap-filled using the corresponding data in the same wetland type</t>
        </r>
      </text>
    </comment>
    <comment ref="DN22" authorId="0" shapeId="0" xr:uid="{BDD4CFBF-12BC-4F7B-8338-D743F497A4D1}">
      <text>
        <r>
          <rPr>
            <b/>
            <sz val="9"/>
            <color indexed="81"/>
            <rFont val="Tahoma"/>
            <family val="2"/>
          </rPr>
          <t>Author:</t>
        </r>
        <r>
          <rPr>
            <sz val="9"/>
            <color indexed="81"/>
            <rFont val="Tahoma"/>
            <family val="2"/>
          </rPr>
          <t xml:space="preserve">
gap-filled using the corresponding data in the same wetland type</t>
        </r>
      </text>
    </comment>
    <comment ref="DR22" authorId="0" shapeId="0" xr:uid="{1AA7A4CB-360B-4B14-86A0-50E19255A628}">
      <text>
        <r>
          <rPr>
            <b/>
            <sz val="9"/>
            <color indexed="81"/>
            <rFont val="Tahoma"/>
            <family val="2"/>
          </rPr>
          <t>Author:</t>
        </r>
        <r>
          <rPr>
            <sz val="9"/>
            <color indexed="81"/>
            <rFont val="Tahoma"/>
            <family val="2"/>
          </rPr>
          <t xml:space="preserve">
gap-filled using the corresponding data in the same wetland type</t>
        </r>
      </text>
    </comment>
    <comment ref="DN23" authorId="0" shapeId="0" xr:uid="{8413F1F8-7CCE-4F19-A554-175AD5A455E8}">
      <text>
        <r>
          <rPr>
            <b/>
            <sz val="9"/>
            <color indexed="81"/>
            <rFont val="Tahoma"/>
            <family val="2"/>
          </rPr>
          <t>Author:</t>
        </r>
        <r>
          <rPr>
            <sz val="9"/>
            <color indexed="81"/>
            <rFont val="Tahoma"/>
            <family val="2"/>
          </rPr>
          <t xml:space="preserve">
gap-filled using the corresponding data in the same wetland type</t>
        </r>
      </text>
    </comment>
    <comment ref="DR23" authorId="0" shapeId="0" xr:uid="{164A35C0-AE39-4AEC-AA76-2B31FB64F640}">
      <text>
        <r>
          <rPr>
            <b/>
            <sz val="9"/>
            <color indexed="81"/>
            <rFont val="Tahoma"/>
            <family val="2"/>
          </rPr>
          <t>Author:</t>
        </r>
        <r>
          <rPr>
            <sz val="9"/>
            <color indexed="81"/>
            <rFont val="Tahoma"/>
            <family val="2"/>
          </rPr>
          <t xml:space="preserve">
gap-filled using the corresponding data in the same wetland type</t>
        </r>
      </text>
    </comment>
    <comment ref="DN24" authorId="0" shapeId="0" xr:uid="{FF56DECF-7061-4598-A1A4-17E33062F3E9}">
      <text>
        <r>
          <rPr>
            <b/>
            <sz val="9"/>
            <color indexed="81"/>
            <rFont val="Tahoma"/>
            <family val="2"/>
          </rPr>
          <t>Author:</t>
        </r>
        <r>
          <rPr>
            <sz val="9"/>
            <color indexed="81"/>
            <rFont val="Tahoma"/>
            <family val="2"/>
          </rPr>
          <t xml:space="preserve">
gap-filled using the corresponding data in the same wetland type</t>
        </r>
      </text>
    </comment>
    <comment ref="DR24" authorId="0" shapeId="0" xr:uid="{CB62299C-7B43-4A59-AE48-8D543C200B7D}">
      <text>
        <r>
          <rPr>
            <b/>
            <sz val="9"/>
            <color indexed="81"/>
            <rFont val="Tahoma"/>
            <family val="2"/>
          </rPr>
          <t>Author:</t>
        </r>
        <r>
          <rPr>
            <sz val="9"/>
            <color indexed="81"/>
            <rFont val="Tahoma"/>
            <family val="2"/>
          </rPr>
          <t xml:space="preserve">
gap-filled using the corresponding data in the same wetland type</t>
        </r>
      </text>
    </comment>
    <comment ref="DN25" authorId="0" shapeId="0" xr:uid="{353F2BE3-D299-4046-A1F2-948D1D3DABE8}">
      <text>
        <r>
          <rPr>
            <b/>
            <sz val="9"/>
            <color indexed="81"/>
            <rFont val="Tahoma"/>
            <family val="2"/>
          </rPr>
          <t>Author:</t>
        </r>
        <r>
          <rPr>
            <sz val="9"/>
            <color indexed="81"/>
            <rFont val="Tahoma"/>
            <family val="2"/>
          </rPr>
          <t xml:space="preserve">
gap-filled using the corresponding data in the same wetland type</t>
        </r>
      </text>
    </comment>
    <comment ref="DR25" authorId="0" shapeId="0" xr:uid="{522A614F-E010-477A-AAA7-F79022AC5AD1}">
      <text>
        <r>
          <rPr>
            <b/>
            <sz val="9"/>
            <color indexed="81"/>
            <rFont val="Tahoma"/>
            <family val="2"/>
          </rPr>
          <t>Author:</t>
        </r>
        <r>
          <rPr>
            <sz val="9"/>
            <color indexed="81"/>
            <rFont val="Tahoma"/>
            <family val="2"/>
          </rPr>
          <t xml:space="preserve">
gap-filled using the corresponding data in the same wetland type</t>
        </r>
      </text>
    </comment>
    <comment ref="DN26" authorId="0" shapeId="0" xr:uid="{11D1693F-EF27-4BC4-A4D6-9185F9EC7509}">
      <text>
        <r>
          <rPr>
            <b/>
            <sz val="9"/>
            <color indexed="81"/>
            <rFont val="Tahoma"/>
            <family val="2"/>
          </rPr>
          <t>Author:</t>
        </r>
        <r>
          <rPr>
            <sz val="9"/>
            <color indexed="81"/>
            <rFont val="Tahoma"/>
            <family val="2"/>
          </rPr>
          <t xml:space="preserve">
gap-filled using the corresponding data in the same wetland type</t>
        </r>
      </text>
    </comment>
    <comment ref="DR26" authorId="0" shapeId="0" xr:uid="{B2F018DB-1152-42EB-BBA6-451409BB4EF7}">
      <text>
        <r>
          <rPr>
            <b/>
            <sz val="9"/>
            <color indexed="81"/>
            <rFont val="Tahoma"/>
            <family val="2"/>
          </rPr>
          <t>Author:</t>
        </r>
        <r>
          <rPr>
            <sz val="9"/>
            <color indexed="81"/>
            <rFont val="Tahoma"/>
            <family val="2"/>
          </rPr>
          <t xml:space="preserve">
gap-filled using the corresponding data in the same wetland type</t>
        </r>
      </text>
    </comment>
    <comment ref="DN27" authorId="0" shapeId="0" xr:uid="{DAE757D1-CA94-48EC-8450-AB19323B2EC5}">
      <text>
        <r>
          <rPr>
            <b/>
            <sz val="9"/>
            <color indexed="81"/>
            <rFont val="Tahoma"/>
            <family val="2"/>
          </rPr>
          <t>Author:</t>
        </r>
        <r>
          <rPr>
            <sz val="9"/>
            <color indexed="81"/>
            <rFont val="Tahoma"/>
            <family val="2"/>
          </rPr>
          <t xml:space="preserve">
gap-filled using the corresponding data in the same wetland type</t>
        </r>
      </text>
    </comment>
    <comment ref="DR27" authorId="0" shapeId="0" xr:uid="{6D30ED86-1D50-4EC2-976B-36A977396A59}">
      <text>
        <r>
          <rPr>
            <b/>
            <sz val="9"/>
            <color indexed="81"/>
            <rFont val="Tahoma"/>
            <family val="2"/>
          </rPr>
          <t>Author:</t>
        </r>
        <r>
          <rPr>
            <sz val="9"/>
            <color indexed="81"/>
            <rFont val="Tahoma"/>
            <family val="2"/>
          </rPr>
          <t xml:space="preserve">
gap-filled using the corresponding data in the same wetland type</t>
        </r>
      </text>
    </comment>
    <comment ref="DN28" authorId="0" shapeId="0" xr:uid="{07329B6B-8E8C-477D-8DEE-0FA17EE9925E}">
      <text>
        <r>
          <rPr>
            <b/>
            <sz val="9"/>
            <color indexed="81"/>
            <rFont val="Tahoma"/>
            <family val="2"/>
          </rPr>
          <t>Author:</t>
        </r>
        <r>
          <rPr>
            <sz val="9"/>
            <color indexed="81"/>
            <rFont val="Tahoma"/>
            <family val="2"/>
          </rPr>
          <t xml:space="preserve">
gap-filled using the corresponding data in the same wetland type</t>
        </r>
      </text>
    </comment>
    <comment ref="DR28" authorId="0" shapeId="0" xr:uid="{6C15E8C8-652D-411B-A05F-AE243ECEAF9B}">
      <text>
        <r>
          <rPr>
            <b/>
            <sz val="9"/>
            <color indexed="81"/>
            <rFont val="Tahoma"/>
            <family val="2"/>
          </rPr>
          <t>Author:</t>
        </r>
        <r>
          <rPr>
            <sz val="9"/>
            <color indexed="81"/>
            <rFont val="Tahoma"/>
            <family val="2"/>
          </rPr>
          <t xml:space="preserve">
gap-filled using the corresponding data in the same wetland type</t>
        </r>
      </text>
    </comment>
    <comment ref="DN29" authorId="0" shapeId="0" xr:uid="{6FD9C745-1976-41D2-81FF-E03FFA217970}">
      <text>
        <r>
          <rPr>
            <b/>
            <sz val="9"/>
            <color indexed="81"/>
            <rFont val="Tahoma"/>
            <family val="2"/>
          </rPr>
          <t>Author:</t>
        </r>
        <r>
          <rPr>
            <sz val="9"/>
            <color indexed="81"/>
            <rFont val="Tahoma"/>
            <family val="2"/>
          </rPr>
          <t xml:space="preserve">
gap-filled using the corresponding data in the same wetland type</t>
        </r>
      </text>
    </comment>
    <comment ref="DR29" authorId="0" shapeId="0" xr:uid="{ADBDE15A-F5E4-4898-BC2B-3535D5CB775A}">
      <text>
        <r>
          <rPr>
            <b/>
            <sz val="9"/>
            <color indexed="81"/>
            <rFont val="Tahoma"/>
            <family val="2"/>
          </rPr>
          <t>Author:</t>
        </r>
        <r>
          <rPr>
            <sz val="9"/>
            <color indexed="81"/>
            <rFont val="Tahoma"/>
            <family val="2"/>
          </rPr>
          <t xml:space="preserve">
gap-filled using the corresponding data in the same wetland type</t>
        </r>
      </text>
    </comment>
    <comment ref="CA30" authorId="0" shapeId="0" xr:uid="{F1C78AA2-9E81-40A0-BA03-0213C47DB022}">
      <text>
        <r>
          <rPr>
            <b/>
            <sz val="9"/>
            <color indexed="81"/>
            <rFont val="Tahoma"/>
            <family val="2"/>
          </rPr>
          <t>Author:</t>
        </r>
        <r>
          <rPr>
            <sz val="9"/>
            <color indexed="81"/>
            <rFont val="Tahoma"/>
            <family val="2"/>
          </rPr>
          <t xml:space="preserve">
non-gap-filled due to lacking data for the corresponding wetland type</t>
        </r>
      </text>
    </comment>
    <comment ref="CE30" authorId="0" shapeId="0" xr:uid="{C4B1F167-552B-4D06-8E58-4A60EF00F679}">
      <text>
        <r>
          <rPr>
            <b/>
            <sz val="9"/>
            <color indexed="81"/>
            <rFont val="Tahoma"/>
            <family val="2"/>
          </rPr>
          <t>Author:</t>
        </r>
        <r>
          <rPr>
            <sz val="9"/>
            <color indexed="81"/>
            <rFont val="Tahoma"/>
            <family val="2"/>
          </rPr>
          <t xml:space="preserve">
non-gap-filled due to lacking data for the corresponding wetland type</t>
        </r>
      </text>
    </comment>
    <comment ref="CN30" authorId="0" shapeId="0" xr:uid="{E0E84D93-2BE1-4949-B39F-11A9FD96FA38}">
      <text>
        <r>
          <rPr>
            <b/>
            <sz val="9"/>
            <color indexed="81"/>
            <rFont val="Tahoma"/>
            <family val="2"/>
          </rPr>
          <t>Author:</t>
        </r>
        <r>
          <rPr>
            <sz val="9"/>
            <color indexed="81"/>
            <rFont val="Tahoma"/>
            <family val="2"/>
          </rPr>
          <t xml:space="preserve">
non-gap-filled due to lacking data for the corresponding wetland type</t>
        </r>
      </text>
    </comment>
    <comment ref="CR30" authorId="0" shapeId="0" xr:uid="{5D6BEC43-2009-4D79-BD55-15017092D2B1}">
      <text>
        <r>
          <rPr>
            <b/>
            <sz val="9"/>
            <color indexed="81"/>
            <rFont val="Tahoma"/>
            <family val="2"/>
          </rPr>
          <t>Author:</t>
        </r>
        <r>
          <rPr>
            <sz val="9"/>
            <color indexed="81"/>
            <rFont val="Tahoma"/>
            <family val="2"/>
          </rPr>
          <t xml:space="preserve">
non-gap-filled due to lacking data for the corresponding wetland type</t>
        </r>
      </text>
    </comment>
    <comment ref="DA30" authorId="0" shapeId="0" xr:uid="{4CE9A944-02FF-4F80-B6EA-EADC63373E3C}">
      <text>
        <r>
          <rPr>
            <b/>
            <sz val="9"/>
            <color indexed="81"/>
            <rFont val="Tahoma"/>
            <family val="2"/>
          </rPr>
          <t>Author:</t>
        </r>
        <r>
          <rPr>
            <sz val="9"/>
            <color indexed="81"/>
            <rFont val="Tahoma"/>
            <family val="2"/>
          </rPr>
          <t xml:space="preserve">
gap-filled using the corresponding data in the same wetland type</t>
        </r>
      </text>
    </comment>
    <comment ref="DE30" authorId="0" shapeId="0" xr:uid="{C1605CD2-20BB-4B68-B938-D944220F91FE}">
      <text>
        <r>
          <rPr>
            <b/>
            <sz val="9"/>
            <color indexed="81"/>
            <rFont val="Tahoma"/>
            <family val="2"/>
          </rPr>
          <t>Author:</t>
        </r>
        <r>
          <rPr>
            <sz val="9"/>
            <color indexed="81"/>
            <rFont val="Tahoma"/>
            <family val="2"/>
          </rPr>
          <t xml:space="preserve">
gap-filled using the corresponding data in the same wetland type</t>
        </r>
      </text>
    </comment>
    <comment ref="DN30" authorId="0" shapeId="0" xr:uid="{C7BA54CF-8203-4DDE-9564-2E6E87C7E3BE}">
      <text>
        <r>
          <rPr>
            <b/>
            <sz val="9"/>
            <color indexed="81"/>
            <rFont val="Tahoma"/>
            <family val="2"/>
          </rPr>
          <t>Author:</t>
        </r>
        <r>
          <rPr>
            <sz val="9"/>
            <color indexed="81"/>
            <rFont val="Tahoma"/>
            <family val="2"/>
          </rPr>
          <t xml:space="preserve">
gap-filled using the corresponding data in the same wetland type</t>
        </r>
      </text>
    </comment>
    <comment ref="DR30" authorId="0" shapeId="0" xr:uid="{D34FF855-1048-4115-8DC9-7F00A5DF48A5}">
      <text>
        <r>
          <rPr>
            <b/>
            <sz val="9"/>
            <color indexed="81"/>
            <rFont val="Tahoma"/>
            <family val="2"/>
          </rPr>
          <t>Author:</t>
        </r>
        <r>
          <rPr>
            <sz val="9"/>
            <color indexed="81"/>
            <rFont val="Tahoma"/>
            <family val="2"/>
          </rPr>
          <t xml:space="preserve">
gap-filled using the corresponding data in the same wetland type</t>
        </r>
      </text>
    </comment>
    <comment ref="CA31" authorId="0" shapeId="0" xr:uid="{7C10633F-4BFE-41AA-B402-59113EB60FE5}">
      <text>
        <r>
          <rPr>
            <b/>
            <sz val="9"/>
            <color indexed="81"/>
            <rFont val="Tahoma"/>
            <family val="2"/>
          </rPr>
          <t>Author:</t>
        </r>
        <r>
          <rPr>
            <sz val="9"/>
            <color indexed="81"/>
            <rFont val="Tahoma"/>
            <family val="2"/>
          </rPr>
          <t xml:space="preserve">
non-gap-filled due to lacking data for the corresponding wetland type</t>
        </r>
      </text>
    </comment>
    <comment ref="CE31" authorId="0" shapeId="0" xr:uid="{9D892BA2-18D9-4AD5-8839-C25D73319611}">
      <text>
        <r>
          <rPr>
            <b/>
            <sz val="9"/>
            <color indexed="81"/>
            <rFont val="Tahoma"/>
            <family val="2"/>
          </rPr>
          <t>Author:</t>
        </r>
        <r>
          <rPr>
            <sz val="9"/>
            <color indexed="81"/>
            <rFont val="Tahoma"/>
            <family val="2"/>
          </rPr>
          <t xml:space="preserve">
non-gap-filled due to lacking data for the corresponding wetland type</t>
        </r>
      </text>
    </comment>
    <comment ref="CN31" authorId="0" shapeId="0" xr:uid="{DDF049B4-AB04-4D82-92F0-A9EB0B8B27FC}">
      <text>
        <r>
          <rPr>
            <b/>
            <sz val="9"/>
            <color indexed="81"/>
            <rFont val="Tahoma"/>
            <family val="2"/>
          </rPr>
          <t>Author:</t>
        </r>
        <r>
          <rPr>
            <sz val="9"/>
            <color indexed="81"/>
            <rFont val="Tahoma"/>
            <family val="2"/>
          </rPr>
          <t xml:space="preserve">
non-gap-filled due to lacking data for the corresponding wetland type</t>
        </r>
      </text>
    </comment>
    <comment ref="CR31" authorId="0" shapeId="0" xr:uid="{B47FD1E1-F28C-4A27-988A-DFFD47F26DEF}">
      <text>
        <r>
          <rPr>
            <b/>
            <sz val="9"/>
            <color indexed="81"/>
            <rFont val="Tahoma"/>
            <family val="2"/>
          </rPr>
          <t>Author:</t>
        </r>
        <r>
          <rPr>
            <sz val="9"/>
            <color indexed="81"/>
            <rFont val="Tahoma"/>
            <family val="2"/>
          </rPr>
          <t xml:space="preserve">
non-gap-filled due to lacking data for the corresponding wetland type</t>
        </r>
      </text>
    </comment>
    <comment ref="DA31" authorId="0" shapeId="0" xr:uid="{5C584C61-F674-4AF1-BE57-B64FF1D21D91}">
      <text>
        <r>
          <rPr>
            <b/>
            <sz val="9"/>
            <color indexed="81"/>
            <rFont val="Tahoma"/>
            <family val="2"/>
          </rPr>
          <t>Author:</t>
        </r>
        <r>
          <rPr>
            <sz val="9"/>
            <color indexed="81"/>
            <rFont val="Tahoma"/>
            <family val="2"/>
          </rPr>
          <t xml:space="preserve">
gap-filled using the corresponding data in the same wetland type</t>
        </r>
      </text>
    </comment>
    <comment ref="DE31" authorId="0" shapeId="0" xr:uid="{F45B682D-91FD-4EBB-A802-F02DC947DBA0}">
      <text>
        <r>
          <rPr>
            <b/>
            <sz val="9"/>
            <color indexed="81"/>
            <rFont val="Tahoma"/>
            <family val="2"/>
          </rPr>
          <t>Author:</t>
        </r>
        <r>
          <rPr>
            <sz val="9"/>
            <color indexed="81"/>
            <rFont val="Tahoma"/>
            <family val="2"/>
          </rPr>
          <t xml:space="preserve">
gap-filled using the corresponding data in the same wetland type</t>
        </r>
      </text>
    </comment>
    <comment ref="DN31" authorId="0" shapeId="0" xr:uid="{5087F31F-E87C-4394-BB16-9EC2D88F1FD5}">
      <text>
        <r>
          <rPr>
            <b/>
            <sz val="9"/>
            <color indexed="81"/>
            <rFont val="Tahoma"/>
            <family val="2"/>
          </rPr>
          <t>Author:</t>
        </r>
        <r>
          <rPr>
            <sz val="9"/>
            <color indexed="81"/>
            <rFont val="Tahoma"/>
            <family val="2"/>
          </rPr>
          <t xml:space="preserve">
gap-filled using the corresponding data in the same wetland type</t>
        </r>
      </text>
    </comment>
    <comment ref="DR31" authorId="0" shapeId="0" xr:uid="{E4A7AC3E-EC8D-4C53-8ED0-2DD89AEC6FE7}">
      <text>
        <r>
          <rPr>
            <b/>
            <sz val="9"/>
            <color indexed="81"/>
            <rFont val="Tahoma"/>
            <family val="2"/>
          </rPr>
          <t>Author:</t>
        </r>
        <r>
          <rPr>
            <sz val="9"/>
            <color indexed="81"/>
            <rFont val="Tahoma"/>
            <family val="2"/>
          </rPr>
          <t xml:space="preserve">
gap-filled using the corresponding data in the same wetland type</t>
        </r>
      </text>
    </comment>
    <comment ref="CA35" authorId="0" shapeId="0" xr:uid="{0E24BC56-A55E-4D0E-A361-CA7C09793C26}">
      <text>
        <r>
          <rPr>
            <b/>
            <sz val="9"/>
            <color indexed="81"/>
            <rFont val="Tahoma"/>
            <family val="2"/>
          </rPr>
          <t>Author:</t>
        </r>
        <r>
          <rPr>
            <sz val="9"/>
            <color indexed="81"/>
            <rFont val="Tahoma"/>
            <family val="2"/>
          </rPr>
          <t xml:space="preserve">
non-gap-filled due to lacking data for the corresponding wetland type</t>
        </r>
      </text>
    </comment>
    <comment ref="CE35" authorId="0" shapeId="0" xr:uid="{41E46399-DFD8-44AA-A450-D652AAFAC94E}">
      <text>
        <r>
          <rPr>
            <b/>
            <sz val="9"/>
            <color indexed="81"/>
            <rFont val="Tahoma"/>
            <family val="2"/>
          </rPr>
          <t>Author:</t>
        </r>
        <r>
          <rPr>
            <sz val="9"/>
            <color indexed="81"/>
            <rFont val="Tahoma"/>
            <family val="2"/>
          </rPr>
          <t xml:space="preserve">
gap-filled using the corresponding data in the same wetland type</t>
        </r>
      </text>
    </comment>
    <comment ref="CN35" authorId="0" shapeId="0" xr:uid="{94306A1E-327B-4A19-8E41-3FCAF090B67F}">
      <text>
        <r>
          <rPr>
            <b/>
            <sz val="9"/>
            <color indexed="81"/>
            <rFont val="Tahoma"/>
            <family val="2"/>
          </rPr>
          <t>Author:</t>
        </r>
        <r>
          <rPr>
            <sz val="9"/>
            <color indexed="81"/>
            <rFont val="Tahoma"/>
            <family val="2"/>
          </rPr>
          <t xml:space="preserve">
non-gap-filled due to lacking data for the corresponding wetland type</t>
        </r>
      </text>
    </comment>
    <comment ref="CR35" authorId="0" shapeId="0" xr:uid="{B36BDB7E-EF25-4496-B0EE-1288D69BEE83}">
      <text>
        <r>
          <rPr>
            <b/>
            <sz val="9"/>
            <color indexed="81"/>
            <rFont val="Tahoma"/>
            <family val="2"/>
          </rPr>
          <t>Author:</t>
        </r>
        <r>
          <rPr>
            <sz val="9"/>
            <color indexed="81"/>
            <rFont val="Tahoma"/>
            <family val="2"/>
          </rPr>
          <t xml:space="preserve">
gap-filled using the corresponding data in the same wetland type</t>
        </r>
      </text>
    </comment>
    <comment ref="DA35" authorId="0" shapeId="0" xr:uid="{F67A5B8D-92D3-4491-9986-93D2DC7EB40E}">
      <text>
        <r>
          <rPr>
            <b/>
            <sz val="9"/>
            <color indexed="81"/>
            <rFont val="Tahoma"/>
            <family val="2"/>
          </rPr>
          <t>Author:</t>
        </r>
        <r>
          <rPr>
            <sz val="9"/>
            <color indexed="81"/>
            <rFont val="Tahoma"/>
            <family val="2"/>
          </rPr>
          <t xml:space="preserve">
gap-filled using the corresponding data in the same wetland type</t>
        </r>
      </text>
    </comment>
    <comment ref="DE35" authorId="0" shapeId="0" xr:uid="{986694BB-D9AA-43BA-8DCD-E731D5B09960}">
      <text>
        <r>
          <rPr>
            <b/>
            <sz val="9"/>
            <color indexed="81"/>
            <rFont val="Tahoma"/>
            <family val="2"/>
          </rPr>
          <t>Author:</t>
        </r>
        <r>
          <rPr>
            <sz val="9"/>
            <color indexed="81"/>
            <rFont val="Tahoma"/>
            <family val="2"/>
          </rPr>
          <t xml:space="preserve">
gap-filled using the corresponding data in the same wetland type</t>
        </r>
      </text>
    </comment>
    <comment ref="CA36" authorId="0" shapeId="0" xr:uid="{7A339CBB-A31D-4661-8150-218F256D959A}">
      <text>
        <r>
          <rPr>
            <b/>
            <sz val="9"/>
            <color indexed="81"/>
            <rFont val="Tahoma"/>
            <family val="2"/>
          </rPr>
          <t>Author:</t>
        </r>
        <r>
          <rPr>
            <sz val="9"/>
            <color indexed="81"/>
            <rFont val="Tahoma"/>
            <family val="2"/>
          </rPr>
          <t xml:space="preserve">
non-gap-filled due to lacking data for the corresponding wetland type</t>
        </r>
      </text>
    </comment>
    <comment ref="CE36" authorId="0" shapeId="0" xr:uid="{72433752-9813-4675-BD74-5A6D0B8A8658}">
      <text>
        <r>
          <rPr>
            <b/>
            <sz val="9"/>
            <color indexed="81"/>
            <rFont val="Tahoma"/>
            <family val="2"/>
          </rPr>
          <t>Author:</t>
        </r>
        <r>
          <rPr>
            <sz val="9"/>
            <color indexed="81"/>
            <rFont val="Tahoma"/>
            <family val="2"/>
          </rPr>
          <t xml:space="preserve">
gap-filled using the corresponding data in the same wetland type</t>
        </r>
      </text>
    </comment>
    <comment ref="CN36" authorId="0" shapeId="0" xr:uid="{BFAA5BD8-7D7E-48C3-B224-D8B36B26C413}">
      <text>
        <r>
          <rPr>
            <b/>
            <sz val="9"/>
            <color indexed="81"/>
            <rFont val="Tahoma"/>
            <family val="2"/>
          </rPr>
          <t>Author:</t>
        </r>
        <r>
          <rPr>
            <sz val="9"/>
            <color indexed="81"/>
            <rFont val="Tahoma"/>
            <family val="2"/>
          </rPr>
          <t xml:space="preserve">
non-gap-filled due to lacking data for the corresponding wetland type</t>
        </r>
      </text>
    </comment>
    <comment ref="CR36" authorId="0" shapeId="0" xr:uid="{662D89EA-A67B-466E-B83C-E57838AAA657}">
      <text>
        <r>
          <rPr>
            <b/>
            <sz val="9"/>
            <color indexed="81"/>
            <rFont val="Tahoma"/>
            <family val="2"/>
          </rPr>
          <t>Author:</t>
        </r>
        <r>
          <rPr>
            <sz val="9"/>
            <color indexed="81"/>
            <rFont val="Tahoma"/>
            <family val="2"/>
          </rPr>
          <t xml:space="preserve">
gap-filled using the corresponding data in the same wetland type</t>
        </r>
      </text>
    </comment>
    <comment ref="DA36" authorId="0" shapeId="0" xr:uid="{69522191-E59C-4A83-A973-92279622127F}">
      <text>
        <r>
          <rPr>
            <b/>
            <sz val="9"/>
            <color indexed="81"/>
            <rFont val="Tahoma"/>
            <family val="2"/>
          </rPr>
          <t>Author:</t>
        </r>
        <r>
          <rPr>
            <sz val="9"/>
            <color indexed="81"/>
            <rFont val="Tahoma"/>
            <family val="2"/>
          </rPr>
          <t xml:space="preserve">
gap-filled using the corresponding data in the same wetland type</t>
        </r>
      </text>
    </comment>
    <comment ref="DE36" authorId="0" shapeId="0" xr:uid="{07C656C1-E7E2-4BE8-A621-11BB59A9EE8D}">
      <text>
        <r>
          <rPr>
            <b/>
            <sz val="9"/>
            <color indexed="81"/>
            <rFont val="Tahoma"/>
            <family val="2"/>
          </rPr>
          <t>Author:</t>
        </r>
        <r>
          <rPr>
            <sz val="9"/>
            <color indexed="81"/>
            <rFont val="Tahoma"/>
            <family val="2"/>
          </rPr>
          <t xml:space="preserve">
gap-filled using the corresponding data in the same wetland type</t>
        </r>
      </text>
    </comment>
    <comment ref="CA37" authorId="0" shapeId="0" xr:uid="{8D050C04-5A34-424D-A0CF-98FB62288628}">
      <text>
        <r>
          <rPr>
            <b/>
            <sz val="9"/>
            <color indexed="81"/>
            <rFont val="Tahoma"/>
            <family val="2"/>
          </rPr>
          <t>Author:</t>
        </r>
        <r>
          <rPr>
            <sz val="9"/>
            <color indexed="81"/>
            <rFont val="Tahoma"/>
            <family val="2"/>
          </rPr>
          <t xml:space="preserve">
non-gap-filled due to lacking data for the corresponding wetland type</t>
        </r>
      </text>
    </comment>
    <comment ref="CE37" authorId="0" shapeId="0" xr:uid="{44287DF1-5473-4660-8EA6-0887067AB8B3}">
      <text>
        <r>
          <rPr>
            <b/>
            <sz val="9"/>
            <color indexed="81"/>
            <rFont val="Tahoma"/>
            <family val="2"/>
          </rPr>
          <t>Author:</t>
        </r>
        <r>
          <rPr>
            <sz val="9"/>
            <color indexed="81"/>
            <rFont val="Tahoma"/>
            <family val="2"/>
          </rPr>
          <t xml:space="preserve">
gap-filled using the corresponding data in the same wetland type</t>
        </r>
      </text>
    </comment>
    <comment ref="CN37" authorId="0" shapeId="0" xr:uid="{3227754F-7EB2-43EC-93CC-782776A1ACC8}">
      <text>
        <r>
          <rPr>
            <b/>
            <sz val="9"/>
            <color indexed="81"/>
            <rFont val="Tahoma"/>
            <family val="2"/>
          </rPr>
          <t>Author:</t>
        </r>
        <r>
          <rPr>
            <sz val="9"/>
            <color indexed="81"/>
            <rFont val="Tahoma"/>
            <family val="2"/>
          </rPr>
          <t xml:space="preserve">
non-gap-filled due to lacking data for the corresponding wetland type</t>
        </r>
      </text>
    </comment>
    <comment ref="CR37" authorId="0" shapeId="0" xr:uid="{C36FC4FC-285A-4400-B46F-DE07B4A2FA59}">
      <text>
        <r>
          <rPr>
            <b/>
            <sz val="9"/>
            <color indexed="81"/>
            <rFont val="Tahoma"/>
            <family val="2"/>
          </rPr>
          <t>Author:</t>
        </r>
        <r>
          <rPr>
            <sz val="9"/>
            <color indexed="81"/>
            <rFont val="Tahoma"/>
            <family val="2"/>
          </rPr>
          <t xml:space="preserve">
gap-filled using the corresponding data in the same wetland type</t>
        </r>
      </text>
    </comment>
    <comment ref="DA37" authorId="0" shapeId="0" xr:uid="{D183D01B-8551-4CD7-8C7C-6C39C4D1A24A}">
      <text>
        <r>
          <rPr>
            <b/>
            <sz val="9"/>
            <color indexed="81"/>
            <rFont val="Tahoma"/>
            <family val="2"/>
          </rPr>
          <t>Author:</t>
        </r>
        <r>
          <rPr>
            <sz val="9"/>
            <color indexed="81"/>
            <rFont val="Tahoma"/>
            <family val="2"/>
          </rPr>
          <t xml:space="preserve">
gap-filled using the corresponding data in the same wetland type</t>
        </r>
      </text>
    </comment>
    <comment ref="DE37" authorId="0" shapeId="0" xr:uid="{4FD959FA-5ED9-429D-AB95-8F50C8BE28A5}">
      <text>
        <r>
          <rPr>
            <b/>
            <sz val="9"/>
            <color indexed="81"/>
            <rFont val="Tahoma"/>
            <family val="2"/>
          </rPr>
          <t>Author:</t>
        </r>
        <r>
          <rPr>
            <sz val="9"/>
            <color indexed="81"/>
            <rFont val="Tahoma"/>
            <family val="2"/>
          </rPr>
          <t xml:space="preserve">
gap-filled using the corresponding data in the same wetland type</t>
        </r>
      </text>
    </comment>
    <comment ref="CA38" authorId="0" shapeId="0" xr:uid="{50897FEB-7282-4C94-94CA-CB636DD8C47E}">
      <text>
        <r>
          <rPr>
            <b/>
            <sz val="9"/>
            <color indexed="81"/>
            <rFont val="Tahoma"/>
            <family val="2"/>
          </rPr>
          <t>Author:</t>
        </r>
        <r>
          <rPr>
            <sz val="9"/>
            <color indexed="81"/>
            <rFont val="Tahoma"/>
            <family val="2"/>
          </rPr>
          <t xml:space="preserve">
non-gap-filled due to lacking data for the corresponding wetland type</t>
        </r>
      </text>
    </comment>
    <comment ref="CE38" authorId="0" shapeId="0" xr:uid="{6FA6CCCB-5118-42C9-9860-7934DA6F83A6}">
      <text>
        <r>
          <rPr>
            <b/>
            <sz val="9"/>
            <color indexed="81"/>
            <rFont val="Tahoma"/>
            <family val="2"/>
          </rPr>
          <t>Author:</t>
        </r>
        <r>
          <rPr>
            <sz val="9"/>
            <color indexed="81"/>
            <rFont val="Tahoma"/>
            <family val="2"/>
          </rPr>
          <t xml:space="preserve">
gap-filled using the corresponding data in the same wetland type</t>
        </r>
      </text>
    </comment>
    <comment ref="CN38" authorId="0" shapeId="0" xr:uid="{F267BF5A-70CF-4E60-B2E4-398F0D3B431D}">
      <text>
        <r>
          <rPr>
            <b/>
            <sz val="9"/>
            <color indexed="81"/>
            <rFont val="Tahoma"/>
            <family val="2"/>
          </rPr>
          <t>Author:</t>
        </r>
        <r>
          <rPr>
            <sz val="9"/>
            <color indexed="81"/>
            <rFont val="Tahoma"/>
            <family val="2"/>
          </rPr>
          <t xml:space="preserve">
non-gap-filled due to lacking data for the corresponding wetland type</t>
        </r>
      </text>
    </comment>
    <comment ref="CR38" authorId="0" shapeId="0" xr:uid="{70586280-5743-4BCC-8F1C-C3F0A7A395FC}">
      <text>
        <r>
          <rPr>
            <b/>
            <sz val="9"/>
            <color indexed="81"/>
            <rFont val="Tahoma"/>
            <family val="2"/>
          </rPr>
          <t>Author:</t>
        </r>
        <r>
          <rPr>
            <sz val="9"/>
            <color indexed="81"/>
            <rFont val="Tahoma"/>
            <family val="2"/>
          </rPr>
          <t xml:space="preserve">
gap-filled using the corresponding data in the same wetland type</t>
        </r>
      </text>
    </comment>
    <comment ref="DA38" authorId="0" shapeId="0" xr:uid="{EE35D4C1-EB5A-4181-81D2-F127C7F337D3}">
      <text>
        <r>
          <rPr>
            <b/>
            <sz val="9"/>
            <color indexed="81"/>
            <rFont val="Tahoma"/>
            <family val="2"/>
          </rPr>
          <t>Author:</t>
        </r>
        <r>
          <rPr>
            <sz val="9"/>
            <color indexed="81"/>
            <rFont val="Tahoma"/>
            <family val="2"/>
          </rPr>
          <t xml:space="preserve">
gap-filled using the corresponding data in the same wetland type</t>
        </r>
      </text>
    </comment>
    <comment ref="DE38" authorId="0" shapeId="0" xr:uid="{B828960C-D483-4F90-BFC0-189FFD809BDE}">
      <text>
        <r>
          <rPr>
            <b/>
            <sz val="9"/>
            <color indexed="81"/>
            <rFont val="Tahoma"/>
            <family val="2"/>
          </rPr>
          <t>Author:</t>
        </r>
        <r>
          <rPr>
            <sz val="9"/>
            <color indexed="81"/>
            <rFont val="Tahoma"/>
            <family val="2"/>
          </rPr>
          <t xml:space="preserve">
gap-filled using the corresponding data in the same wetland type</t>
        </r>
      </text>
    </comment>
    <comment ref="CA39" authorId="0" shapeId="0" xr:uid="{CD41EC95-2DF1-4661-A4CA-9DA7021BD049}">
      <text>
        <r>
          <rPr>
            <b/>
            <sz val="9"/>
            <color indexed="81"/>
            <rFont val="Tahoma"/>
            <family val="2"/>
          </rPr>
          <t>Author:</t>
        </r>
        <r>
          <rPr>
            <sz val="9"/>
            <color indexed="81"/>
            <rFont val="Tahoma"/>
            <family val="2"/>
          </rPr>
          <t xml:space="preserve">
non-gap-filled due to lacking data for the corresponding wetland type</t>
        </r>
      </text>
    </comment>
    <comment ref="CE39" authorId="0" shapeId="0" xr:uid="{57350AE5-E6F6-4CF6-BCE7-A9DE704EA8B1}">
      <text>
        <r>
          <rPr>
            <b/>
            <sz val="9"/>
            <color indexed="81"/>
            <rFont val="Tahoma"/>
            <family val="2"/>
          </rPr>
          <t>Author:</t>
        </r>
        <r>
          <rPr>
            <sz val="9"/>
            <color indexed="81"/>
            <rFont val="Tahoma"/>
            <family val="2"/>
          </rPr>
          <t xml:space="preserve">
gap-filled using the corresponding data in the same wetland type</t>
        </r>
      </text>
    </comment>
    <comment ref="CN39" authorId="0" shapeId="0" xr:uid="{799095FB-785A-4131-98E9-72CFD14E8C91}">
      <text>
        <r>
          <rPr>
            <b/>
            <sz val="9"/>
            <color indexed="81"/>
            <rFont val="Tahoma"/>
            <family val="2"/>
          </rPr>
          <t>Author:</t>
        </r>
        <r>
          <rPr>
            <sz val="9"/>
            <color indexed="81"/>
            <rFont val="Tahoma"/>
            <family val="2"/>
          </rPr>
          <t xml:space="preserve">
non-gap-filled due to lacking data for the corresponding wetland type</t>
        </r>
      </text>
    </comment>
    <comment ref="CR39" authorId="0" shapeId="0" xr:uid="{B29F3729-6575-4041-A012-21B6369A5405}">
      <text>
        <r>
          <rPr>
            <b/>
            <sz val="9"/>
            <color indexed="81"/>
            <rFont val="Tahoma"/>
            <family val="2"/>
          </rPr>
          <t>Author:</t>
        </r>
        <r>
          <rPr>
            <sz val="9"/>
            <color indexed="81"/>
            <rFont val="Tahoma"/>
            <family val="2"/>
          </rPr>
          <t xml:space="preserve">
gap-filled using the corresponding data in the same wetland type</t>
        </r>
      </text>
    </comment>
    <comment ref="DA39" authorId="0" shapeId="0" xr:uid="{538E4EBE-ADC4-441B-BBAD-C208EC5A729B}">
      <text>
        <r>
          <rPr>
            <b/>
            <sz val="9"/>
            <color indexed="81"/>
            <rFont val="Tahoma"/>
            <family val="2"/>
          </rPr>
          <t>Author:</t>
        </r>
        <r>
          <rPr>
            <sz val="9"/>
            <color indexed="81"/>
            <rFont val="Tahoma"/>
            <family val="2"/>
          </rPr>
          <t xml:space="preserve">
gap-filled using the corresponding data in the same wetland type</t>
        </r>
      </text>
    </comment>
    <comment ref="DE39" authorId="0" shapeId="0" xr:uid="{C79C8AF0-6F62-4977-A05A-C879A939D999}">
      <text>
        <r>
          <rPr>
            <b/>
            <sz val="9"/>
            <color indexed="81"/>
            <rFont val="Tahoma"/>
            <family val="2"/>
          </rPr>
          <t>Author:</t>
        </r>
        <r>
          <rPr>
            <sz val="9"/>
            <color indexed="81"/>
            <rFont val="Tahoma"/>
            <family val="2"/>
          </rPr>
          <t xml:space="preserve">
gap-filled using the corresponding data in the same wetland type</t>
        </r>
      </text>
    </comment>
    <comment ref="CA40" authorId="0" shapeId="0" xr:uid="{E29ED2E6-739C-45D1-AA1A-7B4E806A563F}">
      <text>
        <r>
          <rPr>
            <b/>
            <sz val="9"/>
            <color indexed="81"/>
            <rFont val="Tahoma"/>
            <family val="2"/>
          </rPr>
          <t>Author:</t>
        </r>
        <r>
          <rPr>
            <sz val="9"/>
            <color indexed="81"/>
            <rFont val="Tahoma"/>
            <family val="2"/>
          </rPr>
          <t xml:space="preserve">
non-gap-filled due to lacking data for the corresponding wetland type</t>
        </r>
      </text>
    </comment>
    <comment ref="CE40" authorId="0" shapeId="0" xr:uid="{02571D98-6BF4-4738-AC23-2B945D6A324B}">
      <text>
        <r>
          <rPr>
            <b/>
            <sz val="9"/>
            <color indexed="81"/>
            <rFont val="Tahoma"/>
            <family val="2"/>
          </rPr>
          <t>Author:</t>
        </r>
        <r>
          <rPr>
            <sz val="9"/>
            <color indexed="81"/>
            <rFont val="Tahoma"/>
            <family val="2"/>
          </rPr>
          <t xml:space="preserve">
gap-filled using the corresponding data in the same wetland type</t>
        </r>
      </text>
    </comment>
    <comment ref="CN40" authorId="0" shapeId="0" xr:uid="{2B3005E1-B8AF-4E7B-B6F1-C944FE5C3CE2}">
      <text>
        <r>
          <rPr>
            <b/>
            <sz val="9"/>
            <color indexed="81"/>
            <rFont val="Tahoma"/>
            <family val="2"/>
          </rPr>
          <t>Author:</t>
        </r>
        <r>
          <rPr>
            <sz val="9"/>
            <color indexed="81"/>
            <rFont val="Tahoma"/>
            <family val="2"/>
          </rPr>
          <t xml:space="preserve">
non-gap-filled due to lacking data for the corresponding wetland type</t>
        </r>
      </text>
    </comment>
    <comment ref="CR40" authorId="0" shapeId="0" xr:uid="{C5E073C6-672B-49ED-93D1-25A4919D488B}">
      <text>
        <r>
          <rPr>
            <b/>
            <sz val="9"/>
            <color indexed="81"/>
            <rFont val="Tahoma"/>
            <family val="2"/>
          </rPr>
          <t>Author:</t>
        </r>
        <r>
          <rPr>
            <sz val="9"/>
            <color indexed="81"/>
            <rFont val="Tahoma"/>
            <family val="2"/>
          </rPr>
          <t xml:space="preserve">
gap-filled using the corresponding data in the same wetland type</t>
        </r>
      </text>
    </comment>
    <comment ref="DA40" authorId="0" shapeId="0" xr:uid="{1D4E7718-6E3C-4206-A9D3-EE51FC73D632}">
      <text>
        <r>
          <rPr>
            <b/>
            <sz val="9"/>
            <color indexed="81"/>
            <rFont val="Tahoma"/>
            <family val="2"/>
          </rPr>
          <t>Author:</t>
        </r>
        <r>
          <rPr>
            <sz val="9"/>
            <color indexed="81"/>
            <rFont val="Tahoma"/>
            <family val="2"/>
          </rPr>
          <t xml:space="preserve">
gap-filled using the corresponding data in the same wetland type</t>
        </r>
      </text>
    </comment>
    <comment ref="DE40" authorId="0" shapeId="0" xr:uid="{42A248CA-03B5-4574-A27F-B3B41833BE90}">
      <text>
        <r>
          <rPr>
            <b/>
            <sz val="9"/>
            <color indexed="81"/>
            <rFont val="Tahoma"/>
            <family val="2"/>
          </rPr>
          <t>Author:</t>
        </r>
        <r>
          <rPr>
            <sz val="9"/>
            <color indexed="81"/>
            <rFont val="Tahoma"/>
            <family val="2"/>
          </rPr>
          <t xml:space="preserve">
gap-filled using the corresponding data in the same wetland type</t>
        </r>
      </text>
    </comment>
    <comment ref="CA41" authorId="0" shapeId="0" xr:uid="{2918B0BD-4BD4-485E-90AA-0F51E0B6ECA3}">
      <text>
        <r>
          <rPr>
            <b/>
            <sz val="9"/>
            <color indexed="81"/>
            <rFont val="Tahoma"/>
            <family val="2"/>
          </rPr>
          <t>Author:</t>
        </r>
        <r>
          <rPr>
            <sz val="9"/>
            <color indexed="81"/>
            <rFont val="Tahoma"/>
            <family val="2"/>
          </rPr>
          <t xml:space="preserve">
gap-filled using the corresponding data in the same wetland type</t>
        </r>
      </text>
    </comment>
    <comment ref="CE41" authorId="0" shapeId="0" xr:uid="{F6DC75AB-BEFD-4B41-868F-E81B7CADD512}">
      <text>
        <r>
          <rPr>
            <b/>
            <sz val="9"/>
            <color indexed="81"/>
            <rFont val="Tahoma"/>
            <family val="2"/>
          </rPr>
          <t>Author:</t>
        </r>
        <r>
          <rPr>
            <sz val="9"/>
            <color indexed="81"/>
            <rFont val="Tahoma"/>
            <family val="2"/>
          </rPr>
          <t xml:space="preserve">
gap-filled using the corresponding data in the same wetland type</t>
        </r>
      </text>
    </comment>
    <comment ref="CN41" authorId="0" shapeId="0" xr:uid="{C8D694D1-8305-42DC-B907-E9C99705750B}">
      <text>
        <r>
          <rPr>
            <b/>
            <sz val="9"/>
            <color indexed="81"/>
            <rFont val="Tahoma"/>
            <family val="2"/>
          </rPr>
          <t>Author:</t>
        </r>
        <r>
          <rPr>
            <sz val="9"/>
            <color indexed="81"/>
            <rFont val="Tahoma"/>
            <family val="2"/>
          </rPr>
          <t xml:space="preserve">
gap-filled using the corresponding data in the same wetland type</t>
        </r>
      </text>
    </comment>
    <comment ref="CR41" authorId="0" shapeId="0" xr:uid="{EA856383-98C2-4629-A028-D90102DEB872}">
      <text>
        <r>
          <rPr>
            <b/>
            <sz val="9"/>
            <color indexed="81"/>
            <rFont val="Tahoma"/>
            <family val="2"/>
          </rPr>
          <t>Author:</t>
        </r>
        <r>
          <rPr>
            <sz val="9"/>
            <color indexed="81"/>
            <rFont val="Tahoma"/>
            <family val="2"/>
          </rPr>
          <t xml:space="preserve">
gap-filled using the corresponding data in the same wetland type</t>
        </r>
      </text>
    </comment>
    <comment ref="DA41" authorId="0" shapeId="0" xr:uid="{F0DE33C2-B8BD-46AB-8542-59F4ABC1008A}">
      <text>
        <r>
          <rPr>
            <b/>
            <sz val="9"/>
            <color indexed="81"/>
            <rFont val="Tahoma"/>
            <family val="2"/>
          </rPr>
          <t>Author:</t>
        </r>
        <r>
          <rPr>
            <sz val="9"/>
            <color indexed="81"/>
            <rFont val="Tahoma"/>
            <family val="2"/>
          </rPr>
          <t xml:space="preserve">
gap-filled using the corresponding data in the same wetland type</t>
        </r>
      </text>
    </comment>
    <comment ref="DE41" authorId="0" shapeId="0" xr:uid="{7F50AD98-1F6E-4EAC-B456-B0A62CF2824B}">
      <text>
        <r>
          <rPr>
            <b/>
            <sz val="9"/>
            <color indexed="81"/>
            <rFont val="Tahoma"/>
            <family val="2"/>
          </rPr>
          <t>Author:</t>
        </r>
        <r>
          <rPr>
            <sz val="9"/>
            <color indexed="81"/>
            <rFont val="Tahoma"/>
            <family val="2"/>
          </rPr>
          <t xml:space="preserve">
gap-filled using the corresponding data in the same wetland type</t>
        </r>
      </text>
    </comment>
    <comment ref="CA42" authorId="0" shapeId="0" xr:uid="{D9E117DD-940A-4880-ADBF-3F76B6C4CD44}">
      <text>
        <r>
          <rPr>
            <b/>
            <sz val="9"/>
            <color indexed="81"/>
            <rFont val="Tahoma"/>
            <family val="2"/>
          </rPr>
          <t>Author:</t>
        </r>
        <r>
          <rPr>
            <sz val="9"/>
            <color indexed="81"/>
            <rFont val="Tahoma"/>
            <family val="2"/>
          </rPr>
          <t xml:space="preserve">
gap-filled using the corresponding data in the same wetland type</t>
        </r>
      </text>
    </comment>
    <comment ref="CE42" authorId="0" shapeId="0" xr:uid="{A2BC9BA2-1EAC-45F4-BD41-905C72668ECB}">
      <text>
        <r>
          <rPr>
            <b/>
            <sz val="9"/>
            <color indexed="81"/>
            <rFont val="Tahoma"/>
            <family val="2"/>
          </rPr>
          <t>Author:</t>
        </r>
        <r>
          <rPr>
            <sz val="9"/>
            <color indexed="81"/>
            <rFont val="Tahoma"/>
            <family val="2"/>
          </rPr>
          <t xml:space="preserve">
gap-filled using the corresponding data in the same wetland type</t>
        </r>
      </text>
    </comment>
    <comment ref="CN42" authorId="0" shapeId="0" xr:uid="{73CA5734-2B4A-452D-941E-16A9B7CD5F6A}">
      <text>
        <r>
          <rPr>
            <b/>
            <sz val="9"/>
            <color indexed="81"/>
            <rFont val="Tahoma"/>
            <family val="2"/>
          </rPr>
          <t>Author:</t>
        </r>
        <r>
          <rPr>
            <sz val="9"/>
            <color indexed="81"/>
            <rFont val="Tahoma"/>
            <family val="2"/>
          </rPr>
          <t xml:space="preserve">
gap-filled using the corresponding data in the same wetland type</t>
        </r>
      </text>
    </comment>
    <comment ref="CR42" authorId="0" shapeId="0" xr:uid="{7258F343-5BF3-4447-9CCD-E4984C494186}">
      <text>
        <r>
          <rPr>
            <b/>
            <sz val="9"/>
            <color indexed="81"/>
            <rFont val="Tahoma"/>
            <family val="2"/>
          </rPr>
          <t>Author:</t>
        </r>
        <r>
          <rPr>
            <sz val="9"/>
            <color indexed="81"/>
            <rFont val="Tahoma"/>
            <family val="2"/>
          </rPr>
          <t xml:space="preserve">
gap-filled using the corresponding data in the same wetland type</t>
        </r>
      </text>
    </comment>
    <comment ref="DA42" authorId="0" shapeId="0" xr:uid="{F291F683-D5F4-4EA5-AD8A-13559A70E4A7}">
      <text>
        <r>
          <rPr>
            <b/>
            <sz val="9"/>
            <color indexed="81"/>
            <rFont val="Tahoma"/>
            <family val="2"/>
          </rPr>
          <t>Author:</t>
        </r>
        <r>
          <rPr>
            <sz val="9"/>
            <color indexed="81"/>
            <rFont val="Tahoma"/>
            <family val="2"/>
          </rPr>
          <t xml:space="preserve">
gap-filled using the corresponding data in the same wetland type</t>
        </r>
      </text>
    </comment>
    <comment ref="DE42" authorId="0" shapeId="0" xr:uid="{367DCCB1-40CB-41FA-A149-3ECB4B4E1B58}">
      <text>
        <r>
          <rPr>
            <b/>
            <sz val="9"/>
            <color indexed="81"/>
            <rFont val="Tahoma"/>
            <family val="2"/>
          </rPr>
          <t>Author:</t>
        </r>
        <r>
          <rPr>
            <sz val="9"/>
            <color indexed="81"/>
            <rFont val="Tahoma"/>
            <family val="2"/>
          </rPr>
          <t xml:space="preserve">
gap-filled using the corresponding data in the same wetland type</t>
        </r>
      </text>
    </comment>
    <comment ref="CA43" authorId="0" shapeId="0" xr:uid="{70AB1782-1EE4-41CC-B3F6-CD276731A846}">
      <text>
        <r>
          <rPr>
            <b/>
            <sz val="9"/>
            <color indexed="81"/>
            <rFont val="Tahoma"/>
            <family val="2"/>
          </rPr>
          <t>Author:</t>
        </r>
        <r>
          <rPr>
            <sz val="9"/>
            <color indexed="81"/>
            <rFont val="Tahoma"/>
            <family val="2"/>
          </rPr>
          <t xml:space="preserve">
gap-filled using the corresponding data in the same wetland type</t>
        </r>
      </text>
    </comment>
    <comment ref="CE43" authorId="0" shapeId="0" xr:uid="{D5CA7DE0-4B4E-4866-B193-76C3E9CBF770}">
      <text>
        <r>
          <rPr>
            <b/>
            <sz val="9"/>
            <color indexed="81"/>
            <rFont val="Tahoma"/>
            <family val="2"/>
          </rPr>
          <t>Author:</t>
        </r>
        <r>
          <rPr>
            <sz val="9"/>
            <color indexed="81"/>
            <rFont val="Tahoma"/>
            <family val="2"/>
          </rPr>
          <t xml:space="preserve">
gap-filled using the corresponding data in the same wetland type</t>
        </r>
      </text>
    </comment>
    <comment ref="CN43" authorId="0" shapeId="0" xr:uid="{92EA470C-489E-4E56-A6F3-E190AC2A5659}">
      <text>
        <r>
          <rPr>
            <b/>
            <sz val="9"/>
            <color indexed="81"/>
            <rFont val="Tahoma"/>
            <family val="2"/>
          </rPr>
          <t>Author:</t>
        </r>
        <r>
          <rPr>
            <sz val="9"/>
            <color indexed="81"/>
            <rFont val="Tahoma"/>
            <family val="2"/>
          </rPr>
          <t xml:space="preserve">
gap-filled using the corresponding data in the same wetland type</t>
        </r>
      </text>
    </comment>
    <comment ref="CR43" authorId="0" shapeId="0" xr:uid="{0646C600-FAAA-406E-A60F-39085851CBC9}">
      <text>
        <r>
          <rPr>
            <b/>
            <sz val="9"/>
            <color indexed="81"/>
            <rFont val="Tahoma"/>
            <family val="2"/>
          </rPr>
          <t>Author:</t>
        </r>
        <r>
          <rPr>
            <sz val="9"/>
            <color indexed="81"/>
            <rFont val="Tahoma"/>
            <family val="2"/>
          </rPr>
          <t xml:space="preserve">
gap-filled using the corresponding data in the same wetland type</t>
        </r>
      </text>
    </comment>
    <comment ref="DA43" authorId="0" shapeId="0" xr:uid="{E4FD9ABD-0B87-4738-B1C2-A858CF2F84FF}">
      <text>
        <r>
          <rPr>
            <b/>
            <sz val="9"/>
            <color indexed="81"/>
            <rFont val="Tahoma"/>
            <family val="2"/>
          </rPr>
          <t>Author:</t>
        </r>
        <r>
          <rPr>
            <sz val="9"/>
            <color indexed="81"/>
            <rFont val="Tahoma"/>
            <family val="2"/>
          </rPr>
          <t xml:space="preserve">
gap-filled using the corresponding data in the same wetland type</t>
        </r>
      </text>
    </comment>
    <comment ref="DE43" authorId="0" shapeId="0" xr:uid="{A96C0AFE-E5CD-40BC-AC62-C062BF25FB68}">
      <text>
        <r>
          <rPr>
            <b/>
            <sz val="9"/>
            <color indexed="81"/>
            <rFont val="Tahoma"/>
            <family val="2"/>
          </rPr>
          <t>Author:</t>
        </r>
        <r>
          <rPr>
            <sz val="9"/>
            <color indexed="81"/>
            <rFont val="Tahoma"/>
            <family val="2"/>
          </rPr>
          <t xml:space="preserve">
gap-filled using the corresponding data in the same wetland type</t>
        </r>
      </text>
    </comment>
    <comment ref="CA44" authorId="0" shapeId="0" xr:uid="{845BD1C9-F952-42B7-B967-B05C0B8373D9}">
      <text>
        <r>
          <rPr>
            <b/>
            <sz val="9"/>
            <color indexed="81"/>
            <rFont val="Tahoma"/>
            <family val="2"/>
          </rPr>
          <t>Author:</t>
        </r>
        <r>
          <rPr>
            <sz val="9"/>
            <color indexed="81"/>
            <rFont val="Tahoma"/>
            <family val="2"/>
          </rPr>
          <t xml:space="preserve">
gap-filled using the corresponding data in the same wetland type</t>
        </r>
      </text>
    </comment>
    <comment ref="CE44" authorId="0" shapeId="0" xr:uid="{E9CAD7BF-FF00-478C-BC34-197C07CE2C2E}">
      <text>
        <r>
          <rPr>
            <b/>
            <sz val="9"/>
            <color indexed="81"/>
            <rFont val="Tahoma"/>
            <family val="2"/>
          </rPr>
          <t>Author:</t>
        </r>
        <r>
          <rPr>
            <sz val="9"/>
            <color indexed="81"/>
            <rFont val="Tahoma"/>
            <family val="2"/>
          </rPr>
          <t xml:space="preserve">
gap-filled using the corresponding data in the same wetland type</t>
        </r>
      </text>
    </comment>
    <comment ref="CN44" authorId="0" shapeId="0" xr:uid="{DC2A26B1-C06E-4DEF-B094-F7D6F1A329E5}">
      <text>
        <r>
          <rPr>
            <b/>
            <sz val="9"/>
            <color indexed="81"/>
            <rFont val="Tahoma"/>
            <family val="2"/>
          </rPr>
          <t>Author:</t>
        </r>
        <r>
          <rPr>
            <sz val="9"/>
            <color indexed="81"/>
            <rFont val="Tahoma"/>
            <family val="2"/>
          </rPr>
          <t xml:space="preserve">
gap-filled using the corresponding data in the same wetland type</t>
        </r>
      </text>
    </comment>
    <comment ref="CR44" authorId="0" shapeId="0" xr:uid="{5FB2652C-8B93-4B83-9007-701FCFD37C9A}">
      <text>
        <r>
          <rPr>
            <b/>
            <sz val="9"/>
            <color indexed="81"/>
            <rFont val="Tahoma"/>
            <family val="2"/>
          </rPr>
          <t>Author:</t>
        </r>
        <r>
          <rPr>
            <sz val="9"/>
            <color indexed="81"/>
            <rFont val="Tahoma"/>
            <family val="2"/>
          </rPr>
          <t xml:space="preserve">
gap-filled using the corresponding data in the same wetland type</t>
        </r>
      </text>
    </comment>
    <comment ref="DA44" authorId="0" shapeId="0" xr:uid="{DD531B69-B958-446F-A7F8-0B9DBA632729}">
      <text>
        <r>
          <rPr>
            <b/>
            <sz val="9"/>
            <color indexed="81"/>
            <rFont val="Tahoma"/>
            <family val="2"/>
          </rPr>
          <t>Author:</t>
        </r>
        <r>
          <rPr>
            <sz val="9"/>
            <color indexed="81"/>
            <rFont val="Tahoma"/>
            <family val="2"/>
          </rPr>
          <t xml:space="preserve">
gap-filled using the corresponding data in the same wetland type</t>
        </r>
      </text>
    </comment>
    <comment ref="DE44" authorId="0" shapeId="0" xr:uid="{AB9BA11D-AEF2-49DC-9154-85D9318B7B85}">
      <text>
        <r>
          <rPr>
            <b/>
            <sz val="9"/>
            <color indexed="81"/>
            <rFont val="Tahoma"/>
            <family val="2"/>
          </rPr>
          <t>Author:</t>
        </r>
        <r>
          <rPr>
            <sz val="9"/>
            <color indexed="81"/>
            <rFont val="Tahoma"/>
            <family val="2"/>
          </rPr>
          <t xml:space="preserve">
gap-filled using the corresponding data in the same wetland type</t>
        </r>
      </text>
    </comment>
    <comment ref="CA45" authorId="0" shapeId="0" xr:uid="{F1E98C2A-3268-4C29-895E-3A7CA9F7FAAF}">
      <text>
        <r>
          <rPr>
            <b/>
            <sz val="9"/>
            <color indexed="81"/>
            <rFont val="Tahoma"/>
            <family val="2"/>
          </rPr>
          <t>Author:</t>
        </r>
        <r>
          <rPr>
            <sz val="9"/>
            <color indexed="81"/>
            <rFont val="Tahoma"/>
            <family val="2"/>
          </rPr>
          <t xml:space="preserve">
gap-filled using the corresponding data in the same wetland type</t>
        </r>
      </text>
    </comment>
    <comment ref="CE45" authorId="0" shapeId="0" xr:uid="{12F0DDE3-01E9-4BDF-A258-2474645D857D}">
      <text>
        <r>
          <rPr>
            <b/>
            <sz val="9"/>
            <color indexed="81"/>
            <rFont val="Tahoma"/>
            <family val="2"/>
          </rPr>
          <t>Author:</t>
        </r>
        <r>
          <rPr>
            <sz val="9"/>
            <color indexed="81"/>
            <rFont val="Tahoma"/>
            <family val="2"/>
          </rPr>
          <t xml:space="preserve">
gap-filled using the corresponding data in the same wetland type</t>
        </r>
      </text>
    </comment>
    <comment ref="CN45" authorId="0" shapeId="0" xr:uid="{275A30E9-A68D-4C56-B3C1-700452FA889D}">
      <text>
        <r>
          <rPr>
            <b/>
            <sz val="9"/>
            <color indexed="81"/>
            <rFont val="Tahoma"/>
            <family val="2"/>
          </rPr>
          <t>Author:</t>
        </r>
        <r>
          <rPr>
            <sz val="9"/>
            <color indexed="81"/>
            <rFont val="Tahoma"/>
            <family val="2"/>
          </rPr>
          <t xml:space="preserve">
gap-filled using the corresponding data in the same wetland type</t>
        </r>
      </text>
    </comment>
    <comment ref="CR45" authorId="0" shapeId="0" xr:uid="{180F1BD4-205B-4040-98DE-D3C1AB37B7BE}">
      <text>
        <r>
          <rPr>
            <b/>
            <sz val="9"/>
            <color indexed="81"/>
            <rFont val="Tahoma"/>
            <family val="2"/>
          </rPr>
          <t>Author:</t>
        </r>
        <r>
          <rPr>
            <sz val="9"/>
            <color indexed="81"/>
            <rFont val="Tahoma"/>
            <family val="2"/>
          </rPr>
          <t xml:space="preserve">
gap-filled using the corresponding data in the same wetland type</t>
        </r>
      </text>
    </comment>
    <comment ref="DA45" authorId="0" shapeId="0" xr:uid="{0B7BAC81-5F08-4D80-98D9-DCE4E6642247}">
      <text>
        <r>
          <rPr>
            <b/>
            <sz val="9"/>
            <color indexed="81"/>
            <rFont val="Tahoma"/>
            <family val="2"/>
          </rPr>
          <t>Author:</t>
        </r>
        <r>
          <rPr>
            <sz val="9"/>
            <color indexed="81"/>
            <rFont val="Tahoma"/>
            <family val="2"/>
          </rPr>
          <t xml:space="preserve">
gap-filled using the corresponding data in the same wetland type</t>
        </r>
      </text>
    </comment>
    <comment ref="DE45" authorId="0" shapeId="0" xr:uid="{97A8DD85-49D7-4CD1-A281-1A3876DA5E10}">
      <text>
        <r>
          <rPr>
            <b/>
            <sz val="9"/>
            <color indexed="81"/>
            <rFont val="Tahoma"/>
            <family val="2"/>
          </rPr>
          <t xml:space="preserve">Author:
</t>
        </r>
      </text>
    </comment>
    <comment ref="CA46" authorId="0" shapeId="0" xr:uid="{CB2D4B33-3BBA-490F-8676-C6B5D3175275}">
      <text>
        <r>
          <rPr>
            <b/>
            <sz val="9"/>
            <color indexed="81"/>
            <rFont val="Tahoma"/>
            <family val="2"/>
          </rPr>
          <t>Author:</t>
        </r>
        <r>
          <rPr>
            <sz val="9"/>
            <color indexed="81"/>
            <rFont val="Tahoma"/>
            <family val="2"/>
          </rPr>
          <t xml:space="preserve">
gap-filled using the corresponding data in the same wetland type</t>
        </r>
      </text>
    </comment>
    <comment ref="CE46" authorId="0" shapeId="0" xr:uid="{BD87B067-86FF-4B78-94CF-EF3FCAB7BC77}">
      <text>
        <r>
          <rPr>
            <b/>
            <sz val="9"/>
            <color indexed="81"/>
            <rFont val="Tahoma"/>
            <family val="2"/>
          </rPr>
          <t>Author:</t>
        </r>
        <r>
          <rPr>
            <sz val="9"/>
            <color indexed="81"/>
            <rFont val="Tahoma"/>
            <family val="2"/>
          </rPr>
          <t xml:space="preserve">
gap-filled using the corresponding data in the same wetland type</t>
        </r>
      </text>
    </comment>
    <comment ref="CN46" authorId="0" shapeId="0" xr:uid="{74AFD6CB-FEBE-47AC-94E5-B106403DE2EF}">
      <text>
        <r>
          <rPr>
            <b/>
            <sz val="9"/>
            <color indexed="81"/>
            <rFont val="Tahoma"/>
            <family val="2"/>
          </rPr>
          <t>Author:</t>
        </r>
        <r>
          <rPr>
            <sz val="9"/>
            <color indexed="81"/>
            <rFont val="Tahoma"/>
            <family val="2"/>
          </rPr>
          <t xml:space="preserve">
gap-filled using the corresponding data in the same wetland type</t>
        </r>
      </text>
    </comment>
    <comment ref="CR46" authorId="0" shapeId="0" xr:uid="{E81F908D-816A-4461-AFC4-0ABD17A1C7F4}">
      <text>
        <r>
          <rPr>
            <b/>
            <sz val="9"/>
            <color indexed="81"/>
            <rFont val="Tahoma"/>
            <family val="2"/>
          </rPr>
          <t>Author:</t>
        </r>
        <r>
          <rPr>
            <sz val="9"/>
            <color indexed="81"/>
            <rFont val="Tahoma"/>
            <family val="2"/>
          </rPr>
          <t xml:space="preserve">
gap-filled using the corresponding data in the same wetland type</t>
        </r>
      </text>
    </comment>
    <comment ref="DA46" authorId="0" shapeId="0" xr:uid="{7AFA8396-369E-4CDE-B07E-27676BBF7C25}">
      <text>
        <r>
          <rPr>
            <b/>
            <sz val="9"/>
            <color indexed="81"/>
            <rFont val="Tahoma"/>
            <family val="2"/>
          </rPr>
          <t>Author:</t>
        </r>
        <r>
          <rPr>
            <sz val="9"/>
            <color indexed="81"/>
            <rFont val="Tahoma"/>
            <family val="2"/>
          </rPr>
          <t xml:space="preserve">
gap-filled using the corresponding data in the same wetland type</t>
        </r>
      </text>
    </comment>
    <comment ref="DE46" authorId="0" shapeId="0" xr:uid="{53A12604-D615-4D0B-8448-6A1DC9E066DA}">
      <text>
        <r>
          <rPr>
            <b/>
            <sz val="9"/>
            <color indexed="81"/>
            <rFont val="Tahoma"/>
            <family val="2"/>
          </rPr>
          <t xml:space="preserve">Author:
</t>
        </r>
      </text>
    </comment>
    <comment ref="CA47" authorId="0" shapeId="0" xr:uid="{CD1D6EEE-463B-4880-9507-B64C7F72072C}">
      <text>
        <r>
          <rPr>
            <b/>
            <sz val="9"/>
            <color indexed="81"/>
            <rFont val="Tahoma"/>
            <family val="2"/>
          </rPr>
          <t>Author:</t>
        </r>
        <r>
          <rPr>
            <sz val="9"/>
            <color indexed="81"/>
            <rFont val="Tahoma"/>
            <family val="2"/>
          </rPr>
          <t xml:space="preserve">
gap-filled using the corresponding data in the same wetland type</t>
        </r>
      </text>
    </comment>
    <comment ref="CE47" authorId="0" shapeId="0" xr:uid="{254EE838-0921-479E-B9CA-0175E1571117}">
      <text>
        <r>
          <rPr>
            <b/>
            <sz val="9"/>
            <color indexed="81"/>
            <rFont val="Tahoma"/>
            <family val="2"/>
          </rPr>
          <t>Author:</t>
        </r>
        <r>
          <rPr>
            <sz val="9"/>
            <color indexed="81"/>
            <rFont val="Tahoma"/>
            <family val="2"/>
          </rPr>
          <t xml:space="preserve">
gap-filled using the corresponding data in the same wetland type</t>
        </r>
      </text>
    </comment>
    <comment ref="CN47" authorId="0" shapeId="0" xr:uid="{87258CBC-324C-4E75-8044-D58FA204D39F}">
      <text>
        <r>
          <rPr>
            <b/>
            <sz val="9"/>
            <color indexed="81"/>
            <rFont val="Tahoma"/>
            <family val="2"/>
          </rPr>
          <t>Author:</t>
        </r>
        <r>
          <rPr>
            <sz val="9"/>
            <color indexed="81"/>
            <rFont val="Tahoma"/>
            <family val="2"/>
          </rPr>
          <t xml:space="preserve">
gap-filled using the corresponding data in the same wetland type</t>
        </r>
      </text>
    </comment>
    <comment ref="CR47" authorId="0" shapeId="0" xr:uid="{5FE204D9-CBE7-4647-ABD5-5D0104828B4A}">
      <text>
        <r>
          <rPr>
            <b/>
            <sz val="9"/>
            <color indexed="81"/>
            <rFont val="Tahoma"/>
            <family val="2"/>
          </rPr>
          <t>Author:</t>
        </r>
        <r>
          <rPr>
            <sz val="9"/>
            <color indexed="81"/>
            <rFont val="Tahoma"/>
            <family val="2"/>
          </rPr>
          <t xml:space="preserve">
gap-filled using the corresponding data in the same wetland type</t>
        </r>
      </text>
    </comment>
    <comment ref="DA47" authorId="0" shapeId="0" xr:uid="{F4DCCA6A-CB09-4177-8103-E9CFB8797DE6}">
      <text>
        <r>
          <rPr>
            <b/>
            <sz val="9"/>
            <color indexed="81"/>
            <rFont val="Tahoma"/>
            <family val="2"/>
          </rPr>
          <t>Author:</t>
        </r>
        <r>
          <rPr>
            <sz val="9"/>
            <color indexed="81"/>
            <rFont val="Tahoma"/>
            <family val="2"/>
          </rPr>
          <t xml:space="preserve">
gap-filled using the corresponding data in the same wetland type</t>
        </r>
      </text>
    </comment>
    <comment ref="DE47" authorId="0" shapeId="0" xr:uid="{E99727EA-F26F-488D-8B01-B753EF1D3A30}">
      <text>
        <r>
          <rPr>
            <b/>
            <sz val="9"/>
            <color indexed="81"/>
            <rFont val="Tahoma"/>
            <family val="2"/>
          </rPr>
          <t>Author:</t>
        </r>
        <r>
          <rPr>
            <sz val="9"/>
            <color indexed="81"/>
            <rFont val="Tahoma"/>
            <family val="2"/>
          </rPr>
          <t xml:space="preserve">
gap-filled using the corresponding data in the same wetland type</t>
        </r>
      </text>
    </comment>
    <comment ref="CA48" authorId="0" shapeId="0" xr:uid="{FEBB3634-CBBD-4FD6-9EA0-2ABD16BF1436}">
      <text>
        <r>
          <rPr>
            <b/>
            <sz val="9"/>
            <color indexed="81"/>
            <rFont val="Tahoma"/>
            <family val="2"/>
          </rPr>
          <t>Author:</t>
        </r>
        <r>
          <rPr>
            <sz val="9"/>
            <color indexed="81"/>
            <rFont val="Tahoma"/>
            <family val="2"/>
          </rPr>
          <t xml:space="preserve">
gap-filled using the corresponding data in the same wetland type</t>
        </r>
      </text>
    </comment>
    <comment ref="CE48" authorId="0" shapeId="0" xr:uid="{FB4B1C47-1CA4-4950-8184-FDBB84E3880A}">
      <text>
        <r>
          <rPr>
            <b/>
            <sz val="9"/>
            <color indexed="81"/>
            <rFont val="Tahoma"/>
            <family val="2"/>
          </rPr>
          <t>Author:</t>
        </r>
        <r>
          <rPr>
            <sz val="9"/>
            <color indexed="81"/>
            <rFont val="Tahoma"/>
            <family val="2"/>
          </rPr>
          <t xml:space="preserve">
gap-filled using the corresponding data in the same wetland type</t>
        </r>
      </text>
    </comment>
    <comment ref="CN48" authorId="0" shapeId="0" xr:uid="{4EBE6853-82CD-4910-BB11-B5D061330ECD}">
      <text>
        <r>
          <rPr>
            <b/>
            <sz val="9"/>
            <color indexed="81"/>
            <rFont val="Tahoma"/>
            <family val="2"/>
          </rPr>
          <t>Author:</t>
        </r>
        <r>
          <rPr>
            <sz val="9"/>
            <color indexed="81"/>
            <rFont val="Tahoma"/>
            <family val="2"/>
          </rPr>
          <t xml:space="preserve">
gap-filled using the corresponding data in the same wetland type</t>
        </r>
      </text>
    </comment>
    <comment ref="CR48" authorId="0" shapeId="0" xr:uid="{0481BED0-4575-4CD6-A4ED-8F6718AFBF56}">
      <text>
        <r>
          <rPr>
            <b/>
            <sz val="9"/>
            <color indexed="81"/>
            <rFont val="Tahoma"/>
            <family val="2"/>
          </rPr>
          <t>Author:</t>
        </r>
        <r>
          <rPr>
            <sz val="9"/>
            <color indexed="81"/>
            <rFont val="Tahoma"/>
            <family val="2"/>
          </rPr>
          <t xml:space="preserve">
gap-filled using the corresponding data in the same wetland type</t>
        </r>
      </text>
    </comment>
    <comment ref="DA48" authorId="0" shapeId="0" xr:uid="{902CF17D-BF58-4FD4-97A3-50F1BEFADDA2}">
      <text>
        <r>
          <rPr>
            <b/>
            <sz val="9"/>
            <color indexed="81"/>
            <rFont val="Tahoma"/>
            <family val="2"/>
          </rPr>
          <t>Author:</t>
        </r>
        <r>
          <rPr>
            <sz val="9"/>
            <color indexed="81"/>
            <rFont val="Tahoma"/>
            <family val="2"/>
          </rPr>
          <t xml:space="preserve">
gap-filled using the corresponding data in the same wetland type</t>
        </r>
      </text>
    </comment>
    <comment ref="DE48" authorId="0" shapeId="0" xr:uid="{2892A948-2CD6-4437-A6A6-619ADA02C893}">
      <text>
        <r>
          <rPr>
            <b/>
            <sz val="9"/>
            <color indexed="81"/>
            <rFont val="Tahoma"/>
            <family val="2"/>
          </rPr>
          <t>Author:</t>
        </r>
        <r>
          <rPr>
            <sz val="9"/>
            <color indexed="81"/>
            <rFont val="Tahoma"/>
            <family val="2"/>
          </rPr>
          <t xml:space="preserve">
gap-filled using the corresponding data in the same wetland type</t>
        </r>
      </text>
    </comment>
    <comment ref="CA49" authorId="0" shapeId="0" xr:uid="{83B054EE-82D3-42AC-9560-95A3C4CD0F07}">
      <text>
        <r>
          <rPr>
            <b/>
            <sz val="9"/>
            <color indexed="81"/>
            <rFont val="Tahoma"/>
            <family val="2"/>
          </rPr>
          <t>Author:</t>
        </r>
        <r>
          <rPr>
            <sz val="9"/>
            <color indexed="81"/>
            <rFont val="Tahoma"/>
            <family val="2"/>
          </rPr>
          <t xml:space="preserve">
gap-filled using the corresponding data in the same wetland type</t>
        </r>
      </text>
    </comment>
    <comment ref="CE49" authorId="0" shapeId="0" xr:uid="{7714721F-D1D3-4659-8534-646C24163B4E}">
      <text>
        <r>
          <rPr>
            <b/>
            <sz val="9"/>
            <color indexed="81"/>
            <rFont val="Tahoma"/>
            <family val="2"/>
          </rPr>
          <t>Author:</t>
        </r>
        <r>
          <rPr>
            <sz val="9"/>
            <color indexed="81"/>
            <rFont val="Tahoma"/>
            <family val="2"/>
          </rPr>
          <t xml:space="preserve">
gap-filled using the corresponding data in the same wetland type</t>
        </r>
      </text>
    </comment>
    <comment ref="CN49" authorId="0" shapeId="0" xr:uid="{5C9332B5-503C-4116-9983-40BFB2BA3BA4}">
      <text>
        <r>
          <rPr>
            <b/>
            <sz val="9"/>
            <color indexed="81"/>
            <rFont val="Tahoma"/>
            <family val="2"/>
          </rPr>
          <t>Author:</t>
        </r>
        <r>
          <rPr>
            <sz val="9"/>
            <color indexed="81"/>
            <rFont val="Tahoma"/>
            <family val="2"/>
          </rPr>
          <t xml:space="preserve">
gap-filled using the corresponding data in the same wetland type</t>
        </r>
      </text>
    </comment>
    <comment ref="CR49" authorId="0" shapeId="0" xr:uid="{6648BD59-2606-4791-8776-7D2481F349CB}">
      <text>
        <r>
          <rPr>
            <b/>
            <sz val="9"/>
            <color indexed="81"/>
            <rFont val="Tahoma"/>
            <family val="2"/>
          </rPr>
          <t>Author:</t>
        </r>
        <r>
          <rPr>
            <sz val="9"/>
            <color indexed="81"/>
            <rFont val="Tahoma"/>
            <family val="2"/>
          </rPr>
          <t xml:space="preserve">
gap-filled using the corresponding data in the same wetland type</t>
        </r>
      </text>
    </comment>
    <comment ref="DA49" authorId="0" shapeId="0" xr:uid="{D433181F-4D9F-406D-A1C8-3CE956F36471}">
      <text>
        <r>
          <rPr>
            <b/>
            <sz val="9"/>
            <color indexed="81"/>
            <rFont val="Tahoma"/>
            <family val="2"/>
          </rPr>
          <t>Author:</t>
        </r>
        <r>
          <rPr>
            <sz val="9"/>
            <color indexed="81"/>
            <rFont val="Tahoma"/>
            <family val="2"/>
          </rPr>
          <t xml:space="preserve">
gap-filled using the corresponding data in the same wetland type</t>
        </r>
      </text>
    </comment>
    <comment ref="DE49" authorId="0" shapeId="0" xr:uid="{8C4C5BDB-4B3C-425D-B618-3E8964486674}">
      <text>
        <r>
          <rPr>
            <b/>
            <sz val="9"/>
            <color indexed="81"/>
            <rFont val="Tahoma"/>
            <family val="2"/>
          </rPr>
          <t>Author:</t>
        </r>
        <r>
          <rPr>
            <sz val="9"/>
            <color indexed="81"/>
            <rFont val="Tahoma"/>
            <family val="2"/>
          </rPr>
          <t xml:space="preserve">
gap-filled using the corresponding data in the same wetland type</t>
        </r>
      </text>
    </comment>
    <comment ref="CA50" authorId="0" shapeId="0" xr:uid="{234C5540-634C-43A8-9B30-D61A3E7C1597}">
      <text>
        <r>
          <rPr>
            <b/>
            <sz val="9"/>
            <color indexed="81"/>
            <rFont val="Tahoma"/>
            <family val="2"/>
          </rPr>
          <t>Author:</t>
        </r>
        <r>
          <rPr>
            <sz val="9"/>
            <color indexed="81"/>
            <rFont val="Tahoma"/>
            <family val="2"/>
          </rPr>
          <t xml:space="preserve">
gap-filled using the corresponding data in the same wetland type</t>
        </r>
      </text>
    </comment>
    <comment ref="CE50" authorId="0" shapeId="0" xr:uid="{D77D5981-1108-4A96-A1DE-769E52947877}">
      <text>
        <r>
          <rPr>
            <b/>
            <sz val="9"/>
            <color indexed="81"/>
            <rFont val="Tahoma"/>
            <family val="2"/>
          </rPr>
          <t>Author:</t>
        </r>
        <r>
          <rPr>
            <sz val="9"/>
            <color indexed="81"/>
            <rFont val="Tahoma"/>
            <family val="2"/>
          </rPr>
          <t xml:space="preserve">
gap-filled using the corresponding data in the same wetland type</t>
        </r>
      </text>
    </comment>
    <comment ref="CN50" authorId="0" shapeId="0" xr:uid="{EA343305-EC7C-4BA4-8390-C1E606600957}">
      <text>
        <r>
          <rPr>
            <b/>
            <sz val="9"/>
            <color indexed="81"/>
            <rFont val="Tahoma"/>
            <family val="2"/>
          </rPr>
          <t>Author:</t>
        </r>
        <r>
          <rPr>
            <sz val="9"/>
            <color indexed="81"/>
            <rFont val="Tahoma"/>
            <family val="2"/>
          </rPr>
          <t xml:space="preserve">
gap-filled using the corresponding data in the same wetland type</t>
        </r>
      </text>
    </comment>
    <comment ref="CR50" authorId="0" shapeId="0" xr:uid="{D5F206DF-B863-4E46-AE72-6E8375A9A96A}">
      <text>
        <r>
          <rPr>
            <b/>
            <sz val="9"/>
            <color indexed="81"/>
            <rFont val="Tahoma"/>
            <family val="2"/>
          </rPr>
          <t>Author:</t>
        </r>
        <r>
          <rPr>
            <sz val="9"/>
            <color indexed="81"/>
            <rFont val="Tahoma"/>
            <family val="2"/>
          </rPr>
          <t xml:space="preserve">
gap-filled using the corresponding data in the same wetland type</t>
        </r>
      </text>
    </comment>
    <comment ref="DA50" authorId="0" shapeId="0" xr:uid="{96E23957-4076-440B-8CFE-13E4A2185BDA}">
      <text>
        <r>
          <rPr>
            <b/>
            <sz val="9"/>
            <color indexed="81"/>
            <rFont val="Tahoma"/>
            <family val="2"/>
          </rPr>
          <t>Author:</t>
        </r>
        <r>
          <rPr>
            <sz val="9"/>
            <color indexed="81"/>
            <rFont val="Tahoma"/>
            <family val="2"/>
          </rPr>
          <t xml:space="preserve">
gap-filled using the corresponding data in the same wetland type</t>
        </r>
      </text>
    </comment>
    <comment ref="DE50" authorId="0" shapeId="0" xr:uid="{FB6F6206-A41D-4018-BDE2-AA2F3A27CBA9}">
      <text>
        <r>
          <rPr>
            <b/>
            <sz val="9"/>
            <color indexed="81"/>
            <rFont val="Tahoma"/>
            <family val="2"/>
          </rPr>
          <t>Author:</t>
        </r>
        <r>
          <rPr>
            <sz val="9"/>
            <color indexed="81"/>
            <rFont val="Tahoma"/>
            <family val="2"/>
          </rPr>
          <t xml:space="preserve">
gap-filled using the corresponding data in the same wetland type</t>
        </r>
      </text>
    </comment>
    <comment ref="CA51" authorId="0" shapeId="0" xr:uid="{ECCADB90-086B-4EAD-A84C-C87B7C702F53}">
      <text>
        <r>
          <rPr>
            <b/>
            <sz val="9"/>
            <color indexed="81"/>
            <rFont val="Tahoma"/>
            <family val="2"/>
          </rPr>
          <t>Author:</t>
        </r>
        <r>
          <rPr>
            <sz val="9"/>
            <color indexed="81"/>
            <rFont val="Tahoma"/>
            <family val="2"/>
          </rPr>
          <t xml:space="preserve">
gap-filled using the corresponding data in the same wetland type</t>
        </r>
      </text>
    </comment>
    <comment ref="CE51" authorId="0" shapeId="0" xr:uid="{2A3AED4B-326A-497D-ADF7-3A260E9B85EE}">
      <text>
        <r>
          <rPr>
            <b/>
            <sz val="9"/>
            <color indexed="81"/>
            <rFont val="Tahoma"/>
            <family val="2"/>
          </rPr>
          <t>Author:</t>
        </r>
        <r>
          <rPr>
            <sz val="9"/>
            <color indexed="81"/>
            <rFont val="Tahoma"/>
            <family val="2"/>
          </rPr>
          <t xml:space="preserve">
gap-filled using the corresponding data in the same wetland type</t>
        </r>
      </text>
    </comment>
    <comment ref="CN51" authorId="0" shapeId="0" xr:uid="{AFE320E6-2072-4F8A-B898-DC23C4A9BA4F}">
      <text>
        <r>
          <rPr>
            <b/>
            <sz val="9"/>
            <color indexed="81"/>
            <rFont val="Tahoma"/>
            <family val="2"/>
          </rPr>
          <t>Author:</t>
        </r>
        <r>
          <rPr>
            <sz val="9"/>
            <color indexed="81"/>
            <rFont val="Tahoma"/>
            <family val="2"/>
          </rPr>
          <t xml:space="preserve">
gap-filled using the corresponding data in the same wetland type</t>
        </r>
      </text>
    </comment>
    <comment ref="CR51" authorId="0" shapeId="0" xr:uid="{B82C4B12-AD4A-4B9B-844A-AF3D399FFA18}">
      <text>
        <r>
          <rPr>
            <b/>
            <sz val="9"/>
            <color indexed="81"/>
            <rFont val="Tahoma"/>
            <family val="2"/>
          </rPr>
          <t>Author:</t>
        </r>
        <r>
          <rPr>
            <sz val="9"/>
            <color indexed="81"/>
            <rFont val="Tahoma"/>
            <family val="2"/>
          </rPr>
          <t xml:space="preserve">
gap-filled using the corresponding data in the same wetland type</t>
        </r>
      </text>
    </comment>
    <comment ref="DA51" authorId="0" shapeId="0" xr:uid="{A5F1A782-1151-49B0-8B14-9B43FDB65F7C}">
      <text>
        <r>
          <rPr>
            <b/>
            <sz val="9"/>
            <color indexed="81"/>
            <rFont val="Tahoma"/>
            <family val="2"/>
          </rPr>
          <t>Author:</t>
        </r>
        <r>
          <rPr>
            <sz val="9"/>
            <color indexed="81"/>
            <rFont val="Tahoma"/>
            <family val="2"/>
          </rPr>
          <t xml:space="preserve">
gap-filled using the corresponding data in the same wetland type</t>
        </r>
      </text>
    </comment>
    <comment ref="DE51" authorId="0" shapeId="0" xr:uid="{7C3C2E8E-DB66-4B41-B22B-DAC5E1BBA4AD}">
      <text>
        <r>
          <rPr>
            <b/>
            <sz val="9"/>
            <color indexed="81"/>
            <rFont val="Tahoma"/>
            <family val="2"/>
          </rPr>
          <t>Author:</t>
        </r>
        <r>
          <rPr>
            <sz val="9"/>
            <color indexed="81"/>
            <rFont val="Tahoma"/>
            <family val="2"/>
          </rPr>
          <t xml:space="preserve">
gap-filled using the corresponding data in the same wetland type</t>
        </r>
      </text>
    </comment>
    <comment ref="CA52" authorId="0" shapeId="0" xr:uid="{047F51E2-9757-4E88-8AF1-7D52303716A5}">
      <text>
        <r>
          <rPr>
            <b/>
            <sz val="9"/>
            <color indexed="81"/>
            <rFont val="Tahoma"/>
            <family val="2"/>
          </rPr>
          <t>Author:</t>
        </r>
        <r>
          <rPr>
            <sz val="9"/>
            <color indexed="81"/>
            <rFont val="Tahoma"/>
            <family val="2"/>
          </rPr>
          <t xml:space="preserve">
gap-filled using the corresponding data in the same wetland type</t>
        </r>
      </text>
    </comment>
    <comment ref="CE52" authorId="0" shapeId="0" xr:uid="{A7BF191E-2262-4C14-81AE-6DD9660B475A}">
      <text>
        <r>
          <rPr>
            <b/>
            <sz val="9"/>
            <color indexed="81"/>
            <rFont val="Tahoma"/>
            <family val="2"/>
          </rPr>
          <t>Author:</t>
        </r>
        <r>
          <rPr>
            <sz val="9"/>
            <color indexed="81"/>
            <rFont val="Tahoma"/>
            <family val="2"/>
          </rPr>
          <t xml:space="preserve">
gap-filled using the corresponding data in the same wetland type</t>
        </r>
      </text>
    </comment>
    <comment ref="CN52" authorId="0" shapeId="0" xr:uid="{FA4C300D-899E-45B6-ABA9-4A90FB6D549A}">
      <text>
        <r>
          <rPr>
            <b/>
            <sz val="9"/>
            <color indexed="81"/>
            <rFont val="Tahoma"/>
            <family val="2"/>
          </rPr>
          <t>Author:</t>
        </r>
        <r>
          <rPr>
            <sz val="9"/>
            <color indexed="81"/>
            <rFont val="Tahoma"/>
            <family val="2"/>
          </rPr>
          <t xml:space="preserve">
gap-filled using the corresponding data in the same wetland type</t>
        </r>
      </text>
    </comment>
    <comment ref="CR52" authorId="0" shapeId="0" xr:uid="{0D7B0D96-11C9-48D0-A02A-68C5437EF922}">
      <text>
        <r>
          <rPr>
            <b/>
            <sz val="9"/>
            <color indexed="81"/>
            <rFont val="Tahoma"/>
            <family val="2"/>
          </rPr>
          <t>Author:</t>
        </r>
        <r>
          <rPr>
            <sz val="9"/>
            <color indexed="81"/>
            <rFont val="Tahoma"/>
            <family val="2"/>
          </rPr>
          <t xml:space="preserve">
gap-filled using the corresponding data in the same wetland type</t>
        </r>
      </text>
    </comment>
    <comment ref="DA52" authorId="0" shapeId="0" xr:uid="{993B8797-A70B-491C-83AC-25B47EA8164F}">
      <text>
        <r>
          <rPr>
            <b/>
            <sz val="9"/>
            <color indexed="81"/>
            <rFont val="Tahoma"/>
            <family val="2"/>
          </rPr>
          <t>Author:</t>
        </r>
        <r>
          <rPr>
            <sz val="9"/>
            <color indexed="81"/>
            <rFont val="Tahoma"/>
            <family val="2"/>
          </rPr>
          <t xml:space="preserve">
gap-filled using the corresponding data in the same wetland type</t>
        </r>
      </text>
    </comment>
    <comment ref="DE52" authorId="0" shapeId="0" xr:uid="{509E6254-72E5-4D8E-91BE-4AEA8C5EBD1A}">
      <text>
        <r>
          <rPr>
            <b/>
            <sz val="9"/>
            <color indexed="81"/>
            <rFont val="Tahoma"/>
            <family val="2"/>
          </rPr>
          <t>Author:</t>
        </r>
        <r>
          <rPr>
            <sz val="9"/>
            <color indexed="81"/>
            <rFont val="Tahoma"/>
            <family val="2"/>
          </rPr>
          <t xml:space="preserve">
gap-filled using the corresponding data in the same wetland type</t>
        </r>
      </text>
    </comment>
    <comment ref="DN53" authorId="0" shapeId="0" xr:uid="{5F1C6994-A42B-402E-BEE6-5C66B53CDEA1}">
      <text>
        <r>
          <rPr>
            <b/>
            <sz val="9"/>
            <color indexed="81"/>
            <rFont val="Tahoma"/>
            <family val="2"/>
          </rPr>
          <t>Author:</t>
        </r>
        <r>
          <rPr>
            <sz val="9"/>
            <color indexed="81"/>
            <rFont val="Tahoma"/>
            <family val="2"/>
          </rPr>
          <t xml:space="preserve">
gap-filled using the corresponding data in the same wetland type</t>
        </r>
      </text>
    </comment>
    <comment ref="DR53" authorId="0" shapeId="0" xr:uid="{EE4D6AC9-FA65-4820-98D0-5E10F534B898}">
      <text>
        <r>
          <rPr>
            <b/>
            <sz val="9"/>
            <color indexed="81"/>
            <rFont val="Tahoma"/>
            <family val="2"/>
          </rPr>
          <t>Author:</t>
        </r>
        <r>
          <rPr>
            <sz val="9"/>
            <color indexed="81"/>
            <rFont val="Tahoma"/>
            <family val="2"/>
          </rPr>
          <t xml:space="preserve">
gap-filled using the corresponding data in the same wetland type</t>
        </r>
      </text>
    </comment>
    <comment ref="DN54" authorId="0" shapeId="0" xr:uid="{544BC2BC-7CB6-4C80-9F1B-7F41E5B204B3}">
      <text>
        <r>
          <rPr>
            <b/>
            <sz val="9"/>
            <color indexed="81"/>
            <rFont val="Tahoma"/>
            <family val="2"/>
          </rPr>
          <t>Author:</t>
        </r>
        <r>
          <rPr>
            <sz val="9"/>
            <color indexed="81"/>
            <rFont val="Tahoma"/>
            <family val="2"/>
          </rPr>
          <t xml:space="preserve">
gap-filled using the corresponding data in the same wetland type</t>
        </r>
      </text>
    </comment>
    <comment ref="DR54" authorId="0" shapeId="0" xr:uid="{40954366-4CFD-4A22-9E21-C309959785E5}">
      <text>
        <r>
          <rPr>
            <b/>
            <sz val="9"/>
            <color indexed="81"/>
            <rFont val="Tahoma"/>
            <family val="2"/>
          </rPr>
          <t>Author:</t>
        </r>
        <r>
          <rPr>
            <sz val="9"/>
            <color indexed="81"/>
            <rFont val="Tahoma"/>
            <family val="2"/>
          </rPr>
          <t xml:space="preserve">
gap-filled using the corresponding data in the same wetland type</t>
        </r>
      </text>
    </comment>
    <comment ref="DN55" authorId="0" shapeId="0" xr:uid="{97B0D613-B22B-4F38-9F45-BBCF1D40C14C}">
      <text>
        <r>
          <rPr>
            <b/>
            <sz val="9"/>
            <color indexed="81"/>
            <rFont val="Tahoma"/>
            <family val="2"/>
          </rPr>
          <t>Author:</t>
        </r>
        <r>
          <rPr>
            <sz val="9"/>
            <color indexed="81"/>
            <rFont val="Tahoma"/>
            <family val="2"/>
          </rPr>
          <t xml:space="preserve">
gap-filled using the corresponding data in the same wetland type</t>
        </r>
      </text>
    </comment>
    <comment ref="DR55" authorId="0" shapeId="0" xr:uid="{994A356C-A84E-4DDC-8067-E4676D2DAF0A}">
      <text>
        <r>
          <rPr>
            <b/>
            <sz val="9"/>
            <color indexed="81"/>
            <rFont val="Tahoma"/>
            <family val="2"/>
          </rPr>
          <t>Author:</t>
        </r>
        <r>
          <rPr>
            <sz val="9"/>
            <color indexed="81"/>
            <rFont val="Tahoma"/>
            <family val="2"/>
          </rPr>
          <t xml:space="preserve">
gap-filled using the corresponding data in the same wetland type</t>
        </r>
      </text>
    </comment>
    <comment ref="DN56" authorId="0" shapeId="0" xr:uid="{12CB06F7-11F7-40AA-869A-A9AB05292873}">
      <text>
        <r>
          <rPr>
            <b/>
            <sz val="9"/>
            <color indexed="81"/>
            <rFont val="Tahoma"/>
            <family val="2"/>
          </rPr>
          <t>Author:</t>
        </r>
        <r>
          <rPr>
            <sz val="9"/>
            <color indexed="81"/>
            <rFont val="Tahoma"/>
            <family val="2"/>
          </rPr>
          <t xml:space="preserve">
gap-filled using the corresponding data in the same wetland type</t>
        </r>
      </text>
    </comment>
    <comment ref="DR56" authorId="0" shapeId="0" xr:uid="{4C3FE93B-8ABF-40A2-BD93-EF30DED22170}">
      <text>
        <r>
          <rPr>
            <b/>
            <sz val="9"/>
            <color indexed="81"/>
            <rFont val="Tahoma"/>
            <family val="2"/>
          </rPr>
          <t>Author:</t>
        </r>
        <r>
          <rPr>
            <sz val="9"/>
            <color indexed="81"/>
            <rFont val="Tahoma"/>
            <family val="2"/>
          </rPr>
          <t xml:space="preserve">
gap-filled using the corresponding data in the same wetland type</t>
        </r>
      </text>
    </comment>
    <comment ref="DN57" authorId="0" shapeId="0" xr:uid="{6B750E24-0B09-4B42-9B0E-1E6DFBD67C29}">
      <text>
        <r>
          <rPr>
            <b/>
            <sz val="9"/>
            <color indexed="81"/>
            <rFont val="Tahoma"/>
            <family val="2"/>
          </rPr>
          <t>Author:</t>
        </r>
        <r>
          <rPr>
            <sz val="9"/>
            <color indexed="81"/>
            <rFont val="Tahoma"/>
            <family val="2"/>
          </rPr>
          <t xml:space="preserve">
gap-filled using the corresponding data in the same wetland type</t>
        </r>
      </text>
    </comment>
    <comment ref="DR57" authorId="0" shapeId="0" xr:uid="{BBB27283-3B25-4A49-A1D5-31F208F32114}">
      <text>
        <r>
          <rPr>
            <b/>
            <sz val="9"/>
            <color indexed="81"/>
            <rFont val="Tahoma"/>
            <family val="2"/>
          </rPr>
          <t>Author:</t>
        </r>
        <r>
          <rPr>
            <sz val="9"/>
            <color indexed="81"/>
            <rFont val="Tahoma"/>
            <family val="2"/>
          </rPr>
          <t xml:space="preserve">
gap-filled using the corresponding data in the same wetland type</t>
        </r>
      </text>
    </comment>
    <comment ref="DN58" authorId="0" shapeId="0" xr:uid="{355BEC55-712D-4C21-8688-8209897FAFBC}">
      <text>
        <r>
          <rPr>
            <b/>
            <sz val="9"/>
            <color indexed="81"/>
            <rFont val="Tahoma"/>
            <family val="2"/>
          </rPr>
          <t>Author:</t>
        </r>
        <r>
          <rPr>
            <sz val="9"/>
            <color indexed="81"/>
            <rFont val="Tahoma"/>
            <family val="2"/>
          </rPr>
          <t xml:space="preserve">
gap-filled using the corresponding data in the same wetland type</t>
        </r>
      </text>
    </comment>
    <comment ref="DR58" authorId="0" shapeId="0" xr:uid="{7BA8F03C-2603-4EE9-AAEC-B3AB5EE5BC47}">
      <text>
        <r>
          <rPr>
            <b/>
            <sz val="9"/>
            <color indexed="81"/>
            <rFont val="Tahoma"/>
            <family val="2"/>
          </rPr>
          <t>Author:</t>
        </r>
        <r>
          <rPr>
            <sz val="9"/>
            <color indexed="81"/>
            <rFont val="Tahoma"/>
            <family val="2"/>
          </rPr>
          <t xml:space="preserve">
gap-filled using the corresponding data in the same wetland type</t>
        </r>
      </text>
    </comment>
    <comment ref="DN59" authorId="0" shapeId="0" xr:uid="{7F100BD1-72F5-4077-B9F6-B86B5D1C7D76}">
      <text>
        <r>
          <rPr>
            <b/>
            <sz val="9"/>
            <color indexed="81"/>
            <rFont val="Tahoma"/>
            <family val="2"/>
          </rPr>
          <t>Author:</t>
        </r>
        <r>
          <rPr>
            <sz val="9"/>
            <color indexed="81"/>
            <rFont val="Tahoma"/>
            <family val="2"/>
          </rPr>
          <t xml:space="preserve">
gap-filled using the corresponding data in the same wetland type</t>
        </r>
      </text>
    </comment>
    <comment ref="DR59" authorId="0" shapeId="0" xr:uid="{C57AF3C3-6797-4D26-8E4D-3AEDED104004}">
      <text>
        <r>
          <rPr>
            <b/>
            <sz val="9"/>
            <color indexed="81"/>
            <rFont val="Tahoma"/>
            <family val="2"/>
          </rPr>
          <t>Author:</t>
        </r>
        <r>
          <rPr>
            <sz val="9"/>
            <color indexed="81"/>
            <rFont val="Tahoma"/>
            <family val="2"/>
          </rPr>
          <t xml:space="preserve">
gap-filled using the corresponding data in the same wetland type</t>
        </r>
      </text>
    </comment>
    <comment ref="DN60" authorId="0" shapeId="0" xr:uid="{D707F75B-8FF8-42F9-9B23-F3184AF7F87D}">
      <text>
        <r>
          <rPr>
            <b/>
            <sz val="9"/>
            <color indexed="81"/>
            <rFont val="Tahoma"/>
            <family val="2"/>
          </rPr>
          <t>Author:</t>
        </r>
        <r>
          <rPr>
            <sz val="9"/>
            <color indexed="81"/>
            <rFont val="Tahoma"/>
            <family val="2"/>
          </rPr>
          <t xml:space="preserve">
gap-filled using the corresponding data in the same wetland type</t>
        </r>
      </text>
    </comment>
    <comment ref="DR60" authorId="0" shapeId="0" xr:uid="{02E2AF68-BD66-4849-8040-8CFDBBF02D50}">
      <text>
        <r>
          <rPr>
            <b/>
            <sz val="9"/>
            <color indexed="81"/>
            <rFont val="Tahoma"/>
            <family val="2"/>
          </rPr>
          <t>Author:</t>
        </r>
        <r>
          <rPr>
            <sz val="9"/>
            <color indexed="81"/>
            <rFont val="Tahoma"/>
            <family val="2"/>
          </rPr>
          <t xml:space="preserve">
gap-filled using the corresponding data in the same wetland type</t>
        </r>
      </text>
    </comment>
    <comment ref="DN61" authorId="0" shapeId="0" xr:uid="{12111DF0-3769-4F2D-85A8-DD5CC87515EB}">
      <text>
        <r>
          <rPr>
            <b/>
            <sz val="9"/>
            <color indexed="81"/>
            <rFont val="Tahoma"/>
            <family val="2"/>
          </rPr>
          <t>Author:</t>
        </r>
        <r>
          <rPr>
            <sz val="9"/>
            <color indexed="81"/>
            <rFont val="Tahoma"/>
            <family val="2"/>
          </rPr>
          <t xml:space="preserve">
gap-filled using the corresponding data in the same wetland type</t>
        </r>
      </text>
    </comment>
    <comment ref="DR61" authorId="0" shapeId="0" xr:uid="{42AAAFE8-7BFD-474C-BF7E-2AAAFF8F8CEF}">
      <text>
        <r>
          <rPr>
            <b/>
            <sz val="9"/>
            <color indexed="81"/>
            <rFont val="Tahoma"/>
            <family val="2"/>
          </rPr>
          <t>Author:</t>
        </r>
        <r>
          <rPr>
            <sz val="9"/>
            <color indexed="81"/>
            <rFont val="Tahoma"/>
            <family val="2"/>
          </rPr>
          <t xml:space="preserve">
gap-filled using the corresponding data in the same wetland type</t>
        </r>
      </text>
    </comment>
    <comment ref="DN62" authorId="0" shapeId="0" xr:uid="{285DCE1B-651C-426B-8FF0-9D68AC7E23C3}">
      <text>
        <r>
          <rPr>
            <b/>
            <sz val="9"/>
            <color indexed="81"/>
            <rFont val="Tahoma"/>
            <family val="2"/>
          </rPr>
          <t>Author:</t>
        </r>
        <r>
          <rPr>
            <sz val="9"/>
            <color indexed="81"/>
            <rFont val="Tahoma"/>
            <family val="2"/>
          </rPr>
          <t xml:space="preserve">
gap-filled using the corresponding data in the same wetland type</t>
        </r>
      </text>
    </comment>
    <comment ref="DR62" authorId="0" shapeId="0" xr:uid="{7A559C7D-4EF3-4E22-BEAD-98B8E6250B47}">
      <text>
        <r>
          <rPr>
            <b/>
            <sz val="9"/>
            <color indexed="81"/>
            <rFont val="Tahoma"/>
            <family val="2"/>
          </rPr>
          <t>Author:</t>
        </r>
        <r>
          <rPr>
            <sz val="9"/>
            <color indexed="81"/>
            <rFont val="Tahoma"/>
            <family val="2"/>
          </rPr>
          <t xml:space="preserve">
gap-filled using the corresponding data in the same wetland type</t>
        </r>
      </text>
    </comment>
    <comment ref="DN63" authorId="0" shapeId="0" xr:uid="{E45C1A0D-62AB-4E80-AD58-D4A007DEDFA1}">
      <text>
        <r>
          <rPr>
            <b/>
            <sz val="9"/>
            <color indexed="81"/>
            <rFont val="Tahoma"/>
            <family val="2"/>
          </rPr>
          <t>Author:</t>
        </r>
        <r>
          <rPr>
            <sz val="9"/>
            <color indexed="81"/>
            <rFont val="Tahoma"/>
            <family val="2"/>
          </rPr>
          <t xml:space="preserve">
gap-filled using the corresponding data in the same wetland type</t>
        </r>
      </text>
    </comment>
    <comment ref="DR63" authorId="0" shapeId="0" xr:uid="{CFAEA6B9-1CA3-444E-BFA9-F0EC339B9CA4}">
      <text>
        <r>
          <rPr>
            <b/>
            <sz val="9"/>
            <color indexed="81"/>
            <rFont val="Tahoma"/>
            <family val="2"/>
          </rPr>
          <t>Author:</t>
        </r>
        <r>
          <rPr>
            <sz val="9"/>
            <color indexed="81"/>
            <rFont val="Tahoma"/>
            <family val="2"/>
          </rPr>
          <t xml:space="preserve">
gap-filled using the corresponding data in the same wetland type</t>
        </r>
      </text>
    </comment>
    <comment ref="DN64" authorId="0" shapeId="0" xr:uid="{06AEC53E-C697-4780-97D2-C7F9D477CD41}">
      <text>
        <r>
          <rPr>
            <b/>
            <sz val="9"/>
            <color indexed="81"/>
            <rFont val="Tahoma"/>
            <family val="2"/>
          </rPr>
          <t>Author:</t>
        </r>
        <r>
          <rPr>
            <sz val="9"/>
            <color indexed="81"/>
            <rFont val="Tahoma"/>
            <family val="2"/>
          </rPr>
          <t xml:space="preserve">
gap-filled using the corresponding data in the same wetland type</t>
        </r>
      </text>
    </comment>
    <comment ref="DR64" authorId="0" shapeId="0" xr:uid="{18D27839-ECBE-41AF-BA2F-1F459499FBA8}">
      <text>
        <r>
          <rPr>
            <b/>
            <sz val="9"/>
            <color indexed="81"/>
            <rFont val="Tahoma"/>
            <family val="2"/>
          </rPr>
          <t>Author:</t>
        </r>
        <r>
          <rPr>
            <sz val="9"/>
            <color indexed="81"/>
            <rFont val="Tahoma"/>
            <family val="2"/>
          </rPr>
          <t xml:space="preserve">
gap-filled using the corresponding data in the same wetland type</t>
        </r>
      </text>
    </comment>
    <comment ref="DN65" authorId="0" shapeId="0" xr:uid="{EF190BA3-5FC0-490F-BACF-AD3FEBC92EFF}">
      <text>
        <r>
          <rPr>
            <b/>
            <sz val="9"/>
            <color indexed="81"/>
            <rFont val="Tahoma"/>
            <family val="2"/>
          </rPr>
          <t>Author:</t>
        </r>
        <r>
          <rPr>
            <sz val="9"/>
            <color indexed="81"/>
            <rFont val="Tahoma"/>
            <family val="2"/>
          </rPr>
          <t xml:space="preserve">
gap-filled using the corresponding data in the same wetland type</t>
        </r>
      </text>
    </comment>
    <comment ref="DR65" authorId="0" shapeId="0" xr:uid="{FA4A2193-F01C-448E-8639-23AE647C1233}">
      <text>
        <r>
          <rPr>
            <b/>
            <sz val="9"/>
            <color indexed="81"/>
            <rFont val="Tahoma"/>
            <family val="2"/>
          </rPr>
          <t>Author:</t>
        </r>
        <r>
          <rPr>
            <sz val="9"/>
            <color indexed="81"/>
            <rFont val="Tahoma"/>
            <family val="2"/>
          </rPr>
          <t xml:space="preserve">
gap-filled using the corresponding data in the same wetland type</t>
        </r>
      </text>
    </comment>
    <comment ref="DN66" authorId="0" shapeId="0" xr:uid="{81E45FE3-DC3F-4840-8D23-8255912EB801}">
      <text>
        <r>
          <rPr>
            <b/>
            <sz val="9"/>
            <color indexed="81"/>
            <rFont val="Tahoma"/>
            <family val="2"/>
          </rPr>
          <t>Author:</t>
        </r>
        <r>
          <rPr>
            <sz val="9"/>
            <color indexed="81"/>
            <rFont val="Tahoma"/>
            <family val="2"/>
          </rPr>
          <t xml:space="preserve">
gap-filled using the corresponding data in the same wetland type</t>
        </r>
      </text>
    </comment>
    <comment ref="DR66" authorId="0" shapeId="0" xr:uid="{30D8B843-CDC5-466E-94C7-E905C4281931}">
      <text>
        <r>
          <rPr>
            <b/>
            <sz val="9"/>
            <color indexed="81"/>
            <rFont val="Tahoma"/>
            <family val="2"/>
          </rPr>
          <t>Author:</t>
        </r>
        <r>
          <rPr>
            <sz val="9"/>
            <color indexed="81"/>
            <rFont val="Tahoma"/>
            <family val="2"/>
          </rPr>
          <t xml:space="preserve">
gap-filled using the corresponding data in the same wetland type</t>
        </r>
      </text>
    </comment>
    <comment ref="DN67" authorId="0" shapeId="0" xr:uid="{64F92EA3-6278-4230-80C9-AEF98FEEC36E}">
      <text>
        <r>
          <rPr>
            <b/>
            <sz val="9"/>
            <color indexed="81"/>
            <rFont val="Tahoma"/>
            <family val="2"/>
          </rPr>
          <t>Author:</t>
        </r>
        <r>
          <rPr>
            <sz val="9"/>
            <color indexed="81"/>
            <rFont val="Tahoma"/>
            <family val="2"/>
          </rPr>
          <t xml:space="preserve">
gap-filled using the corresponding data in the same wetland type</t>
        </r>
      </text>
    </comment>
    <comment ref="DR67" authorId="0" shapeId="0" xr:uid="{229BB050-9E30-452C-89E2-A110294D1D77}">
      <text>
        <r>
          <rPr>
            <b/>
            <sz val="9"/>
            <color indexed="81"/>
            <rFont val="Tahoma"/>
            <family val="2"/>
          </rPr>
          <t>Author:</t>
        </r>
        <r>
          <rPr>
            <sz val="9"/>
            <color indexed="81"/>
            <rFont val="Tahoma"/>
            <family val="2"/>
          </rPr>
          <t xml:space="preserve">
gap-filled using the corresponding data in the same wetland type</t>
        </r>
      </text>
    </comment>
    <comment ref="DN68" authorId="0" shapeId="0" xr:uid="{2BF4F58F-346D-4B5F-959B-793CA99ACA2E}">
      <text>
        <r>
          <rPr>
            <b/>
            <sz val="9"/>
            <color indexed="81"/>
            <rFont val="Tahoma"/>
            <family val="2"/>
          </rPr>
          <t>Author:</t>
        </r>
        <r>
          <rPr>
            <sz val="9"/>
            <color indexed="81"/>
            <rFont val="Tahoma"/>
            <family val="2"/>
          </rPr>
          <t xml:space="preserve">
gap-filled using the corresponding data in the same wetland type</t>
        </r>
      </text>
    </comment>
    <comment ref="DR68" authorId="0" shapeId="0" xr:uid="{76F629BD-C329-4A99-8D8B-5F52D7A82988}">
      <text>
        <r>
          <rPr>
            <b/>
            <sz val="9"/>
            <color indexed="81"/>
            <rFont val="Tahoma"/>
            <family val="2"/>
          </rPr>
          <t>Author:</t>
        </r>
        <r>
          <rPr>
            <sz val="9"/>
            <color indexed="81"/>
            <rFont val="Tahoma"/>
            <family val="2"/>
          </rPr>
          <t xml:space="preserve">
gap-filled using the corresponding data in the same wetland type</t>
        </r>
      </text>
    </comment>
    <comment ref="DN69" authorId="0" shapeId="0" xr:uid="{AC1A2FD1-33DC-49BF-8589-8E0F195C09A8}">
      <text>
        <r>
          <rPr>
            <b/>
            <sz val="9"/>
            <color indexed="81"/>
            <rFont val="Tahoma"/>
            <family val="2"/>
          </rPr>
          <t>Author:</t>
        </r>
        <r>
          <rPr>
            <sz val="9"/>
            <color indexed="81"/>
            <rFont val="Tahoma"/>
            <family val="2"/>
          </rPr>
          <t xml:space="preserve">
gap-filled using the corresponding data in the same wetland type</t>
        </r>
      </text>
    </comment>
    <comment ref="DR69" authorId="0" shapeId="0" xr:uid="{FFEA5C33-94E8-4EBE-A34E-DB59C8ADEAC8}">
      <text>
        <r>
          <rPr>
            <b/>
            <sz val="9"/>
            <color indexed="81"/>
            <rFont val="Tahoma"/>
            <family val="2"/>
          </rPr>
          <t>Author:</t>
        </r>
        <r>
          <rPr>
            <sz val="9"/>
            <color indexed="81"/>
            <rFont val="Tahoma"/>
            <family val="2"/>
          </rPr>
          <t xml:space="preserve">
gap-filled using the corresponding data in the same wetland type</t>
        </r>
      </text>
    </comment>
    <comment ref="DN70" authorId="0" shapeId="0" xr:uid="{6E8FC49E-2A36-4D6C-B1DE-51E7C4F744EF}">
      <text>
        <r>
          <rPr>
            <b/>
            <sz val="9"/>
            <color indexed="81"/>
            <rFont val="Tahoma"/>
            <family val="2"/>
          </rPr>
          <t>Author:</t>
        </r>
        <r>
          <rPr>
            <sz val="9"/>
            <color indexed="81"/>
            <rFont val="Tahoma"/>
            <family val="2"/>
          </rPr>
          <t xml:space="preserve">
gap-filled using the corresponding data in the same wetland type</t>
        </r>
      </text>
    </comment>
    <comment ref="DR70" authorId="0" shapeId="0" xr:uid="{92A14FE4-EC3F-45FD-8C05-EA4CEB900413}">
      <text>
        <r>
          <rPr>
            <b/>
            <sz val="9"/>
            <color indexed="81"/>
            <rFont val="Tahoma"/>
            <family val="2"/>
          </rPr>
          <t>Author:</t>
        </r>
        <r>
          <rPr>
            <sz val="9"/>
            <color indexed="81"/>
            <rFont val="Tahoma"/>
            <family val="2"/>
          </rPr>
          <t xml:space="preserve">
gap-filled using the corresponding data in the same wetland type</t>
        </r>
      </text>
    </comment>
    <comment ref="CA71" authorId="0" shapeId="0" xr:uid="{ECB81766-BE39-4996-8DC9-CD722FF175B2}">
      <text>
        <r>
          <rPr>
            <b/>
            <sz val="9"/>
            <color indexed="81"/>
            <rFont val="Tahoma"/>
            <family val="2"/>
          </rPr>
          <t>Author:</t>
        </r>
        <r>
          <rPr>
            <sz val="9"/>
            <color indexed="81"/>
            <rFont val="Tahoma"/>
            <family val="2"/>
          </rPr>
          <t xml:space="preserve">
non-gap-filled due to lacking data for the corresponding wetland type</t>
        </r>
      </text>
    </comment>
    <comment ref="CE71" authorId="0" shapeId="0" xr:uid="{5E260A31-ECED-4F0D-976B-9E0DF9B70904}">
      <text>
        <r>
          <rPr>
            <b/>
            <sz val="9"/>
            <color indexed="81"/>
            <rFont val="Tahoma"/>
            <family val="2"/>
          </rPr>
          <t>Author:</t>
        </r>
        <r>
          <rPr>
            <sz val="9"/>
            <color indexed="81"/>
            <rFont val="Tahoma"/>
            <family val="2"/>
          </rPr>
          <t xml:space="preserve">
gap-filled using the corresponding data in the same wetland type</t>
        </r>
      </text>
    </comment>
    <comment ref="CN71" authorId="0" shapeId="0" xr:uid="{80DB8F74-A01A-4A4C-8584-023CE9F531FB}">
      <text>
        <r>
          <rPr>
            <b/>
            <sz val="9"/>
            <color indexed="81"/>
            <rFont val="Tahoma"/>
            <family val="2"/>
          </rPr>
          <t>Author:</t>
        </r>
        <r>
          <rPr>
            <sz val="9"/>
            <color indexed="81"/>
            <rFont val="Tahoma"/>
            <family val="2"/>
          </rPr>
          <t xml:space="preserve">
non-gap-filled due to lacking data for the corresponding wetland type</t>
        </r>
      </text>
    </comment>
    <comment ref="CR71" authorId="0" shapeId="0" xr:uid="{5F130FE2-28B6-4F48-A14D-66AC4669C6A3}">
      <text>
        <r>
          <rPr>
            <b/>
            <sz val="9"/>
            <color indexed="81"/>
            <rFont val="Tahoma"/>
            <family val="2"/>
          </rPr>
          <t>Author:</t>
        </r>
        <r>
          <rPr>
            <sz val="9"/>
            <color indexed="81"/>
            <rFont val="Tahoma"/>
            <family val="2"/>
          </rPr>
          <t xml:space="preserve">
gap-filled using the corresponding data in the same wetland type</t>
        </r>
      </text>
    </comment>
    <comment ref="DA71" authorId="0" shapeId="0" xr:uid="{B73C21DA-8A34-41E8-8996-068116A17337}">
      <text>
        <r>
          <rPr>
            <b/>
            <sz val="9"/>
            <color indexed="81"/>
            <rFont val="Tahoma"/>
            <family val="2"/>
          </rPr>
          <t>Author:</t>
        </r>
        <r>
          <rPr>
            <sz val="9"/>
            <color indexed="81"/>
            <rFont val="Tahoma"/>
            <family val="2"/>
          </rPr>
          <t xml:space="preserve">
gap-filled using the corresponding data in the same wetland type</t>
        </r>
      </text>
    </comment>
    <comment ref="DE71" authorId="0" shapeId="0" xr:uid="{CD460AA2-054B-4C7C-B507-D0C1FD6BB67B}">
      <text>
        <r>
          <rPr>
            <b/>
            <sz val="9"/>
            <color indexed="81"/>
            <rFont val="Tahoma"/>
            <family val="2"/>
          </rPr>
          <t>Author:</t>
        </r>
        <r>
          <rPr>
            <sz val="9"/>
            <color indexed="81"/>
            <rFont val="Tahoma"/>
            <family val="2"/>
          </rPr>
          <t xml:space="preserve">
gap-filled using the corresponding data in the same wetland type</t>
        </r>
      </text>
    </comment>
    <comment ref="CA72" authorId="0" shapeId="0" xr:uid="{A37CE71F-F60B-46B3-95D8-726882DFE57F}">
      <text>
        <r>
          <rPr>
            <b/>
            <sz val="9"/>
            <color indexed="81"/>
            <rFont val="Tahoma"/>
            <family val="2"/>
          </rPr>
          <t>Author:</t>
        </r>
        <r>
          <rPr>
            <sz val="9"/>
            <color indexed="81"/>
            <rFont val="Tahoma"/>
            <family val="2"/>
          </rPr>
          <t xml:space="preserve">
non-gap-filled due to lacking data for the corresponding wetland type</t>
        </r>
      </text>
    </comment>
    <comment ref="CE72" authorId="0" shapeId="0" xr:uid="{8B2F68A9-C216-4709-BFF8-3B899C7059ED}">
      <text>
        <r>
          <rPr>
            <b/>
            <sz val="9"/>
            <color indexed="81"/>
            <rFont val="Tahoma"/>
            <family val="2"/>
          </rPr>
          <t>Author:</t>
        </r>
        <r>
          <rPr>
            <sz val="9"/>
            <color indexed="81"/>
            <rFont val="Tahoma"/>
            <family val="2"/>
          </rPr>
          <t xml:space="preserve">
gap-filled using the corresponding data in the same wetland type</t>
        </r>
      </text>
    </comment>
    <comment ref="CN72" authorId="0" shapeId="0" xr:uid="{B34AA19D-27A1-4562-8E53-512B2B51A5F6}">
      <text>
        <r>
          <rPr>
            <b/>
            <sz val="9"/>
            <color indexed="81"/>
            <rFont val="Tahoma"/>
            <family val="2"/>
          </rPr>
          <t>Author:</t>
        </r>
        <r>
          <rPr>
            <sz val="9"/>
            <color indexed="81"/>
            <rFont val="Tahoma"/>
            <family val="2"/>
          </rPr>
          <t xml:space="preserve">
non-gap-filled due to lacking data for the corresponding wetland type</t>
        </r>
      </text>
    </comment>
    <comment ref="CR72" authorId="0" shapeId="0" xr:uid="{64550296-89E6-4A39-8748-877B45AA166C}">
      <text>
        <r>
          <rPr>
            <b/>
            <sz val="9"/>
            <color indexed="81"/>
            <rFont val="Tahoma"/>
            <family val="2"/>
          </rPr>
          <t>Author:</t>
        </r>
        <r>
          <rPr>
            <sz val="9"/>
            <color indexed="81"/>
            <rFont val="Tahoma"/>
            <family val="2"/>
          </rPr>
          <t xml:space="preserve">
gap-filled using the corresponding data in the same wetland type</t>
        </r>
      </text>
    </comment>
    <comment ref="DA72" authorId="0" shapeId="0" xr:uid="{78597B40-90D8-4EC9-BFCD-413E3AEC20D7}">
      <text>
        <r>
          <rPr>
            <b/>
            <sz val="9"/>
            <color indexed="81"/>
            <rFont val="Tahoma"/>
            <family val="2"/>
          </rPr>
          <t>Author:</t>
        </r>
        <r>
          <rPr>
            <sz val="9"/>
            <color indexed="81"/>
            <rFont val="Tahoma"/>
            <family val="2"/>
          </rPr>
          <t xml:space="preserve">
gap-filled using the corresponding data in the same wetland type</t>
        </r>
      </text>
    </comment>
    <comment ref="DE72" authorId="0" shapeId="0" xr:uid="{C828C166-B950-4E37-8F02-2198F3CE8628}">
      <text>
        <r>
          <rPr>
            <b/>
            <sz val="9"/>
            <color indexed="81"/>
            <rFont val="Tahoma"/>
            <family val="2"/>
          </rPr>
          <t>Author:</t>
        </r>
        <r>
          <rPr>
            <sz val="9"/>
            <color indexed="81"/>
            <rFont val="Tahoma"/>
            <family val="2"/>
          </rPr>
          <t xml:space="preserve">
gap-filled using the corresponding data in the same wetland type</t>
        </r>
      </text>
    </comment>
    <comment ref="CA73" authorId="0" shapeId="0" xr:uid="{787F79AC-CC07-4225-982C-4F4DEA7B1A7E}">
      <text>
        <r>
          <rPr>
            <b/>
            <sz val="9"/>
            <color indexed="81"/>
            <rFont val="Tahoma"/>
            <family val="2"/>
          </rPr>
          <t>Author:</t>
        </r>
        <r>
          <rPr>
            <sz val="9"/>
            <color indexed="81"/>
            <rFont val="Tahoma"/>
            <family val="2"/>
          </rPr>
          <t xml:space="preserve">
gap-filled using the corresponding data in the same wetland type</t>
        </r>
      </text>
    </comment>
    <comment ref="CE73" authorId="0" shapeId="0" xr:uid="{C158768E-5525-4048-B053-260F3CB71F62}">
      <text>
        <r>
          <rPr>
            <b/>
            <sz val="9"/>
            <color indexed="81"/>
            <rFont val="Tahoma"/>
            <family val="2"/>
          </rPr>
          <t>Author:</t>
        </r>
        <r>
          <rPr>
            <sz val="9"/>
            <color indexed="81"/>
            <rFont val="Tahoma"/>
            <family val="2"/>
          </rPr>
          <t xml:space="preserve">
gap-filled using the corresponding data in the same wetland type</t>
        </r>
      </text>
    </comment>
    <comment ref="CN73" authorId="0" shapeId="0" xr:uid="{4C426494-EC1C-42F6-9FD2-7F5DA58D6A21}">
      <text>
        <r>
          <rPr>
            <b/>
            <sz val="9"/>
            <color indexed="81"/>
            <rFont val="Tahoma"/>
            <family val="2"/>
          </rPr>
          <t>Author:</t>
        </r>
        <r>
          <rPr>
            <sz val="9"/>
            <color indexed="81"/>
            <rFont val="Tahoma"/>
            <family val="2"/>
          </rPr>
          <t xml:space="preserve">
gap-filled using the corresponding data in the same wetland type</t>
        </r>
      </text>
    </comment>
    <comment ref="CR73" authorId="0" shapeId="0" xr:uid="{FE2A723A-DB65-4EA7-A44F-B39647A7F0F1}">
      <text>
        <r>
          <rPr>
            <b/>
            <sz val="9"/>
            <color indexed="81"/>
            <rFont val="Tahoma"/>
            <family val="2"/>
          </rPr>
          <t>Author:</t>
        </r>
        <r>
          <rPr>
            <sz val="9"/>
            <color indexed="81"/>
            <rFont val="Tahoma"/>
            <family val="2"/>
          </rPr>
          <t xml:space="preserve">
gap-filled using the corresponding data in the same wetland type</t>
        </r>
      </text>
    </comment>
    <comment ref="DA73" authorId="0" shapeId="0" xr:uid="{2DE83A53-7B6A-4734-8AB7-C67DFF91931D}">
      <text>
        <r>
          <rPr>
            <b/>
            <sz val="9"/>
            <color indexed="81"/>
            <rFont val="Tahoma"/>
            <family val="2"/>
          </rPr>
          <t>Author:</t>
        </r>
        <r>
          <rPr>
            <sz val="9"/>
            <color indexed="81"/>
            <rFont val="Tahoma"/>
            <family val="2"/>
          </rPr>
          <t xml:space="preserve">
gap-filled using the corresponding data in the same wetland type</t>
        </r>
      </text>
    </comment>
    <comment ref="DE73" authorId="0" shapeId="0" xr:uid="{91F5C62E-0943-4948-AB18-0CD305EE076D}">
      <text>
        <r>
          <rPr>
            <b/>
            <sz val="9"/>
            <color indexed="81"/>
            <rFont val="Tahoma"/>
            <family val="2"/>
          </rPr>
          <t>Author:</t>
        </r>
        <r>
          <rPr>
            <sz val="9"/>
            <color indexed="81"/>
            <rFont val="Tahoma"/>
            <family val="2"/>
          </rPr>
          <t xml:space="preserve">
gap-filled using the corresponding data in the same wetland type</t>
        </r>
      </text>
    </comment>
    <comment ref="CA74" authorId="0" shapeId="0" xr:uid="{34FAA289-6032-4DEB-A5BE-2D2D265584B2}">
      <text>
        <r>
          <rPr>
            <b/>
            <sz val="9"/>
            <color indexed="81"/>
            <rFont val="Tahoma"/>
            <family val="2"/>
          </rPr>
          <t>Author:</t>
        </r>
        <r>
          <rPr>
            <sz val="9"/>
            <color indexed="81"/>
            <rFont val="Tahoma"/>
            <family val="2"/>
          </rPr>
          <t xml:space="preserve">
gap-filled using the corresponding data in the same wetland type</t>
        </r>
      </text>
    </comment>
    <comment ref="CE74" authorId="0" shapeId="0" xr:uid="{9B3C60A1-5D63-4DAE-BDE0-2E77EB9F6413}">
      <text>
        <r>
          <rPr>
            <b/>
            <sz val="9"/>
            <color indexed="81"/>
            <rFont val="Tahoma"/>
            <family val="2"/>
          </rPr>
          <t>Author:</t>
        </r>
        <r>
          <rPr>
            <sz val="9"/>
            <color indexed="81"/>
            <rFont val="Tahoma"/>
            <family val="2"/>
          </rPr>
          <t xml:space="preserve">
gap-filled using the corresponding data in the same wetland type</t>
        </r>
      </text>
    </comment>
    <comment ref="CN74" authorId="0" shapeId="0" xr:uid="{38F6E385-032E-4B5D-8509-7D930A1EAB57}">
      <text>
        <r>
          <rPr>
            <b/>
            <sz val="9"/>
            <color indexed="81"/>
            <rFont val="Tahoma"/>
            <family val="2"/>
          </rPr>
          <t>Author:</t>
        </r>
        <r>
          <rPr>
            <sz val="9"/>
            <color indexed="81"/>
            <rFont val="Tahoma"/>
            <family val="2"/>
          </rPr>
          <t xml:space="preserve">
gap-filled using the corresponding data in the same wetland type</t>
        </r>
      </text>
    </comment>
    <comment ref="CR74" authorId="0" shapeId="0" xr:uid="{C022D93B-CC75-4DF3-B2D6-651FFF99C1CE}">
      <text>
        <r>
          <rPr>
            <b/>
            <sz val="9"/>
            <color indexed="81"/>
            <rFont val="Tahoma"/>
            <family val="2"/>
          </rPr>
          <t>Author:</t>
        </r>
        <r>
          <rPr>
            <sz val="9"/>
            <color indexed="81"/>
            <rFont val="Tahoma"/>
            <family val="2"/>
          </rPr>
          <t xml:space="preserve">
gap-filled using the corresponding data in the same wetland type</t>
        </r>
      </text>
    </comment>
    <comment ref="DA74" authorId="0" shapeId="0" xr:uid="{96F32B24-E4C5-4C92-9A38-DA5AB7688711}">
      <text>
        <r>
          <rPr>
            <b/>
            <sz val="9"/>
            <color indexed="81"/>
            <rFont val="Tahoma"/>
            <family val="2"/>
          </rPr>
          <t>Author:</t>
        </r>
        <r>
          <rPr>
            <sz val="9"/>
            <color indexed="81"/>
            <rFont val="Tahoma"/>
            <family val="2"/>
          </rPr>
          <t xml:space="preserve">
gap-filled using the corresponding data in the same wetland type</t>
        </r>
      </text>
    </comment>
    <comment ref="DE74" authorId="0" shapeId="0" xr:uid="{BD918FDD-962F-4DD8-91FE-DB4D117E91A6}">
      <text>
        <r>
          <rPr>
            <b/>
            <sz val="9"/>
            <color indexed="81"/>
            <rFont val="Tahoma"/>
            <family val="2"/>
          </rPr>
          <t>Author:</t>
        </r>
        <r>
          <rPr>
            <sz val="9"/>
            <color indexed="81"/>
            <rFont val="Tahoma"/>
            <family val="2"/>
          </rPr>
          <t xml:space="preserve">
gap-filled using the corresponding data in the same wetland type</t>
        </r>
      </text>
    </comment>
    <comment ref="CA75" authorId="0" shapeId="0" xr:uid="{E871659F-8BF7-4CCC-8259-3D450D5A58DC}">
      <text>
        <r>
          <rPr>
            <b/>
            <sz val="9"/>
            <color indexed="81"/>
            <rFont val="Tahoma"/>
            <family val="2"/>
          </rPr>
          <t>Author:</t>
        </r>
        <r>
          <rPr>
            <sz val="9"/>
            <color indexed="81"/>
            <rFont val="Tahoma"/>
            <family val="2"/>
          </rPr>
          <t xml:space="preserve">
gap-filled using the corresponding data in the same wetland type</t>
        </r>
      </text>
    </comment>
    <comment ref="CE75" authorId="0" shapeId="0" xr:uid="{33878563-B043-4107-A335-908C63E51212}">
      <text>
        <r>
          <rPr>
            <b/>
            <sz val="9"/>
            <color indexed="81"/>
            <rFont val="Tahoma"/>
            <family val="2"/>
          </rPr>
          <t>Author:</t>
        </r>
        <r>
          <rPr>
            <sz val="9"/>
            <color indexed="81"/>
            <rFont val="Tahoma"/>
            <family val="2"/>
          </rPr>
          <t xml:space="preserve">
gap-filled using the corresponding data in the same wetland type</t>
        </r>
      </text>
    </comment>
    <comment ref="CN75" authorId="0" shapeId="0" xr:uid="{E4199871-29D5-48E4-A934-73F6CD01EF2D}">
      <text>
        <r>
          <rPr>
            <b/>
            <sz val="9"/>
            <color indexed="81"/>
            <rFont val="Tahoma"/>
            <family val="2"/>
          </rPr>
          <t>Author:</t>
        </r>
        <r>
          <rPr>
            <sz val="9"/>
            <color indexed="81"/>
            <rFont val="Tahoma"/>
            <family val="2"/>
          </rPr>
          <t xml:space="preserve">
gap-filled using the corresponding data in the same wetland type</t>
        </r>
      </text>
    </comment>
    <comment ref="CR75" authorId="0" shapeId="0" xr:uid="{0E861A9E-AADB-42C8-9510-FAC946B8A2EC}">
      <text>
        <r>
          <rPr>
            <b/>
            <sz val="9"/>
            <color indexed="81"/>
            <rFont val="Tahoma"/>
            <family val="2"/>
          </rPr>
          <t>Author:</t>
        </r>
        <r>
          <rPr>
            <sz val="9"/>
            <color indexed="81"/>
            <rFont val="Tahoma"/>
            <family val="2"/>
          </rPr>
          <t xml:space="preserve">
gap-filled using the corresponding data in the same wetland type</t>
        </r>
      </text>
    </comment>
    <comment ref="DA75" authorId="0" shapeId="0" xr:uid="{BCBD7C43-5A8A-4E19-B880-C94BD82FF260}">
      <text>
        <r>
          <rPr>
            <b/>
            <sz val="9"/>
            <color indexed="81"/>
            <rFont val="Tahoma"/>
            <family val="2"/>
          </rPr>
          <t>Author:</t>
        </r>
        <r>
          <rPr>
            <sz val="9"/>
            <color indexed="81"/>
            <rFont val="Tahoma"/>
            <family val="2"/>
          </rPr>
          <t xml:space="preserve">
gap-filled using the corresponding data in the same wetland type</t>
        </r>
      </text>
    </comment>
    <comment ref="DE75" authorId="0" shapeId="0" xr:uid="{6769B6BF-FAE3-4692-B910-186CD89134AB}">
      <text>
        <r>
          <rPr>
            <b/>
            <sz val="9"/>
            <color indexed="81"/>
            <rFont val="Tahoma"/>
            <family val="2"/>
          </rPr>
          <t>Author:</t>
        </r>
        <r>
          <rPr>
            <sz val="9"/>
            <color indexed="81"/>
            <rFont val="Tahoma"/>
            <family val="2"/>
          </rPr>
          <t xml:space="preserve">
gap-filled using the corresponding data in the same wetland type</t>
        </r>
      </text>
    </comment>
    <comment ref="CA76" authorId="0" shapeId="0" xr:uid="{CF0D9840-9624-411E-9003-C9F8D9FBAA61}">
      <text>
        <r>
          <rPr>
            <b/>
            <sz val="9"/>
            <color indexed="81"/>
            <rFont val="Tahoma"/>
            <family val="2"/>
          </rPr>
          <t>Author:</t>
        </r>
        <r>
          <rPr>
            <sz val="9"/>
            <color indexed="81"/>
            <rFont val="Tahoma"/>
            <family val="2"/>
          </rPr>
          <t xml:space="preserve">
gap-filled using the corresponding data in the same wetland type</t>
        </r>
      </text>
    </comment>
    <comment ref="CE76" authorId="0" shapeId="0" xr:uid="{E041127C-F1A5-42D5-B80D-59F97C12E3A5}">
      <text>
        <r>
          <rPr>
            <b/>
            <sz val="9"/>
            <color indexed="81"/>
            <rFont val="Tahoma"/>
            <family val="2"/>
          </rPr>
          <t>Author:</t>
        </r>
        <r>
          <rPr>
            <sz val="9"/>
            <color indexed="81"/>
            <rFont val="Tahoma"/>
            <family val="2"/>
          </rPr>
          <t xml:space="preserve">
gap-filled using the corresponding data in the same wetland type</t>
        </r>
      </text>
    </comment>
    <comment ref="CN76" authorId="0" shapeId="0" xr:uid="{A40B1674-317D-4A22-B031-A4CB1092BD1D}">
      <text>
        <r>
          <rPr>
            <b/>
            <sz val="9"/>
            <color indexed="81"/>
            <rFont val="Tahoma"/>
            <family val="2"/>
          </rPr>
          <t>Author:</t>
        </r>
        <r>
          <rPr>
            <sz val="9"/>
            <color indexed="81"/>
            <rFont val="Tahoma"/>
            <family val="2"/>
          </rPr>
          <t xml:space="preserve">
gap-filled using the corresponding data in the same wetland type</t>
        </r>
      </text>
    </comment>
    <comment ref="CR76" authorId="0" shapeId="0" xr:uid="{060B4E12-CCA9-4E24-AC51-C196451D1667}">
      <text>
        <r>
          <rPr>
            <b/>
            <sz val="9"/>
            <color indexed="81"/>
            <rFont val="Tahoma"/>
            <family val="2"/>
          </rPr>
          <t>Author:</t>
        </r>
        <r>
          <rPr>
            <sz val="9"/>
            <color indexed="81"/>
            <rFont val="Tahoma"/>
            <family val="2"/>
          </rPr>
          <t xml:space="preserve">
gap-filled using the corresponding data in the same wetland type</t>
        </r>
      </text>
    </comment>
    <comment ref="DA76" authorId="0" shapeId="0" xr:uid="{A08302C2-0B7B-40C2-96C6-A8DB397A0C4F}">
      <text>
        <r>
          <rPr>
            <b/>
            <sz val="9"/>
            <color indexed="81"/>
            <rFont val="Tahoma"/>
            <family val="2"/>
          </rPr>
          <t>Author:</t>
        </r>
        <r>
          <rPr>
            <sz val="9"/>
            <color indexed="81"/>
            <rFont val="Tahoma"/>
            <family val="2"/>
          </rPr>
          <t xml:space="preserve">
gap-filled using the corresponding data in the same wetland type</t>
        </r>
      </text>
    </comment>
    <comment ref="DE76" authorId="0" shapeId="0" xr:uid="{FA1B729C-6BD0-4348-B702-4DD27BFF321F}">
      <text>
        <r>
          <rPr>
            <b/>
            <sz val="9"/>
            <color indexed="81"/>
            <rFont val="Tahoma"/>
            <family val="2"/>
          </rPr>
          <t>Author:</t>
        </r>
        <r>
          <rPr>
            <sz val="9"/>
            <color indexed="81"/>
            <rFont val="Tahoma"/>
            <family val="2"/>
          </rPr>
          <t xml:space="preserve">
gap-filled using the corresponding data in the same wetland type</t>
        </r>
      </text>
    </comment>
    <comment ref="DN77" authorId="0" shapeId="0" xr:uid="{55F77346-3E09-4C5F-B307-C457B16FBCF6}">
      <text>
        <r>
          <rPr>
            <b/>
            <sz val="9"/>
            <color indexed="81"/>
            <rFont val="Tahoma"/>
            <family val="2"/>
          </rPr>
          <t>Author:</t>
        </r>
        <r>
          <rPr>
            <sz val="9"/>
            <color indexed="81"/>
            <rFont val="Tahoma"/>
            <family val="2"/>
          </rPr>
          <t xml:space="preserve">
gap-filled using the corresponding data in the same wetland type</t>
        </r>
      </text>
    </comment>
    <comment ref="DR77" authorId="0" shapeId="0" xr:uid="{DDFB22EF-F1B5-4BC2-8BEA-F35E8CB94355}">
      <text>
        <r>
          <rPr>
            <b/>
            <sz val="9"/>
            <color indexed="81"/>
            <rFont val="Tahoma"/>
            <family val="2"/>
          </rPr>
          <t>Author:</t>
        </r>
        <r>
          <rPr>
            <sz val="9"/>
            <color indexed="81"/>
            <rFont val="Tahoma"/>
            <family val="2"/>
          </rPr>
          <t xml:space="preserve">
gap-filled using the corresponding data in the same wetland type</t>
        </r>
      </text>
    </comment>
    <comment ref="DN78" authorId="0" shapeId="0" xr:uid="{F5A1FB26-F76F-4163-AA27-31F803B4E153}">
      <text>
        <r>
          <rPr>
            <b/>
            <sz val="9"/>
            <color indexed="81"/>
            <rFont val="Tahoma"/>
            <family val="2"/>
          </rPr>
          <t>Author:</t>
        </r>
        <r>
          <rPr>
            <sz val="9"/>
            <color indexed="81"/>
            <rFont val="Tahoma"/>
            <family val="2"/>
          </rPr>
          <t xml:space="preserve">
gap-filled using the corresponding data in the same wetland type</t>
        </r>
      </text>
    </comment>
    <comment ref="DR78" authorId="0" shapeId="0" xr:uid="{31AB1085-15EC-46A4-B5FF-8C442F08DBA9}">
      <text>
        <r>
          <rPr>
            <b/>
            <sz val="9"/>
            <color indexed="81"/>
            <rFont val="Tahoma"/>
            <family val="2"/>
          </rPr>
          <t>Author:</t>
        </r>
        <r>
          <rPr>
            <sz val="9"/>
            <color indexed="81"/>
            <rFont val="Tahoma"/>
            <family val="2"/>
          </rPr>
          <t xml:space="preserve">
gap-filled using the corresponding data in the same wetland type</t>
        </r>
      </text>
    </comment>
    <comment ref="EA90" authorId="0" shapeId="0" xr:uid="{9D349ACA-546A-41C3-83D5-C63353BC7C59}">
      <text>
        <r>
          <rPr>
            <b/>
            <sz val="9"/>
            <color indexed="81"/>
            <rFont val="Tahoma"/>
            <family val="2"/>
          </rPr>
          <t>Author:</t>
        </r>
        <r>
          <rPr>
            <sz val="9"/>
            <color indexed="81"/>
            <rFont val="Tahoma"/>
            <family val="2"/>
          </rPr>
          <t xml:space="preserve">
gap-filled using the corresponding data in the same wetland type</t>
        </r>
      </text>
    </comment>
    <comment ref="EE90" authorId="0" shapeId="0" xr:uid="{AE833421-CEB8-4D36-A8E3-41649516971D}">
      <text>
        <r>
          <rPr>
            <b/>
            <sz val="9"/>
            <color indexed="81"/>
            <rFont val="Tahoma"/>
            <family val="2"/>
          </rPr>
          <t>Author:</t>
        </r>
        <r>
          <rPr>
            <sz val="9"/>
            <color indexed="81"/>
            <rFont val="Tahoma"/>
            <family val="2"/>
          </rPr>
          <t xml:space="preserve">
gap-filled using the corresponding data in the same wetland type</t>
        </r>
      </text>
    </comment>
    <comment ref="DN98" authorId="0" shapeId="0" xr:uid="{BCB3F663-694A-462A-A16D-DD6DE567F8E2}">
      <text>
        <r>
          <rPr>
            <b/>
            <sz val="9"/>
            <color indexed="81"/>
            <rFont val="Tahoma"/>
            <family val="2"/>
          </rPr>
          <t>Author:</t>
        </r>
        <r>
          <rPr>
            <sz val="9"/>
            <color indexed="81"/>
            <rFont val="Tahoma"/>
            <family val="2"/>
          </rPr>
          <t xml:space="preserve">
gap-filled using the corresponding data in the same wetland type</t>
        </r>
      </text>
    </comment>
    <comment ref="DR98" authorId="0" shapeId="0" xr:uid="{4CBD8240-8C74-4814-9009-4D8077A17299}">
      <text>
        <r>
          <rPr>
            <b/>
            <sz val="9"/>
            <color indexed="81"/>
            <rFont val="Tahoma"/>
            <family val="2"/>
          </rPr>
          <t>Author:</t>
        </r>
        <r>
          <rPr>
            <sz val="9"/>
            <color indexed="81"/>
            <rFont val="Tahoma"/>
            <family val="2"/>
          </rPr>
          <t xml:space="preserve">
gap-filled using the corresponding data in the same wetland type</t>
        </r>
      </text>
    </comment>
    <comment ref="EA98" authorId="0" shapeId="0" xr:uid="{06B6E6BD-C401-4481-9250-EE345481A40B}">
      <text>
        <r>
          <rPr>
            <b/>
            <sz val="9"/>
            <color indexed="81"/>
            <rFont val="Tahoma"/>
            <family val="2"/>
          </rPr>
          <t>Author:</t>
        </r>
        <r>
          <rPr>
            <sz val="9"/>
            <color indexed="81"/>
            <rFont val="Tahoma"/>
            <family val="2"/>
          </rPr>
          <t xml:space="preserve">
gap-filled using the corresponding data in the same wetland type</t>
        </r>
      </text>
    </comment>
    <comment ref="EE98" authorId="0" shapeId="0" xr:uid="{D2759316-9EFB-4BA4-ADE1-AF3A1EB421E6}">
      <text>
        <r>
          <rPr>
            <b/>
            <sz val="9"/>
            <color indexed="81"/>
            <rFont val="Tahoma"/>
            <family val="2"/>
          </rPr>
          <t>Author:</t>
        </r>
        <r>
          <rPr>
            <sz val="9"/>
            <color indexed="81"/>
            <rFont val="Tahoma"/>
            <family val="2"/>
          </rPr>
          <t xml:space="preserve">
gap-filled using the corresponding data in the same wetland type</t>
        </r>
      </text>
    </comment>
    <comment ref="DN99" authorId="0" shapeId="0" xr:uid="{1E9A061B-0606-478D-B9B5-6858F88C6F7A}">
      <text>
        <r>
          <rPr>
            <b/>
            <sz val="9"/>
            <color indexed="81"/>
            <rFont val="Tahoma"/>
            <family val="2"/>
          </rPr>
          <t>Author:</t>
        </r>
        <r>
          <rPr>
            <sz val="9"/>
            <color indexed="81"/>
            <rFont val="Tahoma"/>
            <family val="2"/>
          </rPr>
          <t xml:space="preserve">
gap-filled using the corresponding data in the same wetland type</t>
        </r>
      </text>
    </comment>
    <comment ref="DR99" authorId="0" shapeId="0" xr:uid="{FF4399EA-3002-4DAC-ABCB-5F61C714BAB2}">
      <text>
        <r>
          <rPr>
            <b/>
            <sz val="9"/>
            <color indexed="81"/>
            <rFont val="Tahoma"/>
            <family val="2"/>
          </rPr>
          <t>Author:</t>
        </r>
        <r>
          <rPr>
            <sz val="9"/>
            <color indexed="81"/>
            <rFont val="Tahoma"/>
            <family val="2"/>
          </rPr>
          <t xml:space="preserve">
gap-filled using the corresponding data in the same wetland type</t>
        </r>
      </text>
    </comment>
    <comment ref="EA99" authorId="0" shapeId="0" xr:uid="{EC9B4C6C-1CCB-4C56-9F0C-D2147152894F}">
      <text>
        <r>
          <rPr>
            <b/>
            <sz val="9"/>
            <color indexed="81"/>
            <rFont val="Tahoma"/>
            <family val="2"/>
          </rPr>
          <t>Author:</t>
        </r>
        <r>
          <rPr>
            <sz val="9"/>
            <color indexed="81"/>
            <rFont val="Tahoma"/>
            <family val="2"/>
          </rPr>
          <t xml:space="preserve">
gap-filled using the corresponding data in the same wetland type</t>
        </r>
      </text>
    </comment>
    <comment ref="EE99" authorId="0" shapeId="0" xr:uid="{1FDB3299-429F-4E70-A098-E618990A513C}">
      <text>
        <r>
          <rPr>
            <b/>
            <sz val="9"/>
            <color indexed="81"/>
            <rFont val="Tahoma"/>
            <family val="2"/>
          </rPr>
          <t>Author:</t>
        </r>
        <r>
          <rPr>
            <sz val="9"/>
            <color indexed="81"/>
            <rFont val="Tahoma"/>
            <family val="2"/>
          </rPr>
          <t xml:space="preserve">
gap-filled using the corresponding data in the same wetland type</t>
        </r>
      </text>
    </comment>
    <comment ref="EA112" authorId="0" shapeId="0" xr:uid="{3DA71273-7C0B-46C5-AC52-61A41780FDBA}">
      <text>
        <r>
          <rPr>
            <b/>
            <sz val="9"/>
            <color indexed="81"/>
            <rFont val="Tahoma"/>
            <family val="2"/>
          </rPr>
          <t>Author:</t>
        </r>
        <r>
          <rPr>
            <sz val="9"/>
            <color indexed="81"/>
            <rFont val="Tahoma"/>
            <family val="2"/>
          </rPr>
          <t xml:space="preserve">
gap-filled using corresponding wetland type data</t>
        </r>
      </text>
    </comment>
    <comment ref="EE112" authorId="0" shapeId="0" xr:uid="{E3244D4E-AEF9-4760-8E2E-8678CCE27340}">
      <text>
        <r>
          <rPr>
            <b/>
            <sz val="9"/>
            <color indexed="81"/>
            <rFont val="Tahoma"/>
            <family val="2"/>
          </rPr>
          <t>Author:</t>
        </r>
        <r>
          <rPr>
            <sz val="9"/>
            <color indexed="81"/>
            <rFont val="Tahoma"/>
            <family val="2"/>
          </rPr>
          <t xml:space="preserve">
gap-filled using corresponding wetland type data</t>
        </r>
      </text>
    </comment>
    <comment ref="EA113" authorId="0" shapeId="0" xr:uid="{46D77920-7C5D-4E32-8B23-BE565242C2B4}">
      <text>
        <r>
          <rPr>
            <b/>
            <sz val="9"/>
            <color indexed="81"/>
            <rFont val="Tahoma"/>
            <family val="2"/>
          </rPr>
          <t>Author:</t>
        </r>
        <r>
          <rPr>
            <sz val="9"/>
            <color indexed="81"/>
            <rFont val="Tahoma"/>
            <family val="2"/>
          </rPr>
          <t xml:space="preserve">
gap-filled using corresponding wetland type data</t>
        </r>
      </text>
    </comment>
    <comment ref="EE113" authorId="0" shapeId="0" xr:uid="{E56A6D5F-C462-4657-B1A4-11E14A1400B2}">
      <text>
        <r>
          <rPr>
            <b/>
            <sz val="9"/>
            <color indexed="81"/>
            <rFont val="Tahoma"/>
            <family val="2"/>
          </rPr>
          <t>Author:</t>
        </r>
        <r>
          <rPr>
            <sz val="9"/>
            <color indexed="81"/>
            <rFont val="Tahoma"/>
            <family val="2"/>
          </rPr>
          <t xml:space="preserve">
gap-filled using corresponding wetland type data</t>
        </r>
      </text>
    </comment>
    <comment ref="EA114" authorId="0" shapeId="0" xr:uid="{2B1B7952-95A8-4CD8-A091-258529EC0B43}">
      <text>
        <r>
          <rPr>
            <b/>
            <sz val="9"/>
            <color indexed="81"/>
            <rFont val="Tahoma"/>
            <family val="2"/>
          </rPr>
          <t>Author:</t>
        </r>
        <r>
          <rPr>
            <sz val="9"/>
            <color indexed="81"/>
            <rFont val="Tahoma"/>
            <family val="2"/>
          </rPr>
          <t xml:space="preserve">
gap-filled using corresponding wetland type data</t>
        </r>
      </text>
    </comment>
    <comment ref="EE114" authorId="0" shapeId="0" xr:uid="{18E2D76A-FDBA-4F31-9B49-2CB51094A1EA}">
      <text>
        <r>
          <rPr>
            <b/>
            <sz val="9"/>
            <color indexed="81"/>
            <rFont val="Tahoma"/>
            <family val="2"/>
          </rPr>
          <t>Author:</t>
        </r>
        <r>
          <rPr>
            <sz val="9"/>
            <color indexed="81"/>
            <rFont val="Tahoma"/>
            <family val="2"/>
          </rPr>
          <t xml:space="preserve">
gap-filled using corresponding wetland type data</t>
        </r>
      </text>
    </comment>
    <comment ref="EA115" authorId="0" shapeId="0" xr:uid="{F2642712-CCB2-4460-A9BC-6547460DE96A}">
      <text>
        <r>
          <rPr>
            <b/>
            <sz val="9"/>
            <color indexed="81"/>
            <rFont val="Tahoma"/>
            <family val="2"/>
          </rPr>
          <t>Author:</t>
        </r>
        <r>
          <rPr>
            <sz val="9"/>
            <color indexed="81"/>
            <rFont val="Tahoma"/>
            <family val="2"/>
          </rPr>
          <t xml:space="preserve">
gap-filled using corresponding wetland type data</t>
        </r>
      </text>
    </comment>
    <comment ref="EE115" authorId="0" shapeId="0" xr:uid="{31A22976-9BAB-4BA3-8F70-A8349C13554E}">
      <text>
        <r>
          <rPr>
            <b/>
            <sz val="9"/>
            <color indexed="81"/>
            <rFont val="Tahoma"/>
            <family val="2"/>
          </rPr>
          <t>Author:</t>
        </r>
        <r>
          <rPr>
            <sz val="9"/>
            <color indexed="81"/>
            <rFont val="Tahoma"/>
            <family val="2"/>
          </rPr>
          <t xml:space="preserve">
gap-filled using corresponding wetland type data</t>
        </r>
      </text>
    </comment>
    <comment ref="EA116" authorId="0" shapeId="0" xr:uid="{DC2F6797-696A-493C-B6C4-759E250F7B6C}">
      <text>
        <r>
          <rPr>
            <b/>
            <sz val="9"/>
            <color indexed="81"/>
            <rFont val="Tahoma"/>
            <family val="2"/>
          </rPr>
          <t>Author:</t>
        </r>
        <r>
          <rPr>
            <sz val="9"/>
            <color indexed="81"/>
            <rFont val="Tahoma"/>
            <family val="2"/>
          </rPr>
          <t xml:space="preserve">
gap-filled using corresponding wetland type data</t>
        </r>
      </text>
    </comment>
    <comment ref="EE116" authorId="0" shapeId="0" xr:uid="{03FF657C-6CD7-4B47-9661-E5AAD0AD8024}">
      <text>
        <r>
          <rPr>
            <b/>
            <sz val="9"/>
            <color indexed="81"/>
            <rFont val="Tahoma"/>
            <family val="2"/>
          </rPr>
          <t>Author:</t>
        </r>
        <r>
          <rPr>
            <sz val="9"/>
            <color indexed="81"/>
            <rFont val="Tahoma"/>
            <family val="2"/>
          </rPr>
          <t xml:space="preserve">
gap-filled using corresponding wetland type data</t>
        </r>
      </text>
    </comment>
    <comment ref="EA117" authorId="0" shapeId="0" xr:uid="{38130F91-BF10-4CC5-944B-A71D38ABD24B}">
      <text>
        <r>
          <rPr>
            <b/>
            <sz val="9"/>
            <color indexed="81"/>
            <rFont val="Tahoma"/>
            <family val="2"/>
          </rPr>
          <t>Author:</t>
        </r>
        <r>
          <rPr>
            <sz val="9"/>
            <color indexed="81"/>
            <rFont val="Tahoma"/>
            <family val="2"/>
          </rPr>
          <t xml:space="preserve">
gap-filled using corresponding wetland type data</t>
        </r>
      </text>
    </comment>
    <comment ref="EE117" authorId="0" shapeId="0" xr:uid="{F0A4E1D6-E368-4717-AFD7-19BED088A658}">
      <text>
        <r>
          <rPr>
            <b/>
            <sz val="9"/>
            <color indexed="81"/>
            <rFont val="Tahoma"/>
            <family val="2"/>
          </rPr>
          <t>Author:</t>
        </r>
        <r>
          <rPr>
            <sz val="9"/>
            <color indexed="81"/>
            <rFont val="Tahoma"/>
            <family val="2"/>
          </rPr>
          <t xml:space="preserve">
gap-filled using corresponding wetland type data</t>
        </r>
      </text>
    </comment>
    <comment ref="EA118" authorId="0" shapeId="0" xr:uid="{8244D752-4E47-43F3-BA1A-CEC6480491E8}">
      <text>
        <r>
          <rPr>
            <b/>
            <sz val="9"/>
            <color indexed="81"/>
            <rFont val="Tahoma"/>
            <family val="2"/>
          </rPr>
          <t>Author:</t>
        </r>
        <r>
          <rPr>
            <sz val="9"/>
            <color indexed="81"/>
            <rFont val="Tahoma"/>
            <family val="2"/>
          </rPr>
          <t xml:space="preserve">
gap-filled using corresponding wetland type data</t>
        </r>
      </text>
    </comment>
    <comment ref="EE118" authorId="0" shapeId="0" xr:uid="{CC34B923-8EB2-4750-9276-2A09D4246F99}">
      <text>
        <r>
          <rPr>
            <b/>
            <sz val="9"/>
            <color indexed="81"/>
            <rFont val="Tahoma"/>
            <family val="2"/>
          </rPr>
          <t>Author:</t>
        </r>
        <r>
          <rPr>
            <sz val="9"/>
            <color indexed="81"/>
            <rFont val="Tahoma"/>
            <family val="2"/>
          </rPr>
          <t xml:space="preserve">
gap-filled using corresponding wetland type data</t>
        </r>
      </text>
    </comment>
    <comment ref="EA119" authorId="0" shapeId="0" xr:uid="{E9BEE612-F6A8-498F-B8B6-D818E411AEA5}">
      <text>
        <r>
          <rPr>
            <b/>
            <sz val="9"/>
            <color indexed="81"/>
            <rFont val="Tahoma"/>
            <family val="2"/>
          </rPr>
          <t>Author:</t>
        </r>
        <r>
          <rPr>
            <sz val="9"/>
            <color indexed="81"/>
            <rFont val="Tahoma"/>
            <family val="2"/>
          </rPr>
          <t xml:space="preserve">
gap-filled using corresponding wetland type data</t>
        </r>
      </text>
    </comment>
    <comment ref="EE119" authorId="0" shapeId="0" xr:uid="{E201A8BE-E46A-4D2B-ACC7-EAB015FA5E44}">
      <text>
        <r>
          <rPr>
            <b/>
            <sz val="9"/>
            <color indexed="81"/>
            <rFont val="Tahoma"/>
            <family val="2"/>
          </rPr>
          <t>Author:</t>
        </r>
        <r>
          <rPr>
            <sz val="9"/>
            <color indexed="81"/>
            <rFont val="Tahoma"/>
            <family val="2"/>
          </rPr>
          <t xml:space="preserve">
gap-filled using corresponding wetland type data</t>
        </r>
      </text>
    </comment>
    <comment ref="EA120" authorId="0" shapeId="0" xr:uid="{7D54DCA9-F0F1-4562-8AF9-72CB7759E363}">
      <text>
        <r>
          <rPr>
            <b/>
            <sz val="9"/>
            <color indexed="81"/>
            <rFont val="Tahoma"/>
            <family val="2"/>
          </rPr>
          <t>Author:</t>
        </r>
        <r>
          <rPr>
            <sz val="9"/>
            <color indexed="81"/>
            <rFont val="Tahoma"/>
            <family val="2"/>
          </rPr>
          <t xml:space="preserve">
gap-filled using corresponding wetland type data</t>
        </r>
      </text>
    </comment>
    <comment ref="EE120" authorId="0" shapeId="0" xr:uid="{42EE4246-B072-42BE-AC67-D347C1421DCF}">
      <text>
        <r>
          <rPr>
            <b/>
            <sz val="9"/>
            <color indexed="81"/>
            <rFont val="Tahoma"/>
            <family val="2"/>
          </rPr>
          <t>Author:</t>
        </r>
        <r>
          <rPr>
            <sz val="9"/>
            <color indexed="81"/>
            <rFont val="Tahoma"/>
            <family val="2"/>
          </rPr>
          <t xml:space="preserve">
gap-filled using corresponding wetland type data</t>
        </r>
      </text>
    </comment>
    <comment ref="EA121" authorId="0" shapeId="0" xr:uid="{C8506EB2-0A05-4B4A-A74B-60C4058891DC}">
      <text>
        <r>
          <rPr>
            <b/>
            <sz val="9"/>
            <color indexed="81"/>
            <rFont val="Tahoma"/>
            <family val="2"/>
          </rPr>
          <t>Author:</t>
        </r>
        <r>
          <rPr>
            <sz val="9"/>
            <color indexed="81"/>
            <rFont val="Tahoma"/>
            <family val="2"/>
          </rPr>
          <t xml:space="preserve">
gap-filled using corresponding wetland type data</t>
        </r>
      </text>
    </comment>
    <comment ref="EE121" authorId="0" shapeId="0" xr:uid="{2BBE3DF7-0BD2-4F0E-AB85-2E15BEDBD9FB}">
      <text>
        <r>
          <rPr>
            <b/>
            <sz val="9"/>
            <color indexed="81"/>
            <rFont val="Tahoma"/>
            <family val="2"/>
          </rPr>
          <t>Author:</t>
        </r>
        <r>
          <rPr>
            <sz val="9"/>
            <color indexed="81"/>
            <rFont val="Tahoma"/>
            <family val="2"/>
          </rPr>
          <t xml:space="preserve">
gap-filled using corresponding wetland type data</t>
        </r>
      </text>
    </comment>
    <comment ref="EA122" authorId="0" shapeId="0" xr:uid="{D4C12479-0C8F-4D23-9905-AF06E5FAB63A}">
      <text>
        <r>
          <rPr>
            <b/>
            <sz val="9"/>
            <color indexed="81"/>
            <rFont val="Tahoma"/>
            <family val="2"/>
          </rPr>
          <t>Author:</t>
        </r>
        <r>
          <rPr>
            <sz val="9"/>
            <color indexed="81"/>
            <rFont val="Tahoma"/>
            <family val="2"/>
          </rPr>
          <t xml:space="preserve">
gap-filled using corresponding wetland type data</t>
        </r>
      </text>
    </comment>
    <comment ref="EE122" authorId="0" shapeId="0" xr:uid="{A0A5B8A0-3F3C-44EE-A159-C365164F4C67}">
      <text>
        <r>
          <rPr>
            <b/>
            <sz val="9"/>
            <color indexed="81"/>
            <rFont val="Tahoma"/>
            <family val="2"/>
          </rPr>
          <t>Author:</t>
        </r>
        <r>
          <rPr>
            <sz val="9"/>
            <color indexed="81"/>
            <rFont val="Tahoma"/>
            <family val="2"/>
          </rPr>
          <t xml:space="preserve">
gap-filled using corresponding wetland type data</t>
        </r>
      </text>
    </comment>
    <comment ref="EA123" authorId="0" shapeId="0" xr:uid="{51A160D1-F5AE-4708-83CF-878406E4BFE3}">
      <text>
        <r>
          <rPr>
            <b/>
            <sz val="9"/>
            <color indexed="81"/>
            <rFont val="Tahoma"/>
            <family val="2"/>
          </rPr>
          <t>Author:</t>
        </r>
        <r>
          <rPr>
            <sz val="9"/>
            <color indexed="81"/>
            <rFont val="Tahoma"/>
            <family val="2"/>
          </rPr>
          <t xml:space="preserve">
gap-filled using corresponding wetland type data</t>
        </r>
      </text>
    </comment>
    <comment ref="EE123" authorId="0" shapeId="0" xr:uid="{34071517-E1A9-4BBC-B2A1-B0E5C6B8A0F7}">
      <text>
        <r>
          <rPr>
            <b/>
            <sz val="9"/>
            <color indexed="81"/>
            <rFont val="Tahoma"/>
            <family val="2"/>
          </rPr>
          <t>Author:</t>
        </r>
        <r>
          <rPr>
            <sz val="9"/>
            <color indexed="81"/>
            <rFont val="Tahoma"/>
            <family val="2"/>
          </rPr>
          <t xml:space="preserve">
gap-filled using corresponding wetland type data</t>
        </r>
      </text>
    </comment>
    <comment ref="EA124" authorId="0" shapeId="0" xr:uid="{B1AA96EC-D3EF-49E5-BE29-82C61E472499}">
      <text>
        <r>
          <rPr>
            <b/>
            <sz val="9"/>
            <color indexed="81"/>
            <rFont val="Tahoma"/>
            <family val="2"/>
          </rPr>
          <t>Author:</t>
        </r>
        <r>
          <rPr>
            <sz val="9"/>
            <color indexed="81"/>
            <rFont val="Tahoma"/>
            <family val="2"/>
          </rPr>
          <t xml:space="preserve">
gap-filled using corresponding wetland type data</t>
        </r>
      </text>
    </comment>
    <comment ref="EE124" authorId="0" shapeId="0" xr:uid="{DA6E78C5-8751-4807-AE6C-262BEABEFEAE}">
      <text>
        <r>
          <rPr>
            <b/>
            <sz val="9"/>
            <color indexed="81"/>
            <rFont val="Tahoma"/>
            <family val="2"/>
          </rPr>
          <t>Author:</t>
        </r>
        <r>
          <rPr>
            <sz val="9"/>
            <color indexed="81"/>
            <rFont val="Tahoma"/>
            <family val="2"/>
          </rPr>
          <t xml:space="preserve">
gap-filled using corresponding wetland type data</t>
        </r>
      </text>
    </comment>
    <comment ref="EA125" authorId="0" shapeId="0" xr:uid="{DBE51271-17F3-450F-9951-9D353AEA14EE}">
      <text>
        <r>
          <rPr>
            <b/>
            <sz val="9"/>
            <color indexed="81"/>
            <rFont val="Tahoma"/>
            <family val="2"/>
          </rPr>
          <t>Author:</t>
        </r>
        <r>
          <rPr>
            <sz val="9"/>
            <color indexed="81"/>
            <rFont val="Tahoma"/>
            <family val="2"/>
          </rPr>
          <t xml:space="preserve">
gap-filled using corresponding wetland type data</t>
        </r>
      </text>
    </comment>
    <comment ref="EE125" authorId="0" shapeId="0" xr:uid="{CA432DB8-21B7-4330-94FB-01905EDC9A0E}">
      <text>
        <r>
          <rPr>
            <b/>
            <sz val="9"/>
            <color indexed="81"/>
            <rFont val="Tahoma"/>
            <family val="2"/>
          </rPr>
          <t>Author:</t>
        </r>
        <r>
          <rPr>
            <sz val="9"/>
            <color indexed="81"/>
            <rFont val="Tahoma"/>
            <family val="2"/>
          </rPr>
          <t xml:space="preserve">
gap-filled using corresponding wetland type data</t>
        </r>
      </text>
    </comment>
    <comment ref="EA126" authorId="0" shapeId="0" xr:uid="{469BE6CC-3D08-49E4-AE35-B6021CC6892D}">
      <text>
        <r>
          <rPr>
            <b/>
            <sz val="9"/>
            <color indexed="81"/>
            <rFont val="Tahoma"/>
            <family val="2"/>
          </rPr>
          <t>Author:</t>
        </r>
        <r>
          <rPr>
            <sz val="9"/>
            <color indexed="81"/>
            <rFont val="Tahoma"/>
            <family val="2"/>
          </rPr>
          <t xml:space="preserve">
gap-filled using corresponding wetland type data</t>
        </r>
      </text>
    </comment>
    <comment ref="EE126" authorId="0" shapeId="0" xr:uid="{19D83A60-4F14-4ADC-9823-3BA25D3445F3}">
      <text>
        <r>
          <rPr>
            <b/>
            <sz val="9"/>
            <color indexed="81"/>
            <rFont val="Tahoma"/>
            <family val="2"/>
          </rPr>
          <t>Author:</t>
        </r>
        <r>
          <rPr>
            <sz val="9"/>
            <color indexed="81"/>
            <rFont val="Tahoma"/>
            <family val="2"/>
          </rPr>
          <t xml:space="preserve">
gap-filled using corresponding wetland type data</t>
        </r>
      </text>
    </comment>
    <comment ref="EA127" authorId="0" shapeId="0" xr:uid="{C5E0B02E-D510-43BF-B5EA-29F269B1F7A5}">
      <text>
        <r>
          <rPr>
            <b/>
            <sz val="9"/>
            <color indexed="81"/>
            <rFont val="Tahoma"/>
            <family val="2"/>
          </rPr>
          <t>Author:</t>
        </r>
        <r>
          <rPr>
            <sz val="9"/>
            <color indexed="81"/>
            <rFont val="Tahoma"/>
            <family val="2"/>
          </rPr>
          <t xml:space="preserve">
gap-filled using corresponding wetland type data</t>
        </r>
      </text>
    </comment>
    <comment ref="EE127" authorId="0" shapeId="0" xr:uid="{886B60AC-28EF-427D-AC90-ECCC974813AC}">
      <text>
        <r>
          <rPr>
            <b/>
            <sz val="9"/>
            <color indexed="81"/>
            <rFont val="Tahoma"/>
            <family val="2"/>
          </rPr>
          <t>Author:</t>
        </r>
        <r>
          <rPr>
            <sz val="9"/>
            <color indexed="81"/>
            <rFont val="Tahoma"/>
            <family val="2"/>
          </rPr>
          <t xml:space="preserve">
gap-filled using corresponding wetland type data</t>
        </r>
      </text>
    </comment>
    <comment ref="CA128" authorId="0" shapeId="0" xr:uid="{D35A7735-679F-425F-BF31-3CB886AE02BA}">
      <text>
        <r>
          <rPr>
            <b/>
            <sz val="9"/>
            <color indexed="81"/>
            <rFont val="Tahoma"/>
            <family val="2"/>
          </rPr>
          <t>Author:</t>
        </r>
        <r>
          <rPr>
            <sz val="9"/>
            <color indexed="81"/>
            <rFont val="Tahoma"/>
            <family val="2"/>
          </rPr>
          <t xml:space="preserve">
gap-filled using the corresponding data in the same wetland type</t>
        </r>
      </text>
    </comment>
    <comment ref="CE128" authorId="0" shapeId="0" xr:uid="{CB333230-736F-41F6-B036-E3FD86EA00CA}">
      <text>
        <r>
          <rPr>
            <b/>
            <sz val="9"/>
            <color indexed="81"/>
            <rFont val="Tahoma"/>
            <family val="2"/>
          </rPr>
          <t>Author:</t>
        </r>
        <r>
          <rPr>
            <sz val="9"/>
            <color indexed="81"/>
            <rFont val="Tahoma"/>
            <family val="2"/>
          </rPr>
          <t xml:space="preserve">
gap-filled using the corresponding data in the same wetland type</t>
        </r>
      </text>
    </comment>
    <comment ref="CN128" authorId="0" shapeId="0" xr:uid="{68D41E30-694B-446D-8382-3E56E09AAB5D}">
      <text>
        <r>
          <rPr>
            <b/>
            <sz val="9"/>
            <color indexed="81"/>
            <rFont val="Tahoma"/>
            <family val="2"/>
          </rPr>
          <t>Author:</t>
        </r>
        <r>
          <rPr>
            <sz val="9"/>
            <color indexed="81"/>
            <rFont val="Tahoma"/>
            <family val="2"/>
          </rPr>
          <t xml:space="preserve">
gap-filled using the corresponding data in the same wetland type</t>
        </r>
      </text>
    </comment>
    <comment ref="CR128" authorId="0" shapeId="0" xr:uid="{708BE8F2-4106-4167-9FDA-FE85C5E7BDC3}">
      <text>
        <r>
          <rPr>
            <b/>
            <sz val="9"/>
            <color indexed="81"/>
            <rFont val="Tahoma"/>
            <family val="2"/>
          </rPr>
          <t>Author:</t>
        </r>
        <r>
          <rPr>
            <sz val="9"/>
            <color indexed="81"/>
            <rFont val="Tahoma"/>
            <family val="2"/>
          </rPr>
          <t xml:space="preserve">
gap-filled using the corresponding data in the same wetland type</t>
        </r>
      </text>
    </comment>
    <comment ref="DA128" authorId="0" shapeId="0" xr:uid="{718E5F4F-17FA-4D86-A494-9763DCB85BB9}">
      <text>
        <r>
          <rPr>
            <b/>
            <sz val="9"/>
            <color indexed="81"/>
            <rFont val="Tahoma"/>
            <family val="2"/>
          </rPr>
          <t>Author:</t>
        </r>
        <r>
          <rPr>
            <sz val="9"/>
            <color indexed="81"/>
            <rFont val="Tahoma"/>
            <family val="2"/>
          </rPr>
          <t xml:space="preserve">
gap-filled using the corresponding data in the same wetland type</t>
        </r>
      </text>
    </comment>
    <comment ref="DE128" authorId="0" shapeId="0" xr:uid="{3498BFAA-7FC8-42FE-A4AA-50E0EB2856B1}">
      <text>
        <r>
          <rPr>
            <b/>
            <sz val="9"/>
            <color indexed="81"/>
            <rFont val="Tahoma"/>
            <family val="2"/>
          </rPr>
          <t>Author:</t>
        </r>
        <r>
          <rPr>
            <sz val="9"/>
            <color indexed="81"/>
            <rFont val="Tahoma"/>
            <family val="2"/>
          </rPr>
          <t xml:space="preserve">
gap-filled using the corresponding data in the same wetland type</t>
        </r>
      </text>
    </comment>
    <comment ref="DN128" authorId="0" shapeId="0" xr:uid="{4E7BDA11-B001-48A1-864A-5932788B50E2}">
      <text>
        <r>
          <rPr>
            <b/>
            <sz val="9"/>
            <color indexed="81"/>
            <rFont val="Tahoma"/>
            <family val="2"/>
          </rPr>
          <t>Author:</t>
        </r>
        <r>
          <rPr>
            <sz val="9"/>
            <color indexed="81"/>
            <rFont val="Tahoma"/>
            <family val="2"/>
          </rPr>
          <t xml:space="preserve">
gap-filled using the corresponding data in the same wetland type</t>
        </r>
      </text>
    </comment>
    <comment ref="DR128" authorId="0" shapeId="0" xr:uid="{A255DE94-BFED-46D9-A090-AFF60C046AE0}">
      <text>
        <r>
          <rPr>
            <b/>
            <sz val="9"/>
            <color indexed="81"/>
            <rFont val="Tahoma"/>
            <family val="2"/>
          </rPr>
          <t>Author:</t>
        </r>
        <r>
          <rPr>
            <sz val="9"/>
            <color indexed="81"/>
            <rFont val="Tahoma"/>
            <family val="2"/>
          </rPr>
          <t xml:space="preserve">
gap-filled using the corresponding data in the same wetland type</t>
        </r>
      </text>
    </comment>
    <comment ref="EA128" authorId="0" shapeId="0" xr:uid="{53FF426B-1A8F-4E8E-B7D5-B22F0BFA5C76}">
      <text>
        <r>
          <rPr>
            <b/>
            <sz val="9"/>
            <color indexed="81"/>
            <rFont val="Tahoma"/>
            <family val="2"/>
          </rPr>
          <t>Author:</t>
        </r>
        <r>
          <rPr>
            <sz val="9"/>
            <color indexed="81"/>
            <rFont val="Tahoma"/>
            <family val="2"/>
          </rPr>
          <t xml:space="preserve">
gap-filled using the corresponding data in the same wetland type</t>
        </r>
      </text>
    </comment>
    <comment ref="EE128" authorId="0" shapeId="0" xr:uid="{36E590E2-3E0E-4FD2-8509-576829DD12FD}">
      <text>
        <r>
          <rPr>
            <b/>
            <sz val="9"/>
            <color indexed="81"/>
            <rFont val="Tahoma"/>
            <family val="2"/>
          </rPr>
          <t>Author:</t>
        </r>
        <r>
          <rPr>
            <sz val="9"/>
            <color indexed="81"/>
            <rFont val="Tahoma"/>
            <family val="2"/>
          </rPr>
          <t xml:space="preserve">
gap-filled using the corresponding data in the same wetland type</t>
        </r>
      </text>
    </comment>
    <comment ref="CA129" authorId="0" shapeId="0" xr:uid="{739E09D1-EB89-4FFC-846A-4042A6A11E14}">
      <text>
        <r>
          <rPr>
            <b/>
            <sz val="9"/>
            <color indexed="81"/>
            <rFont val="Tahoma"/>
            <family val="2"/>
          </rPr>
          <t>Author:</t>
        </r>
        <r>
          <rPr>
            <sz val="9"/>
            <color indexed="81"/>
            <rFont val="Tahoma"/>
            <family val="2"/>
          </rPr>
          <t xml:space="preserve">
gap-filled using the corresponding data in the same wetland type</t>
        </r>
      </text>
    </comment>
    <comment ref="CE129" authorId="0" shapeId="0" xr:uid="{E2C1E686-9A97-410B-8271-4A13F1230185}">
      <text>
        <r>
          <rPr>
            <b/>
            <sz val="9"/>
            <color indexed="81"/>
            <rFont val="Tahoma"/>
            <family val="2"/>
          </rPr>
          <t>Author:</t>
        </r>
        <r>
          <rPr>
            <sz val="9"/>
            <color indexed="81"/>
            <rFont val="Tahoma"/>
            <family val="2"/>
          </rPr>
          <t xml:space="preserve">
gap-filled using the corresponding data in the same wetland type</t>
        </r>
      </text>
    </comment>
    <comment ref="CN129" authorId="0" shapeId="0" xr:uid="{1CA036E0-2B44-4570-8850-D9C95BBA2D12}">
      <text>
        <r>
          <rPr>
            <b/>
            <sz val="9"/>
            <color indexed="81"/>
            <rFont val="Tahoma"/>
            <family val="2"/>
          </rPr>
          <t>Author:</t>
        </r>
        <r>
          <rPr>
            <sz val="9"/>
            <color indexed="81"/>
            <rFont val="Tahoma"/>
            <family val="2"/>
          </rPr>
          <t xml:space="preserve">
gap-filled using the corresponding data in the same wetland type</t>
        </r>
      </text>
    </comment>
    <comment ref="CR129" authorId="0" shapeId="0" xr:uid="{EE10ECEB-442C-4129-98E4-802380A15958}">
      <text>
        <r>
          <rPr>
            <b/>
            <sz val="9"/>
            <color indexed="81"/>
            <rFont val="Tahoma"/>
            <family val="2"/>
          </rPr>
          <t>Author:</t>
        </r>
        <r>
          <rPr>
            <sz val="9"/>
            <color indexed="81"/>
            <rFont val="Tahoma"/>
            <family val="2"/>
          </rPr>
          <t xml:space="preserve">
gap-filled using the corresponding data in the same wetland type</t>
        </r>
      </text>
    </comment>
    <comment ref="DA129" authorId="0" shapeId="0" xr:uid="{8C84D755-58A2-4321-90F5-0ED2DCDBE532}">
      <text>
        <r>
          <rPr>
            <b/>
            <sz val="9"/>
            <color indexed="81"/>
            <rFont val="Tahoma"/>
            <family val="2"/>
          </rPr>
          <t>Author:</t>
        </r>
        <r>
          <rPr>
            <sz val="9"/>
            <color indexed="81"/>
            <rFont val="Tahoma"/>
            <family val="2"/>
          </rPr>
          <t xml:space="preserve">
gap-filled using the corresponding data in the same wetland type</t>
        </r>
      </text>
    </comment>
    <comment ref="DE129" authorId="0" shapeId="0" xr:uid="{7AA00ECA-4252-4470-AA66-466579032844}">
      <text>
        <r>
          <rPr>
            <b/>
            <sz val="9"/>
            <color indexed="81"/>
            <rFont val="Tahoma"/>
            <family val="2"/>
          </rPr>
          <t>Author:</t>
        </r>
        <r>
          <rPr>
            <sz val="9"/>
            <color indexed="81"/>
            <rFont val="Tahoma"/>
            <family val="2"/>
          </rPr>
          <t xml:space="preserve">
gap-filled using the corresponding data in the same wetland type</t>
        </r>
      </text>
    </comment>
    <comment ref="DN129" authorId="0" shapeId="0" xr:uid="{2ADEAAE1-A97F-47D3-A933-076A879CF6DC}">
      <text>
        <r>
          <rPr>
            <b/>
            <sz val="9"/>
            <color indexed="81"/>
            <rFont val="Tahoma"/>
            <family val="2"/>
          </rPr>
          <t>Author:</t>
        </r>
        <r>
          <rPr>
            <sz val="9"/>
            <color indexed="81"/>
            <rFont val="Tahoma"/>
            <family val="2"/>
          </rPr>
          <t xml:space="preserve">
gap-filled using the corresponding data in the same wetland type</t>
        </r>
      </text>
    </comment>
    <comment ref="DR129" authorId="0" shapeId="0" xr:uid="{EFFC6592-72E3-4099-ADF5-51E7F009D108}">
      <text>
        <r>
          <rPr>
            <b/>
            <sz val="9"/>
            <color indexed="81"/>
            <rFont val="Tahoma"/>
            <family val="2"/>
          </rPr>
          <t>Author:</t>
        </r>
        <r>
          <rPr>
            <sz val="9"/>
            <color indexed="81"/>
            <rFont val="Tahoma"/>
            <family val="2"/>
          </rPr>
          <t xml:space="preserve">
gap-filled using the corresponding data in the same wetland type</t>
        </r>
      </text>
    </comment>
    <comment ref="EA129" authorId="0" shapeId="0" xr:uid="{0E303FB6-36BB-4790-89F9-95BC5A7F65ED}">
      <text>
        <r>
          <rPr>
            <b/>
            <sz val="9"/>
            <color indexed="81"/>
            <rFont val="Tahoma"/>
            <family val="2"/>
          </rPr>
          <t>Author:</t>
        </r>
        <r>
          <rPr>
            <sz val="9"/>
            <color indexed="81"/>
            <rFont val="Tahoma"/>
            <family val="2"/>
          </rPr>
          <t xml:space="preserve">
gap-filled using the corresponding data in the same wetland type</t>
        </r>
      </text>
    </comment>
    <comment ref="EE129" authorId="0" shapeId="0" xr:uid="{606ABB5A-DD00-400D-A2C6-91071D68A01A}">
      <text>
        <r>
          <rPr>
            <b/>
            <sz val="9"/>
            <color indexed="81"/>
            <rFont val="Tahoma"/>
            <family val="2"/>
          </rPr>
          <t>Author:</t>
        </r>
        <r>
          <rPr>
            <sz val="9"/>
            <color indexed="81"/>
            <rFont val="Tahoma"/>
            <family val="2"/>
          </rPr>
          <t xml:space="preserve">
gap-filled using the corresponding data in the same wetland type</t>
        </r>
      </text>
    </comment>
    <comment ref="CA130" authorId="0" shapeId="0" xr:uid="{CF468CE5-0A3C-4EDA-B88B-AFB37AF13D33}">
      <text>
        <r>
          <rPr>
            <b/>
            <sz val="9"/>
            <color indexed="81"/>
            <rFont val="Tahoma"/>
            <family val="2"/>
          </rPr>
          <t>Author:</t>
        </r>
        <r>
          <rPr>
            <sz val="9"/>
            <color indexed="81"/>
            <rFont val="Tahoma"/>
            <family val="2"/>
          </rPr>
          <t xml:space="preserve">
gap-filled using the corresponding data in the same wetland type</t>
        </r>
      </text>
    </comment>
    <comment ref="CE130" authorId="0" shapeId="0" xr:uid="{6611E3F2-4817-48CE-80DA-D4B4969AD153}">
      <text>
        <r>
          <rPr>
            <b/>
            <sz val="9"/>
            <color indexed="81"/>
            <rFont val="Tahoma"/>
            <family val="2"/>
          </rPr>
          <t>Author:</t>
        </r>
        <r>
          <rPr>
            <sz val="9"/>
            <color indexed="81"/>
            <rFont val="Tahoma"/>
            <family val="2"/>
          </rPr>
          <t xml:space="preserve">
gap-filled using the corresponding data in the same wetland type</t>
        </r>
      </text>
    </comment>
    <comment ref="CN130" authorId="0" shapeId="0" xr:uid="{08E58C65-5445-40BE-B69B-A07F2A48AF67}">
      <text>
        <r>
          <rPr>
            <b/>
            <sz val="9"/>
            <color indexed="81"/>
            <rFont val="Tahoma"/>
            <family val="2"/>
          </rPr>
          <t>Author:</t>
        </r>
        <r>
          <rPr>
            <sz val="9"/>
            <color indexed="81"/>
            <rFont val="Tahoma"/>
            <family val="2"/>
          </rPr>
          <t xml:space="preserve">
gap-filled using the corresponding data in the same wetland type</t>
        </r>
      </text>
    </comment>
    <comment ref="CR130" authorId="0" shapeId="0" xr:uid="{99BB90AA-E9D8-41F2-8F60-0E7DCF2384AA}">
      <text>
        <r>
          <rPr>
            <b/>
            <sz val="9"/>
            <color indexed="81"/>
            <rFont val="Tahoma"/>
            <family val="2"/>
          </rPr>
          <t>Author:</t>
        </r>
        <r>
          <rPr>
            <sz val="9"/>
            <color indexed="81"/>
            <rFont val="Tahoma"/>
            <family val="2"/>
          </rPr>
          <t xml:space="preserve">
gap-filled using the corresponding data in the same wetland type</t>
        </r>
      </text>
    </comment>
    <comment ref="DA130" authorId="0" shapeId="0" xr:uid="{567042C7-6DFE-41BF-8582-B59F077FA1EC}">
      <text>
        <r>
          <rPr>
            <b/>
            <sz val="9"/>
            <color indexed="81"/>
            <rFont val="Tahoma"/>
            <family val="2"/>
          </rPr>
          <t>Author:</t>
        </r>
        <r>
          <rPr>
            <sz val="9"/>
            <color indexed="81"/>
            <rFont val="Tahoma"/>
            <family val="2"/>
          </rPr>
          <t xml:space="preserve">
gap-filled using the corresponding data in the same wetland type</t>
        </r>
      </text>
    </comment>
    <comment ref="DE130" authorId="0" shapeId="0" xr:uid="{DE51B909-79F1-4AF4-80E3-701E5EC74B25}">
      <text>
        <r>
          <rPr>
            <b/>
            <sz val="9"/>
            <color indexed="81"/>
            <rFont val="Tahoma"/>
            <family val="2"/>
          </rPr>
          <t>Author:</t>
        </r>
        <r>
          <rPr>
            <sz val="9"/>
            <color indexed="81"/>
            <rFont val="Tahoma"/>
            <family val="2"/>
          </rPr>
          <t xml:space="preserve">
gap-filled using the corresponding data in the same wetland type</t>
        </r>
      </text>
    </comment>
    <comment ref="DN130" authorId="0" shapeId="0" xr:uid="{CA7EE105-4C52-4261-A153-6485BD3337F0}">
      <text>
        <r>
          <rPr>
            <b/>
            <sz val="9"/>
            <color indexed="81"/>
            <rFont val="Tahoma"/>
            <family val="2"/>
          </rPr>
          <t>Author:</t>
        </r>
        <r>
          <rPr>
            <sz val="9"/>
            <color indexed="81"/>
            <rFont val="Tahoma"/>
            <family val="2"/>
          </rPr>
          <t xml:space="preserve">
gap-filled using the corresponding data in the same wetland type</t>
        </r>
      </text>
    </comment>
    <comment ref="DR130" authorId="0" shapeId="0" xr:uid="{BD8BC5B5-0C42-4E58-B243-C8D85C1DB5AA}">
      <text>
        <r>
          <rPr>
            <b/>
            <sz val="9"/>
            <color indexed="81"/>
            <rFont val="Tahoma"/>
            <family val="2"/>
          </rPr>
          <t>Author:</t>
        </r>
        <r>
          <rPr>
            <sz val="9"/>
            <color indexed="81"/>
            <rFont val="Tahoma"/>
            <family val="2"/>
          </rPr>
          <t xml:space="preserve">
gap-filled using the corresponding data in the same wetland type</t>
        </r>
      </text>
    </comment>
    <comment ref="EA130" authorId="0" shapeId="0" xr:uid="{80B24F64-088A-4416-9C04-B3D4CBE924CD}">
      <text>
        <r>
          <rPr>
            <b/>
            <sz val="9"/>
            <color indexed="81"/>
            <rFont val="Tahoma"/>
            <family val="2"/>
          </rPr>
          <t>Author:</t>
        </r>
        <r>
          <rPr>
            <sz val="9"/>
            <color indexed="81"/>
            <rFont val="Tahoma"/>
            <family val="2"/>
          </rPr>
          <t xml:space="preserve">
gap-filled using the corresponding data in the same wetland type</t>
        </r>
      </text>
    </comment>
    <comment ref="EE130" authorId="0" shapeId="0" xr:uid="{5C6E3AB6-53A9-4B2D-8A42-B27B05936A1A}">
      <text>
        <r>
          <rPr>
            <b/>
            <sz val="9"/>
            <color indexed="81"/>
            <rFont val="Tahoma"/>
            <family val="2"/>
          </rPr>
          <t>Author:</t>
        </r>
        <r>
          <rPr>
            <sz val="9"/>
            <color indexed="81"/>
            <rFont val="Tahoma"/>
            <family val="2"/>
          </rPr>
          <t xml:space="preserve">
gap-filled using the corresponding data in the same wetland type</t>
        </r>
      </text>
    </comment>
    <comment ref="CA131" authorId="0" shapeId="0" xr:uid="{360C1C40-51BE-43D3-BF9A-08D49608A004}">
      <text>
        <r>
          <rPr>
            <b/>
            <sz val="9"/>
            <color indexed="81"/>
            <rFont val="Tahoma"/>
            <family val="2"/>
          </rPr>
          <t>Author:</t>
        </r>
        <r>
          <rPr>
            <sz val="9"/>
            <color indexed="81"/>
            <rFont val="Tahoma"/>
            <family val="2"/>
          </rPr>
          <t xml:space="preserve">
gap-filled using the corresponding data in the same wetland type</t>
        </r>
      </text>
    </comment>
    <comment ref="CE131" authorId="0" shapeId="0" xr:uid="{9B455DF0-D407-4C8D-B154-EDDBE80D7980}">
      <text>
        <r>
          <rPr>
            <b/>
            <sz val="9"/>
            <color indexed="81"/>
            <rFont val="Tahoma"/>
            <family val="2"/>
          </rPr>
          <t>Author:</t>
        </r>
        <r>
          <rPr>
            <sz val="9"/>
            <color indexed="81"/>
            <rFont val="Tahoma"/>
            <family val="2"/>
          </rPr>
          <t xml:space="preserve">
gap-filled using the corresponding data in the same wetland type</t>
        </r>
      </text>
    </comment>
    <comment ref="CN131" authorId="0" shapeId="0" xr:uid="{95A14353-E982-4EF1-86E1-8169479CBAF3}">
      <text>
        <r>
          <rPr>
            <b/>
            <sz val="9"/>
            <color indexed="81"/>
            <rFont val="Tahoma"/>
            <family val="2"/>
          </rPr>
          <t>Author:</t>
        </r>
        <r>
          <rPr>
            <sz val="9"/>
            <color indexed="81"/>
            <rFont val="Tahoma"/>
            <family val="2"/>
          </rPr>
          <t xml:space="preserve">
gap-filled using the corresponding data in the same wetland type</t>
        </r>
      </text>
    </comment>
    <comment ref="CR131" authorId="0" shapeId="0" xr:uid="{446CB1C2-54B4-4191-9B83-8B7DE02DBF6F}">
      <text>
        <r>
          <rPr>
            <b/>
            <sz val="9"/>
            <color indexed="81"/>
            <rFont val="Tahoma"/>
            <family val="2"/>
          </rPr>
          <t>Author:</t>
        </r>
        <r>
          <rPr>
            <sz val="9"/>
            <color indexed="81"/>
            <rFont val="Tahoma"/>
            <family val="2"/>
          </rPr>
          <t xml:space="preserve">
gap-filled using the corresponding data in the same wetland type</t>
        </r>
      </text>
    </comment>
    <comment ref="DA131" authorId="0" shapeId="0" xr:uid="{9D85E05B-3698-4118-BAE6-1C71F8316AB2}">
      <text>
        <r>
          <rPr>
            <b/>
            <sz val="9"/>
            <color indexed="81"/>
            <rFont val="Tahoma"/>
            <family val="2"/>
          </rPr>
          <t>Author:</t>
        </r>
        <r>
          <rPr>
            <sz val="9"/>
            <color indexed="81"/>
            <rFont val="Tahoma"/>
            <family val="2"/>
          </rPr>
          <t xml:space="preserve">
gap-filled using the corresponding data in the same wetland type</t>
        </r>
      </text>
    </comment>
    <comment ref="DE131" authorId="0" shapeId="0" xr:uid="{407FBE65-73C3-4589-ADE4-1EEB95B4F09B}">
      <text>
        <r>
          <rPr>
            <b/>
            <sz val="9"/>
            <color indexed="81"/>
            <rFont val="Tahoma"/>
            <family val="2"/>
          </rPr>
          <t>Author:</t>
        </r>
        <r>
          <rPr>
            <sz val="9"/>
            <color indexed="81"/>
            <rFont val="Tahoma"/>
            <family val="2"/>
          </rPr>
          <t xml:space="preserve">
gap-filled using the corresponding data in the same wetland type</t>
        </r>
      </text>
    </comment>
    <comment ref="DN131" authorId="0" shapeId="0" xr:uid="{A3D2F635-7F70-4731-84FA-68DE70E73EA9}">
      <text>
        <r>
          <rPr>
            <b/>
            <sz val="9"/>
            <color indexed="81"/>
            <rFont val="Tahoma"/>
            <family val="2"/>
          </rPr>
          <t>Author:</t>
        </r>
        <r>
          <rPr>
            <sz val="9"/>
            <color indexed="81"/>
            <rFont val="Tahoma"/>
            <family val="2"/>
          </rPr>
          <t xml:space="preserve">
gap-filled using the corresponding data in the same wetland type</t>
        </r>
      </text>
    </comment>
    <comment ref="DR131" authorId="0" shapeId="0" xr:uid="{4BAE529E-53A9-45D2-B9CB-DE26485E6740}">
      <text>
        <r>
          <rPr>
            <b/>
            <sz val="9"/>
            <color indexed="81"/>
            <rFont val="Tahoma"/>
            <family val="2"/>
          </rPr>
          <t>Author:</t>
        </r>
        <r>
          <rPr>
            <sz val="9"/>
            <color indexed="81"/>
            <rFont val="Tahoma"/>
            <family val="2"/>
          </rPr>
          <t xml:space="preserve">
gap-filled using the corresponding data in the same wetland type</t>
        </r>
      </text>
    </comment>
    <comment ref="EA131" authorId="0" shapeId="0" xr:uid="{506B3932-51A0-426B-8D4A-6042D4B4FA77}">
      <text>
        <r>
          <rPr>
            <b/>
            <sz val="9"/>
            <color indexed="81"/>
            <rFont val="Tahoma"/>
            <family val="2"/>
          </rPr>
          <t>Author:</t>
        </r>
        <r>
          <rPr>
            <sz val="9"/>
            <color indexed="81"/>
            <rFont val="Tahoma"/>
            <family val="2"/>
          </rPr>
          <t xml:space="preserve">
gap-filled using the corresponding data in the same wetland type</t>
        </r>
      </text>
    </comment>
    <comment ref="EE131" authorId="0" shapeId="0" xr:uid="{F480F8E2-B309-4967-BD8C-C25924E1CC06}">
      <text>
        <r>
          <rPr>
            <b/>
            <sz val="9"/>
            <color indexed="81"/>
            <rFont val="Tahoma"/>
            <family val="2"/>
          </rPr>
          <t>Author:</t>
        </r>
        <r>
          <rPr>
            <sz val="9"/>
            <color indexed="81"/>
            <rFont val="Tahoma"/>
            <family val="2"/>
          </rPr>
          <t xml:space="preserve">
gap-filled using the corresponding data in the same wetland type</t>
        </r>
      </text>
    </comment>
    <comment ref="CA132" authorId="0" shapeId="0" xr:uid="{A5CE3568-9183-49B6-A04D-6FFE041C0C98}">
      <text>
        <r>
          <rPr>
            <b/>
            <sz val="9"/>
            <color indexed="81"/>
            <rFont val="Tahoma"/>
            <family val="2"/>
          </rPr>
          <t>Author:</t>
        </r>
        <r>
          <rPr>
            <sz val="9"/>
            <color indexed="81"/>
            <rFont val="Tahoma"/>
            <family val="2"/>
          </rPr>
          <t xml:space="preserve">
gap-filled using the corresponding data in the same wetland type</t>
        </r>
      </text>
    </comment>
    <comment ref="CE132" authorId="0" shapeId="0" xr:uid="{31426A75-6BF2-4611-BA8D-BD1BB24F27B1}">
      <text>
        <r>
          <rPr>
            <b/>
            <sz val="9"/>
            <color indexed="81"/>
            <rFont val="Tahoma"/>
            <family val="2"/>
          </rPr>
          <t>Author:</t>
        </r>
        <r>
          <rPr>
            <sz val="9"/>
            <color indexed="81"/>
            <rFont val="Tahoma"/>
            <family val="2"/>
          </rPr>
          <t xml:space="preserve">
gap-filled using the corresponding data in the same wetland type</t>
        </r>
      </text>
    </comment>
    <comment ref="CN132" authorId="0" shapeId="0" xr:uid="{9E80A3DB-3638-4841-96CE-C409B7C84BBE}">
      <text>
        <r>
          <rPr>
            <b/>
            <sz val="9"/>
            <color indexed="81"/>
            <rFont val="Tahoma"/>
            <family val="2"/>
          </rPr>
          <t>Author:</t>
        </r>
        <r>
          <rPr>
            <sz val="9"/>
            <color indexed="81"/>
            <rFont val="Tahoma"/>
            <family val="2"/>
          </rPr>
          <t xml:space="preserve">
gap-filled using the corresponding data in the same wetland type</t>
        </r>
      </text>
    </comment>
    <comment ref="CR132" authorId="0" shapeId="0" xr:uid="{BA76C37F-6847-41ED-BC90-2BDE0EFA1CE4}">
      <text>
        <r>
          <rPr>
            <b/>
            <sz val="9"/>
            <color indexed="81"/>
            <rFont val="Tahoma"/>
            <family val="2"/>
          </rPr>
          <t>Author:</t>
        </r>
        <r>
          <rPr>
            <sz val="9"/>
            <color indexed="81"/>
            <rFont val="Tahoma"/>
            <family val="2"/>
          </rPr>
          <t xml:space="preserve">
gap-filled using the corresponding data in the same wetland type</t>
        </r>
      </text>
    </comment>
    <comment ref="DA132" authorId="0" shapeId="0" xr:uid="{0234FCDC-FC02-4040-BF7D-745CCAA4F804}">
      <text>
        <r>
          <rPr>
            <b/>
            <sz val="9"/>
            <color indexed="81"/>
            <rFont val="Tahoma"/>
            <family val="2"/>
          </rPr>
          <t>Author:</t>
        </r>
        <r>
          <rPr>
            <sz val="9"/>
            <color indexed="81"/>
            <rFont val="Tahoma"/>
            <family val="2"/>
          </rPr>
          <t xml:space="preserve">
gap-filled using the corresponding data in the same wetland type</t>
        </r>
      </text>
    </comment>
    <comment ref="DE132" authorId="0" shapeId="0" xr:uid="{3D7F6D9B-A78B-481C-A5FD-E5EE403DC2FD}">
      <text>
        <r>
          <rPr>
            <b/>
            <sz val="9"/>
            <color indexed="81"/>
            <rFont val="Tahoma"/>
            <family val="2"/>
          </rPr>
          <t>Author:</t>
        </r>
        <r>
          <rPr>
            <sz val="9"/>
            <color indexed="81"/>
            <rFont val="Tahoma"/>
            <family val="2"/>
          </rPr>
          <t xml:space="preserve">
gap-filled using the corresponding data in the same wetland type</t>
        </r>
      </text>
    </comment>
    <comment ref="DN132" authorId="0" shapeId="0" xr:uid="{6B8B7A81-8A79-4AC4-AEA1-32FF31727766}">
      <text>
        <r>
          <rPr>
            <b/>
            <sz val="9"/>
            <color indexed="81"/>
            <rFont val="Tahoma"/>
            <family val="2"/>
          </rPr>
          <t>Author:</t>
        </r>
        <r>
          <rPr>
            <sz val="9"/>
            <color indexed="81"/>
            <rFont val="Tahoma"/>
            <family val="2"/>
          </rPr>
          <t xml:space="preserve">
gap-filled using the corresponding data in the same wetland type</t>
        </r>
      </text>
    </comment>
    <comment ref="DR132" authorId="0" shapeId="0" xr:uid="{4982B59B-540E-4C65-A179-D62DE84649B6}">
      <text>
        <r>
          <rPr>
            <b/>
            <sz val="9"/>
            <color indexed="81"/>
            <rFont val="Tahoma"/>
            <family val="2"/>
          </rPr>
          <t>Author:</t>
        </r>
        <r>
          <rPr>
            <sz val="9"/>
            <color indexed="81"/>
            <rFont val="Tahoma"/>
            <family val="2"/>
          </rPr>
          <t xml:space="preserve">
gap-filled using the corresponding data in the same wetland type</t>
        </r>
      </text>
    </comment>
    <comment ref="EA132" authorId="0" shapeId="0" xr:uid="{3CE7B771-E37B-4DDB-8246-E61172476CCB}">
      <text>
        <r>
          <rPr>
            <b/>
            <sz val="9"/>
            <color indexed="81"/>
            <rFont val="Tahoma"/>
            <family val="2"/>
          </rPr>
          <t>Author:</t>
        </r>
        <r>
          <rPr>
            <sz val="9"/>
            <color indexed="81"/>
            <rFont val="Tahoma"/>
            <family val="2"/>
          </rPr>
          <t xml:space="preserve">
gap-filled using the corresponding data in the same wetland type</t>
        </r>
      </text>
    </comment>
    <comment ref="EE132" authorId="0" shapeId="0" xr:uid="{20115740-3489-401E-82BC-7432C95A6F69}">
      <text>
        <r>
          <rPr>
            <b/>
            <sz val="9"/>
            <color indexed="81"/>
            <rFont val="Tahoma"/>
            <family val="2"/>
          </rPr>
          <t>Author:</t>
        </r>
        <r>
          <rPr>
            <sz val="9"/>
            <color indexed="81"/>
            <rFont val="Tahoma"/>
            <family val="2"/>
          </rPr>
          <t xml:space="preserve">
gap-filled using the corresponding data in the same wetland type</t>
        </r>
      </text>
    </comment>
    <comment ref="CA133" authorId="0" shapeId="0" xr:uid="{96F576CB-DA76-4A6F-ADF4-59A7B8F8DF7E}">
      <text>
        <r>
          <rPr>
            <b/>
            <sz val="9"/>
            <color indexed="81"/>
            <rFont val="Tahoma"/>
            <family val="2"/>
          </rPr>
          <t>Author:</t>
        </r>
        <r>
          <rPr>
            <sz val="9"/>
            <color indexed="81"/>
            <rFont val="Tahoma"/>
            <family val="2"/>
          </rPr>
          <t xml:space="preserve">
gap-filled using the corresponding data in the same wetland type</t>
        </r>
      </text>
    </comment>
    <comment ref="CE133" authorId="0" shapeId="0" xr:uid="{C71098E2-8CC1-42BD-A652-D60CAA8AFCA7}">
      <text>
        <r>
          <rPr>
            <b/>
            <sz val="9"/>
            <color indexed="81"/>
            <rFont val="Tahoma"/>
            <family val="2"/>
          </rPr>
          <t>Author:</t>
        </r>
        <r>
          <rPr>
            <sz val="9"/>
            <color indexed="81"/>
            <rFont val="Tahoma"/>
            <family val="2"/>
          </rPr>
          <t xml:space="preserve">
gap-filled using the corresponding data in the same wetland type</t>
        </r>
      </text>
    </comment>
    <comment ref="CN133" authorId="0" shapeId="0" xr:uid="{570EA62C-939C-4A8F-ABB4-BA9F3004D279}">
      <text>
        <r>
          <rPr>
            <b/>
            <sz val="9"/>
            <color indexed="81"/>
            <rFont val="Tahoma"/>
            <family val="2"/>
          </rPr>
          <t>Author:</t>
        </r>
        <r>
          <rPr>
            <sz val="9"/>
            <color indexed="81"/>
            <rFont val="Tahoma"/>
            <family val="2"/>
          </rPr>
          <t xml:space="preserve">
gap-filled using the corresponding data in the same wetland type</t>
        </r>
      </text>
    </comment>
    <comment ref="CR133" authorId="0" shapeId="0" xr:uid="{152183B0-0E2A-47D8-91A0-E5D5F62F2BAA}">
      <text>
        <r>
          <rPr>
            <b/>
            <sz val="9"/>
            <color indexed="81"/>
            <rFont val="Tahoma"/>
            <family val="2"/>
          </rPr>
          <t>Author:</t>
        </r>
        <r>
          <rPr>
            <sz val="9"/>
            <color indexed="81"/>
            <rFont val="Tahoma"/>
            <family val="2"/>
          </rPr>
          <t xml:space="preserve">
gap-filled using the corresponding data in the same wetland type</t>
        </r>
      </text>
    </comment>
    <comment ref="DA133" authorId="0" shapeId="0" xr:uid="{BCF40C26-9D76-4A3A-8A28-EF0ECAC8C21F}">
      <text>
        <r>
          <rPr>
            <b/>
            <sz val="9"/>
            <color indexed="81"/>
            <rFont val="Tahoma"/>
            <family val="2"/>
          </rPr>
          <t>Author:</t>
        </r>
        <r>
          <rPr>
            <sz val="9"/>
            <color indexed="81"/>
            <rFont val="Tahoma"/>
            <family val="2"/>
          </rPr>
          <t xml:space="preserve">
gap-filled using the corresponding data in the same wetland type</t>
        </r>
      </text>
    </comment>
    <comment ref="DE133" authorId="0" shapeId="0" xr:uid="{21DDD1E6-7C57-456A-9151-5858F29DA489}">
      <text>
        <r>
          <rPr>
            <b/>
            <sz val="9"/>
            <color indexed="81"/>
            <rFont val="Tahoma"/>
            <family val="2"/>
          </rPr>
          <t>Author:</t>
        </r>
        <r>
          <rPr>
            <sz val="9"/>
            <color indexed="81"/>
            <rFont val="Tahoma"/>
            <family val="2"/>
          </rPr>
          <t xml:space="preserve">
gap-filled using the corresponding data in the same wetland type</t>
        </r>
      </text>
    </comment>
    <comment ref="DN133" authorId="0" shapeId="0" xr:uid="{8F1621E8-351E-4754-9921-B2DB23C141BB}">
      <text>
        <r>
          <rPr>
            <b/>
            <sz val="9"/>
            <color indexed="81"/>
            <rFont val="Tahoma"/>
            <family val="2"/>
          </rPr>
          <t>Author:</t>
        </r>
        <r>
          <rPr>
            <sz val="9"/>
            <color indexed="81"/>
            <rFont val="Tahoma"/>
            <family val="2"/>
          </rPr>
          <t xml:space="preserve">
gap-filled using the corresponding data in the same wetland type</t>
        </r>
      </text>
    </comment>
    <comment ref="DR133" authorId="0" shapeId="0" xr:uid="{E6C6FA03-4679-4265-B174-0FD67CD1AC84}">
      <text>
        <r>
          <rPr>
            <b/>
            <sz val="9"/>
            <color indexed="81"/>
            <rFont val="Tahoma"/>
            <family val="2"/>
          </rPr>
          <t>Author:</t>
        </r>
        <r>
          <rPr>
            <sz val="9"/>
            <color indexed="81"/>
            <rFont val="Tahoma"/>
            <family val="2"/>
          </rPr>
          <t xml:space="preserve">
gap-filled using the corresponding data in the same wetland type</t>
        </r>
      </text>
    </comment>
    <comment ref="EA133" authorId="0" shapeId="0" xr:uid="{13211A57-1890-4845-8415-51B0432450CE}">
      <text>
        <r>
          <rPr>
            <b/>
            <sz val="9"/>
            <color indexed="81"/>
            <rFont val="Tahoma"/>
            <family val="2"/>
          </rPr>
          <t>Author:</t>
        </r>
        <r>
          <rPr>
            <sz val="9"/>
            <color indexed="81"/>
            <rFont val="Tahoma"/>
            <family val="2"/>
          </rPr>
          <t xml:space="preserve">
gap-filled using the corresponding data in the same wetland type</t>
        </r>
      </text>
    </comment>
    <comment ref="EE133" authorId="0" shapeId="0" xr:uid="{C41D71C9-1D37-4A7C-BA80-28C3421D1531}">
      <text>
        <r>
          <rPr>
            <b/>
            <sz val="9"/>
            <color indexed="81"/>
            <rFont val="Tahoma"/>
            <family val="2"/>
          </rPr>
          <t>Author:</t>
        </r>
        <r>
          <rPr>
            <sz val="9"/>
            <color indexed="81"/>
            <rFont val="Tahoma"/>
            <family val="2"/>
          </rPr>
          <t xml:space="preserve">
gap-filled using the corresponding data in the same wetland type</t>
        </r>
      </text>
    </comment>
    <comment ref="DN162" authorId="0" shapeId="0" xr:uid="{5897B5D3-F928-45F8-992B-C02065E1353E}">
      <text>
        <r>
          <rPr>
            <b/>
            <sz val="9"/>
            <color indexed="81"/>
            <rFont val="Tahoma"/>
            <family val="2"/>
          </rPr>
          <t>Author:</t>
        </r>
        <r>
          <rPr>
            <sz val="9"/>
            <color indexed="81"/>
            <rFont val="Tahoma"/>
            <family val="2"/>
          </rPr>
          <t xml:space="preserve">
gap-filled using the corresponding data in the same wetland type</t>
        </r>
      </text>
    </comment>
    <comment ref="DR162" authorId="0" shapeId="0" xr:uid="{F001AA13-2D13-4028-8CE9-1E8BE37A931A}">
      <text>
        <r>
          <rPr>
            <b/>
            <sz val="9"/>
            <color indexed="81"/>
            <rFont val="Tahoma"/>
            <family val="2"/>
          </rPr>
          <t>Author:</t>
        </r>
        <r>
          <rPr>
            <sz val="9"/>
            <color indexed="81"/>
            <rFont val="Tahoma"/>
            <family val="2"/>
          </rPr>
          <t xml:space="preserve">
gap-filled using the corresponding data in the same wetland type</t>
        </r>
      </text>
    </comment>
    <comment ref="EA162" authorId="0" shapeId="0" xr:uid="{DAB02103-BA66-41DE-B878-623805092957}">
      <text>
        <r>
          <rPr>
            <b/>
            <sz val="9"/>
            <color indexed="81"/>
            <rFont val="Tahoma"/>
            <family val="2"/>
          </rPr>
          <t>Author:</t>
        </r>
        <r>
          <rPr>
            <sz val="9"/>
            <color indexed="81"/>
            <rFont val="Tahoma"/>
            <family val="2"/>
          </rPr>
          <t xml:space="preserve">
gap-filled using the corresponding data in the same wetland type</t>
        </r>
      </text>
    </comment>
    <comment ref="EE162" authorId="0" shapeId="0" xr:uid="{7EF595F5-E13D-498F-898C-0D1704A8DD22}">
      <text>
        <r>
          <rPr>
            <b/>
            <sz val="9"/>
            <color indexed="81"/>
            <rFont val="Tahoma"/>
            <family val="2"/>
          </rPr>
          <t>Author:</t>
        </r>
        <r>
          <rPr>
            <sz val="9"/>
            <color indexed="81"/>
            <rFont val="Tahoma"/>
            <family val="2"/>
          </rPr>
          <t xml:space="preserve">
gap-filled using the corresponding data in the same wetland type</t>
        </r>
      </text>
    </comment>
    <comment ref="DN163" authorId="0" shapeId="0" xr:uid="{B0778263-1CC1-4DF0-BA2C-540A498A067D}">
      <text>
        <r>
          <rPr>
            <b/>
            <sz val="9"/>
            <color indexed="81"/>
            <rFont val="Tahoma"/>
            <family val="2"/>
          </rPr>
          <t>Author:</t>
        </r>
        <r>
          <rPr>
            <sz val="9"/>
            <color indexed="81"/>
            <rFont val="Tahoma"/>
            <family val="2"/>
          </rPr>
          <t xml:space="preserve">
gap-filled using the corresponding data in the same wetland type</t>
        </r>
      </text>
    </comment>
    <comment ref="DR163" authorId="0" shapeId="0" xr:uid="{CEF25F06-7EB4-4AEA-9CFC-165AB72E659F}">
      <text>
        <r>
          <rPr>
            <b/>
            <sz val="9"/>
            <color indexed="81"/>
            <rFont val="Tahoma"/>
            <family val="2"/>
          </rPr>
          <t>Author:</t>
        </r>
        <r>
          <rPr>
            <sz val="9"/>
            <color indexed="81"/>
            <rFont val="Tahoma"/>
            <family val="2"/>
          </rPr>
          <t xml:space="preserve">
gap-filled using the corresponding data in the same wetland type</t>
        </r>
      </text>
    </comment>
    <comment ref="EA163" authorId="0" shapeId="0" xr:uid="{B0BD06B8-3E98-43AE-BB1A-C1A8E233782E}">
      <text>
        <r>
          <rPr>
            <b/>
            <sz val="9"/>
            <color indexed="81"/>
            <rFont val="Tahoma"/>
            <family val="2"/>
          </rPr>
          <t>Author:</t>
        </r>
        <r>
          <rPr>
            <sz val="9"/>
            <color indexed="81"/>
            <rFont val="Tahoma"/>
            <family val="2"/>
          </rPr>
          <t xml:space="preserve">
gap-filled using the corresponding data in the same wetland type</t>
        </r>
      </text>
    </comment>
    <comment ref="EE163" authorId="0" shapeId="0" xr:uid="{7B4220E6-244A-4AE1-8716-9413713DA404}">
      <text>
        <r>
          <rPr>
            <b/>
            <sz val="9"/>
            <color indexed="81"/>
            <rFont val="Tahoma"/>
            <family val="2"/>
          </rPr>
          <t>Author:</t>
        </r>
        <r>
          <rPr>
            <sz val="9"/>
            <color indexed="81"/>
            <rFont val="Tahoma"/>
            <family val="2"/>
          </rPr>
          <t xml:space="preserve">
gap-filled using the corresponding data in the same wetland type</t>
        </r>
      </text>
    </comment>
    <comment ref="DN164" authorId="0" shapeId="0" xr:uid="{60F04ECD-4DC2-4EDE-B7F2-06DC7BDE44A3}">
      <text>
        <r>
          <rPr>
            <b/>
            <sz val="9"/>
            <color indexed="81"/>
            <rFont val="Tahoma"/>
            <family val="2"/>
          </rPr>
          <t>Author:</t>
        </r>
        <r>
          <rPr>
            <sz val="9"/>
            <color indexed="81"/>
            <rFont val="Tahoma"/>
            <family val="2"/>
          </rPr>
          <t xml:space="preserve">
gap-filled using the corresponding data in the same wetland type</t>
        </r>
      </text>
    </comment>
    <comment ref="DR164" authorId="0" shapeId="0" xr:uid="{7F52042F-E32A-48FE-8CD2-F91CB4FD635C}">
      <text>
        <r>
          <rPr>
            <b/>
            <sz val="9"/>
            <color indexed="81"/>
            <rFont val="Tahoma"/>
            <family val="2"/>
          </rPr>
          <t>Author:</t>
        </r>
        <r>
          <rPr>
            <sz val="9"/>
            <color indexed="81"/>
            <rFont val="Tahoma"/>
            <family val="2"/>
          </rPr>
          <t xml:space="preserve">
gap-filled using the corresponding data in the same wetland type</t>
        </r>
      </text>
    </comment>
    <comment ref="EA164" authorId="0" shapeId="0" xr:uid="{78227851-1746-4183-9DBA-750C12FCC94E}">
      <text>
        <r>
          <rPr>
            <b/>
            <sz val="9"/>
            <color indexed="81"/>
            <rFont val="Tahoma"/>
            <family val="2"/>
          </rPr>
          <t>Author:</t>
        </r>
        <r>
          <rPr>
            <sz val="9"/>
            <color indexed="81"/>
            <rFont val="Tahoma"/>
            <family val="2"/>
          </rPr>
          <t xml:space="preserve">
gap-filled using the corresponding data in the same wetland type</t>
        </r>
      </text>
    </comment>
    <comment ref="EE164" authorId="0" shapeId="0" xr:uid="{13D86997-BD96-4BD7-B6D6-1AF25D52C57E}">
      <text>
        <r>
          <rPr>
            <b/>
            <sz val="9"/>
            <color indexed="81"/>
            <rFont val="Tahoma"/>
            <family val="2"/>
          </rPr>
          <t>Author:</t>
        </r>
        <r>
          <rPr>
            <sz val="9"/>
            <color indexed="81"/>
            <rFont val="Tahoma"/>
            <family val="2"/>
          </rPr>
          <t xml:space="preserve">
gap-filled using the corresponding data in the same wetland type</t>
        </r>
      </text>
    </comment>
    <comment ref="DN165" authorId="0" shapeId="0" xr:uid="{00AB2EF6-4A9B-4AF4-97F6-BEFC2C44BFF5}">
      <text>
        <r>
          <rPr>
            <b/>
            <sz val="9"/>
            <color indexed="81"/>
            <rFont val="Tahoma"/>
            <family val="2"/>
          </rPr>
          <t>Author:</t>
        </r>
        <r>
          <rPr>
            <sz val="9"/>
            <color indexed="81"/>
            <rFont val="Tahoma"/>
            <family val="2"/>
          </rPr>
          <t xml:space="preserve">
gap-filled using the corresponding data in the same wetland type</t>
        </r>
      </text>
    </comment>
    <comment ref="DR165" authorId="0" shapeId="0" xr:uid="{D98866D1-3B20-457A-ADDE-8D0D5FD88EA6}">
      <text>
        <r>
          <rPr>
            <b/>
            <sz val="9"/>
            <color indexed="81"/>
            <rFont val="Tahoma"/>
            <family val="2"/>
          </rPr>
          <t>Author:</t>
        </r>
        <r>
          <rPr>
            <sz val="9"/>
            <color indexed="81"/>
            <rFont val="Tahoma"/>
            <family val="2"/>
          </rPr>
          <t xml:space="preserve">
gap-filled using the corresponding data in the same wetland type</t>
        </r>
      </text>
    </comment>
    <comment ref="EA165" authorId="0" shapeId="0" xr:uid="{F249EF89-E43A-4A81-BBAF-2E2A4E94F577}">
      <text>
        <r>
          <rPr>
            <b/>
            <sz val="9"/>
            <color indexed="81"/>
            <rFont val="Tahoma"/>
            <family val="2"/>
          </rPr>
          <t>Author:</t>
        </r>
        <r>
          <rPr>
            <sz val="9"/>
            <color indexed="81"/>
            <rFont val="Tahoma"/>
            <family val="2"/>
          </rPr>
          <t xml:space="preserve">
gap-filled using the corresponding data in the same wetland type</t>
        </r>
      </text>
    </comment>
    <comment ref="EE165" authorId="0" shapeId="0" xr:uid="{51D74B16-31D7-4D45-B626-639BAB4DF243}">
      <text>
        <r>
          <rPr>
            <b/>
            <sz val="9"/>
            <color indexed="81"/>
            <rFont val="Tahoma"/>
            <family val="2"/>
          </rPr>
          <t>Author:</t>
        </r>
        <r>
          <rPr>
            <sz val="9"/>
            <color indexed="81"/>
            <rFont val="Tahoma"/>
            <family val="2"/>
          </rPr>
          <t xml:space="preserve">
gap-filled using the corresponding data in the same wetland type</t>
        </r>
      </text>
    </comment>
    <comment ref="DR166" authorId="0" shapeId="0" xr:uid="{CDCA1397-33AC-4248-A86E-C86BC98CD710}">
      <text>
        <r>
          <rPr>
            <b/>
            <sz val="9"/>
            <color indexed="81"/>
            <rFont val="Tahoma"/>
            <family val="2"/>
          </rPr>
          <t>Author:</t>
        </r>
        <r>
          <rPr>
            <sz val="9"/>
            <color indexed="81"/>
            <rFont val="Tahoma"/>
            <family val="2"/>
          </rPr>
          <t xml:space="preserve">
gap-filled using the corresponding data in the same wetland type</t>
        </r>
      </text>
    </comment>
    <comment ref="DN167" authorId="0" shapeId="0" xr:uid="{0D75877C-2E14-470B-B85F-6D13758E7C79}">
      <text>
        <r>
          <rPr>
            <b/>
            <sz val="9"/>
            <color indexed="81"/>
            <rFont val="Tahoma"/>
            <family val="2"/>
          </rPr>
          <t>Author:</t>
        </r>
        <r>
          <rPr>
            <sz val="9"/>
            <color indexed="81"/>
            <rFont val="Tahoma"/>
            <family val="2"/>
          </rPr>
          <t xml:space="preserve">
gap-filled using the corresponding data in the same wetland type</t>
        </r>
      </text>
    </comment>
    <comment ref="DR167" authorId="0" shapeId="0" xr:uid="{8B940B85-5CFD-4D29-B769-B651924F2897}">
      <text>
        <r>
          <rPr>
            <b/>
            <sz val="9"/>
            <color indexed="81"/>
            <rFont val="Tahoma"/>
            <family val="2"/>
          </rPr>
          <t>Author:</t>
        </r>
        <r>
          <rPr>
            <sz val="9"/>
            <color indexed="81"/>
            <rFont val="Tahoma"/>
            <family val="2"/>
          </rPr>
          <t xml:space="preserve">
gap-filled using the corresponding data in the same wetland type</t>
        </r>
      </text>
    </comment>
    <comment ref="DA168" authorId="0" shapeId="0" xr:uid="{BE434ABF-49AA-493A-B68E-3FF6D82617DB}">
      <text>
        <r>
          <rPr>
            <b/>
            <sz val="9"/>
            <color indexed="81"/>
            <rFont val="Tahoma"/>
            <family val="2"/>
          </rPr>
          <t>Author:</t>
        </r>
        <r>
          <rPr>
            <sz val="9"/>
            <color indexed="81"/>
            <rFont val="Tahoma"/>
            <family val="2"/>
          </rPr>
          <t xml:space="preserve">
gap-filled using the corresponding data in the same wetland type</t>
        </r>
      </text>
    </comment>
    <comment ref="DE168" authorId="0" shapeId="0" xr:uid="{C26DD482-EA9B-4710-B04F-16C2CABDC72A}">
      <text>
        <r>
          <rPr>
            <b/>
            <sz val="9"/>
            <color indexed="81"/>
            <rFont val="Tahoma"/>
            <family val="2"/>
          </rPr>
          <t>Author:</t>
        </r>
        <r>
          <rPr>
            <sz val="9"/>
            <color indexed="81"/>
            <rFont val="Tahoma"/>
            <family val="2"/>
          </rPr>
          <t xml:space="preserve">
gap-filled using the corresponding data in the same wetland type</t>
        </r>
      </text>
    </comment>
    <comment ref="DN168" authorId="0" shapeId="0" xr:uid="{6A94EBD3-6BFF-42AC-813F-5E1D53902EC2}">
      <text>
        <r>
          <rPr>
            <b/>
            <sz val="9"/>
            <color indexed="81"/>
            <rFont val="Tahoma"/>
            <family val="2"/>
          </rPr>
          <t>Author:</t>
        </r>
        <r>
          <rPr>
            <sz val="9"/>
            <color indexed="81"/>
            <rFont val="Tahoma"/>
            <family val="2"/>
          </rPr>
          <t xml:space="preserve">
gap-filled using the corresponding data in the same wetland type</t>
        </r>
      </text>
    </comment>
    <comment ref="DR168" authorId="0" shapeId="0" xr:uid="{D6561340-F534-4827-90CA-6464F5D6DE88}">
      <text>
        <r>
          <rPr>
            <b/>
            <sz val="9"/>
            <color indexed="81"/>
            <rFont val="Tahoma"/>
            <family val="2"/>
          </rPr>
          <t>Author:</t>
        </r>
        <r>
          <rPr>
            <sz val="9"/>
            <color indexed="81"/>
            <rFont val="Tahoma"/>
            <family val="2"/>
          </rPr>
          <t xml:space="preserve">
gap-filled using the corresponding data in the same wetland type</t>
        </r>
      </text>
    </comment>
    <comment ref="EA168" authorId="0" shapeId="0" xr:uid="{A1654570-D2A3-497D-BDD1-62CBE7A7F2F8}">
      <text>
        <r>
          <rPr>
            <b/>
            <sz val="9"/>
            <color indexed="81"/>
            <rFont val="Tahoma"/>
            <family val="2"/>
          </rPr>
          <t>Author:</t>
        </r>
        <r>
          <rPr>
            <sz val="9"/>
            <color indexed="81"/>
            <rFont val="Tahoma"/>
            <family val="2"/>
          </rPr>
          <t xml:space="preserve">
gap-filled using the corresponding data in the same wetland type</t>
        </r>
      </text>
    </comment>
    <comment ref="EE168" authorId="0" shapeId="0" xr:uid="{7E068CF7-A9F3-463D-AEB4-D9462854A730}">
      <text>
        <r>
          <rPr>
            <b/>
            <sz val="9"/>
            <color indexed="81"/>
            <rFont val="Tahoma"/>
            <family val="2"/>
          </rPr>
          <t>Author:</t>
        </r>
        <r>
          <rPr>
            <sz val="9"/>
            <color indexed="81"/>
            <rFont val="Tahoma"/>
            <family val="2"/>
          </rPr>
          <t xml:space="preserve">
gap-filled using the corresponding data in the same wetland type</t>
        </r>
      </text>
    </comment>
    <comment ref="DA169" authorId="0" shapeId="0" xr:uid="{EEDF66A0-799A-4B12-BA0A-4F4547CE290A}">
      <text>
        <r>
          <rPr>
            <b/>
            <sz val="9"/>
            <color indexed="81"/>
            <rFont val="Tahoma"/>
            <family val="2"/>
          </rPr>
          <t>Author:</t>
        </r>
        <r>
          <rPr>
            <sz val="9"/>
            <color indexed="81"/>
            <rFont val="Tahoma"/>
            <family val="2"/>
          </rPr>
          <t xml:space="preserve">
gap-filled using the corresponding data in the same wetland type</t>
        </r>
      </text>
    </comment>
    <comment ref="DE169" authorId="0" shapeId="0" xr:uid="{9D367CE2-C1F8-45AE-9397-E8C5EBA67265}">
      <text>
        <r>
          <rPr>
            <b/>
            <sz val="9"/>
            <color indexed="81"/>
            <rFont val="Tahoma"/>
            <family val="2"/>
          </rPr>
          <t>Author:</t>
        </r>
        <r>
          <rPr>
            <sz val="9"/>
            <color indexed="81"/>
            <rFont val="Tahoma"/>
            <family val="2"/>
          </rPr>
          <t xml:space="preserve">
gap-filled using the corresponding data in the same wetland type</t>
        </r>
      </text>
    </comment>
    <comment ref="DN169" authorId="0" shapeId="0" xr:uid="{351DD4E7-0A9B-4C86-B641-24DBAA15D7DE}">
      <text>
        <r>
          <rPr>
            <b/>
            <sz val="9"/>
            <color indexed="81"/>
            <rFont val="Tahoma"/>
            <family val="2"/>
          </rPr>
          <t>Author:</t>
        </r>
        <r>
          <rPr>
            <sz val="9"/>
            <color indexed="81"/>
            <rFont val="Tahoma"/>
            <family val="2"/>
          </rPr>
          <t xml:space="preserve">
gap-filled using the corresponding data in the same wetland type</t>
        </r>
      </text>
    </comment>
    <comment ref="DR169" authorId="0" shapeId="0" xr:uid="{EAADF630-5625-475A-930D-09E3A93BB493}">
      <text>
        <r>
          <rPr>
            <b/>
            <sz val="9"/>
            <color indexed="81"/>
            <rFont val="Tahoma"/>
            <family val="2"/>
          </rPr>
          <t>Author:</t>
        </r>
        <r>
          <rPr>
            <sz val="9"/>
            <color indexed="81"/>
            <rFont val="Tahoma"/>
            <family val="2"/>
          </rPr>
          <t xml:space="preserve">
gap-filled using the corresponding data in the same wetland type</t>
        </r>
      </text>
    </comment>
    <comment ref="EA169" authorId="0" shapeId="0" xr:uid="{2BF11FBB-0C1E-4A9F-B498-A6AD34DE3FB1}">
      <text>
        <r>
          <rPr>
            <b/>
            <sz val="9"/>
            <color indexed="81"/>
            <rFont val="Tahoma"/>
            <family val="2"/>
          </rPr>
          <t>Author:</t>
        </r>
        <r>
          <rPr>
            <sz val="9"/>
            <color indexed="81"/>
            <rFont val="Tahoma"/>
            <family val="2"/>
          </rPr>
          <t xml:space="preserve">
gap-filled using the corresponding data in the same wetland type</t>
        </r>
      </text>
    </comment>
    <comment ref="EE169" authorId="0" shapeId="0" xr:uid="{E5B9F133-CCB8-4D4B-8F76-2B8BC8CE2DB5}">
      <text>
        <r>
          <rPr>
            <b/>
            <sz val="9"/>
            <color indexed="81"/>
            <rFont val="Tahoma"/>
            <family val="2"/>
          </rPr>
          <t>Author:</t>
        </r>
        <r>
          <rPr>
            <sz val="9"/>
            <color indexed="81"/>
            <rFont val="Tahoma"/>
            <family val="2"/>
          </rPr>
          <t xml:space="preserve">
gap-filled using the corresponding data in the same wetland type</t>
        </r>
      </text>
    </comment>
    <comment ref="DA170" authorId="0" shapeId="0" xr:uid="{1BADBB72-7509-4D7E-B2FF-B7890B904C04}">
      <text>
        <r>
          <rPr>
            <b/>
            <sz val="9"/>
            <color indexed="81"/>
            <rFont val="Tahoma"/>
            <family val="2"/>
          </rPr>
          <t>Author:</t>
        </r>
        <r>
          <rPr>
            <sz val="9"/>
            <color indexed="81"/>
            <rFont val="Tahoma"/>
            <family val="2"/>
          </rPr>
          <t xml:space="preserve">
gap-filled using the corresponding data in the same wetland type</t>
        </r>
      </text>
    </comment>
    <comment ref="DE170" authorId="0" shapeId="0" xr:uid="{95D90523-95DD-4DE3-AA9F-8492CB2B491E}">
      <text>
        <r>
          <rPr>
            <b/>
            <sz val="9"/>
            <color indexed="81"/>
            <rFont val="Tahoma"/>
            <family val="2"/>
          </rPr>
          <t>Author:</t>
        </r>
        <r>
          <rPr>
            <sz val="9"/>
            <color indexed="81"/>
            <rFont val="Tahoma"/>
            <family val="2"/>
          </rPr>
          <t xml:space="preserve">
gap-filled using the corresponding data in the same wetland type</t>
        </r>
      </text>
    </comment>
    <comment ref="DN170" authorId="0" shapeId="0" xr:uid="{2002D1FC-0D31-4D37-A91C-089F961F8A03}">
      <text>
        <r>
          <rPr>
            <b/>
            <sz val="9"/>
            <color indexed="81"/>
            <rFont val="Tahoma"/>
            <family val="2"/>
          </rPr>
          <t>Author:</t>
        </r>
        <r>
          <rPr>
            <sz val="9"/>
            <color indexed="81"/>
            <rFont val="Tahoma"/>
            <family val="2"/>
          </rPr>
          <t xml:space="preserve">
gap-filled using the corresponding data in the same wetland type</t>
        </r>
      </text>
    </comment>
    <comment ref="DR170" authorId="0" shapeId="0" xr:uid="{D685D3BC-2570-42A4-94E3-ED501269FE6E}">
      <text>
        <r>
          <rPr>
            <b/>
            <sz val="9"/>
            <color indexed="81"/>
            <rFont val="Tahoma"/>
            <family val="2"/>
          </rPr>
          <t>Author:</t>
        </r>
        <r>
          <rPr>
            <sz val="9"/>
            <color indexed="81"/>
            <rFont val="Tahoma"/>
            <family val="2"/>
          </rPr>
          <t xml:space="preserve">
gap-filled using the corresponding data in the same wetland type</t>
        </r>
      </text>
    </comment>
    <comment ref="DA171" authorId="0" shapeId="0" xr:uid="{B2CE0621-9040-43B1-8E73-373D235C8322}">
      <text>
        <r>
          <rPr>
            <b/>
            <sz val="9"/>
            <color indexed="81"/>
            <rFont val="Tahoma"/>
            <family val="2"/>
          </rPr>
          <t>Author:</t>
        </r>
        <r>
          <rPr>
            <sz val="9"/>
            <color indexed="81"/>
            <rFont val="Tahoma"/>
            <family val="2"/>
          </rPr>
          <t xml:space="preserve">
gap-filled using the corresponding data in the same wetland type</t>
        </r>
      </text>
    </comment>
    <comment ref="DE171" authorId="0" shapeId="0" xr:uid="{B714B4A4-E59D-4114-9C02-78B1D5FE1341}">
      <text>
        <r>
          <rPr>
            <b/>
            <sz val="9"/>
            <color indexed="81"/>
            <rFont val="Tahoma"/>
            <family val="2"/>
          </rPr>
          <t>Author:</t>
        </r>
        <r>
          <rPr>
            <sz val="9"/>
            <color indexed="81"/>
            <rFont val="Tahoma"/>
            <family val="2"/>
          </rPr>
          <t xml:space="preserve">
gap-filled using the corresponding data in the same wetland type</t>
        </r>
      </text>
    </comment>
    <comment ref="DN171" authorId="0" shapeId="0" xr:uid="{40B6BB73-3EC5-4B75-985F-33BE28ED3180}">
      <text>
        <r>
          <rPr>
            <b/>
            <sz val="9"/>
            <color indexed="81"/>
            <rFont val="Tahoma"/>
            <family val="2"/>
          </rPr>
          <t>Author:</t>
        </r>
        <r>
          <rPr>
            <sz val="9"/>
            <color indexed="81"/>
            <rFont val="Tahoma"/>
            <family val="2"/>
          </rPr>
          <t xml:space="preserve">
gap-filled using the corresponding data in the same wetland type</t>
        </r>
      </text>
    </comment>
    <comment ref="DR171" authorId="0" shapeId="0" xr:uid="{BFA911BE-B548-4342-93F4-786E147181D5}">
      <text>
        <r>
          <rPr>
            <b/>
            <sz val="9"/>
            <color indexed="81"/>
            <rFont val="Tahoma"/>
            <family val="2"/>
          </rPr>
          <t>Author:</t>
        </r>
        <r>
          <rPr>
            <sz val="9"/>
            <color indexed="81"/>
            <rFont val="Tahoma"/>
            <family val="2"/>
          </rPr>
          <t xml:space="preserve">
gap-filled using the corresponding data in the same wetland type</t>
        </r>
      </text>
    </comment>
    <comment ref="DN176" authorId="0" shapeId="0" xr:uid="{B1BBE611-7C6F-4785-AD33-5C82748D0FD3}">
      <text>
        <r>
          <rPr>
            <b/>
            <sz val="9"/>
            <color indexed="81"/>
            <rFont val="Tahoma"/>
            <family val="2"/>
          </rPr>
          <t>Author:</t>
        </r>
        <r>
          <rPr>
            <sz val="9"/>
            <color indexed="81"/>
            <rFont val="Tahoma"/>
            <family val="2"/>
          </rPr>
          <t xml:space="preserve">
gap-filled using the corresponding data in the same wetland type</t>
        </r>
      </text>
    </comment>
    <comment ref="DR176" authorId="0" shapeId="0" xr:uid="{CE1DE815-8101-482D-923A-98DB77C83AF6}">
      <text>
        <r>
          <rPr>
            <b/>
            <sz val="9"/>
            <color indexed="81"/>
            <rFont val="Tahoma"/>
            <family val="2"/>
          </rPr>
          <t>Author:</t>
        </r>
        <r>
          <rPr>
            <sz val="9"/>
            <color indexed="81"/>
            <rFont val="Tahoma"/>
            <family val="2"/>
          </rPr>
          <t xml:space="preserve">
gap-filled using the corresponding data in the same wetland type</t>
        </r>
      </text>
    </comment>
    <comment ref="DN177" authorId="0" shapeId="0" xr:uid="{D8F56DF9-458B-426F-B780-75A66BC3FE6E}">
      <text>
        <r>
          <rPr>
            <b/>
            <sz val="9"/>
            <color indexed="81"/>
            <rFont val="Tahoma"/>
            <family val="2"/>
          </rPr>
          <t>Author:</t>
        </r>
        <r>
          <rPr>
            <sz val="9"/>
            <color indexed="81"/>
            <rFont val="Tahoma"/>
            <family val="2"/>
          </rPr>
          <t xml:space="preserve">
gap-filled using the corresponding data in the same wetland type</t>
        </r>
      </text>
    </comment>
    <comment ref="DR177" authorId="0" shapeId="0" xr:uid="{4B745ADA-81FA-4952-BBEA-48F8C6F85159}">
      <text>
        <r>
          <rPr>
            <b/>
            <sz val="9"/>
            <color indexed="81"/>
            <rFont val="Tahoma"/>
            <family val="2"/>
          </rPr>
          <t>Author:</t>
        </r>
        <r>
          <rPr>
            <sz val="9"/>
            <color indexed="81"/>
            <rFont val="Tahoma"/>
            <family val="2"/>
          </rPr>
          <t xml:space="preserve">
gap-filled using the corresponding data in the same wetland type</t>
        </r>
      </text>
    </comment>
    <comment ref="DN178" authorId="0" shapeId="0" xr:uid="{203DF75C-BA0C-4ADB-89FB-B315C5F06BEE}">
      <text>
        <r>
          <rPr>
            <b/>
            <sz val="9"/>
            <color indexed="81"/>
            <rFont val="Tahoma"/>
            <family val="2"/>
          </rPr>
          <t>Author:</t>
        </r>
        <r>
          <rPr>
            <sz val="9"/>
            <color indexed="81"/>
            <rFont val="Tahoma"/>
            <family val="2"/>
          </rPr>
          <t xml:space="preserve">
gap-filled using the corresponding data in the same wetland type</t>
        </r>
      </text>
    </comment>
    <comment ref="DR178" authorId="0" shapeId="0" xr:uid="{596D9B6C-790F-45F1-A4D5-4CF62D6A2A83}">
      <text>
        <r>
          <rPr>
            <b/>
            <sz val="9"/>
            <color indexed="81"/>
            <rFont val="Tahoma"/>
            <family val="2"/>
          </rPr>
          <t>Author:</t>
        </r>
        <r>
          <rPr>
            <sz val="9"/>
            <color indexed="81"/>
            <rFont val="Tahoma"/>
            <family val="2"/>
          </rPr>
          <t xml:space="preserve">
gap-filled using the corresponding data in the same wetland type</t>
        </r>
      </text>
    </comment>
    <comment ref="DN179" authorId="0" shapeId="0" xr:uid="{5914A378-D201-48C8-8A97-421C665A1C11}">
      <text>
        <r>
          <rPr>
            <b/>
            <sz val="9"/>
            <color indexed="81"/>
            <rFont val="Tahoma"/>
            <family val="2"/>
          </rPr>
          <t>Author:</t>
        </r>
        <r>
          <rPr>
            <sz val="9"/>
            <color indexed="81"/>
            <rFont val="Tahoma"/>
            <family val="2"/>
          </rPr>
          <t xml:space="preserve">
gap-filled using the corresponding data in the same wetland type</t>
        </r>
      </text>
    </comment>
    <comment ref="DR179" authorId="0" shapeId="0" xr:uid="{FA6D6964-BB88-4F0D-B691-13B9E6EDF4A5}">
      <text>
        <r>
          <rPr>
            <b/>
            <sz val="9"/>
            <color indexed="81"/>
            <rFont val="Tahoma"/>
            <family val="2"/>
          </rPr>
          <t>Author:</t>
        </r>
        <r>
          <rPr>
            <sz val="9"/>
            <color indexed="81"/>
            <rFont val="Tahoma"/>
            <family val="2"/>
          </rPr>
          <t xml:space="preserve">
gap-filled using the corresponding data in the same wetland type</t>
        </r>
      </text>
    </comment>
    <comment ref="DN180" authorId="0" shapeId="0" xr:uid="{B2603885-9C52-4D73-93D3-7E29108D3289}">
      <text>
        <r>
          <rPr>
            <b/>
            <sz val="9"/>
            <color indexed="81"/>
            <rFont val="Tahoma"/>
            <family val="2"/>
          </rPr>
          <t>Author:</t>
        </r>
        <r>
          <rPr>
            <sz val="9"/>
            <color indexed="81"/>
            <rFont val="Tahoma"/>
            <family val="2"/>
          </rPr>
          <t xml:space="preserve">
gap-filled using the corresponding data in the same wetland type</t>
        </r>
      </text>
    </comment>
    <comment ref="DR180" authorId="0" shapeId="0" xr:uid="{2BE4C69D-6BCA-41CD-8506-C920C0C493A6}">
      <text>
        <r>
          <rPr>
            <b/>
            <sz val="9"/>
            <color indexed="81"/>
            <rFont val="Tahoma"/>
            <family val="2"/>
          </rPr>
          <t>Author:</t>
        </r>
        <r>
          <rPr>
            <sz val="9"/>
            <color indexed="81"/>
            <rFont val="Tahoma"/>
            <family val="2"/>
          </rPr>
          <t xml:space="preserve">
gap-filled using the corresponding data in the same wetland type</t>
        </r>
      </text>
    </comment>
    <comment ref="DN181" authorId="0" shapeId="0" xr:uid="{A3690F35-7ACF-4C89-A752-B69207E22547}">
      <text>
        <r>
          <rPr>
            <b/>
            <sz val="9"/>
            <color indexed="81"/>
            <rFont val="Tahoma"/>
            <family val="2"/>
          </rPr>
          <t>Author:</t>
        </r>
        <r>
          <rPr>
            <sz val="9"/>
            <color indexed="81"/>
            <rFont val="Tahoma"/>
            <family val="2"/>
          </rPr>
          <t xml:space="preserve">
gap-filled using the corresponding data in the same wetland type</t>
        </r>
      </text>
    </comment>
    <comment ref="DR181" authorId="0" shapeId="0" xr:uid="{4CFDFB27-2B24-43B8-A4CC-AE2AF19780C5}">
      <text>
        <r>
          <rPr>
            <b/>
            <sz val="9"/>
            <color indexed="81"/>
            <rFont val="Tahoma"/>
            <family val="2"/>
          </rPr>
          <t>Author:</t>
        </r>
        <r>
          <rPr>
            <sz val="9"/>
            <color indexed="81"/>
            <rFont val="Tahoma"/>
            <family val="2"/>
          </rPr>
          <t xml:space="preserve">
gap-filled using the corresponding data in the same wetland type</t>
        </r>
      </text>
    </comment>
    <comment ref="DN182" authorId="0" shapeId="0" xr:uid="{D0D31C24-6A8B-4586-A42E-ACCA9C87833B}">
      <text>
        <r>
          <rPr>
            <b/>
            <sz val="9"/>
            <color indexed="81"/>
            <rFont val="Tahoma"/>
            <family val="2"/>
          </rPr>
          <t>Author:</t>
        </r>
        <r>
          <rPr>
            <sz val="9"/>
            <color indexed="81"/>
            <rFont val="Tahoma"/>
            <family val="2"/>
          </rPr>
          <t xml:space="preserve">
gap-filled using the corresponding data in the same wetland type</t>
        </r>
      </text>
    </comment>
    <comment ref="DR182" authorId="0" shapeId="0" xr:uid="{DD348C13-53E1-4B26-A84E-60116FC5FE33}">
      <text>
        <r>
          <rPr>
            <b/>
            <sz val="9"/>
            <color indexed="81"/>
            <rFont val="Tahoma"/>
            <family val="2"/>
          </rPr>
          <t>Author:</t>
        </r>
        <r>
          <rPr>
            <sz val="9"/>
            <color indexed="81"/>
            <rFont val="Tahoma"/>
            <family val="2"/>
          </rPr>
          <t xml:space="preserve">
gap-filled using the corresponding data in the same wetland type</t>
        </r>
      </text>
    </comment>
    <comment ref="DN183" authorId="0" shapeId="0" xr:uid="{F8FC8FEA-3EFB-4D3D-B43A-F700D0E109AC}">
      <text>
        <r>
          <rPr>
            <b/>
            <sz val="9"/>
            <color indexed="81"/>
            <rFont val="Tahoma"/>
            <family val="2"/>
          </rPr>
          <t>Author:</t>
        </r>
        <r>
          <rPr>
            <sz val="9"/>
            <color indexed="81"/>
            <rFont val="Tahoma"/>
            <family val="2"/>
          </rPr>
          <t xml:space="preserve">
gap-filled using the corresponding data in the same wetland type</t>
        </r>
      </text>
    </comment>
    <comment ref="DR183" authorId="0" shapeId="0" xr:uid="{F384B29F-FB85-4BAB-9016-227D0807A988}">
      <text>
        <r>
          <rPr>
            <b/>
            <sz val="9"/>
            <color indexed="81"/>
            <rFont val="Tahoma"/>
            <family val="2"/>
          </rPr>
          <t>Author:</t>
        </r>
        <r>
          <rPr>
            <sz val="9"/>
            <color indexed="81"/>
            <rFont val="Tahoma"/>
            <family val="2"/>
          </rPr>
          <t xml:space="preserve">
gap-filled using the corresponding data in the same wetland type</t>
        </r>
      </text>
    </comment>
    <comment ref="DN184" authorId="0" shapeId="0" xr:uid="{119781C7-EA94-4C6A-A6BB-B9A43C9142B0}">
      <text>
        <r>
          <rPr>
            <b/>
            <sz val="9"/>
            <color indexed="81"/>
            <rFont val="Tahoma"/>
            <family val="2"/>
          </rPr>
          <t>Author:</t>
        </r>
        <r>
          <rPr>
            <sz val="9"/>
            <color indexed="81"/>
            <rFont val="Tahoma"/>
            <family val="2"/>
          </rPr>
          <t xml:space="preserve">
gap-filled using the corresponding data in the same wetland type</t>
        </r>
      </text>
    </comment>
    <comment ref="DR184" authorId="0" shapeId="0" xr:uid="{CFDCB5FB-C5A7-43AB-A9AC-AE0B64312B1C}">
      <text>
        <r>
          <rPr>
            <b/>
            <sz val="9"/>
            <color indexed="81"/>
            <rFont val="Tahoma"/>
            <family val="2"/>
          </rPr>
          <t>Author:</t>
        </r>
        <r>
          <rPr>
            <sz val="9"/>
            <color indexed="81"/>
            <rFont val="Tahoma"/>
            <family val="2"/>
          </rPr>
          <t xml:space="preserve">
gap-filled using the corresponding data in the same wetland type</t>
        </r>
      </text>
    </comment>
    <comment ref="DN185" authorId="0" shapeId="0" xr:uid="{FB9F73F9-9F1A-49F3-A30C-9785C818EB3C}">
      <text>
        <r>
          <rPr>
            <b/>
            <sz val="9"/>
            <color indexed="81"/>
            <rFont val="Tahoma"/>
            <family val="2"/>
          </rPr>
          <t>Author:</t>
        </r>
        <r>
          <rPr>
            <sz val="9"/>
            <color indexed="81"/>
            <rFont val="Tahoma"/>
            <family val="2"/>
          </rPr>
          <t xml:space="preserve">
gap-filled using the corresponding data in the same wetland type</t>
        </r>
      </text>
    </comment>
    <comment ref="DR185" authorId="0" shapeId="0" xr:uid="{BEFA2CD5-908B-4A68-816C-D043BBB619BF}">
      <text>
        <r>
          <rPr>
            <b/>
            <sz val="9"/>
            <color indexed="81"/>
            <rFont val="Tahoma"/>
            <family val="2"/>
          </rPr>
          <t>Author:</t>
        </r>
        <r>
          <rPr>
            <sz val="9"/>
            <color indexed="81"/>
            <rFont val="Tahoma"/>
            <family val="2"/>
          </rPr>
          <t xml:space="preserve">
gap-filled using the corresponding data in the same wetland type</t>
        </r>
      </text>
    </comment>
    <comment ref="DN186" authorId="0" shapeId="0" xr:uid="{F21D0700-1743-4E07-99B3-46EB4D3A1639}">
      <text>
        <r>
          <rPr>
            <b/>
            <sz val="9"/>
            <color indexed="81"/>
            <rFont val="Tahoma"/>
            <family val="2"/>
          </rPr>
          <t>Author:</t>
        </r>
        <r>
          <rPr>
            <sz val="9"/>
            <color indexed="81"/>
            <rFont val="Tahoma"/>
            <family val="2"/>
          </rPr>
          <t xml:space="preserve">
gap-filled using the corresponding data in the same wetland type</t>
        </r>
      </text>
    </comment>
    <comment ref="DR186" authorId="0" shapeId="0" xr:uid="{25CEA29E-2D4C-4903-B017-CF5C7BE1B766}">
      <text>
        <r>
          <rPr>
            <b/>
            <sz val="9"/>
            <color indexed="81"/>
            <rFont val="Tahoma"/>
            <family val="2"/>
          </rPr>
          <t>Author:</t>
        </r>
        <r>
          <rPr>
            <sz val="9"/>
            <color indexed="81"/>
            <rFont val="Tahoma"/>
            <family val="2"/>
          </rPr>
          <t xml:space="preserve">
gap-filled using the corresponding data in the same wetland type</t>
        </r>
      </text>
    </comment>
    <comment ref="DN187" authorId="0" shapeId="0" xr:uid="{E9B8A5A0-6458-4D2C-87EC-7947AB668C0A}">
      <text>
        <r>
          <rPr>
            <b/>
            <sz val="9"/>
            <color indexed="81"/>
            <rFont val="Tahoma"/>
            <family val="2"/>
          </rPr>
          <t>Author:</t>
        </r>
        <r>
          <rPr>
            <sz val="9"/>
            <color indexed="81"/>
            <rFont val="Tahoma"/>
            <family val="2"/>
          </rPr>
          <t xml:space="preserve">
gap-filled using the corresponding data in the same wetland type</t>
        </r>
      </text>
    </comment>
    <comment ref="DR187" authorId="0" shapeId="0" xr:uid="{28C7B392-DAEB-42B7-B1E4-81CF6546D4E5}">
      <text>
        <r>
          <rPr>
            <b/>
            <sz val="9"/>
            <color indexed="81"/>
            <rFont val="Tahoma"/>
            <family val="2"/>
          </rPr>
          <t>Author:</t>
        </r>
        <r>
          <rPr>
            <sz val="9"/>
            <color indexed="81"/>
            <rFont val="Tahoma"/>
            <family val="2"/>
          </rPr>
          <t xml:space="preserve">
gap-filled using the corresponding data in the same wetland type</t>
        </r>
      </text>
    </comment>
    <comment ref="DN188" authorId="0" shapeId="0" xr:uid="{76CB78C1-C490-4EE6-82BA-C642FA3145DF}">
      <text>
        <r>
          <rPr>
            <b/>
            <sz val="9"/>
            <color indexed="81"/>
            <rFont val="Tahoma"/>
            <family val="2"/>
          </rPr>
          <t>Author:</t>
        </r>
        <r>
          <rPr>
            <sz val="9"/>
            <color indexed="81"/>
            <rFont val="Tahoma"/>
            <family val="2"/>
          </rPr>
          <t xml:space="preserve">
gap-filled using the corresponding data in the same wetland type</t>
        </r>
      </text>
    </comment>
    <comment ref="DR188" authorId="0" shapeId="0" xr:uid="{5B9A60F0-547D-45AB-8E6F-F570C1FCAFC1}">
      <text>
        <r>
          <rPr>
            <b/>
            <sz val="9"/>
            <color indexed="81"/>
            <rFont val="Tahoma"/>
            <family val="2"/>
          </rPr>
          <t>Author:</t>
        </r>
        <r>
          <rPr>
            <sz val="9"/>
            <color indexed="81"/>
            <rFont val="Tahoma"/>
            <family val="2"/>
          </rPr>
          <t xml:space="preserve">
gap-filled using the corresponding data in the same wetland type</t>
        </r>
      </text>
    </comment>
    <comment ref="DN189" authorId="0" shapeId="0" xr:uid="{56E77833-F7AF-4DA6-94F8-FC14EE98F1E1}">
      <text>
        <r>
          <rPr>
            <b/>
            <sz val="9"/>
            <color indexed="81"/>
            <rFont val="Tahoma"/>
            <family val="2"/>
          </rPr>
          <t>Author:</t>
        </r>
        <r>
          <rPr>
            <sz val="9"/>
            <color indexed="81"/>
            <rFont val="Tahoma"/>
            <family val="2"/>
          </rPr>
          <t xml:space="preserve">
gap-filled using the corresponding data in the same wetland type</t>
        </r>
      </text>
    </comment>
    <comment ref="DR189" authorId="0" shapeId="0" xr:uid="{CF87E1A2-C586-4983-8C22-9F364422D148}">
      <text>
        <r>
          <rPr>
            <b/>
            <sz val="9"/>
            <color indexed="81"/>
            <rFont val="Tahoma"/>
            <family val="2"/>
          </rPr>
          <t>Author:</t>
        </r>
        <r>
          <rPr>
            <sz val="9"/>
            <color indexed="81"/>
            <rFont val="Tahoma"/>
            <family val="2"/>
          </rPr>
          <t xml:space="preserve">
gap-filled using the corresponding data in the same wetland type</t>
        </r>
      </text>
    </comment>
    <comment ref="DN190" authorId="0" shapeId="0" xr:uid="{979AD001-F966-4BD0-BA91-D5E5736164A5}">
      <text>
        <r>
          <rPr>
            <b/>
            <sz val="9"/>
            <color indexed="81"/>
            <rFont val="Tahoma"/>
            <family val="2"/>
          </rPr>
          <t>Author:</t>
        </r>
        <r>
          <rPr>
            <sz val="9"/>
            <color indexed="81"/>
            <rFont val="Tahoma"/>
            <family val="2"/>
          </rPr>
          <t xml:space="preserve">
gap-filled using the corresponding data in the same wetland type</t>
        </r>
      </text>
    </comment>
    <comment ref="DR190" authorId="0" shapeId="0" xr:uid="{BF2E6700-78F3-426D-80FA-4725E9C8C2EB}">
      <text>
        <r>
          <rPr>
            <b/>
            <sz val="9"/>
            <color indexed="81"/>
            <rFont val="Tahoma"/>
            <family val="2"/>
          </rPr>
          <t>Author:</t>
        </r>
        <r>
          <rPr>
            <sz val="9"/>
            <color indexed="81"/>
            <rFont val="Tahoma"/>
            <family val="2"/>
          </rPr>
          <t xml:space="preserve">
gap-filled using the corresponding data in the same wetland type</t>
        </r>
      </text>
    </comment>
    <comment ref="DN191" authorId="0" shapeId="0" xr:uid="{242C2FAB-06A9-43F2-A1C7-2190549FBF7E}">
      <text>
        <r>
          <rPr>
            <b/>
            <sz val="9"/>
            <color indexed="81"/>
            <rFont val="Tahoma"/>
            <family val="2"/>
          </rPr>
          <t>Author:</t>
        </r>
        <r>
          <rPr>
            <sz val="9"/>
            <color indexed="81"/>
            <rFont val="Tahoma"/>
            <family val="2"/>
          </rPr>
          <t xml:space="preserve">
gap-filled using the corresponding data in the same wetland type</t>
        </r>
      </text>
    </comment>
    <comment ref="DR191" authorId="0" shapeId="0" xr:uid="{561B3C26-EFB7-47B1-BD3F-82EF79719487}">
      <text>
        <r>
          <rPr>
            <b/>
            <sz val="9"/>
            <color indexed="81"/>
            <rFont val="Tahoma"/>
            <family val="2"/>
          </rPr>
          <t>Author:</t>
        </r>
        <r>
          <rPr>
            <sz val="9"/>
            <color indexed="81"/>
            <rFont val="Tahoma"/>
            <family val="2"/>
          </rPr>
          <t xml:space="preserve">
gap-filled using the corresponding data in the same wetland type</t>
        </r>
      </text>
    </comment>
    <comment ref="DN192" authorId="0" shapeId="0" xr:uid="{DBF99633-11D8-4691-BD59-0D61C4119EC1}">
      <text>
        <r>
          <rPr>
            <b/>
            <sz val="9"/>
            <color indexed="81"/>
            <rFont val="Tahoma"/>
            <family val="2"/>
          </rPr>
          <t>Author:</t>
        </r>
        <r>
          <rPr>
            <sz val="9"/>
            <color indexed="81"/>
            <rFont val="Tahoma"/>
            <family val="2"/>
          </rPr>
          <t xml:space="preserve">
gap-filled using the corresponding data in the same wetland type</t>
        </r>
      </text>
    </comment>
    <comment ref="DR192" authorId="0" shapeId="0" xr:uid="{06F0C63C-3C72-4F12-88B1-309169700661}">
      <text>
        <r>
          <rPr>
            <b/>
            <sz val="9"/>
            <color indexed="81"/>
            <rFont val="Tahoma"/>
            <family val="2"/>
          </rPr>
          <t>Author:</t>
        </r>
        <r>
          <rPr>
            <sz val="9"/>
            <color indexed="81"/>
            <rFont val="Tahoma"/>
            <family val="2"/>
          </rPr>
          <t xml:space="preserve">
gap-filled using the corresponding data in the same wetland type</t>
        </r>
      </text>
    </comment>
    <comment ref="DN193" authorId="0" shapeId="0" xr:uid="{2BD9EEF7-D94D-41AC-B757-D21118938080}">
      <text>
        <r>
          <rPr>
            <b/>
            <sz val="9"/>
            <color indexed="81"/>
            <rFont val="Tahoma"/>
            <family val="2"/>
          </rPr>
          <t>Author:</t>
        </r>
        <r>
          <rPr>
            <sz val="9"/>
            <color indexed="81"/>
            <rFont val="Tahoma"/>
            <family val="2"/>
          </rPr>
          <t xml:space="preserve">
gap-filled using the corresponding data in the same wetland type</t>
        </r>
      </text>
    </comment>
    <comment ref="DR193" authorId="0" shapeId="0" xr:uid="{D941E087-A8A0-4E9A-9E97-DA191D822E84}">
      <text>
        <r>
          <rPr>
            <b/>
            <sz val="9"/>
            <color indexed="81"/>
            <rFont val="Tahoma"/>
            <family val="2"/>
          </rPr>
          <t>Author:</t>
        </r>
        <r>
          <rPr>
            <sz val="9"/>
            <color indexed="81"/>
            <rFont val="Tahoma"/>
            <family val="2"/>
          </rPr>
          <t xml:space="preserve">
gap-filled using the corresponding data in the same wetland type</t>
        </r>
      </text>
    </comment>
    <comment ref="DN195" authorId="0" shapeId="0" xr:uid="{A0122AC8-26E8-4F6A-BCD8-B0E898BF402D}">
      <text>
        <r>
          <rPr>
            <b/>
            <sz val="9"/>
            <color indexed="81"/>
            <rFont val="Tahoma"/>
            <family val="2"/>
          </rPr>
          <t>Author:</t>
        </r>
        <r>
          <rPr>
            <sz val="9"/>
            <color indexed="81"/>
            <rFont val="Tahoma"/>
            <family val="2"/>
          </rPr>
          <t xml:space="preserve">
gap-filled using the corresponding data in the same wetland type</t>
        </r>
      </text>
    </comment>
    <comment ref="DR195" authorId="0" shapeId="0" xr:uid="{E4F5A0F0-D8A3-4AA8-93C7-7A5FB6FA30F0}">
      <text>
        <r>
          <rPr>
            <b/>
            <sz val="9"/>
            <color indexed="81"/>
            <rFont val="Tahoma"/>
            <family val="2"/>
          </rPr>
          <t>Author:</t>
        </r>
        <r>
          <rPr>
            <sz val="9"/>
            <color indexed="81"/>
            <rFont val="Tahoma"/>
            <family val="2"/>
          </rPr>
          <t xml:space="preserve">
gap-filled using the corresponding data in the same wetland type</t>
        </r>
      </text>
    </comment>
    <comment ref="DN196" authorId="0" shapeId="0" xr:uid="{1895FE27-78D6-4C58-9B8A-BC6B2B2B4477}">
      <text>
        <r>
          <rPr>
            <b/>
            <sz val="9"/>
            <color indexed="81"/>
            <rFont val="Tahoma"/>
            <family val="2"/>
          </rPr>
          <t>Author:</t>
        </r>
        <r>
          <rPr>
            <sz val="9"/>
            <color indexed="81"/>
            <rFont val="Tahoma"/>
            <family val="2"/>
          </rPr>
          <t xml:space="preserve">
gap-filled using the corresponding data in the same wetland type</t>
        </r>
      </text>
    </comment>
    <comment ref="DR196" authorId="0" shapeId="0" xr:uid="{0CE34202-6F22-476A-8235-E4164C34545F}">
      <text>
        <r>
          <rPr>
            <b/>
            <sz val="9"/>
            <color indexed="81"/>
            <rFont val="Tahoma"/>
            <family val="2"/>
          </rPr>
          <t>Author:</t>
        </r>
        <r>
          <rPr>
            <sz val="9"/>
            <color indexed="81"/>
            <rFont val="Tahoma"/>
            <family val="2"/>
          </rPr>
          <t xml:space="preserve">
gap-filled using the corresponding data in the same wetland type</t>
        </r>
      </text>
    </comment>
    <comment ref="DA197" authorId="0" shapeId="0" xr:uid="{CC32C03B-A3F2-4CA4-BB40-E67AEAB7091E}">
      <text>
        <r>
          <rPr>
            <b/>
            <sz val="9"/>
            <color indexed="81"/>
            <rFont val="Tahoma"/>
            <family val="2"/>
          </rPr>
          <t>Author:</t>
        </r>
        <r>
          <rPr>
            <sz val="9"/>
            <color indexed="81"/>
            <rFont val="Tahoma"/>
            <family val="2"/>
          </rPr>
          <t xml:space="preserve">
gap-filled using the corresponding data in the same wetland type</t>
        </r>
      </text>
    </comment>
    <comment ref="DE197" authorId="0" shapeId="0" xr:uid="{46F7E7E7-A982-4638-ADE9-48A6CA8822F4}">
      <text>
        <r>
          <rPr>
            <b/>
            <sz val="9"/>
            <color indexed="81"/>
            <rFont val="Tahoma"/>
            <family val="2"/>
          </rPr>
          <t>Author:</t>
        </r>
        <r>
          <rPr>
            <sz val="9"/>
            <color indexed="81"/>
            <rFont val="Tahoma"/>
            <family val="2"/>
          </rPr>
          <t xml:space="preserve">
Author:
gap-filled using the corresponding data in the same wetland type</t>
        </r>
      </text>
    </comment>
    <comment ref="DN197" authorId="0" shapeId="0" xr:uid="{67965B36-F553-4007-ABE7-B6BA6125C6EB}">
      <text>
        <r>
          <rPr>
            <b/>
            <sz val="9"/>
            <color indexed="81"/>
            <rFont val="Tahoma"/>
            <family val="2"/>
          </rPr>
          <t>Author:</t>
        </r>
        <r>
          <rPr>
            <sz val="9"/>
            <color indexed="81"/>
            <rFont val="Tahoma"/>
            <family val="2"/>
          </rPr>
          <t xml:space="preserve">
gap-filled using the corresponding data in the same wetland type</t>
        </r>
      </text>
    </comment>
    <comment ref="DR197" authorId="0" shapeId="0" xr:uid="{D69AA141-AEFF-48CA-B9DD-6F3CD0CB1B5B}">
      <text>
        <r>
          <rPr>
            <b/>
            <sz val="9"/>
            <color indexed="81"/>
            <rFont val="Tahoma"/>
            <family val="2"/>
          </rPr>
          <t>Author:</t>
        </r>
        <r>
          <rPr>
            <sz val="9"/>
            <color indexed="81"/>
            <rFont val="Tahoma"/>
            <family val="2"/>
          </rPr>
          <t xml:space="preserve">
gap-filled using the corresponding data in the same wetland type</t>
        </r>
      </text>
    </comment>
    <comment ref="DA198" authorId="0" shapeId="0" xr:uid="{BA039C12-8A41-4EB0-ACF3-3A9CD314F216}">
      <text>
        <r>
          <rPr>
            <b/>
            <sz val="9"/>
            <color indexed="81"/>
            <rFont val="Tahoma"/>
            <family val="2"/>
          </rPr>
          <t>Author:</t>
        </r>
        <r>
          <rPr>
            <sz val="9"/>
            <color indexed="81"/>
            <rFont val="Tahoma"/>
            <family val="2"/>
          </rPr>
          <t xml:space="preserve">
gap-filled using the corresponding data in the same wetland type</t>
        </r>
      </text>
    </comment>
    <comment ref="DE198" authorId="0" shapeId="0" xr:uid="{20A4D122-2654-4149-A296-AD6CF012731A}">
      <text>
        <r>
          <rPr>
            <b/>
            <sz val="9"/>
            <color indexed="81"/>
            <rFont val="Tahoma"/>
            <family val="2"/>
          </rPr>
          <t>Author:</t>
        </r>
        <r>
          <rPr>
            <sz val="9"/>
            <color indexed="81"/>
            <rFont val="Tahoma"/>
            <family val="2"/>
          </rPr>
          <t xml:space="preserve">
Author:
gap-filled using the corresponding data in the same wetland type</t>
        </r>
      </text>
    </comment>
    <comment ref="DN198" authorId="0" shapeId="0" xr:uid="{415A70A9-206F-4E3E-8471-DC407620E148}">
      <text>
        <r>
          <rPr>
            <b/>
            <sz val="9"/>
            <color indexed="81"/>
            <rFont val="Tahoma"/>
            <family val="2"/>
          </rPr>
          <t>Author:</t>
        </r>
        <r>
          <rPr>
            <sz val="9"/>
            <color indexed="81"/>
            <rFont val="Tahoma"/>
            <family val="2"/>
          </rPr>
          <t xml:space="preserve">
gap-filled using the corresponding data in the same wetland type</t>
        </r>
      </text>
    </comment>
    <comment ref="DR198" authorId="0" shapeId="0" xr:uid="{D81F454F-DC85-4261-8A79-33E837FE10C6}">
      <text>
        <r>
          <rPr>
            <b/>
            <sz val="9"/>
            <color indexed="81"/>
            <rFont val="Tahoma"/>
            <family val="2"/>
          </rPr>
          <t>Author:</t>
        </r>
        <r>
          <rPr>
            <sz val="9"/>
            <color indexed="81"/>
            <rFont val="Tahoma"/>
            <family val="2"/>
          </rPr>
          <t xml:space="preserve">
gap-filled using the corresponding data in the same wetland type</t>
        </r>
      </text>
    </comment>
    <comment ref="CA199" authorId="0" shapeId="0" xr:uid="{E2237254-3EC1-4C28-AFDA-1E82659D1559}">
      <text>
        <r>
          <rPr>
            <b/>
            <sz val="9"/>
            <color indexed="81"/>
            <rFont val="Tahoma"/>
            <family val="2"/>
          </rPr>
          <t>Author:</t>
        </r>
        <r>
          <rPr>
            <sz val="9"/>
            <color indexed="81"/>
            <rFont val="Tahoma"/>
            <family val="2"/>
          </rPr>
          <t xml:space="preserve">
gap-filled using the corresponding data in the same wetland type</t>
        </r>
      </text>
    </comment>
    <comment ref="CE199" authorId="0" shapeId="0" xr:uid="{2592CDE5-5225-41D1-AFC5-681DB287C577}">
      <text>
        <r>
          <rPr>
            <b/>
            <sz val="9"/>
            <color indexed="81"/>
            <rFont val="Tahoma"/>
            <family val="2"/>
          </rPr>
          <t>Author:</t>
        </r>
        <r>
          <rPr>
            <sz val="9"/>
            <color indexed="81"/>
            <rFont val="Tahoma"/>
            <family val="2"/>
          </rPr>
          <t xml:space="preserve">
non-gap-filled due to lacking data for the corresponding wetland type</t>
        </r>
      </text>
    </comment>
    <comment ref="CN199" authorId="0" shapeId="0" xr:uid="{C55C953F-0EA3-4494-BAB0-BA186C38ED4D}">
      <text>
        <r>
          <rPr>
            <b/>
            <sz val="9"/>
            <color indexed="81"/>
            <rFont val="Tahoma"/>
            <family val="2"/>
          </rPr>
          <t>Author:</t>
        </r>
        <r>
          <rPr>
            <sz val="9"/>
            <color indexed="81"/>
            <rFont val="Tahoma"/>
            <family val="2"/>
          </rPr>
          <t xml:space="preserve">
gap-filled using the corresponding data in the same wetland type</t>
        </r>
      </text>
    </comment>
    <comment ref="CR199" authorId="0" shapeId="0" xr:uid="{97DFF536-20A0-4BAC-AE30-283878133080}">
      <text>
        <r>
          <rPr>
            <b/>
            <sz val="9"/>
            <color indexed="81"/>
            <rFont val="Tahoma"/>
            <family val="2"/>
          </rPr>
          <t>Author:</t>
        </r>
        <r>
          <rPr>
            <sz val="9"/>
            <color indexed="81"/>
            <rFont val="Tahoma"/>
            <family val="2"/>
          </rPr>
          <t xml:space="preserve">
non-gap-filled due to lacking data for the corresponding wetland type</t>
        </r>
      </text>
    </comment>
    <comment ref="DA199" authorId="0" shapeId="0" xr:uid="{DD63CA75-599E-4424-8615-D56B38E0C939}">
      <text>
        <r>
          <rPr>
            <b/>
            <sz val="9"/>
            <color indexed="81"/>
            <rFont val="Tahoma"/>
            <family val="2"/>
          </rPr>
          <t>Author:</t>
        </r>
        <r>
          <rPr>
            <sz val="9"/>
            <color indexed="81"/>
            <rFont val="Tahoma"/>
            <family val="2"/>
          </rPr>
          <t xml:space="preserve">
gap-filled using the corresponding data in the same wetland type</t>
        </r>
      </text>
    </comment>
    <comment ref="DE199" authorId="0" shapeId="0" xr:uid="{5FE3E553-0804-4C24-AE94-E85C336A8CFD}">
      <text>
        <r>
          <rPr>
            <b/>
            <sz val="9"/>
            <color indexed="81"/>
            <rFont val="Tahoma"/>
            <family val="2"/>
          </rPr>
          <t>Author:</t>
        </r>
        <r>
          <rPr>
            <sz val="9"/>
            <color indexed="81"/>
            <rFont val="Tahoma"/>
            <family val="2"/>
          </rPr>
          <t xml:space="preserve">
gap-filled using the corresponding data in the same wetland type</t>
        </r>
      </text>
    </comment>
    <comment ref="CA200" authorId="0" shapeId="0" xr:uid="{78C39903-C956-48B4-A992-F4198075A8FF}">
      <text>
        <r>
          <rPr>
            <b/>
            <sz val="9"/>
            <color indexed="81"/>
            <rFont val="Tahoma"/>
            <family val="2"/>
          </rPr>
          <t>Author:</t>
        </r>
        <r>
          <rPr>
            <sz val="9"/>
            <color indexed="81"/>
            <rFont val="Tahoma"/>
            <family val="2"/>
          </rPr>
          <t xml:space="preserve">
gap-filled using the corresponding data in the same wetland type</t>
        </r>
      </text>
    </comment>
    <comment ref="CE200" authorId="0" shapeId="0" xr:uid="{8F1BCB7B-2FB2-4CE5-AA9A-0D5E7165CD34}">
      <text>
        <r>
          <rPr>
            <b/>
            <sz val="9"/>
            <color indexed="81"/>
            <rFont val="Tahoma"/>
            <family val="2"/>
          </rPr>
          <t>Author:</t>
        </r>
        <r>
          <rPr>
            <sz val="9"/>
            <color indexed="81"/>
            <rFont val="Tahoma"/>
            <family val="2"/>
          </rPr>
          <t xml:space="preserve">
non-gap-filled due to lacking data for the corresponding wetland type</t>
        </r>
      </text>
    </comment>
    <comment ref="CN200" authorId="0" shapeId="0" xr:uid="{933D9A14-6870-4E8F-A60C-C429FEA2F402}">
      <text>
        <r>
          <rPr>
            <b/>
            <sz val="9"/>
            <color indexed="81"/>
            <rFont val="Tahoma"/>
            <family val="2"/>
          </rPr>
          <t>Author:</t>
        </r>
        <r>
          <rPr>
            <sz val="9"/>
            <color indexed="81"/>
            <rFont val="Tahoma"/>
            <family val="2"/>
          </rPr>
          <t xml:space="preserve">
gap-filled using the corresponding data in the same wetland type</t>
        </r>
      </text>
    </comment>
    <comment ref="CR200" authorId="0" shapeId="0" xr:uid="{99AB5E93-2EC2-4FCC-8D14-E8407F67F048}">
      <text>
        <r>
          <rPr>
            <b/>
            <sz val="9"/>
            <color indexed="81"/>
            <rFont val="Tahoma"/>
            <family val="2"/>
          </rPr>
          <t>Author:</t>
        </r>
        <r>
          <rPr>
            <sz val="9"/>
            <color indexed="81"/>
            <rFont val="Tahoma"/>
            <family val="2"/>
          </rPr>
          <t xml:space="preserve">
non-gap-filled due to lacking data for the corresponding wetland type</t>
        </r>
      </text>
    </comment>
    <comment ref="DA200" authorId="0" shapeId="0" xr:uid="{1E176A98-2062-41DC-8386-510209D64881}">
      <text>
        <r>
          <rPr>
            <b/>
            <sz val="9"/>
            <color indexed="81"/>
            <rFont val="Tahoma"/>
            <family val="2"/>
          </rPr>
          <t>Author:</t>
        </r>
        <r>
          <rPr>
            <sz val="9"/>
            <color indexed="81"/>
            <rFont val="Tahoma"/>
            <family val="2"/>
          </rPr>
          <t xml:space="preserve">
gap-filled using the corresponding data in the same wetland type</t>
        </r>
      </text>
    </comment>
    <comment ref="DE200" authorId="0" shapeId="0" xr:uid="{7B4106F3-9AEC-4E61-AAD7-1155D840D35C}">
      <text>
        <r>
          <rPr>
            <b/>
            <sz val="9"/>
            <color indexed="81"/>
            <rFont val="Tahoma"/>
            <family val="2"/>
          </rPr>
          <t>Author:</t>
        </r>
        <r>
          <rPr>
            <sz val="9"/>
            <color indexed="81"/>
            <rFont val="Tahoma"/>
            <family val="2"/>
          </rPr>
          <t xml:space="preserve">
gap-filled using the corresponding data in the same wetland type</t>
        </r>
      </text>
    </comment>
    <comment ref="DN200" authorId="0" shapeId="0" xr:uid="{E328AD58-6324-492B-A828-9AFFB183CE98}">
      <text>
        <r>
          <rPr>
            <b/>
            <sz val="9"/>
            <color indexed="81"/>
            <rFont val="Tahoma"/>
            <family val="2"/>
          </rPr>
          <t>Author:</t>
        </r>
        <r>
          <rPr>
            <sz val="9"/>
            <color indexed="81"/>
            <rFont val="Tahoma"/>
            <family val="2"/>
          </rPr>
          <t xml:space="preserve">
gap-filled using the corresponding data in the same wetland type</t>
        </r>
      </text>
    </comment>
    <comment ref="DR200" authorId="0" shapeId="0" xr:uid="{121F68C2-3C7B-4C7C-B723-A12089A6D401}">
      <text>
        <r>
          <rPr>
            <b/>
            <sz val="9"/>
            <color indexed="81"/>
            <rFont val="Tahoma"/>
            <family val="2"/>
          </rPr>
          <t>Author:</t>
        </r>
        <r>
          <rPr>
            <sz val="9"/>
            <color indexed="81"/>
            <rFont val="Tahoma"/>
            <family val="2"/>
          </rPr>
          <t xml:space="preserve">
gap-filled using the corresponding data in the same wetland type</t>
        </r>
      </text>
    </comment>
    <comment ref="DN206" authorId="0" shapeId="0" xr:uid="{CC94CC20-F25C-4094-BB0D-FC418E1956F6}">
      <text>
        <r>
          <rPr>
            <b/>
            <sz val="9"/>
            <color indexed="81"/>
            <rFont val="Tahoma"/>
            <family val="2"/>
          </rPr>
          <t>Author:</t>
        </r>
        <r>
          <rPr>
            <sz val="9"/>
            <color indexed="81"/>
            <rFont val="Tahoma"/>
            <family val="2"/>
          </rPr>
          <t xml:space="preserve">
gap-filled using the corresponding data in the same wetland type</t>
        </r>
      </text>
    </comment>
    <comment ref="DR206" authorId="0" shapeId="0" xr:uid="{EB948D72-7AB0-4EBE-9CE5-5A2082CA25B4}">
      <text>
        <r>
          <rPr>
            <b/>
            <sz val="9"/>
            <color indexed="81"/>
            <rFont val="Tahoma"/>
            <family val="2"/>
          </rPr>
          <t>Author:</t>
        </r>
        <r>
          <rPr>
            <sz val="9"/>
            <color indexed="81"/>
            <rFont val="Tahoma"/>
            <family val="2"/>
          </rPr>
          <t xml:space="preserve">
gap-filled using the corresponding data in the same wetland type</t>
        </r>
      </text>
    </comment>
    <comment ref="DN207" authorId="0" shapeId="0" xr:uid="{D93F2173-CF21-4E8F-970F-0D1790FBBADF}">
      <text>
        <r>
          <rPr>
            <b/>
            <sz val="9"/>
            <color indexed="81"/>
            <rFont val="Tahoma"/>
            <family val="2"/>
          </rPr>
          <t>Author:</t>
        </r>
        <r>
          <rPr>
            <sz val="9"/>
            <color indexed="81"/>
            <rFont val="Tahoma"/>
            <family val="2"/>
          </rPr>
          <t xml:space="preserve">
gap-filled using the corresponding data in the same wetland type</t>
        </r>
      </text>
    </comment>
    <comment ref="DR207" authorId="0" shapeId="0" xr:uid="{05275110-A752-4722-87DD-7BC3DFD4AC14}">
      <text>
        <r>
          <rPr>
            <b/>
            <sz val="9"/>
            <color indexed="81"/>
            <rFont val="Tahoma"/>
            <family val="2"/>
          </rPr>
          <t>Author:</t>
        </r>
        <r>
          <rPr>
            <sz val="9"/>
            <color indexed="81"/>
            <rFont val="Tahoma"/>
            <family val="2"/>
          </rPr>
          <t xml:space="preserve">
gap-filled using the corresponding data in the same wetland type</t>
        </r>
      </text>
    </comment>
    <comment ref="DN208" authorId="0" shapeId="0" xr:uid="{97949061-E072-4FF6-8713-D716DAC203E8}">
      <text>
        <r>
          <rPr>
            <b/>
            <sz val="9"/>
            <color indexed="81"/>
            <rFont val="Tahoma"/>
            <family val="2"/>
          </rPr>
          <t>Author:</t>
        </r>
        <r>
          <rPr>
            <sz val="9"/>
            <color indexed="81"/>
            <rFont val="Tahoma"/>
            <family val="2"/>
          </rPr>
          <t xml:space="preserve">
gap-filled using the corresponding data in the same wetland type</t>
        </r>
      </text>
    </comment>
    <comment ref="DR208" authorId="0" shapeId="0" xr:uid="{27F60C5F-D0BE-4C9C-BFFD-01668FBAA05C}">
      <text>
        <r>
          <rPr>
            <b/>
            <sz val="9"/>
            <color indexed="81"/>
            <rFont val="Tahoma"/>
            <family val="2"/>
          </rPr>
          <t>Author:</t>
        </r>
        <r>
          <rPr>
            <sz val="9"/>
            <color indexed="81"/>
            <rFont val="Tahoma"/>
            <family val="2"/>
          </rPr>
          <t xml:space="preserve">
gap-filled using the corresponding data in the same wetland type</t>
        </r>
      </text>
    </comment>
    <comment ref="DN209" authorId="0" shapeId="0" xr:uid="{BD8F41B6-3CEC-4E0B-952D-F0CCDE21D26C}">
      <text>
        <r>
          <rPr>
            <b/>
            <sz val="9"/>
            <color indexed="81"/>
            <rFont val="Tahoma"/>
            <family val="2"/>
          </rPr>
          <t>Author:</t>
        </r>
        <r>
          <rPr>
            <sz val="9"/>
            <color indexed="81"/>
            <rFont val="Tahoma"/>
            <family val="2"/>
          </rPr>
          <t xml:space="preserve">
gap-filled using the corresponding data in the same wetland type</t>
        </r>
      </text>
    </comment>
    <comment ref="DR209" authorId="0" shapeId="0" xr:uid="{27D48DC5-3145-4256-A80A-A81990DA730C}">
      <text>
        <r>
          <rPr>
            <b/>
            <sz val="9"/>
            <color indexed="81"/>
            <rFont val="Tahoma"/>
            <family val="2"/>
          </rPr>
          <t>Author:</t>
        </r>
        <r>
          <rPr>
            <sz val="9"/>
            <color indexed="81"/>
            <rFont val="Tahoma"/>
            <family val="2"/>
          </rPr>
          <t xml:space="preserve">
gap-filled using the corresponding data in the same wetland type</t>
        </r>
      </text>
    </comment>
    <comment ref="DN210" authorId="0" shapeId="0" xr:uid="{3F6BF64E-DA7D-4AA3-A9B2-64F591E32C86}">
      <text>
        <r>
          <rPr>
            <b/>
            <sz val="9"/>
            <color indexed="81"/>
            <rFont val="Tahoma"/>
            <family val="2"/>
          </rPr>
          <t>Author:</t>
        </r>
        <r>
          <rPr>
            <sz val="9"/>
            <color indexed="81"/>
            <rFont val="Tahoma"/>
            <family val="2"/>
          </rPr>
          <t xml:space="preserve">
gap-filled using the corresponding data in the same wetland type</t>
        </r>
      </text>
    </comment>
    <comment ref="DR210" authorId="0" shapeId="0" xr:uid="{0D82D9D5-AA6D-4E9E-A042-B7D0BBC8360C}">
      <text>
        <r>
          <rPr>
            <b/>
            <sz val="9"/>
            <color indexed="81"/>
            <rFont val="Tahoma"/>
            <family val="2"/>
          </rPr>
          <t>Author:</t>
        </r>
        <r>
          <rPr>
            <sz val="9"/>
            <color indexed="81"/>
            <rFont val="Tahoma"/>
            <family val="2"/>
          </rPr>
          <t xml:space="preserve">
gap-filled using the corresponding data in the same wetland type</t>
        </r>
      </text>
    </comment>
    <comment ref="DN211" authorId="0" shapeId="0" xr:uid="{8ECBDA58-B2D9-471D-A924-96CC1051AA5C}">
      <text>
        <r>
          <rPr>
            <b/>
            <sz val="9"/>
            <color indexed="81"/>
            <rFont val="Tahoma"/>
            <family val="2"/>
          </rPr>
          <t>Author:</t>
        </r>
        <r>
          <rPr>
            <sz val="9"/>
            <color indexed="81"/>
            <rFont val="Tahoma"/>
            <family val="2"/>
          </rPr>
          <t xml:space="preserve">
gap-filled using the corresponding data in the same wetland type</t>
        </r>
      </text>
    </comment>
    <comment ref="DR211" authorId="0" shapeId="0" xr:uid="{A24CA2FD-2E65-4835-9DDE-9A848937C621}">
      <text>
        <r>
          <rPr>
            <b/>
            <sz val="9"/>
            <color indexed="81"/>
            <rFont val="Tahoma"/>
            <family val="2"/>
          </rPr>
          <t>Author:</t>
        </r>
        <r>
          <rPr>
            <sz val="9"/>
            <color indexed="81"/>
            <rFont val="Tahoma"/>
            <family val="2"/>
          </rPr>
          <t xml:space="preserve">
gap-filled using the corresponding data in the same wetland type</t>
        </r>
      </text>
    </comment>
    <comment ref="EA211" authorId="0" shapeId="0" xr:uid="{8FA43CC1-555E-46F3-877C-F8E63A2CA061}">
      <text>
        <r>
          <rPr>
            <b/>
            <sz val="9"/>
            <color indexed="81"/>
            <rFont val="Tahoma"/>
            <family val="2"/>
          </rPr>
          <t>Author:</t>
        </r>
        <r>
          <rPr>
            <sz val="9"/>
            <color indexed="81"/>
            <rFont val="Tahoma"/>
            <family val="2"/>
          </rPr>
          <t xml:space="preserve">
gap-filled using the corresponding data in the same wetland type</t>
        </r>
      </text>
    </comment>
    <comment ref="EE211" authorId="0" shapeId="0" xr:uid="{60F9C2E4-1AC5-4028-B85C-0043F03BA605}">
      <text>
        <r>
          <rPr>
            <b/>
            <sz val="9"/>
            <color indexed="81"/>
            <rFont val="Tahoma"/>
            <family val="2"/>
          </rPr>
          <t>Author:</t>
        </r>
        <r>
          <rPr>
            <sz val="9"/>
            <color indexed="81"/>
            <rFont val="Tahoma"/>
            <family val="2"/>
          </rPr>
          <t xml:space="preserve">
gap-filled using the corresponding data in the same wetland type</t>
        </r>
      </text>
    </comment>
    <comment ref="DN212" authorId="0" shapeId="0" xr:uid="{F4008300-7B6F-4F6E-9023-225D6C62E268}">
      <text>
        <r>
          <rPr>
            <b/>
            <sz val="9"/>
            <color indexed="81"/>
            <rFont val="Tahoma"/>
            <family val="2"/>
          </rPr>
          <t>Author:</t>
        </r>
        <r>
          <rPr>
            <sz val="9"/>
            <color indexed="81"/>
            <rFont val="Tahoma"/>
            <family val="2"/>
          </rPr>
          <t xml:space="preserve">
gap-filled using the corresponding data in the same wetland type</t>
        </r>
      </text>
    </comment>
    <comment ref="DR212" authorId="0" shapeId="0" xr:uid="{C52E3D15-FC7B-426B-A1E0-6F6275B19C88}">
      <text>
        <r>
          <rPr>
            <b/>
            <sz val="9"/>
            <color indexed="81"/>
            <rFont val="Tahoma"/>
            <family val="2"/>
          </rPr>
          <t>Author:</t>
        </r>
        <r>
          <rPr>
            <sz val="9"/>
            <color indexed="81"/>
            <rFont val="Tahoma"/>
            <family val="2"/>
          </rPr>
          <t xml:space="preserve">
gap-filled using the corresponding data in the same wetland type</t>
        </r>
      </text>
    </comment>
    <comment ref="EA212" authorId="0" shapeId="0" xr:uid="{F8577F9B-88EE-4227-B972-55CB75A651DB}">
      <text>
        <r>
          <rPr>
            <b/>
            <sz val="9"/>
            <color indexed="81"/>
            <rFont val="Tahoma"/>
            <family val="2"/>
          </rPr>
          <t>Author:</t>
        </r>
        <r>
          <rPr>
            <sz val="9"/>
            <color indexed="81"/>
            <rFont val="Tahoma"/>
            <family val="2"/>
          </rPr>
          <t xml:space="preserve">
gap-filled using the corresponding data in the same wetland type</t>
        </r>
      </text>
    </comment>
    <comment ref="EE212" authorId="0" shapeId="0" xr:uid="{9EA292E7-694C-40AD-B193-2A418F3F3A11}">
      <text>
        <r>
          <rPr>
            <b/>
            <sz val="9"/>
            <color indexed="81"/>
            <rFont val="Tahoma"/>
            <family val="2"/>
          </rPr>
          <t>Author:</t>
        </r>
        <r>
          <rPr>
            <sz val="9"/>
            <color indexed="81"/>
            <rFont val="Tahoma"/>
            <family val="2"/>
          </rPr>
          <t xml:space="preserve">
gap-filled using the corresponding data in the same wetland type</t>
        </r>
      </text>
    </comment>
    <comment ref="DN215" authorId="0" shapeId="0" xr:uid="{F48C840A-AC43-4DDA-BDA4-4CF410D07FF9}">
      <text>
        <r>
          <rPr>
            <b/>
            <sz val="9"/>
            <color indexed="81"/>
            <rFont val="Tahoma"/>
            <family val="2"/>
          </rPr>
          <t>Author:</t>
        </r>
        <r>
          <rPr>
            <sz val="9"/>
            <color indexed="81"/>
            <rFont val="Tahoma"/>
            <family val="2"/>
          </rPr>
          <t xml:space="preserve">
gap-filled using corresponding wetland type data</t>
        </r>
      </text>
    </comment>
    <comment ref="DR215" authorId="0" shapeId="0" xr:uid="{03C69DC4-4F83-413E-9B61-5AE5BC33969F}">
      <text>
        <r>
          <rPr>
            <b/>
            <sz val="9"/>
            <color indexed="81"/>
            <rFont val="Tahoma"/>
            <family val="2"/>
          </rPr>
          <t>Author:</t>
        </r>
        <r>
          <rPr>
            <sz val="9"/>
            <color indexed="81"/>
            <rFont val="Tahoma"/>
            <family val="2"/>
          </rPr>
          <t xml:space="preserve">
gap-filled using corresponding wetland type data</t>
        </r>
      </text>
    </comment>
    <comment ref="EA215" authorId="0" shapeId="0" xr:uid="{F2C0167D-E9F4-47EB-A337-71928F4D945E}">
      <text>
        <r>
          <rPr>
            <b/>
            <sz val="9"/>
            <color indexed="81"/>
            <rFont val="Tahoma"/>
            <family val="2"/>
          </rPr>
          <t>Author:</t>
        </r>
        <r>
          <rPr>
            <sz val="9"/>
            <color indexed="81"/>
            <rFont val="Tahoma"/>
            <family val="2"/>
          </rPr>
          <t xml:space="preserve">
gap-filled using corresponding wetland type data</t>
        </r>
      </text>
    </comment>
    <comment ref="EE215" authorId="0" shapeId="0" xr:uid="{2838016B-19F9-4BC1-8FE5-A8FB179BA156}">
      <text>
        <r>
          <rPr>
            <b/>
            <sz val="9"/>
            <color indexed="81"/>
            <rFont val="Tahoma"/>
            <family val="2"/>
          </rPr>
          <t>Author:</t>
        </r>
        <r>
          <rPr>
            <sz val="9"/>
            <color indexed="81"/>
            <rFont val="Tahoma"/>
            <family val="2"/>
          </rPr>
          <t xml:space="preserve">
gap-filled using corresponding wetland type data</t>
        </r>
      </text>
    </comment>
    <comment ref="DN221" authorId="0" shapeId="0" xr:uid="{80CF1C1B-8DBA-41D0-B651-3D10A0D9C16C}">
      <text>
        <r>
          <rPr>
            <b/>
            <sz val="9"/>
            <color indexed="81"/>
            <rFont val="Tahoma"/>
            <family val="2"/>
          </rPr>
          <t>Author:</t>
        </r>
        <r>
          <rPr>
            <sz val="9"/>
            <color indexed="81"/>
            <rFont val="Tahoma"/>
            <family val="2"/>
          </rPr>
          <t xml:space="preserve">
gap-filled using the corresponding data in the same wetland type</t>
        </r>
      </text>
    </comment>
    <comment ref="DR221" authorId="0" shapeId="0" xr:uid="{094F4321-FF59-4821-BCC0-A22BC2DF104C}">
      <text>
        <r>
          <rPr>
            <b/>
            <sz val="9"/>
            <color indexed="81"/>
            <rFont val="Tahoma"/>
            <family val="2"/>
          </rPr>
          <t>Author:</t>
        </r>
        <r>
          <rPr>
            <sz val="9"/>
            <color indexed="81"/>
            <rFont val="Tahoma"/>
            <family val="2"/>
          </rPr>
          <t xml:space="preserve">
gap-filled using the corresponding data in the same wetland type</t>
        </r>
      </text>
    </comment>
    <comment ref="EA221" authorId="0" shapeId="0" xr:uid="{0569C82E-ECE5-4B57-8DB7-B9338AFFE0DF}">
      <text>
        <r>
          <rPr>
            <b/>
            <sz val="9"/>
            <color indexed="81"/>
            <rFont val="Tahoma"/>
            <family val="2"/>
          </rPr>
          <t>Author:</t>
        </r>
        <r>
          <rPr>
            <sz val="9"/>
            <color indexed="81"/>
            <rFont val="Tahoma"/>
            <family val="2"/>
          </rPr>
          <t xml:space="preserve">
gap-filled using the corresponding data in the same wetland type</t>
        </r>
      </text>
    </comment>
    <comment ref="EE221" authorId="0" shapeId="0" xr:uid="{AB95F572-4D56-4C42-B3CE-4ADA6F39FECD}">
      <text>
        <r>
          <rPr>
            <b/>
            <sz val="9"/>
            <color indexed="81"/>
            <rFont val="Tahoma"/>
            <family val="2"/>
          </rPr>
          <t>Author:</t>
        </r>
        <r>
          <rPr>
            <sz val="9"/>
            <color indexed="81"/>
            <rFont val="Tahoma"/>
            <family val="2"/>
          </rPr>
          <t xml:space="preserve">
gap-filled using the corresponding data in the same wetland type</t>
        </r>
      </text>
    </comment>
    <comment ref="CA222" authorId="0" shapeId="0" xr:uid="{6535BE33-C4BA-4AB8-84D6-7E37E9E5B0AF}">
      <text>
        <r>
          <rPr>
            <b/>
            <sz val="9"/>
            <color indexed="81"/>
            <rFont val="Tahoma"/>
            <family val="2"/>
          </rPr>
          <t>Author:</t>
        </r>
        <r>
          <rPr>
            <sz val="9"/>
            <color indexed="81"/>
            <rFont val="Tahoma"/>
            <family val="2"/>
          </rPr>
          <t xml:space="preserve">
non-gap-filled due to lacking data for the corresponding wetland type</t>
        </r>
      </text>
    </comment>
    <comment ref="CE222" authorId="0" shapeId="0" xr:uid="{78F460DA-168F-4D09-A379-FB1C4FF79898}">
      <text>
        <r>
          <rPr>
            <b/>
            <sz val="9"/>
            <color indexed="81"/>
            <rFont val="Tahoma"/>
            <family val="2"/>
          </rPr>
          <t>Author:</t>
        </r>
        <r>
          <rPr>
            <sz val="9"/>
            <color indexed="81"/>
            <rFont val="Tahoma"/>
            <family val="2"/>
          </rPr>
          <t xml:space="preserve">
non-gap-filled due to lacking data for the corresponding wetland type</t>
        </r>
      </text>
    </comment>
    <comment ref="CN222" authorId="0" shapeId="0" xr:uid="{1E14F563-5EDC-4E3F-81FC-1919DCB8BAFE}">
      <text>
        <r>
          <rPr>
            <b/>
            <sz val="9"/>
            <color indexed="81"/>
            <rFont val="Tahoma"/>
            <family val="2"/>
          </rPr>
          <t>Author:</t>
        </r>
        <r>
          <rPr>
            <sz val="9"/>
            <color indexed="81"/>
            <rFont val="Tahoma"/>
            <family val="2"/>
          </rPr>
          <t xml:space="preserve">
non-gap-filled due to lacking data for the corresponding wetland type</t>
        </r>
      </text>
    </comment>
    <comment ref="CR222" authorId="0" shapeId="0" xr:uid="{36165955-B638-46EB-B4AD-A20372BA2B8A}">
      <text>
        <r>
          <rPr>
            <b/>
            <sz val="9"/>
            <color indexed="81"/>
            <rFont val="Tahoma"/>
            <family val="2"/>
          </rPr>
          <t>Author:</t>
        </r>
        <r>
          <rPr>
            <sz val="9"/>
            <color indexed="81"/>
            <rFont val="Tahoma"/>
            <family val="2"/>
          </rPr>
          <t xml:space="preserve">
non-gap-filled due to lacking data for the corresponding wetland type</t>
        </r>
      </text>
    </comment>
    <comment ref="DA222" authorId="0" shapeId="0" xr:uid="{F2AC6025-C331-4DB1-B4D9-9F5DCD1FAFBC}">
      <text>
        <r>
          <rPr>
            <b/>
            <sz val="9"/>
            <color indexed="81"/>
            <rFont val="Tahoma"/>
            <family val="2"/>
          </rPr>
          <t>Author:</t>
        </r>
        <r>
          <rPr>
            <sz val="9"/>
            <color indexed="81"/>
            <rFont val="Tahoma"/>
            <family val="2"/>
          </rPr>
          <t xml:space="preserve">
gap-filled using the corresponding data in the same wetland type</t>
        </r>
      </text>
    </comment>
    <comment ref="DE222" authorId="0" shapeId="0" xr:uid="{DDA440C1-EA45-4DB3-ABEC-1C2922F57D3F}">
      <text>
        <r>
          <rPr>
            <b/>
            <sz val="9"/>
            <color indexed="81"/>
            <rFont val="Tahoma"/>
            <family val="2"/>
          </rPr>
          <t>Author:</t>
        </r>
        <r>
          <rPr>
            <sz val="9"/>
            <color indexed="81"/>
            <rFont val="Tahoma"/>
            <family val="2"/>
          </rPr>
          <t xml:space="preserve">
gap-filled using the corresponding data in the same wetland type</t>
        </r>
      </text>
    </comment>
    <comment ref="CA223" authorId="0" shapeId="0" xr:uid="{EA32911D-FD3A-4B62-8092-DB772A6E11FF}">
      <text>
        <r>
          <rPr>
            <b/>
            <sz val="9"/>
            <color indexed="81"/>
            <rFont val="Tahoma"/>
            <family val="2"/>
          </rPr>
          <t>Author:</t>
        </r>
        <r>
          <rPr>
            <sz val="9"/>
            <color indexed="81"/>
            <rFont val="Tahoma"/>
            <family val="2"/>
          </rPr>
          <t xml:space="preserve">
non-gap-filled due to lacking data for the corresponding wetland type</t>
        </r>
      </text>
    </comment>
    <comment ref="CE223" authorId="0" shapeId="0" xr:uid="{8E1D5CED-44D8-4469-AE35-7B0F3088A9C8}">
      <text>
        <r>
          <rPr>
            <b/>
            <sz val="9"/>
            <color indexed="81"/>
            <rFont val="Tahoma"/>
            <family val="2"/>
          </rPr>
          <t>Author:</t>
        </r>
        <r>
          <rPr>
            <sz val="9"/>
            <color indexed="81"/>
            <rFont val="Tahoma"/>
            <family val="2"/>
          </rPr>
          <t xml:space="preserve">
non-gap-filled due to lacking data for the corresponding wetland type</t>
        </r>
      </text>
    </comment>
    <comment ref="CN223" authorId="0" shapeId="0" xr:uid="{12D0CAB4-8BBA-4866-B062-9E86F15774C4}">
      <text>
        <r>
          <rPr>
            <b/>
            <sz val="9"/>
            <color indexed="81"/>
            <rFont val="Tahoma"/>
            <family val="2"/>
          </rPr>
          <t>Author:</t>
        </r>
        <r>
          <rPr>
            <sz val="9"/>
            <color indexed="81"/>
            <rFont val="Tahoma"/>
            <family val="2"/>
          </rPr>
          <t xml:space="preserve">
non-gap-filled due to lacking data for the corresponding wetland type</t>
        </r>
      </text>
    </comment>
    <comment ref="CR223" authorId="0" shapeId="0" xr:uid="{4EABE720-9A06-4F19-9D8F-BE1A981FB56D}">
      <text>
        <r>
          <rPr>
            <b/>
            <sz val="9"/>
            <color indexed="81"/>
            <rFont val="Tahoma"/>
            <family val="2"/>
          </rPr>
          <t>Author:</t>
        </r>
        <r>
          <rPr>
            <sz val="9"/>
            <color indexed="81"/>
            <rFont val="Tahoma"/>
            <family val="2"/>
          </rPr>
          <t xml:space="preserve">
non-gap-filled due to lacking data for the corresponding wetland type</t>
        </r>
      </text>
    </comment>
    <comment ref="DA223" authorId="0" shapeId="0" xr:uid="{E113570F-334F-45E5-8C16-2F9DDB022BBC}">
      <text>
        <r>
          <rPr>
            <b/>
            <sz val="9"/>
            <color indexed="81"/>
            <rFont val="Tahoma"/>
            <family val="2"/>
          </rPr>
          <t>Author:</t>
        </r>
        <r>
          <rPr>
            <sz val="9"/>
            <color indexed="81"/>
            <rFont val="Tahoma"/>
            <family val="2"/>
          </rPr>
          <t xml:space="preserve">
gap-filled using the corresponding data in the same wetland type</t>
        </r>
      </text>
    </comment>
    <comment ref="DE223" authorId="0" shapeId="0" xr:uid="{829D51DD-903C-4A4C-931E-A6711990928B}">
      <text>
        <r>
          <rPr>
            <b/>
            <sz val="9"/>
            <color indexed="81"/>
            <rFont val="Tahoma"/>
            <family val="2"/>
          </rPr>
          <t>Author:</t>
        </r>
        <r>
          <rPr>
            <sz val="9"/>
            <color indexed="81"/>
            <rFont val="Tahoma"/>
            <family val="2"/>
          </rPr>
          <t xml:space="preserve">
gap-filled using the corresponding data in the same wetland type</t>
        </r>
      </text>
    </comment>
    <comment ref="CA224" authorId="0" shapeId="0" xr:uid="{D0A60A41-E3E6-45C7-AFEA-5601A99C8C5B}">
      <text>
        <r>
          <rPr>
            <b/>
            <sz val="9"/>
            <color indexed="81"/>
            <rFont val="Tahoma"/>
            <family val="2"/>
          </rPr>
          <t>Author:</t>
        </r>
        <r>
          <rPr>
            <sz val="9"/>
            <color indexed="81"/>
            <rFont val="Tahoma"/>
            <family val="2"/>
          </rPr>
          <t xml:space="preserve">
non-gap-filled due to lacking data for the corresponding wetland type</t>
        </r>
      </text>
    </comment>
    <comment ref="CE224" authorId="0" shapeId="0" xr:uid="{1B207989-DF4A-4AEC-BD16-F1ECFF264146}">
      <text>
        <r>
          <rPr>
            <b/>
            <sz val="9"/>
            <color indexed="81"/>
            <rFont val="Tahoma"/>
            <family val="2"/>
          </rPr>
          <t>Author:</t>
        </r>
        <r>
          <rPr>
            <sz val="9"/>
            <color indexed="81"/>
            <rFont val="Tahoma"/>
            <family val="2"/>
          </rPr>
          <t xml:space="preserve">
non-gap-filled due to lacking data for the corresponding wetland type</t>
        </r>
      </text>
    </comment>
    <comment ref="CN224" authorId="0" shapeId="0" xr:uid="{57BED0D8-DC23-45D8-931E-326AF8CE5BF1}">
      <text>
        <r>
          <rPr>
            <b/>
            <sz val="9"/>
            <color indexed="81"/>
            <rFont val="Tahoma"/>
            <family val="2"/>
          </rPr>
          <t>Author:</t>
        </r>
        <r>
          <rPr>
            <sz val="9"/>
            <color indexed="81"/>
            <rFont val="Tahoma"/>
            <family val="2"/>
          </rPr>
          <t xml:space="preserve">
non-gap-filled due to lacking data for the corresponding wetland type</t>
        </r>
      </text>
    </comment>
    <comment ref="CR224" authorId="0" shapeId="0" xr:uid="{7AC0903F-0A26-4E35-9897-F29A8AD54C01}">
      <text>
        <r>
          <rPr>
            <b/>
            <sz val="9"/>
            <color indexed="81"/>
            <rFont val="Tahoma"/>
            <family val="2"/>
          </rPr>
          <t>Author:</t>
        </r>
        <r>
          <rPr>
            <sz val="9"/>
            <color indexed="81"/>
            <rFont val="Tahoma"/>
            <family val="2"/>
          </rPr>
          <t xml:space="preserve">
non-gap-filled due to lacking data for the corresponding wetland type</t>
        </r>
      </text>
    </comment>
    <comment ref="DA224" authorId="0" shapeId="0" xr:uid="{1E9D6C63-279F-42F7-8AC3-AE6D1A59CDC3}">
      <text>
        <r>
          <rPr>
            <b/>
            <sz val="9"/>
            <color indexed="81"/>
            <rFont val="Tahoma"/>
            <family val="2"/>
          </rPr>
          <t>Author:</t>
        </r>
        <r>
          <rPr>
            <sz val="9"/>
            <color indexed="81"/>
            <rFont val="Tahoma"/>
            <family val="2"/>
          </rPr>
          <t xml:space="preserve">
gap-filled using the corresponding data in the same wetland type</t>
        </r>
      </text>
    </comment>
    <comment ref="DE224" authorId="0" shapeId="0" xr:uid="{F8EF0FF6-7FC8-4AFB-A840-A2CF85C901CF}">
      <text>
        <r>
          <rPr>
            <b/>
            <sz val="9"/>
            <color indexed="81"/>
            <rFont val="Tahoma"/>
            <family val="2"/>
          </rPr>
          <t>Author:</t>
        </r>
        <r>
          <rPr>
            <sz val="9"/>
            <color indexed="81"/>
            <rFont val="Tahoma"/>
            <family val="2"/>
          </rPr>
          <t xml:space="preserve">
gap-filled using the corresponding data in the same wetland type</t>
        </r>
      </text>
    </comment>
    <comment ref="DI224" authorId="0" shapeId="0" xr:uid="{927EA92C-6ACE-4735-834A-E1AC969EA3D1}">
      <text>
        <r>
          <rPr>
            <b/>
            <sz val="9"/>
            <color indexed="81"/>
            <rFont val="Tahoma"/>
            <family val="2"/>
          </rPr>
          <t>Author:</t>
        </r>
        <r>
          <rPr>
            <sz val="9"/>
            <color indexed="81"/>
            <rFont val="Tahoma"/>
            <family val="2"/>
          </rPr>
          <t xml:space="preserve">
gap-filled using the corresponding data in the same wetland type</t>
        </r>
      </text>
    </comment>
    <comment ref="CA225" authorId="0" shapeId="0" xr:uid="{0B0DD8E5-7B6B-4087-AB4F-42DF74345938}">
      <text>
        <r>
          <rPr>
            <b/>
            <sz val="9"/>
            <color indexed="81"/>
            <rFont val="Tahoma"/>
            <family val="2"/>
          </rPr>
          <t>Author:</t>
        </r>
        <r>
          <rPr>
            <sz val="9"/>
            <color indexed="81"/>
            <rFont val="Tahoma"/>
            <family val="2"/>
          </rPr>
          <t xml:space="preserve">
non-gap-filled due to lacking data for the corresponding wetland type</t>
        </r>
      </text>
    </comment>
    <comment ref="CE225" authorId="0" shapeId="0" xr:uid="{1F67D734-B39A-4CE6-8293-D420A843FFD2}">
      <text>
        <r>
          <rPr>
            <b/>
            <sz val="9"/>
            <color indexed="81"/>
            <rFont val="Tahoma"/>
            <family val="2"/>
          </rPr>
          <t>Author:</t>
        </r>
        <r>
          <rPr>
            <sz val="9"/>
            <color indexed="81"/>
            <rFont val="Tahoma"/>
            <family val="2"/>
          </rPr>
          <t xml:space="preserve">
non-gap-filled due to lacking data for the corresponding wetland type</t>
        </r>
      </text>
    </comment>
    <comment ref="CN225" authorId="0" shapeId="0" xr:uid="{3750FB19-0B22-4952-AA4D-1A8271209E30}">
      <text>
        <r>
          <rPr>
            <b/>
            <sz val="9"/>
            <color indexed="81"/>
            <rFont val="Tahoma"/>
            <family val="2"/>
          </rPr>
          <t>Author:</t>
        </r>
        <r>
          <rPr>
            <sz val="9"/>
            <color indexed="81"/>
            <rFont val="Tahoma"/>
            <family val="2"/>
          </rPr>
          <t xml:space="preserve">
non-gap-filled due to lacking data for the corresponding wetland type</t>
        </r>
      </text>
    </comment>
    <comment ref="CR225" authorId="0" shapeId="0" xr:uid="{01334DCD-5A87-4E57-B15A-C24CFE470709}">
      <text>
        <r>
          <rPr>
            <b/>
            <sz val="9"/>
            <color indexed="81"/>
            <rFont val="Tahoma"/>
            <family val="2"/>
          </rPr>
          <t>Author:</t>
        </r>
        <r>
          <rPr>
            <sz val="9"/>
            <color indexed="81"/>
            <rFont val="Tahoma"/>
            <family val="2"/>
          </rPr>
          <t xml:space="preserve">
non-gap-filled due to lacking data for the corresponding wetland type</t>
        </r>
      </text>
    </comment>
    <comment ref="DA225" authorId="0" shapeId="0" xr:uid="{B9E70D24-3195-4C9A-ABC7-123E573D9691}">
      <text>
        <r>
          <rPr>
            <b/>
            <sz val="9"/>
            <color indexed="81"/>
            <rFont val="Tahoma"/>
            <family val="2"/>
          </rPr>
          <t>Author:</t>
        </r>
        <r>
          <rPr>
            <sz val="9"/>
            <color indexed="81"/>
            <rFont val="Tahoma"/>
            <family val="2"/>
          </rPr>
          <t xml:space="preserve">
gap-filled using the corresponding data in the same wetland type</t>
        </r>
      </text>
    </comment>
    <comment ref="DE225" authorId="0" shapeId="0" xr:uid="{78F90CD0-055A-4C48-BCB3-8114FE9A0627}">
      <text>
        <r>
          <rPr>
            <b/>
            <sz val="9"/>
            <color indexed="81"/>
            <rFont val="Tahoma"/>
            <family val="2"/>
          </rPr>
          <t>Author:</t>
        </r>
        <r>
          <rPr>
            <sz val="9"/>
            <color indexed="81"/>
            <rFont val="Tahoma"/>
            <family val="2"/>
          </rPr>
          <t xml:space="preserve">
gap-filled using the corresponding data in the same wetland type</t>
        </r>
      </text>
    </comment>
    <comment ref="DI225" authorId="0" shapeId="0" xr:uid="{D3C0E543-27C7-4426-8DBB-DD0D7D04D2EA}">
      <text>
        <r>
          <rPr>
            <b/>
            <sz val="9"/>
            <color indexed="81"/>
            <rFont val="Tahoma"/>
            <family val="2"/>
          </rPr>
          <t>Author:</t>
        </r>
        <r>
          <rPr>
            <sz val="9"/>
            <color indexed="81"/>
            <rFont val="Tahoma"/>
            <family val="2"/>
          </rPr>
          <t xml:space="preserve">
gap-filled using the corresponding data in the same wetland type</t>
        </r>
      </text>
    </comment>
    <comment ref="EA250" authorId="0" shapeId="0" xr:uid="{D9070482-E3E6-4AAD-84BE-08ADF79F5D87}">
      <text>
        <r>
          <rPr>
            <b/>
            <sz val="9"/>
            <color indexed="81"/>
            <rFont val="Tahoma"/>
            <family val="2"/>
          </rPr>
          <t>Author:</t>
        </r>
        <r>
          <rPr>
            <sz val="9"/>
            <color indexed="81"/>
            <rFont val="Tahoma"/>
            <family val="2"/>
          </rPr>
          <t xml:space="preserve">
gap-filled using the corresponding data in the same wetland type</t>
        </r>
      </text>
    </comment>
    <comment ref="EE250" authorId="0" shapeId="0" xr:uid="{014BAE98-E57C-46D3-B523-79A379613F38}">
      <text>
        <r>
          <rPr>
            <b/>
            <sz val="9"/>
            <color indexed="81"/>
            <rFont val="Tahoma"/>
            <family val="2"/>
          </rPr>
          <t>Author:</t>
        </r>
        <r>
          <rPr>
            <sz val="9"/>
            <color indexed="81"/>
            <rFont val="Tahoma"/>
            <family val="2"/>
          </rPr>
          <t xml:space="preserve">
gap-filled using the corresponding data in the same wetland type</t>
        </r>
      </text>
    </comment>
    <comment ref="EA251" authorId="0" shapeId="0" xr:uid="{40188423-C538-4678-A1DE-1F9C180909FA}">
      <text>
        <r>
          <rPr>
            <b/>
            <sz val="9"/>
            <color indexed="81"/>
            <rFont val="Tahoma"/>
            <family val="2"/>
          </rPr>
          <t>Author:</t>
        </r>
        <r>
          <rPr>
            <sz val="9"/>
            <color indexed="81"/>
            <rFont val="Tahoma"/>
            <family val="2"/>
          </rPr>
          <t xml:space="preserve">
gap-filled using the corresponding data in the same wetland type</t>
        </r>
      </text>
    </comment>
    <comment ref="EE251" authorId="0" shapeId="0" xr:uid="{FE08D8E2-C0B7-41E8-B63D-9D8448753B63}">
      <text>
        <r>
          <rPr>
            <b/>
            <sz val="9"/>
            <color indexed="81"/>
            <rFont val="Tahoma"/>
            <family val="2"/>
          </rPr>
          <t>Author:</t>
        </r>
        <r>
          <rPr>
            <sz val="9"/>
            <color indexed="81"/>
            <rFont val="Tahoma"/>
            <family val="2"/>
          </rPr>
          <t xml:space="preserve">
gap-filled using the corresponding data in the same wetland type</t>
        </r>
      </text>
    </comment>
    <comment ref="EE252" authorId="0" shapeId="0" xr:uid="{E85ECC09-BD95-41B2-82E1-FA3342BF9679}">
      <text>
        <r>
          <rPr>
            <b/>
            <sz val="9"/>
            <color indexed="81"/>
            <rFont val="Tahoma"/>
            <family val="2"/>
          </rPr>
          <t>Author:</t>
        </r>
        <r>
          <rPr>
            <sz val="9"/>
            <color indexed="81"/>
            <rFont val="Tahoma"/>
            <family val="2"/>
          </rPr>
          <t xml:space="preserve">
gap-filled using the corresponding data in the same wetland type</t>
        </r>
      </text>
    </comment>
    <comment ref="EA253" authorId="0" shapeId="0" xr:uid="{FE131F77-451F-434E-91F5-EF45BBFDAFA6}">
      <text>
        <r>
          <rPr>
            <b/>
            <sz val="9"/>
            <color indexed="81"/>
            <rFont val="Tahoma"/>
            <family val="2"/>
          </rPr>
          <t>Author:</t>
        </r>
        <r>
          <rPr>
            <sz val="9"/>
            <color indexed="81"/>
            <rFont val="Tahoma"/>
            <family val="2"/>
          </rPr>
          <t xml:space="preserve">
gap-filled using the corresponding data in the same wetland type</t>
        </r>
      </text>
    </comment>
    <comment ref="EA254" authorId="0" shapeId="0" xr:uid="{77891768-AC12-4048-B761-A019ED6B2808}">
      <text>
        <r>
          <rPr>
            <b/>
            <sz val="9"/>
            <color indexed="81"/>
            <rFont val="Tahoma"/>
            <family val="2"/>
          </rPr>
          <t>Author:</t>
        </r>
        <r>
          <rPr>
            <sz val="9"/>
            <color indexed="81"/>
            <rFont val="Tahoma"/>
            <family val="2"/>
          </rPr>
          <t xml:space="preserve">
gap-filled using the corresponding data in the same wetland type</t>
        </r>
      </text>
    </comment>
    <comment ref="EE254" authorId="0" shapeId="0" xr:uid="{E7E2B967-1B8C-4A92-A07B-55C402C452BE}">
      <text>
        <r>
          <rPr>
            <b/>
            <sz val="9"/>
            <color indexed="81"/>
            <rFont val="Tahoma"/>
            <family val="2"/>
          </rPr>
          <t>Author:</t>
        </r>
        <r>
          <rPr>
            <sz val="9"/>
            <color indexed="81"/>
            <rFont val="Tahoma"/>
            <family val="2"/>
          </rPr>
          <t xml:space="preserve">
gap-filled using the corresponding data in the same wetland type</t>
        </r>
      </text>
    </comment>
    <comment ref="EA255" authorId="0" shapeId="0" xr:uid="{FB836891-9F14-431B-9FD3-874A2E296245}">
      <text>
        <r>
          <rPr>
            <b/>
            <sz val="9"/>
            <color indexed="81"/>
            <rFont val="Tahoma"/>
            <family val="2"/>
          </rPr>
          <t>Author:</t>
        </r>
        <r>
          <rPr>
            <sz val="9"/>
            <color indexed="81"/>
            <rFont val="Tahoma"/>
            <family val="2"/>
          </rPr>
          <t xml:space="preserve">
gap-filled using the corresponding data in the same wetland type</t>
        </r>
      </text>
    </comment>
    <comment ref="EE255" authorId="0" shapeId="0" xr:uid="{632F0BA0-1255-4536-B526-723B5953790F}">
      <text>
        <r>
          <rPr>
            <b/>
            <sz val="9"/>
            <color indexed="81"/>
            <rFont val="Tahoma"/>
            <family val="2"/>
          </rPr>
          <t>Author:</t>
        </r>
        <r>
          <rPr>
            <sz val="9"/>
            <color indexed="81"/>
            <rFont val="Tahoma"/>
            <family val="2"/>
          </rPr>
          <t xml:space="preserve">
gap-filled using the corresponding data in the same wetland type</t>
        </r>
      </text>
    </comment>
    <comment ref="EA256" authorId="0" shapeId="0" xr:uid="{670F8409-EF3A-44AE-9935-D228BACA2E2B}">
      <text>
        <r>
          <rPr>
            <b/>
            <sz val="9"/>
            <color indexed="81"/>
            <rFont val="Tahoma"/>
            <family val="2"/>
          </rPr>
          <t>Author:</t>
        </r>
        <r>
          <rPr>
            <sz val="9"/>
            <color indexed="81"/>
            <rFont val="Tahoma"/>
            <family val="2"/>
          </rPr>
          <t xml:space="preserve">
gap-filled using the corresponding data in the same wetland type</t>
        </r>
      </text>
    </comment>
    <comment ref="EE256" authorId="0" shapeId="0" xr:uid="{BA94C2BD-4CA8-4A85-9DBD-7040A0C15FF6}">
      <text>
        <r>
          <rPr>
            <b/>
            <sz val="9"/>
            <color indexed="81"/>
            <rFont val="Tahoma"/>
            <family val="2"/>
          </rPr>
          <t>Author:</t>
        </r>
        <r>
          <rPr>
            <sz val="9"/>
            <color indexed="81"/>
            <rFont val="Tahoma"/>
            <family val="2"/>
          </rPr>
          <t xml:space="preserve">
gap-filled using the corresponding data in the same wetland type</t>
        </r>
      </text>
    </comment>
    <comment ref="EA257" authorId="0" shapeId="0" xr:uid="{F8B6233A-7BDE-4F89-AF90-22FCDEC8A4C7}">
      <text>
        <r>
          <rPr>
            <b/>
            <sz val="9"/>
            <color indexed="81"/>
            <rFont val="Tahoma"/>
            <family val="2"/>
          </rPr>
          <t>Author:</t>
        </r>
        <r>
          <rPr>
            <sz val="9"/>
            <color indexed="81"/>
            <rFont val="Tahoma"/>
            <family val="2"/>
          </rPr>
          <t xml:space="preserve">
gap-filled using the corresponding data in the same wetland type</t>
        </r>
      </text>
    </comment>
    <comment ref="EE257" authorId="0" shapeId="0" xr:uid="{DA59125C-236D-4498-B1F5-EC0D3EF781F0}">
      <text>
        <r>
          <rPr>
            <b/>
            <sz val="9"/>
            <color indexed="81"/>
            <rFont val="Tahoma"/>
            <family val="2"/>
          </rPr>
          <t>Author:</t>
        </r>
        <r>
          <rPr>
            <sz val="9"/>
            <color indexed="81"/>
            <rFont val="Tahoma"/>
            <family val="2"/>
          </rPr>
          <t xml:space="preserve">
gap-filled using the corresponding data in the same wetland type</t>
        </r>
      </text>
    </comment>
    <comment ref="EA258" authorId="0" shapeId="0" xr:uid="{38C2BC27-5522-44BE-BA6E-6EA84DC77B06}">
      <text>
        <r>
          <rPr>
            <b/>
            <sz val="9"/>
            <color indexed="81"/>
            <rFont val="Tahoma"/>
            <family val="2"/>
          </rPr>
          <t>Author:</t>
        </r>
        <r>
          <rPr>
            <sz val="9"/>
            <color indexed="81"/>
            <rFont val="Tahoma"/>
            <family val="2"/>
          </rPr>
          <t xml:space="preserve">
gap-filled using the corresponding data in the same wetland type</t>
        </r>
      </text>
    </comment>
    <comment ref="EE258" authorId="0" shapeId="0" xr:uid="{3E16A834-2C82-443D-B5DA-FAC70D13B48E}">
      <text>
        <r>
          <rPr>
            <b/>
            <sz val="9"/>
            <color indexed="81"/>
            <rFont val="Tahoma"/>
            <family val="2"/>
          </rPr>
          <t>Author:</t>
        </r>
        <r>
          <rPr>
            <sz val="9"/>
            <color indexed="81"/>
            <rFont val="Tahoma"/>
            <family val="2"/>
          </rPr>
          <t xml:space="preserve">
gap-filled using the corresponding data in the same wetland type</t>
        </r>
      </text>
    </comment>
    <comment ref="EA259" authorId="0" shapeId="0" xr:uid="{6BAA2E4D-51A6-4FFD-B9AA-99B10D4BE190}">
      <text>
        <r>
          <rPr>
            <b/>
            <sz val="9"/>
            <color indexed="81"/>
            <rFont val="Tahoma"/>
            <family val="2"/>
          </rPr>
          <t>Author:</t>
        </r>
        <r>
          <rPr>
            <sz val="9"/>
            <color indexed="81"/>
            <rFont val="Tahoma"/>
            <family val="2"/>
          </rPr>
          <t xml:space="preserve">
gap-filled using the corresponding data in the same wetland type</t>
        </r>
      </text>
    </comment>
    <comment ref="EE259" authorId="0" shapeId="0" xr:uid="{8FE06A2E-3C42-4743-8D7B-E4E17D6FC840}">
      <text>
        <r>
          <rPr>
            <b/>
            <sz val="9"/>
            <color indexed="81"/>
            <rFont val="Tahoma"/>
            <family val="2"/>
          </rPr>
          <t>Author:</t>
        </r>
        <r>
          <rPr>
            <sz val="9"/>
            <color indexed="81"/>
            <rFont val="Tahoma"/>
            <family val="2"/>
          </rPr>
          <t xml:space="preserve">
gap-filled using the corresponding data in the same wetland type</t>
        </r>
      </text>
    </comment>
    <comment ref="EA260" authorId="0" shapeId="0" xr:uid="{26AF66E7-4AE1-4627-826D-F0D7C7C920D9}">
      <text>
        <r>
          <rPr>
            <b/>
            <sz val="9"/>
            <color indexed="81"/>
            <rFont val="Tahoma"/>
            <family val="2"/>
          </rPr>
          <t>Author:</t>
        </r>
        <r>
          <rPr>
            <sz val="9"/>
            <color indexed="81"/>
            <rFont val="Tahoma"/>
            <family val="2"/>
          </rPr>
          <t xml:space="preserve">
gap-filled using the corresponding data in the same wetland type</t>
        </r>
      </text>
    </comment>
    <comment ref="EE260" authorId="0" shapeId="0" xr:uid="{69F58C03-95F3-4E6B-A432-3011F9E084C3}">
      <text>
        <r>
          <rPr>
            <b/>
            <sz val="9"/>
            <color indexed="81"/>
            <rFont val="Tahoma"/>
            <family val="2"/>
          </rPr>
          <t>Author:</t>
        </r>
        <r>
          <rPr>
            <sz val="9"/>
            <color indexed="81"/>
            <rFont val="Tahoma"/>
            <family val="2"/>
          </rPr>
          <t xml:space="preserve">
gap-filled using the corresponding data in the same wetland type</t>
        </r>
      </text>
    </comment>
    <comment ref="EA261" authorId="0" shapeId="0" xr:uid="{B8881D93-04D7-487F-A31C-6C13724FC035}">
      <text>
        <r>
          <rPr>
            <b/>
            <sz val="9"/>
            <color indexed="81"/>
            <rFont val="Tahoma"/>
            <family val="2"/>
          </rPr>
          <t>Author:</t>
        </r>
        <r>
          <rPr>
            <sz val="9"/>
            <color indexed="81"/>
            <rFont val="Tahoma"/>
            <family val="2"/>
          </rPr>
          <t xml:space="preserve">
gap-filled using the corresponding data in the same wetland type</t>
        </r>
      </text>
    </comment>
    <comment ref="EE261" authorId="0" shapeId="0" xr:uid="{07FB1753-3FC8-472B-9212-36DEBEEABCF5}">
      <text>
        <r>
          <rPr>
            <b/>
            <sz val="9"/>
            <color indexed="81"/>
            <rFont val="Tahoma"/>
            <family val="2"/>
          </rPr>
          <t>Author:</t>
        </r>
        <r>
          <rPr>
            <sz val="9"/>
            <color indexed="81"/>
            <rFont val="Tahoma"/>
            <family val="2"/>
          </rPr>
          <t xml:space="preserve">
gap-filled using the corresponding data in the same wetland type</t>
        </r>
      </text>
    </comment>
    <comment ref="EE262" authorId="0" shapeId="0" xr:uid="{C0A7CB6C-C3E3-4D41-80A2-1FB4F51BB721}">
      <text>
        <r>
          <rPr>
            <b/>
            <sz val="9"/>
            <color indexed="81"/>
            <rFont val="Tahoma"/>
            <family val="2"/>
          </rPr>
          <t>Author:</t>
        </r>
        <r>
          <rPr>
            <sz val="9"/>
            <color indexed="81"/>
            <rFont val="Tahoma"/>
            <family val="2"/>
          </rPr>
          <t xml:space="preserve">
gap-filled using the corresponding data in the same wetland type</t>
        </r>
      </text>
    </comment>
    <comment ref="EA263" authorId="0" shapeId="0" xr:uid="{AC297AD7-8D81-43A1-B945-FA8271ADE44A}">
      <text>
        <r>
          <rPr>
            <b/>
            <sz val="9"/>
            <color indexed="81"/>
            <rFont val="Tahoma"/>
            <family val="2"/>
          </rPr>
          <t>Author:</t>
        </r>
        <r>
          <rPr>
            <sz val="9"/>
            <color indexed="81"/>
            <rFont val="Tahoma"/>
            <family val="2"/>
          </rPr>
          <t xml:space="preserve">
gap-filled using the corresponding data in the same wetland type</t>
        </r>
      </text>
    </comment>
    <comment ref="EA264" authorId="0" shapeId="0" xr:uid="{CF745C2A-8DF7-473F-91F3-75DFAFEFFBFC}">
      <text>
        <r>
          <rPr>
            <b/>
            <sz val="9"/>
            <color indexed="81"/>
            <rFont val="Tahoma"/>
            <family val="2"/>
          </rPr>
          <t>Author:</t>
        </r>
        <r>
          <rPr>
            <sz val="9"/>
            <color indexed="81"/>
            <rFont val="Tahoma"/>
            <family val="2"/>
          </rPr>
          <t xml:space="preserve">
gap-filled using the corresponding data in the same wetland type</t>
        </r>
      </text>
    </comment>
    <comment ref="EE264" authorId="0" shapeId="0" xr:uid="{BC6EF01C-904C-4D3C-8163-0EF752E3FD34}">
      <text>
        <r>
          <rPr>
            <b/>
            <sz val="9"/>
            <color indexed="81"/>
            <rFont val="Tahoma"/>
            <family val="2"/>
          </rPr>
          <t>Author:</t>
        </r>
        <r>
          <rPr>
            <sz val="9"/>
            <color indexed="81"/>
            <rFont val="Tahoma"/>
            <family val="2"/>
          </rPr>
          <t xml:space="preserve">
gap-filled using the corresponding data in the same wetland type</t>
        </r>
      </text>
    </comment>
    <comment ref="EA265" authorId="0" shapeId="0" xr:uid="{594357F6-4A15-4E31-B878-09B73D3A0A76}">
      <text>
        <r>
          <rPr>
            <b/>
            <sz val="9"/>
            <color indexed="81"/>
            <rFont val="Tahoma"/>
            <family val="2"/>
          </rPr>
          <t>Author:</t>
        </r>
        <r>
          <rPr>
            <sz val="9"/>
            <color indexed="81"/>
            <rFont val="Tahoma"/>
            <family val="2"/>
          </rPr>
          <t xml:space="preserve">
gap-filled using the corresponding data in the same wetland type</t>
        </r>
      </text>
    </comment>
    <comment ref="EE265" authorId="0" shapeId="0" xr:uid="{F667A21E-3F4D-4659-B1F5-A0A9221E9F8D}">
      <text>
        <r>
          <rPr>
            <b/>
            <sz val="9"/>
            <color indexed="81"/>
            <rFont val="Tahoma"/>
            <family val="2"/>
          </rPr>
          <t>Author:</t>
        </r>
        <r>
          <rPr>
            <sz val="9"/>
            <color indexed="81"/>
            <rFont val="Tahoma"/>
            <family val="2"/>
          </rPr>
          <t xml:space="preserve">
gap-filled using the corresponding data in the same wetland type</t>
        </r>
      </text>
    </comment>
    <comment ref="EA266" authorId="0" shapeId="0" xr:uid="{ECA694AF-BC98-4781-BB4D-5A8A6FB4CFD1}">
      <text>
        <r>
          <rPr>
            <b/>
            <sz val="9"/>
            <color indexed="81"/>
            <rFont val="Tahoma"/>
            <family val="2"/>
          </rPr>
          <t>Author:</t>
        </r>
        <r>
          <rPr>
            <sz val="9"/>
            <color indexed="81"/>
            <rFont val="Tahoma"/>
            <family val="2"/>
          </rPr>
          <t xml:space="preserve">
gap-filled using the corresponding data in the same wetland type</t>
        </r>
      </text>
    </comment>
    <comment ref="EE266" authorId="0" shapeId="0" xr:uid="{893CA9CB-1AF2-4D6E-B356-83D6276B8480}">
      <text>
        <r>
          <rPr>
            <b/>
            <sz val="9"/>
            <color indexed="81"/>
            <rFont val="Tahoma"/>
            <family val="2"/>
          </rPr>
          <t>Author:</t>
        </r>
        <r>
          <rPr>
            <sz val="9"/>
            <color indexed="81"/>
            <rFont val="Tahoma"/>
            <family val="2"/>
          </rPr>
          <t xml:space="preserve">
gap-filled using the corresponding data in the same wetland type</t>
        </r>
      </text>
    </comment>
    <comment ref="EA268" authorId="0" shapeId="0" xr:uid="{1CC01FEC-DF21-48B7-B79B-DEF502120D6D}">
      <text>
        <r>
          <rPr>
            <b/>
            <sz val="9"/>
            <color indexed="81"/>
            <rFont val="Tahoma"/>
            <family val="2"/>
          </rPr>
          <t>Author:</t>
        </r>
        <r>
          <rPr>
            <sz val="9"/>
            <color indexed="81"/>
            <rFont val="Tahoma"/>
            <family val="2"/>
          </rPr>
          <t xml:space="preserve">
gap-filled using the corresponding data in the same wetland type</t>
        </r>
      </text>
    </comment>
    <comment ref="EE268" authorId="0" shapeId="0" xr:uid="{0395F6C4-AC15-472B-ACED-53B6358FCB3B}">
      <text>
        <r>
          <rPr>
            <b/>
            <sz val="9"/>
            <color indexed="81"/>
            <rFont val="Tahoma"/>
            <family val="2"/>
          </rPr>
          <t>Author:</t>
        </r>
        <r>
          <rPr>
            <sz val="9"/>
            <color indexed="81"/>
            <rFont val="Tahoma"/>
            <family val="2"/>
          </rPr>
          <t xml:space="preserve">
gap-filled using the corresponding data in the same wetland type</t>
        </r>
      </text>
    </comment>
    <comment ref="EA269" authorId="0" shapeId="0" xr:uid="{1CFF6395-C6F4-4B14-8143-E8F7AF07B89C}">
      <text>
        <r>
          <rPr>
            <b/>
            <sz val="9"/>
            <color indexed="81"/>
            <rFont val="Tahoma"/>
            <family val="2"/>
          </rPr>
          <t>Author:</t>
        </r>
        <r>
          <rPr>
            <sz val="9"/>
            <color indexed="81"/>
            <rFont val="Tahoma"/>
            <family val="2"/>
          </rPr>
          <t xml:space="preserve">
gap-filled using the corresponding data in the same wetland type</t>
        </r>
      </text>
    </comment>
    <comment ref="DA270" authorId="0" shapeId="0" xr:uid="{7195959A-7E43-472C-A30A-3B5DCC6F3A1F}">
      <text>
        <r>
          <rPr>
            <b/>
            <sz val="9"/>
            <color indexed="81"/>
            <rFont val="Tahoma"/>
            <family val="2"/>
          </rPr>
          <t>Author:</t>
        </r>
        <r>
          <rPr>
            <sz val="9"/>
            <color indexed="81"/>
            <rFont val="Tahoma"/>
            <family val="2"/>
          </rPr>
          <t xml:space="preserve">
gap-filled using the corresponding data in the same wetland type</t>
        </r>
      </text>
    </comment>
    <comment ref="DE270" authorId="0" shapeId="0" xr:uid="{290AEEED-2C3D-4EA2-ACE6-D04186EC89D7}">
      <text>
        <r>
          <rPr>
            <b/>
            <sz val="9"/>
            <color indexed="81"/>
            <rFont val="Tahoma"/>
            <family val="2"/>
          </rPr>
          <t>Author:</t>
        </r>
        <r>
          <rPr>
            <sz val="9"/>
            <color indexed="81"/>
            <rFont val="Tahoma"/>
            <family val="2"/>
          </rPr>
          <t xml:space="preserve">
gap-filled using the corresponding data in the same wetland type</t>
        </r>
      </text>
    </comment>
    <comment ref="DN270" authorId="0" shapeId="0" xr:uid="{409F7CF4-E153-4E71-A564-775CDCFA5690}">
      <text>
        <r>
          <rPr>
            <b/>
            <sz val="9"/>
            <color indexed="81"/>
            <rFont val="Tahoma"/>
            <family val="2"/>
          </rPr>
          <t>Author:</t>
        </r>
        <r>
          <rPr>
            <sz val="9"/>
            <color indexed="81"/>
            <rFont val="Tahoma"/>
            <family val="2"/>
          </rPr>
          <t xml:space="preserve">
gap-filled using the corresponding data in the same wetland type</t>
        </r>
      </text>
    </comment>
    <comment ref="DR270" authorId="0" shapeId="0" xr:uid="{BB1935A3-71FE-4422-97AA-73325CEA485E}">
      <text>
        <r>
          <rPr>
            <b/>
            <sz val="9"/>
            <color indexed="81"/>
            <rFont val="Tahoma"/>
            <family val="2"/>
          </rPr>
          <t>Author:</t>
        </r>
        <r>
          <rPr>
            <sz val="9"/>
            <color indexed="81"/>
            <rFont val="Tahoma"/>
            <family val="2"/>
          </rPr>
          <t xml:space="preserve">
gap-filled using the corresponding data in the same wetland type</t>
        </r>
      </text>
    </comment>
    <comment ref="CA271" authorId="0" shapeId="0" xr:uid="{463D1BEE-C22D-4E45-97F4-6474C0212AFA}">
      <text>
        <r>
          <rPr>
            <b/>
            <sz val="9"/>
            <color indexed="81"/>
            <rFont val="Tahoma"/>
            <family val="2"/>
          </rPr>
          <t>Author:</t>
        </r>
        <r>
          <rPr>
            <sz val="9"/>
            <color indexed="81"/>
            <rFont val="Tahoma"/>
            <family val="2"/>
          </rPr>
          <t xml:space="preserve">
non-gap-filled due to lacking data for the corresponding wetland type</t>
        </r>
      </text>
    </comment>
    <comment ref="CE271" authorId="0" shapeId="0" xr:uid="{885636AD-2DE8-4E24-8E15-84B7DA6E6457}">
      <text>
        <r>
          <rPr>
            <b/>
            <sz val="9"/>
            <color indexed="81"/>
            <rFont val="Tahoma"/>
            <family val="2"/>
          </rPr>
          <t>Author:</t>
        </r>
        <r>
          <rPr>
            <sz val="9"/>
            <color indexed="81"/>
            <rFont val="Tahoma"/>
            <family val="2"/>
          </rPr>
          <t xml:space="preserve">
gap-filled using the corresponding data in the same wetland type</t>
        </r>
      </text>
    </comment>
    <comment ref="CN271" authorId="0" shapeId="0" xr:uid="{9599A909-48DD-4A90-9403-BFC9DC9C80F1}">
      <text>
        <r>
          <rPr>
            <b/>
            <sz val="9"/>
            <color indexed="81"/>
            <rFont val="Tahoma"/>
            <family val="2"/>
          </rPr>
          <t>Author:</t>
        </r>
        <r>
          <rPr>
            <sz val="9"/>
            <color indexed="81"/>
            <rFont val="Tahoma"/>
            <family val="2"/>
          </rPr>
          <t xml:space="preserve">
non-gap-filled due to lacking data for the corresponding wetland type</t>
        </r>
      </text>
    </comment>
    <comment ref="CR271" authorId="0" shapeId="0" xr:uid="{6C9ADFE7-55C3-4742-AAFC-055DDDB02A78}">
      <text>
        <r>
          <rPr>
            <b/>
            <sz val="9"/>
            <color indexed="81"/>
            <rFont val="Tahoma"/>
            <family val="2"/>
          </rPr>
          <t>Author:</t>
        </r>
        <r>
          <rPr>
            <sz val="9"/>
            <color indexed="81"/>
            <rFont val="Tahoma"/>
            <family val="2"/>
          </rPr>
          <t xml:space="preserve">
gap-filled using the corresponding data in the same wetland type</t>
        </r>
      </text>
    </comment>
    <comment ref="DA271" authorId="0" shapeId="0" xr:uid="{E00FD81C-8879-4F31-8858-E91E8760EE27}">
      <text>
        <r>
          <rPr>
            <b/>
            <sz val="9"/>
            <color indexed="81"/>
            <rFont val="Tahoma"/>
            <family val="2"/>
          </rPr>
          <t>Author:</t>
        </r>
        <r>
          <rPr>
            <sz val="9"/>
            <color indexed="81"/>
            <rFont val="Tahoma"/>
            <family val="2"/>
          </rPr>
          <t xml:space="preserve">
gap-filled using the corresponding data in the same wetland type</t>
        </r>
      </text>
    </comment>
    <comment ref="DE271" authorId="0" shapeId="0" xr:uid="{3BE174F0-FC45-4358-B5A7-5F9C56B410C5}">
      <text>
        <r>
          <rPr>
            <b/>
            <sz val="9"/>
            <color indexed="81"/>
            <rFont val="Tahoma"/>
            <family val="2"/>
          </rPr>
          <t>Author:</t>
        </r>
        <r>
          <rPr>
            <sz val="9"/>
            <color indexed="81"/>
            <rFont val="Tahoma"/>
            <family val="2"/>
          </rPr>
          <t xml:space="preserve">
gap-filled using the corresponding data in the same wetland type</t>
        </r>
      </text>
    </comment>
    <comment ref="DN271" authorId="0" shapeId="0" xr:uid="{C52645A5-19E3-43F9-92F8-4E48D84CCF9D}">
      <text>
        <r>
          <rPr>
            <b/>
            <sz val="9"/>
            <color indexed="81"/>
            <rFont val="Tahoma"/>
            <family val="2"/>
          </rPr>
          <t>Author:</t>
        </r>
        <r>
          <rPr>
            <sz val="9"/>
            <color indexed="81"/>
            <rFont val="Tahoma"/>
            <family val="2"/>
          </rPr>
          <t xml:space="preserve">
gap-filled using the corresponding data in the same wetland type</t>
        </r>
      </text>
    </comment>
    <comment ref="DR271" authorId="0" shapeId="0" xr:uid="{56A09655-B979-4A49-A19E-E5B6BC77305B}">
      <text>
        <r>
          <rPr>
            <b/>
            <sz val="9"/>
            <color indexed="81"/>
            <rFont val="Tahoma"/>
            <family val="2"/>
          </rPr>
          <t>Author:</t>
        </r>
        <r>
          <rPr>
            <sz val="9"/>
            <color indexed="81"/>
            <rFont val="Tahoma"/>
            <family val="2"/>
          </rPr>
          <t xml:space="preserve">
gap-filled using the corresponding data in the same wetland type</t>
        </r>
      </text>
    </comment>
    <comment ref="DN272" authorId="0" shapeId="0" xr:uid="{B26E3981-A356-4B07-AC5C-592F77EAC770}">
      <text>
        <r>
          <rPr>
            <b/>
            <sz val="9"/>
            <color indexed="81"/>
            <rFont val="Tahoma"/>
            <family val="2"/>
          </rPr>
          <t>Author:</t>
        </r>
        <r>
          <rPr>
            <sz val="9"/>
            <color indexed="81"/>
            <rFont val="Tahoma"/>
            <family val="2"/>
          </rPr>
          <t xml:space="preserve">
gap-filled using the corresponding data in the same wetland type</t>
        </r>
      </text>
    </comment>
    <comment ref="DR272" authorId="0" shapeId="0" xr:uid="{343145C2-4E24-42E0-8552-58919573F423}">
      <text>
        <r>
          <rPr>
            <b/>
            <sz val="9"/>
            <color indexed="81"/>
            <rFont val="Tahoma"/>
            <family val="2"/>
          </rPr>
          <t>Author:</t>
        </r>
        <r>
          <rPr>
            <sz val="9"/>
            <color indexed="81"/>
            <rFont val="Tahoma"/>
            <family val="2"/>
          </rPr>
          <t xml:space="preserve">
gap-filled using the corresponding data in the same wetland type</t>
        </r>
      </text>
    </comment>
    <comment ref="DN273" authorId="0" shapeId="0" xr:uid="{31878286-19A8-4A6C-8125-AF0D1DCA2D02}">
      <text>
        <r>
          <rPr>
            <b/>
            <sz val="9"/>
            <color indexed="81"/>
            <rFont val="Tahoma"/>
            <family val="2"/>
          </rPr>
          <t>Author:</t>
        </r>
        <r>
          <rPr>
            <sz val="9"/>
            <color indexed="81"/>
            <rFont val="Tahoma"/>
            <family val="2"/>
          </rPr>
          <t xml:space="preserve">
gap-filled using the corresponding data in the same wetland type</t>
        </r>
      </text>
    </comment>
    <comment ref="DR273" authorId="0" shapeId="0" xr:uid="{BBF767C9-4812-47A0-B0B4-5481B0C846BF}">
      <text>
        <r>
          <rPr>
            <b/>
            <sz val="9"/>
            <color indexed="81"/>
            <rFont val="Tahoma"/>
            <family val="2"/>
          </rPr>
          <t>Author:</t>
        </r>
        <r>
          <rPr>
            <sz val="9"/>
            <color indexed="81"/>
            <rFont val="Tahoma"/>
            <family val="2"/>
          </rPr>
          <t xml:space="preserve">
gap-filled using the corresponding data in the same wetland type</t>
        </r>
      </text>
    </comment>
    <comment ref="DN280" authorId="0" shapeId="0" xr:uid="{6B657485-00E8-4504-89BF-305DF8EF07D3}">
      <text>
        <r>
          <rPr>
            <b/>
            <sz val="9"/>
            <color indexed="81"/>
            <rFont val="Tahoma"/>
            <family val="2"/>
          </rPr>
          <t>Author:</t>
        </r>
        <r>
          <rPr>
            <sz val="9"/>
            <color indexed="81"/>
            <rFont val="Tahoma"/>
            <family val="2"/>
          </rPr>
          <t xml:space="preserve">
gap-filled using the corresponding data in the same wetland type</t>
        </r>
      </text>
    </comment>
    <comment ref="DR280" authorId="0" shapeId="0" xr:uid="{F6159469-E2CD-4FD7-9C7A-B2147997682D}">
      <text>
        <r>
          <rPr>
            <b/>
            <sz val="9"/>
            <color indexed="81"/>
            <rFont val="Tahoma"/>
            <family val="2"/>
          </rPr>
          <t>Author:</t>
        </r>
        <r>
          <rPr>
            <sz val="9"/>
            <color indexed="81"/>
            <rFont val="Tahoma"/>
            <family val="2"/>
          </rPr>
          <t xml:space="preserve">
gap-filled using the corresponding data in the same wetland type</t>
        </r>
      </text>
    </comment>
    <comment ref="DN281" authorId="0" shapeId="0" xr:uid="{AF2D01E3-5322-4C14-AA8E-62F061AFCDD2}">
      <text>
        <r>
          <rPr>
            <b/>
            <sz val="9"/>
            <color indexed="81"/>
            <rFont val="Tahoma"/>
            <family val="2"/>
          </rPr>
          <t>Author:</t>
        </r>
        <r>
          <rPr>
            <sz val="9"/>
            <color indexed="81"/>
            <rFont val="Tahoma"/>
            <family val="2"/>
          </rPr>
          <t xml:space="preserve">
gap-filled using the corresponding data in the same wetland type</t>
        </r>
      </text>
    </comment>
    <comment ref="DR281" authorId="0" shapeId="0" xr:uid="{93B34652-BCBD-46CF-95A0-76BC20E214C7}">
      <text>
        <r>
          <rPr>
            <b/>
            <sz val="9"/>
            <color indexed="81"/>
            <rFont val="Tahoma"/>
            <family val="2"/>
          </rPr>
          <t>Author:</t>
        </r>
        <r>
          <rPr>
            <sz val="9"/>
            <color indexed="81"/>
            <rFont val="Tahoma"/>
            <family val="2"/>
          </rPr>
          <t xml:space="preserve">
gap-filled using the corresponding data in the same wetland type</t>
        </r>
      </text>
    </comment>
    <comment ref="DN282" authorId="0" shapeId="0" xr:uid="{C704A9E6-E2D2-4980-8691-1BE2C2E07A06}">
      <text>
        <r>
          <rPr>
            <b/>
            <sz val="9"/>
            <color indexed="81"/>
            <rFont val="Tahoma"/>
            <family val="2"/>
          </rPr>
          <t>Author:</t>
        </r>
        <r>
          <rPr>
            <sz val="9"/>
            <color indexed="81"/>
            <rFont val="Tahoma"/>
            <family val="2"/>
          </rPr>
          <t xml:space="preserve">
gap-filled using the corresponding data in the same wetland type</t>
        </r>
      </text>
    </comment>
    <comment ref="DR282" authorId="0" shapeId="0" xr:uid="{CD193119-E974-48E9-8B8C-F39D4FF0996E}">
      <text>
        <r>
          <rPr>
            <b/>
            <sz val="9"/>
            <color indexed="81"/>
            <rFont val="Tahoma"/>
            <family val="2"/>
          </rPr>
          <t>Author:</t>
        </r>
        <r>
          <rPr>
            <sz val="9"/>
            <color indexed="81"/>
            <rFont val="Tahoma"/>
            <family val="2"/>
          </rPr>
          <t xml:space="preserve">
gap-filled using the corresponding data in the same wetland type</t>
        </r>
      </text>
    </comment>
    <comment ref="DN283" authorId="0" shapeId="0" xr:uid="{416F9E50-431A-4BE8-8EAC-B75E54C3B53F}">
      <text>
        <r>
          <rPr>
            <b/>
            <sz val="9"/>
            <color indexed="81"/>
            <rFont val="Tahoma"/>
            <family val="2"/>
          </rPr>
          <t>Author:</t>
        </r>
        <r>
          <rPr>
            <sz val="9"/>
            <color indexed="81"/>
            <rFont val="Tahoma"/>
            <family val="2"/>
          </rPr>
          <t xml:space="preserve">
gap-filled using the corresponding data in the same wetland type</t>
        </r>
      </text>
    </comment>
    <comment ref="DR283" authorId="0" shapeId="0" xr:uid="{E092AC97-A72A-4200-97A3-E48345BE72C2}">
      <text>
        <r>
          <rPr>
            <b/>
            <sz val="9"/>
            <color indexed="81"/>
            <rFont val="Tahoma"/>
            <family val="2"/>
          </rPr>
          <t>Author:</t>
        </r>
        <r>
          <rPr>
            <sz val="9"/>
            <color indexed="81"/>
            <rFont val="Tahoma"/>
            <family val="2"/>
          </rPr>
          <t xml:space="preserve">
gap-filled using the corresponding data in the same wetland type</t>
        </r>
      </text>
    </comment>
    <comment ref="DN284" authorId="0" shapeId="0" xr:uid="{0DB42A19-3165-48A9-B38E-F7F648081B52}">
      <text>
        <r>
          <rPr>
            <b/>
            <sz val="9"/>
            <color indexed="81"/>
            <rFont val="Tahoma"/>
            <family val="2"/>
          </rPr>
          <t>Author:</t>
        </r>
        <r>
          <rPr>
            <sz val="9"/>
            <color indexed="81"/>
            <rFont val="Tahoma"/>
            <family val="2"/>
          </rPr>
          <t xml:space="preserve">
gap-filled using the corresponding data in the same wetland type</t>
        </r>
      </text>
    </comment>
    <comment ref="DR284" authorId="0" shapeId="0" xr:uid="{D16755C6-FB8D-4D7A-8921-4125599E9E41}">
      <text>
        <r>
          <rPr>
            <b/>
            <sz val="9"/>
            <color indexed="81"/>
            <rFont val="Tahoma"/>
            <family val="2"/>
          </rPr>
          <t>Author:</t>
        </r>
        <r>
          <rPr>
            <sz val="9"/>
            <color indexed="81"/>
            <rFont val="Tahoma"/>
            <family val="2"/>
          </rPr>
          <t xml:space="preserve">
gap-filled using the corresponding data in the same wetland type</t>
        </r>
      </text>
    </comment>
    <comment ref="DN285" authorId="0" shapeId="0" xr:uid="{FAC872B0-F1BE-4110-BB8E-9F1D38E98A01}">
      <text>
        <r>
          <rPr>
            <b/>
            <sz val="9"/>
            <color indexed="81"/>
            <rFont val="Tahoma"/>
            <family val="2"/>
          </rPr>
          <t>Author:</t>
        </r>
        <r>
          <rPr>
            <sz val="9"/>
            <color indexed="81"/>
            <rFont val="Tahoma"/>
            <family val="2"/>
          </rPr>
          <t xml:space="preserve">
gap-filled using the corresponding data in the same wetland type</t>
        </r>
      </text>
    </comment>
    <comment ref="DR285" authorId="0" shapeId="0" xr:uid="{5F37E23C-0C40-4E67-9876-EAE3B38E9A80}">
      <text>
        <r>
          <rPr>
            <b/>
            <sz val="9"/>
            <color indexed="81"/>
            <rFont val="Tahoma"/>
            <family val="2"/>
          </rPr>
          <t>Author:</t>
        </r>
        <r>
          <rPr>
            <sz val="9"/>
            <color indexed="81"/>
            <rFont val="Tahoma"/>
            <family val="2"/>
          </rPr>
          <t xml:space="preserve">
gap-filled using the corresponding data in the same wetland type</t>
        </r>
      </text>
    </comment>
    <comment ref="DN286" authorId="0" shapeId="0" xr:uid="{A59FA07D-E262-4210-A4FF-B18A22FC6B9E}">
      <text>
        <r>
          <rPr>
            <b/>
            <sz val="9"/>
            <color indexed="81"/>
            <rFont val="Tahoma"/>
            <family val="2"/>
          </rPr>
          <t>Author:</t>
        </r>
        <r>
          <rPr>
            <sz val="9"/>
            <color indexed="81"/>
            <rFont val="Tahoma"/>
            <family val="2"/>
          </rPr>
          <t xml:space="preserve">
gap-filled using the corresponding data in the same wetland type</t>
        </r>
      </text>
    </comment>
    <comment ref="DR286" authorId="0" shapeId="0" xr:uid="{4DE5240B-F747-47EB-B8E9-329AC4865760}">
      <text>
        <r>
          <rPr>
            <b/>
            <sz val="9"/>
            <color indexed="81"/>
            <rFont val="Tahoma"/>
            <family val="2"/>
          </rPr>
          <t>Author:</t>
        </r>
        <r>
          <rPr>
            <sz val="9"/>
            <color indexed="81"/>
            <rFont val="Tahoma"/>
            <family val="2"/>
          </rPr>
          <t xml:space="preserve">
gap-filled using the corresponding data in the same wetland type</t>
        </r>
      </text>
    </comment>
    <comment ref="DN287" authorId="0" shapeId="0" xr:uid="{ACA9FE44-F22B-4F94-A1C3-84203AF45D7A}">
      <text>
        <r>
          <rPr>
            <b/>
            <sz val="9"/>
            <color indexed="81"/>
            <rFont val="Tahoma"/>
            <family val="2"/>
          </rPr>
          <t>Author:</t>
        </r>
        <r>
          <rPr>
            <sz val="9"/>
            <color indexed="81"/>
            <rFont val="Tahoma"/>
            <family val="2"/>
          </rPr>
          <t xml:space="preserve">
gap-filled using the corresponding data in the same wetland type</t>
        </r>
      </text>
    </comment>
    <comment ref="DR287" authorId="0" shapeId="0" xr:uid="{61AA0CF9-2059-476B-8606-8EBB385D429F}">
      <text>
        <r>
          <rPr>
            <b/>
            <sz val="9"/>
            <color indexed="81"/>
            <rFont val="Tahoma"/>
            <family val="2"/>
          </rPr>
          <t>Author:</t>
        </r>
        <r>
          <rPr>
            <sz val="9"/>
            <color indexed="81"/>
            <rFont val="Tahoma"/>
            <family val="2"/>
          </rPr>
          <t xml:space="preserve">
gap-filled using the corresponding data in the same wetland type</t>
        </r>
      </text>
    </comment>
    <comment ref="DN288" authorId="0" shapeId="0" xr:uid="{FC10B914-1F4F-4459-ACED-7A89D8819370}">
      <text>
        <r>
          <rPr>
            <b/>
            <sz val="9"/>
            <color indexed="81"/>
            <rFont val="Tahoma"/>
            <family val="2"/>
          </rPr>
          <t>Author:</t>
        </r>
        <r>
          <rPr>
            <sz val="9"/>
            <color indexed="81"/>
            <rFont val="Tahoma"/>
            <family val="2"/>
          </rPr>
          <t xml:space="preserve">
gap-filled using the corresponding data in the same wetland type</t>
        </r>
      </text>
    </comment>
    <comment ref="DR288" authorId="0" shapeId="0" xr:uid="{32DDA758-906E-45FA-8A25-06F781A827DC}">
      <text>
        <r>
          <rPr>
            <b/>
            <sz val="9"/>
            <color indexed="81"/>
            <rFont val="Tahoma"/>
            <family val="2"/>
          </rPr>
          <t>Author:</t>
        </r>
        <r>
          <rPr>
            <sz val="9"/>
            <color indexed="81"/>
            <rFont val="Tahoma"/>
            <family val="2"/>
          </rPr>
          <t xml:space="preserve">
gap-filled using the corresponding data in the same wetland type</t>
        </r>
      </text>
    </comment>
    <comment ref="DN289" authorId="0" shapeId="0" xr:uid="{8D4BC930-9484-444F-B810-540A003F8554}">
      <text>
        <r>
          <rPr>
            <b/>
            <sz val="9"/>
            <color indexed="81"/>
            <rFont val="Tahoma"/>
            <family val="2"/>
          </rPr>
          <t>Author:</t>
        </r>
        <r>
          <rPr>
            <sz val="9"/>
            <color indexed="81"/>
            <rFont val="Tahoma"/>
            <family val="2"/>
          </rPr>
          <t xml:space="preserve">
gap-filled using the corresponding data in the same wetland type</t>
        </r>
      </text>
    </comment>
    <comment ref="DR289" authorId="0" shapeId="0" xr:uid="{F716B06F-ABCF-4475-855F-519A31C05CB7}">
      <text>
        <r>
          <rPr>
            <b/>
            <sz val="9"/>
            <color indexed="81"/>
            <rFont val="Tahoma"/>
            <family val="2"/>
          </rPr>
          <t>Author:</t>
        </r>
        <r>
          <rPr>
            <sz val="9"/>
            <color indexed="81"/>
            <rFont val="Tahoma"/>
            <family val="2"/>
          </rPr>
          <t xml:space="preserve">
gap-filled using the corresponding data in the same wetland type</t>
        </r>
      </text>
    </comment>
    <comment ref="DN290" authorId="0" shapeId="0" xr:uid="{D553E74E-DB46-4F7B-A4E6-E2A40CB5AC6F}">
      <text>
        <r>
          <rPr>
            <b/>
            <sz val="9"/>
            <color indexed="81"/>
            <rFont val="Tahoma"/>
            <family val="2"/>
          </rPr>
          <t>Author:</t>
        </r>
        <r>
          <rPr>
            <sz val="9"/>
            <color indexed="81"/>
            <rFont val="Tahoma"/>
            <family val="2"/>
          </rPr>
          <t xml:space="preserve">
gap-filled using the corresponding data in the same wetland type</t>
        </r>
      </text>
    </comment>
    <comment ref="DR290" authorId="0" shapeId="0" xr:uid="{89E32903-C504-46B3-BA7B-DC955219B1DC}">
      <text>
        <r>
          <rPr>
            <b/>
            <sz val="9"/>
            <color indexed="81"/>
            <rFont val="Tahoma"/>
            <family val="2"/>
          </rPr>
          <t>Author:</t>
        </r>
        <r>
          <rPr>
            <sz val="9"/>
            <color indexed="81"/>
            <rFont val="Tahoma"/>
            <family val="2"/>
          </rPr>
          <t xml:space="preserve">
gap-filled using the corresponding data in the same wetland type</t>
        </r>
      </text>
    </comment>
    <comment ref="DN291" authorId="0" shapeId="0" xr:uid="{3F3A9BA1-728A-4531-A71B-BF657C3E84A4}">
      <text>
        <r>
          <rPr>
            <b/>
            <sz val="9"/>
            <color indexed="81"/>
            <rFont val="Tahoma"/>
            <family val="2"/>
          </rPr>
          <t>Author:</t>
        </r>
        <r>
          <rPr>
            <sz val="9"/>
            <color indexed="81"/>
            <rFont val="Tahoma"/>
            <family val="2"/>
          </rPr>
          <t xml:space="preserve">
gap-filled using the corresponding data in the same wetland type</t>
        </r>
      </text>
    </comment>
    <comment ref="DR291" authorId="0" shapeId="0" xr:uid="{8B1CADAB-F5DB-4DDB-B6FE-2F279EFE15F4}">
      <text>
        <r>
          <rPr>
            <b/>
            <sz val="9"/>
            <color indexed="81"/>
            <rFont val="Tahoma"/>
            <family val="2"/>
          </rPr>
          <t>Author:</t>
        </r>
        <r>
          <rPr>
            <sz val="9"/>
            <color indexed="81"/>
            <rFont val="Tahoma"/>
            <family val="2"/>
          </rPr>
          <t xml:space="preserve">
gap-filled using the corresponding data in the same wetland type</t>
        </r>
      </text>
    </comment>
    <comment ref="DN292" authorId="0" shapeId="0" xr:uid="{2DF90012-0433-4FB7-A1A1-361D6D07F6E6}">
      <text>
        <r>
          <rPr>
            <b/>
            <sz val="9"/>
            <color indexed="81"/>
            <rFont val="Tahoma"/>
            <family val="2"/>
          </rPr>
          <t>Author:</t>
        </r>
        <r>
          <rPr>
            <sz val="9"/>
            <color indexed="81"/>
            <rFont val="Tahoma"/>
            <family val="2"/>
          </rPr>
          <t xml:space="preserve">
gap-filled using the corresponding data in the same wetland type</t>
        </r>
      </text>
    </comment>
    <comment ref="DR292" authorId="0" shapeId="0" xr:uid="{54F1810D-1109-46DE-8004-04FBB9225397}">
      <text>
        <r>
          <rPr>
            <b/>
            <sz val="9"/>
            <color indexed="81"/>
            <rFont val="Tahoma"/>
            <family val="2"/>
          </rPr>
          <t>Author:</t>
        </r>
        <r>
          <rPr>
            <sz val="9"/>
            <color indexed="81"/>
            <rFont val="Tahoma"/>
            <family val="2"/>
          </rPr>
          <t xml:space="preserve">
gap-filled using the corresponding data in the same wetland type</t>
        </r>
      </text>
    </comment>
    <comment ref="DN293" authorId="0" shapeId="0" xr:uid="{91BBA51B-A1F4-4670-83A9-1A89B725EFAC}">
      <text>
        <r>
          <rPr>
            <b/>
            <sz val="9"/>
            <color indexed="81"/>
            <rFont val="Tahoma"/>
            <family val="2"/>
          </rPr>
          <t>Author:</t>
        </r>
        <r>
          <rPr>
            <sz val="9"/>
            <color indexed="81"/>
            <rFont val="Tahoma"/>
            <family val="2"/>
          </rPr>
          <t xml:space="preserve">
gap-filled using the corresponding data in the same wetland type</t>
        </r>
      </text>
    </comment>
    <comment ref="DR293" authorId="0" shapeId="0" xr:uid="{67A4DAED-F5EC-4DBD-8BAD-D050360E39AD}">
      <text>
        <r>
          <rPr>
            <b/>
            <sz val="9"/>
            <color indexed="81"/>
            <rFont val="Tahoma"/>
            <family val="2"/>
          </rPr>
          <t>Author:</t>
        </r>
        <r>
          <rPr>
            <sz val="9"/>
            <color indexed="81"/>
            <rFont val="Tahoma"/>
            <family val="2"/>
          </rPr>
          <t xml:space="preserve">
gap-filled using the corresponding data in the same wetland type</t>
        </r>
      </text>
    </comment>
    <comment ref="DN294" authorId="0" shapeId="0" xr:uid="{FEEC034B-D7C8-4648-9DC0-2E0286A1EE8F}">
      <text>
        <r>
          <rPr>
            <b/>
            <sz val="9"/>
            <color indexed="81"/>
            <rFont val="Tahoma"/>
            <family val="2"/>
          </rPr>
          <t>Author:</t>
        </r>
        <r>
          <rPr>
            <sz val="9"/>
            <color indexed="81"/>
            <rFont val="Tahoma"/>
            <family val="2"/>
          </rPr>
          <t xml:space="preserve">
gap-filled using the corresponding data in the same wetland type</t>
        </r>
      </text>
    </comment>
    <comment ref="DR294" authorId="0" shapeId="0" xr:uid="{76E5B088-3ED7-493F-A1A7-7D13DC58689A}">
      <text>
        <r>
          <rPr>
            <b/>
            <sz val="9"/>
            <color indexed="81"/>
            <rFont val="Tahoma"/>
            <family val="2"/>
          </rPr>
          <t>Author:</t>
        </r>
        <r>
          <rPr>
            <sz val="9"/>
            <color indexed="81"/>
            <rFont val="Tahoma"/>
            <family val="2"/>
          </rPr>
          <t xml:space="preserve">
gap-filled using the corresponding data in the same wetland type</t>
        </r>
      </text>
    </comment>
    <comment ref="DN295" authorId="0" shapeId="0" xr:uid="{0C634412-05F6-402E-BBB2-1E8BBF19B666}">
      <text>
        <r>
          <rPr>
            <b/>
            <sz val="9"/>
            <color indexed="81"/>
            <rFont val="Tahoma"/>
            <family val="2"/>
          </rPr>
          <t>Author:</t>
        </r>
        <r>
          <rPr>
            <sz val="9"/>
            <color indexed="81"/>
            <rFont val="Tahoma"/>
            <family val="2"/>
          </rPr>
          <t xml:space="preserve">
gap-filled using the corresponding data in the same wetland type</t>
        </r>
      </text>
    </comment>
    <comment ref="DR295" authorId="0" shapeId="0" xr:uid="{07DEFF66-D013-41FD-89C1-0224F329C315}">
      <text>
        <r>
          <rPr>
            <b/>
            <sz val="9"/>
            <color indexed="81"/>
            <rFont val="Tahoma"/>
            <family val="2"/>
          </rPr>
          <t>Author:</t>
        </r>
        <r>
          <rPr>
            <sz val="9"/>
            <color indexed="81"/>
            <rFont val="Tahoma"/>
            <family val="2"/>
          </rPr>
          <t xml:space="preserve">
gap-filled using the corresponding data in the same wetland type</t>
        </r>
      </text>
    </comment>
    <comment ref="DN296" authorId="0" shapeId="0" xr:uid="{974722E7-E2D2-4891-B958-C300E4EA1C1D}">
      <text>
        <r>
          <rPr>
            <b/>
            <sz val="9"/>
            <color indexed="81"/>
            <rFont val="Tahoma"/>
            <family val="2"/>
          </rPr>
          <t>Author:</t>
        </r>
        <r>
          <rPr>
            <sz val="9"/>
            <color indexed="81"/>
            <rFont val="Tahoma"/>
            <family val="2"/>
          </rPr>
          <t xml:space="preserve">
gap-filled using the corresponding data in the same wetland type</t>
        </r>
      </text>
    </comment>
    <comment ref="DR296" authorId="0" shapeId="0" xr:uid="{989DA2CC-0822-4B56-9093-61E99CF1146D}">
      <text>
        <r>
          <rPr>
            <b/>
            <sz val="9"/>
            <color indexed="81"/>
            <rFont val="Tahoma"/>
            <family val="2"/>
          </rPr>
          <t>Author:</t>
        </r>
        <r>
          <rPr>
            <sz val="9"/>
            <color indexed="81"/>
            <rFont val="Tahoma"/>
            <family val="2"/>
          </rPr>
          <t xml:space="preserve">
gap-filled using the corresponding data in the same wetland type</t>
        </r>
      </text>
    </comment>
    <comment ref="DN297" authorId="0" shapeId="0" xr:uid="{21A7C71B-A3BD-4BAC-84C5-51DDF1929557}">
      <text>
        <r>
          <rPr>
            <b/>
            <sz val="9"/>
            <color indexed="81"/>
            <rFont val="Tahoma"/>
            <family val="2"/>
          </rPr>
          <t>Author:</t>
        </r>
        <r>
          <rPr>
            <sz val="9"/>
            <color indexed="81"/>
            <rFont val="Tahoma"/>
            <family val="2"/>
          </rPr>
          <t xml:space="preserve">
gap-filled using the corresponding data in the same wetland type</t>
        </r>
      </text>
    </comment>
    <comment ref="DR297" authorId="0" shapeId="0" xr:uid="{FFFA1ED0-7CCF-4C8B-A212-AF72FA417E62}">
      <text>
        <r>
          <rPr>
            <b/>
            <sz val="9"/>
            <color indexed="81"/>
            <rFont val="Tahoma"/>
            <family val="2"/>
          </rPr>
          <t>Author:</t>
        </r>
        <r>
          <rPr>
            <sz val="9"/>
            <color indexed="81"/>
            <rFont val="Tahoma"/>
            <family val="2"/>
          </rPr>
          <t xml:space="preserve">
gap-filled using the corresponding data in the same wetland type</t>
        </r>
      </text>
    </comment>
    <comment ref="DN298" authorId="0" shapeId="0" xr:uid="{06044A39-3B4F-42C4-9C9B-74E0C193576F}">
      <text>
        <r>
          <rPr>
            <b/>
            <sz val="9"/>
            <color indexed="81"/>
            <rFont val="Tahoma"/>
            <family val="2"/>
          </rPr>
          <t>Author:</t>
        </r>
        <r>
          <rPr>
            <sz val="9"/>
            <color indexed="81"/>
            <rFont val="Tahoma"/>
            <family val="2"/>
          </rPr>
          <t xml:space="preserve">
gap-filled using the corresponding data in the same wetland type</t>
        </r>
      </text>
    </comment>
    <comment ref="DR298" authorId="0" shapeId="0" xr:uid="{507750C1-C576-4658-8FC7-DAD9A70D79BF}">
      <text>
        <r>
          <rPr>
            <b/>
            <sz val="9"/>
            <color indexed="81"/>
            <rFont val="Tahoma"/>
            <family val="2"/>
          </rPr>
          <t>Author:</t>
        </r>
        <r>
          <rPr>
            <sz val="9"/>
            <color indexed="81"/>
            <rFont val="Tahoma"/>
            <family val="2"/>
          </rPr>
          <t xml:space="preserve">
gap-filled using the corresponding data in the same wetland type</t>
        </r>
      </text>
    </comment>
    <comment ref="DN299" authorId="0" shapeId="0" xr:uid="{0F691770-0B68-43D9-8424-A32313672E2A}">
      <text>
        <r>
          <rPr>
            <b/>
            <sz val="9"/>
            <color indexed="81"/>
            <rFont val="Tahoma"/>
            <family val="2"/>
          </rPr>
          <t>Author:</t>
        </r>
        <r>
          <rPr>
            <sz val="9"/>
            <color indexed="81"/>
            <rFont val="Tahoma"/>
            <family val="2"/>
          </rPr>
          <t xml:space="preserve">
gap-filled using the corresponding data in the same wetland type</t>
        </r>
      </text>
    </comment>
    <comment ref="DR299" authorId="0" shapeId="0" xr:uid="{390CE0EE-6E83-4A16-AFBE-2C02B869DAF4}">
      <text>
        <r>
          <rPr>
            <b/>
            <sz val="9"/>
            <color indexed="81"/>
            <rFont val="Tahoma"/>
            <family val="2"/>
          </rPr>
          <t>Author:</t>
        </r>
        <r>
          <rPr>
            <sz val="9"/>
            <color indexed="81"/>
            <rFont val="Tahoma"/>
            <family val="2"/>
          </rPr>
          <t xml:space="preserve">
gap-filled using the corresponding data in the same wetland type</t>
        </r>
      </text>
    </comment>
    <comment ref="DN300" authorId="0" shapeId="0" xr:uid="{489FC2A6-E07B-4CF5-B113-D2B485FC691B}">
      <text>
        <r>
          <rPr>
            <b/>
            <sz val="9"/>
            <color indexed="81"/>
            <rFont val="Tahoma"/>
            <family val="2"/>
          </rPr>
          <t>Author:</t>
        </r>
        <r>
          <rPr>
            <sz val="9"/>
            <color indexed="81"/>
            <rFont val="Tahoma"/>
            <family val="2"/>
          </rPr>
          <t xml:space="preserve">
gap-filled using the corresponding data in the same wetland type</t>
        </r>
      </text>
    </comment>
    <comment ref="DN301" authorId="0" shapeId="0" xr:uid="{D023262A-F456-4C4C-9F2B-CA3E3124EDAA}">
      <text>
        <r>
          <rPr>
            <b/>
            <sz val="9"/>
            <color indexed="81"/>
            <rFont val="Tahoma"/>
            <family val="2"/>
          </rPr>
          <t>Author:</t>
        </r>
        <r>
          <rPr>
            <sz val="9"/>
            <color indexed="81"/>
            <rFont val="Tahoma"/>
            <family val="2"/>
          </rPr>
          <t xml:space="preserve">
gap-filled using the corresponding data in the same wetland type</t>
        </r>
      </text>
    </comment>
    <comment ref="DR301" authorId="0" shapeId="0" xr:uid="{C07550DA-AD28-446F-81FC-91D3294C5AC6}">
      <text>
        <r>
          <rPr>
            <b/>
            <sz val="9"/>
            <color indexed="81"/>
            <rFont val="Tahoma"/>
            <family val="2"/>
          </rPr>
          <t>Author:</t>
        </r>
        <r>
          <rPr>
            <sz val="9"/>
            <color indexed="81"/>
            <rFont val="Tahoma"/>
            <family val="2"/>
          </rPr>
          <t xml:space="preserve">
gap-filled using the corresponding data in the same wetland type</t>
        </r>
      </text>
    </comment>
    <comment ref="DN302" authorId="0" shapeId="0" xr:uid="{4152968A-FE21-4265-988A-2558E9E0B44E}">
      <text>
        <r>
          <rPr>
            <b/>
            <sz val="9"/>
            <color indexed="81"/>
            <rFont val="Tahoma"/>
            <family val="2"/>
          </rPr>
          <t>Author:</t>
        </r>
        <r>
          <rPr>
            <sz val="9"/>
            <color indexed="81"/>
            <rFont val="Tahoma"/>
            <family val="2"/>
          </rPr>
          <t xml:space="preserve">
gap-filled using the corresponding data in the same wetland type</t>
        </r>
      </text>
    </comment>
    <comment ref="DR302" authorId="0" shapeId="0" xr:uid="{719F757A-C549-4297-8D21-C4EA70FB515F}">
      <text>
        <r>
          <rPr>
            <b/>
            <sz val="9"/>
            <color indexed="81"/>
            <rFont val="Tahoma"/>
            <family val="2"/>
          </rPr>
          <t>Author:</t>
        </r>
        <r>
          <rPr>
            <sz val="9"/>
            <color indexed="81"/>
            <rFont val="Tahoma"/>
            <family val="2"/>
          </rPr>
          <t xml:space="preserve">
gap-filled using the corresponding data in the same wetland type</t>
        </r>
      </text>
    </comment>
    <comment ref="DN303" authorId="0" shapeId="0" xr:uid="{D3C9C410-784F-48B0-A14D-B8AADE58E021}">
      <text>
        <r>
          <rPr>
            <b/>
            <sz val="9"/>
            <color indexed="81"/>
            <rFont val="Tahoma"/>
            <family val="2"/>
          </rPr>
          <t>Author:</t>
        </r>
        <r>
          <rPr>
            <sz val="9"/>
            <color indexed="81"/>
            <rFont val="Tahoma"/>
            <family val="2"/>
          </rPr>
          <t xml:space="preserve">
gap-filled using the corresponding data in the same wetland type</t>
        </r>
      </text>
    </comment>
    <comment ref="DR303" authorId="0" shapeId="0" xr:uid="{111F8FBB-C70B-42D9-9431-CB9F41DE0410}">
      <text>
        <r>
          <rPr>
            <b/>
            <sz val="9"/>
            <color indexed="81"/>
            <rFont val="Tahoma"/>
            <family val="2"/>
          </rPr>
          <t>Author:</t>
        </r>
        <r>
          <rPr>
            <sz val="9"/>
            <color indexed="81"/>
            <rFont val="Tahoma"/>
            <family val="2"/>
          </rPr>
          <t xml:space="preserve">
gap-filled using the corresponding data in the same wetland type</t>
        </r>
      </text>
    </comment>
    <comment ref="DN304" authorId="0" shapeId="0" xr:uid="{9FD0DEAC-7CE1-4E33-8DF7-2DC8ACA71415}">
      <text>
        <r>
          <rPr>
            <b/>
            <sz val="9"/>
            <color indexed="81"/>
            <rFont val="Tahoma"/>
            <family val="2"/>
          </rPr>
          <t>Author:</t>
        </r>
        <r>
          <rPr>
            <sz val="9"/>
            <color indexed="81"/>
            <rFont val="Tahoma"/>
            <family val="2"/>
          </rPr>
          <t xml:space="preserve">
gap-filled using the corresponding data in the same wetland type</t>
        </r>
      </text>
    </comment>
    <comment ref="DR304" authorId="0" shapeId="0" xr:uid="{A02D80E7-4047-4212-BCB7-68268A868F52}">
      <text>
        <r>
          <rPr>
            <b/>
            <sz val="9"/>
            <color indexed="81"/>
            <rFont val="Tahoma"/>
            <family val="2"/>
          </rPr>
          <t>Author:</t>
        </r>
        <r>
          <rPr>
            <sz val="9"/>
            <color indexed="81"/>
            <rFont val="Tahoma"/>
            <family val="2"/>
          </rPr>
          <t xml:space="preserve">
gap-filled using the corresponding data in the same wetland type</t>
        </r>
      </text>
    </comment>
    <comment ref="DN305" authorId="0" shapeId="0" xr:uid="{115BE88D-3969-43D7-ACBF-A92740ADA5CD}">
      <text>
        <r>
          <rPr>
            <b/>
            <sz val="9"/>
            <color indexed="81"/>
            <rFont val="Tahoma"/>
            <family val="2"/>
          </rPr>
          <t>Author:</t>
        </r>
        <r>
          <rPr>
            <sz val="9"/>
            <color indexed="81"/>
            <rFont val="Tahoma"/>
            <family val="2"/>
          </rPr>
          <t xml:space="preserve">
gap-filled using the corresponding data in the same wetland type</t>
        </r>
      </text>
    </comment>
    <comment ref="DR305" authorId="0" shapeId="0" xr:uid="{486E007B-EAEE-46F0-885A-CE1199411B78}">
      <text>
        <r>
          <rPr>
            <b/>
            <sz val="9"/>
            <color indexed="81"/>
            <rFont val="Tahoma"/>
            <family val="2"/>
          </rPr>
          <t>Author:</t>
        </r>
        <r>
          <rPr>
            <sz val="9"/>
            <color indexed="81"/>
            <rFont val="Tahoma"/>
            <family val="2"/>
          </rPr>
          <t xml:space="preserve">
gap-filled using the corresponding data in the same wetland type</t>
        </r>
      </text>
    </comment>
    <comment ref="DN306" authorId="0" shapeId="0" xr:uid="{9858BF85-B2FB-4E9B-940B-0F0A8B5F94CB}">
      <text>
        <r>
          <rPr>
            <b/>
            <sz val="9"/>
            <color indexed="81"/>
            <rFont val="Tahoma"/>
            <family val="2"/>
          </rPr>
          <t>Author:</t>
        </r>
        <r>
          <rPr>
            <sz val="9"/>
            <color indexed="81"/>
            <rFont val="Tahoma"/>
            <family val="2"/>
          </rPr>
          <t xml:space="preserve">
gap-filled using the corresponding data in the same wetland type</t>
        </r>
      </text>
    </comment>
    <comment ref="DR306" authorId="0" shapeId="0" xr:uid="{B3B5E704-B40D-4C89-B268-9E892DB4DD97}">
      <text>
        <r>
          <rPr>
            <b/>
            <sz val="9"/>
            <color indexed="81"/>
            <rFont val="Tahoma"/>
            <family val="2"/>
          </rPr>
          <t>Author:</t>
        </r>
        <r>
          <rPr>
            <sz val="9"/>
            <color indexed="81"/>
            <rFont val="Tahoma"/>
            <family val="2"/>
          </rPr>
          <t xml:space="preserve">
gap-filled using the corresponding data in the same wetland type</t>
        </r>
      </text>
    </comment>
    <comment ref="DN307" authorId="0" shapeId="0" xr:uid="{1906E593-FAF2-48B4-9BF9-0B07CCA98E11}">
      <text>
        <r>
          <rPr>
            <b/>
            <sz val="9"/>
            <color indexed="81"/>
            <rFont val="Tahoma"/>
            <family val="2"/>
          </rPr>
          <t>Author:</t>
        </r>
        <r>
          <rPr>
            <sz val="9"/>
            <color indexed="81"/>
            <rFont val="Tahoma"/>
            <family val="2"/>
          </rPr>
          <t xml:space="preserve">
gap-filled using the corresponding data in the same wetland type</t>
        </r>
      </text>
    </comment>
    <comment ref="DN308" authorId="0" shapeId="0" xr:uid="{F053E54D-0F3B-436C-BB02-215F099785CD}">
      <text>
        <r>
          <rPr>
            <b/>
            <sz val="9"/>
            <color indexed="81"/>
            <rFont val="Tahoma"/>
            <family val="2"/>
          </rPr>
          <t>Author:</t>
        </r>
        <r>
          <rPr>
            <sz val="9"/>
            <color indexed="81"/>
            <rFont val="Tahoma"/>
            <family val="2"/>
          </rPr>
          <t xml:space="preserve">
gap-filled using the corresponding data in the same wetland type</t>
        </r>
      </text>
    </comment>
    <comment ref="DR308" authorId="0" shapeId="0" xr:uid="{5A527AEE-3C9C-4804-AA95-1B5B11C7A0B4}">
      <text>
        <r>
          <rPr>
            <b/>
            <sz val="9"/>
            <color indexed="81"/>
            <rFont val="Tahoma"/>
            <family val="2"/>
          </rPr>
          <t>Author:</t>
        </r>
        <r>
          <rPr>
            <sz val="9"/>
            <color indexed="81"/>
            <rFont val="Tahoma"/>
            <family val="2"/>
          </rPr>
          <t xml:space="preserve">
gap-filled using the corresponding data in the same wetland type</t>
        </r>
      </text>
    </comment>
    <comment ref="DN309" authorId="0" shapeId="0" xr:uid="{45AA1FEF-E56C-4CDC-A2AC-1CBB426808DD}">
      <text>
        <r>
          <rPr>
            <b/>
            <sz val="9"/>
            <color indexed="81"/>
            <rFont val="Tahoma"/>
            <family val="2"/>
          </rPr>
          <t>Author:</t>
        </r>
        <r>
          <rPr>
            <sz val="9"/>
            <color indexed="81"/>
            <rFont val="Tahoma"/>
            <family val="2"/>
          </rPr>
          <t xml:space="preserve">
gap-filled using the corresponding data in the same wetland type</t>
        </r>
      </text>
    </comment>
    <comment ref="DR309" authorId="0" shapeId="0" xr:uid="{1D5006B8-06E0-4889-901A-A5D0CAEDFDEE}">
      <text>
        <r>
          <rPr>
            <b/>
            <sz val="9"/>
            <color indexed="81"/>
            <rFont val="Tahoma"/>
            <family val="2"/>
          </rPr>
          <t>Author:</t>
        </r>
        <r>
          <rPr>
            <sz val="9"/>
            <color indexed="81"/>
            <rFont val="Tahoma"/>
            <family val="2"/>
          </rPr>
          <t xml:space="preserve">
gap-filled using the corresponding data in the same wetland type</t>
        </r>
      </text>
    </comment>
    <comment ref="DN310" authorId="0" shapeId="0" xr:uid="{60207DAB-04FF-4575-BFDC-080E836980ED}">
      <text>
        <r>
          <rPr>
            <b/>
            <sz val="9"/>
            <color indexed="81"/>
            <rFont val="Tahoma"/>
            <family val="2"/>
          </rPr>
          <t>Author:</t>
        </r>
        <r>
          <rPr>
            <sz val="9"/>
            <color indexed="81"/>
            <rFont val="Tahoma"/>
            <family val="2"/>
          </rPr>
          <t xml:space="preserve">
gap-filled using the corresponding data in the same wetland type</t>
        </r>
      </text>
    </comment>
    <comment ref="DR310" authorId="0" shapeId="0" xr:uid="{670C8E4B-258C-4F02-B7C7-9F1679DE46A0}">
      <text>
        <r>
          <rPr>
            <b/>
            <sz val="9"/>
            <color indexed="81"/>
            <rFont val="Tahoma"/>
            <family val="2"/>
          </rPr>
          <t>Author:</t>
        </r>
        <r>
          <rPr>
            <sz val="9"/>
            <color indexed="81"/>
            <rFont val="Tahoma"/>
            <family val="2"/>
          </rPr>
          <t xml:space="preserve">
gap-filled using the corresponding data in the same wetland type</t>
        </r>
      </text>
    </comment>
    <comment ref="DN311" authorId="0" shapeId="0" xr:uid="{AEF395BC-93BE-4604-9629-5D42636F5441}">
      <text>
        <r>
          <rPr>
            <b/>
            <sz val="9"/>
            <color indexed="81"/>
            <rFont val="Tahoma"/>
            <family val="2"/>
          </rPr>
          <t>Author:</t>
        </r>
        <r>
          <rPr>
            <sz val="9"/>
            <color indexed="81"/>
            <rFont val="Tahoma"/>
            <family val="2"/>
          </rPr>
          <t xml:space="preserve">
gap-filled using the corresponding data in the same wetland type</t>
        </r>
      </text>
    </comment>
    <comment ref="DN312" authorId="0" shapeId="0" xr:uid="{9959DA74-B2D6-42C7-ABF2-D7879438E581}">
      <text>
        <r>
          <rPr>
            <b/>
            <sz val="9"/>
            <color indexed="81"/>
            <rFont val="Tahoma"/>
            <family val="2"/>
          </rPr>
          <t>Author:</t>
        </r>
        <r>
          <rPr>
            <sz val="9"/>
            <color indexed="81"/>
            <rFont val="Tahoma"/>
            <family val="2"/>
          </rPr>
          <t xml:space="preserve">
gap-filled using the corresponding data in the same wetland type</t>
        </r>
      </text>
    </comment>
    <comment ref="DR312" authorId="0" shapeId="0" xr:uid="{CC14F4B2-9FAF-40F1-84D3-416947B6404F}">
      <text>
        <r>
          <rPr>
            <b/>
            <sz val="9"/>
            <color indexed="81"/>
            <rFont val="Tahoma"/>
            <family val="2"/>
          </rPr>
          <t>Author:</t>
        </r>
        <r>
          <rPr>
            <sz val="9"/>
            <color indexed="81"/>
            <rFont val="Tahoma"/>
            <family val="2"/>
          </rPr>
          <t xml:space="preserve">
gap-filled using the corresponding data in the same wetland type</t>
        </r>
      </text>
    </comment>
    <comment ref="DN313" authorId="0" shapeId="0" xr:uid="{06EC08C8-67B3-4093-A089-C6E71214A985}">
      <text>
        <r>
          <rPr>
            <b/>
            <sz val="9"/>
            <color indexed="81"/>
            <rFont val="Tahoma"/>
            <family val="2"/>
          </rPr>
          <t>Author:</t>
        </r>
        <r>
          <rPr>
            <sz val="9"/>
            <color indexed="81"/>
            <rFont val="Tahoma"/>
            <family val="2"/>
          </rPr>
          <t xml:space="preserve">
gap-filled using the corresponding data in the same wetland type</t>
        </r>
      </text>
    </comment>
    <comment ref="DN314" authorId="0" shapeId="0" xr:uid="{29504C9E-E134-4980-A3C2-9D89D00693AE}">
      <text>
        <r>
          <rPr>
            <b/>
            <sz val="9"/>
            <color indexed="81"/>
            <rFont val="Tahoma"/>
            <family val="2"/>
          </rPr>
          <t>Author:</t>
        </r>
        <r>
          <rPr>
            <sz val="9"/>
            <color indexed="81"/>
            <rFont val="Tahoma"/>
            <family val="2"/>
          </rPr>
          <t xml:space="preserve">
gap-filled using the corresponding data in the same wetland type</t>
        </r>
      </text>
    </comment>
    <comment ref="DR314" authorId="0" shapeId="0" xr:uid="{D37324B0-3CF8-4F3F-846C-64DDAECDEF83}">
      <text>
        <r>
          <rPr>
            <b/>
            <sz val="9"/>
            <color indexed="81"/>
            <rFont val="Tahoma"/>
            <family val="2"/>
          </rPr>
          <t>Author:</t>
        </r>
        <r>
          <rPr>
            <sz val="9"/>
            <color indexed="81"/>
            <rFont val="Tahoma"/>
            <family val="2"/>
          </rPr>
          <t xml:space="preserve">
gap-filled using the corresponding data in the same wetland type</t>
        </r>
      </text>
    </comment>
    <comment ref="DN315" authorId="0" shapeId="0" xr:uid="{561A8774-E37F-405F-8142-17DE008D29FE}">
      <text>
        <r>
          <rPr>
            <b/>
            <sz val="9"/>
            <color indexed="81"/>
            <rFont val="Tahoma"/>
            <family val="2"/>
          </rPr>
          <t>Author:</t>
        </r>
        <r>
          <rPr>
            <sz val="9"/>
            <color indexed="81"/>
            <rFont val="Tahoma"/>
            <family val="2"/>
          </rPr>
          <t xml:space="preserve">
gap-filled using the corresponding data in the same wetland type</t>
        </r>
      </text>
    </comment>
    <comment ref="DR315" authorId="0" shapeId="0" xr:uid="{0ECE5CE7-8AAA-425A-BA07-EEE03F276045}">
      <text>
        <r>
          <rPr>
            <b/>
            <sz val="9"/>
            <color indexed="81"/>
            <rFont val="Tahoma"/>
            <family val="2"/>
          </rPr>
          <t>Author:</t>
        </r>
        <r>
          <rPr>
            <sz val="9"/>
            <color indexed="81"/>
            <rFont val="Tahoma"/>
            <family val="2"/>
          </rPr>
          <t xml:space="preserve">
gap-filled using the corresponding data in the same wetland type</t>
        </r>
      </text>
    </comment>
    <comment ref="DN333" authorId="0" shapeId="0" xr:uid="{A13C2FCE-9E94-4608-9331-EE752DC979D1}">
      <text>
        <r>
          <rPr>
            <b/>
            <sz val="9"/>
            <color indexed="81"/>
            <rFont val="Tahoma"/>
            <family val="2"/>
          </rPr>
          <t>Author:</t>
        </r>
        <r>
          <rPr>
            <sz val="9"/>
            <color indexed="81"/>
            <rFont val="Tahoma"/>
            <family val="2"/>
          </rPr>
          <t xml:space="preserve">
gap-filled using the corresponding data in the same wetland type</t>
        </r>
      </text>
    </comment>
    <comment ref="DR333" authorId="0" shapeId="0" xr:uid="{4248B3E7-0A54-4729-9489-23E45E663108}">
      <text>
        <r>
          <rPr>
            <b/>
            <sz val="9"/>
            <color indexed="81"/>
            <rFont val="Tahoma"/>
            <family val="2"/>
          </rPr>
          <t>Author:</t>
        </r>
        <r>
          <rPr>
            <sz val="9"/>
            <color indexed="81"/>
            <rFont val="Tahoma"/>
            <family val="2"/>
          </rPr>
          <t xml:space="preserve">
gap-filled using the corresponding data in the same wetland type</t>
        </r>
      </text>
    </comment>
    <comment ref="DN334" authorId="0" shapeId="0" xr:uid="{E6DF28ED-FC3B-4397-940A-E1F9E4E8D3ED}">
      <text>
        <r>
          <rPr>
            <b/>
            <sz val="9"/>
            <color indexed="81"/>
            <rFont val="Tahoma"/>
            <family val="2"/>
          </rPr>
          <t>Author:</t>
        </r>
        <r>
          <rPr>
            <sz val="9"/>
            <color indexed="81"/>
            <rFont val="Tahoma"/>
            <family val="2"/>
          </rPr>
          <t xml:space="preserve">
gap-filled using the corresponding data in the same wetland type</t>
        </r>
      </text>
    </comment>
    <comment ref="DR334" authorId="0" shapeId="0" xr:uid="{0C2B22BB-472A-456D-99B3-E86DF7C9C3B6}">
      <text>
        <r>
          <rPr>
            <b/>
            <sz val="9"/>
            <color indexed="81"/>
            <rFont val="Tahoma"/>
            <family val="2"/>
          </rPr>
          <t>Author:</t>
        </r>
        <r>
          <rPr>
            <sz val="9"/>
            <color indexed="81"/>
            <rFont val="Tahoma"/>
            <family val="2"/>
          </rPr>
          <t xml:space="preserve">
gap-filled using the corresponding data in the same wetland type</t>
        </r>
      </text>
    </comment>
    <comment ref="DN335" authorId="0" shapeId="0" xr:uid="{F23DEFBE-EE92-4258-99A9-32C52D993169}">
      <text>
        <r>
          <rPr>
            <b/>
            <sz val="9"/>
            <color indexed="81"/>
            <rFont val="Tahoma"/>
            <family val="2"/>
          </rPr>
          <t>Author:</t>
        </r>
        <r>
          <rPr>
            <sz val="9"/>
            <color indexed="81"/>
            <rFont val="Tahoma"/>
            <family val="2"/>
          </rPr>
          <t xml:space="preserve">
gap-filled using the corresponding data in the same wetland type</t>
        </r>
      </text>
    </comment>
    <comment ref="DR335" authorId="0" shapeId="0" xr:uid="{87F5109E-839D-4FC8-B0CE-01B68541468B}">
      <text>
        <r>
          <rPr>
            <b/>
            <sz val="9"/>
            <color indexed="81"/>
            <rFont val="Tahoma"/>
            <family val="2"/>
          </rPr>
          <t>Author:</t>
        </r>
        <r>
          <rPr>
            <sz val="9"/>
            <color indexed="81"/>
            <rFont val="Tahoma"/>
            <family val="2"/>
          </rPr>
          <t xml:space="preserve">
gap-filled using the corresponding data in the same wetland type</t>
        </r>
      </text>
    </comment>
    <comment ref="DN336" authorId="0" shapeId="0" xr:uid="{2B2796CE-7090-47F7-AB36-34CE80D3BE0E}">
      <text>
        <r>
          <rPr>
            <b/>
            <sz val="9"/>
            <color indexed="81"/>
            <rFont val="Tahoma"/>
            <family val="2"/>
          </rPr>
          <t>Author:</t>
        </r>
        <r>
          <rPr>
            <sz val="9"/>
            <color indexed="81"/>
            <rFont val="Tahoma"/>
            <family val="2"/>
          </rPr>
          <t xml:space="preserve">
gap-filled using the corresponding data in the same wetland type</t>
        </r>
      </text>
    </comment>
    <comment ref="DR336" authorId="0" shapeId="0" xr:uid="{C0026900-873B-426A-9060-BA9236ACBB3D}">
      <text>
        <r>
          <rPr>
            <b/>
            <sz val="9"/>
            <color indexed="81"/>
            <rFont val="Tahoma"/>
            <family val="2"/>
          </rPr>
          <t>Author:</t>
        </r>
        <r>
          <rPr>
            <sz val="9"/>
            <color indexed="81"/>
            <rFont val="Tahoma"/>
            <family val="2"/>
          </rPr>
          <t xml:space="preserve">
gap-filled using the corresponding data in the same wetland type</t>
        </r>
      </text>
    </comment>
    <comment ref="DN337" authorId="0" shapeId="0" xr:uid="{25AC7EA9-872E-461C-BD6F-2D104B8373E8}">
      <text>
        <r>
          <rPr>
            <b/>
            <sz val="9"/>
            <color indexed="81"/>
            <rFont val="Tahoma"/>
            <family val="2"/>
          </rPr>
          <t>Author:</t>
        </r>
        <r>
          <rPr>
            <sz val="9"/>
            <color indexed="81"/>
            <rFont val="Tahoma"/>
            <family val="2"/>
          </rPr>
          <t xml:space="preserve">
gap-filled using the corresponding data in the same wetland type</t>
        </r>
      </text>
    </comment>
    <comment ref="DR337" authorId="0" shapeId="0" xr:uid="{43443700-7BB0-4A24-B453-251CB5B7214C}">
      <text>
        <r>
          <rPr>
            <b/>
            <sz val="9"/>
            <color indexed="81"/>
            <rFont val="Tahoma"/>
            <family val="2"/>
          </rPr>
          <t>Author:</t>
        </r>
        <r>
          <rPr>
            <sz val="9"/>
            <color indexed="81"/>
            <rFont val="Tahoma"/>
            <family val="2"/>
          </rPr>
          <t xml:space="preserve">
gap-filled using the corresponding data in the same wetland type</t>
        </r>
      </text>
    </comment>
    <comment ref="DN338" authorId="0" shapeId="0" xr:uid="{0B25509E-A41D-4A3C-A118-5B8862DDE671}">
      <text>
        <r>
          <rPr>
            <b/>
            <sz val="9"/>
            <color indexed="81"/>
            <rFont val="Tahoma"/>
            <family val="2"/>
          </rPr>
          <t>Author:</t>
        </r>
        <r>
          <rPr>
            <sz val="9"/>
            <color indexed="81"/>
            <rFont val="Tahoma"/>
            <family val="2"/>
          </rPr>
          <t xml:space="preserve">
gap-filled using the corresponding data in the same wetland type</t>
        </r>
      </text>
    </comment>
    <comment ref="DR338" authorId="0" shapeId="0" xr:uid="{E6475A89-DFA1-49F2-9134-773DAB07DE95}">
      <text>
        <r>
          <rPr>
            <b/>
            <sz val="9"/>
            <color indexed="81"/>
            <rFont val="Tahoma"/>
            <family val="2"/>
          </rPr>
          <t>Author:</t>
        </r>
        <r>
          <rPr>
            <sz val="9"/>
            <color indexed="81"/>
            <rFont val="Tahoma"/>
            <family val="2"/>
          </rPr>
          <t xml:space="preserve">
gap-filled using the corresponding data in the same wetland type</t>
        </r>
      </text>
    </comment>
    <comment ref="CA339" authorId="0" shapeId="0" xr:uid="{CC2336C4-34FB-418B-A2F2-9D4B8D640EDF}">
      <text>
        <r>
          <rPr>
            <b/>
            <sz val="9"/>
            <color indexed="81"/>
            <rFont val="Tahoma"/>
            <family val="2"/>
          </rPr>
          <t>Author:</t>
        </r>
        <r>
          <rPr>
            <sz val="9"/>
            <color indexed="81"/>
            <rFont val="Tahoma"/>
            <family val="2"/>
          </rPr>
          <t xml:space="preserve">
gap-filled using the corresponding data in the same wetland type</t>
        </r>
      </text>
    </comment>
    <comment ref="CE339" authorId="0" shapeId="0" xr:uid="{80D00CA8-6AC7-4E08-BEE1-F5988E478363}">
      <text>
        <r>
          <rPr>
            <b/>
            <sz val="9"/>
            <color indexed="81"/>
            <rFont val="Tahoma"/>
            <family val="2"/>
          </rPr>
          <t>Author:</t>
        </r>
        <r>
          <rPr>
            <sz val="9"/>
            <color indexed="81"/>
            <rFont val="Tahoma"/>
            <family val="2"/>
          </rPr>
          <t xml:space="preserve">
gap-filled using the corresponding data in the same wetland type</t>
        </r>
      </text>
    </comment>
    <comment ref="CN339" authorId="0" shapeId="0" xr:uid="{6D099A10-EC71-49B0-BD96-A49EF3EA1C65}">
      <text>
        <r>
          <rPr>
            <b/>
            <sz val="9"/>
            <color indexed="81"/>
            <rFont val="Tahoma"/>
            <family val="2"/>
          </rPr>
          <t>Author:</t>
        </r>
        <r>
          <rPr>
            <sz val="9"/>
            <color indexed="81"/>
            <rFont val="Tahoma"/>
            <family val="2"/>
          </rPr>
          <t xml:space="preserve">
gap-filled using the corresponding data in the same wetland type</t>
        </r>
      </text>
    </comment>
    <comment ref="CR339" authorId="0" shapeId="0" xr:uid="{581A2967-0377-4A3E-A38A-9CC93DA29B13}">
      <text>
        <r>
          <rPr>
            <b/>
            <sz val="9"/>
            <color indexed="81"/>
            <rFont val="Tahoma"/>
            <family val="2"/>
          </rPr>
          <t>Author:</t>
        </r>
        <r>
          <rPr>
            <sz val="9"/>
            <color indexed="81"/>
            <rFont val="Tahoma"/>
            <family val="2"/>
          </rPr>
          <t xml:space="preserve">
gap-filled using the corresponding data in the same wetland type</t>
        </r>
      </text>
    </comment>
    <comment ref="DA339" authorId="0" shapeId="0" xr:uid="{8D39A6A9-D3E8-4784-87DF-190210F6FEBA}">
      <text>
        <r>
          <rPr>
            <b/>
            <sz val="9"/>
            <color indexed="81"/>
            <rFont val="Tahoma"/>
            <family val="2"/>
          </rPr>
          <t>Author:</t>
        </r>
        <r>
          <rPr>
            <sz val="9"/>
            <color indexed="81"/>
            <rFont val="Tahoma"/>
            <family val="2"/>
          </rPr>
          <t xml:space="preserve">
gap-filled using the corresponding data in the same wetland type</t>
        </r>
      </text>
    </comment>
    <comment ref="DE339" authorId="0" shapeId="0" xr:uid="{6F480713-9474-49D2-87E0-6454E4E09FFF}">
      <text>
        <r>
          <rPr>
            <b/>
            <sz val="9"/>
            <color indexed="81"/>
            <rFont val="Tahoma"/>
            <family val="2"/>
          </rPr>
          <t>Author:</t>
        </r>
        <r>
          <rPr>
            <sz val="9"/>
            <color indexed="81"/>
            <rFont val="Tahoma"/>
            <family val="2"/>
          </rPr>
          <t xml:space="preserve">
gap-filled using the corresponding data in the same wetland type</t>
        </r>
      </text>
    </comment>
    <comment ref="DN339" authorId="0" shapeId="0" xr:uid="{4F8B1E71-0C44-4B2F-A98A-A2AA8BB51550}">
      <text>
        <r>
          <rPr>
            <b/>
            <sz val="9"/>
            <color indexed="81"/>
            <rFont val="Tahoma"/>
            <family val="2"/>
          </rPr>
          <t>Author:</t>
        </r>
        <r>
          <rPr>
            <sz val="9"/>
            <color indexed="81"/>
            <rFont val="Tahoma"/>
            <family val="2"/>
          </rPr>
          <t xml:space="preserve">
gap-filled using the corresponding data in the same wetland type</t>
        </r>
      </text>
    </comment>
    <comment ref="DR339" authorId="0" shapeId="0" xr:uid="{F039E89F-9930-466D-B4C6-9C951589E8F9}">
      <text>
        <r>
          <rPr>
            <b/>
            <sz val="9"/>
            <color indexed="81"/>
            <rFont val="Tahoma"/>
            <family val="2"/>
          </rPr>
          <t>Author:</t>
        </r>
        <r>
          <rPr>
            <sz val="9"/>
            <color indexed="81"/>
            <rFont val="Tahoma"/>
            <family val="2"/>
          </rPr>
          <t xml:space="preserve">
gap-filled using the corresponding data in the same wetland type</t>
        </r>
      </text>
    </comment>
    <comment ref="CA340" authorId="0" shapeId="0" xr:uid="{BD83ABC4-F2CD-47EF-8AA9-2BC3C6FF2732}">
      <text>
        <r>
          <rPr>
            <b/>
            <sz val="9"/>
            <color indexed="81"/>
            <rFont val="Tahoma"/>
            <family val="2"/>
          </rPr>
          <t>Author:</t>
        </r>
        <r>
          <rPr>
            <sz val="9"/>
            <color indexed="81"/>
            <rFont val="Tahoma"/>
            <family val="2"/>
          </rPr>
          <t xml:space="preserve">
gap-filled using the corresponding data in the same wetland type</t>
        </r>
      </text>
    </comment>
    <comment ref="CE340" authorId="0" shapeId="0" xr:uid="{0B61DD7F-EE6C-44C7-A5BD-03E684277493}">
      <text>
        <r>
          <rPr>
            <b/>
            <sz val="9"/>
            <color indexed="81"/>
            <rFont val="Tahoma"/>
            <family val="2"/>
          </rPr>
          <t>Author:</t>
        </r>
        <r>
          <rPr>
            <sz val="9"/>
            <color indexed="81"/>
            <rFont val="Tahoma"/>
            <family val="2"/>
          </rPr>
          <t xml:space="preserve">
gap-filled using the corresponding data in the same wetland type</t>
        </r>
      </text>
    </comment>
    <comment ref="CN340" authorId="0" shapeId="0" xr:uid="{86E62940-B19C-4F1A-A8AD-B0E973DA0919}">
      <text>
        <r>
          <rPr>
            <b/>
            <sz val="9"/>
            <color indexed="81"/>
            <rFont val="Tahoma"/>
            <family val="2"/>
          </rPr>
          <t>Author:</t>
        </r>
        <r>
          <rPr>
            <sz val="9"/>
            <color indexed="81"/>
            <rFont val="Tahoma"/>
            <family val="2"/>
          </rPr>
          <t xml:space="preserve">
gap-filled using the corresponding data in the same wetland type</t>
        </r>
      </text>
    </comment>
    <comment ref="CR340" authorId="0" shapeId="0" xr:uid="{C3CA4E40-1C21-49C9-9687-A4C475E3AE4B}">
      <text>
        <r>
          <rPr>
            <b/>
            <sz val="9"/>
            <color indexed="81"/>
            <rFont val="Tahoma"/>
            <family val="2"/>
          </rPr>
          <t>Author:</t>
        </r>
        <r>
          <rPr>
            <sz val="9"/>
            <color indexed="81"/>
            <rFont val="Tahoma"/>
            <family val="2"/>
          </rPr>
          <t xml:space="preserve">
gap-filled using the corresponding data in the same wetland type</t>
        </r>
      </text>
    </comment>
    <comment ref="DA340" authorId="0" shapeId="0" xr:uid="{0D6519C8-5A33-4ECF-B46A-751F2B14542F}">
      <text>
        <r>
          <rPr>
            <b/>
            <sz val="9"/>
            <color indexed="81"/>
            <rFont val="Tahoma"/>
            <family val="2"/>
          </rPr>
          <t>Author:</t>
        </r>
        <r>
          <rPr>
            <sz val="9"/>
            <color indexed="81"/>
            <rFont val="Tahoma"/>
            <family val="2"/>
          </rPr>
          <t xml:space="preserve">
gap-filled using the corresponding data in the same wetland type</t>
        </r>
      </text>
    </comment>
    <comment ref="DE340" authorId="0" shapeId="0" xr:uid="{2D217ABF-F033-4A67-A26C-FAB50533CDB2}">
      <text>
        <r>
          <rPr>
            <b/>
            <sz val="9"/>
            <color indexed="81"/>
            <rFont val="Tahoma"/>
            <family val="2"/>
          </rPr>
          <t>Author:</t>
        </r>
        <r>
          <rPr>
            <sz val="9"/>
            <color indexed="81"/>
            <rFont val="Tahoma"/>
            <family val="2"/>
          </rPr>
          <t xml:space="preserve">
gap-filled using the corresponding data in the same wetland type</t>
        </r>
      </text>
    </comment>
    <comment ref="DN340" authorId="0" shapeId="0" xr:uid="{74D9400B-BEB8-456E-A1B1-720BC6CBB11C}">
      <text>
        <r>
          <rPr>
            <b/>
            <sz val="9"/>
            <color indexed="81"/>
            <rFont val="Tahoma"/>
            <family val="2"/>
          </rPr>
          <t>Author:</t>
        </r>
        <r>
          <rPr>
            <sz val="9"/>
            <color indexed="81"/>
            <rFont val="Tahoma"/>
            <family val="2"/>
          </rPr>
          <t xml:space="preserve">
gap-filled using the corresponding data in the same wetland type</t>
        </r>
      </text>
    </comment>
    <comment ref="DR340" authorId="0" shapeId="0" xr:uid="{5003637D-4AA2-4590-9B88-90490D748F67}">
      <text>
        <r>
          <rPr>
            <b/>
            <sz val="9"/>
            <color indexed="81"/>
            <rFont val="Tahoma"/>
            <family val="2"/>
          </rPr>
          <t>Author:</t>
        </r>
        <r>
          <rPr>
            <sz val="9"/>
            <color indexed="81"/>
            <rFont val="Tahoma"/>
            <family val="2"/>
          </rPr>
          <t xml:space="preserve">
gap-filled using the corresponding data in the same wetland type</t>
        </r>
      </text>
    </comment>
    <comment ref="CA341" authorId="0" shapeId="0" xr:uid="{EF7EBD48-2EF4-405A-AE56-7B86B671FF27}">
      <text>
        <r>
          <rPr>
            <b/>
            <sz val="9"/>
            <color indexed="81"/>
            <rFont val="Tahoma"/>
            <family val="2"/>
          </rPr>
          <t>Author:</t>
        </r>
        <r>
          <rPr>
            <sz val="9"/>
            <color indexed="81"/>
            <rFont val="Tahoma"/>
            <family val="2"/>
          </rPr>
          <t xml:space="preserve">
gap-filled using the corresponding data in the same wetland type</t>
        </r>
      </text>
    </comment>
    <comment ref="CE341" authorId="0" shapeId="0" xr:uid="{F50B62D3-1DA4-4496-8646-D9FA15C6D39B}">
      <text>
        <r>
          <rPr>
            <b/>
            <sz val="9"/>
            <color indexed="81"/>
            <rFont val="Tahoma"/>
            <family val="2"/>
          </rPr>
          <t>Author:</t>
        </r>
        <r>
          <rPr>
            <sz val="9"/>
            <color indexed="81"/>
            <rFont val="Tahoma"/>
            <family val="2"/>
          </rPr>
          <t xml:space="preserve">
gap-filled using the corresponding data in the same wetland type</t>
        </r>
      </text>
    </comment>
    <comment ref="CN341" authorId="0" shapeId="0" xr:uid="{8D757066-A633-4B87-BCF3-ECD2B60085C7}">
      <text>
        <r>
          <rPr>
            <b/>
            <sz val="9"/>
            <color indexed="81"/>
            <rFont val="Tahoma"/>
            <family val="2"/>
          </rPr>
          <t>Author:</t>
        </r>
        <r>
          <rPr>
            <sz val="9"/>
            <color indexed="81"/>
            <rFont val="Tahoma"/>
            <family val="2"/>
          </rPr>
          <t xml:space="preserve">
gap-filled using the corresponding data in the same wetland type</t>
        </r>
      </text>
    </comment>
    <comment ref="CR341" authorId="0" shapeId="0" xr:uid="{7B9DD964-0E29-484A-8405-2A87792E337F}">
      <text>
        <r>
          <rPr>
            <b/>
            <sz val="9"/>
            <color indexed="81"/>
            <rFont val="Tahoma"/>
            <family val="2"/>
          </rPr>
          <t>Author:</t>
        </r>
        <r>
          <rPr>
            <sz val="9"/>
            <color indexed="81"/>
            <rFont val="Tahoma"/>
            <family val="2"/>
          </rPr>
          <t xml:space="preserve">
gap-filled using the corresponding data in the same wetland type</t>
        </r>
      </text>
    </comment>
    <comment ref="DA341" authorId="0" shapeId="0" xr:uid="{86F04D38-F51C-48E0-810E-0136BAEACC3A}">
      <text>
        <r>
          <rPr>
            <b/>
            <sz val="9"/>
            <color indexed="81"/>
            <rFont val="Tahoma"/>
            <family val="2"/>
          </rPr>
          <t>Author:</t>
        </r>
        <r>
          <rPr>
            <sz val="9"/>
            <color indexed="81"/>
            <rFont val="Tahoma"/>
            <family val="2"/>
          </rPr>
          <t xml:space="preserve">
gap-filled using the corresponding data in the same wetland type</t>
        </r>
      </text>
    </comment>
    <comment ref="DE341" authorId="0" shapeId="0" xr:uid="{AD2B915C-0A3C-4DD0-9493-94B226824826}">
      <text>
        <r>
          <rPr>
            <b/>
            <sz val="9"/>
            <color indexed="81"/>
            <rFont val="Tahoma"/>
            <family val="2"/>
          </rPr>
          <t>Author:</t>
        </r>
        <r>
          <rPr>
            <sz val="9"/>
            <color indexed="81"/>
            <rFont val="Tahoma"/>
            <family val="2"/>
          </rPr>
          <t xml:space="preserve">
gap-filled using the corresponding data in the same wetland type</t>
        </r>
      </text>
    </comment>
    <comment ref="DN341" authorId="0" shapeId="0" xr:uid="{63687D9A-850D-4950-93B0-72EFDC1952F5}">
      <text>
        <r>
          <rPr>
            <b/>
            <sz val="9"/>
            <color indexed="81"/>
            <rFont val="Tahoma"/>
            <family val="2"/>
          </rPr>
          <t>Author:</t>
        </r>
        <r>
          <rPr>
            <sz val="9"/>
            <color indexed="81"/>
            <rFont val="Tahoma"/>
            <family val="2"/>
          </rPr>
          <t xml:space="preserve">
gap-filled using the corresponding data in the same wetland type</t>
        </r>
      </text>
    </comment>
    <comment ref="DR341" authorId="0" shapeId="0" xr:uid="{D919A282-AF4D-49CB-A49D-BE4EF32A101B}">
      <text>
        <r>
          <rPr>
            <b/>
            <sz val="9"/>
            <color indexed="81"/>
            <rFont val="Tahoma"/>
            <family val="2"/>
          </rPr>
          <t>Author:</t>
        </r>
        <r>
          <rPr>
            <sz val="9"/>
            <color indexed="81"/>
            <rFont val="Tahoma"/>
            <family val="2"/>
          </rPr>
          <t xml:space="preserve">
gap-filled using the corresponding data in the same wetland type</t>
        </r>
      </text>
    </comment>
    <comment ref="CA342" authorId="0" shapeId="0" xr:uid="{8A2FFCE3-C046-4C78-9F9E-A73F4011B00E}">
      <text>
        <r>
          <rPr>
            <b/>
            <sz val="9"/>
            <color indexed="81"/>
            <rFont val="Tahoma"/>
            <family val="2"/>
          </rPr>
          <t>Author:</t>
        </r>
        <r>
          <rPr>
            <sz val="9"/>
            <color indexed="81"/>
            <rFont val="Tahoma"/>
            <family val="2"/>
          </rPr>
          <t xml:space="preserve">
gap-filled using the corresponding data in the same wetland type</t>
        </r>
      </text>
    </comment>
    <comment ref="CE342" authorId="0" shapeId="0" xr:uid="{A8561493-58FF-4313-82A4-3ADCF2C5FDBD}">
      <text>
        <r>
          <rPr>
            <b/>
            <sz val="9"/>
            <color indexed="81"/>
            <rFont val="Tahoma"/>
            <family val="2"/>
          </rPr>
          <t>Author:</t>
        </r>
        <r>
          <rPr>
            <sz val="9"/>
            <color indexed="81"/>
            <rFont val="Tahoma"/>
            <family val="2"/>
          </rPr>
          <t xml:space="preserve">
gap-filled using the corresponding data in the same wetland type</t>
        </r>
      </text>
    </comment>
    <comment ref="CN342" authorId="0" shapeId="0" xr:uid="{34DCE124-36CB-460E-9191-8A0594745686}">
      <text>
        <r>
          <rPr>
            <b/>
            <sz val="9"/>
            <color indexed="81"/>
            <rFont val="Tahoma"/>
            <family val="2"/>
          </rPr>
          <t>Author:</t>
        </r>
        <r>
          <rPr>
            <sz val="9"/>
            <color indexed="81"/>
            <rFont val="Tahoma"/>
            <family val="2"/>
          </rPr>
          <t xml:space="preserve">
gap-filled using the corresponding data in the same wetland type</t>
        </r>
      </text>
    </comment>
    <comment ref="CR342" authorId="0" shapeId="0" xr:uid="{63FE407A-EE3B-427F-AD8D-C99AA2F49025}">
      <text>
        <r>
          <rPr>
            <b/>
            <sz val="9"/>
            <color indexed="81"/>
            <rFont val="Tahoma"/>
            <family val="2"/>
          </rPr>
          <t>Author:</t>
        </r>
        <r>
          <rPr>
            <sz val="9"/>
            <color indexed="81"/>
            <rFont val="Tahoma"/>
            <family val="2"/>
          </rPr>
          <t xml:space="preserve">
gap-filled using the corresponding data in the same wetland type</t>
        </r>
      </text>
    </comment>
    <comment ref="DA342" authorId="0" shapeId="0" xr:uid="{EE47287E-294F-44E2-927F-8BD35D492BB3}">
      <text>
        <r>
          <rPr>
            <b/>
            <sz val="9"/>
            <color indexed="81"/>
            <rFont val="Tahoma"/>
            <family val="2"/>
          </rPr>
          <t>Author:</t>
        </r>
        <r>
          <rPr>
            <sz val="9"/>
            <color indexed="81"/>
            <rFont val="Tahoma"/>
            <family val="2"/>
          </rPr>
          <t xml:space="preserve">
gap-filled using the corresponding data in the same wetland type</t>
        </r>
      </text>
    </comment>
    <comment ref="DE342" authorId="0" shapeId="0" xr:uid="{B4917EA4-EF98-4BC3-B42C-D3F191081522}">
      <text>
        <r>
          <rPr>
            <b/>
            <sz val="9"/>
            <color indexed="81"/>
            <rFont val="Tahoma"/>
            <family val="2"/>
          </rPr>
          <t>Author:</t>
        </r>
        <r>
          <rPr>
            <sz val="9"/>
            <color indexed="81"/>
            <rFont val="Tahoma"/>
            <family val="2"/>
          </rPr>
          <t xml:space="preserve">
gap-filled using the corresponding data in the same wetland type</t>
        </r>
      </text>
    </comment>
    <comment ref="DN342" authorId="0" shapeId="0" xr:uid="{DF2AFB7F-3049-4A21-BA76-98948F911E6C}">
      <text>
        <r>
          <rPr>
            <b/>
            <sz val="9"/>
            <color indexed="81"/>
            <rFont val="Tahoma"/>
            <family val="2"/>
          </rPr>
          <t>Author:</t>
        </r>
        <r>
          <rPr>
            <sz val="9"/>
            <color indexed="81"/>
            <rFont val="Tahoma"/>
            <family val="2"/>
          </rPr>
          <t xml:space="preserve">
gap-filled using the corresponding data in the same wetland type</t>
        </r>
      </text>
    </comment>
    <comment ref="DR342" authorId="0" shapeId="0" xr:uid="{DFD92D37-ED68-4156-8E25-081BBAC335FF}">
      <text>
        <r>
          <rPr>
            <b/>
            <sz val="9"/>
            <color indexed="81"/>
            <rFont val="Tahoma"/>
            <family val="2"/>
          </rPr>
          <t>Author:</t>
        </r>
        <r>
          <rPr>
            <sz val="9"/>
            <color indexed="81"/>
            <rFont val="Tahoma"/>
            <family val="2"/>
          </rPr>
          <t xml:space="preserve">
gap-filled using the corresponding data in the same wetland type</t>
        </r>
      </text>
    </comment>
    <comment ref="CA343" authorId="0" shapeId="0" xr:uid="{AB5A5F21-69E5-41B0-8A72-EF6BEC39E26A}">
      <text>
        <r>
          <rPr>
            <b/>
            <sz val="9"/>
            <color indexed="81"/>
            <rFont val="Tahoma"/>
            <family val="2"/>
          </rPr>
          <t>Author:</t>
        </r>
        <r>
          <rPr>
            <sz val="9"/>
            <color indexed="81"/>
            <rFont val="Tahoma"/>
            <family val="2"/>
          </rPr>
          <t xml:space="preserve">
gap-filled using the corresponding data in the same wetland type</t>
        </r>
      </text>
    </comment>
    <comment ref="CE343" authorId="0" shapeId="0" xr:uid="{291338A4-98F9-45FD-AFF2-34E85B038D48}">
      <text>
        <r>
          <rPr>
            <b/>
            <sz val="9"/>
            <color indexed="81"/>
            <rFont val="Tahoma"/>
            <family val="2"/>
          </rPr>
          <t>Author:</t>
        </r>
        <r>
          <rPr>
            <sz val="9"/>
            <color indexed="81"/>
            <rFont val="Tahoma"/>
            <family val="2"/>
          </rPr>
          <t xml:space="preserve">
gap-filled using the corresponding data in the same wetland type</t>
        </r>
      </text>
    </comment>
    <comment ref="CN343" authorId="0" shapeId="0" xr:uid="{88F8326C-A94D-4701-82F9-DB86C7DBB87F}">
      <text>
        <r>
          <rPr>
            <b/>
            <sz val="9"/>
            <color indexed="81"/>
            <rFont val="Tahoma"/>
            <family val="2"/>
          </rPr>
          <t>Author:</t>
        </r>
        <r>
          <rPr>
            <sz val="9"/>
            <color indexed="81"/>
            <rFont val="Tahoma"/>
            <family val="2"/>
          </rPr>
          <t xml:space="preserve">
gap-filled using the corresponding data in the same wetland type</t>
        </r>
      </text>
    </comment>
    <comment ref="CR343" authorId="0" shapeId="0" xr:uid="{975A3D0B-8508-4854-B5D8-01A4DC057BDB}">
      <text>
        <r>
          <rPr>
            <b/>
            <sz val="9"/>
            <color indexed="81"/>
            <rFont val="Tahoma"/>
            <family val="2"/>
          </rPr>
          <t>Author:</t>
        </r>
        <r>
          <rPr>
            <sz val="9"/>
            <color indexed="81"/>
            <rFont val="Tahoma"/>
            <family val="2"/>
          </rPr>
          <t xml:space="preserve">
gap-filled using the corresponding data in the same wetland type</t>
        </r>
      </text>
    </comment>
    <comment ref="DA343" authorId="0" shapeId="0" xr:uid="{910D9FC9-7B37-454D-B792-08F32F737495}">
      <text>
        <r>
          <rPr>
            <b/>
            <sz val="9"/>
            <color indexed="81"/>
            <rFont val="Tahoma"/>
            <family val="2"/>
          </rPr>
          <t>Author:</t>
        </r>
        <r>
          <rPr>
            <sz val="9"/>
            <color indexed="81"/>
            <rFont val="Tahoma"/>
            <family val="2"/>
          </rPr>
          <t xml:space="preserve">
gap-filled using the corresponding data in the same wetland type</t>
        </r>
      </text>
    </comment>
    <comment ref="DE343" authorId="0" shapeId="0" xr:uid="{DECE1D29-3A39-4F0D-B759-0F371BEE418E}">
      <text>
        <r>
          <rPr>
            <b/>
            <sz val="9"/>
            <color indexed="81"/>
            <rFont val="Tahoma"/>
            <family val="2"/>
          </rPr>
          <t>Author:</t>
        </r>
        <r>
          <rPr>
            <sz val="9"/>
            <color indexed="81"/>
            <rFont val="Tahoma"/>
            <family val="2"/>
          </rPr>
          <t xml:space="preserve">
gap-filled using the corresponding data in the same wetland type</t>
        </r>
      </text>
    </comment>
    <comment ref="DN343" authorId="0" shapeId="0" xr:uid="{07BECF7F-4392-4B41-BAB3-6CE6B2589400}">
      <text>
        <r>
          <rPr>
            <b/>
            <sz val="9"/>
            <color indexed="81"/>
            <rFont val="Tahoma"/>
            <family val="2"/>
          </rPr>
          <t>Author:</t>
        </r>
        <r>
          <rPr>
            <sz val="9"/>
            <color indexed="81"/>
            <rFont val="Tahoma"/>
            <family val="2"/>
          </rPr>
          <t xml:space="preserve">
gap-filled using the corresponding data in the same wetland type</t>
        </r>
      </text>
    </comment>
    <comment ref="DR343" authorId="0" shapeId="0" xr:uid="{B3503983-3133-4ECC-ABF2-AE1E0BF642B7}">
      <text>
        <r>
          <rPr>
            <b/>
            <sz val="9"/>
            <color indexed="81"/>
            <rFont val="Tahoma"/>
            <family val="2"/>
          </rPr>
          <t>Author:</t>
        </r>
        <r>
          <rPr>
            <sz val="9"/>
            <color indexed="81"/>
            <rFont val="Tahoma"/>
            <family val="2"/>
          </rPr>
          <t xml:space="preserve">
gap-filled using the corresponding data in the same wetland type</t>
        </r>
      </text>
    </comment>
    <comment ref="CA344" authorId="0" shapeId="0" xr:uid="{06F473BE-C248-4E53-9C8E-B0432EE1B4AF}">
      <text>
        <r>
          <rPr>
            <b/>
            <sz val="9"/>
            <color indexed="81"/>
            <rFont val="Tahoma"/>
            <family val="2"/>
          </rPr>
          <t>Author:</t>
        </r>
        <r>
          <rPr>
            <sz val="9"/>
            <color indexed="81"/>
            <rFont val="Tahoma"/>
            <family val="2"/>
          </rPr>
          <t xml:space="preserve">
gap-filled using the corresponding data in the same wetland type</t>
        </r>
      </text>
    </comment>
    <comment ref="CE344" authorId="0" shapeId="0" xr:uid="{59D08E0D-0557-4231-AC99-6534289EF125}">
      <text>
        <r>
          <rPr>
            <b/>
            <sz val="9"/>
            <color indexed="81"/>
            <rFont val="Tahoma"/>
            <family val="2"/>
          </rPr>
          <t>Author:</t>
        </r>
        <r>
          <rPr>
            <sz val="9"/>
            <color indexed="81"/>
            <rFont val="Tahoma"/>
            <family val="2"/>
          </rPr>
          <t xml:space="preserve">
gap-filled using the corresponding data in the same wetland type</t>
        </r>
      </text>
    </comment>
    <comment ref="CN344" authorId="0" shapeId="0" xr:uid="{0B86E1E2-B78B-4119-9B16-83C72D58D8E5}">
      <text>
        <r>
          <rPr>
            <b/>
            <sz val="9"/>
            <color indexed="81"/>
            <rFont val="Tahoma"/>
            <family val="2"/>
          </rPr>
          <t>Author:</t>
        </r>
        <r>
          <rPr>
            <sz val="9"/>
            <color indexed="81"/>
            <rFont val="Tahoma"/>
            <family val="2"/>
          </rPr>
          <t xml:space="preserve">
gap-filled using the corresponding data in the same wetland type</t>
        </r>
      </text>
    </comment>
    <comment ref="CR344" authorId="0" shapeId="0" xr:uid="{93FE990A-1259-4E49-ACA8-0E43645AFA4F}">
      <text>
        <r>
          <rPr>
            <b/>
            <sz val="9"/>
            <color indexed="81"/>
            <rFont val="Tahoma"/>
            <family val="2"/>
          </rPr>
          <t>Author:</t>
        </r>
        <r>
          <rPr>
            <sz val="9"/>
            <color indexed="81"/>
            <rFont val="Tahoma"/>
            <family val="2"/>
          </rPr>
          <t xml:space="preserve">
gap-filled using the corresponding data in the same wetland type</t>
        </r>
      </text>
    </comment>
    <comment ref="DA344" authorId="0" shapeId="0" xr:uid="{04D5821A-FEDC-4BB7-9B81-9D60C57906C3}">
      <text>
        <r>
          <rPr>
            <b/>
            <sz val="9"/>
            <color indexed="81"/>
            <rFont val="Tahoma"/>
            <family val="2"/>
          </rPr>
          <t>Author:</t>
        </r>
        <r>
          <rPr>
            <sz val="9"/>
            <color indexed="81"/>
            <rFont val="Tahoma"/>
            <family val="2"/>
          </rPr>
          <t xml:space="preserve">
gap-filled using the corresponding data in the same wetland type</t>
        </r>
      </text>
    </comment>
    <comment ref="DE344" authorId="0" shapeId="0" xr:uid="{EC291B6A-34AC-46A1-B85B-60EEA3DEF531}">
      <text>
        <r>
          <rPr>
            <b/>
            <sz val="9"/>
            <color indexed="81"/>
            <rFont val="Tahoma"/>
            <family val="2"/>
          </rPr>
          <t>Author:</t>
        </r>
        <r>
          <rPr>
            <sz val="9"/>
            <color indexed="81"/>
            <rFont val="Tahoma"/>
            <family val="2"/>
          </rPr>
          <t xml:space="preserve">
gap-filled using the corresponding data in the same wetland type</t>
        </r>
      </text>
    </comment>
    <comment ref="DN344" authorId="0" shapeId="0" xr:uid="{2F2989BC-DA82-4B8C-9F53-AA0DC1D2F613}">
      <text>
        <r>
          <rPr>
            <b/>
            <sz val="9"/>
            <color indexed="81"/>
            <rFont val="Tahoma"/>
            <family val="2"/>
          </rPr>
          <t>Author:</t>
        </r>
        <r>
          <rPr>
            <sz val="9"/>
            <color indexed="81"/>
            <rFont val="Tahoma"/>
            <family val="2"/>
          </rPr>
          <t xml:space="preserve">
gap-filled using the corresponding data in the same wetland type</t>
        </r>
      </text>
    </comment>
    <comment ref="DR344" authorId="0" shapeId="0" xr:uid="{CCF558FA-F7C3-4B00-9C54-87FC9B245C84}">
      <text>
        <r>
          <rPr>
            <b/>
            <sz val="9"/>
            <color indexed="81"/>
            <rFont val="Tahoma"/>
            <family val="2"/>
          </rPr>
          <t>Author:</t>
        </r>
        <r>
          <rPr>
            <sz val="9"/>
            <color indexed="81"/>
            <rFont val="Tahoma"/>
            <family val="2"/>
          </rPr>
          <t xml:space="preserve">
gap-filled using the corresponding data in the same wetland type</t>
        </r>
      </text>
    </comment>
    <comment ref="CA345" authorId="0" shapeId="0" xr:uid="{A53C7149-EA03-4217-8DE4-4FED05529893}">
      <text>
        <r>
          <rPr>
            <b/>
            <sz val="9"/>
            <color indexed="81"/>
            <rFont val="Tahoma"/>
            <family val="2"/>
          </rPr>
          <t>Author:</t>
        </r>
        <r>
          <rPr>
            <sz val="9"/>
            <color indexed="81"/>
            <rFont val="Tahoma"/>
            <family val="2"/>
          </rPr>
          <t xml:space="preserve">
non-gap-filled due to lacking data for the corresponding wetland type</t>
        </r>
      </text>
    </comment>
    <comment ref="CE345" authorId="0" shapeId="0" xr:uid="{A6AB26ED-2520-4B83-B258-1D097EE9ADC4}">
      <text>
        <r>
          <rPr>
            <b/>
            <sz val="9"/>
            <color indexed="81"/>
            <rFont val="Tahoma"/>
            <family val="2"/>
          </rPr>
          <t>Author:</t>
        </r>
        <r>
          <rPr>
            <sz val="9"/>
            <color indexed="81"/>
            <rFont val="Tahoma"/>
            <family val="2"/>
          </rPr>
          <t xml:space="preserve">
gap-filled using the corresponding data in the same wetland type</t>
        </r>
      </text>
    </comment>
    <comment ref="CN345" authorId="0" shapeId="0" xr:uid="{EEBBA06E-469B-403B-B781-47C1CA459E1A}">
      <text>
        <r>
          <rPr>
            <b/>
            <sz val="9"/>
            <color indexed="81"/>
            <rFont val="Tahoma"/>
            <family val="2"/>
          </rPr>
          <t>Author:</t>
        </r>
        <r>
          <rPr>
            <sz val="9"/>
            <color indexed="81"/>
            <rFont val="Tahoma"/>
            <family val="2"/>
          </rPr>
          <t xml:space="preserve">
non-gap-filled due to lacking data for the corresponding wetland type</t>
        </r>
      </text>
    </comment>
    <comment ref="CR345" authorId="0" shapeId="0" xr:uid="{9B585212-BDF0-46EE-82B2-ACA738173387}">
      <text>
        <r>
          <rPr>
            <b/>
            <sz val="9"/>
            <color indexed="81"/>
            <rFont val="Tahoma"/>
            <family val="2"/>
          </rPr>
          <t>Author:</t>
        </r>
        <r>
          <rPr>
            <sz val="9"/>
            <color indexed="81"/>
            <rFont val="Tahoma"/>
            <family val="2"/>
          </rPr>
          <t xml:space="preserve">
gap-filled using the corresponding data in the same wetland type</t>
        </r>
      </text>
    </comment>
    <comment ref="DA345" authorId="0" shapeId="0" xr:uid="{5C94FF8E-4CB4-4AE5-AFF4-3E7A2F9CAEE0}">
      <text>
        <r>
          <rPr>
            <b/>
            <sz val="9"/>
            <color indexed="81"/>
            <rFont val="Tahoma"/>
            <family val="2"/>
          </rPr>
          <t>Author:</t>
        </r>
        <r>
          <rPr>
            <sz val="9"/>
            <color indexed="81"/>
            <rFont val="Tahoma"/>
            <family val="2"/>
          </rPr>
          <t xml:space="preserve">
gap-filled using the corresponding data in the same wetland type</t>
        </r>
      </text>
    </comment>
    <comment ref="DE345" authorId="0" shapeId="0" xr:uid="{EC079BDD-A634-4BFE-8605-1FFC50A4692A}">
      <text>
        <r>
          <rPr>
            <b/>
            <sz val="9"/>
            <color indexed="81"/>
            <rFont val="Tahoma"/>
            <family val="2"/>
          </rPr>
          <t>Author:</t>
        </r>
        <r>
          <rPr>
            <sz val="9"/>
            <color indexed="81"/>
            <rFont val="Tahoma"/>
            <family val="2"/>
          </rPr>
          <t xml:space="preserve">
gap-filled using the corresponding data in the same wetland type</t>
        </r>
      </text>
    </comment>
    <comment ref="DN345" authorId="0" shapeId="0" xr:uid="{490AC7EF-CF8F-45F0-A2F8-CA98BD6A696E}">
      <text>
        <r>
          <rPr>
            <b/>
            <sz val="9"/>
            <color indexed="81"/>
            <rFont val="Tahoma"/>
            <family val="2"/>
          </rPr>
          <t>Author:</t>
        </r>
        <r>
          <rPr>
            <sz val="9"/>
            <color indexed="81"/>
            <rFont val="Tahoma"/>
            <family val="2"/>
          </rPr>
          <t xml:space="preserve">
gap-filled using the corresponding data in the same wetland type</t>
        </r>
      </text>
    </comment>
    <comment ref="DR345" authorId="0" shapeId="0" xr:uid="{F5722D5E-6ECE-40D2-8A8A-BC83F054BC3F}">
      <text>
        <r>
          <rPr>
            <b/>
            <sz val="9"/>
            <color indexed="81"/>
            <rFont val="Tahoma"/>
            <family val="2"/>
          </rPr>
          <t>Author:</t>
        </r>
        <r>
          <rPr>
            <sz val="9"/>
            <color indexed="81"/>
            <rFont val="Tahoma"/>
            <family val="2"/>
          </rPr>
          <t xml:space="preserve">
gap-filled using the corresponding data in the same wetland type</t>
        </r>
      </text>
    </comment>
    <comment ref="CA346" authorId="0" shapeId="0" xr:uid="{26A1EF96-CA78-4F0A-B44F-F822D04C6937}">
      <text>
        <r>
          <rPr>
            <b/>
            <sz val="9"/>
            <color indexed="81"/>
            <rFont val="Tahoma"/>
            <family val="2"/>
          </rPr>
          <t>Author:</t>
        </r>
        <r>
          <rPr>
            <sz val="9"/>
            <color indexed="81"/>
            <rFont val="Tahoma"/>
            <family val="2"/>
          </rPr>
          <t xml:space="preserve">
non-gap-filled due to lacking data for the corresponding wetland type</t>
        </r>
      </text>
    </comment>
    <comment ref="CE346" authorId="0" shapeId="0" xr:uid="{FAC24F40-290D-4CEE-879D-FC54C0D8F768}">
      <text>
        <r>
          <rPr>
            <b/>
            <sz val="9"/>
            <color indexed="81"/>
            <rFont val="Tahoma"/>
            <family val="2"/>
          </rPr>
          <t>Author:</t>
        </r>
        <r>
          <rPr>
            <sz val="9"/>
            <color indexed="81"/>
            <rFont val="Tahoma"/>
            <family val="2"/>
          </rPr>
          <t xml:space="preserve">
gap-filled using the corresponding data in the same wetland type</t>
        </r>
      </text>
    </comment>
    <comment ref="CN346" authorId="0" shapeId="0" xr:uid="{E57E88D5-0501-441C-BABA-305DEB2762B3}">
      <text>
        <r>
          <rPr>
            <b/>
            <sz val="9"/>
            <color indexed="81"/>
            <rFont val="Tahoma"/>
            <family val="2"/>
          </rPr>
          <t>Author:</t>
        </r>
        <r>
          <rPr>
            <sz val="9"/>
            <color indexed="81"/>
            <rFont val="Tahoma"/>
            <family val="2"/>
          </rPr>
          <t xml:space="preserve">
non-gap-filled due to lacking data for the corresponding wetland type</t>
        </r>
      </text>
    </comment>
    <comment ref="CR346" authorId="0" shapeId="0" xr:uid="{6B2AE524-1382-4791-ABC3-C1608BA3BC23}">
      <text>
        <r>
          <rPr>
            <b/>
            <sz val="9"/>
            <color indexed="81"/>
            <rFont val="Tahoma"/>
            <family val="2"/>
          </rPr>
          <t>Author:</t>
        </r>
        <r>
          <rPr>
            <sz val="9"/>
            <color indexed="81"/>
            <rFont val="Tahoma"/>
            <family val="2"/>
          </rPr>
          <t xml:space="preserve">
gap-filled using the corresponding data in the same wetland type</t>
        </r>
      </text>
    </comment>
    <comment ref="DA346" authorId="0" shapeId="0" xr:uid="{CD2E7F47-2478-4EEC-83D1-270FB5188601}">
      <text>
        <r>
          <rPr>
            <b/>
            <sz val="9"/>
            <color indexed="81"/>
            <rFont val="Tahoma"/>
            <family val="2"/>
          </rPr>
          <t>Author:</t>
        </r>
        <r>
          <rPr>
            <sz val="9"/>
            <color indexed="81"/>
            <rFont val="Tahoma"/>
            <family val="2"/>
          </rPr>
          <t xml:space="preserve">
gap-filled using the corresponding data in the same wetland type</t>
        </r>
      </text>
    </comment>
    <comment ref="DE346" authorId="0" shapeId="0" xr:uid="{E3F97163-CDE2-4E99-99B4-F18A682B9402}">
      <text>
        <r>
          <rPr>
            <b/>
            <sz val="9"/>
            <color indexed="81"/>
            <rFont val="Tahoma"/>
            <family val="2"/>
          </rPr>
          <t>Author:</t>
        </r>
        <r>
          <rPr>
            <sz val="9"/>
            <color indexed="81"/>
            <rFont val="Tahoma"/>
            <family val="2"/>
          </rPr>
          <t xml:space="preserve">
gap-filled using the corresponding data in the same wetland type</t>
        </r>
      </text>
    </comment>
    <comment ref="DN346" authorId="0" shapeId="0" xr:uid="{1FB95ABD-AEDD-426E-B931-BC2F2B501015}">
      <text>
        <r>
          <rPr>
            <b/>
            <sz val="9"/>
            <color indexed="81"/>
            <rFont val="Tahoma"/>
            <family val="2"/>
          </rPr>
          <t>Author:</t>
        </r>
        <r>
          <rPr>
            <sz val="9"/>
            <color indexed="81"/>
            <rFont val="Tahoma"/>
            <family val="2"/>
          </rPr>
          <t xml:space="preserve">
gap-filled using the corresponding data in the same wetland type</t>
        </r>
      </text>
    </comment>
    <comment ref="DR346" authorId="0" shapeId="0" xr:uid="{C2AA5E11-1203-4053-BEE7-A57026751B19}">
      <text>
        <r>
          <rPr>
            <b/>
            <sz val="9"/>
            <color indexed="81"/>
            <rFont val="Tahoma"/>
            <family val="2"/>
          </rPr>
          <t>Author:</t>
        </r>
        <r>
          <rPr>
            <sz val="9"/>
            <color indexed="81"/>
            <rFont val="Tahoma"/>
            <family val="2"/>
          </rPr>
          <t xml:space="preserve">
gap-filled using the corresponding data in the same wetland type</t>
        </r>
      </text>
    </comment>
    <comment ref="CA347" authorId="0" shapeId="0" xr:uid="{EA6F6BCC-B77C-46B2-9E76-08C9DD7CB426}">
      <text>
        <r>
          <rPr>
            <b/>
            <sz val="9"/>
            <color indexed="81"/>
            <rFont val="Tahoma"/>
            <family val="2"/>
          </rPr>
          <t>Author:</t>
        </r>
        <r>
          <rPr>
            <sz val="9"/>
            <color indexed="81"/>
            <rFont val="Tahoma"/>
            <family val="2"/>
          </rPr>
          <t xml:space="preserve">
non-gap-filled due to lacking data for the corresponding wetland type</t>
        </r>
      </text>
    </comment>
    <comment ref="CE347" authorId="0" shapeId="0" xr:uid="{BDAB032F-9392-4C98-BD2E-72E089A48C8F}">
      <text>
        <r>
          <rPr>
            <b/>
            <sz val="9"/>
            <color indexed="81"/>
            <rFont val="Tahoma"/>
            <family val="2"/>
          </rPr>
          <t>Author:</t>
        </r>
        <r>
          <rPr>
            <sz val="9"/>
            <color indexed="81"/>
            <rFont val="Tahoma"/>
            <family val="2"/>
          </rPr>
          <t xml:space="preserve">
gap-filled using the corresponding data in the same wetland type</t>
        </r>
      </text>
    </comment>
    <comment ref="CN347" authorId="0" shapeId="0" xr:uid="{0DB81264-7DAE-40FA-A6EA-9CBCE1566EB7}">
      <text>
        <r>
          <rPr>
            <b/>
            <sz val="9"/>
            <color indexed="81"/>
            <rFont val="Tahoma"/>
            <family val="2"/>
          </rPr>
          <t>Author:</t>
        </r>
        <r>
          <rPr>
            <sz val="9"/>
            <color indexed="81"/>
            <rFont val="Tahoma"/>
            <family val="2"/>
          </rPr>
          <t xml:space="preserve">
non-gap-filled due to lacking data for the corresponding wetland type</t>
        </r>
      </text>
    </comment>
    <comment ref="CR347" authorId="0" shapeId="0" xr:uid="{BA1B1F55-BFB7-45CB-BAEA-EFE953C91BCC}">
      <text>
        <r>
          <rPr>
            <b/>
            <sz val="9"/>
            <color indexed="81"/>
            <rFont val="Tahoma"/>
            <family val="2"/>
          </rPr>
          <t>Author:</t>
        </r>
        <r>
          <rPr>
            <sz val="9"/>
            <color indexed="81"/>
            <rFont val="Tahoma"/>
            <family val="2"/>
          </rPr>
          <t xml:space="preserve">
gap-filled using the corresponding data in the same wetland type</t>
        </r>
      </text>
    </comment>
    <comment ref="DA347" authorId="0" shapeId="0" xr:uid="{36432F97-60B8-4BE9-B9AF-97F06538BA0C}">
      <text>
        <r>
          <rPr>
            <b/>
            <sz val="9"/>
            <color indexed="81"/>
            <rFont val="Tahoma"/>
            <family val="2"/>
          </rPr>
          <t>Author:</t>
        </r>
        <r>
          <rPr>
            <sz val="9"/>
            <color indexed="81"/>
            <rFont val="Tahoma"/>
            <family val="2"/>
          </rPr>
          <t xml:space="preserve">
gap-filled using the corresponding data in the same wetland type</t>
        </r>
      </text>
    </comment>
    <comment ref="DE347" authorId="0" shapeId="0" xr:uid="{654B3EEC-DD53-4447-8667-73563D0F9877}">
      <text>
        <r>
          <rPr>
            <b/>
            <sz val="9"/>
            <color indexed="81"/>
            <rFont val="Tahoma"/>
            <family val="2"/>
          </rPr>
          <t>Author:</t>
        </r>
        <r>
          <rPr>
            <sz val="9"/>
            <color indexed="81"/>
            <rFont val="Tahoma"/>
            <family val="2"/>
          </rPr>
          <t xml:space="preserve">
gap-filled using the corresponding data in the same wetland type</t>
        </r>
      </text>
    </comment>
    <comment ref="DN347" authorId="0" shapeId="0" xr:uid="{B6289545-9E49-45C8-A9A0-4809BF256F64}">
      <text>
        <r>
          <rPr>
            <b/>
            <sz val="9"/>
            <color indexed="81"/>
            <rFont val="Tahoma"/>
            <family val="2"/>
          </rPr>
          <t>Author:</t>
        </r>
        <r>
          <rPr>
            <sz val="9"/>
            <color indexed="81"/>
            <rFont val="Tahoma"/>
            <family val="2"/>
          </rPr>
          <t xml:space="preserve">
gap-filled using the corresponding data in the same wetland type</t>
        </r>
      </text>
    </comment>
    <comment ref="DR347" authorId="0" shapeId="0" xr:uid="{5A246E4D-4B96-434F-B8AB-8DB2C8EDF74C}">
      <text>
        <r>
          <rPr>
            <b/>
            <sz val="9"/>
            <color indexed="81"/>
            <rFont val="Tahoma"/>
            <family val="2"/>
          </rPr>
          <t>Author:</t>
        </r>
        <r>
          <rPr>
            <sz val="9"/>
            <color indexed="81"/>
            <rFont val="Tahoma"/>
            <family val="2"/>
          </rPr>
          <t xml:space="preserve">
gap-filled using the corresponding data in the same wetland type</t>
        </r>
      </text>
    </comment>
    <comment ref="CA348" authorId="0" shapeId="0" xr:uid="{62608E72-B5D1-44DB-9A20-BD149E00C38B}">
      <text>
        <r>
          <rPr>
            <b/>
            <sz val="9"/>
            <color indexed="81"/>
            <rFont val="Tahoma"/>
            <family val="2"/>
          </rPr>
          <t>Author:</t>
        </r>
        <r>
          <rPr>
            <sz val="9"/>
            <color indexed="81"/>
            <rFont val="Tahoma"/>
            <family val="2"/>
          </rPr>
          <t xml:space="preserve">
gap-filled using the corresponding data in the same wetland type</t>
        </r>
      </text>
    </comment>
    <comment ref="CE348" authorId="0" shapeId="0" xr:uid="{D36862F8-0841-4A2B-A8FC-1E43B712B110}">
      <text>
        <r>
          <rPr>
            <b/>
            <sz val="9"/>
            <color indexed="81"/>
            <rFont val="Tahoma"/>
            <family val="2"/>
          </rPr>
          <t>Author:</t>
        </r>
        <r>
          <rPr>
            <sz val="9"/>
            <color indexed="81"/>
            <rFont val="Tahoma"/>
            <family val="2"/>
          </rPr>
          <t xml:space="preserve">
gap-filled using the corresponding data in the same wetland type</t>
        </r>
      </text>
    </comment>
    <comment ref="CN348" authorId="0" shapeId="0" xr:uid="{D53D06F9-9361-41C2-A34A-8B06D37430E3}">
      <text>
        <r>
          <rPr>
            <b/>
            <sz val="9"/>
            <color indexed="81"/>
            <rFont val="Tahoma"/>
            <family val="2"/>
          </rPr>
          <t>Author:</t>
        </r>
        <r>
          <rPr>
            <sz val="9"/>
            <color indexed="81"/>
            <rFont val="Tahoma"/>
            <family val="2"/>
          </rPr>
          <t xml:space="preserve">
gap-filled using the corresponding data in the same wetland type</t>
        </r>
      </text>
    </comment>
    <comment ref="CR348" authorId="0" shapeId="0" xr:uid="{EFD82A7A-A1E0-498C-B25E-21BD291DABF1}">
      <text>
        <r>
          <rPr>
            <b/>
            <sz val="9"/>
            <color indexed="81"/>
            <rFont val="Tahoma"/>
            <family val="2"/>
          </rPr>
          <t>Author:</t>
        </r>
        <r>
          <rPr>
            <sz val="9"/>
            <color indexed="81"/>
            <rFont val="Tahoma"/>
            <family val="2"/>
          </rPr>
          <t xml:space="preserve">
gap-filled using the corresponding data in the same wetland type</t>
        </r>
      </text>
    </comment>
    <comment ref="DA348" authorId="0" shapeId="0" xr:uid="{17230E3A-C05C-45FD-A8C3-489527128F6C}">
      <text>
        <r>
          <rPr>
            <b/>
            <sz val="9"/>
            <color indexed="81"/>
            <rFont val="Tahoma"/>
            <family val="2"/>
          </rPr>
          <t>Author:</t>
        </r>
        <r>
          <rPr>
            <sz val="9"/>
            <color indexed="81"/>
            <rFont val="Tahoma"/>
            <family val="2"/>
          </rPr>
          <t xml:space="preserve">
gap-filled using the corresponding data in the same wetland type</t>
        </r>
      </text>
    </comment>
    <comment ref="DE348" authorId="0" shapeId="0" xr:uid="{12AD0061-7B7D-4F77-A7E4-B3462F7B16E4}">
      <text>
        <r>
          <rPr>
            <b/>
            <sz val="9"/>
            <color indexed="81"/>
            <rFont val="Tahoma"/>
            <family val="2"/>
          </rPr>
          <t>Author:</t>
        </r>
        <r>
          <rPr>
            <sz val="9"/>
            <color indexed="81"/>
            <rFont val="Tahoma"/>
            <family val="2"/>
          </rPr>
          <t xml:space="preserve">
gap-filled using the corresponding data in the same wetland type</t>
        </r>
      </text>
    </comment>
    <comment ref="CA349" authorId="0" shapeId="0" xr:uid="{7AF7424C-0B0F-4DF3-9840-1006C4B091CF}">
      <text>
        <r>
          <rPr>
            <b/>
            <sz val="9"/>
            <color indexed="81"/>
            <rFont val="Tahoma"/>
            <family val="2"/>
          </rPr>
          <t>Author:</t>
        </r>
        <r>
          <rPr>
            <sz val="9"/>
            <color indexed="81"/>
            <rFont val="Tahoma"/>
            <family val="2"/>
          </rPr>
          <t xml:space="preserve">
gap-filled using the corresponding data in the same wetland type</t>
        </r>
      </text>
    </comment>
    <comment ref="CE349" authorId="0" shapeId="0" xr:uid="{8A8F279A-D730-46A7-8DF1-15D72F00BFE2}">
      <text>
        <r>
          <rPr>
            <b/>
            <sz val="9"/>
            <color indexed="81"/>
            <rFont val="Tahoma"/>
            <family val="2"/>
          </rPr>
          <t>Author:</t>
        </r>
        <r>
          <rPr>
            <sz val="9"/>
            <color indexed="81"/>
            <rFont val="Tahoma"/>
            <family val="2"/>
          </rPr>
          <t xml:space="preserve">
gap-filled using the corresponding data in the same wetland type</t>
        </r>
      </text>
    </comment>
    <comment ref="CN349" authorId="0" shapeId="0" xr:uid="{C5C43907-B9C5-43BA-9ED4-7260B2AA4CD0}">
      <text>
        <r>
          <rPr>
            <b/>
            <sz val="9"/>
            <color indexed="81"/>
            <rFont val="Tahoma"/>
            <family val="2"/>
          </rPr>
          <t>Author:</t>
        </r>
        <r>
          <rPr>
            <sz val="9"/>
            <color indexed="81"/>
            <rFont val="Tahoma"/>
            <family val="2"/>
          </rPr>
          <t xml:space="preserve">
gap-filled using the corresponding data in the same wetland type</t>
        </r>
      </text>
    </comment>
    <comment ref="CR349" authorId="0" shapeId="0" xr:uid="{F4237B71-E704-4011-9C7C-FE7BF37B209B}">
      <text>
        <r>
          <rPr>
            <b/>
            <sz val="9"/>
            <color indexed="81"/>
            <rFont val="Tahoma"/>
            <family val="2"/>
          </rPr>
          <t>Author:</t>
        </r>
        <r>
          <rPr>
            <sz val="9"/>
            <color indexed="81"/>
            <rFont val="Tahoma"/>
            <family val="2"/>
          </rPr>
          <t xml:space="preserve">
gap-filled using the corresponding data in the same wetland type</t>
        </r>
      </text>
    </comment>
    <comment ref="DA349" authorId="0" shapeId="0" xr:uid="{0BF48EB8-587F-42CE-AAE8-BE4A63E9893D}">
      <text>
        <r>
          <rPr>
            <b/>
            <sz val="9"/>
            <color indexed="81"/>
            <rFont val="Tahoma"/>
            <family val="2"/>
          </rPr>
          <t>Author:</t>
        </r>
        <r>
          <rPr>
            <sz val="9"/>
            <color indexed="81"/>
            <rFont val="Tahoma"/>
            <family val="2"/>
          </rPr>
          <t xml:space="preserve">
gap-filled using the corresponding data in the same wetland type</t>
        </r>
      </text>
    </comment>
    <comment ref="DE349" authorId="0" shapeId="0" xr:uid="{14A969F4-5E65-4AB5-95E6-C7A2C9C4D91A}">
      <text>
        <r>
          <rPr>
            <b/>
            <sz val="9"/>
            <color indexed="81"/>
            <rFont val="Tahoma"/>
            <family val="2"/>
          </rPr>
          <t>Author:</t>
        </r>
        <r>
          <rPr>
            <sz val="9"/>
            <color indexed="81"/>
            <rFont val="Tahoma"/>
            <family val="2"/>
          </rPr>
          <t xml:space="preserve">
gap-filled using the corresponding data in the same wetland type</t>
        </r>
      </text>
    </comment>
    <comment ref="CA350" authorId="0" shapeId="0" xr:uid="{C94D796D-A93B-473D-B8FA-CBBE0E60F3D2}">
      <text>
        <r>
          <rPr>
            <b/>
            <sz val="9"/>
            <color indexed="81"/>
            <rFont val="Tahoma"/>
            <family val="2"/>
          </rPr>
          <t>Author:</t>
        </r>
        <r>
          <rPr>
            <sz val="9"/>
            <color indexed="81"/>
            <rFont val="Tahoma"/>
            <family val="2"/>
          </rPr>
          <t xml:space="preserve">
non-gap-filled due to lacking data for the corresponding wetland type</t>
        </r>
      </text>
    </comment>
    <comment ref="CE350" authorId="0" shapeId="0" xr:uid="{9357A0BA-543A-4A6F-921F-CC60690A5129}">
      <text>
        <r>
          <rPr>
            <b/>
            <sz val="9"/>
            <color indexed="81"/>
            <rFont val="Tahoma"/>
            <family val="2"/>
          </rPr>
          <t>Author:</t>
        </r>
        <r>
          <rPr>
            <sz val="9"/>
            <color indexed="81"/>
            <rFont val="Tahoma"/>
            <family val="2"/>
          </rPr>
          <t xml:space="preserve">
gap-filled using the corresponding data in the same wetland type</t>
        </r>
      </text>
    </comment>
    <comment ref="CN350" authorId="0" shapeId="0" xr:uid="{1C612832-E80D-4FE0-9B67-754985DB7A99}">
      <text>
        <r>
          <rPr>
            <b/>
            <sz val="9"/>
            <color indexed="81"/>
            <rFont val="Tahoma"/>
            <family val="2"/>
          </rPr>
          <t>Author:</t>
        </r>
        <r>
          <rPr>
            <sz val="9"/>
            <color indexed="81"/>
            <rFont val="Tahoma"/>
            <family val="2"/>
          </rPr>
          <t xml:space="preserve">
non-gap-filled due to lacking data for the corresponding wetland type</t>
        </r>
      </text>
    </comment>
    <comment ref="CR350" authorId="0" shapeId="0" xr:uid="{29459EE6-6453-4670-B2E4-1574EBCE5D6C}">
      <text>
        <r>
          <rPr>
            <b/>
            <sz val="9"/>
            <color indexed="81"/>
            <rFont val="Tahoma"/>
            <family val="2"/>
          </rPr>
          <t>Author:</t>
        </r>
        <r>
          <rPr>
            <sz val="9"/>
            <color indexed="81"/>
            <rFont val="Tahoma"/>
            <family val="2"/>
          </rPr>
          <t xml:space="preserve">
gap-filled using the corresponding data in the same wetland type</t>
        </r>
      </text>
    </comment>
    <comment ref="DA350" authorId="0" shapeId="0" xr:uid="{C0E50FF0-5BE3-463B-AC6F-7270D52A37EF}">
      <text>
        <r>
          <rPr>
            <b/>
            <sz val="9"/>
            <color indexed="81"/>
            <rFont val="Tahoma"/>
            <family val="2"/>
          </rPr>
          <t>Author:</t>
        </r>
        <r>
          <rPr>
            <sz val="9"/>
            <color indexed="81"/>
            <rFont val="Tahoma"/>
            <family val="2"/>
          </rPr>
          <t xml:space="preserve">
non-gap-filled due to lacking data for the corresponding wetland type</t>
        </r>
      </text>
    </comment>
    <comment ref="DE350" authorId="0" shapeId="0" xr:uid="{6A1F484C-0276-42BA-8F38-487863CB229B}">
      <text>
        <r>
          <rPr>
            <b/>
            <sz val="9"/>
            <color indexed="81"/>
            <rFont val="Tahoma"/>
            <family val="2"/>
          </rPr>
          <t>Author:</t>
        </r>
        <r>
          <rPr>
            <sz val="9"/>
            <color indexed="81"/>
            <rFont val="Tahoma"/>
            <family val="2"/>
          </rPr>
          <t xml:space="preserve">
gap-filled using the corresponding data in the same wetland type</t>
        </r>
      </text>
    </comment>
    <comment ref="CA351" authorId="0" shapeId="0" xr:uid="{E90253E4-944D-4D39-9FF8-A610C0E342D8}">
      <text>
        <r>
          <rPr>
            <b/>
            <sz val="9"/>
            <color indexed="81"/>
            <rFont val="Tahoma"/>
            <family val="2"/>
          </rPr>
          <t>Author:</t>
        </r>
        <r>
          <rPr>
            <sz val="9"/>
            <color indexed="81"/>
            <rFont val="Tahoma"/>
            <family val="2"/>
          </rPr>
          <t xml:space="preserve">
gap-filled using the corresponding data in the same wetland type</t>
        </r>
      </text>
    </comment>
    <comment ref="CE351" authorId="0" shapeId="0" xr:uid="{B7C9306D-73A2-4AA6-B884-5D5303188A7A}">
      <text>
        <r>
          <rPr>
            <b/>
            <sz val="9"/>
            <color indexed="81"/>
            <rFont val="Tahoma"/>
            <family val="2"/>
          </rPr>
          <t>Author:</t>
        </r>
        <r>
          <rPr>
            <sz val="9"/>
            <color indexed="81"/>
            <rFont val="Tahoma"/>
            <family val="2"/>
          </rPr>
          <t xml:space="preserve">
gap-filled using the corresponding data in the same wetland type</t>
        </r>
      </text>
    </comment>
    <comment ref="CN351" authorId="0" shapeId="0" xr:uid="{B277C9FE-1BC4-4F57-B5A4-635F3A7C5CF9}">
      <text>
        <r>
          <rPr>
            <b/>
            <sz val="9"/>
            <color indexed="81"/>
            <rFont val="Tahoma"/>
            <family val="2"/>
          </rPr>
          <t>Author:</t>
        </r>
        <r>
          <rPr>
            <sz val="9"/>
            <color indexed="81"/>
            <rFont val="Tahoma"/>
            <family val="2"/>
          </rPr>
          <t xml:space="preserve">
gap-filled using the corresponding data in the same wetland type</t>
        </r>
      </text>
    </comment>
    <comment ref="CR351" authorId="0" shapeId="0" xr:uid="{85D6581A-997B-4E0A-A552-0DD317CADA72}">
      <text>
        <r>
          <rPr>
            <b/>
            <sz val="9"/>
            <color indexed="81"/>
            <rFont val="Tahoma"/>
            <family val="2"/>
          </rPr>
          <t>Author:</t>
        </r>
        <r>
          <rPr>
            <sz val="9"/>
            <color indexed="81"/>
            <rFont val="Tahoma"/>
            <family val="2"/>
          </rPr>
          <t xml:space="preserve">
gap-filled using the corresponding data in the same wetland type</t>
        </r>
      </text>
    </comment>
    <comment ref="DA351" authorId="0" shapeId="0" xr:uid="{8CB7FD09-7D49-4F68-B8CC-7C2FDA01D4FA}">
      <text>
        <r>
          <rPr>
            <b/>
            <sz val="9"/>
            <color indexed="81"/>
            <rFont val="Tahoma"/>
            <family val="2"/>
          </rPr>
          <t>Author:</t>
        </r>
        <r>
          <rPr>
            <sz val="9"/>
            <color indexed="81"/>
            <rFont val="Tahoma"/>
            <family val="2"/>
          </rPr>
          <t xml:space="preserve">
gap-filled using the corresponding data in the same wetland type</t>
        </r>
      </text>
    </comment>
    <comment ref="DE351" authorId="0" shapeId="0" xr:uid="{399C5880-A14A-4884-8604-79D0EC617448}">
      <text>
        <r>
          <rPr>
            <b/>
            <sz val="9"/>
            <color indexed="81"/>
            <rFont val="Tahoma"/>
            <family val="2"/>
          </rPr>
          <t>Author:</t>
        </r>
        <r>
          <rPr>
            <sz val="9"/>
            <color indexed="81"/>
            <rFont val="Tahoma"/>
            <family val="2"/>
          </rPr>
          <t xml:space="preserve">
gap-filled using the corresponding data in the same wetland type</t>
        </r>
      </text>
    </comment>
    <comment ref="CA352" authorId="0" shapeId="0" xr:uid="{D29AC804-A31F-4587-9754-2846F3CE9BBD}">
      <text>
        <r>
          <rPr>
            <b/>
            <sz val="9"/>
            <color indexed="81"/>
            <rFont val="Tahoma"/>
            <family val="2"/>
          </rPr>
          <t>Author:</t>
        </r>
        <r>
          <rPr>
            <sz val="9"/>
            <color indexed="81"/>
            <rFont val="Tahoma"/>
            <family val="2"/>
          </rPr>
          <t xml:space="preserve">
gap-filled using the corresponding data in the same wetland type</t>
        </r>
      </text>
    </comment>
    <comment ref="CE352" authorId="0" shapeId="0" xr:uid="{81D3BB57-2F49-40FB-BC9D-0E4D58DC71B2}">
      <text>
        <r>
          <rPr>
            <b/>
            <sz val="9"/>
            <color indexed="81"/>
            <rFont val="Tahoma"/>
            <family val="2"/>
          </rPr>
          <t>Author:</t>
        </r>
        <r>
          <rPr>
            <sz val="9"/>
            <color indexed="81"/>
            <rFont val="Tahoma"/>
            <family val="2"/>
          </rPr>
          <t xml:space="preserve">
gap-filled using the corresponding data in the same wetland type</t>
        </r>
      </text>
    </comment>
    <comment ref="CN352" authorId="0" shapeId="0" xr:uid="{9BCF626C-7DCF-4239-98F2-35C820F16EB4}">
      <text>
        <r>
          <rPr>
            <b/>
            <sz val="9"/>
            <color indexed="81"/>
            <rFont val="Tahoma"/>
            <family val="2"/>
          </rPr>
          <t>Author:</t>
        </r>
        <r>
          <rPr>
            <sz val="9"/>
            <color indexed="81"/>
            <rFont val="Tahoma"/>
            <family val="2"/>
          </rPr>
          <t xml:space="preserve">
gap-filled using the corresponding data in the same wetland type</t>
        </r>
      </text>
    </comment>
    <comment ref="CR352" authorId="0" shapeId="0" xr:uid="{A8EEA86C-5122-4562-BCAA-0DC6DDA452CE}">
      <text>
        <r>
          <rPr>
            <b/>
            <sz val="9"/>
            <color indexed="81"/>
            <rFont val="Tahoma"/>
            <family val="2"/>
          </rPr>
          <t>Author:</t>
        </r>
        <r>
          <rPr>
            <sz val="9"/>
            <color indexed="81"/>
            <rFont val="Tahoma"/>
            <family val="2"/>
          </rPr>
          <t xml:space="preserve">
gap-filled using the corresponding data in the same wetland type</t>
        </r>
      </text>
    </comment>
    <comment ref="DA352" authorId="0" shapeId="0" xr:uid="{7A9CA0EA-C8A1-4C8F-BA65-2C0C24B54BB4}">
      <text>
        <r>
          <rPr>
            <b/>
            <sz val="9"/>
            <color indexed="81"/>
            <rFont val="Tahoma"/>
            <family val="2"/>
          </rPr>
          <t>Author:</t>
        </r>
        <r>
          <rPr>
            <sz val="9"/>
            <color indexed="81"/>
            <rFont val="Tahoma"/>
            <family val="2"/>
          </rPr>
          <t xml:space="preserve">
gap-filled using the corresponding data in the same wetland type</t>
        </r>
      </text>
    </comment>
    <comment ref="DE352" authorId="0" shapeId="0" xr:uid="{BF925560-577D-452B-8227-015928070197}">
      <text>
        <r>
          <rPr>
            <b/>
            <sz val="9"/>
            <color indexed="81"/>
            <rFont val="Tahoma"/>
            <family val="2"/>
          </rPr>
          <t>Author:</t>
        </r>
        <r>
          <rPr>
            <sz val="9"/>
            <color indexed="81"/>
            <rFont val="Tahoma"/>
            <family val="2"/>
          </rPr>
          <t xml:space="preserve">
gap-filled using the corresponding data in the same wetland type</t>
        </r>
      </text>
    </comment>
    <comment ref="CA353" authorId="0" shapeId="0" xr:uid="{FCD43E30-D046-43B9-8BEE-4327CCC812B2}">
      <text>
        <r>
          <rPr>
            <b/>
            <sz val="9"/>
            <color indexed="81"/>
            <rFont val="Tahoma"/>
            <family val="2"/>
          </rPr>
          <t>Author:</t>
        </r>
        <r>
          <rPr>
            <sz val="9"/>
            <color indexed="81"/>
            <rFont val="Tahoma"/>
            <family val="2"/>
          </rPr>
          <t xml:space="preserve">
non-gap-filled due to lacking data for the corresponding wetland type</t>
        </r>
      </text>
    </comment>
    <comment ref="CE353" authorId="0" shapeId="0" xr:uid="{CA49240C-E0F1-4473-98CD-18536CCCCCE7}">
      <text>
        <r>
          <rPr>
            <b/>
            <sz val="9"/>
            <color indexed="81"/>
            <rFont val="Tahoma"/>
            <family val="2"/>
          </rPr>
          <t>Author:</t>
        </r>
        <r>
          <rPr>
            <sz val="9"/>
            <color indexed="81"/>
            <rFont val="Tahoma"/>
            <family val="2"/>
          </rPr>
          <t xml:space="preserve">
gap-filled using the corresponding data in the same wetland type</t>
        </r>
      </text>
    </comment>
    <comment ref="CN353" authorId="0" shapeId="0" xr:uid="{89BB4EBF-7DFF-40A0-AAC0-1D6D36E7C75C}">
      <text>
        <r>
          <rPr>
            <b/>
            <sz val="9"/>
            <color indexed="81"/>
            <rFont val="Tahoma"/>
            <family val="2"/>
          </rPr>
          <t>Author:</t>
        </r>
        <r>
          <rPr>
            <sz val="9"/>
            <color indexed="81"/>
            <rFont val="Tahoma"/>
            <family val="2"/>
          </rPr>
          <t xml:space="preserve">
non-gap-filled due to lacking data for the corresponding wetland type</t>
        </r>
      </text>
    </comment>
    <comment ref="CR353" authorId="0" shapeId="0" xr:uid="{0290F681-8D68-4B3E-AFAC-B6814A83D58B}">
      <text>
        <r>
          <rPr>
            <b/>
            <sz val="9"/>
            <color indexed="81"/>
            <rFont val="Tahoma"/>
            <family val="2"/>
          </rPr>
          <t>Author:</t>
        </r>
        <r>
          <rPr>
            <sz val="9"/>
            <color indexed="81"/>
            <rFont val="Tahoma"/>
            <family val="2"/>
          </rPr>
          <t xml:space="preserve">
gap-filled using the corresponding data in the same wetland type</t>
        </r>
      </text>
    </comment>
    <comment ref="DA353" authorId="0" shapeId="0" xr:uid="{D0A04538-35D7-42C8-908D-0BD8B643D3F7}">
      <text>
        <r>
          <rPr>
            <b/>
            <sz val="9"/>
            <color indexed="81"/>
            <rFont val="Tahoma"/>
            <family val="2"/>
          </rPr>
          <t>Author:</t>
        </r>
        <r>
          <rPr>
            <sz val="9"/>
            <color indexed="81"/>
            <rFont val="Tahoma"/>
            <family val="2"/>
          </rPr>
          <t xml:space="preserve">
non-gap-filled due to lacking data for the corresponding wetland type</t>
        </r>
      </text>
    </comment>
    <comment ref="DE353" authorId="0" shapeId="0" xr:uid="{50150952-8779-4BBE-A286-3612BABB0D23}">
      <text>
        <r>
          <rPr>
            <b/>
            <sz val="9"/>
            <color indexed="81"/>
            <rFont val="Tahoma"/>
            <family val="2"/>
          </rPr>
          <t>Author:</t>
        </r>
        <r>
          <rPr>
            <sz val="9"/>
            <color indexed="81"/>
            <rFont val="Tahoma"/>
            <family val="2"/>
          </rPr>
          <t xml:space="preserve">
gap-filled using the corresponding data in the same wetland type</t>
        </r>
      </text>
    </comment>
    <comment ref="CA354" authorId="0" shapeId="0" xr:uid="{AF29CADB-B486-48E2-B794-18427F68B3C8}">
      <text>
        <r>
          <rPr>
            <b/>
            <sz val="9"/>
            <color indexed="81"/>
            <rFont val="Tahoma"/>
            <family val="2"/>
          </rPr>
          <t>Author:</t>
        </r>
        <r>
          <rPr>
            <sz val="9"/>
            <color indexed="81"/>
            <rFont val="Tahoma"/>
            <family val="2"/>
          </rPr>
          <t xml:space="preserve">
gap-filled using the corresponding data in the same wetland type</t>
        </r>
      </text>
    </comment>
    <comment ref="CE354" authorId="0" shapeId="0" xr:uid="{D54774C9-AA16-4C4F-8762-184DDD40BD76}">
      <text>
        <r>
          <rPr>
            <b/>
            <sz val="9"/>
            <color indexed="81"/>
            <rFont val="Tahoma"/>
            <family val="2"/>
          </rPr>
          <t>Author:</t>
        </r>
        <r>
          <rPr>
            <sz val="9"/>
            <color indexed="81"/>
            <rFont val="Tahoma"/>
            <family val="2"/>
          </rPr>
          <t xml:space="preserve">
gap-filled using the corresponding data in the same wetland type</t>
        </r>
      </text>
    </comment>
    <comment ref="CN354" authorId="0" shapeId="0" xr:uid="{3B625BB7-E570-47AF-8DEB-4D22AF77208C}">
      <text>
        <r>
          <rPr>
            <b/>
            <sz val="9"/>
            <color indexed="81"/>
            <rFont val="Tahoma"/>
            <family val="2"/>
          </rPr>
          <t>Author:</t>
        </r>
        <r>
          <rPr>
            <sz val="9"/>
            <color indexed="81"/>
            <rFont val="Tahoma"/>
            <family val="2"/>
          </rPr>
          <t xml:space="preserve">
gap-filled using the corresponding data in the same wetland type</t>
        </r>
      </text>
    </comment>
    <comment ref="CR354" authorId="0" shapeId="0" xr:uid="{557B53BB-9B0B-4103-9811-B9C1519001A4}">
      <text>
        <r>
          <rPr>
            <b/>
            <sz val="9"/>
            <color indexed="81"/>
            <rFont val="Tahoma"/>
            <family val="2"/>
          </rPr>
          <t>Author:</t>
        </r>
        <r>
          <rPr>
            <sz val="9"/>
            <color indexed="81"/>
            <rFont val="Tahoma"/>
            <family val="2"/>
          </rPr>
          <t xml:space="preserve">
gap-filled using the corresponding data in the same wetland type</t>
        </r>
      </text>
    </comment>
    <comment ref="DA354" authorId="0" shapeId="0" xr:uid="{9020DD94-9BBE-44F7-BF43-6ED7EBABCA11}">
      <text>
        <r>
          <rPr>
            <b/>
            <sz val="9"/>
            <color indexed="81"/>
            <rFont val="Tahoma"/>
            <family val="2"/>
          </rPr>
          <t>Author:</t>
        </r>
        <r>
          <rPr>
            <sz val="9"/>
            <color indexed="81"/>
            <rFont val="Tahoma"/>
            <family val="2"/>
          </rPr>
          <t xml:space="preserve">
gap-filled using the corresponding data in the same wetland type</t>
        </r>
      </text>
    </comment>
    <comment ref="DE354" authorId="0" shapeId="0" xr:uid="{817FAF1A-40CF-49DC-8A3F-448A48929F1B}">
      <text>
        <r>
          <rPr>
            <b/>
            <sz val="9"/>
            <color indexed="81"/>
            <rFont val="Tahoma"/>
            <family val="2"/>
          </rPr>
          <t>Author:</t>
        </r>
        <r>
          <rPr>
            <sz val="9"/>
            <color indexed="81"/>
            <rFont val="Tahoma"/>
            <family val="2"/>
          </rPr>
          <t xml:space="preserve">
gap-filled using the corresponding data in the same wetland type</t>
        </r>
      </text>
    </comment>
    <comment ref="DN354" authorId="0" shapeId="0" xr:uid="{47A57B74-425B-4035-B956-FECAECC40EE1}">
      <text>
        <r>
          <rPr>
            <b/>
            <sz val="9"/>
            <color indexed="81"/>
            <rFont val="Tahoma"/>
            <family val="2"/>
          </rPr>
          <t>Author:</t>
        </r>
        <r>
          <rPr>
            <sz val="9"/>
            <color indexed="81"/>
            <rFont val="Tahoma"/>
            <family val="2"/>
          </rPr>
          <t xml:space="preserve">
gap-filled using the corresponding data in the same wetland type</t>
        </r>
      </text>
    </comment>
    <comment ref="DR354" authorId="0" shapeId="0" xr:uid="{451FB181-FBB6-450F-91F9-8A63BECB2678}">
      <text>
        <r>
          <rPr>
            <b/>
            <sz val="9"/>
            <color indexed="81"/>
            <rFont val="Tahoma"/>
            <family val="2"/>
          </rPr>
          <t>Author:</t>
        </r>
        <r>
          <rPr>
            <sz val="9"/>
            <color indexed="81"/>
            <rFont val="Tahoma"/>
            <family val="2"/>
          </rPr>
          <t xml:space="preserve">
gap-filled using the corresponding data in the same wetland type</t>
        </r>
      </text>
    </comment>
    <comment ref="CA355" authorId="0" shapeId="0" xr:uid="{07783A87-E205-4743-86E7-C12B84A066EF}">
      <text>
        <r>
          <rPr>
            <b/>
            <sz val="9"/>
            <color indexed="81"/>
            <rFont val="Tahoma"/>
            <family val="2"/>
          </rPr>
          <t>Author:</t>
        </r>
        <r>
          <rPr>
            <sz val="9"/>
            <color indexed="81"/>
            <rFont val="Tahoma"/>
            <family val="2"/>
          </rPr>
          <t xml:space="preserve">
gap-filled using the corresponding data in the same wetland type</t>
        </r>
      </text>
    </comment>
    <comment ref="CE355" authorId="0" shapeId="0" xr:uid="{88209919-B974-4A7E-9159-CFC5B1D82F40}">
      <text>
        <r>
          <rPr>
            <b/>
            <sz val="9"/>
            <color indexed="81"/>
            <rFont val="Tahoma"/>
            <family val="2"/>
          </rPr>
          <t>Author:</t>
        </r>
        <r>
          <rPr>
            <sz val="9"/>
            <color indexed="81"/>
            <rFont val="Tahoma"/>
            <family val="2"/>
          </rPr>
          <t xml:space="preserve">
gap-filled using the corresponding data in the same wetland type</t>
        </r>
      </text>
    </comment>
    <comment ref="CN355" authorId="0" shapeId="0" xr:uid="{E6E9810D-5201-4A00-B811-4CF84D394B98}">
      <text>
        <r>
          <rPr>
            <b/>
            <sz val="9"/>
            <color indexed="81"/>
            <rFont val="Tahoma"/>
            <family val="2"/>
          </rPr>
          <t>Author:</t>
        </r>
        <r>
          <rPr>
            <sz val="9"/>
            <color indexed="81"/>
            <rFont val="Tahoma"/>
            <family val="2"/>
          </rPr>
          <t xml:space="preserve">
gap-filled using the corresponding data in the same wetland type</t>
        </r>
      </text>
    </comment>
    <comment ref="CR355" authorId="0" shapeId="0" xr:uid="{95D8C33B-0C05-44A9-B975-2541C0A8D78B}">
      <text>
        <r>
          <rPr>
            <b/>
            <sz val="9"/>
            <color indexed="81"/>
            <rFont val="Tahoma"/>
            <family val="2"/>
          </rPr>
          <t>Author:</t>
        </r>
        <r>
          <rPr>
            <sz val="9"/>
            <color indexed="81"/>
            <rFont val="Tahoma"/>
            <family val="2"/>
          </rPr>
          <t xml:space="preserve">
gap-filled using the corresponding data in the same wetland type</t>
        </r>
      </text>
    </comment>
    <comment ref="DA355" authorId="0" shapeId="0" xr:uid="{D88459E5-97A3-4B38-8560-B1F19A8AA7CA}">
      <text>
        <r>
          <rPr>
            <b/>
            <sz val="9"/>
            <color indexed="81"/>
            <rFont val="Tahoma"/>
            <family val="2"/>
          </rPr>
          <t>Author:</t>
        </r>
        <r>
          <rPr>
            <sz val="9"/>
            <color indexed="81"/>
            <rFont val="Tahoma"/>
            <family val="2"/>
          </rPr>
          <t xml:space="preserve">
gap-filled using the corresponding data in the same wetland type</t>
        </r>
      </text>
    </comment>
    <comment ref="DE355" authorId="0" shapeId="0" xr:uid="{61E3AEDB-B790-40CB-BB42-3B62852C4028}">
      <text>
        <r>
          <rPr>
            <b/>
            <sz val="9"/>
            <color indexed="81"/>
            <rFont val="Tahoma"/>
            <family val="2"/>
          </rPr>
          <t>Author:</t>
        </r>
        <r>
          <rPr>
            <sz val="9"/>
            <color indexed="81"/>
            <rFont val="Tahoma"/>
            <family val="2"/>
          </rPr>
          <t xml:space="preserve">
gap-filled using the corresponding data in the same wetland type</t>
        </r>
      </text>
    </comment>
    <comment ref="DN355" authorId="0" shapeId="0" xr:uid="{3D7C40F4-D04D-42DD-8BCB-04FD29E95EEE}">
      <text>
        <r>
          <rPr>
            <b/>
            <sz val="9"/>
            <color indexed="81"/>
            <rFont val="Tahoma"/>
            <family val="2"/>
          </rPr>
          <t>Author:</t>
        </r>
        <r>
          <rPr>
            <sz val="9"/>
            <color indexed="81"/>
            <rFont val="Tahoma"/>
            <family val="2"/>
          </rPr>
          <t xml:space="preserve">
gap-filled using the corresponding data in the same wetland type</t>
        </r>
      </text>
    </comment>
    <comment ref="DR355" authorId="0" shapeId="0" xr:uid="{5B96452A-F3BA-4FEF-A2C4-3A0D78626739}">
      <text>
        <r>
          <rPr>
            <b/>
            <sz val="9"/>
            <color indexed="81"/>
            <rFont val="Tahoma"/>
            <family val="2"/>
          </rPr>
          <t>Author:</t>
        </r>
        <r>
          <rPr>
            <sz val="9"/>
            <color indexed="81"/>
            <rFont val="Tahoma"/>
            <family val="2"/>
          </rPr>
          <t xml:space="preserve">
gap-filled using the corresponding data in the same wetland type</t>
        </r>
      </text>
    </comment>
    <comment ref="CA356" authorId="0" shapeId="0" xr:uid="{59EEAEED-988F-42FE-8DE7-02C155202A0D}">
      <text>
        <r>
          <rPr>
            <b/>
            <sz val="9"/>
            <color indexed="81"/>
            <rFont val="Tahoma"/>
            <family val="2"/>
          </rPr>
          <t>Author:</t>
        </r>
        <r>
          <rPr>
            <sz val="9"/>
            <color indexed="81"/>
            <rFont val="Tahoma"/>
            <family val="2"/>
          </rPr>
          <t xml:space="preserve">
gap-filled using the corresponding data in the same wetland type</t>
        </r>
      </text>
    </comment>
    <comment ref="CE356" authorId="0" shapeId="0" xr:uid="{A3CF39EC-801F-42AC-ADA3-FB66DC1F6C3F}">
      <text>
        <r>
          <rPr>
            <b/>
            <sz val="9"/>
            <color indexed="81"/>
            <rFont val="Tahoma"/>
            <family val="2"/>
          </rPr>
          <t>Author:</t>
        </r>
        <r>
          <rPr>
            <sz val="9"/>
            <color indexed="81"/>
            <rFont val="Tahoma"/>
            <family val="2"/>
          </rPr>
          <t xml:space="preserve">
gap-filled using the corresponding data in the same wetland type</t>
        </r>
      </text>
    </comment>
    <comment ref="CN356" authorId="0" shapeId="0" xr:uid="{B3913557-FB0E-46C5-A45E-65F4CAC9B79C}">
      <text>
        <r>
          <rPr>
            <b/>
            <sz val="9"/>
            <color indexed="81"/>
            <rFont val="Tahoma"/>
            <family val="2"/>
          </rPr>
          <t>Author:</t>
        </r>
        <r>
          <rPr>
            <sz val="9"/>
            <color indexed="81"/>
            <rFont val="Tahoma"/>
            <family val="2"/>
          </rPr>
          <t xml:space="preserve">
gap-filled using the corresponding data in the same wetland type</t>
        </r>
      </text>
    </comment>
    <comment ref="CR356" authorId="0" shapeId="0" xr:uid="{09E1D40C-1330-4E37-AB97-7CDFEDE735DD}">
      <text>
        <r>
          <rPr>
            <b/>
            <sz val="9"/>
            <color indexed="81"/>
            <rFont val="Tahoma"/>
            <family val="2"/>
          </rPr>
          <t>Author:</t>
        </r>
        <r>
          <rPr>
            <sz val="9"/>
            <color indexed="81"/>
            <rFont val="Tahoma"/>
            <family val="2"/>
          </rPr>
          <t xml:space="preserve">
gap-filled using the corresponding data in the same wetland type</t>
        </r>
      </text>
    </comment>
    <comment ref="DA356" authorId="0" shapeId="0" xr:uid="{97743618-EA35-47E7-A11B-68FDD346DB2A}">
      <text>
        <r>
          <rPr>
            <b/>
            <sz val="9"/>
            <color indexed="81"/>
            <rFont val="Tahoma"/>
            <family val="2"/>
          </rPr>
          <t>Author:</t>
        </r>
        <r>
          <rPr>
            <sz val="9"/>
            <color indexed="81"/>
            <rFont val="Tahoma"/>
            <family val="2"/>
          </rPr>
          <t xml:space="preserve">
gap-filled using the corresponding data in the same wetland type</t>
        </r>
      </text>
    </comment>
    <comment ref="DE356" authorId="0" shapeId="0" xr:uid="{78EA08FC-5926-479F-8638-D723BB30F078}">
      <text>
        <r>
          <rPr>
            <b/>
            <sz val="9"/>
            <color indexed="81"/>
            <rFont val="Tahoma"/>
            <family val="2"/>
          </rPr>
          <t>Author:</t>
        </r>
        <r>
          <rPr>
            <sz val="9"/>
            <color indexed="81"/>
            <rFont val="Tahoma"/>
            <family val="2"/>
          </rPr>
          <t xml:space="preserve">
gap-filled using the corresponding data in the same wetland type</t>
        </r>
      </text>
    </comment>
    <comment ref="DN356" authorId="0" shapeId="0" xr:uid="{A9DBA202-DC1D-43D3-B500-72A494231EF7}">
      <text>
        <r>
          <rPr>
            <b/>
            <sz val="9"/>
            <color indexed="81"/>
            <rFont val="Tahoma"/>
            <family val="2"/>
          </rPr>
          <t>Author:</t>
        </r>
        <r>
          <rPr>
            <sz val="9"/>
            <color indexed="81"/>
            <rFont val="Tahoma"/>
            <family val="2"/>
          </rPr>
          <t xml:space="preserve">
gap-filled using the corresponding data in the same wetland type</t>
        </r>
      </text>
    </comment>
    <comment ref="DR356" authorId="0" shapeId="0" xr:uid="{A4230E1A-2458-44C2-A2E8-EBD6CF3B60D7}">
      <text>
        <r>
          <rPr>
            <b/>
            <sz val="9"/>
            <color indexed="81"/>
            <rFont val="Tahoma"/>
            <family val="2"/>
          </rPr>
          <t>Author:</t>
        </r>
        <r>
          <rPr>
            <sz val="9"/>
            <color indexed="81"/>
            <rFont val="Tahoma"/>
            <family val="2"/>
          </rPr>
          <t xml:space="preserve">
gap-filled using the corresponding data in the same wetland type</t>
        </r>
      </text>
    </comment>
    <comment ref="CA357" authorId="0" shapeId="0" xr:uid="{D1891AFD-29DE-46A9-8304-140DCE7C2360}">
      <text>
        <r>
          <rPr>
            <b/>
            <sz val="9"/>
            <color indexed="81"/>
            <rFont val="Tahoma"/>
            <family val="2"/>
          </rPr>
          <t>Author:</t>
        </r>
        <r>
          <rPr>
            <sz val="9"/>
            <color indexed="81"/>
            <rFont val="Tahoma"/>
            <family val="2"/>
          </rPr>
          <t xml:space="preserve">
gap-filled using the corresponding data in the same wetland type</t>
        </r>
      </text>
    </comment>
    <comment ref="CE357" authorId="0" shapeId="0" xr:uid="{43431B93-A24B-4318-9116-339B0B1D4CA1}">
      <text>
        <r>
          <rPr>
            <b/>
            <sz val="9"/>
            <color indexed="81"/>
            <rFont val="Tahoma"/>
            <family val="2"/>
          </rPr>
          <t>Author:</t>
        </r>
        <r>
          <rPr>
            <sz val="9"/>
            <color indexed="81"/>
            <rFont val="Tahoma"/>
            <family val="2"/>
          </rPr>
          <t xml:space="preserve">
gap-filled using the corresponding data in the same wetland type</t>
        </r>
      </text>
    </comment>
    <comment ref="CN357" authorId="0" shapeId="0" xr:uid="{DAEF25EB-8807-466C-B192-394271FE068C}">
      <text>
        <r>
          <rPr>
            <b/>
            <sz val="9"/>
            <color indexed="81"/>
            <rFont val="Tahoma"/>
            <family val="2"/>
          </rPr>
          <t>Author:</t>
        </r>
        <r>
          <rPr>
            <sz val="9"/>
            <color indexed="81"/>
            <rFont val="Tahoma"/>
            <family val="2"/>
          </rPr>
          <t xml:space="preserve">
gap-filled using the corresponding data in the same wetland type</t>
        </r>
      </text>
    </comment>
    <comment ref="CR357" authorId="0" shapeId="0" xr:uid="{307DE01A-39C2-4985-BEB6-DAE8558767A9}">
      <text>
        <r>
          <rPr>
            <b/>
            <sz val="9"/>
            <color indexed="81"/>
            <rFont val="Tahoma"/>
            <family val="2"/>
          </rPr>
          <t>Author:</t>
        </r>
        <r>
          <rPr>
            <sz val="9"/>
            <color indexed="81"/>
            <rFont val="Tahoma"/>
            <family val="2"/>
          </rPr>
          <t xml:space="preserve">
gap-filled using the corresponding data in the same wetland type</t>
        </r>
      </text>
    </comment>
    <comment ref="DA357" authorId="0" shapeId="0" xr:uid="{661E872E-927D-46AF-BA79-87310DB194CF}">
      <text>
        <r>
          <rPr>
            <b/>
            <sz val="9"/>
            <color indexed="81"/>
            <rFont val="Tahoma"/>
            <family val="2"/>
          </rPr>
          <t>Author:</t>
        </r>
        <r>
          <rPr>
            <sz val="9"/>
            <color indexed="81"/>
            <rFont val="Tahoma"/>
            <family val="2"/>
          </rPr>
          <t xml:space="preserve">
gap-filled using the corresponding data in the same wetland type</t>
        </r>
      </text>
    </comment>
    <comment ref="DE357" authorId="0" shapeId="0" xr:uid="{DD8E3F31-9558-4968-847F-14A2A75EA879}">
      <text>
        <r>
          <rPr>
            <b/>
            <sz val="9"/>
            <color indexed="81"/>
            <rFont val="Tahoma"/>
            <family val="2"/>
          </rPr>
          <t>Author:</t>
        </r>
        <r>
          <rPr>
            <sz val="9"/>
            <color indexed="81"/>
            <rFont val="Tahoma"/>
            <family val="2"/>
          </rPr>
          <t xml:space="preserve">
gap-filled using the corresponding data in the same wetland type</t>
        </r>
      </text>
    </comment>
    <comment ref="DN357" authorId="0" shapeId="0" xr:uid="{759A8284-CBC3-4659-AB98-F0368FA3A83A}">
      <text>
        <r>
          <rPr>
            <b/>
            <sz val="9"/>
            <color indexed="81"/>
            <rFont val="Tahoma"/>
            <family val="2"/>
          </rPr>
          <t>Author:</t>
        </r>
        <r>
          <rPr>
            <sz val="9"/>
            <color indexed="81"/>
            <rFont val="Tahoma"/>
            <family val="2"/>
          </rPr>
          <t xml:space="preserve">
gap-filled using the corresponding data in the same wetland type</t>
        </r>
      </text>
    </comment>
    <comment ref="DR357" authorId="0" shapeId="0" xr:uid="{AA7ECB57-C0E3-4EAE-AA86-23D098303ECB}">
      <text>
        <r>
          <rPr>
            <b/>
            <sz val="9"/>
            <color indexed="81"/>
            <rFont val="Tahoma"/>
            <family val="2"/>
          </rPr>
          <t>Author:</t>
        </r>
        <r>
          <rPr>
            <sz val="9"/>
            <color indexed="81"/>
            <rFont val="Tahoma"/>
            <family val="2"/>
          </rPr>
          <t xml:space="preserve">
gap-filled using the corresponding data in the same wetland type</t>
        </r>
      </text>
    </comment>
    <comment ref="CA358" authorId="0" shapeId="0" xr:uid="{C864104D-3868-489E-82B6-55BE96E4D927}">
      <text>
        <r>
          <rPr>
            <b/>
            <sz val="9"/>
            <color indexed="81"/>
            <rFont val="Tahoma"/>
            <family val="2"/>
          </rPr>
          <t>Author:</t>
        </r>
        <r>
          <rPr>
            <sz val="9"/>
            <color indexed="81"/>
            <rFont val="Tahoma"/>
            <family val="2"/>
          </rPr>
          <t xml:space="preserve">
gap-filled using the corresponding data in the same wetland type</t>
        </r>
      </text>
    </comment>
    <comment ref="CE358" authorId="0" shapeId="0" xr:uid="{CA5BE781-3B48-49C3-9C67-8DB3AD108DB8}">
      <text>
        <r>
          <rPr>
            <b/>
            <sz val="9"/>
            <color indexed="81"/>
            <rFont val="Tahoma"/>
            <family val="2"/>
          </rPr>
          <t>Author:</t>
        </r>
        <r>
          <rPr>
            <sz val="9"/>
            <color indexed="81"/>
            <rFont val="Tahoma"/>
            <family val="2"/>
          </rPr>
          <t xml:space="preserve">
gap-filled using the corresponding data in the same wetland type</t>
        </r>
      </text>
    </comment>
    <comment ref="CN358" authorId="0" shapeId="0" xr:uid="{A8CD1C5E-AC49-4BFE-B1E8-D3DEFD2DCD05}">
      <text>
        <r>
          <rPr>
            <b/>
            <sz val="9"/>
            <color indexed="81"/>
            <rFont val="Tahoma"/>
            <family val="2"/>
          </rPr>
          <t>Author:</t>
        </r>
        <r>
          <rPr>
            <sz val="9"/>
            <color indexed="81"/>
            <rFont val="Tahoma"/>
            <family val="2"/>
          </rPr>
          <t xml:space="preserve">
gap-filled using the corresponding data in the same wetland type</t>
        </r>
      </text>
    </comment>
    <comment ref="CR358" authorId="0" shapeId="0" xr:uid="{801BA71D-1DCB-4107-A5CE-4C6F24EF7E4B}">
      <text>
        <r>
          <rPr>
            <b/>
            <sz val="9"/>
            <color indexed="81"/>
            <rFont val="Tahoma"/>
            <family val="2"/>
          </rPr>
          <t>Author:</t>
        </r>
        <r>
          <rPr>
            <sz val="9"/>
            <color indexed="81"/>
            <rFont val="Tahoma"/>
            <family val="2"/>
          </rPr>
          <t xml:space="preserve">
gap-filled using the corresponding data in the same wetland type</t>
        </r>
      </text>
    </comment>
    <comment ref="DA358" authorId="0" shapeId="0" xr:uid="{FF756C80-A164-482D-9BE4-0F367BFB8981}">
      <text>
        <r>
          <rPr>
            <b/>
            <sz val="9"/>
            <color indexed="81"/>
            <rFont val="Tahoma"/>
            <family val="2"/>
          </rPr>
          <t>Author:</t>
        </r>
        <r>
          <rPr>
            <sz val="9"/>
            <color indexed="81"/>
            <rFont val="Tahoma"/>
            <family val="2"/>
          </rPr>
          <t xml:space="preserve">
gap-filled using the corresponding data in the same wetland type</t>
        </r>
      </text>
    </comment>
    <comment ref="DE358" authorId="0" shapeId="0" xr:uid="{F7CAAE0A-2FE3-42AF-8E36-2F7FB3FC57DE}">
      <text>
        <r>
          <rPr>
            <b/>
            <sz val="9"/>
            <color indexed="81"/>
            <rFont val="Tahoma"/>
            <family val="2"/>
          </rPr>
          <t>Author:</t>
        </r>
        <r>
          <rPr>
            <sz val="9"/>
            <color indexed="81"/>
            <rFont val="Tahoma"/>
            <family val="2"/>
          </rPr>
          <t xml:space="preserve">
gap-filled using the corresponding data in the same wetland type</t>
        </r>
      </text>
    </comment>
    <comment ref="DN358" authorId="0" shapeId="0" xr:uid="{ECE09A6E-30E7-4A78-AA81-F5A410DD19E0}">
      <text>
        <r>
          <rPr>
            <b/>
            <sz val="9"/>
            <color indexed="81"/>
            <rFont val="Tahoma"/>
            <family val="2"/>
          </rPr>
          <t>Author:</t>
        </r>
        <r>
          <rPr>
            <sz val="9"/>
            <color indexed="81"/>
            <rFont val="Tahoma"/>
            <family val="2"/>
          </rPr>
          <t xml:space="preserve">
gap-filled using the corresponding data in the same wetland type</t>
        </r>
      </text>
    </comment>
    <comment ref="DR358" authorId="0" shapeId="0" xr:uid="{73C8ED63-225F-4260-A793-565F2444868B}">
      <text>
        <r>
          <rPr>
            <b/>
            <sz val="9"/>
            <color indexed="81"/>
            <rFont val="Tahoma"/>
            <family val="2"/>
          </rPr>
          <t>Author:</t>
        </r>
        <r>
          <rPr>
            <sz val="9"/>
            <color indexed="81"/>
            <rFont val="Tahoma"/>
            <family val="2"/>
          </rPr>
          <t xml:space="preserve">
gap-filled using the corresponding data in the same wetland type</t>
        </r>
      </text>
    </comment>
    <comment ref="CA359" authorId="0" shapeId="0" xr:uid="{5DD71C18-E247-4883-B99F-DED2691CF4AE}">
      <text>
        <r>
          <rPr>
            <b/>
            <sz val="9"/>
            <color indexed="81"/>
            <rFont val="Tahoma"/>
            <family val="2"/>
          </rPr>
          <t>Author:</t>
        </r>
        <r>
          <rPr>
            <sz val="9"/>
            <color indexed="81"/>
            <rFont val="Tahoma"/>
            <family val="2"/>
          </rPr>
          <t xml:space="preserve">
gap-filled using the corresponding data in the same wetland type</t>
        </r>
      </text>
    </comment>
    <comment ref="CE359" authorId="0" shapeId="0" xr:uid="{9251AE06-363D-4F61-B98B-2124A1087086}">
      <text>
        <r>
          <rPr>
            <b/>
            <sz val="9"/>
            <color indexed="81"/>
            <rFont val="Tahoma"/>
            <family val="2"/>
          </rPr>
          <t>Author:</t>
        </r>
        <r>
          <rPr>
            <sz val="9"/>
            <color indexed="81"/>
            <rFont val="Tahoma"/>
            <family val="2"/>
          </rPr>
          <t xml:space="preserve">
gap-filled using the corresponding data in the same wetland type</t>
        </r>
      </text>
    </comment>
    <comment ref="CN359" authorId="0" shapeId="0" xr:uid="{60BFD510-203C-41D1-BC9E-6B641025C586}">
      <text>
        <r>
          <rPr>
            <b/>
            <sz val="9"/>
            <color indexed="81"/>
            <rFont val="Tahoma"/>
            <family val="2"/>
          </rPr>
          <t>Author:</t>
        </r>
        <r>
          <rPr>
            <sz val="9"/>
            <color indexed="81"/>
            <rFont val="Tahoma"/>
            <family val="2"/>
          </rPr>
          <t xml:space="preserve">
gap-filled using the corresponding data in the same wetland type</t>
        </r>
      </text>
    </comment>
    <comment ref="CR359" authorId="0" shapeId="0" xr:uid="{ED561622-2247-4EE3-BF7D-C60E6B53E1D7}">
      <text>
        <r>
          <rPr>
            <b/>
            <sz val="9"/>
            <color indexed="81"/>
            <rFont val="Tahoma"/>
            <family val="2"/>
          </rPr>
          <t>Author:</t>
        </r>
        <r>
          <rPr>
            <sz val="9"/>
            <color indexed="81"/>
            <rFont val="Tahoma"/>
            <family val="2"/>
          </rPr>
          <t xml:space="preserve">
gap-filled using the corresponding data in the same wetland type</t>
        </r>
      </text>
    </comment>
    <comment ref="DA359" authorId="0" shapeId="0" xr:uid="{6E410AA6-E07A-41FD-BD7F-AB83010B85BC}">
      <text>
        <r>
          <rPr>
            <b/>
            <sz val="9"/>
            <color indexed="81"/>
            <rFont val="Tahoma"/>
            <family val="2"/>
          </rPr>
          <t>Author:</t>
        </r>
        <r>
          <rPr>
            <sz val="9"/>
            <color indexed="81"/>
            <rFont val="Tahoma"/>
            <family val="2"/>
          </rPr>
          <t xml:space="preserve">
gap-filled using the corresponding data in the same wetland type</t>
        </r>
      </text>
    </comment>
    <comment ref="DE359" authorId="0" shapeId="0" xr:uid="{5B638233-D45A-4157-9749-2A909634567B}">
      <text>
        <r>
          <rPr>
            <b/>
            <sz val="9"/>
            <color indexed="81"/>
            <rFont val="Tahoma"/>
            <family val="2"/>
          </rPr>
          <t>Author:</t>
        </r>
        <r>
          <rPr>
            <sz val="9"/>
            <color indexed="81"/>
            <rFont val="Tahoma"/>
            <family val="2"/>
          </rPr>
          <t xml:space="preserve">
gap-filled using the corresponding data in the same wetland type</t>
        </r>
      </text>
    </comment>
    <comment ref="DN359" authorId="0" shapeId="0" xr:uid="{187B253D-D3A6-40FB-BEA4-21D677B204C6}">
      <text>
        <r>
          <rPr>
            <b/>
            <sz val="9"/>
            <color indexed="81"/>
            <rFont val="Tahoma"/>
            <family val="2"/>
          </rPr>
          <t>Author:</t>
        </r>
        <r>
          <rPr>
            <sz val="9"/>
            <color indexed="81"/>
            <rFont val="Tahoma"/>
            <family val="2"/>
          </rPr>
          <t xml:space="preserve">
gap-filled using the corresponding data in the same wetland type</t>
        </r>
      </text>
    </comment>
    <comment ref="DR359" authorId="0" shapeId="0" xr:uid="{0798952C-45B8-434F-ACFE-9BF50604EC1C}">
      <text>
        <r>
          <rPr>
            <b/>
            <sz val="9"/>
            <color indexed="81"/>
            <rFont val="Tahoma"/>
            <family val="2"/>
          </rPr>
          <t>Author:</t>
        </r>
        <r>
          <rPr>
            <sz val="9"/>
            <color indexed="81"/>
            <rFont val="Tahoma"/>
            <family val="2"/>
          </rPr>
          <t xml:space="preserve">
gap-filled using the corresponding data in the same wetland type</t>
        </r>
      </text>
    </comment>
    <comment ref="DN361" authorId="0" shapeId="0" xr:uid="{1B829575-4CFB-476D-8002-B0D62EC19956}">
      <text>
        <r>
          <rPr>
            <b/>
            <sz val="9"/>
            <color indexed="81"/>
            <rFont val="Tahoma"/>
            <family val="2"/>
          </rPr>
          <t>Author:</t>
        </r>
        <r>
          <rPr>
            <sz val="9"/>
            <color indexed="81"/>
            <rFont val="Tahoma"/>
            <family val="2"/>
          </rPr>
          <t xml:space="preserve">
gap-filled using the corresponding data in the same wetland type</t>
        </r>
      </text>
    </comment>
    <comment ref="DR361" authorId="0" shapeId="0" xr:uid="{CC4D41F5-9D81-4B66-8616-93AE23E8B412}">
      <text>
        <r>
          <rPr>
            <b/>
            <sz val="9"/>
            <color indexed="81"/>
            <rFont val="Tahoma"/>
            <family val="2"/>
          </rPr>
          <t>Author:</t>
        </r>
        <r>
          <rPr>
            <sz val="9"/>
            <color indexed="81"/>
            <rFont val="Tahoma"/>
            <family val="2"/>
          </rPr>
          <t xml:space="preserve">
gap-filled using the corresponding data in the same wetland type</t>
        </r>
      </text>
    </comment>
    <comment ref="DN362" authorId="0" shapeId="0" xr:uid="{F69A401D-D61A-4B57-81F7-692D7615789C}">
      <text>
        <r>
          <rPr>
            <b/>
            <sz val="9"/>
            <color indexed="81"/>
            <rFont val="Tahoma"/>
            <family val="2"/>
          </rPr>
          <t>Author:</t>
        </r>
        <r>
          <rPr>
            <sz val="9"/>
            <color indexed="81"/>
            <rFont val="Tahoma"/>
            <family val="2"/>
          </rPr>
          <t xml:space="preserve">
gap-filled using the corresponding data in the same wetland type</t>
        </r>
      </text>
    </comment>
    <comment ref="DR362" authorId="0" shapeId="0" xr:uid="{77E4DB7F-2D03-4A03-89AA-55999A118E24}">
      <text>
        <r>
          <rPr>
            <b/>
            <sz val="9"/>
            <color indexed="81"/>
            <rFont val="Tahoma"/>
            <family val="2"/>
          </rPr>
          <t>Author:</t>
        </r>
        <r>
          <rPr>
            <sz val="9"/>
            <color indexed="81"/>
            <rFont val="Tahoma"/>
            <family val="2"/>
          </rPr>
          <t xml:space="preserve">
gap-filled using the corresponding data in the same wetland type</t>
        </r>
      </text>
    </comment>
    <comment ref="DN363" authorId="0" shapeId="0" xr:uid="{4A2FAFB3-668B-4556-AA9D-F0425B1AF2B3}">
      <text>
        <r>
          <rPr>
            <b/>
            <sz val="9"/>
            <color indexed="81"/>
            <rFont val="Tahoma"/>
            <family val="2"/>
          </rPr>
          <t>Author:</t>
        </r>
        <r>
          <rPr>
            <sz val="9"/>
            <color indexed="81"/>
            <rFont val="Tahoma"/>
            <family val="2"/>
          </rPr>
          <t xml:space="preserve">
gap-filled using the corresponding data in the same wetland type</t>
        </r>
      </text>
    </comment>
    <comment ref="DR363" authorId="0" shapeId="0" xr:uid="{3D052110-6C80-4322-80F6-B19E20077F46}">
      <text>
        <r>
          <rPr>
            <b/>
            <sz val="9"/>
            <color indexed="81"/>
            <rFont val="Tahoma"/>
            <family val="2"/>
          </rPr>
          <t>Author:</t>
        </r>
        <r>
          <rPr>
            <sz val="9"/>
            <color indexed="81"/>
            <rFont val="Tahoma"/>
            <family val="2"/>
          </rPr>
          <t xml:space="preserve">
gap-filled using the corresponding data in the same wetland type</t>
        </r>
      </text>
    </comment>
    <comment ref="EA393" authorId="0" shapeId="0" xr:uid="{4A43069E-6B56-43E7-917E-2D91DD3B5E86}">
      <text>
        <r>
          <rPr>
            <b/>
            <sz val="9"/>
            <color indexed="81"/>
            <rFont val="Tahoma"/>
            <family val="2"/>
          </rPr>
          <t>Author:</t>
        </r>
        <r>
          <rPr>
            <sz val="9"/>
            <color indexed="81"/>
            <rFont val="Tahoma"/>
            <family val="2"/>
          </rPr>
          <t xml:space="preserve">
gap-filled using the corresponding data in the same wetland type</t>
        </r>
      </text>
    </comment>
    <comment ref="EE393" authorId="0" shapeId="0" xr:uid="{50890650-EBCF-4739-9259-A924E87D2D6D}">
      <text>
        <r>
          <rPr>
            <b/>
            <sz val="9"/>
            <color indexed="81"/>
            <rFont val="Tahoma"/>
            <family val="2"/>
          </rPr>
          <t>Author:</t>
        </r>
        <r>
          <rPr>
            <sz val="9"/>
            <color indexed="81"/>
            <rFont val="Tahoma"/>
            <family val="2"/>
          </rPr>
          <t xml:space="preserve">
gap-filled using the corresponding data in the same wetland type</t>
        </r>
      </text>
    </comment>
    <comment ref="DE399" authorId="0" shapeId="0" xr:uid="{824E2435-3C50-4BFC-8EE2-558F6785AA28}">
      <text>
        <r>
          <rPr>
            <b/>
            <sz val="9"/>
            <color indexed="81"/>
            <rFont val="Tahoma"/>
            <family val="2"/>
          </rPr>
          <t>Author:</t>
        </r>
        <r>
          <rPr>
            <sz val="9"/>
            <color indexed="81"/>
            <rFont val="Tahoma"/>
            <family val="2"/>
          </rPr>
          <t xml:space="preserve">
gap-filled using the corresponding data in the same wetland type</t>
        </r>
      </text>
    </comment>
    <comment ref="DA400" authorId="0" shapeId="0" xr:uid="{E239B983-3841-4186-BF7F-A65BE6FEA24F}">
      <text>
        <r>
          <rPr>
            <b/>
            <sz val="9"/>
            <color indexed="81"/>
            <rFont val="Tahoma"/>
            <family val="2"/>
          </rPr>
          <t>Author:</t>
        </r>
        <r>
          <rPr>
            <sz val="9"/>
            <color indexed="81"/>
            <rFont val="Tahoma"/>
            <family val="2"/>
          </rPr>
          <t xml:space="preserve">
gap-filled using the corresponding data in the same wetland type</t>
        </r>
      </text>
    </comment>
    <comment ref="DE400" authorId="0" shapeId="0" xr:uid="{A0AC34A6-8F60-4C0C-BB6A-B2206AB64B80}">
      <text>
        <r>
          <rPr>
            <b/>
            <sz val="9"/>
            <color indexed="81"/>
            <rFont val="Tahoma"/>
            <family val="2"/>
          </rPr>
          <t>Author:</t>
        </r>
        <r>
          <rPr>
            <sz val="9"/>
            <color indexed="81"/>
            <rFont val="Tahoma"/>
            <family val="2"/>
          </rPr>
          <t xml:space="preserve">
gap-filled using the corresponding data in the same wetland type</t>
        </r>
      </text>
    </comment>
    <comment ref="DN400" authorId="0" shapeId="0" xr:uid="{A9871018-7732-403C-8947-AECE70FD4320}">
      <text>
        <r>
          <rPr>
            <b/>
            <sz val="9"/>
            <color indexed="81"/>
            <rFont val="Tahoma"/>
            <family val="2"/>
          </rPr>
          <t>Author:</t>
        </r>
        <r>
          <rPr>
            <sz val="9"/>
            <color indexed="81"/>
            <rFont val="Tahoma"/>
            <family val="2"/>
          </rPr>
          <t xml:space="preserve">
gap-filled using the corresponding data in the same wetland type</t>
        </r>
      </text>
    </comment>
    <comment ref="DR400" authorId="0" shapeId="0" xr:uid="{0BD01DFF-C633-4BD5-8834-8AC1B3155C25}">
      <text>
        <r>
          <rPr>
            <b/>
            <sz val="9"/>
            <color indexed="81"/>
            <rFont val="Tahoma"/>
            <family val="2"/>
          </rPr>
          <t>Author:</t>
        </r>
        <r>
          <rPr>
            <sz val="9"/>
            <color indexed="81"/>
            <rFont val="Tahoma"/>
            <family val="2"/>
          </rPr>
          <t xml:space="preserve">
gap-filled using the corresponding data in the same wetland type</t>
        </r>
      </text>
    </comment>
    <comment ref="CA401" authorId="0" shapeId="0" xr:uid="{4E2E572D-32B9-4537-BC6F-0AC689383E58}">
      <text>
        <r>
          <rPr>
            <b/>
            <sz val="9"/>
            <color indexed="81"/>
            <rFont val="Tahoma"/>
            <family val="2"/>
          </rPr>
          <t>Author:</t>
        </r>
        <r>
          <rPr>
            <sz val="9"/>
            <color indexed="81"/>
            <rFont val="Tahoma"/>
            <family val="2"/>
          </rPr>
          <t xml:space="preserve">
non-gap-filled due to lacking data for the corresponding wetland type</t>
        </r>
      </text>
    </comment>
    <comment ref="CE401" authorId="0" shapeId="0" xr:uid="{E66283FD-4AB0-42A3-A459-885E7DF5B1CF}">
      <text>
        <r>
          <rPr>
            <b/>
            <sz val="9"/>
            <color indexed="81"/>
            <rFont val="Tahoma"/>
            <family val="2"/>
          </rPr>
          <t>Author:</t>
        </r>
        <r>
          <rPr>
            <sz val="9"/>
            <color indexed="81"/>
            <rFont val="Tahoma"/>
            <family val="2"/>
          </rPr>
          <t xml:space="preserve">
non-gap-filled due to lacking data for the corresponding wetland type</t>
        </r>
      </text>
    </comment>
    <comment ref="CN401" authorId="0" shapeId="0" xr:uid="{F58FB9CE-3415-46A5-B499-3EC59A6D617E}">
      <text>
        <r>
          <rPr>
            <b/>
            <sz val="9"/>
            <color indexed="81"/>
            <rFont val="Tahoma"/>
            <family val="2"/>
          </rPr>
          <t>Author:</t>
        </r>
        <r>
          <rPr>
            <sz val="9"/>
            <color indexed="81"/>
            <rFont val="Tahoma"/>
            <family val="2"/>
          </rPr>
          <t xml:space="preserve">
non-gap-filled due to lacking data for the corresponding wetland type</t>
        </r>
      </text>
    </comment>
    <comment ref="CR401" authorId="0" shapeId="0" xr:uid="{6240C648-855A-4E02-B14B-B9DB3F0B7063}">
      <text>
        <r>
          <rPr>
            <b/>
            <sz val="9"/>
            <color indexed="81"/>
            <rFont val="Tahoma"/>
            <family val="2"/>
          </rPr>
          <t>Author:</t>
        </r>
        <r>
          <rPr>
            <sz val="9"/>
            <color indexed="81"/>
            <rFont val="Tahoma"/>
            <family val="2"/>
          </rPr>
          <t xml:space="preserve">
non-gap-filled due to lacking data for the corresponding wetland type</t>
        </r>
      </text>
    </comment>
    <comment ref="DA401" authorId="0" shapeId="0" xr:uid="{0A400B53-97D4-4F8C-A6D4-B68F9C97ED49}">
      <text>
        <r>
          <rPr>
            <b/>
            <sz val="9"/>
            <color indexed="81"/>
            <rFont val="Tahoma"/>
            <family val="2"/>
          </rPr>
          <t>Author:</t>
        </r>
        <r>
          <rPr>
            <sz val="9"/>
            <color indexed="81"/>
            <rFont val="Tahoma"/>
            <family val="2"/>
          </rPr>
          <t xml:space="preserve">
gap-filled using the corresponding data in the same wetland type</t>
        </r>
      </text>
    </comment>
    <comment ref="DE401" authorId="0" shapeId="0" xr:uid="{50452C80-2187-4561-BFA3-05BD9AAE3136}">
      <text>
        <r>
          <rPr>
            <b/>
            <sz val="9"/>
            <color indexed="81"/>
            <rFont val="Tahoma"/>
            <family val="2"/>
          </rPr>
          <t>Author:</t>
        </r>
        <r>
          <rPr>
            <sz val="9"/>
            <color indexed="81"/>
            <rFont val="Tahoma"/>
            <family val="2"/>
          </rPr>
          <t xml:space="preserve">
gap-filled using the corresponding data in the same wetland type</t>
        </r>
      </text>
    </comment>
    <comment ref="CA402" authorId="0" shapeId="0" xr:uid="{53FEDBF2-F7F1-4B9E-9FB1-E9B70F4FA477}">
      <text>
        <r>
          <rPr>
            <b/>
            <sz val="9"/>
            <color indexed="81"/>
            <rFont val="Tahoma"/>
            <family val="2"/>
          </rPr>
          <t>Author:</t>
        </r>
        <r>
          <rPr>
            <sz val="9"/>
            <color indexed="81"/>
            <rFont val="Tahoma"/>
            <family val="2"/>
          </rPr>
          <t xml:space="preserve">
non-gap-filled due to lacking data for the corresponding wetland type</t>
        </r>
      </text>
    </comment>
    <comment ref="CE402" authorId="0" shapeId="0" xr:uid="{393F21C1-62AB-4B43-9FED-6E0C83BF8945}">
      <text>
        <r>
          <rPr>
            <b/>
            <sz val="9"/>
            <color indexed="81"/>
            <rFont val="Tahoma"/>
            <family val="2"/>
          </rPr>
          <t>Author:</t>
        </r>
        <r>
          <rPr>
            <sz val="9"/>
            <color indexed="81"/>
            <rFont val="Tahoma"/>
            <family val="2"/>
          </rPr>
          <t xml:space="preserve">
non-gap-filled due to lacking data for the corresponding wetland type</t>
        </r>
      </text>
    </comment>
    <comment ref="CN402" authorId="0" shapeId="0" xr:uid="{F439207E-AA08-49D4-9E87-CEA2BBE57E70}">
      <text>
        <r>
          <rPr>
            <b/>
            <sz val="9"/>
            <color indexed="81"/>
            <rFont val="Tahoma"/>
            <family val="2"/>
          </rPr>
          <t>Author:</t>
        </r>
        <r>
          <rPr>
            <sz val="9"/>
            <color indexed="81"/>
            <rFont val="Tahoma"/>
            <family val="2"/>
          </rPr>
          <t xml:space="preserve">
non-gap-filled due to lacking data for the corresponding wetland type</t>
        </r>
      </text>
    </comment>
    <comment ref="CR402" authorId="0" shapeId="0" xr:uid="{B9ABDF41-0801-47C9-8918-9C58B1201EA9}">
      <text>
        <r>
          <rPr>
            <b/>
            <sz val="9"/>
            <color indexed="81"/>
            <rFont val="Tahoma"/>
            <family val="2"/>
          </rPr>
          <t>Author:</t>
        </r>
        <r>
          <rPr>
            <sz val="9"/>
            <color indexed="81"/>
            <rFont val="Tahoma"/>
            <family val="2"/>
          </rPr>
          <t xml:space="preserve">
non-gap-filled due to lacking data for the corresponding wetland type</t>
        </r>
      </text>
    </comment>
    <comment ref="DA402" authorId="0" shapeId="0" xr:uid="{AA34B02A-93CD-48E5-AFE7-D35EA3CEE117}">
      <text>
        <r>
          <rPr>
            <b/>
            <sz val="9"/>
            <color indexed="81"/>
            <rFont val="Tahoma"/>
            <family val="2"/>
          </rPr>
          <t>Author:</t>
        </r>
        <r>
          <rPr>
            <sz val="9"/>
            <color indexed="81"/>
            <rFont val="Tahoma"/>
            <family val="2"/>
          </rPr>
          <t xml:space="preserve">
gap-filled using the corresponding data in the same wetland type</t>
        </r>
      </text>
    </comment>
    <comment ref="DE402" authorId="0" shapeId="0" xr:uid="{CC7420D1-E49D-4370-A459-3AD9340247A9}">
      <text>
        <r>
          <rPr>
            <b/>
            <sz val="9"/>
            <color indexed="81"/>
            <rFont val="Tahoma"/>
            <family val="2"/>
          </rPr>
          <t>Author:</t>
        </r>
        <r>
          <rPr>
            <sz val="9"/>
            <color indexed="81"/>
            <rFont val="Tahoma"/>
            <family val="2"/>
          </rPr>
          <t xml:space="preserve">
gap-filled using the corresponding data in the same wetland type</t>
        </r>
      </text>
    </comment>
    <comment ref="CA403" authorId="0" shapeId="0" xr:uid="{A6084ACA-FF46-4DF4-902F-44CC49CD1DBF}">
      <text>
        <r>
          <rPr>
            <b/>
            <sz val="9"/>
            <color indexed="81"/>
            <rFont val="Tahoma"/>
            <family val="2"/>
          </rPr>
          <t>Author:</t>
        </r>
        <r>
          <rPr>
            <sz val="9"/>
            <color indexed="81"/>
            <rFont val="Tahoma"/>
            <family val="2"/>
          </rPr>
          <t xml:space="preserve">
non-gap-filled due to lacking data for the corresponding wetland type</t>
        </r>
      </text>
    </comment>
    <comment ref="CE403" authorId="0" shapeId="0" xr:uid="{D3010AE9-E793-4005-A97E-8DE03F4B55A5}">
      <text>
        <r>
          <rPr>
            <b/>
            <sz val="9"/>
            <color indexed="81"/>
            <rFont val="Tahoma"/>
            <family val="2"/>
          </rPr>
          <t>Author:</t>
        </r>
        <r>
          <rPr>
            <sz val="9"/>
            <color indexed="81"/>
            <rFont val="Tahoma"/>
            <family val="2"/>
          </rPr>
          <t xml:space="preserve">
non-gap-filled due to lacking data for the corresponding wetland type</t>
        </r>
      </text>
    </comment>
    <comment ref="CN403" authorId="0" shapeId="0" xr:uid="{5F6F47CF-8B43-46AB-A635-D2A38AD4142E}">
      <text>
        <r>
          <rPr>
            <b/>
            <sz val="9"/>
            <color indexed="81"/>
            <rFont val="Tahoma"/>
            <family val="2"/>
          </rPr>
          <t>Author:</t>
        </r>
        <r>
          <rPr>
            <sz val="9"/>
            <color indexed="81"/>
            <rFont val="Tahoma"/>
            <family val="2"/>
          </rPr>
          <t xml:space="preserve">
non-gap-filled due to lacking data for the corresponding wetland type</t>
        </r>
      </text>
    </comment>
    <comment ref="CR403" authorId="0" shapeId="0" xr:uid="{07AB473E-6D55-4B90-B13D-CB0467729A36}">
      <text>
        <r>
          <rPr>
            <b/>
            <sz val="9"/>
            <color indexed="81"/>
            <rFont val="Tahoma"/>
            <family val="2"/>
          </rPr>
          <t>Author:</t>
        </r>
        <r>
          <rPr>
            <sz val="9"/>
            <color indexed="81"/>
            <rFont val="Tahoma"/>
            <family val="2"/>
          </rPr>
          <t xml:space="preserve">
non-gap-filled due to lacking data for the corresponding wetland type</t>
        </r>
      </text>
    </comment>
    <comment ref="DA403" authorId="0" shapeId="0" xr:uid="{26AA62E9-6FAF-4E12-B0C8-CA8178C14FF7}">
      <text>
        <r>
          <rPr>
            <b/>
            <sz val="9"/>
            <color indexed="81"/>
            <rFont val="Tahoma"/>
            <family val="2"/>
          </rPr>
          <t>Author:</t>
        </r>
        <r>
          <rPr>
            <sz val="9"/>
            <color indexed="81"/>
            <rFont val="Tahoma"/>
            <family val="2"/>
          </rPr>
          <t xml:space="preserve">
gap-filled using the corresponding data in the same wetland type</t>
        </r>
      </text>
    </comment>
    <comment ref="DE403" authorId="0" shapeId="0" xr:uid="{1327AFB5-80F6-4F2A-9352-B39DF0F812D5}">
      <text>
        <r>
          <rPr>
            <b/>
            <sz val="9"/>
            <color indexed="81"/>
            <rFont val="Tahoma"/>
            <family val="2"/>
          </rPr>
          <t>Author:</t>
        </r>
        <r>
          <rPr>
            <sz val="9"/>
            <color indexed="81"/>
            <rFont val="Tahoma"/>
            <family val="2"/>
          </rPr>
          <t xml:space="preserve">
gap-filled using the corresponding data in the same wetland type</t>
        </r>
      </text>
    </comment>
    <comment ref="CA404" authorId="0" shapeId="0" xr:uid="{C1F9BDFB-7500-4AF3-BAE1-E0B9FE2F739E}">
      <text>
        <r>
          <rPr>
            <b/>
            <sz val="9"/>
            <color indexed="81"/>
            <rFont val="Tahoma"/>
            <family val="2"/>
          </rPr>
          <t>Author:</t>
        </r>
        <r>
          <rPr>
            <sz val="9"/>
            <color indexed="81"/>
            <rFont val="Tahoma"/>
            <family val="2"/>
          </rPr>
          <t xml:space="preserve">
non-gap-filled due to lacking data for the corresponding wetland type</t>
        </r>
      </text>
    </comment>
    <comment ref="CE404" authorId="0" shapeId="0" xr:uid="{D14EA618-FE45-44DB-ABBB-3371D318726E}">
      <text>
        <r>
          <rPr>
            <b/>
            <sz val="9"/>
            <color indexed="81"/>
            <rFont val="Tahoma"/>
            <family val="2"/>
          </rPr>
          <t>Author:</t>
        </r>
        <r>
          <rPr>
            <sz val="9"/>
            <color indexed="81"/>
            <rFont val="Tahoma"/>
            <family val="2"/>
          </rPr>
          <t xml:space="preserve">
non-gap-filled due to lacking data for the corresponding wetland type</t>
        </r>
      </text>
    </comment>
    <comment ref="CN404" authorId="0" shapeId="0" xr:uid="{11198D8B-411A-4ECC-8440-1A86D1C3B5C4}">
      <text>
        <r>
          <rPr>
            <b/>
            <sz val="9"/>
            <color indexed="81"/>
            <rFont val="Tahoma"/>
            <family val="2"/>
          </rPr>
          <t>Author:</t>
        </r>
        <r>
          <rPr>
            <sz val="9"/>
            <color indexed="81"/>
            <rFont val="Tahoma"/>
            <family val="2"/>
          </rPr>
          <t xml:space="preserve">
non-gap-filled due to lacking data for the corresponding wetland type</t>
        </r>
      </text>
    </comment>
    <comment ref="CR404" authorId="0" shapeId="0" xr:uid="{5BA1AAD6-3656-40A5-9E82-BDD4A85C7068}">
      <text>
        <r>
          <rPr>
            <b/>
            <sz val="9"/>
            <color indexed="81"/>
            <rFont val="Tahoma"/>
            <family val="2"/>
          </rPr>
          <t>Author:</t>
        </r>
        <r>
          <rPr>
            <sz val="9"/>
            <color indexed="81"/>
            <rFont val="Tahoma"/>
            <family val="2"/>
          </rPr>
          <t xml:space="preserve">
non-gap-filled due to lacking data for the corresponding wetland type</t>
        </r>
      </text>
    </comment>
    <comment ref="DA404" authorId="0" shapeId="0" xr:uid="{66709911-6F86-48EA-BF8E-467EF1D38CBA}">
      <text>
        <r>
          <rPr>
            <b/>
            <sz val="9"/>
            <color indexed="81"/>
            <rFont val="Tahoma"/>
            <family val="2"/>
          </rPr>
          <t>Author:</t>
        </r>
        <r>
          <rPr>
            <sz val="9"/>
            <color indexed="81"/>
            <rFont val="Tahoma"/>
            <family val="2"/>
          </rPr>
          <t xml:space="preserve">
gap-filled using the corresponding data in the same wetland type</t>
        </r>
      </text>
    </comment>
    <comment ref="DE404" authorId="0" shapeId="0" xr:uid="{6A1781A3-9826-42A7-90F1-A4369DC50F0B}">
      <text>
        <r>
          <rPr>
            <b/>
            <sz val="9"/>
            <color indexed="81"/>
            <rFont val="Tahoma"/>
            <family val="2"/>
          </rPr>
          <t>Author:</t>
        </r>
        <r>
          <rPr>
            <sz val="9"/>
            <color indexed="81"/>
            <rFont val="Tahoma"/>
            <family val="2"/>
          </rPr>
          <t xml:space="preserve">
gap-filled using the corresponding data in the same wetland type</t>
        </r>
      </text>
    </comment>
    <comment ref="CA405" authorId="0" shapeId="0" xr:uid="{530D6DDD-50EA-414D-B10E-4D2523B3EBA7}">
      <text>
        <r>
          <rPr>
            <b/>
            <sz val="9"/>
            <color indexed="81"/>
            <rFont val="Tahoma"/>
            <family val="2"/>
          </rPr>
          <t>Author:</t>
        </r>
        <r>
          <rPr>
            <sz val="9"/>
            <color indexed="81"/>
            <rFont val="Tahoma"/>
            <family val="2"/>
          </rPr>
          <t xml:space="preserve">
non-gap-filled due to lacking data for the corresponding wetland type</t>
        </r>
      </text>
    </comment>
    <comment ref="CE405" authorId="0" shapeId="0" xr:uid="{569F785A-EEDD-4C29-8C5F-83044E8C850D}">
      <text>
        <r>
          <rPr>
            <b/>
            <sz val="9"/>
            <color indexed="81"/>
            <rFont val="Tahoma"/>
            <family val="2"/>
          </rPr>
          <t>Author:</t>
        </r>
        <r>
          <rPr>
            <sz val="9"/>
            <color indexed="81"/>
            <rFont val="Tahoma"/>
            <family val="2"/>
          </rPr>
          <t xml:space="preserve">
non-gap-filled due to lacking data for the corresponding wetland type</t>
        </r>
      </text>
    </comment>
    <comment ref="CN405" authorId="0" shapeId="0" xr:uid="{A9EB8916-759E-4704-A388-33D436D878F7}">
      <text>
        <r>
          <rPr>
            <b/>
            <sz val="9"/>
            <color indexed="81"/>
            <rFont val="Tahoma"/>
            <family val="2"/>
          </rPr>
          <t>Author:</t>
        </r>
        <r>
          <rPr>
            <sz val="9"/>
            <color indexed="81"/>
            <rFont val="Tahoma"/>
            <family val="2"/>
          </rPr>
          <t xml:space="preserve">
non-gap-filled due to lacking data for the corresponding wetland type</t>
        </r>
      </text>
    </comment>
    <comment ref="CR405" authorId="0" shapeId="0" xr:uid="{37E91DE9-DC21-4A9A-A54C-A4A7C240B0F5}">
      <text>
        <r>
          <rPr>
            <b/>
            <sz val="9"/>
            <color indexed="81"/>
            <rFont val="Tahoma"/>
            <family val="2"/>
          </rPr>
          <t>Author:</t>
        </r>
        <r>
          <rPr>
            <sz val="9"/>
            <color indexed="81"/>
            <rFont val="Tahoma"/>
            <family val="2"/>
          </rPr>
          <t xml:space="preserve">
non-gap-filled due to lacking data for the corresponding wetland type</t>
        </r>
      </text>
    </comment>
    <comment ref="DA405" authorId="0" shapeId="0" xr:uid="{7711CB87-DEF4-45F2-B7A9-71E248CC7646}">
      <text>
        <r>
          <rPr>
            <b/>
            <sz val="9"/>
            <color indexed="81"/>
            <rFont val="Tahoma"/>
            <family val="2"/>
          </rPr>
          <t>Author:</t>
        </r>
        <r>
          <rPr>
            <sz val="9"/>
            <color indexed="81"/>
            <rFont val="Tahoma"/>
            <family val="2"/>
          </rPr>
          <t xml:space="preserve">
gap-filled using the corresponding data in the same wetland type</t>
        </r>
      </text>
    </comment>
    <comment ref="DE405" authorId="0" shapeId="0" xr:uid="{592D6E94-C1C5-40F8-9E00-1D27015B4D04}">
      <text>
        <r>
          <rPr>
            <b/>
            <sz val="9"/>
            <color indexed="81"/>
            <rFont val="Tahoma"/>
            <family val="2"/>
          </rPr>
          <t>Author:</t>
        </r>
        <r>
          <rPr>
            <sz val="9"/>
            <color indexed="81"/>
            <rFont val="Tahoma"/>
            <family val="2"/>
          </rPr>
          <t xml:space="preserve">
gap-filled using the corresponding data in the same wetland type</t>
        </r>
      </text>
    </comment>
    <comment ref="CA406" authorId="0" shapeId="0" xr:uid="{09206DD5-14D2-483A-8C4D-C99C437461EC}">
      <text>
        <r>
          <rPr>
            <b/>
            <sz val="9"/>
            <color indexed="81"/>
            <rFont val="Tahoma"/>
            <family val="2"/>
          </rPr>
          <t>Author:</t>
        </r>
        <r>
          <rPr>
            <sz val="9"/>
            <color indexed="81"/>
            <rFont val="Tahoma"/>
            <family val="2"/>
          </rPr>
          <t xml:space="preserve">
gap-filled using the corresponding data in the same wetland type</t>
        </r>
      </text>
    </comment>
    <comment ref="CE406" authorId="0" shapeId="0" xr:uid="{435E398D-FB00-4A7E-AB92-BC367616B119}">
      <text>
        <r>
          <rPr>
            <b/>
            <sz val="9"/>
            <color indexed="81"/>
            <rFont val="Tahoma"/>
            <family val="2"/>
          </rPr>
          <t>Author:</t>
        </r>
        <r>
          <rPr>
            <sz val="9"/>
            <color indexed="81"/>
            <rFont val="Tahoma"/>
            <family val="2"/>
          </rPr>
          <t xml:space="preserve">
non-gap-filled due to lacking data for the corresponding wetland type</t>
        </r>
      </text>
    </comment>
    <comment ref="CN406" authorId="0" shapeId="0" xr:uid="{0064A515-2BB5-4B95-A8EC-E50F17912B4A}">
      <text>
        <r>
          <rPr>
            <b/>
            <sz val="9"/>
            <color indexed="81"/>
            <rFont val="Tahoma"/>
            <family val="2"/>
          </rPr>
          <t>Author:</t>
        </r>
        <r>
          <rPr>
            <sz val="9"/>
            <color indexed="81"/>
            <rFont val="Tahoma"/>
            <family val="2"/>
          </rPr>
          <t xml:space="preserve">
gap-filled using the corresponding data in the same wetland type</t>
        </r>
      </text>
    </comment>
    <comment ref="CR406" authorId="0" shapeId="0" xr:uid="{519E8DA8-37F4-4F16-BC05-882F00338BA7}">
      <text>
        <r>
          <rPr>
            <b/>
            <sz val="9"/>
            <color indexed="81"/>
            <rFont val="Tahoma"/>
            <family val="2"/>
          </rPr>
          <t>Author:</t>
        </r>
        <r>
          <rPr>
            <sz val="9"/>
            <color indexed="81"/>
            <rFont val="Tahoma"/>
            <family val="2"/>
          </rPr>
          <t xml:space="preserve">
non-gap-filled due to lacking data for the corresponding wetland type</t>
        </r>
      </text>
    </comment>
    <comment ref="DA406" authorId="0" shapeId="0" xr:uid="{F4D824E4-0CA8-45E9-A1E7-17B55E5F4CA5}">
      <text>
        <r>
          <rPr>
            <b/>
            <sz val="9"/>
            <color indexed="81"/>
            <rFont val="Tahoma"/>
            <family val="2"/>
          </rPr>
          <t>Author:</t>
        </r>
        <r>
          <rPr>
            <sz val="9"/>
            <color indexed="81"/>
            <rFont val="Tahoma"/>
            <family val="2"/>
          </rPr>
          <t xml:space="preserve">
gap-filled using the corresponding data in the same wetland type</t>
        </r>
      </text>
    </comment>
    <comment ref="DE406" authorId="0" shapeId="0" xr:uid="{151831E1-EB32-40CF-86F0-E578619914BF}">
      <text>
        <r>
          <rPr>
            <b/>
            <sz val="9"/>
            <color indexed="81"/>
            <rFont val="Tahoma"/>
            <family val="2"/>
          </rPr>
          <t>Author:</t>
        </r>
        <r>
          <rPr>
            <sz val="9"/>
            <color indexed="81"/>
            <rFont val="Tahoma"/>
            <family val="2"/>
          </rPr>
          <t xml:space="preserve">
gap-filled using the corresponding data in the same wetland type</t>
        </r>
      </text>
    </comment>
    <comment ref="CA407" authorId="0" shapeId="0" xr:uid="{2CE8B3AA-9CF0-4296-A75A-D4B91256F899}">
      <text>
        <r>
          <rPr>
            <b/>
            <sz val="9"/>
            <color indexed="81"/>
            <rFont val="Tahoma"/>
            <family val="2"/>
          </rPr>
          <t>Author:</t>
        </r>
        <r>
          <rPr>
            <sz val="9"/>
            <color indexed="81"/>
            <rFont val="Tahoma"/>
            <family val="2"/>
          </rPr>
          <t xml:space="preserve">
gap-filled using the corresponding data in the same wetland type</t>
        </r>
      </text>
    </comment>
    <comment ref="CE407" authorId="0" shapeId="0" xr:uid="{7843B508-B66C-4AF0-8F2F-DC52991FD8BE}">
      <text>
        <r>
          <rPr>
            <b/>
            <sz val="9"/>
            <color indexed="81"/>
            <rFont val="Tahoma"/>
            <family val="2"/>
          </rPr>
          <t>Author:</t>
        </r>
        <r>
          <rPr>
            <sz val="9"/>
            <color indexed="81"/>
            <rFont val="Tahoma"/>
            <family val="2"/>
          </rPr>
          <t xml:space="preserve">
non-gap-filled due to lacking data for the corresponding wetland type</t>
        </r>
      </text>
    </comment>
    <comment ref="CN407" authorId="0" shapeId="0" xr:uid="{6E821635-8E58-48E9-96BB-4675EE6C613A}">
      <text>
        <r>
          <rPr>
            <b/>
            <sz val="9"/>
            <color indexed="81"/>
            <rFont val="Tahoma"/>
            <family val="2"/>
          </rPr>
          <t>Author:</t>
        </r>
        <r>
          <rPr>
            <sz val="9"/>
            <color indexed="81"/>
            <rFont val="Tahoma"/>
            <family val="2"/>
          </rPr>
          <t xml:space="preserve">
gap-filled using the corresponding data in the same wetland type</t>
        </r>
      </text>
    </comment>
    <comment ref="CR407" authorId="0" shapeId="0" xr:uid="{48A1ADB4-117B-4150-BFE7-BCC664AE1941}">
      <text>
        <r>
          <rPr>
            <b/>
            <sz val="9"/>
            <color indexed="81"/>
            <rFont val="Tahoma"/>
            <family val="2"/>
          </rPr>
          <t>Author:</t>
        </r>
        <r>
          <rPr>
            <sz val="9"/>
            <color indexed="81"/>
            <rFont val="Tahoma"/>
            <family val="2"/>
          </rPr>
          <t xml:space="preserve">
non-gap-filled due to lacking data for the corresponding wetland type</t>
        </r>
      </text>
    </comment>
    <comment ref="DA407" authorId="0" shapeId="0" xr:uid="{469C3666-0F29-4D0A-878C-D230116FAD7A}">
      <text>
        <r>
          <rPr>
            <b/>
            <sz val="9"/>
            <color indexed="81"/>
            <rFont val="Tahoma"/>
            <family val="2"/>
          </rPr>
          <t>Author:</t>
        </r>
        <r>
          <rPr>
            <sz val="9"/>
            <color indexed="81"/>
            <rFont val="Tahoma"/>
            <family val="2"/>
          </rPr>
          <t xml:space="preserve">
gap-filled using the corresponding data in the same wetland type</t>
        </r>
      </text>
    </comment>
    <comment ref="DE407" authorId="0" shapeId="0" xr:uid="{ED9A39A3-6E2E-4B8E-BDFD-26908243D171}">
      <text>
        <r>
          <rPr>
            <b/>
            <sz val="9"/>
            <color indexed="81"/>
            <rFont val="Tahoma"/>
            <family val="2"/>
          </rPr>
          <t>Author:</t>
        </r>
        <r>
          <rPr>
            <sz val="9"/>
            <color indexed="81"/>
            <rFont val="Tahoma"/>
            <family val="2"/>
          </rPr>
          <t xml:space="preserve">
gap-filled using the corresponding data in the same wetland type</t>
        </r>
      </text>
    </comment>
    <comment ref="CA408" authorId="0" shapeId="0" xr:uid="{ACC261D8-0FC4-4C16-A846-8A857ABB7BC1}">
      <text>
        <r>
          <rPr>
            <b/>
            <sz val="9"/>
            <color indexed="81"/>
            <rFont val="Tahoma"/>
            <family val="2"/>
          </rPr>
          <t>Author:</t>
        </r>
        <r>
          <rPr>
            <sz val="9"/>
            <color indexed="81"/>
            <rFont val="Tahoma"/>
            <family val="2"/>
          </rPr>
          <t xml:space="preserve">
non-gap-filled due to lacking data for the corresponding wetland type</t>
        </r>
      </text>
    </comment>
    <comment ref="CE408" authorId="0" shapeId="0" xr:uid="{6D081DCC-0940-442E-98D7-CDC579B062E1}">
      <text>
        <r>
          <rPr>
            <b/>
            <sz val="9"/>
            <color indexed="81"/>
            <rFont val="Tahoma"/>
            <family val="2"/>
          </rPr>
          <t>Author:</t>
        </r>
        <r>
          <rPr>
            <sz val="9"/>
            <color indexed="81"/>
            <rFont val="Tahoma"/>
            <family val="2"/>
          </rPr>
          <t xml:space="preserve">
non-gap-filled due to lacking data for the corresponding wetland type</t>
        </r>
      </text>
    </comment>
    <comment ref="CN408" authorId="0" shapeId="0" xr:uid="{3BBF073C-5387-43FC-9248-CE31FF9CF777}">
      <text>
        <r>
          <rPr>
            <b/>
            <sz val="9"/>
            <color indexed="81"/>
            <rFont val="Tahoma"/>
            <family val="2"/>
          </rPr>
          <t>Author:</t>
        </r>
        <r>
          <rPr>
            <sz val="9"/>
            <color indexed="81"/>
            <rFont val="Tahoma"/>
            <family val="2"/>
          </rPr>
          <t xml:space="preserve">
non-gap-filled due to lacking data for the corresponding wetland type</t>
        </r>
      </text>
    </comment>
    <comment ref="CR408" authorId="0" shapeId="0" xr:uid="{260C48CA-1DDF-4F6A-80B7-320B6271C356}">
      <text>
        <r>
          <rPr>
            <b/>
            <sz val="9"/>
            <color indexed="81"/>
            <rFont val="Tahoma"/>
            <family val="2"/>
          </rPr>
          <t>Author:</t>
        </r>
        <r>
          <rPr>
            <sz val="9"/>
            <color indexed="81"/>
            <rFont val="Tahoma"/>
            <family val="2"/>
          </rPr>
          <t xml:space="preserve">
non-gap-filled due to lacking data for the corresponding wetland type</t>
        </r>
      </text>
    </comment>
    <comment ref="DA408" authorId="0" shapeId="0" xr:uid="{8233B865-0CCA-4EC4-AA78-88E972BE8EE8}">
      <text>
        <r>
          <rPr>
            <b/>
            <sz val="9"/>
            <color indexed="81"/>
            <rFont val="Tahoma"/>
            <family val="2"/>
          </rPr>
          <t>Author:</t>
        </r>
        <r>
          <rPr>
            <sz val="9"/>
            <color indexed="81"/>
            <rFont val="Tahoma"/>
            <family val="2"/>
          </rPr>
          <t xml:space="preserve">
gap-filled using the corresponding data in the same wetland type</t>
        </r>
      </text>
    </comment>
    <comment ref="DE408" authorId="0" shapeId="0" xr:uid="{FE383319-439A-432D-8250-96976E866176}">
      <text>
        <r>
          <rPr>
            <b/>
            <sz val="9"/>
            <color indexed="81"/>
            <rFont val="Tahoma"/>
            <family val="2"/>
          </rPr>
          <t>Author:</t>
        </r>
        <r>
          <rPr>
            <sz val="9"/>
            <color indexed="81"/>
            <rFont val="Tahoma"/>
            <family val="2"/>
          </rPr>
          <t xml:space="preserve">
gap-filled using the corresponding data in the same wetland type</t>
        </r>
      </text>
    </comment>
    <comment ref="CE412" authorId="0" shapeId="0" xr:uid="{8F6E3C14-E7E5-480F-9000-3FA412D6ECAC}">
      <text>
        <r>
          <rPr>
            <b/>
            <sz val="9"/>
            <color indexed="81"/>
            <rFont val="Tahoma"/>
            <family val="2"/>
          </rPr>
          <t>Author:</t>
        </r>
        <r>
          <rPr>
            <sz val="9"/>
            <color indexed="81"/>
            <rFont val="Tahoma"/>
            <family val="2"/>
          </rPr>
          <t xml:space="preserve">
gap-filled using the corresponding data in the same wetland type</t>
        </r>
      </text>
    </comment>
    <comment ref="CN412" authorId="0" shapeId="0" xr:uid="{9BAE61DE-D679-4281-A30A-EBECC1421653}">
      <text>
        <r>
          <rPr>
            <b/>
            <sz val="9"/>
            <color indexed="81"/>
            <rFont val="Tahoma"/>
            <family val="2"/>
          </rPr>
          <t>Author:</t>
        </r>
        <r>
          <rPr>
            <sz val="9"/>
            <color indexed="81"/>
            <rFont val="Tahoma"/>
            <family val="2"/>
          </rPr>
          <t xml:space="preserve">
non-gap-filled due to lacking data for the corresponding wetland type</t>
        </r>
      </text>
    </comment>
    <comment ref="CR412" authorId="0" shapeId="0" xr:uid="{30A777D6-2B14-433F-935B-171182B69B05}">
      <text>
        <r>
          <rPr>
            <b/>
            <sz val="9"/>
            <color indexed="81"/>
            <rFont val="Tahoma"/>
            <family val="2"/>
          </rPr>
          <t>Author:</t>
        </r>
        <r>
          <rPr>
            <sz val="9"/>
            <color indexed="81"/>
            <rFont val="Tahoma"/>
            <family val="2"/>
          </rPr>
          <t xml:space="preserve">
gap-filled using the corresponding data in the same wetland type</t>
        </r>
      </text>
    </comment>
    <comment ref="DA412" authorId="0" shapeId="0" xr:uid="{60DA1917-52A3-40F1-82D3-FB8609D51E20}">
      <text>
        <r>
          <rPr>
            <b/>
            <sz val="9"/>
            <color indexed="81"/>
            <rFont val="Tahoma"/>
            <family val="2"/>
          </rPr>
          <t>Author:</t>
        </r>
        <r>
          <rPr>
            <sz val="9"/>
            <color indexed="81"/>
            <rFont val="Tahoma"/>
            <family val="2"/>
          </rPr>
          <t xml:space="preserve">
gap-filled using the corresponding data in the same wetland type</t>
        </r>
      </text>
    </comment>
    <comment ref="DE412" authorId="0" shapeId="0" xr:uid="{6AE4F350-8AB4-4CAD-BEC5-D293F7766BC2}">
      <text>
        <r>
          <rPr>
            <b/>
            <sz val="9"/>
            <color indexed="81"/>
            <rFont val="Tahoma"/>
            <family val="2"/>
          </rPr>
          <t>Author:</t>
        </r>
        <r>
          <rPr>
            <sz val="9"/>
            <color indexed="81"/>
            <rFont val="Tahoma"/>
            <family val="2"/>
          </rPr>
          <t xml:space="preserve">
gap-filled using the corresponding data in the same wetland type</t>
        </r>
      </text>
    </comment>
    <comment ref="CA413" authorId="0" shapeId="0" xr:uid="{358657E7-C826-467A-A2AB-7564BEC39F56}">
      <text>
        <r>
          <rPr>
            <b/>
            <sz val="9"/>
            <color indexed="81"/>
            <rFont val="Tahoma"/>
            <family val="2"/>
          </rPr>
          <t>Author:</t>
        </r>
        <r>
          <rPr>
            <sz val="9"/>
            <color indexed="81"/>
            <rFont val="Tahoma"/>
            <family val="2"/>
          </rPr>
          <t xml:space="preserve">
non-gap-filled due to lacking data for the corresponding wetland type</t>
        </r>
      </text>
    </comment>
    <comment ref="CE413" authorId="0" shapeId="0" xr:uid="{7BAFDA48-5126-4FFA-B138-4DA2F120AE79}">
      <text>
        <r>
          <rPr>
            <b/>
            <sz val="9"/>
            <color indexed="81"/>
            <rFont val="Tahoma"/>
            <family val="2"/>
          </rPr>
          <t>Author:</t>
        </r>
        <r>
          <rPr>
            <sz val="9"/>
            <color indexed="81"/>
            <rFont val="Tahoma"/>
            <family val="2"/>
          </rPr>
          <t xml:space="preserve">
gap-filled using the corresponding data in the same wetland type</t>
        </r>
      </text>
    </comment>
    <comment ref="CN413" authorId="0" shapeId="0" xr:uid="{6484A8A1-9031-45EB-B4D4-DD31D0BD916A}">
      <text>
        <r>
          <rPr>
            <b/>
            <sz val="9"/>
            <color indexed="81"/>
            <rFont val="Tahoma"/>
            <family val="2"/>
          </rPr>
          <t>Author:</t>
        </r>
        <r>
          <rPr>
            <sz val="9"/>
            <color indexed="81"/>
            <rFont val="Tahoma"/>
            <family val="2"/>
          </rPr>
          <t xml:space="preserve">
non-gap-filled due to lacking data for the corresponding wetland type</t>
        </r>
      </text>
    </comment>
    <comment ref="CR413" authorId="0" shapeId="0" xr:uid="{80932D33-F611-46C9-84D6-8217BE60CD55}">
      <text>
        <r>
          <rPr>
            <b/>
            <sz val="9"/>
            <color indexed="81"/>
            <rFont val="Tahoma"/>
            <family val="2"/>
          </rPr>
          <t>Author:</t>
        </r>
        <r>
          <rPr>
            <sz val="9"/>
            <color indexed="81"/>
            <rFont val="Tahoma"/>
            <family val="2"/>
          </rPr>
          <t xml:space="preserve">
gap-filled using the corresponding data in the same wetland type</t>
        </r>
      </text>
    </comment>
    <comment ref="DA413" authorId="0" shapeId="0" xr:uid="{2533E057-CAE0-443B-AB78-02BA67BE95A0}">
      <text>
        <r>
          <rPr>
            <b/>
            <sz val="9"/>
            <color indexed="81"/>
            <rFont val="Tahoma"/>
            <family val="2"/>
          </rPr>
          <t>Author:</t>
        </r>
        <r>
          <rPr>
            <sz val="9"/>
            <color indexed="81"/>
            <rFont val="Tahoma"/>
            <family val="2"/>
          </rPr>
          <t xml:space="preserve">
gap-filled using the corresponding data in the same wetland type</t>
        </r>
      </text>
    </comment>
    <comment ref="DE413" authorId="0" shapeId="0" xr:uid="{5A9CDB92-422A-4ECF-8B62-8739E92C007C}">
      <text>
        <r>
          <rPr>
            <b/>
            <sz val="9"/>
            <color indexed="81"/>
            <rFont val="Tahoma"/>
            <family val="2"/>
          </rPr>
          <t>Author:</t>
        </r>
        <r>
          <rPr>
            <sz val="9"/>
            <color indexed="81"/>
            <rFont val="Tahoma"/>
            <family val="2"/>
          </rPr>
          <t xml:space="preserve">
gap-filled using the corresponding data in the same wetland type</t>
        </r>
      </text>
    </comment>
    <comment ref="CA415" authorId="0" shapeId="0" xr:uid="{5D8CDF41-F7BD-4F8C-8C00-284BF2E0EBC3}">
      <text>
        <r>
          <rPr>
            <b/>
            <sz val="9"/>
            <color indexed="81"/>
            <rFont val="Tahoma"/>
            <family val="2"/>
          </rPr>
          <t>Author:</t>
        </r>
        <r>
          <rPr>
            <sz val="9"/>
            <color indexed="81"/>
            <rFont val="Tahoma"/>
            <family val="2"/>
          </rPr>
          <t xml:space="preserve">
gap-filled using the corresponding data in the same wetland type</t>
        </r>
      </text>
    </comment>
    <comment ref="CE415" authorId="0" shapeId="0" xr:uid="{1768885D-0713-492F-A3AD-85301A59F9E8}">
      <text>
        <r>
          <rPr>
            <b/>
            <sz val="9"/>
            <color indexed="81"/>
            <rFont val="Tahoma"/>
            <family val="2"/>
          </rPr>
          <t>Author:</t>
        </r>
        <r>
          <rPr>
            <sz val="9"/>
            <color indexed="81"/>
            <rFont val="Tahoma"/>
            <family val="2"/>
          </rPr>
          <t xml:space="preserve">
gap-filled using the corresponding data in the same wetland type</t>
        </r>
      </text>
    </comment>
    <comment ref="CN415" authorId="0" shapeId="0" xr:uid="{EFA6EB52-3981-402B-9E9F-44FE53500FB4}">
      <text>
        <r>
          <rPr>
            <b/>
            <sz val="9"/>
            <color indexed="81"/>
            <rFont val="Tahoma"/>
            <family val="2"/>
          </rPr>
          <t>Author:</t>
        </r>
        <r>
          <rPr>
            <sz val="9"/>
            <color indexed="81"/>
            <rFont val="Tahoma"/>
            <family val="2"/>
          </rPr>
          <t xml:space="preserve">
gap-filled using the corresponding data in the same wetland type</t>
        </r>
      </text>
    </comment>
    <comment ref="CR415" authorId="0" shapeId="0" xr:uid="{4D4E2A0B-AA90-4AFF-A022-4709F461A0B4}">
      <text>
        <r>
          <rPr>
            <b/>
            <sz val="9"/>
            <color indexed="81"/>
            <rFont val="Tahoma"/>
            <family val="2"/>
          </rPr>
          <t>Author:</t>
        </r>
        <r>
          <rPr>
            <sz val="9"/>
            <color indexed="81"/>
            <rFont val="Tahoma"/>
            <family val="2"/>
          </rPr>
          <t xml:space="preserve">
gap-filled using the corresponding data in the same wetland type</t>
        </r>
      </text>
    </comment>
    <comment ref="DA415" authorId="0" shapeId="0" xr:uid="{C780EEB9-A119-4E00-9BB3-19F68516C0D5}">
      <text>
        <r>
          <rPr>
            <b/>
            <sz val="9"/>
            <color indexed="81"/>
            <rFont val="Tahoma"/>
            <family val="2"/>
          </rPr>
          <t>Author:</t>
        </r>
        <r>
          <rPr>
            <sz val="9"/>
            <color indexed="81"/>
            <rFont val="Tahoma"/>
            <family val="2"/>
          </rPr>
          <t xml:space="preserve">
gap-filled using the corresponding data in the same wetland type</t>
        </r>
      </text>
    </comment>
    <comment ref="DE415" authorId="0" shapeId="0" xr:uid="{D5FDDC04-FEB4-4B0E-9FCC-DC3EED5DABDC}">
      <text>
        <r>
          <rPr>
            <b/>
            <sz val="9"/>
            <color indexed="81"/>
            <rFont val="Tahoma"/>
            <family val="2"/>
          </rPr>
          <t>Author:</t>
        </r>
        <r>
          <rPr>
            <sz val="9"/>
            <color indexed="81"/>
            <rFont val="Tahoma"/>
            <family val="2"/>
          </rPr>
          <t xml:space="preserve">
gap-filled using the corresponding data in the same wetland type</t>
        </r>
      </text>
    </comment>
    <comment ref="CA416" authorId="0" shapeId="0" xr:uid="{BDCA2D28-333F-4B35-9228-713426C6201A}">
      <text>
        <r>
          <rPr>
            <b/>
            <sz val="9"/>
            <color indexed="81"/>
            <rFont val="Tahoma"/>
            <family val="2"/>
          </rPr>
          <t>Author:</t>
        </r>
        <r>
          <rPr>
            <sz val="9"/>
            <color indexed="81"/>
            <rFont val="Tahoma"/>
            <family val="2"/>
          </rPr>
          <t xml:space="preserve">
gap-filled using the corresponding data in the same wetland type</t>
        </r>
      </text>
    </comment>
    <comment ref="CE416" authorId="0" shapeId="0" xr:uid="{65FCE20C-39EE-44DD-91FF-AE3B919BC818}">
      <text>
        <r>
          <rPr>
            <b/>
            <sz val="9"/>
            <color indexed="81"/>
            <rFont val="Tahoma"/>
            <family val="2"/>
          </rPr>
          <t>Author:</t>
        </r>
        <r>
          <rPr>
            <sz val="9"/>
            <color indexed="81"/>
            <rFont val="Tahoma"/>
            <family val="2"/>
          </rPr>
          <t xml:space="preserve">
gap-filled using the corresponding data in the same wetland type</t>
        </r>
      </text>
    </comment>
    <comment ref="CN416" authorId="0" shapeId="0" xr:uid="{9103FFDF-492F-44B4-A68B-B60A5EB7BF0A}">
      <text>
        <r>
          <rPr>
            <b/>
            <sz val="9"/>
            <color indexed="81"/>
            <rFont val="Tahoma"/>
            <family val="2"/>
          </rPr>
          <t>Author:</t>
        </r>
        <r>
          <rPr>
            <sz val="9"/>
            <color indexed="81"/>
            <rFont val="Tahoma"/>
            <family val="2"/>
          </rPr>
          <t xml:space="preserve">
gap-filled using the corresponding data in the same wetland type</t>
        </r>
      </text>
    </comment>
    <comment ref="CR416" authorId="0" shapeId="0" xr:uid="{19A2E038-74E7-45ED-B9DC-BBCB97A84139}">
      <text>
        <r>
          <rPr>
            <b/>
            <sz val="9"/>
            <color indexed="81"/>
            <rFont val="Tahoma"/>
            <family val="2"/>
          </rPr>
          <t>Author:</t>
        </r>
        <r>
          <rPr>
            <sz val="9"/>
            <color indexed="81"/>
            <rFont val="Tahoma"/>
            <family val="2"/>
          </rPr>
          <t xml:space="preserve">
gap-filled using the corresponding data in the same wetland type</t>
        </r>
      </text>
    </comment>
    <comment ref="DA416" authorId="0" shapeId="0" xr:uid="{562C3A35-AC39-4621-A35E-26B656877C7C}">
      <text>
        <r>
          <rPr>
            <b/>
            <sz val="9"/>
            <color indexed="81"/>
            <rFont val="Tahoma"/>
            <family val="2"/>
          </rPr>
          <t>Author:</t>
        </r>
        <r>
          <rPr>
            <sz val="9"/>
            <color indexed="81"/>
            <rFont val="Tahoma"/>
            <family val="2"/>
          </rPr>
          <t xml:space="preserve">
gap-filled using the corresponding data in the same wetland type</t>
        </r>
      </text>
    </comment>
    <comment ref="DE416" authorId="0" shapeId="0" xr:uid="{BC5591AB-B68A-4137-9E21-9CF6B04CEC47}">
      <text>
        <r>
          <rPr>
            <b/>
            <sz val="9"/>
            <color indexed="81"/>
            <rFont val="Tahoma"/>
            <family val="2"/>
          </rPr>
          <t>Author:</t>
        </r>
        <r>
          <rPr>
            <sz val="9"/>
            <color indexed="81"/>
            <rFont val="Tahoma"/>
            <family val="2"/>
          </rPr>
          <t xml:space="preserve">
gap-filled using the corresponding data in the same wetland type</t>
        </r>
      </text>
    </comment>
    <comment ref="DN416" authorId="0" shapeId="0" xr:uid="{F3E3E2FB-9FD0-408C-BA52-C418A8628FDB}">
      <text>
        <r>
          <rPr>
            <b/>
            <sz val="9"/>
            <color indexed="81"/>
            <rFont val="Tahoma"/>
            <family val="2"/>
          </rPr>
          <t>Author:</t>
        </r>
        <r>
          <rPr>
            <sz val="9"/>
            <color indexed="81"/>
            <rFont val="Tahoma"/>
            <family val="2"/>
          </rPr>
          <t xml:space="preserve">
gap-filled using the corresponding data in the same wetland type</t>
        </r>
      </text>
    </comment>
    <comment ref="DR416" authorId="0" shapeId="0" xr:uid="{909142C1-31B8-45F2-817A-19CC18F9A93B}">
      <text>
        <r>
          <rPr>
            <b/>
            <sz val="9"/>
            <color indexed="81"/>
            <rFont val="Tahoma"/>
            <family val="2"/>
          </rPr>
          <t>Author:</t>
        </r>
        <r>
          <rPr>
            <sz val="9"/>
            <color indexed="81"/>
            <rFont val="Tahoma"/>
            <family val="2"/>
          </rPr>
          <t xml:space="preserve">
gap-filled using the corresponding data in the same wetland type</t>
        </r>
      </text>
    </comment>
    <comment ref="CA417" authorId="0" shapeId="0" xr:uid="{925498DE-D21F-4F25-A8CC-C7FDC528CF98}">
      <text>
        <r>
          <rPr>
            <b/>
            <sz val="9"/>
            <color indexed="81"/>
            <rFont val="Tahoma"/>
            <family val="2"/>
          </rPr>
          <t>Author:</t>
        </r>
        <r>
          <rPr>
            <sz val="9"/>
            <color indexed="81"/>
            <rFont val="Tahoma"/>
            <family val="2"/>
          </rPr>
          <t xml:space="preserve">
gap-filled using the corresponding data in the same wetland type</t>
        </r>
      </text>
    </comment>
    <comment ref="CE417" authorId="0" shapeId="0" xr:uid="{889AEE5A-103E-4889-BAC5-6EE96DE2D202}">
      <text>
        <r>
          <rPr>
            <b/>
            <sz val="9"/>
            <color indexed="81"/>
            <rFont val="Tahoma"/>
            <family val="2"/>
          </rPr>
          <t>Author:</t>
        </r>
        <r>
          <rPr>
            <sz val="9"/>
            <color indexed="81"/>
            <rFont val="Tahoma"/>
            <family val="2"/>
          </rPr>
          <t xml:space="preserve">
gap-filled using the corresponding data in the same wetland type</t>
        </r>
      </text>
    </comment>
    <comment ref="CN417" authorId="0" shapeId="0" xr:uid="{74492A5F-1DED-4F1D-8075-3408E9C726AD}">
      <text>
        <r>
          <rPr>
            <b/>
            <sz val="9"/>
            <color indexed="81"/>
            <rFont val="Tahoma"/>
            <family val="2"/>
          </rPr>
          <t>Author:</t>
        </r>
        <r>
          <rPr>
            <sz val="9"/>
            <color indexed="81"/>
            <rFont val="Tahoma"/>
            <family val="2"/>
          </rPr>
          <t xml:space="preserve">
gap-filled using the corresponding data in the same wetland type</t>
        </r>
      </text>
    </comment>
    <comment ref="CR417" authorId="0" shapeId="0" xr:uid="{D924D6A8-6AED-4DF4-B41F-CCA034CE7B2E}">
      <text>
        <r>
          <rPr>
            <b/>
            <sz val="9"/>
            <color indexed="81"/>
            <rFont val="Tahoma"/>
            <family val="2"/>
          </rPr>
          <t>Author:</t>
        </r>
        <r>
          <rPr>
            <sz val="9"/>
            <color indexed="81"/>
            <rFont val="Tahoma"/>
            <family val="2"/>
          </rPr>
          <t xml:space="preserve">
gap-filled using the corresponding data in the same wetland type</t>
        </r>
      </text>
    </comment>
    <comment ref="DA417" authorId="0" shapeId="0" xr:uid="{FFB0EA32-755A-4DF5-8D3F-AE1E7C20A019}">
      <text>
        <r>
          <rPr>
            <b/>
            <sz val="9"/>
            <color indexed="81"/>
            <rFont val="Tahoma"/>
            <family val="2"/>
          </rPr>
          <t>Author:</t>
        </r>
        <r>
          <rPr>
            <sz val="9"/>
            <color indexed="81"/>
            <rFont val="Tahoma"/>
            <family val="2"/>
          </rPr>
          <t xml:space="preserve">
gap-filled using the corresponding data in the same wetland type</t>
        </r>
      </text>
    </comment>
    <comment ref="DE417" authorId="0" shapeId="0" xr:uid="{0E479F62-7863-4600-A74C-7A466D2D759B}">
      <text>
        <r>
          <rPr>
            <b/>
            <sz val="9"/>
            <color indexed="81"/>
            <rFont val="Tahoma"/>
            <family val="2"/>
          </rPr>
          <t>Author:</t>
        </r>
        <r>
          <rPr>
            <sz val="9"/>
            <color indexed="81"/>
            <rFont val="Tahoma"/>
            <family val="2"/>
          </rPr>
          <t xml:space="preserve">
gap-filled using the corresponding data in the same wetland type</t>
        </r>
      </text>
    </comment>
    <comment ref="DN417" authorId="0" shapeId="0" xr:uid="{1D00C59C-8820-4513-B1A6-47D6ADF16A17}">
      <text>
        <r>
          <rPr>
            <b/>
            <sz val="9"/>
            <color indexed="81"/>
            <rFont val="Tahoma"/>
            <family val="2"/>
          </rPr>
          <t>Author:</t>
        </r>
        <r>
          <rPr>
            <sz val="9"/>
            <color indexed="81"/>
            <rFont val="Tahoma"/>
            <family val="2"/>
          </rPr>
          <t xml:space="preserve">
gap-filled using the corresponding data in the same wetland type</t>
        </r>
      </text>
    </comment>
    <comment ref="DR417" authorId="0" shapeId="0" xr:uid="{746845C3-4F32-4D0A-A133-95AB17DBEC84}">
      <text>
        <r>
          <rPr>
            <b/>
            <sz val="9"/>
            <color indexed="81"/>
            <rFont val="Tahoma"/>
            <family val="2"/>
          </rPr>
          <t>Author:</t>
        </r>
        <r>
          <rPr>
            <sz val="9"/>
            <color indexed="81"/>
            <rFont val="Tahoma"/>
            <family val="2"/>
          </rPr>
          <t xml:space="preserve">
gap-filled using the corresponding data in the same wetland type</t>
        </r>
      </text>
    </comment>
    <comment ref="DN436" authorId="0" shapeId="0" xr:uid="{6FBA66DE-8EBE-4CAF-8D7F-93DD4B8EEFB8}">
      <text>
        <r>
          <rPr>
            <b/>
            <sz val="9"/>
            <color indexed="81"/>
            <rFont val="Tahoma"/>
            <family val="2"/>
          </rPr>
          <t>Author:</t>
        </r>
        <r>
          <rPr>
            <sz val="9"/>
            <color indexed="81"/>
            <rFont val="Tahoma"/>
            <family val="2"/>
          </rPr>
          <t xml:space="preserve">
gap-filled using the corresponding data in the same wetland type</t>
        </r>
      </text>
    </comment>
    <comment ref="DR436" authorId="0" shapeId="0" xr:uid="{5713467B-4426-4A38-B353-C8B0D61ECEF5}">
      <text>
        <r>
          <rPr>
            <b/>
            <sz val="9"/>
            <color indexed="81"/>
            <rFont val="Tahoma"/>
            <family val="2"/>
          </rPr>
          <t>Author:</t>
        </r>
        <r>
          <rPr>
            <sz val="9"/>
            <color indexed="81"/>
            <rFont val="Tahoma"/>
            <family val="2"/>
          </rPr>
          <t xml:space="preserve">
gap-filled using the corresponding data in the same wetland type</t>
        </r>
      </text>
    </comment>
    <comment ref="EA436" authorId="0" shapeId="0" xr:uid="{30C1C1D0-7EF8-4A21-A57F-88887BD7A70A}">
      <text>
        <r>
          <rPr>
            <b/>
            <sz val="9"/>
            <color indexed="81"/>
            <rFont val="Tahoma"/>
            <family val="2"/>
          </rPr>
          <t>Author:</t>
        </r>
        <r>
          <rPr>
            <sz val="9"/>
            <color indexed="81"/>
            <rFont val="Tahoma"/>
            <family val="2"/>
          </rPr>
          <t xml:space="preserve">
gap-filled using the corresponding data in the same wetland type</t>
        </r>
      </text>
    </comment>
    <comment ref="EE436" authorId="0" shapeId="0" xr:uid="{3104D12D-144E-4702-BDE2-4B7A1F9D80CF}">
      <text>
        <r>
          <rPr>
            <b/>
            <sz val="9"/>
            <color indexed="81"/>
            <rFont val="Tahoma"/>
            <family val="2"/>
          </rPr>
          <t>Author:</t>
        </r>
        <r>
          <rPr>
            <sz val="9"/>
            <color indexed="81"/>
            <rFont val="Tahoma"/>
            <family val="2"/>
          </rPr>
          <t xml:space="preserve">
gap-filled using the corresponding data in the same wetland type</t>
        </r>
      </text>
    </comment>
    <comment ref="DN444" authorId="0" shapeId="0" xr:uid="{FC411D87-4202-4B93-ADBC-45C4C7B4E311}">
      <text>
        <r>
          <rPr>
            <b/>
            <sz val="9"/>
            <color indexed="81"/>
            <rFont val="Tahoma"/>
            <family val="2"/>
          </rPr>
          <t>Author:</t>
        </r>
        <r>
          <rPr>
            <sz val="9"/>
            <color indexed="81"/>
            <rFont val="Tahoma"/>
            <family val="2"/>
          </rPr>
          <t xml:space="preserve">
gap-filled using the corresponding data in the same wetland type</t>
        </r>
      </text>
    </comment>
    <comment ref="DR444" authorId="0" shapeId="0" xr:uid="{03738079-71F7-4046-A4DA-530B48849B25}">
      <text>
        <r>
          <rPr>
            <b/>
            <sz val="9"/>
            <color indexed="81"/>
            <rFont val="Tahoma"/>
            <family val="2"/>
          </rPr>
          <t>Author:</t>
        </r>
        <r>
          <rPr>
            <sz val="9"/>
            <color indexed="81"/>
            <rFont val="Tahoma"/>
            <family val="2"/>
          </rPr>
          <t xml:space="preserve">
gap-filled using the corresponding data in the same wetland type</t>
        </r>
      </text>
    </comment>
    <comment ref="EA444" authorId="0" shapeId="0" xr:uid="{F38B2139-FE43-418D-9CCC-17248BE58C8D}">
      <text>
        <r>
          <rPr>
            <b/>
            <sz val="9"/>
            <color indexed="81"/>
            <rFont val="Tahoma"/>
            <family val="2"/>
          </rPr>
          <t>Author:</t>
        </r>
        <r>
          <rPr>
            <sz val="9"/>
            <color indexed="81"/>
            <rFont val="Tahoma"/>
            <family val="2"/>
          </rPr>
          <t xml:space="preserve">
gap-filled using the corresponding data in the same wetland type</t>
        </r>
      </text>
    </comment>
    <comment ref="EE444" authorId="0" shapeId="0" xr:uid="{71D007F8-6F70-4DCB-86C1-3F242DF6E5BD}">
      <text>
        <r>
          <rPr>
            <b/>
            <sz val="9"/>
            <color indexed="81"/>
            <rFont val="Tahoma"/>
            <family val="2"/>
          </rPr>
          <t>Author:</t>
        </r>
        <r>
          <rPr>
            <sz val="9"/>
            <color indexed="81"/>
            <rFont val="Tahoma"/>
            <family val="2"/>
          </rPr>
          <t xml:space="preserve">
gap-filled using the corresponding data in the same wetland type</t>
        </r>
      </text>
    </comment>
    <comment ref="CA447" authorId="0" shapeId="0" xr:uid="{6A617D7D-12CE-4224-B159-B5AB4821AAEC}">
      <text>
        <r>
          <rPr>
            <b/>
            <sz val="9"/>
            <color indexed="81"/>
            <rFont val="Tahoma"/>
            <family val="2"/>
          </rPr>
          <t>Author:</t>
        </r>
        <r>
          <rPr>
            <sz val="9"/>
            <color indexed="81"/>
            <rFont val="Tahoma"/>
            <family val="2"/>
          </rPr>
          <t xml:space="preserve">
gap-filled</t>
        </r>
      </text>
    </comment>
    <comment ref="CE447" authorId="0" shapeId="0" xr:uid="{709A73EE-FBE7-42B4-B0E3-8875BC9F04F8}">
      <text>
        <r>
          <rPr>
            <b/>
            <sz val="9"/>
            <color indexed="81"/>
            <rFont val="Tahoma"/>
            <family val="2"/>
          </rPr>
          <t>Author:</t>
        </r>
        <r>
          <rPr>
            <sz val="9"/>
            <color indexed="81"/>
            <rFont val="Tahoma"/>
            <family val="2"/>
          </rPr>
          <t xml:space="preserve">
gap-filled</t>
        </r>
      </text>
    </comment>
    <comment ref="CN447" authorId="0" shapeId="0" xr:uid="{FB1058FA-8A0F-49A3-BB5B-65FBB00AAAE7}">
      <text>
        <r>
          <rPr>
            <b/>
            <sz val="9"/>
            <color indexed="81"/>
            <rFont val="Tahoma"/>
            <family val="2"/>
          </rPr>
          <t>Author:</t>
        </r>
        <r>
          <rPr>
            <sz val="9"/>
            <color indexed="81"/>
            <rFont val="Tahoma"/>
            <family val="2"/>
          </rPr>
          <t xml:space="preserve">
gap-filled</t>
        </r>
      </text>
    </comment>
    <comment ref="CR447" authorId="0" shapeId="0" xr:uid="{34F36F74-661E-4EE9-A47A-08A889FA5172}">
      <text>
        <r>
          <rPr>
            <b/>
            <sz val="9"/>
            <color indexed="81"/>
            <rFont val="Tahoma"/>
            <family val="2"/>
          </rPr>
          <t>Author:</t>
        </r>
        <r>
          <rPr>
            <sz val="9"/>
            <color indexed="81"/>
            <rFont val="Tahoma"/>
            <family val="2"/>
          </rPr>
          <t xml:space="preserve">
gap-filled</t>
        </r>
      </text>
    </comment>
    <comment ref="DA447" authorId="0" shapeId="0" xr:uid="{9293DCD0-2C29-456B-A3DA-88F2DE5353B5}">
      <text>
        <r>
          <rPr>
            <b/>
            <sz val="9"/>
            <color indexed="81"/>
            <rFont val="Tahoma"/>
            <family val="2"/>
          </rPr>
          <t>Lei Ma:gap-filled</t>
        </r>
      </text>
    </comment>
    <comment ref="DE447" authorId="0" shapeId="0" xr:uid="{BAB6C1B3-2F85-4AEE-BC93-71D50F4FFFEA}">
      <text>
        <r>
          <rPr>
            <b/>
            <sz val="9"/>
            <color indexed="81"/>
            <rFont val="Tahoma"/>
            <family val="2"/>
          </rPr>
          <t>Author:</t>
        </r>
        <r>
          <rPr>
            <sz val="9"/>
            <color indexed="81"/>
            <rFont val="Tahoma"/>
            <family val="2"/>
          </rPr>
          <t xml:space="preserve">
gap-filled</t>
        </r>
      </text>
    </comment>
    <comment ref="CB476" authorId="0" shapeId="0" xr:uid="{D4989726-0B1A-41E4-B143-C1E51FDD49E1}">
      <text>
        <r>
          <rPr>
            <b/>
            <sz val="9"/>
            <color indexed="81"/>
            <rFont val="Tahoma"/>
            <family val="2"/>
          </rPr>
          <t>Author:</t>
        </r>
        <r>
          <rPr>
            <sz val="9"/>
            <color indexed="81"/>
            <rFont val="Tahoma"/>
            <family val="2"/>
          </rPr>
          <t xml:space="preserve">
Red triangle indicate gap-filled data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5" authorId="0" shapeId="0" xr:uid="{C23BFCDF-852F-4C72-925F-831CAAD8798A}">
      <text>
        <r>
          <rPr>
            <b/>
            <sz val="9"/>
            <color indexed="81"/>
            <rFont val="Tahoma"/>
            <family val="2"/>
          </rPr>
          <t>Author:</t>
        </r>
        <r>
          <rPr>
            <sz val="9"/>
            <color indexed="81"/>
            <rFont val="Tahoma"/>
            <family val="2"/>
          </rPr>
          <t xml:space="preserve">
95% confidence intervals</t>
        </r>
      </text>
    </comment>
    <comment ref="F5" authorId="0" shapeId="0" xr:uid="{6DC27318-3CBC-4A4C-AA31-52753CDA1B51}">
      <text>
        <r>
          <rPr>
            <b/>
            <sz val="9"/>
            <color indexed="81"/>
            <rFont val="Tahoma"/>
            <family val="2"/>
          </rPr>
          <t>Author:</t>
        </r>
        <r>
          <rPr>
            <sz val="9"/>
            <color indexed="81"/>
            <rFont val="Tahoma"/>
            <family val="2"/>
          </rPr>
          <t xml:space="preserve">
95% confidence intervals</t>
        </r>
      </text>
    </comment>
    <comment ref="I5" authorId="0" shapeId="0" xr:uid="{22BD57ED-17A3-48A9-830E-EE54A04C1B00}">
      <text>
        <r>
          <rPr>
            <b/>
            <sz val="9"/>
            <color indexed="81"/>
            <rFont val="Tahoma"/>
            <family val="2"/>
          </rPr>
          <t>Author:</t>
        </r>
        <r>
          <rPr>
            <sz val="9"/>
            <color indexed="81"/>
            <rFont val="Tahoma"/>
            <family val="2"/>
          </rPr>
          <t xml:space="preserve">
95% confidence intervals</t>
        </r>
      </text>
    </comment>
    <comment ref="L5" authorId="0" shapeId="0" xr:uid="{99F942BF-3A1E-49A0-88CC-B234A521EECC}">
      <text>
        <r>
          <rPr>
            <b/>
            <sz val="9"/>
            <color indexed="81"/>
            <rFont val="Tahoma"/>
            <family val="2"/>
          </rPr>
          <t>Author:</t>
        </r>
        <r>
          <rPr>
            <sz val="9"/>
            <color indexed="81"/>
            <rFont val="Tahoma"/>
            <family val="2"/>
          </rPr>
          <t xml:space="preserve">
95% confidence intervals</t>
        </r>
      </text>
    </comment>
    <comment ref="O5" authorId="0" shapeId="0" xr:uid="{818DF3E2-C0A0-4F69-9434-6AFD6B819C57}">
      <text>
        <r>
          <rPr>
            <b/>
            <sz val="9"/>
            <color indexed="81"/>
            <rFont val="Tahoma"/>
            <family val="2"/>
          </rPr>
          <t>Author:</t>
        </r>
        <r>
          <rPr>
            <sz val="9"/>
            <color indexed="81"/>
            <rFont val="Tahoma"/>
            <family val="2"/>
          </rPr>
          <t xml:space="preserve">
95% confidence intervals</t>
        </r>
      </text>
    </comment>
    <comment ref="R5" authorId="0" shapeId="0" xr:uid="{EA5A8F91-E7CB-4C79-8E84-FC2519EE3B4F}">
      <text>
        <r>
          <rPr>
            <b/>
            <sz val="9"/>
            <color indexed="81"/>
            <rFont val="Tahoma"/>
            <family val="2"/>
          </rPr>
          <t>Author:</t>
        </r>
        <r>
          <rPr>
            <sz val="9"/>
            <color indexed="81"/>
            <rFont val="Tahoma"/>
            <family val="2"/>
          </rPr>
          <t xml:space="preserve">
95% confidence intervals</t>
        </r>
      </text>
    </comment>
    <comment ref="U5" authorId="0" shapeId="0" xr:uid="{DC6B5CE4-25EA-43FE-A252-47E2F41DF8FD}">
      <text>
        <r>
          <rPr>
            <b/>
            <sz val="9"/>
            <color indexed="81"/>
            <rFont val="Tahoma"/>
            <family val="2"/>
          </rPr>
          <t>Author:</t>
        </r>
        <r>
          <rPr>
            <sz val="9"/>
            <color indexed="81"/>
            <rFont val="Tahoma"/>
            <family val="2"/>
          </rPr>
          <t xml:space="preserve">
95% confidence intervals</t>
        </r>
      </text>
    </comment>
    <comment ref="X5" authorId="0" shapeId="0" xr:uid="{BAD75F7F-2B5B-4542-8D8E-206105E6E016}">
      <text>
        <r>
          <rPr>
            <b/>
            <sz val="9"/>
            <color indexed="81"/>
            <rFont val="Tahoma"/>
            <family val="2"/>
          </rPr>
          <t>Author:</t>
        </r>
        <r>
          <rPr>
            <sz val="9"/>
            <color indexed="81"/>
            <rFont val="Tahoma"/>
            <family val="2"/>
          </rPr>
          <t xml:space="preserve">
95% confidence intervals</t>
        </r>
      </text>
    </comment>
    <comment ref="AA5" authorId="0" shapeId="0" xr:uid="{0A672CBB-7707-4E32-9D91-91A8D844BBA2}">
      <text>
        <r>
          <rPr>
            <b/>
            <sz val="9"/>
            <color indexed="81"/>
            <rFont val="Tahoma"/>
            <family val="2"/>
          </rPr>
          <t>Author:</t>
        </r>
        <r>
          <rPr>
            <sz val="9"/>
            <color indexed="81"/>
            <rFont val="Tahoma"/>
            <family val="2"/>
          </rPr>
          <t xml:space="preserve">
95% confidence intervals</t>
        </r>
      </text>
    </comment>
    <comment ref="AD5" authorId="0" shapeId="0" xr:uid="{6CD72769-1804-4A7C-8B73-F0E51C87A317}">
      <text>
        <r>
          <rPr>
            <b/>
            <sz val="9"/>
            <color indexed="81"/>
            <rFont val="Tahoma"/>
            <family val="2"/>
          </rPr>
          <t>Author:</t>
        </r>
        <r>
          <rPr>
            <sz val="9"/>
            <color indexed="81"/>
            <rFont val="Tahoma"/>
            <family val="2"/>
          </rPr>
          <t xml:space="preserve">
95% confidence intervals</t>
        </r>
      </text>
    </comment>
    <comment ref="AG5" authorId="0" shapeId="0" xr:uid="{F9CBCF4E-31B8-4641-80BE-A78070F5AD82}">
      <text>
        <r>
          <rPr>
            <b/>
            <sz val="9"/>
            <color indexed="81"/>
            <rFont val="Tahoma"/>
            <family val="2"/>
          </rPr>
          <t>Author:</t>
        </r>
        <r>
          <rPr>
            <sz val="9"/>
            <color indexed="81"/>
            <rFont val="Tahoma"/>
            <family val="2"/>
          </rPr>
          <t xml:space="preserve">
95% confidence intervals</t>
        </r>
      </text>
    </comment>
    <comment ref="AJ5" authorId="0" shapeId="0" xr:uid="{58C15AC9-A50A-4AF4-B59F-A721956456D7}">
      <text>
        <r>
          <rPr>
            <b/>
            <sz val="9"/>
            <color indexed="81"/>
            <rFont val="Tahoma"/>
            <family val="2"/>
          </rPr>
          <t>Author:</t>
        </r>
        <r>
          <rPr>
            <sz val="9"/>
            <color indexed="81"/>
            <rFont val="Tahoma"/>
            <family val="2"/>
          </rPr>
          <t xml:space="preserve">
95% confidence intervals</t>
        </r>
      </text>
    </comment>
    <comment ref="AO353" authorId="0" shapeId="0" xr:uid="{FF656B52-10D2-4028-9213-04A8D291C0AD}">
      <text>
        <r>
          <rPr>
            <b/>
            <sz val="9"/>
            <color indexed="81"/>
            <rFont val="Tahoma"/>
            <family val="2"/>
          </rPr>
          <t>Author:</t>
        </r>
        <r>
          <rPr>
            <sz val="9"/>
            <color indexed="81"/>
            <rFont val="Tahoma"/>
            <family val="2"/>
          </rPr>
          <t xml:space="preserve">
95% confidence intervals</t>
        </r>
      </text>
    </comment>
    <comment ref="AR353" authorId="0" shapeId="0" xr:uid="{F135DFC2-D306-4380-94F0-DADF089AAEC6}">
      <text>
        <r>
          <rPr>
            <b/>
            <sz val="9"/>
            <color indexed="81"/>
            <rFont val="Tahoma"/>
            <family val="2"/>
          </rPr>
          <t>Author:</t>
        </r>
        <r>
          <rPr>
            <sz val="9"/>
            <color indexed="81"/>
            <rFont val="Tahoma"/>
            <family val="2"/>
          </rPr>
          <t xml:space="preserve">
95% confidence intervals</t>
        </r>
      </text>
    </comment>
    <comment ref="AU353" authorId="0" shapeId="0" xr:uid="{E270B7CB-7681-4251-8A8B-C6562D02B01F}">
      <text>
        <r>
          <rPr>
            <b/>
            <sz val="9"/>
            <color indexed="81"/>
            <rFont val="Tahoma"/>
            <family val="2"/>
          </rPr>
          <t>Author:</t>
        </r>
        <r>
          <rPr>
            <sz val="9"/>
            <color indexed="81"/>
            <rFont val="Tahoma"/>
            <family val="2"/>
          </rPr>
          <t xml:space="preserve">
95% confidence intervals</t>
        </r>
      </text>
    </comment>
  </commentList>
</comments>
</file>

<file path=xl/sharedStrings.xml><?xml version="1.0" encoding="utf-8"?>
<sst xmlns="http://schemas.openxmlformats.org/spreadsheetml/2006/main" count="158683" uniqueCount="1060">
  <si>
    <t>SD</t>
    <phoneticPr fontId="1" type="noConversion"/>
  </si>
  <si>
    <t>Control</t>
    <phoneticPr fontId="1" type="noConversion"/>
  </si>
  <si>
    <t>Soil type</t>
    <phoneticPr fontId="2" type="noConversion"/>
  </si>
  <si>
    <t>ST</t>
    <phoneticPr fontId="1" type="noConversion"/>
  </si>
  <si>
    <t>SM</t>
    <phoneticPr fontId="1" type="noConversion"/>
  </si>
  <si>
    <t>BD</t>
    <phoneticPr fontId="1" type="noConversion"/>
  </si>
  <si>
    <t>STN</t>
    <phoneticPr fontId="1" type="noConversion"/>
  </si>
  <si>
    <t>AGB</t>
    <phoneticPr fontId="1" type="noConversion"/>
  </si>
  <si>
    <t>MAP (mm)</t>
    <phoneticPr fontId="1" type="noConversion"/>
  </si>
  <si>
    <t>Latitude (°, N)</t>
    <phoneticPr fontId="1" type="noConversion"/>
  </si>
  <si>
    <t>Treatment</t>
    <phoneticPr fontId="1" type="noConversion"/>
  </si>
  <si>
    <t>Measurement period</t>
    <phoneticPr fontId="1" type="noConversion"/>
  </si>
  <si>
    <t>n</t>
    <phoneticPr fontId="1" type="noConversion"/>
  </si>
  <si>
    <t>SP</t>
    <phoneticPr fontId="1" type="noConversion"/>
  </si>
  <si>
    <t>BGB</t>
    <phoneticPr fontId="1" type="noConversion"/>
  </si>
  <si>
    <t>Climatic conditions</t>
    <phoneticPr fontId="1" type="noConversion"/>
  </si>
  <si>
    <t>Temperate</t>
    <phoneticPr fontId="1" type="noConversion"/>
  </si>
  <si>
    <t>Altitude (m)</t>
    <phoneticPr fontId="1" type="noConversion"/>
  </si>
  <si>
    <t>References</t>
    <phoneticPr fontId="2" type="noConversion"/>
  </si>
  <si>
    <t>pH</t>
    <phoneticPr fontId="1" type="noConversion"/>
  </si>
  <si>
    <t>MAT ( °C)</t>
    <phoneticPr fontId="1" type="noConversion"/>
  </si>
  <si>
    <t>Drainage (treatment)</t>
    <phoneticPr fontId="1" type="noConversion"/>
  </si>
  <si>
    <t>Drainage duration (years)</t>
    <phoneticPr fontId="1" type="noConversion"/>
  </si>
  <si>
    <t>Wetland type</t>
    <phoneticPr fontId="1" type="noConversion"/>
  </si>
  <si>
    <t>Soil organic carbon</t>
    <phoneticPr fontId="1" type="noConversion"/>
  </si>
  <si>
    <t>Soil clay (%)</t>
    <phoneticPr fontId="1" type="noConversion"/>
  </si>
  <si>
    <t>Drainage</t>
    <phoneticPr fontId="1" type="noConversion"/>
  </si>
  <si>
    <t>DOC</t>
    <phoneticPr fontId="1" type="noConversion"/>
  </si>
  <si>
    <t>Soil redox potential</t>
    <phoneticPr fontId="1" type="noConversion"/>
  </si>
  <si>
    <t>dry</t>
    <phoneticPr fontId="1" type="noConversion"/>
  </si>
  <si>
    <t>Gao et al. 2016</t>
    <phoneticPr fontId="1" type="noConversion"/>
  </si>
  <si>
    <t>Low drainage</t>
    <phoneticPr fontId="1" type="noConversion"/>
  </si>
  <si>
    <t>High drainage</t>
    <phoneticPr fontId="1" type="noConversion"/>
  </si>
  <si>
    <t>WTD (cm)</t>
    <phoneticPr fontId="1" type="noConversion"/>
  </si>
  <si>
    <t>mg m-2 h-1</t>
    <phoneticPr fontId="1" type="noConversion"/>
  </si>
  <si>
    <t>32°56′</t>
    <phoneticPr fontId="1" type="noConversion"/>
  </si>
  <si>
    <t>102°08′</t>
    <phoneticPr fontId="1" type="noConversion"/>
  </si>
  <si>
    <t>/</t>
    <phoneticPr fontId="1" type="noConversion"/>
  </si>
  <si>
    <t>Carex Muliensis</t>
    <phoneticPr fontId="1" type="noConversion"/>
  </si>
  <si>
    <t>cm</t>
    <phoneticPr fontId="1" type="noConversion"/>
  </si>
  <si>
    <t>33°54′</t>
    <phoneticPr fontId="1" type="noConversion"/>
  </si>
  <si>
    <t>102°36′</t>
    <phoneticPr fontId="1" type="noConversion"/>
  </si>
  <si>
    <t>g kg-1</t>
    <phoneticPr fontId="1" type="noConversion"/>
  </si>
  <si>
    <t>g m-2</t>
    <phoneticPr fontId="1" type="noConversion"/>
  </si>
  <si>
    <t>DON</t>
    <phoneticPr fontId="1" type="noConversion"/>
  </si>
  <si>
    <t>mg kg-1</t>
    <phoneticPr fontId="1" type="noConversion"/>
  </si>
  <si>
    <t>DTP</t>
    <phoneticPr fontId="1" type="noConversion"/>
  </si>
  <si>
    <t>kg ha-1 yr-1</t>
    <phoneticPr fontId="1" type="noConversion"/>
  </si>
  <si>
    <t>260-500</t>
    <phoneticPr fontId="1" type="noConversion"/>
  </si>
  <si>
    <t>Forest</t>
    <phoneticPr fontId="1" type="noConversion"/>
  </si>
  <si>
    <t>Measurement frequency</t>
    <phoneticPr fontId="1" type="noConversion"/>
  </si>
  <si>
    <t>Marsh</t>
    <phoneticPr fontId="1" type="noConversion"/>
  </si>
  <si>
    <t>Feng et al. 2009</t>
    <phoneticPr fontId="1" type="noConversion"/>
  </si>
  <si>
    <t>Purpose</t>
    <phoneticPr fontId="1" type="noConversion"/>
  </si>
  <si>
    <t>Forestry</t>
    <phoneticPr fontId="1" type="noConversion"/>
  </si>
  <si>
    <t>2014/05/08-2015/04/28</t>
    <phoneticPr fontId="1" type="noConversion"/>
  </si>
  <si>
    <t>Zhou et al. 2015</t>
  </si>
  <si>
    <t>Zhou et al. 2015</t>
    <phoneticPr fontId="1" type="noConversion"/>
  </si>
  <si>
    <t>33°55.1′</t>
    <phoneticPr fontId="1" type="noConversion"/>
  </si>
  <si>
    <t>33°55.2′</t>
    <phoneticPr fontId="1" type="noConversion"/>
  </si>
  <si>
    <t>102°44.1′</t>
    <phoneticPr fontId="1" type="noConversion"/>
  </si>
  <si>
    <t>Carex Muliensis, Potamogeton pusillus</t>
    <phoneticPr fontId="1" type="noConversion"/>
  </si>
  <si>
    <t>102°48.9′</t>
    <phoneticPr fontId="1" type="noConversion"/>
  </si>
  <si>
    <t>g cm-3</t>
    <phoneticPr fontId="1" type="noConversion"/>
  </si>
  <si>
    <t>%, g g-1</t>
    <phoneticPr fontId="1" type="noConversion"/>
  </si>
  <si>
    <t>AOA</t>
    <phoneticPr fontId="1" type="noConversion"/>
  </si>
  <si>
    <t>AOB</t>
    <phoneticPr fontId="1" type="noConversion"/>
  </si>
  <si>
    <t>Method</t>
    <phoneticPr fontId="1" type="noConversion"/>
  </si>
  <si>
    <t xml:space="preserve">Dark brown soil </t>
    <phoneticPr fontId="1" type="noConversion"/>
  </si>
  <si>
    <t xml:space="preserve">Peat soil </t>
    <phoneticPr fontId="1" type="noConversion"/>
  </si>
  <si>
    <t>Wan et al. 2013</t>
    <phoneticPr fontId="1" type="noConversion"/>
  </si>
  <si>
    <t>Calamagrostis angustifolia</t>
    <phoneticPr fontId="1" type="noConversion"/>
  </si>
  <si>
    <t>Meadow boggy soil</t>
    <phoneticPr fontId="1" type="noConversion"/>
  </si>
  <si>
    <t>Field, Chamber</t>
    <phoneticPr fontId="1" type="noConversion"/>
  </si>
  <si>
    <t>Laboratory, Chamber</t>
    <phoneticPr fontId="1" type="noConversion"/>
  </si>
  <si>
    <t>MBC</t>
    <phoneticPr fontId="1" type="noConversion"/>
  </si>
  <si>
    <t>MBN</t>
    <phoneticPr fontId="1" type="noConversion"/>
  </si>
  <si>
    <t>Sun et al. 2009</t>
    <phoneticPr fontId="1" type="noConversion"/>
  </si>
  <si>
    <t>Country</t>
    <phoneticPr fontId="1" type="noConversion"/>
  </si>
  <si>
    <t>China</t>
    <phoneticPr fontId="1" type="noConversion"/>
  </si>
  <si>
    <t>Subtropical</t>
    <phoneticPr fontId="1" type="noConversion"/>
  </si>
  <si>
    <t>twice per week</t>
    <phoneticPr fontId="1" type="noConversion"/>
  </si>
  <si>
    <t>USA</t>
    <phoneticPr fontId="1" type="noConversion"/>
  </si>
  <si>
    <t>64.82°</t>
    <phoneticPr fontId="1" type="noConversion"/>
  </si>
  <si>
    <t>Boreal</t>
    <phoneticPr fontId="1" type="noConversion"/>
  </si>
  <si>
    <t>Peatland (fen)</t>
    <phoneticPr fontId="1" type="noConversion"/>
  </si>
  <si>
    <t>NEE</t>
    <phoneticPr fontId="1" type="noConversion"/>
  </si>
  <si>
    <t>June-August of 2005-2013</t>
    <phoneticPr fontId="1" type="noConversion"/>
  </si>
  <si>
    <t>Indonesia</t>
    <phoneticPr fontId="1" type="noConversion"/>
  </si>
  <si>
    <t>Tropical</t>
    <phoneticPr fontId="1" type="noConversion"/>
  </si>
  <si>
    <t>WFPS, %</t>
    <phoneticPr fontId="1" type="noConversion"/>
  </si>
  <si>
    <t>Canada</t>
    <phoneticPr fontId="1" type="noConversion"/>
  </si>
  <si>
    <t>69.4285° W</t>
    <phoneticPr fontId="1" type="noConversion"/>
  </si>
  <si>
    <t>Peatland (bog)</t>
    <phoneticPr fontId="1" type="noConversion"/>
  </si>
  <si>
    <t>2010/05-2011/03</t>
    <phoneticPr fontId="1" type="noConversion"/>
  </si>
  <si>
    <t>5 times per month</t>
    <phoneticPr fontId="1" type="noConversion"/>
  </si>
  <si>
    <t>Denmark</t>
    <phoneticPr fontId="1" type="noConversion"/>
  </si>
  <si>
    <t xml:space="preserve">9.84° </t>
    <phoneticPr fontId="1" type="noConversion"/>
  </si>
  <si>
    <t>2014/06/10-2015/06/09</t>
    <phoneticPr fontId="1" type="noConversion"/>
  </si>
  <si>
    <t>1-2 week intervals</t>
    <phoneticPr fontId="1" type="noConversion"/>
  </si>
  <si>
    <t>%</t>
    <phoneticPr fontId="1" type="noConversion"/>
  </si>
  <si>
    <t>VWC, %</t>
    <phoneticPr fontId="1" type="noConversion"/>
  </si>
  <si>
    <t>mg N kg-1</t>
    <phoneticPr fontId="1" type="noConversion"/>
  </si>
  <si>
    <t>Dhandapani et al. 2019</t>
    <phoneticPr fontId="1" type="noConversion"/>
  </si>
  <si>
    <t>Malaysia</t>
    <phoneticPr fontId="1" type="noConversion"/>
  </si>
  <si>
    <t>Swamp</t>
    <phoneticPr fontId="1" type="noConversion"/>
  </si>
  <si>
    <t>Ireland</t>
    <phoneticPr fontId="1" type="noConversion"/>
  </si>
  <si>
    <t>Sphagnum mosses</t>
    <phoneticPr fontId="1" type="noConversion"/>
  </si>
  <si>
    <t>biweekly</t>
    <phoneticPr fontId="1" type="noConversion"/>
  </si>
  <si>
    <t>Munir et al. 2015</t>
  </si>
  <si>
    <t>Munir et al. 2015</t>
    <phoneticPr fontId="1" type="noConversion"/>
  </si>
  <si>
    <t>Munir et al. 2014a</t>
    <phoneticPr fontId="1" type="noConversion"/>
  </si>
  <si>
    <t>Karu et al. 2014</t>
    <phoneticPr fontId="1" type="noConversion"/>
  </si>
  <si>
    <t>Estonia</t>
    <phoneticPr fontId="1" type="noConversion"/>
  </si>
  <si>
    <t>Mosses</t>
    <phoneticPr fontId="1" type="noConversion"/>
  </si>
  <si>
    <t>Happell and Chanton, 1993</t>
    <phoneticPr fontId="1" type="noConversion"/>
  </si>
  <si>
    <t>Acer rubrum</t>
    <phoneticPr fontId="1" type="noConversion"/>
  </si>
  <si>
    <t>1990/05-1991/05</t>
    <phoneticPr fontId="1" type="noConversion"/>
  </si>
  <si>
    <t>Lupikis et al. 2017</t>
    <phoneticPr fontId="1" type="noConversion"/>
  </si>
  <si>
    <t>Agriculture</t>
    <phoneticPr fontId="1" type="noConversion"/>
  </si>
  <si>
    <t>Lativia</t>
    <phoneticPr fontId="1" type="noConversion"/>
  </si>
  <si>
    <t>56.864°</t>
    <phoneticPr fontId="1" type="noConversion"/>
  </si>
  <si>
    <t>23.925°</t>
    <phoneticPr fontId="1" type="noConversion"/>
  </si>
  <si>
    <t>Finland</t>
    <phoneticPr fontId="1" type="noConversion"/>
  </si>
  <si>
    <t>Martikainen et al. 1995</t>
    <phoneticPr fontId="1" type="noConversion"/>
  </si>
  <si>
    <t>1-4 times monthly</t>
    <phoneticPr fontId="1" type="noConversion"/>
  </si>
  <si>
    <t>Kim et al. 2008</t>
    <phoneticPr fontId="1" type="noConversion"/>
  </si>
  <si>
    <t>gene No. per g-1 dry soil</t>
    <phoneticPr fontId="1" type="noConversion"/>
  </si>
  <si>
    <t>Riparian</t>
    <phoneticPr fontId="1" type="noConversion"/>
  </si>
  <si>
    <t>Sphagnum papillosum</t>
    <phoneticPr fontId="1" type="noConversion"/>
  </si>
  <si>
    <t>Sphagnum spp</t>
    <phoneticPr fontId="1" type="noConversion"/>
  </si>
  <si>
    <t>UK</t>
    <phoneticPr fontId="1" type="noConversion"/>
  </si>
  <si>
    <t>mV</t>
    <phoneticPr fontId="1" type="noConversion"/>
  </si>
  <si>
    <t>Hirano et al. 2009</t>
    <phoneticPr fontId="1" type="noConversion"/>
  </si>
  <si>
    <t>CO2 daily, CH4 once per week</t>
    <phoneticPr fontId="1" type="noConversion"/>
  </si>
  <si>
    <t>Palmer et al. 2016</t>
    <phoneticPr fontId="1" type="noConversion"/>
  </si>
  <si>
    <t>Germany</t>
    <phoneticPr fontId="1" type="noConversion"/>
  </si>
  <si>
    <t>Nutrient supply type</t>
    <phoneticPr fontId="1" type="noConversion"/>
  </si>
  <si>
    <t>minerotrophic</t>
    <phoneticPr fontId="1" type="noConversion"/>
  </si>
  <si>
    <t>2-4 times per month</t>
    <phoneticPr fontId="1" type="noConversion"/>
  </si>
  <si>
    <t>Martikainen et al. 1993</t>
    <phoneticPr fontId="1" type="noConversion"/>
  </si>
  <si>
    <t>ombrotrophic</t>
    <phoneticPr fontId="1" type="noConversion"/>
  </si>
  <si>
    <t>Pleurozium schreberi</t>
    <phoneticPr fontId="1" type="noConversion"/>
  </si>
  <si>
    <t>C/N</t>
    <phoneticPr fontId="1" type="noConversion"/>
  </si>
  <si>
    <t>Urbanová et al. 2011</t>
    <phoneticPr fontId="1" type="noConversion"/>
  </si>
  <si>
    <t>Czech Republic</t>
    <phoneticPr fontId="1" type="noConversion"/>
  </si>
  <si>
    <t>Vaccinium uliginosum</t>
    <phoneticPr fontId="1" type="noConversion"/>
  </si>
  <si>
    <t>Carex rostrata</t>
    <phoneticPr fontId="1" type="noConversion"/>
  </si>
  <si>
    <t>mg L-1</t>
    <phoneticPr fontId="1" type="noConversion"/>
  </si>
  <si>
    <t>μg L-1</t>
    <phoneticPr fontId="1" type="noConversion"/>
  </si>
  <si>
    <t>Adji et al. 2014</t>
    <phoneticPr fontId="1" type="noConversion"/>
  </si>
  <si>
    <t>Typic Tropofibrists</t>
  </si>
  <si>
    <t>mg N L-1</t>
    <phoneticPr fontId="1" type="noConversion"/>
  </si>
  <si>
    <t>μmol L-1</t>
    <phoneticPr fontId="1" type="noConversion"/>
  </si>
  <si>
    <t>Strack et al. 2004</t>
    <phoneticPr fontId="1" type="noConversion"/>
  </si>
  <si>
    <t>Polytrichum strictum</t>
    <phoneticPr fontId="1" type="noConversion"/>
  </si>
  <si>
    <t>2001/06-2002/03</t>
    <phoneticPr fontId="1" type="noConversion"/>
  </si>
  <si>
    <t>Microtopography</t>
    <phoneticPr fontId="1" type="noConversion"/>
  </si>
  <si>
    <t>overall</t>
    <phoneticPr fontId="1" type="noConversion"/>
  </si>
  <si>
    <t>Sphagnum rubellum</t>
  </si>
  <si>
    <t>Sphagnum papillosum</t>
  </si>
  <si>
    <t>Yang et al. 2013</t>
    <phoneticPr fontId="1" type="noConversion"/>
  </si>
  <si>
    <t>3-month</t>
    <phoneticPr fontId="1" type="noConversion"/>
  </si>
  <si>
    <t>hummock</t>
    <phoneticPr fontId="1" type="noConversion"/>
  </si>
  <si>
    <t>lawn</t>
    <phoneticPr fontId="1" type="noConversion"/>
  </si>
  <si>
    <t>Deyeucia angustifolia</t>
  </si>
  <si>
    <t>Gley soil</t>
    <phoneticPr fontId="1" type="noConversion"/>
  </si>
  <si>
    <t>weekly</t>
    <phoneticPr fontId="1" type="noConversion"/>
  </si>
  <si>
    <t>Laine et al. 1996</t>
    <phoneticPr fontId="1" type="noConversion"/>
  </si>
  <si>
    <t>once per week</t>
  </si>
  <si>
    <t>WHC, %</t>
    <phoneticPr fontId="1" type="noConversion"/>
  </si>
  <si>
    <t>Johnson et al. 1996</t>
    <phoneticPr fontId="1" type="noConversion"/>
  </si>
  <si>
    <t>Tundra</t>
    <phoneticPr fontId="1" type="noConversion"/>
  </si>
  <si>
    <t>Eriophorum vaginatum</t>
    <phoneticPr fontId="1" type="noConversion"/>
  </si>
  <si>
    <t>Sphagnum spp.</t>
    <phoneticPr fontId="1" type="noConversion"/>
  </si>
  <si>
    <t>Sphagnum fallax</t>
  </si>
  <si>
    <t>Tangen et al. 2015</t>
    <phoneticPr fontId="1" type="noConversion"/>
  </si>
  <si>
    <t>Mg ha-1</t>
    <phoneticPr fontId="1" type="noConversion"/>
  </si>
  <si>
    <t>2005/6/1-10/31</t>
    <phoneticPr fontId="1" type="noConversion"/>
  </si>
  <si>
    <t>2006/4/5-9/27</t>
    <phoneticPr fontId="1" type="noConversion"/>
  </si>
  <si>
    <t>2007/4/11-9/14</t>
    <phoneticPr fontId="1" type="noConversion"/>
  </si>
  <si>
    <t>2008/4/2-8/22</t>
    <phoneticPr fontId="1" type="noConversion"/>
  </si>
  <si>
    <t>48.28°</t>
    <phoneticPr fontId="1" type="noConversion"/>
  </si>
  <si>
    <t>98.87° W</t>
    <phoneticPr fontId="1" type="noConversion"/>
  </si>
  <si>
    <t>48.23°</t>
    <phoneticPr fontId="1" type="noConversion"/>
  </si>
  <si>
    <t>98.53° W</t>
    <phoneticPr fontId="1" type="noConversion"/>
  </si>
  <si>
    <t>48.07°</t>
    <phoneticPr fontId="1" type="noConversion"/>
  </si>
  <si>
    <t>98.51° W</t>
    <phoneticPr fontId="1" type="noConversion"/>
  </si>
  <si>
    <t>48.16°</t>
    <phoneticPr fontId="1" type="noConversion"/>
  </si>
  <si>
    <t>98.44° W</t>
    <phoneticPr fontId="1" type="noConversion"/>
  </si>
  <si>
    <t>47.70°</t>
    <phoneticPr fontId="1" type="noConversion"/>
  </si>
  <si>
    <t>99.15° W</t>
    <phoneticPr fontId="1" type="noConversion"/>
  </si>
  <si>
    <t>47.49°</t>
    <phoneticPr fontId="1" type="noConversion"/>
  </si>
  <si>
    <t>98.77° W</t>
    <phoneticPr fontId="1" type="noConversion"/>
  </si>
  <si>
    <t>47.40°</t>
    <phoneticPr fontId="1" type="noConversion"/>
  </si>
  <si>
    <t>98.41° W</t>
    <phoneticPr fontId="1" type="noConversion"/>
  </si>
  <si>
    <t>47.35°</t>
    <phoneticPr fontId="1" type="noConversion"/>
  </si>
  <si>
    <t>98.20° W</t>
    <phoneticPr fontId="1" type="noConversion"/>
  </si>
  <si>
    <t>47.67°</t>
    <phoneticPr fontId="1" type="noConversion"/>
  </si>
  <si>
    <t>96.31° W</t>
    <phoneticPr fontId="1" type="noConversion"/>
  </si>
  <si>
    <t>46.58°</t>
    <phoneticPr fontId="1" type="noConversion"/>
  </si>
  <si>
    <t>96.15° W</t>
    <phoneticPr fontId="1" type="noConversion"/>
  </si>
  <si>
    <t>46.06°</t>
    <phoneticPr fontId="1" type="noConversion"/>
  </si>
  <si>
    <t>96.22° W</t>
    <phoneticPr fontId="1" type="noConversion"/>
  </si>
  <si>
    <t>45.93°</t>
    <phoneticPr fontId="1" type="noConversion"/>
  </si>
  <si>
    <t>96.00° W</t>
    <phoneticPr fontId="1" type="noConversion"/>
  </si>
  <si>
    <t>43.15°</t>
    <phoneticPr fontId="1" type="noConversion"/>
  </si>
  <si>
    <t>95.17° W</t>
    <phoneticPr fontId="1" type="noConversion"/>
  </si>
  <si>
    <t>42.96°</t>
    <phoneticPr fontId="1" type="noConversion"/>
  </si>
  <si>
    <t>94.88° W</t>
    <phoneticPr fontId="1" type="noConversion"/>
  </si>
  <si>
    <t>43.03°</t>
    <phoneticPr fontId="1" type="noConversion"/>
  </si>
  <si>
    <t>94.40° W</t>
    <phoneticPr fontId="1" type="noConversion"/>
  </si>
  <si>
    <t>93.76° W</t>
    <phoneticPr fontId="1" type="noConversion"/>
  </si>
  <si>
    <t>Gao et al. 2014</t>
    <phoneticPr fontId="1" type="noConversion"/>
  </si>
  <si>
    <t>6-week</t>
    <phoneticPr fontId="1" type="noConversion"/>
  </si>
  <si>
    <t>4 day-interval</t>
    <phoneticPr fontId="1" type="noConversion"/>
  </si>
  <si>
    <t>Soil texture</t>
    <phoneticPr fontId="1" type="noConversion"/>
  </si>
  <si>
    <t>Sand</t>
    <phoneticPr fontId="1" type="noConversion"/>
  </si>
  <si>
    <t>Loam</t>
    <phoneticPr fontId="1" type="noConversion"/>
  </si>
  <si>
    <t>Sulfate</t>
    <phoneticPr fontId="1" type="noConversion"/>
  </si>
  <si>
    <t>Acetate</t>
    <phoneticPr fontId="1" type="noConversion"/>
  </si>
  <si>
    <t>Iron (II)</t>
    <phoneticPr fontId="1" type="noConversion"/>
  </si>
  <si>
    <t>Yang et al. 2014</t>
    <phoneticPr fontId="1" type="noConversion"/>
  </si>
  <si>
    <t>5-month</t>
    <phoneticPr fontId="1" type="noConversion"/>
  </si>
  <si>
    <t>Carex muliensis</t>
    <phoneticPr fontId="1" type="noConversion"/>
  </si>
  <si>
    <t>Pearson et al. 2015</t>
    <phoneticPr fontId="1" type="noConversion"/>
  </si>
  <si>
    <t>1-month</t>
    <phoneticPr fontId="1" type="noConversion"/>
  </si>
  <si>
    <t>2-month</t>
    <phoneticPr fontId="1" type="noConversion"/>
  </si>
  <si>
    <t>Carex Sphagnul</t>
    <phoneticPr fontId="1" type="noConversion"/>
  </si>
  <si>
    <t>Danevcic et al. 2010</t>
    <phoneticPr fontId="1" type="noConversion"/>
  </si>
  <si>
    <t>Slovenia</t>
  </si>
  <si>
    <t>2005/6-2006/8</t>
    <phoneticPr fontId="1" type="noConversion"/>
  </si>
  <si>
    <t>Von Arnold et al. 2005a</t>
    <phoneticPr fontId="1" type="noConversion"/>
  </si>
  <si>
    <t>Sweden</t>
    <phoneticPr fontId="1" type="noConversion"/>
  </si>
  <si>
    <t>2000/9-2001/9</t>
    <phoneticPr fontId="1" type="noConversion"/>
  </si>
  <si>
    <t>2001/9-2002/9</t>
    <phoneticPr fontId="1" type="noConversion"/>
  </si>
  <si>
    <t>Von Arnold et al. 2005b</t>
    <phoneticPr fontId="1" type="noConversion"/>
  </si>
  <si>
    <t>Salm et al. 2012</t>
    <phoneticPr fontId="1" type="noConversion"/>
  </si>
  <si>
    <t>monthly</t>
    <phoneticPr fontId="1" type="noConversion"/>
  </si>
  <si>
    <t>Maljanen et al. 2010</t>
    <phoneticPr fontId="1" type="noConversion"/>
  </si>
  <si>
    <t>Hergoualc’h and Verchot, 2014</t>
    <phoneticPr fontId="1" type="noConversion"/>
  </si>
  <si>
    <t>Ma et al. 2018</t>
    <phoneticPr fontId="1" type="noConversion"/>
  </si>
  <si>
    <t>Kobresia tibetica</t>
  </si>
  <si>
    <t>2013/5-2014/5</t>
    <phoneticPr fontId="1" type="noConversion"/>
  </si>
  <si>
    <t>2014/5-2015/5</t>
    <phoneticPr fontId="1" type="noConversion"/>
  </si>
  <si>
    <t>Valbuena-Parralejo et al. 2019</t>
    <phoneticPr fontId="1" type="noConversion"/>
  </si>
  <si>
    <t>2014/6/26-2015/7/25</t>
    <phoneticPr fontId="1" type="noConversion"/>
  </si>
  <si>
    <t>t C ha-1</t>
    <phoneticPr fontId="1" type="noConversion"/>
  </si>
  <si>
    <t>Eutric gleysol</t>
    <phoneticPr fontId="1" type="noConversion"/>
  </si>
  <si>
    <t>t DM ha-1 yr-1</t>
    <phoneticPr fontId="1" type="noConversion"/>
  </si>
  <si>
    <t>t N ha-1 yr-1</t>
    <phoneticPr fontId="1" type="noConversion"/>
  </si>
  <si>
    <t>Hu et al. 2017</t>
    <phoneticPr fontId="1" type="noConversion"/>
  </si>
  <si>
    <t>168-day</t>
    <phoneticPr fontId="1" type="noConversion"/>
  </si>
  <si>
    <t>Saccharum spp.</t>
    <phoneticPr fontId="1" type="noConversion"/>
  </si>
  <si>
    <t>Koskinene et al. 2016</t>
    <phoneticPr fontId="1" type="noConversion"/>
  </si>
  <si>
    <t>61.80°</t>
    <phoneticPr fontId="1" type="noConversion"/>
  </si>
  <si>
    <t>24.30°</t>
    <phoneticPr fontId="1" type="noConversion"/>
  </si>
  <si>
    <t>Vaccinium myrtillus</t>
    <phoneticPr fontId="1" type="noConversion"/>
  </si>
  <si>
    <t>Iron (III)</t>
    <phoneticPr fontId="1" type="noConversion"/>
  </si>
  <si>
    <t>Hribljan et al. 2017</t>
    <phoneticPr fontId="1" type="noConversion"/>
  </si>
  <si>
    <t>Sphagnum fallax</t>
    <phoneticPr fontId="1" type="noConversion"/>
  </si>
  <si>
    <t>ng N g-1</t>
    <phoneticPr fontId="1" type="noConversion"/>
  </si>
  <si>
    <t>Chimner and Copper, 2003</t>
    <phoneticPr fontId="1" type="noConversion"/>
  </si>
  <si>
    <t>2009/07-2011/03</t>
    <phoneticPr fontId="1" type="noConversion"/>
  </si>
  <si>
    <t>mg C kg-1 soil</t>
    <phoneticPr fontId="1" type="noConversion"/>
  </si>
  <si>
    <t>deciduous forest</t>
    <phoneticPr fontId="1" type="noConversion"/>
  </si>
  <si>
    <t>Swails et al. 2019</t>
    <phoneticPr fontId="1" type="noConversion"/>
  </si>
  <si>
    <t>2.83° S</t>
    <phoneticPr fontId="1" type="noConversion"/>
  </si>
  <si>
    <t>111.81°</t>
    <phoneticPr fontId="1" type="noConversion"/>
  </si>
  <si>
    <t>Muhr et al. 2011</t>
    <phoneticPr fontId="1" type="noConversion"/>
  </si>
  <si>
    <t>2007/01-2008/01</t>
    <phoneticPr fontId="1" type="noConversion"/>
  </si>
  <si>
    <t>2008/01-2009/01</t>
    <phoneticPr fontId="1" type="noConversion"/>
  </si>
  <si>
    <t>Zhou et al. 2017</t>
    <phoneticPr fontId="1" type="noConversion"/>
  </si>
  <si>
    <t>Permanently/seasonally flooded</t>
    <phoneticPr fontId="1" type="noConversion"/>
  </si>
  <si>
    <t>permanently</t>
    <phoneticPr fontId="1" type="noConversion"/>
  </si>
  <si>
    <t>seasonally</t>
    <phoneticPr fontId="1" type="noConversion"/>
  </si>
  <si>
    <t>Kobresia tibetica</t>
    <phoneticPr fontId="1" type="noConversion"/>
  </si>
  <si>
    <t>Brazil</t>
    <phoneticPr fontId="1" type="noConversion"/>
  </si>
  <si>
    <t>2010/9/10-2011/9/26</t>
    <phoneticPr fontId="1" type="noConversion"/>
  </si>
  <si>
    <t>Function group</t>
    <phoneticPr fontId="1" type="noConversion"/>
  </si>
  <si>
    <t>Cyperaceae</t>
    <phoneticPr fontId="1" type="noConversion"/>
  </si>
  <si>
    <t>Peat moss</t>
    <phoneticPr fontId="1" type="noConversion"/>
  </si>
  <si>
    <t>Shrub</t>
    <phoneticPr fontId="1" type="noConversion"/>
  </si>
  <si>
    <t>Graminoid</t>
    <phoneticPr fontId="1" type="noConversion"/>
  </si>
  <si>
    <t>Sphagnum cuspidatum</t>
    <phoneticPr fontId="1" type="noConversion"/>
  </si>
  <si>
    <t>graminoid</t>
    <phoneticPr fontId="1" type="noConversion"/>
  </si>
  <si>
    <t>Juncus spp.</t>
    <phoneticPr fontId="1" type="noConversion"/>
  </si>
  <si>
    <t>Drainage intensity</t>
    <phoneticPr fontId="1" type="noConversion"/>
  </si>
  <si>
    <t>Deng et al. 2015</t>
    <phoneticPr fontId="1" type="noConversion"/>
  </si>
  <si>
    <t xml:space="preserve">64.82° </t>
    <phoneticPr fontId="1" type="noConversion"/>
  </si>
  <si>
    <t>147.87° W</t>
    <phoneticPr fontId="1" type="noConversion"/>
  </si>
  <si>
    <t>Turetsky et al. 2008</t>
    <phoneticPr fontId="1" type="noConversion"/>
  </si>
  <si>
    <t>Moss and Sphagnum</t>
    <phoneticPr fontId="1" type="noConversion"/>
  </si>
  <si>
    <t>femtogram mcr/g dry soil</t>
    <phoneticPr fontId="1" type="noConversion"/>
  </si>
  <si>
    <t>Koeleria tibetica, Carex Muliensis</t>
    <phoneticPr fontId="1" type="noConversion"/>
  </si>
  <si>
    <t>Lolium perenne and Trifolium repens</t>
    <phoneticPr fontId="1" type="noConversion"/>
  </si>
  <si>
    <t>Carex rostrata and S. flexuosum</t>
    <phoneticPr fontId="1" type="noConversion"/>
  </si>
  <si>
    <t>Trichophorum cespitosum, Eriophorum vaginatum and Carex limosa</t>
    <phoneticPr fontId="1" type="noConversion"/>
  </si>
  <si>
    <t>Carex pamirensis</t>
    <phoneticPr fontId="1" type="noConversion"/>
  </si>
  <si>
    <t>Chimner et al. 2016</t>
    <phoneticPr fontId="1" type="noConversion"/>
  </si>
  <si>
    <t>Sphagnum angustifolium</t>
    <phoneticPr fontId="1" type="noConversion"/>
  </si>
  <si>
    <t>Half hour</t>
    <phoneticPr fontId="1" type="noConversion"/>
  </si>
  <si>
    <t>Eddy covariance</t>
    <phoneticPr fontId="1" type="noConversion"/>
  </si>
  <si>
    <t>Wilson et al. 2016</t>
    <phoneticPr fontId="1" type="noConversion"/>
  </si>
  <si>
    <t>Juncus effusus, Sphagnumcu spidatum</t>
    <phoneticPr fontId="1" type="noConversion"/>
  </si>
  <si>
    <t>2012, 2013</t>
    <phoneticPr fontId="1" type="noConversion"/>
  </si>
  <si>
    <t>Eickenscheidt et al. 2014</t>
    <phoneticPr fontId="1" type="noConversion"/>
  </si>
  <si>
    <t>Fluvisol</t>
    <phoneticPr fontId="1" type="noConversion"/>
  </si>
  <si>
    <t>2010/12-2012/01</t>
    <phoneticPr fontId="1" type="noConversion"/>
  </si>
  <si>
    <t>Jauhiainen et al. 2012</t>
    <phoneticPr fontId="1" type="noConversion"/>
  </si>
  <si>
    <t>2001-2002</t>
    <phoneticPr fontId="1" type="noConversion"/>
  </si>
  <si>
    <t>Berryman et al. 2009</t>
    <phoneticPr fontId="1" type="noConversion"/>
  </si>
  <si>
    <t>Kwon et al. 2017</t>
    <phoneticPr fontId="1" type="noConversion"/>
  </si>
  <si>
    <t>Russia</t>
    <phoneticPr fontId="1" type="noConversion"/>
  </si>
  <si>
    <t>Carex appendiculata, Eriophorum angustifolium</t>
    <phoneticPr fontId="1" type="noConversion"/>
  </si>
  <si>
    <t>Clay</t>
    <phoneticPr fontId="1" type="noConversion"/>
  </si>
  <si>
    <t>Season</t>
    <phoneticPr fontId="1" type="noConversion"/>
  </si>
  <si>
    <t>Growing season</t>
    <phoneticPr fontId="1" type="noConversion"/>
  </si>
  <si>
    <t>wet</t>
    <phoneticPr fontId="1" type="noConversion"/>
  </si>
  <si>
    <t>2013/07/24-08/10</t>
    <phoneticPr fontId="1" type="noConversion"/>
  </si>
  <si>
    <t>2014/06/20-08/20</t>
    <phoneticPr fontId="1" type="noConversion"/>
  </si>
  <si>
    <t>Non-growing season</t>
    <phoneticPr fontId="1" type="noConversion"/>
  </si>
  <si>
    <t>2013/11/1-11/30</t>
    <phoneticPr fontId="1" type="noConversion"/>
  </si>
  <si>
    <t>Mustamo et al. 2016</t>
    <phoneticPr fontId="1" type="noConversion"/>
  </si>
  <si>
    <t>71.53°</t>
    <phoneticPr fontId="1" type="noConversion"/>
  </si>
  <si>
    <t>47.02°</t>
    <phoneticPr fontId="1" type="noConversion"/>
  </si>
  <si>
    <t>/</t>
  </si>
  <si>
    <t>0-15</t>
    <phoneticPr fontId="1" type="noConversion"/>
  </si>
  <si>
    <t>Soil depth (cm)</t>
    <phoneticPr fontId="1" type="noConversion"/>
  </si>
  <si>
    <t>45-60</t>
    <phoneticPr fontId="1" type="noConversion"/>
  </si>
  <si>
    <t>0-5</t>
    <phoneticPr fontId="1" type="noConversion"/>
  </si>
  <si>
    <t>40-60</t>
    <phoneticPr fontId="1" type="noConversion"/>
  </si>
  <si>
    <t>Regina et al. 1999</t>
    <phoneticPr fontId="1" type="noConversion"/>
  </si>
  <si>
    <t>7-month</t>
    <phoneticPr fontId="1" type="noConversion"/>
  </si>
  <si>
    <t>hollow</t>
    <phoneticPr fontId="1" type="noConversion"/>
  </si>
  <si>
    <t>Betula nana, Carex lasiocarpa, Andromeda polifolia</t>
    <phoneticPr fontId="1" type="noConversion"/>
  </si>
  <si>
    <t>Sphagnum fuscum, Sphagnum angustifolium, Eriophorum vaginatum</t>
    <phoneticPr fontId="1" type="noConversion"/>
  </si>
  <si>
    <t>Sphagnum majus, Sphagnum balticum, Sphagnum angustifolium</t>
    <phoneticPr fontId="1" type="noConversion"/>
  </si>
  <si>
    <t>1994/12-1995/6</t>
    <phoneticPr fontId="1" type="noConversion"/>
  </si>
  <si>
    <t>0-35</t>
    <phoneticPr fontId="1" type="noConversion"/>
  </si>
  <si>
    <t>0-30</t>
    <phoneticPr fontId="1" type="noConversion"/>
  </si>
  <si>
    <t>Yamulki et al. 2013</t>
    <phoneticPr fontId="1" type="noConversion"/>
  </si>
  <si>
    <t>2008/02-2009/02</t>
    <phoneticPr fontId="1" type="noConversion"/>
  </si>
  <si>
    <t>2009/02-2009/12</t>
    <phoneticPr fontId="1" type="noConversion"/>
  </si>
  <si>
    <t>Annual</t>
    <phoneticPr fontId="1" type="noConversion"/>
  </si>
  <si>
    <t>0-10</t>
    <phoneticPr fontId="1" type="noConversion"/>
  </si>
  <si>
    <t>mg l-1</t>
  </si>
  <si>
    <t>0-100</t>
    <phoneticPr fontId="1" type="noConversion"/>
  </si>
  <si>
    <t>Yrjälä et al. 2017</t>
    <phoneticPr fontId="1" type="noConversion"/>
  </si>
  <si>
    <t>Sphagnum fuscum, Sphagnum rubellum</t>
    <phoneticPr fontId="1" type="noConversion"/>
  </si>
  <si>
    <t>Histosol</t>
  </si>
  <si>
    <t>2008-2009</t>
    <phoneticPr fontId="1" type="noConversion"/>
  </si>
  <si>
    <t>Cao et al. 2018</t>
    <phoneticPr fontId="1" type="noConversion"/>
  </si>
  <si>
    <t>Scirpus pumilus, Blysmus sinocompressus, Carex muliensis, Kobresia humilis</t>
  </si>
  <si>
    <t>2013/08-2016/12</t>
    <phoneticPr fontId="1" type="noConversion"/>
  </si>
  <si>
    <t>Mojeremane et al. 2012</t>
    <phoneticPr fontId="1" type="noConversion"/>
  </si>
  <si>
    <t>England</t>
    <phoneticPr fontId="1" type="noConversion"/>
  </si>
  <si>
    <t>Festuca ovina, Deschampsia flexusosa</t>
    <phoneticPr fontId="1" type="noConversion"/>
  </si>
  <si>
    <t>Peaty gley</t>
    <phoneticPr fontId="1" type="noConversion"/>
  </si>
  <si>
    <t>2006/06-2007/06</t>
    <phoneticPr fontId="1" type="noConversion"/>
  </si>
  <si>
    <t>2007/06-2008/06</t>
    <phoneticPr fontId="1" type="noConversion"/>
  </si>
  <si>
    <t>Ishikura et al. 2018</t>
    <phoneticPr fontId="1" type="noConversion"/>
  </si>
  <si>
    <t>Shorea balangeran (Korth.) Burck, C. rotundatus, Xanthophyllum eurhynchu</t>
    <phoneticPr fontId="1" type="noConversion"/>
  </si>
  <si>
    <t>Haplofibrist</t>
  </si>
  <si>
    <t>0-4</t>
    <phoneticPr fontId="1" type="noConversion"/>
  </si>
  <si>
    <t>Carex lasiocarpa, Carex chordorrhiza, and Carex limosa</t>
  </si>
  <si>
    <t>Carex rostrata</t>
  </si>
  <si>
    <t>Cyperaceae</t>
  </si>
  <si>
    <t>Henneberg et al. 2015</t>
    <phoneticPr fontId="1" type="noConversion"/>
  </si>
  <si>
    <t>Juncus effuus</t>
    <phoneticPr fontId="1" type="noConversion"/>
  </si>
  <si>
    <t>daily</t>
    <phoneticPr fontId="1" type="noConversion"/>
  </si>
  <si>
    <t>0.3-10</t>
    <phoneticPr fontId="1" type="noConversion"/>
  </si>
  <si>
    <t>0-20</t>
    <phoneticPr fontId="1" type="noConversion"/>
  </si>
  <si>
    <t xml:space="preserve">only once </t>
    <phoneticPr fontId="1" type="noConversion"/>
  </si>
  <si>
    <t>Dommain et al. 2018</t>
    <phoneticPr fontId="1" type="noConversion"/>
  </si>
  <si>
    <t>Silvola et al. 1996</t>
    <phoneticPr fontId="1" type="noConversion"/>
  </si>
  <si>
    <t>Sedges</t>
    <phoneticPr fontId="1" type="noConversion"/>
  </si>
  <si>
    <t>Sphagnum fuscum</t>
    <phoneticPr fontId="1" type="noConversion"/>
  </si>
  <si>
    <t>Hirano et al. 2012</t>
    <phoneticPr fontId="1" type="noConversion"/>
  </si>
  <si>
    <t>2.32° S</t>
    <phoneticPr fontId="1" type="noConversion"/>
  </si>
  <si>
    <t>113.90°</t>
    <phoneticPr fontId="1" type="noConversion"/>
  </si>
  <si>
    <t>Combretocarpus rotundatus, Cratoxylum arborescens, Buchanania sessifolia, and Tetramerista glabra</t>
    <phoneticPr fontId="1" type="noConversion"/>
  </si>
  <si>
    <t>2004-2005</t>
    <phoneticPr fontId="1" type="noConversion"/>
  </si>
  <si>
    <t>2005-2006</t>
    <phoneticPr fontId="1" type="noConversion"/>
  </si>
  <si>
    <t>2006-2007</t>
    <phoneticPr fontId="1" type="noConversion"/>
  </si>
  <si>
    <t>2007-2008</t>
    <phoneticPr fontId="1" type="noConversion"/>
  </si>
  <si>
    <t>Blodau et al. 2003</t>
    <phoneticPr fontId="1" type="noConversion"/>
  </si>
  <si>
    <t>Sphagnum capillifolium, Sphagnum angustifolium, Sphagnum magellanicum and Polytrichum strictum</t>
    <phoneticPr fontId="1" type="noConversion"/>
  </si>
  <si>
    <t>Regina et al. 1996</t>
    <phoneticPr fontId="1" type="noConversion"/>
  </si>
  <si>
    <r>
      <t>61°47′</t>
    </r>
    <r>
      <rPr>
        <sz val="12"/>
        <color theme="1"/>
        <rFont val="宋体"/>
        <family val="3"/>
        <charset val="134"/>
      </rPr>
      <t/>
    </r>
  </si>
  <si>
    <r>
      <t>24°18′</t>
    </r>
    <r>
      <rPr>
        <sz val="12"/>
        <color theme="1"/>
        <rFont val="宋体"/>
        <family val="3"/>
        <charset val="134"/>
      </rPr>
      <t/>
    </r>
  </si>
  <si>
    <t>μg cm-3</t>
    <phoneticPr fontId="1" type="noConversion"/>
  </si>
  <si>
    <t>Funk et al. 1994</t>
    <phoneticPr fontId="1" type="noConversion"/>
  </si>
  <si>
    <t>Sphagnum angustifolium and Aulacomnium palustre</t>
    <phoneticPr fontId="1" type="noConversion"/>
  </si>
  <si>
    <t>Ballantyne et al. 2014</t>
    <phoneticPr fontId="1" type="noConversion"/>
  </si>
  <si>
    <t>Chamaedaphne calyculata, Ledum groenlandicum,</t>
  </si>
  <si>
    <t>2009-2010</t>
    <phoneticPr fontId="1" type="noConversion"/>
  </si>
  <si>
    <t>Hughes et al. 1999</t>
    <phoneticPr fontId="1" type="noConversion"/>
  </si>
  <si>
    <t>Juncun and Sphagnum fuscum</t>
    <phoneticPr fontId="1" type="noConversion"/>
  </si>
  <si>
    <t>Roulet et al. 1993</t>
    <phoneticPr fontId="1" type="noConversion"/>
  </si>
  <si>
    <t>1991/5/12-10/23</t>
    <phoneticPr fontId="1" type="noConversion"/>
  </si>
  <si>
    <t>10-day interval</t>
    <phoneticPr fontId="1" type="noConversion"/>
  </si>
  <si>
    <t>Warnstorfia exannulates</t>
    <phoneticPr fontId="1" type="noConversion"/>
  </si>
  <si>
    <t>S. russowii, Potentilla fruticosa</t>
    <phoneticPr fontId="1" type="noConversion"/>
  </si>
  <si>
    <t>Sphagnum angutifolium</t>
    <phoneticPr fontId="1" type="noConversion"/>
  </si>
  <si>
    <t>Pleurozium schreberi</t>
  </si>
  <si>
    <t>Nykanen et al. 1998</t>
    <phoneticPr fontId="1" type="noConversion"/>
  </si>
  <si>
    <t>Empetrum nigrum, Eriophorum vaginatum</t>
  </si>
  <si>
    <t>Empetrum nigrum, Eriophorum vaginatum</t>
    <phoneticPr fontId="1" type="noConversion"/>
  </si>
  <si>
    <t>Betula nana, Carex lasiocarpa</t>
    <phoneticPr fontId="1" type="noConversion"/>
  </si>
  <si>
    <t>Eriophorum vaginatum, Picea abies</t>
  </si>
  <si>
    <t>Eriophorum vaginatum, Picea abies</t>
    <phoneticPr fontId="1" type="noConversion"/>
  </si>
  <si>
    <t>Nykanen et al. 1999</t>
  </si>
  <si>
    <r>
      <t>62°47′</t>
    </r>
    <r>
      <rPr>
        <sz val="12"/>
        <color theme="1"/>
        <rFont val="宋体"/>
        <family val="3"/>
        <charset val="134"/>
      </rPr>
      <t/>
    </r>
  </si>
  <si>
    <r>
      <t>29°51′</t>
    </r>
    <r>
      <rPr>
        <sz val="12"/>
        <color theme="1"/>
        <rFont val="宋体"/>
        <family val="3"/>
        <charset val="134"/>
      </rPr>
      <t/>
    </r>
  </si>
  <si>
    <t>Betula nana</t>
    <phoneticPr fontId="1" type="noConversion"/>
  </si>
  <si>
    <t>Jaatinen et al. 2005</t>
    <phoneticPr fontId="1" type="noConversion"/>
  </si>
  <si>
    <t>No. bands</t>
    <phoneticPr fontId="1" type="noConversion"/>
  </si>
  <si>
    <t>Grünfeld and Brix, 1999</t>
    <phoneticPr fontId="1" type="noConversion"/>
  </si>
  <si>
    <t>Phragmites australis</t>
  </si>
  <si>
    <t>only 4 days</t>
    <phoneticPr fontId="1" type="noConversion"/>
  </si>
  <si>
    <t>5-10</t>
    <phoneticPr fontId="1" type="noConversion"/>
  </si>
  <si>
    <t>10-20</t>
    <phoneticPr fontId="1" type="noConversion"/>
  </si>
  <si>
    <t>20-30</t>
    <phoneticPr fontId="1" type="noConversion"/>
  </si>
  <si>
    <t>Yang et al. 2019</t>
    <phoneticPr fontId="1" type="noConversion"/>
  </si>
  <si>
    <t>Carex mulienses</t>
    <phoneticPr fontId="1" type="noConversion"/>
  </si>
  <si>
    <t>2012/06-2014/12</t>
    <phoneticPr fontId="1" type="noConversion"/>
  </si>
  <si>
    <t>Updegraff et al. 2001</t>
    <phoneticPr fontId="1" type="noConversion"/>
  </si>
  <si>
    <t>Carex lasiocarpa, Carex livida</t>
    <phoneticPr fontId="1" type="noConversion"/>
  </si>
  <si>
    <t>1995/05-1995/10</t>
    <phoneticPr fontId="1" type="noConversion"/>
  </si>
  <si>
    <t>1996/05-1996/10</t>
    <phoneticPr fontId="1" type="noConversion"/>
  </si>
  <si>
    <t>1997/05-1997/10</t>
    <phoneticPr fontId="1" type="noConversion"/>
  </si>
  <si>
    <t>Sphagnum fuscum, Sphagnum capillifolium</t>
    <phoneticPr fontId="1" type="noConversion"/>
  </si>
  <si>
    <t>Kane et al. 2013</t>
    <phoneticPr fontId="1" type="noConversion"/>
  </si>
  <si>
    <t>g kg-1</t>
  </si>
  <si>
    <t>20-25</t>
    <phoneticPr fontId="1" type="noConversion"/>
  </si>
  <si>
    <t>Strack and Waddington, 2007</t>
    <phoneticPr fontId="1" type="noConversion"/>
  </si>
  <si>
    <t>Sphagnum magellanicum, Sphagnum rubellum, Chamaedaphne calyculata, Vaccinium oxycoccus</t>
    <phoneticPr fontId="1" type="noConversion"/>
  </si>
  <si>
    <t>Sphagnum papillosum, Sphagnum majus, Carex oligosperma and Carex limosa</t>
    <phoneticPr fontId="1" type="noConversion"/>
  </si>
  <si>
    <t xml:space="preserve">Gymnocolea inflata, Cladopodiella fluitans </t>
    <phoneticPr fontId="1" type="noConversion"/>
  </si>
  <si>
    <t>2002/06/10-08/31</t>
    <phoneticPr fontId="1" type="noConversion"/>
  </si>
  <si>
    <t>2002/05/12-08/31</t>
    <phoneticPr fontId="1" type="noConversion"/>
  </si>
  <si>
    <t>2002/05/09-08/19</t>
    <phoneticPr fontId="1" type="noConversion"/>
  </si>
  <si>
    <t>Strack et al. 2006</t>
    <phoneticPr fontId="1" type="noConversion"/>
  </si>
  <si>
    <t>2001/07-10</t>
    <phoneticPr fontId="1" type="noConversion"/>
  </si>
  <si>
    <t>2002/05-09</t>
    <phoneticPr fontId="1" type="noConversion"/>
  </si>
  <si>
    <t>Trichophorum cespitosum</t>
    <phoneticPr fontId="1" type="noConversion"/>
  </si>
  <si>
    <t>2009/05/01-10/01</t>
    <phoneticPr fontId="1" type="noConversion"/>
  </si>
  <si>
    <t>Andromeda polifolia</t>
  </si>
  <si>
    <t>2010/05/01-10/01</t>
    <phoneticPr fontId="1" type="noConversion"/>
  </si>
  <si>
    <t>Dowrick et al. 2006</t>
    <phoneticPr fontId="1" type="noConversion"/>
  </si>
  <si>
    <t>Sphagnum and Juncus communities</t>
    <phoneticPr fontId="1" type="noConversion"/>
  </si>
  <si>
    <t>2005</t>
    <phoneticPr fontId="1" type="noConversion"/>
  </si>
  <si>
    <t>1991/05-10</t>
    <phoneticPr fontId="1" type="noConversion"/>
  </si>
  <si>
    <t>Cao et al. 2017</t>
    <phoneticPr fontId="1" type="noConversion"/>
  </si>
  <si>
    <t>2013/01-12</t>
    <phoneticPr fontId="1" type="noConversion"/>
  </si>
  <si>
    <t>2014/01-12</t>
    <phoneticPr fontId="1" type="noConversion"/>
  </si>
  <si>
    <t>2015/01-12</t>
    <phoneticPr fontId="1" type="noConversion"/>
  </si>
  <si>
    <t>2016/01-12</t>
    <phoneticPr fontId="1" type="noConversion"/>
  </si>
  <si>
    <t>2013/05-10</t>
    <phoneticPr fontId="1" type="noConversion"/>
  </si>
  <si>
    <t>2014/05-10</t>
    <phoneticPr fontId="1" type="noConversion"/>
  </si>
  <si>
    <t>2015/05-10</t>
    <phoneticPr fontId="1" type="noConversion"/>
  </si>
  <si>
    <t>Moore and Dalva, 1993</t>
    <phoneticPr fontId="1" type="noConversion"/>
  </si>
  <si>
    <t>Sphagnum</t>
    <phoneticPr fontId="1" type="noConversion"/>
  </si>
  <si>
    <t>Sphagnum fuscum, Sphagnum magellanicum</t>
    <phoneticPr fontId="1" type="noConversion"/>
  </si>
  <si>
    <t>Carex rostrata, Carex Iimosa</t>
    <phoneticPr fontId="1" type="noConversion"/>
  </si>
  <si>
    <t>Betula alleghaniensis, Tsuga canadensis</t>
    <phoneticPr fontId="1" type="noConversion"/>
  </si>
  <si>
    <t>1991</t>
    <phoneticPr fontId="1" type="noConversion"/>
  </si>
  <si>
    <t>Moore and Knowles, 1990</t>
    <phoneticPr fontId="1" type="noConversion"/>
  </si>
  <si>
    <t>Populus deltoides</t>
    <phoneticPr fontId="1" type="noConversion"/>
  </si>
  <si>
    <t>1986-1987</t>
    <phoneticPr fontId="1" type="noConversion"/>
  </si>
  <si>
    <t>Aerts and Ludwig, 1997</t>
    <phoneticPr fontId="1" type="noConversion"/>
  </si>
  <si>
    <t>Netherlands</t>
    <phoneticPr fontId="1" type="noConversion"/>
  </si>
  <si>
    <t>mesotrophic</t>
    <phoneticPr fontId="1" type="noConversion"/>
  </si>
  <si>
    <t>Carex acutiformis</t>
    <phoneticPr fontId="1" type="noConversion"/>
  </si>
  <si>
    <t>Carex lasiocarpa</t>
    <phoneticPr fontId="1" type="noConversion"/>
  </si>
  <si>
    <t>mg P kg soil-1</t>
    <phoneticPr fontId="1" type="noConversion"/>
  </si>
  <si>
    <t>Freeman et al. 1993</t>
    <phoneticPr fontId="1" type="noConversion"/>
  </si>
  <si>
    <t>51.502°</t>
    <phoneticPr fontId="1" type="noConversion"/>
  </si>
  <si>
    <t>3.172° W</t>
    <phoneticPr fontId="1" type="noConversion"/>
  </si>
  <si>
    <t>Alm et al. 1999</t>
    <phoneticPr fontId="1" type="noConversion"/>
  </si>
  <si>
    <t>g kg-2</t>
  </si>
  <si>
    <t>Weekly</t>
    <phoneticPr fontId="1" type="noConversion"/>
  </si>
  <si>
    <t>Mesocosm experiment</t>
    <phoneticPr fontId="1" type="noConversion"/>
  </si>
  <si>
    <t>2014/08/05-10/02</t>
    <phoneticPr fontId="1" type="noConversion"/>
  </si>
  <si>
    <t>2007/06-10</t>
    <phoneticPr fontId="1" type="noConversion"/>
  </si>
  <si>
    <t>2013/6-10</t>
    <phoneticPr fontId="1" type="noConversion"/>
  </si>
  <si>
    <t>2014/5-10</t>
    <phoneticPr fontId="1" type="noConversion"/>
  </si>
  <si>
    <t>2008/08</t>
    <phoneticPr fontId="1" type="noConversion"/>
  </si>
  <si>
    <t>Soil core incubation</t>
    <phoneticPr fontId="1" type="noConversion"/>
  </si>
  <si>
    <t>Betula ovalifolia</t>
    <phoneticPr fontId="1" type="noConversion"/>
  </si>
  <si>
    <t>Dominant plant species in prestine wetland</t>
    <phoneticPr fontId="1" type="noConversion"/>
  </si>
  <si>
    <t>Eriophorum vaginatum, Empetrum nigrum</t>
    <phoneticPr fontId="1" type="noConversion"/>
  </si>
  <si>
    <t>0-25</t>
    <phoneticPr fontId="1" type="noConversion"/>
  </si>
  <si>
    <t>Antisoptera sp. Shorea sp.</t>
    <phoneticPr fontId="1" type="noConversion"/>
  </si>
  <si>
    <t>2016/12-2017/10</t>
    <phoneticPr fontId="1" type="noConversion"/>
  </si>
  <si>
    <t>2011/05/01-10/31</t>
    <phoneticPr fontId="1" type="noConversion"/>
  </si>
  <si>
    <t>2012/05/01-10/31</t>
    <phoneticPr fontId="1" type="noConversion"/>
  </si>
  <si>
    <t>2013/05/01-10/31</t>
    <phoneticPr fontId="1" type="noConversion"/>
  </si>
  <si>
    <t>Rhododendron groenlandicum</t>
    <phoneticPr fontId="1" type="noConversion"/>
  </si>
  <si>
    <t>Sphagnum mosses and lichens</t>
    <phoneticPr fontId="1" type="noConversion"/>
  </si>
  <si>
    <t>0-10</t>
  </si>
  <si>
    <t>Rhododendron groenlandicum, Sphagnum mosses and lichens</t>
    <phoneticPr fontId="1" type="noConversion"/>
  </si>
  <si>
    <t>2009/04-12</t>
    <phoneticPr fontId="1" type="noConversion"/>
  </si>
  <si>
    <t>0.15</t>
    <phoneticPr fontId="1" type="noConversion"/>
  </si>
  <si>
    <t>mg P kg-1</t>
    <phoneticPr fontId="1" type="noConversion"/>
  </si>
  <si>
    <t>Dryopterioso-caricosa</t>
    <phoneticPr fontId="1" type="noConversion"/>
  </si>
  <si>
    <t>20-40</t>
    <phoneticPr fontId="1" type="noConversion"/>
  </si>
  <si>
    <t>2002-2004</t>
    <phoneticPr fontId="1" type="noConversion"/>
  </si>
  <si>
    <t>1991/04-11</t>
    <phoneticPr fontId="1" type="noConversion"/>
  </si>
  <si>
    <t>1992/04-11</t>
    <phoneticPr fontId="1" type="noConversion"/>
  </si>
  <si>
    <t>Sphagnum angustifolium, Sphagnum allax, Sphagnum papillosum</t>
    <phoneticPr fontId="1" type="noConversion"/>
  </si>
  <si>
    <t>Sphagnum angustifolium, Sphagnum fuscum</t>
    <phoneticPr fontId="1" type="noConversion"/>
  </si>
  <si>
    <t>Gene No. per ng-1 DNA</t>
    <phoneticPr fontId="1" type="noConversion"/>
  </si>
  <si>
    <t>Sphagnum papillosum, Sphagnum angustifolium</t>
    <phoneticPr fontId="1" type="noConversion"/>
  </si>
  <si>
    <t>2001/11</t>
    <phoneticPr fontId="1" type="noConversion"/>
  </si>
  <si>
    <t>Trichophorum caespitosum, Andromeda polifolia</t>
    <phoneticPr fontId="1" type="noConversion"/>
  </si>
  <si>
    <t>Tristania whittiana, Combretocarpus rotundatus, Palaquium leiocarpum, Stemonurus scorpioides</t>
  </si>
  <si>
    <t>2011/12-2012/05</t>
    <phoneticPr fontId="1" type="noConversion"/>
  </si>
  <si>
    <t>Sphagnum rubellum, Chamaedaphne calyculata, Carex oligosperma</t>
    <phoneticPr fontId="1" type="noConversion"/>
  </si>
  <si>
    <t>Sphagnum papillosum, Carex limosa</t>
    <phoneticPr fontId="1" type="noConversion"/>
  </si>
  <si>
    <t>Sphagnum cuspidatum, Rhynchospora alba, Scirpus subterminalis</t>
    <phoneticPr fontId="1" type="noConversion"/>
  </si>
  <si>
    <t>2005/7/7-9/27</t>
    <phoneticPr fontId="1" type="noConversion"/>
  </si>
  <si>
    <t>Microcosm</t>
    <phoneticPr fontId="1" type="noConversion"/>
  </si>
  <si>
    <t>1993/05-07</t>
    <phoneticPr fontId="1" type="noConversion"/>
  </si>
  <si>
    <t>N rate (kg N ha-1) in drained wetland</t>
    <phoneticPr fontId="1" type="noConversion"/>
  </si>
  <si>
    <t>Biomass/manure application (t ha-1) in drained wetland</t>
    <phoneticPr fontId="1" type="noConversion"/>
  </si>
  <si>
    <t>Peat depth (m) in pristine wetland</t>
    <phoneticPr fontId="1" type="noConversion"/>
  </si>
  <si>
    <t>2009/6-10</t>
    <phoneticPr fontId="1" type="noConversion"/>
  </si>
  <si>
    <t>Carex muliensis, Caltha palustris, Gentiana formosa</t>
    <phoneticPr fontId="1" type="noConversion"/>
  </si>
  <si>
    <t>06-08 in 2008-2010</t>
    <phoneticPr fontId="1" type="noConversion"/>
  </si>
  <si>
    <t>2009/1-12</t>
    <phoneticPr fontId="1" type="noConversion"/>
  </si>
  <si>
    <t>0-60</t>
    <phoneticPr fontId="1" type="noConversion"/>
  </si>
  <si>
    <t>2011/5/27-10/26</t>
    <phoneticPr fontId="1" type="noConversion"/>
  </si>
  <si>
    <t>2014/1/10-6/10</t>
    <phoneticPr fontId="1" type="noConversion"/>
  </si>
  <si>
    <t>10-30</t>
    <phoneticPr fontId="1" type="noConversion"/>
  </si>
  <si>
    <t>30-40</t>
    <phoneticPr fontId="1" type="noConversion"/>
  </si>
  <si>
    <t>2012/06-09</t>
    <phoneticPr fontId="1" type="noConversion"/>
  </si>
  <si>
    <t>2011/06-11</t>
    <phoneticPr fontId="1" type="noConversion"/>
  </si>
  <si>
    <t>2013/05-11</t>
    <phoneticPr fontId="1" type="noConversion"/>
  </si>
  <si>
    <t>Carex aquatilis, Carex utriculata</t>
    <phoneticPr fontId="1" type="noConversion"/>
  </si>
  <si>
    <t>2014/01-2015/09</t>
    <phoneticPr fontId="1" type="noConversion"/>
  </si>
  <si>
    <t xml:space="preserve">Molinia caerulea, Nardus stricta, </t>
  </si>
  <si>
    <t>Molinia caerulea, Nardus stricta</t>
    <phoneticPr fontId="1" type="noConversion"/>
  </si>
  <si>
    <t>Carex muliensis, Caltha scaposa</t>
    <phoneticPr fontId="1" type="noConversion"/>
  </si>
  <si>
    <t>2013/06/04-10/27</t>
    <phoneticPr fontId="1" type="noConversion"/>
  </si>
  <si>
    <t>2005/07/20-09/01</t>
    <phoneticPr fontId="1" type="noConversion"/>
  </si>
  <si>
    <t>2006/06/29-9/10</t>
    <phoneticPr fontId="1" type="noConversion"/>
  </si>
  <si>
    <t>2011/06-09</t>
    <phoneticPr fontId="1" type="noConversion"/>
  </si>
  <si>
    <t>2013/06-09</t>
    <phoneticPr fontId="1" type="noConversion"/>
  </si>
  <si>
    <t>2010/05/01-09/26</t>
    <phoneticPr fontId="1" type="noConversion"/>
  </si>
  <si>
    <t>2011/05/01-09/27</t>
    <phoneticPr fontId="1" type="noConversion"/>
  </si>
  <si>
    <t>10-15</t>
    <phoneticPr fontId="1" type="noConversion"/>
  </si>
  <si>
    <t>10-100</t>
    <phoneticPr fontId="1" type="noConversion"/>
  </si>
  <si>
    <t>mg l-1</t>
    <phoneticPr fontId="1" type="noConversion"/>
  </si>
  <si>
    <t>2011/06-10</t>
    <phoneticPr fontId="1" type="noConversion"/>
  </si>
  <si>
    <t>Limnobium spongia, Polygonum persicaria</t>
    <phoneticPr fontId="1" type="noConversion"/>
  </si>
  <si>
    <t>2013/06-08</t>
    <phoneticPr fontId="1" type="noConversion"/>
  </si>
  <si>
    <t>nmol g-1 dry soil</t>
    <phoneticPr fontId="1" type="noConversion"/>
  </si>
  <si>
    <t>2011/05-10</t>
    <phoneticPr fontId="1" type="noConversion"/>
  </si>
  <si>
    <t>2012/06-10</t>
    <phoneticPr fontId="1" type="noConversion"/>
  </si>
  <si>
    <t>2013/08/13-15</t>
    <phoneticPr fontId="1" type="noConversion"/>
  </si>
  <si>
    <t>Roulet and Moore, 1995</t>
    <phoneticPr fontId="1" type="noConversion"/>
  </si>
  <si>
    <t>Longitude (°, E)</t>
    <phoneticPr fontId="1" type="noConversion"/>
  </si>
  <si>
    <t>52.969°</t>
    <phoneticPr fontId="1" type="noConversion"/>
  </si>
  <si>
    <t>3.819° W</t>
    <phoneticPr fontId="1" type="noConversion"/>
  </si>
  <si>
    <t>53.308°</t>
    <phoneticPr fontId="1" type="noConversion"/>
  </si>
  <si>
    <t>4.253° W</t>
    <phoneticPr fontId="1" type="noConversion"/>
  </si>
  <si>
    <t>53.126°</t>
    <phoneticPr fontId="1" type="noConversion"/>
  </si>
  <si>
    <t>4.020° W</t>
    <phoneticPr fontId="1" type="noConversion"/>
  </si>
  <si>
    <r>
      <t>48.972°</t>
    </r>
    <r>
      <rPr>
        <sz val="12"/>
        <color theme="1"/>
        <rFont val="微软雅黑"/>
        <family val="2"/>
        <charset val="134"/>
      </rPr>
      <t/>
    </r>
  </si>
  <si>
    <t>13.634°</t>
    <phoneticPr fontId="1" type="noConversion"/>
  </si>
  <si>
    <t>40.333°</t>
    <phoneticPr fontId="1" type="noConversion"/>
  </si>
  <si>
    <t>105.709° W</t>
    <phoneticPr fontId="1" type="noConversion"/>
  </si>
  <si>
    <t>GPP</t>
    <phoneticPr fontId="1" type="noConversion"/>
  </si>
  <si>
    <t>Arai et al. 2014b</t>
    <phoneticPr fontId="1" type="noConversion"/>
  </si>
  <si>
    <t>Arai et al. 2014a</t>
    <phoneticPr fontId="1" type="noConversion"/>
  </si>
  <si>
    <t>gene No. per g soil</t>
    <phoneticPr fontId="1" type="noConversion"/>
  </si>
  <si>
    <t>Dowrick et al. 1999</t>
    <phoneticPr fontId="1" type="noConversion"/>
  </si>
  <si>
    <t>1994/05-09</t>
    <phoneticPr fontId="1" type="noConversion"/>
  </si>
  <si>
    <t>1994</t>
    <phoneticPr fontId="1" type="noConversion"/>
  </si>
  <si>
    <t>kg ha-1 yr-1</t>
  </si>
  <si>
    <t>Wang et al. 2009</t>
    <phoneticPr fontId="21" type="noConversion"/>
  </si>
  <si>
    <t>/</t>
    <phoneticPr fontId="21" type="noConversion"/>
  </si>
  <si>
    <t>China</t>
    <phoneticPr fontId="21" type="noConversion"/>
  </si>
  <si>
    <t>34°43'49" N</t>
  </si>
  <si>
    <t>Temperate</t>
    <phoneticPr fontId="21" type="noConversion"/>
  </si>
  <si>
    <t>Marsh</t>
    <phoneticPr fontId="21" type="noConversion"/>
  </si>
  <si>
    <t>Stipa capillata</t>
  </si>
  <si>
    <t>Weekly to biweekly</t>
  </si>
  <si>
    <t>Kittler et al. 2017</t>
    <phoneticPr fontId="1" type="noConversion"/>
  </si>
  <si>
    <t>68.75°</t>
    <phoneticPr fontId="1" type="noConversion"/>
  </si>
  <si>
    <t>161.33°</t>
    <phoneticPr fontId="1" type="noConversion"/>
  </si>
  <si>
    <t>Carex appendiculata</t>
    <phoneticPr fontId="1" type="noConversion"/>
  </si>
  <si>
    <t>2014</t>
    <phoneticPr fontId="1" type="noConversion"/>
  </si>
  <si>
    <t>2015</t>
    <phoneticPr fontId="1" type="noConversion"/>
  </si>
  <si>
    <t>2016</t>
    <phoneticPr fontId="1" type="noConversion"/>
  </si>
  <si>
    <t>Half-hourly to daily</t>
  </si>
  <si>
    <t>2013</t>
    <phoneticPr fontId="1" type="noConversion"/>
  </si>
  <si>
    <t>2008/05-11</t>
    <phoneticPr fontId="1" type="noConversion"/>
  </si>
  <si>
    <t>weekly to bioweekly</t>
    <phoneticPr fontId="1" type="noConversion"/>
  </si>
  <si>
    <t>weekly to monthly</t>
    <phoneticPr fontId="1" type="noConversion"/>
  </si>
  <si>
    <t>11-day interval</t>
    <phoneticPr fontId="1" type="noConversion"/>
  </si>
  <si>
    <t>2005/07/16-10/31</t>
    <phoneticPr fontId="1" type="noConversion"/>
  </si>
  <si>
    <t>Kittler et al. 2016</t>
    <phoneticPr fontId="1" type="noConversion"/>
  </si>
  <si>
    <t>Kwon et al. 2016</t>
    <phoneticPr fontId="1" type="noConversion"/>
  </si>
  <si>
    <t>shrub</t>
    <phoneticPr fontId="1" type="noConversion"/>
  </si>
  <si>
    <t>2013/07/22-08/10</t>
    <phoneticPr fontId="1" type="noConversion"/>
  </si>
  <si>
    <t>2014/06/16-08/20</t>
    <phoneticPr fontId="1" type="noConversion"/>
  </si>
  <si>
    <t>Hydrology simulation</t>
    <phoneticPr fontId="1" type="noConversion"/>
  </si>
  <si>
    <t>1994/11-1995/10</t>
    <phoneticPr fontId="1" type="noConversion"/>
  </si>
  <si>
    <t>Inubushi et al. 1998</t>
    <phoneticPr fontId="1" type="noConversion"/>
  </si>
  <si>
    <t>1992/08-1994/08</t>
    <phoneticPr fontId="1" type="noConversion"/>
  </si>
  <si>
    <t>Takakai et al. 2006</t>
    <phoneticPr fontId="1" type="noConversion"/>
  </si>
  <si>
    <t>2002/04-2003/04</t>
    <phoneticPr fontId="1" type="noConversion"/>
  </si>
  <si>
    <t>2003/04-2004/04</t>
    <phoneticPr fontId="1" type="noConversion"/>
  </si>
  <si>
    <t>0-6</t>
    <phoneticPr fontId="1" type="noConversion"/>
  </si>
  <si>
    <t>92°53'30"</t>
    <phoneticPr fontId="1" type="noConversion"/>
  </si>
  <si>
    <t>Latitude (°)</t>
    <phoneticPr fontId="1" type="noConversion"/>
  </si>
  <si>
    <t>Longitude (°)</t>
    <phoneticPr fontId="1" type="noConversion"/>
  </si>
  <si>
    <t>Dry/wet compared to the long-term mean MTP</t>
    <phoneticPr fontId="1" type="noConversion"/>
  </si>
  <si>
    <t>Notes for method</t>
    <phoneticPr fontId="1" type="noConversion"/>
  </si>
  <si>
    <t>Ratcliffe et al. 2019</t>
    <phoneticPr fontId="21" type="noConversion"/>
  </si>
  <si>
    <t>Drainage</t>
    <phoneticPr fontId="21" type="noConversion"/>
  </si>
  <si>
    <t>Agriculture</t>
    <phoneticPr fontId="21" type="noConversion"/>
  </si>
  <si>
    <t>New Zealand</t>
    <phoneticPr fontId="1" type="noConversion"/>
  </si>
  <si>
    <t>Empodisma robustum</t>
  </si>
  <si>
    <t>2015/05/01-2016/04/30</t>
    <phoneticPr fontId="1" type="noConversion"/>
  </si>
  <si>
    <t>2016/05/01-2017/04/30</t>
    <phoneticPr fontId="1" type="noConversion"/>
  </si>
  <si>
    <t>Chivers et al. 2009</t>
    <phoneticPr fontId="1" type="noConversion"/>
  </si>
  <si>
    <t>2006/06/29-09/10</t>
    <phoneticPr fontId="1" type="noConversion"/>
  </si>
  <si>
    <t>Cooper et al. 2020</t>
    <phoneticPr fontId="1" type="noConversion"/>
  </si>
  <si>
    <t>Macaranga pruinosa, Campnospermacoriaceum</t>
    <phoneticPr fontId="1" type="noConversion"/>
  </si>
  <si>
    <t>2014-2015</t>
    <phoneticPr fontId="1" type="noConversion"/>
  </si>
  <si>
    <t>Strack et al. 2009</t>
    <phoneticPr fontId="1" type="noConversion"/>
  </si>
  <si>
    <t>Sphagnum rubellum</t>
    <phoneticPr fontId="1" type="noConversion"/>
  </si>
  <si>
    <t xml:space="preserve">64.820° </t>
    <phoneticPr fontId="1" type="noConversion"/>
  </si>
  <si>
    <t>2005/05/26-08/24</t>
    <phoneticPr fontId="1" type="noConversion"/>
  </si>
  <si>
    <t>Urbanová et al. 2012</t>
    <phoneticPr fontId="1" type="noConversion"/>
  </si>
  <si>
    <t>Czech Republic</t>
  </si>
  <si>
    <t>Trichophorum cespitosum, Andromeda polifolia</t>
    <phoneticPr fontId="1" type="noConversion"/>
  </si>
  <si>
    <t>Sphagnum flexuosum, Carex rostrata</t>
  </si>
  <si>
    <t>2009/05-09</t>
    <phoneticPr fontId="1" type="noConversion"/>
  </si>
  <si>
    <t>2011/07-10</t>
    <phoneticPr fontId="1" type="noConversion"/>
  </si>
  <si>
    <t>Deciduous forest</t>
    <phoneticPr fontId="1" type="noConversion"/>
  </si>
  <si>
    <t>2010/07-2011/03</t>
    <phoneticPr fontId="1" type="noConversion"/>
  </si>
  <si>
    <t>2013/05-09</t>
    <phoneticPr fontId="1" type="noConversion"/>
  </si>
  <si>
    <t>2013/01-04, 10-12</t>
    <phoneticPr fontId="1" type="noConversion"/>
  </si>
  <si>
    <r>
      <rPr>
        <b/>
        <i/>
        <sz val="12"/>
        <rFont val="Calibri"/>
        <family val="2"/>
      </rPr>
      <t>R</t>
    </r>
    <r>
      <rPr>
        <b/>
        <vertAlign val="subscript"/>
        <sz val="12"/>
        <rFont val="Calibri"/>
        <family val="2"/>
      </rPr>
      <t>e</t>
    </r>
  </si>
  <si>
    <r>
      <t>Soil CH</t>
    </r>
    <r>
      <rPr>
        <b/>
        <vertAlign val="subscript"/>
        <sz val="12"/>
        <rFont val="Calibri"/>
        <family val="2"/>
      </rPr>
      <t>4</t>
    </r>
    <r>
      <rPr>
        <b/>
        <sz val="12"/>
        <rFont val="Calibri"/>
        <family val="2"/>
      </rPr>
      <t xml:space="preserve"> flux</t>
    </r>
  </si>
  <si>
    <r>
      <t>Soil N</t>
    </r>
    <r>
      <rPr>
        <b/>
        <vertAlign val="subscript"/>
        <sz val="12"/>
        <rFont val="Calibri"/>
        <family val="2"/>
      </rPr>
      <t>2</t>
    </r>
    <r>
      <rPr>
        <b/>
        <sz val="12"/>
        <rFont val="Calibri"/>
        <family val="2"/>
      </rPr>
      <t>O flux</t>
    </r>
  </si>
  <si>
    <r>
      <t>O</t>
    </r>
    <r>
      <rPr>
        <b/>
        <vertAlign val="subscript"/>
        <sz val="12"/>
        <rFont val="Calibri"/>
        <family val="2"/>
      </rPr>
      <t>2</t>
    </r>
    <r>
      <rPr>
        <b/>
        <sz val="12"/>
        <rFont val="Calibri"/>
        <family val="2"/>
      </rPr>
      <t xml:space="preserve"> percent in soil or water</t>
    </r>
  </si>
  <si>
    <r>
      <t>NH</t>
    </r>
    <r>
      <rPr>
        <b/>
        <vertAlign val="subscript"/>
        <sz val="12"/>
        <color theme="1"/>
        <rFont val="Calibri"/>
        <family val="2"/>
      </rPr>
      <t>4</t>
    </r>
    <r>
      <rPr>
        <b/>
        <vertAlign val="superscript"/>
        <sz val="12"/>
        <color theme="1"/>
        <rFont val="Calibri"/>
        <family val="2"/>
      </rPr>
      <t>+</t>
    </r>
  </si>
  <si>
    <r>
      <t>NO</t>
    </r>
    <r>
      <rPr>
        <b/>
        <vertAlign val="subscript"/>
        <sz val="12"/>
        <color theme="1"/>
        <rFont val="Calibri"/>
        <family val="2"/>
      </rPr>
      <t>3</t>
    </r>
    <r>
      <rPr>
        <b/>
        <vertAlign val="superscript"/>
        <sz val="12"/>
        <color theme="1"/>
        <rFont val="Calibri"/>
        <family val="2"/>
      </rPr>
      <t>-</t>
    </r>
  </si>
  <si>
    <r>
      <t>H</t>
    </r>
    <r>
      <rPr>
        <b/>
        <vertAlign val="subscript"/>
        <sz val="12"/>
        <rFont val="Calibri"/>
        <family val="2"/>
      </rPr>
      <t>2</t>
    </r>
  </si>
  <si>
    <t>50°07′53″</t>
  </si>
  <si>
    <t>11°52′51″</t>
  </si>
  <si>
    <t>50°07′54″</t>
  </si>
  <si>
    <t>25°09′59″S</t>
  </si>
  <si>
    <t>50°04′45″W</t>
  </si>
  <si>
    <r>
      <rPr>
        <vertAlign val="superscript"/>
        <sz val="12"/>
        <color theme="1"/>
        <rFont val="Calibri"/>
        <family val="2"/>
      </rPr>
      <t>o</t>
    </r>
    <r>
      <rPr>
        <sz val="12"/>
        <color theme="1"/>
        <rFont val="Calibri"/>
        <family val="2"/>
      </rPr>
      <t>C</t>
    </r>
  </si>
  <si>
    <t>46°19′</t>
  </si>
  <si>
    <t>86°03′W</t>
  </si>
  <si>
    <t xml:space="preserve">68°36′47″ </t>
  </si>
  <si>
    <t xml:space="preserve">161°20′29″ </t>
  </si>
  <si>
    <t>61°48′</t>
  </si>
  <si>
    <t>24°19′</t>
  </si>
  <si>
    <t>67°60′</t>
  </si>
  <si>
    <t>24°12′</t>
  </si>
  <si>
    <t>64°50′37″</t>
  </si>
  <si>
    <t>147°43′23″W</t>
  </si>
  <si>
    <t>52°28′</t>
  </si>
  <si>
    <t>3°45′W</t>
  </si>
  <si>
    <t>46°40′</t>
  </si>
  <si>
    <t>71°10′W</t>
  </si>
  <si>
    <t>69°36′47″, 16112002900E</t>
  </si>
  <si>
    <t>161°20′29″</t>
  </si>
  <si>
    <t>68°36′47″</t>
  </si>
  <si>
    <t>49°14′</t>
  </si>
  <si>
    <t>Temperate</t>
  </si>
  <si>
    <t>Soil redox potential (mV)</t>
  </si>
  <si>
    <r>
      <rPr>
        <b/>
        <i/>
        <sz val="12"/>
        <color theme="1"/>
        <rFont val="Calibri"/>
        <family val="2"/>
      </rPr>
      <t>nir</t>
    </r>
    <r>
      <rPr>
        <b/>
        <sz val="12"/>
        <color theme="1"/>
        <rFont val="Calibri"/>
        <family val="2"/>
      </rPr>
      <t>K</t>
    </r>
  </si>
  <si>
    <r>
      <rPr>
        <b/>
        <i/>
        <sz val="12"/>
        <color theme="1"/>
        <rFont val="Calibri"/>
        <family val="2"/>
      </rPr>
      <t>mcr</t>
    </r>
    <r>
      <rPr>
        <b/>
        <sz val="12"/>
        <color theme="1"/>
        <rFont val="Calibri"/>
        <family val="2"/>
      </rPr>
      <t>A</t>
    </r>
  </si>
  <si>
    <r>
      <rPr>
        <b/>
        <i/>
        <sz val="12"/>
        <color theme="1"/>
        <rFont val="Calibri"/>
        <family val="2"/>
      </rPr>
      <t>pmo</t>
    </r>
    <r>
      <rPr>
        <b/>
        <sz val="12"/>
        <color theme="1"/>
        <rFont val="Calibri"/>
        <family val="2"/>
      </rPr>
      <t>A</t>
    </r>
  </si>
  <si>
    <r>
      <rPr>
        <b/>
        <i/>
        <sz val="12"/>
        <color theme="1"/>
        <rFont val="Calibri"/>
        <family val="2"/>
      </rPr>
      <t>nir</t>
    </r>
    <r>
      <rPr>
        <b/>
        <sz val="12"/>
        <color theme="1"/>
        <rFont val="Calibri"/>
        <family val="2"/>
      </rPr>
      <t>S</t>
    </r>
  </si>
  <si>
    <r>
      <rPr>
        <b/>
        <i/>
        <sz val="12"/>
        <color theme="1"/>
        <rFont val="Calibri"/>
        <family val="2"/>
      </rPr>
      <t>nos</t>
    </r>
    <r>
      <rPr>
        <b/>
        <sz val="12"/>
        <color theme="1"/>
        <rFont val="Calibri"/>
        <family val="2"/>
      </rPr>
      <t>Z</t>
    </r>
  </si>
  <si>
    <r>
      <rPr>
        <b/>
        <i/>
        <sz val="12"/>
        <color theme="1"/>
        <rFont val="Calibri"/>
        <family val="2"/>
      </rPr>
      <t>nar</t>
    </r>
    <r>
      <rPr>
        <b/>
        <sz val="12"/>
        <color theme="1"/>
        <rFont val="Calibri"/>
        <family val="2"/>
      </rPr>
      <t>G</t>
    </r>
  </si>
  <si>
    <t>CV</t>
  </si>
  <si>
    <t>48°03′53″</t>
  </si>
  <si>
    <t>128°30′36″</t>
  </si>
  <si>
    <t>32°48′</t>
  </si>
  <si>
    <t>102°33′</t>
  </si>
  <si>
    <r>
      <t>47.9671°</t>
    </r>
    <r>
      <rPr>
        <sz val="12"/>
        <color theme="1"/>
        <rFont val="微软雅黑"/>
        <family val="2"/>
        <charset val="134"/>
      </rPr>
      <t/>
    </r>
  </si>
  <si>
    <r>
      <t>57.23°</t>
    </r>
    <r>
      <rPr>
        <sz val="12"/>
        <color theme="1"/>
        <rFont val="微软雅黑"/>
        <family val="2"/>
        <charset val="134"/>
      </rPr>
      <t/>
    </r>
  </si>
  <si>
    <t>3°41′39.5″</t>
  </si>
  <si>
    <t>101°11′05.4″</t>
  </si>
  <si>
    <r>
      <t>55°21′</t>
    </r>
    <r>
      <rPr>
        <sz val="12"/>
        <color theme="1"/>
        <rFont val="微软雅黑"/>
        <family val="2"/>
        <charset val="134"/>
      </rPr>
      <t/>
    </r>
  </si>
  <si>
    <t>112°31′ W</t>
  </si>
  <si>
    <r>
      <t>59°12.41′</t>
    </r>
    <r>
      <rPr>
        <sz val="12"/>
        <color theme="1"/>
        <rFont val="微软雅黑"/>
        <family val="2"/>
        <charset val="134"/>
      </rPr>
      <t/>
    </r>
  </si>
  <si>
    <t>27°15.83′</t>
  </si>
  <si>
    <r>
      <t>59°10.60′</t>
    </r>
    <r>
      <rPr>
        <sz val="12"/>
        <color theme="1"/>
        <rFont val="微软雅黑"/>
        <family val="2"/>
        <charset val="134"/>
      </rPr>
      <t/>
    </r>
  </si>
  <si>
    <t>27°11.93′</t>
  </si>
  <si>
    <t>30°07′00″</t>
  </si>
  <si>
    <t>84°15′00″W</t>
  </si>
  <si>
    <r>
      <t>66°286′</t>
    </r>
    <r>
      <rPr>
        <sz val="12"/>
        <color theme="1"/>
        <rFont val="微软雅黑"/>
        <family val="2"/>
        <charset val="134"/>
      </rPr>
      <t/>
    </r>
  </si>
  <si>
    <t>25°51′</t>
  </si>
  <si>
    <r>
      <t>61°47′</t>
    </r>
    <r>
      <rPr>
        <sz val="12"/>
        <color theme="1"/>
        <rFont val="微软雅黑"/>
        <family val="2"/>
        <charset val="134"/>
      </rPr>
      <t/>
    </r>
  </si>
  <si>
    <t>2°33′S</t>
  </si>
  <si>
    <t>113°50′</t>
  </si>
  <si>
    <t>24°18′</t>
  </si>
  <si>
    <t>1°13′35″S</t>
  </si>
  <si>
    <t>103°37′10″</t>
  </si>
  <si>
    <t>02°12′26″S</t>
  </si>
  <si>
    <t>105°0′0″</t>
  </si>
  <si>
    <r>
      <t>61°48′</t>
    </r>
    <r>
      <rPr>
        <sz val="12"/>
        <color theme="1"/>
        <rFont val="微软雅黑"/>
        <family val="2"/>
        <charset val="134"/>
      </rPr>
      <t/>
    </r>
  </si>
  <si>
    <r>
      <t>62°13′</t>
    </r>
    <r>
      <rPr>
        <sz val="12"/>
        <color theme="1"/>
        <rFont val="微软雅黑"/>
        <family val="2"/>
        <charset val="134"/>
      </rPr>
      <t/>
    </r>
  </si>
  <si>
    <t>23°23′</t>
  </si>
  <si>
    <r>
      <t>67°59′</t>
    </r>
    <r>
      <rPr>
        <sz val="12"/>
        <color theme="1"/>
        <rFont val="微软雅黑"/>
        <family val="2"/>
        <charset val="134"/>
      </rPr>
      <t/>
    </r>
  </si>
  <si>
    <r>
      <t>45°59′</t>
    </r>
    <r>
      <rPr>
        <sz val="12"/>
        <color theme="1"/>
        <rFont val="微软雅黑"/>
        <family val="2"/>
        <charset val="134"/>
      </rPr>
      <t/>
    </r>
  </si>
  <si>
    <t>14°30′</t>
  </si>
  <si>
    <r>
      <t>57°08′</t>
    </r>
    <r>
      <rPr>
        <sz val="12"/>
        <color theme="1"/>
        <rFont val="微软雅黑"/>
        <family val="2"/>
        <charset val="134"/>
      </rPr>
      <t/>
    </r>
  </si>
  <si>
    <t>14°45′</t>
  </si>
  <si>
    <t>58°26′12″</t>
  </si>
  <si>
    <t>25°14′13″</t>
  </si>
  <si>
    <r>
      <t>60°21′</t>
    </r>
    <r>
      <rPr>
        <sz val="12"/>
        <color theme="1"/>
        <rFont val="微软雅黑"/>
        <family val="2"/>
        <charset val="134"/>
      </rPr>
      <t/>
    </r>
  </si>
  <si>
    <t>25°03′</t>
  </si>
  <si>
    <r>
      <t>62°51′</t>
    </r>
    <r>
      <rPr>
        <sz val="12"/>
        <color theme="1"/>
        <rFont val="微软雅黑"/>
        <family val="2"/>
        <charset val="134"/>
      </rPr>
      <t/>
    </r>
  </si>
  <si>
    <t>30°53′</t>
  </si>
  <si>
    <r>
      <t>60°53′</t>
    </r>
    <r>
      <rPr>
        <sz val="12"/>
        <color theme="1"/>
        <rFont val="微软雅黑"/>
        <family val="2"/>
        <charset val="134"/>
      </rPr>
      <t/>
    </r>
  </si>
  <si>
    <t>23°30′</t>
  </si>
  <si>
    <r>
      <t>67°17′</t>
    </r>
    <r>
      <rPr>
        <sz val="12"/>
        <color theme="1"/>
        <rFont val="微软雅黑"/>
        <family val="2"/>
        <charset val="134"/>
      </rPr>
      <t/>
    </r>
  </si>
  <si>
    <t>14°28′</t>
  </si>
  <si>
    <r>
      <t>64°05′</t>
    </r>
    <r>
      <rPr>
        <sz val="12"/>
        <color theme="1"/>
        <rFont val="微软雅黑"/>
        <family val="2"/>
        <charset val="134"/>
      </rPr>
      <t/>
    </r>
  </si>
  <si>
    <t>18°10′</t>
  </si>
  <si>
    <r>
      <t>34°16′</t>
    </r>
    <r>
      <rPr>
        <sz val="12"/>
        <color theme="1"/>
        <rFont val="微软雅黑"/>
        <family val="2"/>
        <charset val="134"/>
      </rPr>
      <t/>
    </r>
  </si>
  <si>
    <t>102°26′</t>
  </si>
  <si>
    <r>
      <t>52°30′</t>
    </r>
    <r>
      <rPr>
        <sz val="12"/>
        <color theme="1"/>
        <rFont val="微软雅黑"/>
        <family val="2"/>
        <charset val="134"/>
      </rPr>
      <t/>
    </r>
  </si>
  <si>
    <t>08°12′W</t>
  </si>
  <si>
    <r>
      <t>64°48′</t>
    </r>
    <r>
      <rPr>
        <sz val="12"/>
        <color theme="1"/>
        <rFont val="微软雅黑"/>
        <family val="2"/>
        <charset val="134"/>
      </rPr>
      <t/>
    </r>
  </si>
  <si>
    <t>24°37′</t>
  </si>
  <si>
    <t>2°21′S</t>
  </si>
  <si>
    <t>114°02′</t>
  </si>
  <si>
    <t>49°10′</t>
  </si>
  <si>
    <t>13°19′</t>
  </si>
  <si>
    <t>48°58′</t>
  </si>
  <si>
    <t>13°27′</t>
  </si>
  <si>
    <t>33°55′</t>
  </si>
  <si>
    <t>102°49′</t>
  </si>
  <si>
    <t>54°07′40.8″</t>
  </si>
  <si>
    <t>9°33′21.6″W</t>
  </si>
  <si>
    <r>
      <t xml:space="preserve">Phragmites australis </t>
    </r>
    <r>
      <rPr>
        <sz val="12"/>
        <color theme="1"/>
        <rFont val="Calibri"/>
        <family val="2"/>
      </rPr>
      <t>and</t>
    </r>
    <r>
      <rPr>
        <i/>
        <sz val="12"/>
        <color theme="1"/>
        <rFont val="Calibri"/>
        <family val="2"/>
      </rPr>
      <t xml:space="preserve"> Carex acutiformis</t>
    </r>
  </si>
  <si>
    <t>48°22′</t>
  </si>
  <si>
    <t>11°40′</t>
  </si>
  <si>
    <t>2°19′18.2″ S</t>
  </si>
  <si>
    <t xml:space="preserve">113°54′07.7″ </t>
  </si>
  <si>
    <t xml:space="preserve">56°08′47″ </t>
  </si>
  <si>
    <t>4°18′ W</t>
  </si>
  <si>
    <t xml:space="preserve">34°30′08.48″ </t>
  </si>
  <si>
    <t>90°25′26.82″W</t>
  </si>
  <si>
    <t>58°52′</t>
  </si>
  <si>
    <t>26°14′</t>
  </si>
  <si>
    <t>55°10′</t>
  </si>
  <si>
    <t>2°3′W</t>
  </si>
  <si>
    <t>2°35′S</t>
  </si>
  <si>
    <t>113°10′</t>
  </si>
  <si>
    <t>4°10′</t>
  </si>
  <si>
    <t>114°15′</t>
  </si>
  <si>
    <t>0°14′S</t>
  </si>
  <si>
    <t>109°25′</t>
  </si>
  <si>
    <t>4°31′</t>
  </si>
  <si>
    <t>114°05′</t>
  </si>
  <si>
    <t>0°52′</t>
  </si>
  <si>
    <t>102°08′</t>
  </si>
  <si>
    <t>1°57′S</t>
  </si>
  <si>
    <t>103°55′</t>
  </si>
  <si>
    <t>61°47′</t>
  </si>
  <si>
    <t>62°46′</t>
  </si>
  <si>
    <t>30°58′</t>
  </si>
  <si>
    <t>49°03′</t>
  </si>
  <si>
    <t>80°40′W</t>
  </si>
  <si>
    <t>29°50′</t>
  </si>
  <si>
    <t>33°06′</t>
  </si>
  <si>
    <t>102°39′</t>
  </si>
  <si>
    <t>47°00′</t>
  </si>
  <si>
    <t>92°00′W</t>
  </si>
  <si>
    <t>48°58′34″</t>
  </si>
  <si>
    <t>13°27′34″</t>
  </si>
  <si>
    <t>45°32′</t>
  </si>
  <si>
    <t>73°08′W</t>
  </si>
  <si>
    <t>62°49′</t>
  </si>
  <si>
    <t>30°59′</t>
  </si>
  <si>
    <t>2°49′</t>
  </si>
  <si>
    <t>111°54′</t>
  </si>
  <si>
    <t>13°27′24″</t>
  </si>
  <si>
    <t>49°09′19″</t>
  </si>
  <si>
    <t>13°22′08″</t>
  </si>
  <si>
    <r>
      <rPr>
        <b/>
        <i/>
        <sz val="12"/>
        <rFont val="Calibri"/>
        <family val="2"/>
      </rPr>
      <t>R</t>
    </r>
    <r>
      <rPr>
        <b/>
        <sz val="12"/>
        <rFont val="Calibri"/>
        <family val="2"/>
      </rPr>
      <t>e</t>
    </r>
  </si>
  <si>
    <t>47°35′</t>
  </si>
  <si>
    <t>133°31′</t>
  </si>
  <si>
    <t>47°35.29′</t>
  </si>
  <si>
    <t>133°31.81′</t>
  </si>
  <si>
    <r>
      <t>68°38′</t>
    </r>
    <r>
      <rPr>
        <sz val="12"/>
        <color theme="1"/>
        <rFont val="微软雅黑"/>
        <family val="2"/>
        <charset val="134"/>
      </rPr>
      <t/>
    </r>
  </si>
  <si>
    <t>149°34′W</t>
  </si>
  <si>
    <r>
      <t>33°54′</t>
    </r>
    <r>
      <rPr>
        <sz val="12"/>
        <color theme="1"/>
        <rFont val="微软雅黑"/>
        <family val="2"/>
        <charset val="134"/>
      </rPr>
      <t/>
    </r>
  </si>
  <si>
    <t>102°36′</t>
  </si>
  <si>
    <r>
      <t>33°51′</t>
    </r>
    <r>
      <rPr>
        <sz val="12"/>
        <color theme="1"/>
        <rFont val="微软雅黑"/>
        <family val="2"/>
        <charset val="134"/>
      </rPr>
      <t/>
    </r>
  </si>
  <si>
    <t>102°30′</t>
  </si>
  <si>
    <r>
      <t>26°56′</t>
    </r>
    <r>
      <rPr>
        <sz val="12"/>
        <color theme="1"/>
        <rFont val="微软雅黑"/>
        <family val="2"/>
        <charset val="134"/>
      </rPr>
      <t/>
    </r>
  </si>
  <si>
    <t>80°48′W</t>
  </si>
  <si>
    <t>46°11′</t>
  </si>
  <si>
    <t>86°01′W</t>
  </si>
  <si>
    <t>37°35′</t>
  </si>
  <si>
    <t>101°20′</t>
  </si>
  <si>
    <t>46°51′</t>
  </si>
  <si>
    <t>95°49′ W</t>
  </si>
  <si>
    <t xml:space="preserve">62°30′00″ </t>
  </si>
  <si>
    <t xml:space="preserve">25°30′00″ </t>
  </si>
  <si>
    <t xml:space="preserve">62°00′00″ </t>
  </si>
  <si>
    <t xml:space="preserve">25°00′00″ </t>
  </si>
  <si>
    <t xml:space="preserve">56°09′25.92″ </t>
  </si>
  <si>
    <t>10°12′38.52″</t>
  </si>
  <si>
    <t>45°24′</t>
  </si>
  <si>
    <t>75°30′</t>
  </si>
  <si>
    <t>45°04′</t>
  </si>
  <si>
    <t>78°45′W</t>
  </si>
  <si>
    <t>54°48′</t>
  </si>
  <si>
    <t>66°49′W</t>
  </si>
  <si>
    <t>52°01′</t>
  </si>
  <si>
    <t>5°41′</t>
  </si>
  <si>
    <t>Agriculture</t>
  </si>
  <si>
    <t>Forestry</t>
  </si>
  <si>
    <t>Mean</t>
  </si>
  <si>
    <t>Difference</t>
  </si>
  <si>
    <t>Overall</t>
  </si>
  <si>
    <t>GPP</t>
  </si>
  <si>
    <t>NEE</t>
  </si>
  <si>
    <r>
      <rPr>
        <i/>
        <sz val="11"/>
        <color theme="1"/>
        <rFont val="Calibri"/>
        <family val="2"/>
      </rPr>
      <t>R</t>
    </r>
    <r>
      <rPr>
        <vertAlign val="subscript"/>
        <sz val="11"/>
        <color theme="1"/>
        <rFont val="Calibri"/>
        <family val="2"/>
      </rPr>
      <t>e</t>
    </r>
  </si>
  <si>
    <r>
      <t>CH</t>
    </r>
    <r>
      <rPr>
        <vertAlign val="subscript"/>
        <sz val="11"/>
        <color theme="1"/>
        <rFont val="Calibri"/>
        <family val="2"/>
      </rPr>
      <t>4</t>
    </r>
  </si>
  <si>
    <r>
      <t>N</t>
    </r>
    <r>
      <rPr>
        <vertAlign val="subscript"/>
        <sz val="11"/>
        <color theme="1"/>
        <rFont val="Calibri"/>
        <family val="2"/>
      </rPr>
      <t>2</t>
    </r>
    <r>
      <rPr>
        <sz val="11"/>
        <color theme="1"/>
        <rFont val="Calibri"/>
        <family val="2"/>
      </rPr>
      <t>O</t>
    </r>
  </si>
  <si>
    <t>n</t>
  </si>
  <si>
    <t>Tropical</t>
  </si>
  <si>
    <t>Ombrotrophic</t>
  </si>
  <si>
    <t>Permanently</t>
    <phoneticPr fontId="1" type="noConversion"/>
  </si>
  <si>
    <t>Drainage duration (years)</t>
  </si>
  <si>
    <t>10-20</t>
  </si>
  <si>
    <t>30-50</t>
  </si>
  <si>
    <t>Clay</t>
  </si>
  <si>
    <t>dry</t>
  </si>
  <si>
    <t>wet</t>
  </si>
  <si>
    <t>Eddy covariance</t>
  </si>
  <si>
    <t>Dominant plant species in prestine wetland</t>
  </si>
  <si>
    <t>pH in prestine wetland</t>
  </si>
  <si>
    <t>STN in prestine wetland</t>
  </si>
  <si>
    <t>SOC in prestine wetland</t>
  </si>
  <si>
    <t>C/N in prestine wetland</t>
  </si>
  <si>
    <t>Potamogeton pusillus and Utricularia vulgaris</t>
  </si>
  <si>
    <t>Graminoid</t>
  </si>
  <si>
    <t>Shrub</t>
  </si>
  <si>
    <t>Forbs</t>
  </si>
  <si>
    <t>WTD</t>
    <phoneticPr fontId="1" type="noConversion"/>
  </si>
  <si>
    <t>Annual total fluxes in the drained and control wetland</t>
  </si>
  <si>
    <t>Control</t>
  </si>
  <si>
    <t>Drained</t>
  </si>
  <si>
    <t>hollow</t>
  </si>
  <si>
    <t>Medium drainage</t>
  </si>
  <si>
    <t>0-30</t>
  </si>
  <si>
    <t>mg m-2 h-2</t>
  </si>
  <si>
    <t>mg m-2 h-3</t>
  </si>
  <si>
    <t>0-5</t>
  </si>
  <si>
    <t>nmol g-1 DW h-1</t>
  </si>
  <si>
    <t>Peat moss</t>
  </si>
  <si>
    <t>permanently</t>
  </si>
  <si>
    <t>0-15</t>
  </si>
  <si>
    <t>SD</t>
  </si>
  <si>
    <t>Study ID</t>
  </si>
  <si>
    <t>Variance</t>
  </si>
  <si>
    <t>minerotrophic</t>
  </si>
  <si>
    <t>Eriophorum angustifolium</t>
  </si>
  <si>
    <t>June to October</t>
    <phoneticPr fontId="1" type="noConversion"/>
  </si>
  <si>
    <t>May to October</t>
    <phoneticPr fontId="1" type="noConversion"/>
  </si>
  <si>
    <t>May to September</t>
    <phoneticPr fontId="1" type="noConversion"/>
  </si>
  <si>
    <t>April to December</t>
    <phoneticPr fontId="1" type="noConversion"/>
  </si>
  <si>
    <t>May to November</t>
    <phoneticPr fontId="1" type="noConversion"/>
  </si>
  <si>
    <t>November 2001 to January 2002</t>
    <phoneticPr fontId="1" type="noConversion"/>
  </si>
  <si>
    <t>December 2011 to May 2012</t>
    <phoneticPr fontId="1" type="noConversion"/>
  </si>
  <si>
    <t>Growing season or wet season length</t>
    <phoneticPr fontId="1" type="noConversion"/>
  </si>
  <si>
    <t>April to October</t>
    <phoneticPr fontId="1" type="noConversion"/>
  </si>
  <si>
    <t>November 2014 to April 2015</t>
    <phoneticPr fontId="1" type="noConversion"/>
  </si>
  <si>
    <t>November 2014 to April 2016</t>
  </si>
  <si>
    <t>November 2014 to April 2017</t>
  </si>
  <si>
    <t>2010/05-09</t>
    <phoneticPr fontId="1" type="noConversion"/>
  </si>
  <si>
    <t>2011/05-09</t>
    <phoneticPr fontId="1" type="noConversion"/>
  </si>
  <si>
    <t>June to September</t>
    <phoneticPr fontId="1" type="noConversion"/>
  </si>
  <si>
    <t>October 2013 to May 2014</t>
    <phoneticPr fontId="1" type="noConversion"/>
  </si>
  <si>
    <t>Dry season</t>
    <phoneticPr fontId="1" type="noConversion"/>
  </si>
  <si>
    <t>Wet season</t>
    <phoneticPr fontId="1" type="noConversion"/>
  </si>
  <si>
    <t>October 2013 to April 2014</t>
    <phoneticPr fontId="1" type="noConversion"/>
  </si>
  <si>
    <t>2009/05/20-10/01</t>
    <phoneticPr fontId="1" type="noConversion"/>
  </si>
  <si>
    <t>Hirano et al. 2012</t>
  </si>
  <si>
    <t>Olefeldt et al. 2017</t>
  </si>
  <si>
    <t>Martikainen et al. 1995</t>
  </si>
  <si>
    <t>Roulet et al. 1993</t>
  </si>
  <si>
    <t>Turetsky et al. 2008</t>
  </si>
  <si>
    <t>Martikainen et al. 1993</t>
  </si>
  <si>
    <t>Von Arnold et al. 2005a</t>
  </si>
  <si>
    <t>Tangen et al. 2015</t>
  </si>
  <si>
    <t>Maljanen et al. 2010</t>
  </si>
  <si>
    <t>Valbuena-Parralejo et al. 2019</t>
  </si>
  <si>
    <t>Takakai et al. 2006</t>
  </si>
  <si>
    <t>Wilson et al. 2016</t>
  </si>
  <si>
    <t>Merbold et al.2009</t>
  </si>
  <si>
    <t>Regina et al. 1996</t>
  </si>
  <si>
    <t>Pearson et al. 2015</t>
  </si>
  <si>
    <t>Kwon et al. 2017</t>
  </si>
  <si>
    <t>Carter et al. 2012</t>
  </si>
  <si>
    <t>Furukawa et al. 2005</t>
  </si>
  <si>
    <t>LnRR</t>
  </si>
  <si>
    <t>Chimner et al. 2016</t>
  </si>
  <si>
    <t>Ballantyne et al. 2014</t>
  </si>
  <si>
    <t>Yrjälä et al. 2017</t>
  </si>
  <si>
    <t>Ratcliffe et al. 2019</t>
  </si>
  <si>
    <t>Strack and Zuback, 2013</t>
  </si>
  <si>
    <t>Hergoualc’h and Verchot, 2014</t>
  </si>
  <si>
    <t>Peatland (fen)</t>
  </si>
  <si>
    <t>Carex Muliensis, Potamogeton pusillus</t>
  </si>
  <si>
    <t>Koeleria tibetica, Carex Muliensis</t>
  </si>
  <si>
    <t>Potentilla palustris, Carex atherodes, Equisetum fluviatile</t>
  </si>
  <si>
    <t>Carex Sphagnul</t>
  </si>
  <si>
    <t>Nykanen et al. 1998</t>
  </si>
  <si>
    <t>Urbanová et al. 2012</t>
  </si>
  <si>
    <t>Peat extraction</t>
  </si>
  <si>
    <t>Ma et al. 2017</t>
  </si>
  <si>
    <t>Kandel et al. 2018</t>
  </si>
  <si>
    <t>Munir et al. 2014b</t>
  </si>
  <si>
    <t>Laine et al. 2019a</t>
  </si>
  <si>
    <t>Rachwal et al. 2014</t>
  </si>
  <si>
    <t>Keating Jr. et al. 2016</t>
  </si>
  <si>
    <t>Laine et al. 2019b</t>
  </si>
  <si>
    <t>Urbanová et al. 2013a</t>
  </si>
  <si>
    <t>Wang et al. 2016a</t>
  </si>
  <si>
    <t>Wang et al. 2016b</t>
  </si>
  <si>
    <t>The area with this mark indicate the missing SD was estimated by multiplying the reported mean by the average coefficient of variation (CV) obtained from the remaining datasets with the mean and SD were reported simultaneously (Wiebe et al., 2006)</t>
  </si>
  <si>
    <t>Red triangle indicate gap-filled data</t>
  </si>
  <si>
    <t>Eriophorum vaginatum, Empetrum nigrum</t>
  </si>
  <si>
    <t>0-25</t>
  </si>
  <si>
    <t>Paul et al. 2018</t>
    <phoneticPr fontId="1" type="noConversion"/>
  </si>
  <si>
    <r>
      <t>53°25′</t>
    </r>
    <r>
      <rPr>
        <sz val="12"/>
        <color theme="1"/>
        <rFont val="微软雅黑"/>
        <family val="2"/>
        <charset val="134"/>
      </rPr>
      <t/>
    </r>
  </si>
  <si>
    <t>8°00′ W</t>
  </si>
  <si>
    <t>Beetz et al. 2013</t>
    <phoneticPr fontId="1" type="noConversion"/>
  </si>
  <si>
    <r>
      <t>53°41′</t>
    </r>
    <r>
      <rPr>
        <sz val="12"/>
        <color theme="1"/>
        <rFont val="微软雅黑"/>
        <family val="2"/>
        <charset val="134"/>
      </rPr>
      <t/>
    </r>
  </si>
  <si>
    <t>8°49′</t>
  </si>
  <si>
    <t>Eriophorum angustifolium, Sphagnum fallax</t>
    <phoneticPr fontId="1" type="noConversion"/>
  </si>
  <si>
    <t>2007/07/01-2008/06/30</t>
    <phoneticPr fontId="1" type="noConversion"/>
  </si>
  <si>
    <t>2008/07/01-2009/06/30</t>
    <phoneticPr fontId="1" type="noConversion"/>
  </si>
  <si>
    <t>Nykanen et al. 1995</t>
    <phoneticPr fontId="1" type="noConversion"/>
  </si>
  <si>
    <r>
      <t>62°40′</t>
    </r>
    <r>
      <rPr>
        <sz val="12"/>
        <color theme="1"/>
        <rFont val="微软雅黑"/>
        <family val="2"/>
        <charset val="134"/>
      </rPr>
      <t/>
    </r>
  </si>
  <si>
    <t>30°50′</t>
  </si>
  <si>
    <t>Molinia-Carex-Tri- chophorum caespitosum-Sphagnum papillosum</t>
    <phoneticPr fontId="1" type="noConversion"/>
  </si>
  <si>
    <t>Keating et al. 2016</t>
    <phoneticPr fontId="1" type="noConversion"/>
  </si>
  <si>
    <t>Jiang et al. 2009</t>
    <phoneticPr fontId="1" type="noConversion"/>
  </si>
  <si>
    <t>Deyeuxia angustifolia</t>
    <phoneticPr fontId="22" type="noConversion"/>
  </si>
  <si>
    <t>Shrub</t>
    <phoneticPr fontId="22" type="noConversion"/>
  </si>
  <si>
    <t>2006</t>
    <phoneticPr fontId="1" type="noConversion"/>
  </si>
  <si>
    <t>9.37</t>
    <phoneticPr fontId="1" type="noConversion"/>
  </si>
  <si>
    <t>111°51′</t>
  </si>
  <si>
    <t>2002/08-2003/07</t>
    <phoneticPr fontId="1" type="noConversion"/>
  </si>
  <si>
    <t>Salm et al. 2009</t>
  </si>
  <si>
    <t>Melling et al. 2007</t>
  </si>
  <si>
    <t>9.37</t>
  </si>
  <si>
    <t>10-30</t>
  </si>
  <si>
    <t>1-10</t>
  </si>
  <si>
    <t>Estonia</t>
  </si>
  <si>
    <t>1-10</t>
    <phoneticPr fontId="1" type="noConversion"/>
  </si>
  <si>
    <t>Water table manipulation</t>
  </si>
  <si>
    <t>Agriculture (N)</t>
  </si>
  <si>
    <t>Field, Chamber</t>
  </si>
  <si>
    <t>Var</t>
  </si>
  <si>
    <t>pH</t>
  </si>
  <si>
    <t>&gt;50</t>
  </si>
  <si>
    <t>&lt;1</t>
  </si>
  <si>
    <t>Marsh</t>
  </si>
  <si>
    <t>Swamp</t>
  </si>
  <si>
    <t>Forest</t>
  </si>
  <si>
    <t>overall</t>
  </si>
  <si>
    <t>Gyimah et al. 2020</t>
    <phoneticPr fontId="1" type="noConversion"/>
  </si>
  <si>
    <t>S. capillifolium, S. warnstorfii</t>
    <phoneticPr fontId="1" type="noConversion"/>
  </si>
  <si>
    <t>2016/05-09</t>
    <phoneticPr fontId="1" type="noConversion"/>
  </si>
  <si>
    <t>Hommeltenberg et al. 2014</t>
    <phoneticPr fontId="1" type="noConversion"/>
  </si>
  <si>
    <t>Pinus mugo ssp. rotundata
Link</t>
  </si>
  <si>
    <t>2010/06-2011/06</t>
    <phoneticPr fontId="1" type="noConversion"/>
  </si>
  <si>
    <t>2011/07-2012/06</t>
    <phoneticPr fontId="1" type="noConversion"/>
  </si>
  <si>
    <t>Mezbahuddin et al. 2014</t>
    <phoneticPr fontId="1" type="noConversion"/>
  </si>
  <si>
    <t>2002</t>
    <phoneticPr fontId="1" type="noConversion"/>
  </si>
  <si>
    <t>2003</t>
    <phoneticPr fontId="1" type="noConversion"/>
  </si>
  <si>
    <t>2004</t>
    <phoneticPr fontId="1" type="noConversion"/>
  </si>
  <si>
    <t>Planas-Clarke et al. 2020</t>
    <phoneticPr fontId="1" type="noConversion"/>
  </si>
  <si>
    <t>Peru</t>
    <phoneticPr fontId="1" type="noConversion"/>
  </si>
  <si>
    <t>Calamagrostis spp.</t>
    <phoneticPr fontId="1" type="noConversion"/>
  </si>
  <si>
    <t>2015/06/01-2016/12/01</t>
    <phoneticPr fontId="1" type="noConversion"/>
  </si>
  <si>
    <t>Deep drainage</t>
    <phoneticPr fontId="1" type="noConversion"/>
  </si>
  <si>
    <t>Shallow drainage</t>
    <phoneticPr fontId="1" type="noConversion"/>
  </si>
  <si>
    <t>48° 15.842′N</t>
  </si>
  <si>
    <t>58° 39.913′ W</t>
  </si>
  <si>
    <t>47° 48′34″N</t>
  </si>
  <si>
    <t>11° 27′11″E</t>
  </si>
  <si>
    <t>47° 48′23″N</t>
  </si>
  <si>
    <t>11° 19′39″E</t>
  </si>
  <si>
    <t>9° 41′21.8″S</t>
  </si>
  <si>
    <t>77° 14′18.40″W</t>
  </si>
  <si>
    <t>Xhuan Wong et al. 2020</t>
  </si>
  <si>
    <t>Malaysia</t>
  </si>
  <si>
    <t>1°23′</t>
  </si>
  <si>
    <t>111°24′</t>
  </si>
  <si>
    <t>2°11′</t>
  </si>
  <si>
    <t>111°50′</t>
  </si>
  <si>
    <t>Shorea albida.</t>
  </si>
  <si>
    <t>ombrotrophic</t>
  </si>
  <si>
    <t>2014</t>
  </si>
  <si>
    <t>2015</t>
  </si>
  <si>
    <t>2016</t>
  </si>
  <si>
    <t>Rocha and Goulden, 2010</t>
  </si>
  <si>
    <r>
      <t>37°12</t>
    </r>
    <r>
      <rPr>
        <sz val="12"/>
        <color theme="1"/>
        <rFont val="等线"/>
        <family val="2"/>
      </rPr>
      <t>′</t>
    </r>
    <r>
      <rPr>
        <sz val="12"/>
        <color theme="1"/>
        <rFont val="Calibri"/>
        <family val="2"/>
      </rPr>
      <t>2.001</t>
    </r>
    <r>
      <rPr>
        <sz val="12"/>
        <color theme="1"/>
        <rFont val="等线"/>
        <family val="2"/>
      </rPr>
      <t>″</t>
    </r>
    <r>
      <rPr>
        <sz val="12"/>
        <color theme="1"/>
        <rFont val="Calibri"/>
        <family val="2"/>
      </rPr>
      <t>N</t>
    </r>
  </si>
  <si>
    <r>
      <t>122°1</t>
    </r>
    <r>
      <rPr>
        <sz val="12"/>
        <color theme="1"/>
        <rFont val="等线"/>
        <family val="2"/>
      </rPr>
      <t>′</t>
    </r>
    <r>
      <rPr>
        <sz val="12"/>
        <color theme="1"/>
        <rFont val="Calibri"/>
        <family val="2"/>
      </rPr>
      <t>34.899</t>
    </r>
    <r>
      <rPr>
        <sz val="12"/>
        <color theme="1"/>
        <rFont val="等线"/>
        <family val="2"/>
      </rPr>
      <t>″</t>
    </r>
    <r>
      <rPr>
        <sz val="12"/>
        <color theme="1"/>
        <rFont val="Calibri"/>
        <family val="2"/>
      </rPr>
      <t>W</t>
    </r>
  </si>
  <si>
    <t>Juncus balticus, Distichlis spicata, and Sarcocornia pacifica</t>
    <phoneticPr fontId="1" type="noConversion"/>
  </si>
  <si>
    <t>Valde´s-Barrera et al. 2019</t>
    <phoneticPr fontId="1" type="noConversion"/>
  </si>
  <si>
    <t>Chile</t>
  </si>
  <si>
    <t>Sphagnum moss</t>
    <phoneticPr fontId="1" type="noConversion"/>
  </si>
  <si>
    <t>2015/10-2016/10</t>
    <phoneticPr fontId="1" type="noConversion"/>
  </si>
  <si>
    <t>Annual</t>
    <phoneticPr fontId="3" type="noConversion"/>
  </si>
  <si>
    <t>41°52′S</t>
  </si>
  <si>
    <t>73°40′W</t>
  </si>
  <si>
    <t>Yang et al. 2013</t>
  </si>
  <si>
    <r>
      <t>37°45</t>
    </r>
    <r>
      <rPr>
        <sz val="12"/>
        <color theme="1"/>
        <rFont val="等线"/>
        <family val="2"/>
      </rPr>
      <t>′</t>
    </r>
    <r>
      <rPr>
        <sz val="12"/>
        <color theme="1"/>
        <rFont val="Calibri"/>
        <family val="2"/>
      </rPr>
      <t>50</t>
    </r>
    <r>
      <rPr>
        <sz val="12"/>
        <color theme="1"/>
        <rFont val="等线"/>
        <family val="2"/>
      </rPr>
      <t>″</t>
    </r>
    <r>
      <rPr>
        <sz val="12"/>
        <color theme="1"/>
        <rFont val="Calibri"/>
        <family val="2"/>
      </rPr>
      <t xml:space="preserve"> N</t>
    </r>
  </si>
  <si>
    <r>
      <t>118°59</t>
    </r>
    <r>
      <rPr>
        <sz val="12"/>
        <color theme="1"/>
        <rFont val="等线"/>
        <family val="2"/>
      </rPr>
      <t>′</t>
    </r>
    <r>
      <rPr>
        <sz val="12"/>
        <color theme="1"/>
        <rFont val="Calibri"/>
        <family val="2"/>
      </rPr>
      <t>24</t>
    </r>
    <r>
      <rPr>
        <sz val="12"/>
        <color theme="1"/>
        <rFont val="等线"/>
        <family val="2"/>
      </rPr>
      <t>″</t>
    </r>
    <r>
      <rPr>
        <sz val="12"/>
        <color theme="1"/>
        <rFont val="Calibri"/>
        <family val="2"/>
      </rPr>
      <t xml:space="preserve"> E</t>
    </r>
  </si>
  <si>
    <t>seasonally</t>
  </si>
  <si>
    <t>Phragmites australis, Suaeda salsa, Tamarix chinensis, Imperata cylindrical var. major</t>
  </si>
  <si>
    <t>2011</t>
  </si>
  <si>
    <t>Annual</t>
  </si>
  <si>
    <t>Grassland (N)</t>
  </si>
  <si>
    <t>Grassland</t>
  </si>
  <si>
    <t>Planas-Clarke et al. 2020</t>
  </si>
  <si>
    <t>Deep drainage</t>
  </si>
  <si>
    <t>Seasonally</t>
  </si>
  <si>
    <t>Pristine</t>
    <phoneticPr fontId="1" type="noConversion"/>
  </si>
  <si>
    <t>CO2</t>
    <phoneticPr fontId="1" type="noConversion"/>
  </si>
  <si>
    <t>CH4</t>
    <phoneticPr fontId="1" type="noConversion"/>
  </si>
  <si>
    <t>N2O</t>
    <phoneticPr fontId="1" type="noConversion"/>
  </si>
  <si>
    <t>&lt; 1</t>
    <phoneticPr fontId="1" type="noConversion"/>
  </si>
  <si>
    <t>30-50</t>
    <phoneticPr fontId="1" type="noConversion"/>
  </si>
  <si>
    <t>&gt;50</t>
    <phoneticPr fontId="1" type="noConversion"/>
  </si>
  <si>
    <t>Peat extraction</t>
    <phoneticPr fontId="1" type="noConversion"/>
  </si>
  <si>
    <t>Olefeldt et al. 2017</t>
    <phoneticPr fontId="1" type="noConversion"/>
  </si>
  <si>
    <r>
      <t>68°28</t>
    </r>
    <r>
      <rPr>
        <sz val="12"/>
        <color theme="1"/>
        <rFont val="宋体"/>
        <family val="3"/>
        <charset val="134"/>
      </rPr>
      <t>′</t>
    </r>
    <r>
      <rPr>
        <sz val="12"/>
        <color theme="1"/>
        <rFont val="Calibri"/>
        <family val="2"/>
      </rPr>
      <t>W</t>
    </r>
    <phoneticPr fontId="1" type="noConversion"/>
  </si>
  <si>
    <t>Deshmukh et al. 2021</t>
    <phoneticPr fontId="1" type="noConversion"/>
  </si>
  <si>
    <t>Shorea
uliginosa, Calophyllum ferrugineum and Syzygium</t>
    <phoneticPr fontId="1" type="noConversion"/>
  </si>
  <si>
    <t>0-50</t>
    <phoneticPr fontId="1" type="noConversion"/>
  </si>
  <si>
    <t>2017/06-2018/05</t>
    <phoneticPr fontId="1" type="noConversion"/>
  </si>
  <si>
    <t>2018/06-2019/05</t>
    <phoneticPr fontId="1" type="noConversion"/>
  </si>
  <si>
    <t>2019/06-2020/05</t>
    <phoneticPr fontId="1" type="noConversion"/>
  </si>
  <si>
    <t>0-150</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</si>
</sst>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0.00_);[Red]\(0.00\)"/>
    <numFmt numFmtId="178" formatCode="0_);[Red]\(0\)"/>
    <numFmt numFmtId="179" formatCode="0_ "/>
    <numFmt numFmtId="180" formatCode="0.0_ "/>
    <numFmt numFmtId="181" formatCode="0.000_ "/>
    <numFmt numFmtId="182" formatCode="0.000"/>
    <numFmt numFmtId="183" formatCode="0.0"/>
    <numFmt numFmtId="184" formatCode="0.0000_ "/>
    <numFmt numFmtId="185" formatCode="0.000000"/>
  </numFmts>
  <fonts count="29" x14ac:knownFonts="1">
    <font>
      <sz val="11"/>
      <color theme="1"/>
      <name val="宋体"/>
      <family val="2"/>
      <scheme val="minor"/>
    </font>
    <font>
      <sz val="9"/>
      <name val="宋体"/>
      <family val="3"/>
      <charset val="134"/>
      <scheme val="minor"/>
    </font>
    <font>
      <sz val="9"/>
      <name val="宋体"/>
      <family val="3"/>
      <charset val="134"/>
    </font>
    <font>
      <sz val="9"/>
      <color indexed="81"/>
      <name val="宋体"/>
      <family val="3"/>
      <charset val="134"/>
    </font>
    <font>
      <b/>
      <sz val="9"/>
      <color indexed="81"/>
      <name val="宋体"/>
      <family val="3"/>
      <charset val="134"/>
    </font>
    <font>
      <sz val="9"/>
      <color indexed="81"/>
      <name val="Tahoma"/>
      <family val="2"/>
    </font>
    <font>
      <b/>
      <sz val="9"/>
      <color indexed="81"/>
      <name val="Tahoma"/>
      <family val="2"/>
    </font>
    <font>
      <sz val="12"/>
      <name val="Calibri"/>
      <family val="2"/>
    </font>
    <font>
      <sz val="12"/>
      <color indexed="8"/>
      <name val="Calibri"/>
      <family val="2"/>
    </font>
    <font>
      <b/>
      <sz val="12"/>
      <name val="Calibri"/>
      <family val="2"/>
    </font>
    <font>
      <i/>
      <sz val="12"/>
      <name val="Calibri"/>
      <family val="2"/>
    </font>
    <font>
      <b/>
      <sz val="12"/>
      <color theme="1"/>
      <name val="Calibri"/>
      <family val="2"/>
    </font>
    <font>
      <sz val="12"/>
      <color theme="1"/>
      <name val="Calibri"/>
      <family val="2"/>
    </font>
    <font>
      <b/>
      <vertAlign val="subscript"/>
      <sz val="12"/>
      <name val="Calibri"/>
      <family val="2"/>
    </font>
    <font>
      <b/>
      <vertAlign val="subscript"/>
      <sz val="12"/>
      <color theme="1"/>
      <name val="Calibri"/>
      <family val="2"/>
    </font>
    <font>
      <b/>
      <vertAlign val="superscript"/>
      <sz val="12"/>
      <color theme="1"/>
      <name val="Calibri"/>
      <family val="2"/>
    </font>
    <font>
      <sz val="11"/>
      <color theme="1"/>
      <name val="Calibri"/>
      <family val="2"/>
    </font>
    <font>
      <i/>
      <sz val="12"/>
      <color theme="1"/>
      <name val="Calibri"/>
      <family val="2"/>
    </font>
    <font>
      <vertAlign val="superscript"/>
      <sz val="12"/>
      <color theme="1"/>
      <name val="Calibri"/>
      <family val="2"/>
    </font>
    <font>
      <sz val="12"/>
      <color theme="1"/>
      <name val="微软雅黑"/>
      <family val="2"/>
      <charset val="134"/>
    </font>
    <font>
      <sz val="12"/>
      <color theme="1"/>
      <name val="宋体"/>
      <family val="3"/>
      <charset val="134"/>
    </font>
    <font>
      <sz val="9"/>
      <name val="宋体"/>
      <family val="2"/>
      <charset val="134"/>
      <scheme val="minor"/>
    </font>
    <font>
      <sz val="12"/>
      <color rgb="FF000000"/>
      <name val="Calibri"/>
      <family val="2"/>
    </font>
    <font>
      <b/>
      <i/>
      <sz val="12"/>
      <name val="Calibri"/>
      <family val="2"/>
    </font>
    <font>
      <b/>
      <i/>
      <sz val="12"/>
      <color theme="1"/>
      <name val="Calibri"/>
      <family val="2"/>
    </font>
    <font>
      <sz val="12"/>
      <color theme="0"/>
      <name val="Calibri"/>
      <family val="2"/>
    </font>
    <font>
      <vertAlign val="subscript"/>
      <sz val="11"/>
      <color theme="1"/>
      <name val="Calibri"/>
      <family val="2"/>
    </font>
    <font>
      <i/>
      <sz val="11"/>
      <color theme="1"/>
      <name val="Calibri"/>
      <family val="2"/>
    </font>
    <font>
      <sz val="12"/>
      <color theme="1"/>
      <name val="等线"/>
      <family val="2"/>
    </font>
  </fonts>
  <fills count="7">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s>
  <borders count="4">
    <border>
      <left/>
      <right/>
      <top/>
      <bottom/>
      <diagonal/>
    </border>
    <border>
      <left/>
      <right/>
      <top/>
      <bottom style="medium">
        <color theme="4" tint="0.39997558519241921"/>
      </bottom>
      <diagonal/>
    </border>
    <border>
      <left style="thin">
        <color theme="0" tint="-0.14996795556505021"/>
      </left>
      <right style="thin">
        <color theme="0" tint="-0.14996795556505021"/>
      </right>
      <top/>
      <bottom/>
      <diagonal/>
    </border>
    <border>
      <left/>
      <right/>
      <top/>
      <bottom style="thin">
        <color theme="0" tint="-0.14996795556505021"/>
      </bottom>
      <diagonal/>
    </border>
  </borders>
  <cellStyleXfs count="1">
    <xf numFmtId="0" fontId="0" fillId="0" borderId="0"/>
  </cellStyleXfs>
  <cellXfs count="115">
    <xf numFmtId="0" fontId="0" fillId="0" borderId="0" xfId="0"/>
    <xf numFmtId="178" fontId="7" fillId="0" borderId="0" xfId="0" applyNumberFormat="1" applyFont="1" applyAlignment="1">
      <alignment horizontal="left" vertical="center" wrapText="1"/>
    </xf>
    <xf numFmtId="0" fontId="7" fillId="0" borderId="0" xfId="0" applyFont="1" applyAlignment="1">
      <alignment horizontal="left" vertical="center" wrapText="1"/>
    </xf>
    <xf numFmtId="176" fontId="7" fillId="0" borderId="0" xfId="0" applyNumberFormat="1" applyFont="1" applyAlignment="1">
      <alignment horizontal="left" vertical="center" wrapText="1"/>
    </xf>
    <xf numFmtId="180" fontId="7" fillId="0" borderId="0" xfId="0" applyNumberFormat="1" applyFont="1" applyAlignment="1">
      <alignment horizontal="left" vertical="center" wrapText="1"/>
    </xf>
    <xf numFmtId="176" fontId="8" fillId="0" borderId="0" xfId="0" applyNumberFormat="1" applyFont="1" applyAlignment="1">
      <alignment horizontal="left" vertical="center" wrapText="1"/>
    </xf>
    <xf numFmtId="176" fontId="9" fillId="2" borderId="0" xfId="0" applyNumberFormat="1" applyFont="1" applyFill="1" applyAlignment="1">
      <alignment horizontal="left" vertical="center" wrapText="1"/>
    </xf>
    <xf numFmtId="178" fontId="10" fillId="0" borderId="0" xfId="0" applyNumberFormat="1" applyFont="1" applyAlignment="1">
      <alignment horizontal="left" vertical="center" wrapText="1"/>
    </xf>
    <xf numFmtId="176" fontId="11" fillId="2" borderId="0" xfId="0" applyNumberFormat="1" applyFont="1" applyFill="1" applyAlignment="1">
      <alignment horizontal="left" vertical="center" wrapText="1"/>
    </xf>
    <xf numFmtId="176" fontId="12" fillId="0" borderId="0" xfId="0" applyNumberFormat="1" applyFont="1" applyAlignment="1">
      <alignment horizontal="left" vertical="center" wrapText="1"/>
    </xf>
    <xf numFmtId="0" fontId="9" fillId="2" borderId="1" xfId="0" applyFont="1" applyFill="1" applyBorder="1" applyAlignment="1">
      <alignment horizontal="left" vertical="center" wrapText="1"/>
    </xf>
    <xf numFmtId="178" fontId="12" fillId="0" borderId="0" xfId="0" applyNumberFormat="1" applyFont="1" applyAlignment="1">
      <alignment horizontal="left"/>
    </xf>
    <xf numFmtId="176" fontId="12" fillId="0" borderId="0" xfId="0" applyNumberFormat="1" applyFont="1" applyAlignment="1">
      <alignment horizontal="left"/>
    </xf>
    <xf numFmtId="179" fontId="12" fillId="0" borderId="0" xfId="0" applyNumberFormat="1" applyFont="1" applyAlignment="1">
      <alignment horizontal="left"/>
    </xf>
    <xf numFmtId="180" fontId="12" fillId="0" borderId="0" xfId="0" applyNumberFormat="1" applyFont="1" applyAlignment="1">
      <alignment horizontal="left"/>
    </xf>
    <xf numFmtId="176" fontId="7" fillId="0" borderId="0" xfId="0" applyNumberFormat="1" applyFont="1" applyAlignment="1">
      <alignment horizontal="left"/>
    </xf>
    <xf numFmtId="0" fontId="12" fillId="0" borderId="0" xfId="0" applyFont="1" applyAlignment="1">
      <alignment horizontal="left"/>
    </xf>
    <xf numFmtId="0" fontId="12" fillId="0" borderId="0" xfId="0" applyFont="1"/>
    <xf numFmtId="179" fontId="7" fillId="0" borderId="0" xfId="0" applyNumberFormat="1" applyFont="1" applyAlignment="1">
      <alignment horizontal="left"/>
    </xf>
    <xf numFmtId="2" fontId="12" fillId="0" borderId="0" xfId="0" applyNumberFormat="1" applyFont="1" applyAlignment="1">
      <alignment horizontal="left"/>
    </xf>
    <xf numFmtId="177" fontId="12" fillId="0" borderId="0" xfId="0" applyNumberFormat="1" applyFont="1" applyAlignment="1">
      <alignment horizontal="left"/>
    </xf>
    <xf numFmtId="0" fontId="16" fillId="0" borderId="0" xfId="0" applyFont="1"/>
    <xf numFmtId="179" fontId="10" fillId="0" borderId="0" xfId="0" applyNumberFormat="1" applyFont="1" applyAlignment="1">
      <alignment horizontal="left" vertical="center" wrapText="1"/>
    </xf>
    <xf numFmtId="176" fontId="17" fillId="0" borderId="0" xfId="0" applyNumberFormat="1" applyFont="1" applyAlignment="1">
      <alignment horizontal="left"/>
    </xf>
    <xf numFmtId="179" fontId="16" fillId="0" borderId="0" xfId="0" applyNumberFormat="1" applyFont="1" applyAlignment="1">
      <alignment horizontal="left"/>
    </xf>
    <xf numFmtId="2" fontId="16" fillId="0" borderId="0" xfId="0" applyNumberFormat="1" applyFont="1" applyAlignment="1">
      <alignment horizontal="left"/>
    </xf>
    <xf numFmtId="178" fontId="16" fillId="0" borderId="0" xfId="0" applyNumberFormat="1" applyFont="1" applyAlignment="1">
      <alignment horizontal="left"/>
    </xf>
    <xf numFmtId="179" fontId="12" fillId="0" borderId="0" xfId="0" applyNumberFormat="1" applyFont="1" applyAlignment="1">
      <alignment horizontal="left" vertical="center" wrapText="1"/>
    </xf>
    <xf numFmtId="179" fontId="7" fillId="0" borderId="0" xfId="0" applyNumberFormat="1" applyFont="1" applyAlignment="1">
      <alignment horizontal="left" vertical="center" wrapText="1"/>
    </xf>
    <xf numFmtId="181" fontId="12" fillId="0" borderId="0" xfId="0" applyNumberFormat="1" applyFont="1" applyAlignment="1">
      <alignment horizontal="left"/>
    </xf>
    <xf numFmtId="176" fontId="17"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49" fontId="12" fillId="0" borderId="0" xfId="0" applyNumberFormat="1" applyFont="1" applyAlignment="1">
      <alignment horizontal="left"/>
    </xf>
    <xf numFmtId="49" fontId="7" fillId="0" borderId="0" xfId="0" applyNumberFormat="1" applyFont="1" applyAlignment="1">
      <alignment horizontal="left" vertical="center" wrapText="1"/>
    </xf>
    <xf numFmtId="49" fontId="12" fillId="0" borderId="0" xfId="0" applyNumberFormat="1" applyFont="1"/>
    <xf numFmtId="181" fontId="7" fillId="0" borderId="0" xfId="0" applyNumberFormat="1" applyFont="1" applyAlignment="1">
      <alignment horizontal="left"/>
    </xf>
    <xf numFmtId="177" fontId="7" fillId="0" borderId="0" xfId="0" applyNumberFormat="1" applyFont="1" applyAlignment="1">
      <alignment horizontal="left" vertical="center" wrapText="1"/>
    </xf>
    <xf numFmtId="181" fontId="7" fillId="0" borderId="0" xfId="0" applyNumberFormat="1" applyFont="1" applyAlignment="1">
      <alignment horizontal="left" vertical="center" wrapText="1"/>
    </xf>
    <xf numFmtId="178" fontId="12" fillId="0" borderId="0" xfId="0" applyNumberFormat="1" applyFont="1" applyAlignment="1">
      <alignment horizontal="left" vertical="top"/>
    </xf>
    <xf numFmtId="176" fontId="12" fillId="0" borderId="0" xfId="0" applyNumberFormat="1" applyFont="1" applyAlignment="1">
      <alignment horizontal="left" vertical="top"/>
    </xf>
    <xf numFmtId="180" fontId="12" fillId="0" borderId="0" xfId="0" applyNumberFormat="1" applyFont="1" applyAlignment="1">
      <alignment horizontal="left" vertical="top"/>
    </xf>
    <xf numFmtId="179" fontId="12" fillId="0" borderId="0" xfId="0" applyNumberFormat="1" applyFont="1" applyAlignment="1">
      <alignment horizontal="left" vertical="top"/>
    </xf>
    <xf numFmtId="49" fontId="12" fillId="0" borderId="0" xfId="0" applyNumberFormat="1" applyFont="1" applyAlignment="1">
      <alignment horizontal="left" vertical="top"/>
    </xf>
    <xf numFmtId="177" fontId="12" fillId="0" borderId="0" xfId="0" applyNumberFormat="1" applyFont="1" applyAlignment="1">
      <alignment horizontal="left" vertical="top"/>
    </xf>
    <xf numFmtId="0" fontId="12" fillId="0" borderId="0" xfId="0" applyFont="1" applyAlignment="1">
      <alignment vertical="top"/>
    </xf>
    <xf numFmtId="49" fontId="12" fillId="0" borderId="0" xfId="0" applyNumberFormat="1" applyFont="1" applyAlignment="1">
      <alignment vertical="top"/>
    </xf>
    <xf numFmtId="1" fontId="16" fillId="0" borderId="0" xfId="0" applyNumberFormat="1" applyFont="1" applyAlignment="1">
      <alignment horizontal="left"/>
    </xf>
    <xf numFmtId="2" fontId="12" fillId="0" borderId="0" xfId="0" applyNumberFormat="1" applyFont="1" applyAlignment="1">
      <alignment horizontal="left" vertical="top"/>
    </xf>
    <xf numFmtId="2" fontId="12" fillId="0" borderId="0" xfId="0" applyNumberFormat="1" applyFont="1" applyAlignment="1">
      <alignment horizontal="left" vertical="center"/>
    </xf>
    <xf numFmtId="2" fontId="7" fillId="0" borderId="0" xfId="0" applyNumberFormat="1" applyFont="1" applyAlignment="1">
      <alignment horizontal="left" vertical="center" wrapText="1"/>
    </xf>
    <xf numFmtId="176" fontId="12" fillId="5" borderId="0" xfId="0" applyNumberFormat="1" applyFont="1" applyFill="1" applyAlignment="1">
      <alignment horizontal="left"/>
    </xf>
    <xf numFmtId="178" fontId="7" fillId="0" borderId="0" xfId="0" applyNumberFormat="1" applyFont="1" applyAlignment="1">
      <alignment horizontal="left"/>
    </xf>
    <xf numFmtId="2" fontId="7" fillId="0" borderId="0" xfId="0" applyNumberFormat="1" applyFont="1" applyAlignment="1">
      <alignment horizontal="left"/>
    </xf>
    <xf numFmtId="180" fontId="7" fillId="0" borderId="0" xfId="0" applyNumberFormat="1" applyFont="1" applyAlignment="1">
      <alignment horizontal="left"/>
    </xf>
    <xf numFmtId="14" fontId="12" fillId="0" borderId="0" xfId="0" applyNumberFormat="1" applyFont="1" applyAlignment="1">
      <alignment horizontal="left"/>
    </xf>
    <xf numFmtId="176" fontId="17" fillId="0" borderId="0" xfId="0" applyNumberFormat="1" applyFont="1" applyAlignment="1">
      <alignment horizontal="left" wrapText="1"/>
    </xf>
    <xf numFmtId="0" fontId="22" fillId="0" borderId="0" xfId="0" applyFont="1" applyAlignment="1">
      <alignment horizontal="left"/>
    </xf>
    <xf numFmtId="0" fontId="17" fillId="0" borderId="0" xfId="0" applyFont="1" applyAlignment="1">
      <alignment horizontal="left"/>
    </xf>
    <xf numFmtId="176" fontId="25" fillId="0" borderId="0" xfId="0" applyNumberFormat="1" applyFont="1" applyAlignment="1">
      <alignment horizontal="left"/>
    </xf>
    <xf numFmtId="176" fontId="24" fillId="2" borderId="0" xfId="0" applyNumberFormat="1" applyFont="1" applyFill="1" applyAlignment="1">
      <alignment horizontal="left" vertical="center" wrapText="1"/>
    </xf>
    <xf numFmtId="176" fontId="12" fillId="6" borderId="0" xfId="0" applyNumberFormat="1" applyFont="1" applyFill="1" applyAlignment="1">
      <alignment horizontal="left"/>
    </xf>
    <xf numFmtId="176" fontId="12" fillId="3" borderId="2" xfId="0" applyNumberFormat="1" applyFont="1" applyFill="1" applyBorder="1" applyAlignment="1">
      <alignment horizontal="left" vertical="center" wrapText="1"/>
    </xf>
    <xf numFmtId="176" fontId="12" fillId="0" borderId="2" xfId="0" applyNumberFormat="1" applyFont="1" applyBorder="1" applyAlignment="1">
      <alignment horizontal="left" vertical="center" wrapText="1"/>
    </xf>
    <xf numFmtId="179" fontId="10" fillId="0" borderId="2" xfId="0" applyNumberFormat="1" applyFont="1" applyBorder="1" applyAlignment="1">
      <alignment horizontal="left" vertical="center" wrapText="1"/>
    </xf>
    <xf numFmtId="176" fontId="7" fillId="0" borderId="2" xfId="0" applyNumberFormat="1" applyFont="1" applyBorder="1" applyAlignment="1">
      <alignment horizontal="left" vertical="center" wrapText="1"/>
    </xf>
    <xf numFmtId="176" fontId="11" fillId="2" borderId="2" xfId="0" applyNumberFormat="1" applyFont="1" applyFill="1" applyBorder="1" applyAlignment="1">
      <alignment horizontal="left" vertical="center" wrapText="1"/>
    </xf>
    <xf numFmtId="182" fontId="7" fillId="0" borderId="0" xfId="0" applyNumberFormat="1" applyFont="1" applyAlignment="1">
      <alignment horizontal="left" vertical="center" wrapText="1"/>
    </xf>
    <xf numFmtId="182" fontId="7" fillId="0" borderId="0" xfId="0" applyNumberFormat="1" applyFont="1" applyAlignment="1">
      <alignment horizontal="left"/>
    </xf>
    <xf numFmtId="182" fontId="12" fillId="0" borderId="0" xfId="0" applyNumberFormat="1" applyFont="1" applyAlignment="1">
      <alignment horizontal="left"/>
    </xf>
    <xf numFmtId="182" fontId="12" fillId="6" borderId="0" xfId="0" applyNumberFormat="1" applyFont="1" applyFill="1" applyAlignment="1">
      <alignment horizontal="left"/>
    </xf>
    <xf numFmtId="2" fontId="12" fillId="6" borderId="0" xfId="0" applyNumberFormat="1" applyFont="1" applyFill="1" applyAlignment="1">
      <alignment horizontal="left"/>
    </xf>
    <xf numFmtId="1" fontId="10" fillId="0" borderId="0" xfId="0" applyNumberFormat="1" applyFont="1" applyAlignment="1">
      <alignment horizontal="left" vertical="center" wrapText="1"/>
    </xf>
    <xf numFmtId="1" fontId="12" fillId="0" borderId="0" xfId="0" applyNumberFormat="1" applyFont="1" applyAlignment="1">
      <alignment horizontal="left"/>
    </xf>
    <xf numFmtId="1" fontId="7" fillId="0" borderId="0" xfId="0" applyNumberFormat="1" applyFont="1" applyAlignment="1">
      <alignment horizontal="left"/>
    </xf>
    <xf numFmtId="1" fontId="12" fillId="0" borderId="0" xfId="0" applyNumberFormat="1" applyFont="1" applyAlignment="1">
      <alignment horizontal="left" vertical="top"/>
    </xf>
    <xf numFmtId="183" fontId="12" fillId="0" borderId="0" xfId="0" applyNumberFormat="1" applyFont="1" applyAlignment="1">
      <alignment horizontal="left"/>
    </xf>
    <xf numFmtId="1" fontId="27" fillId="0" borderId="0" xfId="0" applyNumberFormat="1" applyFont="1" applyAlignment="1">
      <alignment horizontal="left"/>
    </xf>
    <xf numFmtId="183" fontId="16" fillId="0" borderId="0" xfId="0" applyNumberFormat="1" applyFont="1" applyAlignment="1">
      <alignment horizontal="left"/>
    </xf>
    <xf numFmtId="0" fontId="16" fillId="4" borderId="0" xfId="0" applyFont="1" applyFill="1" applyAlignment="1">
      <alignment horizontal="left"/>
    </xf>
    <xf numFmtId="0" fontId="7" fillId="0" borderId="3" xfId="0" applyFont="1" applyBorder="1" applyAlignment="1">
      <alignment horizontal="left" vertical="center" wrapText="1"/>
    </xf>
    <xf numFmtId="0" fontId="12" fillId="0" borderId="0" xfId="0" applyFont="1" applyAlignment="1">
      <alignment horizontal="left" vertical="top"/>
    </xf>
    <xf numFmtId="183" fontId="12" fillId="0" borderId="0" xfId="0" applyNumberFormat="1" applyFont="1" applyAlignment="1">
      <alignment horizontal="left" vertical="top"/>
    </xf>
    <xf numFmtId="184" fontId="12" fillId="0" borderId="0" xfId="0" applyNumberFormat="1" applyFont="1" applyAlignment="1">
      <alignment horizontal="left"/>
    </xf>
    <xf numFmtId="0" fontId="17" fillId="0" borderId="0" xfId="0" applyFont="1" applyAlignment="1">
      <alignment horizontal="left" vertical="center"/>
    </xf>
    <xf numFmtId="0" fontId="12" fillId="0" borderId="0" xfId="0" applyFont="1" applyAlignment="1">
      <alignment horizontal="left" vertical="center"/>
    </xf>
    <xf numFmtId="183" fontId="7" fillId="0" borderId="0" xfId="0" applyNumberFormat="1" applyFont="1" applyAlignment="1">
      <alignment horizontal="left" vertical="center" wrapText="1"/>
    </xf>
    <xf numFmtId="1" fontId="7" fillId="0" borderId="0" xfId="0" applyNumberFormat="1" applyFont="1" applyAlignment="1">
      <alignment horizontal="left" vertical="center" wrapText="1"/>
    </xf>
    <xf numFmtId="185" fontId="12" fillId="0" borderId="0" xfId="0" applyNumberFormat="1" applyFont="1" applyAlignment="1">
      <alignment horizontal="left"/>
    </xf>
    <xf numFmtId="180" fontId="12" fillId="0" borderId="0" xfId="0" applyNumberFormat="1" applyFont="1" applyAlignment="1">
      <alignment horizontal="left" vertical="center"/>
    </xf>
    <xf numFmtId="178" fontId="12" fillId="0" borderId="0" xfId="0" applyNumberFormat="1" applyFont="1" applyAlignment="1">
      <alignment horizontal="left" vertical="center"/>
    </xf>
    <xf numFmtId="176" fontId="12" fillId="0" borderId="0" xfId="0" applyNumberFormat="1" applyFont="1" applyAlignment="1">
      <alignment horizontal="left" vertical="center"/>
    </xf>
    <xf numFmtId="179" fontId="12" fillId="0" borderId="0" xfId="0" applyNumberFormat="1" applyFont="1" applyAlignment="1">
      <alignment horizontal="left" vertical="center"/>
    </xf>
    <xf numFmtId="183" fontId="12" fillId="0" borderId="0" xfId="0" applyNumberFormat="1" applyFont="1" applyAlignment="1">
      <alignment horizontal="left" vertical="center"/>
    </xf>
    <xf numFmtId="176" fontId="17" fillId="0" borderId="0" xfId="0" applyNumberFormat="1" applyFont="1" applyAlignment="1">
      <alignment horizontal="left" vertical="center"/>
    </xf>
    <xf numFmtId="49" fontId="12" fillId="0" borderId="0" xfId="0" applyNumberFormat="1" applyFont="1" applyAlignment="1">
      <alignment horizontal="left" vertical="center"/>
    </xf>
    <xf numFmtId="0" fontId="22" fillId="0" borderId="0" xfId="0" applyFont="1" applyAlignment="1">
      <alignment horizontal="left" vertical="center"/>
    </xf>
    <xf numFmtId="1" fontId="12" fillId="0" borderId="0" xfId="0" applyNumberFormat="1" applyFont="1" applyAlignment="1">
      <alignment horizontal="left" vertical="center"/>
    </xf>
    <xf numFmtId="0" fontId="12" fillId="0" borderId="0" xfId="0" applyFont="1" applyAlignment="1">
      <alignment vertical="center"/>
    </xf>
    <xf numFmtId="49" fontId="12" fillId="0" borderId="0" xfId="0" applyNumberFormat="1" applyFont="1" applyAlignment="1">
      <alignment vertical="center"/>
    </xf>
    <xf numFmtId="181" fontId="12" fillId="0" borderId="0" xfId="0" applyNumberFormat="1" applyFont="1" applyAlignment="1">
      <alignment horizontal="left" vertical="center"/>
    </xf>
    <xf numFmtId="177" fontId="12" fillId="0" borderId="0" xfId="0" applyNumberFormat="1" applyFont="1" applyAlignment="1">
      <alignment horizontal="left" vertical="center"/>
    </xf>
    <xf numFmtId="176" fontId="7" fillId="0" borderId="0" xfId="0" applyNumberFormat="1" applyFont="1" applyAlignment="1">
      <alignment horizontal="left" vertical="center"/>
    </xf>
    <xf numFmtId="2" fontId="7" fillId="0" borderId="0" xfId="0" applyNumberFormat="1" applyFont="1" applyAlignment="1">
      <alignment horizontal="left" vertical="center"/>
    </xf>
    <xf numFmtId="179" fontId="7" fillId="0" borderId="0" xfId="0" applyNumberFormat="1" applyFont="1" applyAlignment="1">
      <alignment horizontal="left" vertical="center"/>
    </xf>
    <xf numFmtId="176" fontId="12" fillId="5" borderId="0" xfId="0" applyNumberFormat="1" applyFont="1" applyFill="1" applyAlignment="1">
      <alignment horizontal="left" vertical="center"/>
    </xf>
    <xf numFmtId="179" fontId="22" fillId="0" borderId="0" xfId="0" applyNumberFormat="1" applyFont="1" applyAlignment="1">
      <alignment horizontal="left"/>
    </xf>
    <xf numFmtId="179" fontId="22" fillId="0" borderId="0" xfId="0" applyNumberFormat="1" applyFont="1" applyAlignment="1">
      <alignment horizontal="left" vertical="center"/>
    </xf>
    <xf numFmtId="182" fontId="12" fillId="0" borderId="0" xfId="0" applyNumberFormat="1" applyFont="1" applyAlignment="1">
      <alignment horizontal="left" vertical="center"/>
    </xf>
    <xf numFmtId="2" fontId="12" fillId="5" borderId="0" xfId="0" applyNumberFormat="1" applyFont="1" applyFill="1" applyAlignment="1">
      <alignment horizontal="left"/>
    </xf>
    <xf numFmtId="2" fontId="12" fillId="0" borderId="0" xfId="0" applyNumberFormat="1" applyFont="1" applyAlignment="1">
      <alignment horizontal="left" vertical="center" wrapText="1"/>
    </xf>
    <xf numFmtId="0" fontId="16" fillId="0" borderId="0" xfId="0" applyFont="1" applyAlignment="1">
      <alignment horizontal="left"/>
    </xf>
    <xf numFmtId="49" fontId="16" fillId="0" borderId="0" xfId="0" applyNumberFormat="1" applyFont="1" applyAlignment="1">
      <alignment horizontal="left"/>
    </xf>
    <xf numFmtId="178" fontId="27" fillId="0" borderId="0" xfId="0" applyNumberFormat="1" applyFont="1" applyAlignment="1">
      <alignment horizontal="left"/>
    </xf>
    <xf numFmtId="176" fontId="16" fillId="0" borderId="0" xfId="0" applyNumberFormat="1" applyFont="1" applyAlignment="1">
      <alignment horizontal="left"/>
    </xf>
    <xf numFmtId="2" fontId="16" fillId="0" borderId="0" xfId="0" applyNumberFormat="1" applyFont="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styles" Target="styles.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easured%20annual%20CH4%20flux%20and%20ratio%20of%20GS%20to%20annual%20flux.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etland%20drainage/Measured%20annual%20N2O%20flux%20and%20ratio%20of%20GS%20to%20annual%20flu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pendix%20C_Measured%20annual%20CH4%20flux%20and%20ratio%20of%20GS%20to%20annual%20flu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easured%20annual%20N2O%20flux%20and%20ratio%20of%20GS%20to%20annual%20flux.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ppendix%20D_Measured%20annual%20N2O%20flux%20and%20ratio%20of%20GS%20to%20annual%20flux.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etland%20drainage/Meta-analsysis%20results/Drainage%20manuscript_lei%20ma/Appendix%20D_Measured%20annual%20N2O%20flux%20and%20ratio%20of%20GS%20to%20annual%20flux.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easured%20annual%20NEE%20flux%20and%20ratio%20of%20GS%20to%20annual%20flu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ppendix%20B_Measured%20annual%20NEE%20flux%20and%20ratio%20of%20GS%20to%20annual%20flux.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armisch/Wetland%20Drainage/Measured%20annual%20NEE%20flux%20and%20ratio%20of%20GS%20to%20annual%20flux.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etland%20drainage/Measured%20annual%20CH4%20flux%20and%20ratio%20of%20GS%20to%20annual%20flu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growing season flux of other"/>
      <sheetName val="Wet season flux for tropical"/>
      <sheetName val="Classess"/>
      <sheetName val="classes-1"/>
    </sheetNames>
    <sheetDataSet>
      <sheetData sheetId="0">
        <row r="58">
          <cell r="BE58">
            <v>0.87987625078551757</v>
          </cell>
          <cell r="BH58">
            <v>0.87680876026593679</v>
          </cell>
        </row>
        <row r="59">
          <cell r="BE59">
            <v>0.87987625078551757</v>
          </cell>
          <cell r="BH59">
            <v>0.8512939358825804</v>
          </cell>
        </row>
      </sheetData>
      <sheetData sheetId="1">
        <row r="2">
          <cell r="AZ2">
            <v>0.25878230183916778</v>
          </cell>
        </row>
        <row r="3">
          <cell r="AZ3">
            <v>0.95700000000000007</v>
          </cell>
        </row>
        <row r="4">
          <cell r="AZ4">
            <v>0.93900000000000006</v>
          </cell>
        </row>
        <row r="5">
          <cell r="AZ5">
            <v>0.68187016789423149</v>
          </cell>
          <cell r="BC5">
            <v>0.36436974789915955</v>
          </cell>
        </row>
      </sheetData>
      <sheetData sheetId="2">
        <row r="12">
          <cell r="AC12">
            <v>0.13764044943820217</v>
          </cell>
        </row>
      </sheetData>
      <sheetData sheetId="3">
        <row r="2">
          <cell r="I2">
            <v>0.70916311743334981</v>
          </cell>
        </row>
        <row r="3">
          <cell r="I3">
            <v>0.36436974789915955</v>
          </cell>
        </row>
        <row r="4">
          <cell r="I4">
            <v>0.86946705295565541</v>
          </cell>
        </row>
        <row r="5">
          <cell r="I5">
            <v>1.0092059921588532</v>
          </cell>
        </row>
        <row r="6">
          <cell r="I6">
            <v>0.96257807990765076</v>
          </cell>
        </row>
        <row r="7">
          <cell r="I7">
            <v>1.0434242180149325</v>
          </cell>
        </row>
        <row r="8">
          <cell r="I8">
            <v>0.96257807990765076</v>
          </cell>
        </row>
        <row r="9">
          <cell r="I9">
            <v>1.9573714285714285</v>
          </cell>
        </row>
        <row r="10">
          <cell r="I10">
            <v>0.86946705295565541</v>
          </cell>
        </row>
        <row r="11">
          <cell r="I11">
            <v>0.98737197946016864</v>
          </cell>
        </row>
        <row r="14">
          <cell r="I14">
            <v>0.96663740818469324</v>
          </cell>
        </row>
        <row r="15">
          <cell r="I15">
            <v>1.3366672129150714</v>
          </cell>
        </row>
        <row r="16">
          <cell r="I16">
            <v>1.3366672129150714</v>
          </cell>
        </row>
        <row r="17">
          <cell r="I17">
            <v>1.3366672129150714</v>
          </cell>
        </row>
        <row r="18">
          <cell r="I18">
            <v>0.93530916305256584</v>
          </cell>
        </row>
        <row r="19">
          <cell r="I19">
            <v>0.96792586876961351</v>
          </cell>
        </row>
        <row r="20">
          <cell r="I20">
            <v>0.8301472084340642</v>
          </cell>
        </row>
        <row r="21">
          <cell r="I21">
            <v>3.4066433266132075</v>
          </cell>
        </row>
        <row r="22">
          <cell r="I22">
            <v>0.68691704630009354</v>
          </cell>
        </row>
        <row r="23">
          <cell r="I23">
            <v>3.4066433266132075</v>
          </cell>
        </row>
        <row r="25">
          <cell r="I25">
            <v>3.4066433266132075</v>
          </cell>
        </row>
        <row r="27">
          <cell r="I27">
            <v>3.4066433266132075</v>
          </cell>
        </row>
        <row r="28">
          <cell r="I28">
            <v>0.75812801242498529</v>
          </cell>
        </row>
        <row r="29">
          <cell r="I29">
            <v>3.4066433266132075</v>
          </cell>
        </row>
        <row r="30">
          <cell r="I30">
            <v>3.4066433266132075</v>
          </cell>
        </row>
        <row r="31">
          <cell r="I31">
            <v>3.4066433266132075</v>
          </cell>
        </row>
        <row r="32">
          <cell r="I32">
            <v>0.72397581624922569</v>
          </cell>
        </row>
        <row r="33">
          <cell r="I33">
            <v>3.4066433266132075</v>
          </cell>
        </row>
        <row r="34">
          <cell r="I34">
            <v>3.4066433266132075</v>
          </cell>
        </row>
        <row r="35">
          <cell r="I35">
            <v>3.4066433266132075</v>
          </cell>
        </row>
        <row r="36">
          <cell r="I36">
            <v>0.72397581624922569</v>
          </cell>
        </row>
        <row r="37">
          <cell r="I37">
            <v>3.4066433266132075</v>
          </cell>
        </row>
        <row r="38">
          <cell r="I38">
            <v>3.4066433266132075</v>
          </cell>
        </row>
        <row r="39">
          <cell r="I39">
            <v>3.4066433266132075</v>
          </cell>
        </row>
        <row r="42">
          <cell r="I42">
            <v>0.93055928951386235</v>
          </cell>
        </row>
        <row r="43">
          <cell r="I43">
            <v>3.4066433266132075</v>
          </cell>
        </row>
        <row r="44">
          <cell r="I44">
            <v>0.77881271646822392</v>
          </cell>
        </row>
        <row r="46">
          <cell r="I46">
            <v>0.86946705295565541</v>
          </cell>
        </row>
        <row r="47">
          <cell r="I47">
            <v>0.97366968708395618</v>
          </cell>
        </row>
        <row r="48">
          <cell r="I48">
            <v>0.97366968708395618</v>
          </cell>
        </row>
        <row r="49">
          <cell r="I49">
            <v>0.97366968708395618</v>
          </cell>
        </row>
        <row r="50">
          <cell r="I50">
            <v>0.90399281691166955</v>
          </cell>
        </row>
        <row r="51">
          <cell r="I51">
            <v>0.97366968708395618</v>
          </cell>
        </row>
        <row r="52">
          <cell r="I52">
            <v>0.97366968708395618</v>
          </cell>
        </row>
        <row r="53">
          <cell r="I53">
            <v>0.97366968708395618</v>
          </cell>
        </row>
        <row r="54">
          <cell r="I54">
            <v>0.7046528154199998</v>
          </cell>
        </row>
        <row r="57">
          <cell r="I57">
            <v>0.40844891025288538</v>
          </cell>
        </row>
        <row r="58">
          <cell r="I58">
            <v>0.79059506739382501</v>
          </cell>
        </row>
        <row r="59">
          <cell r="I59">
            <v>0.9223168103448276</v>
          </cell>
        </row>
        <row r="61">
          <cell r="I61">
            <v>0.87309724455205373</v>
          </cell>
        </row>
        <row r="62">
          <cell r="I62">
            <v>0.85594038029014641</v>
          </cell>
        </row>
        <row r="63">
          <cell r="I63">
            <v>0.76121824359882606</v>
          </cell>
        </row>
        <row r="64">
          <cell r="I64">
            <v>3.4066433266132075</v>
          </cell>
        </row>
        <row r="67">
          <cell r="I67">
            <v>0.77874952914797102</v>
          </cell>
        </row>
        <row r="68">
          <cell r="I68">
            <v>0.97327155730801129</v>
          </cell>
        </row>
        <row r="69">
          <cell r="I69">
            <v>0.78669676550229517</v>
          </cell>
        </row>
        <row r="70">
          <cell r="I70">
            <v>0.97327155730801129</v>
          </cell>
        </row>
        <row r="71">
          <cell r="I71">
            <v>0.80380663932978524</v>
          </cell>
        </row>
        <row r="72">
          <cell r="I72">
            <v>3.9167839158778195</v>
          </cell>
        </row>
        <row r="73">
          <cell r="I73">
            <v>0.61222509867798558</v>
          </cell>
        </row>
        <row r="74">
          <cell r="I74">
            <v>0.97327155730801129</v>
          </cell>
        </row>
        <row r="75">
          <cell r="I75">
            <v>0.714298627627724</v>
          </cell>
        </row>
        <row r="76">
          <cell r="I76">
            <v>3.9167839158778195</v>
          </cell>
        </row>
        <row r="80">
          <cell r="I80">
            <v>0.78371807812188143</v>
          </cell>
        </row>
        <row r="81">
          <cell r="I81">
            <v>0.61079987084651144</v>
          </cell>
        </row>
        <row r="82">
          <cell r="I82">
            <v>0.91985890652557334</v>
          </cell>
        </row>
        <row r="83">
          <cell r="I83">
            <v>0.71832919417455454</v>
          </cell>
        </row>
        <row r="84">
          <cell r="I84">
            <v>0.69736051742362803</v>
          </cell>
        </row>
        <row r="85">
          <cell r="I85">
            <v>0.96096288272341113</v>
          </cell>
        </row>
        <row r="86">
          <cell r="I86">
            <v>0.72522659820094415</v>
          </cell>
        </row>
        <row r="87">
          <cell r="I87">
            <v>3.7553182544687886</v>
          </cell>
        </row>
        <row r="88">
          <cell r="I88">
            <v>0.93055928951386235</v>
          </cell>
        </row>
        <row r="89">
          <cell r="I89">
            <v>0.92130673870832558</v>
          </cell>
        </row>
        <row r="90">
          <cell r="I90">
            <v>0.65349580970528565</v>
          </cell>
        </row>
        <row r="91">
          <cell r="I91">
            <v>0.92130673870832558</v>
          </cell>
        </row>
        <row r="92">
          <cell r="I92">
            <v>0.87421742417556469</v>
          </cell>
        </row>
        <row r="93">
          <cell r="I93">
            <v>0.92130673870832558</v>
          </cell>
        </row>
        <row r="94">
          <cell r="I94">
            <v>0.74572514526900846</v>
          </cell>
        </row>
        <row r="95">
          <cell r="I95">
            <v>0.94963255586195827</v>
          </cell>
        </row>
        <row r="98">
          <cell r="I98">
            <v>0.75639609269494656</v>
          </cell>
        </row>
        <row r="99">
          <cell r="I99">
            <v>1.3333333333333333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growing season flux of other"/>
      <sheetName val="Wet season flux for tropical"/>
      <sheetName val="Classes"/>
      <sheetName val="classess-1"/>
    </sheetNames>
    <sheetDataSet>
      <sheetData sheetId="0"/>
      <sheetData sheetId="1"/>
      <sheetData sheetId="2"/>
      <sheetData sheetId="3">
        <row r="50">
          <cell r="I50">
            <v>0.21044436678639977</v>
          </cell>
        </row>
        <row r="51">
          <cell r="I51">
            <v>0.24967482156868534</v>
          </cell>
        </row>
        <row r="52">
          <cell r="I52">
            <v>0.21044436678639977</v>
          </cell>
        </row>
        <row r="53">
          <cell r="I53">
            <v>0.24967482156868534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growing season flux of other"/>
      <sheetName val="Wet season flux for tropical"/>
      <sheetName val="Classes"/>
    </sheetNames>
    <sheetDataSet>
      <sheetData sheetId="0"/>
      <sheetData sheetId="1"/>
      <sheetData sheetId="2">
        <row r="2">
          <cell r="I2">
            <v>0.70916311743334981</v>
          </cell>
          <cell r="J2">
            <v>0.32549239473866753</v>
          </cell>
        </row>
        <row r="3">
          <cell r="I3">
            <v>0.36436974789915955</v>
          </cell>
          <cell r="J3">
            <v>0.30435700523401332</v>
          </cell>
        </row>
        <row r="4">
          <cell r="I4">
            <v>0.86946705295565541</v>
          </cell>
          <cell r="J4">
            <v>0.18440241948324629</v>
          </cell>
        </row>
        <row r="5">
          <cell r="I5">
            <v>1.0092059921588532</v>
          </cell>
          <cell r="J5">
            <v>0.7481395745467444</v>
          </cell>
        </row>
        <row r="6">
          <cell r="I6">
            <v>0.96257807990765076</v>
          </cell>
          <cell r="J6">
            <v>0.81795614770122183</v>
          </cell>
        </row>
        <row r="7">
          <cell r="I7">
            <v>1.0434242180149325</v>
          </cell>
          <cell r="J7">
            <v>0.4401386836768918</v>
          </cell>
        </row>
        <row r="9">
          <cell r="I9">
            <v>1.9573714285714285</v>
          </cell>
          <cell r="J9">
            <v>0.25164920189884676</v>
          </cell>
        </row>
        <row r="10">
          <cell r="I10">
            <v>0.86946705295565541</v>
          </cell>
          <cell r="J10">
            <v>0.18440241948324629</v>
          </cell>
        </row>
        <row r="11">
          <cell r="I11">
            <v>0.98737197946016864</v>
          </cell>
          <cell r="J11">
            <v>2.0446862081013699</v>
          </cell>
        </row>
        <row r="14">
          <cell r="I14">
            <v>0.96663740818469324</v>
          </cell>
          <cell r="J14">
            <v>8.9294913499929629E-2</v>
          </cell>
        </row>
        <row r="16">
          <cell r="I16">
            <v>1.3366672129150714</v>
          </cell>
          <cell r="J16">
            <v>0.62829201199276719</v>
          </cell>
        </row>
        <row r="17">
          <cell r="I17">
            <v>1.3366672129150714</v>
          </cell>
          <cell r="J17">
            <v>0.62829201199276719</v>
          </cell>
        </row>
        <row r="18">
          <cell r="I18">
            <v>0.93530916305256584</v>
          </cell>
          <cell r="J18">
            <v>9.4524815423901801E-3</v>
          </cell>
        </row>
        <row r="19">
          <cell r="I19">
            <v>0.96792586876961351</v>
          </cell>
          <cell r="J19">
            <v>0.62999932148951265</v>
          </cell>
        </row>
        <row r="20">
          <cell r="I20">
            <v>0.8301472084340642</v>
          </cell>
          <cell r="J20">
            <v>0.1341756829687375</v>
          </cell>
        </row>
        <row r="21">
          <cell r="I21">
            <v>3.4066433266132075</v>
          </cell>
          <cell r="J21">
            <v>11.652988539765904</v>
          </cell>
        </row>
        <row r="22">
          <cell r="I22">
            <v>0.68691704630009354</v>
          </cell>
          <cell r="J22">
            <v>0.16467261139134251</v>
          </cell>
        </row>
        <row r="23">
          <cell r="I23">
            <v>3.4066433266132075</v>
          </cell>
          <cell r="J23">
            <v>11.652988539765904</v>
          </cell>
        </row>
        <row r="25">
          <cell r="I25">
            <v>3.4066433266132075</v>
          </cell>
          <cell r="J25">
            <v>11.652988539765904</v>
          </cell>
        </row>
        <row r="27">
          <cell r="I27">
            <v>3.4066433266132075</v>
          </cell>
          <cell r="J27">
            <v>11.652988539765904</v>
          </cell>
        </row>
        <row r="28">
          <cell r="I28">
            <v>0.75812801242498529</v>
          </cell>
          <cell r="J28">
            <v>0.24619074084906808</v>
          </cell>
        </row>
        <row r="29">
          <cell r="I29">
            <v>3.4066433266132075</v>
          </cell>
          <cell r="J29">
            <v>11.652988539765904</v>
          </cell>
        </row>
        <row r="30">
          <cell r="I30">
            <v>3.4066433266132075</v>
          </cell>
          <cell r="J30">
            <v>11.652988539765904</v>
          </cell>
        </row>
        <row r="31">
          <cell r="I31">
            <v>3.4066433266132075</v>
          </cell>
          <cell r="J31">
            <v>11.652988539765904</v>
          </cell>
        </row>
        <row r="32">
          <cell r="I32">
            <v>0.72397581624922569</v>
          </cell>
          <cell r="J32">
            <v>0.55424594503589364</v>
          </cell>
        </row>
        <row r="33">
          <cell r="I33">
            <v>3.4066433266132075</v>
          </cell>
          <cell r="J33">
            <v>11.652988539765904</v>
          </cell>
        </row>
        <row r="34">
          <cell r="I34">
            <v>3.4066433266132075</v>
          </cell>
          <cell r="J34">
            <v>11.652988539765904</v>
          </cell>
        </row>
        <row r="35">
          <cell r="I35">
            <v>3.4066433266132075</v>
          </cell>
          <cell r="J35">
            <v>11.652988539765904</v>
          </cell>
        </row>
        <row r="36">
          <cell r="I36">
            <v>0.72397581624922569</v>
          </cell>
          <cell r="J36">
            <v>0.55424594503589364</v>
          </cell>
        </row>
        <row r="37">
          <cell r="I37">
            <v>3.4066433266132075</v>
          </cell>
          <cell r="J37">
            <v>11.652988539765904</v>
          </cell>
        </row>
        <row r="43">
          <cell r="I43">
            <v>3.4066433266132075</v>
          </cell>
          <cell r="J43">
            <v>11.652988539765904</v>
          </cell>
        </row>
        <row r="46">
          <cell r="I46">
            <v>0.86946705295565541</v>
          </cell>
          <cell r="J46">
            <v>0.18440241948324629</v>
          </cell>
        </row>
        <row r="47">
          <cell r="I47">
            <v>0.97366968708395618</v>
          </cell>
          <cell r="J47">
            <v>1.9210672164601841</v>
          </cell>
        </row>
        <row r="49">
          <cell r="I49">
            <v>0.97366968708395618</v>
          </cell>
          <cell r="J49">
            <v>1.9210672164601841</v>
          </cell>
        </row>
        <row r="50">
          <cell r="I50">
            <v>0.90399281691166955</v>
          </cell>
          <cell r="J50">
            <v>0.14250736992946747</v>
          </cell>
        </row>
        <row r="52">
          <cell r="I52">
            <v>0.97366968708395618</v>
          </cell>
          <cell r="J52">
            <v>1.9210672164601841</v>
          </cell>
        </row>
        <row r="53">
          <cell r="I53">
            <v>0.97366968708395618</v>
          </cell>
          <cell r="J53">
            <v>1.9210672164601841</v>
          </cell>
        </row>
        <row r="58">
          <cell r="I58">
            <v>0.79059506739382501</v>
          </cell>
          <cell r="J58">
            <v>0.33985113415905849</v>
          </cell>
        </row>
        <row r="59">
          <cell r="I59">
            <v>0.9223168103448276</v>
          </cell>
          <cell r="J59">
            <v>8.7915927169508551E-2</v>
          </cell>
        </row>
        <row r="61">
          <cell r="I61">
            <v>0.87309724455205373</v>
          </cell>
          <cell r="J61">
            <v>4.7414913362596726E-2</v>
          </cell>
        </row>
        <row r="62">
          <cell r="I62">
            <v>0.85594038029014641</v>
          </cell>
          <cell r="J62">
            <v>5.4485343244659722E-2</v>
          </cell>
        </row>
        <row r="63">
          <cell r="I63">
            <v>0.76121824359882606</v>
          </cell>
          <cell r="J63">
            <v>0.15560618506141244</v>
          </cell>
        </row>
        <row r="64">
          <cell r="I64">
            <v>3.4066433266132075</v>
          </cell>
          <cell r="J64">
            <v>11.652988539765904</v>
          </cell>
        </row>
        <row r="67">
          <cell r="I67">
            <v>0.77874952914797102</v>
          </cell>
          <cell r="J67">
            <v>0.12915458016164605</v>
          </cell>
        </row>
        <row r="68">
          <cell r="I68">
            <v>0.97327155730801129</v>
          </cell>
          <cell r="J68">
            <v>0.56364064294326266</v>
          </cell>
        </row>
        <row r="70">
          <cell r="I70">
            <v>0.97327155730801129</v>
          </cell>
          <cell r="J70">
            <v>0.56364064294326266</v>
          </cell>
        </row>
        <row r="71">
          <cell r="I71">
            <v>0.80380663932978524</v>
          </cell>
          <cell r="J71">
            <v>0.15484430463875351</v>
          </cell>
        </row>
        <row r="72">
          <cell r="I72">
            <v>3.9167839158778195</v>
          </cell>
          <cell r="J72">
            <v>12.77564246988311</v>
          </cell>
        </row>
        <row r="73">
          <cell r="I73">
            <v>0.61222509867798558</v>
          </cell>
          <cell r="J73">
            <v>3.5055597789344695E-2</v>
          </cell>
        </row>
        <row r="74">
          <cell r="I74">
            <v>0.97327155730801129</v>
          </cell>
          <cell r="J74">
            <v>0.56364064294326266</v>
          </cell>
        </row>
        <row r="75">
          <cell r="I75">
            <v>0.714298627627724</v>
          </cell>
          <cell r="J75">
            <v>0.10734398971893981</v>
          </cell>
        </row>
        <row r="76">
          <cell r="I76">
            <v>3.9167839158778195</v>
          </cell>
          <cell r="J76">
            <v>12.77564246988311</v>
          </cell>
        </row>
        <row r="80">
          <cell r="I80">
            <v>0.78371807812188143</v>
          </cell>
          <cell r="J80">
            <v>0.13502820408576119</v>
          </cell>
        </row>
        <row r="81">
          <cell r="I81">
            <v>0.61079987084651144</v>
          </cell>
          <cell r="J81">
            <v>8.479782319080463E-2</v>
          </cell>
        </row>
        <row r="82">
          <cell r="I82">
            <v>0.91985890652557334</v>
          </cell>
          <cell r="J82">
            <v>7.5715844776196597E-2</v>
          </cell>
        </row>
        <row r="83">
          <cell r="I83">
            <v>0.71832919417455454</v>
          </cell>
          <cell r="J83">
            <v>0.19339490169361731</v>
          </cell>
        </row>
        <row r="84">
          <cell r="I84">
            <v>0.69736051742362803</v>
          </cell>
          <cell r="J84">
            <v>0.1291075753651483</v>
          </cell>
        </row>
        <row r="85">
          <cell r="I85">
            <v>0.96096288272341113</v>
          </cell>
          <cell r="J85">
            <v>0.54145673666439587</v>
          </cell>
        </row>
        <row r="86">
          <cell r="I86">
            <v>0.72522659820094415</v>
          </cell>
          <cell r="J86">
            <v>0.1433566077945376</v>
          </cell>
        </row>
        <row r="87">
          <cell r="I87">
            <v>3.7553182544687886</v>
          </cell>
          <cell r="J87">
            <v>12.359330201946909</v>
          </cell>
        </row>
        <row r="88">
          <cell r="I88">
            <v>0.93055928951386235</v>
          </cell>
          <cell r="J88">
            <v>3.4229487260071377E-2</v>
          </cell>
        </row>
        <row r="89">
          <cell r="I89">
            <v>0.92130673870832558</v>
          </cell>
          <cell r="J89">
            <v>6.1625013852671252E-2</v>
          </cell>
        </row>
        <row r="90">
          <cell r="I90">
            <v>0.65349580970528565</v>
          </cell>
          <cell r="J90">
            <v>0.30424388083098713</v>
          </cell>
        </row>
        <row r="91">
          <cell r="I91">
            <v>0.92130673870832558</v>
          </cell>
          <cell r="J91">
            <v>6.1625013852671252E-2</v>
          </cell>
        </row>
        <row r="92">
          <cell r="I92">
            <v>0.87421742417556469</v>
          </cell>
          <cell r="J92">
            <v>0.17277141539504581</v>
          </cell>
        </row>
        <row r="93">
          <cell r="I93">
            <v>0.92130673870832558</v>
          </cell>
          <cell r="J93">
            <v>6.1625013852671252E-2</v>
          </cell>
        </row>
        <row r="94">
          <cell r="I94">
            <v>0.74572514526900846</v>
          </cell>
          <cell r="J94">
            <v>0.14513664454596409</v>
          </cell>
        </row>
        <row r="95">
          <cell r="I95">
            <v>0.94963255586195827</v>
          </cell>
          <cell r="J95">
            <v>0.45187342312506157</v>
          </cell>
        </row>
        <row r="98">
          <cell r="I98">
            <v>0.75639609269494656</v>
          </cell>
          <cell r="J98">
            <v>0.14275802625402845</v>
          </cell>
        </row>
        <row r="99">
          <cell r="I99">
            <v>1.3333333333333333</v>
          </cell>
          <cell r="J99">
            <v>0.38586123009300755</v>
          </cell>
        </row>
        <row r="104">
          <cell r="I104">
            <v>0.44341945013085959</v>
          </cell>
        </row>
        <row r="105">
          <cell r="I105">
            <v>6.8928571428571423</v>
          </cell>
          <cell r="J105">
            <v>7.2225906935483088</v>
          </cell>
        </row>
        <row r="106">
          <cell r="I106">
            <v>0.8821696236465818</v>
          </cell>
          <cell r="J106">
            <v>1.1570001550186615</v>
          </cell>
        </row>
        <row r="107">
          <cell r="I107">
            <v>-1.5509259028935214</v>
          </cell>
          <cell r="J107">
            <v>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growing season flux of other"/>
      <sheetName val="Wet season flux for tropical"/>
      <sheetName val="Classes"/>
      <sheetName val="classess-1"/>
    </sheetNames>
    <sheetDataSet>
      <sheetData sheetId="0">
        <row r="29">
          <cell r="BL29">
            <v>1.3578544061302682</v>
          </cell>
          <cell r="BO29">
            <v>0.64608183602597014</v>
          </cell>
        </row>
        <row r="30">
          <cell r="BO30">
            <v>2.1186848436246986</v>
          </cell>
        </row>
        <row r="31">
          <cell r="BO31">
            <v>0.6136093266714252</v>
          </cell>
        </row>
        <row r="32">
          <cell r="BL32">
            <v>1.0817228050800662</v>
          </cell>
          <cell r="BO32">
            <v>-0.39298245614035093</v>
          </cell>
        </row>
        <row r="33">
          <cell r="BO33">
            <v>1.0316686967113273</v>
          </cell>
        </row>
        <row r="34">
          <cell r="BO34">
            <v>-0.10319573901464714</v>
          </cell>
        </row>
        <row r="37">
          <cell r="BL37">
            <v>0.50847457627118486</v>
          </cell>
          <cell r="BO37">
            <v>0.37681159420289939</v>
          </cell>
        </row>
        <row r="38">
          <cell r="BO38">
            <v>0.46666666666666629</v>
          </cell>
        </row>
        <row r="45">
          <cell r="BL45"/>
        </row>
        <row r="46">
          <cell r="BL46">
            <v>-5.766133361967142E-2</v>
          </cell>
        </row>
        <row r="50">
          <cell r="BL50">
            <v>1.8931297709923667</v>
          </cell>
        </row>
        <row r="51">
          <cell r="BL51">
            <v>-3.4602076124567471E-3</v>
          </cell>
        </row>
        <row r="52">
          <cell r="BL52">
            <v>0.17061611374407579</v>
          </cell>
        </row>
        <row r="58">
          <cell r="BL58">
            <v>2.887775115981154</v>
          </cell>
        </row>
        <row r="59">
          <cell r="BL59">
            <v>0.12748364377082289</v>
          </cell>
        </row>
      </sheetData>
      <sheetData sheetId="1">
        <row r="2">
          <cell r="AZ2">
            <v>0.56127272727272715</v>
          </cell>
          <cell r="BC2">
            <v>0.56316521739130421</v>
          </cell>
        </row>
        <row r="3">
          <cell r="AZ3">
            <v>0.25344</v>
          </cell>
        </row>
      </sheetData>
      <sheetData sheetId="2"/>
      <sheetData sheetId="3">
        <row r="4">
          <cell r="I4">
            <v>0.76949157434858506</v>
          </cell>
        </row>
        <row r="5">
          <cell r="I5">
            <v>0.58405948455152279</v>
          </cell>
        </row>
        <row r="6">
          <cell r="I6">
            <v>1.9374026069301362</v>
          </cell>
        </row>
        <row r="7">
          <cell r="I7">
            <v>0.98624700956937794</v>
          </cell>
        </row>
        <row r="8">
          <cell r="I8">
            <v>1.2568296310178508</v>
          </cell>
        </row>
        <row r="9">
          <cell r="I9">
            <v>0.98624700956937794</v>
          </cell>
        </row>
        <row r="10">
          <cell r="I10">
            <v>1.4267802316649554</v>
          </cell>
        </row>
        <row r="11">
          <cell r="I11">
            <v>0.64720910782830632</v>
          </cell>
        </row>
        <row r="12">
          <cell r="I12">
            <v>1.4267802316649554</v>
          </cell>
        </row>
        <row r="13">
          <cell r="I13">
            <v>0.64720910782830632</v>
          </cell>
        </row>
        <row r="14">
          <cell r="I14">
            <v>1.4267802316649554</v>
          </cell>
        </row>
        <row r="15">
          <cell r="I15">
            <v>0.64720910782830632</v>
          </cell>
        </row>
        <row r="16">
          <cell r="I16">
            <v>1.4267802316649554</v>
          </cell>
        </row>
        <row r="17">
          <cell r="I17">
            <v>0.40533190390650137</v>
          </cell>
        </row>
        <row r="18">
          <cell r="I18">
            <v>0.73073866799506282</v>
          </cell>
        </row>
        <row r="19">
          <cell r="I19">
            <v>0.4543667528814348</v>
          </cell>
        </row>
        <row r="20">
          <cell r="I20">
            <v>0.69763133864756199</v>
          </cell>
        </row>
        <row r="21">
          <cell r="I21">
            <v>0.74462952888107448</v>
          </cell>
        </row>
        <row r="22">
          <cell r="I22">
            <v>0.73073866799506282</v>
          </cell>
        </row>
        <row r="23">
          <cell r="I23">
            <v>0.47717865901432682</v>
          </cell>
        </row>
        <row r="24">
          <cell r="I24">
            <v>0.55026963954117203</v>
          </cell>
        </row>
        <row r="25">
          <cell r="I25">
            <v>0.63430145535447113</v>
          </cell>
        </row>
        <row r="26">
          <cell r="I26">
            <v>0.42995695390524497</v>
          </cell>
        </row>
        <row r="27">
          <cell r="I27">
            <v>0.68279570560988367</v>
          </cell>
        </row>
        <row r="28">
          <cell r="I28">
            <v>0.73073866799506282</v>
          </cell>
        </row>
        <row r="30">
          <cell r="I30">
            <v>0.34514531663565917</v>
          </cell>
        </row>
        <row r="31">
          <cell r="I31">
            <v>0.68279570560988367</v>
          </cell>
        </row>
        <row r="44">
          <cell r="I44">
            <v>0.42995695390524497</v>
          </cell>
        </row>
        <row r="45">
          <cell r="I45">
            <v>0.50301204819277101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growing season flux of other"/>
      <sheetName val="Wet season flux for tropical"/>
      <sheetName val="Classess"/>
    </sheetNames>
    <sheetDataSet>
      <sheetData sheetId="0"/>
      <sheetData sheetId="1"/>
      <sheetData sheetId="2">
        <row r="10">
          <cell r="I10">
            <v>1.4267802316649554</v>
          </cell>
          <cell r="J10">
            <v>4.2568537651185174</v>
          </cell>
        </row>
        <row r="50">
          <cell r="I50">
            <v>0.21044436678639977</v>
          </cell>
          <cell r="J50">
            <v>4.7495179441869038</v>
          </cell>
        </row>
        <row r="51">
          <cell r="I51">
            <v>0.24967482156868534</v>
          </cell>
          <cell r="J51">
            <v>0.5631747674800931</v>
          </cell>
        </row>
        <row r="52">
          <cell r="I52">
            <v>0.21044436678639977</v>
          </cell>
          <cell r="J52">
            <v>4.7495179441869038</v>
          </cell>
        </row>
        <row r="53">
          <cell r="I53">
            <v>0.24967482156868534</v>
          </cell>
          <cell r="J53">
            <v>0.5631747674800931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growing season flux of other"/>
      <sheetName val="Wet season flux for tropical"/>
      <sheetName val="Classess"/>
    </sheetNames>
    <sheetDataSet>
      <sheetData sheetId="0"/>
      <sheetData sheetId="1"/>
      <sheetData sheetId="2">
        <row r="8">
          <cell r="I8">
            <v>1.2568296310178508</v>
          </cell>
          <cell r="J8">
            <v>3.2975554524447692</v>
          </cell>
        </row>
        <row r="9">
          <cell r="I9">
            <v>0.98624700956937794</v>
          </cell>
        </row>
        <row r="11">
          <cell r="I11">
            <v>0.64720910782830632</v>
          </cell>
          <cell r="J11">
            <v>0.13844358749499491</v>
          </cell>
        </row>
        <row r="12">
          <cell r="I12">
            <v>1.4267802316649554</v>
          </cell>
          <cell r="J12">
            <v>4.2568537651185174</v>
          </cell>
        </row>
        <row r="13">
          <cell r="I13">
            <v>0.64720910782830632</v>
          </cell>
          <cell r="J13">
            <v>0.13844358749499491</v>
          </cell>
        </row>
        <row r="15">
          <cell r="I15">
            <v>0.64720910782830632</v>
          </cell>
          <cell r="J15">
            <v>0.13844358749499491</v>
          </cell>
        </row>
        <row r="18">
          <cell r="I18">
            <v>0.73073866799506282</v>
          </cell>
          <cell r="J18">
            <v>9.7435722783158638E-2</v>
          </cell>
        </row>
        <row r="19">
          <cell r="I19">
            <v>0.4543667528814348</v>
          </cell>
          <cell r="J19">
            <v>8.5536920071710168E-2</v>
          </cell>
        </row>
        <row r="22">
          <cell r="I22">
            <v>0.73073866799506282</v>
          </cell>
          <cell r="J22">
            <v>9.7435722783158638E-2</v>
          </cell>
        </row>
        <row r="23">
          <cell r="I23">
            <v>0.47717865901432682</v>
          </cell>
          <cell r="J23">
            <v>8.8614607568594767E-2</v>
          </cell>
        </row>
        <row r="26">
          <cell r="I26">
            <v>0.42995695390524497</v>
          </cell>
          <cell r="J26">
            <v>0.468554718347439</v>
          </cell>
        </row>
        <row r="27">
          <cell r="I27">
            <v>0.68279570560988367</v>
          </cell>
          <cell r="J27">
            <v>0.16792849283831149</v>
          </cell>
        </row>
        <row r="28">
          <cell r="I28">
            <v>0.73073866799506282</v>
          </cell>
          <cell r="J28">
            <v>9.7435722783158638E-2</v>
          </cell>
        </row>
        <row r="30">
          <cell r="I30">
            <v>0.34514531663565917</v>
          </cell>
          <cell r="J30">
            <v>0.28899377838277585</v>
          </cell>
        </row>
        <row r="31">
          <cell r="I31">
            <v>0.68279570560988367</v>
          </cell>
          <cell r="J31">
            <v>0.16792849283831149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growing season flux of NEE"/>
      <sheetName val="Wet season flux for tropical"/>
      <sheetName val="Classess"/>
      <sheetName val="classess-1"/>
    </sheetNames>
    <sheetDataSet>
      <sheetData sheetId="0" refreshError="1"/>
      <sheetData sheetId="1" refreshError="1"/>
      <sheetData sheetId="2" refreshError="1">
        <row r="2">
          <cell r="AP2">
            <v>1023.3333333333333</v>
          </cell>
        </row>
        <row r="21">
          <cell r="BA21">
            <v>0</v>
          </cell>
        </row>
      </sheetData>
      <sheetData sheetId="3" refreshError="1">
        <row r="2">
          <cell r="I2">
            <v>1.3304346745750859</v>
          </cell>
        </row>
        <row r="12">
          <cell r="I12">
            <v>0.82720190487550294</v>
          </cell>
        </row>
        <row r="13">
          <cell r="I13">
            <v>-3.4608668187143627</v>
          </cell>
        </row>
        <row r="14">
          <cell r="I14">
            <v>1.1990767508370535</v>
          </cell>
        </row>
        <row r="15">
          <cell r="I15">
            <v>1.5872295288765128</v>
          </cell>
        </row>
        <row r="23">
          <cell r="I23">
            <v>2.5392499248629132</v>
          </cell>
        </row>
        <row r="24">
          <cell r="I24">
            <v>1.4080885308289626</v>
          </cell>
        </row>
        <row r="31">
          <cell r="I31">
            <v>1.5498694677860896</v>
          </cell>
        </row>
        <row r="32">
          <cell r="I32">
            <v>1.5872295288765128</v>
          </cell>
        </row>
        <row r="39">
          <cell r="I39">
            <v>2.5392499248629132</v>
          </cell>
        </row>
        <row r="40">
          <cell r="I40">
            <v>-3.4608668187143627</v>
          </cell>
        </row>
        <row r="48">
          <cell r="I48">
            <v>0.76076407905443755</v>
          </cell>
        </row>
        <row r="49">
          <cell r="I49">
            <v>0.79781998097995488</v>
          </cell>
        </row>
        <row r="50">
          <cell r="I50">
            <v>0.76076407905443755</v>
          </cell>
          <cell r="T50">
            <v>0.89587629097274701</v>
          </cell>
        </row>
        <row r="51">
          <cell r="I51">
            <v>0.79781998097995488</v>
          </cell>
          <cell r="T51">
            <v>0.92813587893220773</v>
          </cell>
        </row>
        <row r="52">
          <cell r="I52">
            <v>0.76076407905443755</v>
          </cell>
          <cell r="T52">
            <v>0.89587629097274701</v>
          </cell>
        </row>
        <row r="53">
          <cell r="I53">
            <v>0.79781998097995488</v>
          </cell>
          <cell r="T53">
            <v>0.92813587893220773</v>
          </cell>
        </row>
        <row r="54">
          <cell r="I54">
            <v>0.76076407905443755</v>
          </cell>
        </row>
        <row r="55">
          <cell r="I55">
            <v>0.79781998097995488</v>
          </cell>
          <cell r="T55">
            <v>0.92813587893220773</v>
          </cell>
        </row>
        <row r="56">
          <cell r="I56">
            <v>0.76076407905443755</v>
          </cell>
          <cell r="T56">
            <v>0.89587629097274701</v>
          </cell>
        </row>
        <row r="57">
          <cell r="I57">
            <v>0.79781998097995488</v>
          </cell>
          <cell r="T57">
            <v>0.92813587893220773</v>
          </cell>
        </row>
        <row r="58">
          <cell r="T58">
            <v>0.97275489200909648</v>
          </cell>
        </row>
        <row r="59">
          <cell r="T59">
            <v>0.96593272778697881</v>
          </cell>
        </row>
        <row r="60">
          <cell r="T60">
            <v>0.92757085596858535</v>
          </cell>
        </row>
        <row r="61">
          <cell r="T61">
            <v>0.96402665182954261</v>
          </cell>
        </row>
        <row r="63">
          <cell r="I63">
            <v>0.65147779636641134</v>
          </cell>
          <cell r="T63">
            <v>0.76412085693281018</v>
          </cell>
        </row>
        <row r="64">
          <cell r="I64">
            <v>0.79781998097995488</v>
          </cell>
          <cell r="T64">
            <v>0.92813587893220773</v>
          </cell>
        </row>
        <row r="65">
          <cell r="I65">
            <v>0.74013255554804758</v>
          </cell>
          <cell r="T65">
            <v>0.90058688448562607</v>
          </cell>
        </row>
        <row r="66">
          <cell r="I66">
            <v>0.79781998097995488</v>
          </cell>
          <cell r="T66">
            <v>0.92813587893220773</v>
          </cell>
        </row>
        <row r="75">
          <cell r="I75">
            <v>0.73262754079960235</v>
          </cell>
        </row>
        <row r="76">
          <cell r="I76">
            <v>0.85992405303812047</v>
          </cell>
        </row>
        <row r="90">
          <cell r="I90">
            <v>0.73262754079960235</v>
          </cell>
          <cell r="T90">
            <v>0.89752186941182144</v>
          </cell>
        </row>
        <row r="91">
          <cell r="I91">
            <v>0.85992405303812047</v>
          </cell>
          <cell r="T91">
            <v>0.96402665182954261</v>
          </cell>
        </row>
        <row r="92">
          <cell r="I92">
            <v>0.80320755312587644</v>
          </cell>
          <cell r="T92">
            <v>0.95315913858643109</v>
          </cell>
        </row>
        <row r="93">
          <cell r="I93">
            <v>0.85992405303812047</v>
          </cell>
          <cell r="T93">
            <v>0.96402665182954261</v>
          </cell>
        </row>
        <row r="94">
          <cell r="I94">
            <v>0.80320755312587644</v>
          </cell>
          <cell r="T94">
            <v>0.95315913858643109</v>
          </cell>
        </row>
        <row r="96">
          <cell r="I96">
            <v>0.80320755312587644</v>
          </cell>
          <cell r="T96">
            <v>0.95315913858643109</v>
          </cell>
        </row>
        <row r="98">
          <cell r="I98">
            <v>0.81573101933742465</v>
          </cell>
          <cell r="T98">
            <v>1</v>
          </cell>
        </row>
        <row r="99">
          <cell r="I99">
            <v>0.85992405303812047</v>
          </cell>
          <cell r="T99">
            <v>0.96402665182954261</v>
          </cell>
        </row>
        <row r="100">
          <cell r="I100">
            <v>0.81573101933742465</v>
          </cell>
          <cell r="T100">
            <v>1</v>
          </cell>
        </row>
        <row r="101">
          <cell r="I101">
            <v>0.85992405303812047</v>
          </cell>
          <cell r="T101">
            <v>0.96402665182954261</v>
          </cell>
        </row>
        <row r="102">
          <cell r="I102">
            <v>0.73262754079960235</v>
          </cell>
          <cell r="T102">
            <v>0.89752186941182144</v>
          </cell>
        </row>
        <row r="103">
          <cell r="I103">
            <v>0.85992405303812047</v>
          </cell>
          <cell r="T103">
            <v>0.96402665182954261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growing season flux of NEE"/>
      <sheetName val="Wet season flux for tropical"/>
      <sheetName val="Classess"/>
    </sheetNames>
    <sheetDataSet>
      <sheetData sheetId="0"/>
      <sheetData sheetId="1"/>
      <sheetData sheetId="2">
        <row r="14">
          <cell r="I14">
            <v>1.1990767508370535</v>
          </cell>
          <cell r="J14">
            <v>1.3398806770049141</v>
          </cell>
        </row>
        <row r="15">
          <cell r="I15">
            <v>1.5872295288765128</v>
          </cell>
          <cell r="J15">
            <v>0.4361707337533528</v>
          </cell>
        </row>
        <row r="17">
          <cell r="I17">
            <v>0.80398322851153059</v>
          </cell>
          <cell r="J17">
            <v>0.99314495744791775</v>
          </cell>
        </row>
        <row r="18">
          <cell r="I18">
            <v>1.4080885308289626</v>
          </cell>
          <cell r="J18">
            <v>0.24554893146331402</v>
          </cell>
        </row>
        <row r="19">
          <cell r="I19">
            <v>1.5498694677860896</v>
          </cell>
          <cell r="J19">
            <v>0.82553235724942509</v>
          </cell>
        </row>
        <row r="20">
          <cell r="I20">
            <v>1.4080885308289626</v>
          </cell>
          <cell r="J20">
            <v>0.24554893146331402</v>
          </cell>
        </row>
        <row r="21">
          <cell r="I21">
            <v>1.3726415094339626</v>
          </cell>
          <cell r="J21">
            <v>0.18011210464185665</v>
          </cell>
        </row>
        <row r="22">
          <cell r="I22">
            <v>1.4080885308289626</v>
          </cell>
          <cell r="J22">
            <v>0.24554893146331402</v>
          </cell>
        </row>
        <row r="23">
          <cell r="I23">
            <v>2.5392499248629132</v>
          </cell>
          <cell r="J23">
            <v>0.46147738209371397</v>
          </cell>
        </row>
        <row r="24">
          <cell r="I24">
            <v>1.4080885308289626</v>
          </cell>
          <cell r="J24">
            <v>0.24554893146331402</v>
          </cell>
        </row>
        <row r="27">
          <cell r="I27">
            <v>2.5392499248629132</v>
          </cell>
          <cell r="J27">
            <v>0.46147738209371397</v>
          </cell>
        </row>
        <row r="28">
          <cell r="I28">
            <v>-3.4608668187143627</v>
          </cell>
          <cell r="J28">
            <v>14.590076997581413</v>
          </cell>
        </row>
        <row r="29">
          <cell r="I29">
            <v>1.2181357349141206</v>
          </cell>
          <cell r="J29">
            <v>0.14645201480927864</v>
          </cell>
        </row>
        <row r="30">
          <cell r="I30">
            <v>-3.4608668187143627</v>
          </cell>
          <cell r="J30">
            <v>14.590076997581413</v>
          </cell>
        </row>
        <row r="31">
          <cell r="I31">
            <v>1.5498694677860896</v>
          </cell>
          <cell r="J31">
            <v>0.82553235724942509</v>
          </cell>
        </row>
        <row r="32">
          <cell r="I32">
            <v>1.5872295288765128</v>
          </cell>
          <cell r="J32">
            <v>0.4361707337533528</v>
          </cell>
        </row>
        <row r="37">
          <cell r="I37">
            <v>0.53862114152591734</v>
          </cell>
          <cell r="J37">
            <v>0.12740894608595682</v>
          </cell>
        </row>
        <row r="38">
          <cell r="I38">
            <v>1.5872295288765128</v>
          </cell>
          <cell r="J38">
            <v>0.4361707337533528</v>
          </cell>
        </row>
        <row r="39">
          <cell r="I39">
            <v>2.5392499248629132</v>
          </cell>
          <cell r="J39">
            <v>0.46147738209371397</v>
          </cell>
        </row>
        <row r="40">
          <cell r="I40">
            <v>-3.4608668187143627</v>
          </cell>
          <cell r="J40">
            <v>14.590076997581413</v>
          </cell>
        </row>
        <row r="41">
          <cell r="I41">
            <v>3.6331594619423226</v>
          </cell>
          <cell r="J41">
            <v>5.567341998995607</v>
          </cell>
        </row>
        <row r="42">
          <cell r="I42">
            <v>-3.4608668187143627</v>
          </cell>
          <cell r="J42">
            <v>14.590076997581413</v>
          </cell>
        </row>
        <row r="43">
          <cell r="I43">
            <v>1.3767152987398781</v>
          </cell>
          <cell r="J43">
            <v>0.23734372621124883</v>
          </cell>
        </row>
        <row r="44">
          <cell r="I44">
            <v>-3.4608668187143627</v>
          </cell>
          <cell r="J44">
            <v>14.590076997581413</v>
          </cell>
        </row>
        <row r="48">
          <cell r="I48">
            <v>0.76076407905443755</v>
          </cell>
          <cell r="J48">
            <v>9.4622944416788021E-2</v>
          </cell>
          <cell r="T48">
            <v>0.89587629097274701</v>
          </cell>
          <cell r="U48">
            <v>0.11838536476976154</v>
          </cell>
        </row>
        <row r="49">
          <cell r="I49">
            <v>0.79781998097995488</v>
          </cell>
          <cell r="T49">
            <v>0.92813587893220773</v>
          </cell>
          <cell r="U49">
            <v>4.4598067129509908E-2</v>
          </cell>
        </row>
        <row r="54">
          <cell r="I54">
            <v>0.76076407905443755</v>
          </cell>
          <cell r="J54">
            <v>9.4622944416788021E-2</v>
          </cell>
        </row>
        <row r="55">
          <cell r="I55">
            <v>0.79781998097995488</v>
          </cell>
          <cell r="J55">
            <v>6.1606147837577188E-2</v>
          </cell>
          <cell r="T55">
            <v>0.92813587893220773</v>
          </cell>
          <cell r="U55">
            <v>4.4598067129509908E-2</v>
          </cell>
        </row>
        <row r="57">
          <cell r="I57">
            <v>0.79781998097995488</v>
          </cell>
          <cell r="J57">
            <v>6.1606147837577188E-2</v>
          </cell>
          <cell r="T57">
            <v>0.92813587893220773</v>
          </cell>
          <cell r="U57">
            <v>4.4598067129509908E-2</v>
          </cell>
        </row>
        <row r="58">
          <cell r="I58">
            <v>0.89189148274895813</v>
          </cell>
          <cell r="J58">
            <v>9.6909944490201627E-2</v>
          </cell>
        </row>
        <row r="59">
          <cell r="I59">
            <v>0.86287611838571898</v>
          </cell>
          <cell r="J59">
            <v>3.6074419833695429E-2</v>
          </cell>
        </row>
        <row r="60">
          <cell r="T60">
            <v>0.92757085596858535</v>
          </cell>
          <cell r="U60">
            <v>6.7362476647445046E-2</v>
          </cell>
        </row>
        <row r="61">
          <cell r="T61">
            <v>0.96402665182954261</v>
          </cell>
          <cell r="U61">
            <v>2.3182086394469004E-2</v>
          </cell>
        </row>
        <row r="63">
          <cell r="I63">
            <v>0.65147779636641134</v>
          </cell>
          <cell r="J63">
            <v>3.297797761455272E-2</v>
          </cell>
          <cell r="T63">
            <v>0.76412085693281018</v>
          </cell>
          <cell r="U63">
            <v>1.6686129765100827E-2</v>
          </cell>
        </row>
        <row r="64">
          <cell r="I64">
            <v>0.79781998097995488</v>
          </cell>
          <cell r="J64">
            <v>6.1606147837577188E-2</v>
          </cell>
          <cell r="T64">
            <v>0.92813587893220773</v>
          </cell>
          <cell r="U64">
            <v>4.4598067129509908E-2</v>
          </cell>
        </row>
        <row r="65">
          <cell r="I65">
            <v>0.74013255554804758</v>
          </cell>
          <cell r="J65">
            <v>0.10456498550967723</v>
          </cell>
          <cell r="T65">
            <v>0.90058688448562607</v>
          </cell>
          <cell r="U65">
            <v>5.388185046084152E-2</v>
          </cell>
        </row>
        <row r="66">
          <cell r="I66">
            <v>0.79781998097995488</v>
          </cell>
          <cell r="J66">
            <v>6.1606147837577188E-2</v>
          </cell>
          <cell r="T66">
            <v>0.92813587893220773</v>
          </cell>
          <cell r="U66">
            <v>4.4598067129509908E-2</v>
          </cell>
        </row>
        <row r="75">
          <cell r="I75">
            <v>0.73262754079960235</v>
          </cell>
          <cell r="J75">
            <v>5.7079331517434821E-2</v>
          </cell>
        </row>
        <row r="76">
          <cell r="I76">
            <v>0.85992405303812047</v>
          </cell>
          <cell r="J76">
            <v>3.6283139850263761E-2</v>
          </cell>
        </row>
        <row r="83">
          <cell r="T83">
            <v>0.92813587893220773</v>
          </cell>
        </row>
        <row r="84">
          <cell r="I84">
            <v>0.71910755635543788</v>
          </cell>
          <cell r="T84">
            <v>0.88306279978535773</v>
          </cell>
        </row>
        <row r="85">
          <cell r="I85">
            <v>0.85992405303812047</v>
          </cell>
        </row>
        <row r="90">
          <cell r="I90">
            <v>0.73262754079960235</v>
          </cell>
          <cell r="J90">
            <v>5.7079331517434821E-2</v>
          </cell>
          <cell r="T90">
            <v>0.89752186941182144</v>
          </cell>
          <cell r="U90">
            <v>9.7662481088566039E-2</v>
          </cell>
        </row>
        <row r="91">
          <cell r="I91">
            <v>0.85992405303812047</v>
          </cell>
          <cell r="J91">
            <v>3.6283139850263761E-2</v>
          </cell>
          <cell r="T91">
            <v>0.96402665182954261</v>
          </cell>
          <cell r="U91">
            <v>2.3182086394469004E-2</v>
          </cell>
        </row>
        <row r="92">
          <cell r="I92">
            <v>0.80320755312587644</v>
          </cell>
          <cell r="J92">
            <v>1.1680033837138566E-2</v>
          </cell>
          <cell r="T92">
            <v>0.95315913858643109</v>
          </cell>
          <cell r="U92">
            <v>1.8779531433160392E-2</v>
          </cell>
        </row>
        <row r="93">
          <cell r="I93">
            <v>0.85992405303812047</v>
          </cell>
          <cell r="J93">
            <v>3.6283139850263761E-2</v>
          </cell>
          <cell r="T93">
            <v>0.96402665182954261</v>
          </cell>
          <cell r="U93">
            <v>2.3182086394469004E-2</v>
          </cell>
        </row>
        <row r="94">
          <cell r="I94">
            <v>0.80320755312587644</v>
          </cell>
          <cell r="J94">
            <v>1.1680033837138566E-2</v>
          </cell>
          <cell r="T94">
            <v>0.95315913858643109</v>
          </cell>
          <cell r="U94">
            <v>1.8779531433160392E-2</v>
          </cell>
        </row>
        <row r="96">
          <cell r="I96">
            <v>0.80320755312587644</v>
          </cell>
          <cell r="J96">
            <v>1.1680033837138566E-2</v>
          </cell>
          <cell r="T96">
            <v>0.95315913858643109</v>
          </cell>
          <cell r="U96">
            <v>1.8779531433160392E-2</v>
          </cell>
        </row>
        <row r="98">
          <cell r="I98">
            <v>0.81573101933742465</v>
          </cell>
          <cell r="J98">
            <v>8.7873986937119682E-3</v>
          </cell>
          <cell r="T98">
            <v>1</v>
          </cell>
          <cell r="U98">
            <v>0</v>
          </cell>
        </row>
        <row r="99">
          <cell r="I99">
            <v>0.85992405303812047</v>
          </cell>
          <cell r="J99">
            <v>3.6283139850263761E-2</v>
          </cell>
          <cell r="T99">
            <v>0.96402665182954261</v>
          </cell>
          <cell r="U99">
            <v>2.3182086394469004E-2</v>
          </cell>
        </row>
        <row r="100">
          <cell r="I100">
            <v>0.81573101933742465</v>
          </cell>
          <cell r="J100">
            <v>8.7873986937119682E-3</v>
          </cell>
          <cell r="T100">
            <v>1</v>
          </cell>
          <cell r="U100">
            <v>0</v>
          </cell>
        </row>
        <row r="101">
          <cell r="I101">
            <v>0.85992405303812047</v>
          </cell>
          <cell r="J101">
            <v>3.6283139850263761E-2</v>
          </cell>
          <cell r="T101">
            <v>0.96402665182954261</v>
          </cell>
          <cell r="U101">
            <v>2.3182086394469004E-2</v>
          </cell>
        </row>
        <row r="102">
          <cell r="I102">
            <v>0.73262754079960235</v>
          </cell>
          <cell r="J102">
            <v>5.7079331517434821E-2</v>
          </cell>
          <cell r="T102">
            <v>0.89752186941182144</v>
          </cell>
          <cell r="U102">
            <v>9.7662481088566039E-2</v>
          </cell>
        </row>
        <row r="103">
          <cell r="I103">
            <v>0.85992405303812047</v>
          </cell>
          <cell r="J103">
            <v>3.6283139850263761E-2</v>
          </cell>
          <cell r="T103">
            <v>0.96402665182954261</v>
          </cell>
          <cell r="U103">
            <v>2.3182086394469004E-2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growing season flux of NEE"/>
      <sheetName val="Wet season flux for tropical"/>
      <sheetName val="Classess"/>
      <sheetName val="classess-1"/>
    </sheetNames>
    <sheetDataSet>
      <sheetData sheetId="0"/>
      <sheetData sheetId="1"/>
      <sheetData sheetId="2"/>
      <sheetData sheetId="3">
        <row r="25">
          <cell r="I25">
            <v>3.6331594619423226</v>
          </cell>
        </row>
        <row r="26">
          <cell r="I26">
            <v>1.4080885308289626</v>
          </cell>
        </row>
        <row r="29">
          <cell r="I29">
            <v>1.2181357349141206</v>
          </cell>
        </row>
        <row r="30">
          <cell r="I30">
            <v>-3.4608668187143627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growing season flux of other"/>
      <sheetName val="Wet season flux for tropical"/>
      <sheetName val="Classess"/>
      <sheetName val="classes-1"/>
    </sheetNames>
    <sheetDataSet>
      <sheetData sheetId="0"/>
      <sheetData sheetId="1"/>
      <sheetData sheetId="2"/>
      <sheetData sheetId="3">
        <row r="104">
          <cell r="I104">
            <v>0.44341945013085959</v>
          </cell>
        </row>
        <row r="105">
          <cell r="I105">
            <v>6.8928571428571423</v>
          </cell>
        </row>
        <row r="106">
          <cell r="I106">
            <v>0.8821696236465818</v>
          </cell>
        </row>
        <row r="107">
          <cell r="I107">
            <v>-1.5509259028935214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B2785-58DB-4B4B-862E-2CE2CC95C6EB}">
  <dimension ref="A1:TZ61"/>
  <sheetViews>
    <sheetView zoomScaleNormal="100" workbookViewId="0">
      <pane xSplit="4" ySplit="1" topLeftCell="P2" activePane="bottomRight" state="frozen"/>
      <selection pane="topRight" activeCell="E1" sqref="E1"/>
      <selection pane="bottomLeft" activeCell="A2" sqref="A2"/>
      <selection pane="bottomRight" activeCell="Q1" sqref="Q1"/>
    </sheetView>
  </sheetViews>
  <sheetFormatPr defaultColWidth="12.109375" defaultRowHeight="14.4" x14ac:dyDescent="0.3"/>
  <cols>
    <col min="1" max="1" width="10.44140625" style="21" customWidth="1"/>
    <col min="2" max="2" width="18" style="21" customWidth="1"/>
    <col min="3" max="4" width="12.109375" style="21"/>
    <col min="5" max="7" width="12.21875" style="21" bestFit="1" customWidth="1"/>
    <col min="8" max="8" width="12.109375" style="21"/>
    <col min="9" max="15" width="12.21875" style="21" bestFit="1" customWidth="1"/>
    <col min="16" max="16" width="12.109375" style="21"/>
    <col min="17" max="17" width="12.21875" style="21" bestFit="1" customWidth="1"/>
    <col min="18" max="26" width="12.109375" style="21"/>
    <col min="27" max="27" width="12.21875" style="21" bestFit="1" customWidth="1"/>
    <col min="28" max="34" width="12.109375" style="21"/>
    <col min="35" max="44" width="12.21875" style="21" bestFit="1" customWidth="1"/>
    <col min="45" max="45" width="12.109375" style="21"/>
    <col min="46" max="53" width="12.21875" style="21" bestFit="1" customWidth="1"/>
    <col min="54" max="54" width="12.109375" style="21"/>
    <col min="55" max="57" width="12.21875" style="21" bestFit="1" customWidth="1"/>
    <col min="58" max="61" width="12.109375" style="21"/>
    <col min="62" max="71" width="12.21875" style="21" bestFit="1" customWidth="1"/>
    <col min="72" max="72" width="12.109375" style="21"/>
    <col min="73" max="82" width="12.21875" style="21" bestFit="1" customWidth="1"/>
    <col min="83" max="83" width="12.109375" style="21"/>
    <col min="84" max="93" width="12.21875" style="21" bestFit="1" customWidth="1"/>
    <col min="94" max="94" width="12.109375" style="21"/>
    <col min="95" max="104" width="12.21875" style="21" bestFit="1" customWidth="1"/>
    <col min="105" max="105" width="14.44140625" style="21" bestFit="1" customWidth="1"/>
    <col min="106" max="106" width="12.44140625" style="21" customWidth="1"/>
    <col min="107" max="107" width="12.109375" style="21"/>
    <col min="108" max="119" width="12.21875" style="21" bestFit="1" customWidth="1"/>
    <col min="120" max="120" width="12.109375" style="21"/>
    <col min="121" max="132" width="12.21875" style="21" bestFit="1" customWidth="1"/>
    <col min="133" max="134" width="12.109375" style="21"/>
    <col min="135" max="146" width="12.21875" style="21" bestFit="1" customWidth="1"/>
    <col min="147" max="147" width="12.109375" style="21"/>
    <col min="148" max="155" width="12.21875" style="21" bestFit="1" customWidth="1"/>
    <col min="156" max="156" width="18" style="114" bestFit="1" customWidth="1"/>
    <col min="157" max="157" width="12.21875" style="114" bestFit="1" customWidth="1"/>
    <col min="158" max="158" width="19.109375" style="114" bestFit="1" customWidth="1"/>
    <col min="159" max="159" width="12.109375" style="21"/>
    <col min="160" max="165" width="12.21875" style="21" bestFit="1" customWidth="1"/>
    <col min="166" max="166" width="19.109375" style="114" bestFit="1" customWidth="1"/>
    <col min="167" max="168" width="12.21875" style="114" bestFit="1" customWidth="1"/>
    <col min="169" max="169" width="12.109375" style="21"/>
    <col min="170" max="175" width="12.21875" style="21" bestFit="1" customWidth="1"/>
    <col min="176" max="178" width="13.88671875" style="114" customWidth="1"/>
    <col min="179" max="180" width="12.109375" style="21"/>
    <col min="181" max="186" width="12.21875" style="21" bestFit="1" customWidth="1"/>
    <col min="187" max="188" width="12.21875" style="114" bestFit="1" customWidth="1"/>
    <col min="189" max="190" width="12.109375" style="21"/>
    <col min="191" max="200" width="12.21875" style="21" bestFit="1" customWidth="1"/>
    <col min="201" max="202" width="12.109375" style="21"/>
    <col min="203" max="212" width="12.21875" style="21" bestFit="1" customWidth="1"/>
    <col min="213" max="213" width="12.109375" style="21"/>
    <col min="214" max="221" width="12.21875" style="21" bestFit="1" customWidth="1"/>
    <col min="222" max="222" width="12.109375" style="21"/>
    <col min="223" max="230" width="12.21875" style="21" bestFit="1" customWidth="1"/>
    <col min="231" max="240" width="12.109375" style="21"/>
    <col min="241" max="250" width="12.21875" style="21" bestFit="1" customWidth="1"/>
    <col min="251" max="251" width="12.109375" style="21"/>
    <col min="252" max="254" width="12.21875" style="21" bestFit="1" customWidth="1"/>
    <col min="255" max="258" width="12.109375" style="21"/>
    <col min="259" max="261" width="12.21875" style="21" bestFit="1" customWidth="1"/>
    <col min="262" max="274" width="12.109375" style="21"/>
    <col min="275" max="284" width="12.21875" style="21" bestFit="1" customWidth="1"/>
    <col min="285" max="285" width="12.109375" style="21"/>
    <col min="286" max="293" width="12.21875" style="21" bestFit="1" customWidth="1"/>
    <col min="294" max="294" width="12.109375" style="21"/>
    <col min="295" max="302" width="12.21875" style="21" bestFit="1" customWidth="1"/>
    <col min="303" max="304" width="12.109375" style="21"/>
    <col min="305" max="314" width="12.21875" style="21" bestFit="1" customWidth="1"/>
    <col min="315" max="315" width="12.109375" style="21"/>
    <col min="316" max="318" width="12.21875" style="21" bestFit="1" customWidth="1"/>
    <col min="319" max="320" width="12.21875" style="114" bestFit="1" customWidth="1"/>
    <col min="321" max="323" width="12.21875" style="21" bestFit="1" customWidth="1"/>
    <col min="324" max="324" width="12.109375" style="21"/>
    <col min="325" max="330" width="12.21875" style="21" bestFit="1" customWidth="1"/>
    <col min="331" max="332" width="12.109375" style="21"/>
    <col min="333" max="340" width="12.21875" style="21" bestFit="1" customWidth="1"/>
    <col min="341" max="342" width="12.109375" style="21"/>
    <col min="343" max="350" width="12.21875" style="21" bestFit="1" customWidth="1"/>
    <col min="351" max="352" width="12.109375" style="21"/>
    <col min="353" max="360" width="12.21875" style="21" bestFit="1" customWidth="1"/>
    <col min="361" max="362" width="12.109375" style="21"/>
    <col min="363" max="370" width="12.21875" style="21" bestFit="1" customWidth="1"/>
    <col min="371" max="372" width="12.109375" style="21"/>
    <col min="373" max="380" width="12.21875" style="21" bestFit="1" customWidth="1"/>
    <col min="381" max="382" width="12.109375" style="21"/>
    <col min="383" max="390" width="12.21875" style="21" bestFit="1" customWidth="1"/>
    <col min="391" max="392" width="12.109375" style="21"/>
    <col min="393" max="400" width="12.21875" style="21" bestFit="1" customWidth="1"/>
    <col min="401" max="456" width="12.109375" style="21"/>
    <col min="457" max="464" width="12.21875" style="21" bestFit="1" customWidth="1"/>
    <col min="465" max="466" width="12.109375" style="21"/>
    <col min="467" max="474" width="12.21875" style="21" bestFit="1" customWidth="1"/>
    <col min="475" max="486" width="12.109375" style="21"/>
    <col min="487" max="494" width="12.21875" style="21" bestFit="1" customWidth="1"/>
    <col min="495" max="496" width="12.109375" style="21"/>
    <col min="497" max="497" width="12.88671875" style="21" bestFit="1" customWidth="1"/>
    <col min="498" max="499" width="12.21875" style="21" bestFit="1" customWidth="1"/>
    <col min="500" max="500" width="12.88671875" style="21" bestFit="1" customWidth="1"/>
    <col min="501" max="504" width="12.21875" style="21" bestFit="1" customWidth="1"/>
    <col min="505" max="506" width="12.109375" style="21"/>
    <col min="507" max="508" width="15.44140625" style="21" customWidth="1"/>
    <col min="509" max="509" width="12.21875" style="21" bestFit="1" customWidth="1"/>
    <col min="510" max="511" width="17.33203125" style="21" customWidth="1"/>
    <col min="512" max="514" width="12.21875" style="21" bestFit="1" customWidth="1"/>
    <col min="515" max="526" width="12.109375" style="21"/>
    <col min="527" max="528" width="12.33203125" style="21" bestFit="1" customWidth="1"/>
    <col min="529" max="529" width="12.21875" style="21" bestFit="1" customWidth="1"/>
    <col min="530" max="531" width="12.33203125" style="21" bestFit="1" customWidth="1"/>
    <col min="532" max="534" width="12.21875" style="21" bestFit="1" customWidth="1"/>
    <col min="535" max="536" width="12.109375" style="21"/>
    <col min="537" max="539" width="12.21875" style="21" bestFit="1" customWidth="1"/>
    <col min="540" max="540" width="12.21875" style="114" bestFit="1" customWidth="1"/>
    <col min="541" max="543" width="12.21875" style="21" bestFit="1" customWidth="1"/>
    <col min="544" max="544" width="12.21875" style="114" bestFit="1" customWidth="1"/>
    <col min="545" max="546" width="12.21875" style="21" bestFit="1" customWidth="1"/>
    <col min="547" max="16384" width="12.109375" style="21"/>
  </cols>
  <sheetData>
    <row r="1" spans="1:546" ht="94.2" thickBot="1" x14ac:dyDescent="0.35">
      <c r="A1" s="1" t="s">
        <v>874</v>
      </c>
      <c r="B1" s="2" t="s">
        <v>18</v>
      </c>
      <c r="C1" s="3" t="s">
        <v>21</v>
      </c>
      <c r="D1" s="3" t="s">
        <v>53</v>
      </c>
      <c r="E1" s="4" t="s">
        <v>527</v>
      </c>
      <c r="F1" s="3" t="s">
        <v>525</v>
      </c>
      <c r="G1" s="3" t="s">
        <v>526</v>
      </c>
      <c r="H1" s="3" t="s">
        <v>78</v>
      </c>
      <c r="I1" s="37" t="s">
        <v>618</v>
      </c>
      <c r="J1" s="37" t="s">
        <v>619</v>
      </c>
      <c r="K1" s="37" t="s">
        <v>9</v>
      </c>
      <c r="L1" s="37" t="s">
        <v>563</v>
      </c>
      <c r="M1" s="28" t="s">
        <v>17</v>
      </c>
      <c r="N1" s="4" t="s">
        <v>20</v>
      </c>
      <c r="O1" s="4" t="s">
        <v>8</v>
      </c>
      <c r="P1" s="4" t="s">
        <v>15</v>
      </c>
      <c r="Q1" s="1" t="s">
        <v>22</v>
      </c>
      <c r="R1" s="1" t="s">
        <v>287</v>
      </c>
      <c r="S1" s="3" t="s">
        <v>23</v>
      </c>
      <c r="T1" s="3" t="s">
        <v>137</v>
      </c>
      <c r="U1" s="3" t="s">
        <v>157</v>
      </c>
      <c r="V1" s="3" t="s">
        <v>273</v>
      </c>
      <c r="W1" s="30" t="s">
        <v>491</v>
      </c>
      <c r="X1" s="9" t="s">
        <v>279</v>
      </c>
      <c r="Y1" s="5" t="s">
        <v>2</v>
      </c>
      <c r="Z1" s="5" t="s">
        <v>216</v>
      </c>
      <c r="AA1" s="33" t="s">
        <v>11</v>
      </c>
      <c r="AB1" s="3" t="s">
        <v>316</v>
      </c>
      <c r="AC1" s="3" t="s">
        <v>620</v>
      </c>
      <c r="AD1" s="3" t="s">
        <v>50</v>
      </c>
      <c r="AE1" s="3" t="s">
        <v>67</v>
      </c>
      <c r="AF1" s="3" t="s">
        <v>621</v>
      </c>
      <c r="AG1" s="6" t="s">
        <v>24</v>
      </c>
      <c r="AH1" s="33" t="s">
        <v>328</v>
      </c>
      <c r="AI1" s="3" t="s">
        <v>1</v>
      </c>
      <c r="AJ1" s="3" t="s">
        <v>0</v>
      </c>
      <c r="AK1" s="7" t="s">
        <v>12</v>
      </c>
      <c r="AL1" s="49" t="s">
        <v>687</v>
      </c>
      <c r="AM1" s="3" t="s">
        <v>10</v>
      </c>
      <c r="AN1" s="3" t="s">
        <v>0</v>
      </c>
      <c r="AO1" s="22" t="s">
        <v>12</v>
      </c>
      <c r="AP1" s="49" t="s">
        <v>687</v>
      </c>
      <c r="AQ1" s="49" t="s">
        <v>916</v>
      </c>
      <c r="AR1" s="49" t="s">
        <v>875</v>
      </c>
      <c r="AS1" s="33" t="s">
        <v>328</v>
      </c>
      <c r="AT1" s="3" t="s">
        <v>1</v>
      </c>
      <c r="AU1" s="3" t="s">
        <v>0</v>
      </c>
      <c r="AV1" s="22" t="s">
        <v>12</v>
      </c>
      <c r="AW1" s="3" t="s">
        <v>10</v>
      </c>
      <c r="AX1" s="3" t="s">
        <v>0</v>
      </c>
      <c r="AY1" s="22" t="s">
        <v>12</v>
      </c>
      <c r="AZ1" s="49" t="s">
        <v>916</v>
      </c>
      <c r="BA1" s="49" t="s">
        <v>875</v>
      </c>
      <c r="BB1" s="3" t="s">
        <v>328</v>
      </c>
      <c r="BC1" s="3" t="s">
        <v>1</v>
      </c>
      <c r="BD1" s="3" t="s">
        <v>0</v>
      </c>
      <c r="BE1" s="22" t="s">
        <v>12</v>
      </c>
      <c r="BF1" s="3" t="s">
        <v>10</v>
      </c>
      <c r="BG1" s="3" t="s">
        <v>0</v>
      </c>
      <c r="BH1" s="22" t="s">
        <v>12</v>
      </c>
      <c r="BI1" s="6" t="s">
        <v>574</v>
      </c>
      <c r="BJ1" s="3" t="s">
        <v>1</v>
      </c>
      <c r="BK1" s="3" t="s">
        <v>0</v>
      </c>
      <c r="BL1" s="22" t="s">
        <v>12</v>
      </c>
      <c r="BM1" s="3" t="s">
        <v>10</v>
      </c>
      <c r="BN1" s="3" t="s">
        <v>0</v>
      </c>
      <c r="BO1" s="22" t="s">
        <v>12</v>
      </c>
      <c r="BP1" s="49" t="s">
        <v>832</v>
      </c>
      <c r="BQ1" s="49" t="s">
        <v>873</v>
      </c>
      <c r="BR1" s="86" t="s">
        <v>875</v>
      </c>
      <c r="BS1" s="86" t="s">
        <v>875</v>
      </c>
      <c r="BT1" s="6" t="s">
        <v>796</v>
      </c>
      <c r="BU1" s="3" t="s">
        <v>1</v>
      </c>
      <c r="BV1" s="3" t="s">
        <v>0</v>
      </c>
      <c r="BW1" s="22" t="s">
        <v>12</v>
      </c>
      <c r="BX1" s="3" t="s">
        <v>10</v>
      </c>
      <c r="BY1" s="3" t="s">
        <v>0</v>
      </c>
      <c r="BZ1" s="22" t="s">
        <v>12</v>
      </c>
      <c r="CA1" s="49" t="s">
        <v>832</v>
      </c>
      <c r="CB1" s="49" t="s">
        <v>873</v>
      </c>
      <c r="CC1" s="86" t="s">
        <v>875</v>
      </c>
      <c r="CD1" s="86" t="s">
        <v>875</v>
      </c>
      <c r="CE1" s="6" t="s">
        <v>86</v>
      </c>
      <c r="CF1" s="3" t="s">
        <v>1</v>
      </c>
      <c r="CG1" s="3" t="s">
        <v>0</v>
      </c>
      <c r="CH1" s="22" t="s">
        <v>12</v>
      </c>
      <c r="CI1" s="3" t="s">
        <v>10</v>
      </c>
      <c r="CJ1" s="3" t="s">
        <v>0</v>
      </c>
      <c r="CK1" s="22" t="s">
        <v>12</v>
      </c>
      <c r="CL1" s="49" t="s">
        <v>832</v>
      </c>
      <c r="CM1" s="49" t="s">
        <v>873</v>
      </c>
      <c r="CN1" s="86" t="s">
        <v>875</v>
      </c>
      <c r="CO1" s="86" t="s">
        <v>875</v>
      </c>
      <c r="CP1" s="6" t="s">
        <v>649</v>
      </c>
      <c r="CQ1" s="3" t="s">
        <v>1</v>
      </c>
      <c r="CR1" s="49" t="s">
        <v>0</v>
      </c>
      <c r="CS1" s="22" t="s">
        <v>12</v>
      </c>
      <c r="CT1" s="49" t="s">
        <v>687</v>
      </c>
      <c r="CU1" s="3" t="s">
        <v>10</v>
      </c>
      <c r="CV1" s="49" t="s">
        <v>0</v>
      </c>
      <c r="CW1" s="22" t="s">
        <v>12</v>
      </c>
      <c r="CX1" s="49" t="s">
        <v>687</v>
      </c>
      <c r="CY1" s="66" t="s">
        <v>832</v>
      </c>
      <c r="CZ1" s="49" t="s">
        <v>873</v>
      </c>
      <c r="DA1" s="86" t="s">
        <v>875</v>
      </c>
      <c r="DB1" s="86" t="s">
        <v>875</v>
      </c>
      <c r="DC1" s="6" t="s">
        <v>650</v>
      </c>
      <c r="DD1" s="3" t="s">
        <v>1</v>
      </c>
      <c r="DE1" s="66" t="s">
        <v>0</v>
      </c>
      <c r="DF1" s="22" t="s">
        <v>12</v>
      </c>
      <c r="DG1" s="49" t="s">
        <v>687</v>
      </c>
      <c r="DH1" s="3" t="s">
        <v>10</v>
      </c>
      <c r="DI1" s="66" t="s">
        <v>0</v>
      </c>
      <c r="DJ1" s="22" t="s">
        <v>12</v>
      </c>
      <c r="DK1" s="49" t="s">
        <v>687</v>
      </c>
      <c r="DL1" s="66" t="s">
        <v>832</v>
      </c>
      <c r="DM1" s="49" t="s">
        <v>873</v>
      </c>
      <c r="DN1" s="86" t="s">
        <v>875</v>
      </c>
      <c r="DO1" s="86" t="s">
        <v>875</v>
      </c>
      <c r="DP1" s="8" t="s">
        <v>33</v>
      </c>
      <c r="DQ1" s="9" t="s">
        <v>1</v>
      </c>
      <c r="DR1" s="9" t="s">
        <v>0</v>
      </c>
      <c r="DS1" s="22" t="s">
        <v>12</v>
      </c>
      <c r="DT1" s="49" t="s">
        <v>687</v>
      </c>
      <c r="DU1" s="3" t="s">
        <v>10</v>
      </c>
      <c r="DV1" s="3" t="s">
        <v>0</v>
      </c>
      <c r="DW1" s="22" t="s">
        <v>12</v>
      </c>
      <c r="DX1" s="49" t="s">
        <v>687</v>
      </c>
      <c r="DY1" s="49" t="s">
        <v>832</v>
      </c>
      <c r="DZ1" s="49" t="s">
        <v>873</v>
      </c>
      <c r="EA1" s="86" t="s">
        <v>875</v>
      </c>
      <c r="EB1" s="86" t="s">
        <v>875</v>
      </c>
      <c r="EC1" s="8" t="s">
        <v>28</v>
      </c>
      <c r="ED1" s="9" t="s">
        <v>328</v>
      </c>
      <c r="EE1" s="9" t="s">
        <v>1</v>
      </c>
      <c r="EF1" s="9" t="s">
        <v>0</v>
      </c>
      <c r="EG1" s="7" t="s">
        <v>12</v>
      </c>
      <c r="EH1" s="49" t="s">
        <v>687</v>
      </c>
      <c r="EI1" s="3" t="s">
        <v>10</v>
      </c>
      <c r="EJ1" s="36" t="s">
        <v>0</v>
      </c>
      <c r="EK1" s="7" t="s">
        <v>12</v>
      </c>
      <c r="EL1" s="49" t="s">
        <v>687</v>
      </c>
      <c r="EM1" s="49" t="s">
        <v>832</v>
      </c>
      <c r="EN1" s="49" t="s">
        <v>873</v>
      </c>
      <c r="EO1" s="86" t="s">
        <v>875</v>
      </c>
      <c r="EP1" s="86" t="s">
        <v>875</v>
      </c>
      <c r="EQ1" s="31" t="s">
        <v>328</v>
      </c>
      <c r="ER1" s="9" t="s">
        <v>1</v>
      </c>
      <c r="ES1" s="9" t="s">
        <v>0</v>
      </c>
      <c r="ET1" s="7" t="s">
        <v>12</v>
      </c>
      <c r="EU1" s="49" t="s">
        <v>687</v>
      </c>
      <c r="EV1" s="28" t="s">
        <v>10</v>
      </c>
      <c r="EW1" s="1" t="s">
        <v>0</v>
      </c>
      <c r="EX1" s="7" t="s">
        <v>12</v>
      </c>
      <c r="EY1" s="49" t="s">
        <v>687</v>
      </c>
      <c r="EZ1" s="49" t="s">
        <v>832</v>
      </c>
      <c r="FA1" s="49" t="s">
        <v>873</v>
      </c>
      <c r="FB1" s="49" t="s">
        <v>875</v>
      </c>
      <c r="FC1" s="31" t="s">
        <v>328</v>
      </c>
      <c r="FD1" s="9" t="s">
        <v>1</v>
      </c>
      <c r="FE1" s="9" t="s">
        <v>0</v>
      </c>
      <c r="FF1" s="7" t="s">
        <v>12</v>
      </c>
      <c r="FG1" s="28" t="s">
        <v>10</v>
      </c>
      <c r="FH1" s="1" t="s">
        <v>0</v>
      </c>
      <c r="FI1" s="7" t="s">
        <v>12</v>
      </c>
      <c r="FJ1" s="49" t="s">
        <v>832</v>
      </c>
      <c r="FK1" s="49" t="s">
        <v>873</v>
      </c>
      <c r="FL1" s="49" t="s">
        <v>875</v>
      </c>
      <c r="FM1" s="31" t="s">
        <v>328</v>
      </c>
      <c r="FN1" s="9" t="s">
        <v>1</v>
      </c>
      <c r="FO1" s="9" t="s">
        <v>0</v>
      </c>
      <c r="FP1" s="7" t="s">
        <v>12</v>
      </c>
      <c r="FQ1" s="28" t="s">
        <v>10</v>
      </c>
      <c r="FR1" s="1" t="s">
        <v>0</v>
      </c>
      <c r="FS1" s="7" t="s">
        <v>12</v>
      </c>
      <c r="FT1" s="49" t="s">
        <v>832</v>
      </c>
      <c r="FU1" s="49" t="s">
        <v>873</v>
      </c>
      <c r="FV1" s="49" t="s">
        <v>875</v>
      </c>
      <c r="FW1" s="8" t="s">
        <v>4</v>
      </c>
      <c r="FX1" s="9" t="s">
        <v>328</v>
      </c>
      <c r="FY1" s="9" t="s">
        <v>1</v>
      </c>
      <c r="FZ1" s="9" t="s">
        <v>0</v>
      </c>
      <c r="GA1" s="22" t="s">
        <v>12</v>
      </c>
      <c r="GB1" s="3" t="s">
        <v>10</v>
      </c>
      <c r="GC1" s="3" t="s">
        <v>0</v>
      </c>
      <c r="GD1" s="22" t="s">
        <v>12</v>
      </c>
      <c r="GE1" s="49" t="s">
        <v>916</v>
      </c>
      <c r="GF1" s="49" t="s">
        <v>875</v>
      </c>
      <c r="GG1" s="8" t="s">
        <v>3</v>
      </c>
      <c r="GH1" s="9" t="s">
        <v>328</v>
      </c>
      <c r="GI1" s="9" t="s">
        <v>1</v>
      </c>
      <c r="GJ1" s="9" t="s">
        <v>0</v>
      </c>
      <c r="GK1" s="22" t="s">
        <v>12</v>
      </c>
      <c r="GL1" s="49" t="s">
        <v>687</v>
      </c>
      <c r="GM1" s="3" t="s">
        <v>10</v>
      </c>
      <c r="GN1" s="3" t="s">
        <v>0</v>
      </c>
      <c r="GO1" s="22" t="s">
        <v>12</v>
      </c>
      <c r="GP1" s="49" t="s">
        <v>687</v>
      </c>
      <c r="GQ1" s="49" t="s">
        <v>916</v>
      </c>
      <c r="GR1" s="49" t="s">
        <v>875</v>
      </c>
      <c r="GS1" s="8" t="s">
        <v>5</v>
      </c>
      <c r="GT1" s="31" t="s">
        <v>328</v>
      </c>
      <c r="GU1" s="9" t="s">
        <v>1</v>
      </c>
      <c r="GV1" s="9" t="s">
        <v>0</v>
      </c>
      <c r="GW1" s="7" t="s">
        <v>12</v>
      </c>
      <c r="GX1" s="49" t="s">
        <v>687</v>
      </c>
      <c r="GY1" s="3" t="s">
        <v>10</v>
      </c>
      <c r="GZ1" s="3" t="s">
        <v>0</v>
      </c>
      <c r="HA1" s="7" t="s">
        <v>12</v>
      </c>
      <c r="HB1" s="49" t="s">
        <v>687</v>
      </c>
      <c r="HC1" s="49" t="s">
        <v>916</v>
      </c>
      <c r="HD1" s="49" t="s">
        <v>875</v>
      </c>
      <c r="HE1" s="31" t="s">
        <v>328</v>
      </c>
      <c r="HF1" s="9" t="s">
        <v>1</v>
      </c>
      <c r="HG1" s="9" t="s">
        <v>0</v>
      </c>
      <c r="HH1" s="22" t="s">
        <v>12</v>
      </c>
      <c r="HI1" s="3" t="s">
        <v>10</v>
      </c>
      <c r="HJ1" s="3" t="s">
        <v>0</v>
      </c>
      <c r="HK1" s="22" t="s">
        <v>12</v>
      </c>
      <c r="HL1" s="49" t="s">
        <v>916</v>
      </c>
      <c r="HM1" s="49" t="s">
        <v>875</v>
      </c>
      <c r="HN1" s="31" t="s">
        <v>328</v>
      </c>
      <c r="HO1" s="9" t="s">
        <v>1</v>
      </c>
      <c r="HP1" s="9" t="s">
        <v>0</v>
      </c>
      <c r="HQ1" s="22" t="s">
        <v>12</v>
      </c>
      <c r="HR1" s="3" t="s">
        <v>10</v>
      </c>
      <c r="HS1" s="3" t="s">
        <v>0</v>
      </c>
      <c r="HT1" s="22" t="s">
        <v>12</v>
      </c>
      <c r="HU1" s="49" t="s">
        <v>916</v>
      </c>
      <c r="HV1" s="49" t="s">
        <v>875</v>
      </c>
      <c r="HW1" s="10" t="s">
        <v>651</v>
      </c>
      <c r="HX1" s="2" t="s">
        <v>328</v>
      </c>
      <c r="HY1" s="9" t="s">
        <v>1</v>
      </c>
      <c r="HZ1" s="9" t="s">
        <v>0</v>
      </c>
      <c r="IA1" s="22" t="s">
        <v>12</v>
      </c>
      <c r="IB1" s="3" t="s">
        <v>10</v>
      </c>
      <c r="IC1" s="3" t="s">
        <v>0</v>
      </c>
      <c r="ID1" s="22" t="s">
        <v>12</v>
      </c>
      <c r="IE1" s="10" t="s">
        <v>977</v>
      </c>
      <c r="IF1" s="33" t="s">
        <v>328</v>
      </c>
      <c r="IG1" s="9" t="s">
        <v>1</v>
      </c>
      <c r="IH1" s="9" t="s">
        <v>0</v>
      </c>
      <c r="II1" s="22" t="s">
        <v>12</v>
      </c>
      <c r="IJ1" s="49" t="s">
        <v>687</v>
      </c>
      <c r="IK1" s="3" t="s">
        <v>10</v>
      </c>
      <c r="IL1" s="3" t="s">
        <v>0</v>
      </c>
      <c r="IM1" s="22" t="s">
        <v>12</v>
      </c>
      <c r="IN1" s="49" t="s">
        <v>687</v>
      </c>
      <c r="IO1" s="49" t="s">
        <v>916</v>
      </c>
      <c r="IP1" s="49" t="s">
        <v>875</v>
      </c>
      <c r="IQ1" s="33" t="s">
        <v>328</v>
      </c>
      <c r="IR1" s="9" t="s">
        <v>1</v>
      </c>
      <c r="IS1" s="9" t="s">
        <v>0</v>
      </c>
      <c r="IT1" s="22" t="s">
        <v>12</v>
      </c>
      <c r="IU1" s="3" t="s">
        <v>10</v>
      </c>
      <c r="IV1" s="3" t="s">
        <v>0</v>
      </c>
      <c r="IW1" s="22" t="s">
        <v>12</v>
      </c>
      <c r="IX1" s="33" t="s">
        <v>328</v>
      </c>
      <c r="IY1" s="9" t="s">
        <v>1</v>
      </c>
      <c r="IZ1" s="9" t="s">
        <v>0</v>
      </c>
      <c r="JA1" s="22" t="s">
        <v>12</v>
      </c>
      <c r="JB1" s="3" t="s">
        <v>10</v>
      </c>
      <c r="JC1" s="3" t="s">
        <v>0</v>
      </c>
      <c r="JD1" s="22" t="s">
        <v>12</v>
      </c>
      <c r="JE1" s="6" t="s">
        <v>25</v>
      </c>
      <c r="JF1" s="2" t="s">
        <v>328</v>
      </c>
      <c r="JG1" s="9" t="s">
        <v>1</v>
      </c>
      <c r="JH1" s="9" t="s">
        <v>0</v>
      </c>
      <c r="JI1" s="22" t="s">
        <v>12</v>
      </c>
      <c r="JJ1" s="3" t="s">
        <v>10</v>
      </c>
      <c r="JK1" s="3" t="s">
        <v>0</v>
      </c>
      <c r="JL1" s="7" t="s">
        <v>12</v>
      </c>
      <c r="JM1" s="8" t="s">
        <v>6</v>
      </c>
      <c r="JN1" s="31" t="s">
        <v>328</v>
      </c>
      <c r="JO1" s="9" t="s">
        <v>1</v>
      </c>
      <c r="JP1" s="9" t="s">
        <v>0</v>
      </c>
      <c r="JQ1" s="7" t="s">
        <v>12</v>
      </c>
      <c r="JR1" s="49" t="s">
        <v>687</v>
      </c>
      <c r="JS1" s="3" t="s">
        <v>10</v>
      </c>
      <c r="JT1" s="3" t="s">
        <v>0</v>
      </c>
      <c r="JU1" s="22" t="s">
        <v>12</v>
      </c>
      <c r="JV1" s="49" t="s">
        <v>687</v>
      </c>
      <c r="JW1" s="49" t="s">
        <v>916</v>
      </c>
      <c r="JX1" s="49" t="s">
        <v>875</v>
      </c>
      <c r="JY1" s="31" t="s">
        <v>328</v>
      </c>
      <c r="JZ1" s="9" t="s">
        <v>1</v>
      </c>
      <c r="KA1" s="9" t="s">
        <v>0</v>
      </c>
      <c r="KB1" s="22" t="s">
        <v>12</v>
      </c>
      <c r="KC1" s="3" t="s">
        <v>10</v>
      </c>
      <c r="KD1" s="3" t="s">
        <v>0</v>
      </c>
      <c r="KE1" s="22" t="s">
        <v>12</v>
      </c>
      <c r="KF1" s="49" t="s">
        <v>916</v>
      </c>
      <c r="KG1" s="49" t="s">
        <v>875</v>
      </c>
      <c r="KH1" s="31" t="s">
        <v>328</v>
      </c>
      <c r="KI1" s="9" t="s">
        <v>1</v>
      </c>
      <c r="KJ1" s="9" t="s">
        <v>0</v>
      </c>
      <c r="KK1" s="22" t="s">
        <v>12</v>
      </c>
      <c r="KL1" s="3" t="s">
        <v>10</v>
      </c>
      <c r="KM1" s="3" t="s">
        <v>0</v>
      </c>
      <c r="KN1" s="22" t="s">
        <v>12</v>
      </c>
      <c r="KO1" s="49" t="s">
        <v>916</v>
      </c>
      <c r="KP1" s="49" t="s">
        <v>875</v>
      </c>
      <c r="KQ1" s="8" t="s">
        <v>143</v>
      </c>
      <c r="KR1" s="9" t="s">
        <v>328</v>
      </c>
      <c r="KS1" s="9" t="s">
        <v>1</v>
      </c>
      <c r="KT1" s="9" t="s">
        <v>0</v>
      </c>
      <c r="KU1" s="22" t="s">
        <v>12</v>
      </c>
      <c r="KV1" s="49" t="s">
        <v>687</v>
      </c>
      <c r="KW1" s="3" t="s">
        <v>10</v>
      </c>
      <c r="KX1" s="3" t="s">
        <v>0</v>
      </c>
      <c r="KY1" s="7" t="s">
        <v>12</v>
      </c>
      <c r="KZ1" s="49" t="s">
        <v>687</v>
      </c>
      <c r="LA1" s="49" t="s">
        <v>916</v>
      </c>
      <c r="LB1" s="49" t="s">
        <v>875</v>
      </c>
      <c r="LC1" s="9" t="s">
        <v>328</v>
      </c>
      <c r="LD1" s="9" t="s">
        <v>1</v>
      </c>
      <c r="LE1" s="9" t="s">
        <v>0</v>
      </c>
      <c r="LF1" s="22" t="s">
        <v>12</v>
      </c>
      <c r="LG1" s="49" t="s">
        <v>10</v>
      </c>
      <c r="LH1" s="49" t="s">
        <v>0</v>
      </c>
      <c r="LI1" s="7" t="s">
        <v>12</v>
      </c>
      <c r="LJ1" s="49" t="s">
        <v>916</v>
      </c>
      <c r="LK1" s="49" t="s">
        <v>875</v>
      </c>
      <c r="LL1" s="9" t="s">
        <v>328</v>
      </c>
      <c r="LM1" s="9" t="s">
        <v>1</v>
      </c>
      <c r="LN1" s="9" t="s">
        <v>0</v>
      </c>
      <c r="LO1" s="22" t="s">
        <v>12</v>
      </c>
      <c r="LP1" s="3" t="s">
        <v>10</v>
      </c>
      <c r="LQ1" s="3" t="s">
        <v>0</v>
      </c>
      <c r="LR1" s="7" t="s">
        <v>12</v>
      </c>
      <c r="LS1" s="8" t="s">
        <v>652</v>
      </c>
      <c r="LT1" s="9" t="s">
        <v>328</v>
      </c>
      <c r="LU1" s="9" t="s">
        <v>1</v>
      </c>
      <c r="LV1" s="9" t="s">
        <v>0</v>
      </c>
      <c r="LW1" s="22" t="s">
        <v>12</v>
      </c>
      <c r="LX1" s="3" t="s">
        <v>10</v>
      </c>
      <c r="LY1" s="3" t="s">
        <v>0</v>
      </c>
      <c r="LZ1" s="22" t="s">
        <v>12</v>
      </c>
      <c r="MA1" s="49" t="s">
        <v>916</v>
      </c>
      <c r="MB1" s="49" t="s">
        <v>875</v>
      </c>
      <c r="MC1" s="8" t="s">
        <v>653</v>
      </c>
      <c r="MD1" s="9" t="s">
        <v>328</v>
      </c>
      <c r="ME1" s="9" t="s">
        <v>1</v>
      </c>
      <c r="MF1" s="9" t="s">
        <v>0</v>
      </c>
      <c r="MG1" s="22" t="s">
        <v>12</v>
      </c>
      <c r="MH1" s="3" t="s">
        <v>10</v>
      </c>
      <c r="MI1" s="3" t="s">
        <v>0</v>
      </c>
      <c r="MJ1" s="22" t="s">
        <v>12</v>
      </c>
      <c r="MK1" s="49" t="s">
        <v>916</v>
      </c>
      <c r="ML1" s="49" t="s">
        <v>875</v>
      </c>
      <c r="MM1" s="8" t="s">
        <v>75</v>
      </c>
      <c r="MN1" s="9" t="s">
        <v>328</v>
      </c>
      <c r="MO1" s="9" t="s">
        <v>1</v>
      </c>
      <c r="MP1" s="9" t="s">
        <v>0</v>
      </c>
      <c r="MQ1" s="22" t="s">
        <v>12</v>
      </c>
      <c r="MR1" s="3" t="s">
        <v>10</v>
      </c>
      <c r="MS1" s="3" t="s">
        <v>0</v>
      </c>
      <c r="MT1" s="22" t="s">
        <v>12</v>
      </c>
      <c r="MU1" s="49" t="s">
        <v>916</v>
      </c>
      <c r="MV1" s="49" t="s">
        <v>875</v>
      </c>
      <c r="MW1" s="8" t="s">
        <v>76</v>
      </c>
      <c r="MX1" s="9" t="s">
        <v>328</v>
      </c>
      <c r="MY1" s="9" t="s">
        <v>1</v>
      </c>
      <c r="MZ1" s="9" t="s">
        <v>0</v>
      </c>
      <c r="NA1" s="7" t="s">
        <v>12</v>
      </c>
      <c r="NB1" s="3" t="s">
        <v>10</v>
      </c>
      <c r="NC1" s="3" t="s">
        <v>0</v>
      </c>
      <c r="ND1" s="7" t="s">
        <v>12</v>
      </c>
      <c r="NE1" s="49" t="s">
        <v>916</v>
      </c>
      <c r="NF1" s="49" t="s">
        <v>875</v>
      </c>
      <c r="NG1" s="8" t="s">
        <v>27</v>
      </c>
      <c r="NH1" s="61" t="s">
        <v>328</v>
      </c>
      <c r="NI1" s="61" t="s">
        <v>1</v>
      </c>
      <c r="NJ1" s="62" t="s">
        <v>0</v>
      </c>
      <c r="NK1" s="63" t="s">
        <v>12</v>
      </c>
      <c r="NL1" s="3" t="s">
        <v>10</v>
      </c>
      <c r="NM1" s="3" t="s">
        <v>0</v>
      </c>
      <c r="NN1" s="22" t="s">
        <v>12</v>
      </c>
      <c r="NO1" s="49" t="s">
        <v>916</v>
      </c>
      <c r="NP1" s="49" t="s">
        <v>875</v>
      </c>
      <c r="NQ1" s="8" t="s">
        <v>44</v>
      </c>
      <c r="NR1" s="61" t="s">
        <v>328</v>
      </c>
      <c r="NS1" s="62" t="s">
        <v>1</v>
      </c>
      <c r="NT1" s="62" t="s">
        <v>0</v>
      </c>
      <c r="NU1" s="63" t="s">
        <v>12</v>
      </c>
      <c r="NV1" s="64" t="s">
        <v>10</v>
      </c>
      <c r="NW1" s="64" t="s">
        <v>0</v>
      </c>
      <c r="NX1" s="63" t="s">
        <v>12</v>
      </c>
      <c r="NY1" s="49" t="s">
        <v>916</v>
      </c>
      <c r="NZ1" s="49" t="s">
        <v>875</v>
      </c>
      <c r="OA1" s="65" t="s">
        <v>46</v>
      </c>
      <c r="OB1" s="61" t="s">
        <v>328</v>
      </c>
      <c r="OC1" s="62" t="s">
        <v>1</v>
      </c>
      <c r="OD1" s="62" t="s">
        <v>0</v>
      </c>
      <c r="OE1" s="63" t="s">
        <v>12</v>
      </c>
      <c r="OF1" s="64" t="s">
        <v>10</v>
      </c>
      <c r="OG1" s="64" t="s">
        <v>0</v>
      </c>
      <c r="OH1" s="63" t="s">
        <v>12</v>
      </c>
      <c r="OI1" s="49" t="s">
        <v>916</v>
      </c>
      <c r="OJ1" s="49" t="s">
        <v>875</v>
      </c>
      <c r="OK1" s="8" t="s">
        <v>7</v>
      </c>
      <c r="OL1" s="9" t="s">
        <v>1</v>
      </c>
      <c r="OM1" s="9" t="s">
        <v>0</v>
      </c>
      <c r="ON1" s="7" t="s">
        <v>12</v>
      </c>
      <c r="OO1" s="3" t="s">
        <v>10</v>
      </c>
      <c r="OP1" s="3" t="s">
        <v>0</v>
      </c>
      <c r="OQ1" s="22" t="s">
        <v>12</v>
      </c>
      <c r="OR1" s="6" t="s">
        <v>14</v>
      </c>
      <c r="OS1" s="9" t="s">
        <v>1</v>
      </c>
      <c r="OT1" s="9" t="s">
        <v>0</v>
      </c>
      <c r="OU1" s="22" t="s">
        <v>12</v>
      </c>
      <c r="OV1" s="3" t="s">
        <v>10</v>
      </c>
      <c r="OW1" s="3" t="s">
        <v>0</v>
      </c>
      <c r="OX1" s="22" t="s">
        <v>12</v>
      </c>
      <c r="OY1" s="6" t="s">
        <v>221</v>
      </c>
      <c r="OZ1" s="9" t="s">
        <v>328</v>
      </c>
      <c r="PA1" s="9" t="s">
        <v>1</v>
      </c>
      <c r="PB1" s="9" t="s">
        <v>0</v>
      </c>
      <c r="PC1" s="22" t="s">
        <v>12</v>
      </c>
      <c r="PD1" s="3" t="s">
        <v>10</v>
      </c>
      <c r="PE1" s="3" t="s">
        <v>0</v>
      </c>
      <c r="PF1" s="22" t="s">
        <v>12</v>
      </c>
      <c r="PG1" s="6" t="s">
        <v>258</v>
      </c>
      <c r="PH1" s="9" t="s">
        <v>328</v>
      </c>
      <c r="PI1" s="9" t="s">
        <v>1</v>
      </c>
      <c r="PJ1" s="9" t="s">
        <v>0</v>
      </c>
      <c r="PK1" s="22" t="s">
        <v>12</v>
      </c>
      <c r="PL1" s="3" t="s">
        <v>10</v>
      </c>
      <c r="PM1" s="3" t="s">
        <v>0</v>
      </c>
      <c r="PN1" s="22" t="s">
        <v>12</v>
      </c>
      <c r="PO1" s="6" t="s">
        <v>219</v>
      </c>
      <c r="PP1" s="9" t="s">
        <v>328</v>
      </c>
      <c r="PQ1" s="9" t="s">
        <v>1</v>
      </c>
      <c r="PR1" s="9" t="s">
        <v>0</v>
      </c>
      <c r="PS1" s="22" t="s">
        <v>12</v>
      </c>
      <c r="PT1" s="3" t="s">
        <v>10</v>
      </c>
      <c r="PU1" s="3" t="s">
        <v>0</v>
      </c>
      <c r="PV1" s="22" t="s">
        <v>12</v>
      </c>
      <c r="PW1" s="6" t="s">
        <v>220</v>
      </c>
      <c r="PX1" s="9" t="s">
        <v>328</v>
      </c>
      <c r="PY1" s="9" t="s">
        <v>1</v>
      </c>
      <c r="PZ1" s="9" t="s">
        <v>0</v>
      </c>
      <c r="QA1" s="7" t="s">
        <v>12</v>
      </c>
      <c r="QB1" s="3" t="s">
        <v>10</v>
      </c>
      <c r="QC1" s="3" t="s">
        <v>0</v>
      </c>
      <c r="QD1" s="7" t="s">
        <v>12</v>
      </c>
      <c r="QE1" s="6" t="s">
        <v>654</v>
      </c>
      <c r="QF1" s="9" t="s">
        <v>328</v>
      </c>
      <c r="QG1" s="9" t="s">
        <v>1</v>
      </c>
      <c r="QH1" s="9" t="s">
        <v>0</v>
      </c>
      <c r="QI1" s="22" t="s">
        <v>12</v>
      </c>
      <c r="QJ1" s="3" t="s">
        <v>10</v>
      </c>
      <c r="QK1" s="3" t="s">
        <v>0</v>
      </c>
      <c r="QL1" s="22" t="s">
        <v>12</v>
      </c>
      <c r="QM1" s="8" t="s">
        <v>13</v>
      </c>
      <c r="QN1" s="9" t="s">
        <v>328</v>
      </c>
      <c r="QO1" s="9" t="s">
        <v>1</v>
      </c>
      <c r="QP1" s="9" t="s">
        <v>0</v>
      </c>
      <c r="QQ1" s="22" t="s">
        <v>12</v>
      </c>
      <c r="QR1" s="3" t="s">
        <v>10</v>
      </c>
      <c r="QS1" s="3" t="s">
        <v>0</v>
      </c>
      <c r="QT1" s="22" t="s">
        <v>12</v>
      </c>
      <c r="QU1" s="49" t="s">
        <v>916</v>
      </c>
      <c r="QV1" s="49" t="s">
        <v>875</v>
      </c>
      <c r="QW1" s="59" t="s">
        <v>65</v>
      </c>
      <c r="QX1" s="9" t="s">
        <v>328</v>
      </c>
      <c r="QY1" s="9" t="s">
        <v>1</v>
      </c>
      <c r="QZ1" s="9" t="s">
        <v>0</v>
      </c>
      <c r="RA1" s="7" t="s">
        <v>12</v>
      </c>
      <c r="RB1" s="3" t="s">
        <v>10</v>
      </c>
      <c r="RC1" s="3" t="s">
        <v>0</v>
      </c>
      <c r="RD1" s="7" t="s">
        <v>12</v>
      </c>
      <c r="RE1" s="49" t="s">
        <v>916</v>
      </c>
      <c r="RF1" s="49" t="s">
        <v>875</v>
      </c>
      <c r="RG1" s="59" t="s">
        <v>66</v>
      </c>
      <c r="RH1" s="9" t="s">
        <v>328</v>
      </c>
      <c r="RI1" s="9" t="s">
        <v>1</v>
      </c>
      <c r="RJ1" s="9" t="s">
        <v>0</v>
      </c>
      <c r="RK1" s="7" t="s">
        <v>12</v>
      </c>
      <c r="RL1" s="3" t="s">
        <v>10</v>
      </c>
      <c r="RM1" s="3" t="s">
        <v>0</v>
      </c>
      <c r="RN1" s="7" t="s">
        <v>12</v>
      </c>
      <c r="RO1" s="49" t="s">
        <v>916</v>
      </c>
      <c r="RP1" s="49" t="s">
        <v>875</v>
      </c>
      <c r="RQ1" s="8" t="s">
        <v>681</v>
      </c>
      <c r="RR1" s="9" t="s">
        <v>328</v>
      </c>
      <c r="RS1" s="9" t="s">
        <v>1</v>
      </c>
      <c r="RT1" s="9" t="s">
        <v>0</v>
      </c>
      <c r="RU1" s="7" t="s">
        <v>12</v>
      </c>
      <c r="RV1" s="3" t="s">
        <v>10</v>
      </c>
      <c r="RW1" s="3" t="s">
        <v>0</v>
      </c>
      <c r="RX1" s="7" t="s">
        <v>12</v>
      </c>
      <c r="RY1" s="49" t="s">
        <v>916</v>
      </c>
      <c r="RZ1" s="49" t="s">
        <v>875</v>
      </c>
      <c r="SA1" s="8" t="s">
        <v>684</v>
      </c>
      <c r="SB1" s="9" t="s">
        <v>328</v>
      </c>
      <c r="SC1" s="9" t="s">
        <v>1</v>
      </c>
      <c r="SD1" s="9" t="s">
        <v>0</v>
      </c>
      <c r="SE1" s="7" t="s">
        <v>12</v>
      </c>
      <c r="SF1" s="3" t="s">
        <v>10</v>
      </c>
      <c r="SG1" s="3" t="s">
        <v>0</v>
      </c>
      <c r="SH1" s="7" t="s">
        <v>12</v>
      </c>
      <c r="SI1" s="49" t="s">
        <v>916</v>
      </c>
      <c r="SJ1" s="49" t="s">
        <v>875</v>
      </c>
      <c r="SK1" s="8" t="s">
        <v>685</v>
      </c>
      <c r="SL1" s="9" t="s">
        <v>328</v>
      </c>
      <c r="SM1" s="27" t="s">
        <v>1</v>
      </c>
      <c r="SN1" s="27" t="s">
        <v>0</v>
      </c>
      <c r="SO1" s="22" t="s">
        <v>12</v>
      </c>
      <c r="SP1" s="28" t="s">
        <v>10</v>
      </c>
      <c r="SQ1" s="28" t="s">
        <v>0</v>
      </c>
      <c r="SR1" s="22" t="s">
        <v>12</v>
      </c>
      <c r="SS1" s="49" t="s">
        <v>916</v>
      </c>
      <c r="ST1" s="49" t="s">
        <v>875</v>
      </c>
      <c r="SU1" s="8" t="s">
        <v>686</v>
      </c>
      <c r="SV1" s="9" t="s">
        <v>328</v>
      </c>
      <c r="SW1" s="27" t="s">
        <v>1</v>
      </c>
      <c r="SX1" s="27" t="s">
        <v>0</v>
      </c>
      <c r="SY1" s="22" t="s">
        <v>12</v>
      </c>
      <c r="SZ1" s="28" t="s">
        <v>10</v>
      </c>
      <c r="TA1" s="28" t="s">
        <v>0</v>
      </c>
      <c r="TB1" s="22" t="s">
        <v>12</v>
      </c>
      <c r="TC1" s="49" t="s">
        <v>916</v>
      </c>
      <c r="TD1" s="49" t="s">
        <v>875</v>
      </c>
      <c r="TE1" s="8" t="s">
        <v>682</v>
      </c>
      <c r="TF1" s="9" t="s">
        <v>328</v>
      </c>
      <c r="TG1" s="27" t="s">
        <v>1</v>
      </c>
      <c r="TH1" s="27" t="s">
        <v>0</v>
      </c>
      <c r="TI1" s="22" t="s">
        <v>12</v>
      </c>
      <c r="TJ1" s="28" t="s">
        <v>10</v>
      </c>
      <c r="TK1" s="28" t="s">
        <v>0</v>
      </c>
      <c r="TL1" s="22" t="s">
        <v>12</v>
      </c>
      <c r="TM1" s="49" t="s">
        <v>916</v>
      </c>
      <c r="TN1" s="49" t="s">
        <v>875</v>
      </c>
      <c r="TO1" s="8" t="s">
        <v>683</v>
      </c>
      <c r="TP1" s="9" t="s">
        <v>328</v>
      </c>
      <c r="TQ1" s="27" t="s">
        <v>1</v>
      </c>
      <c r="TR1" s="27" t="s">
        <v>0</v>
      </c>
      <c r="TS1" s="22" t="s">
        <v>12</v>
      </c>
      <c r="TT1" s="49" t="s">
        <v>687</v>
      </c>
      <c r="TU1" s="28" t="s">
        <v>10</v>
      </c>
      <c r="TV1" s="28" t="s">
        <v>0</v>
      </c>
      <c r="TW1" s="22" t="s">
        <v>12</v>
      </c>
      <c r="TX1" s="49" t="s">
        <v>687</v>
      </c>
      <c r="TY1" s="49" t="s">
        <v>916</v>
      </c>
      <c r="TZ1" s="49" t="s">
        <v>875</v>
      </c>
    </row>
    <row r="2" spans="1:546" ht="17.399999999999999" x14ac:dyDescent="0.3">
      <c r="A2" s="11">
        <v>1</v>
      </c>
      <c r="B2" s="12" t="s">
        <v>30</v>
      </c>
      <c r="C2" s="12" t="s">
        <v>31</v>
      </c>
      <c r="D2" s="12" t="s">
        <v>609</v>
      </c>
      <c r="E2" s="14">
        <v>3</v>
      </c>
      <c r="F2" s="14">
        <v>0</v>
      </c>
      <c r="G2" s="14">
        <v>0</v>
      </c>
      <c r="H2" s="12" t="s">
        <v>79</v>
      </c>
      <c r="I2" s="29">
        <v>32.933</v>
      </c>
      <c r="J2" s="29">
        <v>102.133</v>
      </c>
      <c r="K2" s="12" t="s">
        <v>35</v>
      </c>
      <c r="L2" s="12" t="s">
        <v>772</v>
      </c>
      <c r="M2" s="13">
        <v>3300</v>
      </c>
      <c r="N2" s="14">
        <v>0.35</v>
      </c>
      <c r="O2" s="14">
        <v>680</v>
      </c>
      <c r="P2" s="14" t="s">
        <v>16</v>
      </c>
      <c r="Q2" s="11">
        <v>1</v>
      </c>
      <c r="R2" s="11" t="s">
        <v>37</v>
      </c>
      <c r="S2" s="12" t="s">
        <v>85</v>
      </c>
      <c r="T2" s="12" t="s">
        <v>37</v>
      </c>
      <c r="U2" s="12" t="s">
        <v>37</v>
      </c>
      <c r="V2" s="12" t="s">
        <v>275</v>
      </c>
      <c r="W2" s="23" t="s">
        <v>38</v>
      </c>
      <c r="X2" s="12" t="s">
        <v>280</v>
      </c>
      <c r="Y2" s="12" t="s">
        <v>37</v>
      </c>
      <c r="Z2" s="12" t="s">
        <v>37</v>
      </c>
      <c r="AA2" s="32" t="s">
        <v>461</v>
      </c>
      <c r="AB2" s="12" t="s">
        <v>317</v>
      </c>
      <c r="AC2" s="12" t="s">
        <v>37</v>
      </c>
      <c r="AD2" s="12" t="s">
        <v>482</v>
      </c>
      <c r="AE2" s="12" t="s">
        <v>74</v>
      </c>
      <c r="AF2" s="12" t="s">
        <v>483</v>
      </c>
      <c r="AG2" s="12"/>
      <c r="AH2" s="32"/>
      <c r="AI2" s="12" t="s">
        <v>37</v>
      </c>
      <c r="AJ2" s="12" t="s">
        <v>37</v>
      </c>
      <c r="AK2" s="11" t="s">
        <v>37</v>
      </c>
      <c r="AL2" s="19"/>
      <c r="AM2" s="12" t="s">
        <v>37</v>
      </c>
      <c r="AN2" s="12" t="s">
        <v>37</v>
      </c>
      <c r="AO2" s="13" t="s">
        <v>37</v>
      </c>
      <c r="AP2" s="19"/>
      <c r="AQ2" s="49"/>
      <c r="AR2" s="49"/>
      <c r="AS2" s="32"/>
      <c r="AT2" s="12" t="s">
        <v>37</v>
      </c>
      <c r="AU2" s="12" t="s">
        <v>37</v>
      </c>
      <c r="AV2" s="13" t="s">
        <v>37</v>
      </c>
      <c r="AW2" s="12" t="s">
        <v>37</v>
      </c>
      <c r="AX2" s="12" t="s">
        <v>37</v>
      </c>
      <c r="AY2" s="13" t="s">
        <v>37</v>
      </c>
      <c r="AZ2" s="13"/>
      <c r="BA2" s="13"/>
      <c r="BB2" s="12"/>
      <c r="BC2" s="12" t="s">
        <v>37</v>
      </c>
      <c r="BD2" s="12" t="s">
        <v>37</v>
      </c>
      <c r="BE2" s="13" t="s">
        <v>37</v>
      </c>
      <c r="BF2" s="12" t="s">
        <v>37</v>
      </c>
      <c r="BG2" s="12" t="s">
        <v>37</v>
      </c>
      <c r="BH2" s="12" t="s">
        <v>37</v>
      </c>
      <c r="BI2" s="12"/>
      <c r="BJ2" s="12" t="s">
        <v>37</v>
      </c>
      <c r="BK2" s="12" t="s">
        <v>37</v>
      </c>
      <c r="BL2" s="13" t="s">
        <v>37</v>
      </c>
      <c r="BM2" s="12" t="s">
        <v>37</v>
      </c>
      <c r="BN2" s="12" t="s">
        <v>37</v>
      </c>
      <c r="BO2" s="13" t="s">
        <v>37</v>
      </c>
      <c r="BP2" s="19"/>
      <c r="BQ2" s="12"/>
      <c r="BR2" s="12"/>
      <c r="BS2" s="12"/>
      <c r="BT2" s="12"/>
      <c r="BU2" s="12" t="s">
        <v>37</v>
      </c>
      <c r="BV2" s="12" t="s">
        <v>37</v>
      </c>
      <c r="BW2" s="13" t="s">
        <v>37</v>
      </c>
      <c r="BX2" s="12" t="s">
        <v>37</v>
      </c>
      <c r="BY2" s="12" t="s">
        <v>37</v>
      </c>
      <c r="BZ2" s="13" t="s">
        <v>37</v>
      </c>
      <c r="CA2" s="19"/>
      <c r="CB2" s="12"/>
      <c r="CC2" s="12"/>
      <c r="CD2" s="12"/>
      <c r="CE2" s="12"/>
      <c r="CF2" s="12" t="s">
        <v>37</v>
      </c>
      <c r="CG2" s="12" t="s">
        <v>37</v>
      </c>
      <c r="CH2" s="13" t="s">
        <v>37</v>
      </c>
      <c r="CI2" s="12" t="s">
        <v>37</v>
      </c>
      <c r="CJ2" s="12" t="s">
        <v>37</v>
      </c>
      <c r="CK2" s="13" t="s">
        <v>37</v>
      </c>
      <c r="CL2" s="19"/>
      <c r="CM2" s="12"/>
      <c r="CN2" s="12"/>
      <c r="CO2" s="12"/>
      <c r="CP2" s="15" t="s">
        <v>34</v>
      </c>
      <c r="CQ2" s="15">
        <f>(5.255+7.3509+9.4025+9.0788+4.3436+2.1491)/6</f>
        <v>6.2633166666666673</v>
      </c>
      <c r="CR2" s="52">
        <f>STDEVA(5.255,7.3509,9.4025,9.0788,4.3436,2.1491)</f>
        <v>2.8493174364515204</v>
      </c>
      <c r="CS2" s="18">
        <v>3</v>
      </c>
      <c r="CT2" s="52">
        <f t="shared" ref="CT2:CT8" si="0">CR2/ABS(CQ2)</f>
        <v>0.45492150374825691</v>
      </c>
      <c r="CU2" s="15">
        <f>(4.1384+4.8033+7.5863+7.49+2.4078+2.1009)/6</f>
        <v>4.7544500000000003</v>
      </c>
      <c r="CV2" s="52">
        <f>STDEVA(4.1384,4.8033,7.5863,7.49,2.4078,2.1009)</f>
        <v>2.3846427814245028</v>
      </c>
      <c r="CW2" s="18">
        <v>3</v>
      </c>
      <c r="CX2" s="52">
        <f t="shared" ref="CX2:CX8" si="1">CV2/ABS(CU2)</f>
        <v>0.5015601765555433</v>
      </c>
      <c r="CY2" s="68">
        <f>CU2-CQ2</f>
        <v>-1.508866666666667</v>
      </c>
      <c r="CZ2" s="12">
        <f>SQRT(((CS2-1)*CR2^2+(CW2-1)*CV2^2)/(CS2+CW2-2))</f>
        <v>2.6272734011391594</v>
      </c>
      <c r="DA2" s="72">
        <f t="shared" ref="DA2" si="2">(((CS2+CW2)/(CS2*CW2))*(((CS2-1)*CR2^2)+(CW2-1)*CV2^2)/(CS2+CW2-2))</f>
        <v>4.6017103495555505</v>
      </c>
      <c r="DB2" s="72">
        <f t="shared" ref="DB2" si="3">(CR2^2/CS2)+(CV2^2/CW2)</f>
        <v>4.6017103495555514</v>
      </c>
      <c r="DC2" s="15"/>
      <c r="DD2" s="15" t="s">
        <v>37</v>
      </c>
      <c r="DE2" s="67" t="s">
        <v>37</v>
      </c>
      <c r="DF2" s="15" t="s">
        <v>37</v>
      </c>
      <c r="DG2" s="52"/>
      <c r="DH2" s="15" t="s">
        <v>37</v>
      </c>
      <c r="DI2" s="67" t="s">
        <v>37</v>
      </c>
      <c r="DJ2" s="15" t="s">
        <v>37</v>
      </c>
      <c r="DK2" s="52"/>
      <c r="DL2" s="68"/>
      <c r="DM2" s="12"/>
      <c r="DN2" s="72"/>
      <c r="DO2" s="72"/>
      <c r="DP2" s="12" t="s">
        <v>39</v>
      </c>
      <c r="DQ2" s="12">
        <v>0</v>
      </c>
      <c r="DR2" s="12">
        <v>0</v>
      </c>
      <c r="DS2" s="13">
        <v>3</v>
      </c>
      <c r="DT2" s="19"/>
      <c r="DU2" s="12">
        <v>-10</v>
      </c>
      <c r="DV2" s="12">
        <v>0</v>
      </c>
      <c r="DW2" s="13">
        <v>3</v>
      </c>
      <c r="DX2" s="19"/>
      <c r="DY2" s="19">
        <f>DU2-DQ2</f>
        <v>-10</v>
      </c>
      <c r="DZ2" s="12">
        <f>SQRT(((DS2-1)*DR2^2+(DW2-1)*DV2^2)/(DS2+DW2-2))</f>
        <v>0</v>
      </c>
      <c r="EA2" s="72">
        <f>(((DS2+DW2)/(DS2*DW2))*(((DS2-1)*DR2^2)+(DW2-1)*DV2^2)/(DS2+DW2-2))</f>
        <v>0</v>
      </c>
      <c r="EB2" s="72">
        <f>(DR2^2/DS2)+(DV2^2/DW2)</f>
        <v>0</v>
      </c>
      <c r="EC2" s="12"/>
      <c r="ED2" s="12"/>
      <c r="EE2" s="12" t="s">
        <v>37</v>
      </c>
      <c r="EF2" s="12" t="s">
        <v>37</v>
      </c>
      <c r="EG2" s="11" t="s">
        <v>37</v>
      </c>
      <c r="EH2" s="19"/>
      <c r="EI2" s="12" t="s">
        <v>37</v>
      </c>
      <c r="EJ2" s="20" t="s">
        <v>37</v>
      </c>
      <c r="EK2" s="11" t="s">
        <v>37</v>
      </c>
      <c r="EL2" s="19"/>
      <c r="EM2" s="19"/>
      <c r="EN2" s="12"/>
      <c r="EO2" s="12"/>
      <c r="EP2" s="12"/>
      <c r="EQ2" s="32"/>
      <c r="ER2" s="12" t="s">
        <v>37</v>
      </c>
      <c r="ES2" s="12" t="s">
        <v>37</v>
      </c>
      <c r="ET2" s="11" t="s">
        <v>37</v>
      </c>
      <c r="EU2" s="19"/>
      <c r="EV2" s="13" t="s">
        <v>37</v>
      </c>
      <c r="EW2" s="11" t="s">
        <v>37</v>
      </c>
      <c r="EX2" s="11" t="s">
        <v>37</v>
      </c>
      <c r="EY2" s="19"/>
      <c r="EZ2" s="19"/>
      <c r="FA2" s="19"/>
      <c r="FB2" s="19"/>
      <c r="FC2" s="32"/>
      <c r="FD2" s="12" t="s">
        <v>37</v>
      </c>
      <c r="FE2" s="12" t="s">
        <v>37</v>
      </c>
      <c r="FF2" s="11" t="s">
        <v>37</v>
      </c>
      <c r="FG2" s="13" t="s">
        <v>37</v>
      </c>
      <c r="FH2" s="11" t="s">
        <v>37</v>
      </c>
      <c r="FI2" s="11" t="s">
        <v>37</v>
      </c>
      <c r="FJ2" s="19"/>
      <c r="FK2" s="19"/>
      <c r="FL2" s="19"/>
      <c r="FM2" s="32"/>
      <c r="FN2" s="12" t="s">
        <v>37</v>
      </c>
      <c r="FO2" s="12" t="s">
        <v>37</v>
      </c>
      <c r="FP2" s="11" t="s">
        <v>37</v>
      </c>
      <c r="FQ2" s="13" t="s">
        <v>37</v>
      </c>
      <c r="FR2" s="11" t="s">
        <v>37</v>
      </c>
      <c r="FS2" s="11" t="s">
        <v>37</v>
      </c>
      <c r="FT2" s="19"/>
      <c r="FU2" s="19"/>
      <c r="FV2" s="19"/>
      <c r="FW2" s="12"/>
      <c r="FX2" s="12"/>
      <c r="FY2" s="12" t="s">
        <v>37</v>
      </c>
      <c r="FZ2" s="12" t="s">
        <v>37</v>
      </c>
      <c r="GA2" s="13" t="s">
        <v>37</v>
      </c>
      <c r="GB2" s="12" t="s">
        <v>37</v>
      </c>
      <c r="GC2" s="12" t="s">
        <v>37</v>
      </c>
      <c r="GD2" s="13" t="s">
        <v>37</v>
      </c>
      <c r="GE2" s="19"/>
      <c r="GF2" s="19"/>
      <c r="GG2" s="12" t="s">
        <v>660</v>
      </c>
      <c r="GH2" s="12" t="s">
        <v>330</v>
      </c>
      <c r="GI2" s="12">
        <v>13</v>
      </c>
      <c r="GJ2" s="12">
        <v>0.7</v>
      </c>
      <c r="GK2" s="13">
        <v>3</v>
      </c>
      <c r="GL2" s="19">
        <f>GJ2/GI2</f>
        <v>5.3846153846153842E-2</v>
      </c>
      <c r="GM2" s="12">
        <v>13.5</v>
      </c>
      <c r="GN2" s="12">
        <v>0.8</v>
      </c>
      <c r="GO2" s="13">
        <v>3</v>
      </c>
      <c r="GP2" s="19">
        <f>GN2/GM2</f>
        <v>5.9259259259259262E-2</v>
      </c>
      <c r="GQ2" s="19">
        <f>LN(GM2/GI2)</f>
        <v>3.7740327982847113E-2</v>
      </c>
      <c r="GR2" s="19">
        <f>GN2^2/(GO2*GM2^2)+GJ2^2/(GK2*GI2^2)</f>
        <v>2.1370226973265911E-3</v>
      </c>
      <c r="GS2" s="12"/>
      <c r="GT2" s="32"/>
      <c r="GU2" s="12" t="s">
        <v>37</v>
      </c>
      <c r="GV2" s="12" t="s">
        <v>37</v>
      </c>
      <c r="GW2" s="12" t="s">
        <v>37</v>
      </c>
      <c r="GX2" s="19"/>
      <c r="GY2" s="12" t="s">
        <v>37</v>
      </c>
      <c r="GZ2" s="12" t="s">
        <v>37</v>
      </c>
      <c r="HA2" s="12" t="s">
        <v>37</v>
      </c>
      <c r="HB2" s="19"/>
      <c r="HC2" s="19"/>
      <c r="HD2" s="19"/>
      <c r="HE2" s="32"/>
      <c r="HF2" s="12" t="s">
        <v>37</v>
      </c>
      <c r="HG2" s="12" t="s">
        <v>37</v>
      </c>
      <c r="HH2" s="13" t="s">
        <v>37</v>
      </c>
      <c r="HI2" s="12" t="s">
        <v>37</v>
      </c>
      <c r="HJ2" s="12" t="s">
        <v>37</v>
      </c>
      <c r="HK2" s="13" t="s">
        <v>37</v>
      </c>
      <c r="HL2" s="13"/>
      <c r="HM2" s="13"/>
      <c r="HN2" s="32"/>
      <c r="HO2" s="12" t="s">
        <v>37</v>
      </c>
      <c r="HP2" s="12" t="s">
        <v>37</v>
      </c>
      <c r="HQ2" s="13" t="s">
        <v>37</v>
      </c>
      <c r="HR2" s="12" t="s">
        <v>37</v>
      </c>
      <c r="HS2" s="12" t="s">
        <v>37</v>
      </c>
      <c r="HT2" s="13" t="s">
        <v>37</v>
      </c>
      <c r="HU2" s="13"/>
      <c r="HV2" s="13"/>
      <c r="HW2" s="12"/>
      <c r="HX2" s="12"/>
      <c r="HY2" s="12" t="s">
        <v>37</v>
      </c>
      <c r="HZ2" s="12" t="s">
        <v>37</v>
      </c>
      <c r="IA2" s="13" t="s">
        <v>37</v>
      </c>
      <c r="IB2" s="12" t="s">
        <v>37</v>
      </c>
      <c r="IC2" s="12" t="s">
        <v>37</v>
      </c>
      <c r="ID2" s="13" t="s">
        <v>37</v>
      </c>
      <c r="IE2" s="12"/>
      <c r="IF2" s="32"/>
      <c r="IG2" s="12" t="s">
        <v>37</v>
      </c>
      <c r="IH2" s="12" t="s">
        <v>37</v>
      </c>
      <c r="II2" s="13" t="s">
        <v>37</v>
      </c>
      <c r="IJ2" s="19"/>
      <c r="IK2" s="12" t="s">
        <v>37</v>
      </c>
      <c r="IL2" s="12" t="s">
        <v>37</v>
      </c>
      <c r="IM2" s="13" t="s">
        <v>37</v>
      </c>
      <c r="IN2" s="19"/>
      <c r="IO2" s="19"/>
      <c r="IP2" s="19"/>
      <c r="IQ2" s="32"/>
      <c r="IR2" s="12" t="s">
        <v>37</v>
      </c>
      <c r="IS2" s="12" t="s">
        <v>37</v>
      </c>
      <c r="IT2" s="13" t="s">
        <v>37</v>
      </c>
      <c r="IU2" s="12" t="s">
        <v>37</v>
      </c>
      <c r="IV2" s="12" t="s">
        <v>37</v>
      </c>
      <c r="IW2" s="12" t="s">
        <v>37</v>
      </c>
      <c r="IX2" s="32"/>
      <c r="IY2" s="12" t="s">
        <v>37</v>
      </c>
      <c r="IZ2" s="12" t="s">
        <v>37</v>
      </c>
      <c r="JA2" s="13" t="s">
        <v>37</v>
      </c>
      <c r="JB2" s="12" t="s">
        <v>37</v>
      </c>
      <c r="JC2" s="12" t="s">
        <v>37</v>
      </c>
      <c r="JD2" s="12" t="s">
        <v>37</v>
      </c>
      <c r="JE2" s="12"/>
      <c r="JF2" s="12"/>
      <c r="JG2" s="12" t="s">
        <v>37</v>
      </c>
      <c r="JH2" s="12" t="s">
        <v>37</v>
      </c>
      <c r="JI2" s="13" t="s">
        <v>37</v>
      </c>
      <c r="JJ2" s="12" t="s">
        <v>37</v>
      </c>
      <c r="JK2" s="12" t="s">
        <v>37</v>
      </c>
      <c r="JL2" s="12" t="s">
        <v>37</v>
      </c>
      <c r="JM2" s="12"/>
      <c r="JN2" s="32"/>
      <c r="JO2" s="12" t="s">
        <v>37</v>
      </c>
      <c r="JP2" s="16" t="s">
        <v>37</v>
      </c>
      <c r="JQ2" s="11" t="s">
        <v>37</v>
      </c>
      <c r="JR2" s="19"/>
      <c r="JS2" s="16" t="s">
        <v>37</v>
      </c>
      <c r="JT2" s="16" t="s">
        <v>37</v>
      </c>
      <c r="JU2" s="13" t="s">
        <v>37</v>
      </c>
      <c r="JV2" s="19"/>
      <c r="JW2" s="19"/>
      <c r="JX2" s="19"/>
      <c r="JY2" s="32"/>
      <c r="JZ2" s="16" t="s">
        <v>37</v>
      </c>
      <c r="KA2" s="16" t="s">
        <v>37</v>
      </c>
      <c r="KB2" s="13" t="s">
        <v>37</v>
      </c>
      <c r="KC2" s="16" t="s">
        <v>37</v>
      </c>
      <c r="KD2" s="16" t="s">
        <v>37</v>
      </c>
      <c r="KE2" s="13" t="s">
        <v>37</v>
      </c>
      <c r="KF2" s="13"/>
      <c r="KG2" s="13"/>
      <c r="KH2" s="32"/>
      <c r="KI2" s="12" t="s">
        <v>37</v>
      </c>
      <c r="KJ2" s="12" t="s">
        <v>37</v>
      </c>
      <c r="KK2" s="12" t="s">
        <v>37</v>
      </c>
      <c r="KL2" s="12" t="s">
        <v>37</v>
      </c>
      <c r="KM2" s="12" t="s">
        <v>37</v>
      </c>
      <c r="KN2" s="12" t="s">
        <v>37</v>
      </c>
      <c r="KO2" s="12"/>
      <c r="KP2" s="12"/>
      <c r="KQ2" s="12"/>
      <c r="KR2" s="12"/>
      <c r="KS2" s="12" t="s">
        <v>37</v>
      </c>
      <c r="KT2" s="12" t="s">
        <v>37</v>
      </c>
      <c r="KU2" s="12" t="s">
        <v>37</v>
      </c>
      <c r="KV2" s="19"/>
      <c r="KW2" s="12" t="s">
        <v>37</v>
      </c>
      <c r="KX2" s="12" t="s">
        <v>37</v>
      </c>
      <c r="KY2" s="12" t="s">
        <v>37</v>
      </c>
      <c r="KZ2" s="19"/>
      <c r="LA2" s="19"/>
      <c r="LB2" s="19"/>
      <c r="LC2" s="12"/>
      <c r="LD2" s="12" t="s">
        <v>37</v>
      </c>
      <c r="LE2" s="12" t="s">
        <v>37</v>
      </c>
      <c r="LF2" s="12" t="s">
        <v>37</v>
      </c>
      <c r="LG2" s="19" t="str">
        <f t="shared" ref="LG2" si="4">KC2</f>
        <v>/</v>
      </c>
      <c r="LH2" s="19" t="str">
        <f t="shared" ref="LH2" si="5">KD2</f>
        <v>/</v>
      </c>
      <c r="LI2" s="13" t="str">
        <f t="shared" ref="LI2" si="6">KE2</f>
        <v>/</v>
      </c>
      <c r="LJ2" s="13"/>
      <c r="LK2" s="13"/>
      <c r="LL2" s="12"/>
      <c r="LM2" s="12" t="s">
        <v>37</v>
      </c>
      <c r="LN2" s="12" t="s">
        <v>37</v>
      </c>
      <c r="LO2" s="12" t="s">
        <v>37</v>
      </c>
      <c r="LP2" s="12" t="s">
        <v>37</v>
      </c>
      <c r="LQ2" s="12" t="s">
        <v>37</v>
      </c>
      <c r="LR2" s="12" t="s">
        <v>37</v>
      </c>
      <c r="LS2" s="16"/>
      <c r="LT2" s="16"/>
      <c r="LU2" s="16" t="s">
        <v>37</v>
      </c>
      <c r="LV2" s="16" t="s">
        <v>37</v>
      </c>
      <c r="LW2" s="13" t="s">
        <v>37</v>
      </c>
      <c r="LX2" s="16" t="s">
        <v>37</v>
      </c>
      <c r="LY2" s="16" t="s">
        <v>37</v>
      </c>
      <c r="LZ2" s="13" t="s">
        <v>37</v>
      </c>
      <c r="MA2" s="13"/>
      <c r="MB2" s="13"/>
      <c r="MC2" s="16"/>
      <c r="MD2" s="16"/>
      <c r="ME2" s="16" t="s">
        <v>37</v>
      </c>
      <c r="MF2" s="16" t="s">
        <v>37</v>
      </c>
      <c r="MG2" s="13" t="s">
        <v>37</v>
      </c>
      <c r="MH2" s="16" t="s">
        <v>37</v>
      </c>
      <c r="MI2" s="16" t="s">
        <v>37</v>
      </c>
      <c r="MJ2" s="13" t="s">
        <v>37</v>
      </c>
      <c r="MK2" s="13"/>
      <c r="ML2" s="13"/>
      <c r="MM2" s="16"/>
      <c r="MN2" s="16"/>
      <c r="MO2" s="16" t="s">
        <v>37</v>
      </c>
      <c r="MP2" s="16" t="s">
        <v>37</v>
      </c>
      <c r="MQ2" s="13" t="s">
        <v>37</v>
      </c>
      <c r="MR2" s="16" t="s">
        <v>37</v>
      </c>
      <c r="MS2" s="16" t="s">
        <v>37</v>
      </c>
      <c r="MT2" s="13" t="s">
        <v>37</v>
      </c>
      <c r="MU2" s="13"/>
      <c r="MV2" s="13"/>
      <c r="MW2" s="16"/>
      <c r="MX2" s="16"/>
      <c r="MY2" s="16" t="s">
        <v>37</v>
      </c>
      <c r="MZ2" s="16" t="s">
        <v>37</v>
      </c>
      <c r="NA2" s="11" t="s">
        <v>37</v>
      </c>
      <c r="NB2" s="16" t="s">
        <v>37</v>
      </c>
      <c r="NC2" s="16" t="s">
        <v>37</v>
      </c>
      <c r="ND2" s="11" t="s">
        <v>37</v>
      </c>
      <c r="NE2" s="11"/>
      <c r="NF2" s="11"/>
      <c r="NG2" s="16"/>
      <c r="NH2" s="16"/>
      <c r="NI2" s="16" t="s">
        <v>37</v>
      </c>
      <c r="NJ2" s="16" t="s">
        <v>37</v>
      </c>
      <c r="NK2" s="13" t="s">
        <v>37</v>
      </c>
      <c r="NL2" s="16" t="s">
        <v>37</v>
      </c>
      <c r="NM2" s="16" t="s">
        <v>37</v>
      </c>
      <c r="NN2" s="13" t="s">
        <v>37</v>
      </c>
      <c r="NO2" s="13"/>
      <c r="NP2" s="13"/>
      <c r="NQ2" s="16"/>
      <c r="NR2" s="16"/>
      <c r="NS2" s="16" t="s">
        <v>37</v>
      </c>
      <c r="NT2" s="16" t="s">
        <v>37</v>
      </c>
      <c r="NU2" s="13" t="s">
        <v>37</v>
      </c>
      <c r="NV2" s="16" t="s">
        <v>37</v>
      </c>
      <c r="NW2" s="16" t="s">
        <v>37</v>
      </c>
      <c r="NX2" s="13" t="s">
        <v>37</v>
      </c>
      <c r="NY2" s="13"/>
      <c r="NZ2" s="13"/>
      <c r="OA2" s="12"/>
      <c r="OB2" s="16"/>
      <c r="OC2" s="16" t="s">
        <v>37</v>
      </c>
      <c r="OD2" s="16" t="s">
        <v>37</v>
      </c>
      <c r="OE2" s="13" t="s">
        <v>37</v>
      </c>
      <c r="OF2" s="16" t="s">
        <v>37</v>
      </c>
      <c r="OG2" s="16" t="s">
        <v>37</v>
      </c>
      <c r="OH2" s="13" t="s">
        <v>37</v>
      </c>
      <c r="OI2" s="13"/>
      <c r="OJ2" s="13"/>
      <c r="OK2" s="16"/>
      <c r="OL2" s="16" t="s">
        <v>37</v>
      </c>
      <c r="OM2" s="16" t="s">
        <v>37</v>
      </c>
      <c r="ON2" s="11" t="s">
        <v>37</v>
      </c>
      <c r="OO2" s="16" t="s">
        <v>37</v>
      </c>
      <c r="OP2" s="16" t="s">
        <v>37</v>
      </c>
      <c r="OQ2" s="13" t="s">
        <v>37</v>
      </c>
      <c r="OR2" s="12"/>
      <c r="OS2" s="16" t="s">
        <v>37</v>
      </c>
      <c r="OT2" s="16" t="s">
        <v>37</v>
      </c>
      <c r="OU2" s="13" t="s">
        <v>37</v>
      </c>
      <c r="OV2" s="16" t="s">
        <v>37</v>
      </c>
      <c r="OW2" s="16" t="s">
        <v>37</v>
      </c>
      <c r="OX2" s="13" t="s">
        <v>37</v>
      </c>
      <c r="OY2" s="12"/>
      <c r="OZ2" s="16"/>
      <c r="PA2" s="16" t="s">
        <v>37</v>
      </c>
      <c r="PB2" s="16" t="s">
        <v>37</v>
      </c>
      <c r="PC2" s="13" t="s">
        <v>37</v>
      </c>
      <c r="PD2" s="16" t="s">
        <v>37</v>
      </c>
      <c r="PE2" s="16" t="s">
        <v>37</v>
      </c>
      <c r="PF2" s="13" t="s">
        <v>37</v>
      </c>
      <c r="PG2" s="12"/>
      <c r="PH2" s="16"/>
      <c r="PI2" s="12" t="s">
        <v>37</v>
      </c>
      <c r="PJ2" s="12" t="s">
        <v>37</v>
      </c>
      <c r="PK2" s="13" t="s">
        <v>37</v>
      </c>
      <c r="PL2" s="12" t="s">
        <v>37</v>
      </c>
      <c r="PM2" s="12" t="s">
        <v>37</v>
      </c>
      <c r="PN2" s="13" t="s">
        <v>37</v>
      </c>
      <c r="PO2" s="12"/>
      <c r="PP2" s="16"/>
      <c r="PQ2" s="16" t="s">
        <v>37</v>
      </c>
      <c r="PR2" s="16" t="s">
        <v>37</v>
      </c>
      <c r="PS2" s="13" t="s">
        <v>37</v>
      </c>
      <c r="PT2" s="16" t="s">
        <v>37</v>
      </c>
      <c r="PU2" s="16" t="s">
        <v>37</v>
      </c>
      <c r="PV2" s="13" t="s">
        <v>37</v>
      </c>
      <c r="PW2" s="12"/>
      <c r="PX2" s="16"/>
      <c r="PY2" s="16" t="s">
        <v>37</v>
      </c>
      <c r="PZ2" s="16" t="s">
        <v>37</v>
      </c>
      <c r="QA2" s="11" t="s">
        <v>37</v>
      </c>
      <c r="QB2" s="16" t="s">
        <v>37</v>
      </c>
      <c r="QC2" s="16" t="s">
        <v>37</v>
      </c>
      <c r="QD2" s="11" t="s">
        <v>37</v>
      </c>
      <c r="QE2" s="12"/>
      <c r="QF2" s="16"/>
      <c r="QG2" s="16" t="s">
        <v>37</v>
      </c>
      <c r="QH2" s="16" t="s">
        <v>37</v>
      </c>
      <c r="QI2" s="13" t="s">
        <v>37</v>
      </c>
      <c r="QJ2" s="16" t="s">
        <v>37</v>
      </c>
      <c r="QK2" s="16" t="s">
        <v>37</v>
      </c>
      <c r="QL2" s="13" t="s">
        <v>37</v>
      </c>
      <c r="QM2" s="16"/>
      <c r="QN2" s="16"/>
      <c r="QO2" s="12" t="s">
        <v>37</v>
      </c>
      <c r="QP2" s="16" t="s">
        <v>37</v>
      </c>
      <c r="QQ2" s="13" t="s">
        <v>37</v>
      </c>
      <c r="QR2" s="16" t="s">
        <v>37</v>
      </c>
      <c r="QS2" s="16" t="s">
        <v>37</v>
      </c>
      <c r="QT2" s="13" t="s">
        <v>37</v>
      </c>
      <c r="QU2" s="13"/>
      <c r="QV2" s="13"/>
      <c r="QW2" s="12"/>
      <c r="QX2" s="12"/>
      <c r="QY2" s="12" t="s">
        <v>37</v>
      </c>
      <c r="QZ2" s="12" t="s">
        <v>37</v>
      </c>
      <c r="RA2" s="11" t="s">
        <v>37</v>
      </c>
      <c r="RB2" s="12" t="s">
        <v>37</v>
      </c>
      <c r="RC2" s="12" t="s">
        <v>37</v>
      </c>
      <c r="RD2" s="11" t="s">
        <v>37</v>
      </c>
      <c r="RE2" s="11"/>
      <c r="RF2" s="11"/>
      <c r="RG2" s="12"/>
      <c r="RH2" s="12"/>
      <c r="RI2" s="12" t="s">
        <v>37</v>
      </c>
      <c r="RJ2" s="12" t="s">
        <v>37</v>
      </c>
      <c r="RK2" s="11" t="s">
        <v>37</v>
      </c>
      <c r="RL2" s="12" t="s">
        <v>37</v>
      </c>
      <c r="RM2" s="12" t="s">
        <v>37</v>
      </c>
      <c r="RN2" s="11" t="s">
        <v>37</v>
      </c>
      <c r="RO2" s="11"/>
      <c r="RP2" s="11"/>
      <c r="RQ2" s="12"/>
      <c r="RR2" s="12"/>
      <c r="RS2" s="12" t="s">
        <v>37</v>
      </c>
      <c r="RT2" s="12" t="s">
        <v>37</v>
      </c>
      <c r="RU2" s="11" t="s">
        <v>37</v>
      </c>
      <c r="RV2" s="12" t="s">
        <v>37</v>
      </c>
      <c r="RW2" s="12" t="s">
        <v>37</v>
      </c>
      <c r="RX2" s="11" t="s">
        <v>37</v>
      </c>
      <c r="RY2" s="11"/>
      <c r="RZ2" s="11"/>
      <c r="SA2" s="12"/>
      <c r="SB2" s="12"/>
      <c r="SC2" s="12" t="s">
        <v>37</v>
      </c>
      <c r="SD2" s="12" t="s">
        <v>37</v>
      </c>
      <c r="SE2" s="11" t="s">
        <v>37</v>
      </c>
      <c r="SF2" s="12" t="s">
        <v>37</v>
      </c>
      <c r="SG2" s="12" t="s">
        <v>37</v>
      </c>
      <c r="SH2" s="11" t="s">
        <v>37</v>
      </c>
      <c r="SI2" s="11"/>
      <c r="SJ2" s="11"/>
      <c r="SK2" s="12"/>
      <c r="SL2" s="12"/>
      <c r="SM2" s="12" t="s">
        <v>37</v>
      </c>
      <c r="SN2" s="12" t="s">
        <v>37</v>
      </c>
      <c r="SO2" s="13" t="s">
        <v>37</v>
      </c>
      <c r="SP2" s="12" t="s">
        <v>37</v>
      </c>
      <c r="SQ2" s="12" t="s">
        <v>37</v>
      </c>
      <c r="SR2" s="13" t="s">
        <v>37</v>
      </c>
      <c r="SS2" s="13"/>
      <c r="ST2" s="13"/>
      <c r="SU2" s="12"/>
      <c r="SV2" s="12"/>
      <c r="SW2" s="12" t="s">
        <v>37</v>
      </c>
      <c r="SX2" s="12" t="s">
        <v>37</v>
      </c>
      <c r="SY2" s="13" t="s">
        <v>37</v>
      </c>
      <c r="SZ2" s="12" t="s">
        <v>37</v>
      </c>
      <c r="TA2" s="12" t="s">
        <v>37</v>
      </c>
      <c r="TB2" s="13" t="s">
        <v>37</v>
      </c>
      <c r="TC2" s="13"/>
      <c r="TD2" s="13"/>
      <c r="TE2" s="12" t="s">
        <v>37</v>
      </c>
      <c r="TF2" s="12"/>
      <c r="TG2" s="12" t="s">
        <v>37</v>
      </c>
      <c r="TH2" s="12" t="s">
        <v>37</v>
      </c>
      <c r="TI2" s="12" t="s">
        <v>37</v>
      </c>
      <c r="TJ2" s="12" t="s">
        <v>37</v>
      </c>
      <c r="TK2" s="12" t="s">
        <v>37</v>
      </c>
      <c r="TL2" s="12" t="s">
        <v>37</v>
      </c>
      <c r="TM2" s="12"/>
      <c r="TN2" s="12"/>
      <c r="TO2" s="12"/>
      <c r="TP2" s="12"/>
      <c r="TQ2" s="13" t="s">
        <v>37</v>
      </c>
      <c r="TR2" s="13" t="s">
        <v>37</v>
      </c>
      <c r="TS2" s="13" t="s">
        <v>37</v>
      </c>
      <c r="TT2" s="19"/>
      <c r="TU2" s="13" t="s">
        <v>37</v>
      </c>
      <c r="TV2" s="13" t="s">
        <v>37</v>
      </c>
      <c r="TW2" s="13" t="s">
        <v>37</v>
      </c>
    </row>
    <row r="3" spans="1:546" ht="17.399999999999999" x14ac:dyDescent="0.3">
      <c r="A3" s="11">
        <v>1</v>
      </c>
      <c r="B3" s="12" t="s">
        <v>30</v>
      </c>
      <c r="C3" s="12" t="s">
        <v>32</v>
      </c>
      <c r="D3" s="12" t="s">
        <v>609</v>
      </c>
      <c r="E3" s="14">
        <v>3</v>
      </c>
      <c r="F3" s="14">
        <v>0</v>
      </c>
      <c r="G3" s="14">
        <v>0</v>
      </c>
      <c r="H3" s="12" t="s">
        <v>79</v>
      </c>
      <c r="I3" s="29">
        <v>32.933</v>
      </c>
      <c r="J3" s="29">
        <v>102.133</v>
      </c>
      <c r="K3" s="12" t="s">
        <v>35</v>
      </c>
      <c r="L3" s="12" t="s">
        <v>36</v>
      </c>
      <c r="M3" s="13">
        <v>3300</v>
      </c>
      <c r="N3" s="14">
        <v>0.35</v>
      </c>
      <c r="O3" s="14">
        <v>680</v>
      </c>
      <c r="P3" s="14" t="s">
        <v>16</v>
      </c>
      <c r="Q3" s="11">
        <v>1</v>
      </c>
      <c r="R3" s="11" t="s">
        <v>37</v>
      </c>
      <c r="S3" s="12" t="s">
        <v>85</v>
      </c>
      <c r="T3" s="12" t="s">
        <v>37</v>
      </c>
      <c r="U3" s="12" t="s">
        <v>37</v>
      </c>
      <c r="V3" s="12" t="s">
        <v>275</v>
      </c>
      <c r="W3" s="23" t="s">
        <v>38</v>
      </c>
      <c r="X3" s="12" t="s">
        <v>280</v>
      </c>
      <c r="Y3" s="12" t="s">
        <v>37</v>
      </c>
      <c r="Z3" s="12" t="s">
        <v>37</v>
      </c>
      <c r="AA3" s="32" t="s">
        <v>461</v>
      </c>
      <c r="AB3" s="12" t="s">
        <v>317</v>
      </c>
      <c r="AC3" s="12" t="s">
        <v>37</v>
      </c>
      <c r="AD3" s="12" t="s">
        <v>482</v>
      </c>
      <c r="AE3" s="12" t="s">
        <v>74</v>
      </c>
      <c r="AF3" s="12" t="s">
        <v>483</v>
      </c>
      <c r="AG3" s="12"/>
      <c r="AH3" s="32"/>
      <c r="AI3" s="12" t="s">
        <v>37</v>
      </c>
      <c r="AJ3" s="12" t="s">
        <v>37</v>
      </c>
      <c r="AK3" s="11" t="s">
        <v>37</v>
      </c>
      <c r="AL3" s="19"/>
      <c r="AM3" s="12" t="s">
        <v>37</v>
      </c>
      <c r="AN3" s="12" t="s">
        <v>37</v>
      </c>
      <c r="AO3" s="13" t="s">
        <v>37</v>
      </c>
      <c r="AP3" s="19"/>
      <c r="AQ3" s="49"/>
      <c r="AR3" s="49"/>
      <c r="AS3" s="32"/>
      <c r="AT3" s="12" t="s">
        <v>37</v>
      </c>
      <c r="AU3" s="12" t="s">
        <v>37</v>
      </c>
      <c r="AV3" s="13" t="s">
        <v>37</v>
      </c>
      <c r="AW3" s="12" t="s">
        <v>37</v>
      </c>
      <c r="AX3" s="12" t="s">
        <v>37</v>
      </c>
      <c r="AY3" s="13" t="s">
        <v>37</v>
      </c>
      <c r="AZ3" s="13"/>
      <c r="BA3" s="13"/>
      <c r="BB3" s="12"/>
      <c r="BC3" s="12" t="s">
        <v>37</v>
      </c>
      <c r="BD3" s="12" t="s">
        <v>37</v>
      </c>
      <c r="BE3" s="13" t="s">
        <v>37</v>
      </c>
      <c r="BF3" s="12" t="s">
        <v>37</v>
      </c>
      <c r="BG3" s="12" t="s">
        <v>37</v>
      </c>
      <c r="BH3" s="12" t="s">
        <v>37</v>
      </c>
      <c r="BI3" s="12"/>
      <c r="BJ3" s="12" t="s">
        <v>37</v>
      </c>
      <c r="BK3" s="12" t="s">
        <v>37</v>
      </c>
      <c r="BL3" s="13" t="s">
        <v>37</v>
      </c>
      <c r="BM3" s="12" t="s">
        <v>37</v>
      </c>
      <c r="BN3" s="12" t="s">
        <v>37</v>
      </c>
      <c r="BO3" s="13" t="s">
        <v>37</v>
      </c>
      <c r="BP3" s="19"/>
      <c r="BQ3" s="19"/>
      <c r="BR3" s="19"/>
      <c r="BS3" s="19"/>
      <c r="BT3" s="12"/>
      <c r="BU3" s="12" t="s">
        <v>37</v>
      </c>
      <c r="BV3" s="12" t="s">
        <v>37</v>
      </c>
      <c r="BW3" s="13" t="s">
        <v>37</v>
      </c>
      <c r="BX3" s="12" t="s">
        <v>37</v>
      </c>
      <c r="BY3" s="12" t="s">
        <v>37</v>
      </c>
      <c r="BZ3" s="13" t="s">
        <v>37</v>
      </c>
      <c r="CA3" s="19"/>
      <c r="CB3" s="19"/>
      <c r="CC3" s="19"/>
      <c r="CD3" s="19"/>
      <c r="CE3" s="12"/>
      <c r="CF3" s="12" t="s">
        <v>37</v>
      </c>
      <c r="CG3" s="12" t="s">
        <v>37</v>
      </c>
      <c r="CH3" s="13" t="s">
        <v>37</v>
      </c>
      <c r="CI3" s="12" t="s">
        <v>37</v>
      </c>
      <c r="CJ3" s="12" t="s">
        <v>37</v>
      </c>
      <c r="CK3" s="13" t="s">
        <v>37</v>
      </c>
      <c r="CL3" s="19"/>
      <c r="CM3" s="19"/>
      <c r="CN3" s="19"/>
      <c r="CO3" s="19"/>
      <c r="CP3" s="15" t="s">
        <v>34</v>
      </c>
      <c r="CQ3" s="15">
        <f>CQ2</f>
        <v>6.2633166666666673</v>
      </c>
      <c r="CR3" s="52">
        <f>CR2</f>
        <v>2.8493174364515204</v>
      </c>
      <c r="CS3" s="18">
        <v>3</v>
      </c>
      <c r="CT3" s="52">
        <f t="shared" si="0"/>
        <v>0.45492150374825691</v>
      </c>
      <c r="CU3" s="15">
        <f>(3.9663+4.2703+5.8327+5.0407+2.6428+1.9463)/6</f>
        <v>3.9498500000000001</v>
      </c>
      <c r="CV3" s="52">
        <f>STDEVA(3.9663,4.2703,5.8327,5.0407,2.6428,1.9463)</f>
        <v>1.4533154478639512</v>
      </c>
      <c r="CW3" s="18">
        <v>3</v>
      </c>
      <c r="CX3" s="52">
        <f t="shared" si="1"/>
        <v>0.36794193396304953</v>
      </c>
      <c r="CY3" s="68">
        <f t="shared" ref="CY3:CY8" si="7">CU3-CQ3</f>
        <v>-2.3134666666666672</v>
      </c>
      <c r="CZ3" s="12">
        <f t="shared" ref="CZ3:CZ8" si="8">SQRT(((CS3-1)*CR3^2+(CW3-1)*CV3^2)/(CS3+CW3-2))</f>
        <v>2.2617178918541829</v>
      </c>
      <c r="DA3" s="72">
        <f t="shared" ref="DA3:DA8" si="9">(((CS3+CW3)/(CS3*CW3))*(((CS3-1)*CR3^2)+(CW3-1)*CV3^2)/(CS3+CW3-2))</f>
        <v>3.4102452148888869</v>
      </c>
      <c r="DB3" s="72">
        <f t="shared" ref="DB3:DB8" si="10">(CR3^2/CS3)+(CV3^2/CW3)</f>
        <v>3.4102452148888869</v>
      </c>
      <c r="DC3" s="15"/>
      <c r="DD3" s="15" t="s">
        <v>37</v>
      </c>
      <c r="DE3" s="67" t="s">
        <v>37</v>
      </c>
      <c r="DF3" s="15" t="s">
        <v>37</v>
      </c>
      <c r="DG3" s="52"/>
      <c r="DH3" s="15" t="s">
        <v>37</v>
      </c>
      <c r="DI3" s="67" t="s">
        <v>37</v>
      </c>
      <c r="DJ3" s="15" t="s">
        <v>37</v>
      </c>
      <c r="DK3" s="52"/>
      <c r="DL3" s="68"/>
      <c r="DM3" s="68"/>
      <c r="DN3" s="72"/>
      <c r="DO3" s="72"/>
      <c r="DP3" s="12" t="s">
        <v>39</v>
      </c>
      <c r="DQ3" s="12">
        <v>0</v>
      </c>
      <c r="DR3" s="12">
        <v>0</v>
      </c>
      <c r="DS3" s="13">
        <v>3</v>
      </c>
      <c r="DT3" s="19"/>
      <c r="DU3" s="12">
        <v>-20</v>
      </c>
      <c r="DV3" s="12">
        <v>0</v>
      </c>
      <c r="DW3" s="13">
        <v>3</v>
      </c>
      <c r="DX3" s="19"/>
      <c r="DY3" s="19">
        <f t="shared" ref="DY3:DY11" si="11">DU3-DQ3</f>
        <v>-20</v>
      </c>
      <c r="DZ3" s="12">
        <f t="shared" ref="DZ3:DZ15" si="12">SQRT(((DS3-1)*DR3^2+(DW3-1)*DV3^2)/(DS3+DW3-2))</f>
        <v>0</v>
      </c>
      <c r="EA3" s="72">
        <f t="shared" ref="EA3:EA22" si="13">(((DS3+DW3)/(DS3*DW3))*(((DS3-1)*DR3^2)+(DW3-1)*DV3^2)/(DS3+DW3-2))</f>
        <v>0</v>
      </c>
      <c r="EB3" s="72">
        <f t="shared" ref="EB3:EB22" si="14">(DR3^2/DS3)+(DV3^2/DW3)</f>
        <v>0</v>
      </c>
      <c r="EC3" s="12"/>
      <c r="ED3" s="12"/>
      <c r="EE3" s="12" t="s">
        <v>37</v>
      </c>
      <c r="EF3" s="12" t="s">
        <v>37</v>
      </c>
      <c r="EG3" s="11" t="s">
        <v>37</v>
      </c>
      <c r="EH3" s="19"/>
      <c r="EI3" s="12" t="s">
        <v>37</v>
      </c>
      <c r="EJ3" s="20" t="s">
        <v>37</v>
      </c>
      <c r="EK3" s="11" t="s">
        <v>37</v>
      </c>
      <c r="EL3" s="19"/>
      <c r="EM3" s="19"/>
      <c r="EN3" s="19"/>
      <c r="EO3" s="19"/>
      <c r="EP3" s="19"/>
      <c r="EQ3" s="32"/>
      <c r="ER3" s="12" t="s">
        <v>37</v>
      </c>
      <c r="ES3" s="12" t="s">
        <v>37</v>
      </c>
      <c r="ET3" s="11" t="s">
        <v>37</v>
      </c>
      <c r="EU3" s="19"/>
      <c r="EV3" s="13" t="s">
        <v>37</v>
      </c>
      <c r="EW3" s="11" t="s">
        <v>37</v>
      </c>
      <c r="EX3" s="11" t="s">
        <v>37</v>
      </c>
      <c r="EY3" s="19"/>
      <c r="EZ3" s="19"/>
      <c r="FA3" s="19"/>
      <c r="FB3" s="19"/>
      <c r="FC3" s="32"/>
      <c r="FD3" s="12" t="s">
        <v>37</v>
      </c>
      <c r="FE3" s="12" t="s">
        <v>37</v>
      </c>
      <c r="FF3" s="11" t="s">
        <v>37</v>
      </c>
      <c r="FG3" s="13" t="s">
        <v>37</v>
      </c>
      <c r="FH3" s="11" t="s">
        <v>37</v>
      </c>
      <c r="FI3" s="11" t="s">
        <v>37</v>
      </c>
      <c r="FJ3" s="19"/>
      <c r="FK3" s="19"/>
      <c r="FL3" s="19"/>
      <c r="FM3" s="32"/>
      <c r="FN3" s="12" t="s">
        <v>37</v>
      </c>
      <c r="FO3" s="12" t="s">
        <v>37</v>
      </c>
      <c r="FP3" s="11" t="s">
        <v>37</v>
      </c>
      <c r="FQ3" s="13" t="s">
        <v>37</v>
      </c>
      <c r="FR3" s="11" t="s">
        <v>37</v>
      </c>
      <c r="FS3" s="11" t="s">
        <v>37</v>
      </c>
      <c r="FT3" s="19"/>
      <c r="FU3" s="19"/>
      <c r="FV3" s="19"/>
      <c r="FW3" s="12"/>
      <c r="FX3" s="12"/>
      <c r="FY3" s="12" t="s">
        <v>37</v>
      </c>
      <c r="FZ3" s="12" t="s">
        <v>37</v>
      </c>
      <c r="GA3" s="13" t="s">
        <v>37</v>
      </c>
      <c r="GB3" s="12" t="s">
        <v>37</v>
      </c>
      <c r="GC3" s="12" t="s">
        <v>37</v>
      </c>
      <c r="GD3" s="13" t="s">
        <v>37</v>
      </c>
      <c r="GE3" s="19"/>
      <c r="GF3" s="19"/>
      <c r="GG3" s="12" t="s">
        <v>660</v>
      </c>
      <c r="GH3" s="12" t="s">
        <v>330</v>
      </c>
      <c r="GI3" s="12">
        <v>13</v>
      </c>
      <c r="GJ3" s="12">
        <v>0.7</v>
      </c>
      <c r="GK3" s="13">
        <v>3</v>
      </c>
      <c r="GL3" s="19">
        <f t="shared" ref="GL3:GL4" si="15">GJ3/GI3</f>
        <v>5.3846153846153842E-2</v>
      </c>
      <c r="GM3" s="12">
        <v>13.6</v>
      </c>
      <c r="GN3" s="12">
        <v>0.7</v>
      </c>
      <c r="GO3" s="13">
        <v>3</v>
      </c>
      <c r="GP3" s="19">
        <f t="shared" ref="GP3:GP4" si="16">GN3/GM3</f>
        <v>5.1470588235294115E-2</v>
      </c>
      <c r="GQ3" s="19">
        <f t="shared" ref="GQ3:GQ4" si="17">LN(GM3/GI3)</f>
        <v>4.5120435280469641E-2</v>
      </c>
      <c r="GR3" s="19">
        <f t="shared" ref="GR3:GR4" si="18">GN3^2/(GO3*GM3^2)+GJ3^2/(GK3*GI3^2)</f>
        <v>1.8495432457702886E-3</v>
      </c>
      <c r="GS3" s="12"/>
      <c r="GT3" s="32"/>
      <c r="GU3" s="12" t="s">
        <v>37</v>
      </c>
      <c r="GV3" s="12" t="s">
        <v>37</v>
      </c>
      <c r="GW3" s="12" t="s">
        <v>37</v>
      </c>
      <c r="GX3" s="19"/>
      <c r="GY3" s="12" t="s">
        <v>37</v>
      </c>
      <c r="GZ3" s="12" t="s">
        <v>37</v>
      </c>
      <c r="HA3" s="12" t="s">
        <v>37</v>
      </c>
      <c r="HB3" s="19"/>
      <c r="HC3" s="19"/>
      <c r="HD3" s="19"/>
      <c r="HE3" s="32"/>
      <c r="HF3" s="12" t="s">
        <v>37</v>
      </c>
      <c r="HG3" s="12" t="s">
        <v>37</v>
      </c>
      <c r="HH3" s="13" t="s">
        <v>37</v>
      </c>
      <c r="HI3" s="12" t="s">
        <v>37</v>
      </c>
      <c r="HJ3" s="12" t="s">
        <v>37</v>
      </c>
      <c r="HK3" s="13" t="s">
        <v>37</v>
      </c>
      <c r="HL3" s="13"/>
      <c r="HM3" s="13"/>
      <c r="HN3" s="32"/>
      <c r="HO3" s="12" t="s">
        <v>37</v>
      </c>
      <c r="HP3" s="12" t="s">
        <v>37</v>
      </c>
      <c r="HQ3" s="13" t="s">
        <v>37</v>
      </c>
      <c r="HR3" s="12" t="s">
        <v>37</v>
      </c>
      <c r="HS3" s="12" t="s">
        <v>37</v>
      </c>
      <c r="HT3" s="13" t="s">
        <v>37</v>
      </c>
      <c r="HU3" s="13"/>
      <c r="HV3" s="13"/>
      <c r="HW3" s="12"/>
      <c r="HX3" s="12"/>
      <c r="HY3" s="12" t="s">
        <v>37</v>
      </c>
      <c r="HZ3" s="12" t="s">
        <v>37</v>
      </c>
      <c r="IA3" s="13" t="s">
        <v>37</v>
      </c>
      <c r="IB3" s="12" t="s">
        <v>37</v>
      </c>
      <c r="IC3" s="12" t="s">
        <v>37</v>
      </c>
      <c r="ID3" s="13" t="s">
        <v>37</v>
      </c>
      <c r="IE3" s="12"/>
      <c r="IF3" s="32"/>
      <c r="IG3" s="12" t="s">
        <v>37</v>
      </c>
      <c r="IH3" s="12" t="s">
        <v>37</v>
      </c>
      <c r="II3" s="13" t="s">
        <v>37</v>
      </c>
      <c r="IJ3" s="19"/>
      <c r="IK3" s="12" t="s">
        <v>37</v>
      </c>
      <c r="IL3" s="12" t="s">
        <v>37</v>
      </c>
      <c r="IM3" s="13" t="s">
        <v>37</v>
      </c>
      <c r="IN3" s="19"/>
      <c r="IO3" s="19"/>
      <c r="IP3" s="19"/>
      <c r="IQ3" s="32"/>
      <c r="IR3" s="12" t="s">
        <v>37</v>
      </c>
      <c r="IS3" s="12" t="s">
        <v>37</v>
      </c>
      <c r="IT3" s="13" t="s">
        <v>37</v>
      </c>
      <c r="IU3" s="12" t="s">
        <v>37</v>
      </c>
      <c r="IV3" s="12" t="s">
        <v>37</v>
      </c>
      <c r="IW3" s="12" t="s">
        <v>37</v>
      </c>
      <c r="IX3" s="32"/>
      <c r="IY3" s="12" t="s">
        <v>37</v>
      </c>
      <c r="IZ3" s="12" t="s">
        <v>37</v>
      </c>
      <c r="JA3" s="13" t="s">
        <v>37</v>
      </c>
      <c r="JB3" s="12" t="s">
        <v>37</v>
      </c>
      <c r="JC3" s="12" t="s">
        <v>37</v>
      </c>
      <c r="JD3" s="12" t="s">
        <v>37</v>
      </c>
      <c r="JE3" s="12"/>
      <c r="JF3" s="12"/>
      <c r="JG3" s="12" t="s">
        <v>37</v>
      </c>
      <c r="JH3" s="12" t="s">
        <v>37</v>
      </c>
      <c r="JI3" s="13" t="s">
        <v>37</v>
      </c>
      <c r="JJ3" s="12" t="s">
        <v>37</v>
      </c>
      <c r="JK3" s="12" t="s">
        <v>37</v>
      </c>
      <c r="JL3" s="12" t="s">
        <v>37</v>
      </c>
      <c r="JM3" s="12"/>
      <c r="JN3" s="32"/>
      <c r="JO3" s="12" t="s">
        <v>37</v>
      </c>
      <c r="JP3" s="16" t="s">
        <v>37</v>
      </c>
      <c r="JQ3" s="11" t="s">
        <v>37</v>
      </c>
      <c r="JR3" s="19"/>
      <c r="JS3" s="16" t="s">
        <v>37</v>
      </c>
      <c r="JT3" s="16" t="s">
        <v>37</v>
      </c>
      <c r="JU3" s="13" t="s">
        <v>37</v>
      </c>
      <c r="JV3" s="19"/>
      <c r="JW3" s="19"/>
      <c r="JX3" s="19"/>
      <c r="JY3" s="32"/>
      <c r="JZ3" s="16" t="s">
        <v>37</v>
      </c>
      <c r="KA3" s="16" t="s">
        <v>37</v>
      </c>
      <c r="KB3" s="13" t="s">
        <v>37</v>
      </c>
      <c r="KC3" s="16" t="s">
        <v>37</v>
      </c>
      <c r="KD3" s="16" t="s">
        <v>37</v>
      </c>
      <c r="KE3" s="13" t="s">
        <v>37</v>
      </c>
      <c r="KF3" s="13"/>
      <c r="KG3" s="13"/>
      <c r="KH3" s="32"/>
      <c r="KI3" s="12" t="s">
        <v>37</v>
      </c>
      <c r="KJ3" s="12" t="s">
        <v>37</v>
      </c>
      <c r="KK3" s="12" t="s">
        <v>37</v>
      </c>
      <c r="KL3" s="12" t="s">
        <v>37</v>
      </c>
      <c r="KM3" s="12" t="s">
        <v>37</v>
      </c>
      <c r="KN3" s="12" t="s">
        <v>37</v>
      </c>
      <c r="KO3" s="12"/>
      <c r="KP3" s="12"/>
      <c r="KQ3" s="12"/>
      <c r="KR3" s="12"/>
      <c r="KS3" s="12" t="s">
        <v>37</v>
      </c>
      <c r="KT3" s="12" t="s">
        <v>37</v>
      </c>
      <c r="KU3" s="12" t="s">
        <v>37</v>
      </c>
      <c r="KV3" s="19"/>
      <c r="KW3" s="12" t="s">
        <v>37</v>
      </c>
      <c r="KX3" s="12" t="s">
        <v>37</v>
      </c>
      <c r="KY3" s="12" t="s">
        <v>37</v>
      </c>
      <c r="KZ3" s="19"/>
      <c r="LA3" s="19"/>
      <c r="LB3" s="19"/>
      <c r="LC3" s="12"/>
      <c r="LD3" s="12" t="s">
        <v>37</v>
      </c>
      <c r="LE3" s="12" t="s">
        <v>37</v>
      </c>
      <c r="LF3" s="12" t="s">
        <v>37</v>
      </c>
      <c r="LG3" s="19" t="str">
        <f t="shared" ref="LG3:LG24" si="19">KC3</f>
        <v>/</v>
      </c>
      <c r="LH3" s="19" t="str">
        <f t="shared" ref="LH3:LH24" si="20">KD3</f>
        <v>/</v>
      </c>
      <c r="LI3" s="13" t="str">
        <f t="shared" ref="LI3:LI24" si="21">KE3</f>
        <v>/</v>
      </c>
      <c r="LJ3" s="13"/>
      <c r="LK3" s="13"/>
      <c r="LL3" s="12"/>
      <c r="LM3" s="12" t="s">
        <v>37</v>
      </c>
      <c r="LN3" s="12" t="s">
        <v>37</v>
      </c>
      <c r="LO3" s="12" t="s">
        <v>37</v>
      </c>
      <c r="LP3" s="12" t="s">
        <v>37</v>
      </c>
      <c r="LQ3" s="12" t="s">
        <v>37</v>
      </c>
      <c r="LR3" s="12" t="s">
        <v>37</v>
      </c>
      <c r="LS3" s="16"/>
      <c r="LT3" s="16"/>
      <c r="LU3" s="16" t="s">
        <v>37</v>
      </c>
      <c r="LV3" s="16" t="s">
        <v>37</v>
      </c>
      <c r="LW3" s="13" t="s">
        <v>37</v>
      </c>
      <c r="LX3" s="16" t="s">
        <v>37</v>
      </c>
      <c r="LY3" s="16" t="s">
        <v>37</v>
      </c>
      <c r="LZ3" s="13" t="s">
        <v>37</v>
      </c>
      <c r="MA3" s="13"/>
      <c r="MB3" s="13"/>
      <c r="MC3" s="16"/>
      <c r="MD3" s="16"/>
      <c r="ME3" s="16" t="s">
        <v>37</v>
      </c>
      <c r="MF3" s="16" t="s">
        <v>37</v>
      </c>
      <c r="MG3" s="13" t="s">
        <v>37</v>
      </c>
      <c r="MH3" s="16" t="s">
        <v>37</v>
      </c>
      <c r="MI3" s="16" t="s">
        <v>37</v>
      </c>
      <c r="MJ3" s="13" t="s">
        <v>37</v>
      </c>
      <c r="MK3" s="13"/>
      <c r="ML3" s="13"/>
      <c r="MM3" s="16"/>
      <c r="MN3" s="16"/>
      <c r="MO3" s="16" t="s">
        <v>37</v>
      </c>
      <c r="MP3" s="16" t="s">
        <v>37</v>
      </c>
      <c r="MQ3" s="13" t="s">
        <v>37</v>
      </c>
      <c r="MR3" s="16" t="s">
        <v>37</v>
      </c>
      <c r="MS3" s="16" t="s">
        <v>37</v>
      </c>
      <c r="MT3" s="13" t="s">
        <v>37</v>
      </c>
      <c r="MU3" s="13"/>
      <c r="MV3" s="13"/>
      <c r="MW3" s="16"/>
      <c r="MX3" s="16"/>
      <c r="MY3" s="16" t="s">
        <v>37</v>
      </c>
      <c r="MZ3" s="16" t="s">
        <v>37</v>
      </c>
      <c r="NA3" s="11" t="s">
        <v>37</v>
      </c>
      <c r="NB3" s="16" t="s">
        <v>37</v>
      </c>
      <c r="NC3" s="16" t="s">
        <v>37</v>
      </c>
      <c r="ND3" s="11" t="s">
        <v>37</v>
      </c>
      <c r="NE3" s="11"/>
      <c r="NF3" s="11"/>
      <c r="NG3" s="16"/>
      <c r="NH3" s="16"/>
      <c r="NI3" s="16" t="s">
        <v>37</v>
      </c>
      <c r="NJ3" s="16" t="s">
        <v>37</v>
      </c>
      <c r="NK3" s="13" t="s">
        <v>37</v>
      </c>
      <c r="NL3" s="16" t="s">
        <v>37</v>
      </c>
      <c r="NM3" s="16" t="s">
        <v>37</v>
      </c>
      <c r="NN3" s="13" t="s">
        <v>37</v>
      </c>
      <c r="NO3" s="13"/>
      <c r="NP3" s="13"/>
      <c r="NQ3" s="16"/>
      <c r="NR3" s="16"/>
      <c r="NS3" s="16" t="s">
        <v>37</v>
      </c>
      <c r="NT3" s="16" t="s">
        <v>37</v>
      </c>
      <c r="NU3" s="13" t="s">
        <v>37</v>
      </c>
      <c r="NV3" s="16" t="s">
        <v>37</v>
      </c>
      <c r="NW3" s="16" t="s">
        <v>37</v>
      </c>
      <c r="NX3" s="13" t="s">
        <v>37</v>
      </c>
      <c r="NY3" s="13"/>
      <c r="NZ3" s="13"/>
      <c r="OA3" s="12"/>
      <c r="OB3" s="16"/>
      <c r="OC3" s="16" t="s">
        <v>37</v>
      </c>
      <c r="OD3" s="16" t="s">
        <v>37</v>
      </c>
      <c r="OE3" s="13" t="s">
        <v>37</v>
      </c>
      <c r="OF3" s="16" t="s">
        <v>37</v>
      </c>
      <c r="OG3" s="16" t="s">
        <v>37</v>
      </c>
      <c r="OH3" s="13" t="s">
        <v>37</v>
      </c>
      <c r="OI3" s="13"/>
      <c r="OJ3" s="13"/>
      <c r="OK3" s="16"/>
      <c r="OL3" s="16" t="s">
        <v>37</v>
      </c>
      <c r="OM3" s="16" t="s">
        <v>37</v>
      </c>
      <c r="ON3" s="11" t="s">
        <v>37</v>
      </c>
      <c r="OO3" s="16" t="s">
        <v>37</v>
      </c>
      <c r="OP3" s="16" t="s">
        <v>37</v>
      </c>
      <c r="OQ3" s="13" t="s">
        <v>37</v>
      </c>
      <c r="OR3" s="12"/>
      <c r="OS3" s="16" t="s">
        <v>37</v>
      </c>
      <c r="OT3" s="16" t="s">
        <v>37</v>
      </c>
      <c r="OU3" s="13" t="s">
        <v>37</v>
      </c>
      <c r="OV3" s="16" t="s">
        <v>37</v>
      </c>
      <c r="OW3" s="16" t="s">
        <v>37</v>
      </c>
      <c r="OX3" s="13" t="s">
        <v>37</v>
      </c>
      <c r="OY3" s="12"/>
      <c r="OZ3" s="16"/>
      <c r="PA3" s="16" t="s">
        <v>37</v>
      </c>
      <c r="PB3" s="16" t="s">
        <v>37</v>
      </c>
      <c r="PC3" s="13" t="s">
        <v>37</v>
      </c>
      <c r="PD3" s="16" t="s">
        <v>37</v>
      </c>
      <c r="PE3" s="16" t="s">
        <v>37</v>
      </c>
      <c r="PF3" s="13" t="s">
        <v>37</v>
      </c>
      <c r="PG3" s="12"/>
      <c r="PH3" s="16"/>
      <c r="PI3" s="12" t="s">
        <v>37</v>
      </c>
      <c r="PJ3" s="12" t="s">
        <v>37</v>
      </c>
      <c r="PK3" s="13" t="s">
        <v>37</v>
      </c>
      <c r="PL3" s="12" t="s">
        <v>37</v>
      </c>
      <c r="PM3" s="12" t="s">
        <v>37</v>
      </c>
      <c r="PN3" s="13" t="s">
        <v>37</v>
      </c>
      <c r="PO3" s="12"/>
      <c r="PP3" s="16"/>
      <c r="PQ3" s="16" t="s">
        <v>37</v>
      </c>
      <c r="PR3" s="16" t="s">
        <v>37</v>
      </c>
      <c r="PS3" s="13" t="s">
        <v>37</v>
      </c>
      <c r="PT3" s="16" t="s">
        <v>37</v>
      </c>
      <c r="PU3" s="16" t="s">
        <v>37</v>
      </c>
      <c r="PV3" s="13" t="s">
        <v>37</v>
      </c>
      <c r="PW3" s="12"/>
      <c r="PX3" s="16"/>
      <c r="PY3" s="16" t="s">
        <v>37</v>
      </c>
      <c r="PZ3" s="16" t="s">
        <v>37</v>
      </c>
      <c r="QA3" s="11" t="s">
        <v>37</v>
      </c>
      <c r="QB3" s="16" t="s">
        <v>37</v>
      </c>
      <c r="QC3" s="16" t="s">
        <v>37</v>
      </c>
      <c r="QD3" s="11" t="s">
        <v>37</v>
      </c>
      <c r="QE3" s="12"/>
      <c r="QF3" s="16"/>
      <c r="QG3" s="16" t="s">
        <v>37</v>
      </c>
      <c r="QH3" s="16" t="s">
        <v>37</v>
      </c>
      <c r="QI3" s="13" t="s">
        <v>37</v>
      </c>
      <c r="QJ3" s="16" t="s">
        <v>37</v>
      </c>
      <c r="QK3" s="16" t="s">
        <v>37</v>
      </c>
      <c r="QL3" s="13" t="s">
        <v>37</v>
      </c>
      <c r="QM3" s="16"/>
      <c r="QN3" s="16"/>
      <c r="QO3" s="12" t="s">
        <v>37</v>
      </c>
      <c r="QP3" s="16" t="s">
        <v>37</v>
      </c>
      <c r="QQ3" s="13" t="s">
        <v>37</v>
      </c>
      <c r="QR3" s="16" t="s">
        <v>37</v>
      </c>
      <c r="QS3" s="16" t="s">
        <v>37</v>
      </c>
      <c r="QT3" s="13" t="s">
        <v>37</v>
      </c>
      <c r="QU3" s="13"/>
      <c r="QV3" s="13"/>
      <c r="QW3" s="12"/>
      <c r="QX3" s="12"/>
      <c r="QY3" s="12" t="s">
        <v>37</v>
      </c>
      <c r="QZ3" s="12" t="s">
        <v>37</v>
      </c>
      <c r="RA3" s="11" t="s">
        <v>37</v>
      </c>
      <c r="RB3" s="12" t="s">
        <v>37</v>
      </c>
      <c r="RC3" s="12" t="s">
        <v>37</v>
      </c>
      <c r="RD3" s="11" t="s">
        <v>37</v>
      </c>
      <c r="RE3" s="11"/>
      <c r="RF3" s="11"/>
      <c r="RG3" s="12"/>
      <c r="RH3" s="12"/>
      <c r="RI3" s="12" t="s">
        <v>37</v>
      </c>
      <c r="RJ3" s="12" t="s">
        <v>37</v>
      </c>
      <c r="RK3" s="11" t="s">
        <v>37</v>
      </c>
      <c r="RL3" s="12" t="s">
        <v>37</v>
      </c>
      <c r="RM3" s="12" t="s">
        <v>37</v>
      </c>
      <c r="RN3" s="11" t="s">
        <v>37</v>
      </c>
      <c r="RO3" s="11"/>
      <c r="RP3" s="11"/>
      <c r="RQ3" s="12"/>
      <c r="RR3" s="12"/>
      <c r="RS3" s="12" t="s">
        <v>37</v>
      </c>
      <c r="RT3" s="12" t="s">
        <v>37</v>
      </c>
      <c r="RU3" s="11" t="s">
        <v>37</v>
      </c>
      <c r="RV3" s="12" t="s">
        <v>37</v>
      </c>
      <c r="RW3" s="12" t="s">
        <v>37</v>
      </c>
      <c r="RX3" s="11" t="s">
        <v>37</v>
      </c>
      <c r="RY3" s="11"/>
      <c r="RZ3" s="11"/>
      <c r="SA3" s="12"/>
      <c r="SB3" s="12"/>
      <c r="SC3" s="12" t="s">
        <v>37</v>
      </c>
      <c r="SD3" s="12" t="s">
        <v>37</v>
      </c>
      <c r="SE3" s="11" t="s">
        <v>37</v>
      </c>
      <c r="SF3" s="12" t="s">
        <v>37</v>
      </c>
      <c r="SG3" s="12" t="s">
        <v>37</v>
      </c>
      <c r="SH3" s="11" t="s">
        <v>37</v>
      </c>
      <c r="SI3" s="11"/>
      <c r="SJ3" s="11"/>
      <c r="SK3" s="12"/>
      <c r="SL3" s="12"/>
      <c r="SM3" s="12" t="s">
        <v>37</v>
      </c>
      <c r="SN3" s="12" t="s">
        <v>37</v>
      </c>
      <c r="SO3" s="13" t="s">
        <v>37</v>
      </c>
      <c r="SP3" s="12" t="s">
        <v>37</v>
      </c>
      <c r="SQ3" s="12" t="s">
        <v>37</v>
      </c>
      <c r="SR3" s="13" t="s">
        <v>37</v>
      </c>
      <c r="SS3" s="13"/>
      <c r="ST3" s="13"/>
      <c r="SU3" s="12"/>
      <c r="SV3" s="12"/>
      <c r="SW3" s="12" t="s">
        <v>37</v>
      </c>
      <c r="SX3" s="12" t="s">
        <v>37</v>
      </c>
      <c r="SY3" s="13" t="s">
        <v>37</v>
      </c>
      <c r="SZ3" s="12" t="s">
        <v>37</v>
      </c>
      <c r="TA3" s="12" t="s">
        <v>37</v>
      </c>
      <c r="TB3" s="13" t="s">
        <v>37</v>
      </c>
      <c r="TC3" s="13"/>
      <c r="TD3" s="13"/>
      <c r="TE3" s="12" t="s">
        <v>37</v>
      </c>
      <c r="TF3" s="12"/>
      <c r="TG3" s="12" t="s">
        <v>37</v>
      </c>
      <c r="TH3" s="12" t="s">
        <v>37</v>
      </c>
      <c r="TI3" s="12" t="s">
        <v>37</v>
      </c>
      <c r="TJ3" s="12" t="s">
        <v>37</v>
      </c>
      <c r="TK3" s="12" t="s">
        <v>37</v>
      </c>
      <c r="TL3" s="12" t="s">
        <v>37</v>
      </c>
      <c r="TM3" s="12"/>
      <c r="TN3" s="12"/>
      <c r="TO3" s="12"/>
      <c r="TP3" s="12"/>
      <c r="TQ3" s="13" t="s">
        <v>37</v>
      </c>
      <c r="TR3" s="13" t="s">
        <v>37</v>
      </c>
      <c r="TS3" s="13" t="s">
        <v>37</v>
      </c>
      <c r="TT3" s="19"/>
      <c r="TU3" s="13" t="s">
        <v>37</v>
      </c>
      <c r="TV3" s="13" t="s">
        <v>37</v>
      </c>
      <c r="TW3" s="13" t="s">
        <v>37</v>
      </c>
    </row>
    <row r="4" spans="1:546" ht="17.399999999999999" x14ac:dyDescent="0.3">
      <c r="A4" s="11">
        <v>2</v>
      </c>
      <c r="B4" s="12" t="s">
        <v>939</v>
      </c>
      <c r="C4" s="12" t="s">
        <v>26</v>
      </c>
      <c r="D4" s="12" t="s">
        <v>609</v>
      </c>
      <c r="E4" s="14">
        <v>3</v>
      </c>
      <c r="F4" s="14">
        <v>0</v>
      </c>
      <c r="G4" s="14">
        <v>0</v>
      </c>
      <c r="H4" s="12" t="s">
        <v>79</v>
      </c>
      <c r="I4" s="29">
        <v>33.9</v>
      </c>
      <c r="J4" s="29">
        <v>102.6</v>
      </c>
      <c r="K4" s="12" t="s">
        <v>40</v>
      </c>
      <c r="L4" s="12" t="s">
        <v>41</v>
      </c>
      <c r="M4" s="13">
        <v>3500</v>
      </c>
      <c r="N4" s="14">
        <v>1.1000000000000001</v>
      </c>
      <c r="O4" s="14">
        <v>752</v>
      </c>
      <c r="P4" s="14" t="s">
        <v>16</v>
      </c>
      <c r="Q4" s="11">
        <v>1</v>
      </c>
      <c r="R4" s="11" t="s">
        <v>37</v>
      </c>
      <c r="S4" s="12" t="s">
        <v>85</v>
      </c>
      <c r="T4" s="12" t="s">
        <v>37</v>
      </c>
      <c r="U4" s="12" t="s">
        <v>37</v>
      </c>
      <c r="V4" s="12" t="s">
        <v>275</v>
      </c>
      <c r="W4" s="23" t="s">
        <v>38</v>
      </c>
      <c r="X4" s="12" t="s">
        <v>280</v>
      </c>
      <c r="Y4" s="12" t="s">
        <v>37</v>
      </c>
      <c r="Z4" s="12" t="s">
        <v>37</v>
      </c>
      <c r="AA4" s="32" t="s">
        <v>484</v>
      </c>
      <c r="AB4" s="12" t="s">
        <v>317</v>
      </c>
      <c r="AC4" s="12" t="s">
        <v>37</v>
      </c>
      <c r="AD4" s="12" t="s">
        <v>482</v>
      </c>
      <c r="AE4" s="12" t="s">
        <v>74</v>
      </c>
      <c r="AF4" s="12" t="s">
        <v>483</v>
      </c>
      <c r="AG4" s="12" t="s">
        <v>42</v>
      </c>
      <c r="AH4" s="32" t="s">
        <v>345</v>
      </c>
      <c r="AI4" s="15">
        <v>253.92</v>
      </c>
      <c r="AJ4" s="15">
        <v>11.81</v>
      </c>
      <c r="AK4" s="11">
        <v>4</v>
      </c>
      <c r="AL4" s="19">
        <f>AJ4/AI4</f>
        <v>4.6510712035286707E-2</v>
      </c>
      <c r="AM4" s="12" t="s">
        <v>37</v>
      </c>
      <c r="AN4" s="12" t="s">
        <v>37</v>
      </c>
      <c r="AO4" s="13" t="s">
        <v>37</v>
      </c>
      <c r="AP4" s="19"/>
      <c r="AQ4" s="49"/>
      <c r="AR4" s="49"/>
      <c r="AS4" s="32"/>
      <c r="AT4" s="12" t="s">
        <v>37</v>
      </c>
      <c r="AU4" s="12" t="s">
        <v>37</v>
      </c>
      <c r="AV4" s="13" t="s">
        <v>37</v>
      </c>
      <c r="AW4" s="12" t="s">
        <v>37</v>
      </c>
      <c r="AX4" s="12" t="s">
        <v>37</v>
      </c>
      <c r="AY4" s="13" t="s">
        <v>37</v>
      </c>
      <c r="AZ4" s="13"/>
      <c r="BA4" s="13"/>
      <c r="BB4" s="12"/>
      <c r="BC4" s="12" t="s">
        <v>37</v>
      </c>
      <c r="BD4" s="12" t="s">
        <v>37</v>
      </c>
      <c r="BE4" s="13" t="s">
        <v>37</v>
      </c>
      <c r="BF4" s="12" t="s">
        <v>37</v>
      </c>
      <c r="BG4" s="12" t="s">
        <v>37</v>
      </c>
      <c r="BH4" s="12" t="s">
        <v>37</v>
      </c>
      <c r="BI4" s="12"/>
      <c r="BJ4" s="12" t="s">
        <v>37</v>
      </c>
      <c r="BK4" s="12" t="s">
        <v>37</v>
      </c>
      <c r="BL4" s="13" t="s">
        <v>37</v>
      </c>
      <c r="BM4" s="12" t="s">
        <v>37</v>
      </c>
      <c r="BN4" s="12" t="s">
        <v>37</v>
      </c>
      <c r="BO4" s="13" t="s">
        <v>37</v>
      </c>
      <c r="BP4" s="19"/>
      <c r="BQ4" s="19"/>
      <c r="BR4" s="19"/>
      <c r="BS4" s="19"/>
      <c r="BT4" s="12"/>
      <c r="BU4" s="12" t="s">
        <v>37</v>
      </c>
      <c r="BV4" s="12" t="s">
        <v>37</v>
      </c>
      <c r="BW4" s="13" t="s">
        <v>37</v>
      </c>
      <c r="BX4" s="12" t="s">
        <v>37</v>
      </c>
      <c r="BY4" s="12" t="s">
        <v>37</v>
      </c>
      <c r="BZ4" s="13" t="s">
        <v>37</v>
      </c>
      <c r="CA4" s="19"/>
      <c r="CB4" s="19"/>
      <c r="CC4" s="19"/>
      <c r="CD4" s="19"/>
      <c r="CE4" s="12"/>
      <c r="CF4" s="12" t="s">
        <v>37</v>
      </c>
      <c r="CG4" s="12" t="s">
        <v>37</v>
      </c>
      <c r="CH4" s="13" t="s">
        <v>37</v>
      </c>
      <c r="CI4" s="12" t="s">
        <v>37</v>
      </c>
      <c r="CJ4" s="12" t="s">
        <v>37</v>
      </c>
      <c r="CK4" s="13" t="s">
        <v>37</v>
      </c>
      <c r="CL4" s="19"/>
      <c r="CM4" s="19"/>
      <c r="CN4" s="19"/>
      <c r="CO4" s="19"/>
      <c r="CP4" s="15" t="s">
        <v>34</v>
      </c>
      <c r="CQ4" s="15">
        <f>1.77*10^3/24/("2014/10/02"-"2014/08/05")</f>
        <v>1.271551724137931</v>
      </c>
      <c r="CR4" s="52">
        <f>0.47*10^3/24/("2014/10/02"-"2014/08/05")</f>
        <v>0.3376436781609195</v>
      </c>
      <c r="CS4" s="18">
        <v>4</v>
      </c>
      <c r="CT4" s="52">
        <f t="shared" si="0"/>
        <v>0.26553672316384175</v>
      </c>
      <c r="CU4" s="12">
        <f>0.83*10^3/24/("2014/10/02"-"2014/08/05")</f>
        <v>0.59626436781609204</v>
      </c>
      <c r="CV4" s="19">
        <f>0.33*10^3/24/("2014/10/02"-"2014/08/05")</f>
        <v>0.23706896551724138</v>
      </c>
      <c r="CW4" s="13">
        <v>4</v>
      </c>
      <c r="CX4" s="52">
        <f t="shared" si="1"/>
        <v>0.39759036144578308</v>
      </c>
      <c r="CY4" s="68">
        <f t="shared" si="7"/>
        <v>-0.67528735632183901</v>
      </c>
      <c r="CZ4" s="12">
        <f t="shared" si="8"/>
        <v>0.29172328310699641</v>
      </c>
      <c r="DA4" s="72">
        <f t="shared" si="9"/>
        <v>4.2551236953362388E-2</v>
      </c>
      <c r="DB4" s="72">
        <f t="shared" si="10"/>
        <v>4.2551236953362395E-2</v>
      </c>
      <c r="DC4" s="15" t="s">
        <v>34</v>
      </c>
      <c r="DD4" s="35">
        <f>6.59/24/("2014/10/02"-"2014/08/05")</f>
        <v>4.7341954022988506E-3</v>
      </c>
      <c r="DE4" s="67">
        <f>6.45/24/("2014/10/02"-"2014/08/05")</f>
        <v>4.6336206896551721E-3</v>
      </c>
      <c r="DF4" s="18">
        <v>4</v>
      </c>
      <c r="DG4" s="52">
        <f>DE4/ABS(DD4)</f>
        <v>0.97875569044006061</v>
      </c>
      <c r="DH4" s="35">
        <f>-7.43/24/("2014/10/02"-"2014/08/05")</f>
        <v>-5.3376436781609193E-3</v>
      </c>
      <c r="DI4" s="67">
        <f>10.93/24/("2014/10/02"-"2014/08/05")</f>
        <v>7.8520114942528738E-3</v>
      </c>
      <c r="DJ4" s="18">
        <v>4</v>
      </c>
      <c r="DK4" s="52">
        <f>DI4/ABS(DH4)</f>
        <v>1.471063257065949</v>
      </c>
      <c r="DL4" s="68">
        <f>DH4-DD4</f>
        <v>-1.007183908045977E-2</v>
      </c>
      <c r="DM4" s="12">
        <f>SQRT(((DF4-1)*DE4^2+(DJ4-1)*DI4^2)/(DF4+DJ4-2))</f>
        <v>6.4468800671906301E-3</v>
      </c>
      <c r="DN4" s="87">
        <f t="shared" ref="DN4" si="22">(((DF4+DJ4)/(DF4*DJ4))*(((DF4-1)*DE4^2)+(DJ4-1)*DI4^2)/(DF4+DJ4-2))</f>
        <v>2.0781131300369929E-5</v>
      </c>
      <c r="DO4" s="87">
        <f t="shared" ref="DO4" si="23">(DE4^2/DF4)+(DI4^2/DJ4)</f>
        <v>2.0781131300369933E-5</v>
      </c>
      <c r="DP4" s="12" t="s">
        <v>39</v>
      </c>
      <c r="DQ4" s="12">
        <v>0</v>
      </c>
      <c r="DR4" s="12">
        <v>0</v>
      </c>
      <c r="DS4" s="13">
        <v>4</v>
      </c>
      <c r="DT4" s="19"/>
      <c r="DU4" s="12">
        <v>-13.31</v>
      </c>
      <c r="DV4" s="12">
        <v>3</v>
      </c>
      <c r="DW4" s="13">
        <v>4</v>
      </c>
      <c r="DX4" s="19"/>
      <c r="DY4" s="19">
        <f t="shared" si="11"/>
        <v>-13.31</v>
      </c>
      <c r="DZ4" s="12">
        <f t="shared" si="12"/>
        <v>2.1213203435596424</v>
      </c>
      <c r="EA4" s="72">
        <f t="shared" si="13"/>
        <v>2.25</v>
      </c>
      <c r="EB4" s="72">
        <f t="shared" si="14"/>
        <v>2.25</v>
      </c>
      <c r="EC4" s="12"/>
      <c r="ED4" s="12"/>
      <c r="EE4" s="12" t="s">
        <v>37</v>
      </c>
      <c r="EF4" s="12" t="s">
        <v>37</v>
      </c>
      <c r="EG4" s="11" t="s">
        <v>37</v>
      </c>
      <c r="EH4" s="19"/>
      <c r="EI4" s="12" t="s">
        <v>37</v>
      </c>
      <c r="EJ4" s="20" t="s">
        <v>37</v>
      </c>
      <c r="EK4" s="11" t="s">
        <v>37</v>
      </c>
      <c r="EL4" s="19"/>
      <c r="EM4" s="19"/>
      <c r="EN4" s="19"/>
      <c r="EO4" s="19"/>
      <c r="EP4" s="19"/>
      <c r="EQ4" s="32"/>
      <c r="ER4" s="12" t="s">
        <v>37</v>
      </c>
      <c r="ES4" s="12" t="s">
        <v>37</v>
      </c>
      <c r="ET4" s="11" t="s">
        <v>37</v>
      </c>
      <c r="EU4" s="19"/>
      <c r="EV4" s="13" t="s">
        <v>37</v>
      </c>
      <c r="EW4" s="11" t="s">
        <v>37</v>
      </c>
      <c r="EX4" s="11" t="s">
        <v>37</v>
      </c>
      <c r="EY4" s="19"/>
      <c r="EZ4" s="19"/>
      <c r="FA4" s="19"/>
      <c r="FB4" s="19"/>
      <c r="FC4" s="32"/>
      <c r="FD4" s="12" t="s">
        <v>37</v>
      </c>
      <c r="FE4" s="12" t="s">
        <v>37</v>
      </c>
      <c r="FF4" s="11" t="s">
        <v>37</v>
      </c>
      <c r="FG4" s="13" t="s">
        <v>37</v>
      </c>
      <c r="FH4" s="11" t="s">
        <v>37</v>
      </c>
      <c r="FI4" s="11" t="s">
        <v>37</v>
      </c>
      <c r="FJ4" s="19"/>
      <c r="FK4" s="19"/>
      <c r="FL4" s="19"/>
      <c r="FM4" s="32"/>
      <c r="FN4" s="12" t="s">
        <v>37</v>
      </c>
      <c r="FO4" s="12" t="s">
        <v>37</v>
      </c>
      <c r="FP4" s="11" t="s">
        <v>37</v>
      </c>
      <c r="FQ4" s="13" t="s">
        <v>37</v>
      </c>
      <c r="FR4" s="11" t="s">
        <v>37</v>
      </c>
      <c r="FS4" s="11" t="s">
        <v>37</v>
      </c>
      <c r="FT4" s="19"/>
      <c r="FU4" s="19"/>
      <c r="FV4" s="19"/>
      <c r="FW4" s="12"/>
      <c r="FX4" s="12"/>
      <c r="FY4" s="12" t="s">
        <v>37</v>
      </c>
      <c r="FZ4" s="12" t="s">
        <v>37</v>
      </c>
      <c r="GA4" s="13" t="s">
        <v>37</v>
      </c>
      <c r="GB4" s="12" t="s">
        <v>37</v>
      </c>
      <c r="GC4" s="12" t="s">
        <v>37</v>
      </c>
      <c r="GD4" s="13" t="s">
        <v>37</v>
      </c>
      <c r="GE4" s="19"/>
      <c r="GF4" s="19"/>
      <c r="GG4" s="12" t="s">
        <v>660</v>
      </c>
      <c r="GH4" s="12" t="s">
        <v>330</v>
      </c>
      <c r="GI4" s="12">
        <v>12</v>
      </c>
      <c r="GJ4" s="12">
        <v>0.43</v>
      </c>
      <c r="GK4" s="13">
        <v>4</v>
      </c>
      <c r="GL4" s="19">
        <f t="shared" si="15"/>
        <v>3.5833333333333335E-2</v>
      </c>
      <c r="GM4" s="12">
        <v>11.81</v>
      </c>
      <c r="GN4" s="12">
        <v>0.42</v>
      </c>
      <c r="GO4" s="13">
        <v>4</v>
      </c>
      <c r="GP4" s="19">
        <f t="shared" si="16"/>
        <v>3.5563082133784923E-2</v>
      </c>
      <c r="GQ4" s="19">
        <f t="shared" si="17"/>
        <v>-1.5960019578729293E-2</v>
      </c>
      <c r="GR4" s="19">
        <f t="shared" si="18"/>
        <v>6.3719014715802756E-4</v>
      </c>
      <c r="GS4" s="12"/>
      <c r="GT4" s="32"/>
      <c r="GU4" s="12" t="s">
        <v>37</v>
      </c>
      <c r="GV4" s="12" t="s">
        <v>37</v>
      </c>
      <c r="GW4" s="12" t="s">
        <v>37</v>
      </c>
      <c r="GX4" s="19"/>
      <c r="GY4" s="12" t="s">
        <v>37</v>
      </c>
      <c r="GZ4" s="12" t="s">
        <v>37</v>
      </c>
      <c r="HA4" s="12" t="s">
        <v>37</v>
      </c>
      <c r="HB4" s="19"/>
      <c r="HC4" s="19"/>
      <c r="HD4" s="19"/>
      <c r="HE4" s="32"/>
      <c r="HF4" s="12" t="s">
        <v>37</v>
      </c>
      <c r="HG4" s="12" t="s">
        <v>37</v>
      </c>
      <c r="HH4" s="13" t="s">
        <v>37</v>
      </c>
      <c r="HI4" s="12" t="s">
        <v>37</v>
      </c>
      <c r="HJ4" s="12" t="s">
        <v>37</v>
      </c>
      <c r="HK4" s="13" t="s">
        <v>37</v>
      </c>
      <c r="HL4" s="13"/>
      <c r="HM4" s="13"/>
      <c r="HN4" s="32"/>
      <c r="HO4" s="12" t="s">
        <v>37</v>
      </c>
      <c r="HP4" s="12" t="s">
        <v>37</v>
      </c>
      <c r="HQ4" s="13" t="s">
        <v>37</v>
      </c>
      <c r="HR4" s="12" t="s">
        <v>37</v>
      </c>
      <c r="HS4" s="12" t="s">
        <v>37</v>
      </c>
      <c r="HT4" s="13" t="s">
        <v>37</v>
      </c>
      <c r="HU4" s="13"/>
      <c r="HV4" s="13"/>
      <c r="HW4" s="12"/>
      <c r="HX4" s="12"/>
      <c r="HY4" s="12" t="s">
        <v>37</v>
      </c>
      <c r="HZ4" s="12" t="s">
        <v>37</v>
      </c>
      <c r="IA4" s="13" t="s">
        <v>37</v>
      </c>
      <c r="IB4" s="12" t="s">
        <v>37</v>
      </c>
      <c r="IC4" s="12" t="s">
        <v>37</v>
      </c>
      <c r="ID4" s="13" t="s">
        <v>37</v>
      </c>
      <c r="IE4" s="12"/>
      <c r="IF4" s="32" t="s">
        <v>345</v>
      </c>
      <c r="IG4" s="12">
        <v>5.28</v>
      </c>
      <c r="IH4" s="12">
        <v>0.09</v>
      </c>
      <c r="II4" s="13">
        <v>4</v>
      </c>
      <c r="IJ4" s="19"/>
      <c r="IK4" s="12" t="s">
        <v>37</v>
      </c>
      <c r="IL4" s="12" t="s">
        <v>37</v>
      </c>
      <c r="IM4" s="13" t="s">
        <v>37</v>
      </c>
      <c r="IN4" s="19"/>
      <c r="IO4" s="19"/>
      <c r="IP4" s="19"/>
      <c r="IQ4" s="32"/>
      <c r="IR4" s="12" t="s">
        <v>37</v>
      </c>
      <c r="IS4" s="12" t="s">
        <v>37</v>
      </c>
      <c r="IT4" s="13" t="s">
        <v>37</v>
      </c>
      <c r="IU4" s="12" t="s">
        <v>37</v>
      </c>
      <c r="IV4" s="12" t="s">
        <v>37</v>
      </c>
      <c r="IW4" s="12" t="s">
        <v>37</v>
      </c>
      <c r="IX4" s="32"/>
      <c r="IY4" s="12" t="s">
        <v>37</v>
      </c>
      <c r="IZ4" s="12" t="s">
        <v>37</v>
      </c>
      <c r="JA4" s="13" t="s">
        <v>37</v>
      </c>
      <c r="JB4" s="12" t="s">
        <v>37</v>
      </c>
      <c r="JC4" s="12" t="s">
        <v>37</v>
      </c>
      <c r="JD4" s="12" t="s">
        <v>37</v>
      </c>
      <c r="JE4" s="12"/>
      <c r="JF4" s="12"/>
      <c r="JG4" s="12" t="s">
        <v>37</v>
      </c>
      <c r="JH4" s="12" t="s">
        <v>37</v>
      </c>
      <c r="JI4" s="13" t="s">
        <v>37</v>
      </c>
      <c r="JJ4" s="12" t="s">
        <v>37</v>
      </c>
      <c r="JK4" s="12" t="s">
        <v>37</v>
      </c>
      <c r="JL4" s="12" t="s">
        <v>37</v>
      </c>
      <c r="JM4" s="12" t="s">
        <v>45</v>
      </c>
      <c r="JN4" s="32" t="s">
        <v>345</v>
      </c>
      <c r="JO4" s="12">
        <v>21.33</v>
      </c>
      <c r="JP4" s="16">
        <f>0.89*SQRT(4)</f>
        <v>1.78</v>
      </c>
      <c r="JQ4" s="11">
        <v>4</v>
      </c>
      <c r="JR4" s="19">
        <f>JP4/JO4</f>
        <v>8.3450539146741692E-2</v>
      </c>
      <c r="JS4" s="16" t="s">
        <v>37</v>
      </c>
      <c r="JT4" s="16" t="s">
        <v>37</v>
      </c>
      <c r="JU4" s="13" t="s">
        <v>37</v>
      </c>
      <c r="JV4" s="19"/>
      <c r="JW4" s="19"/>
      <c r="JX4" s="19"/>
      <c r="JY4" s="32"/>
      <c r="JZ4" s="16" t="s">
        <v>37</v>
      </c>
      <c r="KA4" s="16" t="s">
        <v>37</v>
      </c>
      <c r="KB4" s="13" t="s">
        <v>37</v>
      </c>
      <c r="KC4" s="16" t="s">
        <v>37</v>
      </c>
      <c r="KD4" s="16" t="s">
        <v>37</v>
      </c>
      <c r="KE4" s="13" t="s">
        <v>37</v>
      </c>
      <c r="KF4" s="13"/>
      <c r="KG4" s="13"/>
      <c r="KH4" s="32"/>
      <c r="KI4" s="12" t="s">
        <v>37</v>
      </c>
      <c r="KJ4" s="12" t="s">
        <v>37</v>
      </c>
      <c r="KK4" s="12" t="s">
        <v>37</v>
      </c>
      <c r="KL4" s="12" t="s">
        <v>37</v>
      </c>
      <c r="KM4" s="12" t="s">
        <v>37</v>
      </c>
      <c r="KN4" s="12" t="s">
        <v>37</v>
      </c>
      <c r="KO4" s="12"/>
      <c r="KP4" s="12"/>
      <c r="KQ4" s="12"/>
      <c r="KR4" s="12" t="str">
        <f t="shared" ref="KR4" si="24">JN4</f>
        <v>0-10</v>
      </c>
      <c r="KS4" s="12">
        <f>AI4/JO4</f>
        <v>11.90436005625879</v>
      </c>
      <c r="KT4" s="12">
        <f>SQRT((1/JO4)^2*AJ4^2+AI4^2*(-1/JO4^2)^2*JP4^2)</f>
        <v>1.1373018904638748</v>
      </c>
      <c r="KU4" s="13">
        <f t="shared" ref="KU4" si="25">JQ4</f>
        <v>4</v>
      </c>
      <c r="KV4" s="19">
        <f t="shared" ref="KV4" si="26">KT4/KS4</f>
        <v>9.5536583662549024E-2</v>
      </c>
      <c r="KW4" s="12" t="s">
        <v>37</v>
      </c>
      <c r="KX4" s="12" t="s">
        <v>37</v>
      </c>
      <c r="KY4" s="13" t="str">
        <f t="shared" ref="KY4" si="27">JU4</f>
        <v>/</v>
      </c>
      <c r="KZ4" s="19"/>
      <c r="LA4" s="19"/>
      <c r="LB4" s="19"/>
      <c r="LC4" s="12"/>
      <c r="LD4" s="12" t="s">
        <v>37</v>
      </c>
      <c r="LE4" s="12" t="s">
        <v>37</v>
      </c>
      <c r="LF4" s="12" t="s">
        <v>37</v>
      </c>
      <c r="LG4" s="19" t="str">
        <f t="shared" si="19"/>
        <v>/</v>
      </c>
      <c r="LH4" s="19" t="str">
        <f t="shared" si="20"/>
        <v>/</v>
      </c>
      <c r="LI4" s="13" t="str">
        <f t="shared" si="21"/>
        <v>/</v>
      </c>
      <c r="LJ4" s="13"/>
      <c r="LK4" s="13"/>
      <c r="LL4" s="12"/>
      <c r="LM4" s="12" t="s">
        <v>37</v>
      </c>
      <c r="LN4" s="12" t="s">
        <v>37</v>
      </c>
      <c r="LO4" s="12" t="s">
        <v>37</v>
      </c>
      <c r="LP4" s="12" t="s">
        <v>37</v>
      </c>
      <c r="LQ4" s="12" t="s">
        <v>37</v>
      </c>
      <c r="LR4" s="12" t="s">
        <v>37</v>
      </c>
      <c r="LS4" s="16" t="s">
        <v>45</v>
      </c>
      <c r="LT4" s="32" t="s">
        <v>345</v>
      </c>
      <c r="LU4" s="16">
        <v>22.19</v>
      </c>
      <c r="LV4" s="16">
        <v>3.19</v>
      </c>
      <c r="LW4" s="13">
        <v>4</v>
      </c>
      <c r="LX4" s="16">
        <v>28.94</v>
      </c>
      <c r="LY4" s="16">
        <v>6.03</v>
      </c>
      <c r="LZ4" s="13">
        <v>4</v>
      </c>
      <c r="MA4" s="19">
        <f>LN(LX4/LU4)</f>
        <v>0.26558298425883525</v>
      </c>
      <c r="MB4" s="19">
        <f>LY4^2/(LZ4*LX4^2)+LV4^2/(LW4*LU4^2)</f>
        <v>1.6020317121403185E-2</v>
      </c>
      <c r="MC4" s="16" t="s">
        <v>45</v>
      </c>
      <c r="MD4" s="32" t="s">
        <v>345</v>
      </c>
      <c r="ME4" s="16">
        <v>1.46</v>
      </c>
      <c r="MF4" s="16">
        <v>0.12</v>
      </c>
      <c r="MG4" s="13">
        <v>4</v>
      </c>
      <c r="MH4" s="16">
        <v>1.1499999999999999</v>
      </c>
      <c r="MI4" s="16">
        <v>0.25</v>
      </c>
      <c r="MJ4" s="13">
        <v>4</v>
      </c>
      <c r="MK4" s="19">
        <f>LN(MH4/ME4)</f>
        <v>-0.23867449334508647</v>
      </c>
      <c r="ML4" s="19">
        <f>MI4^2/(MJ4*MH4^2)+MF4^2/(MG4*ME4^2)</f>
        <v>1.3503617010181834E-2</v>
      </c>
      <c r="MM4" s="16" t="s">
        <v>45</v>
      </c>
      <c r="MN4" s="32" t="s">
        <v>345</v>
      </c>
      <c r="MO4" s="16">
        <v>990</v>
      </c>
      <c r="MP4" s="16">
        <v>137</v>
      </c>
      <c r="MQ4" s="13">
        <v>4</v>
      </c>
      <c r="MR4" s="16">
        <v>1023</v>
      </c>
      <c r="MS4" s="16">
        <v>134</v>
      </c>
      <c r="MT4" s="13">
        <v>4</v>
      </c>
      <c r="MU4" s="19">
        <f>LN(MR4/MO4)</f>
        <v>3.278982282299097E-2</v>
      </c>
      <c r="MV4" s="19">
        <f>MS4^2/(MT4*MR4^2)+MP4^2/(MQ4*MO4^2)</f>
        <v>9.0769393660164004E-3</v>
      </c>
      <c r="MW4" s="16" t="s">
        <v>45</v>
      </c>
      <c r="MX4" s="32" t="s">
        <v>345</v>
      </c>
      <c r="MY4" s="16">
        <v>110.68</v>
      </c>
      <c r="MZ4" s="16">
        <v>13.79</v>
      </c>
      <c r="NA4" s="11">
        <v>4</v>
      </c>
      <c r="NB4" s="16">
        <v>86.18</v>
      </c>
      <c r="NC4" s="16">
        <v>8.69</v>
      </c>
      <c r="ND4" s="11">
        <v>4</v>
      </c>
      <c r="NE4" s="19">
        <f>LN(NB4/MY4)</f>
        <v>-0.25020502273103323</v>
      </c>
      <c r="NF4" s="19">
        <f>NC4^2/(ND4*NB4^2)+MZ4^2/(NA4*MY4^2)</f>
        <v>6.4228277630878237E-3</v>
      </c>
      <c r="NG4" s="16" t="s">
        <v>45</v>
      </c>
      <c r="NH4" s="32" t="s">
        <v>345</v>
      </c>
      <c r="NI4" s="16">
        <v>990</v>
      </c>
      <c r="NJ4" s="16">
        <v>137</v>
      </c>
      <c r="NK4" s="13">
        <v>4</v>
      </c>
      <c r="NL4" s="16">
        <v>1023</v>
      </c>
      <c r="NM4" s="16">
        <v>134</v>
      </c>
      <c r="NN4" s="13">
        <v>4</v>
      </c>
      <c r="NO4" s="19">
        <f>LN(NL4/NI4)</f>
        <v>3.278982282299097E-2</v>
      </c>
      <c r="NP4" s="19">
        <f>NM4^2/(NN4*NL4^2)+NJ4^2/(NK4*NI4^2)</f>
        <v>9.0769393660164004E-3</v>
      </c>
      <c r="NQ4" s="16" t="s">
        <v>45</v>
      </c>
      <c r="NR4" s="32" t="s">
        <v>345</v>
      </c>
      <c r="NS4" s="16">
        <v>110.68</v>
      </c>
      <c r="NT4" s="16">
        <v>13.79</v>
      </c>
      <c r="NU4" s="13">
        <v>4</v>
      </c>
      <c r="NV4" s="16">
        <v>86.18</v>
      </c>
      <c r="NW4" s="16">
        <v>8.69</v>
      </c>
      <c r="NX4" s="13">
        <v>4</v>
      </c>
      <c r="NY4" s="19">
        <f>LN(NV4/NS4)</f>
        <v>-0.25020502273103323</v>
      </c>
      <c r="NZ4" s="19">
        <f>NW4^2/(NX4*NV4^2)+NT4^2/(NU4*NS4^2)</f>
        <v>6.4228277630878237E-3</v>
      </c>
      <c r="OA4" s="12" t="s">
        <v>45</v>
      </c>
      <c r="OB4" s="32" t="s">
        <v>345</v>
      </c>
      <c r="OC4" s="16">
        <v>7.91</v>
      </c>
      <c r="OD4" s="16">
        <v>0.85</v>
      </c>
      <c r="OE4" s="13">
        <v>4</v>
      </c>
      <c r="OF4" s="16">
        <v>9.7200000000000006</v>
      </c>
      <c r="OG4" s="16">
        <v>1.4</v>
      </c>
      <c r="OH4" s="13">
        <v>4</v>
      </c>
      <c r="OI4" s="19">
        <f>LN(OF4/OC4)</f>
        <v>0.20605783669278518</v>
      </c>
      <c r="OJ4" s="19">
        <f>OG4^2/(OH4*OF4^2)+OD4^2/(OE4*OC4^2)</f>
        <v>8.0732251246867105E-3</v>
      </c>
      <c r="OK4" s="16"/>
      <c r="OL4" s="16" t="s">
        <v>37</v>
      </c>
      <c r="OM4" s="16" t="s">
        <v>37</v>
      </c>
      <c r="ON4" s="11" t="s">
        <v>37</v>
      </c>
      <c r="OO4" s="16" t="s">
        <v>37</v>
      </c>
      <c r="OP4" s="16" t="s">
        <v>37</v>
      </c>
      <c r="OQ4" s="13" t="s">
        <v>37</v>
      </c>
      <c r="OR4" s="12"/>
      <c r="OS4" s="16" t="s">
        <v>37</v>
      </c>
      <c r="OT4" s="16" t="s">
        <v>37</v>
      </c>
      <c r="OU4" s="13" t="s">
        <v>37</v>
      </c>
      <c r="OV4" s="16" t="s">
        <v>37</v>
      </c>
      <c r="OW4" s="16" t="s">
        <v>37</v>
      </c>
      <c r="OX4" s="13" t="s">
        <v>37</v>
      </c>
      <c r="OY4" s="12"/>
      <c r="OZ4" s="16"/>
      <c r="PA4" s="16" t="s">
        <v>37</v>
      </c>
      <c r="PB4" s="16" t="s">
        <v>37</v>
      </c>
      <c r="PC4" s="13" t="s">
        <v>37</v>
      </c>
      <c r="PD4" s="16" t="s">
        <v>37</v>
      </c>
      <c r="PE4" s="16" t="s">
        <v>37</v>
      </c>
      <c r="PF4" s="13" t="s">
        <v>37</v>
      </c>
      <c r="PG4" s="12"/>
      <c r="PH4" s="16"/>
      <c r="PI4" s="12" t="s">
        <v>37</v>
      </c>
      <c r="PJ4" s="12" t="s">
        <v>37</v>
      </c>
      <c r="PK4" s="13" t="s">
        <v>37</v>
      </c>
      <c r="PL4" s="12" t="s">
        <v>37</v>
      </c>
      <c r="PM4" s="12" t="s">
        <v>37</v>
      </c>
      <c r="PN4" s="13" t="s">
        <v>37</v>
      </c>
      <c r="PO4" s="12"/>
      <c r="PP4" s="16"/>
      <c r="PQ4" s="16" t="s">
        <v>37</v>
      </c>
      <c r="PR4" s="16" t="s">
        <v>37</v>
      </c>
      <c r="PS4" s="13" t="s">
        <v>37</v>
      </c>
      <c r="PT4" s="16" t="s">
        <v>37</v>
      </c>
      <c r="PU4" s="16" t="s">
        <v>37</v>
      </c>
      <c r="PV4" s="13" t="s">
        <v>37</v>
      </c>
      <c r="PW4" s="12"/>
      <c r="PX4" s="16"/>
      <c r="PY4" s="16" t="s">
        <v>37</v>
      </c>
      <c r="PZ4" s="16" t="s">
        <v>37</v>
      </c>
      <c r="QA4" s="11" t="s">
        <v>37</v>
      </c>
      <c r="QB4" s="16" t="s">
        <v>37</v>
      </c>
      <c r="QC4" s="16" t="s">
        <v>37</v>
      </c>
      <c r="QD4" s="11" t="s">
        <v>37</v>
      </c>
      <c r="QE4" s="12"/>
      <c r="QF4" s="16"/>
      <c r="QG4" s="16" t="s">
        <v>37</v>
      </c>
      <c r="QH4" s="16" t="s">
        <v>37</v>
      </c>
      <c r="QI4" s="13" t="s">
        <v>37</v>
      </c>
      <c r="QJ4" s="16" t="s">
        <v>37</v>
      </c>
      <c r="QK4" s="16" t="s">
        <v>37</v>
      </c>
      <c r="QL4" s="13" t="s">
        <v>37</v>
      </c>
      <c r="QM4" s="16" t="s">
        <v>42</v>
      </c>
      <c r="QN4" s="32" t="s">
        <v>345</v>
      </c>
      <c r="QO4" s="12">
        <v>0.88</v>
      </c>
      <c r="QP4" s="16">
        <v>7.0000000000000007E-2</v>
      </c>
      <c r="QQ4" s="13">
        <v>4</v>
      </c>
      <c r="QR4" s="16" t="s">
        <v>37</v>
      </c>
      <c r="QS4" s="16" t="s">
        <v>37</v>
      </c>
      <c r="QT4" s="13" t="s">
        <v>37</v>
      </c>
      <c r="QU4" s="19"/>
      <c r="QV4" s="19"/>
      <c r="QW4" s="12"/>
      <c r="QX4" s="12"/>
      <c r="QY4" s="12" t="s">
        <v>37</v>
      </c>
      <c r="QZ4" s="12" t="s">
        <v>37</v>
      </c>
      <c r="RA4" s="11" t="s">
        <v>37</v>
      </c>
      <c r="RB4" s="12" t="s">
        <v>37</v>
      </c>
      <c r="RC4" s="12" t="s">
        <v>37</v>
      </c>
      <c r="RD4" s="11" t="s">
        <v>37</v>
      </c>
      <c r="RE4" s="11"/>
      <c r="RF4" s="11"/>
      <c r="RG4" s="12"/>
      <c r="RH4" s="12"/>
      <c r="RI4" s="12" t="s">
        <v>37</v>
      </c>
      <c r="RJ4" s="12" t="s">
        <v>37</v>
      </c>
      <c r="RK4" s="11" t="s">
        <v>37</v>
      </c>
      <c r="RL4" s="12" t="s">
        <v>37</v>
      </c>
      <c r="RM4" s="12" t="s">
        <v>37</v>
      </c>
      <c r="RN4" s="11" t="s">
        <v>37</v>
      </c>
      <c r="RO4" s="11"/>
      <c r="RP4" s="11"/>
      <c r="RQ4" s="12"/>
      <c r="RR4" s="12"/>
      <c r="RS4" s="12" t="s">
        <v>37</v>
      </c>
      <c r="RT4" s="12" t="s">
        <v>37</v>
      </c>
      <c r="RU4" s="11" t="s">
        <v>37</v>
      </c>
      <c r="RV4" s="12" t="s">
        <v>37</v>
      </c>
      <c r="RW4" s="12" t="s">
        <v>37</v>
      </c>
      <c r="RX4" s="11" t="s">
        <v>37</v>
      </c>
      <c r="RY4" s="11"/>
      <c r="RZ4" s="11"/>
      <c r="SA4" s="12"/>
      <c r="SB4" s="12"/>
      <c r="SC4" s="12" t="s">
        <v>37</v>
      </c>
      <c r="SD4" s="12" t="s">
        <v>37</v>
      </c>
      <c r="SE4" s="11" t="s">
        <v>37</v>
      </c>
      <c r="SF4" s="12" t="s">
        <v>37</v>
      </c>
      <c r="SG4" s="12" t="s">
        <v>37</v>
      </c>
      <c r="SH4" s="11" t="s">
        <v>37</v>
      </c>
      <c r="SI4" s="11"/>
      <c r="SJ4" s="11"/>
      <c r="SK4" s="12"/>
      <c r="SL4" s="12"/>
      <c r="SM4" s="12" t="s">
        <v>37</v>
      </c>
      <c r="SN4" s="12" t="s">
        <v>37</v>
      </c>
      <c r="SO4" s="13" t="s">
        <v>37</v>
      </c>
      <c r="SP4" s="12" t="s">
        <v>37</v>
      </c>
      <c r="SQ4" s="12" t="s">
        <v>37</v>
      </c>
      <c r="SR4" s="13" t="s">
        <v>37</v>
      </c>
      <c r="SS4" s="13"/>
      <c r="ST4" s="13"/>
      <c r="SU4" s="12"/>
      <c r="SV4" s="12"/>
      <c r="SW4" s="12" t="s">
        <v>37</v>
      </c>
      <c r="SX4" s="12" t="s">
        <v>37</v>
      </c>
      <c r="SY4" s="13" t="s">
        <v>37</v>
      </c>
      <c r="SZ4" s="12" t="s">
        <v>37</v>
      </c>
      <c r="TA4" s="12" t="s">
        <v>37</v>
      </c>
      <c r="TB4" s="13" t="s">
        <v>37</v>
      </c>
      <c r="TC4" s="13"/>
      <c r="TD4" s="13"/>
      <c r="TE4" s="12" t="s">
        <v>37</v>
      </c>
      <c r="TF4" s="12"/>
      <c r="TG4" s="12" t="s">
        <v>37</v>
      </c>
      <c r="TH4" s="12" t="s">
        <v>37</v>
      </c>
      <c r="TI4" s="12" t="s">
        <v>37</v>
      </c>
      <c r="TJ4" s="12" t="s">
        <v>37</v>
      </c>
      <c r="TK4" s="12" t="s">
        <v>37</v>
      </c>
      <c r="TL4" s="12" t="s">
        <v>37</v>
      </c>
      <c r="TM4" s="12"/>
      <c r="TN4" s="12"/>
      <c r="TO4" s="12"/>
      <c r="TP4" s="12"/>
      <c r="TQ4" s="13" t="s">
        <v>37</v>
      </c>
      <c r="TR4" s="13" t="s">
        <v>37</v>
      </c>
      <c r="TS4" s="13" t="s">
        <v>37</v>
      </c>
      <c r="TT4" s="19"/>
      <c r="TU4" s="13" t="s">
        <v>37</v>
      </c>
      <c r="TV4" s="13" t="s">
        <v>37</v>
      </c>
      <c r="TW4" s="13" t="s">
        <v>37</v>
      </c>
    </row>
    <row r="5" spans="1:546" ht="15.6" x14ac:dyDescent="0.3">
      <c r="A5" s="11">
        <v>3</v>
      </c>
      <c r="B5" s="16" t="s">
        <v>70</v>
      </c>
      <c r="C5" s="12" t="s">
        <v>31</v>
      </c>
      <c r="D5" s="12" t="s">
        <v>609</v>
      </c>
      <c r="E5" s="14" t="s">
        <v>37</v>
      </c>
      <c r="F5" s="14">
        <v>0</v>
      </c>
      <c r="G5" s="14">
        <v>0</v>
      </c>
      <c r="H5" s="12" t="s">
        <v>79</v>
      </c>
      <c r="I5" s="29">
        <v>47.582999999999998</v>
      </c>
      <c r="J5" s="29">
        <v>133.517</v>
      </c>
      <c r="K5" s="12" t="s">
        <v>797</v>
      </c>
      <c r="L5" s="12" t="s">
        <v>798</v>
      </c>
      <c r="M5" s="13" t="s">
        <v>37</v>
      </c>
      <c r="N5" s="14">
        <v>1.9</v>
      </c>
      <c r="O5" s="14">
        <v>600</v>
      </c>
      <c r="P5" s="14" t="s">
        <v>16</v>
      </c>
      <c r="Q5" s="11">
        <v>1</v>
      </c>
      <c r="R5" s="11" t="s">
        <v>37</v>
      </c>
      <c r="S5" s="12" t="s">
        <v>51</v>
      </c>
      <c r="T5" s="12" t="s">
        <v>37</v>
      </c>
      <c r="U5" s="12" t="s">
        <v>158</v>
      </c>
      <c r="V5" s="12" t="s">
        <v>274</v>
      </c>
      <c r="W5" s="23" t="s">
        <v>71</v>
      </c>
      <c r="X5" s="12" t="s">
        <v>283</v>
      </c>
      <c r="Y5" s="12" t="s">
        <v>72</v>
      </c>
      <c r="Z5" s="12" t="s">
        <v>37</v>
      </c>
      <c r="AA5" s="32" t="s">
        <v>488</v>
      </c>
      <c r="AB5" s="12" t="s">
        <v>37</v>
      </c>
      <c r="AC5" s="12" t="s">
        <v>37</v>
      </c>
      <c r="AD5" s="12" t="s">
        <v>373</v>
      </c>
      <c r="AE5" s="12" t="s">
        <v>74</v>
      </c>
      <c r="AF5" s="12" t="s">
        <v>489</v>
      </c>
      <c r="AG5" s="12"/>
      <c r="AH5" s="32"/>
      <c r="AI5" s="12" t="s">
        <v>37</v>
      </c>
      <c r="AJ5" s="12" t="s">
        <v>37</v>
      </c>
      <c r="AK5" s="11" t="s">
        <v>37</v>
      </c>
      <c r="AL5" s="19"/>
      <c r="AM5" s="12" t="s">
        <v>37</v>
      </c>
      <c r="AN5" s="12" t="s">
        <v>37</v>
      </c>
      <c r="AO5" s="13" t="s">
        <v>37</v>
      </c>
      <c r="AP5" s="19"/>
      <c r="AQ5" s="49"/>
      <c r="AR5" s="49"/>
      <c r="AS5" s="32"/>
      <c r="AT5" s="12" t="s">
        <v>37</v>
      </c>
      <c r="AU5" s="12" t="s">
        <v>37</v>
      </c>
      <c r="AV5" s="13" t="s">
        <v>37</v>
      </c>
      <c r="AW5" s="12" t="s">
        <v>37</v>
      </c>
      <c r="AX5" s="12" t="s">
        <v>37</v>
      </c>
      <c r="AY5" s="13" t="s">
        <v>37</v>
      </c>
      <c r="AZ5" s="13"/>
      <c r="BA5" s="13"/>
      <c r="BB5" s="12"/>
      <c r="BC5" s="12" t="s">
        <v>37</v>
      </c>
      <c r="BD5" s="12" t="s">
        <v>37</v>
      </c>
      <c r="BE5" s="13" t="s">
        <v>37</v>
      </c>
      <c r="BF5" s="12" t="s">
        <v>37</v>
      </c>
      <c r="BG5" s="12" t="s">
        <v>37</v>
      </c>
      <c r="BH5" s="12" t="s">
        <v>37</v>
      </c>
      <c r="BI5" s="12"/>
      <c r="BJ5" s="12" t="s">
        <v>37</v>
      </c>
      <c r="BK5" s="12" t="s">
        <v>37</v>
      </c>
      <c r="BL5" s="13" t="s">
        <v>37</v>
      </c>
      <c r="BM5" s="12" t="s">
        <v>37</v>
      </c>
      <c r="BN5" s="12" t="s">
        <v>37</v>
      </c>
      <c r="BO5" s="13" t="s">
        <v>37</v>
      </c>
      <c r="BP5" s="19"/>
      <c r="BQ5" s="19"/>
      <c r="BR5" s="19"/>
      <c r="BS5" s="19"/>
      <c r="BT5" s="12"/>
      <c r="BU5" s="12" t="s">
        <v>37</v>
      </c>
      <c r="BV5" s="12" t="s">
        <v>37</v>
      </c>
      <c r="BW5" s="13" t="s">
        <v>37</v>
      </c>
      <c r="BX5" s="12" t="s">
        <v>37</v>
      </c>
      <c r="BY5" s="12" t="s">
        <v>37</v>
      </c>
      <c r="BZ5" s="13" t="s">
        <v>37</v>
      </c>
      <c r="CA5" s="19"/>
      <c r="CB5" s="19"/>
      <c r="CC5" s="19"/>
      <c r="CD5" s="19"/>
      <c r="CE5" s="12"/>
      <c r="CF5" s="12" t="s">
        <v>37</v>
      </c>
      <c r="CG5" s="12" t="s">
        <v>37</v>
      </c>
      <c r="CH5" s="13" t="s">
        <v>37</v>
      </c>
      <c r="CI5" s="12" t="s">
        <v>37</v>
      </c>
      <c r="CJ5" s="12" t="s">
        <v>37</v>
      </c>
      <c r="CK5" s="13" t="s">
        <v>37</v>
      </c>
      <c r="CL5" s="19"/>
      <c r="CM5" s="19"/>
      <c r="CN5" s="19"/>
      <c r="CO5" s="19"/>
      <c r="CP5" s="15" t="s">
        <v>34</v>
      </c>
      <c r="CQ5" s="12">
        <v>4.6500000000000004</v>
      </c>
      <c r="CR5" s="19">
        <v>0.99</v>
      </c>
      <c r="CS5" s="13">
        <v>3</v>
      </c>
      <c r="CT5" s="52">
        <f t="shared" si="0"/>
        <v>0.2129032258064516</v>
      </c>
      <c r="CU5" s="12">
        <v>3.51</v>
      </c>
      <c r="CV5" s="19">
        <v>0.87</v>
      </c>
      <c r="CW5" s="13">
        <v>3</v>
      </c>
      <c r="CX5" s="52">
        <f t="shared" si="1"/>
        <v>0.24786324786324787</v>
      </c>
      <c r="CY5" s="68">
        <f t="shared" si="7"/>
        <v>-1.1400000000000006</v>
      </c>
      <c r="CZ5" s="12">
        <f t="shared" si="8"/>
        <v>0.93193347402054405</v>
      </c>
      <c r="DA5" s="72">
        <f t="shared" si="9"/>
        <v>0.57899999999999996</v>
      </c>
      <c r="DB5" s="72">
        <f t="shared" si="10"/>
        <v>0.57899999999999996</v>
      </c>
      <c r="DC5" s="19"/>
      <c r="DD5" s="15" t="s">
        <v>37</v>
      </c>
      <c r="DE5" s="67" t="s">
        <v>37</v>
      </c>
      <c r="DF5" s="15" t="s">
        <v>37</v>
      </c>
      <c r="DG5" s="52"/>
      <c r="DH5" s="15" t="s">
        <v>37</v>
      </c>
      <c r="DI5" s="67" t="s">
        <v>37</v>
      </c>
      <c r="DJ5" s="15" t="s">
        <v>37</v>
      </c>
      <c r="DK5" s="52"/>
      <c r="DL5" s="68"/>
      <c r="DM5" s="68"/>
      <c r="DN5" s="68"/>
      <c r="DO5" s="68"/>
      <c r="DP5" s="12" t="s">
        <v>39</v>
      </c>
      <c r="DQ5" s="12">
        <v>10</v>
      </c>
      <c r="DR5" s="60">
        <f>ABS(DQ5)*DT$61</f>
        <v>4.04</v>
      </c>
      <c r="DS5" s="13">
        <v>3</v>
      </c>
      <c r="DT5" s="19"/>
      <c r="DU5" s="12">
        <v>0</v>
      </c>
      <c r="DV5" s="60">
        <f>ABS(DU5)*DX$61</f>
        <v>0</v>
      </c>
      <c r="DW5" s="13">
        <v>3</v>
      </c>
      <c r="DX5" s="19"/>
      <c r="DY5" s="19">
        <f t="shared" si="11"/>
        <v>-10</v>
      </c>
      <c r="DZ5" s="12">
        <f t="shared" si="12"/>
        <v>2.8567113959936519</v>
      </c>
      <c r="EA5" s="72">
        <f t="shared" si="13"/>
        <v>5.4405333333333328</v>
      </c>
      <c r="EB5" s="72">
        <f t="shared" si="14"/>
        <v>5.4405333333333337</v>
      </c>
      <c r="EC5" s="12"/>
      <c r="ED5" s="12"/>
      <c r="EE5" s="11" t="s">
        <v>37</v>
      </c>
      <c r="EF5" s="11" t="s">
        <v>37</v>
      </c>
      <c r="EG5" s="11" t="s">
        <v>37</v>
      </c>
      <c r="EH5" s="19"/>
      <c r="EI5" s="12" t="s">
        <v>37</v>
      </c>
      <c r="EJ5" s="20" t="s">
        <v>37</v>
      </c>
      <c r="EK5" s="11" t="s">
        <v>37</v>
      </c>
      <c r="EL5" s="19"/>
      <c r="EM5" s="19"/>
      <c r="EN5" s="19"/>
      <c r="EO5" s="19"/>
      <c r="EP5" s="19"/>
      <c r="EQ5" s="32"/>
      <c r="ER5" s="11" t="s">
        <v>37</v>
      </c>
      <c r="ES5" s="11" t="s">
        <v>37</v>
      </c>
      <c r="ET5" s="11" t="s">
        <v>37</v>
      </c>
      <c r="EU5" s="19"/>
      <c r="EV5" s="13" t="s">
        <v>37</v>
      </c>
      <c r="EW5" s="11" t="s">
        <v>37</v>
      </c>
      <c r="EX5" s="11" t="s">
        <v>37</v>
      </c>
      <c r="EY5" s="19"/>
      <c r="EZ5" s="19"/>
      <c r="FA5" s="19"/>
      <c r="FB5" s="19"/>
      <c r="FC5" s="32"/>
      <c r="FD5" s="11" t="s">
        <v>37</v>
      </c>
      <c r="FE5" s="11" t="s">
        <v>37</v>
      </c>
      <c r="FF5" s="11" t="s">
        <v>37</v>
      </c>
      <c r="FG5" s="13" t="s">
        <v>37</v>
      </c>
      <c r="FH5" s="11" t="s">
        <v>37</v>
      </c>
      <c r="FI5" s="11" t="s">
        <v>37</v>
      </c>
      <c r="FJ5" s="19"/>
      <c r="FK5" s="19"/>
      <c r="FL5" s="19"/>
      <c r="FM5" s="32"/>
      <c r="FN5" s="11" t="s">
        <v>37</v>
      </c>
      <c r="FO5" s="11" t="s">
        <v>37</v>
      </c>
      <c r="FP5" s="11" t="s">
        <v>37</v>
      </c>
      <c r="FQ5" s="13" t="s">
        <v>37</v>
      </c>
      <c r="FR5" s="11" t="s">
        <v>37</v>
      </c>
      <c r="FS5" s="11" t="s">
        <v>37</v>
      </c>
      <c r="FT5" s="19"/>
      <c r="FU5" s="19"/>
      <c r="FV5" s="19"/>
      <c r="FW5" s="12"/>
      <c r="FX5" s="12"/>
      <c r="FY5" s="12" t="s">
        <v>37</v>
      </c>
      <c r="FZ5" s="12" t="s">
        <v>37</v>
      </c>
      <c r="GA5" s="13" t="s">
        <v>37</v>
      </c>
      <c r="GB5" s="12" t="s">
        <v>37</v>
      </c>
      <c r="GC5" s="12" t="s">
        <v>37</v>
      </c>
      <c r="GD5" s="13" t="s">
        <v>37</v>
      </c>
      <c r="GE5" s="19"/>
      <c r="GF5" s="19"/>
      <c r="GG5" s="12"/>
      <c r="GH5" s="12"/>
      <c r="GI5" s="12" t="s">
        <v>37</v>
      </c>
      <c r="GJ5" s="12" t="s">
        <v>37</v>
      </c>
      <c r="GK5" s="13" t="s">
        <v>37</v>
      </c>
      <c r="GL5" s="19"/>
      <c r="GM5" s="12" t="s">
        <v>37</v>
      </c>
      <c r="GN5" s="12" t="s">
        <v>37</v>
      </c>
      <c r="GO5" s="13" t="s">
        <v>37</v>
      </c>
      <c r="GP5" s="19"/>
      <c r="GQ5" s="19"/>
      <c r="GR5" s="19"/>
      <c r="GS5" s="17"/>
      <c r="GT5" s="34"/>
      <c r="GU5" s="12" t="s">
        <v>37</v>
      </c>
      <c r="GV5" s="12" t="s">
        <v>37</v>
      </c>
      <c r="GW5" s="12" t="s">
        <v>37</v>
      </c>
      <c r="GX5" s="19"/>
      <c r="GY5" s="12" t="s">
        <v>37</v>
      </c>
      <c r="GZ5" s="12" t="s">
        <v>37</v>
      </c>
      <c r="HA5" s="12" t="s">
        <v>37</v>
      </c>
      <c r="HB5" s="19"/>
      <c r="HC5" s="19"/>
      <c r="HD5" s="19"/>
      <c r="HE5" s="34"/>
      <c r="HF5" s="12" t="s">
        <v>37</v>
      </c>
      <c r="HG5" s="12" t="s">
        <v>37</v>
      </c>
      <c r="HH5" s="13" t="s">
        <v>37</v>
      </c>
      <c r="HI5" s="12" t="s">
        <v>37</v>
      </c>
      <c r="HJ5" s="12" t="s">
        <v>37</v>
      </c>
      <c r="HK5" s="13" t="s">
        <v>37</v>
      </c>
      <c r="HL5" s="13"/>
      <c r="HM5" s="13"/>
      <c r="HN5" s="34"/>
      <c r="HO5" s="12" t="s">
        <v>37</v>
      </c>
      <c r="HP5" s="12" t="s">
        <v>37</v>
      </c>
      <c r="HQ5" s="13" t="s">
        <v>37</v>
      </c>
      <c r="HR5" s="12" t="s">
        <v>37</v>
      </c>
      <c r="HS5" s="12" t="s">
        <v>37</v>
      </c>
      <c r="HT5" s="13" t="s">
        <v>37</v>
      </c>
      <c r="HU5" s="13"/>
      <c r="HV5" s="13"/>
      <c r="HW5" s="12"/>
      <c r="HX5" s="12"/>
      <c r="HY5" s="12" t="s">
        <v>37</v>
      </c>
      <c r="HZ5" s="12" t="s">
        <v>37</v>
      </c>
      <c r="IA5" s="13" t="s">
        <v>37</v>
      </c>
      <c r="IB5" s="12" t="s">
        <v>37</v>
      </c>
      <c r="IC5" s="12" t="s">
        <v>37</v>
      </c>
      <c r="ID5" s="13" t="s">
        <v>37</v>
      </c>
      <c r="IE5" s="12"/>
      <c r="IF5" s="32"/>
      <c r="IG5" s="12" t="s">
        <v>37</v>
      </c>
      <c r="IH5" s="12" t="s">
        <v>37</v>
      </c>
      <c r="II5" s="13" t="s">
        <v>37</v>
      </c>
      <c r="IJ5" s="19"/>
      <c r="IK5" s="12" t="s">
        <v>37</v>
      </c>
      <c r="IL5" s="12" t="s">
        <v>37</v>
      </c>
      <c r="IM5" s="13" t="s">
        <v>37</v>
      </c>
      <c r="IN5" s="19"/>
      <c r="IO5" s="19"/>
      <c r="IP5" s="19"/>
      <c r="IQ5" s="32"/>
      <c r="IR5" s="12" t="s">
        <v>37</v>
      </c>
      <c r="IS5" s="12" t="s">
        <v>37</v>
      </c>
      <c r="IT5" s="13" t="s">
        <v>37</v>
      </c>
      <c r="IU5" s="12" t="s">
        <v>37</v>
      </c>
      <c r="IV5" s="12" t="s">
        <v>37</v>
      </c>
      <c r="IW5" s="12" t="s">
        <v>37</v>
      </c>
      <c r="IX5" s="32"/>
      <c r="IY5" s="12" t="s">
        <v>37</v>
      </c>
      <c r="IZ5" s="12" t="s">
        <v>37</v>
      </c>
      <c r="JA5" s="13" t="s">
        <v>37</v>
      </c>
      <c r="JB5" s="12" t="s">
        <v>37</v>
      </c>
      <c r="JC5" s="12" t="s">
        <v>37</v>
      </c>
      <c r="JD5" s="12" t="s">
        <v>37</v>
      </c>
      <c r="JE5" s="12"/>
      <c r="JF5" s="12"/>
      <c r="JG5" s="12" t="s">
        <v>37</v>
      </c>
      <c r="JH5" s="12" t="s">
        <v>37</v>
      </c>
      <c r="JI5" s="13" t="s">
        <v>37</v>
      </c>
      <c r="JJ5" s="12" t="s">
        <v>37</v>
      </c>
      <c r="JK5" s="12" t="s">
        <v>37</v>
      </c>
      <c r="JL5" s="12" t="s">
        <v>37</v>
      </c>
      <c r="JM5" s="12"/>
      <c r="JN5" s="32"/>
      <c r="JO5" s="12" t="s">
        <v>37</v>
      </c>
      <c r="JP5" s="12" t="s">
        <v>37</v>
      </c>
      <c r="JQ5" s="11" t="s">
        <v>37</v>
      </c>
      <c r="JR5" s="19"/>
      <c r="JS5" s="12" t="s">
        <v>37</v>
      </c>
      <c r="JT5" s="12" t="s">
        <v>37</v>
      </c>
      <c r="JU5" s="13" t="s">
        <v>37</v>
      </c>
      <c r="JV5" s="19"/>
      <c r="JW5" s="19"/>
      <c r="JX5" s="19"/>
      <c r="JY5" s="32"/>
      <c r="JZ5" s="12" t="s">
        <v>37</v>
      </c>
      <c r="KA5" s="12" t="s">
        <v>37</v>
      </c>
      <c r="KB5" s="13" t="s">
        <v>37</v>
      </c>
      <c r="KC5" s="12" t="s">
        <v>37</v>
      </c>
      <c r="KD5" s="12" t="s">
        <v>37</v>
      </c>
      <c r="KE5" s="13" t="s">
        <v>37</v>
      </c>
      <c r="KF5" s="13"/>
      <c r="KG5" s="13"/>
      <c r="KH5" s="32"/>
      <c r="KI5" s="12" t="s">
        <v>37</v>
      </c>
      <c r="KJ5" s="12" t="s">
        <v>37</v>
      </c>
      <c r="KK5" s="12" t="s">
        <v>37</v>
      </c>
      <c r="KL5" s="12" t="s">
        <v>37</v>
      </c>
      <c r="KM5" s="12" t="s">
        <v>37</v>
      </c>
      <c r="KN5" s="12" t="s">
        <v>37</v>
      </c>
      <c r="KO5" s="12"/>
      <c r="KP5" s="12"/>
      <c r="KQ5" s="12"/>
      <c r="KR5" s="12"/>
      <c r="KS5" s="12" t="s">
        <v>37</v>
      </c>
      <c r="KT5" s="12" t="s">
        <v>37</v>
      </c>
      <c r="KU5" s="13" t="s">
        <v>37</v>
      </c>
      <c r="KV5" s="19"/>
      <c r="KW5" s="12" t="s">
        <v>37</v>
      </c>
      <c r="KX5" s="12" t="s">
        <v>37</v>
      </c>
      <c r="KY5" s="12" t="s">
        <v>37</v>
      </c>
      <c r="KZ5" s="19"/>
      <c r="LA5" s="19"/>
      <c r="LB5" s="19"/>
      <c r="LC5" s="12"/>
      <c r="LD5" s="12" t="s">
        <v>37</v>
      </c>
      <c r="LE5" s="12" t="s">
        <v>37</v>
      </c>
      <c r="LF5" s="12" t="s">
        <v>37</v>
      </c>
      <c r="LG5" s="19" t="str">
        <f t="shared" si="19"/>
        <v>/</v>
      </c>
      <c r="LH5" s="19" t="str">
        <f t="shared" si="20"/>
        <v>/</v>
      </c>
      <c r="LI5" s="13" t="str">
        <f t="shared" si="21"/>
        <v>/</v>
      </c>
      <c r="LJ5" s="13"/>
      <c r="LK5" s="13"/>
      <c r="LL5" s="12"/>
      <c r="LM5" s="12" t="s">
        <v>37</v>
      </c>
      <c r="LN5" s="12" t="s">
        <v>37</v>
      </c>
      <c r="LO5" s="12" t="s">
        <v>37</v>
      </c>
      <c r="LP5" s="12" t="s">
        <v>37</v>
      </c>
      <c r="LQ5" s="12" t="s">
        <v>37</v>
      </c>
      <c r="LR5" s="12" t="s">
        <v>37</v>
      </c>
      <c r="LS5" s="12"/>
      <c r="LT5" s="12"/>
      <c r="LU5" s="12" t="s">
        <v>37</v>
      </c>
      <c r="LV5" s="12" t="s">
        <v>37</v>
      </c>
      <c r="LW5" s="13" t="s">
        <v>37</v>
      </c>
      <c r="LX5" s="12" t="s">
        <v>37</v>
      </c>
      <c r="LY5" s="12" t="s">
        <v>37</v>
      </c>
      <c r="LZ5" s="13" t="s">
        <v>37</v>
      </c>
      <c r="MA5" s="13"/>
      <c r="MB5" s="13"/>
      <c r="MC5" s="12"/>
      <c r="MD5" s="12"/>
      <c r="ME5" s="12" t="s">
        <v>37</v>
      </c>
      <c r="MF5" s="12" t="s">
        <v>37</v>
      </c>
      <c r="MG5" s="13" t="s">
        <v>37</v>
      </c>
      <c r="MH5" s="12" t="s">
        <v>37</v>
      </c>
      <c r="MI5" s="12" t="s">
        <v>37</v>
      </c>
      <c r="MJ5" s="13" t="s">
        <v>37</v>
      </c>
      <c r="MK5" s="13"/>
      <c r="ML5" s="13"/>
      <c r="MM5" s="12" t="s">
        <v>45</v>
      </c>
      <c r="MN5" s="12" t="s">
        <v>339</v>
      </c>
      <c r="MO5" s="12">
        <v>420</v>
      </c>
      <c r="MP5" s="12">
        <v>57</v>
      </c>
      <c r="MQ5" s="13">
        <v>3</v>
      </c>
      <c r="MR5" s="12">
        <v>787</v>
      </c>
      <c r="MS5" s="12">
        <v>149</v>
      </c>
      <c r="MT5" s="13">
        <v>3</v>
      </c>
      <c r="MU5" s="19">
        <f t="shared" ref="MU5:MU8" si="28">LN(MR5/MO5)</f>
        <v>0.62797353713998927</v>
      </c>
      <c r="MV5" s="19">
        <f t="shared" ref="MV5:MV8" si="29">MS5^2/(MT5*MR5^2)+MP5^2/(MQ5*MO5^2)</f>
        <v>1.8087637453228542E-2</v>
      </c>
      <c r="MW5" s="12" t="s">
        <v>45</v>
      </c>
      <c r="MX5" s="12" t="s">
        <v>339</v>
      </c>
      <c r="MY5" s="12">
        <v>479</v>
      </c>
      <c r="MZ5" s="12">
        <v>98</v>
      </c>
      <c r="NA5" s="11">
        <v>3</v>
      </c>
      <c r="NB5" s="12">
        <v>592</v>
      </c>
      <c r="NC5" s="12">
        <v>103</v>
      </c>
      <c r="ND5" s="11">
        <v>3</v>
      </c>
      <c r="NE5" s="19">
        <f t="shared" ref="NE5:NE7" si="30">LN(NB5/MY5)</f>
        <v>0.21180603747309035</v>
      </c>
      <c r="NF5" s="19">
        <f t="shared" ref="NF5:NF8" si="31">NC5^2/(ND5*NB5^2)+MZ5^2/(NA5*MY5^2)</f>
        <v>2.4043184326382479E-2</v>
      </c>
      <c r="NG5" s="12"/>
      <c r="NH5" s="12"/>
      <c r="NI5" s="12" t="s">
        <v>37</v>
      </c>
      <c r="NJ5" s="12" t="s">
        <v>37</v>
      </c>
      <c r="NK5" s="13" t="s">
        <v>37</v>
      </c>
      <c r="NL5" s="12" t="s">
        <v>37</v>
      </c>
      <c r="NM5" s="12" t="s">
        <v>37</v>
      </c>
      <c r="NN5" s="13" t="s">
        <v>37</v>
      </c>
      <c r="NO5" s="13"/>
      <c r="NP5" s="13"/>
      <c r="NQ5" s="12"/>
      <c r="NR5" s="12"/>
      <c r="NS5" s="12" t="s">
        <v>37</v>
      </c>
      <c r="NT5" s="12" t="s">
        <v>37</v>
      </c>
      <c r="NU5" s="13" t="s">
        <v>37</v>
      </c>
      <c r="NV5" s="12" t="s">
        <v>37</v>
      </c>
      <c r="NW5" s="12" t="s">
        <v>37</v>
      </c>
      <c r="NX5" s="13" t="s">
        <v>37</v>
      </c>
      <c r="NY5" s="13"/>
      <c r="NZ5" s="13"/>
      <c r="OA5" s="12"/>
      <c r="OB5" s="12"/>
      <c r="OC5" s="12" t="s">
        <v>37</v>
      </c>
      <c r="OD5" s="12" t="s">
        <v>37</v>
      </c>
      <c r="OE5" s="13" t="s">
        <v>37</v>
      </c>
      <c r="OF5" s="12" t="s">
        <v>37</v>
      </c>
      <c r="OG5" s="12" t="s">
        <v>37</v>
      </c>
      <c r="OH5" s="13" t="s">
        <v>37</v>
      </c>
      <c r="OI5" s="13"/>
      <c r="OJ5" s="13"/>
      <c r="OK5" s="12"/>
      <c r="OL5" s="12" t="s">
        <v>37</v>
      </c>
      <c r="OM5" s="12" t="s">
        <v>37</v>
      </c>
      <c r="ON5" s="11" t="s">
        <v>37</v>
      </c>
      <c r="OO5" s="12" t="s">
        <v>37</v>
      </c>
      <c r="OP5" s="12" t="s">
        <v>37</v>
      </c>
      <c r="OQ5" s="12" t="s">
        <v>37</v>
      </c>
      <c r="OR5" s="12"/>
      <c r="OS5" s="12" t="s">
        <v>37</v>
      </c>
      <c r="OT5" s="12" t="s">
        <v>37</v>
      </c>
      <c r="OU5" s="12" t="s">
        <v>37</v>
      </c>
      <c r="OV5" s="12" t="s">
        <v>37</v>
      </c>
      <c r="OW5" s="12" t="s">
        <v>37</v>
      </c>
      <c r="OX5" s="12" t="s">
        <v>37</v>
      </c>
      <c r="OY5" s="12"/>
      <c r="OZ5" s="12"/>
      <c r="PA5" s="12" t="s">
        <v>37</v>
      </c>
      <c r="PB5" s="12" t="s">
        <v>37</v>
      </c>
      <c r="PC5" s="13" t="s">
        <v>37</v>
      </c>
      <c r="PD5" s="12" t="s">
        <v>37</v>
      </c>
      <c r="PE5" s="12" t="s">
        <v>37</v>
      </c>
      <c r="PF5" s="13" t="s">
        <v>37</v>
      </c>
      <c r="PG5" s="12"/>
      <c r="PH5" s="12"/>
      <c r="PI5" s="12" t="s">
        <v>37</v>
      </c>
      <c r="PJ5" s="12" t="s">
        <v>37</v>
      </c>
      <c r="PK5" s="13" t="s">
        <v>37</v>
      </c>
      <c r="PL5" s="12" t="s">
        <v>37</v>
      </c>
      <c r="PM5" s="12" t="s">
        <v>37</v>
      </c>
      <c r="PN5" s="13" t="s">
        <v>37</v>
      </c>
      <c r="PO5" s="12"/>
      <c r="PP5" s="12"/>
      <c r="PQ5" s="12" t="s">
        <v>37</v>
      </c>
      <c r="PR5" s="12" t="s">
        <v>37</v>
      </c>
      <c r="PS5" s="13" t="s">
        <v>37</v>
      </c>
      <c r="PT5" s="12" t="s">
        <v>37</v>
      </c>
      <c r="PU5" s="12" t="s">
        <v>37</v>
      </c>
      <c r="PV5" s="13" t="s">
        <v>37</v>
      </c>
      <c r="PW5" s="12"/>
      <c r="PX5" s="12"/>
      <c r="PY5" s="12" t="s">
        <v>37</v>
      </c>
      <c r="PZ5" s="12" t="s">
        <v>37</v>
      </c>
      <c r="QA5" s="11" t="s">
        <v>37</v>
      </c>
      <c r="QB5" s="12" t="s">
        <v>37</v>
      </c>
      <c r="QC5" s="12" t="s">
        <v>37</v>
      </c>
      <c r="QD5" s="11" t="s">
        <v>37</v>
      </c>
      <c r="QE5" s="12"/>
      <c r="QF5" s="12"/>
      <c r="QG5" s="12" t="s">
        <v>37</v>
      </c>
      <c r="QH5" s="12" t="s">
        <v>37</v>
      </c>
      <c r="QI5" s="13" t="s">
        <v>37</v>
      </c>
      <c r="QJ5" s="12" t="s">
        <v>37</v>
      </c>
      <c r="QK5" s="12" t="s">
        <v>37</v>
      </c>
      <c r="QL5" s="13" t="s">
        <v>37</v>
      </c>
      <c r="QM5" s="12"/>
      <c r="QN5" s="12"/>
      <c r="QO5" s="12" t="s">
        <v>37</v>
      </c>
      <c r="QP5" s="12" t="s">
        <v>37</v>
      </c>
      <c r="QQ5" s="13" t="s">
        <v>37</v>
      </c>
      <c r="QR5" s="12" t="s">
        <v>37</v>
      </c>
      <c r="QS5" s="12" t="s">
        <v>37</v>
      </c>
      <c r="QT5" s="13" t="s">
        <v>37</v>
      </c>
      <c r="QU5" s="13"/>
      <c r="QV5" s="13"/>
      <c r="QW5" s="12"/>
      <c r="QX5" s="12"/>
      <c r="QY5" s="12" t="s">
        <v>37</v>
      </c>
      <c r="QZ5" s="12" t="s">
        <v>37</v>
      </c>
      <c r="RA5" s="12" t="s">
        <v>37</v>
      </c>
      <c r="RB5" s="12" t="s">
        <v>37</v>
      </c>
      <c r="RC5" s="12" t="s">
        <v>37</v>
      </c>
      <c r="RD5" s="12" t="s">
        <v>37</v>
      </c>
      <c r="RE5" s="12"/>
      <c r="RF5" s="12"/>
      <c r="RG5" s="12"/>
      <c r="RH5" s="12"/>
      <c r="RI5" s="12" t="s">
        <v>37</v>
      </c>
      <c r="RJ5" s="12" t="s">
        <v>37</v>
      </c>
      <c r="RK5" s="12" t="s">
        <v>37</v>
      </c>
      <c r="RL5" s="12" t="s">
        <v>37</v>
      </c>
      <c r="RM5" s="12" t="s">
        <v>37</v>
      </c>
      <c r="RN5" s="12" t="s">
        <v>37</v>
      </c>
      <c r="RO5" s="12"/>
      <c r="RP5" s="12"/>
      <c r="RQ5" s="12"/>
      <c r="RR5" s="12"/>
      <c r="RS5" s="12" t="s">
        <v>37</v>
      </c>
      <c r="RT5" s="12" t="s">
        <v>37</v>
      </c>
      <c r="RU5" s="12" t="s">
        <v>37</v>
      </c>
      <c r="RV5" s="12" t="s">
        <v>37</v>
      </c>
      <c r="RW5" s="12" t="s">
        <v>37</v>
      </c>
      <c r="RX5" s="12" t="s">
        <v>37</v>
      </c>
      <c r="RY5" s="12"/>
      <c r="RZ5" s="12"/>
      <c r="SA5" s="12"/>
      <c r="SB5" s="12"/>
      <c r="SC5" s="12" t="s">
        <v>37</v>
      </c>
      <c r="SD5" s="12" t="s">
        <v>37</v>
      </c>
      <c r="SE5" s="12" t="s">
        <v>37</v>
      </c>
      <c r="SF5" s="12" t="s">
        <v>37</v>
      </c>
      <c r="SG5" s="12" t="s">
        <v>37</v>
      </c>
      <c r="SH5" s="12" t="s">
        <v>37</v>
      </c>
      <c r="SI5" s="12"/>
      <c r="SJ5" s="12"/>
      <c r="SK5" s="12"/>
      <c r="SL5" s="12"/>
      <c r="SM5" s="12" t="s">
        <v>37</v>
      </c>
      <c r="SN5" s="12" t="s">
        <v>37</v>
      </c>
      <c r="SO5" s="13" t="s">
        <v>37</v>
      </c>
      <c r="SP5" s="12" t="s">
        <v>37</v>
      </c>
      <c r="SQ5" s="12" t="s">
        <v>37</v>
      </c>
      <c r="SR5" s="13" t="s">
        <v>37</v>
      </c>
      <c r="SS5" s="13"/>
      <c r="ST5" s="13"/>
      <c r="SU5" s="12"/>
      <c r="SV5" s="12"/>
      <c r="SW5" s="12" t="s">
        <v>37</v>
      </c>
      <c r="SX5" s="12" t="s">
        <v>37</v>
      </c>
      <c r="SY5" s="13" t="s">
        <v>37</v>
      </c>
      <c r="SZ5" s="12" t="s">
        <v>37</v>
      </c>
      <c r="TA5" s="12" t="s">
        <v>37</v>
      </c>
      <c r="TB5" s="13" t="s">
        <v>37</v>
      </c>
      <c r="TC5" s="13"/>
      <c r="TD5" s="13"/>
      <c r="TE5" s="12" t="s">
        <v>37</v>
      </c>
      <c r="TF5" s="12"/>
      <c r="TG5" s="12" t="s">
        <v>37</v>
      </c>
      <c r="TH5" s="12" t="s">
        <v>37</v>
      </c>
      <c r="TI5" s="12" t="s">
        <v>37</v>
      </c>
      <c r="TJ5" s="12" t="s">
        <v>37</v>
      </c>
      <c r="TK5" s="12" t="s">
        <v>37</v>
      </c>
      <c r="TL5" s="12" t="s">
        <v>37</v>
      </c>
      <c r="TM5" s="12"/>
      <c r="TN5" s="12"/>
      <c r="TO5" s="12"/>
      <c r="TP5" s="12"/>
      <c r="TQ5" s="13" t="s">
        <v>37</v>
      </c>
      <c r="TR5" s="13" t="s">
        <v>37</v>
      </c>
      <c r="TS5" s="13" t="s">
        <v>37</v>
      </c>
      <c r="TT5" s="19"/>
      <c r="TU5" s="13" t="s">
        <v>37</v>
      </c>
      <c r="TV5" s="13" t="s">
        <v>37</v>
      </c>
      <c r="TW5" s="13" t="s">
        <v>37</v>
      </c>
    </row>
    <row r="6" spans="1:546" ht="15.6" x14ac:dyDescent="0.3">
      <c r="A6" s="11">
        <v>3</v>
      </c>
      <c r="B6" s="16" t="s">
        <v>70</v>
      </c>
      <c r="C6" s="12" t="s">
        <v>32</v>
      </c>
      <c r="D6" s="12" t="s">
        <v>609</v>
      </c>
      <c r="E6" s="14" t="s">
        <v>37</v>
      </c>
      <c r="F6" s="14">
        <v>0</v>
      </c>
      <c r="G6" s="14">
        <v>0</v>
      </c>
      <c r="H6" s="12" t="s">
        <v>79</v>
      </c>
      <c r="I6" s="29">
        <v>47.582999999999998</v>
      </c>
      <c r="J6" s="29">
        <v>133.517</v>
      </c>
      <c r="K6" s="12" t="s">
        <v>797</v>
      </c>
      <c r="L6" s="12" t="s">
        <v>798</v>
      </c>
      <c r="M6" s="13" t="s">
        <v>37</v>
      </c>
      <c r="N6" s="14">
        <v>1.9</v>
      </c>
      <c r="O6" s="14">
        <v>600</v>
      </c>
      <c r="P6" s="14" t="s">
        <v>16</v>
      </c>
      <c r="Q6" s="11">
        <v>1</v>
      </c>
      <c r="R6" s="11" t="s">
        <v>37</v>
      </c>
      <c r="S6" s="12" t="s">
        <v>51</v>
      </c>
      <c r="T6" s="12" t="s">
        <v>37</v>
      </c>
      <c r="U6" s="12" t="s">
        <v>158</v>
      </c>
      <c r="V6" s="12" t="s">
        <v>274</v>
      </c>
      <c r="W6" s="23" t="s">
        <v>71</v>
      </c>
      <c r="X6" s="12" t="s">
        <v>283</v>
      </c>
      <c r="Y6" s="12" t="s">
        <v>72</v>
      </c>
      <c r="Z6" s="12" t="s">
        <v>37</v>
      </c>
      <c r="AA6" s="32" t="s">
        <v>488</v>
      </c>
      <c r="AB6" s="12" t="s">
        <v>37</v>
      </c>
      <c r="AC6" s="12" t="s">
        <v>37</v>
      </c>
      <c r="AD6" s="12" t="s">
        <v>373</v>
      </c>
      <c r="AE6" s="12" t="s">
        <v>74</v>
      </c>
      <c r="AF6" s="12" t="s">
        <v>489</v>
      </c>
      <c r="AG6" s="12"/>
      <c r="AH6" s="32"/>
      <c r="AI6" s="12" t="s">
        <v>37</v>
      </c>
      <c r="AJ6" s="12" t="s">
        <v>37</v>
      </c>
      <c r="AK6" s="11" t="s">
        <v>37</v>
      </c>
      <c r="AL6" s="19"/>
      <c r="AM6" s="12" t="s">
        <v>37</v>
      </c>
      <c r="AN6" s="12" t="s">
        <v>37</v>
      </c>
      <c r="AO6" s="13" t="s">
        <v>37</v>
      </c>
      <c r="AP6" s="19"/>
      <c r="AQ6" s="49"/>
      <c r="AR6" s="49"/>
      <c r="AS6" s="32"/>
      <c r="AT6" s="12" t="s">
        <v>37</v>
      </c>
      <c r="AU6" s="12" t="s">
        <v>37</v>
      </c>
      <c r="AV6" s="13" t="s">
        <v>37</v>
      </c>
      <c r="AW6" s="12" t="s">
        <v>37</v>
      </c>
      <c r="AX6" s="12" t="s">
        <v>37</v>
      </c>
      <c r="AY6" s="13" t="s">
        <v>37</v>
      </c>
      <c r="AZ6" s="13"/>
      <c r="BA6" s="13"/>
      <c r="BB6" s="12"/>
      <c r="BC6" s="12" t="s">
        <v>37</v>
      </c>
      <c r="BD6" s="12" t="s">
        <v>37</v>
      </c>
      <c r="BE6" s="13" t="s">
        <v>37</v>
      </c>
      <c r="BF6" s="12" t="s">
        <v>37</v>
      </c>
      <c r="BG6" s="12" t="s">
        <v>37</v>
      </c>
      <c r="BH6" s="12" t="s">
        <v>37</v>
      </c>
      <c r="BI6" s="12"/>
      <c r="BJ6" s="12" t="s">
        <v>37</v>
      </c>
      <c r="BK6" s="12" t="s">
        <v>37</v>
      </c>
      <c r="BL6" s="13" t="s">
        <v>37</v>
      </c>
      <c r="BM6" s="12" t="s">
        <v>37</v>
      </c>
      <c r="BN6" s="12" t="s">
        <v>37</v>
      </c>
      <c r="BO6" s="13" t="s">
        <v>37</v>
      </c>
      <c r="BP6" s="19"/>
      <c r="BQ6" s="19"/>
      <c r="BR6" s="19"/>
      <c r="BS6" s="19"/>
      <c r="BT6" s="12"/>
      <c r="BU6" s="12" t="s">
        <v>37</v>
      </c>
      <c r="BV6" s="12" t="s">
        <v>37</v>
      </c>
      <c r="BW6" s="13" t="s">
        <v>37</v>
      </c>
      <c r="BX6" s="12" t="s">
        <v>37</v>
      </c>
      <c r="BY6" s="12" t="s">
        <v>37</v>
      </c>
      <c r="BZ6" s="13" t="s">
        <v>37</v>
      </c>
      <c r="CA6" s="19"/>
      <c r="CB6" s="19"/>
      <c r="CC6" s="19"/>
      <c r="CD6" s="19"/>
      <c r="CE6" s="12"/>
      <c r="CF6" s="12" t="s">
        <v>37</v>
      </c>
      <c r="CG6" s="12" t="s">
        <v>37</v>
      </c>
      <c r="CH6" s="13" t="s">
        <v>37</v>
      </c>
      <c r="CI6" s="12" t="s">
        <v>37</v>
      </c>
      <c r="CJ6" s="12" t="s">
        <v>37</v>
      </c>
      <c r="CK6" s="13" t="s">
        <v>37</v>
      </c>
      <c r="CL6" s="19"/>
      <c r="CM6" s="19"/>
      <c r="CN6" s="19"/>
      <c r="CO6" s="19"/>
      <c r="CP6" s="15" t="s">
        <v>34</v>
      </c>
      <c r="CQ6" s="12">
        <v>4.6500000000000004</v>
      </c>
      <c r="CR6" s="19">
        <v>0.99</v>
      </c>
      <c r="CS6" s="13">
        <v>3</v>
      </c>
      <c r="CT6" s="52">
        <f t="shared" si="0"/>
        <v>0.2129032258064516</v>
      </c>
      <c r="CU6" s="12">
        <v>1.54</v>
      </c>
      <c r="CV6" s="19">
        <v>0.22</v>
      </c>
      <c r="CW6" s="13">
        <v>3</v>
      </c>
      <c r="CX6" s="52">
        <f t="shared" si="1"/>
        <v>0.14285714285714285</v>
      </c>
      <c r="CY6" s="68">
        <f t="shared" si="7"/>
        <v>-3.1100000000000003</v>
      </c>
      <c r="CZ6" s="12">
        <f t="shared" si="8"/>
        <v>0.71711226457229138</v>
      </c>
      <c r="DA6" s="72">
        <f t="shared" si="9"/>
        <v>0.34283333333333332</v>
      </c>
      <c r="DB6" s="72">
        <f t="shared" si="10"/>
        <v>0.34283333333333332</v>
      </c>
      <c r="DC6" s="19"/>
      <c r="DD6" s="15" t="s">
        <v>37</v>
      </c>
      <c r="DE6" s="67" t="s">
        <v>37</v>
      </c>
      <c r="DF6" s="15" t="s">
        <v>37</v>
      </c>
      <c r="DG6" s="52"/>
      <c r="DH6" s="15" t="s">
        <v>37</v>
      </c>
      <c r="DI6" s="67" t="s">
        <v>37</v>
      </c>
      <c r="DJ6" s="15" t="s">
        <v>37</v>
      </c>
      <c r="DK6" s="52"/>
      <c r="DL6" s="68"/>
      <c r="DM6" s="68"/>
      <c r="DN6" s="68"/>
      <c r="DO6" s="68"/>
      <c r="DP6" s="12" t="s">
        <v>39</v>
      </c>
      <c r="DQ6" s="12">
        <v>10</v>
      </c>
      <c r="DR6" s="60">
        <f t="shared" ref="DR6:DR11" si="32">ABS(DQ6)*DT$61</f>
        <v>4.04</v>
      </c>
      <c r="DS6" s="13">
        <v>3</v>
      </c>
      <c r="DT6" s="19"/>
      <c r="DU6" s="12">
        <v>-5</v>
      </c>
      <c r="DV6" s="60">
        <f t="shared" ref="DV6:DV10" si="33">ABS(DU6)*DX$61</f>
        <v>1.7280638123520611</v>
      </c>
      <c r="DW6" s="13">
        <v>3</v>
      </c>
      <c r="DX6" s="19"/>
      <c r="DY6" s="19">
        <f t="shared" si="11"/>
        <v>-15</v>
      </c>
      <c r="DZ6" s="12">
        <f t="shared" si="12"/>
        <v>3.1070729424621444</v>
      </c>
      <c r="EA6" s="72">
        <f t="shared" si="13"/>
        <v>6.4359348465202455</v>
      </c>
      <c r="EB6" s="72">
        <f t="shared" si="14"/>
        <v>6.4359348465202473</v>
      </c>
      <c r="EC6" s="12"/>
      <c r="ED6" s="12"/>
      <c r="EE6" s="11" t="s">
        <v>37</v>
      </c>
      <c r="EF6" s="11" t="s">
        <v>37</v>
      </c>
      <c r="EG6" s="11" t="s">
        <v>37</v>
      </c>
      <c r="EH6" s="19"/>
      <c r="EI6" s="12" t="s">
        <v>37</v>
      </c>
      <c r="EJ6" s="20" t="s">
        <v>37</v>
      </c>
      <c r="EK6" s="11" t="s">
        <v>37</v>
      </c>
      <c r="EL6" s="19"/>
      <c r="EM6" s="19"/>
      <c r="EN6" s="19"/>
      <c r="EO6" s="19"/>
      <c r="EP6" s="19"/>
      <c r="EQ6" s="32"/>
      <c r="ER6" s="11" t="s">
        <v>37</v>
      </c>
      <c r="ES6" s="11" t="s">
        <v>37</v>
      </c>
      <c r="ET6" s="11" t="s">
        <v>37</v>
      </c>
      <c r="EU6" s="19"/>
      <c r="EV6" s="13" t="s">
        <v>37</v>
      </c>
      <c r="EW6" s="11" t="s">
        <v>37</v>
      </c>
      <c r="EX6" s="11" t="s">
        <v>37</v>
      </c>
      <c r="EY6" s="19"/>
      <c r="EZ6" s="19"/>
      <c r="FA6" s="19"/>
      <c r="FB6" s="19"/>
      <c r="FC6" s="32"/>
      <c r="FD6" s="11" t="s">
        <v>37</v>
      </c>
      <c r="FE6" s="11" t="s">
        <v>37</v>
      </c>
      <c r="FF6" s="11" t="s">
        <v>37</v>
      </c>
      <c r="FG6" s="13" t="s">
        <v>37</v>
      </c>
      <c r="FH6" s="11" t="s">
        <v>37</v>
      </c>
      <c r="FI6" s="11" t="s">
        <v>37</v>
      </c>
      <c r="FJ6" s="19"/>
      <c r="FK6" s="19"/>
      <c r="FL6" s="19"/>
      <c r="FM6" s="32"/>
      <c r="FN6" s="11" t="s">
        <v>37</v>
      </c>
      <c r="FO6" s="11" t="s">
        <v>37</v>
      </c>
      <c r="FP6" s="11" t="s">
        <v>37</v>
      </c>
      <c r="FQ6" s="13" t="s">
        <v>37</v>
      </c>
      <c r="FR6" s="11" t="s">
        <v>37</v>
      </c>
      <c r="FS6" s="11" t="s">
        <v>37</v>
      </c>
      <c r="FT6" s="19"/>
      <c r="FU6" s="19"/>
      <c r="FV6" s="19"/>
      <c r="FW6" s="12"/>
      <c r="FX6" s="12"/>
      <c r="FY6" s="12" t="s">
        <v>37</v>
      </c>
      <c r="FZ6" s="12" t="s">
        <v>37</v>
      </c>
      <c r="GA6" s="13" t="s">
        <v>37</v>
      </c>
      <c r="GB6" s="12" t="s">
        <v>37</v>
      </c>
      <c r="GC6" s="12" t="s">
        <v>37</v>
      </c>
      <c r="GD6" s="13" t="s">
        <v>37</v>
      </c>
      <c r="GE6" s="19"/>
      <c r="GF6" s="19"/>
      <c r="GG6" s="12"/>
      <c r="GH6" s="12"/>
      <c r="GI6" s="12" t="s">
        <v>37</v>
      </c>
      <c r="GJ6" s="12" t="s">
        <v>37</v>
      </c>
      <c r="GK6" s="13" t="s">
        <v>37</v>
      </c>
      <c r="GL6" s="19"/>
      <c r="GM6" s="12" t="s">
        <v>37</v>
      </c>
      <c r="GN6" s="12" t="s">
        <v>37</v>
      </c>
      <c r="GO6" s="13" t="s">
        <v>37</v>
      </c>
      <c r="GP6" s="19"/>
      <c r="GQ6" s="19"/>
      <c r="GR6" s="19"/>
      <c r="GS6" s="17"/>
      <c r="GT6" s="34"/>
      <c r="GU6" s="12" t="s">
        <v>37</v>
      </c>
      <c r="GV6" s="12" t="s">
        <v>37</v>
      </c>
      <c r="GW6" s="12" t="s">
        <v>37</v>
      </c>
      <c r="GX6" s="19"/>
      <c r="GY6" s="12" t="s">
        <v>37</v>
      </c>
      <c r="GZ6" s="12" t="s">
        <v>37</v>
      </c>
      <c r="HA6" s="12" t="s">
        <v>37</v>
      </c>
      <c r="HB6" s="19"/>
      <c r="HC6" s="19"/>
      <c r="HD6" s="19"/>
      <c r="HE6" s="34"/>
      <c r="HF6" s="12" t="s">
        <v>37</v>
      </c>
      <c r="HG6" s="12" t="s">
        <v>37</v>
      </c>
      <c r="HH6" s="13" t="s">
        <v>37</v>
      </c>
      <c r="HI6" s="12" t="s">
        <v>37</v>
      </c>
      <c r="HJ6" s="12" t="s">
        <v>37</v>
      </c>
      <c r="HK6" s="13" t="s">
        <v>37</v>
      </c>
      <c r="HL6" s="13"/>
      <c r="HM6" s="13"/>
      <c r="HN6" s="34"/>
      <c r="HO6" s="12" t="s">
        <v>37</v>
      </c>
      <c r="HP6" s="12" t="s">
        <v>37</v>
      </c>
      <c r="HQ6" s="13" t="s">
        <v>37</v>
      </c>
      <c r="HR6" s="12" t="s">
        <v>37</v>
      </c>
      <c r="HS6" s="12" t="s">
        <v>37</v>
      </c>
      <c r="HT6" s="13" t="s">
        <v>37</v>
      </c>
      <c r="HU6" s="13"/>
      <c r="HV6" s="13"/>
      <c r="HW6" s="12"/>
      <c r="HX6" s="12"/>
      <c r="HY6" s="12" t="s">
        <v>37</v>
      </c>
      <c r="HZ6" s="12" t="s">
        <v>37</v>
      </c>
      <c r="IA6" s="13" t="s">
        <v>37</v>
      </c>
      <c r="IB6" s="12" t="s">
        <v>37</v>
      </c>
      <c r="IC6" s="12" t="s">
        <v>37</v>
      </c>
      <c r="ID6" s="13" t="s">
        <v>37</v>
      </c>
      <c r="IE6" s="12"/>
      <c r="IF6" s="32"/>
      <c r="IG6" s="12" t="s">
        <v>37</v>
      </c>
      <c r="IH6" s="12" t="s">
        <v>37</v>
      </c>
      <c r="II6" s="13" t="s">
        <v>37</v>
      </c>
      <c r="IJ6" s="19"/>
      <c r="IK6" s="12" t="s">
        <v>37</v>
      </c>
      <c r="IL6" s="12" t="s">
        <v>37</v>
      </c>
      <c r="IM6" s="13" t="s">
        <v>37</v>
      </c>
      <c r="IN6" s="19"/>
      <c r="IO6" s="19"/>
      <c r="IP6" s="19"/>
      <c r="IQ6" s="32"/>
      <c r="IR6" s="12" t="s">
        <v>37</v>
      </c>
      <c r="IS6" s="12" t="s">
        <v>37</v>
      </c>
      <c r="IT6" s="13" t="s">
        <v>37</v>
      </c>
      <c r="IU6" s="12" t="s">
        <v>37</v>
      </c>
      <c r="IV6" s="12" t="s">
        <v>37</v>
      </c>
      <c r="IW6" s="12" t="s">
        <v>37</v>
      </c>
      <c r="IX6" s="32"/>
      <c r="IY6" s="12" t="s">
        <v>37</v>
      </c>
      <c r="IZ6" s="12" t="s">
        <v>37</v>
      </c>
      <c r="JA6" s="13" t="s">
        <v>37</v>
      </c>
      <c r="JB6" s="12" t="s">
        <v>37</v>
      </c>
      <c r="JC6" s="12" t="s">
        <v>37</v>
      </c>
      <c r="JD6" s="12" t="s">
        <v>37</v>
      </c>
      <c r="JE6" s="12"/>
      <c r="JF6" s="12"/>
      <c r="JG6" s="12" t="s">
        <v>37</v>
      </c>
      <c r="JH6" s="12" t="s">
        <v>37</v>
      </c>
      <c r="JI6" s="13" t="s">
        <v>37</v>
      </c>
      <c r="JJ6" s="12" t="s">
        <v>37</v>
      </c>
      <c r="JK6" s="12" t="s">
        <v>37</v>
      </c>
      <c r="JL6" s="12" t="s">
        <v>37</v>
      </c>
      <c r="JM6" s="12"/>
      <c r="JN6" s="32"/>
      <c r="JO6" s="12" t="s">
        <v>37</v>
      </c>
      <c r="JP6" s="12" t="s">
        <v>37</v>
      </c>
      <c r="JQ6" s="11" t="s">
        <v>37</v>
      </c>
      <c r="JR6" s="19"/>
      <c r="JS6" s="12" t="s">
        <v>37</v>
      </c>
      <c r="JT6" s="12" t="s">
        <v>37</v>
      </c>
      <c r="JU6" s="13" t="s">
        <v>37</v>
      </c>
      <c r="JV6" s="19"/>
      <c r="JW6" s="19"/>
      <c r="JX6" s="19"/>
      <c r="JY6" s="32"/>
      <c r="JZ6" s="12" t="s">
        <v>37</v>
      </c>
      <c r="KA6" s="12" t="s">
        <v>37</v>
      </c>
      <c r="KB6" s="13" t="s">
        <v>37</v>
      </c>
      <c r="KC6" s="12" t="s">
        <v>37</v>
      </c>
      <c r="KD6" s="12" t="s">
        <v>37</v>
      </c>
      <c r="KE6" s="13" t="s">
        <v>37</v>
      </c>
      <c r="KF6" s="13"/>
      <c r="KG6" s="13"/>
      <c r="KH6" s="32"/>
      <c r="KI6" s="12" t="s">
        <v>37</v>
      </c>
      <c r="KJ6" s="12" t="s">
        <v>37</v>
      </c>
      <c r="KK6" s="12" t="s">
        <v>37</v>
      </c>
      <c r="KL6" s="12" t="s">
        <v>37</v>
      </c>
      <c r="KM6" s="12" t="s">
        <v>37</v>
      </c>
      <c r="KN6" s="12" t="s">
        <v>37</v>
      </c>
      <c r="KO6" s="12"/>
      <c r="KP6" s="12"/>
      <c r="KQ6" s="12"/>
      <c r="KR6" s="12"/>
      <c r="KS6" s="12" t="s">
        <v>37</v>
      </c>
      <c r="KT6" s="12" t="s">
        <v>37</v>
      </c>
      <c r="KU6" s="13" t="s">
        <v>37</v>
      </c>
      <c r="KV6" s="19"/>
      <c r="KW6" s="12" t="s">
        <v>37</v>
      </c>
      <c r="KX6" s="12" t="s">
        <v>37</v>
      </c>
      <c r="KY6" s="12" t="s">
        <v>37</v>
      </c>
      <c r="KZ6" s="19"/>
      <c r="LA6" s="19"/>
      <c r="LB6" s="19"/>
      <c r="LC6" s="12"/>
      <c r="LD6" s="12" t="s">
        <v>37</v>
      </c>
      <c r="LE6" s="12" t="s">
        <v>37</v>
      </c>
      <c r="LF6" s="12" t="s">
        <v>37</v>
      </c>
      <c r="LG6" s="19" t="str">
        <f t="shared" si="19"/>
        <v>/</v>
      </c>
      <c r="LH6" s="19" t="str">
        <f t="shared" si="20"/>
        <v>/</v>
      </c>
      <c r="LI6" s="13" t="str">
        <f t="shared" si="21"/>
        <v>/</v>
      </c>
      <c r="LJ6" s="13"/>
      <c r="LK6" s="13"/>
      <c r="LL6" s="12"/>
      <c r="LM6" s="12" t="s">
        <v>37</v>
      </c>
      <c r="LN6" s="12" t="s">
        <v>37</v>
      </c>
      <c r="LO6" s="12" t="s">
        <v>37</v>
      </c>
      <c r="LP6" s="12" t="s">
        <v>37</v>
      </c>
      <c r="LQ6" s="12" t="s">
        <v>37</v>
      </c>
      <c r="LR6" s="12" t="s">
        <v>37</v>
      </c>
      <c r="LS6" s="12"/>
      <c r="LT6" s="12"/>
      <c r="LU6" s="12" t="s">
        <v>37</v>
      </c>
      <c r="LV6" s="12" t="s">
        <v>37</v>
      </c>
      <c r="LW6" s="13" t="s">
        <v>37</v>
      </c>
      <c r="LX6" s="12" t="s">
        <v>37</v>
      </c>
      <c r="LY6" s="12" t="s">
        <v>37</v>
      </c>
      <c r="LZ6" s="13" t="s">
        <v>37</v>
      </c>
      <c r="MA6" s="13"/>
      <c r="MB6" s="13"/>
      <c r="MC6" s="12"/>
      <c r="MD6" s="12"/>
      <c r="ME6" s="12" t="s">
        <v>37</v>
      </c>
      <c r="MF6" s="12" t="s">
        <v>37</v>
      </c>
      <c r="MG6" s="13" t="s">
        <v>37</v>
      </c>
      <c r="MH6" s="12" t="s">
        <v>37</v>
      </c>
      <c r="MI6" s="12" t="s">
        <v>37</v>
      </c>
      <c r="MJ6" s="13" t="s">
        <v>37</v>
      </c>
      <c r="MK6" s="13"/>
      <c r="ML6" s="13"/>
      <c r="MM6" s="12" t="s">
        <v>45</v>
      </c>
      <c r="MN6" s="12" t="s">
        <v>339</v>
      </c>
      <c r="MO6" s="12">
        <v>420</v>
      </c>
      <c r="MP6" s="12">
        <v>57</v>
      </c>
      <c r="MQ6" s="13">
        <v>3</v>
      </c>
      <c r="MR6" s="12">
        <v>615</v>
      </c>
      <c r="MS6" s="12">
        <v>207</v>
      </c>
      <c r="MT6" s="13">
        <v>3</v>
      </c>
      <c r="MU6" s="19">
        <f t="shared" si="28"/>
        <v>0.38136755652910381</v>
      </c>
      <c r="MV6" s="19">
        <f t="shared" si="29"/>
        <v>4.3902691951259981E-2</v>
      </c>
      <c r="MW6" s="12" t="s">
        <v>45</v>
      </c>
      <c r="MX6" s="12" t="s">
        <v>339</v>
      </c>
      <c r="MY6" s="12">
        <v>479</v>
      </c>
      <c r="MZ6" s="12">
        <v>98</v>
      </c>
      <c r="NA6" s="11">
        <v>3</v>
      </c>
      <c r="NB6" s="12">
        <v>638</v>
      </c>
      <c r="NC6" s="12">
        <v>130</v>
      </c>
      <c r="ND6" s="11">
        <v>3</v>
      </c>
      <c r="NE6" s="19">
        <f t="shared" si="30"/>
        <v>0.28663768593387468</v>
      </c>
      <c r="NF6" s="19">
        <f t="shared" si="31"/>
        <v>2.7792369499309369E-2</v>
      </c>
      <c r="NG6" s="12"/>
      <c r="NH6" s="12"/>
      <c r="NI6" s="12" t="s">
        <v>37</v>
      </c>
      <c r="NJ6" s="12" t="s">
        <v>37</v>
      </c>
      <c r="NK6" s="13" t="s">
        <v>37</v>
      </c>
      <c r="NL6" s="12" t="s">
        <v>37</v>
      </c>
      <c r="NM6" s="12" t="s">
        <v>37</v>
      </c>
      <c r="NN6" s="13" t="s">
        <v>37</v>
      </c>
      <c r="NO6" s="13"/>
      <c r="NP6" s="13"/>
      <c r="NQ6" s="12"/>
      <c r="NR6" s="12"/>
      <c r="NS6" s="12" t="s">
        <v>37</v>
      </c>
      <c r="NT6" s="12" t="s">
        <v>37</v>
      </c>
      <c r="NU6" s="13" t="s">
        <v>37</v>
      </c>
      <c r="NV6" s="12" t="s">
        <v>37</v>
      </c>
      <c r="NW6" s="12" t="s">
        <v>37</v>
      </c>
      <c r="NX6" s="13" t="s">
        <v>37</v>
      </c>
      <c r="NY6" s="13"/>
      <c r="NZ6" s="13"/>
      <c r="OA6" s="12"/>
      <c r="OB6" s="12"/>
      <c r="OC6" s="12" t="s">
        <v>37</v>
      </c>
      <c r="OD6" s="12" t="s">
        <v>37</v>
      </c>
      <c r="OE6" s="13" t="s">
        <v>37</v>
      </c>
      <c r="OF6" s="12" t="s">
        <v>37</v>
      </c>
      <c r="OG6" s="12" t="s">
        <v>37</v>
      </c>
      <c r="OH6" s="13" t="s">
        <v>37</v>
      </c>
      <c r="OI6" s="13"/>
      <c r="OJ6" s="13"/>
      <c r="OK6" s="12"/>
      <c r="OL6" s="12" t="s">
        <v>37</v>
      </c>
      <c r="OM6" s="12" t="s">
        <v>37</v>
      </c>
      <c r="ON6" s="11" t="s">
        <v>37</v>
      </c>
      <c r="OO6" s="12" t="s">
        <v>37</v>
      </c>
      <c r="OP6" s="12" t="s">
        <v>37</v>
      </c>
      <c r="OQ6" s="12" t="s">
        <v>37</v>
      </c>
      <c r="OR6" s="12"/>
      <c r="OS6" s="12" t="s">
        <v>37</v>
      </c>
      <c r="OT6" s="12" t="s">
        <v>37</v>
      </c>
      <c r="OU6" s="12" t="s">
        <v>37</v>
      </c>
      <c r="OV6" s="12" t="s">
        <v>37</v>
      </c>
      <c r="OW6" s="12" t="s">
        <v>37</v>
      </c>
      <c r="OX6" s="12" t="s">
        <v>37</v>
      </c>
      <c r="OY6" s="12"/>
      <c r="OZ6" s="12"/>
      <c r="PA6" s="12" t="s">
        <v>37</v>
      </c>
      <c r="PB6" s="12" t="s">
        <v>37</v>
      </c>
      <c r="PC6" s="13" t="s">
        <v>37</v>
      </c>
      <c r="PD6" s="12" t="s">
        <v>37</v>
      </c>
      <c r="PE6" s="12" t="s">
        <v>37</v>
      </c>
      <c r="PF6" s="13" t="s">
        <v>37</v>
      </c>
      <c r="PG6" s="12"/>
      <c r="PH6" s="12"/>
      <c r="PI6" s="12" t="s">
        <v>37</v>
      </c>
      <c r="PJ6" s="12" t="s">
        <v>37</v>
      </c>
      <c r="PK6" s="13" t="s">
        <v>37</v>
      </c>
      <c r="PL6" s="12" t="s">
        <v>37</v>
      </c>
      <c r="PM6" s="12" t="s">
        <v>37</v>
      </c>
      <c r="PN6" s="13" t="s">
        <v>37</v>
      </c>
      <c r="PO6" s="12"/>
      <c r="PP6" s="12"/>
      <c r="PQ6" s="12" t="s">
        <v>37</v>
      </c>
      <c r="PR6" s="12" t="s">
        <v>37</v>
      </c>
      <c r="PS6" s="13" t="s">
        <v>37</v>
      </c>
      <c r="PT6" s="12" t="s">
        <v>37</v>
      </c>
      <c r="PU6" s="12" t="s">
        <v>37</v>
      </c>
      <c r="PV6" s="13" t="s">
        <v>37</v>
      </c>
      <c r="PW6" s="12"/>
      <c r="PX6" s="12"/>
      <c r="PY6" s="12" t="s">
        <v>37</v>
      </c>
      <c r="PZ6" s="12" t="s">
        <v>37</v>
      </c>
      <c r="QA6" s="11" t="s">
        <v>37</v>
      </c>
      <c r="QB6" s="12" t="s">
        <v>37</v>
      </c>
      <c r="QC6" s="12" t="s">
        <v>37</v>
      </c>
      <c r="QD6" s="11" t="s">
        <v>37</v>
      </c>
      <c r="QE6" s="12"/>
      <c r="QF6" s="12"/>
      <c r="QG6" s="12" t="s">
        <v>37</v>
      </c>
      <c r="QH6" s="12" t="s">
        <v>37</v>
      </c>
      <c r="QI6" s="13" t="s">
        <v>37</v>
      </c>
      <c r="QJ6" s="12" t="s">
        <v>37</v>
      </c>
      <c r="QK6" s="12" t="s">
        <v>37</v>
      </c>
      <c r="QL6" s="13" t="s">
        <v>37</v>
      </c>
      <c r="QM6" s="12"/>
      <c r="QN6" s="12"/>
      <c r="QO6" s="12" t="s">
        <v>37</v>
      </c>
      <c r="QP6" s="12" t="s">
        <v>37</v>
      </c>
      <c r="QQ6" s="13" t="s">
        <v>37</v>
      </c>
      <c r="QR6" s="12" t="s">
        <v>37</v>
      </c>
      <c r="QS6" s="12" t="s">
        <v>37</v>
      </c>
      <c r="QT6" s="13" t="s">
        <v>37</v>
      </c>
      <c r="QU6" s="13"/>
      <c r="QV6" s="13"/>
      <c r="QW6" s="12"/>
      <c r="QX6" s="12"/>
      <c r="QY6" s="12" t="s">
        <v>37</v>
      </c>
      <c r="QZ6" s="12" t="s">
        <v>37</v>
      </c>
      <c r="RA6" s="12" t="s">
        <v>37</v>
      </c>
      <c r="RB6" s="12" t="s">
        <v>37</v>
      </c>
      <c r="RC6" s="12" t="s">
        <v>37</v>
      </c>
      <c r="RD6" s="12" t="s">
        <v>37</v>
      </c>
      <c r="RE6" s="12"/>
      <c r="RF6" s="12"/>
      <c r="RG6" s="12"/>
      <c r="RH6" s="12"/>
      <c r="RI6" s="12" t="s">
        <v>37</v>
      </c>
      <c r="RJ6" s="12" t="s">
        <v>37</v>
      </c>
      <c r="RK6" s="12" t="s">
        <v>37</v>
      </c>
      <c r="RL6" s="12" t="s">
        <v>37</v>
      </c>
      <c r="RM6" s="12" t="s">
        <v>37</v>
      </c>
      <c r="RN6" s="12" t="s">
        <v>37</v>
      </c>
      <c r="RO6" s="12"/>
      <c r="RP6" s="12"/>
      <c r="RQ6" s="12"/>
      <c r="RR6" s="12"/>
      <c r="RS6" s="12" t="s">
        <v>37</v>
      </c>
      <c r="RT6" s="12" t="s">
        <v>37</v>
      </c>
      <c r="RU6" s="12" t="s">
        <v>37</v>
      </c>
      <c r="RV6" s="12" t="s">
        <v>37</v>
      </c>
      <c r="RW6" s="12" t="s">
        <v>37</v>
      </c>
      <c r="RX6" s="12" t="s">
        <v>37</v>
      </c>
      <c r="RY6" s="12"/>
      <c r="RZ6" s="12"/>
      <c r="SA6" s="12"/>
      <c r="SB6" s="12"/>
      <c r="SC6" s="12" t="s">
        <v>37</v>
      </c>
      <c r="SD6" s="12" t="s">
        <v>37</v>
      </c>
      <c r="SE6" s="12" t="s">
        <v>37</v>
      </c>
      <c r="SF6" s="12" t="s">
        <v>37</v>
      </c>
      <c r="SG6" s="12" t="s">
        <v>37</v>
      </c>
      <c r="SH6" s="12" t="s">
        <v>37</v>
      </c>
      <c r="SI6" s="12"/>
      <c r="SJ6" s="12"/>
      <c r="SK6" s="12"/>
      <c r="SL6" s="12"/>
      <c r="SM6" s="12" t="s">
        <v>37</v>
      </c>
      <c r="SN6" s="12" t="s">
        <v>37</v>
      </c>
      <c r="SO6" s="13" t="s">
        <v>37</v>
      </c>
      <c r="SP6" s="12" t="s">
        <v>37</v>
      </c>
      <c r="SQ6" s="12" t="s">
        <v>37</v>
      </c>
      <c r="SR6" s="13" t="s">
        <v>37</v>
      </c>
      <c r="SS6" s="13"/>
      <c r="ST6" s="13"/>
      <c r="SU6" s="12"/>
      <c r="SV6" s="12"/>
      <c r="SW6" s="12" t="s">
        <v>37</v>
      </c>
      <c r="SX6" s="12" t="s">
        <v>37</v>
      </c>
      <c r="SY6" s="13" t="s">
        <v>37</v>
      </c>
      <c r="SZ6" s="12" t="s">
        <v>37</v>
      </c>
      <c r="TA6" s="12" t="s">
        <v>37</v>
      </c>
      <c r="TB6" s="13" t="s">
        <v>37</v>
      </c>
      <c r="TC6" s="13"/>
      <c r="TD6" s="13"/>
      <c r="TE6" s="12" t="s">
        <v>37</v>
      </c>
      <c r="TF6" s="12"/>
      <c r="TG6" s="12" t="s">
        <v>37</v>
      </c>
      <c r="TH6" s="12" t="s">
        <v>37</v>
      </c>
      <c r="TI6" s="12" t="s">
        <v>37</v>
      </c>
      <c r="TJ6" s="12" t="s">
        <v>37</v>
      </c>
      <c r="TK6" s="12" t="s">
        <v>37</v>
      </c>
      <c r="TL6" s="12" t="s">
        <v>37</v>
      </c>
      <c r="TM6" s="12"/>
      <c r="TN6" s="12"/>
      <c r="TO6" s="12"/>
      <c r="TP6" s="12"/>
      <c r="TQ6" s="13" t="s">
        <v>37</v>
      </c>
      <c r="TR6" s="13" t="s">
        <v>37</v>
      </c>
      <c r="TS6" s="13" t="s">
        <v>37</v>
      </c>
      <c r="TT6" s="19"/>
      <c r="TU6" s="13" t="s">
        <v>37</v>
      </c>
      <c r="TV6" s="13" t="s">
        <v>37</v>
      </c>
      <c r="TW6" s="13" t="s">
        <v>37</v>
      </c>
    </row>
    <row r="7" spans="1:546" ht="15.6" x14ac:dyDescent="0.3">
      <c r="A7" s="11">
        <v>3</v>
      </c>
      <c r="B7" s="16" t="s">
        <v>70</v>
      </c>
      <c r="C7" s="12" t="s">
        <v>31</v>
      </c>
      <c r="D7" s="12" t="s">
        <v>609</v>
      </c>
      <c r="E7" s="14" t="s">
        <v>37</v>
      </c>
      <c r="F7" s="14">
        <v>0</v>
      </c>
      <c r="G7" s="14">
        <v>0</v>
      </c>
      <c r="H7" s="12" t="s">
        <v>79</v>
      </c>
      <c r="I7" s="29">
        <v>47.582999999999998</v>
      </c>
      <c r="J7" s="29">
        <v>133.517</v>
      </c>
      <c r="K7" s="12" t="s">
        <v>797</v>
      </c>
      <c r="L7" s="12" t="s">
        <v>798</v>
      </c>
      <c r="M7" s="13" t="s">
        <v>37</v>
      </c>
      <c r="N7" s="14">
        <v>1.9</v>
      </c>
      <c r="O7" s="14">
        <v>600</v>
      </c>
      <c r="P7" s="14" t="s">
        <v>16</v>
      </c>
      <c r="Q7" s="11">
        <v>1</v>
      </c>
      <c r="R7" s="11" t="s">
        <v>37</v>
      </c>
      <c r="S7" s="12" t="s">
        <v>51</v>
      </c>
      <c r="T7" s="12" t="s">
        <v>37</v>
      </c>
      <c r="U7" s="12" t="s">
        <v>158</v>
      </c>
      <c r="V7" s="12" t="s">
        <v>274</v>
      </c>
      <c r="W7" s="23" t="s">
        <v>71</v>
      </c>
      <c r="X7" s="12" t="s">
        <v>283</v>
      </c>
      <c r="Y7" s="12" t="s">
        <v>72</v>
      </c>
      <c r="Z7" s="12" t="s">
        <v>37</v>
      </c>
      <c r="AA7" s="32" t="s">
        <v>488</v>
      </c>
      <c r="AB7" s="12" t="s">
        <v>37</v>
      </c>
      <c r="AC7" s="12" t="s">
        <v>37</v>
      </c>
      <c r="AD7" s="12" t="s">
        <v>373</v>
      </c>
      <c r="AE7" s="12" t="s">
        <v>74</v>
      </c>
      <c r="AF7" s="12" t="s">
        <v>489</v>
      </c>
      <c r="AG7" s="12"/>
      <c r="AH7" s="32"/>
      <c r="AI7" s="12" t="s">
        <v>37</v>
      </c>
      <c r="AJ7" s="12" t="s">
        <v>37</v>
      </c>
      <c r="AK7" s="11" t="s">
        <v>37</v>
      </c>
      <c r="AL7" s="19"/>
      <c r="AM7" s="12" t="s">
        <v>37</v>
      </c>
      <c r="AN7" s="12" t="s">
        <v>37</v>
      </c>
      <c r="AO7" s="13" t="s">
        <v>37</v>
      </c>
      <c r="AP7" s="19"/>
      <c r="AQ7" s="49"/>
      <c r="AR7" s="49"/>
      <c r="AS7" s="32"/>
      <c r="AT7" s="12" t="s">
        <v>37</v>
      </c>
      <c r="AU7" s="12" t="s">
        <v>37</v>
      </c>
      <c r="AV7" s="13" t="s">
        <v>37</v>
      </c>
      <c r="AW7" s="12" t="s">
        <v>37</v>
      </c>
      <c r="AX7" s="12" t="s">
        <v>37</v>
      </c>
      <c r="AY7" s="13" t="s">
        <v>37</v>
      </c>
      <c r="AZ7" s="13"/>
      <c r="BA7" s="13"/>
      <c r="BB7" s="12"/>
      <c r="BC7" s="12" t="s">
        <v>37</v>
      </c>
      <c r="BD7" s="12" t="s">
        <v>37</v>
      </c>
      <c r="BE7" s="13" t="s">
        <v>37</v>
      </c>
      <c r="BF7" s="12" t="s">
        <v>37</v>
      </c>
      <c r="BG7" s="12" t="s">
        <v>37</v>
      </c>
      <c r="BH7" s="12" t="s">
        <v>37</v>
      </c>
      <c r="BI7" s="12"/>
      <c r="BJ7" s="12" t="s">
        <v>37</v>
      </c>
      <c r="BK7" s="12" t="s">
        <v>37</v>
      </c>
      <c r="BL7" s="13" t="s">
        <v>37</v>
      </c>
      <c r="BM7" s="12" t="s">
        <v>37</v>
      </c>
      <c r="BN7" s="12" t="s">
        <v>37</v>
      </c>
      <c r="BO7" s="13" t="s">
        <v>37</v>
      </c>
      <c r="BP7" s="19"/>
      <c r="BQ7" s="19"/>
      <c r="BR7" s="19"/>
      <c r="BS7" s="19"/>
      <c r="BT7" s="12"/>
      <c r="BU7" s="12" t="s">
        <v>37</v>
      </c>
      <c r="BV7" s="12" t="s">
        <v>37</v>
      </c>
      <c r="BW7" s="13" t="s">
        <v>37</v>
      </c>
      <c r="BX7" s="12" t="s">
        <v>37</v>
      </c>
      <c r="BY7" s="12" t="s">
        <v>37</v>
      </c>
      <c r="BZ7" s="13" t="s">
        <v>37</v>
      </c>
      <c r="CA7" s="19"/>
      <c r="CB7" s="19"/>
      <c r="CC7" s="19"/>
      <c r="CD7" s="19"/>
      <c r="CE7" s="12"/>
      <c r="CF7" s="12" t="s">
        <v>37</v>
      </c>
      <c r="CG7" s="12" t="s">
        <v>37</v>
      </c>
      <c r="CH7" s="13" t="s">
        <v>37</v>
      </c>
      <c r="CI7" s="12" t="s">
        <v>37</v>
      </c>
      <c r="CJ7" s="12" t="s">
        <v>37</v>
      </c>
      <c r="CK7" s="13" t="s">
        <v>37</v>
      </c>
      <c r="CL7" s="19"/>
      <c r="CM7" s="19"/>
      <c r="CN7" s="19"/>
      <c r="CO7" s="19"/>
      <c r="CP7" s="15" t="s">
        <v>34</v>
      </c>
      <c r="CQ7" s="12">
        <v>5.36</v>
      </c>
      <c r="CR7" s="19">
        <v>1.18</v>
      </c>
      <c r="CS7" s="13">
        <v>3</v>
      </c>
      <c r="CT7" s="52">
        <f t="shared" si="0"/>
        <v>0.22014925373134325</v>
      </c>
      <c r="CU7" s="12">
        <v>3.51</v>
      </c>
      <c r="CV7" s="19">
        <v>0.87</v>
      </c>
      <c r="CW7" s="13">
        <v>3</v>
      </c>
      <c r="CX7" s="52">
        <f t="shared" si="1"/>
        <v>0.24786324786324787</v>
      </c>
      <c r="CY7" s="68">
        <f t="shared" si="7"/>
        <v>-1.8500000000000005</v>
      </c>
      <c r="CZ7" s="12">
        <f t="shared" si="8"/>
        <v>1.0366532689380765</v>
      </c>
      <c r="DA7" s="72">
        <f t="shared" si="9"/>
        <v>0.71643333333333326</v>
      </c>
      <c r="DB7" s="72">
        <f t="shared" si="10"/>
        <v>0.71643333333333326</v>
      </c>
      <c r="DC7" s="19"/>
      <c r="DD7" s="15" t="s">
        <v>37</v>
      </c>
      <c r="DE7" s="67" t="s">
        <v>37</v>
      </c>
      <c r="DF7" s="15" t="s">
        <v>37</v>
      </c>
      <c r="DG7" s="52"/>
      <c r="DH7" s="15" t="s">
        <v>37</v>
      </c>
      <c r="DI7" s="67" t="s">
        <v>37</v>
      </c>
      <c r="DJ7" s="15" t="s">
        <v>37</v>
      </c>
      <c r="DK7" s="52"/>
      <c r="DL7" s="68"/>
      <c r="DM7" s="68"/>
      <c r="DN7" s="68"/>
      <c r="DO7" s="68"/>
      <c r="DP7" s="12" t="s">
        <v>39</v>
      </c>
      <c r="DQ7" s="12">
        <v>5</v>
      </c>
      <c r="DR7" s="60">
        <f t="shared" si="32"/>
        <v>2.02</v>
      </c>
      <c r="DS7" s="13">
        <v>3</v>
      </c>
      <c r="DT7" s="19"/>
      <c r="DU7" s="12">
        <v>0</v>
      </c>
      <c r="DV7" s="60">
        <f t="shared" si="33"/>
        <v>0</v>
      </c>
      <c r="DW7" s="13">
        <v>3</v>
      </c>
      <c r="DX7" s="19"/>
      <c r="DY7" s="19">
        <f t="shared" si="11"/>
        <v>-5</v>
      </c>
      <c r="DZ7" s="12">
        <f t="shared" si="12"/>
        <v>1.4283556979968259</v>
      </c>
      <c r="EA7" s="72">
        <f t="shared" si="13"/>
        <v>1.3601333333333332</v>
      </c>
      <c r="EB7" s="72">
        <f t="shared" si="14"/>
        <v>1.3601333333333334</v>
      </c>
      <c r="EC7" s="12"/>
      <c r="ED7" s="12"/>
      <c r="EE7" s="11" t="s">
        <v>37</v>
      </c>
      <c r="EF7" s="11" t="s">
        <v>37</v>
      </c>
      <c r="EG7" s="11" t="s">
        <v>37</v>
      </c>
      <c r="EH7" s="19"/>
      <c r="EI7" s="12" t="s">
        <v>37</v>
      </c>
      <c r="EJ7" s="20" t="s">
        <v>37</v>
      </c>
      <c r="EK7" s="11" t="s">
        <v>37</v>
      </c>
      <c r="EL7" s="19"/>
      <c r="EM7" s="19"/>
      <c r="EN7" s="19"/>
      <c r="EO7" s="19"/>
      <c r="EP7" s="19"/>
      <c r="EQ7" s="32"/>
      <c r="ER7" s="11" t="s">
        <v>37</v>
      </c>
      <c r="ES7" s="11" t="s">
        <v>37</v>
      </c>
      <c r="ET7" s="11" t="s">
        <v>37</v>
      </c>
      <c r="EU7" s="19"/>
      <c r="EV7" s="13" t="s">
        <v>37</v>
      </c>
      <c r="EW7" s="11" t="s">
        <v>37</v>
      </c>
      <c r="EX7" s="11" t="s">
        <v>37</v>
      </c>
      <c r="EY7" s="19"/>
      <c r="EZ7" s="19"/>
      <c r="FA7" s="19"/>
      <c r="FB7" s="19"/>
      <c r="FC7" s="32"/>
      <c r="FD7" s="11" t="s">
        <v>37</v>
      </c>
      <c r="FE7" s="11" t="s">
        <v>37</v>
      </c>
      <c r="FF7" s="11" t="s">
        <v>37</v>
      </c>
      <c r="FG7" s="13" t="s">
        <v>37</v>
      </c>
      <c r="FH7" s="11" t="s">
        <v>37</v>
      </c>
      <c r="FI7" s="11" t="s">
        <v>37</v>
      </c>
      <c r="FJ7" s="19"/>
      <c r="FK7" s="19"/>
      <c r="FL7" s="19"/>
      <c r="FM7" s="32"/>
      <c r="FN7" s="11" t="s">
        <v>37</v>
      </c>
      <c r="FO7" s="11" t="s">
        <v>37</v>
      </c>
      <c r="FP7" s="11" t="s">
        <v>37</v>
      </c>
      <c r="FQ7" s="13" t="s">
        <v>37</v>
      </c>
      <c r="FR7" s="11" t="s">
        <v>37</v>
      </c>
      <c r="FS7" s="11" t="s">
        <v>37</v>
      </c>
      <c r="FT7" s="19"/>
      <c r="FU7" s="19"/>
      <c r="FV7" s="19"/>
      <c r="FW7" s="12"/>
      <c r="FX7" s="12"/>
      <c r="FY7" s="12" t="s">
        <v>37</v>
      </c>
      <c r="FZ7" s="12" t="s">
        <v>37</v>
      </c>
      <c r="GA7" s="13" t="s">
        <v>37</v>
      </c>
      <c r="GB7" s="12" t="s">
        <v>37</v>
      </c>
      <c r="GC7" s="12" t="s">
        <v>37</v>
      </c>
      <c r="GD7" s="13" t="s">
        <v>37</v>
      </c>
      <c r="GE7" s="19"/>
      <c r="GF7" s="19"/>
      <c r="GG7" s="12"/>
      <c r="GH7" s="12"/>
      <c r="GI7" s="12" t="s">
        <v>37</v>
      </c>
      <c r="GJ7" s="12" t="s">
        <v>37</v>
      </c>
      <c r="GK7" s="13" t="s">
        <v>37</v>
      </c>
      <c r="GL7" s="19"/>
      <c r="GM7" s="12" t="s">
        <v>37</v>
      </c>
      <c r="GN7" s="12" t="s">
        <v>37</v>
      </c>
      <c r="GO7" s="13" t="s">
        <v>37</v>
      </c>
      <c r="GP7" s="19"/>
      <c r="GQ7" s="19"/>
      <c r="GR7" s="19"/>
      <c r="GS7" s="17"/>
      <c r="GT7" s="34"/>
      <c r="GU7" s="12" t="s">
        <v>37</v>
      </c>
      <c r="GV7" s="12" t="s">
        <v>37</v>
      </c>
      <c r="GW7" s="12" t="s">
        <v>37</v>
      </c>
      <c r="GX7" s="19"/>
      <c r="GY7" s="12" t="s">
        <v>37</v>
      </c>
      <c r="GZ7" s="12" t="s">
        <v>37</v>
      </c>
      <c r="HA7" s="12" t="s">
        <v>37</v>
      </c>
      <c r="HB7" s="19"/>
      <c r="HC7" s="19"/>
      <c r="HD7" s="19"/>
      <c r="HE7" s="34"/>
      <c r="HF7" s="12" t="s">
        <v>37</v>
      </c>
      <c r="HG7" s="12" t="s">
        <v>37</v>
      </c>
      <c r="HH7" s="13" t="s">
        <v>37</v>
      </c>
      <c r="HI7" s="12" t="s">
        <v>37</v>
      </c>
      <c r="HJ7" s="12" t="s">
        <v>37</v>
      </c>
      <c r="HK7" s="13" t="s">
        <v>37</v>
      </c>
      <c r="HL7" s="13"/>
      <c r="HM7" s="13"/>
      <c r="HN7" s="34"/>
      <c r="HO7" s="12" t="s">
        <v>37</v>
      </c>
      <c r="HP7" s="12" t="s">
        <v>37</v>
      </c>
      <c r="HQ7" s="13" t="s">
        <v>37</v>
      </c>
      <c r="HR7" s="12" t="s">
        <v>37</v>
      </c>
      <c r="HS7" s="12" t="s">
        <v>37</v>
      </c>
      <c r="HT7" s="13" t="s">
        <v>37</v>
      </c>
      <c r="HU7" s="13"/>
      <c r="HV7" s="13"/>
      <c r="HW7" s="12"/>
      <c r="HX7" s="12"/>
      <c r="HY7" s="12" t="s">
        <v>37</v>
      </c>
      <c r="HZ7" s="12" t="s">
        <v>37</v>
      </c>
      <c r="IA7" s="13" t="s">
        <v>37</v>
      </c>
      <c r="IB7" s="12" t="s">
        <v>37</v>
      </c>
      <c r="IC7" s="12" t="s">
        <v>37</v>
      </c>
      <c r="ID7" s="13" t="s">
        <v>37</v>
      </c>
      <c r="IE7" s="12"/>
      <c r="IF7" s="32"/>
      <c r="IG7" s="12" t="s">
        <v>37</v>
      </c>
      <c r="IH7" s="12" t="s">
        <v>37</v>
      </c>
      <c r="II7" s="13" t="s">
        <v>37</v>
      </c>
      <c r="IJ7" s="19"/>
      <c r="IK7" s="12" t="s">
        <v>37</v>
      </c>
      <c r="IL7" s="12" t="s">
        <v>37</v>
      </c>
      <c r="IM7" s="13" t="s">
        <v>37</v>
      </c>
      <c r="IN7" s="19"/>
      <c r="IO7" s="19"/>
      <c r="IP7" s="19"/>
      <c r="IQ7" s="32"/>
      <c r="IR7" s="12" t="s">
        <v>37</v>
      </c>
      <c r="IS7" s="12" t="s">
        <v>37</v>
      </c>
      <c r="IT7" s="13" t="s">
        <v>37</v>
      </c>
      <c r="IU7" s="12" t="s">
        <v>37</v>
      </c>
      <c r="IV7" s="12" t="s">
        <v>37</v>
      </c>
      <c r="IW7" s="12" t="s">
        <v>37</v>
      </c>
      <c r="IX7" s="32"/>
      <c r="IY7" s="12" t="s">
        <v>37</v>
      </c>
      <c r="IZ7" s="12" t="s">
        <v>37</v>
      </c>
      <c r="JA7" s="13" t="s">
        <v>37</v>
      </c>
      <c r="JB7" s="12" t="s">
        <v>37</v>
      </c>
      <c r="JC7" s="12" t="s">
        <v>37</v>
      </c>
      <c r="JD7" s="12" t="s">
        <v>37</v>
      </c>
      <c r="JE7" s="12"/>
      <c r="JF7" s="12"/>
      <c r="JG7" s="12" t="s">
        <v>37</v>
      </c>
      <c r="JH7" s="12" t="s">
        <v>37</v>
      </c>
      <c r="JI7" s="13" t="s">
        <v>37</v>
      </c>
      <c r="JJ7" s="12" t="s">
        <v>37</v>
      </c>
      <c r="JK7" s="12" t="s">
        <v>37</v>
      </c>
      <c r="JL7" s="12" t="s">
        <v>37</v>
      </c>
      <c r="JM7" s="12"/>
      <c r="JN7" s="32"/>
      <c r="JO7" s="12" t="s">
        <v>37</v>
      </c>
      <c r="JP7" s="12" t="s">
        <v>37</v>
      </c>
      <c r="JQ7" s="11" t="s">
        <v>37</v>
      </c>
      <c r="JR7" s="19"/>
      <c r="JS7" s="12" t="s">
        <v>37</v>
      </c>
      <c r="JT7" s="12" t="s">
        <v>37</v>
      </c>
      <c r="JU7" s="13" t="s">
        <v>37</v>
      </c>
      <c r="JV7" s="19"/>
      <c r="JW7" s="19"/>
      <c r="JX7" s="19"/>
      <c r="JY7" s="32"/>
      <c r="JZ7" s="12" t="s">
        <v>37</v>
      </c>
      <c r="KA7" s="12" t="s">
        <v>37</v>
      </c>
      <c r="KB7" s="13" t="s">
        <v>37</v>
      </c>
      <c r="KC7" s="12" t="s">
        <v>37</v>
      </c>
      <c r="KD7" s="12" t="s">
        <v>37</v>
      </c>
      <c r="KE7" s="13" t="s">
        <v>37</v>
      </c>
      <c r="KF7" s="13"/>
      <c r="KG7" s="13"/>
      <c r="KH7" s="32"/>
      <c r="KI7" s="12" t="s">
        <v>37</v>
      </c>
      <c r="KJ7" s="12" t="s">
        <v>37</v>
      </c>
      <c r="KK7" s="12" t="s">
        <v>37</v>
      </c>
      <c r="KL7" s="12" t="s">
        <v>37</v>
      </c>
      <c r="KM7" s="12" t="s">
        <v>37</v>
      </c>
      <c r="KN7" s="12" t="s">
        <v>37</v>
      </c>
      <c r="KO7" s="12"/>
      <c r="KP7" s="12"/>
      <c r="KQ7" s="12"/>
      <c r="KR7" s="12"/>
      <c r="KS7" s="12" t="s">
        <v>37</v>
      </c>
      <c r="KT7" s="12" t="s">
        <v>37</v>
      </c>
      <c r="KU7" s="13" t="s">
        <v>37</v>
      </c>
      <c r="KV7" s="19"/>
      <c r="KW7" s="12" t="s">
        <v>37</v>
      </c>
      <c r="KX7" s="12" t="s">
        <v>37</v>
      </c>
      <c r="KY7" s="12" t="s">
        <v>37</v>
      </c>
      <c r="KZ7" s="19"/>
      <c r="LA7" s="19"/>
      <c r="LB7" s="19"/>
      <c r="LC7" s="12"/>
      <c r="LD7" s="12" t="s">
        <v>37</v>
      </c>
      <c r="LE7" s="12" t="s">
        <v>37</v>
      </c>
      <c r="LF7" s="12" t="s">
        <v>37</v>
      </c>
      <c r="LG7" s="19" t="str">
        <f t="shared" si="19"/>
        <v>/</v>
      </c>
      <c r="LH7" s="19" t="str">
        <f t="shared" si="20"/>
        <v>/</v>
      </c>
      <c r="LI7" s="13" t="str">
        <f t="shared" si="21"/>
        <v>/</v>
      </c>
      <c r="LJ7" s="13"/>
      <c r="LK7" s="13"/>
      <c r="LL7" s="12"/>
      <c r="LM7" s="12" t="s">
        <v>37</v>
      </c>
      <c r="LN7" s="12" t="s">
        <v>37</v>
      </c>
      <c r="LO7" s="12" t="s">
        <v>37</v>
      </c>
      <c r="LP7" s="12" t="s">
        <v>37</v>
      </c>
      <c r="LQ7" s="12" t="s">
        <v>37</v>
      </c>
      <c r="LR7" s="12" t="s">
        <v>37</v>
      </c>
      <c r="LS7" s="12"/>
      <c r="LT7" s="12"/>
      <c r="LU7" s="12" t="s">
        <v>37</v>
      </c>
      <c r="LV7" s="12" t="s">
        <v>37</v>
      </c>
      <c r="LW7" s="13" t="s">
        <v>37</v>
      </c>
      <c r="LX7" s="12" t="s">
        <v>37</v>
      </c>
      <c r="LY7" s="12" t="s">
        <v>37</v>
      </c>
      <c r="LZ7" s="13" t="s">
        <v>37</v>
      </c>
      <c r="MA7" s="13"/>
      <c r="MB7" s="13"/>
      <c r="MC7" s="12"/>
      <c r="MD7" s="12"/>
      <c r="ME7" s="12" t="s">
        <v>37</v>
      </c>
      <c r="MF7" s="12" t="s">
        <v>37</v>
      </c>
      <c r="MG7" s="13" t="s">
        <v>37</v>
      </c>
      <c r="MH7" s="12" t="s">
        <v>37</v>
      </c>
      <c r="MI7" s="12" t="s">
        <v>37</v>
      </c>
      <c r="MJ7" s="13" t="s">
        <v>37</v>
      </c>
      <c r="MK7" s="13"/>
      <c r="ML7" s="13"/>
      <c r="MM7" s="12" t="s">
        <v>45</v>
      </c>
      <c r="MN7" s="12" t="s">
        <v>339</v>
      </c>
      <c r="MO7" s="12">
        <v>523</v>
      </c>
      <c r="MP7" s="12">
        <v>126</v>
      </c>
      <c r="MQ7" s="13">
        <v>3</v>
      </c>
      <c r="MR7" s="12">
        <v>787</v>
      </c>
      <c r="MS7" s="12">
        <v>149</v>
      </c>
      <c r="MT7" s="13">
        <v>3</v>
      </c>
      <c r="MU7" s="19">
        <f t="shared" si="28"/>
        <v>0.40864678435248031</v>
      </c>
      <c r="MV7" s="19">
        <f t="shared" si="29"/>
        <v>3.1295307569814815E-2</v>
      </c>
      <c r="MW7" s="12" t="s">
        <v>45</v>
      </c>
      <c r="MX7" s="12" t="s">
        <v>339</v>
      </c>
      <c r="MY7" s="12">
        <v>556</v>
      </c>
      <c r="MZ7" s="12">
        <v>82</v>
      </c>
      <c r="NA7" s="11">
        <v>3</v>
      </c>
      <c r="NB7" s="12">
        <v>592</v>
      </c>
      <c r="NC7" s="12">
        <v>103</v>
      </c>
      <c r="ND7" s="11">
        <v>3</v>
      </c>
      <c r="NE7" s="19">
        <f t="shared" si="30"/>
        <v>6.2738340633423345E-2</v>
      </c>
      <c r="NF7" s="19">
        <f t="shared" si="31"/>
        <v>1.7340747349332962E-2</v>
      </c>
      <c r="NG7" s="12"/>
      <c r="NH7" s="12"/>
      <c r="NI7" s="12" t="s">
        <v>37</v>
      </c>
      <c r="NJ7" s="12" t="s">
        <v>37</v>
      </c>
      <c r="NK7" s="13" t="s">
        <v>37</v>
      </c>
      <c r="NL7" s="12" t="s">
        <v>37</v>
      </c>
      <c r="NM7" s="12" t="s">
        <v>37</v>
      </c>
      <c r="NN7" s="13" t="s">
        <v>37</v>
      </c>
      <c r="NO7" s="13"/>
      <c r="NP7" s="13"/>
      <c r="NQ7" s="12"/>
      <c r="NR7" s="12"/>
      <c r="NS7" s="12" t="s">
        <v>37</v>
      </c>
      <c r="NT7" s="12" t="s">
        <v>37</v>
      </c>
      <c r="NU7" s="13" t="s">
        <v>37</v>
      </c>
      <c r="NV7" s="12" t="s">
        <v>37</v>
      </c>
      <c r="NW7" s="12" t="s">
        <v>37</v>
      </c>
      <c r="NX7" s="13" t="s">
        <v>37</v>
      </c>
      <c r="NY7" s="13"/>
      <c r="NZ7" s="13"/>
      <c r="OA7" s="12"/>
      <c r="OB7" s="12"/>
      <c r="OC7" s="12" t="s">
        <v>37</v>
      </c>
      <c r="OD7" s="12" t="s">
        <v>37</v>
      </c>
      <c r="OE7" s="13" t="s">
        <v>37</v>
      </c>
      <c r="OF7" s="12" t="s">
        <v>37</v>
      </c>
      <c r="OG7" s="12" t="s">
        <v>37</v>
      </c>
      <c r="OH7" s="13" t="s">
        <v>37</v>
      </c>
      <c r="OI7" s="13"/>
      <c r="OJ7" s="13"/>
      <c r="OK7" s="12"/>
      <c r="OL7" s="12" t="s">
        <v>37</v>
      </c>
      <c r="OM7" s="12" t="s">
        <v>37</v>
      </c>
      <c r="ON7" s="11" t="s">
        <v>37</v>
      </c>
      <c r="OO7" s="12" t="s">
        <v>37</v>
      </c>
      <c r="OP7" s="12" t="s">
        <v>37</v>
      </c>
      <c r="OQ7" s="12" t="s">
        <v>37</v>
      </c>
      <c r="OR7" s="12"/>
      <c r="OS7" s="12" t="s">
        <v>37</v>
      </c>
      <c r="OT7" s="12" t="s">
        <v>37</v>
      </c>
      <c r="OU7" s="12" t="s">
        <v>37</v>
      </c>
      <c r="OV7" s="12" t="s">
        <v>37</v>
      </c>
      <c r="OW7" s="12" t="s">
        <v>37</v>
      </c>
      <c r="OX7" s="12" t="s">
        <v>37</v>
      </c>
      <c r="OY7" s="12"/>
      <c r="OZ7" s="12"/>
      <c r="PA7" s="12" t="s">
        <v>37</v>
      </c>
      <c r="PB7" s="12" t="s">
        <v>37</v>
      </c>
      <c r="PC7" s="13" t="s">
        <v>37</v>
      </c>
      <c r="PD7" s="12" t="s">
        <v>37</v>
      </c>
      <c r="PE7" s="12" t="s">
        <v>37</v>
      </c>
      <c r="PF7" s="13" t="s">
        <v>37</v>
      </c>
      <c r="PG7" s="12"/>
      <c r="PH7" s="12"/>
      <c r="PI7" s="12" t="s">
        <v>37</v>
      </c>
      <c r="PJ7" s="12" t="s">
        <v>37</v>
      </c>
      <c r="PK7" s="13" t="s">
        <v>37</v>
      </c>
      <c r="PL7" s="12" t="s">
        <v>37</v>
      </c>
      <c r="PM7" s="12" t="s">
        <v>37</v>
      </c>
      <c r="PN7" s="13" t="s">
        <v>37</v>
      </c>
      <c r="PO7" s="12"/>
      <c r="PP7" s="12"/>
      <c r="PQ7" s="12" t="s">
        <v>37</v>
      </c>
      <c r="PR7" s="12" t="s">
        <v>37</v>
      </c>
      <c r="PS7" s="13" t="s">
        <v>37</v>
      </c>
      <c r="PT7" s="12" t="s">
        <v>37</v>
      </c>
      <c r="PU7" s="12" t="s">
        <v>37</v>
      </c>
      <c r="PV7" s="13" t="s">
        <v>37</v>
      </c>
      <c r="PW7" s="12"/>
      <c r="PX7" s="12"/>
      <c r="PY7" s="12" t="s">
        <v>37</v>
      </c>
      <c r="PZ7" s="12" t="s">
        <v>37</v>
      </c>
      <c r="QA7" s="11" t="s">
        <v>37</v>
      </c>
      <c r="QB7" s="12" t="s">
        <v>37</v>
      </c>
      <c r="QC7" s="12" t="s">
        <v>37</v>
      </c>
      <c r="QD7" s="11" t="s">
        <v>37</v>
      </c>
      <c r="QE7" s="12"/>
      <c r="QF7" s="12"/>
      <c r="QG7" s="12" t="s">
        <v>37</v>
      </c>
      <c r="QH7" s="12" t="s">
        <v>37</v>
      </c>
      <c r="QI7" s="13" t="s">
        <v>37</v>
      </c>
      <c r="QJ7" s="12" t="s">
        <v>37</v>
      </c>
      <c r="QK7" s="12" t="s">
        <v>37</v>
      </c>
      <c r="QL7" s="13" t="s">
        <v>37</v>
      </c>
      <c r="QM7" s="12"/>
      <c r="QN7" s="12"/>
      <c r="QO7" s="12" t="s">
        <v>37</v>
      </c>
      <c r="QP7" s="12" t="s">
        <v>37</v>
      </c>
      <c r="QQ7" s="13" t="s">
        <v>37</v>
      </c>
      <c r="QR7" s="12" t="s">
        <v>37</v>
      </c>
      <c r="QS7" s="12" t="s">
        <v>37</v>
      </c>
      <c r="QT7" s="13" t="s">
        <v>37</v>
      </c>
      <c r="QU7" s="13"/>
      <c r="QV7" s="13"/>
      <c r="QW7" s="12"/>
      <c r="QX7" s="12"/>
      <c r="QY7" s="12" t="s">
        <v>37</v>
      </c>
      <c r="QZ7" s="12" t="s">
        <v>37</v>
      </c>
      <c r="RA7" s="12" t="s">
        <v>37</v>
      </c>
      <c r="RB7" s="12" t="s">
        <v>37</v>
      </c>
      <c r="RC7" s="12" t="s">
        <v>37</v>
      </c>
      <c r="RD7" s="12" t="s">
        <v>37</v>
      </c>
      <c r="RE7" s="12"/>
      <c r="RF7" s="12"/>
      <c r="RG7" s="12"/>
      <c r="RH7" s="12"/>
      <c r="RI7" s="12" t="s">
        <v>37</v>
      </c>
      <c r="RJ7" s="12" t="s">
        <v>37</v>
      </c>
      <c r="RK7" s="12" t="s">
        <v>37</v>
      </c>
      <c r="RL7" s="12" t="s">
        <v>37</v>
      </c>
      <c r="RM7" s="12" t="s">
        <v>37</v>
      </c>
      <c r="RN7" s="12" t="s">
        <v>37</v>
      </c>
      <c r="RO7" s="12"/>
      <c r="RP7" s="12"/>
      <c r="RQ7" s="12"/>
      <c r="RR7" s="12"/>
      <c r="RS7" s="12" t="s">
        <v>37</v>
      </c>
      <c r="RT7" s="12" t="s">
        <v>37</v>
      </c>
      <c r="RU7" s="12" t="s">
        <v>37</v>
      </c>
      <c r="RV7" s="12" t="s">
        <v>37</v>
      </c>
      <c r="RW7" s="12" t="s">
        <v>37</v>
      </c>
      <c r="RX7" s="12" t="s">
        <v>37</v>
      </c>
      <c r="RY7" s="12"/>
      <c r="RZ7" s="12"/>
      <c r="SA7" s="12"/>
      <c r="SB7" s="12"/>
      <c r="SC7" s="12" t="s">
        <v>37</v>
      </c>
      <c r="SD7" s="12" t="s">
        <v>37</v>
      </c>
      <c r="SE7" s="12" t="s">
        <v>37</v>
      </c>
      <c r="SF7" s="12" t="s">
        <v>37</v>
      </c>
      <c r="SG7" s="12" t="s">
        <v>37</v>
      </c>
      <c r="SH7" s="12" t="s">
        <v>37</v>
      </c>
      <c r="SI7" s="12"/>
      <c r="SJ7" s="12"/>
      <c r="SK7" s="12"/>
      <c r="SL7" s="12"/>
      <c r="SM7" s="12" t="s">
        <v>37</v>
      </c>
      <c r="SN7" s="12" t="s">
        <v>37</v>
      </c>
      <c r="SO7" s="13" t="s">
        <v>37</v>
      </c>
      <c r="SP7" s="12" t="s">
        <v>37</v>
      </c>
      <c r="SQ7" s="12" t="s">
        <v>37</v>
      </c>
      <c r="SR7" s="13" t="s">
        <v>37</v>
      </c>
      <c r="SS7" s="13"/>
      <c r="ST7" s="13"/>
      <c r="SU7" s="12"/>
      <c r="SV7" s="12"/>
      <c r="SW7" s="12" t="s">
        <v>37</v>
      </c>
      <c r="SX7" s="12" t="s">
        <v>37</v>
      </c>
      <c r="SY7" s="13" t="s">
        <v>37</v>
      </c>
      <c r="SZ7" s="12" t="s">
        <v>37</v>
      </c>
      <c r="TA7" s="12" t="s">
        <v>37</v>
      </c>
      <c r="TB7" s="13" t="s">
        <v>37</v>
      </c>
      <c r="TC7" s="13"/>
      <c r="TD7" s="13"/>
      <c r="TE7" s="12" t="s">
        <v>37</v>
      </c>
      <c r="TF7" s="12"/>
      <c r="TG7" s="12" t="s">
        <v>37</v>
      </c>
      <c r="TH7" s="12" t="s">
        <v>37</v>
      </c>
      <c r="TI7" s="12" t="s">
        <v>37</v>
      </c>
      <c r="TJ7" s="12" t="s">
        <v>37</v>
      </c>
      <c r="TK7" s="12" t="s">
        <v>37</v>
      </c>
      <c r="TL7" s="12" t="s">
        <v>37</v>
      </c>
      <c r="TM7" s="12"/>
      <c r="TN7" s="12"/>
      <c r="TO7" s="12"/>
      <c r="TP7" s="12"/>
      <c r="TQ7" s="13" t="s">
        <v>37</v>
      </c>
      <c r="TR7" s="13" t="s">
        <v>37</v>
      </c>
      <c r="TS7" s="13" t="s">
        <v>37</v>
      </c>
      <c r="TT7" s="19"/>
      <c r="TU7" s="13" t="s">
        <v>37</v>
      </c>
      <c r="TV7" s="13" t="s">
        <v>37</v>
      </c>
      <c r="TW7" s="13" t="s">
        <v>37</v>
      </c>
    </row>
    <row r="8" spans="1:546" ht="15.6" x14ac:dyDescent="0.3">
      <c r="A8" s="11">
        <v>3</v>
      </c>
      <c r="B8" s="16" t="s">
        <v>70</v>
      </c>
      <c r="C8" s="12" t="s">
        <v>32</v>
      </c>
      <c r="D8" s="12" t="s">
        <v>609</v>
      </c>
      <c r="E8" s="14" t="s">
        <v>37</v>
      </c>
      <c r="F8" s="14">
        <v>0</v>
      </c>
      <c r="G8" s="14">
        <v>0</v>
      </c>
      <c r="H8" s="12" t="s">
        <v>79</v>
      </c>
      <c r="I8" s="29">
        <v>47.582999999999998</v>
      </c>
      <c r="J8" s="29">
        <v>133.517</v>
      </c>
      <c r="K8" s="12" t="s">
        <v>797</v>
      </c>
      <c r="L8" s="12" t="s">
        <v>798</v>
      </c>
      <c r="M8" s="13" t="s">
        <v>37</v>
      </c>
      <c r="N8" s="14">
        <v>1.9</v>
      </c>
      <c r="O8" s="14">
        <v>600</v>
      </c>
      <c r="P8" s="14" t="s">
        <v>16</v>
      </c>
      <c r="Q8" s="11">
        <v>1</v>
      </c>
      <c r="R8" s="11" t="s">
        <v>37</v>
      </c>
      <c r="S8" s="12" t="s">
        <v>51</v>
      </c>
      <c r="T8" s="12" t="s">
        <v>37</v>
      </c>
      <c r="U8" s="12" t="s">
        <v>158</v>
      </c>
      <c r="V8" s="12" t="s">
        <v>274</v>
      </c>
      <c r="W8" s="23" t="s">
        <v>71</v>
      </c>
      <c r="X8" s="12" t="s">
        <v>283</v>
      </c>
      <c r="Y8" s="12" t="s">
        <v>72</v>
      </c>
      <c r="Z8" s="12" t="s">
        <v>37</v>
      </c>
      <c r="AA8" s="32" t="s">
        <v>488</v>
      </c>
      <c r="AB8" s="12" t="s">
        <v>37</v>
      </c>
      <c r="AC8" s="12" t="s">
        <v>37</v>
      </c>
      <c r="AD8" s="12" t="s">
        <v>373</v>
      </c>
      <c r="AE8" s="12" t="s">
        <v>74</v>
      </c>
      <c r="AF8" s="12" t="s">
        <v>489</v>
      </c>
      <c r="AG8" s="12"/>
      <c r="AH8" s="32"/>
      <c r="AI8" s="12" t="s">
        <v>37</v>
      </c>
      <c r="AJ8" s="12" t="s">
        <v>37</v>
      </c>
      <c r="AK8" s="11" t="s">
        <v>37</v>
      </c>
      <c r="AL8" s="19"/>
      <c r="AM8" s="12" t="s">
        <v>37</v>
      </c>
      <c r="AN8" s="12" t="s">
        <v>37</v>
      </c>
      <c r="AO8" s="13" t="s">
        <v>37</v>
      </c>
      <c r="AP8" s="19"/>
      <c r="AQ8" s="49"/>
      <c r="AR8" s="49"/>
      <c r="AS8" s="32"/>
      <c r="AT8" s="12" t="s">
        <v>37</v>
      </c>
      <c r="AU8" s="12" t="s">
        <v>37</v>
      </c>
      <c r="AV8" s="13" t="s">
        <v>37</v>
      </c>
      <c r="AW8" s="12" t="s">
        <v>37</v>
      </c>
      <c r="AX8" s="12" t="s">
        <v>37</v>
      </c>
      <c r="AY8" s="13" t="s">
        <v>37</v>
      </c>
      <c r="AZ8" s="13"/>
      <c r="BA8" s="13"/>
      <c r="BB8" s="12"/>
      <c r="BC8" s="12" t="s">
        <v>37</v>
      </c>
      <c r="BD8" s="12" t="s">
        <v>37</v>
      </c>
      <c r="BE8" s="13" t="s">
        <v>37</v>
      </c>
      <c r="BF8" s="12" t="s">
        <v>37</v>
      </c>
      <c r="BG8" s="12" t="s">
        <v>37</v>
      </c>
      <c r="BH8" s="12" t="s">
        <v>37</v>
      </c>
      <c r="BI8" s="12"/>
      <c r="BJ8" s="12" t="s">
        <v>37</v>
      </c>
      <c r="BK8" s="12" t="s">
        <v>37</v>
      </c>
      <c r="BL8" s="13" t="s">
        <v>37</v>
      </c>
      <c r="BM8" s="12" t="s">
        <v>37</v>
      </c>
      <c r="BN8" s="12" t="s">
        <v>37</v>
      </c>
      <c r="BO8" s="13" t="s">
        <v>37</v>
      </c>
      <c r="BP8" s="19"/>
      <c r="BQ8" s="19"/>
      <c r="BR8" s="19"/>
      <c r="BS8" s="19"/>
      <c r="BT8" s="12"/>
      <c r="BU8" s="12" t="s">
        <v>37</v>
      </c>
      <c r="BV8" s="12" t="s">
        <v>37</v>
      </c>
      <c r="BW8" s="13" t="s">
        <v>37</v>
      </c>
      <c r="BX8" s="12" t="s">
        <v>37</v>
      </c>
      <c r="BY8" s="12" t="s">
        <v>37</v>
      </c>
      <c r="BZ8" s="13" t="s">
        <v>37</v>
      </c>
      <c r="CA8" s="19"/>
      <c r="CB8" s="19"/>
      <c r="CC8" s="19"/>
      <c r="CD8" s="19"/>
      <c r="CE8" s="12"/>
      <c r="CF8" s="12" t="s">
        <v>37</v>
      </c>
      <c r="CG8" s="12" t="s">
        <v>37</v>
      </c>
      <c r="CH8" s="13" t="s">
        <v>37</v>
      </c>
      <c r="CI8" s="12" t="s">
        <v>37</v>
      </c>
      <c r="CJ8" s="12" t="s">
        <v>37</v>
      </c>
      <c r="CK8" s="13" t="s">
        <v>37</v>
      </c>
      <c r="CL8" s="19"/>
      <c r="CM8" s="19"/>
      <c r="CN8" s="19"/>
      <c r="CO8" s="19"/>
      <c r="CP8" s="15" t="s">
        <v>34</v>
      </c>
      <c r="CQ8" s="12">
        <v>5.36</v>
      </c>
      <c r="CR8" s="19">
        <v>1.18</v>
      </c>
      <c r="CS8" s="13">
        <v>3</v>
      </c>
      <c r="CT8" s="52">
        <f t="shared" si="0"/>
        <v>0.22014925373134325</v>
      </c>
      <c r="CU8" s="12">
        <v>1.54</v>
      </c>
      <c r="CV8" s="19">
        <v>0.22</v>
      </c>
      <c r="CW8" s="13">
        <v>3</v>
      </c>
      <c r="CX8" s="52">
        <f t="shared" si="1"/>
        <v>0.14285714285714285</v>
      </c>
      <c r="CY8" s="68">
        <f t="shared" si="7"/>
        <v>-3.8200000000000003</v>
      </c>
      <c r="CZ8" s="12">
        <f t="shared" si="8"/>
        <v>0.84876380695691778</v>
      </c>
      <c r="DA8" s="72">
        <f t="shared" si="9"/>
        <v>0.48026666666666662</v>
      </c>
      <c r="DB8" s="72">
        <f t="shared" si="10"/>
        <v>0.48026666666666662</v>
      </c>
      <c r="DC8" s="15"/>
      <c r="DD8" s="15" t="s">
        <v>37</v>
      </c>
      <c r="DE8" s="67" t="s">
        <v>37</v>
      </c>
      <c r="DF8" s="15" t="s">
        <v>37</v>
      </c>
      <c r="DG8" s="52"/>
      <c r="DH8" s="15" t="s">
        <v>37</v>
      </c>
      <c r="DI8" s="67" t="s">
        <v>37</v>
      </c>
      <c r="DJ8" s="15" t="s">
        <v>37</v>
      </c>
      <c r="DK8" s="52"/>
      <c r="DL8" s="68"/>
      <c r="DM8" s="68"/>
      <c r="DN8" s="68"/>
      <c r="DO8" s="68"/>
      <c r="DP8" s="12" t="s">
        <v>39</v>
      </c>
      <c r="DQ8" s="12">
        <v>5</v>
      </c>
      <c r="DR8" s="60">
        <f t="shared" si="32"/>
        <v>2.02</v>
      </c>
      <c r="DS8" s="13">
        <v>3</v>
      </c>
      <c r="DT8" s="19"/>
      <c r="DU8" s="12">
        <v>-5</v>
      </c>
      <c r="DV8" s="60">
        <f t="shared" si="33"/>
        <v>1.7280638123520611</v>
      </c>
      <c r="DW8" s="13">
        <v>3</v>
      </c>
      <c r="DX8" s="19"/>
      <c r="DY8" s="19">
        <f t="shared" si="11"/>
        <v>-10</v>
      </c>
      <c r="DZ8" s="12">
        <f t="shared" si="12"/>
        <v>1.8797080278012246</v>
      </c>
      <c r="EA8" s="72">
        <f t="shared" si="13"/>
        <v>2.3555348465202464</v>
      </c>
      <c r="EB8" s="72">
        <f t="shared" si="14"/>
        <v>2.3555348465202464</v>
      </c>
      <c r="EC8" s="12"/>
      <c r="ED8" s="12"/>
      <c r="EE8" s="11" t="s">
        <v>37</v>
      </c>
      <c r="EF8" s="11" t="s">
        <v>37</v>
      </c>
      <c r="EG8" s="11" t="s">
        <v>37</v>
      </c>
      <c r="EH8" s="19"/>
      <c r="EI8" s="12" t="s">
        <v>37</v>
      </c>
      <c r="EJ8" s="20" t="s">
        <v>37</v>
      </c>
      <c r="EK8" s="11" t="s">
        <v>37</v>
      </c>
      <c r="EL8" s="19"/>
      <c r="EM8" s="19"/>
      <c r="EN8" s="19"/>
      <c r="EO8" s="19"/>
      <c r="EP8" s="19"/>
      <c r="EQ8" s="32"/>
      <c r="ER8" s="11" t="s">
        <v>37</v>
      </c>
      <c r="ES8" s="11" t="s">
        <v>37</v>
      </c>
      <c r="ET8" s="11" t="s">
        <v>37</v>
      </c>
      <c r="EU8" s="19"/>
      <c r="EV8" s="13" t="s">
        <v>37</v>
      </c>
      <c r="EW8" s="11" t="s">
        <v>37</v>
      </c>
      <c r="EX8" s="11" t="s">
        <v>37</v>
      </c>
      <c r="EY8" s="19"/>
      <c r="EZ8" s="19"/>
      <c r="FA8" s="19"/>
      <c r="FB8" s="19"/>
      <c r="FC8" s="32"/>
      <c r="FD8" s="11" t="s">
        <v>37</v>
      </c>
      <c r="FE8" s="11" t="s">
        <v>37</v>
      </c>
      <c r="FF8" s="11" t="s">
        <v>37</v>
      </c>
      <c r="FG8" s="13" t="s">
        <v>37</v>
      </c>
      <c r="FH8" s="11" t="s">
        <v>37</v>
      </c>
      <c r="FI8" s="11" t="s">
        <v>37</v>
      </c>
      <c r="FJ8" s="19"/>
      <c r="FK8" s="19"/>
      <c r="FL8" s="19"/>
      <c r="FM8" s="32"/>
      <c r="FN8" s="11" t="s">
        <v>37</v>
      </c>
      <c r="FO8" s="11" t="s">
        <v>37</v>
      </c>
      <c r="FP8" s="11" t="s">
        <v>37</v>
      </c>
      <c r="FQ8" s="13" t="s">
        <v>37</v>
      </c>
      <c r="FR8" s="11" t="s">
        <v>37</v>
      </c>
      <c r="FS8" s="11" t="s">
        <v>37</v>
      </c>
      <c r="FT8" s="19"/>
      <c r="FU8" s="19"/>
      <c r="FV8" s="19"/>
      <c r="FW8" s="12"/>
      <c r="FX8" s="12"/>
      <c r="FY8" s="12" t="s">
        <v>37</v>
      </c>
      <c r="FZ8" s="12" t="s">
        <v>37</v>
      </c>
      <c r="GA8" s="13" t="s">
        <v>37</v>
      </c>
      <c r="GB8" s="12" t="s">
        <v>37</v>
      </c>
      <c r="GC8" s="12" t="s">
        <v>37</v>
      </c>
      <c r="GD8" s="13" t="s">
        <v>37</v>
      </c>
      <c r="GE8" s="19"/>
      <c r="GF8" s="19"/>
      <c r="GG8" s="12"/>
      <c r="GH8" s="12"/>
      <c r="GI8" s="12" t="s">
        <v>37</v>
      </c>
      <c r="GJ8" s="12" t="s">
        <v>37</v>
      </c>
      <c r="GK8" s="13" t="s">
        <v>37</v>
      </c>
      <c r="GL8" s="19"/>
      <c r="GM8" s="12" t="s">
        <v>37</v>
      </c>
      <c r="GN8" s="12" t="s">
        <v>37</v>
      </c>
      <c r="GO8" s="13" t="s">
        <v>37</v>
      </c>
      <c r="GP8" s="19"/>
      <c r="GQ8" s="19"/>
      <c r="GR8" s="19"/>
      <c r="GS8" s="17"/>
      <c r="GT8" s="34"/>
      <c r="GU8" s="12" t="s">
        <v>37</v>
      </c>
      <c r="GV8" s="12" t="s">
        <v>37</v>
      </c>
      <c r="GW8" s="12" t="s">
        <v>37</v>
      </c>
      <c r="GX8" s="19"/>
      <c r="GY8" s="12" t="s">
        <v>37</v>
      </c>
      <c r="GZ8" s="12" t="s">
        <v>37</v>
      </c>
      <c r="HA8" s="12" t="s">
        <v>37</v>
      </c>
      <c r="HB8" s="19"/>
      <c r="HC8" s="19"/>
      <c r="HD8" s="19"/>
      <c r="HE8" s="34"/>
      <c r="HF8" s="12" t="s">
        <v>37</v>
      </c>
      <c r="HG8" s="12" t="s">
        <v>37</v>
      </c>
      <c r="HH8" s="13" t="s">
        <v>37</v>
      </c>
      <c r="HI8" s="12" t="s">
        <v>37</v>
      </c>
      <c r="HJ8" s="12" t="s">
        <v>37</v>
      </c>
      <c r="HK8" s="13" t="s">
        <v>37</v>
      </c>
      <c r="HL8" s="13"/>
      <c r="HM8" s="13"/>
      <c r="HN8" s="34"/>
      <c r="HO8" s="12" t="s">
        <v>37</v>
      </c>
      <c r="HP8" s="12" t="s">
        <v>37</v>
      </c>
      <c r="HQ8" s="13" t="s">
        <v>37</v>
      </c>
      <c r="HR8" s="12" t="s">
        <v>37</v>
      </c>
      <c r="HS8" s="12" t="s">
        <v>37</v>
      </c>
      <c r="HT8" s="13" t="s">
        <v>37</v>
      </c>
      <c r="HU8" s="13"/>
      <c r="HV8" s="13"/>
      <c r="HW8" s="12"/>
      <c r="HX8" s="12"/>
      <c r="HY8" s="12" t="s">
        <v>37</v>
      </c>
      <c r="HZ8" s="12" t="s">
        <v>37</v>
      </c>
      <c r="IA8" s="13" t="s">
        <v>37</v>
      </c>
      <c r="IB8" s="12" t="s">
        <v>37</v>
      </c>
      <c r="IC8" s="12" t="s">
        <v>37</v>
      </c>
      <c r="ID8" s="13" t="s">
        <v>37</v>
      </c>
      <c r="IE8" s="12"/>
      <c r="IF8" s="32"/>
      <c r="IG8" s="12" t="s">
        <v>37</v>
      </c>
      <c r="IH8" s="12" t="s">
        <v>37</v>
      </c>
      <c r="II8" s="13" t="s">
        <v>37</v>
      </c>
      <c r="IJ8" s="19"/>
      <c r="IK8" s="12" t="s">
        <v>37</v>
      </c>
      <c r="IL8" s="12" t="s">
        <v>37</v>
      </c>
      <c r="IM8" s="13" t="s">
        <v>37</v>
      </c>
      <c r="IN8" s="19"/>
      <c r="IO8" s="19"/>
      <c r="IP8" s="19"/>
      <c r="IQ8" s="32"/>
      <c r="IR8" s="12" t="s">
        <v>37</v>
      </c>
      <c r="IS8" s="12" t="s">
        <v>37</v>
      </c>
      <c r="IT8" s="13" t="s">
        <v>37</v>
      </c>
      <c r="IU8" s="12" t="s">
        <v>37</v>
      </c>
      <c r="IV8" s="12" t="s">
        <v>37</v>
      </c>
      <c r="IW8" s="12" t="s">
        <v>37</v>
      </c>
      <c r="IX8" s="32"/>
      <c r="IY8" s="12" t="s">
        <v>37</v>
      </c>
      <c r="IZ8" s="12" t="s">
        <v>37</v>
      </c>
      <c r="JA8" s="13" t="s">
        <v>37</v>
      </c>
      <c r="JB8" s="12" t="s">
        <v>37</v>
      </c>
      <c r="JC8" s="12" t="s">
        <v>37</v>
      </c>
      <c r="JD8" s="12" t="s">
        <v>37</v>
      </c>
      <c r="JE8" s="12"/>
      <c r="JF8" s="12"/>
      <c r="JG8" s="12" t="s">
        <v>37</v>
      </c>
      <c r="JH8" s="12" t="s">
        <v>37</v>
      </c>
      <c r="JI8" s="13" t="s">
        <v>37</v>
      </c>
      <c r="JJ8" s="12" t="s">
        <v>37</v>
      </c>
      <c r="JK8" s="12" t="s">
        <v>37</v>
      </c>
      <c r="JL8" s="12" t="s">
        <v>37</v>
      </c>
      <c r="JM8" s="12"/>
      <c r="JN8" s="32"/>
      <c r="JO8" s="12" t="s">
        <v>37</v>
      </c>
      <c r="JP8" s="12" t="s">
        <v>37</v>
      </c>
      <c r="JQ8" s="11" t="s">
        <v>37</v>
      </c>
      <c r="JR8" s="19"/>
      <c r="JS8" s="12" t="s">
        <v>37</v>
      </c>
      <c r="JT8" s="12" t="s">
        <v>37</v>
      </c>
      <c r="JU8" s="13" t="s">
        <v>37</v>
      </c>
      <c r="JV8" s="19"/>
      <c r="JW8" s="19"/>
      <c r="JX8" s="19"/>
      <c r="JY8" s="32"/>
      <c r="JZ8" s="12" t="s">
        <v>37</v>
      </c>
      <c r="KA8" s="12" t="s">
        <v>37</v>
      </c>
      <c r="KB8" s="13" t="s">
        <v>37</v>
      </c>
      <c r="KC8" s="12" t="s">
        <v>37</v>
      </c>
      <c r="KD8" s="12" t="s">
        <v>37</v>
      </c>
      <c r="KE8" s="13" t="s">
        <v>37</v>
      </c>
      <c r="KF8" s="13"/>
      <c r="KG8" s="13"/>
      <c r="KH8" s="32"/>
      <c r="KI8" s="12" t="s">
        <v>37</v>
      </c>
      <c r="KJ8" s="12" t="s">
        <v>37</v>
      </c>
      <c r="KK8" s="12" t="s">
        <v>37</v>
      </c>
      <c r="KL8" s="12" t="s">
        <v>37</v>
      </c>
      <c r="KM8" s="12" t="s">
        <v>37</v>
      </c>
      <c r="KN8" s="12" t="s">
        <v>37</v>
      </c>
      <c r="KO8" s="12"/>
      <c r="KP8" s="12"/>
      <c r="KQ8" s="12"/>
      <c r="KR8" s="12"/>
      <c r="KS8" s="12" t="s">
        <v>37</v>
      </c>
      <c r="KT8" s="12" t="s">
        <v>37</v>
      </c>
      <c r="KU8" s="13" t="s">
        <v>37</v>
      </c>
      <c r="KV8" s="19"/>
      <c r="KW8" s="12" t="s">
        <v>37</v>
      </c>
      <c r="KX8" s="12" t="s">
        <v>37</v>
      </c>
      <c r="KY8" s="12" t="s">
        <v>37</v>
      </c>
      <c r="KZ8" s="19"/>
      <c r="LA8" s="19"/>
      <c r="LB8" s="19"/>
      <c r="LC8" s="12"/>
      <c r="LD8" s="12" t="s">
        <v>37</v>
      </c>
      <c r="LE8" s="12" t="s">
        <v>37</v>
      </c>
      <c r="LF8" s="12" t="s">
        <v>37</v>
      </c>
      <c r="LG8" s="19" t="str">
        <f t="shared" si="19"/>
        <v>/</v>
      </c>
      <c r="LH8" s="19" t="str">
        <f t="shared" si="20"/>
        <v>/</v>
      </c>
      <c r="LI8" s="13" t="str">
        <f t="shared" si="21"/>
        <v>/</v>
      </c>
      <c r="LJ8" s="13"/>
      <c r="LK8" s="13"/>
      <c r="LL8" s="12"/>
      <c r="LM8" s="12" t="s">
        <v>37</v>
      </c>
      <c r="LN8" s="12" t="s">
        <v>37</v>
      </c>
      <c r="LO8" s="12" t="s">
        <v>37</v>
      </c>
      <c r="LP8" s="12" t="s">
        <v>37</v>
      </c>
      <c r="LQ8" s="12" t="s">
        <v>37</v>
      </c>
      <c r="LR8" s="12" t="s">
        <v>37</v>
      </c>
      <c r="LS8" s="12"/>
      <c r="LT8" s="12"/>
      <c r="LU8" s="12" t="s">
        <v>37</v>
      </c>
      <c r="LV8" s="12" t="s">
        <v>37</v>
      </c>
      <c r="LW8" s="13" t="s">
        <v>37</v>
      </c>
      <c r="LX8" s="12" t="s">
        <v>37</v>
      </c>
      <c r="LY8" s="12" t="s">
        <v>37</v>
      </c>
      <c r="LZ8" s="13" t="s">
        <v>37</v>
      </c>
      <c r="MA8" s="13"/>
      <c r="MB8" s="13"/>
      <c r="MC8" s="12"/>
      <c r="MD8" s="12"/>
      <c r="ME8" s="12" t="s">
        <v>37</v>
      </c>
      <c r="MF8" s="12" t="s">
        <v>37</v>
      </c>
      <c r="MG8" s="13" t="s">
        <v>37</v>
      </c>
      <c r="MH8" s="12" t="s">
        <v>37</v>
      </c>
      <c r="MI8" s="12" t="s">
        <v>37</v>
      </c>
      <c r="MJ8" s="13" t="s">
        <v>37</v>
      </c>
      <c r="MK8" s="13"/>
      <c r="ML8" s="13"/>
      <c r="MM8" s="12" t="s">
        <v>45</v>
      </c>
      <c r="MN8" s="12" t="s">
        <v>339</v>
      </c>
      <c r="MO8" s="12">
        <v>523</v>
      </c>
      <c r="MP8" s="12">
        <v>126</v>
      </c>
      <c r="MQ8" s="13">
        <v>3</v>
      </c>
      <c r="MR8" s="12">
        <v>615</v>
      </c>
      <c r="MS8" s="12">
        <v>207</v>
      </c>
      <c r="MT8" s="13">
        <v>3</v>
      </c>
      <c r="MU8" s="19">
        <f t="shared" si="28"/>
        <v>0.16204080374159496</v>
      </c>
      <c r="MV8" s="19">
        <f t="shared" si="29"/>
        <v>5.7110362067846254E-2</v>
      </c>
      <c r="MW8" s="12" t="s">
        <v>45</v>
      </c>
      <c r="MX8" s="12" t="s">
        <v>339</v>
      </c>
      <c r="MY8" s="12">
        <v>556</v>
      </c>
      <c r="MZ8" s="12">
        <v>82</v>
      </c>
      <c r="NA8" s="11">
        <v>3</v>
      </c>
      <c r="NB8" s="12">
        <v>638</v>
      </c>
      <c r="NC8" s="12">
        <v>130</v>
      </c>
      <c r="ND8" s="11">
        <v>3</v>
      </c>
      <c r="NE8" s="19">
        <f>LN(NB8/MY8)</f>
        <v>0.13756998909420748</v>
      </c>
      <c r="NF8" s="19">
        <f t="shared" si="31"/>
        <v>2.1089932522259852E-2</v>
      </c>
      <c r="NG8" s="12"/>
      <c r="NH8" s="12"/>
      <c r="NI8" s="12" t="s">
        <v>37</v>
      </c>
      <c r="NJ8" s="12" t="s">
        <v>37</v>
      </c>
      <c r="NK8" s="13" t="s">
        <v>37</v>
      </c>
      <c r="NL8" s="12" t="s">
        <v>37</v>
      </c>
      <c r="NM8" s="12" t="s">
        <v>37</v>
      </c>
      <c r="NN8" s="13" t="s">
        <v>37</v>
      </c>
      <c r="NO8" s="13"/>
      <c r="NP8" s="13"/>
      <c r="NQ8" s="12"/>
      <c r="NR8" s="12"/>
      <c r="NS8" s="12" t="s">
        <v>37</v>
      </c>
      <c r="NT8" s="12" t="s">
        <v>37</v>
      </c>
      <c r="NU8" s="13" t="s">
        <v>37</v>
      </c>
      <c r="NV8" s="12" t="s">
        <v>37</v>
      </c>
      <c r="NW8" s="12" t="s">
        <v>37</v>
      </c>
      <c r="NX8" s="13" t="s">
        <v>37</v>
      </c>
      <c r="NY8" s="13"/>
      <c r="NZ8" s="13"/>
      <c r="OA8" s="12"/>
      <c r="OB8" s="12"/>
      <c r="OC8" s="12" t="s">
        <v>37</v>
      </c>
      <c r="OD8" s="12" t="s">
        <v>37</v>
      </c>
      <c r="OE8" s="13" t="s">
        <v>37</v>
      </c>
      <c r="OF8" s="12" t="s">
        <v>37</v>
      </c>
      <c r="OG8" s="12" t="s">
        <v>37</v>
      </c>
      <c r="OH8" s="13" t="s">
        <v>37</v>
      </c>
      <c r="OI8" s="13"/>
      <c r="OJ8" s="13"/>
      <c r="OK8" s="12"/>
      <c r="OL8" s="12" t="s">
        <v>37</v>
      </c>
      <c r="OM8" s="12" t="s">
        <v>37</v>
      </c>
      <c r="ON8" s="11" t="s">
        <v>37</v>
      </c>
      <c r="OO8" s="12" t="s">
        <v>37</v>
      </c>
      <c r="OP8" s="12" t="s">
        <v>37</v>
      </c>
      <c r="OQ8" s="12" t="s">
        <v>37</v>
      </c>
      <c r="OR8" s="12"/>
      <c r="OS8" s="12" t="s">
        <v>37</v>
      </c>
      <c r="OT8" s="12" t="s">
        <v>37</v>
      </c>
      <c r="OU8" s="12" t="s">
        <v>37</v>
      </c>
      <c r="OV8" s="12" t="s">
        <v>37</v>
      </c>
      <c r="OW8" s="12" t="s">
        <v>37</v>
      </c>
      <c r="OX8" s="12" t="s">
        <v>37</v>
      </c>
      <c r="OY8" s="12"/>
      <c r="OZ8" s="12"/>
      <c r="PA8" s="12" t="s">
        <v>37</v>
      </c>
      <c r="PB8" s="12" t="s">
        <v>37</v>
      </c>
      <c r="PC8" s="13" t="s">
        <v>37</v>
      </c>
      <c r="PD8" s="12" t="s">
        <v>37</v>
      </c>
      <c r="PE8" s="12" t="s">
        <v>37</v>
      </c>
      <c r="PF8" s="13" t="s">
        <v>37</v>
      </c>
      <c r="PG8" s="12"/>
      <c r="PH8" s="12"/>
      <c r="PI8" s="12" t="s">
        <v>37</v>
      </c>
      <c r="PJ8" s="12" t="s">
        <v>37</v>
      </c>
      <c r="PK8" s="13" t="s">
        <v>37</v>
      </c>
      <c r="PL8" s="12" t="s">
        <v>37</v>
      </c>
      <c r="PM8" s="12" t="s">
        <v>37</v>
      </c>
      <c r="PN8" s="13" t="s">
        <v>37</v>
      </c>
      <c r="PO8" s="12"/>
      <c r="PP8" s="12"/>
      <c r="PQ8" s="12" t="s">
        <v>37</v>
      </c>
      <c r="PR8" s="12" t="s">
        <v>37</v>
      </c>
      <c r="PS8" s="13" t="s">
        <v>37</v>
      </c>
      <c r="PT8" s="12" t="s">
        <v>37</v>
      </c>
      <c r="PU8" s="12" t="s">
        <v>37</v>
      </c>
      <c r="PV8" s="13" t="s">
        <v>37</v>
      </c>
      <c r="PW8" s="12"/>
      <c r="PX8" s="12"/>
      <c r="PY8" s="12" t="s">
        <v>37</v>
      </c>
      <c r="PZ8" s="12" t="s">
        <v>37</v>
      </c>
      <c r="QA8" s="11" t="s">
        <v>37</v>
      </c>
      <c r="QB8" s="12" t="s">
        <v>37</v>
      </c>
      <c r="QC8" s="12" t="s">
        <v>37</v>
      </c>
      <c r="QD8" s="11" t="s">
        <v>37</v>
      </c>
      <c r="QE8" s="12"/>
      <c r="QF8" s="12"/>
      <c r="QG8" s="12" t="s">
        <v>37</v>
      </c>
      <c r="QH8" s="12" t="s">
        <v>37</v>
      </c>
      <c r="QI8" s="13" t="s">
        <v>37</v>
      </c>
      <c r="QJ8" s="12" t="s">
        <v>37</v>
      </c>
      <c r="QK8" s="12" t="s">
        <v>37</v>
      </c>
      <c r="QL8" s="13" t="s">
        <v>37</v>
      </c>
      <c r="QM8" s="12"/>
      <c r="QN8" s="12"/>
      <c r="QO8" s="12" t="s">
        <v>37</v>
      </c>
      <c r="QP8" s="12" t="s">
        <v>37</v>
      </c>
      <c r="QQ8" s="13" t="s">
        <v>37</v>
      </c>
      <c r="QR8" s="12" t="s">
        <v>37</v>
      </c>
      <c r="QS8" s="12" t="s">
        <v>37</v>
      </c>
      <c r="QT8" s="13" t="s">
        <v>37</v>
      </c>
      <c r="QU8" s="13"/>
      <c r="QV8" s="13"/>
      <c r="QW8" s="12"/>
      <c r="QX8" s="12"/>
      <c r="QY8" s="12" t="s">
        <v>37</v>
      </c>
      <c r="QZ8" s="12" t="s">
        <v>37</v>
      </c>
      <c r="RA8" s="12" t="s">
        <v>37</v>
      </c>
      <c r="RB8" s="12" t="s">
        <v>37</v>
      </c>
      <c r="RC8" s="12" t="s">
        <v>37</v>
      </c>
      <c r="RD8" s="12" t="s">
        <v>37</v>
      </c>
      <c r="RE8" s="12"/>
      <c r="RF8" s="12"/>
      <c r="RG8" s="12"/>
      <c r="RH8" s="12"/>
      <c r="RI8" s="12" t="s">
        <v>37</v>
      </c>
      <c r="RJ8" s="12" t="s">
        <v>37</v>
      </c>
      <c r="RK8" s="12" t="s">
        <v>37</v>
      </c>
      <c r="RL8" s="12" t="s">
        <v>37</v>
      </c>
      <c r="RM8" s="12" t="s">
        <v>37</v>
      </c>
      <c r="RN8" s="12" t="s">
        <v>37</v>
      </c>
      <c r="RO8" s="12"/>
      <c r="RP8" s="12"/>
      <c r="RQ8" s="12"/>
      <c r="RR8" s="12"/>
      <c r="RS8" s="12" t="s">
        <v>37</v>
      </c>
      <c r="RT8" s="12" t="s">
        <v>37</v>
      </c>
      <c r="RU8" s="12" t="s">
        <v>37</v>
      </c>
      <c r="RV8" s="12" t="s">
        <v>37</v>
      </c>
      <c r="RW8" s="12" t="s">
        <v>37</v>
      </c>
      <c r="RX8" s="12" t="s">
        <v>37</v>
      </c>
      <c r="RY8" s="12"/>
      <c r="RZ8" s="12"/>
      <c r="SA8" s="12"/>
      <c r="SB8" s="12"/>
      <c r="SC8" s="12" t="s">
        <v>37</v>
      </c>
      <c r="SD8" s="12" t="s">
        <v>37</v>
      </c>
      <c r="SE8" s="12" t="s">
        <v>37</v>
      </c>
      <c r="SF8" s="12" t="s">
        <v>37</v>
      </c>
      <c r="SG8" s="12" t="s">
        <v>37</v>
      </c>
      <c r="SH8" s="12" t="s">
        <v>37</v>
      </c>
      <c r="SI8" s="12"/>
      <c r="SJ8" s="12"/>
      <c r="SK8" s="12"/>
      <c r="SL8" s="12"/>
      <c r="SM8" s="12" t="s">
        <v>37</v>
      </c>
      <c r="SN8" s="12" t="s">
        <v>37</v>
      </c>
      <c r="SO8" s="13" t="s">
        <v>37</v>
      </c>
      <c r="SP8" s="12" t="s">
        <v>37</v>
      </c>
      <c r="SQ8" s="12" t="s">
        <v>37</v>
      </c>
      <c r="SR8" s="13" t="s">
        <v>37</v>
      </c>
      <c r="SS8" s="13"/>
      <c r="ST8" s="13"/>
      <c r="SU8" s="12"/>
      <c r="SV8" s="12"/>
      <c r="SW8" s="12" t="s">
        <v>37</v>
      </c>
      <c r="SX8" s="12" t="s">
        <v>37</v>
      </c>
      <c r="SY8" s="13" t="s">
        <v>37</v>
      </c>
      <c r="SZ8" s="12" t="s">
        <v>37</v>
      </c>
      <c r="TA8" s="12" t="s">
        <v>37</v>
      </c>
      <c r="TB8" s="13" t="s">
        <v>37</v>
      </c>
      <c r="TC8" s="13"/>
      <c r="TD8" s="13"/>
      <c r="TE8" s="12" t="s">
        <v>37</v>
      </c>
      <c r="TF8" s="12"/>
      <c r="TG8" s="12" t="s">
        <v>37</v>
      </c>
      <c r="TH8" s="12" t="s">
        <v>37</v>
      </c>
      <c r="TI8" s="12" t="s">
        <v>37</v>
      </c>
      <c r="TJ8" s="12" t="s">
        <v>37</v>
      </c>
      <c r="TK8" s="12" t="s">
        <v>37</v>
      </c>
      <c r="TL8" s="12" t="s">
        <v>37</v>
      </c>
      <c r="TM8" s="12"/>
      <c r="TN8" s="12"/>
      <c r="TO8" s="12"/>
      <c r="TP8" s="12"/>
      <c r="TQ8" s="13" t="s">
        <v>37</v>
      </c>
      <c r="TR8" s="13" t="s">
        <v>37</v>
      </c>
      <c r="TS8" s="13" t="s">
        <v>37</v>
      </c>
      <c r="TT8" s="19"/>
      <c r="TU8" s="13" t="s">
        <v>37</v>
      </c>
      <c r="TV8" s="13" t="s">
        <v>37</v>
      </c>
      <c r="TW8" s="13" t="s">
        <v>37</v>
      </c>
    </row>
    <row r="9" spans="1:546" ht="15.6" x14ac:dyDescent="0.3">
      <c r="A9" s="11">
        <v>4</v>
      </c>
      <c r="B9" s="16" t="s">
        <v>126</v>
      </c>
      <c r="C9" s="12" t="s">
        <v>26</v>
      </c>
      <c r="D9" s="12" t="s">
        <v>609</v>
      </c>
      <c r="E9" s="16" t="s">
        <v>37</v>
      </c>
      <c r="F9" s="14">
        <v>0</v>
      </c>
      <c r="G9" s="14">
        <v>0</v>
      </c>
      <c r="H9" s="16" t="s">
        <v>131</v>
      </c>
      <c r="I9" s="29">
        <v>52.969000000000001</v>
      </c>
      <c r="J9" s="29">
        <v>-3.819</v>
      </c>
      <c r="K9" s="12" t="s">
        <v>564</v>
      </c>
      <c r="L9" s="12" t="s">
        <v>565</v>
      </c>
      <c r="M9" s="13" t="s">
        <v>37</v>
      </c>
      <c r="N9" s="14" t="s">
        <v>37</v>
      </c>
      <c r="O9" s="14" t="s">
        <v>37</v>
      </c>
      <c r="P9" s="14" t="s">
        <v>16</v>
      </c>
      <c r="Q9" s="11" t="s">
        <v>226</v>
      </c>
      <c r="R9" s="11" t="s">
        <v>37</v>
      </c>
      <c r="S9" s="12" t="s">
        <v>93</v>
      </c>
      <c r="T9" s="12" t="s">
        <v>141</v>
      </c>
      <c r="U9" s="12" t="s">
        <v>158</v>
      </c>
      <c r="V9" s="12" t="s">
        <v>275</v>
      </c>
      <c r="W9" s="23" t="s">
        <v>129</v>
      </c>
      <c r="X9" s="12" t="s">
        <v>281</v>
      </c>
      <c r="Y9" s="12" t="s">
        <v>69</v>
      </c>
      <c r="Z9" s="12" t="s">
        <v>37</v>
      </c>
      <c r="AA9" s="32">
        <v>2006</v>
      </c>
      <c r="AB9" s="13" t="s">
        <v>37</v>
      </c>
      <c r="AC9" s="13" t="s">
        <v>37</v>
      </c>
      <c r="AD9" s="13" t="s">
        <v>37</v>
      </c>
      <c r="AE9" s="13" t="s">
        <v>74</v>
      </c>
      <c r="AF9" s="12" t="s">
        <v>489</v>
      </c>
      <c r="AG9" s="12"/>
      <c r="AH9" s="32"/>
      <c r="AI9" s="12" t="s">
        <v>37</v>
      </c>
      <c r="AJ9" s="12" t="s">
        <v>37</v>
      </c>
      <c r="AK9" s="11" t="s">
        <v>37</v>
      </c>
      <c r="AL9" s="19"/>
      <c r="AM9" s="12" t="s">
        <v>37</v>
      </c>
      <c r="AN9" s="12" t="s">
        <v>37</v>
      </c>
      <c r="AO9" s="13" t="s">
        <v>37</v>
      </c>
      <c r="AP9" s="19"/>
      <c r="AQ9" s="49"/>
      <c r="AR9" s="49"/>
      <c r="AS9" s="32"/>
      <c r="AT9" s="12" t="s">
        <v>37</v>
      </c>
      <c r="AU9" s="12" t="s">
        <v>37</v>
      </c>
      <c r="AV9" s="13" t="s">
        <v>37</v>
      </c>
      <c r="AW9" s="12" t="s">
        <v>37</v>
      </c>
      <c r="AX9" s="12" t="s">
        <v>37</v>
      </c>
      <c r="AY9" s="13" t="s">
        <v>37</v>
      </c>
      <c r="AZ9" s="13"/>
      <c r="BA9" s="13"/>
      <c r="BB9" s="12"/>
      <c r="BC9" s="12" t="s">
        <v>37</v>
      </c>
      <c r="BD9" s="12" t="s">
        <v>37</v>
      </c>
      <c r="BE9" s="13" t="s">
        <v>37</v>
      </c>
      <c r="BF9" s="12" t="s">
        <v>37</v>
      </c>
      <c r="BG9" s="12" t="s">
        <v>37</v>
      </c>
      <c r="BH9" s="12" t="s">
        <v>37</v>
      </c>
      <c r="BI9" s="12"/>
      <c r="BJ9" s="15" t="s">
        <v>37</v>
      </c>
      <c r="BK9" s="15" t="s">
        <v>37</v>
      </c>
      <c r="BL9" s="18" t="s">
        <v>37</v>
      </c>
      <c r="BM9" s="15" t="s">
        <v>37</v>
      </c>
      <c r="BN9" s="15" t="s">
        <v>37</v>
      </c>
      <c r="BO9" s="18" t="s">
        <v>37</v>
      </c>
      <c r="BP9" s="19"/>
      <c r="BQ9" s="19"/>
      <c r="BR9" s="19"/>
      <c r="BS9" s="19"/>
      <c r="BT9" s="12"/>
      <c r="BU9" s="15" t="s">
        <v>37</v>
      </c>
      <c r="BV9" s="15" t="s">
        <v>37</v>
      </c>
      <c r="BW9" s="18" t="s">
        <v>37</v>
      </c>
      <c r="BX9" s="15" t="s">
        <v>37</v>
      </c>
      <c r="BY9" s="15" t="s">
        <v>37</v>
      </c>
      <c r="BZ9" s="18" t="s">
        <v>37</v>
      </c>
      <c r="CA9" s="19"/>
      <c r="CB9" s="19"/>
      <c r="CC9" s="19"/>
      <c r="CD9" s="19"/>
      <c r="CE9" s="12"/>
      <c r="CF9" s="15" t="s">
        <v>37</v>
      </c>
      <c r="CG9" s="15" t="s">
        <v>37</v>
      </c>
      <c r="CH9" s="18" t="s">
        <v>37</v>
      </c>
      <c r="CI9" s="15" t="s">
        <v>37</v>
      </c>
      <c r="CJ9" s="15" t="s">
        <v>37</v>
      </c>
      <c r="CK9" s="18" t="s">
        <v>37</v>
      </c>
      <c r="CL9" s="19"/>
      <c r="CM9" s="19"/>
      <c r="CN9" s="19"/>
      <c r="CO9" s="19"/>
      <c r="CP9" s="20"/>
      <c r="CQ9" s="12" t="s">
        <v>37</v>
      </c>
      <c r="CR9" s="19" t="s">
        <v>37</v>
      </c>
      <c r="CS9" s="12" t="s">
        <v>37</v>
      </c>
      <c r="CT9" s="19"/>
      <c r="CU9" s="12" t="s">
        <v>37</v>
      </c>
      <c r="CV9" s="19" t="s">
        <v>37</v>
      </c>
      <c r="CW9" s="12" t="s">
        <v>37</v>
      </c>
      <c r="CX9" s="19"/>
      <c r="CY9" s="68"/>
      <c r="CZ9" s="68"/>
      <c r="DA9" s="68"/>
      <c r="DB9" s="68"/>
      <c r="DC9" s="20"/>
      <c r="DD9" s="12" t="s">
        <v>37</v>
      </c>
      <c r="DE9" s="68" t="s">
        <v>37</v>
      </c>
      <c r="DF9" s="20" t="s">
        <v>37</v>
      </c>
      <c r="DG9" s="19"/>
      <c r="DH9" s="12" t="s">
        <v>37</v>
      </c>
      <c r="DI9" s="68" t="s">
        <v>37</v>
      </c>
      <c r="DJ9" s="20" t="s">
        <v>37</v>
      </c>
      <c r="DK9" s="19"/>
      <c r="DL9" s="68"/>
      <c r="DM9" s="68"/>
      <c r="DN9" s="68"/>
      <c r="DO9" s="68"/>
      <c r="DP9" s="12" t="s">
        <v>39</v>
      </c>
      <c r="DQ9" s="12">
        <v>0</v>
      </c>
      <c r="DR9" s="60">
        <f t="shared" si="32"/>
        <v>0</v>
      </c>
      <c r="DS9" s="13">
        <v>6</v>
      </c>
      <c r="DT9" s="19"/>
      <c r="DU9" s="12">
        <v>-15</v>
      </c>
      <c r="DV9" s="60">
        <f t="shared" si="33"/>
        <v>5.1841914370561835</v>
      </c>
      <c r="DW9" s="13">
        <v>6</v>
      </c>
      <c r="DX9" s="19"/>
      <c r="DY9" s="19">
        <f t="shared" si="11"/>
        <v>-15</v>
      </c>
      <c r="DZ9" s="12">
        <f t="shared" si="12"/>
        <v>3.6657769201116603</v>
      </c>
      <c r="EA9" s="72">
        <f t="shared" si="13"/>
        <v>4.479306809341109</v>
      </c>
      <c r="EB9" s="72">
        <f t="shared" si="14"/>
        <v>4.4793068093411099</v>
      </c>
      <c r="EC9" s="12"/>
      <c r="ED9" s="12"/>
      <c r="EE9" s="11" t="s">
        <v>37</v>
      </c>
      <c r="EF9" s="11" t="s">
        <v>37</v>
      </c>
      <c r="EG9" s="11" t="s">
        <v>37</v>
      </c>
      <c r="EH9" s="19"/>
      <c r="EI9" s="12" t="s">
        <v>37</v>
      </c>
      <c r="EJ9" s="20" t="s">
        <v>37</v>
      </c>
      <c r="EK9" s="11" t="s">
        <v>37</v>
      </c>
      <c r="EL9" s="19"/>
      <c r="EM9" s="19"/>
      <c r="EN9" s="19"/>
      <c r="EO9" s="19"/>
      <c r="EP9" s="19"/>
      <c r="EQ9" s="32"/>
      <c r="ER9" s="11" t="s">
        <v>37</v>
      </c>
      <c r="ES9" s="11" t="s">
        <v>37</v>
      </c>
      <c r="ET9" s="11" t="s">
        <v>37</v>
      </c>
      <c r="EU9" s="19"/>
      <c r="EV9" s="13" t="s">
        <v>37</v>
      </c>
      <c r="EW9" s="11" t="s">
        <v>37</v>
      </c>
      <c r="EX9" s="11" t="s">
        <v>37</v>
      </c>
      <c r="EY9" s="19"/>
      <c r="EZ9" s="19"/>
      <c r="FA9" s="19"/>
      <c r="FB9" s="19"/>
      <c r="FC9" s="32"/>
      <c r="FD9" s="11" t="s">
        <v>37</v>
      </c>
      <c r="FE9" s="11" t="s">
        <v>37</v>
      </c>
      <c r="FF9" s="11" t="s">
        <v>37</v>
      </c>
      <c r="FG9" s="13" t="s">
        <v>37</v>
      </c>
      <c r="FH9" s="11" t="s">
        <v>37</v>
      </c>
      <c r="FI9" s="11" t="s">
        <v>37</v>
      </c>
      <c r="FJ9" s="19"/>
      <c r="FK9" s="19"/>
      <c r="FL9" s="19"/>
      <c r="FM9" s="32"/>
      <c r="FN9" s="11" t="s">
        <v>37</v>
      </c>
      <c r="FO9" s="11" t="s">
        <v>37</v>
      </c>
      <c r="FP9" s="11" t="s">
        <v>37</v>
      </c>
      <c r="FQ9" s="13" t="s">
        <v>37</v>
      </c>
      <c r="FR9" s="11" t="s">
        <v>37</v>
      </c>
      <c r="FS9" s="11" t="s">
        <v>37</v>
      </c>
      <c r="FT9" s="19"/>
      <c r="FU9" s="19"/>
      <c r="FV9" s="19"/>
      <c r="FW9" s="12" t="s">
        <v>90</v>
      </c>
      <c r="FX9" s="12" t="s">
        <v>330</v>
      </c>
      <c r="FY9" s="12">
        <v>95</v>
      </c>
      <c r="FZ9" s="12">
        <v>1</v>
      </c>
      <c r="GA9" s="13">
        <v>6</v>
      </c>
      <c r="GB9" s="12">
        <v>55</v>
      </c>
      <c r="GC9" s="12">
        <v>1.2</v>
      </c>
      <c r="GD9" s="13">
        <v>6</v>
      </c>
      <c r="GE9" s="19">
        <f>LN(GB9/FY9)</f>
        <v>-0.54654370636806993</v>
      </c>
      <c r="GF9" s="19">
        <f>GC9^2/(GD9*GB9^2)+FZ9^2/(GA9*FY9^2)</f>
        <v>9.7806063658493778E-5</v>
      </c>
      <c r="GG9" s="12"/>
      <c r="GH9" s="12"/>
      <c r="GI9" s="12" t="s">
        <v>37</v>
      </c>
      <c r="GJ9" s="12" t="s">
        <v>37</v>
      </c>
      <c r="GK9" s="13" t="s">
        <v>37</v>
      </c>
      <c r="GL9" s="19"/>
      <c r="GM9" s="12" t="s">
        <v>37</v>
      </c>
      <c r="GN9" s="12" t="s">
        <v>37</v>
      </c>
      <c r="GO9" s="13" t="s">
        <v>37</v>
      </c>
      <c r="GP9" s="19"/>
      <c r="GQ9" s="19"/>
      <c r="GR9" s="19"/>
      <c r="GS9" s="17"/>
      <c r="GT9" s="34"/>
      <c r="GU9" s="12" t="s">
        <v>37</v>
      </c>
      <c r="GV9" s="12" t="s">
        <v>37</v>
      </c>
      <c r="GW9" s="12" t="s">
        <v>37</v>
      </c>
      <c r="GX9" s="19"/>
      <c r="GY9" s="12" t="s">
        <v>37</v>
      </c>
      <c r="GZ9" s="12" t="s">
        <v>37</v>
      </c>
      <c r="HA9" s="12" t="s">
        <v>37</v>
      </c>
      <c r="HB9" s="19"/>
      <c r="HC9" s="19"/>
      <c r="HD9" s="19"/>
      <c r="HE9" s="34"/>
      <c r="HF9" s="12" t="s">
        <v>37</v>
      </c>
      <c r="HG9" s="12" t="s">
        <v>37</v>
      </c>
      <c r="HH9" s="13" t="s">
        <v>37</v>
      </c>
      <c r="HI9" s="12" t="s">
        <v>37</v>
      </c>
      <c r="HJ9" s="12" t="s">
        <v>37</v>
      </c>
      <c r="HK9" s="13" t="s">
        <v>37</v>
      </c>
      <c r="HL9" s="13"/>
      <c r="HM9" s="13"/>
      <c r="HN9" s="34"/>
      <c r="HO9" s="12" t="s">
        <v>37</v>
      </c>
      <c r="HP9" s="12" t="s">
        <v>37</v>
      </c>
      <c r="HQ9" s="13" t="s">
        <v>37</v>
      </c>
      <c r="HR9" s="12" t="s">
        <v>37</v>
      </c>
      <c r="HS9" s="12" t="s">
        <v>37</v>
      </c>
      <c r="HT9" s="13" t="s">
        <v>37</v>
      </c>
      <c r="HU9" s="13"/>
      <c r="HV9" s="13"/>
      <c r="HW9" s="12"/>
      <c r="HX9" s="12"/>
      <c r="HY9" s="12" t="s">
        <v>37</v>
      </c>
      <c r="HZ9" s="12" t="s">
        <v>37</v>
      </c>
      <c r="IA9" s="13" t="s">
        <v>37</v>
      </c>
      <c r="IB9" s="12" t="s">
        <v>37</v>
      </c>
      <c r="IC9" s="12" t="s">
        <v>37</v>
      </c>
      <c r="ID9" s="13" t="s">
        <v>37</v>
      </c>
      <c r="IE9" s="12"/>
      <c r="IF9" s="32"/>
      <c r="IG9" s="12" t="s">
        <v>37</v>
      </c>
      <c r="IH9" s="12" t="s">
        <v>37</v>
      </c>
      <c r="II9" s="13" t="s">
        <v>37</v>
      </c>
      <c r="IJ9" s="19"/>
      <c r="IK9" s="12" t="s">
        <v>37</v>
      </c>
      <c r="IL9" s="12" t="s">
        <v>37</v>
      </c>
      <c r="IM9" s="13" t="s">
        <v>37</v>
      </c>
      <c r="IN9" s="19"/>
      <c r="IO9" s="19"/>
      <c r="IP9" s="19"/>
      <c r="IQ9" s="32"/>
      <c r="IR9" s="12" t="s">
        <v>37</v>
      </c>
      <c r="IS9" s="12" t="s">
        <v>37</v>
      </c>
      <c r="IT9" s="13" t="s">
        <v>37</v>
      </c>
      <c r="IU9" s="12" t="s">
        <v>37</v>
      </c>
      <c r="IV9" s="12" t="s">
        <v>37</v>
      </c>
      <c r="IW9" s="12" t="s">
        <v>37</v>
      </c>
      <c r="IX9" s="32"/>
      <c r="IY9" s="12" t="s">
        <v>37</v>
      </c>
      <c r="IZ9" s="12" t="s">
        <v>37</v>
      </c>
      <c r="JA9" s="13" t="s">
        <v>37</v>
      </c>
      <c r="JB9" s="12" t="s">
        <v>37</v>
      </c>
      <c r="JC9" s="12" t="s">
        <v>37</v>
      </c>
      <c r="JD9" s="12" t="s">
        <v>37</v>
      </c>
      <c r="JE9" s="12"/>
      <c r="JF9" s="12"/>
      <c r="JG9" s="11" t="s">
        <v>37</v>
      </c>
      <c r="JH9" s="11" t="s">
        <v>37</v>
      </c>
      <c r="JI9" s="13" t="s">
        <v>37</v>
      </c>
      <c r="JJ9" s="11" t="s">
        <v>37</v>
      </c>
      <c r="JK9" s="11" t="s">
        <v>37</v>
      </c>
      <c r="JL9" s="11" t="s">
        <v>37</v>
      </c>
      <c r="JM9" s="12"/>
      <c r="JN9" s="32"/>
      <c r="JO9" s="12" t="s">
        <v>37</v>
      </c>
      <c r="JP9" s="12" t="s">
        <v>37</v>
      </c>
      <c r="JQ9" s="11" t="s">
        <v>37</v>
      </c>
      <c r="JR9" s="19"/>
      <c r="JS9" s="12" t="s">
        <v>37</v>
      </c>
      <c r="JT9" s="12" t="s">
        <v>37</v>
      </c>
      <c r="JU9" s="13" t="s">
        <v>37</v>
      </c>
      <c r="JV9" s="19"/>
      <c r="JW9" s="19"/>
      <c r="JX9" s="19"/>
      <c r="JY9" s="32"/>
      <c r="JZ9" s="12" t="s">
        <v>37</v>
      </c>
      <c r="KA9" s="12" t="s">
        <v>37</v>
      </c>
      <c r="KB9" s="13" t="s">
        <v>37</v>
      </c>
      <c r="KC9" s="12" t="s">
        <v>37</v>
      </c>
      <c r="KD9" s="12" t="s">
        <v>37</v>
      </c>
      <c r="KE9" s="13" t="s">
        <v>37</v>
      </c>
      <c r="KF9" s="13"/>
      <c r="KG9" s="13"/>
      <c r="KH9" s="32"/>
      <c r="KI9" s="12" t="s">
        <v>37</v>
      </c>
      <c r="KJ9" s="12" t="s">
        <v>37</v>
      </c>
      <c r="KK9" s="12" t="s">
        <v>37</v>
      </c>
      <c r="KL9" s="12" t="s">
        <v>37</v>
      </c>
      <c r="KM9" s="12" t="s">
        <v>37</v>
      </c>
      <c r="KN9" s="12" t="s">
        <v>37</v>
      </c>
      <c r="KO9" s="12"/>
      <c r="KP9" s="12"/>
      <c r="KQ9" s="12"/>
      <c r="KR9" s="12"/>
      <c r="KS9" s="12" t="s">
        <v>37</v>
      </c>
      <c r="KT9" s="12" t="s">
        <v>37</v>
      </c>
      <c r="KU9" s="13" t="s">
        <v>37</v>
      </c>
      <c r="KV9" s="19"/>
      <c r="KW9" s="12" t="s">
        <v>37</v>
      </c>
      <c r="KX9" s="12" t="s">
        <v>37</v>
      </c>
      <c r="KY9" s="12" t="s">
        <v>37</v>
      </c>
      <c r="KZ9" s="19"/>
      <c r="LA9" s="19"/>
      <c r="LB9" s="19"/>
      <c r="LC9" s="12"/>
      <c r="LD9" s="12" t="s">
        <v>37</v>
      </c>
      <c r="LE9" s="12" t="s">
        <v>37</v>
      </c>
      <c r="LF9" s="12" t="s">
        <v>37</v>
      </c>
      <c r="LG9" s="19" t="str">
        <f t="shared" si="19"/>
        <v>/</v>
      </c>
      <c r="LH9" s="19" t="str">
        <f t="shared" si="20"/>
        <v>/</v>
      </c>
      <c r="LI9" s="13" t="str">
        <f t="shared" si="21"/>
        <v>/</v>
      </c>
      <c r="LJ9" s="13"/>
      <c r="LK9" s="13"/>
      <c r="LL9" s="12"/>
      <c r="LM9" s="12" t="s">
        <v>37</v>
      </c>
      <c r="LN9" s="12" t="s">
        <v>37</v>
      </c>
      <c r="LO9" s="12" t="s">
        <v>37</v>
      </c>
      <c r="LP9" s="12" t="s">
        <v>37</v>
      </c>
      <c r="LQ9" s="12" t="s">
        <v>37</v>
      </c>
      <c r="LR9" s="12" t="s">
        <v>37</v>
      </c>
      <c r="LS9" s="12"/>
      <c r="LT9" s="12"/>
      <c r="LU9" s="12" t="s">
        <v>37</v>
      </c>
      <c r="LV9" s="12" t="s">
        <v>37</v>
      </c>
      <c r="LW9" s="13" t="s">
        <v>37</v>
      </c>
      <c r="LX9" s="12" t="s">
        <v>37</v>
      </c>
      <c r="LY9" s="12" t="s">
        <v>37</v>
      </c>
      <c r="LZ9" s="13" t="s">
        <v>37</v>
      </c>
      <c r="MA9" s="13"/>
      <c r="MB9" s="13"/>
      <c r="MC9" s="12"/>
      <c r="MD9" s="12"/>
      <c r="ME9" s="12" t="s">
        <v>37</v>
      </c>
      <c r="MF9" s="12" t="s">
        <v>37</v>
      </c>
      <c r="MG9" s="13" t="s">
        <v>37</v>
      </c>
      <c r="MH9" s="12" t="s">
        <v>37</v>
      </c>
      <c r="MI9" s="12" t="s">
        <v>37</v>
      </c>
      <c r="MJ9" s="13" t="s">
        <v>37</v>
      </c>
      <c r="MK9" s="13"/>
      <c r="ML9" s="13"/>
      <c r="MM9" s="12"/>
      <c r="MN9" s="12"/>
      <c r="MO9" s="11" t="s">
        <v>37</v>
      </c>
      <c r="MP9" s="11" t="s">
        <v>37</v>
      </c>
      <c r="MQ9" s="13" t="s">
        <v>37</v>
      </c>
      <c r="MR9" s="11" t="s">
        <v>37</v>
      </c>
      <c r="MS9" s="11" t="s">
        <v>37</v>
      </c>
      <c r="MT9" s="13" t="s">
        <v>37</v>
      </c>
      <c r="MU9" s="13"/>
      <c r="MV9" s="13"/>
      <c r="MW9" s="12"/>
      <c r="MX9" s="12"/>
      <c r="MY9" s="11" t="s">
        <v>37</v>
      </c>
      <c r="MZ9" s="11" t="s">
        <v>37</v>
      </c>
      <c r="NA9" s="11" t="s">
        <v>37</v>
      </c>
      <c r="NB9" s="11" t="s">
        <v>37</v>
      </c>
      <c r="NC9" s="11" t="s">
        <v>37</v>
      </c>
      <c r="ND9" s="11" t="s">
        <v>37</v>
      </c>
      <c r="NE9" s="11"/>
      <c r="NF9" s="11"/>
      <c r="NG9" s="12"/>
      <c r="NH9" s="12"/>
      <c r="NI9" s="11" t="s">
        <v>37</v>
      </c>
      <c r="NJ9" s="11" t="s">
        <v>37</v>
      </c>
      <c r="NK9" s="13" t="s">
        <v>37</v>
      </c>
      <c r="NL9" s="11" t="s">
        <v>37</v>
      </c>
      <c r="NM9" s="11" t="s">
        <v>37</v>
      </c>
      <c r="NN9" s="13" t="s">
        <v>37</v>
      </c>
      <c r="NO9" s="13"/>
      <c r="NP9" s="13"/>
      <c r="NQ9" s="12"/>
      <c r="NR9" s="12"/>
      <c r="NS9" s="11" t="s">
        <v>37</v>
      </c>
      <c r="NT9" s="11" t="s">
        <v>37</v>
      </c>
      <c r="NU9" s="13" t="s">
        <v>37</v>
      </c>
      <c r="NV9" s="11" t="s">
        <v>37</v>
      </c>
      <c r="NW9" s="11" t="s">
        <v>37</v>
      </c>
      <c r="NX9" s="13" t="s">
        <v>37</v>
      </c>
      <c r="NY9" s="13"/>
      <c r="NZ9" s="13"/>
      <c r="OA9" s="12"/>
      <c r="OB9" s="12"/>
      <c r="OC9" s="11" t="s">
        <v>37</v>
      </c>
      <c r="OD9" s="11" t="s">
        <v>37</v>
      </c>
      <c r="OE9" s="13" t="s">
        <v>37</v>
      </c>
      <c r="OF9" s="11" t="s">
        <v>37</v>
      </c>
      <c r="OG9" s="11" t="s">
        <v>37</v>
      </c>
      <c r="OH9" s="13" t="s">
        <v>37</v>
      </c>
      <c r="OI9" s="13"/>
      <c r="OJ9" s="13"/>
      <c r="OK9" s="12"/>
      <c r="OL9" s="12" t="s">
        <v>37</v>
      </c>
      <c r="OM9" s="12" t="s">
        <v>37</v>
      </c>
      <c r="ON9" s="11" t="s">
        <v>37</v>
      </c>
      <c r="OO9" s="12" t="s">
        <v>37</v>
      </c>
      <c r="OP9" s="12" t="s">
        <v>37</v>
      </c>
      <c r="OQ9" s="12" t="s">
        <v>37</v>
      </c>
      <c r="OR9" s="12"/>
      <c r="OS9" s="12" t="s">
        <v>37</v>
      </c>
      <c r="OT9" s="12" t="s">
        <v>37</v>
      </c>
      <c r="OU9" s="12" t="s">
        <v>37</v>
      </c>
      <c r="OV9" s="12" t="s">
        <v>37</v>
      </c>
      <c r="OW9" s="12" t="s">
        <v>37</v>
      </c>
      <c r="OX9" s="12" t="s">
        <v>37</v>
      </c>
      <c r="OY9" s="12"/>
      <c r="OZ9" s="12"/>
      <c r="PA9" s="11" t="s">
        <v>37</v>
      </c>
      <c r="PB9" s="11" t="s">
        <v>37</v>
      </c>
      <c r="PC9" s="13" t="s">
        <v>37</v>
      </c>
      <c r="PD9" s="11" t="s">
        <v>37</v>
      </c>
      <c r="PE9" s="11" t="s">
        <v>37</v>
      </c>
      <c r="PF9" s="13" t="s">
        <v>37</v>
      </c>
      <c r="PG9" s="12"/>
      <c r="PH9" s="12"/>
      <c r="PI9" s="12" t="s">
        <v>37</v>
      </c>
      <c r="PJ9" s="12" t="s">
        <v>37</v>
      </c>
      <c r="PK9" s="13" t="s">
        <v>37</v>
      </c>
      <c r="PL9" s="12" t="s">
        <v>37</v>
      </c>
      <c r="PM9" s="12" t="s">
        <v>37</v>
      </c>
      <c r="PN9" s="13" t="s">
        <v>37</v>
      </c>
      <c r="PO9" s="12"/>
      <c r="PP9" s="12"/>
      <c r="PQ9" s="11" t="s">
        <v>37</v>
      </c>
      <c r="PR9" s="11" t="s">
        <v>37</v>
      </c>
      <c r="PS9" s="13" t="s">
        <v>37</v>
      </c>
      <c r="PT9" s="11" t="s">
        <v>37</v>
      </c>
      <c r="PU9" s="11" t="s">
        <v>37</v>
      </c>
      <c r="PV9" s="13" t="s">
        <v>37</v>
      </c>
      <c r="PW9" s="12"/>
      <c r="PX9" s="12"/>
      <c r="PY9" s="11" t="s">
        <v>37</v>
      </c>
      <c r="PZ9" s="11" t="s">
        <v>37</v>
      </c>
      <c r="QA9" s="11" t="s">
        <v>37</v>
      </c>
      <c r="QB9" s="11" t="s">
        <v>37</v>
      </c>
      <c r="QC9" s="11" t="s">
        <v>37</v>
      </c>
      <c r="QD9" s="11" t="s">
        <v>37</v>
      </c>
      <c r="QE9" s="12"/>
      <c r="QF9" s="12"/>
      <c r="QG9" s="11" t="s">
        <v>37</v>
      </c>
      <c r="QH9" s="11" t="s">
        <v>37</v>
      </c>
      <c r="QI9" s="13" t="s">
        <v>37</v>
      </c>
      <c r="QJ9" s="11" t="s">
        <v>37</v>
      </c>
      <c r="QK9" s="11" t="s">
        <v>37</v>
      </c>
      <c r="QL9" s="13" t="s">
        <v>37</v>
      </c>
      <c r="QM9" s="12"/>
      <c r="QN9" s="12"/>
      <c r="QO9" s="12" t="s">
        <v>37</v>
      </c>
      <c r="QP9" s="12" t="s">
        <v>37</v>
      </c>
      <c r="QQ9" s="13" t="s">
        <v>37</v>
      </c>
      <c r="QR9" s="12" t="s">
        <v>37</v>
      </c>
      <c r="QS9" s="12" t="s">
        <v>37</v>
      </c>
      <c r="QT9" s="13" t="s">
        <v>37</v>
      </c>
      <c r="QU9" s="13"/>
      <c r="QV9" s="13"/>
      <c r="QW9" s="12"/>
      <c r="QX9" s="12"/>
      <c r="QY9" s="12" t="s">
        <v>37</v>
      </c>
      <c r="QZ9" s="12" t="s">
        <v>37</v>
      </c>
      <c r="RA9" s="11" t="s">
        <v>37</v>
      </c>
      <c r="RB9" s="12" t="s">
        <v>37</v>
      </c>
      <c r="RC9" s="12" t="s">
        <v>37</v>
      </c>
      <c r="RD9" s="11" t="s">
        <v>37</v>
      </c>
      <c r="RE9" s="11"/>
      <c r="RF9" s="11"/>
      <c r="RG9" s="12"/>
      <c r="RH9" s="12"/>
      <c r="RI9" s="12" t="s">
        <v>37</v>
      </c>
      <c r="RJ9" s="12" t="s">
        <v>37</v>
      </c>
      <c r="RK9" s="11" t="s">
        <v>37</v>
      </c>
      <c r="RL9" s="12" t="s">
        <v>37</v>
      </c>
      <c r="RM9" s="12" t="s">
        <v>37</v>
      </c>
      <c r="RN9" s="11" t="s">
        <v>37</v>
      </c>
      <c r="RO9" s="11"/>
      <c r="RP9" s="11"/>
      <c r="RQ9" s="12"/>
      <c r="RR9" s="12"/>
      <c r="RS9" s="12" t="s">
        <v>37</v>
      </c>
      <c r="RT9" s="12" t="s">
        <v>37</v>
      </c>
      <c r="RU9" s="11" t="s">
        <v>37</v>
      </c>
      <c r="RV9" s="12" t="s">
        <v>37</v>
      </c>
      <c r="RW9" s="12" t="s">
        <v>37</v>
      </c>
      <c r="RX9" s="11" t="s">
        <v>37</v>
      </c>
      <c r="RY9" s="11"/>
      <c r="RZ9" s="11"/>
      <c r="SA9" s="12" t="s">
        <v>127</v>
      </c>
      <c r="SB9" s="12" t="s">
        <v>330</v>
      </c>
      <c r="SC9" s="13">
        <f>1.4*10^8</f>
        <v>140000000</v>
      </c>
      <c r="SD9" s="13">
        <f>3*10^7*SQRT(6)</f>
        <v>73484692.283495337</v>
      </c>
      <c r="SE9" s="13">
        <v>6</v>
      </c>
      <c r="SF9" s="13">
        <f>2.1*10^7</f>
        <v>21000000</v>
      </c>
      <c r="SG9" s="13">
        <f>2.7*10^6*SQRT(6)</f>
        <v>6613622.3055145806</v>
      </c>
      <c r="SH9" s="11">
        <v>6</v>
      </c>
      <c r="SI9" s="19">
        <f>LN(SF9/SC9)</f>
        <v>-1.8971199848858813</v>
      </c>
      <c r="SJ9" s="19">
        <f>SG9^2/(SH9*SF9^2)+SD9^2/(SE9*SC9^2)</f>
        <v>6.244897959183672E-2</v>
      </c>
      <c r="SK9" s="12"/>
      <c r="SL9" s="12"/>
      <c r="SM9" s="12" t="s">
        <v>37</v>
      </c>
      <c r="SN9" s="12" t="s">
        <v>37</v>
      </c>
      <c r="SO9" s="13" t="s">
        <v>37</v>
      </c>
      <c r="SP9" s="12" t="s">
        <v>37</v>
      </c>
      <c r="SQ9" s="12" t="s">
        <v>37</v>
      </c>
      <c r="SR9" s="13" t="s">
        <v>37</v>
      </c>
      <c r="SS9" s="13"/>
      <c r="ST9" s="13"/>
      <c r="SU9" s="12"/>
      <c r="SV9" s="12"/>
      <c r="SW9" s="12" t="s">
        <v>37</v>
      </c>
      <c r="SX9" s="12" t="s">
        <v>37</v>
      </c>
      <c r="SY9" s="13" t="s">
        <v>37</v>
      </c>
      <c r="SZ9" s="12" t="s">
        <v>37</v>
      </c>
      <c r="TA9" s="12" t="s">
        <v>37</v>
      </c>
      <c r="TB9" s="13" t="s">
        <v>37</v>
      </c>
      <c r="TC9" s="13"/>
      <c r="TD9" s="13"/>
      <c r="TE9" s="12" t="s">
        <v>127</v>
      </c>
      <c r="TF9" s="12" t="s">
        <v>330</v>
      </c>
      <c r="TG9" s="13">
        <f>1.4*10^8</f>
        <v>140000000</v>
      </c>
      <c r="TH9" s="13">
        <f>2*10^7*SQRT(6)</f>
        <v>48989794.85566356</v>
      </c>
      <c r="TI9" s="13">
        <v>6</v>
      </c>
      <c r="TJ9" s="13">
        <f>1.7*10^7</f>
        <v>17000000</v>
      </c>
      <c r="TK9" s="13">
        <f>3.4*10^6*SQRT(6)</f>
        <v>8328265.1254628049</v>
      </c>
      <c r="TL9" s="13">
        <v>6</v>
      </c>
      <c r="TM9" s="19">
        <f>LN(TJ9/TG9)</f>
        <v>-2.1084290785530881</v>
      </c>
      <c r="TN9" s="19">
        <f>TK9^2/(TL9*TJ9^2)+TH9^2/(TI9*TG9^2)</f>
        <v>6.0408163265306111E-2</v>
      </c>
      <c r="TO9" s="12"/>
      <c r="TP9" s="12"/>
      <c r="TQ9" s="13" t="s">
        <v>37</v>
      </c>
      <c r="TR9" s="13" t="s">
        <v>37</v>
      </c>
      <c r="TS9" s="13" t="s">
        <v>37</v>
      </c>
      <c r="TT9" s="19"/>
      <c r="TU9" s="13" t="s">
        <v>37</v>
      </c>
      <c r="TV9" s="13" t="s">
        <v>37</v>
      </c>
      <c r="TW9" s="13" t="s">
        <v>37</v>
      </c>
    </row>
    <row r="10" spans="1:546" ht="15.6" x14ac:dyDescent="0.3">
      <c r="A10" s="11">
        <v>4</v>
      </c>
      <c r="B10" s="16" t="s">
        <v>126</v>
      </c>
      <c r="C10" s="12" t="s">
        <v>26</v>
      </c>
      <c r="D10" s="12" t="s">
        <v>609</v>
      </c>
      <c r="E10" s="16" t="s">
        <v>37</v>
      </c>
      <c r="F10" s="14">
        <v>0</v>
      </c>
      <c r="G10" s="14">
        <v>0</v>
      </c>
      <c r="H10" s="16" t="s">
        <v>131</v>
      </c>
      <c r="I10" s="29">
        <v>53.308</v>
      </c>
      <c r="J10" s="29">
        <v>-4.2530000000000001</v>
      </c>
      <c r="K10" s="12" t="s">
        <v>566</v>
      </c>
      <c r="L10" s="12" t="s">
        <v>567</v>
      </c>
      <c r="M10" s="13" t="s">
        <v>37</v>
      </c>
      <c r="N10" s="14" t="s">
        <v>37</v>
      </c>
      <c r="O10" s="14" t="s">
        <v>37</v>
      </c>
      <c r="P10" s="14" t="s">
        <v>16</v>
      </c>
      <c r="Q10" s="11" t="s">
        <v>226</v>
      </c>
      <c r="R10" s="11" t="s">
        <v>37</v>
      </c>
      <c r="S10" s="12" t="s">
        <v>85</v>
      </c>
      <c r="T10" s="12" t="s">
        <v>138</v>
      </c>
      <c r="U10" s="12" t="s">
        <v>158</v>
      </c>
      <c r="V10" s="12" t="s">
        <v>275</v>
      </c>
      <c r="W10" s="23" t="s">
        <v>130</v>
      </c>
      <c r="X10" s="12" t="s">
        <v>281</v>
      </c>
      <c r="Y10" s="12" t="s">
        <v>69</v>
      </c>
      <c r="Z10" s="12" t="s">
        <v>37</v>
      </c>
      <c r="AA10" s="32">
        <v>2006</v>
      </c>
      <c r="AB10" s="13" t="s">
        <v>37</v>
      </c>
      <c r="AC10" s="13" t="s">
        <v>37</v>
      </c>
      <c r="AD10" s="13" t="s">
        <v>37</v>
      </c>
      <c r="AE10" s="13" t="s">
        <v>74</v>
      </c>
      <c r="AF10" s="12" t="s">
        <v>489</v>
      </c>
      <c r="AG10" s="12"/>
      <c r="AH10" s="32"/>
      <c r="AI10" s="12" t="s">
        <v>37</v>
      </c>
      <c r="AJ10" s="12" t="s">
        <v>37</v>
      </c>
      <c r="AK10" s="11" t="s">
        <v>37</v>
      </c>
      <c r="AL10" s="19"/>
      <c r="AM10" s="12" t="s">
        <v>37</v>
      </c>
      <c r="AN10" s="12" t="s">
        <v>37</v>
      </c>
      <c r="AO10" s="13" t="s">
        <v>37</v>
      </c>
      <c r="AP10" s="19"/>
      <c r="AQ10" s="49"/>
      <c r="AR10" s="49"/>
      <c r="AS10" s="32"/>
      <c r="AT10" s="12" t="s">
        <v>37</v>
      </c>
      <c r="AU10" s="12" t="s">
        <v>37</v>
      </c>
      <c r="AV10" s="13" t="s">
        <v>37</v>
      </c>
      <c r="AW10" s="12" t="s">
        <v>37</v>
      </c>
      <c r="AX10" s="12" t="s">
        <v>37</v>
      </c>
      <c r="AY10" s="13" t="s">
        <v>37</v>
      </c>
      <c r="AZ10" s="13"/>
      <c r="BA10" s="13"/>
      <c r="BB10" s="12"/>
      <c r="BC10" s="12" t="s">
        <v>37</v>
      </c>
      <c r="BD10" s="12" t="s">
        <v>37</v>
      </c>
      <c r="BE10" s="13" t="s">
        <v>37</v>
      </c>
      <c r="BF10" s="12" t="s">
        <v>37</v>
      </c>
      <c r="BG10" s="12" t="s">
        <v>37</v>
      </c>
      <c r="BH10" s="12" t="s">
        <v>37</v>
      </c>
      <c r="BI10" s="12"/>
      <c r="BJ10" s="15" t="s">
        <v>37</v>
      </c>
      <c r="BK10" s="15" t="s">
        <v>37</v>
      </c>
      <c r="BL10" s="18" t="s">
        <v>37</v>
      </c>
      <c r="BM10" s="15" t="s">
        <v>37</v>
      </c>
      <c r="BN10" s="15" t="s">
        <v>37</v>
      </c>
      <c r="BO10" s="18" t="s">
        <v>37</v>
      </c>
      <c r="BP10" s="19"/>
      <c r="BQ10" s="19"/>
      <c r="BR10" s="19"/>
      <c r="BS10" s="19"/>
      <c r="BT10" s="12"/>
      <c r="BU10" s="15" t="s">
        <v>37</v>
      </c>
      <c r="BV10" s="15" t="s">
        <v>37</v>
      </c>
      <c r="BW10" s="18" t="s">
        <v>37</v>
      </c>
      <c r="BX10" s="15" t="s">
        <v>37</v>
      </c>
      <c r="BY10" s="15" t="s">
        <v>37</v>
      </c>
      <c r="BZ10" s="18" t="s">
        <v>37</v>
      </c>
      <c r="CA10" s="19"/>
      <c r="CB10" s="19"/>
      <c r="CC10" s="19"/>
      <c r="CD10" s="19"/>
      <c r="CE10" s="12"/>
      <c r="CF10" s="15" t="s">
        <v>37</v>
      </c>
      <c r="CG10" s="15" t="s">
        <v>37</v>
      </c>
      <c r="CH10" s="18" t="s">
        <v>37</v>
      </c>
      <c r="CI10" s="15" t="s">
        <v>37</v>
      </c>
      <c r="CJ10" s="15" t="s">
        <v>37</v>
      </c>
      <c r="CK10" s="18" t="s">
        <v>37</v>
      </c>
      <c r="CL10" s="19"/>
      <c r="CM10" s="19"/>
      <c r="CN10" s="19"/>
      <c r="CO10" s="19"/>
      <c r="CP10" s="20"/>
      <c r="CQ10" s="12" t="s">
        <v>37</v>
      </c>
      <c r="CR10" s="19" t="s">
        <v>37</v>
      </c>
      <c r="CS10" s="12" t="s">
        <v>37</v>
      </c>
      <c r="CT10" s="19"/>
      <c r="CU10" s="12" t="s">
        <v>37</v>
      </c>
      <c r="CV10" s="19" t="s">
        <v>37</v>
      </c>
      <c r="CW10" s="12" t="s">
        <v>37</v>
      </c>
      <c r="CX10" s="19"/>
      <c r="CY10" s="68"/>
      <c r="CZ10" s="68"/>
      <c r="DA10" s="68"/>
      <c r="DB10" s="68"/>
      <c r="DC10" s="20"/>
      <c r="DD10" s="12" t="s">
        <v>37</v>
      </c>
      <c r="DE10" s="68" t="s">
        <v>37</v>
      </c>
      <c r="DF10" s="20" t="s">
        <v>37</v>
      </c>
      <c r="DG10" s="19"/>
      <c r="DH10" s="12" t="s">
        <v>37</v>
      </c>
      <c r="DI10" s="68" t="s">
        <v>37</v>
      </c>
      <c r="DJ10" s="20" t="s">
        <v>37</v>
      </c>
      <c r="DK10" s="19"/>
      <c r="DL10" s="68"/>
      <c r="DM10" s="68"/>
      <c r="DN10" s="68"/>
      <c r="DO10" s="68"/>
      <c r="DP10" s="12" t="s">
        <v>39</v>
      </c>
      <c r="DQ10" s="12">
        <v>-1</v>
      </c>
      <c r="DR10" s="60">
        <f t="shared" si="32"/>
        <v>0.40400000000000003</v>
      </c>
      <c r="DS10" s="13">
        <v>6</v>
      </c>
      <c r="DT10" s="19"/>
      <c r="DU10" s="12">
        <v>-15</v>
      </c>
      <c r="DV10" s="60">
        <f t="shared" si="33"/>
        <v>5.1841914370561835</v>
      </c>
      <c r="DW10" s="13">
        <v>6</v>
      </c>
      <c r="DX10" s="19"/>
      <c r="DY10" s="19">
        <f t="shared" si="11"/>
        <v>-14</v>
      </c>
      <c r="DZ10" s="12">
        <f t="shared" si="12"/>
        <v>3.676891136275771</v>
      </c>
      <c r="EA10" s="72">
        <f t="shared" si="13"/>
        <v>4.5065094760077766</v>
      </c>
      <c r="EB10" s="72">
        <f t="shared" si="14"/>
        <v>4.5065094760077766</v>
      </c>
      <c r="EC10" s="12"/>
      <c r="ED10" s="12"/>
      <c r="EE10" s="11" t="s">
        <v>37</v>
      </c>
      <c r="EF10" s="11" t="s">
        <v>37</v>
      </c>
      <c r="EG10" s="11" t="s">
        <v>37</v>
      </c>
      <c r="EH10" s="19"/>
      <c r="EI10" s="12" t="s">
        <v>37</v>
      </c>
      <c r="EJ10" s="20" t="s">
        <v>37</v>
      </c>
      <c r="EK10" s="11" t="s">
        <v>37</v>
      </c>
      <c r="EL10" s="19"/>
      <c r="EM10" s="19"/>
      <c r="EN10" s="19"/>
      <c r="EO10" s="19"/>
      <c r="EP10" s="19"/>
      <c r="EQ10" s="32"/>
      <c r="ER10" s="11" t="s">
        <v>37</v>
      </c>
      <c r="ES10" s="11" t="s">
        <v>37</v>
      </c>
      <c r="ET10" s="11" t="s">
        <v>37</v>
      </c>
      <c r="EU10" s="19"/>
      <c r="EV10" s="13" t="s">
        <v>37</v>
      </c>
      <c r="EW10" s="11" t="s">
        <v>37</v>
      </c>
      <c r="EX10" s="11" t="s">
        <v>37</v>
      </c>
      <c r="EY10" s="19"/>
      <c r="EZ10" s="19"/>
      <c r="FA10" s="19"/>
      <c r="FB10" s="19"/>
      <c r="FC10" s="32"/>
      <c r="FD10" s="11" t="s">
        <v>37</v>
      </c>
      <c r="FE10" s="11" t="s">
        <v>37</v>
      </c>
      <c r="FF10" s="11" t="s">
        <v>37</v>
      </c>
      <c r="FG10" s="13" t="s">
        <v>37</v>
      </c>
      <c r="FH10" s="11" t="s">
        <v>37</v>
      </c>
      <c r="FI10" s="11" t="s">
        <v>37</v>
      </c>
      <c r="FJ10" s="19"/>
      <c r="FK10" s="19"/>
      <c r="FL10" s="19"/>
      <c r="FM10" s="32"/>
      <c r="FN10" s="11" t="s">
        <v>37</v>
      </c>
      <c r="FO10" s="11" t="s">
        <v>37</v>
      </c>
      <c r="FP10" s="11" t="s">
        <v>37</v>
      </c>
      <c r="FQ10" s="13" t="s">
        <v>37</v>
      </c>
      <c r="FR10" s="11" t="s">
        <v>37</v>
      </c>
      <c r="FS10" s="11" t="s">
        <v>37</v>
      </c>
      <c r="FT10" s="19"/>
      <c r="FU10" s="19"/>
      <c r="FV10" s="19"/>
      <c r="FW10" s="12" t="s">
        <v>90</v>
      </c>
      <c r="FX10" s="12" t="s">
        <v>330</v>
      </c>
      <c r="FY10" s="12">
        <v>88</v>
      </c>
      <c r="FZ10" s="12">
        <v>1.7</v>
      </c>
      <c r="GA10" s="13">
        <v>6</v>
      </c>
      <c r="GB10" s="12">
        <v>55</v>
      </c>
      <c r="GC10" s="12">
        <v>1.7</v>
      </c>
      <c r="GD10" s="13">
        <v>6</v>
      </c>
      <c r="GE10" s="19">
        <f t="shared" ref="GE10:GE11" si="34">LN(GB10/FY10)</f>
        <v>-0.47000362924573558</v>
      </c>
      <c r="GF10" s="19">
        <f t="shared" ref="GF10:GF11" si="35">GC10^2/(GD10*GB10^2)+FZ10^2/(GA10*FY10^2)</f>
        <v>2.2142734159779612E-4</v>
      </c>
      <c r="GG10" s="12"/>
      <c r="GH10" s="12"/>
      <c r="GI10" s="12" t="s">
        <v>37</v>
      </c>
      <c r="GJ10" s="12" t="s">
        <v>37</v>
      </c>
      <c r="GK10" s="13" t="s">
        <v>37</v>
      </c>
      <c r="GL10" s="19"/>
      <c r="GM10" s="12" t="s">
        <v>37</v>
      </c>
      <c r="GN10" s="12" t="s">
        <v>37</v>
      </c>
      <c r="GO10" s="13" t="s">
        <v>37</v>
      </c>
      <c r="GP10" s="19"/>
      <c r="GQ10" s="19"/>
      <c r="GR10" s="19"/>
      <c r="GS10" s="17"/>
      <c r="GT10" s="34"/>
      <c r="GU10" s="12" t="s">
        <v>37</v>
      </c>
      <c r="GV10" s="12" t="s">
        <v>37</v>
      </c>
      <c r="GW10" s="12" t="s">
        <v>37</v>
      </c>
      <c r="GX10" s="19"/>
      <c r="GY10" s="12" t="s">
        <v>37</v>
      </c>
      <c r="GZ10" s="12" t="s">
        <v>37</v>
      </c>
      <c r="HA10" s="12" t="s">
        <v>37</v>
      </c>
      <c r="HB10" s="19"/>
      <c r="HC10" s="19"/>
      <c r="HD10" s="19"/>
      <c r="HE10" s="34"/>
      <c r="HF10" s="12" t="s">
        <v>37</v>
      </c>
      <c r="HG10" s="12" t="s">
        <v>37</v>
      </c>
      <c r="HH10" s="13" t="s">
        <v>37</v>
      </c>
      <c r="HI10" s="12" t="s">
        <v>37</v>
      </c>
      <c r="HJ10" s="12" t="s">
        <v>37</v>
      </c>
      <c r="HK10" s="13" t="s">
        <v>37</v>
      </c>
      <c r="HL10" s="13"/>
      <c r="HM10" s="13"/>
      <c r="HN10" s="34"/>
      <c r="HO10" s="12" t="s">
        <v>37</v>
      </c>
      <c r="HP10" s="12" t="s">
        <v>37</v>
      </c>
      <c r="HQ10" s="13" t="s">
        <v>37</v>
      </c>
      <c r="HR10" s="12" t="s">
        <v>37</v>
      </c>
      <c r="HS10" s="12" t="s">
        <v>37</v>
      </c>
      <c r="HT10" s="13" t="s">
        <v>37</v>
      </c>
      <c r="HU10" s="13"/>
      <c r="HV10" s="13"/>
      <c r="HW10" s="12"/>
      <c r="HX10" s="12"/>
      <c r="HY10" s="12" t="s">
        <v>37</v>
      </c>
      <c r="HZ10" s="12" t="s">
        <v>37</v>
      </c>
      <c r="IA10" s="13" t="s">
        <v>37</v>
      </c>
      <c r="IB10" s="12" t="s">
        <v>37</v>
      </c>
      <c r="IC10" s="12" t="s">
        <v>37</v>
      </c>
      <c r="ID10" s="13" t="s">
        <v>37</v>
      </c>
      <c r="IE10" s="12"/>
      <c r="IF10" s="32"/>
      <c r="IG10" s="12" t="s">
        <v>37</v>
      </c>
      <c r="IH10" s="12" t="s">
        <v>37</v>
      </c>
      <c r="II10" s="13" t="s">
        <v>37</v>
      </c>
      <c r="IJ10" s="19"/>
      <c r="IK10" s="12" t="s">
        <v>37</v>
      </c>
      <c r="IL10" s="12" t="s">
        <v>37</v>
      </c>
      <c r="IM10" s="13" t="s">
        <v>37</v>
      </c>
      <c r="IN10" s="19"/>
      <c r="IO10" s="19"/>
      <c r="IP10" s="19"/>
      <c r="IQ10" s="32"/>
      <c r="IR10" s="12" t="s">
        <v>37</v>
      </c>
      <c r="IS10" s="12" t="s">
        <v>37</v>
      </c>
      <c r="IT10" s="13" t="s">
        <v>37</v>
      </c>
      <c r="IU10" s="12" t="s">
        <v>37</v>
      </c>
      <c r="IV10" s="12" t="s">
        <v>37</v>
      </c>
      <c r="IW10" s="12" t="s">
        <v>37</v>
      </c>
      <c r="IX10" s="32"/>
      <c r="IY10" s="12" t="s">
        <v>37</v>
      </c>
      <c r="IZ10" s="12" t="s">
        <v>37</v>
      </c>
      <c r="JA10" s="13" t="s">
        <v>37</v>
      </c>
      <c r="JB10" s="12" t="s">
        <v>37</v>
      </c>
      <c r="JC10" s="12" t="s">
        <v>37</v>
      </c>
      <c r="JD10" s="12" t="s">
        <v>37</v>
      </c>
      <c r="JE10" s="12"/>
      <c r="JF10" s="12"/>
      <c r="JG10" s="11" t="s">
        <v>37</v>
      </c>
      <c r="JH10" s="11" t="s">
        <v>37</v>
      </c>
      <c r="JI10" s="13" t="s">
        <v>37</v>
      </c>
      <c r="JJ10" s="11" t="s">
        <v>37</v>
      </c>
      <c r="JK10" s="11" t="s">
        <v>37</v>
      </c>
      <c r="JL10" s="11" t="s">
        <v>37</v>
      </c>
      <c r="JM10" s="12"/>
      <c r="JN10" s="32"/>
      <c r="JO10" s="12" t="s">
        <v>37</v>
      </c>
      <c r="JP10" s="12" t="s">
        <v>37</v>
      </c>
      <c r="JQ10" s="11" t="s">
        <v>37</v>
      </c>
      <c r="JR10" s="19"/>
      <c r="JS10" s="12" t="s">
        <v>37</v>
      </c>
      <c r="JT10" s="12" t="s">
        <v>37</v>
      </c>
      <c r="JU10" s="13" t="s">
        <v>37</v>
      </c>
      <c r="JV10" s="19"/>
      <c r="JW10" s="19"/>
      <c r="JX10" s="19"/>
      <c r="JY10" s="32"/>
      <c r="JZ10" s="12" t="s">
        <v>37</v>
      </c>
      <c r="KA10" s="12" t="s">
        <v>37</v>
      </c>
      <c r="KB10" s="13" t="s">
        <v>37</v>
      </c>
      <c r="KC10" s="12" t="s">
        <v>37</v>
      </c>
      <c r="KD10" s="12" t="s">
        <v>37</v>
      </c>
      <c r="KE10" s="13" t="s">
        <v>37</v>
      </c>
      <c r="KF10" s="13"/>
      <c r="KG10" s="13"/>
      <c r="KH10" s="32"/>
      <c r="KI10" s="12" t="s">
        <v>37</v>
      </c>
      <c r="KJ10" s="12" t="s">
        <v>37</v>
      </c>
      <c r="KK10" s="12" t="s">
        <v>37</v>
      </c>
      <c r="KL10" s="12" t="s">
        <v>37</v>
      </c>
      <c r="KM10" s="12" t="s">
        <v>37</v>
      </c>
      <c r="KN10" s="12" t="s">
        <v>37</v>
      </c>
      <c r="KO10" s="12"/>
      <c r="KP10" s="12"/>
      <c r="KQ10" s="12"/>
      <c r="KR10" s="12"/>
      <c r="KS10" s="12" t="s">
        <v>37</v>
      </c>
      <c r="KT10" s="12" t="s">
        <v>37</v>
      </c>
      <c r="KU10" s="13" t="s">
        <v>37</v>
      </c>
      <c r="KV10" s="19"/>
      <c r="KW10" s="12" t="s">
        <v>37</v>
      </c>
      <c r="KX10" s="12" t="s">
        <v>37</v>
      </c>
      <c r="KY10" s="12" t="s">
        <v>37</v>
      </c>
      <c r="KZ10" s="19"/>
      <c r="LA10" s="19"/>
      <c r="LB10" s="19"/>
      <c r="LC10" s="12"/>
      <c r="LD10" s="12" t="s">
        <v>37</v>
      </c>
      <c r="LE10" s="12" t="s">
        <v>37</v>
      </c>
      <c r="LF10" s="12" t="s">
        <v>37</v>
      </c>
      <c r="LG10" s="19" t="str">
        <f t="shared" si="19"/>
        <v>/</v>
      </c>
      <c r="LH10" s="19" t="str">
        <f t="shared" si="20"/>
        <v>/</v>
      </c>
      <c r="LI10" s="13" t="str">
        <f t="shared" si="21"/>
        <v>/</v>
      </c>
      <c r="LJ10" s="13"/>
      <c r="LK10" s="13"/>
      <c r="LL10" s="12"/>
      <c r="LM10" s="12" t="s">
        <v>37</v>
      </c>
      <c r="LN10" s="12" t="s">
        <v>37</v>
      </c>
      <c r="LO10" s="12" t="s">
        <v>37</v>
      </c>
      <c r="LP10" s="12" t="s">
        <v>37</v>
      </c>
      <c r="LQ10" s="12" t="s">
        <v>37</v>
      </c>
      <c r="LR10" s="12" t="s">
        <v>37</v>
      </c>
      <c r="LS10" s="12"/>
      <c r="LT10" s="12"/>
      <c r="LU10" s="12" t="s">
        <v>37</v>
      </c>
      <c r="LV10" s="12" t="s">
        <v>37</v>
      </c>
      <c r="LW10" s="13" t="s">
        <v>37</v>
      </c>
      <c r="LX10" s="12" t="s">
        <v>37</v>
      </c>
      <c r="LY10" s="12" t="s">
        <v>37</v>
      </c>
      <c r="LZ10" s="13" t="s">
        <v>37</v>
      </c>
      <c r="MA10" s="13"/>
      <c r="MB10" s="13"/>
      <c r="MC10" s="12"/>
      <c r="MD10" s="12"/>
      <c r="ME10" s="12" t="s">
        <v>37</v>
      </c>
      <c r="MF10" s="12" t="s">
        <v>37</v>
      </c>
      <c r="MG10" s="13" t="s">
        <v>37</v>
      </c>
      <c r="MH10" s="12" t="s">
        <v>37</v>
      </c>
      <c r="MI10" s="12" t="s">
        <v>37</v>
      </c>
      <c r="MJ10" s="13" t="s">
        <v>37</v>
      </c>
      <c r="MK10" s="13"/>
      <c r="ML10" s="13"/>
      <c r="MM10" s="12"/>
      <c r="MN10" s="12"/>
      <c r="MO10" s="11" t="s">
        <v>37</v>
      </c>
      <c r="MP10" s="11" t="s">
        <v>37</v>
      </c>
      <c r="MQ10" s="13" t="s">
        <v>37</v>
      </c>
      <c r="MR10" s="11" t="s">
        <v>37</v>
      </c>
      <c r="MS10" s="11" t="s">
        <v>37</v>
      </c>
      <c r="MT10" s="13" t="s">
        <v>37</v>
      </c>
      <c r="MU10" s="13"/>
      <c r="MV10" s="13"/>
      <c r="MW10" s="12"/>
      <c r="MX10" s="12"/>
      <c r="MY10" s="11" t="s">
        <v>37</v>
      </c>
      <c r="MZ10" s="11" t="s">
        <v>37</v>
      </c>
      <c r="NA10" s="11" t="s">
        <v>37</v>
      </c>
      <c r="NB10" s="11" t="s">
        <v>37</v>
      </c>
      <c r="NC10" s="11" t="s">
        <v>37</v>
      </c>
      <c r="ND10" s="11" t="s">
        <v>37</v>
      </c>
      <c r="NE10" s="11"/>
      <c r="NF10" s="11"/>
      <c r="NG10" s="12"/>
      <c r="NH10" s="12"/>
      <c r="NI10" s="11" t="s">
        <v>37</v>
      </c>
      <c r="NJ10" s="11" t="s">
        <v>37</v>
      </c>
      <c r="NK10" s="13" t="s">
        <v>37</v>
      </c>
      <c r="NL10" s="11" t="s">
        <v>37</v>
      </c>
      <c r="NM10" s="11" t="s">
        <v>37</v>
      </c>
      <c r="NN10" s="13" t="s">
        <v>37</v>
      </c>
      <c r="NO10" s="13"/>
      <c r="NP10" s="13"/>
      <c r="NQ10" s="12"/>
      <c r="NR10" s="12"/>
      <c r="NS10" s="11" t="s">
        <v>37</v>
      </c>
      <c r="NT10" s="11" t="s">
        <v>37</v>
      </c>
      <c r="NU10" s="13" t="s">
        <v>37</v>
      </c>
      <c r="NV10" s="11" t="s">
        <v>37</v>
      </c>
      <c r="NW10" s="11" t="s">
        <v>37</v>
      </c>
      <c r="NX10" s="13" t="s">
        <v>37</v>
      </c>
      <c r="NY10" s="13"/>
      <c r="NZ10" s="13"/>
      <c r="OA10" s="12"/>
      <c r="OB10" s="12"/>
      <c r="OC10" s="11" t="s">
        <v>37</v>
      </c>
      <c r="OD10" s="11" t="s">
        <v>37</v>
      </c>
      <c r="OE10" s="13" t="s">
        <v>37</v>
      </c>
      <c r="OF10" s="11" t="s">
        <v>37</v>
      </c>
      <c r="OG10" s="11" t="s">
        <v>37</v>
      </c>
      <c r="OH10" s="13" t="s">
        <v>37</v>
      </c>
      <c r="OI10" s="13"/>
      <c r="OJ10" s="13"/>
      <c r="OK10" s="12"/>
      <c r="OL10" s="12" t="s">
        <v>37</v>
      </c>
      <c r="OM10" s="12" t="s">
        <v>37</v>
      </c>
      <c r="ON10" s="11" t="s">
        <v>37</v>
      </c>
      <c r="OO10" s="12" t="s">
        <v>37</v>
      </c>
      <c r="OP10" s="12" t="s">
        <v>37</v>
      </c>
      <c r="OQ10" s="12" t="s">
        <v>37</v>
      </c>
      <c r="OR10" s="12"/>
      <c r="OS10" s="12" t="s">
        <v>37</v>
      </c>
      <c r="OT10" s="12" t="s">
        <v>37</v>
      </c>
      <c r="OU10" s="12" t="s">
        <v>37</v>
      </c>
      <c r="OV10" s="12" t="s">
        <v>37</v>
      </c>
      <c r="OW10" s="12" t="s">
        <v>37</v>
      </c>
      <c r="OX10" s="12" t="s">
        <v>37</v>
      </c>
      <c r="OY10" s="12"/>
      <c r="OZ10" s="12"/>
      <c r="PA10" s="11" t="s">
        <v>37</v>
      </c>
      <c r="PB10" s="11" t="s">
        <v>37</v>
      </c>
      <c r="PC10" s="13" t="s">
        <v>37</v>
      </c>
      <c r="PD10" s="11" t="s">
        <v>37</v>
      </c>
      <c r="PE10" s="11" t="s">
        <v>37</v>
      </c>
      <c r="PF10" s="13" t="s">
        <v>37</v>
      </c>
      <c r="PG10" s="12"/>
      <c r="PH10" s="12"/>
      <c r="PI10" s="12" t="s">
        <v>37</v>
      </c>
      <c r="PJ10" s="12" t="s">
        <v>37</v>
      </c>
      <c r="PK10" s="13" t="s">
        <v>37</v>
      </c>
      <c r="PL10" s="12" t="s">
        <v>37</v>
      </c>
      <c r="PM10" s="12" t="s">
        <v>37</v>
      </c>
      <c r="PN10" s="13" t="s">
        <v>37</v>
      </c>
      <c r="PO10" s="12"/>
      <c r="PP10" s="12"/>
      <c r="PQ10" s="11" t="s">
        <v>37</v>
      </c>
      <c r="PR10" s="11" t="s">
        <v>37</v>
      </c>
      <c r="PS10" s="13" t="s">
        <v>37</v>
      </c>
      <c r="PT10" s="11" t="s">
        <v>37</v>
      </c>
      <c r="PU10" s="11" t="s">
        <v>37</v>
      </c>
      <c r="PV10" s="13" t="s">
        <v>37</v>
      </c>
      <c r="PW10" s="12"/>
      <c r="PX10" s="12"/>
      <c r="PY10" s="11" t="s">
        <v>37</v>
      </c>
      <c r="PZ10" s="11" t="s">
        <v>37</v>
      </c>
      <c r="QA10" s="11" t="s">
        <v>37</v>
      </c>
      <c r="QB10" s="11" t="s">
        <v>37</v>
      </c>
      <c r="QC10" s="11" t="s">
        <v>37</v>
      </c>
      <c r="QD10" s="11" t="s">
        <v>37</v>
      </c>
      <c r="QE10" s="12"/>
      <c r="QF10" s="12"/>
      <c r="QG10" s="11" t="s">
        <v>37</v>
      </c>
      <c r="QH10" s="11" t="s">
        <v>37</v>
      </c>
      <c r="QI10" s="13" t="s">
        <v>37</v>
      </c>
      <c r="QJ10" s="11" t="s">
        <v>37</v>
      </c>
      <c r="QK10" s="11" t="s">
        <v>37</v>
      </c>
      <c r="QL10" s="13" t="s">
        <v>37</v>
      </c>
      <c r="QM10" s="12"/>
      <c r="QN10" s="12"/>
      <c r="QO10" s="12" t="s">
        <v>37</v>
      </c>
      <c r="QP10" s="12" t="s">
        <v>37</v>
      </c>
      <c r="QQ10" s="13" t="s">
        <v>37</v>
      </c>
      <c r="QR10" s="12" t="s">
        <v>37</v>
      </c>
      <c r="QS10" s="12" t="s">
        <v>37</v>
      </c>
      <c r="QT10" s="13" t="s">
        <v>37</v>
      </c>
      <c r="QU10" s="13"/>
      <c r="QV10" s="13"/>
      <c r="QW10" s="12"/>
      <c r="QX10" s="12"/>
      <c r="QY10" s="12" t="s">
        <v>37</v>
      </c>
      <c r="QZ10" s="12" t="s">
        <v>37</v>
      </c>
      <c r="RA10" s="11" t="s">
        <v>37</v>
      </c>
      <c r="RB10" s="12" t="s">
        <v>37</v>
      </c>
      <c r="RC10" s="12" t="s">
        <v>37</v>
      </c>
      <c r="RD10" s="11" t="s">
        <v>37</v>
      </c>
      <c r="RE10" s="11"/>
      <c r="RF10" s="11"/>
      <c r="RG10" s="12"/>
      <c r="RH10" s="12"/>
      <c r="RI10" s="12" t="s">
        <v>37</v>
      </c>
      <c r="RJ10" s="12" t="s">
        <v>37</v>
      </c>
      <c r="RK10" s="11" t="s">
        <v>37</v>
      </c>
      <c r="RL10" s="12" t="s">
        <v>37</v>
      </c>
      <c r="RM10" s="12" t="s">
        <v>37</v>
      </c>
      <c r="RN10" s="11" t="s">
        <v>37</v>
      </c>
      <c r="RO10" s="11"/>
      <c r="RP10" s="11"/>
      <c r="RQ10" s="12"/>
      <c r="RR10" s="12"/>
      <c r="RS10" s="12" t="s">
        <v>37</v>
      </c>
      <c r="RT10" s="12" t="s">
        <v>37</v>
      </c>
      <c r="RU10" s="11" t="s">
        <v>37</v>
      </c>
      <c r="RV10" s="12" t="s">
        <v>37</v>
      </c>
      <c r="RW10" s="12" t="s">
        <v>37</v>
      </c>
      <c r="RX10" s="11" t="s">
        <v>37</v>
      </c>
      <c r="RY10" s="11"/>
      <c r="RZ10" s="11"/>
      <c r="SA10" s="12" t="s">
        <v>127</v>
      </c>
      <c r="SB10" s="12" t="s">
        <v>330</v>
      </c>
      <c r="SC10" s="13">
        <f>1.9*10^8</f>
        <v>190000000</v>
      </c>
      <c r="SD10" s="13">
        <f>1.5*10^7*SQRT(6)</f>
        <v>36742346.141747668</v>
      </c>
      <c r="SE10" s="13">
        <v>6</v>
      </c>
      <c r="SF10" s="13">
        <f>4.5*10^7</f>
        <v>45000000</v>
      </c>
      <c r="SG10" s="13">
        <f>6.9*10^6*SQRT(6)</f>
        <v>16901479.225203928</v>
      </c>
      <c r="SH10" s="11">
        <v>6</v>
      </c>
      <c r="SI10" s="19">
        <f>LN(SF10/SC10)</f>
        <v>-1.4403615823901665</v>
      </c>
      <c r="SJ10" s="19">
        <f t="shared" ref="SJ10:SJ11" si="36">SG10^2/(SH10*SF10^2)+SD10^2/(SE10*SC10^2)</f>
        <v>2.9743798091720525E-2</v>
      </c>
      <c r="SK10" s="12"/>
      <c r="SL10" s="12"/>
      <c r="SM10" s="12" t="s">
        <v>37</v>
      </c>
      <c r="SN10" s="12" t="s">
        <v>37</v>
      </c>
      <c r="SO10" s="13" t="s">
        <v>37</v>
      </c>
      <c r="SP10" s="12" t="s">
        <v>37</v>
      </c>
      <c r="SQ10" s="12" t="s">
        <v>37</v>
      </c>
      <c r="SR10" s="13" t="s">
        <v>37</v>
      </c>
      <c r="SS10" s="13"/>
      <c r="ST10" s="13"/>
      <c r="SU10" s="12"/>
      <c r="SV10" s="12"/>
      <c r="SW10" s="12" t="s">
        <v>37</v>
      </c>
      <c r="SX10" s="12" t="s">
        <v>37</v>
      </c>
      <c r="SY10" s="13" t="s">
        <v>37</v>
      </c>
      <c r="SZ10" s="12" t="s">
        <v>37</v>
      </c>
      <c r="TA10" s="12" t="s">
        <v>37</v>
      </c>
      <c r="TB10" s="13" t="s">
        <v>37</v>
      </c>
      <c r="TC10" s="13"/>
      <c r="TD10" s="13"/>
      <c r="TE10" s="12" t="s">
        <v>127</v>
      </c>
      <c r="TF10" s="12" t="s">
        <v>330</v>
      </c>
      <c r="TG10" s="13">
        <f>3.3*10^8</f>
        <v>330000000</v>
      </c>
      <c r="TH10" s="13">
        <f>2.7*10^8*SQRT(6)</f>
        <v>661362230.551458</v>
      </c>
      <c r="TI10" s="13">
        <v>6</v>
      </c>
      <c r="TJ10" s="13">
        <f>5.8*10^8</f>
        <v>580000000</v>
      </c>
      <c r="TK10" s="13">
        <f>5.6*10^8</f>
        <v>560000000</v>
      </c>
      <c r="TL10" s="13">
        <v>6</v>
      </c>
      <c r="TM10" s="19">
        <f>LN(TJ10/TG10)</f>
        <v>0.56393544907993909</v>
      </c>
      <c r="TN10" s="19">
        <f t="shared" ref="TN10:TN11" si="37">TK10^2/(TL10*TJ10^2)+TH10^2/(TI10*TG10^2)</f>
        <v>0.82479207817009115</v>
      </c>
      <c r="TO10" s="12"/>
      <c r="TP10" s="12"/>
      <c r="TQ10" s="13" t="s">
        <v>37</v>
      </c>
      <c r="TR10" s="13" t="s">
        <v>37</v>
      </c>
      <c r="TS10" s="13" t="s">
        <v>37</v>
      </c>
      <c r="TT10" s="19"/>
      <c r="TU10" s="13" t="s">
        <v>37</v>
      </c>
      <c r="TV10" s="13" t="s">
        <v>37</v>
      </c>
      <c r="TW10" s="13" t="s">
        <v>37</v>
      </c>
    </row>
    <row r="11" spans="1:546" ht="15.6" x14ac:dyDescent="0.3">
      <c r="A11" s="11">
        <v>4</v>
      </c>
      <c r="B11" s="16" t="s">
        <v>126</v>
      </c>
      <c r="C11" s="12" t="s">
        <v>26</v>
      </c>
      <c r="D11" s="12" t="s">
        <v>609</v>
      </c>
      <c r="E11" s="16" t="s">
        <v>37</v>
      </c>
      <c r="F11" s="14">
        <v>0</v>
      </c>
      <c r="G11" s="14">
        <v>0</v>
      </c>
      <c r="H11" s="16" t="s">
        <v>131</v>
      </c>
      <c r="I11" s="29">
        <v>53.125999999999998</v>
      </c>
      <c r="J11" s="29">
        <v>-4.0199999999999996</v>
      </c>
      <c r="K11" s="12" t="s">
        <v>568</v>
      </c>
      <c r="L11" s="12" t="s">
        <v>569</v>
      </c>
      <c r="M11" s="13" t="s">
        <v>37</v>
      </c>
      <c r="N11" s="14" t="s">
        <v>37</v>
      </c>
      <c r="O11" s="14" t="s">
        <v>37</v>
      </c>
      <c r="P11" s="14" t="s">
        <v>16</v>
      </c>
      <c r="Q11" s="11" t="s">
        <v>226</v>
      </c>
      <c r="R11" s="11" t="s">
        <v>37</v>
      </c>
      <c r="S11" s="12" t="s">
        <v>128</v>
      </c>
      <c r="T11" s="12" t="s">
        <v>37</v>
      </c>
      <c r="U11" s="12" t="s">
        <v>158</v>
      </c>
      <c r="V11" s="12" t="s">
        <v>274</v>
      </c>
      <c r="W11" s="23" t="s">
        <v>286</v>
      </c>
      <c r="X11" s="12" t="s">
        <v>283</v>
      </c>
      <c r="Y11" s="12" t="s">
        <v>69</v>
      </c>
      <c r="Z11" s="12" t="s">
        <v>37</v>
      </c>
      <c r="AA11" s="32">
        <v>2006</v>
      </c>
      <c r="AB11" s="13" t="s">
        <v>37</v>
      </c>
      <c r="AC11" s="13" t="s">
        <v>37</v>
      </c>
      <c r="AD11" s="13" t="s">
        <v>37</v>
      </c>
      <c r="AE11" s="13" t="s">
        <v>74</v>
      </c>
      <c r="AF11" s="12" t="s">
        <v>489</v>
      </c>
      <c r="AG11" s="12"/>
      <c r="AH11" s="32"/>
      <c r="AI11" s="12" t="s">
        <v>37</v>
      </c>
      <c r="AJ11" s="12" t="s">
        <v>37</v>
      </c>
      <c r="AK11" s="11" t="s">
        <v>37</v>
      </c>
      <c r="AL11" s="19"/>
      <c r="AM11" s="12" t="s">
        <v>37</v>
      </c>
      <c r="AN11" s="12" t="s">
        <v>37</v>
      </c>
      <c r="AO11" s="13" t="s">
        <v>37</v>
      </c>
      <c r="AP11" s="19"/>
      <c r="AQ11" s="49"/>
      <c r="AR11" s="49"/>
      <c r="AS11" s="32"/>
      <c r="AT11" s="12" t="s">
        <v>37</v>
      </c>
      <c r="AU11" s="12" t="s">
        <v>37</v>
      </c>
      <c r="AV11" s="13" t="s">
        <v>37</v>
      </c>
      <c r="AW11" s="12" t="s">
        <v>37</v>
      </c>
      <c r="AX11" s="12" t="s">
        <v>37</v>
      </c>
      <c r="AY11" s="13" t="s">
        <v>37</v>
      </c>
      <c r="AZ11" s="13"/>
      <c r="BA11" s="13"/>
      <c r="BB11" s="12"/>
      <c r="BC11" s="12" t="s">
        <v>37</v>
      </c>
      <c r="BD11" s="12" t="s">
        <v>37</v>
      </c>
      <c r="BE11" s="13" t="s">
        <v>37</v>
      </c>
      <c r="BF11" s="12" t="s">
        <v>37</v>
      </c>
      <c r="BG11" s="12" t="s">
        <v>37</v>
      </c>
      <c r="BH11" s="12" t="s">
        <v>37</v>
      </c>
      <c r="BI11" s="12"/>
      <c r="BJ11" s="15" t="s">
        <v>37</v>
      </c>
      <c r="BK11" s="15" t="s">
        <v>37</v>
      </c>
      <c r="BL11" s="18" t="s">
        <v>37</v>
      </c>
      <c r="BM11" s="15" t="s">
        <v>37</v>
      </c>
      <c r="BN11" s="15" t="s">
        <v>37</v>
      </c>
      <c r="BO11" s="18" t="s">
        <v>37</v>
      </c>
      <c r="BP11" s="19"/>
      <c r="BQ11" s="19"/>
      <c r="BR11" s="19"/>
      <c r="BS11" s="19"/>
      <c r="BT11" s="12"/>
      <c r="BU11" s="15" t="s">
        <v>37</v>
      </c>
      <c r="BV11" s="15" t="s">
        <v>37</v>
      </c>
      <c r="BW11" s="18" t="s">
        <v>37</v>
      </c>
      <c r="BX11" s="15" t="s">
        <v>37</v>
      </c>
      <c r="BY11" s="15" t="s">
        <v>37</v>
      </c>
      <c r="BZ11" s="18" t="s">
        <v>37</v>
      </c>
      <c r="CA11" s="19"/>
      <c r="CB11" s="19"/>
      <c r="CC11" s="19"/>
      <c r="CD11" s="19"/>
      <c r="CE11" s="12"/>
      <c r="CF11" s="15" t="s">
        <v>37</v>
      </c>
      <c r="CG11" s="15" t="s">
        <v>37</v>
      </c>
      <c r="CH11" s="18" t="s">
        <v>37</v>
      </c>
      <c r="CI11" s="15" t="s">
        <v>37</v>
      </c>
      <c r="CJ11" s="15" t="s">
        <v>37</v>
      </c>
      <c r="CK11" s="18" t="s">
        <v>37</v>
      </c>
      <c r="CL11" s="19"/>
      <c r="CM11" s="19"/>
      <c r="CN11" s="19"/>
      <c r="CO11" s="19"/>
      <c r="CP11" s="20"/>
      <c r="CQ11" s="12" t="s">
        <v>37</v>
      </c>
      <c r="CR11" s="19" t="s">
        <v>37</v>
      </c>
      <c r="CS11" s="12" t="s">
        <v>37</v>
      </c>
      <c r="CT11" s="19"/>
      <c r="CU11" s="12" t="s">
        <v>37</v>
      </c>
      <c r="CV11" s="19" t="s">
        <v>37</v>
      </c>
      <c r="CW11" s="12" t="s">
        <v>37</v>
      </c>
      <c r="CX11" s="19"/>
      <c r="CY11" s="68"/>
      <c r="CZ11" s="68"/>
      <c r="DA11" s="68"/>
      <c r="DB11" s="68"/>
      <c r="DC11" s="20"/>
      <c r="DD11" s="12" t="s">
        <v>37</v>
      </c>
      <c r="DE11" s="68" t="s">
        <v>37</v>
      </c>
      <c r="DF11" s="20" t="s">
        <v>37</v>
      </c>
      <c r="DG11" s="19"/>
      <c r="DH11" s="12" t="s">
        <v>37</v>
      </c>
      <c r="DI11" s="68" t="s">
        <v>37</v>
      </c>
      <c r="DJ11" s="20" t="s">
        <v>37</v>
      </c>
      <c r="DK11" s="19"/>
      <c r="DL11" s="68"/>
      <c r="DM11" s="68"/>
      <c r="DN11" s="68"/>
      <c r="DO11" s="68"/>
      <c r="DP11" s="12" t="s">
        <v>39</v>
      </c>
      <c r="DQ11" s="12">
        <v>2</v>
      </c>
      <c r="DR11" s="60">
        <f t="shared" si="32"/>
        <v>0.80800000000000005</v>
      </c>
      <c r="DS11" s="13">
        <v>6</v>
      </c>
      <c r="DT11" s="19"/>
      <c r="DU11" s="12">
        <v>-15</v>
      </c>
      <c r="DV11" s="60">
        <f>ABS(DU11)*DX$61</f>
        <v>5.1841914370561835</v>
      </c>
      <c r="DW11" s="13">
        <v>6</v>
      </c>
      <c r="DX11" s="19"/>
      <c r="DY11" s="19">
        <f t="shared" si="11"/>
        <v>-17</v>
      </c>
      <c r="DZ11" s="12">
        <f t="shared" si="12"/>
        <v>3.7100340197932593</v>
      </c>
      <c r="EA11" s="72">
        <f t="shared" si="13"/>
        <v>4.5881174760077759</v>
      </c>
      <c r="EB11" s="72">
        <f t="shared" si="14"/>
        <v>4.5881174760077768</v>
      </c>
      <c r="EC11" s="12"/>
      <c r="ED11" s="12"/>
      <c r="EE11" s="11" t="s">
        <v>37</v>
      </c>
      <c r="EF11" s="11" t="s">
        <v>37</v>
      </c>
      <c r="EG11" s="11" t="s">
        <v>37</v>
      </c>
      <c r="EH11" s="19"/>
      <c r="EI11" s="12" t="s">
        <v>37</v>
      </c>
      <c r="EJ11" s="20" t="s">
        <v>37</v>
      </c>
      <c r="EK11" s="11" t="s">
        <v>37</v>
      </c>
      <c r="EL11" s="19"/>
      <c r="EM11" s="19"/>
      <c r="EN11" s="19"/>
      <c r="EO11" s="19"/>
      <c r="EP11" s="19"/>
      <c r="EQ11" s="32"/>
      <c r="ER11" s="11" t="s">
        <v>37</v>
      </c>
      <c r="ES11" s="11" t="s">
        <v>37</v>
      </c>
      <c r="ET11" s="11" t="s">
        <v>37</v>
      </c>
      <c r="EU11" s="19"/>
      <c r="EV11" s="13" t="s">
        <v>37</v>
      </c>
      <c r="EW11" s="11" t="s">
        <v>37</v>
      </c>
      <c r="EX11" s="11" t="s">
        <v>37</v>
      </c>
      <c r="EY11" s="19"/>
      <c r="EZ11" s="19"/>
      <c r="FA11" s="19"/>
      <c r="FB11" s="19"/>
      <c r="FC11" s="32"/>
      <c r="FD11" s="11" t="s">
        <v>37</v>
      </c>
      <c r="FE11" s="11" t="s">
        <v>37</v>
      </c>
      <c r="FF11" s="11" t="s">
        <v>37</v>
      </c>
      <c r="FG11" s="13" t="s">
        <v>37</v>
      </c>
      <c r="FH11" s="11" t="s">
        <v>37</v>
      </c>
      <c r="FI11" s="11" t="s">
        <v>37</v>
      </c>
      <c r="FJ11" s="19"/>
      <c r="FK11" s="19"/>
      <c r="FL11" s="19"/>
      <c r="FM11" s="32"/>
      <c r="FN11" s="11" t="s">
        <v>37</v>
      </c>
      <c r="FO11" s="11" t="s">
        <v>37</v>
      </c>
      <c r="FP11" s="11" t="s">
        <v>37</v>
      </c>
      <c r="FQ11" s="13" t="s">
        <v>37</v>
      </c>
      <c r="FR11" s="11" t="s">
        <v>37</v>
      </c>
      <c r="FS11" s="11" t="s">
        <v>37</v>
      </c>
      <c r="FT11" s="19"/>
      <c r="FU11" s="19"/>
      <c r="FV11" s="19"/>
      <c r="FW11" s="12" t="s">
        <v>90</v>
      </c>
      <c r="FX11" s="12" t="s">
        <v>330</v>
      </c>
      <c r="FY11" s="12">
        <v>54</v>
      </c>
      <c r="FZ11" s="12">
        <v>1.8</v>
      </c>
      <c r="GA11" s="13">
        <v>6</v>
      </c>
      <c r="GB11" s="12">
        <v>39</v>
      </c>
      <c r="GC11" s="12">
        <v>1.4</v>
      </c>
      <c r="GD11" s="13">
        <v>6</v>
      </c>
      <c r="GE11" s="19">
        <f t="shared" si="34"/>
        <v>-0.325422400434628</v>
      </c>
      <c r="GF11" s="19">
        <f t="shared" si="35"/>
        <v>3.9995616918693842E-4</v>
      </c>
      <c r="GG11" s="12"/>
      <c r="GH11" s="12"/>
      <c r="GI11" s="12" t="s">
        <v>37</v>
      </c>
      <c r="GJ11" s="12" t="s">
        <v>37</v>
      </c>
      <c r="GK11" s="13" t="s">
        <v>37</v>
      </c>
      <c r="GL11" s="19"/>
      <c r="GM11" s="12" t="s">
        <v>37</v>
      </c>
      <c r="GN11" s="12" t="s">
        <v>37</v>
      </c>
      <c r="GO11" s="13" t="s">
        <v>37</v>
      </c>
      <c r="GP11" s="19"/>
      <c r="GQ11" s="19"/>
      <c r="GR11" s="19"/>
      <c r="GS11" s="17"/>
      <c r="GT11" s="34"/>
      <c r="GU11" s="12" t="s">
        <v>37</v>
      </c>
      <c r="GV11" s="12" t="s">
        <v>37</v>
      </c>
      <c r="GW11" s="12" t="s">
        <v>37</v>
      </c>
      <c r="GX11" s="19"/>
      <c r="GY11" s="12" t="s">
        <v>37</v>
      </c>
      <c r="GZ11" s="12" t="s">
        <v>37</v>
      </c>
      <c r="HA11" s="12" t="s">
        <v>37</v>
      </c>
      <c r="HB11" s="19"/>
      <c r="HC11" s="19"/>
      <c r="HD11" s="19"/>
      <c r="HE11" s="34"/>
      <c r="HF11" s="12" t="s">
        <v>37</v>
      </c>
      <c r="HG11" s="12" t="s">
        <v>37</v>
      </c>
      <c r="HH11" s="13" t="s">
        <v>37</v>
      </c>
      <c r="HI11" s="12" t="s">
        <v>37</v>
      </c>
      <c r="HJ11" s="12" t="s">
        <v>37</v>
      </c>
      <c r="HK11" s="13" t="s">
        <v>37</v>
      </c>
      <c r="HL11" s="13"/>
      <c r="HM11" s="13"/>
      <c r="HN11" s="34"/>
      <c r="HO11" s="12" t="s">
        <v>37</v>
      </c>
      <c r="HP11" s="12" t="s">
        <v>37</v>
      </c>
      <c r="HQ11" s="13" t="s">
        <v>37</v>
      </c>
      <c r="HR11" s="12" t="s">
        <v>37</v>
      </c>
      <c r="HS11" s="12" t="s">
        <v>37</v>
      </c>
      <c r="HT11" s="13" t="s">
        <v>37</v>
      </c>
      <c r="HU11" s="13"/>
      <c r="HV11" s="13"/>
      <c r="HW11" s="12"/>
      <c r="HX11" s="12"/>
      <c r="HY11" s="12" t="s">
        <v>37</v>
      </c>
      <c r="HZ11" s="12" t="s">
        <v>37</v>
      </c>
      <c r="IA11" s="13" t="s">
        <v>37</v>
      </c>
      <c r="IB11" s="12" t="s">
        <v>37</v>
      </c>
      <c r="IC11" s="12" t="s">
        <v>37</v>
      </c>
      <c r="ID11" s="13" t="s">
        <v>37</v>
      </c>
      <c r="IE11" s="12"/>
      <c r="IF11" s="32"/>
      <c r="IG11" s="12" t="s">
        <v>37</v>
      </c>
      <c r="IH11" s="12" t="s">
        <v>37</v>
      </c>
      <c r="II11" s="13" t="s">
        <v>37</v>
      </c>
      <c r="IJ11" s="19"/>
      <c r="IK11" s="12" t="s">
        <v>37</v>
      </c>
      <c r="IL11" s="12" t="s">
        <v>37</v>
      </c>
      <c r="IM11" s="13" t="s">
        <v>37</v>
      </c>
      <c r="IN11" s="19"/>
      <c r="IO11" s="19"/>
      <c r="IP11" s="19"/>
      <c r="IQ11" s="32"/>
      <c r="IR11" s="12" t="s">
        <v>37</v>
      </c>
      <c r="IS11" s="12" t="s">
        <v>37</v>
      </c>
      <c r="IT11" s="13" t="s">
        <v>37</v>
      </c>
      <c r="IU11" s="12" t="s">
        <v>37</v>
      </c>
      <c r="IV11" s="12" t="s">
        <v>37</v>
      </c>
      <c r="IW11" s="12" t="s">
        <v>37</v>
      </c>
      <c r="IX11" s="32"/>
      <c r="IY11" s="12" t="s">
        <v>37</v>
      </c>
      <c r="IZ11" s="12" t="s">
        <v>37</v>
      </c>
      <c r="JA11" s="13" t="s">
        <v>37</v>
      </c>
      <c r="JB11" s="12" t="s">
        <v>37</v>
      </c>
      <c r="JC11" s="12" t="s">
        <v>37</v>
      </c>
      <c r="JD11" s="12" t="s">
        <v>37</v>
      </c>
      <c r="JE11" s="12"/>
      <c r="JF11" s="12"/>
      <c r="JG11" s="11" t="s">
        <v>37</v>
      </c>
      <c r="JH11" s="11" t="s">
        <v>37</v>
      </c>
      <c r="JI11" s="13" t="s">
        <v>37</v>
      </c>
      <c r="JJ11" s="11" t="s">
        <v>37</v>
      </c>
      <c r="JK11" s="11" t="s">
        <v>37</v>
      </c>
      <c r="JL11" s="11" t="s">
        <v>37</v>
      </c>
      <c r="JM11" s="12"/>
      <c r="JN11" s="32"/>
      <c r="JO11" s="12" t="s">
        <v>37</v>
      </c>
      <c r="JP11" s="12" t="s">
        <v>37</v>
      </c>
      <c r="JQ11" s="11" t="s">
        <v>37</v>
      </c>
      <c r="JR11" s="19"/>
      <c r="JS11" s="12" t="s">
        <v>37</v>
      </c>
      <c r="JT11" s="12" t="s">
        <v>37</v>
      </c>
      <c r="JU11" s="13" t="s">
        <v>37</v>
      </c>
      <c r="JV11" s="19"/>
      <c r="JW11" s="19"/>
      <c r="JX11" s="19"/>
      <c r="JY11" s="32"/>
      <c r="JZ11" s="12" t="s">
        <v>37</v>
      </c>
      <c r="KA11" s="12" t="s">
        <v>37</v>
      </c>
      <c r="KB11" s="13" t="s">
        <v>37</v>
      </c>
      <c r="KC11" s="12" t="s">
        <v>37</v>
      </c>
      <c r="KD11" s="12" t="s">
        <v>37</v>
      </c>
      <c r="KE11" s="13" t="s">
        <v>37</v>
      </c>
      <c r="KF11" s="13"/>
      <c r="KG11" s="13"/>
      <c r="KH11" s="32"/>
      <c r="KI11" s="12" t="s">
        <v>37</v>
      </c>
      <c r="KJ11" s="12" t="s">
        <v>37</v>
      </c>
      <c r="KK11" s="12" t="s">
        <v>37</v>
      </c>
      <c r="KL11" s="12" t="s">
        <v>37</v>
      </c>
      <c r="KM11" s="12" t="s">
        <v>37</v>
      </c>
      <c r="KN11" s="12" t="s">
        <v>37</v>
      </c>
      <c r="KO11" s="12"/>
      <c r="KP11" s="12"/>
      <c r="KQ11" s="12"/>
      <c r="KR11" s="12"/>
      <c r="KS11" s="12" t="s">
        <v>37</v>
      </c>
      <c r="KT11" s="12" t="s">
        <v>37</v>
      </c>
      <c r="KU11" s="13" t="s">
        <v>37</v>
      </c>
      <c r="KV11" s="19"/>
      <c r="KW11" s="12" t="s">
        <v>37</v>
      </c>
      <c r="KX11" s="12" t="s">
        <v>37</v>
      </c>
      <c r="KY11" s="12" t="s">
        <v>37</v>
      </c>
      <c r="KZ11" s="19"/>
      <c r="LA11" s="19"/>
      <c r="LB11" s="19"/>
      <c r="LC11" s="12"/>
      <c r="LD11" s="12" t="s">
        <v>37</v>
      </c>
      <c r="LE11" s="12" t="s">
        <v>37</v>
      </c>
      <c r="LF11" s="12" t="s">
        <v>37</v>
      </c>
      <c r="LG11" s="19" t="str">
        <f t="shared" si="19"/>
        <v>/</v>
      </c>
      <c r="LH11" s="19" t="str">
        <f t="shared" si="20"/>
        <v>/</v>
      </c>
      <c r="LI11" s="13" t="str">
        <f t="shared" si="21"/>
        <v>/</v>
      </c>
      <c r="LJ11" s="13"/>
      <c r="LK11" s="13"/>
      <c r="LL11" s="12"/>
      <c r="LM11" s="12" t="s">
        <v>37</v>
      </c>
      <c r="LN11" s="12" t="s">
        <v>37</v>
      </c>
      <c r="LO11" s="12" t="s">
        <v>37</v>
      </c>
      <c r="LP11" s="12" t="s">
        <v>37</v>
      </c>
      <c r="LQ11" s="12" t="s">
        <v>37</v>
      </c>
      <c r="LR11" s="12" t="s">
        <v>37</v>
      </c>
      <c r="LS11" s="12"/>
      <c r="LT11" s="12"/>
      <c r="LU11" s="12" t="s">
        <v>37</v>
      </c>
      <c r="LV11" s="12" t="s">
        <v>37</v>
      </c>
      <c r="LW11" s="13" t="s">
        <v>37</v>
      </c>
      <c r="LX11" s="12" t="s">
        <v>37</v>
      </c>
      <c r="LY11" s="12" t="s">
        <v>37</v>
      </c>
      <c r="LZ11" s="13" t="s">
        <v>37</v>
      </c>
      <c r="MA11" s="13"/>
      <c r="MB11" s="13"/>
      <c r="MC11" s="12"/>
      <c r="MD11" s="12"/>
      <c r="ME11" s="12" t="s">
        <v>37</v>
      </c>
      <c r="MF11" s="12" t="s">
        <v>37</v>
      </c>
      <c r="MG11" s="13" t="s">
        <v>37</v>
      </c>
      <c r="MH11" s="12" t="s">
        <v>37</v>
      </c>
      <c r="MI11" s="12" t="s">
        <v>37</v>
      </c>
      <c r="MJ11" s="13" t="s">
        <v>37</v>
      </c>
      <c r="MK11" s="13"/>
      <c r="ML11" s="13"/>
      <c r="MM11" s="12"/>
      <c r="MN11" s="12"/>
      <c r="MO11" s="11" t="s">
        <v>37</v>
      </c>
      <c r="MP11" s="11" t="s">
        <v>37</v>
      </c>
      <c r="MQ11" s="13" t="s">
        <v>37</v>
      </c>
      <c r="MR11" s="11" t="s">
        <v>37</v>
      </c>
      <c r="MS11" s="11" t="s">
        <v>37</v>
      </c>
      <c r="MT11" s="13" t="s">
        <v>37</v>
      </c>
      <c r="MU11" s="13"/>
      <c r="MV11" s="13"/>
      <c r="MW11" s="12"/>
      <c r="MX11" s="12"/>
      <c r="MY11" s="11" t="s">
        <v>37</v>
      </c>
      <c r="MZ11" s="11" t="s">
        <v>37</v>
      </c>
      <c r="NA11" s="11" t="s">
        <v>37</v>
      </c>
      <c r="NB11" s="11" t="s">
        <v>37</v>
      </c>
      <c r="NC11" s="11" t="s">
        <v>37</v>
      </c>
      <c r="ND11" s="11" t="s">
        <v>37</v>
      </c>
      <c r="NE11" s="11"/>
      <c r="NF11" s="11"/>
      <c r="NG11" s="12"/>
      <c r="NH11" s="12"/>
      <c r="NI11" s="11" t="s">
        <v>37</v>
      </c>
      <c r="NJ11" s="11" t="s">
        <v>37</v>
      </c>
      <c r="NK11" s="13" t="s">
        <v>37</v>
      </c>
      <c r="NL11" s="11" t="s">
        <v>37</v>
      </c>
      <c r="NM11" s="11" t="s">
        <v>37</v>
      </c>
      <c r="NN11" s="13" t="s">
        <v>37</v>
      </c>
      <c r="NO11" s="13"/>
      <c r="NP11" s="13"/>
      <c r="NQ11" s="12"/>
      <c r="NR11" s="12"/>
      <c r="NS11" s="11" t="s">
        <v>37</v>
      </c>
      <c r="NT11" s="11" t="s">
        <v>37</v>
      </c>
      <c r="NU11" s="13" t="s">
        <v>37</v>
      </c>
      <c r="NV11" s="11" t="s">
        <v>37</v>
      </c>
      <c r="NW11" s="11" t="s">
        <v>37</v>
      </c>
      <c r="NX11" s="13" t="s">
        <v>37</v>
      </c>
      <c r="NY11" s="13"/>
      <c r="NZ11" s="13"/>
      <c r="OA11" s="12"/>
      <c r="OB11" s="12"/>
      <c r="OC11" s="11" t="s">
        <v>37</v>
      </c>
      <c r="OD11" s="11" t="s">
        <v>37</v>
      </c>
      <c r="OE11" s="13" t="s">
        <v>37</v>
      </c>
      <c r="OF11" s="11" t="s">
        <v>37</v>
      </c>
      <c r="OG11" s="11" t="s">
        <v>37</v>
      </c>
      <c r="OH11" s="13" t="s">
        <v>37</v>
      </c>
      <c r="OI11" s="13"/>
      <c r="OJ11" s="13"/>
      <c r="OK11" s="12"/>
      <c r="OL11" s="12" t="s">
        <v>37</v>
      </c>
      <c r="OM11" s="12" t="s">
        <v>37</v>
      </c>
      <c r="ON11" s="11" t="s">
        <v>37</v>
      </c>
      <c r="OO11" s="12" t="s">
        <v>37</v>
      </c>
      <c r="OP11" s="12" t="s">
        <v>37</v>
      </c>
      <c r="OQ11" s="12" t="s">
        <v>37</v>
      </c>
      <c r="OR11" s="12"/>
      <c r="OS11" s="12" t="s">
        <v>37</v>
      </c>
      <c r="OT11" s="12" t="s">
        <v>37</v>
      </c>
      <c r="OU11" s="12" t="s">
        <v>37</v>
      </c>
      <c r="OV11" s="12" t="s">
        <v>37</v>
      </c>
      <c r="OW11" s="12" t="s">
        <v>37</v>
      </c>
      <c r="OX11" s="12" t="s">
        <v>37</v>
      </c>
      <c r="OY11" s="12"/>
      <c r="OZ11" s="12"/>
      <c r="PA11" s="11" t="s">
        <v>37</v>
      </c>
      <c r="PB11" s="11" t="s">
        <v>37</v>
      </c>
      <c r="PC11" s="13" t="s">
        <v>37</v>
      </c>
      <c r="PD11" s="11" t="s">
        <v>37</v>
      </c>
      <c r="PE11" s="11" t="s">
        <v>37</v>
      </c>
      <c r="PF11" s="13" t="s">
        <v>37</v>
      </c>
      <c r="PG11" s="12"/>
      <c r="PH11" s="12"/>
      <c r="PI11" s="12" t="s">
        <v>37</v>
      </c>
      <c r="PJ11" s="12" t="s">
        <v>37</v>
      </c>
      <c r="PK11" s="13" t="s">
        <v>37</v>
      </c>
      <c r="PL11" s="12" t="s">
        <v>37</v>
      </c>
      <c r="PM11" s="12" t="s">
        <v>37</v>
      </c>
      <c r="PN11" s="13" t="s">
        <v>37</v>
      </c>
      <c r="PO11" s="12"/>
      <c r="PP11" s="12"/>
      <c r="PQ11" s="11" t="s">
        <v>37</v>
      </c>
      <c r="PR11" s="11" t="s">
        <v>37</v>
      </c>
      <c r="PS11" s="13" t="s">
        <v>37</v>
      </c>
      <c r="PT11" s="11" t="s">
        <v>37</v>
      </c>
      <c r="PU11" s="11" t="s">
        <v>37</v>
      </c>
      <c r="PV11" s="13" t="s">
        <v>37</v>
      </c>
      <c r="PW11" s="12"/>
      <c r="PX11" s="12"/>
      <c r="PY11" s="11" t="s">
        <v>37</v>
      </c>
      <c r="PZ11" s="11" t="s">
        <v>37</v>
      </c>
      <c r="QA11" s="11" t="s">
        <v>37</v>
      </c>
      <c r="QB11" s="11" t="s">
        <v>37</v>
      </c>
      <c r="QC11" s="11" t="s">
        <v>37</v>
      </c>
      <c r="QD11" s="11" t="s">
        <v>37</v>
      </c>
      <c r="QE11" s="12"/>
      <c r="QF11" s="12"/>
      <c r="QG11" s="11" t="s">
        <v>37</v>
      </c>
      <c r="QH11" s="11" t="s">
        <v>37</v>
      </c>
      <c r="QI11" s="13" t="s">
        <v>37</v>
      </c>
      <c r="QJ11" s="11" t="s">
        <v>37</v>
      </c>
      <c r="QK11" s="11" t="s">
        <v>37</v>
      </c>
      <c r="QL11" s="13" t="s">
        <v>37</v>
      </c>
      <c r="QM11" s="12"/>
      <c r="QN11" s="12"/>
      <c r="QO11" s="12" t="s">
        <v>37</v>
      </c>
      <c r="QP11" s="12" t="s">
        <v>37</v>
      </c>
      <c r="QQ11" s="13" t="s">
        <v>37</v>
      </c>
      <c r="QR11" s="12" t="s">
        <v>37</v>
      </c>
      <c r="QS11" s="12" t="s">
        <v>37</v>
      </c>
      <c r="QT11" s="13" t="s">
        <v>37</v>
      </c>
      <c r="QU11" s="13"/>
      <c r="QV11" s="13"/>
      <c r="QW11" s="12"/>
      <c r="QX11" s="12"/>
      <c r="QY11" s="12" t="s">
        <v>37</v>
      </c>
      <c r="QZ11" s="12" t="s">
        <v>37</v>
      </c>
      <c r="RA11" s="11" t="s">
        <v>37</v>
      </c>
      <c r="RB11" s="12" t="s">
        <v>37</v>
      </c>
      <c r="RC11" s="12" t="s">
        <v>37</v>
      </c>
      <c r="RD11" s="11" t="s">
        <v>37</v>
      </c>
      <c r="RE11" s="11"/>
      <c r="RF11" s="11"/>
      <c r="RG11" s="12"/>
      <c r="RH11" s="12"/>
      <c r="RI11" s="12" t="s">
        <v>37</v>
      </c>
      <c r="RJ11" s="12" t="s">
        <v>37</v>
      </c>
      <c r="RK11" s="11" t="s">
        <v>37</v>
      </c>
      <c r="RL11" s="12" t="s">
        <v>37</v>
      </c>
      <c r="RM11" s="12" t="s">
        <v>37</v>
      </c>
      <c r="RN11" s="11" t="s">
        <v>37</v>
      </c>
      <c r="RO11" s="11"/>
      <c r="RP11" s="11"/>
      <c r="RQ11" s="12"/>
      <c r="RR11" s="12"/>
      <c r="RS11" s="12" t="s">
        <v>37</v>
      </c>
      <c r="RT11" s="12" t="s">
        <v>37</v>
      </c>
      <c r="RU11" s="11" t="s">
        <v>37</v>
      </c>
      <c r="RV11" s="12" t="s">
        <v>37</v>
      </c>
      <c r="RW11" s="12" t="s">
        <v>37</v>
      </c>
      <c r="RX11" s="11" t="s">
        <v>37</v>
      </c>
      <c r="RY11" s="11"/>
      <c r="RZ11" s="11"/>
      <c r="SA11" s="12" t="s">
        <v>127</v>
      </c>
      <c r="SB11" s="12" t="s">
        <v>330</v>
      </c>
      <c r="SC11" s="13">
        <f>1.4*10^7</f>
        <v>14000000</v>
      </c>
      <c r="SD11" s="13">
        <f>2.7*10^6*SQRT(6)</f>
        <v>6613622.3055145806</v>
      </c>
      <c r="SE11" s="13">
        <v>6</v>
      </c>
      <c r="SF11" s="13">
        <f>9.7*10^6</f>
        <v>9700000</v>
      </c>
      <c r="SG11" s="13">
        <f>1.5*10^6*SQRT(6)</f>
        <v>3674234.6141747669</v>
      </c>
      <c r="SH11" s="11">
        <v>6</v>
      </c>
      <c r="SI11" s="19">
        <f>LN(SF11/SC11)</f>
        <v>-0.36693144410592149</v>
      </c>
      <c r="SJ11" s="19">
        <f t="shared" si="36"/>
        <v>6.1107152075411945E-2</v>
      </c>
      <c r="SK11" s="12"/>
      <c r="SL11" s="12"/>
      <c r="SM11" s="12" t="s">
        <v>37</v>
      </c>
      <c r="SN11" s="12" t="s">
        <v>37</v>
      </c>
      <c r="SO11" s="13" t="s">
        <v>37</v>
      </c>
      <c r="SP11" s="12" t="s">
        <v>37</v>
      </c>
      <c r="SQ11" s="12" t="s">
        <v>37</v>
      </c>
      <c r="SR11" s="13" t="s">
        <v>37</v>
      </c>
      <c r="SS11" s="13"/>
      <c r="ST11" s="13"/>
      <c r="SU11" s="12"/>
      <c r="SV11" s="12"/>
      <c r="SW11" s="12" t="s">
        <v>37</v>
      </c>
      <c r="SX11" s="12" t="s">
        <v>37</v>
      </c>
      <c r="SY11" s="13" t="s">
        <v>37</v>
      </c>
      <c r="SZ11" s="12" t="s">
        <v>37</v>
      </c>
      <c r="TA11" s="12" t="s">
        <v>37</v>
      </c>
      <c r="TB11" s="13" t="s">
        <v>37</v>
      </c>
      <c r="TC11" s="13"/>
      <c r="TD11" s="13"/>
      <c r="TE11" s="12" t="s">
        <v>127</v>
      </c>
      <c r="TF11" s="12" t="s">
        <v>330</v>
      </c>
      <c r="TG11" s="13">
        <f>1.8*10^7</f>
        <v>18000000</v>
      </c>
      <c r="TH11" s="13">
        <f>6.3*10^6*SQRT(6)</f>
        <v>15431785.379534021</v>
      </c>
      <c r="TI11" s="13">
        <v>6</v>
      </c>
      <c r="TJ11" s="13">
        <f>7.2*10^6</f>
        <v>7200000</v>
      </c>
      <c r="TK11" s="13">
        <f>2.2*10^6*SQRT(6)</f>
        <v>5388877.4341229917</v>
      </c>
      <c r="TL11" s="13">
        <v>6</v>
      </c>
      <c r="TM11" s="19">
        <f t="shared" ref="TM11" si="38">LN(TJ11/TG11)</f>
        <v>-0.916290731874155</v>
      </c>
      <c r="TN11" s="19">
        <f t="shared" si="37"/>
        <v>0.21586419753086417</v>
      </c>
      <c r="TO11" s="12"/>
      <c r="TP11" s="12"/>
      <c r="TQ11" s="13" t="s">
        <v>37</v>
      </c>
      <c r="TR11" s="13" t="s">
        <v>37</v>
      </c>
      <c r="TS11" s="13" t="s">
        <v>37</v>
      </c>
      <c r="TT11" s="19"/>
      <c r="TU11" s="13" t="s">
        <v>37</v>
      </c>
      <c r="TV11" s="13" t="s">
        <v>37</v>
      </c>
      <c r="TW11" s="13" t="s">
        <v>37</v>
      </c>
    </row>
    <row r="12" spans="1:546" ht="17.399999999999999" x14ac:dyDescent="0.4">
      <c r="A12" s="11">
        <v>5</v>
      </c>
      <c r="B12" s="12" t="s">
        <v>144</v>
      </c>
      <c r="C12" s="12" t="s">
        <v>26</v>
      </c>
      <c r="D12" s="12" t="s">
        <v>54</v>
      </c>
      <c r="E12" s="12" t="s">
        <v>37</v>
      </c>
      <c r="F12" s="14">
        <v>0</v>
      </c>
      <c r="G12" s="14">
        <v>0</v>
      </c>
      <c r="H12" s="12" t="s">
        <v>145</v>
      </c>
      <c r="I12" s="29">
        <v>48.972000000000001</v>
      </c>
      <c r="J12" s="29">
        <v>13.634</v>
      </c>
      <c r="K12" s="12" t="s">
        <v>570</v>
      </c>
      <c r="L12" s="12" t="s">
        <v>571</v>
      </c>
      <c r="M12" s="13">
        <v>850</v>
      </c>
      <c r="N12" s="14">
        <v>4</v>
      </c>
      <c r="O12" s="14">
        <v>1100</v>
      </c>
      <c r="P12" s="14" t="s">
        <v>16</v>
      </c>
      <c r="Q12" s="11">
        <v>50</v>
      </c>
      <c r="R12" s="11" t="s">
        <v>37</v>
      </c>
      <c r="S12" s="12" t="s">
        <v>85</v>
      </c>
      <c r="T12" s="12" t="s">
        <v>138</v>
      </c>
      <c r="U12" s="12" t="s">
        <v>158</v>
      </c>
      <c r="V12" s="12" t="s">
        <v>275</v>
      </c>
      <c r="W12" s="23" t="s">
        <v>147</v>
      </c>
      <c r="X12" s="12" t="s">
        <v>280</v>
      </c>
      <c r="Y12" s="12" t="s">
        <v>69</v>
      </c>
      <c r="Z12" s="12" t="s">
        <v>37</v>
      </c>
      <c r="AA12" s="32">
        <v>2008</v>
      </c>
      <c r="AB12" s="13" t="s">
        <v>37</v>
      </c>
      <c r="AC12" s="13" t="s">
        <v>37</v>
      </c>
      <c r="AD12" s="12" t="s">
        <v>99</v>
      </c>
      <c r="AE12" s="12" t="s">
        <v>74</v>
      </c>
      <c r="AF12" s="12" t="s">
        <v>489</v>
      </c>
      <c r="AG12" s="16" t="s">
        <v>42</v>
      </c>
      <c r="AH12" s="32" t="s">
        <v>340</v>
      </c>
      <c r="AI12" s="12">
        <v>434</v>
      </c>
      <c r="AJ12" s="12">
        <v>2</v>
      </c>
      <c r="AK12" s="11">
        <v>3</v>
      </c>
      <c r="AL12" s="19">
        <f>AJ12/AI12</f>
        <v>4.608294930875576E-3</v>
      </c>
      <c r="AM12" s="12">
        <v>328</v>
      </c>
      <c r="AN12" s="12">
        <v>43</v>
      </c>
      <c r="AO12" s="13">
        <v>3</v>
      </c>
      <c r="AP12" s="19">
        <f>AN12/AM12</f>
        <v>0.13109756097560976</v>
      </c>
      <c r="AQ12" s="49">
        <f>LN(AM12/AI12)</f>
        <v>-0.2800309257162612</v>
      </c>
      <c r="AR12" s="19">
        <f>AN12^2/(AO12*AM12^2)+AJ12^2/(AK12*AI12^2)</f>
        <v>5.7359356253078846E-3</v>
      </c>
      <c r="AS12" s="32"/>
      <c r="AT12" s="12" t="s">
        <v>37</v>
      </c>
      <c r="AU12" s="12" t="s">
        <v>37</v>
      </c>
      <c r="AV12" s="13" t="s">
        <v>37</v>
      </c>
      <c r="AW12" s="12" t="s">
        <v>37</v>
      </c>
      <c r="AX12" s="12" t="s">
        <v>37</v>
      </c>
      <c r="AY12" s="13" t="s">
        <v>37</v>
      </c>
      <c r="AZ12" s="13"/>
      <c r="BA12" s="13"/>
      <c r="BB12" s="12"/>
      <c r="BC12" s="12" t="s">
        <v>37</v>
      </c>
      <c r="BD12" s="12" t="s">
        <v>37</v>
      </c>
      <c r="BE12" s="13" t="s">
        <v>37</v>
      </c>
      <c r="BF12" s="12" t="s">
        <v>37</v>
      </c>
      <c r="BG12" s="12" t="s">
        <v>37</v>
      </c>
      <c r="BH12" s="12" t="s">
        <v>37</v>
      </c>
      <c r="BI12" s="12"/>
      <c r="BJ12" s="12" t="s">
        <v>37</v>
      </c>
      <c r="BK12" s="12" t="s">
        <v>37</v>
      </c>
      <c r="BL12" s="13" t="s">
        <v>37</v>
      </c>
      <c r="BM12" s="12" t="s">
        <v>37</v>
      </c>
      <c r="BN12" s="12" t="s">
        <v>37</v>
      </c>
      <c r="BO12" s="13" t="s">
        <v>37</v>
      </c>
      <c r="BP12" s="19"/>
      <c r="BQ12" s="19"/>
      <c r="BR12" s="19"/>
      <c r="BS12" s="19"/>
      <c r="BT12" s="12"/>
      <c r="BU12" s="12" t="s">
        <v>37</v>
      </c>
      <c r="BV12" s="12" t="s">
        <v>37</v>
      </c>
      <c r="BW12" s="13" t="s">
        <v>37</v>
      </c>
      <c r="BX12" s="12" t="s">
        <v>37</v>
      </c>
      <c r="BY12" s="12" t="s">
        <v>37</v>
      </c>
      <c r="BZ12" s="13" t="s">
        <v>37</v>
      </c>
      <c r="CA12" s="19"/>
      <c r="CB12" s="19"/>
      <c r="CC12" s="19"/>
      <c r="CD12" s="19"/>
      <c r="CE12" s="12"/>
      <c r="CF12" s="12" t="s">
        <v>37</v>
      </c>
      <c r="CG12" s="12" t="s">
        <v>37</v>
      </c>
      <c r="CH12" s="13" t="s">
        <v>37</v>
      </c>
      <c r="CI12" s="12" t="s">
        <v>37</v>
      </c>
      <c r="CJ12" s="12" t="s">
        <v>37</v>
      </c>
      <c r="CK12" s="13" t="s">
        <v>37</v>
      </c>
      <c r="CL12" s="19"/>
      <c r="CM12" s="19"/>
      <c r="CN12" s="19"/>
      <c r="CO12" s="19"/>
      <c r="CP12" s="15" t="s">
        <v>34</v>
      </c>
      <c r="CQ12" s="15">
        <f>0.22*10/100/3*10000*16/1000000*1000</f>
        <v>1.1733333333333336</v>
      </c>
      <c r="CR12" s="52">
        <f>0.14*10/100/3*10000*16/1000000*1000</f>
        <v>0.7466666666666667</v>
      </c>
      <c r="CS12" s="18">
        <v>8</v>
      </c>
      <c r="CT12" s="52">
        <f>CR12/CQ12</f>
        <v>0.63636363636363624</v>
      </c>
      <c r="CU12" s="15">
        <f>0.0003*10/100/3*10000*16/1000000*1000</f>
        <v>1.5999999999999999E-3</v>
      </c>
      <c r="CV12" s="52">
        <f>0.0009*10/100/3*10000*16/1000000*1000</f>
        <v>4.7999999999999996E-3</v>
      </c>
      <c r="CW12" s="18">
        <v>8</v>
      </c>
      <c r="CX12" s="52">
        <f>CV12/CU12</f>
        <v>3</v>
      </c>
      <c r="CY12" s="68">
        <f>CU12-CQ12</f>
        <v>-1.1717333333333335</v>
      </c>
      <c r="CZ12" s="12">
        <f t="shared" ref="CZ12:CZ27" si="39">SQRT(((CS12-1)*CR12^2+(CW12-1)*CV12^2)/(CS12+CW12-2))</f>
        <v>0.52798397282072451</v>
      </c>
      <c r="DA12" s="72">
        <f t="shared" ref="DA12:DA27" si="40">(((CS12+CW12)/(CS12*CW12))*(((CS12-1)*CR12^2)+(CW12-1)*CV12^2)/(CS12+CW12-2))</f>
        <v>6.9691768888888894E-2</v>
      </c>
      <c r="DB12" s="72">
        <f t="shared" ref="DB12:DB27" si="41">(CR12^2/CS12)+(CV12^2/CW12)</f>
        <v>6.9691768888888894E-2</v>
      </c>
      <c r="DC12" s="15"/>
      <c r="DD12" s="15" t="s">
        <v>37</v>
      </c>
      <c r="DE12" s="67" t="s">
        <v>37</v>
      </c>
      <c r="DF12" s="15" t="s">
        <v>37</v>
      </c>
      <c r="DG12" s="52"/>
      <c r="DH12" s="15" t="s">
        <v>37</v>
      </c>
      <c r="DI12" s="67" t="s">
        <v>37</v>
      </c>
      <c r="DJ12" s="15" t="s">
        <v>37</v>
      </c>
      <c r="DK12" s="52"/>
      <c r="DL12" s="68"/>
      <c r="DM12" s="68"/>
      <c r="DN12" s="68"/>
      <c r="DO12" s="68"/>
      <c r="DP12" s="12" t="s">
        <v>39</v>
      </c>
      <c r="DQ12" s="12">
        <v>-8.25</v>
      </c>
      <c r="DR12" s="12">
        <v>0.66</v>
      </c>
      <c r="DS12" s="13">
        <v>3</v>
      </c>
      <c r="DT12" s="19">
        <f>DR12/ABS(DQ12)</f>
        <v>0.08</v>
      </c>
      <c r="DU12" s="12">
        <v>-33.4</v>
      </c>
      <c r="DV12" s="12">
        <v>10.4</v>
      </c>
      <c r="DW12" s="13">
        <v>3</v>
      </c>
      <c r="DX12" s="19">
        <f>DV12/ABS(DU12)</f>
        <v>0.31137724550898205</v>
      </c>
      <c r="DY12" s="19">
        <f>DU12-DQ12</f>
        <v>-25.15</v>
      </c>
      <c r="DZ12" s="12">
        <f t="shared" si="12"/>
        <v>7.3687040923082261</v>
      </c>
      <c r="EA12" s="72">
        <f t="shared" si="13"/>
        <v>36.19853333333333</v>
      </c>
      <c r="EB12" s="72">
        <f t="shared" si="14"/>
        <v>36.198533333333337</v>
      </c>
      <c r="EC12" s="12"/>
      <c r="ED12" s="12"/>
      <c r="EE12" s="12" t="s">
        <v>37</v>
      </c>
      <c r="EF12" s="12" t="s">
        <v>37</v>
      </c>
      <c r="EG12" s="11" t="s">
        <v>37</v>
      </c>
      <c r="EH12" s="19"/>
      <c r="EI12" s="12" t="s">
        <v>37</v>
      </c>
      <c r="EJ12" s="20" t="s">
        <v>37</v>
      </c>
      <c r="EK12" s="11" t="s">
        <v>37</v>
      </c>
      <c r="EL12" s="19"/>
      <c r="EM12" s="19"/>
      <c r="EN12" s="19"/>
      <c r="EO12" s="19"/>
      <c r="EP12" s="19"/>
      <c r="EQ12" s="32"/>
      <c r="ER12" s="12" t="s">
        <v>37</v>
      </c>
      <c r="ES12" s="12" t="s">
        <v>37</v>
      </c>
      <c r="ET12" s="11" t="s">
        <v>37</v>
      </c>
      <c r="EU12" s="19"/>
      <c r="EV12" s="13" t="s">
        <v>37</v>
      </c>
      <c r="EW12" s="11" t="s">
        <v>37</v>
      </c>
      <c r="EX12" s="11" t="s">
        <v>37</v>
      </c>
      <c r="EY12" s="19"/>
      <c r="EZ12" s="19"/>
      <c r="FA12" s="19"/>
      <c r="FB12" s="19"/>
      <c r="FC12" s="32"/>
      <c r="FD12" s="12" t="s">
        <v>37</v>
      </c>
      <c r="FE12" s="12" t="s">
        <v>37</v>
      </c>
      <c r="FF12" s="11" t="s">
        <v>37</v>
      </c>
      <c r="FG12" s="13" t="s">
        <v>37</v>
      </c>
      <c r="FH12" s="11" t="s">
        <v>37</v>
      </c>
      <c r="FI12" s="11" t="s">
        <v>37</v>
      </c>
      <c r="FJ12" s="19"/>
      <c r="FK12" s="19"/>
      <c r="FL12" s="19"/>
      <c r="FM12" s="32"/>
      <c r="FN12" s="12" t="s">
        <v>37</v>
      </c>
      <c r="FO12" s="12" t="s">
        <v>37</v>
      </c>
      <c r="FP12" s="11" t="s">
        <v>37</v>
      </c>
      <c r="FQ12" s="13" t="s">
        <v>37</v>
      </c>
      <c r="FR12" s="11" t="s">
        <v>37</v>
      </c>
      <c r="FS12" s="11" t="s">
        <v>37</v>
      </c>
      <c r="FT12" s="19"/>
      <c r="FU12" s="19"/>
      <c r="FV12" s="19"/>
      <c r="FW12" s="12"/>
      <c r="FX12" s="12"/>
      <c r="FY12" s="12" t="s">
        <v>37</v>
      </c>
      <c r="FZ12" s="12" t="s">
        <v>37</v>
      </c>
      <c r="GA12" s="13" t="s">
        <v>37</v>
      </c>
      <c r="GB12" s="12" t="s">
        <v>37</v>
      </c>
      <c r="GC12" s="12" t="s">
        <v>37</v>
      </c>
      <c r="GD12" s="13" t="s">
        <v>37</v>
      </c>
      <c r="GE12" s="19"/>
      <c r="GF12" s="19"/>
      <c r="GG12" s="12"/>
      <c r="GH12" s="12"/>
      <c r="GI12" s="12" t="s">
        <v>37</v>
      </c>
      <c r="GJ12" s="12" t="s">
        <v>37</v>
      </c>
      <c r="GK12" s="13" t="s">
        <v>37</v>
      </c>
      <c r="GL12" s="19"/>
      <c r="GM12" s="12" t="s">
        <v>37</v>
      </c>
      <c r="GN12" s="12" t="s">
        <v>37</v>
      </c>
      <c r="GO12" s="13" t="s">
        <v>37</v>
      </c>
      <c r="GP12" s="19"/>
      <c r="GQ12" s="19"/>
      <c r="GR12" s="19"/>
      <c r="GS12" s="17" t="s">
        <v>63</v>
      </c>
      <c r="GT12" s="34" t="s">
        <v>340</v>
      </c>
      <c r="GU12" s="12">
        <v>0.16</v>
      </c>
      <c r="GV12" s="12">
        <v>0.02</v>
      </c>
      <c r="GW12" s="13">
        <v>3</v>
      </c>
      <c r="GX12" s="19"/>
      <c r="GY12" s="12">
        <v>0.92</v>
      </c>
      <c r="GZ12" s="12">
        <v>0.3</v>
      </c>
      <c r="HA12" s="13">
        <v>3</v>
      </c>
      <c r="HB12" s="19"/>
      <c r="HC12" s="19">
        <f>LN(GY12/GU12)</f>
        <v>1.7491998548092591</v>
      </c>
      <c r="HD12" s="19">
        <f>GZ12^2/(HA12*GY12^2)+GV12^2/(GW12*GU12^2)</f>
        <v>4.0652567737870196E-2</v>
      </c>
      <c r="HE12" s="34"/>
      <c r="HF12" s="12" t="s">
        <v>37</v>
      </c>
      <c r="HG12" s="12" t="s">
        <v>37</v>
      </c>
      <c r="HH12" s="13" t="s">
        <v>37</v>
      </c>
      <c r="HI12" s="12" t="s">
        <v>37</v>
      </c>
      <c r="HJ12" s="12" t="s">
        <v>37</v>
      </c>
      <c r="HK12" s="13" t="s">
        <v>37</v>
      </c>
      <c r="HL12" s="13"/>
      <c r="HM12" s="13"/>
      <c r="HN12" s="34"/>
      <c r="HO12" s="12" t="s">
        <v>37</v>
      </c>
      <c r="HP12" s="12" t="s">
        <v>37</v>
      </c>
      <c r="HQ12" s="13" t="s">
        <v>37</v>
      </c>
      <c r="HR12" s="12" t="s">
        <v>37</v>
      </c>
      <c r="HS12" s="12" t="s">
        <v>37</v>
      </c>
      <c r="HT12" s="13" t="s">
        <v>37</v>
      </c>
      <c r="HU12" s="13"/>
      <c r="HV12" s="13"/>
      <c r="HW12" s="12"/>
      <c r="HX12" s="12"/>
      <c r="HY12" s="12" t="s">
        <v>37</v>
      </c>
      <c r="HZ12" s="12" t="s">
        <v>37</v>
      </c>
      <c r="IA12" s="12" t="s">
        <v>37</v>
      </c>
      <c r="IB12" s="12" t="s">
        <v>37</v>
      </c>
      <c r="IC12" s="12" t="s">
        <v>37</v>
      </c>
      <c r="ID12" s="12" t="s">
        <v>37</v>
      </c>
      <c r="IE12" s="12"/>
      <c r="IF12" s="32" t="s">
        <v>340</v>
      </c>
      <c r="IG12" s="12">
        <v>5.5</v>
      </c>
      <c r="IH12" s="12">
        <v>7.0000000000000007E-2</v>
      </c>
      <c r="II12" s="13">
        <v>3</v>
      </c>
      <c r="IJ12" s="19">
        <f>IH12/IG12</f>
        <v>1.2727272727272728E-2</v>
      </c>
      <c r="IK12" s="12">
        <v>4.5999999999999996</v>
      </c>
      <c r="IL12" s="12">
        <v>0.1</v>
      </c>
      <c r="IM12" s="13">
        <v>3</v>
      </c>
      <c r="IN12" s="19">
        <f>IL12/IK12</f>
        <v>2.1739130434782612E-2</v>
      </c>
      <c r="IO12" s="19">
        <f>LN(IK12/IG12)</f>
        <v>-0.17869178874337599</v>
      </c>
      <c r="IP12" s="19">
        <f t="shared" ref="IP12" si="42">IL12^2/(IM12*IK12^2)+IH12^2/(II12*IG12^2)</f>
        <v>2.115244210449573E-4</v>
      </c>
      <c r="IQ12" s="32"/>
      <c r="IR12" s="12" t="s">
        <v>37</v>
      </c>
      <c r="IS12" s="12" t="s">
        <v>37</v>
      </c>
      <c r="IT12" s="13" t="s">
        <v>37</v>
      </c>
      <c r="IU12" s="12" t="s">
        <v>37</v>
      </c>
      <c r="IV12" s="12" t="s">
        <v>37</v>
      </c>
      <c r="IW12" s="12" t="s">
        <v>37</v>
      </c>
      <c r="IX12" s="32"/>
      <c r="IY12" s="12" t="s">
        <v>37</v>
      </c>
      <c r="IZ12" s="12" t="s">
        <v>37</v>
      </c>
      <c r="JA12" s="13" t="s">
        <v>37</v>
      </c>
      <c r="JB12" s="12" t="s">
        <v>37</v>
      </c>
      <c r="JC12" s="12" t="s">
        <v>37</v>
      </c>
      <c r="JD12" s="12" t="s">
        <v>37</v>
      </c>
      <c r="JE12" s="12"/>
      <c r="JF12" s="12"/>
      <c r="JG12" s="11" t="s">
        <v>37</v>
      </c>
      <c r="JH12" s="11" t="s">
        <v>37</v>
      </c>
      <c r="JI12" s="13" t="s">
        <v>37</v>
      </c>
      <c r="JJ12" s="11" t="s">
        <v>37</v>
      </c>
      <c r="JK12" s="11" t="s">
        <v>37</v>
      </c>
      <c r="JL12" s="11" t="s">
        <v>37</v>
      </c>
      <c r="JM12" s="12" t="s">
        <v>42</v>
      </c>
      <c r="JN12" s="32" t="s">
        <v>340</v>
      </c>
      <c r="JO12" s="12">
        <v>17.2</v>
      </c>
      <c r="JP12" s="12">
        <v>1.2</v>
      </c>
      <c r="JQ12" s="11">
        <v>3</v>
      </c>
      <c r="JR12" s="19">
        <f>JP12/JO12</f>
        <v>6.9767441860465115E-2</v>
      </c>
      <c r="JS12" s="12">
        <v>15</v>
      </c>
      <c r="JT12" s="12">
        <v>1.8</v>
      </c>
      <c r="JU12" s="13">
        <v>3</v>
      </c>
      <c r="JV12" s="19">
        <f>JT12/JS12</f>
        <v>0.12000000000000001</v>
      </c>
      <c r="JW12" s="19">
        <f t="shared" ref="JW12" si="43">LN(JS12/JO12)</f>
        <v>-0.1368591827171973</v>
      </c>
      <c r="JX12" s="19">
        <f>JT12^2/(JU12*JS12^2)+JP12^2/(JQ12*JO12^2)</f>
        <v>6.4224986479177936E-3</v>
      </c>
      <c r="JY12" s="32"/>
      <c r="JZ12" s="12" t="s">
        <v>37</v>
      </c>
      <c r="KA12" s="12" t="s">
        <v>37</v>
      </c>
      <c r="KB12" s="13" t="s">
        <v>37</v>
      </c>
      <c r="KC12" s="12" t="s">
        <v>37</v>
      </c>
      <c r="KD12" s="12" t="s">
        <v>37</v>
      </c>
      <c r="KE12" s="13" t="s">
        <v>37</v>
      </c>
      <c r="KF12" s="13"/>
      <c r="KG12" s="13"/>
      <c r="KH12" s="32"/>
      <c r="KI12" s="12" t="s">
        <v>37</v>
      </c>
      <c r="KJ12" s="12" t="s">
        <v>37</v>
      </c>
      <c r="KK12" s="12" t="s">
        <v>37</v>
      </c>
      <c r="KL12" s="12" t="s">
        <v>37</v>
      </c>
      <c r="KM12" s="12" t="s">
        <v>37</v>
      </c>
      <c r="KN12" s="12" t="s">
        <v>37</v>
      </c>
      <c r="KO12" s="12"/>
      <c r="KP12" s="12"/>
      <c r="KQ12" s="12"/>
      <c r="KR12" s="12" t="str">
        <f t="shared" ref="KR12:KR14" si="44">JN12</f>
        <v>0-30</v>
      </c>
      <c r="KS12" s="12">
        <f>AI12/JO12</f>
        <v>25.232558139534884</v>
      </c>
      <c r="KT12" s="12">
        <f>SQRT((1/JO12)^2*AJ12^2+AI12^2*(-1/JO12^2)^2*JP12^2)</f>
        <v>1.7642470992300761</v>
      </c>
      <c r="KU12" s="13">
        <f t="shared" ref="KU12:KU14" si="45">JQ12</f>
        <v>3</v>
      </c>
      <c r="KV12" s="19">
        <f>KT12/KS12</f>
        <v>6.9919470292067534E-2</v>
      </c>
      <c r="KW12" s="12">
        <f>AM12/JS12</f>
        <v>21.866666666666667</v>
      </c>
      <c r="KX12" s="12">
        <f>SQRT((1/JS12)^2*AN12^2+AM12^2*(-1/JS12^2)^2*JT12^2)</f>
        <v>3.8862776248973487</v>
      </c>
      <c r="KY12" s="13">
        <f t="shared" ref="KY12:KY14" si="46">JU12</f>
        <v>3</v>
      </c>
      <c r="KZ12" s="19">
        <f>KX12/KW12</f>
        <v>0.17772611089469581</v>
      </c>
      <c r="LA12" s="19">
        <f>LN(KW12/KS12)</f>
        <v>-0.14317174299906382</v>
      </c>
      <c r="LB12" s="19">
        <f>KX12^2/(KY12*KW12^2)+KT12^2/(KU12*KS12^2)</f>
        <v>1.2158434273225677E-2</v>
      </c>
      <c r="LC12" s="12"/>
      <c r="LD12" s="12" t="s">
        <v>37</v>
      </c>
      <c r="LE12" s="12" t="s">
        <v>37</v>
      </c>
      <c r="LF12" s="12" t="s">
        <v>37</v>
      </c>
      <c r="LG12" s="19" t="str">
        <f t="shared" si="19"/>
        <v>/</v>
      </c>
      <c r="LH12" s="19" t="str">
        <f t="shared" si="20"/>
        <v>/</v>
      </c>
      <c r="LI12" s="13" t="str">
        <f t="shared" si="21"/>
        <v>/</v>
      </c>
      <c r="LJ12" s="13"/>
      <c r="LK12" s="13"/>
      <c r="LL12" s="12"/>
      <c r="LM12" s="12" t="s">
        <v>37</v>
      </c>
      <c r="LN12" s="12" t="s">
        <v>37</v>
      </c>
      <c r="LO12" s="12" t="s">
        <v>37</v>
      </c>
      <c r="LP12" s="12" t="s">
        <v>37</v>
      </c>
      <c r="LQ12" s="12" t="s">
        <v>37</v>
      </c>
      <c r="LR12" s="12" t="s">
        <v>37</v>
      </c>
      <c r="LS12" s="12" t="s">
        <v>148</v>
      </c>
      <c r="LT12" s="12" t="s">
        <v>340</v>
      </c>
      <c r="LU12" s="12">
        <v>0.33</v>
      </c>
      <c r="LV12" s="12">
        <v>0.22</v>
      </c>
      <c r="LW12" s="13">
        <v>3</v>
      </c>
      <c r="LX12" s="12">
        <v>0.7</v>
      </c>
      <c r="LY12" s="12">
        <v>0.46</v>
      </c>
      <c r="LZ12" s="13">
        <v>3</v>
      </c>
      <c r="MA12" s="19">
        <f t="shared" ref="MA12:MA14" si="47">LN(LX12/LU12)</f>
        <v>0.75198768058287868</v>
      </c>
      <c r="MB12" s="19">
        <f t="shared" ref="MB12:MB14" si="48">LY12^2/(LZ12*LX12^2)+LV12^2/(LW12*LU12^2)</f>
        <v>0.29209372637944064</v>
      </c>
      <c r="MC12" s="12" t="s">
        <v>148</v>
      </c>
      <c r="MD12" s="12" t="s">
        <v>340</v>
      </c>
      <c r="ME12" s="12">
        <v>0.04</v>
      </c>
      <c r="MF12" s="12">
        <v>0.14000000000000001</v>
      </c>
      <c r="MG12" s="13">
        <v>3</v>
      </c>
      <c r="MH12" s="12">
        <v>0.04</v>
      </c>
      <c r="MI12" s="12">
        <v>0.12</v>
      </c>
      <c r="MJ12" s="13">
        <v>3</v>
      </c>
      <c r="MK12" s="19">
        <f t="shared" ref="MK12:MK14" si="49">LN(MH12/ME12)</f>
        <v>0</v>
      </c>
      <c r="ML12" s="19">
        <f t="shared" ref="ML12:ML14" si="50">MI12^2/(MJ12*MH12^2)+MF12^2/(MG12*ME12^2)</f>
        <v>7.0833333333333339</v>
      </c>
      <c r="MM12" s="12"/>
      <c r="MN12" s="12"/>
      <c r="MO12" s="11" t="s">
        <v>37</v>
      </c>
      <c r="MP12" s="11" t="s">
        <v>37</v>
      </c>
      <c r="MQ12" s="13" t="s">
        <v>37</v>
      </c>
      <c r="MR12" s="11" t="s">
        <v>37</v>
      </c>
      <c r="MS12" s="11" t="s">
        <v>37</v>
      </c>
      <c r="MT12" s="13" t="s">
        <v>37</v>
      </c>
      <c r="MU12" s="13"/>
      <c r="MV12" s="13"/>
      <c r="MW12" s="12"/>
      <c r="MX12" s="12"/>
      <c r="MY12" s="11" t="s">
        <v>37</v>
      </c>
      <c r="MZ12" s="11" t="s">
        <v>37</v>
      </c>
      <c r="NA12" s="11" t="s">
        <v>37</v>
      </c>
      <c r="NB12" s="11" t="s">
        <v>37</v>
      </c>
      <c r="NC12" s="11" t="s">
        <v>37</v>
      </c>
      <c r="ND12" s="11" t="s">
        <v>37</v>
      </c>
      <c r="NE12" s="11"/>
      <c r="NF12" s="11"/>
      <c r="NG12" s="12" t="s">
        <v>149</v>
      </c>
      <c r="NH12" s="12" t="s">
        <v>340</v>
      </c>
      <c r="NI12" s="12">
        <v>17.239999999999998</v>
      </c>
      <c r="NJ12" s="12">
        <v>9.0500000000000007</v>
      </c>
      <c r="NK12" s="13">
        <v>3</v>
      </c>
      <c r="NL12" s="12">
        <v>37.5</v>
      </c>
      <c r="NM12" s="12">
        <v>6.02</v>
      </c>
      <c r="NN12" s="13">
        <v>3</v>
      </c>
      <c r="NO12" s="19">
        <f t="shared" ref="NO12:NO14" si="51">LN(NL12/NI12)</f>
        <v>0.7771086677408181</v>
      </c>
      <c r="NP12" s="19">
        <f t="shared" ref="NP12:NP14" si="52">NM12^2/(NN12*NL12^2)+NJ12^2/(NK12*NI12^2)</f>
        <v>0.10044501653441991</v>
      </c>
      <c r="NQ12" s="12"/>
      <c r="NR12" s="12"/>
      <c r="NS12" s="11" t="s">
        <v>37</v>
      </c>
      <c r="NT12" s="11" t="s">
        <v>37</v>
      </c>
      <c r="NU12" s="13" t="s">
        <v>37</v>
      </c>
      <c r="NV12" s="11" t="s">
        <v>37</v>
      </c>
      <c r="NW12" s="11" t="s">
        <v>37</v>
      </c>
      <c r="NX12" s="13" t="s">
        <v>37</v>
      </c>
      <c r="NY12" s="13"/>
      <c r="NZ12" s="13"/>
      <c r="OA12" s="12" t="s">
        <v>148</v>
      </c>
      <c r="OB12" s="12" t="s">
        <v>340</v>
      </c>
      <c r="OC12" s="12">
        <v>0.09</v>
      </c>
      <c r="OD12" s="12">
        <v>0.08</v>
      </c>
      <c r="OE12" s="13">
        <v>3</v>
      </c>
      <c r="OF12" s="12">
        <v>0.56999999999999995</v>
      </c>
      <c r="OG12" s="12">
        <v>0.57999999999999996</v>
      </c>
      <c r="OH12" s="13">
        <v>3</v>
      </c>
      <c r="OI12" s="19">
        <f t="shared" ref="OI12:OI13" si="53">LN(OF12/OC12)</f>
        <v>1.8458266904983307</v>
      </c>
      <c r="OJ12" s="19">
        <f t="shared" ref="OJ12:OJ14" si="54">OG12^2/(OH12*OF12^2)+OD12^2/(OE12*OC12^2)</f>
        <v>0.60850632103325242</v>
      </c>
      <c r="OK12" s="12"/>
      <c r="OL12" s="12" t="s">
        <v>37</v>
      </c>
      <c r="OM12" s="12" t="s">
        <v>37</v>
      </c>
      <c r="ON12" s="11" t="s">
        <v>37</v>
      </c>
      <c r="OO12" s="12" t="s">
        <v>37</v>
      </c>
      <c r="OP12" s="12" t="s">
        <v>37</v>
      </c>
      <c r="OQ12" s="12" t="s">
        <v>37</v>
      </c>
      <c r="OR12" s="12"/>
      <c r="OS12" s="12" t="s">
        <v>37</v>
      </c>
      <c r="OT12" s="12" t="s">
        <v>37</v>
      </c>
      <c r="OU12" s="12" t="s">
        <v>37</v>
      </c>
      <c r="OV12" s="12" t="s">
        <v>37</v>
      </c>
      <c r="OW12" s="12" t="s">
        <v>37</v>
      </c>
      <c r="OX12" s="12" t="s">
        <v>37</v>
      </c>
      <c r="OY12" s="12"/>
      <c r="OZ12" s="12"/>
      <c r="PA12" s="11" t="s">
        <v>37</v>
      </c>
      <c r="PB12" s="11" t="s">
        <v>37</v>
      </c>
      <c r="PC12" s="13" t="s">
        <v>37</v>
      </c>
      <c r="PD12" s="11" t="s">
        <v>37</v>
      </c>
      <c r="PE12" s="11" t="s">
        <v>37</v>
      </c>
      <c r="PF12" s="13" t="s">
        <v>37</v>
      </c>
      <c r="PG12" s="12"/>
      <c r="PH12" s="12"/>
      <c r="PI12" s="12" t="s">
        <v>37</v>
      </c>
      <c r="PJ12" s="12" t="s">
        <v>37</v>
      </c>
      <c r="PK12" s="13" t="s">
        <v>37</v>
      </c>
      <c r="PL12" s="12" t="s">
        <v>37</v>
      </c>
      <c r="PM12" s="12" t="s">
        <v>37</v>
      </c>
      <c r="PN12" s="13" t="s">
        <v>37</v>
      </c>
      <c r="PO12" s="12"/>
      <c r="PP12" s="12"/>
      <c r="PQ12" s="11" t="s">
        <v>37</v>
      </c>
      <c r="PR12" s="11" t="s">
        <v>37</v>
      </c>
      <c r="PS12" s="13" t="s">
        <v>37</v>
      </c>
      <c r="PT12" s="11" t="s">
        <v>37</v>
      </c>
      <c r="PU12" s="11" t="s">
        <v>37</v>
      </c>
      <c r="PV12" s="13" t="s">
        <v>37</v>
      </c>
      <c r="PW12" s="12"/>
      <c r="PX12" s="12"/>
      <c r="PY12" s="11" t="s">
        <v>37</v>
      </c>
      <c r="PZ12" s="11" t="s">
        <v>37</v>
      </c>
      <c r="QA12" s="11" t="s">
        <v>37</v>
      </c>
      <c r="QB12" s="11" t="s">
        <v>37</v>
      </c>
      <c r="QC12" s="11" t="s">
        <v>37</v>
      </c>
      <c r="QD12" s="11" t="s">
        <v>37</v>
      </c>
      <c r="QE12" s="12"/>
      <c r="QF12" s="12"/>
      <c r="QG12" s="11" t="s">
        <v>37</v>
      </c>
      <c r="QH12" s="11" t="s">
        <v>37</v>
      </c>
      <c r="QI12" s="13" t="s">
        <v>37</v>
      </c>
      <c r="QJ12" s="11" t="s">
        <v>37</v>
      </c>
      <c r="QK12" s="11" t="s">
        <v>37</v>
      </c>
      <c r="QL12" s="13" t="s">
        <v>37</v>
      </c>
      <c r="QM12" s="12"/>
      <c r="QN12" s="12"/>
      <c r="QO12" s="12" t="s">
        <v>37</v>
      </c>
      <c r="QP12" s="12" t="s">
        <v>37</v>
      </c>
      <c r="QQ12" s="13" t="s">
        <v>37</v>
      </c>
      <c r="QR12" s="12" t="s">
        <v>37</v>
      </c>
      <c r="QS12" s="12" t="s">
        <v>37</v>
      </c>
      <c r="QT12" s="13" t="s">
        <v>37</v>
      </c>
      <c r="QU12" s="13"/>
      <c r="QV12" s="13"/>
      <c r="QW12" s="12"/>
      <c r="QX12" s="12"/>
      <c r="QY12" s="12" t="s">
        <v>37</v>
      </c>
      <c r="QZ12" s="12" t="s">
        <v>37</v>
      </c>
      <c r="RA12" s="11" t="s">
        <v>37</v>
      </c>
      <c r="RB12" s="12" t="s">
        <v>37</v>
      </c>
      <c r="RC12" s="12" t="s">
        <v>37</v>
      </c>
      <c r="RD12" s="11" t="s">
        <v>37</v>
      </c>
      <c r="RE12" s="11"/>
      <c r="RF12" s="11"/>
      <c r="RG12" s="12"/>
      <c r="RH12" s="12"/>
      <c r="RI12" s="12" t="s">
        <v>37</v>
      </c>
      <c r="RJ12" s="12" t="s">
        <v>37</v>
      </c>
      <c r="RK12" s="11" t="s">
        <v>37</v>
      </c>
      <c r="RL12" s="12" t="s">
        <v>37</v>
      </c>
      <c r="RM12" s="12" t="s">
        <v>37</v>
      </c>
      <c r="RN12" s="11" t="s">
        <v>37</v>
      </c>
      <c r="RO12" s="11"/>
      <c r="RP12" s="11"/>
      <c r="RQ12" s="12"/>
      <c r="RR12" s="12"/>
      <c r="RS12" s="12" t="s">
        <v>37</v>
      </c>
      <c r="RT12" s="12" t="s">
        <v>37</v>
      </c>
      <c r="RU12" s="11" t="s">
        <v>37</v>
      </c>
      <c r="RV12" s="12" t="s">
        <v>37</v>
      </c>
      <c r="RW12" s="12" t="s">
        <v>37</v>
      </c>
      <c r="RX12" s="11" t="s">
        <v>37</v>
      </c>
      <c r="RY12" s="11"/>
      <c r="RZ12" s="11"/>
      <c r="SA12" s="12"/>
      <c r="SB12" s="12"/>
      <c r="SC12" s="12" t="s">
        <v>37</v>
      </c>
      <c r="SD12" s="12" t="s">
        <v>37</v>
      </c>
      <c r="SE12" s="12" t="s">
        <v>37</v>
      </c>
      <c r="SF12" s="12" t="s">
        <v>37</v>
      </c>
      <c r="SG12" s="12" t="s">
        <v>37</v>
      </c>
      <c r="SH12" s="12" t="s">
        <v>37</v>
      </c>
      <c r="SI12" s="12"/>
      <c r="SJ12" s="12"/>
      <c r="SK12" s="12"/>
      <c r="SL12" s="12"/>
      <c r="SM12" s="12" t="s">
        <v>37</v>
      </c>
      <c r="SN12" s="12" t="s">
        <v>37</v>
      </c>
      <c r="SO12" s="12" t="s">
        <v>37</v>
      </c>
      <c r="SP12" s="12" t="s">
        <v>37</v>
      </c>
      <c r="SQ12" s="12" t="s">
        <v>37</v>
      </c>
      <c r="SR12" s="12" t="s">
        <v>37</v>
      </c>
      <c r="SS12" s="12"/>
      <c r="ST12" s="12"/>
      <c r="SU12" s="12"/>
      <c r="SV12" s="12"/>
      <c r="SW12" s="12" t="s">
        <v>37</v>
      </c>
      <c r="SX12" s="12" t="s">
        <v>37</v>
      </c>
      <c r="SY12" s="12" t="s">
        <v>37</v>
      </c>
      <c r="SZ12" s="12" t="s">
        <v>37</v>
      </c>
      <c r="TA12" s="12" t="s">
        <v>37</v>
      </c>
      <c r="TB12" s="12" t="s">
        <v>37</v>
      </c>
      <c r="TC12" s="12"/>
      <c r="TD12" s="12"/>
      <c r="TE12" s="12"/>
      <c r="TF12" s="12"/>
      <c r="TG12" s="13" t="s">
        <v>37</v>
      </c>
      <c r="TH12" s="13" t="s">
        <v>37</v>
      </c>
      <c r="TI12" s="13" t="s">
        <v>37</v>
      </c>
      <c r="TJ12" s="13" t="s">
        <v>37</v>
      </c>
      <c r="TK12" s="13" t="s">
        <v>37</v>
      </c>
      <c r="TL12" s="13" t="s">
        <v>37</v>
      </c>
      <c r="TM12" s="13"/>
      <c r="TN12" s="13"/>
      <c r="TO12" s="12"/>
      <c r="TP12" s="12"/>
      <c r="TQ12" s="13" t="s">
        <v>37</v>
      </c>
      <c r="TR12" s="13" t="s">
        <v>37</v>
      </c>
      <c r="TS12" s="13" t="s">
        <v>37</v>
      </c>
      <c r="TT12" s="19"/>
      <c r="TU12" s="13" t="s">
        <v>37</v>
      </c>
      <c r="TV12" s="13" t="s">
        <v>37</v>
      </c>
      <c r="TW12" s="13" t="s">
        <v>37</v>
      </c>
    </row>
    <row r="13" spans="1:546" ht="17.399999999999999" x14ac:dyDescent="0.4">
      <c r="A13" s="11">
        <v>5</v>
      </c>
      <c r="B13" s="12" t="s">
        <v>144</v>
      </c>
      <c r="C13" s="12" t="s">
        <v>26</v>
      </c>
      <c r="D13" s="12" t="s">
        <v>54</v>
      </c>
      <c r="E13" s="12" t="s">
        <v>37</v>
      </c>
      <c r="F13" s="14">
        <v>0</v>
      </c>
      <c r="G13" s="14">
        <v>0</v>
      </c>
      <c r="H13" s="12" t="s">
        <v>145</v>
      </c>
      <c r="I13" s="29">
        <v>48.984000000000002</v>
      </c>
      <c r="J13" s="29">
        <v>13.694000000000001</v>
      </c>
      <c r="K13" s="12" t="s">
        <v>570</v>
      </c>
      <c r="L13" s="12" t="s">
        <v>571</v>
      </c>
      <c r="M13" s="13">
        <v>1150</v>
      </c>
      <c r="N13" s="14">
        <v>3.2</v>
      </c>
      <c r="O13" s="14">
        <v>1400</v>
      </c>
      <c r="P13" s="14" t="s">
        <v>16</v>
      </c>
      <c r="Q13" s="11">
        <v>50</v>
      </c>
      <c r="R13" s="11" t="s">
        <v>37</v>
      </c>
      <c r="S13" s="12" t="s">
        <v>93</v>
      </c>
      <c r="T13" s="12" t="s">
        <v>141</v>
      </c>
      <c r="U13" s="12" t="s">
        <v>158</v>
      </c>
      <c r="V13" s="12" t="s">
        <v>275</v>
      </c>
      <c r="W13" s="23" t="s">
        <v>516</v>
      </c>
      <c r="X13" s="12" t="s">
        <v>280</v>
      </c>
      <c r="Y13" s="12" t="s">
        <v>69</v>
      </c>
      <c r="Z13" s="12" t="s">
        <v>37</v>
      </c>
      <c r="AA13" s="32">
        <v>2008</v>
      </c>
      <c r="AB13" s="13" t="s">
        <v>37</v>
      </c>
      <c r="AC13" s="13" t="s">
        <v>37</v>
      </c>
      <c r="AD13" s="12" t="s">
        <v>99</v>
      </c>
      <c r="AE13" s="12" t="s">
        <v>74</v>
      </c>
      <c r="AF13" s="12" t="s">
        <v>489</v>
      </c>
      <c r="AG13" s="16" t="s">
        <v>42</v>
      </c>
      <c r="AH13" s="32" t="s">
        <v>340</v>
      </c>
      <c r="AI13" s="12">
        <v>479</v>
      </c>
      <c r="AJ13" s="12">
        <v>15</v>
      </c>
      <c r="AK13" s="11">
        <v>3</v>
      </c>
      <c r="AL13" s="19">
        <f t="shared" ref="AL13:AL14" si="55">AJ13/AI13</f>
        <v>3.1315240083507306E-2</v>
      </c>
      <c r="AM13" s="12">
        <v>482</v>
      </c>
      <c r="AN13" s="12">
        <v>6</v>
      </c>
      <c r="AO13" s="13">
        <v>3</v>
      </c>
      <c r="AP13" s="19">
        <f t="shared" ref="AP13:AP14" si="56">AN13/AM13</f>
        <v>1.2448132780082987E-2</v>
      </c>
      <c r="AQ13" s="49">
        <f t="shared" ref="AQ13:AQ14" si="57">LN(AM13/AI13)</f>
        <v>6.2435166396850204E-3</v>
      </c>
      <c r="AR13" s="19">
        <f t="shared" ref="AR13:AR14" si="58">AN13^2/(AO13*AM13^2)+AJ13^2/(AK13*AI13^2)</f>
        <v>3.7853342373275978E-4</v>
      </c>
      <c r="AS13" s="32"/>
      <c r="AT13" s="12" t="s">
        <v>37</v>
      </c>
      <c r="AU13" s="12" t="s">
        <v>37</v>
      </c>
      <c r="AV13" s="13" t="s">
        <v>37</v>
      </c>
      <c r="AW13" s="12" t="s">
        <v>37</v>
      </c>
      <c r="AX13" s="12" t="s">
        <v>37</v>
      </c>
      <c r="AY13" s="13" t="s">
        <v>37</v>
      </c>
      <c r="AZ13" s="13"/>
      <c r="BA13" s="13"/>
      <c r="BB13" s="12"/>
      <c r="BC13" s="12" t="s">
        <v>37</v>
      </c>
      <c r="BD13" s="12" t="s">
        <v>37</v>
      </c>
      <c r="BE13" s="13" t="s">
        <v>37</v>
      </c>
      <c r="BF13" s="12" t="s">
        <v>37</v>
      </c>
      <c r="BG13" s="12" t="s">
        <v>37</v>
      </c>
      <c r="BH13" s="12" t="s">
        <v>37</v>
      </c>
      <c r="BI13" s="12"/>
      <c r="BJ13" s="12" t="s">
        <v>37</v>
      </c>
      <c r="BK13" s="12" t="s">
        <v>37</v>
      </c>
      <c r="BL13" s="13" t="s">
        <v>37</v>
      </c>
      <c r="BM13" s="12" t="s">
        <v>37</v>
      </c>
      <c r="BN13" s="12" t="s">
        <v>37</v>
      </c>
      <c r="BO13" s="13" t="s">
        <v>37</v>
      </c>
      <c r="BP13" s="19"/>
      <c r="BQ13" s="19"/>
      <c r="BR13" s="19"/>
      <c r="BS13" s="19"/>
      <c r="BT13" s="12"/>
      <c r="BU13" s="12" t="s">
        <v>37</v>
      </c>
      <c r="BV13" s="12" t="s">
        <v>37</v>
      </c>
      <c r="BW13" s="13" t="s">
        <v>37</v>
      </c>
      <c r="BX13" s="12" t="s">
        <v>37</v>
      </c>
      <c r="BY13" s="12" t="s">
        <v>37</v>
      </c>
      <c r="BZ13" s="13" t="s">
        <v>37</v>
      </c>
      <c r="CA13" s="19"/>
      <c r="CB13" s="19"/>
      <c r="CC13" s="19"/>
      <c r="CD13" s="19"/>
      <c r="CE13" s="12"/>
      <c r="CF13" s="12" t="s">
        <v>37</v>
      </c>
      <c r="CG13" s="12" t="s">
        <v>37</v>
      </c>
      <c r="CH13" s="13" t="s">
        <v>37</v>
      </c>
      <c r="CI13" s="12" t="s">
        <v>37</v>
      </c>
      <c r="CJ13" s="12" t="s">
        <v>37</v>
      </c>
      <c r="CK13" s="13" t="s">
        <v>37</v>
      </c>
      <c r="CL13" s="19"/>
      <c r="CM13" s="19"/>
      <c r="CN13" s="19"/>
      <c r="CO13" s="19"/>
      <c r="CP13" s="15" t="s">
        <v>34</v>
      </c>
      <c r="CQ13" s="15">
        <f>0.006*10/100/3*10000*16/1000000*1000</f>
        <v>3.2000000000000001E-2</v>
      </c>
      <c r="CR13" s="52">
        <f>0.0184*10/100/3*10000*16/1000000*1000</f>
        <v>9.8133333333333336E-2</v>
      </c>
      <c r="CS13" s="18">
        <v>8</v>
      </c>
      <c r="CT13" s="52">
        <f t="shared" ref="CT13:CT14" si="59">CR13/CQ13</f>
        <v>3.0666666666666669</v>
      </c>
      <c r="CU13" s="15">
        <f>0.0006*10/100/3*10000*16/1000000*1000</f>
        <v>3.1999999999999997E-3</v>
      </c>
      <c r="CV13" s="52">
        <f>0.0008*10/100/3*10000*16/1000000*1000</f>
        <v>4.2666666666666677E-3</v>
      </c>
      <c r="CW13" s="18">
        <v>8</v>
      </c>
      <c r="CX13" s="52">
        <f t="shared" ref="CX13:CX14" si="60">CV13/CU13</f>
        <v>1.3333333333333337</v>
      </c>
      <c r="CY13" s="68">
        <f t="shared" ref="CY13:CY27" si="61">CU13-CQ13</f>
        <v>-2.8799999999999999E-2</v>
      </c>
      <c r="CZ13" s="12">
        <f t="shared" si="39"/>
        <v>6.9456301210025426E-2</v>
      </c>
      <c r="DA13" s="72">
        <f t="shared" si="40"/>
        <v>1.2060444444444447E-3</v>
      </c>
      <c r="DB13" s="72">
        <f t="shared" si="41"/>
        <v>1.2060444444444444E-3</v>
      </c>
      <c r="DC13" s="15"/>
      <c r="DD13" s="15" t="s">
        <v>37</v>
      </c>
      <c r="DE13" s="67" t="s">
        <v>37</v>
      </c>
      <c r="DF13" s="15" t="s">
        <v>37</v>
      </c>
      <c r="DG13" s="52"/>
      <c r="DH13" s="15" t="s">
        <v>37</v>
      </c>
      <c r="DI13" s="67" t="s">
        <v>37</v>
      </c>
      <c r="DJ13" s="15" t="s">
        <v>37</v>
      </c>
      <c r="DK13" s="52"/>
      <c r="DL13" s="68"/>
      <c r="DM13" s="68"/>
      <c r="DN13" s="68"/>
      <c r="DO13" s="68"/>
      <c r="DP13" s="12" t="s">
        <v>39</v>
      </c>
      <c r="DQ13" s="12">
        <v>-12.5</v>
      </c>
      <c r="DR13" s="12">
        <v>9</v>
      </c>
      <c r="DS13" s="13">
        <v>3</v>
      </c>
      <c r="DT13" s="19">
        <f t="shared" ref="DT13:DT14" si="62">DR13/ABS(DQ13)</f>
        <v>0.72</v>
      </c>
      <c r="DU13" s="12">
        <v>-24</v>
      </c>
      <c r="DV13" s="12">
        <v>13.1</v>
      </c>
      <c r="DW13" s="13">
        <v>3</v>
      </c>
      <c r="DX13" s="19">
        <f t="shared" ref="DX13:DX14" si="63">DV13/ABS(DU13)</f>
        <v>0.54583333333333328</v>
      </c>
      <c r="DY13" s="19">
        <f t="shared" ref="DY13:DY15" si="64">DU13-DQ13</f>
        <v>-11.5</v>
      </c>
      <c r="DZ13" s="12">
        <f t="shared" si="12"/>
        <v>11.238549728501448</v>
      </c>
      <c r="EA13" s="72">
        <f t="shared" si="13"/>
        <v>84.203333333333319</v>
      </c>
      <c r="EB13" s="72">
        <f t="shared" si="14"/>
        <v>84.203333333333319</v>
      </c>
      <c r="EC13" s="12"/>
      <c r="ED13" s="12"/>
      <c r="EE13" s="12" t="s">
        <v>37</v>
      </c>
      <c r="EF13" s="12" t="s">
        <v>37</v>
      </c>
      <c r="EG13" s="11" t="s">
        <v>37</v>
      </c>
      <c r="EH13" s="19"/>
      <c r="EI13" s="12" t="s">
        <v>37</v>
      </c>
      <c r="EJ13" s="20" t="s">
        <v>37</v>
      </c>
      <c r="EK13" s="11" t="s">
        <v>37</v>
      </c>
      <c r="EL13" s="19"/>
      <c r="EM13" s="19"/>
      <c r="EN13" s="19"/>
      <c r="EO13" s="19"/>
      <c r="EP13" s="19"/>
      <c r="EQ13" s="32"/>
      <c r="ER13" s="12" t="s">
        <v>37</v>
      </c>
      <c r="ES13" s="12" t="s">
        <v>37</v>
      </c>
      <c r="ET13" s="11" t="s">
        <v>37</v>
      </c>
      <c r="EU13" s="19"/>
      <c r="EV13" s="13" t="s">
        <v>37</v>
      </c>
      <c r="EW13" s="11" t="s">
        <v>37</v>
      </c>
      <c r="EX13" s="11" t="s">
        <v>37</v>
      </c>
      <c r="EY13" s="19"/>
      <c r="EZ13" s="19"/>
      <c r="FA13" s="19"/>
      <c r="FB13" s="19"/>
      <c r="FC13" s="32"/>
      <c r="FD13" s="12" t="s">
        <v>37</v>
      </c>
      <c r="FE13" s="12" t="s">
        <v>37</v>
      </c>
      <c r="FF13" s="11" t="s">
        <v>37</v>
      </c>
      <c r="FG13" s="13" t="s">
        <v>37</v>
      </c>
      <c r="FH13" s="11" t="s">
        <v>37</v>
      </c>
      <c r="FI13" s="11" t="s">
        <v>37</v>
      </c>
      <c r="FJ13" s="19"/>
      <c r="FK13" s="19"/>
      <c r="FL13" s="19"/>
      <c r="FM13" s="32"/>
      <c r="FN13" s="12" t="s">
        <v>37</v>
      </c>
      <c r="FO13" s="12" t="s">
        <v>37</v>
      </c>
      <c r="FP13" s="11" t="s">
        <v>37</v>
      </c>
      <c r="FQ13" s="13" t="s">
        <v>37</v>
      </c>
      <c r="FR13" s="11" t="s">
        <v>37</v>
      </c>
      <c r="FS13" s="11" t="s">
        <v>37</v>
      </c>
      <c r="FT13" s="19"/>
      <c r="FU13" s="19"/>
      <c r="FV13" s="19"/>
      <c r="FW13" s="12"/>
      <c r="FX13" s="12"/>
      <c r="FY13" s="12" t="s">
        <v>37</v>
      </c>
      <c r="FZ13" s="12" t="s">
        <v>37</v>
      </c>
      <c r="GA13" s="13" t="s">
        <v>37</v>
      </c>
      <c r="GB13" s="12" t="s">
        <v>37</v>
      </c>
      <c r="GC13" s="12" t="s">
        <v>37</v>
      </c>
      <c r="GD13" s="13" t="s">
        <v>37</v>
      </c>
      <c r="GE13" s="19"/>
      <c r="GF13" s="19"/>
      <c r="GG13" s="12"/>
      <c r="GH13" s="12"/>
      <c r="GI13" s="12" t="s">
        <v>37</v>
      </c>
      <c r="GJ13" s="12" t="s">
        <v>37</v>
      </c>
      <c r="GK13" s="13" t="s">
        <v>37</v>
      </c>
      <c r="GL13" s="19"/>
      <c r="GM13" s="12" t="s">
        <v>37</v>
      </c>
      <c r="GN13" s="12" t="s">
        <v>37</v>
      </c>
      <c r="GO13" s="13" t="s">
        <v>37</v>
      </c>
      <c r="GP13" s="19"/>
      <c r="GQ13" s="19"/>
      <c r="GR13" s="19"/>
      <c r="GS13" s="17" t="s">
        <v>63</v>
      </c>
      <c r="GT13" s="34" t="s">
        <v>340</v>
      </c>
      <c r="GU13" s="12">
        <v>0.3</v>
      </c>
      <c r="GV13" s="12">
        <v>0.06</v>
      </c>
      <c r="GW13" s="13">
        <v>3</v>
      </c>
      <c r="GX13" s="19"/>
      <c r="GY13" s="12">
        <v>0.26</v>
      </c>
      <c r="GZ13" s="12">
        <v>7.0000000000000007E-2</v>
      </c>
      <c r="HA13" s="13">
        <v>3</v>
      </c>
      <c r="HB13" s="19"/>
      <c r="HC13" s="19">
        <f t="shared" ref="HC13:HC14" si="65">LN(GY13/GU13)</f>
        <v>-0.1431008436406733</v>
      </c>
      <c r="HD13" s="19">
        <f t="shared" ref="HD13:HD14" si="66">GZ13^2/(HA13*GY13^2)+GV13^2/(GW13*GU13^2)</f>
        <v>3.7495069033530573E-2</v>
      </c>
      <c r="HE13" s="34"/>
      <c r="HF13" s="12" t="s">
        <v>37</v>
      </c>
      <c r="HG13" s="12" t="s">
        <v>37</v>
      </c>
      <c r="HH13" s="13" t="s">
        <v>37</v>
      </c>
      <c r="HI13" s="12" t="s">
        <v>37</v>
      </c>
      <c r="HJ13" s="12" t="s">
        <v>37</v>
      </c>
      <c r="HK13" s="13" t="s">
        <v>37</v>
      </c>
      <c r="HL13" s="13"/>
      <c r="HM13" s="13"/>
      <c r="HN13" s="34"/>
      <c r="HO13" s="12" t="s">
        <v>37</v>
      </c>
      <c r="HP13" s="12" t="s">
        <v>37</v>
      </c>
      <c r="HQ13" s="13" t="s">
        <v>37</v>
      </c>
      <c r="HR13" s="12" t="s">
        <v>37</v>
      </c>
      <c r="HS13" s="12" t="s">
        <v>37</v>
      </c>
      <c r="HT13" s="13" t="s">
        <v>37</v>
      </c>
      <c r="HU13" s="13"/>
      <c r="HV13" s="13"/>
      <c r="HW13" s="12"/>
      <c r="HX13" s="12"/>
      <c r="HY13" s="12" t="s">
        <v>37</v>
      </c>
      <c r="HZ13" s="12" t="s">
        <v>37</v>
      </c>
      <c r="IA13" s="12" t="s">
        <v>37</v>
      </c>
      <c r="IB13" s="12" t="s">
        <v>37</v>
      </c>
      <c r="IC13" s="12" t="s">
        <v>37</v>
      </c>
      <c r="ID13" s="12" t="s">
        <v>37</v>
      </c>
      <c r="IE13" s="12"/>
      <c r="IF13" s="32" t="s">
        <v>340</v>
      </c>
      <c r="IG13" s="12">
        <v>4</v>
      </c>
      <c r="IH13" s="12">
        <v>0.1</v>
      </c>
      <c r="II13" s="13">
        <v>3</v>
      </c>
      <c r="IJ13" s="19">
        <f t="shared" ref="IJ13:IJ14" si="67">IH13/IG13</f>
        <v>2.5000000000000001E-2</v>
      </c>
      <c r="IK13" s="12">
        <v>3.9</v>
      </c>
      <c r="IL13" s="12">
        <v>0.2</v>
      </c>
      <c r="IM13" s="13">
        <v>3</v>
      </c>
      <c r="IN13" s="19">
        <f t="shared" ref="IN13:IN14" si="68">IL13/IK13</f>
        <v>5.1282051282051287E-2</v>
      </c>
      <c r="IO13" s="19">
        <f t="shared" ref="IO13:IO14" si="69">LN(IK13/IG13)</f>
        <v>-2.5317807984289897E-2</v>
      </c>
      <c r="IP13" s="19">
        <f t="shared" ref="IP13" si="70">IL13^2/(IM13*IK13^2)+IH13^2/(II13*IG13^2)</f>
        <v>1.0849495945649795E-3</v>
      </c>
      <c r="IQ13" s="32"/>
      <c r="IR13" s="12" t="s">
        <v>37</v>
      </c>
      <c r="IS13" s="12" t="s">
        <v>37</v>
      </c>
      <c r="IT13" s="13" t="s">
        <v>37</v>
      </c>
      <c r="IU13" s="12" t="s">
        <v>37</v>
      </c>
      <c r="IV13" s="12" t="s">
        <v>37</v>
      </c>
      <c r="IW13" s="12" t="s">
        <v>37</v>
      </c>
      <c r="IX13" s="32"/>
      <c r="IY13" s="12" t="s">
        <v>37</v>
      </c>
      <c r="IZ13" s="12" t="s">
        <v>37</v>
      </c>
      <c r="JA13" s="13" t="s">
        <v>37</v>
      </c>
      <c r="JB13" s="12" t="s">
        <v>37</v>
      </c>
      <c r="JC13" s="12" t="s">
        <v>37</v>
      </c>
      <c r="JD13" s="12" t="s">
        <v>37</v>
      </c>
      <c r="JE13" s="12"/>
      <c r="JF13" s="12"/>
      <c r="JG13" s="11" t="s">
        <v>37</v>
      </c>
      <c r="JH13" s="11" t="s">
        <v>37</v>
      </c>
      <c r="JI13" s="13" t="s">
        <v>37</v>
      </c>
      <c r="JJ13" s="11" t="s">
        <v>37</v>
      </c>
      <c r="JK13" s="11" t="s">
        <v>37</v>
      </c>
      <c r="JL13" s="11" t="s">
        <v>37</v>
      </c>
      <c r="JM13" s="12" t="s">
        <v>42</v>
      </c>
      <c r="JN13" s="32" t="s">
        <v>340</v>
      </c>
      <c r="JO13" s="12">
        <v>18.600000000000001</v>
      </c>
      <c r="JP13" s="12">
        <v>3.9</v>
      </c>
      <c r="JQ13" s="11">
        <v>3</v>
      </c>
      <c r="JR13" s="19">
        <f t="shared" ref="JR13:JR14" si="71">JP13/JO13</f>
        <v>0.20967741935483869</v>
      </c>
      <c r="JS13" s="12">
        <v>19.8</v>
      </c>
      <c r="JT13" s="12">
        <v>1.1000000000000001</v>
      </c>
      <c r="JU13" s="13">
        <v>3</v>
      </c>
      <c r="JV13" s="19">
        <f t="shared" ref="JV13:JV14" si="72">JT13/JS13</f>
        <v>5.5555555555555559E-2</v>
      </c>
      <c r="JW13" s="19">
        <f t="shared" ref="JW13:JW14" si="73">LN(JS13/JO13)</f>
        <v>6.252035698133393E-2</v>
      </c>
      <c r="JX13" s="19">
        <f t="shared" ref="JX13:JX14" si="74">JT13^2/(JU13*JS13^2)+JP13^2/(JQ13*JO13^2)</f>
        <v>1.5683679980130434E-2</v>
      </c>
      <c r="JY13" s="32"/>
      <c r="JZ13" s="12" t="s">
        <v>37</v>
      </c>
      <c r="KA13" s="12" t="s">
        <v>37</v>
      </c>
      <c r="KB13" s="13" t="s">
        <v>37</v>
      </c>
      <c r="KC13" s="12" t="s">
        <v>37</v>
      </c>
      <c r="KD13" s="12" t="s">
        <v>37</v>
      </c>
      <c r="KE13" s="13" t="s">
        <v>37</v>
      </c>
      <c r="KF13" s="13"/>
      <c r="KG13" s="13"/>
      <c r="KH13" s="32"/>
      <c r="KI13" s="12" t="s">
        <v>37</v>
      </c>
      <c r="KJ13" s="12" t="s">
        <v>37</v>
      </c>
      <c r="KK13" s="12" t="s">
        <v>37</v>
      </c>
      <c r="KL13" s="12" t="s">
        <v>37</v>
      </c>
      <c r="KM13" s="12" t="s">
        <v>37</v>
      </c>
      <c r="KN13" s="12" t="s">
        <v>37</v>
      </c>
      <c r="KO13" s="12"/>
      <c r="KP13" s="12"/>
      <c r="KQ13" s="12"/>
      <c r="KR13" s="12" t="str">
        <f t="shared" si="44"/>
        <v>0-30</v>
      </c>
      <c r="KS13" s="12">
        <f>AI13/JO13</f>
        <v>25.752688172043008</v>
      </c>
      <c r="KT13" s="12">
        <f>SQRT((1/JO13)^2*AJ13^2+AI13^2*(-1/JO13^2)^2*JP13^2)</f>
        <v>5.4596466913562258</v>
      </c>
      <c r="KU13" s="13">
        <f t="shared" si="45"/>
        <v>3</v>
      </c>
      <c r="KV13" s="19">
        <f t="shared" ref="KV13:KV14" si="75">KT13/KS13</f>
        <v>0.21200298216957372</v>
      </c>
      <c r="KW13" s="12">
        <f>AM13/JS13</f>
        <v>24.343434343434343</v>
      </c>
      <c r="KX13" s="12">
        <f>SQRT((1/JS13)^2*AN13^2+AM13^2*(-1/JS13^2)^2*JT13^2)</f>
        <v>1.3859467301201975</v>
      </c>
      <c r="KY13" s="13">
        <f t="shared" si="46"/>
        <v>3</v>
      </c>
      <c r="KZ13" s="19">
        <f t="shared" ref="KZ13:KZ14" si="76">KX13/KW13</f>
        <v>5.6933081444771605E-2</v>
      </c>
      <c r="LA13" s="19">
        <f t="shared" ref="LA13" si="77">LN(KW13/KS13)</f>
        <v>-5.6276840341648829E-2</v>
      </c>
      <c r="LB13" s="19">
        <f t="shared" ref="LB13:LB14" si="78">KX13^2/(KY13*KW13^2)+KT13^2/(KU13*KS13^2)</f>
        <v>1.6062213403863195E-2</v>
      </c>
      <c r="LC13" s="12"/>
      <c r="LD13" s="12" t="s">
        <v>37</v>
      </c>
      <c r="LE13" s="12" t="s">
        <v>37</v>
      </c>
      <c r="LF13" s="12" t="s">
        <v>37</v>
      </c>
      <c r="LG13" s="19" t="str">
        <f t="shared" si="19"/>
        <v>/</v>
      </c>
      <c r="LH13" s="19" t="str">
        <f t="shared" si="20"/>
        <v>/</v>
      </c>
      <c r="LI13" s="13" t="str">
        <f t="shared" si="21"/>
        <v>/</v>
      </c>
      <c r="LJ13" s="13"/>
      <c r="LK13" s="13"/>
      <c r="LL13" s="12"/>
      <c r="LM13" s="12" t="s">
        <v>37</v>
      </c>
      <c r="LN13" s="12" t="s">
        <v>37</v>
      </c>
      <c r="LO13" s="12" t="s">
        <v>37</v>
      </c>
      <c r="LP13" s="12" t="s">
        <v>37</v>
      </c>
      <c r="LQ13" s="12" t="s">
        <v>37</v>
      </c>
      <c r="LR13" s="12" t="s">
        <v>37</v>
      </c>
      <c r="LS13" s="12" t="s">
        <v>148</v>
      </c>
      <c r="LT13" s="12" t="s">
        <v>340</v>
      </c>
      <c r="LU13" s="12">
        <v>0.13</v>
      </c>
      <c r="LV13" s="12">
        <v>0.1</v>
      </c>
      <c r="LW13" s="13">
        <v>3</v>
      </c>
      <c r="LX13" s="12">
        <v>0.34</v>
      </c>
      <c r="LY13" s="12">
        <v>0.27</v>
      </c>
      <c r="LZ13" s="13">
        <v>3</v>
      </c>
      <c r="MA13" s="19">
        <f t="shared" si="47"/>
        <v>0.96141116715462471</v>
      </c>
      <c r="MB13" s="19">
        <f t="shared" si="48"/>
        <v>0.40744627123386767</v>
      </c>
      <c r="MC13" s="12" t="s">
        <v>148</v>
      </c>
      <c r="MD13" s="12" t="s">
        <v>340</v>
      </c>
      <c r="ME13" s="12">
        <v>0.01</v>
      </c>
      <c r="MF13" s="12">
        <v>0.06</v>
      </c>
      <c r="MG13" s="13">
        <v>3</v>
      </c>
      <c r="MH13" s="12">
        <v>0.04</v>
      </c>
      <c r="MI13" s="12">
        <v>0.1</v>
      </c>
      <c r="MJ13" s="13">
        <v>3</v>
      </c>
      <c r="MK13" s="19">
        <f t="shared" si="49"/>
        <v>1.3862943611198906</v>
      </c>
      <c r="ML13" s="19">
        <f t="shared" si="50"/>
        <v>14.083333333333332</v>
      </c>
      <c r="MM13" s="12"/>
      <c r="MN13" s="12"/>
      <c r="MO13" s="11" t="s">
        <v>37</v>
      </c>
      <c r="MP13" s="11" t="s">
        <v>37</v>
      </c>
      <c r="MQ13" s="13" t="s">
        <v>37</v>
      </c>
      <c r="MR13" s="11" t="s">
        <v>37</v>
      </c>
      <c r="MS13" s="11" t="s">
        <v>37</v>
      </c>
      <c r="MT13" s="13" t="s">
        <v>37</v>
      </c>
      <c r="MU13" s="13"/>
      <c r="MV13" s="13"/>
      <c r="MW13" s="12"/>
      <c r="MX13" s="12"/>
      <c r="MY13" s="11" t="s">
        <v>37</v>
      </c>
      <c r="MZ13" s="11" t="s">
        <v>37</v>
      </c>
      <c r="NA13" s="11" t="s">
        <v>37</v>
      </c>
      <c r="NB13" s="11" t="s">
        <v>37</v>
      </c>
      <c r="NC13" s="11" t="s">
        <v>37</v>
      </c>
      <c r="ND13" s="11" t="s">
        <v>37</v>
      </c>
      <c r="NE13" s="11"/>
      <c r="NF13" s="11"/>
      <c r="NG13" s="12" t="s">
        <v>149</v>
      </c>
      <c r="NH13" s="12" t="s">
        <v>340</v>
      </c>
      <c r="NI13" s="12">
        <v>35.549999999999997</v>
      </c>
      <c r="NJ13" s="12">
        <v>20.28</v>
      </c>
      <c r="NK13" s="13">
        <v>3</v>
      </c>
      <c r="NL13" s="12">
        <v>35.42</v>
      </c>
      <c r="NM13" s="12">
        <v>7.76</v>
      </c>
      <c r="NN13" s="13">
        <v>3</v>
      </c>
      <c r="NO13" s="19">
        <f t="shared" si="51"/>
        <v>-3.6635238945622608E-3</v>
      </c>
      <c r="NP13" s="19">
        <f t="shared" si="52"/>
        <v>0.12447589387263218</v>
      </c>
      <c r="NQ13" s="12"/>
      <c r="NR13" s="12"/>
      <c r="NS13" s="11" t="s">
        <v>37</v>
      </c>
      <c r="NT13" s="11" t="s">
        <v>37</v>
      </c>
      <c r="NU13" s="13" t="s">
        <v>37</v>
      </c>
      <c r="NV13" s="11" t="s">
        <v>37</v>
      </c>
      <c r="NW13" s="11" t="s">
        <v>37</v>
      </c>
      <c r="NX13" s="13" t="s">
        <v>37</v>
      </c>
      <c r="NY13" s="13"/>
      <c r="NZ13" s="13"/>
      <c r="OA13" s="12" t="s">
        <v>148</v>
      </c>
      <c r="OB13" s="12" t="s">
        <v>340</v>
      </c>
      <c r="OC13" s="12">
        <v>0.03</v>
      </c>
      <c r="OD13" s="12">
        <v>0.03</v>
      </c>
      <c r="OE13" s="13">
        <v>3</v>
      </c>
      <c r="OF13" s="12">
        <v>0.04</v>
      </c>
      <c r="OG13" s="12">
        <v>0.03</v>
      </c>
      <c r="OH13" s="13">
        <v>3</v>
      </c>
      <c r="OI13" s="19">
        <f t="shared" si="53"/>
        <v>0.28768207245178101</v>
      </c>
      <c r="OJ13" s="19">
        <f t="shared" si="54"/>
        <v>0.52083333333333326</v>
      </c>
      <c r="OK13" s="12"/>
      <c r="OL13" s="12" t="s">
        <v>37</v>
      </c>
      <c r="OM13" s="12" t="s">
        <v>37</v>
      </c>
      <c r="ON13" s="11" t="s">
        <v>37</v>
      </c>
      <c r="OO13" s="12" t="s">
        <v>37</v>
      </c>
      <c r="OP13" s="12" t="s">
        <v>37</v>
      </c>
      <c r="OQ13" s="12" t="s">
        <v>37</v>
      </c>
      <c r="OR13" s="12"/>
      <c r="OS13" s="12" t="s">
        <v>37</v>
      </c>
      <c r="OT13" s="12" t="s">
        <v>37</v>
      </c>
      <c r="OU13" s="12" t="s">
        <v>37</v>
      </c>
      <c r="OV13" s="12" t="s">
        <v>37</v>
      </c>
      <c r="OW13" s="12" t="s">
        <v>37</v>
      </c>
      <c r="OX13" s="12" t="s">
        <v>37</v>
      </c>
      <c r="OY13" s="12"/>
      <c r="OZ13" s="12"/>
      <c r="PA13" s="11" t="s">
        <v>37</v>
      </c>
      <c r="PB13" s="11" t="s">
        <v>37</v>
      </c>
      <c r="PC13" s="13" t="s">
        <v>37</v>
      </c>
      <c r="PD13" s="11" t="s">
        <v>37</v>
      </c>
      <c r="PE13" s="11" t="s">
        <v>37</v>
      </c>
      <c r="PF13" s="13" t="s">
        <v>37</v>
      </c>
      <c r="PG13" s="12"/>
      <c r="PH13" s="12"/>
      <c r="PI13" s="12" t="s">
        <v>37</v>
      </c>
      <c r="PJ13" s="12" t="s">
        <v>37</v>
      </c>
      <c r="PK13" s="13" t="s">
        <v>37</v>
      </c>
      <c r="PL13" s="12" t="s">
        <v>37</v>
      </c>
      <c r="PM13" s="12" t="s">
        <v>37</v>
      </c>
      <c r="PN13" s="13" t="s">
        <v>37</v>
      </c>
      <c r="PO13" s="12"/>
      <c r="PP13" s="12"/>
      <c r="PQ13" s="11" t="s">
        <v>37</v>
      </c>
      <c r="PR13" s="11" t="s">
        <v>37</v>
      </c>
      <c r="PS13" s="13" t="s">
        <v>37</v>
      </c>
      <c r="PT13" s="11" t="s">
        <v>37</v>
      </c>
      <c r="PU13" s="11" t="s">
        <v>37</v>
      </c>
      <c r="PV13" s="13" t="s">
        <v>37</v>
      </c>
      <c r="PW13" s="12"/>
      <c r="PX13" s="12"/>
      <c r="PY13" s="11" t="s">
        <v>37</v>
      </c>
      <c r="PZ13" s="11" t="s">
        <v>37</v>
      </c>
      <c r="QA13" s="11" t="s">
        <v>37</v>
      </c>
      <c r="QB13" s="11" t="s">
        <v>37</v>
      </c>
      <c r="QC13" s="11" t="s">
        <v>37</v>
      </c>
      <c r="QD13" s="11" t="s">
        <v>37</v>
      </c>
      <c r="QE13" s="12"/>
      <c r="QF13" s="12"/>
      <c r="QG13" s="11" t="s">
        <v>37</v>
      </c>
      <c r="QH13" s="11" t="s">
        <v>37</v>
      </c>
      <c r="QI13" s="13" t="s">
        <v>37</v>
      </c>
      <c r="QJ13" s="11" t="s">
        <v>37</v>
      </c>
      <c r="QK13" s="11" t="s">
        <v>37</v>
      </c>
      <c r="QL13" s="13" t="s">
        <v>37</v>
      </c>
      <c r="QM13" s="12"/>
      <c r="QN13" s="12"/>
      <c r="QO13" s="12" t="s">
        <v>37</v>
      </c>
      <c r="QP13" s="12" t="s">
        <v>37</v>
      </c>
      <c r="QQ13" s="13" t="s">
        <v>37</v>
      </c>
      <c r="QR13" s="12" t="s">
        <v>37</v>
      </c>
      <c r="QS13" s="12" t="s">
        <v>37</v>
      </c>
      <c r="QT13" s="13" t="s">
        <v>37</v>
      </c>
      <c r="QU13" s="13"/>
      <c r="QV13" s="13"/>
      <c r="QW13" s="12"/>
      <c r="QX13" s="12"/>
      <c r="QY13" s="12" t="s">
        <v>37</v>
      </c>
      <c r="QZ13" s="12" t="s">
        <v>37</v>
      </c>
      <c r="RA13" s="11" t="s">
        <v>37</v>
      </c>
      <c r="RB13" s="12" t="s">
        <v>37</v>
      </c>
      <c r="RC13" s="12" t="s">
        <v>37</v>
      </c>
      <c r="RD13" s="11" t="s">
        <v>37</v>
      </c>
      <c r="RE13" s="11"/>
      <c r="RF13" s="11"/>
      <c r="RG13" s="12"/>
      <c r="RH13" s="12"/>
      <c r="RI13" s="12" t="s">
        <v>37</v>
      </c>
      <c r="RJ13" s="12" t="s">
        <v>37</v>
      </c>
      <c r="RK13" s="11" t="s">
        <v>37</v>
      </c>
      <c r="RL13" s="12" t="s">
        <v>37</v>
      </c>
      <c r="RM13" s="12" t="s">
        <v>37</v>
      </c>
      <c r="RN13" s="11" t="s">
        <v>37</v>
      </c>
      <c r="RO13" s="11"/>
      <c r="RP13" s="11"/>
      <c r="RQ13" s="12"/>
      <c r="RR13" s="12"/>
      <c r="RS13" s="12" t="s">
        <v>37</v>
      </c>
      <c r="RT13" s="12" t="s">
        <v>37</v>
      </c>
      <c r="RU13" s="11" t="s">
        <v>37</v>
      </c>
      <c r="RV13" s="12" t="s">
        <v>37</v>
      </c>
      <c r="RW13" s="12" t="s">
        <v>37</v>
      </c>
      <c r="RX13" s="11" t="s">
        <v>37</v>
      </c>
      <c r="RY13" s="11"/>
      <c r="RZ13" s="11"/>
      <c r="SA13" s="12"/>
      <c r="SB13" s="12"/>
      <c r="SC13" s="12" t="s">
        <v>37</v>
      </c>
      <c r="SD13" s="12" t="s">
        <v>37</v>
      </c>
      <c r="SE13" s="12" t="s">
        <v>37</v>
      </c>
      <c r="SF13" s="12" t="s">
        <v>37</v>
      </c>
      <c r="SG13" s="12" t="s">
        <v>37</v>
      </c>
      <c r="SH13" s="12" t="s">
        <v>37</v>
      </c>
      <c r="SI13" s="12"/>
      <c r="SJ13" s="12"/>
      <c r="SK13" s="12"/>
      <c r="SL13" s="12"/>
      <c r="SM13" s="12" t="s">
        <v>37</v>
      </c>
      <c r="SN13" s="12" t="s">
        <v>37</v>
      </c>
      <c r="SO13" s="12" t="s">
        <v>37</v>
      </c>
      <c r="SP13" s="12" t="s">
        <v>37</v>
      </c>
      <c r="SQ13" s="12" t="s">
        <v>37</v>
      </c>
      <c r="SR13" s="12" t="s">
        <v>37</v>
      </c>
      <c r="SS13" s="12"/>
      <c r="ST13" s="12"/>
      <c r="SU13" s="12"/>
      <c r="SV13" s="12"/>
      <c r="SW13" s="12" t="s">
        <v>37</v>
      </c>
      <c r="SX13" s="12" t="s">
        <v>37</v>
      </c>
      <c r="SY13" s="12" t="s">
        <v>37</v>
      </c>
      <c r="SZ13" s="12" t="s">
        <v>37</v>
      </c>
      <c r="TA13" s="12" t="s">
        <v>37</v>
      </c>
      <c r="TB13" s="12" t="s">
        <v>37</v>
      </c>
      <c r="TC13" s="12"/>
      <c r="TD13" s="12"/>
      <c r="TE13" s="12"/>
      <c r="TF13" s="12"/>
      <c r="TG13" s="13" t="s">
        <v>37</v>
      </c>
      <c r="TH13" s="13" t="s">
        <v>37</v>
      </c>
      <c r="TI13" s="13" t="s">
        <v>37</v>
      </c>
      <c r="TJ13" s="13" t="s">
        <v>37</v>
      </c>
      <c r="TK13" s="13" t="s">
        <v>37</v>
      </c>
      <c r="TL13" s="13" t="s">
        <v>37</v>
      </c>
      <c r="TM13" s="13"/>
      <c r="TN13" s="13"/>
      <c r="TO13" s="12"/>
      <c r="TP13" s="12"/>
      <c r="TQ13" s="13" t="s">
        <v>37</v>
      </c>
      <c r="TR13" s="13" t="s">
        <v>37</v>
      </c>
      <c r="TS13" s="13" t="s">
        <v>37</v>
      </c>
      <c r="TT13" s="19"/>
      <c r="TU13" s="13" t="s">
        <v>37</v>
      </c>
      <c r="TV13" s="13" t="s">
        <v>37</v>
      </c>
      <c r="TW13" s="13" t="s">
        <v>37</v>
      </c>
    </row>
    <row r="14" spans="1:546" ht="17.399999999999999" x14ac:dyDescent="0.4">
      <c r="A14" s="11">
        <v>5</v>
      </c>
      <c r="B14" s="12" t="s">
        <v>144</v>
      </c>
      <c r="C14" s="12" t="s">
        <v>26</v>
      </c>
      <c r="D14" s="12" t="s">
        <v>54</v>
      </c>
      <c r="E14" s="12" t="s">
        <v>37</v>
      </c>
      <c r="F14" s="14">
        <v>0</v>
      </c>
      <c r="G14" s="14">
        <v>0</v>
      </c>
      <c r="H14" s="12" t="s">
        <v>145</v>
      </c>
      <c r="I14" s="29">
        <v>48.972000000000001</v>
      </c>
      <c r="J14" s="29">
        <v>13.634</v>
      </c>
      <c r="K14" s="12" t="s">
        <v>570</v>
      </c>
      <c r="L14" s="12" t="s">
        <v>571</v>
      </c>
      <c r="M14" s="13">
        <v>850</v>
      </c>
      <c r="N14" s="14">
        <v>4</v>
      </c>
      <c r="O14" s="14">
        <v>1100</v>
      </c>
      <c r="P14" s="14" t="s">
        <v>16</v>
      </c>
      <c r="Q14" s="11">
        <v>50</v>
      </c>
      <c r="R14" s="11" t="s">
        <v>37</v>
      </c>
      <c r="S14" s="12" t="s">
        <v>93</v>
      </c>
      <c r="T14" s="12" t="s">
        <v>141</v>
      </c>
      <c r="U14" s="12" t="s">
        <v>158</v>
      </c>
      <c r="V14" s="12" t="s">
        <v>275</v>
      </c>
      <c r="W14" s="23" t="s">
        <v>516</v>
      </c>
      <c r="X14" s="12" t="s">
        <v>280</v>
      </c>
      <c r="Y14" s="12" t="s">
        <v>69</v>
      </c>
      <c r="Z14" s="12" t="s">
        <v>37</v>
      </c>
      <c r="AA14" s="32">
        <v>2008</v>
      </c>
      <c r="AB14" s="13" t="s">
        <v>37</v>
      </c>
      <c r="AC14" s="13" t="s">
        <v>37</v>
      </c>
      <c r="AD14" s="12" t="s">
        <v>99</v>
      </c>
      <c r="AE14" s="12" t="s">
        <v>74</v>
      </c>
      <c r="AF14" s="12" t="s">
        <v>489</v>
      </c>
      <c r="AG14" s="16" t="s">
        <v>42</v>
      </c>
      <c r="AH14" s="32" t="s">
        <v>340</v>
      </c>
      <c r="AI14" s="12">
        <v>479</v>
      </c>
      <c r="AJ14" s="12">
        <v>15</v>
      </c>
      <c r="AK14" s="11">
        <v>3</v>
      </c>
      <c r="AL14" s="19">
        <f t="shared" si="55"/>
        <v>3.1315240083507306E-2</v>
      </c>
      <c r="AM14" s="12">
        <v>484</v>
      </c>
      <c r="AN14" s="12">
        <v>15</v>
      </c>
      <c r="AO14" s="13">
        <v>3</v>
      </c>
      <c r="AP14" s="19">
        <f t="shared" si="56"/>
        <v>3.0991735537190084E-2</v>
      </c>
      <c r="AQ14" s="49">
        <f t="shared" si="57"/>
        <v>1.0384309305716389E-2</v>
      </c>
      <c r="AR14" s="19">
        <f t="shared" si="58"/>
        <v>6.4704397769827773E-4</v>
      </c>
      <c r="AS14" s="32"/>
      <c r="AT14" s="12" t="s">
        <v>37</v>
      </c>
      <c r="AU14" s="12" t="s">
        <v>37</v>
      </c>
      <c r="AV14" s="13" t="s">
        <v>37</v>
      </c>
      <c r="AW14" s="12" t="s">
        <v>37</v>
      </c>
      <c r="AX14" s="12" t="s">
        <v>37</v>
      </c>
      <c r="AY14" s="13" t="s">
        <v>37</v>
      </c>
      <c r="AZ14" s="13"/>
      <c r="BA14" s="13"/>
      <c r="BB14" s="12"/>
      <c r="BC14" s="12" t="s">
        <v>37</v>
      </c>
      <c r="BD14" s="12" t="s">
        <v>37</v>
      </c>
      <c r="BE14" s="13" t="s">
        <v>37</v>
      </c>
      <c r="BF14" s="12" t="s">
        <v>37</v>
      </c>
      <c r="BG14" s="12" t="s">
        <v>37</v>
      </c>
      <c r="BH14" s="12" t="s">
        <v>37</v>
      </c>
      <c r="BI14" s="12"/>
      <c r="BJ14" s="12" t="s">
        <v>37</v>
      </c>
      <c r="BK14" s="12" t="s">
        <v>37</v>
      </c>
      <c r="BL14" s="13" t="s">
        <v>37</v>
      </c>
      <c r="BM14" s="12" t="s">
        <v>37</v>
      </c>
      <c r="BN14" s="12" t="s">
        <v>37</v>
      </c>
      <c r="BO14" s="13" t="s">
        <v>37</v>
      </c>
      <c r="BP14" s="19"/>
      <c r="BQ14" s="19"/>
      <c r="BR14" s="19"/>
      <c r="BS14" s="19"/>
      <c r="BT14" s="12"/>
      <c r="BU14" s="12" t="s">
        <v>37</v>
      </c>
      <c r="BV14" s="12" t="s">
        <v>37</v>
      </c>
      <c r="BW14" s="13" t="s">
        <v>37</v>
      </c>
      <c r="BX14" s="12" t="s">
        <v>37</v>
      </c>
      <c r="BY14" s="12" t="s">
        <v>37</v>
      </c>
      <c r="BZ14" s="13" t="s">
        <v>37</v>
      </c>
      <c r="CA14" s="19"/>
      <c r="CB14" s="19"/>
      <c r="CC14" s="19"/>
      <c r="CD14" s="19"/>
      <c r="CE14" s="12"/>
      <c r="CF14" s="12" t="s">
        <v>37</v>
      </c>
      <c r="CG14" s="12" t="s">
        <v>37</v>
      </c>
      <c r="CH14" s="13" t="s">
        <v>37</v>
      </c>
      <c r="CI14" s="12" t="s">
        <v>37</v>
      </c>
      <c r="CJ14" s="12" t="s">
        <v>37</v>
      </c>
      <c r="CK14" s="13" t="s">
        <v>37</v>
      </c>
      <c r="CL14" s="19"/>
      <c r="CM14" s="19"/>
      <c r="CN14" s="19"/>
      <c r="CO14" s="19"/>
      <c r="CP14" s="15" t="s">
        <v>34</v>
      </c>
      <c r="CQ14" s="15">
        <f>0.006*10/100/3*10000*16/1000000*1000</f>
        <v>3.2000000000000001E-2</v>
      </c>
      <c r="CR14" s="52">
        <f>0.0184*10/100/3*10000*16/1000000*1000</f>
        <v>9.8133333333333336E-2</v>
      </c>
      <c r="CS14" s="18">
        <v>8</v>
      </c>
      <c r="CT14" s="52">
        <f t="shared" si="59"/>
        <v>3.0666666666666669</v>
      </c>
      <c r="CU14" s="15">
        <f>0.0006*10/100/3*10000*16/1000000*1000</f>
        <v>3.1999999999999997E-3</v>
      </c>
      <c r="CV14" s="52">
        <f>0.0013*10/100/3*10000*16/1000000*1000</f>
        <v>6.933333333333333E-3</v>
      </c>
      <c r="CW14" s="18">
        <v>8</v>
      </c>
      <c r="CX14" s="52">
        <f t="shared" si="60"/>
        <v>2.166666666666667</v>
      </c>
      <c r="CY14" s="68">
        <f t="shared" si="61"/>
        <v>-2.8799999999999999E-2</v>
      </c>
      <c r="CZ14" s="12">
        <f t="shared" si="39"/>
        <v>6.9563719790643103E-2</v>
      </c>
      <c r="DA14" s="72">
        <f t="shared" si="40"/>
        <v>1.2097777777777779E-3</v>
      </c>
      <c r="DB14" s="72">
        <f t="shared" si="41"/>
        <v>1.2097777777777779E-3</v>
      </c>
      <c r="DC14" s="15"/>
      <c r="DD14" s="15" t="s">
        <v>37</v>
      </c>
      <c r="DE14" s="67" t="s">
        <v>37</v>
      </c>
      <c r="DF14" s="15" t="s">
        <v>37</v>
      </c>
      <c r="DG14" s="52"/>
      <c r="DH14" s="15" t="s">
        <v>37</v>
      </c>
      <c r="DI14" s="67" t="s">
        <v>37</v>
      </c>
      <c r="DJ14" s="15" t="s">
        <v>37</v>
      </c>
      <c r="DK14" s="52"/>
      <c r="DL14" s="68"/>
      <c r="DM14" s="68"/>
      <c r="DN14" s="68"/>
      <c r="DO14" s="68"/>
      <c r="DP14" s="12" t="s">
        <v>39</v>
      </c>
      <c r="DQ14" s="12">
        <v>-12.5</v>
      </c>
      <c r="DR14" s="12">
        <v>9</v>
      </c>
      <c r="DS14" s="13">
        <v>3</v>
      </c>
      <c r="DT14" s="19">
        <f t="shared" si="62"/>
        <v>0.72</v>
      </c>
      <c r="DU14" s="12">
        <v>-25.4</v>
      </c>
      <c r="DV14" s="12">
        <v>14</v>
      </c>
      <c r="DW14" s="13">
        <v>3</v>
      </c>
      <c r="DX14" s="19">
        <f t="shared" si="63"/>
        <v>0.55118110236220474</v>
      </c>
      <c r="DY14" s="19">
        <f t="shared" si="64"/>
        <v>-12.899999999999999</v>
      </c>
      <c r="DZ14" s="12">
        <f t="shared" si="12"/>
        <v>11.76860229593982</v>
      </c>
      <c r="EA14" s="72">
        <f t="shared" si="13"/>
        <v>92.333333333333329</v>
      </c>
      <c r="EB14" s="72">
        <f t="shared" si="14"/>
        <v>92.333333333333329</v>
      </c>
      <c r="EC14" s="12"/>
      <c r="ED14" s="12"/>
      <c r="EE14" s="12" t="s">
        <v>37</v>
      </c>
      <c r="EF14" s="12" t="s">
        <v>37</v>
      </c>
      <c r="EG14" s="11" t="s">
        <v>37</v>
      </c>
      <c r="EH14" s="19"/>
      <c r="EI14" s="12" t="s">
        <v>37</v>
      </c>
      <c r="EJ14" s="20" t="s">
        <v>37</v>
      </c>
      <c r="EK14" s="11" t="s">
        <v>37</v>
      </c>
      <c r="EL14" s="19"/>
      <c r="EM14" s="19"/>
      <c r="EN14" s="19"/>
      <c r="EO14" s="19"/>
      <c r="EP14" s="19"/>
      <c r="EQ14" s="32"/>
      <c r="ER14" s="12" t="s">
        <v>37</v>
      </c>
      <c r="ES14" s="12" t="s">
        <v>37</v>
      </c>
      <c r="ET14" s="11" t="s">
        <v>37</v>
      </c>
      <c r="EU14" s="19"/>
      <c r="EV14" s="13" t="s">
        <v>37</v>
      </c>
      <c r="EW14" s="11" t="s">
        <v>37</v>
      </c>
      <c r="EX14" s="11" t="s">
        <v>37</v>
      </c>
      <c r="EY14" s="19"/>
      <c r="EZ14" s="19"/>
      <c r="FA14" s="19"/>
      <c r="FB14" s="19"/>
      <c r="FC14" s="32"/>
      <c r="FD14" s="12" t="s">
        <v>37</v>
      </c>
      <c r="FE14" s="12" t="s">
        <v>37</v>
      </c>
      <c r="FF14" s="11" t="s">
        <v>37</v>
      </c>
      <c r="FG14" s="13" t="s">
        <v>37</v>
      </c>
      <c r="FH14" s="11" t="s">
        <v>37</v>
      </c>
      <c r="FI14" s="11" t="s">
        <v>37</v>
      </c>
      <c r="FJ14" s="19"/>
      <c r="FK14" s="19"/>
      <c r="FL14" s="19"/>
      <c r="FM14" s="32"/>
      <c r="FN14" s="12" t="s">
        <v>37</v>
      </c>
      <c r="FO14" s="12" t="s">
        <v>37</v>
      </c>
      <c r="FP14" s="11" t="s">
        <v>37</v>
      </c>
      <c r="FQ14" s="13" t="s">
        <v>37</v>
      </c>
      <c r="FR14" s="11" t="s">
        <v>37</v>
      </c>
      <c r="FS14" s="11" t="s">
        <v>37</v>
      </c>
      <c r="FT14" s="19"/>
      <c r="FU14" s="19"/>
      <c r="FV14" s="19"/>
      <c r="FW14" s="12"/>
      <c r="FX14" s="12"/>
      <c r="FY14" s="12" t="s">
        <v>37</v>
      </c>
      <c r="FZ14" s="12" t="s">
        <v>37</v>
      </c>
      <c r="GA14" s="13" t="s">
        <v>37</v>
      </c>
      <c r="GB14" s="12" t="s">
        <v>37</v>
      </c>
      <c r="GC14" s="12" t="s">
        <v>37</v>
      </c>
      <c r="GD14" s="13" t="s">
        <v>37</v>
      </c>
      <c r="GE14" s="19"/>
      <c r="GF14" s="19"/>
      <c r="GG14" s="12"/>
      <c r="GH14" s="12"/>
      <c r="GI14" s="12" t="s">
        <v>37</v>
      </c>
      <c r="GJ14" s="12" t="s">
        <v>37</v>
      </c>
      <c r="GK14" s="13" t="s">
        <v>37</v>
      </c>
      <c r="GL14" s="19"/>
      <c r="GM14" s="12" t="s">
        <v>37</v>
      </c>
      <c r="GN14" s="12" t="s">
        <v>37</v>
      </c>
      <c r="GO14" s="13" t="s">
        <v>37</v>
      </c>
      <c r="GP14" s="19"/>
      <c r="GQ14" s="19"/>
      <c r="GR14" s="19"/>
      <c r="GS14" s="17" t="s">
        <v>63</v>
      </c>
      <c r="GT14" s="34" t="s">
        <v>340</v>
      </c>
      <c r="GU14" s="12">
        <v>0.3</v>
      </c>
      <c r="GV14" s="12">
        <v>0.06</v>
      </c>
      <c r="GW14" s="13">
        <v>3</v>
      </c>
      <c r="GX14" s="19"/>
      <c r="GY14" s="12">
        <v>0.36</v>
      </c>
      <c r="GZ14" s="12">
        <v>7.0000000000000007E-2</v>
      </c>
      <c r="HA14" s="13">
        <v>3</v>
      </c>
      <c r="HB14" s="19"/>
      <c r="HC14" s="19">
        <f t="shared" si="65"/>
        <v>0.18232155679395459</v>
      </c>
      <c r="HD14" s="19">
        <f t="shared" si="66"/>
        <v>2.5936213991769548E-2</v>
      </c>
      <c r="HE14" s="34"/>
      <c r="HF14" s="12" t="s">
        <v>37</v>
      </c>
      <c r="HG14" s="12" t="s">
        <v>37</v>
      </c>
      <c r="HH14" s="13" t="s">
        <v>37</v>
      </c>
      <c r="HI14" s="12" t="s">
        <v>37</v>
      </c>
      <c r="HJ14" s="12" t="s">
        <v>37</v>
      </c>
      <c r="HK14" s="13" t="s">
        <v>37</v>
      </c>
      <c r="HL14" s="13"/>
      <c r="HM14" s="13"/>
      <c r="HN14" s="34"/>
      <c r="HO14" s="12" t="s">
        <v>37</v>
      </c>
      <c r="HP14" s="12" t="s">
        <v>37</v>
      </c>
      <c r="HQ14" s="13" t="s">
        <v>37</v>
      </c>
      <c r="HR14" s="12" t="s">
        <v>37</v>
      </c>
      <c r="HS14" s="12" t="s">
        <v>37</v>
      </c>
      <c r="HT14" s="13" t="s">
        <v>37</v>
      </c>
      <c r="HU14" s="13"/>
      <c r="HV14" s="13"/>
      <c r="HW14" s="12"/>
      <c r="HX14" s="12"/>
      <c r="HY14" s="12" t="s">
        <v>37</v>
      </c>
      <c r="HZ14" s="12" t="s">
        <v>37</v>
      </c>
      <c r="IA14" s="12" t="s">
        <v>37</v>
      </c>
      <c r="IB14" s="12" t="s">
        <v>37</v>
      </c>
      <c r="IC14" s="12" t="s">
        <v>37</v>
      </c>
      <c r="ID14" s="12" t="s">
        <v>37</v>
      </c>
      <c r="IE14" s="12"/>
      <c r="IF14" s="32" t="s">
        <v>340</v>
      </c>
      <c r="IG14" s="12">
        <v>4</v>
      </c>
      <c r="IH14" s="12">
        <v>0.1</v>
      </c>
      <c r="II14" s="13">
        <v>3</v>
      </c>
      <c r="IJ14" s="19">
        <f t="shared" si="67"/>
        <v>2.5000000000000001E-2</v>
      </c>
      <c r="IK14" s="12">
        <v>4.0999999999999996</v>
      </c>
      <c r="IL14" s="12">
        <v>0.1</v>
      </c>
      <c r="IM14" s="13">
        <v>3</v>
      </c>
      <c r="IN14" s="19">
        <f t="shared" si="68"/>
        <v>2.4390243902439029E-2</v>
      </c>
      <c r="IO14" s="19">
        <f t="shared" si="69"/>
        <v>2.4692612590371414E-2</v>
      </c>
      <c r="IP14" s="19">
        <f>IL14^2/(IM14*IK14^2)+IH14^2/(II14*IG14^2)</f>
        <v>4.0662799920682146E-4</v>
      </c>
      <c r="IQ14" s="32"/>
      <c r="IR14" s="12" t="s">
        <v>37</v>
      </c>
      <c r="IS14" s="12" t="s">
        <v>37</v>
      </c>
      <c r="IT14" s="13" t="s">
        <v>37</v>
      </c>
      <c r="IU14" s="12" t="s">
        <v>37</v>
      </c>
      <c r="IV14" s="12" t="s">
        <v>37</v>
      </c>
      <c r="IW14" s="12" t="s">
        <v>37</v>
      </c>
      <c r="IX14" s="32"/>
      <c r="IY14" s="12" t="s">
        <v>37</v>
      </c>
      <c r="IZ14" s="12" t="s">
        <v>37</v>
      </c>
      <c r="JA14" s="13" t="s">
        <v>37</v>
      </c>
      <c r="JB14" s="12" t="s">
        <v>37</v>
      </c>
      <c r="JC14" s="12" t="s">
        <v>37</v>
      </c>
      <c r="JD14" s="12" t="s">
        <v>37</v>
      </c>
      <c r="JE14" s="12"/>
      <c r="JF14" s="12"/>
      <c r="JG14" s="11" t="s">
        <v>37</v>
      </c>
      <c r="JH14" s="11" t="s">
        <v>37</v>
      </c>
      <c r="JI14" s="13" t="s">
        <v>37</v>
      </c>
      <c r="JJ14" s="11" t="s">
        <v>37</v>
      </c>
      <c r="JK14" s="11" t="s">
        <v>37</v>
      </c>
      <c r="JL14" s="11" t="s">
        <v>37</v>
      </c>
      <c r="JM14" s="12" t="s">
        <v>42</v>
      </c>
      <c r="JN14" s="32" t="s">
        <v>340</v>
      </c>
      <c r="JO14" s="12">
        <v>18.600000000000001</v>
      </c>
      <c r="JP14" s="12">
        <v>3.9</v>
      </c>
      <c r="JQ14" s="11">
        <v>3</v>
      </c>
      <c r="JR14" s="19">
        <f t="shared" si="71"/>
        <v>0.20967741935483869</v>
      </c>
      <c r="JS14" s="12">
        <v>14.2</v>
      </c>
      <c r="JT14" s="12">
        <v>1</v>
      </c>
      <c r="JU14" s="13">
        <v>3</v>
      </c>
      <c r="JV14" s="19">
        <f t="shared" si="72"/>
        <v>7.0422535211267609E-2</v>
      </c>
      <c r="JW14" s="19">
        <f t="shared" si="73"/>
        <v>-0.26991961611194065</v>
      </c>
      <c r="JX14" s="19">
        <f t="shared" si="74"/>
        <v>1.6307984550962371E-2</v>
      </c>
      <c r="JY14" s="32"/>
      <c r="JZ14" s="12" t="s">
        <v>37</v>
      </c>
      <c r="KA14" s="12" t="s">
        <v>37</v>
      </c>
      <c r="KB14" s="13" t="s">
        <v>37</v>
      </c>
      <c r="KC14" s="12" t="s">
        <v>37</v>
      </c>
      <c r="KD14" s="12" t="s">
        <v>37</v>
      </c>
      <c r="KE14" s="13" t="s">
        <v>37</v>
      </c>
      <c r="KF14" s="13"/>
      <c r="KG14" s="13"/>
      <c r="KH14" s="32"/>
      <c r="KI14" s="12" t="s">
        <v>37</v>
      </c>
      <c r="KJ14" s="12" t="s">
        <v>37</v>
      </c>
      <c r="KK14" s="12" t="s">
        <v>37</v>
      </c>
      <c r="KL14" s="12" t="s">
        <v>37</v>
      </c>
      <c r="KM14" s="12" t="s">
        <v>37</v>
      </c>
      <c r="KN14" s="12" t="s">
        <v>37</v>
      </c>
      <c r="KO14" s="12"/>
      <c r="KP14" s="12"/>
      <c r="KQ14" s="12"/>
      <c r="KR14" s="12" t="str">
        <f t="shared" si="44"/>
        <v>0-30</v>
      </c>
      <c r="KS14" s="12">
        <f>AI14/JO14</f>
        <v>25.752688172043008</v>
      </c>
      <c r="KT14" s="12">
        <f>SQRT((1/JO14)^2*AJ14^2+AI14^2*(-1/JO14^2)^2*JP14^2)</f>
        <v>5.4596466913562258</v>
      </c>
      <c r="KU14" s="13">
        <f t="shared" si="45"/>
        <v>3</v>
      </c>
      <c r="KV14" s="19">
        <f t="shared" si="75"/>
        <v>0.21200298216957372</v>
      </c>
      <c r="KW14" s="12">
        <f>AM14/JS14</f>
        <v>34.08450704225352</v>
      </c>
      <c r="KX14" s="12">
        <f>SQRT((1/JS14)^2*AN14^2+AM14^2*(-1/JS14^2)^2*JT14^2)</f>
        <v>2.6224747163200073</v>
      </c>
      <c r="KY14" s="13">
        <f t="shared" si="46"/>
        <v>3</v>
      </c>
      <c r="KZ14" s="19">
        <f t="shared" si="76"/>
        <v>7.6940373908562204E-2</v>
      </c>
      <c r="LA14" s="19">
        <f>LN(KW14/KS14)</f>
        <v>0.28030392541765708</v>
      </c>
      <c r="LB14" s="19">
        <f t="shared" si="78"/>
        <v>1.695502852866065E-2</v>
      </c>
      <c r="LC14" s="12"/>
      <c r="LD14" s="12" t="s">
        <v>37</v>
      </c>
      <c r="LE14" s="12" t="s">
        <v>37</v>
      </c>
      <c r="LF14" s="12" t="s">
        <v>37</v>
      </c>
      <c r="LG14" s="19" t="str">
        <f t="shared" si="19"/>
        <v>/</v>
      </c>
      <c r="LH14" s="19" t="str">
        <f t="shared" si="20"/>
        <v>/</v>
      </c>
      <c r="LI14" s="13" t="str">
        <f t="shared" si="21"/>
        <v>/</v>
      </c>
      <c r="LJ14" s="13"/>
      <c r="LK14" s="13"/>
      <c r="LL14" s="12"/>
      <c r="LM14" s="12" t="s">
        <v>37</v>
      </c>
      <c r="LN14" s="12" t="s">
        <v>37</v>
      </c>
      <c r="LO14" s="12" t="s">
        <v>37</v>
      </c>
      <c r="LP14" s="12" t="s">
        <v>37</v>
      </c>
      <c r="LQ14" s="12" t="s">
        <v>37</v>
      </c>
      <c r="LR14" s="12" t="s">
        <v>37</v>
      </c>
      <c r="LS14" s="12" t="s">
        <v>148</v>
      </c>
      <c r="LT14" s="12" t="s">
        <v>340</v>
      </c>
      <c r="LU14" s="12">
        <v>0.13</v>
      </c>
      <c r="LV14" s="12">
        <v>0.1</v>
      </c>
      <c r="LW14" s="13">
        <v>3</v>
      </c>
      <c r="LX14" s="12">
        <v>0.23</v>
      </c>
      <c r="LY14" s="12">
        <v>0.12</v>
      </c>
      <c r="LZ14" s="13">
        <v>3</v>
      </c>
      <c r="MA14" s="19">
        <f t="shared" si="47"/>
        <v>0.57054485846761294</v>
      </c>
      <c r="MB14" s="19">
        <f t="shared" si="48"/>
        <v>0.28797589885273467</v>
      </c>
      <c r="MC14" s="12" t="s">
        <v>148</v>
      </c>
      <c r="MD14" s="12" t="s">
        <v>340</v>
      </c>
      <c r="ME14" s="12">
        <v>0.01</v>
      </c>
      <c r="MF14" s="12">
        <v>0.06</v>
      </c>
      <c r="MG14" s="13">
        <v>3</v>
      </c>
      <c r="MH14" s="12">
        <v>0.02</v>
      </c>
      <c r="MI14" s="12">
        <v>0.04</v>
      </c>
      <c r="MJ14" s="13">
        <v>3</v>
      </c>
      <c r="MK14" s="19">
        <f t="shared" si="49"/>
        <v>0.69314718055994529</v>
      </c>
      <c r="ML14" s="19">
        <f t="shared" si="50"/>
        <v>13.333333333333332</v>
      </c>
      <c r="MM14" s="12"/>
      <c r="MN14" s="12"/>
      <c r="MO14" s="11" t="s">
        <v>37</v>
      </c>
      <c r="MP14" s="11" t="s">
        <v>37</v>
      </c>
      <c r="MQ14" s="13" t="s">
        <v>37</v>
      </c>
      <c r="MR14" s="11" t="s">
        <v>37</v>
      </c>
      <c r="MS14" s="11" t="s">
        <v>37</v>
      </c>
      <c r="MT14" s="13" t="s">
        <v>37</v>
      </c>
      <c r="MU14" s="13"/>
      <c r="MV14" s="13"/>
      <c r="MW14" s="12"/>
      <c r="MX14" s="12"/>
      <c r="MY14" s="11" t="s">
        <v>37</v>
      </c>
      <c r="MZ14" s="11" t="s">
        <v>37</v>
      </c>
      <c r="NA14" s="11" t="s">
        <v>37</v>
      </c>
      <c r="NB14" s="11" t="s">
        <v>37</v>
      </c>
      <c r="NC14" s="11" t="s">
        <v>37</v>
      </c>
      <c r="ND14" s="11" t="s">
        <v>37</v>
      </c>
      <c r="NE14" s="11"/>
      <c r="NF14" s="11"/>
      <c r="NG14" s="12" t="s">
        <v>149</v>
      </c>
      <c r="NH14" s="12" t="s">
        <v>340</v>
      </c>
      <c r="NI14" s="12">
        <v>35.549999999999997</v>
      </c>
      <c r="NJ14" s="12">
        <v>20.28</v>
      </c>
      <c r="NK14" s="13">
        <v>3</v>
      </c>
      <c r="NL14" s="12">
        <v>53.92</v>
      </c>
      <c r="NM14" s="12">
        <v>10.9</v>
      </c>
      <c r="NN14" s="13">
        <v>3</v>
      </c>
      <c r="NO14" s="19">
        <f t="shared" si="51"/>
        <v>0.41656131035480182</v>
      </c>
      <c r="NP14" s="19">
        <f t="shared" si="52"/>
        <v>0.12209816390454015</v>
      </c>
      <c r="NQ14" s="12"/>
      <c r="NR14" s="12"/>
      <c r="NS14" s="11" t="s">
        <v>37</v>
      </c>
      <c r="NT14" s="11" t="s">
        <v>37</v>
      </c>
      <c r="NU14" s="13" t="s">
        <v>37</v>
      </c>
      <c r="NV14" s="11" t="s">
        <v>37</v>
      </c>
      <c r="NW14" s="11" t="s">
        <v>37</v>
      </c>
      <c r="NX14" s="13" t="s">
        <v>37</v>
      </c>
      <c r="NY14" s="13"/>
      <c r="NZ14" s="13"/>
      <c r="OA14" s="12" t="s">
        <v>148</v>
      </c>
      <c r="OB14" s="12" t="s">
        <v>340</v>
      </c>
      <c r="OC14" s="12">
        <v>0.03</v>
      </c>
      <c r="OD14" s="12">
        <v>0.03</v>
      </c>
      <c r="OE14" s="13">
        <v>3</v>
      </c>
      <c r="OF14" s="12">
        <v>0.19</v>
      </c>
      <c r="OG14" s="12">
        <v>0.14000000000000001</v>
      </c>
      <c r="OH14" s="13">
        <v>3</v>
      </c>
      <c r="OI14" s="19">
        <f>LN(OF14/OC14)</f>
        <v>1.8458266904983309</v>
      </c>
      <c r="OJ14" s="19">
        <f t="shared" si="54"/>
        <v>0.51431209602954753</v>
      </c>
      <c r="OK14" s="12"/>
      <c r="OL14" s="12" t="s">
        <v>37</v>
      </c>
      <c r="OM14" s="12" t="s">
        <v>37</v>
      </c>
      <c r="ON14" s="11" t="s">
        <v>37</v>
      </c>
      <c r="OO14" s="12" t="s">
        <v>37</v>
      </c>
      <c r="OP14" s="12" t="s">
        <v>37</v>
      </c>
      <c r="OQ14" s="12" t="s">
        <v>37</v>
      </c>
      <c r="OR14" s="12"/>
      <c r="OS14" s="12" t="s">
        <v>37</v>
      </c>
      <c r="OT14" s="12" t="s">
        <v>37</v>
      </c>
      <c r="OU14" s="12" t="s">
        <v>37</v>
      </c>
      <c r="OV14" s="12" t="s">
        <v>37</v>
      </c>
      <c r="OW14" s="12" t="s">
        <v>37</v>
      </c>
      <c r="OX14" s="12" t="s">
        <v>37</v>
      </c>
      <c r="OY14" s="12"/>
      <c r="OZ14" s="12"/>
      <c r="PA14" s="11" t="s">
        <v>37</v>
      </c>
      <c r="PB14" s="11" t="s">
        <v>37</v>
      </c>
      <c r="PC14" s="13" t="s">
        <v>37</v>
      </c>
      <c r="PD14" s="11" t="s">
        <v>37</v>
      </c>
      <c r="PE14" s="11" t="s">
        <v>37</v>
      </c>
      <c r="PF14" s="13" t="s">
        <v>37</v>
      </c>
      <c r="PG14" s="12"/>
      <c r="PH14" s="12"/>
      <c r="PI14" s="12" t="s">
        <v>37</v>
      </c>
      <c r="PJ14" s="12" t="s">
        <v>37</v>
      </c>
      <c r="PK14" s="13" t="s">
        <v>37</v>
      </c>
      <c r="PL14" s="12" t="s">
        <v>37</v>
      </c>
      <c r="PM14" s="12" t="s">
        <v>37</v>
      </c>
      <c r="PN14" s="13" t="s">
        <v>37</v>
      </c>
      <c r="PO14" s="12"/>
      <c r="PP14" s="12"/>
      <c r="PQ14" s="11" t="s">
        <v>37</v>
      </c>
      <c r="PR14" s="11" t="s">
        <v>37</v>
      </c>
      <c r="PS14" s="13" t="s">
        <v>37</v>
      </c>
      <c r="PT14" s="11" t="s">
        <v>37</v>
      </c>
      <c r="PU14" s="11" t="s">
        <v>37</v>
      </c>
      <c r="PV14" s="13" t="s">
        <v>37</v>
      </c>
      <c r="PW14" s="12"/>
      <c r="PX14" s="12"/>
      <c r="PY14" s="11" t="s">
        <v>37</v>
      </c>
      <c r="PZ14" s="11" t="s">
        <v>37</v>
      </c>
      <c r="QA14" s="11" t="s">
        <v>37</v>
      </c>
      <c r="QB14" s="11" t="s">
        <v>37</v>
      </c>
      <c r="QC14" s="11" t="s">
        <v>37</v>
      </c>
      <c r="QD14" s="11" t="s">
        <v>37</v>
      </c>
      <c r="QE14" s="12"/>
      <c r="QF14" s="12"/>
      <c r="QG14" s="11" t="s">
        <v>37</v>
      </c>
      <c r="QH14" s="11" t="s">
        <v>37</v>
      </c>
      <c r="QI14" s="13" t="s">
        <v>37</v>
      </c>
      <c r="QJ14" s="11" t="s">
        <v>37</v>
      </c>
      <c r="QK14" s="11" t="s">
        <v>37</v>
      </c>
      <c r="QL14" s="13" t="s">
        <v>37</v>
      </c>
      <c r="QM14" s="12"/>
      <c r="QN14" s="12"/>
      <c r="QO14" s="12" t="s">
        <v>37</v>
      </c>
      <c r="QP14" s="12" t="s">
        <v>37</v>
      </c>
      <c r="QQ14" s="13" t="s">
        <v>37</v>
      </c>
      <c r="QR14" s="12" t="s">
        <v>37</v>
      </c>
      <c r="QS14" s="12" t="s">
        <v>37</v>
      </c>
      <c r="QT14" s="13" t="s">
        <v>37</v>
      </c>
      <c r="QU14" s="13"/>
      <c r="QV14" s="13"/>
      <c r="QW14" s="12"/>
      <c r="QX14" s="12"/>
      <c r="QY14" s="12" t="s">
        <v>37</v>
      </c>
      <c r="QZ14" s="12" t="s">
        <v>37</v>
      </c>
      <c r="RA14" s="11" t="s">
        <v>37</v>
      </c>
      <c r="RB14" s="12" t="s">
        <v>37</v>
      </c>
      <c r="RC14" s="12" t="s">
        <v>37</v>
      </c>
      <c r="RD14" s="11" t="s">
        <v>37</v>
      </c>
      <c r="RE14" s="11"/>
      <c r="RF14" s="11"/>
      <c r="RG14" s="12"/>
      <c r="RH14" s="12"/>
      <c r="RI14" s="12" t="s">
        <v>37</v>
      </c>
      <c r="RJ14" s="12" t="s">
        <v>37</v>
      </c>
      <c r="RK14" s="11" t="s">
        <v>37</v>
      </c>
      <c r="RL14" s="12" t="s">
        <v>37</v>
      </c>
      <c r="RM14" s="12" t="s">
        <v>37</v>
      </c>
      <c r="RN14" s="11" t="s">
        <v>37</v>
      </c>
      <c r="RO14" s="11"/>
      <c r="RP14" s="11"/>
      <c r="RQ14" s="12"/>
      <c r="RR14" s="12"/>
      <c r="RS14" s="12" t="s">
        <v>37</v>
      </c>
      <c r="RT14" s="12" t="s">
        <v>37</v>
      </c>
      <c r="RU14" s="11" t="s">
        <v>37</v>
      </c>
      <c r="RV14" s="12" t="s">
        <v>37</v>
      </c>
      <c r="RW14" s="12" t="s">
        <v>37</v>
      </c>
      <c r="RX14" s="11" t="s">
        <v>37</v>
      </c>
      <c r="RY14" s="11"/>
      <c r="RZ14" s="11"/>
      <c r="SA14" s="12"/>
      <c r="SB14" s="12"/>
      <c r="SC14" s="12" t="s">
        <v>37</v>
      </c>
      <c r="SD14" s="12" t="s">
        <v>37</v>
      </c>
      <c r="SE14" s="12" t="s">
        <v>37</v>
      </c>
      <c r="SF14" s="12" t="s">
        <v>37</v>
      </c>
      <c r="SG14" s="12" t="s">
        <v>37</v>
      </c>
      <c r="SH14" s="12" t="s">
        <v>37</v>
      </c>
      <c r="SI14" s="12"/>
      <c r="SJ14" s="12"/>
      <c r="SK14" s="12"/>
      <c r="SL14" s="12"/>
      <c r="SM14" s="12" t="s">
        <v>37</v>
      </c>
      <c r="SN14" s="12" t="s">
        <v>37</v>
      </c>
      <c r="SO14" s="12" t="s">
        <v>37</v>
      </c>
      <c r="SP14" s="12" t="s">
        <v>37</v>
      </c>
      <c r="SQ14" s="12" t="s">
        <v>37</v>
      </c>
      <c r="SR14" s="12" t="s">
        <v>37</v>
      </c>
      <c r="SS14" s="12"/>
      <c r="ST14" s="12"/>
      <c r="SU14" s="12"/>
      <c r="SV14" s="12"/>
      <c r="SW14" s="12" t="s">
        <v>37</v>
      </c>
      <c r="SX14" s="12" t="s">
        <v>37</v>
      </c>
      <c r="SY14" s="12" t="s">
        <v>37</v>
      </c>
      <c r="SZ14" s="12" t="s">
        <v>37</v>
      </c>
      <c r="TA14" s="12" t="s">
        <v>37</v>
      </c>
      <c r="TB14" s="12" t="s">
        <v>37</v>
      </c>
      <c r="TC14" s="12"/>
      <c r="TD14" s="12"/>
      <c r="TE14" s="12"/>
      <c r="TF14" s="12"/>
      <c r="TG14" s="13" t="s">
        <v>37</v>
      </c>
      <c r="TH14" s="13" t="s">
        <v>37</v>
      </c>
      <c r="TI14" s="13" t="s">
        <v>37</v>
      </c>
      <c r="TJ14" s="13" t="s">
        <v>37</v>
      </c>
      <c r="TK14" s="13" t="s">
        <v>37</v>
      </c>
      <c r="TL14" s="13" t="s">
        <v>37</v>
      </c>
      <c r="TM14" s="13"/>
      <c r="TN14" s="13"/>
      <c r="TO14" s="12"/>
      <c r="TP14" s="12"/>
      <c r="TQ14" s="13" t="s">
        <v>37</v>
      </c>
      <c r="TR14" s="13" t="s">
        <v>37</v>
      </c>
      <c r="TS14" s="13" t="s">
        <v>37</v>
      </c>
      <c r="TT14" s="19"/>
      <c r="TU14" s="13" t="s">
        <v>37</v>
      </c>
      <c r="TV14" s="13" t="s">
        <v>37</v>
      </c>
      <c r="TW14" s="13" t="s">
        <v>37</v>
      </c>
    </row>
    <row r="15" spans="1:546" ht="17.399999999999999" x14ac:dyDescent="0.3">
      <c r="A15" s="11">
        <v>6</v>
      </c>
      <c r="B15" s="12" t="s">
        <v>161</v>
      </c>
      <c r="C15" s="12" t="s">
        <v>26</v>
      </c>
      <c r="D15" s="12" t="s">
        <v>54</v>
      </c>
      <c r="E15" s="14">
        <v>0.35</v>
      </c>
      <c r="F15" s="14">
        <v>0</v>
      </c>
      <c r="G15" s="14">
        <v>0</v>
      </c>
      <c r="H15" s="12" t="s">
        <v>79</v>
      </c>
      <c r="I15" s="29">
        <v>47.588000000000001</v>
      </c>
      <c r="J15" s="29">
        <v>133.53</v>
      </c>
      <c r="K15" s="12" t="s">
        <v>799</v>
      </c>
      <c r="L15" s="12" t="s">
        <v>800</v>
      </c>
      <c r="M15" s="13" t="s">
        <v>37</v>
      </c>
      <c r="N15" s="14">
        <v>-1.9</v>
      </c>
      <c r="O15" s="14">
        <v>350</v>
      </c>
      <c r="P15" s="14" t="s">
        <v>84</v>
      </c>
      <c r="Q15" s="11" t="s">
        <v>162</v>
      </c>
      <c r="R15" s="11" t="s">
        <v>37</v>
      </c>
      <c r="S15" s="12" t="s">
        <v>51</v>
      </c>
      <c r="T15" s="12" t="s">
        <v>138</v>
      </c>
      <c r="U15" s="12" t="s">
        <v>158</v>
      </c>
      <c r="V15" s="12" t="s">
        <v>275</v>
      </c>
      <c r="W15" s="23" t="s">
        <v>165</v>
      </c>
      <c r="X15" s="12" t="s">
        <v>283</v>
      </c>
      <c r="Y15" s="12" t="s">
        <v>166</v>
      </c>
      <c r="Z15" s="12" t="s">
        <v>37</v>
      </c>
      <c r="AA15" s="32" t="s">
        <v>522</v>
      </c>
      <c r="AB15" s="12" t="s">
        <v>317</v>
      </c>
      <c r="AC15" s="12" t="s">
        <v>37</v>
      </c>
      <c r="AD15" s="12" t="s">
        <v>167</v>
      </c>
      <c r="AE15" s="12" t="s">
        <v>74</v>
      </c>
      <c r="AF15" s="12" t="s">
        <v>523</v>
      </c>
      <c r="AG15" s="16" t="s">
        <v>42</v>
      </c>
      <c r="AH15" s="32"/>
      <c r="AI15" s="12" t="s">
        <v>37</v>
      </c>
      <c r="AJ15" s="12" t="s">
        <v>37</v>
      </c>
      <c r="AK15" s="11" t="s">
        <v>37</v>
      </c>
      <c r="AL15" s="19"/>
      <c r="AM15" s="12" t="s">
        <v>37</v>
      </c>
      <c r="AN15" s="12" t="s">
        <v>37</v>
      </c>
      <c r="AO15" s="13" t="s">
        <v>37</v>
      </c>
      <c r="AP15" s="19"/>
      <c r="AQ15" s="49"/>
      <c r="AR15" s="49"/>
      <c r="AS15" s="32"/>
      <c r="AT15" s="12" t="s">
        <v>37</v>
      </c>
      <c r="AU15" s="12" t="s">
        <v>37</v>
      </c>
      <c r="AV15" s="13" t="s">
        <v>37</v>
      </c>
      <c r="AW15" s="12" t="s">
        <v>37</v>
      </c>
      <c r="AX15" s="12" t="s">
        <v>37</v>
      </c>
      <c r="AY15" s="13" t="s">
        <v>37</v>
      </c>
      <c r="AZ15" s="13"/>
      <c r="BA15" s="13"/>
      <c r="BB15" s="12"/>
      <c r="BC15" s="12" t="s">
        <v>37</v>
      </c>
      <c r="BD15" s="12" t="s">
        <v>37</v>
      </c>
      <c r="BE15" s="13" t="s">
        <v>37</v>
      </c>
      <c r="BF15" s="12" t="s">
        <v>37</v>
      </c>
      <c r="BG15" s="12" t="s">
        <v>37</v>
      </c>
      <c r="BH15" s="12" t="s">
        <v>37</v>
      </c>
      <c r="BI15" s="12"/>
      <c r="BJ15" s="12" t="s">
        <v>37</v>
      </c>
      <c r="BK15" s="12" t="s">
        <v>37</v>
      </c>
      <c r="BL15" s="13" t="s">
        <v>37</v>
      </c>
      <c r="BM15" s="12" t="s">
        <v>37</v>
      </c>
      <c r="BN15" s="12" t="s">
        <v>37</v>
      </c>
      <c r="BO15" s="13" t="s">
        <v>37</v>
      </c>
      <c r="BP15" s="19"/>
      <c r="BQ15" s="19"/>
      <c r="BR15" s="19"/>
      <c r="BS15" s="19"/>
      <c r="BT15" s="12"/>
      <c r="BU15" s="12" t="s">
        <v>37</v>
      </c>
      <c r="BV15" s="12" t="s">
        <v>37</v>
      </c>
      <c r="BW15" s="13" t="s">
        <v>37</v>
      </c>
      <c r="BX15" s="12" t="s">
        <v>37</v>
      </c>
      <c r="BY15" s="12" t="s">
        <v>37</v>
      </c>
      <c r="BZ15" s="13" t="s">
        <v>37</v>
      </c>
      <c r="CA15" s="19"/>
      <c r="CB15" s="19"/>
      <c r="CC15" s="19"/>
      <c r="CD15" s="19"/>
      <c r="CE15" s="12"/>
      <c r="CF15" s="12" t="s">
        <v>37</v>
      </c>
      <c r="CG15" s="12" t="s">
        <v>37</v>
      </c>
      <c r="CH15" s="13" t="s">
        <v>37</v>
      </c>
      <c r="CI15" s="12" t="s">
        <v>37</v>
      </c>
      <c r="CJ15" s="12" t="s">
        <v>37</v>
      </c>
      <c r="CK15" s="13" t="s">
        <v>37</v>
      </c>
      <c r="CL15" s="19"/>
      <c r="CM15" s="19"/>
      <c r="CN15" s="19"/>
      <c r="CO15" s="19"/>
      <c r="CP15" s="15" t="s">
        <v>34</v>
      </c>
      <c r="CQ15" s="15">
        <v>8.92</v>
      </c>
      <c r="CR15" s="70">
        <f>CQ15*CT$61</f>
        <v>8.195053994593934</v>
      </c>
      <c r="CS15" s="18">
        <v>3</v>
      </c>
      <c r="CT15" s="52"/>
      <c r="CU15" s="15">
        <v>5.46</v>
      </c>
      <c r="CV15" s="70">
        <f>CU15*CX$61</f>
        <v>4.0506821651014429</v>
      </c>
      <c r="CW15" s="18">
        <v>3</v>
      </c>
      <c r="CX15" s="52"/>
      <c r="CY15" s="68">
        <f t="shared" si="61"/>
        <v>-3.46</v>
      </c>
      <c r="CZ15" s="12">
        <f t="shared" si="39"/>
        <v>6.4640133035514751</v>
      </c>
      <c r="DA15" s="72">
        <f>(((CS15+CW15)/(CS15*CW15))*(((CS15-1)*CR15^2)+(CW15-1)*CV15^2)/(CS15+CW15-2))</f>
        <v>27.855645325660298</v>
      </c>
      <c r="DB15" s="72">
        <f t="shared" si="41"/>
        <v>27.855645325660301</v>
      </c>
      <c r="DC15" s="15" t="s">
        <v>34</v>
      </c>
      <c r="DD15" s="35">
        <f>13.32/10^3</f>
        <v>1.332E-2</v>
      </c>
      <c r="DE15" s="69">
        <f t="shared" ref="DE15" si="79">DD15*DG$61</f>
        <v>9.7483521988322285E-3</v>
      </c>
      <c r="DF15" s="18">
        <v>3</v>
      </c>
      <c r="DG15" s="52"/>
      <c r="DH15" s="35">
        <f>18.8/10^3</f>
        <v>1.8800000000000001E-2</v>
      </c>
      <c r="DI15" s="69">
        <f t="shared" ref="DI15" si="80">DH15*DK$61</f>
        <v>1.4020651978537369E-2</v>
      </c>
      <c r="DJ15" s="18">
        <v>3</v>
      </c>
      <c r="DK15" s="52"/>
      <c r="DL15" s="68">
        <f>DH15-DD15</f>
        <v>5.4800000000000005E-3</v>
      </c>
      <c r="DM15" s="12">
        <f>SQRT(((DF15-1)*DE15^2+(DJ15-1)*DI15^2)/(DF15+DJ15-2))</f>
        <v>1.2074954502931699E-2</v>
      </c>
      <c r="DN15" s="87">
        <f t="shared" ref="DN15" si="81">(((DF15+DJ15)/(DF15*DJ15))*(((DF15-1)*DE15^2)+(DJ15-1)*DI15^2)/(DF15+DJ15-2))</f>
        <v>9.7203017498580327E-5</v>
      </c>
      <c r="DO15" s="87">
        <f t="shared" ref="DO15" si="82">(DE15^2/DF15)+(DI15^2/DJ15)</f>
        <v>9.7203017498580327E-5</v>
      </c>
      <c r="DP15" s="12" t="s">
        <v>39</v>
      </c>
      <c r="DQ15" s="12">
        <v>-8.5</v>
      </c>
      <c r="DR15" s="60">
        <f>ABS(DQ15)*DT$61</f>
        <v>3.4340000000000002</v>
      </c>
      <c r="DS15" s="13">
        <v>3</v>
      </c>
      <c r="DT15" s="19"/>
      <c r="DU15" s="12">
        <v>-18.399999999999999</v>
      </c>
      <c r="DV15" s="60">
        <f>ABS(DU15)*DX$61</f>
        <v>6.3592748294555843</v>
      </c>
      <c r="DW15" s="13">
        <v>3</v>
      </c>
      <c r="DX15" s="19"/>
      <c r="DY15" s="19">
        <f t="shared" si="64"/>
        <v>-9.8999999999999986</v>
      </c>
      <c r="DZ15" s="12">
        <f t="shared" si="12"/>
        <v>5.1104174172247108</v>
      </c>
      <c r="EA15" s="72">
        <f t="shared" si="13"/>
        <v>17.410910785515785</v>
      </c>
      <c r="EB15" s="72">
        <f t="shared" si="14"/>
        <v>17.410910785515785</v>
      </c>
      <c r="EC15" s="12"/>
      <c r="ED15" s="12"/>
      <c r="EE15" s="12" t="s">
        <v>37</v>
      </c>
      <c r="EF15" s="12" t="s">
        <v>37</v>
      </c>
      <c r="EG15" s="11" t="s">
        <v>37</v>
      </c>
      <c r="EH15" s="19"/>
      <c r="EI15" s="12" t="s">
        <v>37</v>
      </c>
      <c r="EJ15" s="20" t="s">
        <v>37</v>
      </c>
      <c r="EK15" s="11" t="s">
        <v>37</v>
      </c>
      <c r="EL15" s="19"/>
      <c r="EM15" s="19"/>
      <c r="EN15" s="19"/>
      <c r="EO15" s="19"/>
      <c r="EP15" s="19"/>
      <c r="EQ15" s="32"/>
      <c r="ER15" s="12" t="s">
        <v>37</v>
      </c>
      <c r="ES15" s="12" t="s">
        <v>37</v>
      </c>
      <c r="ET15" s="11" t="s">
        <v>37</v>
      </c>
      <c r="EU15" s="19"/>
      <c r="EV15" s="13" t="s">
        <v>37</v>
      </c>
      <c r="EW15" s="11" t="s">
        <v>37</v>
      </c>
      <c r="EX15" s="11" t="s">
        <v>37</v>
      </c>
      <c r="EY15" s="19"/>
      <c r="EZ15" s="19"/>
      <c r="FA15" s="19"/>
      <c r="FB15" s="19"/>
      <c r="FC15" s="32"/>
      <c r="FD15" s="12" t="s">
        <v>37</v>
      </c>
      <c r="FE15" s="12" t="s">
        <v>37</v>
      </c>
      <c r="FF15" s="11" t="s">
        <v>37</v>
      </c>
      <c r="FG15" s="13" t="s">
        <v>37</v>
      </c>
      <c r="FH15" s="11" t="s">
        <v>37</v>
      </c>
      <c r="FI15" s="11" t="s">
        <v>37</v>
      </c>
      <c r="FJ15" s="19"/>
      <c r="FK15" s="19"/>
      <c r="FL15" s="19"/>
      <c r="FM15" s="32"/>
      <c r="FN15" s="12" t="s">
        <v>37</v>
      </c>
      <c r="FO15" s="12" t="s">
        <v>37</v>
      </c>
      <c r="FP15" s="11" t="s">
        <v>37</v>
      </c>
      <c r="FQ15" s="13" t="s">
        <v>37</v>
      </c>
      <c r="FR15" s="11" t="s">
        <v>37</v>
      </c>
      <c r="FS15" s="11" t="s">
        <v>37</v>
      </c>
      <c r="FT15" s="19"/>
      <c r="FU15" s="19"/>
      <c r="FV15" s="19"/>
      <c r="FW15" s="12"/>
      <c r="FX15" s="12"/>
      <c r="FY15" s="12" t="s">
        <v>37</v>
      </c>
      <c r="FZ15" s="12" t="s">
        <v>37</v>
      </c>
      <c r="GA15" s="13" t="s">
        <v>37</v>
      </c>
      <c r="GB15" s="12" t="s">
        <v>37</v>
      </c>
      <c r="GC15" s="12" t="s">
        <v>37</v>
      </c>
      <c r="GD15" s="13" t="s">
        <v>37</v>
      </c>
      <c r="GE15" s="19"/>
      <c r="GF15" s="19"/>
      <c r="GG15" s="12" t="s">
        <v>660</v>
      </c>
      <c r="GH15" s="12" t="s">
        <v>330</v>
      </c>
      <c r="GI15" s="12">
        <v>16.600000000000001</v>
      </c>
      <c r="GJ15" s="60">
        <f>GI15*GL$61</f>
        <v>0.79417521367521371</v>
      </c>
      <c r="GK15" s="13">
        <v>3</v>
      </c>
      <c r="GL15" s="19"/>
      <c r="GM15" s="12">
        <v>17</v>
      </c>
      <c r="GN15" s="60">
        <f>GM15*GP$61</f>
        <v>0.82899326789391703</v>
      </c>
      <c r="GO15" s="13">
        <v>3</v>
      </c>
      <c r="GP15" s="19"/>
      <c r="GQ15" s="19">
        <f>LN(GM15/GI15)</f>
        <v>2.3810648693718392E-2</v>
      </c>
      <c r="GR15" s="19">
        <f t="shared" ref="GR15" si="83">GN15^2/(GO15*GM15^2)+GJ15^2/(GK15*GI15^2)</f>
        <v>1.5556011441134484E-3</v>
      </c>
      <c r="GS15" s="17"/>
      <c r="GT15" s="34"/>
      <c r="GU15" s="12" t="s">
        <v>37</v>
      </c>
      <c r="GV15" s="12" t="s">
        <v>37</v>
      </c>
      <c r="GW15" s="12" t="s">
        <v>37</v>
      </c>
      <c r="GX15" s="19"/>
      <c r="GY15" s="12" t="s">
        <v>37</v>
      </c>
      <c r="GZ15" s="12" t="s">
        <v>37</v>
      </c>
      <c r="HA15" s="12" t="s">
        <v>37</v>
      </c>
      <c r="HB15" s="19"/>
      <c r="HC15" s="19"/>
      <c r="HD15" s="19"/>
      <c r="HE15" s="34"/>
      <c r="HF15" s="12" t="s">
        <v>37</v>
      </c>
      <c r="HG15" s="12" t="s">
        <v>37</v>
      </c>
      <c r="HH15" s="13" t="s">
        <v>37</v>
      </c>
      <c r="HI15" s="12" t="s">
        <v>37</v>
      </c>
      <c r="HJ15" s="12" t="s">
        <v>37</v>
      </c>
      <c r="HK15" s="13" t="s">
        <v>37</v>
      </c>
      <c r="HL15" s="13"/>
      <c r="HM15" s="13"/>
      <c r="HN15" s="34"/>
      <c r="HO15" s="12" t="s">
        <v>37</v>
      </c>
      <c r="HP15" s="12" t="s">
        <v>37</v>
      </c>
      <c r="HQ15" s="13" t="s">
        <v>37</v>
      </c>
      <c r="HR15" s="12" t="s">
        <v>37</v>
      </c>
      <c r="HS15" s="12" t="s">
        <v>37</v>
      </c>
      <c r="HT15" s="13" t="s">
        <v>37</v>
      </c>
      <c r="HU15" s="13"/>
      <c r="HV15" s="13"/>
      <c r="HW15" s="12"/>
      <c r="HX15" s="12"/>
      <c r="HY15" s="12" t="s">
        <v>37</v>
      </c>
      <c r="HZ15" s="12" t="s">
        <v>37</v>
      </c>
      <c r="IA15" s="12" t="s">
        <v>37</v>
      </c>
      <c r="IB15" s="12" t="s">
        <v>37</v>
      </c>
      <c r="IC15" s="12" t="s">
        <v>37</v>
      </c>
      <c r="ID15" s="12" t="s">
        <v>37</v>
      </c>
      <c r="IE15" s="12"/>
      <c r="IF15" s="32" t="s">
        <v>330</v>
      </c>
      <c r="IG15" s="12">
        <v>5.3</v>
      </c>
      <c r="IH15" s="12">
        <v>0.2</v>
      </c>
      <c r="II15" s="13">
        <v>3</v>
      </c>
      <c r="IJ15" s="19"/>
      <c r="IK15" s="12" t="s">
        <v>37</v>
      </c>
      <c r="IL15" s="12" t="s">
        <v>37</v>
      </c>
      <c r="IM15" s="13" t="s">
        <v>37</v>
      </c>
      <c r="IN15" s="19"/>
      <c r="IO15" s="19"/>
      <c r="IP15" s="19"/>
      <c r="IQ15" s="32" t="s">
        <v>421</v>
      </c>
      <c r="IR15" s="12">
        <v>5.4</v>
      </c>
      <c r="IS15" s="12">
        <v>0.1</v>
      </c>
      <c r="IT15" s="13">
        <v>3</v>
      </c>
      <c r="IU15" s="12" t="s">
        <v>37</v>
      </c>
      <c r="IV15" s="12" t="s">
        <v>37</v>
      </c>
      <c r="IW15" s="12" t="s">
        <v>37</v>
      </c>
      <c r="IX15" s="32" t="s">
        <v>422</v>
      </c>
      <c r="IY15" s="12">
        <v>5.6</v>
      </c>
      <c r="IZ15" s="12">
        <v>0.5</v>
      </c>
      <c r="JA15" s="13">
        <v>3</v>
      </c>
      <c r="JB15" s="12" t="s">
        <v>37</v>
      </c>
      <c r="JC15" s="12" t="s">
        <v>37</v>
      </c>
      <c r="JD15" s="12" t="s">
        <v>37</v>
      </c>
      <c r="JE15" s="12"/>
      <c r="JF15" s="12"/>
      <c r="JG15" s="11" t="s">
        <v>37</v>
      </c>
      <c r="JH15" s="11" t="s">
        <v>37</v>
      </c>
      <c r="JI15" s="13" t="s">
        <v>37</v>
      </c>
      <c r="JJ15" s="11" t="s">
        <v>37</v>
      </c>
      <c r="JK15" s="11" t="s">
        <v>37</v>
      </c>
      <c r="JL15" s="11" t="s">
        <v>37</v>
      </c>
      <c r="JM15" s="12"/>
      <c r="JN15" s="32"/>
      <c r="JO15" s="12" t="s">
        <v>37</v>
      </c>
      <c r="JP15" s="12" t="s">
        <v>37</v>
      </c>
      <c r="JQ15" s="11" t="s">
        <v>37</v>
      </c>
      <c r="JR15" s="19"/>
      <c r="JS15" s="12" t="s">
        <v>37</v>
      </c>
      <c r="JT15" s="12" t="s">
        <v>37</v>
      </c>
      <c r="JU15" s="13" t="s">
        <v>37</v>
      </c>
      <c r="JV15" s="19"/>
      <c r="JW15" s="19"/>
      <c r="JX15" s="19"/>
      <c r="JY15" s="32"/>
      <c r="JZ15" s="12" t="s">
        <v>37</v>
      </c>
      <c r="KA15" s="12" t="s">
        <v>37</v>
      </c>
      <c r="KB15" s="13" t="s">
        <v>37</v>
      </c>
      <c r="KC15" s="12" t="s">
        <v>37</v>
      </c>
      <c r="KD15" s="12" t="s">
        <v>37</v>
      </c>
      <c r="KE15" s="13" t="s">
        <v>37</v>
      </c>
      <c r="KF15" s="13"/>
      <c r="KG15" s="13"/>
      <c r="KH15" s="32"/>
      <c r="KI15" s="12" t="s">
        <v>37</v>
      </c>
      <c r="KJ15" s="12" t="s">
        <v>37</v>
      </c>
      <c r="KK15" s="12" t="s">
        <v>37</v>
      </c>
      <c r="KL15" s="12" t="s">
        <v>37</v>
      </c>
      <c r="KM15" s="12" t="s">
        <v>37</v>
      </c>
      <c r="KN15" s="12" t="s">
        <v>37</v>
      </c>
      <c r="KO15" s="12"/>
      <c r="KP15" s="12"/>
      <c r="KQ15" s="12"/>
      <c r="KR15" s="12"/>
      <c r="KS15" s="12" t="s">
        <v>37</v>
      </c>
      <c r="KT15" s="12" t="s">
        <v>37</v>
      </c>
      <c r="KU15" s="13" t="s">
        <v>37</v>
      </c>
      <c r="KV15" s="19"/>
      <c r="KW15" s="12" t="s">
        <v>37</v>
      </c>
      <c r="KX15" s="12" t="s">
        <v>37</v>
      </c>
      <c r="KY15" s="12" t="s">
        <v>37</v>
      </c>
      <c r="KZ15" s="19"/>
      <c r="LA15" s="19"/>
      <c r="LB15" s="19"/>
      <c r="LC15" s="12"/>
      <c r="LD15" s="12" t="s">
        <v>37</v>
      </c>
      <c r="LE15" s="12" t="s">
        <v>37</v>
      </c>
      <c r="LF15" s="12" t="s">
        <v>37</v>
      </c>
      <c r="LG15" s="19" t="str">
        <f t="shared" si="19"/>
        <v>/</v>
      </c>
      <c r="LH15" s="19" t="str">
        <f t="shared" si="20"/>
        <v>/</v>
      </c>
      <c r="LI15" s="13" t="str">
        <f t="shared" si="21"/>
        <v>/</v>
      </c>
      <c r="LJ15" s="13"/>
      <c r="LK15" s="13"/>
      <c r="LL15" s="12"/>
      <c r="LM15" s="12" t="s">
        <v>37</v>
      </c>
      <c r="LN15" s="12" t="s">
        <v>37</v>
      </c>
      <c r="LO15" s="12" t="s">
        <v>37</v>
      </c>
      <c r="LP15" s="12" t="s">
        <v>37</v>
      </c>
      <c r="LQ15" s="12" t="s">
        <v>37</v>
      </c>
      <c r="LR15" s="12" t="s">
        <v>37</v>
      </c>
      <c r="LS15" s="12" t="s">
        <v>45</v>
      </c>
      <c r="LT15" s="12" t="s">
        <v>330</v>
      </c>
      <c r="LU15" s="12">
        <v>28.61</v>
      </c>
      <c r="LV15" s="12">
        <v>4.51</v>
      </c>
      <c r="LW15" s="13">
        <v>3</v>
      </c>
      <c r="LX15" s="12" t="s">
        <v>37</v>
      </c>
      <c r="LY15" s="12" t="s">
        <v>37</v>
      </c>
      <c r="LZ15" s="13" t="s">
        <v>37</v>
      </c>
      <c r="MA15" s="13"/>
      <c r="MB15" s="13"/>
      <c r="MC15" s="12" t="s">
        <v>45</v>
      </c>
      <c r="MD15" s="12" t="s">
        <v>330</v>
      </c>
      <c r="ME15" s="12">
        <v>1.6</v>
      </c>
      <c r="MF15" s="12">
        <v>0.17</v>
      </c>
      <c r="MG15" s="13">
        <v>3</v>
      </c>
      <c r="MH15" s="12" t="s">
        <v>37</v>
      </c>
      <c r="MI15" s="12" t="s">
        <v>37</v>
      </c>
      <c r="MJ15" s="13" t="s">
        <v>37</v>
      </c>
      <c r="MK15" s="13"/>
      <c r="ML15" s="13"/>
      <c r="MM15" s="12"/>
      <c r="MN15" s="12"/>
      <c r="MO15" s="11" t="s">
        <v>37</v>
      </c>
      <c r="MP15" s="11" t="s">
        <v>37</v>
      </c>
      <c r="MQ15" s="13" t="s">
        <v>37</v>
      </c>
      <c r="MR15" s="11" t="s">
        <v>37</v>
      </c>
      <c r="MS15" s="11" t="s">
        <v>37</v>
      </c>
      <c r="MT15" s="13" t="s">
        <v>37</v>
      </c>
      <c r="MU15" s="13"/>
      <c r="MV15" s="13"/>
      <c r="MW15" s="12"/>
      <c r="MX15" s="12"/>
      <c r="MY15" s="11" t="s">
        <v>37</v>
      </c>
      <c r="MZ15" s="11" t="s">
        <v>37</v>
      </c>
      <c r="NA15" s="11" t="s">
        <v>37</v>
      </c>
      <c r="NB15" s="11" t="s">
        <v>37</v>
      </c>
      <c r="NC15" s="11" t="s">
        <v>37</v>
      </c>
      <c r="ND15" s="11" t="s">
        <v>37</v>
      </c>
      <c r="NE15" s="11"/>
      <c r="NF15" s="11"/>
      <c r="NG15" s="12"/>
      <c r="NH15" s="12"/>
      <c r="NI15" s="12" t="s">
        <v>37</v>
      </c>
      <c r="NJ15" s="12" t="s">
        <v>37</v>
      </c>
      <c r="NK15" s="13" t="s">
        <v>37</v>
      </c>
      <c r="NL15" s="12" t="s">
        <v>37</v>
      </c>
      <c r="NM15" s="12" t="s">
        <v>37</v>
      </c>
      <c r="NN15" s="13" t="s">
        <v>37</v>
      </c>
      <c r="NO15" s="13"/>
      <c r="NP15" s="13"/>
      <c r="NQ15" s="12"/>
      <c r="NR15" s="12"/>
      <c r="NS15" s="11" t="s">
        <v>37</v>
      </c>
      <c r="NT15" s="11" t="s">
        <v>37</v>
      </c>
      <c r="NU15" s="13" t="s">
        <v>37</v>
      </c>
      <c r="NV15" s="11" t="s">
        <v>37</v>
      </c>
      <c r="NW15" s="11" t="s">
        <v>37</v>
      </c>
      <c r="NX15" s="13" t="s">
        <v>37</v>
      </c>
      <c r="NY15" s="13"/>
      <c r="NZ15" s="13"/>
      <c r="OA15" s="12"/>
      <c r="OB15" s="12"/>
      <c r="OC15" s="12" t="s">
        <v>37</v>
      </c>
      <c r="OD15" s="12" t="s">
        <v>37</v>
      </c>
      <c r="OE15" s="12" t="s">
        <v>37</v>
      </c>
      <c r="OF15" s="12" t="s">
        <v>37</v>
      </c>
      <c r="OG15" s="12" t="s">
        <v>37</v>
      </c>
      <c r="OH15" s="12" t="s">
        <v>37</v>
      </c>
      <c r="OI15" s="12"/>
      <c r="OJ15" s="12"/>
      <c r="OK15" s="12"/>
      <c r="OL15" s="12" t="s">
        <v>37</v>
      </c>
      <c r="OM15" s="12" t="s">
        <v>37</v>
      </c>
      <c r="ON15" s="11" t="s">
        <v>37</v>
      </c>
      <c r="OO15" s="12" t="s">
        <v>37</v>
      </c>
      <c r="OP15" s="12" t="s">
        <v>37</v>
      </c>
      <c r="OQ15" s="12" t="s">
        <v>37</v>
      </c>
      <c r="OR15" s="12"/>
      <c r="OS15" s="12" t="s">
        <v>37</v>
      </c>
      <c r="OT15" s="12" t="s">
        <v>37</v>
      </c>
      <c r="OU15" s="12" t="s">
        <v>37</v>
      </c>
      <c r="OV15" s="12" t="s">
        <v>37</v>
      </c>
      <c r="OW15" s="12" t="s">
        <v>37</v>
      </c>
      <c r="OX15" s="12" t="s">
        <v>37</v>
      </c>
      <c r="OY15" s="12"/>
      <c r="OZ15" s="12"/>
      <c r="PA15" s="11" t="s">
        <v>37</v>
      </c>
      <c r="PB15" s="11" t="s">
        <v>37</v>
      </c>
      <c r="PC15" s="13" t="s">
        <v>37</v>
      </c>
      <c r="PD15" s="11" t="s">
        <v>37</v>
      </c>
      <c r="PE15" s="11" t="s">
        <v>37</v>
      </c>
      <c r="PF15" s="13" t="s">
        <v>37</v>
      </c>
      <c r="PG15" s="12"/>
      <c r="PH15" s="12"/>
      <c r="PI15" s="12" t="s">
        <v>37</v>
      </c>
      <c r="PJ15" s="12" t="s">
        <v>37</v>
      </c>
      <c r="PK15" s="13" t="s">
        <v>37</v>
      </c>
      <c r="PL15" s="12" t="s">
        <v>37</v>
      </c>
      <c r="PM15" s="12" t="s">
        <v>37</v>
      </c>
      <c r="PN15" s="13" t="s">
        <v>37</v>
      </c>
      <c r="PO15" s="12"/>
      <c r="PP15" s="12"/>
      <c r="PQ15" s="11" t="s">
        <v>37</v>
      </c>
      <c r="PR15" s="11" t="s">
        <v>37</v>
      </c>
      <c r="PS15" s="13" t="s">
        <v>37</v>
      </c>
      <c r="PT15" s="11" t="s">
        <v>37</v>
      </c>
      <c r="PU15" s="11" t="s">
        <v>37</v>
      </c>
      <c r="PV15" s="13" t="s">
        <v>37</v>
      </c>
      <c r="PW15" s="12"/>
      <c r="PX15" s="12"/>
      <c r="PY15" s="11" t="s">
        <v>37</v>
      </c>
      <c r="PZ15" s="11" t="s">
        <v>37</v>
      </c>
      <c r="QA15" s="11" t="s">
        <v>37</v>
      </c>
      <c r="QB15" s="11" t="s">
        <v>37</v>
      </c>
      <c r="QC15" s="11" t="s">
        <v>37</v>
      </c>
      <c r="QD15" s="11" t="s">
        <v>37</v>
      </c>
      <c r="QE15" s="12"/>
      <c r="QF15" s="12"/>
      <c r="QG15" s="11" t="s">
        <v>37</v>
      </c>
      <c r="QH15" s="11" t="s">
        <v>37</v>
      </c>
      <c r="QI15" s="13" t="s">
        <v>37</v>
      </c>
      <c r="QJ15" s="11" t="s">
        <v>37</v>
      </c>
      <c r="QK15" s="11" t="s">
        <v>37</v>
      </c>
      <c r="QL15" s="13" t="s">
        <v>37</v>
      </c>
      <c r="QM15" s="12"/>
      <c r="QN15" s="12"/>
      <c r="QO15" s="12" t="s">
        <v>37</v>
      </c>
      <c r="QP15" s="12" t="s">
        <v>37</v>
      </c>
      <c r="QQ15" s="13" t="s">
        <v>37</v>
      </c>
      <c r="QR15" s="12" t="s">
        <v>37</v>
      </c>
      <c r="QS15" s="12" t="s">
        <v>37</v>
      </c>
      <c r="QT15" s="13" t="s">
        <v>37</v>
      </c>
      <c r="QU15" s="13"/>
      <c r="QV15" s="13"/>
      <c r="QW15" s="12"/>
      <c r="QX15" s="12"/>
      <c r="QY15" s="12" t="s">
        <v>37</v>
      </c>
      <c r="QZ15" s="12" t="s">
        <v>37</v>
      </c>
      <c r="RA15" s="11" t="s">
        <v>37</v>
      </c>
      <c r="RB15" s="12" t="s">
        <v>37</v>
      </c>
      <c r="RC15" s="12" t="s">
        <v>37</v>
      </c>
      <c r="RD15" s="11" t="s">
        <v>37</v>
      </c>
      <c r="RE15" s="11"/>
      <c r="RF15" s="11"/>
      <c r="RG15" s="12"/>
      <c r="RH15" s="12"/>
      <c r="RI15" s="12" t="s">
        <v>37</v>
      </c>
      <c r="RJ15" s="12" t="s">
        <v>37</v>
      </c>
      <c r="RK15" s="11" t="s">
        <v>37</v>
      </c>
      <c r="RL15" s="12" t="s">
        <v>37</v>
      </c>
      <c r="RM15" s="12" t="s">
        <v>37</v>
      </c>
      <c r="RN15" s="11" t="s">
        <v>37</v>
      </c>
      <c r="RO15" s="11"/>
      <c r="RP15" s="11"/>
      <c r="RQ15" s="12"/>
      <c r="RR15" s="12"/>
      <c r="RS15" s="12" t="s">
        <v>37</v>
      </c>
      <c r="RT15" s="12" t="s">
        <v>37</v>
      </c>
      <c r="RU15" s="11" t="s">
        <v>37</v>
      </c>
      <c r="RV15" s="12" t="s">
        <v>37</v>
      </c>
      <c r="RW15" s="12" t="s">
        <v>37</v>
      </c>
      <c r="RX15" s="11" t="s">
        <v>37</v>
      </c>
      <c r="RY15" s="11"/>
      <c r="RZ15" s="11"/>
      <c r="SA15" s="12"/>
      <c r="SB15" s="12"/>
      <c r="SC15" s="12" t="s">
        <v>37</v>
      </c>
      <c r="SD15" s="12" t="s">
        <v>37</v>
      </c>
      <c r="SE15" s="12" t="s">
        <v>37</v>
      </c>
      <c r="SF15" s="12" t="s">
        <v>37</v>
      </c>
      <c r="SG15" s="12" t="s">
        <v>37</v>
      </c>
      <c r="SH15" s="12" t="s">
        <v>37</v>
      </c>
      <c r="SI15" s="12"/>
      <c r="SJ15" s="12"/>
      <c r="SK15" s="12"/>
      <c r="SL15" s="12"/>
      <c r="SM15" s="12" t="s">
        <v>37</v>
      </c>
      <c r="SN15" s="12" t="s">
        <v>37</v>
      </c>
      <c r="SO15" s="12" t="s">
        <v>37</v>
      </c>
      <c r="SP15" s="12" t="s">
        <v>37</v>
      </c>
      <c r="SQ15" s="12" t="s">
        <v>37</v>
      </c>
      <c r="SR15" s="12" t="s">
        <v>37</v>
      </c>
      <c r="SS15" s="12"/>
      <c r="ST15" s="12"/>
      <c r="SU15" s="12"/>
      <c r="SV15" s="12"/>
      <c r="SW15" s="12" t="s">
        <v>37</v>
      </c>
      <c r="SX15" s="12" t="s">
        <v>37</v>
      </c>
      <c r="SY15" s="12" t="s">
        <v>37</v>
      </c>
      <c r="SZ15" s="12" t="s">
        <v>37</v>
      </c>
      <c r="TA15" s="12" t="s">
        <v>37</v>
      </c>
      <c r="TB15" s="12" t="s">
        <v>37</v>
      </c>
      <c r="TC15" s="12"/>
      <c r="TD15" s="12"/>
      <c r="TE15" s="12"/>
      <c r="TF15" s="12"/>
      <c r="TG15" s="13" t="s">
        <v>37</v>
      </c>
      <c r="TH15" s="13" t="s">
        <v>37</v>
      </c>
      <c r="TI15" s="13" t="s">
        <v>37</v>
      </c>
      <c r="TJ15" s="13" t="s">
        <v>37</v>
      </c>
      <c r="TK15" s="13" t="s">
        <v>37</v>
      </c>
      <c r="TL15" s="13" t="s">
        <v>37</v>
      </c>
      <c r="TM15" s="13"/>
      <c r="TN15" s="13"/>
      <c r="TO15" s="12"/>
      <c r="TP15" s="12"/>
      <c r="TQ15" s="13" t="s">
        <v>37</v>
      </c>
      <c r="TR15" s="13" t="s">
        <v>37</v>
      </c>
      <c r="TS15" s="13" t="s">
        <v>37</v>
      </c>
      <c r="TT15" s="19"/>
      <c r="TU15" s="13" t="s">
        <v>37</v>
      </c>
      <c r="TV15" s="13" t="s">
        <v>37</v>
      </c>
      <c r="TW15" s="13" t="s">
        <v>37</v>
      </c>
    </row>
    <row r="16" spans="1:546" ht="17.399999999999999" x14ac:dyDescent="0.4">
      <c r="A16" s="11">
        <v>7</v>
      </c>
      <c r="B16" s="16" t="s">
        <v>171</v>
      </c>
      <c r="C16" s="12" t="s">
        <v>26</v>
      </c>
      <c r="D16" s="12" t="s">
        <v>54</v>
      </c>
      <c r="E16" s="14">
        <v>0.2</v>
      </c>
      <c r="F16" s="14">
        <v>0</v>
      </c>
      <c r="G16" s="14">
        <v>0</v>
      </c>
      <c r="H16" s="12" t="s">
        <v>82</v>
      </c>
      <c r="I16" s="29">
        <v>68.632999999999996</v>
      </c>
      <c r="J16" s="29">
        <v>-149.56700000000001</v>
      </c>
      <c r="K16" s="12" t="s">
        <v>801</v>
      </c>
      <c r="L16" s="12" t="s">
        <v>802</v>
      </c>
      <c r="M16" s="13">
        <v>760</v>
      </c>
      <c r="N16" s="14" t="s">
        <v>37</v>
      </c>
      <c r="O16" s="14">
        <v>230</v>
      </c>
      <c r="P16" s="14" t="s">
        <v>84</v>
      </c>
      <c r="Q16" s="11" t="s">
        <v>162</v>
      </c>
      <c r="R16" s="11" t="s">
        <v>37</v>
      </c>
      <c r="S16" s="12" t="s">
        <v>172</v>
      </c>
      <c r="T16" s="12" t="s">
        <v>138</v>
      </c>
      <c r="U16" s="12" t="s">
        <v>163</v>
      </c>
      <c r="V16" s="12" t="s">
        <v>275</v>
      </c>
      <c r="W16" s="23" t="s">
        <v>173</v>
      </c>
      <c r="X16" s="12" t="s">
        <v>280</v>
      </c>
      <c r="Y16" s="12" t="s">
        <v>69</v>
      </c>
      <c r="Z16" s="12" t="s">
        <v>37</v>
      </c>
      <c r="AA16" s="32" t="s">
        <v>524</v>
      </c>
      <c r="AB16" s="12" t="s">
        <v>317</v>
      </c>
      <c r="AC16" s="12" t="s">
        <v>37</v>
      </c>
      <c r="AD16" s="11" t="s">
        <v>169</v>
      </c>
      <c r="AE16" s="12" t="s">
        <v>74</v>
      </c>
      <c r="AF16" s="12" t="s">
        <v>523</v>
      </c>
      <c r="AG16" s="12" t="s">
        <v>42</v>
      </c>
      <c r="AH16" s="32" t="s">
        <v>330</v>
      </c>
      <c r="AI16" s="12">
        <f>10249.6/0.16/5/100</f>
        <v>128.12</v>
      </c>
      <c r="AJ16" s="12">
        <f>SQRT((1/(500*0.16))^2*583.2^2+((-10249.6/(500*0.16)^2)^2*(0.01*SQRT(2))^2))</f>
        <v>7.290035182387669</v>
      </c>
      <c r="AK16" s="11">
        <v>2</v>
      </c>
      <c r="AL16" s="19">
        <f>AJ16/AI16</f>
        <v>5.6900056059847555E-2</v>
      </c>
      <c r="AM16" s="12" t="s">
        <v>37</v>
      </c>
      <c r="AN16" s="12" t="s">
        <v>37</v>
      </c>
      <c r="AO16" s="13" t="s">
        <v>37</v>
      </c>
      <c r="AP16" s="19"/>
      <c r="AQ16" s="49"/>
      <c r="AR16" s="19"/>
      <c r="AS16" s="32"/>
      <c r="AT16" s="12" t="s">
        <v>37</v>
      </c>
      <c r="AU16" s="12" t="s">
        <v>37</v>
      </c>
      <c r="AV16" s="13" t="s">
        <v>37</v>
      </c>
      <c r="AW16" s="12" t="s">
        <v>37</v>
      </c>
      <c r="AX16" s="12" t="s">
        <v>37</v>
      </c>
      <c r="AY16" s="13" t="s">
        <v>37</v>
      </c>
      <c r="AZ16" s="13"/>
      <c r="BA16" s="13"/>
      <c r="BB16" s="12"/>
      <c r="BC16" s="12" t="s">
        <v>37</v>
      </c>
      <c r="BD16" s="12" t="s">
        <v>37</v>
      </c>
      <c r="BE16" s="13" t="s">
        <v>37</v>
      </c>
      <c r="BF16" s="12" t="s">
        <v>37</v>
      </c>
      <c r="BG16" s="12" t="s">
        <v>37</v>
      </c>
      <c r="BH16" s="12" t="s">
        <v>37</v>
      </c>
      <c r="BI16" s="12" t="s">
        <v>34</v>
      </c>
      <c r="BJ16" s="12">
        <f>-209.04*44/12/81/24*10^3</f>
        <v>-394.27983539094652</v>
      </c>
      <c r="BK16" s="12">
        <f>52.36*SQRT(4)*44/12/81/24*10^3</f>
        <v>197.51714677640607</v>
      </c>
      <c r="BL16" s="13">
        <v>4</v>
      </c>
      <c r="BM16" s="12">
        <f>-141.51*44/12/81/24*10^3</f>
        <v>-266.90843621399182</v>
      </c>
      <c r="BN16" s="12">
        <f>38.91*SQRT(4)*44/12/81/24*10^3</f>
        <v>146.77983539094649</v>
      </c>
      <c r="BO16" s="13">
        <v>4</v>
      </c>
      <c r="BP16" s="68">
        <f>BM16-BJ16</f>
        <v>127.3713991769547</v>
      </c>
      <c r="BQ16" s="12">
        <f>SQRT(((BL16-1)*BK16^2+(BO16-1)*BN16^2)/(BL16+BO16-2))</f>
        <v>174.00767705490136</v>
      </c>
      <c r="BR16" s="72">
        <f>(((BL16+BO16)/(BL16*BO16))*(((BL16-1)*BK16^2)+(BO16-1)*BN16^2)/(BL16+BO16-2))</f>
        <v>15139.335837021421</v>
      </c>
      <c r="BS16" s="72">
        <f>(BK16^2/BL16)+(BN16^2/BO16)</f>
        <v>15139.335837021419</v>
      </c>
      <c r="BT16" s="12" t="s">
        <v>34</v>
      </c>
      <c r="BU16" s="12">
        <f>215.68*44/12/81/24*10^3</f>
        <v>406.80384087791492</v>
      </c>
      <c r="BV16" s="12">
        <f>26.61*SQRT(4)*44/12/81/24*10^3</f>
        <v>100.38065843621398</v>
      </c>
      <c r="BW16" s="13">
        <v>4</v>
      </c>
      <c r="BX16" s="12">
        <f>262.09*44/12/81/24*10^3</f>
        <v>494.33984910836756</v>
      </c>
      <c r="BY16" s="12">
        <f>64.63*SQRT(4)*44/12/81/24*10^3</f>
        <v>243.8031550068587</v>
      </c>
      <c r="BZ16" s="13">
        <v>4</v>
      </c>
      <c r="CA16" s="68">
        <f t="shared" ref="CA16:CA17" si="84">BX16-BU16</f>
        <v>87.536008230452637</v>
      </c>
      <c r="CB16" s="12">
        <f>SQRT(((BW16-1)*BV16^2+(BZ16-1)*BY16^2)/(BW16+BZ16-2))</f>
        <v>186.43531717379383</v>
      </c>
      <c r="CC16" s="72">
        <f>(((BW16+BZ16)/(BW16*BZ16))*(((BW16-1)*BV16^2)+(BZ16-1)*BY16^2)/(BW16+BZ16-2))</f>
        <v>17379.063744846553</v>
      </c>
      <c r="CD16" s="72">
        <f>(BV16^2/BW16)+(BY16^2/BZ16)</f>
        <v>17379.063744846557</v>
      </c>
      <c r="CE16" s="12" t="s">
        <v>34</v>
      </c>
      <c r="CF16" s="12">
        <f>6.64*44/12/81/24*10^3</f>
        <v>12.52400548696845</v>
      </c>
      <c r="CG16" s="12">
        <f>26.68*SQRT(4)*44/12/81/24*10^3</f>
        <v>100.64471879286695</v>
      </c>
      <c r="CH16" s="13">
        <v>4</v>
      </c>
      <c r="CI16" s="12">
        <f>120.58*44/12/81/24*10^3</f>
        <v>227.43141289437582</v>
      </c>
      <c r="CJ16" s="12">
        <f>27.71*SQRT(4)*44/12/81/24*10^3</f>
        <v>104.53017832647464</v>
      </c>
      <c r="CK16" s="13">
        <v>4</v>
      </c>
      <c r="CL16" s="68">
        <f>CI16-CF16</f>
        <v>214.90740740740736</v>
      </c>
      <c r="CM16" s="12">
        <f>SQRT(((CH16-1)*CG16^2+(CK16-1)*CJ16^2)/(CH16+CK16-2))</f>
        <v>102.6058419434777</v>
      </c>
      <c r="CN16" s="72">
        <f>(((CH16+CK16)/(CH16*CK16))*(((CH16-1)*CG16^2)+(CK16-1)*CJ16^2)/(CH16+CK16-2))</f>
        <v>5263.9794004649639</v>
      </c>
      <c r="CO16" s="72">
        <f>(CG16^2/CH16)+(CJ16^2/CK16)</f>
        <v>5263.9794004649639</v>
      </c>
      <c r="CP16" s="15" t="s">
        <v>34</v>
      </c>
      <c r="CQ16" s="12">
        <f>0.81*16/12/81/24*10^3</f>
        <v>0.55555555555555558</v>
      </c>
      <c r="CR16" s="19">
        <f>0.33*SQRT(4)*16/12/81/24*10^3</f>
        <v>0.45267489711934156</v>
      </c>
      <c r="CS16" s="13">
        <v>4</v>
      </c>
      <c r="CT16" s="52">
        <f t="shared" ref="CT16:CT27" si="85">CR16/ABS(CQ16)</f>
        <v>0.81481481481481477</v>
      </c>
      <c r="CU16" s="12">
        <f>0.48*16/12/81/24*10^3</f>
        <v>0.32921810699588477</v>
      </c>
      <c r="CV16" s="19">
        <f>0.17*SQRT(4)*16/12/81/24*10^3</f>
        <v>0.23319615912208505</v>
      </c>
      <c r="CW16" s="13">
        <v>4</v>
      </c>
      <c r="CX16" s="52">
        <f t="shared" ref="CX16:CX27" si="86">CV16/ABS(CU16)</f>
        <v>0.70833333333333337</v>
      </c>
      <c r="CY16" s="68">
        <f t="shared" si="61"/>
        <v>-0.22633744855967081</v>
      </c>
      <c r="CZ16" s="12">
        <f t="shared" si="39"/>
        <v>0.36006597389318756</v>
      </c>
      <c r="DA16" s="72">
        <f t="shared" si="40"/>
        <v>6.4823752777824817E-2</v>
      </c>
      <c r="DB16" s="72">
        <f t="shared" si="41"/>
        <v>6.4823752777824817E-2</v>
      </c>
      <c r="DC16" s="11"/>
      <c r="DD16" s="12" t="s">
        <v>37</v>
      </c>
      <c r="DE16" s="68" t="s">
        <v>37</v>
      </c>
      <c r="DF16" s="11" t="s">
        <v>37</v>
      </c>
      <c r="DG16" s="19"/>
      <c r="DH16" s="12" t="s">
        <v>37</v>
      </c>
      <c r="DI16" s="68" t="s">
        <v>37</v>
      </c>
      <c r="DJ16" s="11" t="s">
        <v>37</v>
      </c>
      <c r="DK16" s="19"/>
      <c r="DL16" s="68"/>
      <c r="DM16" s="68"/>
      <c r="DN16" s="68"/>
      <c r="DO16" s="68"/>
      <c r="DP16" s="12"/>
      <c r="DQ16" s="12" t="s">
        <v>37</v>
      </c>
      <c r="DR16" s="12" t="s">
        <v>37</v>
      </c>
      <c r="DS16" s="13" t="s">
        <v>37</v>
      </c>
      <c r="DT16" s="19"/>
      <c r="DU16" s="12" t="s">
        <v>37</v>
      </c>
      <c r="DV16" s="12" t="s">
        <v>37</v>
      </c>
      <c r="DW16" s="13" t="s">
        <v>37</v>
      </c>
      <c r="DX16" s="19"/>
      <c r="DY16" s="19"/>
      <c r="DZ16" s="19"/>
      <c r="EA16" s="72"/>
      <c r="EB16" s="72"/>
      <c r="EC16" s="12"/>
      <c r="ED16" s="12"/>
      <c r="EE16" s="12" t="s">
        <v>37</v>
      </c>
      <c r="EF16" s="12" t="s">
        <v>37</v>
      </c>
      <c r="EG16" s="11" t="s">
        <v>37</v>
      </c>
      <c r="EH16" s="19"/>
      <c r="EI16" s="12" t="s">
        <v>37</v>
      </c>
      <c r="EJ16" s="20" t="s">
        <v>37</v>
      </c>
      <c r="EK16" s="11" t="s">
        <v>37</v>
      </c>
      <c r="EL16" s="19"/>
      <c r="EM16" s="19"/>
      <c r="EN16" s="19"/>
      <c r="EO16" s="19"/>
      <c r="EP16" s="19"/>
      <c r="EQ16" s="32"/>
      <c r="ER16" s="12" t="s">
        <v>37</v>
      </c>
      <c r="ES16" s="12" t="s">
        <v>37</v>
      </c>
      <c r="ET16" s="11" t="s">
        <v>37</v>
      </c>
      <c r="EU16" s="19"/>
      <c r="EV16" s="13" t="s">
        <v>37</v>
      </c>
      <c r="EW16" s="11" t="s">
        <v>37</v>
      </c>
      <c r="EX16" s="11" t="s">
        <v>37</v>
      </c>
      <c r="EY16" s="19"/>
      <c r="EZ16" s="19"/>
      <c r="FA16" s="19"/>
      <c r="FB16" s="19"/>
      <c r="FC16" s="32"/>
      <c r="FD16" s="12" t="s">
        <v>37</v>
      </c>
      <c r="FE16" s="12" t="s">
        <v>37</v>
      </c>
      <c r="FF16" s="11" t="s">
        <v>37</v>
      </c>
      <c r="FG16" s="13" t="s">
        <v>37</v>
      </c>
      <c r="FH16" s="11" t="s">
        <v>37</v>
      </c>
      <c r="FI16" s="11" t="s">
        <v>37</v>
      </c>
      <c r="FJ16" s="19"/>
      <c r="FK16" s="19"/>
      <c r="FL16" s="19"/>
      <c r="FM16" s="32"/>
      <c r="FN16" s="12" t="s">
        <v>37</v>
      </c>
      <c r="FO16" s="12" t="s">
        <v>37</v>
      </c>
      <c r="FP16" s="11" t="s">
        <v>37</v>
      </c>
      <c r="FQ16" s="13" t="s">
        <v>37</v>
      </c>
      <c r="FR16" s="11" t="s">
        <v>37</v>
      </c>
      <c r="FS16" s="11" t="s">
        <v>37</v>
      </c>
      <c r="FT16" s="19"/>
      <c r="FU16" s="19"/>
      <c r="FV16" s="19"/>
      <c r="FW16" s="12" t="s">
        <v>64</v>
      </c>
      <c r="FX16" s="12" t="s">
        <v>330</v>
      </c>
      <c r="FY16" s="12">
        <v>465.8</v>
      </c>
      <c r="FZ16" s="12">
        <v>33.479999999999997</v>
      </c>
      <c r="GA16" s="13">
        <v>2</v>
      </c>
      <c r="GB16" s="12" t="s">
        <v>37</v>
      </c>
      <c r="GC16" s="12" t="s">
        <v>37</v>
      </c>
      <c r="GD16" s="13" t="s">
        <v>37</v>
      </c>
      <c r="GE16" s="19"/>
      <c r="GF16" s="19"/>
      <c r="GG16" s="12"/>
      <c r="GH16" s="12"/>
      <c r="GI16" s="12" t="s">
        <v>37</v>
      </c>
      <c r="GJ16" s="12" t="s">
        <v>37</v>
      </c>
      <c r="GK16" s="13" t="s">
        <v>37</v>
      </c>
      <c r="GL16" s="19"/>
      <c r="GM16" s="12" t="s">
        <v>37</v>
      </c>
      <c r="GN16" s="12" t="s">
        <v>37</v>
      </c>
      <c r="GO16" s="13" t="s">
        <v>37</v>
      </c>
      <c r="GP16" s="19"/>
      <c r="GQ16" s="19"/>
      <c r="GR16" s="19"/>
      <c r="GS16" s="17"/>
      <c r="GT16" s="34"/>
      <c r="GU16" s="12" t="s">
        <v>37</v>
      </c>
      <c r="GV16" s="12" t="s">
        <v>37</v>
      </c>
      <c r="GW16" s="12" t="s">
        <v>37</v>
      </c>
      <c r="GX16" s="19"/>
      <c r="GY16" s="12" t="s">
        <v>37</v>
      </c>
      <c r="GZ16" s="12" t="s">
        <v>37</v>
      </c>
      <c r="HA16" s="12" t="s">
        <v>37</v>
      </c>
      <c r="HB16" s="19"/>
      <c r="HC16" s="19"/>
      <c r="HD16" s="19"/>
      <c r="HE16" s="34"/>
      <c r="HF16" s="12" t="s">
        <v>37</v>
      </c>
      <c r="HG16" s="12" t="s">
        <v>37</v>
      </c>
      <c r="HH16" s="13" t="s">
        <v>37</v>
      </c>
      <c r="HI16" s="12" t="s">
        <v>37</v>
      </c>
      <c r="HJ16" s="12" t="s">
        <v>37</v>
      </c>
      <c r="HK16" s="13" t="s">
        <v>37</v>
      </c>
      <c r="HL16" s="13"/>
      <c r="HM16" s="13"/>
      <c r="HN16" s="34"/>
      <c r="HO16" s="12" t="s">
        <v>37</v>
      </c>
      <c r="HP16" s="12" t="s">
        <v>37</v>
      </c>
      <c r="HQ16" s="13" t="s">
        <v>37</v>
      </c>
      <c r="HR16" s="12" t="s">
        <v>37</v>
      </c>
      <c r="HS16" s="12" t="s">
        <v>37</v>
      </c>
      <c r="HT16" s="13" t="s">
        <v>37</v>
      </c>
      <c r="HU16" s="13"/>
      <c r="HV16" s="13"/>
      <c r="HW16" s="12"/>
      <c r="HX16" s="12"/>
      <c r="HY16" s="12" t="s">
        <v>37</v>
      </c>
      <c r="HZ16" s="12" t="s">
        <v>37</v>
      </c>
      <c r="IA16" s="12" t="s">
        <v>37</v>
      </c>
      <c r="IB16" s="12" t="s">
        <v>37</v>
      </c>
      <c r="IC16" s="12" t="s">
        <v>37</v>
      </c>
      <c r="ID16" s="12" t="s">
        <v>37</v>
      </c>
      <c r="IE16" s="12"/>
      <c r="IF16" s="32"/>
      <c r="IG16" s="12" t="s">
        <v>37</v>
      </c>
      <c r="IH16" s="12" t="s">
        <v>37</v>
      </c>
      <c r="II16" s="13" t="s">
        <v>37</v>
      </c>
      <c r="IJ16" s="19"/>
      <c r="IK16" s="12" t="s">
        <v>37</v>
      </c>
      <c r="IL16" s="12" t="s">
        <v>37</v>
      </c>
      <c r="IM16" s="13" t="s">
        <v>37</v>
      </c>
      <c r="IN16" s="19"/>
      <c r="IO16" s="19"/>
      <c r="IP16" s="19"/>
      <c r="IQ16" s="32"/>
      <c r="IR16" s="12" t="s">
        <v>37</v>
      </c>
      <c r="IS16" s="12" t="s">
        <v>37</v>
      </c>
      <c r="IT16" s="13" t="s">
        <v>37</v>
      </c>
      <c r="IU16" s="12" t="s">
        <v>37</v>
      </c>
      <c r="IV16" s="12" t="s">
        <v>37</v>
      </c>
      <c r="IW16" s="12" t="s">
        <v>37</v>
      </c>
      <c r="IX16" s="32"/>
      <c r="IY16" s="12" t="s">
        <v>37</v>
      </c>
      <c r="IZ16" s="12" t="s">
        <v>37</v>
      </c>
      <c r="JA16" s="13" t="s">
        <v>37</v>
      </c>
      <c r="JB16" s="12" t="s">
        <v>37</v>
      </c>
      <c r="JC16" s="12" t="s">
        <v>37</v>
      </c>
      <c r="JD16" s="12" t="s">
        <v>37</v>
      </c>
      <c r="JE16" s="12"/>
      <c r="JF16" s="12"/>
      <c r="JG16" s="11" t="s">
        <v>37</v>
      </c>
      <c r="JH16" s="11" t="s">
        <v>37</v>
      </c>
      <c r="JI16" s="13" t="s">
        <v>37</v>
      </c>
      <c r="JJ16" s="11" t="s">
        <v>37</v>
      </c>
      <c r="JK16" s="11" t="s">
        <v>37</v>
      </c>
      <c r="JL16" s="11" t="s">
        <v>37</v>
      </c>
      <c r="JM16" s="12" t="s">
        <v>42</v>
      </c>
      <c r="JN16" s="32" t="s">
        <v>330</v>
      </c>
      <c r="JO16" s="12">
        <f>191.7/0.16/5/100</f>
        <v>2.3962500000000002</v>
      </c>
      <c r="JP16" s="12">
        <f>SQRT((1/(500*0.16))^2*16.8^2+((-191.7/(500*0.16)^2)^2*(0.01*SQRT(2))^2))</f>
        <v>0.21000042723275461</v>
      </c>
      <c r="JQ16" s="11">
        <v>2</v>
      </c>
      <c r="JR16" s="19"/>
      <c r="JS16" s="12" t="s">
        <v>37</v>
      </c>
      <c r="JT16" s="12" t="s">
        <v>37</v>
      </c>
      <c r="JU16" s="13" t="s">
        <v>37</v>
      </c>
      <c r="JV16" s="19"/>
      <c r="JW16" s="19"/>
      <c r="JX16" s="19"/>
      <c r="JY16" s="32"/>
      <c r="JZ16" s="12" t="s">
        <v>37</v>
      </c>
      <c r="KA16" s="12" t="s">
        <v>37</v>
      </c>
      <c r="KB16" s="13" t="s">
        <v>37</v>
      </c>
      <c r="KC16" s="12" t="s">
        <v>37</v>
      </c>
      <c r="KD16" s="12" t="s">
        <v>37</v>
      </c>
      <c r="KE16" s="13" t="s">
        <v>37</v>
      </c>
      <c r="KF16" s="13"/>
      <c r="KG16" s="13"/>
      <c r="KH16" s="32"/>
      <c r="KI16" s="12" t="s">
        <v>37</v>
      </c>
      <c r="KJ16" s="12" t="s">
        <v>37</v>
      </c>
      <c r="KK16" s="12" t="s">
        <v>37</v>
      </c>
      <c r="KL16" s="12" t="s">
        <v>37</v>
      </c>
      <c r="KM16" s="12" t="s">
        <v>37</v>
      </c>
      <c r="KN16" s="12" t="s">
        <v>37</v>
      </c>
      <c r="KO16" s="12"/>
      <c r="KP16" s="12"/>
      <c r="KQ16" s="12"/>
      <c r="KR16" s="12" t="str">
        <f t="shared" ref="KR16:KR29" si="87">JN16</f>
        <v>0-5</v>
      </c>
      <c r="KS16" s="12">
        <f t="shared" ref="KS16:KS29" si="88">AI16/JO16</f>
        <v>53.466875326030255</v>
      </c>
      <c r="KT16" s="12">
        <f>SQRT((1/JO16)^2*AJ16^2+AI16^2*(-1/JO16^2)^2*JP16^2)</f>
        <v>5.5866820383287523</v>
      </c>
      <c r="KU16" s="13">
        <f t="shared" ref="KU16:KU29" si="89">JQ16</f>
        <v>2</v>
      </c>
      <c r="KV16" s="19">
        <f t="shared" ref="KV16:KV18" si="90">KT16/KS16</f>
        <v>0.10448865777665683</v>
      </c>
      <c r="KW16" s="13" t="str">
        <f t="shared" ref="KW16:KW27" si="91">JS16</f>
        <v>/</v>
      </c>
      <c r="KX16" s="13" t="str">
        <f t="shared" ref="KX16:KX27" si="92">JT16</f>
        <v>/</v>
      </c>
      <c r="KY16" s="13" t="str">
        <f t="shared" ref="KY16:KY29" si="93">JU16</f>
        <v>/</v>
      </c>
      <c r="KZ16" s="19"/>
      <c r="LA16" s="19"/>
      <c r="LB16" s="19"/>
      <c r="LC16" s="12"/>
      <c r="LD16" s="12" t="s">
        <v>37</v>
      </c>
      <c r="LE16" s="12" t="s">
        <v>37</v>
      </c>
      <c r="LF16" s="12" t="s">
        <v>37</v>
      </c>
      <c r="LG16" s="19" t="str">
        <f t="shared" si="19"/>
        <v>/</v>
      </c>
      <c r="LH16" s="19" t="str">
        <f t="shared" si="20"/>
        <v>/</v>
      </c>
      <c r="LI16" s="13" t="str">
        <f t="shared" si="21"/>
        <v>/</v>
      </c>
      <c r="LJ16" s="13"/>
      <c r="LK16" s="13"/>
      <c r="LL16" s="12"/>
      <c r="LM16" s="12" t="s">
        <v>37</v>
      </c>
      <c r="LN16" s="12" t="s">
        <v>37</v>
      </c>
      <c r="LO16" s="12" t="s">
        <v>37</v>
      </c>
      <c r="LP16" s="12" t="s">
        <v>37</v>
      </c>
      <c r="LQ16" s="12" t="s">
        <v>37</v>
      </c>
      <c r="LR16" s="12" t="s">
        <v>37</v>
      </c>
      <c r="LS16" s="12"/>
      <c r="LT16" s="12"/>
      <c r="LU16" s="12" t="s">
        <v>37</v>
      </c>
      <c r="LV16" s="12" t="s">
        <v>37</v>
      </c>
      <c r="LW16" s="13" t="s">
        <v>37</v>
      </c>
      <c r="LX16" s="12" t="s">
        <v>37</v>
      </c>
      <c r="LY16" s="12" t="s">
        <v>37</v>
      </c>
      <c r="LZ16" s="13" t="s">
        <v>37</v>
      </c>
      <c r="MA16" s="13"/>
      <c r="MB16" s="13"/>
      <c r="MC16" s="12"/>
      <c r="MD16" s="12"/>
      <c r="ME16" s="12" t="s">
        <v>37</v>
      </c>
      <c r="MF16" s="12" t="s">
        <v>37</v>
      </c>
      <c r="MG16" s="13" t="s">
        <v>37</v>
      </c>
      <c r="MH16" s="12" t="s">
        <v>37</v>
      </c>
      <c r="MI16" s="12" t="s">
        <v>37</v>
      </c>
      <c r="MJ16" s="13" t="s">
        <v>37</v>
      </c>
      <c r="MK16" s="13"/>
      <c r="ML16" s="13"/>
      <c r="MM16" s="12"/>
      <c r="MN16" s="12"/>
      <c r="MO16" s="11" t="s">
        <v>37</v>
      </c>
      <c r="MP16" s="11" t="s">
        <v>37</v>
      </c>
      <c r="MQ16" s="13" t="s">
        <v>37</v>
      </c>
      <c r="MR16" s="11" t="s">
        <v>37</v>
      </c>
      <c r="MS16" s="11" t="s">
        <v>37</v>
      </c>
      <c r="MT16" s="13" t="s">
        <v>37</v>
      </c>
      <c r="MU16" s="13"/>
      <c r="MV16" s="13"/>
      <c r="MW16" s="12"/>
      <c r="MX16" s="12"/>
      <c r="MY16" s="11" t="s">
        <v>37</v>
      </c>
      <c r="MZ16" s="11" t="s">
        <v>37</v>
      </c>
      <c r="NA16" s="11" t="s">
        <v>37</v>
      </c>
      <c r="NB16" s="11" t="s">
        <v>37</v>
      </c>
      <c r="NC16" s="11" t="s">
        <v>37</v>
      </c>
      <c r="ND16" s="11" t="s">
        <v>37</v>
      </c>
      <c r="NE16" s="11"/>
      <c r="NF16" s="11"/>
      <c r="NG16" s="12"/>
      <c r="NH16" s="12"/>
      <c r="NI16" s="12" t="s">
        <v>37</v>
      </c>
      <c r="NJ16" s="12" t="s">
        <v>37</v>
      </c>
      <c r="NK16" s="13" t="s">
        <v>37</v>
      </c>
      <c r="NL16" s="12" t="s">
        <v>37</v>
      </c>
      <c r="NM16" s="12" t="s">
        <v>37</v>
      </c>
      <c r="NN16" s="13" t="s">
        <v>37</v>
      </c>
      <c r="NO16" s="13"/>
      <c r="NP16" s="13"/>
      <c r="NQ16" s="12"/>
      <c r="NR16" s="12"/>
      <c r="NS16" s="11" t="s">
        <v>37</v>
      </c>
      <c r="NT16" s="11" t="s">
        <v>37</v>
      </c>
      <c r="NU16" s="13" t="s">
        <v>37</v>
      </c>
      <c r="NV16" s="11" t="s">
        <v>37</v>
      </c>
      <c r="NW16" s="11" t="s">
        <v>37</v>
      </c>
      <c r="NX16" s="13" t="s">
        <v>37</v>
      </c>
      <c r="NY16" s="13"/>
      <c r="NZ16" s="13"/>
      <c r="OA16" s="12"/>
      <c r="OB16" s="12"/>
      <c r="OC16" s="12" t="s">
        <v>37</v>
      </c>
      <c r="OD16" s="12" t="s">
        <v>37</v>
      </c>
      <c r="OE16" s="12" t="s">
        <v>37</v>
      </c>
      <c r="OF16" s="12" t="s">
        <v>37</v>
      </c>
      <c r="OG16" s="12" t="s">
        <v>37</v>
      </c>
      <c r="OH16" s="12" t="s">
        <v>37</v>
      </c>
      <c r="OI16" s="12"/>
      <c r="OJ16" s="12"/>
      <c r="OK16" s="12"/>
      <c r="OL16" s="12" t="s">
        <v>37</v>
      </c>
      <c r="OM16" s="12" t="s">
        <v>37</v>
      </c>
      <c r="ON16" s="11" t="s">
        <v>37</v>
      </c>
      <c r="OO16" s="12" t="s">
        <v>37</v>
      </c>
      <c r="OP16" s="12" t="s">
        <v>37</v>
      </c>
      <c r="OQ16" s="12" t="s">
        <v>37</v>
      </c>
      <c r="OR16" s="12"/>
      <c r="OS16" s="12" t="s">
        <v>37</v>
      </c>
      <c r="OT16" s="12" t="s">
        <v>37</v>
      </c>
      <c r="OU16" s="12" t="s">
        <v>37</v>
      </c>
      <c r="OV16" s="12" t="s">
        <v>37</v>
      </c>
      <c r="OW16" s="12" t="s">
        <v>37</v>
      </c>
      <c r="OX16" s="12" t="s">
        <v>37</v>
      </c>
      <c r="OY16" s="12"/>
      <c r="OZ16" s="12"/>
      <c r="PA16" s="11" t="s">
        <v>37</v>
      </c>
      <c r="PB16" s="11" t="s">
        <v>37</v>
      </c>
      <c r="PC16" s="13" t="s">
        <v>37</v>
      </c>
      <c r="PD16" s="11" t="s">
        <v>37</v>
      </c>
      <c r="PE16" s="11" t="s">
        <v>37</v>
      </c>
      <c r="PF16" s="13" t="s">
        <v>37</v>
      </c>
      <c r="PG16" s="12"/>
      <c r="PH16" s="12"/>
      <c r="PI16" s="12" t="s">
        <v>37</v>
      </c>
      <c r="PJ16" s="12" t="s">
        <v>37</v>
      </c>
      <c r="PK16" s="13" t="s">
        <v>37</v>
      </c>
      <c r="PL16" s="12" t="s">
        <v>37</v>
      </c>
      <c r="PM16" s="12" t="s">
        <v>37</v>
      </c>
      <c r="PN16" s="13" t="s">
        <v>37</v>
      </c>
      <c r="PO16" s="12"/>
      <c r="PP16" s="12"/>
      <c r="PQ16" s="11" t="s">
        <v>37</v>
      </c>
      <c r="PR16" s="11" t="s">
        <v>37</v>
      </c>
      <c r="PS16" s="13" t="s">
        <v>37</v>
      </c>
      <c r="PT16" s="11" t="s">
        <v>37</v>
      </c>
      <c r="PU16" s="11" t="s">
        <v>37</v>
      </c>
      <c r="PV16" s="13" t="s">
        <v>37</v>
      </c>
      <c r="PW16" s="12"/>
      <c r="PX16" s="12"/>
      <c r="PY16" s="11" t="s">
        <v>37</v>
      </c>
      <c r="PZ16" s="11" t="s">
        <v>37</v>
      </c>
      <c r="QA16" s="11" t="s">
        <v>37</v>
      </c>
      <c r="QB16" s="11" t="s">
        <v>37</v>
      </c>
      <c r="QC16" s="11" t="s">
        <v>37</v>
      </c>
      <c r="QD16" s="11" t="s">
        <v>37</v>
      </c>
      <c r="QE16" s="12"/>
      <c r="QF16" s="12"/>
      <c r="QG16" s="11" t="s">
        <v>37</v>
      </c>
      <c r="QH16" s="11" t="s">
        <v>37</v>
      </c>
      <c r="QI16" s="13" t="s">
        <v>37</v>
      </c>
      <c r="QJ16" s="11" t="s">
        <v>37</v>
      </c>
      <c r="QK16" s="11" t="s">
        <v>37</v>
      </c>
      <c r="QL16" s="13" t="s">
        <v>37</v>
      </c>
      <c r="QM16" s="12"/>
      <c r="QN16" s="12"/>
      <c r="QO16" s="12" t="s">
        <v>37</v>
      </c>
      <c r="QP16" s="12" t="s">
        <v>37</v>
      </c>
      <c r="QQ16" s="13" t="s">
        <v>37</v>
      </c>
      <c r="QR16" s="12" t="s">
        <v>37</v>
      </c>
      <c r="QS16" s="12" t="s">
        <v>37</v>
      </c>
      <c r="QT16" s="13" t="s">
        <v>37</v>
      </c>
      <c r="QU16" s="13"/>
      <c r="QV16" s="13"/>
      <c r="QW16" s="12"/>
      <c r="QX16" s="12"/>
      <c r="QY16" s="12" t="s">
        <v>37</v>
      </c>
      <c r="QZ16" s="12" t="s">
        <v>37</v>
      </c>
      <c r="RA16" s="11" t="s">
        <v>37</v>
      </c>
      <c r="RB16" s="12" t="s">
        <v>37</v>
      </c>
      <c r="RC16" s="12" t="s">
        <v>37</v>
      </c>
      <c r="RD16" s="11" t="s">
        <v>37</v>
      </c>
      <c r="RE16" s="11"/>
      <c r="RF16" s="11"/>
      <c r="RG16" s="12"/>
      <c r="RH16" s="12"/>
      <c r="RI16" s="12" t="s">
        <v>37</v>
      </c>
      <c r="RJ16" s="12" t="s">
        <v>37</v>
      </c>
      <c r="RK16" s="11" t="s">
        <v>37</v>
      </c>
      <c r="RL16" s="12" t="s">
        <v>37</v>
      </c>
      <c r="RM16" s="12" t="s">
        <v>37</v>
      </c>
      <c r="RN16" s="11" t="s">
        <v>37</v>
      </c>
      <c r="RO16" s="11"/>
      <c r="RP16" s="11"/>
      <c r="RQ16" s="12"/>
      <c r="RR16" s="12"/>
      <c r="RS16" s="12" t="s">
        <v>37</v>
      </c>
      <c r="RT16" s="12" t="s">
        <v>37</v>
      </c>
      <c r="RU16" s="11" t="s">
        <v>37</v>
      </c>
      <c r="RV16" s="12" t="s">
        <v>37</v>
      </c>
      <c r="RW16" s="12" t="s">
        <v>37</v>
      </c>
      <c r="RX16" s="11" t="s">
        <v>37</v>
      </c>
      <c r="RY16" s="11"/>
      <c r="RZ16" s="11"/>
      <c r="SA16" s="12"/>
      <c r="SB16" s="12"/>
      <c r="SC16" s="12" t="s">
        <v>37</v>
      </c>
      <c r="SD16" s="12" t="s">
        <v>37</v>
      </c>
      <c r="SE16" s="12" t="s">
        <v>37</v>
      </c>
      <c r="SF16" s="12" t="s">
        <v>37</v>
      </c>
      <c r="SG16" s="12" t="s">
        <v>37</v>
      </c>
      <c r="SH16" s="12" t="s">
        <v>37</v>
      </c>
      <c r="SI16" s="12"/>
      <c r="SJ16" s="12"/>
      <c r="SK16" s="12"/>
      <c r="SL16" s="12"/>
      <c r="SM16" s="12" t="s">
        <v>37</v>
      </c>
      <c r="SN16" s="12" t="s">
        <v>37</v>
      </c>
      <c r="SO16" s="12" t="s">
        <v>37</v>
      </c>
      <c r="SP16" s="12" t="s">
        <v>37</v>
      </c>
      <c r="SQ16" s="12" t="s">
        <v>37</v>
      </c>
      <c r="SR16" s="12" t="s">
        <v>37</v>
      </c>
      <c r="SS16" s="12"/>
      <c r="ST16" s="12"/>
      <c r="SU16" s="12"/>
      <c r="SV16" s="12"/>
      <c r="SW16" s="12" t="s">
        <v>37</v>
      </c>
      <c r="SX16" s="12" t="s">
        <v>37</v>
      </c>
      <c r="SY16" s="12" t="s">
        <v>37</v>
      </c>
      <c r="SZ16" s="12" t="s">
        <v>37</v>
      </c>
      <c r="TA16" s="12" t="s">
        <v>37</v>
      </c>
      <c r="TB16" s="12" t="s">
        <v>37</v>
      </c>
      <c r="TC16" s="12"/>
      <c r="TD16" s="12"/>
      <c r="TE16" s="12"/>
      <c r="TF16" s="12"/>
      <c r="TG16" s="13" t="s">
        <v>37</v>
      </c>
      <c r="TH16" s="13" t="s">
        <v>37</v>
      </c>
      <c r="TI16" s="13" t="s">
        <v>37</v>
      </c>
      <c r="TJ16" s="13" t="s">
        <v>37</v>
      </c>
      <c r="TK16" s="13" t="s">
        <v>37</v>
      </c>
      <c r="TL16" s="13" t="s">
        <v>37</v>
      </c>
      <c r="TM16" s="13"/>
      <c r="TN16" s="13"/>
      <c r="TO16" s="12"/>
      <c r="TP16" s="12"/>
      <c r="TQ16" s="13" t="s">
        <v>37</v>
      </c>
      <c r="TR16" s="13" t="s">
        <v>37</v>
      </c>
      <c r="TS16" s="13" t="s">
        <v>37</v>
      </c>
      <c r="TT16" s="19"/>
      <c r="TU16" s="13" t="s">
        <v>37</v>
      </c>
      <c r="TV16" s="13" t="s">
        <v>37</v>
      </c>
      <c r="TW16" s="13" t="s">
        <v>37</v>
      </c>
    </row>
    <row r="17" spans="1:543" ht="17.399999999999999" x14ac:dyDescent="0.4">
      <c r="A17" s="11">
        <v>7</v>
      </c>
      <c r="B17" s="16" t="s">
        <v>171</v>
      </c>
      <c r="C17" s="12" t="s">
        <v>26</v>
      </c>
      <c r="D17" s="12" t="s">
        <v>54</v>
      </c>
      <c r="E17" s="14">
        <v>0.2</v>
      </c>
      <c r="F17" s="14">
        <v>0</v>
      </c>
      <c r="G17" s="14">
        <v>0</v>
      </c>
      <c r="H17" s="12" t="s">
        <v>82</v>
      </c>
      <c r="I17" s="29">
        <v>68.632999999999996</v>
      </c>
      <c r="J17" s="29">
        <v>-149.56700000000001</v>
      </c>
      <c r="K17" s="12" t="s">
        <v>801</v>
      </c>
      <c r="L17" s="12" t="s">
        <v>802</v>
      </c>
      <c r="M17" s="13">
        <v>760</v>
      </c>
      <c r="N17" s="14" t="s">
        <v>37</v>
      </c>
      <c r="O17" s="14">
        <v>230</v>
      </c>
      <c r="P17" s="14" t="s">
        <v>84</v>
      </c>
      <c r="Q17" s="11" t="s">
        <v>162</v>
      </c>
      <c r="R17" s="11" t="s">
        <v>37</v>
      </c>
      <c r="S17" s="12" t="s">
        <v>172</v>
      </c>
      <c r="T17" s="12" t="s">
        <v>138</v>
      </c>
      <c r="U17" s="12" t="s">
        <v>164</v>
      </c>
      <c r="V17" s="12" t="s">
        <v>275</v>
      </c>
      <c r="W17" s="23" t="s">
        <v>174</v>
      </c>
      <c r="X17" s="12" t="s">
        <v>281</v>
      </c>
      <c r="Y17" s="12" t="s">
        <v>69</v>
      </c>
      <c r="Z17" s="12" t="s">
        <v>37</v>
      </c>
      <c r="AA17" s="32" t="s">
        <v>524</v>
      </c>
      <c r="AB17" s="12" t="s">
        <v>317</v>
      </c>
      <c r="AC17" s="12" t="s">
        <v>37</v>
      </c>
      <c r="AD17" s="11" t="s">
        <v>169</v>
      </c>
      <c r="AE17" s="12" t="s">
        <v>74</v>
      </c>
      <c r="AF17" s="12" t="s">
        <v>523</v>
      </c>
      <c r="AG17" s="12" t="s">
        <v>42</v>
      </c>
      <c r="AH17" s="32" t="s">
        <v>330</v>
      </c>
      <c r="AI17" s="12">
        <f>7549/0.12/5/100</f>
        <v>125.81666666666668</v>
      </c>
      <c r="AJ17" s="12">
        <f>SQRT((1/(500*0.12))^2*1367.5^2+((-7549/(500*0.12)^2)^2*(0.02*SQRT(2))^2))</f>
        <v>22.791743838180679</v>
      </c>
      <c r="AK17" s="11">
        <v>2</v>
      </c>
      <c r="AL17" s="19">
        <f t="shared" ref="AL17:AL18" si="94">AJ17/AI17</f>
        <v>0.1811504345331621</v>
      </c>
      <c r="AM17" s="12" t="s">
        <v>37</v>
      </c>
      <c r="AN17" s="12" t="s">
        <v>37</v>
      </c>
      <c r="AO17" s="13" t="s">
        <v>37</v>
      </c>
      <c r="AP17" s="19"/>
      <c r="AQ17" s="49"/>
      <c r="AR17" s="19"/>
      <c r="AS17" s="32"/>
      <c r="AT17" s="12" t="s">
        <v>37</v>
      </c>
      <c r="AU17" s="12" t="s">
        <v>37</v>
      </c>
      <c r="AV17" s="13" t="s">
        <v>37</v>
      </c>
      <c r="AW17" s="12" t="s">
        <v>37</v>
      </c>
      <c r="AX17" s="12" t="s">
        <v>37</v>
      </c>
      <c r="AY17" s="13" t="s">
        <v>37</v>
      </c>
      <c r="AZ17" s="13"/>
      <c r="BA17" s="13"/>
      <c r="BB17" s="12"/>
      <c r="BC17" s="12" t="s">
        <v>37</v>
      </c>
      <c r="BD17" s="12" t="s">
        <v>37</v>
      </c>
      <c r="BE17" s="13" t="s">
        <v>37</v>
      </c>
      <c r="BF17" s="12" t="s">
        <v>37</v>
      </c>
      <c r="BG17" s="12" t="s">
        <v>37</v>
      </c>
      <c r="BH17" s="12" t="s">
        <v>37</v>
      </c>
      <c r="BI17" s="12" t="s">
        <v>34</v>
      </c>
      <c r="BJ17" s="12">
        <f>-105.22*44/12/81/24*10^3</f>
        <v>-198.46021947873803</v>
      </c>
      <c r="BK17" s="12">
        <f>17.75*SQRT(4)*44/12/81/24*10^3</f>
        <v>66.958161865569267</v>
      </c>
      <c r="BL17" s="13">
        <v>4</v>
      </c>
      <c r="BM17" s="12">
        <f>-66.77*44/12/81/24*10^3</f>
        <v>-125.93792866941014</v>
      </c>
      <c r="BN17" s="12">
        <f>20.8*SQRT(4)*44/12/81/24*10^3</f>
        <v>78.463648834019196</v>
      </c>
      <c r="BO17" s="13">
        <v>4</v>
      </c>
      <c r="BP17" s="68">
        <f t="shared" ref="BP17" si="95">BM17-BJ17</f>
        <v>72.522290809327885</v>
      </c>
      <c r="BQ17" s="12">
        <f>SQRT(((BL17-1)*BK17^2+(BO17-1)*BN17^2)/(BL17+BO17-2))</f>
        <v>72.938123189331023</v>
      </c>
      <c r="BR17" s="72">
        <f>(((BL17+BO17)/(BL17*BO17))*(((BL17-1)*BK17^2)+(BO17-1)*BN17^2)/(BL17+BO17-2))</f>
        <v>2659.9849071910139</v>
      </c>
      <c r="BS17" s="72">
        <f>(BK17^2/BL17)+(BN17^2/BO17)</f>
        <v>2659.9849071910139</v>
      </c>
      <c r="BT17" s="12" t="s">
        <v>34</v>
      </c>
      <c r="BU17" s="12">
        <f>167.35*44/12/81/24*10^3</f>
        <v>315.64643347050753</v>
      </c>
      <c r="BV17" s="12">
        <f>18.15*SQRT(4)*44/12/81/24*10^3</f>
        <v>68.467078189300409</v>
      </c>
      <c r="BW17" s="13">
        <v>4</v>
      </c>
      <c r="BX17" s="12">
        <f>342.39*44/12/81/24*10^3</f>
        <v>645.79732510288068</v>
      </c>
      <c r="BY17" s="12">
        <f>28.82*SQRT(4)*44/12/81/24*10^3</f>
        <v>108.71742112482853</v>
      </c>
      <c r="BZ17" s="13">
        <v>4</v>
      </c>
      <c r="CA17" s="68">
        <f t="shared" si="84"/>
        <v>330.15089163237315</v>
      </c>
      <c r="CB17" s="12">
        <f>SQRT(((BW17-1)*BV17^2+(BZ17-1)*BY17^2)/(BW17+BZ17-2))</f>
        <v>90.84937658512878</v>
      </c>
      <c r="CC17" s="72">
        <f>(((BW17+BZ17)/(BW17*BZ17))*(((BW17-1)*BV17^2)+(BZ17-1)*BY17^2)/(BW17+BZ17-2))</f>
        <v>4126.8046129532731</v>
      </c>
      <c r="CD17" s="72">
        <f>(BV17^2/BW17)+(BY17^2/BZ17)</f>
        <v>4126.8046129532722</v>
      </c>
      <c r="CE17" s="12" t="s">
        <v>34</v>
      </c>
      <c r="CF17" s="12">
        <f>62.13*44/12/81/24*10^3</f>
        <v>117.18621399176955</v>
      </c>
      <c r="CG17" s="12">
        <f>14*SQRT(4)*44/12/81/24*10^3</f>
        <v>52.812071330589852</v>
      </c>
      <c r="CH17" s="13">
        <v>4</v>
      </c>
      <c r="CI17" s="12">
        <f>275.62*44/12/81/24*10^3</f>
        <v>519.85939643347047</v>
      </c>
      <c r="CJ17" s="12">
        <f>10.79*SQRT(4)*44/12/81/24*10^3</f>
        <v>40.703017832647468</v>
      </c>
      <c r="CK17" s="13">
        <v>4</v>
      </c>
      <c r="CL17" s="68">
        <f t="shared" ref="CL17" si="96">CI17-CF17</f>
        <v>402.67318244170093</v>
      </c>
      <c r="CM17" s="12">
        <f>SQRT(((CH17-1)*CG17^2+(CK17-1)*CJ17^2)/(CH17+CK17-2))</f>
        <v>47.147908431404083</v>
      </c>
      <c r="CN17" s="72">
        <f>(((CH17+CK17)/(CH17*CK17))*(((CH17-1)*CG17^2)+(CK17-1)*CJ17^2)/(CH17+CK17-2))</f>
        <v>1111.4626347280321</v>
      </c>
      <c r="CO17" s="72">
        <f>(CG17^2/CH17)+(CJ17^2/CK17)</f>
        <v>1111.4626347280321</v>
      </c>
      <c r="CP17" s="15" t="s">
        <v>34</v>
      </c>
      <c r="CQ17" s="12">
        <f>0.06*16/12/81/24*10^3</f>
        <v>4.1152263374485597E-2</v>
      </c>
      <c r="CR17" s="19">
        <f>0.03*SQRT(4)*16/12/81/24*10^3</f>
        <v>4.1152263374485597E-2</v>
      </c>
      <c r="CS17" s="13">
        <v>4</v>
      </c>
      <c r="CT17" s="52">
        <f t="shared" si="85"/>
        <v>1</v>
      </c>
      <c r="CU17" s="12">
        <f>0.15*16/12/81/24*10^3</f>
        <v>0.102880658436214</v>
      </c>
      <c r="CV17" s="19">
        <f>0.04*SQRT(4)*16/12/81/24*10^3</f>
        <v>5.4869684499314134E-2</v>
      </c>
      <c r="CW17" s="13">
        <v>4</v>
      </c>
      <c r="CX17" s="52">
        <f t="shared" si="86"/>
        <v>0.53333333333333333</v>
      </c>
      <c r="CY17" s="68">
        <f t="shared" si="61"/>
        <v>6.1728395061728399E-2</v>
      </c>
      <c r="CZ17" s="12">
        <f t="shared" si="39"/>
        <v>4.8498407488789273E-2</v>
      </c>
      <c r="DA17" s="72">
        <f t="shared" si="40"/>
        <v>1.1760477644743256E-3</v>
      </c>
      <c r="DB17" s="72">
        <f t="shared" si="41"/>
        <v>1.1760477644743256E-3</v>
      </c>
      <c r="DC17" s="11"/>
      <c r="DD17" s="12" t="s">
        <v>37</v>
      </c>
      <c r="DE17" s="68" t="s">
        <v>37</v>
      </c>
      <c r="DF17" s="11" t="s">
        <v>37</v>
      </c>
      <c r="DG17" s="19"/>
      <c r="DH17" s="12" t="s">
        <v>37</v>
      </c>
      <c r="DI17" s="68" t="s">
        <v>37</v>
      </c>
      <c r="DJ17" s="11" t="s">
        <v>37</v>
      </c>
      <c r="DK17" s="19"/>
      <c r="DL17" s="68"/>
      <c r="DM17" s="68"/>
      <c r="DN17" s="68"/>
      <c r="DO17" s="68"/>
      <c r="DP17" s="12"/>
      <c r="DQ17" s="12" t="s">
        <v>37</v>
      </c>
      <c r="DR17" s="12" t="s">
        <v>37</v>
      </c>
      <c r="DS17" s="13" t="s">
        <v>37</v>
      </c>
      <c r="DT17" s="19"/>
      <c r="DU17" s="12" t="s">
        <v>37</v>
      </c>
      <c r="DV17" s="12" t="s">
        <v>37</v>
      </c>
      <c r="DW17" s="13" t="s">
        <v>37</v>
      </c>
      <c r="DX17" s="19"/>
      <c r="DY17" s="19"/>
      <c r="DZ17" s="19"/>
      <c r="EA17" s="72"/>
      <c r="EB17" s="72"/>
      <c r="EC17" s="12"/>
      <c r="ED17" s="12"/>
      <c r="EE17" s="12" t="s">
        <v>37</v>
      </c>
      <c r="EF17" s="12" t="s">
        <v>37</v>
      </c>
      <c r="EG17" s="11" t="s">
        <v>37</v>
      </c>
      <c r="EH17" s="19"/>
      <c r="EI17" s="12" t="s">
        <v>37</v>
      </c>
      <c r="EJ17" s="20" t="s">
        <v>37</v>
      </c>
      <c r="EK17" s="11" t="s">
        <v>37</v>
      </c>
      <c r="EL17" s="19"/>
      <c r="EM17" s="19"/>
      <c r="EN17" s="19"/>
      <c r="EO17" s="19"/>
      <c r="EP17" s="19"/>
      <c r="EQ17" s="32"/>
      <c r="ER17" s="12" t="s">
        <v>37</v>
      </c>
      <c r="ES17" s="12" t="s">
        <v>37</v>
      </c>
      <c r="ET17" s="11" t="s">
        <v>37</v>
      </c>
      <c r="EU17" s="19"/>
      <c r="EV17" s="13" t="s">
        <v>37</v>
      </c>
      <c r="EW17" s="11" t="s">
        <v>37</v>
      </c>
      <c r="EX17" s="11" t="s">
        <v>37</v>
      </c>
      <c r="EY17" s="19"/>
      <c r="EZ17" s="19"/>
      <c r="FA17" s="19"/>
      <c r="FB17" s="19"/>
      <c r="FC17" s="32"/>
      <c r="FD17" s="12" t="s">
        <v>37</v>
      </c>
      <c r="FE17" s="12" t="s">
        <v>37</v>
      </c>
      <c r="FF17" s="11" t="s">
        <v>37</v>
      </c>
      <c r="FG17" s="13" t="s">
        <v>37</v>
      </c>
      <c r="FH17" s="11" t="s">
        <v>37</v>
      </c>
      <c r="FI17" s="11" t="s">
        <v>37</v>
      </c>
      <c r="FJ17" s="19"/>
      <c r="FK17" s="19"/>
      <c r="FL17" s="19"/>
      <c r="FM17" s="32"/>
      <c r="FN17" s="12" t="s">
        <v>37</v>
      </c>
      <c r="FO17" s="12" t="s">
        <v>37</v>
      </c>
      <c r="FP17" s="11" t="s">
        <v>37</v>
      </c>
      <c r="FQ17" s="13" t="s">
        <v>37</v>
      </c>
      <c r="FR17" s="11" t="s">
        <v>37</v>
      </c>
      <c r="FS17" s="11" t="s">
        <v>37</v>
      </c>
      <c r="FT17" s="19"/>
      <c r="FU17" s="19"/>
      <c r="FV17" s="19"/>
      <c r="FW17" s="12" t="s">
        <v>64</v>
      </c>
      <c r="FX17" s="12" t="s">
        <v>330</v>
      </c>
      <c r="FY17" s="12">
        <v>465.02</v>
      </c>
      <c r="FZ17" s="12">
        <v>35.83</v>
      </c>
      <c r="GA17" s="13">
        <v>2</v>
      </c>
      <c r="GB17" s="12" t="s">
        <v>37</v>
      </c>
      <c r="GC17" s="12" t="s">
        <v>37</v>
      </c>
      <c r="GD17" s="13" t="s">
        <v>37</v>
      </c>
      <c r="GE17" s="19"/>
      <c r="GF17" s="19"/>
      <c r="GG17" s="12"/>
      <c r="GH17" s="12"/>
      <c r="GI17" s="12" t="s">
        <v>37</v>
      </c>
      <c r="GJ17" s="12" t="s">
        <v>37</v>
      </c>
      <c r="GK17" s="13" t="s">
        <v>37</v>
      </c>
      <c r="GL17" s="19"/>
      <c r="GM17" s="12" t="s">
        <v>37</v>
      </c>
      <c r="GN17" s="12" t="s">
        <v>37</v>
      </c>
      <c r="GO17" s="13" t="s">
        <v>37</v>
      </c>
      <c r="GP17" s="19"/>
      <c r="GQ17" s="19"/>
      <c r="GR17" s="19"/>
      <c r="GS17" s="17"/>
      <c r="GT17" s="34"/>
      <c r="GU17" s="12" t="s">
        <v>37</v>
      </c>
      <c r="GV17" s="12" t="s">
        <v>37</v>
      </c>
      <c r="GW17" s="12" t="s">
        <v>37</v>
      </c>
      <c r="GX17" s="19"/>
      <c r="GY17" s="12" t="s">
        <v>37</v>
      </c>
      <c r="GZ17" s="12" t="s">
        <v>37</v>
      </c>
      <c r="HA17" s="12" t="s">
        <v>37</v>
      </c>
      <c r="HB17" s="19"/>
      <c r="HC17" s="19"/>
      <c r="HD17" s="19"/>
      <c r="HE17" s="34"/>
      <c r="HF17" s="12" t="s">
        <v>37</v>
      </c>
      <c r="HG17" s="12" t="s">
        <v>37</v>
      </c>
      <c r="HH17" s="13" t="s">
        <v>37</v>
      </c>
      <c r="HI17" s="12" t="s">
        <v>37</v>
      </c>
      <c r="HJ17" s="12" t="s">
        <v>37</v>
      </c>
      <c r="HK17" s="13" t="s">
        <v>37</v>
      </c>
      <c r="HL17" s="13"/>
      <c r="HM17" s="13"/>
      <c r="HN17" s="34"/>
      <c r="HO17" s="12" t="s">
        <v>37</v>
      </c>
      <c r="HP17" s="12" t="s">
        <v>37</v>
      </c>
      <c r="HQ17" s="13" t="s">
        <v>37</v>
      </c>
      <c r="HR17" s="12" t="s">
        <v>37</v>
      </c>
      <c r="HS17" s="12" t="s">
        <v>37</v>
      </c>
      <c r="HT17" s="13" t="s">
        <v>37</v>
      </c>
      <c r="HU17" s="13"/>
      <c r="HV17" s="13"/>
      <c r="HW17" s="12"/>
      <c r="HX17" s="12"/>
      <c r="HY17" s="12" t="s">
        <v>37</v>
      </c>
      <c r="HZ17" s="12" t="s">
        <v>37</v>
      </c>
      <c r="IA17" s="12" t="s">
        <v>37</v>
      </c>
      <c r="IB17" s="12" t="s">
        <v>37</v>
      </c>
      <c r="IC17" s="12" t="s">
        <v>37</v>
      </c>
      <c r="ID17" s="12" t="s">
        <v>37</v>
      </c>
      <c r="IE17" s="12"/>
      <c r="IF17" s="32"/>
      <c r="IG17" s="12" t="s">
        <v>37</v>
      </c>
      <c r="IH17" s="12" t="s">
        <v>37</v>
      </c>
      <c r="II17" s="13" t="s">
        <v>37</v>
      </c>
      <c r="IJ17" s="19"/>
      <c r="IK17" s="12" t="s">
        <v>37</v>
      </c>
      <c r="IL17" s="12" t="s">
        <v>37</v>
      </c>
      <c r="IM17" s="13" t="s">
        <v>37</v>
      </c>
      <c r="IN17" s="19"/>
      <c r="IO17" s="19"/>
      <c r="IP17" s="19"/>
      <c r="IQ17" s="32"/>
      <c r="IR17" s="12" t="s">
        <v>37</v>
      </c>
      <c r="IS17" s="12" t="s">
        <v>37</v>
      </c>
      <c r="IT17" s="13" t="s">
        <v>37</v>
      </c>
      <c r="IU17" s="12" t="s">
        <v>37</v>
      </c>
      <c r="IV17" s="12" t="s">
        <v>37</v>
      </c>
      <c r="IW17" s="12" t="s">
        <v>37</v>
      </c>
      <c r="IX17" s="32"/>
      <c r="IY17" s="12" t="s">
        <v>37</v>
      </c>
      <c r="IZ17" s="12" t="s">
        <v>37</v>
      </c>
      <c r="JA17" s="13" t="s">
        <v>37</v>
      </c>
      <c r="JB17" s="12" t="s">
        <v>37</v>
      </c>
      <c r="JC17" s="12" t="s">
        <v>37</v>
      </c>
      <c r="JD17" s="12" t="s">
        <v>37</v>
      </c>
      <c r="JE17" s="12"/>
      <c r="JF17" s="12"/>
      <c r="JG17" s="11" t="s">
        <v>37</v>
      </c>
      <c r="JH17" s="11" t="s">
        <v>37</v>
      </c>
      <c r="JI17" s="13" t="s">
        <v>37</v>
      </c>
      <c r="JJ17" s="11" t="s">
        <v>37</v>
      </c>
      <c r="JK17" s="11" t="s">
        <v>37</v>
      </c>
      <c r="JL17" s="11" t="s">
        <v>37</v>
      </c>
      <c r="JM17" s="12" t="s">
        <v>42</v>
      </c>
      <c r="JN17" s="32" t="s">
        <v>330</v>
      </c>
      <c r="JO17" s="12">
        <f>274.7/0.12/5/100</f>
        <v>4.5783333333333331</v>
      </c>
      <c r="JP17" s="12">
        <f>SQRT((1/(500*0.12))^2*69.8^2+((-274.7/(500*0.12)^2)^2*(0.02*SQRT(2))^2))</f>
        <v>1.1633353353503415</v>
      </c>
      <c r="JQ17" s="11">
        <v>2</v>
      </c>
      <c r="JR17" s="19"/>
      <c r="JS17" s="12" t="s">
        <v>37</v>
      </c>
      <c r="JT17" s="12" t="s">
        <v>37</v>
      </c>
      <c r="JU17" s="13" t="s">
        <v>37</v>
      </c>
      <c r="JV17" s="19"/>
      <c r="JW17" s="19"/>
      <c r="JX17" s="19"/>
      <c r="JY17" s="32"/>
      <c r="JZ17" s="12" t="s">
        <v>37</v>
      </c>
      <c r="KA17" s="12" t="s">
        <v>37</v>
      </c>
      <c r="KB17" s="13" t="s">
        <v>37</v>
      </c>
      <c r="KC17" s="12" t="s">
        <v>37</v>
      </c>
      <c r="KD17" s="12" t="s">
        <v>37</v>
      </c>
      <c r="KE17" s="13" t="s">
        <v>37</v>
      </c>
      <c r="KF17" s="13"/>
      <c r="KG17" s="13"/>
      <c r="KH17" s="32"/>
      <c r="KI17" s="12" t="s">
        <v>37</v>
      </c>
      <c r="KJ17" s="12" t="s">
        <v>37</v>
      </c>
      <c r="KK17" s="12" t="s">
        <v>37</v>
      </c>
      <c r="KL17" s="12" t="s">
        <v>37</v>
      </c>
      <c r="KM17" s="12" t="s">
        <v>37</v>
      </c>
      <c r="KN17" s="12" t="s">
        <v>37</v>
      </c>
      <c r="KO17" s="12"/>
      <c r="KP17" s="12"/>
      <c r="KQ17" s="12"/>
      <c r="KR17" s="12" t="str">
        <f t="shared" si="87"/>
        <v>0-5</v>
      </c>
      <c r="KS17" s="12">
        <f t="shared" si="88"/>
        <v>27.48088824171824</v>
      </c>
      <c r="KT17" s="12">
        <f>SQRT((1/JO17)^2*AJ17^2+AI17^2*(-1/JO17^2)^2*JP17^2)</f>
        <v>8.5756295825705191</v>
      </c>
      <c r="KU17" s="13">
        <f t="shared" si="89"/>
        <v>2</v>
      </c>
      <c r="KV17" s="19">
        <f t="shared" si="90"/>
        <v>0.31205794758671629</v>
      </c>
      <c r="KW17" s="13" t="str">
        <f t="shared" si="91"/>
        <v>/</v>
      </c>
      <c r="KX17" s="13" t="str">
        <f t="shared" si="92"/>
        <v>/</v>
      </c>
      <c r="KY17" s="13" t="str">
        <f t="shared" si="93"/>
        <v>/</v>
      </c>
      <c r="KZ17" s="19"/>
      <c r="LA17" s="19"/>
      <c r="LB17" s="19"/>
      <c r="LC17" s="12"/>
      <c r="LD17" s="12" t="s">
        <v>37</v>
      </c>
      <c r="LE17" s="12" t="s">
        <v>37</v>
      </c>
      <c r="LF17" s="12" t="s">
        <v>37</v>
      </c>
      <c r="LG17" s="19" t="str">
        <f t="shared" si="19"/>
        <v>/</v>
      </c>
      <c r="LH17" s="19" t="str">
        <f t="shared" si="20"/>
        <v>/</v>
      </c>
      <c r="LI17" s="13" t="str">
        <f t="shared" si="21"/>
        <v>/</v>
      </c>
      <c r="LJ17" s="13"/>
      <c r="LK17" s="13"/>
      <c r="LL17" s="12"/>
      <c r="LM17" s="12" t="s">
        <v>37</v>
      </c>
      <c r="LN17" s="12" t="s">
        <v>37</v>
      </c>
      <c r="LO17" s="12" t="s">
        <v>37</v>
      </c>
      <c r="LP17" s="12" t="s">
        <v>37</v>
      </c>
      <c r="LQ17" s="12" t="s">
        <v>37</v>
      </c>
      <c r="LR17" s="12" t="s">
        <v>37</v>
      </c>
      <c r="LS17" s="12"/>
      <c r="LT17" s="12"/>
      <c r="LU17" s="12" t="s">
        <v>37</v>
      </c>
      <c r="LV17" s="12" t="s">
        <v>37</v>
      </c>
      <c r="LW17" s="13" t="s">
        <v>37</v>
      </c>
      <c r="LX17" s="12" t="s">
        <v>37</v>
      </c>
      <c r="LY17" s="12" t="s">
        <v>37</v>
      </c>
      <c r="LZ17" s="13" t="s">
        <v>37</v>
      </c>
      <c r="MA17" s="13"/>
      <c r="MB17" s="13"/>
      <c r="MC17" s="12"/>
      <c r="MD17" s="12"/>
      <c r="ME17" s="12" t="s">
        <v>37</v>
      </c>
      <c r="MF17" s="12" t="s">
        <v>37</v>
      </c>
      <c r="MG17" s="13" t="s">
        <v>37</v>
      </c>
      <c r="MH17" s="12" t="s">
        <v>37</v>
      </c>
      <c r="MI17" s="12" t="s">
        <v>37</v>
      </c>
      <c r="MJ17" s="13" t="s">
        <v>37</v>
      </c>
      <c r="MK17" s="13"/>
      <c r="ML17" s="13"/>
      <c r="MM17" s="12"/>
      <c r="MN17" s="12"/>
      <c r="MO17" s="11" t="s">
        <v>37</v>
      </c>
      <c r="MP17" s="11" t="s">
        <v>37</v>
      </c>
      <c r="MQ17" s="13" t="s">
        <v>37</v>
      </c>
      <c r="MR17" s="11" t="s">
        <v>37</v>
      </c>
      <c r="MS17" s="11" t="s">
        <v>37</v>
      </c>
      <c r="MT17" s="13" t="s">
        <v>37</v>
      </c>
      <c r="MU17" s="13"/>
      <c r="MV17" s="13"/>
      <c r="MW17" s="12"/>
      <c r="MX17" s="12"/>
      <c r="MY17" s="11" t="s">
        <v>37</v>
      </c>
      <c r="MZ17" s="11" t="s">
        <v>37</v>
      </c>
      <c r="NA17" s="11" t="s">
        <v>37</v>
      </c>
      <c r="NB17" s="11" t="s">
        <v>37</v>
      </c>
      <c r="NC17" s="11" t="s">
        <v>37</v>
      </c>
      <c r="ND17" s="11" t="s">
        <v>37</v>
      </c>
      <c r="NE17" s="11"/>
      <c r="NF17" s="11"/>
      <c r="NG17" s="12"/>
      <c r="NH17" s="12"/>
      <c r="NI17" s="12" t="s">
        <v>37</v>
      </c>
      <c r="NJ17" s="12" t="s">
        <v>37</v>
      </c>
      <c r="NK17" s="13" t="s">
        <v>37</v>
      </c>
      <c r="NL17" s="12" t="s">
        <v>37</v>
      </c>
      <c r="NM17" s="12" t="s">
        <v>37</v>
      </c>
      <c r="NN17" s="13" t="s">
        <v>37</v>
      </c>
      <c r="NO17" s="13"/>
      <c r="NP17" s="13"/>
      <c r="NQ17" s="12"/>
      <c r="NR17" s="12"/>
      <c r="NS17" s="11" t="s">
        <v>37</v>
      </c>
      <c r="NT17" s="11" t="s">
        <v>37</v>
      </c>
      <c r="NU17" s="13" t="s">
        <v>37</v>
      </c>
      <c r="NV17" s="11" t="s">
        <v>37</v>
      </c>
      <c r="NW17" s="11" t="s">
        <v>37</v>
      </c>
      <c r="NX17" s="13" t="s">
        <v>37</v>
      </c>
      <c r="NY17" s="13"/>
      <c r="NZ17" s="13"/>
      <c r="OA17" s="12"/>
      <c r="OB17" s="12"/>
      <c r="OC17" s="12" t="s">
        <v>37</v>
      </c>
      <c r="OD17" s="12" t="s">
        <v>37</v>
      </c>
      <c r="OE17" s="12" t="s">
        <v>37</v>
      </c>
      <c r="OF17" s="12" t="s">
        <v>37</v>
      </c>
      <c r="OG17" s="12" t="s">
        <v>37</v>
      </c>
      <c r="OH17" s="12" t="s">
        <v>37</v>
      </c>
      <c r="OI17" s="12"/>
      <c r="OJ17" s="12"/>
      <c r="OK17" s="12"/>
      <c r="OL17" s="12" t="s">
        <v>37</v>
      </c>
      <c r="OM17" s="12" t="s">
        <v>37</v>
      </c>
      <c r="ON17" s="11" t="s">
        <v>37</v>
      </c>
      <c r="OO17" s="12" t="s">
        <v>37</v>
      </c>
      <c r="OP17" s="12" t="s">
        <v>37</v>
      </c>
      <c r="OQ17" s="12" t="s">
        <v>37</v>
      </c>
      <c r="OR17" s="12"/>
      <c r="OS17" s="12" t="s">
        <v>37</v>
      </c>
      <c r="OT17" s="12" t="s">
        <v>37</v>
      </c>
      <c r="OU17" s="12" t="s">
        <v>37</v>
      </c>
      <c r="OV17" s="12" t="s">
        <v>37</v>
      </c>
      <c r="OW17" s="12" t="s">
        <v>37</v>
      </c>
      <c r="OX17" s="12" t="s">
        <v>37</v>
      </c>
      <c r="OY17" s="12"/>
      <c r="OZ17" s="12"/>
      <c r="PA17" s="11" t="s">
        <v>37</v>
      </c>
      <c r="PB17" s="11" t="s">
        <v>37</v>
      </c>
      <c r="PC17" s="13" t="s">
        <v>37</v>
      </c>
      <c r="PD17" s="11" t="s">
        <v>37</v>
      </c>
      <c r="PE17" s="11" t="s">
        <v>37</v>
      </c>
      <c r="PF17" s="13" t="s">
        <v>37</v>
      </c>
      <c r="PG17" s="12"/>
      <c r="PH17" s="12"/>
      <c r="PI17" s="12" t="s">
        <v>37</v>
      </c>
      <c r="PJ17" s="12" t="s">
        <v>37</v>
      </c>
      <c r="PK17" s="13" t="s">
        <v>37</v>
      </c>
      <c r="PL17" s="12" t="s">
        <v>37</v>
      </c>
      <c r="PM17" s="12" t="s">
        <v>37</v>
      </c>
      <c r="PN17" s="13" t="s">
        <v>37</v>
      </c>
      <c r="PO17" s="12"/>
      <c r="PP17" s="12"/>
      <c r="PQ17" s="11" t="s">
        <v>37</v>
      </c>
      <c r="PR17" s="11" t="s">
        <v>37</v>
      </c>
      <c r="PS17" s="13" t="s">
        <v>37</v>
      </c>
      <c r="PT17" s="11" t="s">
        <v>37</v>
      </c>
      <c r="PU17" s="11" t="s">
        <v>37</v>
      </c>
      <c r="PV17" s="13" t="s">
        <v>37</v>
      </c>
      <c r="PW17" s="12"/>
      <c r="PX17" s="12"/>
      <c r="PY17" s="11" t="s">
        <v>37</v>
      </c>
      <c r="PZ17" s="11" t="s">
        <v>37</v>
      </c>
      <c r="QA17" s="11" t="s">
        <v>37</v>
      </c>
      <c r="QB17" s="11" t="s">
        <v>37</v>
      </c>
      <c r="QC17" s="11" t="s">
        <v>37</v>
      </c>
      <c r="QD17" s="11" t="s">
        <v>37</v>
      </c>
      <c r="QE17" s="12"/>
      <c r="QF17" s="12"/>
      <c r="QG17" s="11" t="s">
        <v>37</v>
      </c>
      <c r="QH17" s="11" t="s">
        <v>37</v>
      </c>
      <c r="QI17" s="13" t="s">
        <v>37</v>
      </c>
      <c r="QJ17" s="11" t="s">
        <v>37</v>
      </c>
      <c r="QK17" s="11" t="s">
        <v>37</v>
      </c>
      <c r="QL17" s="13" t="s">
        <v>37</v>
      </c>
      <c r="QM17" s="12"/>
      <c r="QN17" s="12"/>
      <c r="QO17" s="12" t="s">
        <v>37</v>
      </c>
      <c r="QP17" s="12" t="s">
        <v>37</v>
      </c>
      <c r="QQ17" s="13" t="s">
        <v>37</v>
      </c>
      <c r="QR17" s="12" t="s">
        <v>37</v>
      </c>
      <c r="QS17" s="12" t="s">
        <v>37</v>
      </c>
      <c r="QT17" s="13" t="s">
        <v>37</v>
      </c>
      <c r="QU17" s="13"/>
      <c r="QV17" s="13"/>
      <c r="QW17" s="12"/>
      <c r="QX17" s="12"/>
      <c r="QY17" s="12" t="s">
        <v>37</v>
      </c>
      <c r="QZ17" s="12" t="s">
        <v>37</v>
      </c>
      <c r="RA17" s="11" t="s">
        <v>37</v>
      </c>
      <c r="RB17" s="12" t="s">
        <v>37</v>
      </c>
      <c r="RC17" s="12" t="s">
        <v>37</v>
      </c>
      <c r="RD17" s="11" t="s">
        <v>37</v>
      </c>
      <c r="RE17" s="11"/>
      <c r="RF17" s="11"/>
      <c r="RG17" s="12"/>
      <c r="RH17" s="12"/>
      <c r="RI17" s="12" t="s">
        <v>37</v>
      </c>
      <c r="RJ17" s="12" t="s">
        <v>37</v>
      </c>
      <c r="RK17" s="11" t="s">
        <v>37</v>
      </c>
      <c r="RL17" s="12" t="s">
        <v>37</v>
      </c>
      <c r="RM17" s="12" t="s">
        <v>37</v>
      </c>
      <c r="RN17" s="11" t="s">
        <v>37</v>
      </c>
      <c r="RO17" s="11"/>
      <c r="RP17" s="11"/>
      <c r="RQ17" s="12"/>
      <c r="RR17" s="12"/>
      <c r="RS17" s="12" t="s">
        <v>37</v>
      </c>
      <c r="RT17" s="12" t="s">
        <v>37</v>
      </c>
      <c r="RU17" s="11" t="s">
        <v>37</v>
      </c>
      <c r="RV17" s="12" t="s">
        <v>37</v>
      </c>
      <c r="RW17" s="12" t="s">
        <v>37</v>
      </c>
      <c r="RX17" s="11" t="s">
        <v>37</v>
      </c>
      <c r="RY17" s="11"/>
      <c r="RZ17" s="11"/>
      <c r="SA17" s="12"/>
      <c r="SB17" s="12"/>
      <c r="SC17" s="12" t="s">
        <v>37</v>
      </c>
      <c r="SD17" s="12" t="s">
        <v>37</v>
      </c>
      <c r="SE17" s="12" t="s">
        <v>37</v>
      </c>
      <c r="SF17" s="12" t="s">
        <v>37</v>
      </c>
      <c r="SG17" s="12" t="s">
        <v>37</v>
      </c>
      <c r="SH17" s="12" t="s">
        <v>37</v>
      </c>
      <c r="SI17" s="12"/>
      <c r="SJ17" s="12"/>
      <c r="SK17" s="12"/>
      <c r="SL17" s="12"/>
      <c r="SM17" s="12" t="s">
        <v>37</v>
      </c>
      <c r="SN17" s="12" t="s">
        <v>37</v>
      </c>
      <c r="SO17" s="12" t="s">
        <v>37</v>
      </c>
      <c r="SP17" s="12" t="s">
        <v>37</v>
      </c>
      <c r="SQ17" s="12" t="s">
        <v>37</v>
      </c>
      <c r="SR17" s="12" t="s">
        <v>37</v>
      </c>
      <c r="SS17" s="12"/>
      <c r="ST17" s="12"/>
      <c r="SU17" s="12"/>
      <c r="SV17" s="12"/>
      <c r="SW17" s="12" t="s">
        <v>37</v>
      </c>
      <c r="SX17" s="12" t="s">
        <v>37</v>
      </c>
      <c r="SY17" s="12" t="s">
        <v>37</v>
      </c>
      <c r="SZ17" s="12" t="s">
        <v>37</v>
      </c>
      <c r="TA17" s="12" t="s">
        <v>37</v>
      </c>
      <c r="TB17" s="12" t="s">
        <v>37</v>
      </c>
      <c r="TC17" s="12"/>
      <c r="TD17" s="12"/>
      <c r="TE17" s="12"/>
      <c r="TF17" s="12"/>
      <c r="TG17" s="13" t="s">
        <v>37</v>
      </c>
      <c r="TH17" s="13" t="s">
        <v>37</v>
      </c>
      <c r="TI17" s="13" t="s">
        <v>37</v>
      </c>
      <c r="TJ17" s="13" t="s">
        <v>37</v>
      </c>
      <c r="TK17" s="13" t="s">
        <v>37</v>
      </c>
      <c r="TL17" s="13" t="s">
        <v>37</v>
      </c>
      <c r="TM17" s="13"/>
      <c r="TN17" s="13"/>
      <c r="TO17" s="12"/>
      <c r="TP17" s="12"/>
      <c r="TQ17" s="13" t="s">
        <v>37</v>
      </c>
      <c r="TR17" s="13" t="s">
        <v>37</v>
      </c>
      <c r="TS17" s="13" t="s">
        <v>37</v>
      </c>
      <c r="TT17" s="19"/>
      <c r="TU17" s="13" t="s">
        <v>37</v>
      </c>
      <c r="TV17" s="13" t="s">
        <v>37</v>
      </c>
      <c r="TW17" s="13" t="s">
        <v>37</v>
      </c>
    </row>
    <row r="18" spans="1:543" ht="17.399999999999999" x14ac:dyDescent="0.4">
      <c r="A18" s="11">
        <v>8</v>
      </c>
      <c r="B18" s="16" t="s">
        <v>213</v>
      </c>
      <c r="C18" s="12" t="s">
        <v>26</v>
      </c>
      <c r="D18" s="12" t="s">
        <v>609</v>
      </c>
      <c r="E18" s="14">
        <v>2.5</v>
      </c>
      <c r="F18" s="14">
        <v>0</v>
      </c>
      <c r="G18" s="14">
        <v>0</v>
      </c>
      <c r="H18" s="12" t="s">
        <v>79</v>
      </c>
      <c r="I18" s="29">
        <v>33.9</v>
      </c>
      <c r="J18" s="29">
        <v>102.6</v>
      </c>
      <c r="K18" s="12" t="s">
        <v>803</v>
      </c>
      <c r="L18" s="12" t="s">
        <v>804</v>
      </c>
      <c r="M18" s="13">
        <v>3500</v>
      </c>
      <c r="N18" s="14">
        <v>1.1000000000000001</v>
      </c>
      <c r="O18" s="14">
        <v>753</v>
      </c>
      <c r="P18" s="14" t="s">
        <v>16</v>
      </c>
      <c r="Q18" s="11" t="s">
        <v>214</v>
      </c>
      <c r="R18" s="11" t="s">
        <v>37</v>
      </c>
      <c r="S18" s="12" t="s">
        <v>93</v>
      </c>
      <c r="T18" s="12" t="s">
        <v>138</v>
      </c>
      <c r="U18" s="12" t="s">
        <v>158</v>
      </c>
      <c r="V18" s="12" t="s">
        <v>274</v>
      </c>
      <c r="W18" s="23" t="s">
        <v>224</v>
      </c>
      <c r="X18" s="12" t="s">
        <v>280</v>
      </c>
      <c r="Y18" s="12" t="s">
        <v>69</v>
      </c>
      <c r="Z18" s="12" t="s">
        <v>37</v>
      </c>
      <c r="AA18" s="32">
        <v>2012</v>
      </c>
      <c r="AB18" s="12" t="s">
        <v>37</v>
      </c>
      <c r="AC18" s="12" t="s">
        <v>37</v>
      </c>
      <c r="AD18" s="12" t="s">
        <v>215</v>
      </c>
      <c r="AE18" s="12" t="s">
        <v>74</v>
      </c>
      <c r="AF18" s="12" t="s">
        <v>489</v>
      </c>
      <c r="AG18" s="12" t="s">
        <v>42</v>
      </c>
      <c r="AH18" s="32" t="s">
        <v>345</v>
      </c>
      <c r="AI18" s="12">
        <v>252.51</v>
      </c>
      <c r="AJ18" s="12">
        <f>10.05*SQRT(4)</f>
        <v>20.100000000000001</v>
      </c>
      <c r="AK18" s="11">
        <v>4</v>
      </c>
      <c r="AL18" s="19">
        <f t="shared" si="94"/>
        <v>7.960080788879649E-2</v>
      </c>
      <c r="AM18" s="12" t="s">
        <v>37</v>
      </c>
      <c r="AN18" s="12" t="s">
        <v>37</v>
      </c>
      <c r="AO18" s="13" t="s">
        <v>37</v>
      </c>
      <c r="AP18" s="19"/>
      <c r="AQ18" s="49"/>
      <c r="AR18" s="19"/>
      <c r="AS18" s="32" t="s">
        <v>422</v>
      </c>
      <c r="AT18" s="12">
        <v>229.89</v>
      </c>
      <c r="AU18" s="12">
        <f>16.91*SQRT(4)</f>
        <v>33.82</v>
      </c>
      <c r="AV18" s="13">
        <v>4</v>
      </c>
      <c r="AW18" s="12" t="s">
        <v>37</v>
      </c>
      <c r="AX18" s="12" t="s">
        <v>37</v>
      </c>
      <c r="AY18" s="13" t="s">
        <v>37</v>
      </c>
      <c r="AZ18" s="13"/>
      <c r="BA18" s="13"/>
      <c r="BB18" s="32" t="s">
        <v>423</v>
      </c>
      <c r="BC18" s="12">
        <v>218.54</v>
      </c>
      <c r="BD18" s="12">
        <f>13.88*SQRT(4)</f>
        <v>27.76</v>
      </c>
      <c r="BE18" s="13">
        <v>4</v>
      </c>
      <c r="BF18" s="12" t="s">
        <v>37</v>
      </c>
      <c r="BG18" s="12" t="s">
        <v>37</v>
      </c>
      <c r="BH18" s="12" t="s">
        <v>37</v>
      </c>
      <c r="BI18" s="12"/>
      <c r="BJ18" s="12" t="s">
        <v>37</v>
      </c>
      <c r="BK18" s="12" t="s">
        <v>37</v>
      </c>
      <c r="BL18" s="13" t="s">
        <v>37</v>
      </c>
      <c r="BM18" s="12" t="s">
        <v>37</v>
      </c>
      <c r="BN18" s="12" t="s">
        <v>37</v>
      </c>
      <c r="BO18" s="13" t="s">
        <v>37</v>
      </c>
      <c r="BP18" s="19"/>
      <c r="BQ18" s="19"/>
      <c r="BR18" s="19"/>
      <c r="BS18" s="19"/>
      <c r="BT18" s="12"/>
      <c r="BU18" s="12" t="s">
        <v>37</v>
      </c>
      <c r="BV18" s="12" t="s">
        <v>37</v>
      </c>
      <c r="BW18" s="13" t="s">
        <v>37</v>
      </c>
      <c r="BX18" s="12" t="s">
        <v>37</v>
      </c>
      <c r="BY18" s="12" t="s">
        <v>37</v>
      </c>
      <c r="BZ18" s="13" t="s">
        <v>37</v>
      </c>
      <c r="CA18" s="19"/>
      <c r="CB18" s="12">
        <v>85.515242412124806</v>
      </c>
      <c r="CC18" s="12"/>
      <c r="CD18" s="12"/>
      <c r="CE18" s="12"/>
      <c r="CF18" s="12" t="s">
        <v>37</v>
      </c>
      <c r="CG18" s="12" t="s">
        <v>37</v>
      </c>
      <c r="CH18" s="13" t="s">
        <v>37</v>
      </c>
      <c r="CI18" s="12" t="s">
        <v>37</v>
      </c>
      <c r="CJ18" s="12" t="s">
        <v>37</v>
      </c>
      <c r="CK18" s="13" t="s">
        <v>37</v>
      </c>
      <c r="CL18" s="19"/>
      <c r="CM18" s="19"/>
      <c r="CN18" s="19"/>
      <c r="CO18" s="19"/>
      <c r="CP18" s="15" t="s">
        <v>34</v>
      </c>
      <c r="CQ18" s="12">
        <f>4.36*10^3/42/24</f>
        <v>4.3253968253968251</v>
      </c>
      <c r="CR18" s="19">
        <f>3.26*10^3/42/24</f>
        <v>3.2341269841269842</v>
      </c>
      <c r="CS18" s="13">
        <v>5</v>
      </c>
      <c r="CT18" s="52">
        <f t="shared" si="85"/>
        <v>0.74770642201834869</v>
      </c>
      <c r="CU18" s="12">
        <f>2.52*10^3/42/24</f>
        <v>2.5</v>
      </c>
      <c r="CV18" s="19">
        <f>1.33*10^3/42/24</f>
        <v>1.3194444444444444</v>
      </c>
      <c r="CW18" s="13">
        <v>5</v>
      </c>
      <c r="CX18" s="52">
        <f t="shared" si="86"/>
        <v>0.52777777777777779</v>
      </c>
      <c r="CY18" s="68">
        <f t="shared" si="61"/>
        <v>-1.8253968253968251</v>
      </c>
      <c r="CZ18" s="12">
        <f t="shared" si="39"/>
        <v>2.469869530100083</v>
      </c>
      <c r="DA18" s="72">
        <f t="shared" si="40"/>
        <v>2.4401021982867221</v>
      </c>
      <c r="DB18" s="72">
        <f t="shared" si="41"/>
        <v>2.4401021982867221</v>
      </c>
      <c r="DC18" s="15" t="s">
        <v>34</v>
      </c>
      <c r="DD18" s="29">
        <f>1.56/24/42</f>
        <v>1.5476190476190477E-3</v>
      </c>
      <c r="DE18" s="68">
        <f>2.33/24/42</f>
        <v>2.3115079365079367E-3</v>
      </c>
      <c r="DF18" s="13">
        <v>5</v>
      </c>
      <c r="DG18" s="52">
        <f>DE18/ABS(DD18)</f>
        <v>1.4935897435897436</v>
      </c>
      <c r="DH18" s="29">
        <f>6.09/24/42</f>
        <v>6.0416666666666657E-3</v>
      </c>
      <c r="DI18" s="68">
        <f>4.89/24/42</f>
        <v>4.851190476190476E-3</v>
      </c>
      <c r="DJ18" s="13">
        <v>5</v>
      </c>
      <c r="DK18" s="52">
        <f>DI18/ABS(DH18)</f>
        <v>0.80295566502463067</v>
      </c>
      <c r="DL18" s="68">
        <f>DH18-DD18</f>
        <v>4.494047619047618E-3</v>
      </c>
      <c r="DM18" s="12">
        <f>SQRT(((DF18-1)*DE18^2+(DJ18-1)*DI18^2)/(DF18+DJ18-2))</f>
        <v>3.79981038848127E-3</v>
      </c>
      <c r="DN18" s="87">
        <f t="shared" ref="DN18" si="97">(((DF18+DJ18)/(DF18*DJ18))*(((DF18-1)*DE18^2)+(DJ18-1)*DI18^2)/(DF18+DJ18-2))</f>
        <v>5.7754235953640716E-6</v>
      </c>
      <c r="DO18" s="87">
        <f t="shared" ref="DO18" si="98">(DE18^2/DF18)+(DI18^2/DJ18)</f>
        <v>5.7754235953640716E-6</v>
      </c>
      <c r="DP18" s="12" t="s">
        <v>39</v>
      </c>
      <c r="DQ18" s="12">
        <v>0</v>
      </c>
      <c r="DR18" s="60">
        <f t="shared" ref="DR18:DR22" si="99">ABS(DQ18)*DT$61</f>
        <v>0</v>
      </c>
      <c r="DS18" s="13">
        <v>4</v>
      </c>
      <c r="DT18" s="19"/>
      <c r="DU18" s="12">
        <v>-10</v>
      </c>
      <c r="DV18" s="60">
        <f t="shared" ref="DV18:DV22" si="100">ABS(DU18)*DX$61</f>
        <v>3.4561276247041222</v>
      </c>
      <c r="DW18" s="13">
        <v>4</v>
      </c>
      <c r="DX18" s="19"/>
      <c r="DY18" s="19">
        <f t="shared" ref="DY18:DY22" si="101">DU18-DQ18</f>
        <v>-10</v>
      </c>
      <c r="DZ18" s="12">
        <f t="shared" ref="DZ18:DZ22" si="102">SQRT(((DS18-1)*DR18^2+(DW18-1)*DV18^2)/(DS18+DW18-2))</f>
        <v>2.4438512800744401</v>
      </c>
      <c r="EA18" s="72">
        <f t="shared" si="13"/>
        <v>2.9862045395607395</v>
      </c>
      <c r="EB18" s="72">
        <f t="shared" si="14"/>
        <v>2.9862045395607395</v>
      </c>
      <c r="EC18" s="12"/>
      <c r="ED18" s="12"/>
      <c r="EE18" s="12" t="s">
        <v>37</v>
      </c>
      <c r="EF18" s="12" t="s">
        <v>37</v>
      </c>
      <c r="EG18" s="11" t="s">
        <v>37</v>
      </c>
      <c r="EH18" s="19"/>
      <c r="EI18" s="12" t="s">
        <v>37</v>
      </c>
      <c r="EJ18" s="20" t="s">
        <v>37</v>
      </c>
      <c r="EK18" s="11" t="s">
        <v>37</v>
      </c>
      <c r="EL18" s="19"/>
      <c r="EM18" s="19"/>
      <c r="EN18" s="19"/>
      <c r="EO18" s="19"/>
      <c r="EP18" s="19"/>
      <c r="EQ18" s="32"/>
      <c r="ER18" s="12" t="s">
        <v>37</v>
      </c>
      <c r="ES18" s="12" t="s">
        <v>37</v>
      </c>
      <c r="ET18" s="11" t="s">
        <v>37</v>
      </c>
      <c r="EU18" s="19"/>
      <c r="EV18" s="13" t="s">
        <v>37</v>
      </c>
      <c r="EW18" s="11" t="s">
        <v>37</v>
      </c>
      <c r="EX18" s="11" t="s">
        <v>37</v>
      </c>
      <c r="EY18" s="19"/>
      <c r="EZ18" s="19"/>
      <c r="FA18" s="19"/>
      <c r="FB18" s="19"/>
      <c r="FC18" s="32"/>
      <c r="FD18" s="12" t="s">
        <v>37</v>
      </c>
      <c r="FE18" s="12" t="s">
        <v>37</v>
      </c>
      <c r="FF18" s="11" t="s">
        <v>37</v>
      </c>
      <c r="FG18" s="13" t="s">
        <v>37</v>
      </c>
      <c r="FH18" s="11" t="s">
        <v>37</v>
      </c>
      <c r="FI18" s="11" t="s">
        <v>37</v>
      </c>
      <c r="FJ18" s="19"/>
      <c r="FK18" s="19"/>
      <c r="FL18" s="19"/>
      <c r="FM18" s="32"/>
      <c r="FN18" s="12" t="s">
        <v>37</v>
      </c>
      <c r="FO18" s="12" t="s">
        <v>37</v>
      </c>
      <c r="FP18" s="11" t="s">
        <v>37</v>
      </c>
      <c r="FQ18" s="13" t="s">
        <v>37</v>
      </c>
      <c r="FR18" s="11" t="s">
        <v>37</v>
      </c>
      <c r="FS18" s="11" t="s">
        <v>37</v>
      </c>
      <c r="FT18" s="19"/>
      <c r="FU18" s="19"/>
      <c r="FV18" s="19"/>
      <c r="FW18" s="12"/>
      <c r="FX18" s="12"/>
      <c r="FY18" s="12" t="s">
        <v>37</v>
      </c>
      <c r="FZ18" s="12" t="s">
        <v>37</v>
      </c>
      <c r="GA18" s="13" t="s">
        <v>37</v>
      </c>
      <c r="GB18" s="12" t="s">
        <v>37</v>
      </c>
      <c r="GC18" s="12" t="s">
        <v>37</v>
      </c>
      <c r="GD18" s="13" t="s">
        <v>37</v>
      </c>
      <c r="GE18" s="19"/>
      <c r="GF18" s="19"/>
      <c r="GG18" s="12"/>
      <c r="GH18" s="12"/>
      <c r="GI18" s="12" t="s">
        <v>37</v>
      </c>
      <c r="GJ18" s="12" t="s">
        <v>37</v>
      </c>
      <c r="GK18" s="13" t="s">
        <v>37</v>
      </c>
      <c r="GL18" s="19"/>
      <c r="GM18" s="12" t="s">
        <v>37</v>
      </c>
      <c r="GN18" s="12" t="s">
        <v>37</v>
      </c>
      <c r="GO18" s="13" t="s">
        <v>37</v>
      </c>
      <c r="GP18" s="19"/>
      <c r="GQ18" s="19"/>
      <c r="GR18" s="19"/>
      <c r="GS18" s="17"/>
      <c r="GT18" s="34"/>
      <c r="GU18" s="12" t="s">
        <v>37</v>
      </c>
      <c r="GV18" s="12" t="s">
        <v>37</v>
      </c>
      <c r="GW18" s="12" t="s">
        <v>37</v>
      </c>
      <c r="GX18" s="19"/>
      <c r="GY18" s="12" t="s">
        <v>37</v>
      </c>
      <c r="GZ18" s="12" t="s">
        <v>37</v>
      </c>
      <c r="HA18" s="12" t="s">
        <v>37</v>
      </c>
      <c r="HB18" s="19"/>
      <c r="HC18" s="19"/>
      <c r="HD18" s="19"/>
      <c r="HE18" s="34"/>
      <c r="HF18" s="12" t="s">
        <v>37</v>
      </c>
      <c r="HG18" s="12" t="s">
        <v>37</v>
      </c>
      <c r="HH18" s="13" t="s">
        <v>37</v>
      </c>
      <c r="HI18" s="12" t="s">
        <v>37</v>
      </c>
      <c r="HJ18" s="12" t="s">
        <v>37</v>
      </c>
      <c r="HK18" s="13" t="s">
        <v>37</v>
      </c>
      <c r="HL18" s="13"/>
      <c r="HM18" s="13"/>
      <c r="HN18" s="34"/>
      <c r="HO18" s="12" t="s">
        <v>37</v>
      </c>
      <c r="HP18" s="12" t="s">
        <v>37</v>
      </c>
      <c r="HQ18" s="13" t="s">
        <v>37</v>
      </c>
      <c r="HR18" s="12" t="s">
        <v>37</v>
      </c>
      <c r="HS18" s="12" t="s">
        <v>37</v>
      </c>
      <c r="HT18" s="13" t="s">
        <v>37</v>
      </c>
      <c r="HU18" s="13"/>
      <c r="HV18" s="13"/>
      <c r="HW18" s="12"/>
      <c r="HX18" s="12"/>
      <c r="HY18" s="12" t="s">
        <v>37</v>
      </c>
      <c r="HZ18" s="12" t="s">
        <v>37</v>
      </c>
      <c r="IA18" s="12" t="s">
        <v>37</v>
      </c>
      <c r="IB18" s="12" t="s">
        <v>37</v>
      </c>
      <c r="IC18" s="12" t="s">
        <v>37</v>
      </c>
      <c r="ID18" s="12" t="s">
        <v>37</v>
      </c>
      <c r="IE18" s="12"/>
      <c r="IF18" s="32" t="s">
        <v>345</v>
      </c>
      <c r="IG18" s="12">
        <v>5.33</v>
      </c>
      <c r="IH18" s="12">
        <f>0.07*SQRT(4)</f>
        <v>0.14000000000000001</v>
      </c>
      <c r="II18" s="13">
        <v>4</v>
      </c>
      <c r="IJ18" s="19">
        <f>IH18/IG18</f>
        <v>2.6266416510318951E-2</v>
      </c>
      <c r="IK18" s="12" t="s">
        <v>37</v>
      </c>
      <c r="IL18" s="12" t="s">
        <v>37</v>
      </c>
      <c r="IM18" s="13" t="s">
        <v>37</v>
      </c>
      <c r="IN18" s="19"/>
      <c r="IO18" s="19"/>
      <c r="IP18" s="19"/>
      <c r="IQ18" s="32" t="s">
        <v>422</v>
      </c>
      <c r="IR18" s="12">
        <v>5.17</v>
      </c>
      <c r="IS18" s="12">
        <f>0.14*SQRT(4)</f>
        <v>0.28000000000000003</v>
      </c>
      <c r="IT18" s="13">
        <v>4</v>
      </c>
      <c r="IU18" s="12" t="s">
        <v>37</v>
      </c>
      <c r="IV18" s="12" t="s">
        <v>37</v>
      </c>
      <c r="IW18" s="12" t="s">
        <v>37</v>
      </c>
      <c r="IX18" s="32" t="s">
        <v>423</v>
      </c>
      <c r="IY18" s="12">
        <v>5.28</v>
      </c>
      <c r="IZ18" s="12">
        <f>0.06*SQRT(4)</f>
        <v>0.12</v>
      </c>
      <c r="JA18" s="13">
        <v>4</v>
      </c>
      <c r="JB18" s="12" t="s">
        <v>37</v>
      </c>
      <c r="JC18" s="12" t="s">
        <v>37</v>
      </c>
      <c r="JD18" s="12" t="s">
        <v>37</v>
      </c>
      <c r="JE18" s="12"/>
      <c r="JF18" s="12"/>
      <c r="JG18" s="11" t="s">
        <v>37</v>
      </c>
      <c r="JH18" s="11" t="s">
        <v>37</v>
      </c>
      <c r="JI18" s="13" t="s">
        <v>37</v>
      </c>
      <c r="JJ18" s="11" t="s">
        <v>37</v>
      </c>
      <c r="JK18" s="11" t="s">
        <v>37</v>
      </c>
      <c r="JL18" s="11" t="s">
        <v>37</v>
      </c>
      <c r="JM18" s="12" t="s">
        <v>42</v>
      </c>
      <c r="JN18" s="32" t="s">
        <v>345</v>
      </c>
      <c r="JO18" s="12">
        <v>20.8</v>
      </c>
      <c r="JP18" s="12">
        <f>1.28*SQRT(4)</f>
        <v>2.56</v>
      </c>
      <c r="JQ18" s="11">
        <v>4</v>
      </c>
      <c r="JR18" s="19"/>
      <c r="JS18" s="12" t="s">
        <v>37</v>
      </c>
      <c r="JT18" s="12" t="s">
        <v>37</v>
      </c>
      <c r="JU18" s="13" t="s">
        <v>37</v>
      </c>
      <c r="JV18" s="19"/>
      <c r="JW18" s="19"/>
      <c r="JX18" s="19"/>
      <c r="JY18" s="32" t="s">
        <v>422</v>
      </c>
      <c r="JZ18" s="12">
        <v>19.62</v>
      </c>
      <c r="KA18" s="12">
        <f>1.09*SQRT(4)</f>
        <v>2.1800000000000002</v>
      </c>
      <c r="KB18" s="13">
        <v>4</v>
      </c>
      <c r="KC18" s="12" t="s">
        <v>37</v>
      </c>
      <c r="KD18" s="12" t="s">
        <v>37</v>
      </c>
      <c r="KE18" s="13" t="s">
        <v>37</v>
      </c>
      <c r="KF18" s="13"/>
      <c r="KG18" s="13"/>
      <c r="KH18" s="32" t="s">
        <v>423</v>
      </c>
      <c r="KI18" s="12">
        <v>19.28</v>
      </c>
      <c r="KJ18" s="12">
        <f>0.74*SQRT(4)</f>
        <v>1.48</v>
      </c>
      <c r="KK18" s="13">
        <v>4</v>
      </c>
      <c r="KL18" s="12" t="s">
        <v>37</v>
      </c>
      <c r="KM18" s="12" t="s">
        <v>37</v>
      </c>
      <c r="KN18" s="12" t="s">
        <v>37</v>
      </c>
      <c r="KO18" s="12"/>
      <c r="KP18" s="12"/>
      <c r="KQ18" s="12"/>
      <c r="KR18" s="12" t="str">
        <f t="shared" si="87"/>
        <v>0-10</v>
      </c>
      <c r="KS18" s="12">
        <f t="shared" si="88"/>
        <v>12.139903846153846</v>
      </c>
      <c r="KT18" s="12">
        <f>SQRT((1/JO18)^2*AJ18^2+AI18^2*(-1/JO18^2)^2*JP18^2)</f>
        <v>1.7794058672999709</v>
      </c>
      <c r="KU18" s="13">
        <f t="shared" si="89"/>
        <v>4</v>
      </c>
      <c r="KV18" s="19">
        <f t="shared" si="90"/>
        <v>0.14657495560508255</v>
      </c>
      <c r="KW18" s="13" t="str">
        <f t="shared" si="91"/>
        <v>/</v>
      </c>
      <c r="KX18" s="13" t="str">
        <f t="shared" si="92"/>
        <v>/</v>
      </c>
      <c r="KY18" s="13" t="str">
        <f t="shared" si="93"/>
        <v>/</v>
      </c>
      <c r="KZ18" s="19"/>
      <c r="LA18" s="19"/>
      <c r="LB18" s="19"/>
      <c r="LC18" s="12" t="str">
        <f t="shared" ref="LC18" si="103">JY18</f>
        <v>10-20</v>
      </c>
      <c r="LD18" s="12">
        <f>AT18/JZ18</f>
        <v>11.717125382262996</v>
      </c>
      <c r="LE18" s="12">
        <f>SQRT((1/JZ18)^2*AU18^2+AT18^2*(-1/JZ18^2)^2*KA18^2)</f>
        <v>2.1601549501642765</v>
      </c>
      <c r="LF18" s="13">
        <f t="shared" ref="LF18" si="104">KB18</f>
        <v>4</v>
      </c>
      <c r="LG18" s="19" t="str">
        <f t="shared" si="19"/>
        <v>/</v>
      </c>
      <c r="LH18" s="19" t="str">
        <f t="shared" si="20"/>
        <v>/</v>
      </c>
      <c r="LI18" s="13" t="str">
        <f t="shared" si="21"/>
        <v>/</v>
      </c>
      <c r="LJ18" s="13"/>
      <c r="LK18" s="13"/>
      <c r="LL18" s="12" t="str">
        <f t="shared" ref="LL18" si="105">KH18</f>
        <v>20-30</v>
      </c>
      <c r="LM18" s="12">
        <f>BC18/KI18</f>
        <v>11.3350622406639</v>
      </c>
      <c r="LN18" s="12">
        <f>SQRT((1/KI18)^2*BD18^2+BC18^2*(-1/KI18^2)^2*KJ18^2)</f>
        <v>1.6823284145762238</v>
      </c>
      <c r="LO18" s="13">
        <f t="shared" ref="LO18" si="106">KK18</f>
        <v>4</v>
      </c>
      <c r="LP18" s="12" t="e">
        <f>BF18/KL18</f>
        <v>#VALUE!</v>
      </c>
      <c r="LQ18" s="12" t="e">
        <f>SQRT((1/KL18)^2*BG18^2+BF18^2*(-1/KL18^2)^2*KM18^2)</f>
        <v>#VALUE!</v>
      </c>
      <c r="LR18" s="13" t="str">
        <f t="shared" ref="LR18" si="107">KN18</f>
        <v>/</v>
      </c>
      <c r="LS18" s="12"/>
      <c r="LT18" s="12"/>
      <c r="LU18" s="12" t="s">
        <v>37</v>
      </c>
      <c r="LV18" s="12" t="s">
        <v>37</v>
      </c>
      <c r="LW18" s="13" t="s">
        <v>37</v>
      </c>
      <c r="LX18" s="12" t="s">
        <v>37</v>
      </c>
      <c r="LY18" s="12" t="s">
        <v>37</v>
      </c>
      <c r="LZ18" s="13" t="s">
        <v>37</v>
      </c>
      <c r="MA18" s="13"/>
      <c r="MB18" s="13"/>
      <c r="MC18" s="12"/>
      <c r="MD18" s="12"/>
      <c r="ME18" s="12" t="s">
        <v>37</v>
      </c>
      <c r="MF18" s="12" t="s">
        <v>37</v>
      </c>
      <c r="MG18" s="13" t="s">
        <v>37</v>
      </c>
      <c r="MH18" s="12" t="s">
        <v>37</v>
      </c>
      <c r="MI18" s="12" t="s">
        <v>37</v>
      </c>
      <c r="MJ18" s="13" t="s">
        <v>37</v>
      </c>
      <c r="MK18" s="13"/>
      <c r="ML18" s="13"/>
      <c r="MM18" s="12"/>
      <c r="MN18" s="12"/>
      <c r="MO18" s="12" t="s">
        <v>37</v>
      </c>
      <c r="MP18" s="12" t="s">
        <v>37</v>
      </c>
      <c r="MQ18" s="13" t="s">
        <v>37</v>
      </c>
      <c r="MR18" s="12" t="s">
        <v>37</v>
      </c>
      <c r="MS18" s="12" t="s">
        <v>37</v>
      </c>
      <c r="MT18" s="13" t="s">
        <v>37</v>
      </c>
      <c r="MU18" s="13"/>
      <c r="MV18" s="13"/>
      <c r="MW18" s="12"/>
      <c r="MX18" s="12"/>
      <c r="MY18" s="12" t="s">
        <v>37</v>
      </c>
      <c r="MZ18" s="12" t="s">
        <v>37</v>
      </c>
      <c r="NA18" s="12" t="s">
        <v>37</v>
      </c>
      <c r="NB18" s="12" t="s">
        <v>37</v>
      </c>
      <c r="NC18" s="12" t="s">
        <v>37</v>
      </c>
      <c r="ND18" s="12" t="s">
        <v>37</v>
      </c>
      <c r="NE18" s="12"/>
      <c r="NF18" s="12"/>
      <c r="NG18" s="12"/>
      <c r="NH18" s="12"/>
      <c r="NI18" s="12" t="s">
        <v>37</v>
      </c>
      <c r="NJ18" s="12" t="s">
        <v>37</v>
      </c>
      <c r="NK18" s="13" t="s">
        <v>37</v>
      </c>
      <c r="NL18" s="12" t="s">
        <v>37</v>
      </c>
      <c r="NM18" s="12" t="s">
        <v>37</v>
      </c>
      <c r="NN18" s="13" t="s">
        <v>37</v>
      </c>
      <c r="NO18" s="13"/>
      <c r="NP18" s="13"/>
      <c r="NQ18" s="12"/>
      <c r="NR18" s="12"/>
      <c r="NS18" s="11" t="s">
        <v>37</v>
      </c>
      <c r="NT18" s="11" t="s">
        <v>37</v>
      </c>
      <c r="NU18" s="13" t="s">
        <v>37</v>
      </c>
      <c r="NV18" s="11" t="s">
        <v>37</v>
      </c>
      <c r="NW18" s="11" t="s">
        <v>37</v>
      </c>
      <c r="NX18" s="13" t="s">
        <v>37</v>
      </c>
      <c r="NY18" s="13"/>
      <c r="NZ18" s="13"/>
      <c r="OA18" s="12"/>
      <c r="OB18" s="12"/>
      <c r="OC18" s="12" t="s">
        <v>37</v>
      </c>
      <c r="OD18" s="12" t="s">
        <v>37</v>
      </c>
      <c r="OE18" s="12" t="s">
        <v>37</v>
      </c>
      <c r="OF18" s="12" t="s">
        <v>37</v>
      </c>
      <c r="OG18" s="12" t="s">
        <v>37</v>
      </c>
      <c r="OH18" s="12" t="s">
        <v>37</v>
      </c>
      <c r="OI18" s="12"/>
      <c r="OJ18" s="12"/>
      <c r="OK18" s="12"/>
      <c r="OL18" s="12" t="s">
        <v>37</v>
      </c>
      <c r="OM18" s="12" t="s">
        <v>37</v>
      </c>
      <c r="ON18" s="11" t="s">
        <v>37</v>
      </c>
      <c r="OO18" s="12" t="s">
        <v>37</v>
      </c>
      <c r="OP18" s="12" t="s">
        <v>37</v>
      </c>
      <c r="OQ18" s="12" t="s">
        <v>37</v>
      </c>
      <c r="OR18" s="12"/>
      <c r="OS18" s="12" t="s">
        <v>37</v>
      </c>
      <c r="OT18" s="12" t="s">
        <v>37</v>
      </c>
      <c r="OU18" s="12" t="s">
        <v>37</v>
      </c>
      <c r="OV18" s="12" t="s">
        <v>37</v>
      </c>
      <c r="OW18" s="12" t="s">
        <v>37</v>
      </c>
      <c r="OX18" s="12" t="s">
        <v>37</v>
      </c>
      <c r="OY18" s="12"/>
      <c r="OZ18" s="12"/>
      <c r="PA18" s="11" t="s">
        <v>37</v>
      </c>
      <c r="PB18" s="11" t="s">
        <v>37</v>
      </c>
      <c r="PC18" s="13" t="s">
        <v>37</v>
      </c>
      <c r="PD18" s="11" t="s">
        <v>37</v>
      </c>
      <c r="PE18" s="11" t="s">
        <v>37</v>
      </c>
      <c r="PF18" s="13" t="s">
        <v>37</v>
      </c>
      <c r="PG18" s="12"/>
      <c r="PH18" s="12"/>
      <c r="PI18" s="12" t="s">
        <v>37</v>
      </c>
      <c r="PJ18" s="12" t="s">
        <v>37</v>
      </c>
      <c r="PK18" s="13" t="s">
        <v>37</v>
      </c>
      <c r="PL18" s="12" t="s">
        <v>37</v>
      </c>
      <c r="PM18" s="12" t="s">
        <v>37</v>
      </c>
      <c r="PN18" s="13" t="s">
        <v>37</v>
      </c>
      <c r="PO18" s="12"/>
      <c r="PP18" s="12"/>
      <c r="PQ18" s="11" t="s">
        <v>37</v>
      </c>
      <c r="PR18" s="11" t="s">
        <v>37</v>
      </c>
      <c r="PS18" s="13" t="s">
        <v>37</v>
      </c>
      <c r="PT18" s="11" t="s">
        <v>37</v>
      </c>
      <c r="PU18" s="11" t="s">
        <v>37</v>
      </c>
      <c r="PV18" s="13" t="s">
        <v>37</v>
      </c>
      <c r="PW18" s="12"/>
      <c r="PX18" s="12"/>
      <c r="PY18" s="11" t="s">
        <v>37</v>
      </c>
      <c r="PZ18" s="11" t="s">
        <v>37</v>
      </c>
      <c r="QA18" s="11" t="s">
        <v>37</v>
      </c>
      <c r="QB18" s="11" t="s">
        <v>37</v>
      </c>
      <c r="QC18" s="11" t="s">
        <v>37</v>
      </c>
      <c r="QD18" s="11" t="s">
        <v>37</v>
      </c>
      <c r="QE18" s="12"/>
      <c r="QF18" s="12"/>
      <c r="QG18" s="11" t="s">
        <v>37</v>
      </c>
      <c r="QH18" s="11" t="s">
        <v>37</v>
      </c>
      <c r="QI18" s="13" t="s">
        <v>37</v>
      </c>
      <c r="QJ18" s="11" t="s">
        <v>37</v>
      </c>
      <c r="QK18" s="11" t="s">
        <v>37</v>
      </c>
      <c r="QL18" s="13" t="s">
        <v>37</v>
      </c>
      <c r="QM18" s="12" t="s">
        <v>42</v>
      </c>
      <c r="QN18" s="12" t="s">
        <v>345</v>
      </c>
      <c r="QO18" s="12">
        <v>0.88</v>
      </c>
      <c r="QP18" s="12">
        <f>0.06*SQRT(4)</f>
        <v>0.12</v>
      </c>
      <c r="QQ18" s="13">
        <v>4</v>
      </c>
      <c r="QR18" s="12" t="s">
        <v>37</v>
      </c>
      <c r="QS18" s="12" t="s">
        <v>37</v>
      </c>
      <c r="QT18" s="12" t="s">
        <v>37</v>
      </c>
      <c r="QU18" s="12"/>
      <c r="QV18" s="12"/>
      <c r="QW18" s="12"/>
      <c r="QX18" s="12"/>
      <c r="QY18" s="12" t="s">
        <v>37</v>
      </c>
      <c r="QZ18" s="12" t="s">
        <v>37</v>
      </c>
      <c r="RA18" s="11" t="s">
        <v>37</v>
      </c>
      <c r="RB18" s="12" t="s">
        <v>37</v>
      </c>
      <c r="RC18" s="12" t="s">
        <v>37</v>
      </c>
      <c r="RD18" s="11" t="s">
        <v>37</v>
      </c>
      <c r="RE18" s="11"/>
      <c r="RF18" s="11"/>
      <c r="RG18" s="12"/>
      <c r="RH18" s="12"/>
      <c r="RI18" s="12" t="s">
        <v>37</v>
      </c>
      <c r="RJ18" s="12" t="s">
        <v>37</v>
      </c>
      <c r="RK18" s="11" t="s">
        <v>37</v>
      </c>
      <c r="RL18" s="12" t="s">
        <v>37</v>
      </c>
      <c r="RM18" s="12" t="s">
        <v>37</v>
      </c>
      <c r="RN18" s="11" t="s">
        <v>37</v>
      </c>
      <c r="RO18" s="11"/>
      <c r="RP18" s="11"/>
      <c r="RQ18" s="12"/>
      <c r="RR18" s="12"/>
      <c r="RS18" s="12" t="s">
        <v>37</v>
      </c>
      <c r="RT18" s="12" t="s">
        <v>37</v>
      </c>
      <c r="RU18" s="11" t="s">
        <v>37</v>
      </c>
      <c r="RV18" s="12" t="s">
        <v>37</v>
      </c>
      <c r="RW18" s="12" t="s">
        <v>37</v>
      </c>
      <c r="RX18" s="11" t="s">
        <v>37</v>
      </c>
      <c r="RY18" s="11"/>
      <c r="RZ18" s="11"/>
      <c r="SA18" s="12"/>
      <c r="SB18" s="12"/>
      <c r="SC18" s="12" t="s">
        <v>37</v>
      </c>
      <c r="SD18" s="12" t="s">
        <v>37</v>
      </c>
      <c r="SE18" s="12" t="s">
        <v>37</v>
      </c>
      <c r="SF18" s="12" t="s">
        <v>37</v>
      </c>
      <c r="SG18" s="12" t="s">
        <v>37</v>
      </c>
      <c r="SH18" s="12" t="s">
        <v>37</v>
      </c>
      <c r="SI18" s="12"/>
      <c r="SJ18" s="12"/>
      <c r="SK18" s="12"/>
      <c r="SL18" s="12"/>
      <c r="SM18" s="12" t="s">
        <v>37</v>
      </c>
      <c r="SN18" s="12" t="s">
        <v>37</v>
      </c>
      <c r="SO18" s="12" t="s">
        <v>37</v>
      </c>
      <c r="SP18" s="12" t="s">
        <v>37</v>
      </c>
      <c r="SQ18" s="12" t="s">
        <v>37</v>
      </c>
      <c r="SR18" s="12" t="s">
        <v>37</v>
      </c>
      <c r="SS18" s="12"/>
      <c r="ST18" s="12"/>
      <c r="SU18" s="12"/>
      <c r="SV18" s="12"/>
      <c r="SW18" s="12" t="s">
        <v>37</v>
      </c>
      <c r="SX18" s="12" t="s">
        <v>37</v>
      </c>
      <c r="SY18" s="12" t="s">
        <v>37</v>
      </c>
      <c r="SZ18" s="12" t="s">
        <v>37</v>
      </c>
      <c r="TA18" s="12" t="s">
        <v>37</v>
      </c>
      <c r="TB18" s="12" t="s">
        <v>37</v>
      </c>
      <c r="TC18" s="12"/>
      <c r="TD18" s="12"/>
      <c r="TE18" s="12"/>
      <c r="TF18" s="12"/>
      <c r="TG18" s="13" t="s">
        <v>37</v>
      </c>
      <c r="TH18" s="13" t="s">
        <v>37</v>
      </c>
      <c r="TI18" s="13" t="s">
        <v>37</v>
      </c>
      <c r="TJ18" s="13" t="s">
        <v>37</v>
      </c>
      <c r="TK18" s="13" t="s">
        <v>37</v>
      </c>
      <c r="TL18" s="13" t="s">
        <v>37</v>
      </c>
      <c r="TM18" s="13"/>
      <c r="TN18" s="13"/>
      <c r="TO18" s="12"/>
      <c r="TP18" s="12"/>
      <c r="TQ18" s="13" t="s">
        <v>37</v>
      </c>
      <c r="TR18" s="13" t="s">
        <v>37</v>
      </c>
      <c r="TS18" s="13" t="s">
        <v>37</v>
      </c>
      <c r="TT18" s="19"/>
      <c r="TU18" s="13" t="s">
        <v>37</v>
      </c>
      <c r="TV18" s="13" t="s">
        <v>37</v>
      </c>
      <c r="TW18" s="13" t="s">
        <v>37</v>
      </c>
    </row>
    <row r="19" spans="1:543" ht="17.399999999999999" x14ac:dyDescent="0.4">
      <c r="A19" s="11">
        <v>9</v>
      </c>
      <c r="B19" s="16" t="s">
        <v>222</v>
      </c>
      <c r="C19" s="12" t="s">
        <v>26</v>
      </c>
      <c r="D19" s="12" t="s">
        <v>609</v>
      </c>
      <c r="E19" s="14" t="s">
        <v>371</v>
      </c>
      <c r="F19" s="14">
        <v>0</v>
      </c>
      <c r="G19" s="14">
        <v>0</v>
      </c>
      <c r="H19" s="12" t="s">
        <v>79</v>
      </c>
      <c r="I19" s="29">
        <v>33.85</v>
      </c>
      <c r="J19" s="29">
        <v>102.5</v>
      </c>
      <c r="K19" s="12" t="s">
        <v>805</v>
      </c>
      <c r="L19" s="12" t="s">
        <v>806</v>
      </c>
      <c r="M19" s="13">
        <v>3600</v>
      </c>
      <c r="N19" s="14">
        <v>1.4</v>
      </c>
      <c r="O19" s="14">
        <v>700</v>
      </c>
      <c r="P19" s="14" t="s">
        <v>16</v>
      </c>
      <c r="Q19" s="11" t="s">
        <v>223</v>
      </c>
      <c r="R19" s="11" t="s">
        <v>37</v>
      </c>
      <c r="S19" s="12" t="s">
        <v>85</v>
      </c>
      <c r="T19" s="12" t="s">
        <v>37</v>
      </c>
      <c r="U19" s="12" t="s">
        <v>158</v>
      </c>
      <c r="V19" s="12" t="s">
        <v>275</v>
      </c>
      <c r="W19" s="23" t="s">
        <v>529</v>
      </c>
      <c r="X19" s="12" t="s">
        <v>280</v>
      </c>
      <c r="Y19" s="12" t="s">
        <v>69</v>
      </c>
      <c r="Z19" s="12" t="s">
        <v>217</v>
      </c>
      <c r="AA19" s="32" t="s">
        <v>528</v>
      </c>
      <c r="AB19" s="12" t="s">
        <v>317</v>
      </c>
      <c r="AC19" s="12" t="s">
        <v>37</v>
      </c>
      <c r="AD19" s="12" t="s">
        <v>167</v>
      </c>
      <c r="AE19" s="12" t="s">
        <v>74</v>
      </c>
      <c r="AF19" s="12" t="s">
        <v>483</v>
      </c>
      <c r="AG19" s="12" t="s">
        <v>148</v>
      </c>
      <c r="AH19" s="32" t="s">
        <v>345</v>
      </c>
      <c r="AI19" s="12">
        <v>58.6</v>
      </c>
      <c r="AJ19" s="60">
        <f t="shared" ref="AJ19:AJ22" si="108">AI19*AL$61</f>
        <v>2.132731319038434</v>
      </c>
      <c r="AK19" s="11">
        <v>3</v>
      </c>
      <c r="AL19" s="19"/>
      <c r="AM19" s="12" t="s">
        <v>37</v>
      </c>
      <c r="AN19" s="12" t="s">
        <v>37</v>
      </c>
      <c r="AO19" s="13" t="s">
        <v>37</v>
      </c>
      <c r="AP19" s="19"/>
      <c r="AQ19" s="49"/>
      <c r="AR19" s="49"/>
      <c r="AS19" s="32"/>
      <c r="AT19" s="12" t="s">
        <v>37</v>
      </c>
      <c r="AU19" s="12" t="s">
        <v>37</v>
      </c>
      <c r="AV19" s="13" t="s">
        <v>37</v>
      </c>
      <c r="AW19" s="12" t="s">
        <v>37</v>
      </c>
      <c r="AX19" s="12" t="s">
        <v>37</v>
      </c>
      <c r="AY19" s="13" t="s">
        <v>37</v>
      </c>
      <c r="AZ19" s="13"/>
      <c r="BA19" s="13"/>
      <c r="BB19" s="12"/>
      <c r="BC19" s="12" t="s">
        <v>37</v>
      </c>
      <c r="BD19" s="12" t="s">
        <v>37</v>
      </c>
      <c r="BE19" s="13" t="s">
        <v>37</v>
      </c>
      <c r="BF19" s="12" t="s">
        <v>37</v>
      </c>
      <c r="BG19" s="12" t="s">
        <v>37</v>
      </c>
      <c r="BH19" s="12" t="s">
        <v>37</v>
      </c>
      <c r="BI19" s="12"/>
      <c r="BJ19" s="12" t="s">
        <v>37</v>
      </c>
      <c r="BK19" s="12" t="s">
        <v>37</v>
      </c>
      <c r="BL19" s="13" t="s">
        <v>37</v>
      </c>
      <c r="BM19" s="12" t="s">
        <v>37</v>
      </c>
      <c r="BN19" s="12" t="s">
        <v>37</v>
      </c>
      <c r="BO19" s="13" t="s">
        <v>37</v>
      </c>
      <c r="BP19" s="19"/>
      <c r="BQ19" s="19"/>
      <c r="BR19" s="19"/>
      <c r="BS19" s="19"/>
      <c r="BT19" s="12"/>
      <c r="BU19" s="12" t="s">
        <v>37</v>
      </c>
      <c r="BV19" s="12" t="s">
        <v>37</v>
      </c>
      <c r="BW19" s="13" t="s">
        <v>37</v>
      </c>
      <c r="BX19" s="12" t="s">
        <v>37</v>
      </c>
      <c r="BY19" s="12" t="s">
        <v>37</v>
      </c>
      <c r="BZ19" s="13" t="s">
        <v>37</v>
      </c>
      <c r="CA19" s="19"/>
      <c r="CB19" s="12">
        <v>160.12848419233225</v>
      </c>
      <c r="CC19" s="12"/>
      <c r="CD19" s="12"/>
      <c r="CE19" s="12"/>
      <c r="CF19" s="12" t="s">
        <v>37</v>
      </c>
      <c r="CG19" s="12" t="s">
        <v>37</v>
      </c>
      <c r="CH19" s="13" t="s">
        <v>37</v>
      </c>
      <c r="CI19" s="12" t="s">
        <v>37</v>
      </c>
      <c r="CJ19" s="12" t="s">
        <v>37</v>
      </c>
      <c r="CK19" s="13" t="s">
        <v>37</v>
      </c>
      <c r="CL19" s="19"/>
      <c r="CM19" s="19"/>
      <c r="CN19" s="19"/>
      <c r="CO19" s="19"/>
      <c r="CP19" s="11" t="s">
        <v>34</v>
      </c>
      <c r="CQ19" s="12">
        <v>0.53</v>
      </c>
      <c r="CR19" s="19">
        <v>0.61</v>
      </c>
      <c r="CS19" s="13">
        <v>3</v>
      </c>
      <c r="CT19" s="52">
        <f t="shared" si="85"/>
        <v>1.1509433962264151</v>
      </c>
      <c r="CU19" s="12">
        <v>0.44</v>
      </c>
      <c r="CV19" s="19">
        <v>0.49</v>
      </c>
      <c r="CW19" s="13">
        <v>3</v>
      </c>
      <c r="CX19" s="52">
        <f t="shared" si="86"/>
        <v>1.1136363636363635</v>
      </c>
      <c r="CY19" s="68">
        <f t="shared" si="61"/>
        <v>-9.0000000000000024E-2</v>
      </c>
      <c r="CZ19" s="12">
        <f t="shared" si="39"/>
        <v>0.55326304774492208</v>
      </c>
      <c r="DA19" s="72">
        <f t="shared" si="40"/>
        <v>0.20406666666666665</v>
      </c>
      <c r="DB19" s="72">
        <f t="shared" si="41"/>
        <v>0.20406666666666667</v>
      </c>
      <c r="DC19" s="11"/>
      <c r="DD19" s="12" t="s">
        <v>37</v>
      </c>
      <c r="DE19" s="68" t="s">
        <v>37</v>
      </c>
      <c r="DF19" s="12" t="s">
        <v>37</v>
      </c>
      <c r="DG19" s="19"/>
      <c r="DH19" s="12" t="s">
        <v>37</v>
      </c>
      <c r="DI19" s="68" t="s">
        <v>37</v>
      </c>
      <c r="DJ19" s="12" t="s">
        <v>37</v>
      </c>
      <c r="DK19" s="19"/>
      <c r="DL19" s="68"/>
      <c r="DM19" s="68"/>
      <c r="DN19" s="68"/>
      <c r="DO19" s="68"/>
      <c r="DP19" s="12" t="s">
        <v>39</v>
      </c>
      <c r="DQ19" s="12">
        <v>-10</v>
      </c>
      <c r="DR19" s="60">
        <f t="shared" si="99"/>
        <v>4.04</v>
      </c>
      <c r="DS19" s="13">
        <v>3</v>
      </c>
      <c r="DT19" s="19"/>
      <c r="DU19" s="12">
        <v>-20</v>
      </c>
      <c r="DV19" s="60">
        <f t="shared" si="100"/>
        <v>6.9122552494082443</v>
      </c>
      <c r="DW19" s="13">
        <v>3</v>
      </c>
      <c r="DX19" s="19"/>
      <c r="DY19" s="19">
        <f t="shared" si="101"/>
        <v>-10</v>
      </c>
      <c r="DZ19" s="12">
        <f t="shared" si="102"/>
        <v>5.6613104769554825</v>
      </c>
      <c r="EA19" s="72">
        <f t="shared" si="13"/>
        <v>21.366957544323942</v>
      </c>
      <c r="EB19" s="72">
        <f t="shared" si="14"/>
        <v>21.366957544323945</v>
      </c>
      <c r="EC19" s="12"/>
      <c r="ED19" s="12"/>
      <c r="EE19" s="12" t="s">
        <v>37</v>
      </c>
      <c r="EF19" s="12" t="s">
        <v>37</v>
      </c>
      <c r="EG19" s="11" t="s">
        <v>37</v>
      </c>
      <c r="EH19" s="19"/>
      <c r="EI19" s="12" t="s">
        <v>37</v>
      </c>
      <c r="EJ19" s="20" t="s">
        <v>37</v>
      </c>
      <c r="EK19" s="11" t="s">
        <v>37</v>
      </c>
      <c r="EL19" s="19"/>
      <c r="EM19" s="19"/>
      <c r="EN19" s="19"/>
      <c r="EO19" s="19"/>
      <c r="EP19" s="19"/>
      <c r="EQ19" s="32"/>
      <c r="ER19" s="12" t="s">
        <v>37</v>
      </c>
      <c r="ES19" s="12" t="s">
        <v>37</v>
      </c>
      <c r="ET19" s="11" t="s">
        <v>37</v>
      </c>
      <c r="EU19" s="19"/>
      <c r="EV19" s="13" t="s">
        <v>37</v>
      </c>
      <c r="EW19" s="11" t="s">
        <v>37</v>
      </c>
      <c r="EX19" s="11" t="s">
        <v>37</v>
      </c>
      <c r="EY19" s="19"/>
      <c r="EZ19" s="19"/>
      <c r="FA19" s="19"/>
      <c r="FB19" s="19"/>
      <c r="FC19" s="32"/>
      <c r="FD19" s="12" t="s">
        <v>37</v>
      </c>
      <c r="FE19" s="12" t="s">
        <v>37</v>
      </c>
      <c r="FF19" s="11" t="s">
        <v>37</v>
      </c>
      <c r="FG19" s="13" t="s">
        <v>37</v>
      </c>
      <c r="FH19" s="11" t="s">
        <v>37</v>
      </c>
      <c r="FI19" s="11" t="s">
        <v>37</v>
      </c>
      <c r="FJ19" s="19"/>
      <c r="FK19" s="19"/>
      <c r="FL19" s="19"/>
      <c r="FM19" s="32"/>
      <c r="FN19" s="12" t="s">
        <v>37</v>
      </c>
      <c r="FO19" s="12" t="s">
        <v>37</v>
      </c>
      <c r="FP19" s="11" t="s">
        <v>37</v>
      </c>
      <c r="FQ19" s="13" t="s">
        <v>37</v>
      </c>
      <c r="FR19" s="11" t="s">
        <v>37</v>
      </c>
      <c r="FS19" s="11" t="s">
        <v>37</v>
      </c>
      <c r="FT19" s="19"/>
      <c r="FU19" s="19"/>
      <c r="FV19" s="19"/>
      <c r="FW19" s="12"/>
      <c r="FX19" s="12"/>
      <c r="FY19" s="12" t="s">
        <v>37</v>
      </c>
      <c r="FZ19" s="12" t="s">
        <v>37</v>
      </c>
      <c r="GA19" s="13" t="s">
        <v>37</v>
      </c>
      <c r="GB19" s="12" t="s">
        <v>37</v>
      </c>
      <c r="GC19" s="12" t="s">
        <v>37</v>
      </c>
      <c r="GD19" s="13" t="s">
        <v>37</v>
      </c>
      <c r="GE19" s="19"/>
      <c r="GF19" s="19"/>
      <c r="GG19" s="12"/>
      <c r="GH19" s="12"/>
      <c r="GI19" s="12" t="s">
        <v>37</v>
      </c>
      <c r="GJ19" s="12" t="s">
        <v>37</v>
      </c>
      <c r="GK19" s="13" t="s">
        <v>37</v>
      </c>
      <c r="GL19" s="19"/>
      <c r="GM19" s="12" t="s">
        <v>37</v>
      </c>
      <c r="GN19" s="12" t="s">
        <v>37</v>
      </c>
      <c r="GO19" s="13" t="s">
        <v>37</v>
      </c>
      <c r="GP19" s="19"/>
      <c r="GQ19" s="19"/>
      <c r="GR19" s="19"/>
      <c r="GS19" s="17"/>
      <c r="GT19" s="34"/>
      <c r="GU19" s="12" t="s">
        <v>37</v>
      </c>
      <c r="GV19" s="12" t="s">
        <v>37</v>
      </c>
      <c r="GW19" s="12" t="s">
        <v>37</v>
      </c>
      <c r="GX19" s="19"/>
      <c r="GY19" s="12" t="s">
        <v>37</v>
      </c>
      <c r="GZ19" s="12" t="s">
        <v>37</v>
      </c>
      <c r="HA19" s="12" t="s">
        <v>37</v>
      </c>
      <c r="HB19" s="19"/>
      <c r="HC19" s="19"/>
      <c r="HD19" s="19"/>
      <c r="HE19" s="34"/>
      <c r="HF19" s="12" t="s">
        <v>37</v>
      </c>
      <c r="HG19" s="12" t="s">
        <v>37</v>
      </c>
      <c r="HH19" s="13" t="s">
        <v>37</v>
      </c>
      <c r="HI19" s="12" t="s">
        <v>37</v>
      </c>
      <c r="HJ19" s="12" t="s">
        <v>37</v>
      </c>
      <c r="HK19" s="13" t="s">
        <v>37</v>
      </c>
      <c r="HL19" s="13"/>
      <c r="HM19" s="13"/>
      <c r="HN19" s="34"/>
      <c r="HO19" s="12" t="s">
        <v>37</v>
      </c>
      <c r="HP19" s="12" t="s">
        <v>37</v>
      </c>
      <c r="HQ19" s="13" t="s">
        <v>37</v>
      </c>
      <c r="HR19" s="12" t="s">
        <v>37</v>
      </c>
      <c r="HS19" s="12" t="s">
        <v>37</v>
      </c>
      <c r="HT19" s="13" t="s">
        <v>37</v>
      </c>
      <c r="HU19" s="13"/>
      <c r="HV19" s="13"/>
      <c r="HW19" s="12"/>
      <c r="HX19" s="12"/>
      <c r="HY19" s="12" t="s">
        <v>37</v>
      </c>
      <c r="HZ19" s="12" t="s">
        <v>37</v>
      </c>
      <c r="IA19" s="12" t="s">
        <v>37</v>
      </c>
      <c r="IB19" s="12" t="s">
        <v>37</v>
      </c>
      <c r="IC19" s="12" t="s">
        <v>37</v>
      </c>
      <c r="ID19" s="12" t="s">
        <v>37</v>
      </c>
      <c r="IE19" s="12"/>
      <c r="IF19" s="32" t="s">
        <v>345</v>
      </c>
      <c r="IG19" s="12">
        <v>6.8</v>
      </c>
      <c r="IH19" s="60">
        <f>IG19*IJ$61</f>
        <v>0.26283827429397455</v>
      </c>
      <c r="II19" s="13">
        <v>3</v>
      </c>
      <c r="IJ19" s="19"/>
      <c r="IK19" s="12" t="s">
        <v>37</v>
      </c>
      <c r="IL19" s="12" t="s">
        <v>37</v>
      </c>
      <c r="IM19" s="13" t="s">
        <v>37</v>
      </c>
      <c r="IN19" s="19"/>
      <c r="IO19" s="19"/>
      <c r="IP19" s="19"/>
      <c r="IQ19" s="32"/>
      <c r="IR19" s="12" t="s">
        <v>37</v>
      </c>
      <c r="IS19" s="12" t="s">
        <v>37</v>
      </c>
      <c r="IT19" s="13" t="s">
        <v>37</v>
      </c>
      <c r="IU19" s="12" t="s">
        <v>37</v>
      </c>
      <c r="IV19" s="12" t="s">
        <v>37</v>
      </c>
      <c r="IW19" s="12" t="s">
        <v>37</v>
      </c>
      <c r="IX19" s="32"/>
      <c r="IY19" s="12" t="s">
        <v>37</v>
      </c>
      <c r="IZ19" s="12" t="s">
        <v>37</v>
      </c>
      <c r="JA19" s="13" t="s">
        <v>37</v>
      </c>
      <c r="JB19" s="12" t="s">
        <v>37</v>
      </c>
      <c r="JC19" s="12" t="s">
        <v>37</v>
      </c>
      <c r="JD19" s="12" t="s">
        <v>37</v>
      </c>
      <c r="JE19" s="12"/>
      <c r="JF19" s="12"/>
      <c r="JG19" s="11" t="s">
        <v>37</v>
      </c>
      <c r="JH19" s="11" t="s">
        <v>37</v>
      </c>
      <c r="JI19" s="13" t="s">
        <v>37</v>
      </c>
      <c r="JJ19" s="11" t="s">
        <v>37</v>
      </c>
      <c r="JK19" s="11" t="s">
        <v>37</v>
      </c>
      <c r="JL19" s="11" t="s">
        <v>37</v>
      </c>
      <c r="JM19" s="12" t="s">
        <v>148</v>
      </c>
      <c r="JN19" s="32" t="s">
        <v>345</v>
      </c>
      <c r="JO19" s="12">
        <v>1.4</v>
      </c>
      <c r="JP19" s="12" t="s">
        <v>37</v>
      </c>
      <c r="JQ19" s="11" t="s">
        <v>37</v>
      </c>
      <c r="JR19" s="19"/>
      <c r="JS19" s="12" t="s">
        <v>37</v>
      </c>
      <c r="JT19" s="12" t="s">
        <v>37</v>
      </c>
      <c r="JU19" s="13" t="s">
        <v>37</v>
      </c>
      <c r="JV19" s="19"/>
      <c r="JW19" s="19"/>
      <c r="JX19" s="19"/>
      <c r="JY19" s="32"/>
      <c r="JZ19" s="12" t="s">
        <v>37</v>
      </c>
      <c r="KA19" s="12" t="s">
        <v>37</v>
      </c>
      <c r="KB19" s="13" t="s">
        <v>37</v>
      </c>
      <c r="KC19" s="12" t="s">
        <v>37</v>
      </c>
      <c r="KD19" s="12" t="s">
        <v>37</v>
      </c>
      <c r="KE19" s="13" t="s">
        <v>37</v>
      </c>
      <c r="KF19" s="13"/>
      <c r="KG19" s="13"/>
      <c r="KH19" s="32"/>
      <c r="KI19" s="12" t="s">
        <v>37</v>
      </c>
      <c r="KJ19" s="12" t="s">
        <v>37</v>
      </c>
      <c r="KK19" s="12" t="s">
        <v>37</v>
      </c>
      <c r="KL19" s="12" t="s">
        <v>37</v>
      </c>
      <c r="KM19" s="12" t="s">
        <v>37</v>
      </c>
      <c r="KN19" s="12" t="s">
        <v>37</v>
      </c>
      <c r="KO19" s="12"/>
      <c r="KP19" s="12"/>
      <c r="KQ19" s="12"/>
      <c r="KR19" s="12" t="str">
        <f t="shared" si="87"/>
        <v>0-10</v>
      </c>
      <c r="KS19" s="12">
        <f t="shared" si="88"/>
        <v>41.857142857142861</v>
      </c>
      <c r="KT19" s="13" t="str">
        <f>JP19</f>
        <v>/</v>
      </c>
      <c r="KU19" s="13" t="str">
        <f t="shared" si="89"/>
        <v>/</v>
      </c>
      <c r="KV19" s="19"/>
      <c r="KW19" s="13" t="str">
        <f t="shared" si="91"/>
        <v>/</v>
      </c>
      <c r="KX19" s="13" t="str">
        <f t="shared" si="92"/>
        <v>/</v>
      </c>
      <c r="KY19" s="13" t="str">
        <f t="shared" si="93"/>
        <v>/</v>
      </c>
      <c r="KZ19" s="19"/>
      <c r="LA19" s="19"/>
      <c r="LB19" s="19"/>
      <c r="LC19" s="12"/>
      <c r="LD19" s="12" t="s">
        <v>37</v>
      </c>
      <c r="LE19" s="12" t="s">
        <v>37</v>
      </c>
      <c r="LF19" s="12" t="s">
        <v>37</v>
      </c>
      <c r="LG19" s="19" t="str">
        <f t="shared" si="19"/>
        <v>/</v>
      </c>
      <c r="LH19" s="19" t="str">
        <f t="shared" si="20"/>
        <v>/</v>
      </c>
      <c r="LI19" s="13" t="str">
        <f t="shared" si="21"/>
        <v>/</v>
      </c>
      <c r="LJ19" s="13"/>
      <c r="LK19" s="13"/>
      <c r="LL19" s="12"/>
      <c r="LM19" s="12" t="s">
        <v>37</v>
      </c>
      <c r="LN19" s="12" t="s">
        <v>37</v>
      </c>
      <c r="LO19" s="12" t="s">
        <v>37</v>
      </c>
      <c r="LP19" s="12" t="s">
        <v>37</v>
      </c>
      <c r="LQ19" s="12" t="s">
        <v>37</v>
      </c>
      <c r="LR19" s="12" t="s">
        <v>37</v>
      </c>
      <c r="LS19" s="12"/>
      <c r="LT19" s="12"/>
      <c r="LU19" s="12" t="s">
        <v>37</v>
      </c>
      <c r="LV19" s="12" t="s">
        <v>37</v>
      </c>
      <c r="LW19" s="13" t="s">
        <v>37</v>
      </c>
      <c r="LX19" s="12" t="s">
        <v>37</v>
      </c>
      <c r="LY19" s="12" t="s">
        <v>37</v>
      </c>
      <c r="LZ19" s="13" t="s">
        <v>37</v>
      </c>
      <c r="MA19" s="13"/>
      <c r="MB19" s="13"/>
      <c r="MC19" s="12"/>
      <c r="MD19" s="12"/>
      <c r="ME19" s="12" t="s">
        <v>37</v>
      </c>
      <c r="MF19" s="12" t="s">
        <v>37</v>
      </c>
      <c r="MG19" s="13" t="s">
        <v>37</v>
      </c>
      <c r="MH19" s="12" t="s">
        <v>37</v>
      </c>
      <c r="MI19" s="12" t="s">
        <v>37</v>
      </c>
      <c r="MJ19" s="13" t="s">
        <v>37</v>
      </c>
      <c r="MK19" s="13"/>
      <c r="ML19" s="13"/>
      <c r="MM19" s="12"/>
      <c r="MN19" s="12"/>
      <c r="MO19" s="12" t="s">
        <v>37</v>
      </c>
      <c r="MP19" s="12" t="s">
        <v>37</v>
      </c>
      <c r="MQ19" s="13" t="s">
        <v>37</v>
      </c>
      <c r="MR19" s="12" t="s">
        <v>37</v>
      </c>
      <c r="MS19" s="12" t="s">
        <v>37</v>
      </c>
      <c r="MT19" s="13" t="s">
        <v>37</v>
      </c>
      <c r="MU19" s="13"/>
      <c r="MV19" s="13"/>
      <c r="MW19" s="12"/>
      <c r="MX19" s="12"/>
      <c r="MY19" s="12" t="s">
        <v>37</v>
      </c>
      <c r="MZ19" s="12" t="s">
        <v>37</v>
      </c>
      <c r="NA19" s="12" t="s">
        <v>37</v>
      </c>
      <c r="NB19" s="12" t="s">
        <v>37</v>
      </c>
      <c r="NC19" s="12" t="s">
        <v>37</v>
      </c>
      <c r="ND19" s="12" t="s">
        <v>37</v>
      </c>
      <c r="NE19" s="12"/>
      <c r="NF19" s="12"/>
      <c r="NG19" s="12"/>
      <c r="NH19" s="12"/>
      <c r="NI19" s="12" t="s">
        <v>37</v>
      </c>
      <c r="NJ19" s="12" t="s">
        <v>37</v>
      </c>
      <c r="NK19" s="13" t="s">
        <v>37</v>
      </c>
      <c r="NL19" s="12" t="s">
        <v>37</v>
      </c>
      <c r="NM19" s="12" t="s">
        <v>37</v>
      </c>
      <c r="NN19" s="13" t="s">
        <v>37</v>
      </c>
      <c r="NO19" s="13"/>
      <c r="NP19" s="13"/>
      <c r="NQ19" s="12"/>
      <c r="NR19" s="12"/>
      <c r="NS19" s="11" t="s">
        <v>37</v>
      </c>
      <c r="NT19" s="11" t="s">
        <v>37</v>
      </c>
      <c r="NU19" s="13" t="s">
        <v>37</v>
      </c>
      <c r="NV19" s="11" t="s">
        <v>37</v>
      </c>
      <c r="NW19" s="11" t="s">
        <v>37</v>
      </c>
      <c r="NX19" s="13" t="s">
        <v>37</v>
      </c>
      <c r="NY19" s="13"/>
      <c r="NZ19" s="13"/>
      <c r="OA19" s="12"/>
      <c r="OB19" s="12"/>
      <c r="OC19" s="12" t="s">
        <v>37</v>
      </c>
      <c r="OD19" s="12" t="s">
        <v>37</v>
      </c>
      <c r="OE19" s="12" t="s">
        <v>37</v>
      </c>
      <c r="OF19" s="12" t="s">
        <v>37</v>
      </c>
      <c r="OG19" s="12" t="s">
        <v>37</v>
      </c>
      <c r="OH19" s="12" t="s">
        <v>37</v>
      </c>
      <c r="OI19" s="12"/>
      <c r="OJ19" s="12"/>
      <c r="OK19" s="12"/>
      <c r="OL19" s="12" t="s">
        <v>37</v>
      </c>
      <c r="OM19" s="12" t="s">
        <v>37</v>
      </c>
      <c r="ON19" s="11" t="s">
        <v>37</v>
      </c>
      <c r="OO19" s="12" t="s">
        <v>37</v>
      </c>
      <c r="OP19" s="12" t="s">
        <v>37</v>
      </c>
      <c r="OQ19" s="12" t="s">
        <v>37</v>
      </c>
      <c r="OR19" s="12"/>
      <c r="OS19" s="12" t="s">
        <v>37</v>
      </c>
      <c r="OT19" s="12" t="s">
        <v>37</v>
      </c>
      <c r="OU19" s="12" t="s">
        <v>37</v>
      </c>
      <c r="OV19" s="12" t="s">
        <v>37</v>
      </c>
      <c r="OW19" s="12" t="s">
        <v>37</v>
      </c>
      <c r="OX19" s="12" t="s">
        <v>37</v>
      </c>
      <c r="OY19" s="12"/>
      <c r="OZ19" s="12"/>
      <c r="PA19" s="12" t="s">
        <v>37</v>
      </c>
      <c r="PB19" s="12" t="s">
        <v>37</v>
      </c>
      <c r="PC19" s="12" t="s">
        <v>37</v>
      </c>
      <c r="PD19" s="12" t="s">
        <v>37</v>
      </c>
      <c r="PE19" s="12" t="s">
        <v>37</v>
      </c>
      <c r="PF19" s="12" t="s">
        <v>37</v>
      </c>
      <c r="PG19" s="12"/>
      <c r="PH19" s="12"/>
      <c r="PI19" s="12" t="s">
        <v>37</v>
      </c>
      <c r="PJ19" s="12" t="s">
        <v>37</v>
      </c>
      <c r="PK19" s="12" t="s">
        <v>37</v>
      </c>
      <c r="PL19" s="12" t="s">
        <v>37</v>
      </c>
      <c r="PM19" s="12" t="s">
        <v>37</v>
      </c>
      <c r="PN19" s="12" t="s">
        <v>37</v>
      </c>
      <c r="PO19" s="12"/>
      <c r="PP19" s="12"/>
      <c r="PQ19" s="12" t="s">
        <v>37</v>
      </c>
      <c r="PR19" s="12" t="s">
        <v>37</v>
      </c>
      <c r="PS19" s="12" t="s">
        <v>37</v>
      </c>
      <c r="PT19" s="12" t="s">
        <v>37</v>
      </c>
      <c r="PU19" s="12" t="s">
        <v>37</v>
      </c>
      <c r="PV19" s="12" t="s">
        <v>37</v>
      </c>
      <c r="PW19" s="12"/>
      <c r="PX19" s="12"/>
      <c r="PY19" s="12" t="s">
        <v>37</v>
      </c>
      <c r="PZ19" s="12" t="s">
        <v>37</v>
      </c>
      <c r="QA19" s="12" t="s">
        <v>37</v>
      </c>
      <c r="QB19" s="12" t="s">
        <v>37</v>
      </c>
      <c r="QC19" s="12" t="s">
        <v>37</v>
      </c>
      <c r="QD19" s="12" t="s">
        <v>37</v>
      </c>
      <c r="QE19" s="12"/>
      <c r="QF19" s="12"/>
      <c r="QG19" s="12" t="s">
        <v>37</v>
      </c>
      <c r="QH19" s="12" t="s">
        <v>37</v>
      </c>
      <c r="QI19" s="12" t="s">
        <v>37</v>
      </c>
      <c r="QJ19" s="12" t="s">
        <v>37</v>
      </c>
      <c r="QK19" s="12" t="s">
        <v>37</v>
      </c>
      <c r="QL19" s="12" t="s">
        <v>37</v>
      </c>
      <c r="QM19" s="12"/>
      <c r="QN19" s="12"/>
      <c r="QO19" s="12" t="s">
        <v>37</v>
      </c>
      <c r="QP19" s="12" t="s">
        <v>37</v>
      </c>
      <c r="QQ19" s="12" t="s">
        <v>37</v>
      </c>
      <c r="QR19" s="12" t="s">
        <v>37</v>
      </c>
      <c r="QS19" s="12" t="s">
        <v>37</v>
      </c>
      <c r="QT19" s="12" t="s">
        <v>37</v>
      </c>
      <c r="QU19" s="12"/>
      <c r="QV19" s="12"/>
      <c r="QW19" s="12"/>
      <c r="QX19" s="12"/>
      <c r="QY19" s="12" t="s">
        <v>37</v>
      </c>
      <c r="QZ19" s="12" t="s">
        <v>37</v>
      </c>
      <c r="RA19" s="11" t="s">
        <v>37</v>
      </c>
      <c r="RB19" s="12" t="s">
        <v>37</v>
      </c>
      <c r="RC19" s="12" t="s">
        <v>37</v>
      </c>
      <c r="RD19" s="11" t="s">
        <v>37</v>
      </c>
      <c r="RE19" s="11"/>
      <c r="RF19" s="11"/>
      <c r="RG19" s="12"/>
      <c r="RH19" s="12"/>
      <c r="RI19" s="12" t="s">
        <v>37</v>
      </c>
      <c r="RJ19" s="12" t="s">
        <v>37</v>
      </c>
      <c r="RK19" s="11" t="s">
        <v>37</v>
      </c>
      <c r="RL19" s="12" t="s">
        <v>37</v>
      </c>
      <c r="RM19" s="12" t="s">
        <v>37</v>
      </c>
      <c r="RN19" s="11" t="s">
        <v>37</v>
      </c>
      <c r="RO19" s="11"/>
      <c r="RP19" s="11"/>
      <c r="RQ19" s="12"/>
      <c r="RR19" s="12"/>
      <c r="RS19" s="12" t="s">
        <v>37</v>
      </c>
      <c r="RT19" s="12" t="s">
        <v>37</v>
      </c>
      <c r="RU19" s="11" t="s">
        <v>37</v>
      </c>
      <c r="RV19" s="12" t="s">
        <v>37</v>
      </c>
      <c r="RW19" s="12" t="s">
        <v>37</v>
      </c>
      <c r="RX19" s="11" t="s">
        <v>37</v>
      </c>
      <c r="RY19" s="11"/>
      <c r="RZ19" s="11"/>
      <c r="SA19" s="12"/>
      <c r="SB19" s="12"/>
      <c r="SC19" s="12" t="s">
        <v>37</v>
      </c>
      <c r="SD19" s="12" t="s">
        <v>37</v>
      </c>
      <c r="SE19" s="12" t="s">
        <v>37</v>
      </c>
      <c r="SF19" s="12" t="s">
        <v>37</v>
      </c>
      <c r="SG19" s="12" t="s">
        <v>37</v>
      </c>
      <c r="SH19" s="12" t="s">
        <v>37</v>
      </c>
      <c r="SI19" s="12"/>
      <c r="SJ19" s="12"/>
      <c r="SK19" s="12"/>
      <c r="SL19" s="12"/>
      <c r="SM19" s="12" t="s">
        <v>37</v>
      </c>
      <c r="SN19" s="12" t="s">
        <v>37</v>
      </c>
      <c r="SO19" s="12" t="s">
        <v>37</v>
      </c>
      <c r="SP19" s="12" t="s">
        <v>37</v>
      </c>
      <c r="SQ19" s="12" t="s">
        <v>37</v>
      </c>
      <c r="SR19" s="12" t="s">
        <v>37</v>
      </c>
      <c r="SS19" s="12"/>
      <c r="ST19" s="12"/>
      <c r="SU19" s="12"/>
      <c r="SV19" s="12"/>
      <c r="SW19" s="12" t="s">
        <v>37</v>
      </c>
      <c r="SX19" s="12" t="s">
        <v>37</v>
      </c>
      <c r="SY19" s="12" t="s">
        <v>37</v>
      </c>
      <c r="SZ19" s="12" t="s">
        <v>37</v>
      </c>
      <c r="TA19" s="12" t="s">
        <v>37</v>
      </c>
      <c r="TB19" s="12" t="s">
        <v>37</v>
      </c>
      <c r="TC19" s="12"/>
      <c r="TD19" s="12"/>
      <c r="TE19" s="12"/>
      <c r="TF19" s="12"/>
      <c r="TG19" s="13" t="s">
        <v>37</v>
      </c>
      <c r="TH19" s="13" t="s">
        <v>37</v>
      </c>
      <c r="TI19" s="13" t="s">
        <v>37</v>
      </c>
      <c r="TJ19" s="13" t="s">
        <v>37</v>
      </c>
      <c r="TK19" s="13" t="s">
        <v>37</v>
      </c>
      <c r="TL19" s="13" t="s">
        <v>37</v>
      </c>
      <c r="TM19" s="13"/>
      <c r="TN19" s="13"/>
      <c r="TO19" s="12"/>
      <c r="TP19" s="12"/>
      <c r="TQ19" s="13" t="s">
        <v>37</v>
      </c>
      <c r="TR19" s="13" t="s">
        <v>37</v>
      </c>
      <c r="TS19" s="13" t="s">
        <v>37</v>
      </c>
      <c r="TT19" s="19"/>
      <c r="TU19" s="13" t="s">
        <v>37</v>
      </c>
      <c r="TV19" s="13" t="s">
        <v>37</v>
      </c>
      <c r="TW19" s="13" t="s">
        <v>37</v>
      </c>
    </row>
    <row r="20" spans="1:543" ht="17.399999999999999" x14ac:dyDescent="0.4">
      <c r="A20" s="11">
        <v>9</v>
      </c>
      <c r="B20" s="16" t="s">
        <v>222</v>
      </c>
      <c r="C20" s="12" t="s">
        <v>26</v>
      </c>
      <c r="D20" s="12" t="s">
        <v>609</v>
      </c>
      <c r="E20" s="14" t="s">
        <v>371</v>
      </c>
      <c r="F20" s="14">
        <v>0</v>
      </c>
      <c r="G20" s="14">
        <v>0</v>
      </c>
      <c r="H20" s="12" t="s">
        <v>79</v>
      </c>
      <c r="I20" s="29">
        <v>33.85</v>
      </c>
      <c r="J20" s="29">
        <v>102.5</v>
      </c>
      <c r="K20" s="12" t="s">
        <v>805</v>
      </c>
      <c r="L20" s="12" t="s">
        <v>806</v>
      </c>
      <c r="M20" s="13">
        <v>3600</v>
      </c>
      <c r="N20" s="14">
        <v>1.4</v>
      </c>
      <c r="O20" s="14">
        <v>700</v>
      </c>
      <c r="P20" s="14" t="s">
        <v>16</v>
      </c>
      <c r="Q20" s="11" t="s">
        <v>223</v>
      </c>
      <c r="R20" s="11" t="s">
        <v>37</v>
      </c>
      <c r="S20" s="12" t="s">
        <v>85</v>
      </c>
      <c r="T20" s="12" t="s">
        <v>37</v>
      </c>
      <c r="U20" s="12" t="s">
        <v>158</v>
      </c>
      <c r="V20" s="12" t="s">
        <v>275</v>
      </c>
      <c r="W20" s="23" t="s">
        <v>529</v>
      </c>
      <c r="X20" s="12" t="s">
        <v>280</v>
      </c>
      <c r="Y20" s="12" t="s">
        <v>69</v>
      </c>
      <c r="Z20" s="12" t="s">
        <v>217</v>
      </c>
      <c r="AA20" s="32" t="s">
        <v>528</v>
      </c>
      <c r="AB20" s="12" t="s">
        <v>317</v>
      </c>
      <c r="AC20" s="12" t="s">
        <v>37</v>
      </c>
      <c r="AD20" s="12" t="s">
        <v>167</v>
      </c>
      <c r="AE20" s="12" t="s">
        <v>74</v>
      </c>
      <c r="AF20" s="12" t="s">
        <v>483</v>
      </c>
      <c r="AG20" s="12" t="s">
        <v>148</v>
      </c>
      <c r="AH20" s="32" t="s">
        <v>345</v>
      </c>
      <c r="AI20" s="12">
        <v>58.6</v>
      </c>
      <c r="AJ20" s="60">
        <f t="shared" si="108"/>
        <v>2.132731319038434</v>
      </c>
      <c r="AK20" s="11">
        <v>3</v>
      </c>
      <c r="AL20" s="19"/>
      <c r="AM20" s="12" t="s">
        <v>37</v>
      </c>
      <c r="AN20" s="12" t="s">
        <v>37</v>
      </c>
      <c r="AO20" s="13" t="s">
        <v>37</v>
      </c>
      <c r="AP20" s="19"/>
      <c r="AQ20" s="49"/>
      <c r="AR20" s="49"/>
      <c r="AS20" s="32"/>
      <c r="AT20" s="12" t="s">
        <v>37</v>
      </c>
      <c r="AU20" s="12" t="s">
        <v>37</v>
      </c>
      <c r="AV20" s="13" t="s">
        <v>37</v>
      </c>
      <c r="AW20" s="12" t="s">
        <v>37</v>
      </c>
      <c r="AX20" s="12" t="s">
        <v>37</v>
      </c>
      <c r="AY20" s="13" t="s">
        <v>37</v>
      </c>
      <c r="AZ20" s="13"/>
      <c r="BA20" s="13"/>
      <c r="BB20" s="12"/>
      <c r="BC20" s="12" t="s">
        <v>37</v>
      </c>
      <c r="BD20" s="12" t="s">
        <v>37</v>
      </c>
      <c r="BE20" s="13" t="s">
        <v>37</v>
      </c>
      <c r="BF20" s="12" t="s">
        <v>37</v>
      </c>
      <c r="BG20" s="12" t="s">
        <v>37</v>
      </c>
      <c r="BH20" s="12" t="s">
        <v>37</v>
      </c>
      <c r="BI20" s="12"/>
      <c r="BJ20" s="12" t="s">
        <v>37</v>
      </c>
      <c r="BK20" s="12" t="s">
        <v>37</v>
      </c>
      <c r="BL20" s="13" t="s">
        <v>37</v>
      </c>
      <c r="BM20" s="12" t="s">
        <v>37</v>
      </c>
      <c r="BN20" s="12" t="s">
        <v>37</v>
      </c>
      <c r="BO20" s="13" t="s">
        <v>37</v>
      </c>
      <c r="BP20" s="19"/>
      <c r="BQ20" s="19"/>
      <c r="BR20" s="19"/>
      <c r="BS20" s="19"/>
      <c r="BT20" s="12"/>
      <c r="BU20" s="12" t="s">
        <v>37</v>
      </c>
      <c r="BV20" s="12" t="s">
        <v>37</v>
      </c>
      <c r="BW20" s="13" t="s">
        <v>37</v>
      </c>
      <c r="BX20" s="12" t="s">
        <v>37</v>
      </c>
      <c r="BY20" s="12" t="s">
        <v>37</v>
      </c>
      <c r="BZ20" s="13" t="s">
        <v>37</v>
      </c>
      <c r="CA20" s="19"/>
      <c r="CB20" s="12">
        <v>210.74640397482224</v>
      </c>
      <c r="CC20" s="12"/>
      <c r="CD20" s="12"/>
      <c r="CE20" s="12"/>
      <c r="CF20" s="12" t="s">
        <v>37</v>
      </c>
      <c r="CG20" s="12" t="s">
        <v>37</v>
      </c>
      <c r="CH20" s="13" t="s">
        <v>37</v>
      </c>
      <c r="CI20" s="12" t="s">
        <v>37</v>
      </c>
      <c r="CJ20" s="12" t="s">
        <v>37</v>
      </c>
      <c r="CK20" s="13" t="s">
        <v>37</v>
      </c>
      <c r="CL20" s="19"/>
      <c r="CM20" s="19"/>
      <c r="CN20" s="19"/>
      <c r="CO20" s="19"/>
      <c r="CP20" s="11" t="s">
        <v>34</v>
      </c>
      <c r="CQ20" s="12">
        <v>0.53</v>
      </c>
      <c r="CR20" s="19">
        <v>0.61</v>
      </c>
      <c r="CS20" s="13">
        <v>3</v>
      </c>
      <c r="CT20" s="52">
        <f t="shared" si="85"/>
        <v>1.1509433962264151</v>
      </c>
      <c r="CU20" s="12">
        <v>0.69</v>
      </c>
      <c r="CV20" s="19">
        <v>0.61</v>
      </c>
      <c r="CW20" s="13">
        <v>3</v>
      </c>
      <c r="CX20" s="52">
        <f t="shared" si="86"/>
        <v>0.88405797101449279</v>
      </c>
      <c r="CY20" s="68">
        <f t="shared" si="61"/>
        <v>0.15999999999999992</v>
      </c>
      <c r="CZ20" s="12">
        <f t="shared" si="39"/>
        <v>0.61</v>
      </c>
      <c r="DA20" s="72">
        <f t="shared" si="40"/>
        <v>0.24806666666666666</v>
      </c>
      <c r="DB20" s="72">
        <f t="shared" si="41"/>
        <v>0.24806666666666666</v>
      </c>
      <c r="DC20" s="11"/>
      <c r="DD20" s="12" t="s">
        <v>37</v>
      </c>
      <c r="DE20" s="68" t="s">
        <v>37</v>
      </c>
      <c r="DF20" s="12" t="s">
        <v>37</v>
      </c>
      <c r="DG20" s="19"/>
      <c r="DH20" s="12" t="s">
        <v>37</v>
      </c>
      <c r="DI20" s="68" t="s">
        <v>37</v>
      </c>
      <c r="DJ20" s="12" t="s">
        <v>37</v>
      </c>
      <c r="DK20" s="19"/>
      <c r="DL20" s="68"/>
      <c r="DM20" s="68"/>
      <c r="DN20" s="68"/>
      <c r="DO20" s="68"/>
      <c r="DP20" s="12" t="s">
        <v>39</v>
      </c>
      <c r="DQ20" s="12">
        <v>-10</v>
      </c>
      <c r="DR20" s="60">
        <f t="shared" si="99"/>
        <v>4.04</v>
      </c>
      <c r="DS20" s="13">
        <v>3</v>
      </c>
      <c r="DT20" s="19"/>
      <c r="DU20" s="12">
        <v>-30</v>
      </c>
      <c r="DV20" s="60">
        <f t="shared" si="100"/>
        <v>10.368382874112367</v>
      </c>
      <c r="DW20" s="13">
        <v>3</v>
      </c>
      <c r="DX20" s="19"/>
      <c r="DY20" s="19">
        <f t="shared" si="101"/>
        <v>-20</v>
      </c>
      <c r="DZ20" s="12">
        <f t="shared" si="102"/>
        <v>7.8684484945949364</v>
      </c>
      <c r="EA20" s="72">
        <f t="shared" si="13"/>
        <v>41.274987808062207</v>
      </c>
      <c r="EB20" s="72">
        <f t="shared" si="14"/>
        <v>41.274987808062214</v>
      </c>
      <c r="EC20" s="12"/>
      <c r="ED20" s="12"/>
      <c r="EE20" s="12" t="s">
        <v>37</v>
      </c>
      <c r="EF20" s="12" t="s">
        <v>37</v>
      </c>
      <c r="EG20" s="11" t="s">
        <v>37</v>
      </c>
      <c r="EH20" s="19"/>
      <c r="EI20" s="12" t="s">
        <v>37</v>
      </c>
      <c r="EJ20" s="20" t="s">
        <v>37</v>
      </c>
      <c r="EK20" s="11" t="s">
        <v>37</v>
      </c>
      <c r="EL20" s="19"/>
      <c r="EM20" s="19"/>
      <c r="EN20" s="19"/>
      <c r="EO20" s="19"/>
      <c r="EP20" s="19"/>
      <c r="EQ20" s="32"/>
      <c r="ER20" s="12" t="s">
        <v>37</v>
      </c>
      <c r="ES20" s="12" t="s">
        <v>37</v>
      </c>
      <c r="ET20" s="11" t="s">
        <v>37</v>
      </c>
      <c r="EU20" s="19"/>
      <c r="EV20" s="13" t="s">
        <v>37</v>
      </c>
      <c r="EW20" s="11" t="s">
        <v>37</v>
      </c>
      <c r="EX20" s="11" t="s">
        <v>37</v>
      </c>
      <c r="EY20" s="19"/>
      <c r="EZ20" s="19"/>
      <c r="FA20" s="19"/>
      <c r="FB20" s="19"/>
      <c r="FC20" s="32"/>
      <c r="FD20" s="12" t="s">
        <v>37</v>
      </c>
      <c r="FE20" s="12" t="s">
        <v>37</v>
      </c>
      <c r="FF20" s="11" t="s">
        <v>37</v>
      </c>
      <c r="FG20" s="13" t="s">
        <v>37</v>
      </c>
      <c r="FH20" s="11" t="s">
        <v>37</v>
      </c>
      <c r="FI20" s="11" t="s">
        <v>37</v>
      </c>
      <c r="FJ20" s="19"/>
      <c r="FK20" s="19"/>
      <c r="FL20" s="19"/>
      <c r="FM20" s="32"/>
      <c r="FN20" s="12" t="s">
        <v>37</v>
      </c>
      <c r="FO20" s="12" t="s">
        <v>37</v>
      </c>
      <c r="FP20" s="11" t="s">
        <v>37</v>
      </c>
      <c r="FQ20" s="13" t="s">
        <v>37</v>
      </c>
      <c r="FR20" s="11" t="s">
        <v>37</v>
      </c>
      <c r="FS20" s="11" t="s">
        <v>37</v>
      </c>
      <c r="FT20" s="19"/>
      <c r="FU20" s="19"/>
      <c r="FV20" s="19"/>
      <c r="FW20" s="12"/>
      <c r="FX20" s="12"/>
      <c r="FY20" s="12" t="s">
        <v>37</v>
      </c>
      <c r="FZ20" s="12" t="s">
        <v>37</v>
      </c>
      <c r="GA20" s="13" t="s">
        <v>37</v>
      </c>
      <c r="GB20" s="12" t="s">
        <v>37</v>
      </c>
      <c r="GC20" s="12" t="s">
        <v>37</v>
      </c>
      <c r="GD20" s="13" t="s">
        <v>37</v>
      </c>
      <c r="GE20" s="19"/>
      <c r="GF20" s="19"/>
      <c r="GG20" s="12"/>
      <c r="GH20" s="12"/>
      <c r="GI20" s="12" t="s">
        <v>37</v>
      </c>
      <c r="GJ20" s="12" t="s">
        <v>37</v>
      </c>
      <c r="GK20" s="13" t="s">
        <v>37</v>
      </c>
      <c r="GL20" s="19"/>
      <c r="GM20" s="12" t="s">
        <v>37</v>
      </c>
      <c r="GN20" s="12" t="s">
        <v>37</v>
      </c>
      <c r="GO20" s="13" t="s">
        <v>37</v>
      </c>
      <c r="GP20" s="19"/>
      <c r="GQ20" s="19"/>
      <c r="GR20" s="19"/>
      <c r="GS20" s="17"/>
      <c r="GT20" s="34"/>
      <c r="GU20" s="12" t="s">
        <v>37</v>
      </c>
      <c r="GV20" s="12" t="s">
        <v>37</v>
      </c>
      <c r="GW20" s="12" t="s">
        <v>37</v>
      </c>
      <c r="GX20" s="19"/>
      <c r="GY20" s="12" t="s">
        <v>37</v>
      </c>
      <c r="GZ20" s="12" t="s">
        <v>37</v>
      </c>
      <c r="HA20" s="12" t="s">
        <v>37</v>
      </c>
      <c r="HB20" s="19"/>
      <c r="HC20" s="19"/>
      <c r="HD20" s="19"/>
      <c r="HE20" s="34"/>
      <c r="HF20" s="12" t="s">
        <v>37</v>
      </c>
      <c r="HG20" s="12" t="s">
        <v>37</v>
      </c>
      <c r="HH20" s="13" t="s">
        <v>37</v>
      </c>
      <c r="HI20" s="12" t="s">
        <v>37</v>
      </c>
      <c r="HJ20" s="12" t="s">
        <v>37</v>
      </c>
      <c r="HK20" s="13" t="s">
        <v>37</v>
      </c>
      <c r="HL20" s="13"/>
      <c r="HM20" s="13"/>
      <c r="HN20" s="34"/>
      <c r="HO20" s="12" t="s">
        <v>37</v>
      </c>
      <c r="HP20" s="12" t="s">
        <v>37</v>
      </c>
      <c r="HQ20" s="13" t="s">
        <v>37</v>
      </c>
      <c r="HR20" s="12" t="s">
        <v>37</v>
      </c>
      <c r="HS20" s="12" t="s">
        <v>37</v>
      </c>
      <c r="HT20" s="13" t="s">
        <v>37</v>
      </c>
      <c r="HU20" s="13"/>
      <c r="HV20" s="13"/>
      <c r="HW20" s="12"/>
      <c r="HX20" s="12"/>
      <c r="HY20" s="12" t="s">
        <v>37</v>
      </c>
      <c r="HZ20" s="12" t="s">
        <v>37</v>
      </c>
      <c r="IA20" s="12" t="s">
        <v>37</v>
      </c>
      <c r="IB20" s="12" t="s">
        <v>37</v>
      </c>
      <c r="IC20" s="12" t="s">
        <v>37</v>
      </c>
      <c r="ID20" s="12" t="s">
        <v>37</v>
      </c>
      <c r="IE20" s="12"/>
      <c r="IF20" s="32" t="s">
        <v>345</v>
      </c>
      <c r="IG20" s="12">
        <v>6.8</v>
      </c>
      <c r="IH20" s="60">
        <f t="shared" ref="IH20:IH22" si="109">IG20*IJ$61</f>
        <v>0.26283827429397455</v>
      </c>
      <c r="II20" s="13">
        <v>3</v>
      </c>
      <c r="IJ20" s="19"/>
      <c r="IK20" s="12" t="s">
        <v>37</v>
      </c>
      <c r="IL20" s="12" t="s">
        <v>37</v>
      </c>
      <c r="IM20" s="13" t="s">
        <v>37</v>
      </c>
      <c r="IN20" s="19"/>
      <c r="IO20" s="19"/>
      <c r="IP20" s="19"/>
      <c r="IQ20" s="32"/>
      <c r="IR20" s="12" t="s">
        <v>37</v>
      </c>
      <c r="IS20" s="12" t="s">
        <v>37</v>
      </c>
      <c r="IT20" s="13" t="s">
        <v>37</v>
      </c>
      <c r="IU20" s="12" t="s">
        <v>37</v>
      </c>
      <c r="IV20" s="12" t="s">
        <v>37</v>
      </c>
      <c r="IW20" s="12" t="s">
        <v>37</v>
      </c>
      <c r="IX20" s="32"/>
      <c r="IY20" s="12" t="s">
        <v>37</v>
      </c>
      <c r="IZ20" s="12" t="s">
        <v>37</v>
      </c>
      <c r="JA20" s="13" t="s">
        <v>37</v>
      </c>
      <c r="JB20" s="12" t="s">
        <v>37</v>
      </c>
      <c r="JC20" s="12" t="s">
        <v>37</v>
      </c>
      <c r="JD20" s="12" t="s">
        <v>37</v>
      </c>
      <c r="JE20" s="12"/>
      <c r="JF20" s="12"/>
      <c r="JG20" s="11" t="s">
        <v>37</v>
      </c>
      <c r="JH20" s="11" t="s">
        <v>37</v>
      </c>
      <c r="JI20" s="13" t="s">
        <v>37</v>
      </c>
      <c r="JJ20" s="11" t="s">
        <v>37</v>
      </c>
      <c r="JK20" s="11" t="s">
        <v>37</v>
      </c>
      <c r="JL20" s="11" t="s">
        <v>37</v>
      </c>
      <c r="JM20" s="12" t="s">
        <v>148</v>
      </c>
      <c r="JN20" s="32" t="s">
        <v>345</v>
      </c>
      <c r="JO20" s="12">
        <v>1.4</v>
      </c>
      <c r="JP20" s="12" t="s">
        <v>37</v>
      </c>
      <c r="JQ20" s="11" t="s">
        <v>37</v>
      </c>
      <c r="JR20" s="19"/>
      <c r="JS20" s="12" t="s">
        <v>37</v>
      </c>
      <c r="JT20" s="12" t="s">
        <v>37</v>
      </c>
      <c r="JU20" s="13" t="s">
        <v>37</v>
      </c>
      <c r="JV20" s="19"/>
      <c r="JW20" s="19"/>
      <c r="JX20" s="19"/>
      <c r="JY20" s="32"/>
      <c r="JZ20" s="12" t="s">
        <v>37</v>
      </c>
      <c r="KA20" s="12" t="s">
        <v>37</v>
      </c>
      <c r="KB20" s="13" t="s">
        <v>37</v>
      </c>
      <c r="KC20" s="12" t="s">
        <v>37</v>
      </c>
      <c r="KD20" s="12" t="s">
        <v>37</v>
      </c>
      <c r="KE20" s="13" t="s">
        <v>37</v>
      </c>
      <c r="KF20" s="13"/>
      <c r="KG20" s="13"/>
      <c r="KH20" s="32"/>
      <c r="KI20" s="12" t="s">
        <v>37</v>
      </c>
      <c r="KJ20" s="12" t="s">
        <v>37</v>
      </c>
      <c r="KK20" s="12" t="s">
        <v>37</v>
      </c>
      <c r="KL20" s="12" t="s">
        <v>37</v>
      </c>
      <c r="KM20" s="12" t="s">
        <v>37</v>
      </c>
      <c r="KN20" s="12" t="s">
        <v>37</v>
      </c>
      <c r="KO20" s="12"/>
      <c r="KP20" s="12"/>
      <c r="KQ20" s="12"/>
      <c r="KR20" s="12" t="str">
        <f t="shared" si="87"/>
        <v>0-10</v>
      </c>
      <c r="KS20" s="12">
        <f t="shared" si="88"/>
        <v>41.857142857142861</v>
      </c>
      <c r="KT20" s="13" t="str">
        <f>JP20</f>
        <v>/</v>
      </c>
      <c r="KU20" s="13" t="str">
        <f t="shared" si="89"/>
        <v>/</v>
      </c>
      <c r="KV20" s="19"/>
      <c r="KW20" s="13" t="str">
        <f t="shared" si="91"/>
        <v>/</v>
      </c>
      <c r="KX20" s="13" t="str">
        <f t="shared" si="92"/>
        <v>/</v>
      </c>
      <c r="KY20" s="13" t="str">
        <f t="shared" si="93"/>
        <v>/</v>
      </c>
      <c r="KZ20" s="19"/>
      <c r="LA20" s="19"/>
      <c r="LB20" s="19"/>
      <c r="LC20" s="12"/>
      <c r="LD20" s="12" t="s">
        <v>37</v>
      </c>
      <c r="LE20" s="12" t="s">
        <v>37</v>
      </c>
      <c r="LF20" s="12" t="s">
        <v>37</v>
      </c>
      <c r="LG20" s="19" t="str">
        <f t="shared" si="19"/>
        <v>/</v>
      </c>
      <c r="LH20" s="19" t="str">
        <f t="shared" si="20"/>
        <v>/</v>
      </c>
      <c r="LI20" s="13" t="str">
        <f t="shared" si="21"/>
        <v>/</v>
      </c>
      <c r="LJ20" s="13"/>
      <c r="LK20" s="13"/>
      <c r="LL20" s="12"/>
      <c r="LM20" s="12" t="s">
        <v>37</v>
      </c>
      <c r="LN20" s="12" t="s">
        <v>37</v>
      </c>
      <c r="LO20" s="12" t="s">
        <v>37</v>
      </c>
      <c r="LP20" s="12" t="s">
        <v>37</v>
      </c>
      <c r="LQ20" s="12" t="s">
        <v>37</v>
      </c>
      <c r="LR20" s="12" t="s">
        <v>37</v>
      </c>
      <c r="LS20" s="12"/>
      <c r="LT20" s="12"/>
      <c r="LU20" s="12" t="s">
        <v>37</v>
      </c>
      <c r="LV20" s="12" t="s">
        <v>37</v>
      </c>
      <c r="LW20" s="13" t="s">
        <v>37</v>
      </c>
      <c r="LX20" s="12" t="s">
        <v>37</v>
      </c>
      <c r="LY20" s="12" t="s">
        <v>37</v>
      </c>
      <c r="LZ20" s="13" t="s">
        <v>37</v>
      </c>
      <c r="MA20" s="13"/>
      <c r="MB20" s="13"/>
      <c r="MC20" s="12"/>
      <c r="MD20" s="12"/>
      <c r="ME20" s="12" t="s">
        <v>37</v>
      </c>
      <c r="MF20" s="12" t="s">
        <v>37</v>
      </c>
      <c r="MG20" s="13" t="s">
        <v>37</v>
      </c>
      <c r="MH20" s="12" t="s">
        <v>37</v>
      </c>
      <c r="MI20" s="12" t="s">
        <v>37</v>
      </c>
      <c r="MJ20" s="13" t="s">
        <v>37</v>
      </c>
      <c r="MK20" s="13"/>
      <c r="ML20" s="13"/>
      <c r="MM20" s="12"/>
      <c r="MN20" s="12"/>
      <c r="MO20" s="12" t="s">
        <v>37</v>
      </c>
      <c r="MP20" s="12" t="s">
        <v>37</v>
      </c>
      <c r="MQ20" s="13" t="s">
        <v>37</v>
      </c>
      <c r="MR20" s="12" t="s">
        <v>37</v>
      </c>
      <c r="MS20" s="12" t="s">
        <v>37</v>
      </c>
      <c r="MT20" s="13" t="s">
        <v>37</v>
      </c>
      <c r="MU20" s="13"/>
      <c r="MV20" s="13"/>
      <c r="MW20" s="12"/>
      <c r="MX20" s="12"/>
      <c r="MY20" s="12" t="s">
        <v>37</v>
      </c>
      <c r="MZ20" s="12" t="s">
        <v>37</v>
      </c>
      <c r="NA20" s="12" t="s">
        <v>37</v>
      </c>
      <c r="NB20" s="12" t="s">
        <v>37</v>
      </c>
      <c r="NC20" s="12" t="s">
        <v>326</v>
      </c>
      <c r="ND20" s="12" t="s">
        <v>37</v>
      </c>
      <c r="NE20" s="12"/>
      <c r="NF20" s="12"/>
      <c r="NG20" s="12"/>
      <c r="NH20" s="12"/>
      <c r="NI20" s="12" t="s">
        <v>37</v>
      </c>
      <c r="NJ20" s="12" t="s">
        <v>37</v>
      </c>
      <c r="NK20" s="13" t="s">
        <v>37</v>
      </c>
      <c r="NL20" s="12" t="s">
        <v>37</v>
      </c>
      <c r="NM20" s="12" t="s">
        <v>37</v>
      </c>
      <c r="NN20" s="13" t="s">
        <v>37</v>
      </c>
      <c r="NO20" s="13"/>
      <c r="NP20" s="13"/>
      <c r="NQ20" s="12"/>
      <c r="NR20" s="12"/>
      <c r="NS20" s="11" t="s">
        <v>37</v>
      </c>
      <c r="NT20" s="11" t="s">
        <v>37</v>
      </c>
      <c r="NU20" s="13" t="s">
        <v>37</v>
      </c>
      <c r="NV20" s="11" t="s">
        <v>37</v>
      </c>
      <c r="NW20" s="11" t="s">
        <v>37</v>
      </c>
      <c r="NX20" s="13" t="s">
        <v>37</v>
      </c>
      <c r="NY20" s="13"/>
      <c r="NZ20" s="13"/>
      <c r="OA20" s="12"/>
      <c r="OB20" s="12"/>
      <c r="OC20" s="12" t="s">
        <v>37</v>
      </c>
      <c r="OD20" s="12" t="s">
        <v>37</v>
      </c>
      <c r="OE20" s="12" t="s">
        <v>37</v>
      </c>
      <c r="OF20" s="12" t="s">
        <v>37</v>
      </c>
      <c r="OG20" s="12" t="s">
        <v>37</v>
      </c>
      <c r="OH20" s="12" t="s">
        <v>37</v>
      </c>
      <c r="OI20" s="12"/>
      <c r="OJ20" s="12"/>
      <c r="OK20" s="12"/>
      <c r="OL20" s="12" t="s">
        <v>37</v>
      </c>
      <c r="OM20" s="12" t="s">
        <v>37</v>
      </c>
      <c r="ON20" s="11" t="s">
        <v>37</v>
      </c>
      <c r="OO20" s="12" t="s">
        <v>37</v>
      </c>
      <c r="OP20" s="12" t="s">
        <v>37</v>
      </c>
      <c r="OQ20" s="12" t="s">
        <v>37</v>
      </c>
      <c r="OR20" s="12"/>
      <c r="OS20" s="12" t="s">
        <v>37</v>
      </c>
      <c r="OT20" s="12" t="s">
        <v>37</v>
      </c>
      <c r="OU20" s="12" t="s">
        <v>37</v>
      </c>
      <c r="OV20" s="12" t="s">
        <v>37</v>
      </c>
      <c r="OW20" s="12" t="s">
        <v>37</v>
      </c>
      <c r="OX20" s="12" t="s">
        <v>37</v>
      </c>
      <c r="OY20" s="12"/>
      <c r="OZ20" s="12"/>
      <c r="PA20" s="12" t="s">
        <v>37</v>
      </c>
      <c r="PB20" s="12" t="s">
        <v>37</v>
      </c>
      <c r="PC20" s="12" t="s">
        <v>37</v>
      </c>
      <c r="PD20" s="12" t="s">
        <v>37</v>
      </c>
      <c r="PE20" s="12" t="s">
        <v>37</v>
      </c>
      <c r="PF20" s="12" t="s">
        <v>37</v>
      </c>
      <c r="PG20" s="12"/>
      <c r="PH20" s="12"/>
      <c r="PI20" s="12" t="s">
        <v>37</v>
      </c>
      <c r="PJ20" s="12" t="s">
        <v>37</v>
      </c>
      <c r="PK20" s="12" t="s">
        <v>37</v>
      </c>
      <c r="PL20" s="12" t="s">
        <v>37</v>
      </c>
      <c r="PM20" s="12" t="s">
        <v>37</v>
      </c>
      <c r="PN20" s="12" t="s">
        <v>37</v>
      </c>
      <c r="PO20" s="12"/>
      <c r="PP20" s="12"/>
      <c r="PQ20" s="12" t="s">
        <v>37</v>
      </c>
      <c r="PR20" s="12" t="s">
        <v>37</v>
      </c>
      <c r="PS20" s="12" t="s">
        <v>37</v>
      </c>
      <c r="PT20" s="12" t="s">
        <v>37</v>
      </c>
      <c r="PU20" s="12" t="s">
        <v>37</v>
      </c>
      <c r="PV20" s="12" t="s">
        <v>37</v>
      </c>
      <c r="PW20" s="12"/>
      <c r="PX20" s="12"/>
      <c r="PY20" s="12" t="s">
        <v>37</v>
      </c>
      <c r="PZ20" s="12" t="s">
        <v>37</v>
      </c>
      <c r="QA20" s="12" t="s">
        <v>37</v>
      </c>
      <c r="QB20" s="12" t="s">
        <v>37</v>
      </c>
      <c r="QC20" s="12" t="s">
        <v>37</v>
      </c>
      <c r="QD20" s="12" t="s">
        <v>37</v>
      </c>
      <c r="QE20" s="12"/>
      <c r="QF20" s="12"/>
      <c r="QG20" s="12" t="s">
        <v>37</v>
      </c>
      <c r="QH20" s="12" t="s">
        <v>37</v>
      </c>
      <c r="QI20" s="12" t="s">
        <v>37</v>
      </c>
      <c r="QJ20" s="12" t="s">
        <v>37</v>
      </c>
      <c r="QK20" s="12" t="s">
        <v>37</v>
      </c>
      <c r="QL20" s="12" t="s">
        <v>37</v>
      </c>
      <c r="QM20" s="12"/>
      <c r="QN20" s="12"/>
      <c r="QO20" s="12" t="s">
        <v>37</v>
      </c>
      <c r="QP20" s="12" t="s">
        <v>37</v>
      </c>
      <c r="QQ20" s="12" t="s">
        <v>37</v>
      </c>
      <c r="QR20" s="12" t="s">
        <v>37</v>
      </c>
      <c r="QS20" s="12" t="s">
        <v>37</v>
      </c>
      <c r="QT20" s="12" t="s">
        <v>37</v>
      </c>
      <c r="QU20" s="12"/>
      <c r="QV20" s="12"/>
      <c r="QW20" s="12"/>
      <c r="QX20" s="12"/>
      <c r="QY20" s="12" t="s">
        <v>37</v>
      </c>
      <c r="QZ20" s="12" t="s">
        <v>37</v>
      </c>
      <c r="RA20" s="11" t="s">
        <v>37</v>
      </c>
      <c r="RB20" s="12" t="s">
        <v>37</v>
      </c>
      <c r="RC20" s="12" t="s">
        <v>37</v>
      </c>
      <c r="RD20" s="11" t="s">
        <v>37</v>
      </c>
      <c r="RE20" s="11"/>
      <c r="RF20" s="11"/>
      <c r="RG20" s="12"/>
      <c r="RH20" s="12"/>
      <c r="RI20" s="12" t="s">
        <v>37</v>
      </c>
      <c r="RJ20" s="12" t="s">
        <v>37</v>
      </c>
      <c r="RK20" s="11" t="s">
        <v>37</v>
      </c>
      <c r="RL20" s="12" t="s">
        <v>37</v>
      </c>
      <c r="RM20" s="12" t="s">
        <v>37</v>
      </c>
      <c r="RN20" s="11" t="s">
        <v>37</v>
      </c>
      <c r="RO20" s="11"/>
      <c r="RP20" s="11"/>
      <c r="RQ20" s="12"/>
      <c r="RR20" s="12"/>
      <c r="RS20" s="12" t="s">
        <v>37</v>
      </c>
      <c r="RT20" s="12" t="s">
        <v>37</v>
      </c>
      <c r="RU20" s="11" t="s">
        <v>37</v>
      </c>
      <c r="RV20" s="12" t="s">
        <v>37</v>
      </c>
      <c r="RW20" s="12" t="s">
        <v>37</v>
      </c>
      <c r="RX20" s="11" t="s">
        <v>37</v>
      </c>
      <c r="RY20" s="11"/>
      <c r="RZ20" s="11"/>
      <c r="SA20" s="12"/>
      <c r="SB20" s="12"/>
      <c r="SC20" s="12" t="s">
        <v>37</v>
      </c>
      <c r="SD20" s="12" t="s">
        <v>37</v>
      </c>
      <c r="SE20" s="12" t="s">
        <v>37</v>
      </c>
      <c r="SF20" s="12" t="s">
        <v>37</v>
      </c>
      <c r="SG20" s="12" t="s">
        <v>37</v>
      </c>
      <c r="SH20" s="12" t="s">
        <v>37</v>
      </c>
      <c r="SI20" s="12"/>
      <c r="SJ20" s="12"/>
      <c r="SK20" s="12"/>
      <c r="SL20" s="12"/>
      <c r="SM20" s="12" t="s">
        <v>37</v>
      </c>
      <c r="SN20" s="12" t="s">
        <v>37</v>
      </c>
      <c r="SO20" s="12" t="s">
        <v>37</v>
      </c>
      <c r="SP20" s="12" t="s">
        <v>37</v>
      </c>
      <c r="SQ20" s="12" t="s">
        <v>37</v>
      </c>
      <c r="SR20" s="12" t="s">
        <v>37</v>
      </c>
      <c r="SS20" s="12"/>
      <c r="ST20" s="12"/>
      <c r="SU20" s="12"/>
      <c r="SV20" s="12"/>
      <c r="SW20" s="12" t="s">
        <v>37</v>
      </c>
      <c r="SX20" s="12" t="s">
        <v>37</v>
      </c>
      <c r="SY20" s="12" t="s">
        <v>37</v>
      </c>
      <c r="SZ20" s="12" t="s">
        <v>37</v>
      </c>
      <c r="TA20" s="12" t="s">
        <v>37</v>
      </c>
      <c r="TB20" s="12" t="s">
        <v>37</v>
      </c>
      <c r="TC20" s="12"/>
      <c r="TD20" s="12"/>
      <c r="TE20" s="12"/>
      <c r="TF20" s="12"/>
      <c r="TG20" s="13" t="s">
        <v>37</v>
      </c>
      <c r="TH20" s="13" t="s">
        <v>37</v>
      </c>
      <c r="TI20" s="13" t="s">
        <v>37</v>
      </c>
      <c r="TJ20" s="13" t="s">
        <v>37</v>
      </c>
      <c r="TK20" s="13" t="s">
        <v>37</v>
      </c>
      <c r="TL20" s="13" t="s">
        <v>37</v>
      </c>
      <c r="TM20" s="13"/>
      <c r="TN20" s="13"/>
      <c r="TO20" s="12"/>
      <c r="TP20" s="12"/>
      <c r="TQ20" s="13" t="s">
        <v>37</v>
      </c>
      <c r="TR20" s="13" t="s">
        <v>37</v>
      </c>
      <c r="TS20" s="13" t="s">
        <v>37</v>
      </c>
      <c r="TT20" s="19"/>
      <c r="TU20" s="13" t="s">
        <v>37</v>
      </c>
      <c r="TV20" s="13" t="s">
        <v>37</v>
      </c>
      <c r="TW20" s="13" t="s">
        <v>37</v>
      </c>
    </row>
    <row r="21" spans="1:543" ht="17.399999999999999" x14ac:dyDescent="0.4">
      <c r="A21" s="11">
        <v>9</v>
      </c>
      <c r="B21" s="16" t="s">
        <v>222</v>
      </c>
      <c r="C21" s="12" t="s">
        <v>26</v>
      </c>
      <c r="D21" s="12" t="s">
        <v>609</v>
      </c>
      <c r="E21" s="14" t="s">
        <v>371</v>
      </c>
      <c r="F21" s="14">
        <v>0</v>
      </c>
      <c r="G21" s="14">
        <v>0</v>
      </c>
      <c r="H21" s="12" t="s">
        <v>79</v>
      </c>
      <c r="I21" s="29">
        <v>33.85</v>
      </c>
      <c r="J21" s="29">
        <v>102.5</v>
      </c>
      <c r="K21" s="12" t="s">
        <v>805</v>
      </c>
      <c r="L21" s="12" t="s">
        <v>806</v>
      </c>
      <c r="M21" s="13">
        <v>3600</v>
      </c>
      <c r="N21" s="14">
        <v>1.4</v>
      </c>
      <c r="O21" s="14">
        <v>700</v>
      </c>
      <c r="P21" s="14" t="s">
        <v>16</v>
      </c>
      <c r="Q21" s="11" t="s">
        <v>223</v>
      </c>
      <c r="R21" s="11" t="s">
        <v>37</v>
      </c>
      <c r="S21" s="12" t="s">
        <v>85</v>
      </c>
      <c r="T21" s="12" t="s">
        <v>37</v>
      </c>
      <c r="U21" s="12" t="s">
        <v>158</v>
      </c>
      <c r="V21" s="12" t="s">
        <v>275</v>
      </c>
      <c r="W21" s="23" t="s">
        <v>529</v>
      </c>
      <c r="X21" s="12" t="s">
        <v>280</v>
      </c>
      <c r="Y21" s="12" t="s">
        <v>69</v>
      </c>
      <c r="Z21" s="12" t="s">
        <v>217</v>
      </c>
      <c r="AA21" s="32" t="s">
        <v>528</v>
      </c>
      <c r="AB21" s="12" t="s">
        <v>317</v>
      </c>
      <c r="AC21" s="12" t="s">
        <v>37</v>
      </c>
      <c r="AD21" s="12" t="s">
        <v>167</v>
      </c>
      <c r="AE21" s="12" t="s">
        <v>74</v>
      </c>
      <c r="AF21" s="12" t="s">
        <v>483</v>
      </c>
      <c r="AG21" s="12" t="s">
        <v>148</v>
      </c>
      <c r="AH21" s="32" t="s">
        <v>345</v>
      </c>
      <c r="AI21" s="12">
        <v>58.6</v>
      </c>
      <c r="AJ21" s="60">
        <f t="shared" si="108"/>
        <v>2.132731319038434</v>
      </c>
      <c r="AK21" s="11">
        <v>3</v>
      </c>
      <c r="AL21" s="19"/>
      <c r="AM21" s="12" t="s">
        <v>37</v>
      </c>
      <c r="AN21" s="12" t="s">
        <v>37</v>
      </c>
      <c r="AO21" s="13" t="s">
        <v>37</v>
      </c>
      <c r="AP21" s="19"/>
      <c r="AQ21" s="49"/>
      <c r="AR21" s="49"/>
      <c r="AS21" s="32"/>
      <c r="AT21" s="12" t="s">
        <v>37</v>
      </c>
      <c r="AU21" s="12" t="s">
        <v>37</v>
      </c>
      <c r="AV21" s="13" t="s">
        <v>37</v>
      </c>
      <c r="AW21" s="12" t="s">
        <v>37</v>
      </c>
      <c r="AX21" s="12" t="s">
        <v>37</v>
      </c>
      <c r="AY21" s="13" t="s">
        <v>37</v>
      </c>
      <c r="AZ21" s="13"/>
      <c r="BA21" s="13"/>
      <c r="BB21" s="12"/>
      <c r="BC21" s="12" t="s">
        <v>37</v>
      </c>
      <c r="BD21" s="12" t="s">
        <v>37</v>
      </c>
      <c r="BE21" s="13" t="s">
        <v>37</v>
      </c>
      <c r="BF21" s="12" t="s">
        <v>37</v>
      </c>
      <c r="BG21" s="12" t="s">
        <v>37</v>
      </c>
      <c r="BH21" s="12" t="s">
        <v>37</v>
      </c>
      <c r="BI21" s="12"/>
      <c r="BJ21" s="12" t="s">
        <v>37</v>
      </c>
      <c r="BK21" s="12" t="s">
        <v>37</v>
      </c>
      <c r="BL21" s="13" t="s">
        <v>37</v>
      </c>
      <c r="BM21" s="12" t="s">
        <v>37</v>
      </c>
      <c r="BN21" s="12" t="s">
        <v>37</v>
      </c>
      <c r="BO21" s="13" t="s">
        <v>37</v>
      </c>
      <c r="BP21" s="19"/>
      <c r="BQ21" s="19"/>
      <c r="BR21" s="19"/>
      <c r="BS21" s="19"/>
      <c r="BT21" s="12"/>
      <c r="BU21" s="12" t="s">
        <v>37</v>
      </c>
      <c r="BV21" s="12" t="s">
        <v>37</v>
      </c>
      <c r="BW21" s="13" t="s">
        <v>37</v>
      </c>
      <c r="BX21" s="12" t="s">
        <v>37</v>
      </c>
      <c r="BY21" s="12" t="s">
        <v>37</v>
      </c>
      <c r="BZ21" s="13" t="s">
        <v>37</v>
      </c>
      <c r="CA21" s="19"/>
      <c r="CB21" s="19"/>
      <c r="CC21" s="19"/>
      <c r="CD21" s="19"/>
      <c r="CE21" s="12"/>
      <c r="CF21" s="12" t="s">
        <v>37</v>
      </c>
      <c r="CG21" s="12" t="s">
        <v>37</v>
      </c>
      <c r="CH21" s="13" t="s">
        <v>37</v>
      </c>
      <c r="CI21" s="12" t="s">
        <v>37</v>
      </c>
      <c r="CJ21" s="12" t="s">
        <v>37</v>
      </c>
      <c r="CK21" s="13" t="s">
        <v>37</v>
      </c>
      <c r="CL21" s="19"/>
      <c r="CM21" s="19"/>
      <c r="CN21" s="19"/>
      <c r="CO21" s="19"/>
      <c r="CP21" s="11" t="s">
        <v>34</v>
      </c>
      <c r="CQ21" s="12">
        <v>0.53</v>
      </c>
      <c r="CR21" s="19">
        <v>0.61</v>
      </c>
      <c r="CS21" s="13">
        <v>3</v>
      </c>
      <c r="CT21" s="52">
        <f t="shared" si="85"/>
        <v>1.1509433962264151</v>
      </c>
      <c r="CU21" s="12">
        <v>0.6</v>
      </c>
      <c r="CV21" s="19">
        <v>0.79</v>
      </c>
      <c r="CW21" s="13">
        <v>3</v>
      </c>
      <c r="CX21" s="52">
        <f t="shared" si="86"/>
        <v>1.3166666666666669</v>
      </c>
      <c r="CY21" s="68">
        <f t="shared" si="61"/>
        <v>6.9999999999999951E-2</v>
      </c>
      <c r="CZ21" s="12">
        <f t="shared" si="39"/>
        <v>0.70576199954375562</v>
      </c>
      <c r="DA21" s="72">
        <f t="shared" si="40"/>
        <v>0.33206666666666668</v>
      </c>
      <c r="DB21" s="72">
        <f t="shared" si="41"/>
        <v>0.33206666666666673</v>
      </c>
      <c r="DC21" s="11"/>
      <c r="DD21" s="12" t="s">
        <v>37</v>
      </c>
      <c r="DE21" s="68" t="s">
        <v>37</v>
      </c>
      <c r="DF21" s="12" t="s">
        <v>37</v>
      </c>
      <c r="DG21" s="19"/>
      <c r="DH21" s="12" t="s">
        <v>37</v>
      </c>
      <c r="DI21" s="68" t="s">
        <v>37</v>
      </c>
      <c r="DJ21" s="12" t="s">
        <v>37</v>
      </c>
      <c r="DK21" s="19"/>
      <c r="DL21" s="68"/>
      <c r="DM21" s="68"/>
      <c r="DN21" s="68"/>
      <c r="DO21" s="68"/>
      <c r="DP21" s="12" t="s">
        <v>39</v>
      </c>
      <c r="DQ21" s="12">
        <v>-10</v>
      </c>
      <c r="DR21" s="60">
        <f t="shared" si="99"/>
        <v>4.04</v>
      </c>
      <c r="DS21" s="13">
        <v>3</v>
      </c>
      <c r="DT21" s="19"/>
      <c r="DU21" s="12">
        <v>-40</v>
      </c>
      <c r="DV21" s="60">
        <f t="shared" si="100"/>
        <v>13.824510498816489</v>
      </c>
      <c r="DW21" s="13">
        <v>3</v>
      </c>
      <c r="DX21" s="19"/>
      <c r="DY21" s="19">
        <f t="shared" si="101"/>
        <v>-30</v>
      </c>
      <c r="DZ21" s="12">
        <f t="shared" si="102"/>
        <v>10.184269500850007</v>
      </c>
      <c r="EA21" s="72">
        <f t="shared" si="13"/>
        <v>69.146230177295763</v>
      </c>
      <c r="EB21" s="72">
        <f t="shared" si="14"/>
        <v>69.146230177295777</v>
      </c>
      <c r="EC21" s="12"/>
      <c r="ED21" s="12"/>
      <c r="EE21" s="12" t="s">
        <v>37</v>
      </c>
      <c r="EF21" s="12" t="s">
        <v>37</v>
      </c>
      <c r="EG21" s="11" t="s">
        <v>37</v>
      </c>
      <c r="EH21" s="19"/>
      <c r="EI21" s="12" t="s">
        <v>37</v>
      </c>
      <c r="EJ21" s="20" t="s">
        <v>37</v>
      </c>
      <c r="EK21" s="11" t="s">
        <v>37</v>
      </c>
      <c r="EL21" s="19"/>
      <c r="EM21" s="19"/>
      <c r="EN21" s="19"/>
      <c r="EO21" s="19"/>
      <c r="EP21" s="19"/>
      <c r="EQ21" s="32"/>
      <c r="ER21" s="12" t="s">
        <v>37</v>
      </c>
      <c r="ES21" s="12" t="s">
        <v>37</v>
      </c>
      <c r="ET21" s="11" t="s">
        <v>37</v>
      </c>
      <c r="EU21" s="19"/>
      <c r="EV21" s="13" t="s">
        <v>37</v>
      </c>
      <c r="EW21" s="11" t="s">
        <v>37</v>
      </c>
      <c r="EX21" s="11" t="s">
        <v>37</v>
      </c>
      <c r="EY21" s="19"/>
      <c r="EZ21" s="19"/>
      <c r="FA21" s="19"/>
      <c r="FB21" s="19"/>
      <c r="FC21" s="32"/>
      <c r="FD21" s="12" t="s">
        <v>37</v>
      </c>
      <c r="FE21" s="12" t="s">
        <v>37</v>
      </c>
      <c r="FF21" s="11" t="s">
        <v>37</v>
      </c>
      <c r="FG21" s="13" t="s">
        <v>37</v>
      </c>
      <c r="FH21" s="11" t="s">
        <v>37</v>
      </c>
      <c r="FI21" s="11" t="s">
        <v>37</v>
      </c>
      <c r="FJ21" s="19"/>
      <c r="FK21" s="19"/>
      <c r="FL21" s="19"/>
      <c r="FM21" s="32"/>
      <c r="FN21" s="12" t="s">
        <v>37</v>
      </c>
      <c r="FO21" s="12" t="s">
        <v>37</v>
      </c>
      <c r="FP21" s="11" t="s">
        <v>37</v>
      </c>
      <c r="FQ21" s="13" t="s">
        <v>37</v>
      </c>
      <c r="FR21" s="11" t="s">
        <v>37</v>
      </c>
      <c r="FS21" s="11" t="s">
        <v>37</v>
      </c>
      <c r="FT21" s="19"/>
      <c r="FU21" s="19"/>
      <c r="FV21" s="19"/>
      <c r="FW21" s="12"/>
      <c r="FX21" s="12"/>
      <c r="FY21" s="12" t="s">
        <v>37</v>
      </c>
      <c r="FZ21" s="12" t="s">
        <v>37</v>
      </c>
      <c r="GA21" s="13" t="s">
        <v>37</v>
      </c>
      <c r="GB21" s="12" t="s">
        <v>37</v>
      </c>
      <c r="GC21" s="12" t="s">
        <v>37</v>
      </c>
      <c r="GD21" s="13" t="s">
        <v>37</v>
      </c>
      <c r="GE21" s="19"/>
      <c r="GF21" s="19"/>
      <c r="GG21" s="12"/>
      <c r="GH21" s="12"/>
      <c r="GI21" s="12" t="s">
        <v>37</v>
      </c>
      <c r="GJ21" s="12" t="s">
        <v>37</v>
      </c>
      <c r="GK21" s="13" t="s">
        <v>37</v>
      </c>
      <c r="GL21" s="19"/>
      <c r="GM21" s="12" t="s">
        <v>37</v>
      </c>
      <c r="GN21" s="12" t="s">
        <v>37</v>
      </c>
      <c r="GO21" s="13" t="s">
        <v>37</v>
      </c>
      <c r="GP21" s="19"/>
      <c r="GQ21" s="19"/>
      <c r="GR21" s="19"/>
      <c r="GS21" s="17"/>
      <c r="GT21" s="34"/>
      <c r="GU21" s="12" t="s">
        <v>37</v>
      </c>
      <c r="GV21" s="12" t="s">
        <v>37</v>
      </c>
      <c r="GW21" s="12" t="s">
        <v>37</v>
      </c>
      <c r="GX21" s="19"/>
      <c r="GY21" s="12" t="s">
        <v>37</v>
      </c>
      <c r="GZ21" s="12" t="s">
        <v>37</v>
      </c>
      <c r="HA21" s="12" t="s">
        <v>37</v>
      </c>
      <c r="HB21" s="19"/>
      <c r="HC21" s="19"/>
      <c r="HD21" s="19"/>
      <c r="HE21" s="34"/>
      <c r="HF21" s="12" t="s">
        <v>37</v>
      </c>
      <c r="HG21" s="12" t="s">
        <v>37</v>
      </c>
      <c r="HH21" s="13" t="s">
        <v>37</v>
      </c>
      <c r="HI21" s="12" t="s">
        <v>37</v>
      </c>
      <c r="HJ21" s="12" t="s">
        <v>37</v>
      </c>
      <c r="HK21" s="13" t="s">
        <v>37</v>
      </c>
      <c r="HL21" s="13"/>
      <c r="HM21" s="13"/>
      <c r="HN21" s="34"/>
      <c r="HO21" s="12" t="s">
        <v>37</v>
      </c>
      <c r="HP21" s="12" t="s">
        <v>37</v>
      </c>
      <c r="HQ21" s="13" t="s">
        <v>37</v>
      </c>
      <c r="HR21" s="12" t="s">
        <v>37</v>
      </c>
      <c r="HS21" s="12" t="s">
        <v>37</v>
      </c>
      <c r="HT21" s="13" t="s">
        <v>37</v>
      </c>
      <c r="HU21" s="13"/>
      <c r="HV21" s="13"/>
      <c r="HW21" s="12"/>
      <c r="HX21" s="12"/>
      <c r="HY21" s="12" t="s">
        <v>37</v>
      </c>
      <c r="HZ21" s="12" t="s">
        <v>37</v>
      </c>
      <c r="IA21" s="12" t="s">
        <v>37</v>
      </c>
      <c r="IB21" s="12" t="s">
        <v>37</v>
      </c>
      <c r="IC21" s="12" t="s">
        <v>37</v>
      </c>
      <c r="ID21" s="12" t="s">
        <v>37</v>
      </c>
      <c r="IE21" s="12"/>
      <c r="IF21" s="32" t="s">
        <v>345</v>
      </c>
      <c r="IG21" s="12">
        <v>6.8</v>
      </c>
      <c r="IH21" s="60">
        <f t="shared" si="109"/>
        <v>0.26283827429397455</v>
      </c>
      <c r="II21" s="13">
        <v>3</v>
      </c>
      <c r="IJ21" s="19"/>
      <c r="IK21" s="12" t="s">
        <v>37</v>
      </c>
      <c r="IL21" s="12" t="s">
        <v>37</v>
      </c>
      <c r="IM21" s="13" t="s">
        <v>37</v>
      </c>
      <c r="IN21" s="19"/>
      <c r="IO21" s="19"/>
      <c r="IP21" s="19"/>
      <c r="IQ21" s="32"/>
      <c r="IR21" s="12" t="s">
        <v>37</v>
      </c>
      <c r="IS21" s="12" t="s">
        <v>37</v>
      </c>
      <c r="IT21" s="13" t="s">
        <v>37</v>
      </c>
      <c r="IU21" s="12" t="s">
        <v>37</v>
      </c>
      <c r="IV21" s="12" t="s">
        <v>37</v>
      </c>
      <c r="IW21" s="12" t="s">
        <v>37</v>
      </c>
      <c r="IX21" s="32"/>
      <c r="IY21" s="12" t="s">
        <v>37</v>
      </c>
      <c r="IZ21" s="12" t="s">
        <v>37</v>
      </c>
      <c r="JA21" s="13" t="s">
        <v>37</v>
      </c>
      <c r="JB21" s="12" t="s">
        <v>37</v>
      </c>
      <c r="JC21" s="12" t="s">
        <v>37</v>
      </c>
      <c r="JD21" s="12" t="s">
        <v>37</v>
      </c>
      <c r="JE21" s="12"/>
      <c r="JF21" s="12"/>
      <c r="JG21" s="11" t="s">
        <v>37</v>
      </c>
      <c r="JH21" s="11" t="s">
        <v>37</v>
      </c>
      <c r="JI21" s="13" t="s">
        <v>37</v>
      </c>
      <c r="JJ21" s="11" t="s">
        <v>37</v>
      </c>
      <c r="JK21" s="11" t="s">
        <v>37</v>
      </c>
      <c r="JL21" s="11" t="s">
        <v>37</v>
      </c>
      <c r="JM21" s="12" t="s">
        <v>148</v>
      </c>
      <c r="JN21" s="32" t="s">
        <v>345</v>
      </c>
      <c r="JO21" s="12">
        <v>1.4</v>
      </c>
      <c r="JP21" s="12" t="s">
        <v>37</v>
      </c>
      <c r="JQ21" s="11" t="s">
        <v>37</v>
      </c>
      <c r="JR21" s="19"/>
      <c r="JS21" s="12" t="s">
        <v>37</v>
      </c>
      <c r="JT21" s="12" t="s">
        <v>37</v>
      </c>
      <c r="JU21" s="13" t="s">
        <v>37</v>
      </c>
      <c r="JV21" s="19"/>
      <c r="JW21" s="19"/>
      <c r="JX21" s="19"/>
      <c r="JY21" s="32"/>
      <c r="JZ21" s="12" t="s">
        <v>37</v>
      </c>
      <c r="KA21" s="12" t="s">
        <v>37</v>
      </c>
      <c r="KB21" s="13" t="s">
        <v>37</v>
      </c>
      <c r="KC21" s="12" t="s">
        <v>37</v>
      </c>
      <c r="KD21" s="12" t="s">
        <v>37</v>
      </c>
      <c r="KE21" s="13" t="s">
        <v>37</v>
      </c>
      <c r="KF21" s="13"/>
      <c r="KG21" s="13"/>
      <c r="KH21" s="32"/>
      <c r="KI21" s="12" t="s">
        <v>37</v>
      </c>
      <c r="KJ21" s="12" t="s">
        <v>37</v>
      </c>
      <c r="KK21" s="12" t="s">
        <v>37</v>
      </c>
      <c r="KL21" s="12" t="s">
        <v>37</v>
      </c>
      <c r="KM21" s="12" t="s">
        <v>37</v>
      </c>
      <c r="KN21" s="12" t="s">
        <v>37</v>
      </c>
      <c r="KO21" s="12"/>
      <c r="KP21" s="12"/>
      <c r="KQ21" s="12"/>
      <c r="KR21" s="12" t="str">
        <f t="shared" si="87"/>
        <v>0-10</v>
      </c>
      <c r="KS21" s="12">
        <f t="shared" si="88"/>
        <v>41.857142857142861</v>
      </c>
      <c r="KT21" s="13" t="str">
        <f>JP21</f>
        <v>/</v>
      </c>
      <c r="KU21" s="13" t="str">
        <f t="shared" si="89"/>
        <v>/</v>
      </c>
      <c r="KV21" s="19"/>
      <c r="KW21" s="13" t="str">
        <f t="shared" si="91"/>
        <v>/</v>
      </c>
      <c r="KX21" s="13" t="str">
        <f t="shared" si="92"/>
        <v>/</v>
      </c>
      <c r="KY21" s="13" t="str">
        <f t="shared" si="93"/>
        <v>/</v>
      </c>
      <c r="KZ21" s="19"/>
      <c r="LA21" s="19"/>
      <c r="LB21" s="19"/>
      <c r="LC21" s="12"/>
      <c r="LD21" s="12" t="s">
        <v>37</v>
      </c>
      <c r="LE21" s="12" t="s">
        <v>37</v>
      </c>
      <c r="LF21" s="12" t="s">
        <v>37</v>
      </c>
      <c r="LG21" s="19" t="str">
        <f t="shared" si="19"/>
        <v>/</v>
      </c>
      <c r="LH21" s="19" t="str">
        <f t="shared" si="20"/>
        <v>/</v>
      </c>
      <c r="LI21" s="13" t="str">
        <f t="shared" si="21"/>
        <v>/</v>
      </c>
      <c r="LJ21" s="13"/>
      <c r="LK21" s="13"/>
      <c r="LL21" s="12"/>
      <c r="LM21" s="12" t="s">
        <v>37</v>
      </c>
      <c r="LN21" s="12" t="s">
        <v>37</v>
      </c>
      <c r="LO21" s="12" t="s">
        <v>37</v>
      </c>
      <c r="LP21" s="12" t="s">
        <v>37</v>
      </c>
      <c r="LQ21" s="12" t="s">
        <v>37</v>
      </c>
      <c r="LR21" s="12" t="s">
        <v>37</v>
      </c>
      <c r="LS21" s="12"/>
      <c r="LT21" s="12"/>
      <c r="LU21" s="12" t="s">
        <v>37</v>
      </c>
      <c r="LV21" s="12" t="s">
        <v>37</v>
      </c>
      <c r="LW21" s="13" t="s">
        <v>37</v>
      </c>
      <c r="LX21" s="12" t="s">
        <v>37</v>
      </c>
      <c r="LY21" s="12" t="s">
        <v>37</v>
      </c>
      <c r="LZ21" s="13" t="s">
        <v>37</v>
      </c>
      <c r="MA21" s="13"/>
      <c r="MB21" s="13"/>
      <c r="MC21" s="12"/>
      <c r="MD21" s="12"/>
      <c r="ME21" s="12" t="s">
        <v>37</v>
      </c>
      <c r="MF21" s="12" t="s">
        <v>37</v>
      </c>
      <c r="MG21" s="13" t="s">
        <v>37</v>
      </c>
      <c r="MH21" s="12" t="s">
        <v>37</v>
      </c>
      <c r="MI21" s="12" t="s">
        <v>37</v>
      </c>
      <c r="MJ21" s="13" t="s">
        <v>37</v>
      </c>
      <c r="MK21" s="13"/>
      <c r="ML21" s="13"/>
      <c r="MM21" s="12"/>
      <c r="MN21" s="12"/>
      <c r="MO21" s="12" t="s">
        <v>37</v>
      </c>
      <c r="MP21" s="12" t="s">
        <v>37</v>
      </c>
      <c r="MQ21" s="13" t="s">
        <v>37</v>
      </c>
      <c r="MR21" s="12" t="s">
        <v>37</v>
      </c>
      <c r="MS21" s="12" t="s">
        <v>37</v>
      </c>
      <c r="MT21" s="13" t="s">
        <v>37</v>
      </c>
      <c r="MU21" s="13"/>
      <c r="MV21" s="13"/>
      <c r="MW21" s="12"/>
      <c r="MX21" s="12"/>
      <c r="MY21" s="12" t="s">
        <v>37</v>
      </c>
      <c r="MZ21" s="12" t="s">
        <v>37</v>
      </c>
      <c r="NA21" s="12" t="s">
        <v>37</v>
      </c>
      <c r="NB21" s="12" t="s">
        <v>37</v>
      </c>
      <c r="NC21" s="12" t="s">
        <v>37</v>
      </c>
      <c r="ND21" s="12" t="s">
        <v>37</v>
      </c>
      <c r="NE21" s="12"/>
      <c r="NF21" s="12"/>
      <c r="NG21" s="12"/>
      <c r="NH21" s="12"/>
      <c r="NI21" s="12" t="s">
        <v>37</v>
      </c>
      <c r="NJ21" s="12" t="s">
        <v>37</v>
      </c>
      <c r="NK21" s="13" t="s">
        <v>37</v>
      </c>
      <c r="NL21" s="12" t="s">
        <v>37</v>
      </c>
      <c r="NM21" s="12" t="s">
        <v>37</v>
      </c>
      <c r="NN21" s="13" t="s">
        <v>37</v>
      </c>
      <c r="NO21" s="13"/>
      <c r="NP21" s="13"/>
      <c r="NQ21" s="12"/>
      <c r="NR21" s="12"/>
      <c r="NS21" s="11" t="s">
        <v>37</v>
      </c>
      <c r="NT21" s="11" t="s">
        <v>37</v>
      </c>
      <c r="NU21" s="13" t="s">
        <v>37</v>
      </c>
      <c r="NV21" s="11" t="s">
        <v>37</v>
      </c>
      <c r="NW21" s="11" t="s">
        <v>37</v>
      </c>
      <c r="NX21" s="13" t="s">
        <v>37</v>
      </c>
      <c r="NY21" s="13"/>
      <c r="NZ21" s="13"/>
      <c r="OA21" s="12"/>
      <c r="OB21" s="12"/>
      <c r="OC21" s="12" t="s">
        <v>37</v>
      </c>
      <c r="OD21" s="12" t="s">
        <v>37</v>
      </c>
      <c r="OE21" s="12" t="s">
        <v>37</v>
      </c>
      <c r="OF21" s="12" t="s">
        <v>37</v>
      </c>
      <c r="OG21" s="12" t="s">
        <v>37</v>
      </c>
      <c r="OH21" s="12" t="s">
        <v>37</v>
      </c>
      <c r="OI21" s="12"/>
      <c r="OJ21" s="12"/>
      <c r="OK21" s="12"/>
      <c r="OL21" s="12" t="s">
        <v>37</v>
      </c>
      <c r="OM21" s="12" t="s">
        <v>37</v>
      </c>
      <c r="ON21" s="11" t="s">
        <v>37</v>
      </c>
      <c r="OO21" s="12" t="s">
        <v>37</v>
      </c>
      <c r="OP21" s="12" t="s">
        <v>37</v>
      </c>
      <c r="OQ21" s="12" t="s">
        <v>37</v>
      </c>
      <c r="OR21" s="12"/>
      <c r="OS21" s="12" t="s">
        <v>37</v>
      </c>
      <c r="OT21" s="12" t="s">
        <v>37</v>
      </c>
      <c r="OU21" s="12" t="s">
        <v>37</v>
      </c>
      <c r="OV21" s="12" t="s">
        <v>37</v>
      </c>
      <c r="OW21" s="12" t="s">
        <v>37</v>
      </c>
      <c r="OX21" s="12" t="s">
        <v>37</v>
      </c>
      <c r="OY21" s="12"/>
      <c r="OZ21" s="12"/>
      <c r="PA21" s="12" t="s">
        <v>37</v>
      </c>
      <c r="PB21" s="12" t="s">
        <v>37</v>
      </c>
      <c r="PC21" s="12" t="s">
        <v>37</v>
      </c>
      <c r="PD21" s="12" t="s">
        <v>37</v>
      </c>
      <c r="PE21" s="12" t="s">
        <v>37</v>
      </c>
      <c r="PF21" s="12" t="s">
        <v>37</v>
      </c>
      <c r="PG21" s="12"/>
      <c r="PH21" s="12"/>
      <c r="PI21" s="12" t="s">
        <v>37</v>
      </c>
      <c r="PJ21" s="12" t="s">
        <v>37</v>
      </c>
      <c r="PK21" s="12" t="s">
        <v>37</v>
      </c>
      <c r="PL21" s="12" t="s">
        <v>37</v>
      </c>
      <c r="PM21" s="12" t="s">
        <v>37</v>
      </c>
      <c r="PN21" s="12" t="s">
        <v>37</v>
      </c>
      <c r="PO21" s="12"/>
      <c r="PP21" s="12"/>
      <c r="PQ21" s="12" t="s">
        <v>37</v>
      </c>
      <c r="PR21" s="12" t="s">
        <v>37</v>
      </c>
      <c r="PS21" s="12" t="s">
        <v>37</v>
      </c>
      <c r="PT21" s="12" t="s">
        <v>37</v>
      </c>
      <c r="PU21" s="12" t="s">
        <v>37</v>
      </c>
      <c r="PV21" s="12" t="s">
        <v>37</v>
      </c>
      <c r="PW21" s="12"/>
      <c r="PX21" s="12"/>
      <c r="PY21" s="12" t="s">
        <v>37</v>
      </c>
      <c r="PZ21" s="12" t="s">
        <v>37</v>
      </c>
      <c r="QA21" s="12" t="s">
        <v>37</v>
      </c>
      <c r="QB21" s="12" t="s">
        <v>37</v>
      </c>
      <c r="QC21" s="12" t="s">
        <v>37</v>
      </c>
      <c r="QD21" s="12" t="s">
        <v>37</v>
      </c>
      <c r="QE21" s="12"/>
      <c r="QF21" s="12"/>
      <c r="QG21" s="12" t="s">
        <v>37</v>
      </c>
      <c r="QH21" s="12" t="s">
        <v>37</v>
      </c>
      <c r="QI21" s="12" t="s">
        <v>37</v>
      </c>
      <c r="QJ21" s="12" t="s">
        <v>37</v>
      </c>
      <c r="QK21" s="12" t="s">
        <v>37</v>
      </c>
      <c r="QL21" s="12" t="s">
        <v>37</v>
      </c>
      <c r="QM21" s="12"/>
      <c r="QN21" s="12"/>
      <c r="QO21" s="12" t="s">
        <v>37</v>
      </c>
      <c r="QP21" s="12" t="s">
        <v>37</v>
      </c>
      <c r="QQ21" s="12" t="s">
        <v>37</v>
      </c>
      <c r="QR21" s="12" t="s">
        <v>37</v>
      </c>
      <c r="QS21" s="12" t="s">
        <v>37</v>
      </c>
      <c r="QT21" s="12" t="s">
        <v>37</v>
      </c>
      <c r="QU21" s="12"/>
      <c r="QV21" s="12"/>
      <c r="QW21" s="12"/>
      <c r="QX21" s="12"/>
      <c r="QY21" s="12" t="s">
        <v>37</v>
      </c>
      <c r="QZ21" s="12" t="s">
        <v>37</v>
      </c>
      <c r="RA21" s="11" t="s">
        <v>37</v>
      </c>
      <c r="RB21" s="12" t="s">
        <v>37</v>
      </c>
      <c r="RC21" s="12" t="s">
        <v>37</v>
      </c>
      <c r="RD21" s="11" t="s">
        <v>37</v>
      </c>
      <c r="RE21" s="11"/>
      <c r="RF21" s="11"/>
      <c r="RG21" s="12"/>
      <c r="RH21" s="12"/>
      <c r="RI21" s="12" t="s">
        <v>37</v>
      </c>
      <c r="RJ21" s="12" t="s">
        <v>37</v>
      </c>
      <c r="RK21" s="11" t="s">
        <v>37</v>
      </c>
      <c r="RL21" s="12" t="s">
        <v>37</v>
      </c>
      <c r="RM21" s="12" t="s">
        <v>37</v>
      </c>
      <c r="RN21" s="11" t="s">
        <v>37</v>
      </c>
      <c r="RO21" s="11"/>
      <c r="RP21" s="11"/>
      <c r="RQ21" s="12"/>
      <c r="RR21" s="12"/>
      <c r="RS21" s="12" t="s">
        <v>37</v>
      </c>
      <c r="RT21" s="12" t="s">
        <v>37</v>
      </c>
      <c r="RU21" s="11" t="s">
        <v>37</v>
      </c>
      <c r="RV21" s="12" t="s">
        <v>37</v>
      </c>
      <c r="RW21" s="12" t="s">
        <v>37</v>
      </c>
      <c r="RX21" s="11" t="s">
        <v>37</v>
      </c>
      <c r="RY21" s="11"/>
      <c r="RZ21" s="11"/>
      <c r="SA21" s="12"/>
      <c r="SB21" s="12"/>
      <c r="SC21" s="12" t="s">
        <v>37</v>
      </c>
      <c r="SD21" s="12" t="s">
        <v>37</v>
      </c>
      <c r="SE21" s="12" t="s">
        <v>37</v>
      </c>
      <c r="SF21" s="12" t="s">
        <v>37</v>
      </c>
      <c r="SG21" s="12" t="s">
        <v>37</v>
      </c>
      <c r="SH21" s="12" t="s">
        <v>37</v>
      </c>
      <c r="SI21" s="12"/>
      <c r="SJ21" s="12"/>
      <c r="SK21" s="12"/>
      <c r="SL21" s="12"/>
      <c r="SM21" s="12" t="s">
        <v>37</v>
      </c>
      <c r="SN21" s="12" t="s">
        <v>37</v>
      </c>
      <c r="SO21" s="12" t="s">
        <v>37</v>
      </c>
      <c r="SP21" s="12" t="s">
        <v>37</v>
      </c>
      <c r="SQ21" s="12" t="s">
        <v>37</v>
      </c>
      <c r="SR21" s="12" t="s">
        <v>37</v>
      </c>
      <c r="SS21" s="12"/>
      <c r="ST21" s="12"/>
      <c r="SU21" s="12"/>
      <c r="SV21" s="12"/>
      <c r="SW21" s="12" t="s">
        <v>37</v>
      </c>
      <c r="SX21" s="12" t="s">
        <v>37</v>
      </c>
      <c r="SY21" s="12" t="s">
        <v>37</v>
      </c>
      <c r="SZ21" s="12" t="s">
        <v>37</v>
      </c>
      <c r="TA21" s="12" t="s">
        <v>37</v>
      </c>
      <c r="TB21" s="12" t="s">
        <v>37</v>
      </c>
      <c r="TC21" s="12"/>
      <c r="TD21" s="12"/>
      <c r="TE21" s="12"/>
      <c r="TF21" s="12"/>
      <c r="TG21" s="13" t="s">
        <v>37</v>
      </c>
      <c r="TH21" s="13" t="s">
        <v>37</v>
      </c>
      <c r="TI21" s="13" t="s">
        <v>37</v>
      </c>
      <c r="TJ21" s="13" t="s">
        <v>37</v>
      </c>
      <c r="TK21" s="13" t="s">
        <v>37</v>
      </c>
      <c r="TL21" s="13" t="s">
        <v>37</v>
      </c>
      <c r="TM21" s="13"/>
      <c r="TN21" s="13"/>
      <c r="TO21" s="12"/>
      <c r="TP21" s="12"/>
      <c r="TQ21" s="13" t="s">
        <v>37</v>
      </c>
      <c r="TR21" s="13" t="s">
        <v>37</v>
      </c>
      <c r="TS21" s="13" t="s">
        <v>37</v>
      </c>
      <c r="TT21" s="19"/>
      <c r="TU21" s="13" t="s">
        <v>37</v>
      </c>
      <c r="TV21" s="13" t="s">
        <v>37</v>
      </c>
      <c r="TW21" s="13" t="s">
        <v>37</v>
      </c>
    </row>
    <row r="22" spans="1:543" ht="17.399999999999999" x14ac:dyDescent="0.4">
      <c r="A22" s="11">
        <v>9</v>
      </c>
      <c r="B22" s="16" t="s">
        <v>222</v>
      </c>
      <c r="C22" s="12" t="s">
        <v>26</v>
      </c>
      <c r="D22" s="12" t="s">
        <v>609</v>
      </c>
      <c r="E22" s="14" t="s">
        <v>371</v>
      </c>
      <c r="F22" s="14">
        <v>0</v>
      </c>
      <c r="G22" s="14">
        <v>0</v>
      </c>
      <c r="H22" s="12" t="s">
        <v>79</v>
      </c>
      <c r="I22" s="29">
        <v>33.85</v>
      </c>
      <c r="J22" s="29">
        <v>102.5</v>
      </c>
      <c r="K22" s="12" t="s">
        <v>805</v>
      </c>
      <c r="L22" s="12" t="s">
        <v>806</v>
      </c>
      <c r="M22" s="13">
        <v>3600</v>
      </c>
      <c r="N22" s="14">
        <v>1.4</v>
      </c>
      <c r="O22" s="14">
        <v>700</v>
      </c>
      <c r="P22" s="14" t="s">
        <v>16</v>
      </c>
      <c r="Q22" s="11" t="s">
        <v>223</v>
      </c>
      <c r="R22" s="11" t="s">
        <v>37</v>
      </c>
      <c r="S22" s="12" t="s">
        <v>85</v>
      </c>
      <c r="T22" s="12" t="s">
        <v>37</v>
      </c>
      <c r="U22" s="12" t="s">
        <v>158</v>
      </c>
      <c r="V22" s="12" t="s">
        <v>275</v>
      </c>
      <c r="W22" s="23" t="s">
        <v>529</v>
      </c>
      <c r="X22" s="12" t="s">
        <v>280</v>
      </c>
      <c r="Y22" s="12" t="s">
        <v>69</v>
      </c>
      <c r="Z22" s="12" t="s">
        <v>217</v>
      </c>
      <c r="AA22" s="32" t="s">
        <v>528</v>
      </c>
      <c r="AB22" s="12" t="s">
        <v>317</v>
      </c>
      <c r="AC22" s="12" t="s">
        <v>37</v>
      </c>
      <c r="AD22" s="12" t="s">
        <v>167</v>
      </c>
      <c r="AE22" s="12" t="s">
        <v>74</v>
      </c>
      <c r="AF22" s="12" t="s">
        <v>483</v>
      </c>
      <c r="AG22" s="12" t="s">
        <v>148</v>
      </c>
      <c r="AH22" s="32" t="s">
        <v>345</v>
      </c>
      <c r="AI22" s="12">
        <v>58.6</v>
      </c>
      <c r="AJ22" s="60">
        <f t="shared" si="108"/>
        <v>2.132731319038434</v>
      </c>
      <c r="AK22" s="11">
        <v>3</v>
      </c>
      <c r="AL22" s="19"/>
      <c r="AM22" s="12" t="s">
        <v>37</v>
      </c>
      <c r="AN22" s="12" t="s">
        <v>37</v>
      </c>
      <c r="AO22" s="13" t="s">
        <v>37</v>
      </c>
      <c r="AP22" s="19"/>
      <c r="AQ22" s="49"/>
      <c r="AR22" s="49"/>
      <c r="AS22" s="32"/>
      <c r="AT22" s="12" t="s">
        <v>37</v>
      </c>
      <c r="AU22" s="12" t="s">
        <v>37</v>
      </c>
      <c r="AV22" s="13" t="s">
        <v>37</v>
      </c>
      <c r="AW22" s="12" t="s">
        <v>37</v>
      </c>
      <c r="AX22" s="12" t="s">
        <v>37</v>
      </c>
      <c r="AY22" s="13" t="s">
        <v>37</v>
      </c>
      <c r="AZ22" s="13"/>
      <c r="BA22" s="13"/>
      <c r="BB22" s="12"/>
      <c r="BC22" s="12" t="s">
        <v>37</v>
      </c>
      <c r="BD22" s="12" t="s">
        <v>37</v>
      </c>
      <c r="BE22" s="13" t="s">
        <v>37</v>
      </c>
      <c r="BF22" s="12" t="s">
        <v>37</v>
      </c>
      <c r="BG22" s="12" t="s">
        <v>37</v>
      </c>
      <c r="BH22" s="12" t="s">
        <v>37</v>
      </c>
      <c r="BI22" s="12"/>
      <c r="BJ22" s="12" t="s">
        <v>37</v>
      </c>
      <c r="BK22" s="12" t="s">
        <v>37</v>
      </c>
      <c r="BL22" s="13" t="s">
        <v>37</v>
      </c>
      <c r="BM22" s="12" t="s">
        <v>37</v>
      </c>
      <c r="BN22" s="12" t="s">
        <v>37</v>
      </c>
      <c r="BO22" s="13" t="s">
        <v>37</v>
      </c>
      <c r="BP22" s="19"/>
      <c r="BQ22" s="19"/>
      <c r="BR22" s="19"/>
      <c r="BS22" s="19"/>
      <c r="BT22" s="12"/>
      <c r="BU22" s="12" t="s">
        <v>37</v>
      </c>
      <c r="BV22" s="12" t="s">
        <v>37</v>
      </c>
      <c r="BW22" s="13" t="s">
        <v>37</v>
      </c>
      <c r="BX22" s="12" t="s">
        <v>37</v>
      </c>
      <c r="BY22" s="12" t="s">
        <v>37</v>
      </c>
      <c r="BZ22" s="13" t="s">
        <v>37</v>
      </c>
      <c r="CA22" s="19"/>
      <c r="CB22" s="19"/>
      <c r="CC22" s="19"/>
      <c r="CD22" s="19"/>
      <c r="CE22" s="12"/>
      <c r="CF22" s="12" t="s">
        <v>37</v>
      </c>
      <c r="CG22" s="12" t="s">
        <v>37</v>
      </c>
      <c r="CH22" s="13" t="s">
        <v>37</v>
      </c>
      <c r="CI22" s="12" t="s">
        <v>37</v>
      </c>
      <c r="CJ22" s="12" t="s">
        <v>37</v>
      </c>
      <c r="CK22" s="13" t="s">
        <v>37</v>
      </c>
      <c r="CL22" s="19"/>
      <c r="CM22" s="19"/>
      <c r="CN22" s="19"/>
      <c r="CO22" s="19"/>
      <c r="CP22" s="11" t="s">
        <v>34</v>
      </c>
      <c r="CQ22" s="12">
        <v>0.53</v>
      </c>
      <c r="CR22" s="19">
        <v>0.61</v>
      </c>
      <c r="CS22" s="13">
        <v>3</v>
      </c>
      <c r="CT22" s="52">
        <f t="shared" si="85"/>
        <v>1.1509433962264151</v>
      </c>
      <c r="CU22" s="12">
        <v>0.21</v>
      </c>
      <c r="CV22" s="19">
        <v>0.46</v>
      </c>
      <c r="CW22" s="13">
        <v>3</v>
      </c>
      <c r="CX22" s="52">
        <f t="shared" si="86"/>
        <v>2.1904761904761907</v>
      </c>
      <c r="CY22" s="68">
        <f t="shared" si="61"/>
        <v>-0.32000000000000006</v>
      </c>
      <c r="CZ22" s="12">
        <f t="shared" si="39"/>
        <v>0.5402314318882232</v>
      </c>
      <c r="DA22" s="72">
        <f t="shared" si="40"/>
        <v>0.19456666666666667</v>
      </c>
      <c r="DB22" s="72">
        <f t="shared" si="41"/>
        <v>0.19456666666666667</v>
      </c>
      <c r="DC22" s="11"/>
      <c r="DD22" s="12" t="s">
        <v>37</v>
      </c>
      <c r="DE22" s="68" t="s">
        <v>37</v>
      </c>
      <c r="DF22" s="12" t="s">
        <v>37</v>
      </c>
      <c r="DG22" s="19"/>
      <c r="DH22" s="12" t="s">
        <v>37</v>
      </c>
      <c r="DI22" s="68" t="s">
        <v>37</v>
      </c>
      <c r="DJ22" s="12" t="s">
        <v>37</v>
      </c>
      <c r="DK22" s="19"/>
      <c r="DL22" s="68"/>
      <c r="DM22" s="68"/>
      <c r="DN22" s="68"/>
      <c r="DO22" s="68"/>
      <c r="DP22" s="12" t="s">
        <v>39</v>
      </c>
      <c r="DQ22" s="12">
        <v>-10</v>
      </c>
      <c r="DR22" s="60">
        <f t="shared" si="99"/>
        <v>4.04</v>
      </c>
      <c r="DS22" s="13">
        <v>3</v>
      </c>
      <c r="DT22" s="19"/>
      <c r="DU22" s="12">
        <v>-50</v>
      </c>
      <c r="DV22" s="60">
        <f t="shared" si="100"/>
        <v>17.28063812352061</v>
      </c>
      <c r="DW22" s="13">
        <v>3</v>
      </c>
      <c r="DX22" s="19"/>
      <c r="DY22" s="19">
        <f t="shared" si="101"/>
        <v>-40</v>
      </c>
      <c r="DZ22" s="12">
        <f t="shared" si="102"/>
        <v>12.548746032095675</v>
      </c>
      <c r="EA22" s="72">
        <f t="shared" si="13"/>
        <v>104.98068465202462</v>
      </c>
      <c r="EB22" s="72">
        <f t="shared" si="14"/>
        <v>104.98068465202464</v>
      </c>
      <c r="EC22" s="12"/>
      <c r="ED22" s="12"/>
      <c r="EE22" s="12" t="s">
        <v>37</v>
      </c>
      <c r="EF22" s="12" t="s">
        <v>37</v>
      </c>
      <c r="EG22" s="11" t="s">
        <v>37</v>
      </c>
      <c r="EH22" s="19"/>
      <c r="EI22" s="12" t="s">
        <v>37</v>
      </c>
      <c r="EJ22" s="20" t="s">
        <v>37</v>
      </c>
      <c r="EK22" s="11" t="s">
        <v>37</v>
      </c>
      <c r="EL22" s="19"/>
      <c r="EM22" s="19"/>
      <c r="EN22" s="19"/>
      <c r="EO22" s="19"/>
      <c r="EP22" s="19"/>
      <c r="EQ22" s="32"/>
      <c r="ER22" s="12" t="s">
        <v>37</v>
      </c>
      <c r="ES22" s="12" t="s">
        <v>37</v>
      </c>
      <c r="ET22" s="11" t="s">
        <v>37</v>
      </c>
      <c r="EU22" s="19"/>
      <c r="EV22" s="13" t="s">
        <v>37</v>
      </c>
      <c r="EW22" s="11" t="s">
        <v>37</v>
      </c>
      <c r="EX22" s="11" t="s">
        <v>37</v>
      </c>
      <c r="EY22" s="19"/>
      <c r="EZ22" s="19"/>
      <c r="FA22" s="19"/>
      <c r="FB22" s="19"/>
      <c r="FC22" s="32"/>
      <c r="FD22" s="12" t="s">
        <v>37</v>
      </c>
      <c r="FE22" s="12" t="s">
        <v>37</v>
      </c>
      <c r="FF22" s="11" t="s">
        <v>37</v>
      </c>
      <c r="FG22" s="13" t="s">
        <v>37</v>
      </c>
      <c r="FH22" s="11" t="s">
        <v>37</v>
      </c>
      <c r="FI22" s="11" t="s">
        <v>37</v>
      </c>
      <c r="FJ22" s="19"/>
      <c r="FK22" s="19"/>
      <c r="FL22" s="19"/>
      <c r="FM22" s="32"/>
      <c r="FN22" s="12" t="s">
        <v>37</v>
      </c>
      <c r="FO22" s="12" t="s">
        <v>37</v>
      </c>
      <c r="FP22" s="11" t="s">
        <v>37</v>
      </c>
      <c r="FQ22" s="13" t="s">
        <v>37</v>
      </c>
      <c r="FR22" s="11" t="s">
        <v>37</v>
      </c>
      <c r="FS22" s="11" t="s">
        <v>37</v>
      </c>
      <c r="FT22" s="19"/>
      <c r="FU22" s="19"/>
      <c r="FV22" s="19"/>
      <c r="FW22" s="12"/>
      <c r="FX22" s="12"/>
      <c r="FY22" s="12" t="s">
        <v>37</v>
      </c>
      <c r="FZ22" s="12" t="s">
        <v>37</v>
      </c>
      <c r="GA22" s="13" t="s">
        <v>37</v>
      </c>
      <c r="GB22" s="12" t="s">
        <v>37</v>
      </c>
      <c r="GC22" s="12" t="s">
        <v>37</v>
      </c>
      <c r="GD22" s="13" t="s">
        <v>37</v>
      </c>
      <c r="GE22" s="19"/>
      <c r="GF22" s="19"/>
      <c r="GG22" s="12"/>
      <c r="GH22" s="12"/>
      <c r="GI22" s="12" t="s">
        <v>37</v>
      </c>
      <c r="GJ22" s="12" t="s">
        <v>37</v>
      </c>
      <c r="GK22" s="13" t="s">
        <v>37</v>
      </c>
      <c r="GL22" s="19"/>
      <c r="GM22" s="12" t="s">
        <v>37</v>
      </c>
      <c r="GN22" s="12" t="s">
        <v>37</v>
      </c>
      <c r="GO22" s="13" t="s">
        <v>37</v>
      </c>
      <c r="GP22" s="19"/>
      <c r="GQ22" s="19"/>
      <c r="GR22" s="19"/>
      <c r="GS22" s="17"/>
      <c r="GT22" s="34"/>
      <c r="GU22" s="12" t="s">
        <v>37</v>
      </c>
      <c r="GV22" s="12" t="s">
        <v>37</v>
      </c>
      <c r="GW22" s="12" t="s">
        <v>37</v>
      </c>
      <c r="GX22" s="19"/>
      <c r="GY22" s="12" t="s">
        <v>37</v>
      </c>
      <c r="GZ22" s="12" t="s">
        <v>37</v>
      </c>
      <c r="HA22" s="12" t="s">
        <v>37</v>
      </c>
      <c r="HB22" s="19"/>
      <c r="HC22" s="19"/>
      <c r="HD22" s="19"/>
      <c r="HE22" s="34"/>
      <c r="HF22" s="12" t="s">
        <v>37</v>
      </c>
      <c r="HG22" s="12" t="s">
        <v>37</v>
      </c>
      <c r="HH22" s="13" t="s">
        <v>37</v>
      </c>
      <c r="HI22" s="12" t="s">
        <v>37</v>
      </c>
      <c r="HJ22" s="12" t="s">
        <v>37</v>
      </c>
      <c r="HK22" s="13" t="s">
        <v>37</v>
      </c>
      <c r="HL22" s="13"/>
      <c r="HM22" s="13"/>
      <c r="HN22" s="34"/>
      <c r="HO22" s="12" t="s">
        <v>37</v>
      </c>
      <c r="HP22" s="12" t="s">
        <v>37</v>
      </c>
      <c r="HQ22" s="13" t="s">
        <v>37</v>
      </c>
      <c r="HR22" s="12" t="s">
        <v>37</v>
      </c>
      <c r="HS22" s="12" t="s">
        <v>37</v>
      </c>
      <c r="HT22" s="13" t="s">
        <v>37</v>
      </c>
      <c r="HU22" s="13"/>
      <c r="HV22" s="13"/>
      <c r="HW22" s="12"/>
      <c r="HX22" s="12"/>
      <c r="HY22" s="12" t="s">
        <v>37</v>
      </c>
      <c r="HZ22" s="12" t="s">
        <v>37</v>
      </c>
      <c r="IA22" s="12" t="s">
        <v>37</v>
      </c>
      <c r="IB22" s="12" t="s">
        <v>37</v>
      </c>
      <c r="IC22" s="12" t="s">
        <v>37</v>
      </c>
      <c r="ID22" s="12" t="s">
        <v>37</v>
      </c>
      <c r="IE22" s="12"/>
      <c r="IF22" s="32" t="s">
        <v>345</v>
      </c>
      <c r="IG22" s="12">
        <v>6.8</v>
      </c>
      <c r="IH22" s="60">
        <f t="shared" si="109"/>
        <v>0.26283827429397455</v>
      </c>
      <c r="II22" s="13">
        <v>3</v>
      </c>
      <c r="IJ22" s="19"/>
      <c r="IK22" s="12" t="s">
        <v>37</v>
      </c>
      <c r="IL22" s="12" t="s">
        <v>37</v>
      </c>
      <c r="IM22" s="13" t="s">
        <v>37</v>
      </c>
      <c r="IN22" s="19"/>
      <c r="IO22" s="19"/>
      <c r="IP22" s="19"/>
      <c r="IQ22" s="32"/>
      <c r="IR22" s="12" t="s">
        <v>37</v>
      </c>
      <c r="IS22" s="12" t="s">
        <v>37</v>
      </c>
      <c r="IT22" s="13" t="s">
        <v>37</v>
      </c>
      <c r="IU22" s="12" t="s">
        <v>37</v>
      </c>
      <c r="IV22" s="12" t="s">
        <v>37</v>
      </c>
      <c r="IW22" s="12" t="s">
        <v>37</v>
      </c>
      <c r="IX22" s="32"/>
      <c r="IY22" s="12" t="s">
        <v>37</v>
      </c>
      <c r="IZ22" s="12" t="s">
        <v>37</v>
      </c>
      <c r="JA22" s="13" t="s">
        <v>37</v>
      </c>
      <c r="JB22" s="12" t="s">
        <v>37</v>
      </c>
      <c r="JC22" s="12" t="s">
        <v>37</v>
      </c>
      <c r="JD22" s="12" t="s">
        <v>37</v>
      </c>
      <c r="JE22" s="12"/>
      <c r="JF22" s="12"/>
      <c r="JG22" s="11" t="s">
        <v>37</v>
      </c>
      <c r="JH22" s="11" t="s">
        <v>37</v>
      </c>
      <c r="JI22" s="13" t="s">
        <v>37</v>
      </c>
      <c r="JJ22" s="11" t="s">
        <v>37</v>
      </c>
      <c r="JK22" s="11" t="s">
        <v>37</v>
      </c>
      <c r="JL22" s="11" t="s">
        <v>37</v>
      </c>
      <c r="JM22" s="12" t="s">
        <v>148</v>
      </c>
      <c r="JN22" s="32" t="s">
        <v>345</v>
      </c>
      <c r="JO22" s="12">
        <v>1.4</v>
      </c>
      <c r="JP22" s="12" t="s">
        <v>37</v>
      </c>
      <c r="JQ22" s="11" t="s">
        <v>37</v>
      </c>
      <c r="JR22" s="19"/>
      <c r="JS22" s="12" t="s">
        <v>37</v>
      </c>
      <c r="JT22" s="12" t="s">
        <v>37</v>
      </c>
      <c r="JU22" s="13" t="s">
        <v>37</v>
      </c>
      <c r="JV22" s="19"/>
      <c r="JW22" s="19"/>
      <c r="JX22" s="19"/>
      <c r="JY22" s="32"/>
      <c r="JZ22" s="12" t="s">
        <v>37</v>
      </c>
      <c r="KA22" s="12" t="s">
        <v>37</v>
      </c>
      <c r="KB22" s="13" t="s">
        <v>37</v>
      </c>
      <c r="KC22" s="12" t="s">
        <v>37</v>
      </c>
      <c r="KD22" s="12" t="s">
        <v>37</v>
      </c>
      <c r="KE22" s="13" t="s">
        <v>37</v>
      </c>
      <c r="KF22" s="13"/>
      <c r="KG22" s="13"/>
      <c r="KH22" s="32"/>
      <c r="KI22" s="12" t="s">
        <v>37</v>
      </c>
      <c r="KJ22" s="12" t="s">
        <v>37</v>
      </c>
      <c r="KK22" s="12" t="s">
        <v>37</v>
      </c>
      <c r="KL22" s="12" t="s">
        <v>37</v>
      </c>
      <c r="KM22" s="12" t="s">
        <v>37</v>
      </c>
      <c r="KN22" s="12" t="s">
        <v>37</v>
      </c>
      <c r="KO22" s="12"/>
      <c r="KP22" s="12"/>
      <c r="KQ22" s="12"/>
      <c r="KR22" s="12" t="str">
        <f t="shared" si="87"/>
        <v>0-10</v>
      </c>
      <c r="KS22" s="12">
        <f t="shared" si="88"/>
        <v>41.857142857142861</v>
      </c>
      <c r="KT22" s="13" t="str">
        <f>JP22</f>
        <v>/</v>
      </c>
      <c r="KU22" s="13" t="str">
        <f t="shared" si="89"/>
        <v>/</v>
      </c>
      <c r="KV22" s="19"/>
      <c r="KW22" s="13" t="str">
        <f t="shared" si="91"/>
        <v>/</v>
      </c>
      <c r="KX22" s="13" t="str">
        <f t="shared" si="92"/>
        <v>/</v>
      </c>
      <c r="KY22" s="13" t="str">
        <f t="shared" si="93"/>
        <v>/</v>
      </c>
      <c r="KZ22" s="19"/>
      <c r="LA22" s="19"/>
      <c r="LB22" s="19"/>
      <c r="LC22" s="12"/>
      <c r="LD22" s="12" t="s">
        <v>37</v>
      </c>
      <c r="LE22" s="12" t="s">
        <v>37</v>
      </c>
      <c r="LF22" s="12" t="s">
        <v>37</v>
      </c>
      <c r="LG22" s="19" t="str">
        <f t="shared" si="19"/>
        <v>/</v>
      </c>
      <c r="LH22" s="19" t="str">
        <f t="shared" si="20"/>
        <v>/</v>
      </c>
      <c r="LI22" s="13" t="str">
        <f t="shared" si="21"/>
        <v>/</v>
      </c>
      <c r="LJ22" s="13"/>
      <c r="LK22" s="13"/>
      <c r="LL22" s="12"/>
      <c r="LM22" s="12" t="s">
        <v>37</v>
      </c>
      <c r="LN22" s="12" t="s">
        <v>37</v>
      </c>
      <c r="LO22" s="12" t="s">
        <v>37</v>
      </c>
      <c r="LP22" s="12" t="s">
        <v>37</v>
      </c>
      <c r="LQ22" s="12" t="s">
        <v>37</v>
      </c>
      <c r="LR22" s="12" t="s">
        <v>37</v>
      </c>
      <c r="LS22" s="12"/>
      <c r="LT22" s="12"/>
      <c r="LU22" s="12" t="s">
        <v>37</v>
      </c>
      <c r="LV22" s="12" t="s">
        <v>37</v>
      </c>
      <c r="LW22" s="13" t="s">
        <v>37</v>
      </c>
      <c r="LX22" s="12" t="s">
        <v>37</v>
      </c>
      <c r="LY22" s="12" t="s">
        <v>37</v>
      </c>
      <c r="LZ22" s="13" t="s">
        <v>37</v>
      </c>
      <c r="MA22" s="13"/>
      <c r="MB22" s="13"/>
      <c r="MC22" s="12"/>
      <c r="MD22" s="12"/>
      <c r="ME22" s="12" t="s">
        <v>37</v>
      </c>
      <c r="MF22" s="12" t="s">
        <v>37</v>
      </c>
      <c r="MG22" s="13" t="s">
        <v>37</v>
      </c>
      <c r="MH22" s="12" t="s">
        <v>37</v>
      </c>
      <c r="MI22" s="12" t="s">
        <v>37</v>
      </c>
      <c r="MJ22" s="13" t="s">
        <v>37</v>
      </c>
      <c r="MK22" s="13"/>
      <c r="ML22" s="13"/>
      <c r="MM22" s="12"/>
      <c r="MN22" s="12"/>
      <c r="MO22" s="12" t="s">
        <v>37</v>
      </c>
      <c r="MP22" s="12" t="s">
        <v>37</v>
      </c>
      <c r="MQ22" s="13" t="s">
        <v>37</v>
      </c>
      <c r="MR22" s="12" t="s">
        <v>37</v>
      </c>
      <c r="MS22" s="12" t="s">
        <v>37</v>
      </c>
      <c r="MT22" s="13" t="s">
        <v>37</v>
      </c>
      <c r="MU22" s="13"/>
      <c r="MV22" s="13"/>
      <c r="MW22" s="12"/>
      <c r="MX22" s="12"/>
      <c r="MY22" s="12" t="s">
        <v>37</v>
      </c>
      <c r="MZ22" s="12" t="s">
        <v>37</v>
      </c>
      <c r="NA22" s="12" t="s">
        <v>37</v>
      </c>
      <c r="NB22" s="12" t="s">
        <v>37</v>
      </c>
      <c r="NC22" s="12" t="s">
        <v>37</v>
      </c>
      <c r="ND22" s="12" t="s">
        <v>37</v>
      </c>
      <c r="NE22" s="12"/>
      <c r="NF22" s="12"/>
      <c r="NG22" s="12"/>
      <c r="NH22" s="12"/>
      <c r="NI22" s="12" t="s">
        <v>37</v>
      </c>
      <c r="NJ22" s="12" t="s">
        <v>37</v>
      </c>
      <c r="NK22" s="13" t="s">
        <v>37</v>
      </c>
      <c r="NL22" s="12" t="s">
        <v>37</v>
      </c>
      <c r="NM22" s="12" t="s">
        <v>37</v>
      </c>
      <c r="NN22" s="13" t="s">
        <v>37</v>
      </c>
      <c r="NO22" s="13"/>
      <c r="NP22" s="13"/>
      <c r="NQ22" s="12"/>
      <c r="NR22" s="12"/>
      <c r="NS22" s="11" t="s">
        <v>37</v>
      </c>
      <c r="NT22" s="11" t="s">
        <v>37</v>
      </c>
      <c r="NU22" s="13" t="s">
        <v>37</v>
      </c>
      <c r="NV22" s="11" t="s">
        <v>37</v>
      </c>
      <c r="NW22" s="11" t="s">
        <v>37</v>
      </c>
      <c r="NX22" s="13" t="s">
        <v>37</v>
      </c>
      <c r="NY22" s="13"/>
      <c r="NZ22" s="13"/>
      <c r="OA22" s="12"/>
      <c r="OB22" s="12"/>
      <c r="OC22" s="12" t="s">
        <v>37</v>
      </c>
      <c r="OD22" s="12" t="s">
        <v>37</v>
      </c>
      <c r="OE22" s="12" t="s">
        <v>37</v>
      </c>
      <c r="OF22" s="12" t="s">
        <v>37</v>
      </c>
      <c r="OG22" s="12" t="s">
        <v>37</v>
      </c>
      <c r="OH22" s="12" t="s">
        <v>37</v>
      </c>
      <c r="OI22" s="12"/>
      <c r="OJ22" s="12"/>
      <c r="OK22" s="12"/>
      <c r="OL22" s="12" t="s">
        <v>37</v>
      </c>
      <c r="OM22" s="12" t="s">
        <v>37</v>
      </c>
      <c r="ON22" s="11" t="s">
        <v>37</v>
      </c>
      <c r="OO22" s="12" t="s">
        <v>37</v>
      </c>
      <c r="OP22" s="12" t="s">
        <v>37</v>
      </c>
      <c r="OQ22" s="12" t="s">
        <v>37</v>
      </c>
      <c r="OR22" s="12"/>
      <c r="OS22" s="12" t="s">
        <v>37</v>
      </c>
      <c r="OT22" s="12" t="s">
        <v>37</v>
      </c>
      <c r="OU22" s="12" t="s">
        <v>37</v>
      </c>
      <c r="OV22" s="12" t="s">
        <v>37</v>
      </c>
      <c r="OW22" s="12" t="s">
        <v>37</v>
      </c>
      <c r="OX22" s="12" t="s">
        <v>37</v>
      </c>
      <c r="OY22" s="12"/>
      <c r="OZ22" s="12"/>
      <c r="PA22" s="12" t="s">
        <v>37</v>
      </c>
      <c r="PB22" s="12" t="s">
        <v>37</v>
      </c>
      <c r="PC22" s="12" t="s">
        <v>37</v>
      </c>
      <c r="PD22" s="12" t="s">
        <v>37</v>
      </c>
      <c r="PE22" s="12" t="s">
        <v>37</v>
      </c>
      <c r="PF22" s="12" t="s">
        <v>37</v>
      </c>
      <c r="PG22" s="12"/>
      <c r="PH22" s="12"/>
      <c r="PI22" s="12" t="s">
        <v>37</v>
      </c>
      <c r="PJ22" s="12" t="s">
        <v>37</v>
      </c>
      <c r="PK22" s="12" t="s">
        <v>37</v>
      </c>
      <c r="PL22" s="12" t="s">
        <v>37</v>
      </c>
      <c r="PM22" s="12" t="s">
        <v>37</v>
      </c>
      <c r="PN22" s="12" t="s">
        <v>37</v>
      </c>
      <c r="PO22" s="12"/>
      <c r="PP22" s="12"/>
      <c r="PQ22" s="12" t="s">
        <v>37</v>
      </c>
      <c r="PR22" s="12" t="s">
        <v>37</v>
      </c>
      <c r="PS22" s="12" t="s">
        <v>37</v>
      </c>
      <c r="PT22" s="12" t="s">
        <v>37</v>
      </c>
      <c r="PU22" s="12" t="s">
        <v>37</v>
      </c>
      <c r="PV22" s="12" t="s">
        <v>37</v>
      </c>
      <c r="PW22" s="12"/>
      <c r="PX22" s="12"/>
      <c r="PY22" s="12" t="s">
        <v>37</v>
      </c>
      <c r="PZ22" s="12" t="s">
        <v>37</v>
      </c>
      <c r="QA22" s="12" t="s">
        <v>37</v>
      </c>
      <c r="QB22" s="12" t="s">
        <v>37</v>
      </c>
      <c r="QC22" s="12" t="s">
        <v>37</v>
      </c>
      <c r="QD22" s="12" t="s">
        <v>37</v>
      </c>
      <c r="QE22" s="12"/>
      <c r="QF22" s="12"/>
      <c r="QG22" s="12" t="s">
        <v>37</v>
      </c>
      <c r="QH22" s="12" t="s">
        <v>37</v>
      </c>
      <c r="QI22" s="12" t="s">
        <v>37</v>
      </c>
      <c r="QJ22" s="12" t="s">
        <v>37</v>
      </c>
      <c r="QK22" s="12" t="s">
        <v>37</v>
      </c>
      <c r="QL22" s="12" t="s">
        <v>37</v>
      </c>
      <c r="QM22" s="12"/>
      <c r="QN22" s="12"/>
      <c r="QO22" s="12" t="s">
        <v>37</v>
      </c>
      <c r="QP22" s="12" t="s">
        <v>37</v>
      </c>
      <c r="QQ22" s="12" t="s">
        <v>37</v>
      </c>
      <c r="QR22" s="12" t="s">
        <v>37</v>
      </c>
      <c r="QS22" s="12" t="s">
        <v>37</v>
      </c>
      <c r="QT22" s="12" t="s">
        <v>37</v>
      </c>
      <c r="QU22" s="12"/>
      <c r="QV22" s="12"/>
      <c r="QW22" s="12"/>
      <c r="QX22" s="12"/>
      <c r="QY22" s="12" t="s">
        <v>37</v>
      </c>
      <c r="QZ22" s="12" t="s">
        <v>37</v>
      </c>
      <c r="RA22" s="11" t="s">
        <v>37</v>
      </c>
      <c r="RB22" s="12" t="s">
        <v>37</v>
      </c>
      <c r="RC22" s="12" t="s">
        <v>37</v>
      </c>
      <c r="RD22" s="11" t="s">
        <v>37</v>
      </c>
      <c r="RE22" s="11"/>
      <c r="RF22" s="11"/>
      <c r="RG22" s="12"/>
      <c r="RH22" s="12"/>
      <c r="RI22" s="12" t="s">
        <v>37</v>
      </c>
      <c r="RJ22" s="12" t="s">
        <v>37</v>
      </c>
      <c r="RK22" s="11" t="s">
        <v>37</v>
      </c>
      <c r="RL22" s="12" t="s">
        <v>37</v>
      </c>
      <c r="RM22" s="12" t="s">
        <v>37</v>
      </c>
      <c r="RN22" s="11" t="s">
        <v>37</v>
      </c>
      <c r="RO22" s="11"/>
      <c r="RP22" s="11"/>
      <c r="RQ22" s="12"/>
      <c r="RR22" s="12"/>
      <c r="RS22" s="12" t="s">
        <v>37</v>
      </c>
      <c r="RT22" s="12" t="s">
        <v>37</v>
      </c>
      <c r="RU22" s="11" t="s">
        <v>37</v>
      </c>
      <c r="RV22" s="12" t="s">
        <v>37</v>
      </c>
      <c r="RW22" s="12" t="s">
        <v>37</v>
      </c>
      <c r="RX22" s="11" t="s">
        <v>37</v>
      </c>
      <c r="RY22" s="11"/>
      <c r="RZ22" s="11"/>
      <c r="SA22" s="12"/>
      <c r="SB22" s="12"/>
      <c r="SC22" s="12" t="s">
        <v>37</v>
      </c>
      <c r="SD22" s="12" t="s">
        <v>37</v>
      </c>
      <c r="SE22" s="12" t="s">
        <v>37</v>
      </c>
      <c r="SF22" s="12" t="s">
        <v>37</v>
      </c>
      <c r="SG22" s="12" t="s">
        <v>37</v>
      </c>
      <c r="SH22" s="12" t="s">
        <v>37</v>
      </c>
      <c r="SI22" s="12"/>
      <c r="SJ22" s="12"/>
      <c r="SK22" s="12"/>
      <c r="SL22" s="12"/>
      <c r="SM22" s="12" t="s">
        <v>37</v>
      </c>
      <c r="SN22" s="12" t="s">
        <v>37</v>
      </c>
      <c r="SO22" s="12" t="s">
        <v>37</v>
      </c>
      <c r="SP22" s="12" t="s">
        <v>37</v>
      </c>
      <c r="SQ22" s="12" t="s">
        <v>37</v>
      </c>
      <c r="SR22" s="12" t="s">
        <v>37</v>
      </c>
      <c r="SS22" s="12"/>
      <c r="ST22" s="12"/>
      <c r="SU22" s="12"/>
      <c r="SV22" s="12"/>
      <c r="SW22" s="12" t="s">
        <v>37</v>
      </c>
      <c r="SX22" s="12" t="s">
        <v>37</v>
      </c>
      <c r="SY22" s="12" t="s">
        <v>37</v>
      </c>
      <c r="SZ22" s="12" t="s">
        <v>37</v>
      </c>
      <c r="TA22" s="12" t="s">
        <v>37</v>
      </c>
      <c r="TB22" s="12" t="s">
        <v>37</v>
      </c>
      <c r="TC22" s="12"/>
      <c r="TD22" s="12"/>
      <c r="TE22" s="12"/>
      <c r="TF22" s="12"/>
      <c r="TG22" s="13" t="s">
        <v>37</v>
      </c>
      <c r="TH22" s="13" t="s">
        <v>37</v>
      </c>
      <c r="TI22" s="13" t="s">
        <v>37</v>
      </c>
      <c r="TJ22" s="13" t="s">
        <v>37</v>
      </c>
      <c r="TK22" s="13" t="s">
        <v>37</v>
      </c>
      <c r="TL22" s="13" t="s">
        <v>37</v>
      </c>
      <c r="TM22" s="13"/>
      <c r="TN22" s="13"/>
      <c r="TO22" s="12"/>
      <c r="TP22" s="12"/>
      <c r="TQ22" s="13" t="s">
        <v>37</v>
      </c>
      <c r="TR22" s="13" t="s">
        <v>37</v>
      </c>
      <c r="TS22" s="13" t="s">
        <v>37</v>
      </c>
      <c r="TT22" s="19"/>
      <c r="TU22" s="13" t="s">
        <v>37</v>
      </c>
      <c r="TV22" s="13" t="s">
        <v>37</v>
      </c>
      <c r="TW22" s="13" t="s">
        <v>37</v>
      </c>
    </row>
    <row r="23" spans="1:543" ht="17.399999999999999" x14ac:dyDescent="0.4">
      <c r="A23" s="11">
        <v>10</v>
      </c>
      <c r="B23" s="16" t="s">
        <v>251</v>
      </c>
      <c r="C23" s="12" t="s">
        <v>26</v>
      </c>
      <c r="D23" s="12" t="s">
        <v>119</v>
      </c>
      <c r="E23" s="14" t="s">
        <v>37</v>
      </c>
      <c r="F23" s="14">
        <v>0</v>
      </c>
      <c r="G23" s="14">
        <v>0</v>
      </c>
      <c r="H23" s="12" t="s">
        <v>82</v>
      </c>
      <c r="I23" s="29">
        <v>26.933</v>
      </c>
      <c r="J23" s="29">
        <v>-80.8</v>
      </c>
      <c r="K23" s="12" t="s">
        <v>807</v>
      </c>
      <c r="L23" s="12" t="s">
        <v>808</v>
      </c>
      <c r="M23" s="12" t="s">
        <v>37</v>
      </c>
      <c r="N23" s="14">
        <v>24</v>
      </c>
      <c r="O23" s="14">
        <v>1330</v>
      </c>
      <c r="P23" s="14" t="s">
        <v>89</v>
      </c>
      <c r="Q23" s="11" t="s">
        <v>252</v>
      </c>
      <c r="R23" s="11" t="s">
        <v>37</v>
      </c>
      <c r="S23" s="12" t="s">
        <v>37</v>
      </c>
      <c r="T23" s="12" t="s">
        <v>37</v>
      </c>
      <c r="U23" s="12" t="s">
        <v>158</v>
      </c>
      <c r="V23" s="12" t="s">
        <v>274</v>
      </c>
      <c r="W23" s="23" t="s">
        <v>253</v>
      </c>
      <c r="X23" s="12" t="s">
        <v>283</v>
      </c>
      <c r="Y23" s="12" t="s">
        <v>37</v>
      </c>
      <c r="Z23" s="12" t="s">
        <v>37</v>
      </c>
      <c r="AA23" s="32">
        <v>2013</v>
      </c>
      <c r="AB23" s="13" t="s">
        <v>37</v>
      </c>
      <c r="AC23" s="13" t="s">
        <v>37</v>
      </c>
      <c r="AD23" s="12" t="s">
        <v>81</v>
      </c>
      <c r="AE23" s="12" t="s">
        <v>74</v>
      </c>
      <c r="AF23" s="12" t="s">
        <v>489</v>
      </c>
      <c r="AG23" s="12" t="s">
        <v>42</v>
      </c>
      <c r="AH23" s="32" t="s">
        <v>345</v>
      </c>
      <c r="AI23" s="12">
        <v>431</v>
      </c>
      <c r="AJ23" s="12">
        <f>2*SQRT(3)</f>
        <v>3.4641016151377544</v>
      </c>
      <c r="AK23" s="11">
        <v>3</v>
      </c>
      <c r="AL23" s="19">
        <f t="shared" ref="AL23:AL28" si="110">AJ23/AI23</f>
        <v>8.0373587358184562E-3</v>
      </c>
      <c r="AM23" s="12" t="s">
        <v>37</v>
      </c>
      <c r="AN23" s="12" t="s">
        <v>37</v>
      </c>
      <c r="AO23" s="13" t="s">
        <v>37</v>
      </c>
      <c r="AP23" s="19"/>
      <c r="AQ23" s="49"/>
      <c r="AR23" s="49"/>
      <c r="AS23" s="32" t="s">
        <v>535</v>
      </c>
      <c r="AT23" s="12">
        <v>426</v>
      </c>
      <c r="AU23" s="12">
        <f>7*SQRT(3)</f>
        <v>12.124355652982141</v>
      </c>
      <c r="AV23" s="13">
        <v>3</v>
      </c>
      <c r="AW23" s="12" t="s">
        <v>37</v>
      </c>
      <c r="AX23" s="12" t="s">
        <v>37</v>
      </c>
      <c r="AY23" s="13" t="s">
        <v>37</v>
      </c>
      <c r="AZ23" s="13"/>
      <c r="BA23" s="13"/>
      <c r="BB23" s="32" t="s">
        <v>536</v>
      </c>
      <c r="BC23" s="12">
        <v>316</v>
      </c>
      <c r="BD23" s="12">
        <f>21*SQRT(3)</f>
        <v>36.373066958946424</v>
      </c>
      <c r="BE23" s="13">
        <v>3</v>
      </c>
      <c r="BF23" s="12" t="s">
        <v>37</v>
      </c>
      <c r="BG23" s="12" t="s">
        <v>37</v>
      </c>
      <c r="BH23" s="13" t="s">
        <v>37</v>
      </c>
      <c r="BI23" s="12"/>
      <c r="BJ23" s="12" t="s">
        <v>37</v>
      </c>
      <c r="BK23" s="12" t="s">
        <v>37</v>
      </c>
      <c r="BL23" s="13" t="s">
        <v>37</v>
      </c>
      <c r="BM23" s="12" t="s">
        <v>37</v>
      </c>
      <c r="BN23" s="12" t="s">
        <v>37</v>
      </c>
      <c r="BO23" s="13" t="s">
        <v>37</v>
      </c>
      <c r="BP23" s="19"/>
      <c r="BQ23" s="19"/>
      <c r="BR23" s="19"/>
      <c r="BS23" s="19"/>
      <c r="BT23" s="12"/>
      <c r="BU23" s="12" t="s">
        <v>37</v>
      </c>
      <c r="BV23" s="12" t="s">
        <v>37</v>
      </c>
      <c r="BW23" s="13" t="s">
        <v>37</v>
      </c>
      <c r="BX23" s="12" t="s">
        <v>37</v>
      </c>
      <c r="BY23" s="12" t="s">
        <v>37</v>
      </c>
      <c r="BZ23" s="13" t="s">
        <v>37</v>
      </c>
      <c r="CA23" s="19"/>
      <c r="CB23" s="19"/>
      <c r="CC23" s="19"/>
      <c r="CD23" s="19"/>
      <c r="CE23" s="12"/>
      <c r="CF23" s="12" t="s">
        <v>37</v>
      </c>
      <c r="CG23" s="12" t="s">
        <v>37</v>
      </c>
      <c r="CH23" s="13" t="s">
        <v>37</v>
      </c>
      <c r="CI23" s="12" t="s">
        <v>37</v>
      </c>
      <c r="CJ23" s="12" t="s">
        <v>37</v>
      </c>
      <c r="CK23" s="13" t="s">
        <v>37</v>
      </c>
      <c r="CL23" s="19"/>
      <c r="CM23" s="19"/>
      <c r="CN23" s="19"/>
      <c r="CO23" s="19"/>
      <c r="CP23" s="11" t="s">
        <v>34</v>
      </c>
      <c r="CQ23" s="12">
        <f>21*16/12/168/24</f>
        <v>6.9444444444444441E-3</v>
      </c>
      <c r="CR23" s="19">
        <f>4*SQRT(5)*16/12/168/24</f>
        <v>2.9577618749997217E-3</v>
      </c>
      <c r="CS23" s="13">
        <v>5</v>
      </c>
      <c r="CT23" s="52">
        <f t="shared" si="85"/>
        <v>0.42591770999995993</v>
      </c>
      <c r="CU23" s="12">
        <f>24*16/12/168/24</f>
        <v>7.9365079365079361E-3</v>
      </c>
      <c r="CV23" s="19">
        <f>5*SQRT(5)*16/12/168/24</f>
        <v>3.6972023437496526E-3</v>
      </c>
      <c r="CW23" s="13">
        <v>5</v>
      </c>
      <c r="CX23" s="52">
        <f t="shared" si="86"/>
        <v>0.46584749531245623</v>
      </c>
      <c r="CY23" s="68">
        <f t="shared" si="61"/>
        <v>9.9206349206349201E-4</v>
      </c>
      <c r="CZ23" s="12">
        <f t="shared" si="39"/>
        <v>3.3479591156277428E-3</v>
      </c>
      <c r="DA23" s="72">
        <f t="shared" si="40"/>
        <v>4.4835320959659585E-6</v>
      </c>
      <c r="DB23" s="72">
        <f t="shared" si="41"/>
        <v>4.4835320959659585E-6</v>
      </c>
      <c r="DC23" s="15" t="s">
        <v>34</v>
      </c>
      <c r="DD23" s="29">
        <f>7*44/28/168/24</f>
        <v>2.7281746031746035E-3</v>
      </c>
      <c r="DE23" s="68">
        <f>1*SQRT(5)*44/28/168/24</f>
        <v>8.7148340959813237E-4</v>
      </c>
      <c r="DF23" s="13">
        <v>5</v>
      </c>
      <c r="DG23" s="52">
        <f t="shared" ref="DG23:DG27" si="111">DE23/ABS(DD23)</f>
        <v>0.31943828249996992</v>
      </c>
      <c r="DH23" s="29">
        <f>19*44/28/168/24</f>
        <v>7.4050453514739227E-3</v>
      </c>
      <c r="DI23" s="68">
        <f>1*SQRT(5)*44/28/168/24</f>
        <v>8.7148340959813237E-4</v>
      </c>
      <c r="DJ23" s="13">
        <v>5</v>
      </c>
      <c r="DK23" s="52">
        <f t="shared" ref="DK23:DK27" si="112">DI23/ABS(DH23)</f>
        <v>0.11768778828946262</v>
      </c>
      <c r="DL23" s="68">
        <f t="shared" ref="DL23:DL27" si="113">DH23-DD23</f>
        <v>4.6768707482993197E-3</v>
      </c>
      <c r="DM23" s="12">
        <f t="shared" ref="DM23:DM27" si="114">SQRT(((DF23-1)*DE23^2+(DJ23-1)*DI23^2)/(DF23+DJ23-2))</f>
        <v>8.7148340959813237E-4</v>
      </c>
      <c r="DN23" s="87">
        <f t="shared" ref="DN23:DN27" si="115">(((DF23+DJ23)/(DF23*DJ23))*(((DF23-1)*DE23^2)+(DJ23-1)*DI23^2)/(DF23+DJ23-2))</f>
        <v>3.037933332819145E-7</v>
      </c>
      <c r="DO23" s="87">
        <f t="shared" ref="DO23:DO27" si="116">(DE23^2/DF23)+(DI23^2/DJ23)</f>
        <v>3.037933332819145E-7</v>
      </c>
      <c r="DP23" s="12"/>
      <c r="DQ23" s="12" t="s">
        <v>37</v>
      </c>
      <c r="DR23" s="12" t="s">
        <v>37</v>
      </c>
      <c r="DS23" s="13" t="s">
        <v>37</v>
      </c>
      <c r="DT23" s="19"/>
      <c r="DU23" s="12" t="s">
        <v>37</v>
      </c>
      <c r="DV23" s="12" t="s">
        <v>37</v>
      </c>
      <c r="DW23" s="13" t="s">
        <v>37</v>
      </c>
      <c r="DX23" s="19"/>
      <c r="DY23" s="19"/>
      <c r="DZ23" s="19"/>
      <c r="EA23" s="72"/>
      <c r="EB23" s="72"/>
      <c r="EC23" s="12" t="s">
        <v>132</v>
      </c>
      <c r="ED23" s="32" t="s">
        <v>330</v>
      </c>
      <c r="EE23" s="12">
        <v>59</v>
      </c>
      <c r="EF23" s="12">
        <f>49*SQRT(5)</f>
        <v>109.5673308974897</v>
      </c>
      <c r="EG23" s="11">
        <v>5</v>
      </c>
      <c r="EH23" s="19">
        <f>EF23/EE23</f>
        <v>1.8570734050421982</v>
      </c>
      <c r="EI23" s="12">
        <v>601</v>
      </c>
      <c r="EJ23" s="20">
        <f>32*SQRT(5)</f>
        <v>71.554175279993274</v>
      </c>
      <c r="EK23" s="11">
        <v>5</v>
      </c>
      <c r="EL23" s="19">
        <f>EJ23/EI23</f>
        <v>0.11905852792012192</v>
      </c>
      <c r="EM23" s="19">
        <f>EI23-EE23</f>
        <v>542</v>
      </c>
      <c r="EN23" s="12">
        <f>SQRT(((EG23-1)*EF23^2+(EK23-1)*EJ23^2)/(EG23+EK23-2))</f>
        <v>92.533777616608731</v>
      </c>
      <c r="EO23" s="72">
        <f>(((EG23+EK23)/(EG23*EK23))*(((EG23-1)*EF23^2)+(EK23-1)*EJ23^2)/(EG23+EK23-2))</f>
        <v>3425</v>
      </c>
      <c r="EP23" s="72">
        <f>(EF23^2/EG23)+(EJ23^2/EK23)</f>
        <v>3425</v>
      </c>
      <c r="EQ23" s="32"/>
      <c r="ER23" s="12" t="s">
        <v>37</v>
      </c>
      <c r="ES23" s="12" t="s">
        <v>37</v>
      </c>
      <c r="ET23" s="11" t="s">
        <v>37</v>
      </c>
      <c r="EU23" s="19"/>
      <c r="EV23" s="13" t="s">
        <v>37</v>
      </c>
      <c r="EW23" s="11" t="s">
        <v>37</v>
      </c>
      <c r="EX23" s="11" t="s">
        <v>37</v>
      </c>
      <c r="EY23" s="19"/>
      <c r="EZ23" s="19"/>
      <c r="FA23" s="19"/>
      <c r="FB23" s="19"/>
      <c r="FC23" s="32"/>
      <c r="FD23" s="12" t="s">
        <v>37</v>
      </c>
      <c r="FE23" s="12" t="s">
        <v>37</v>
      </c>
      <c r="FF23" s="11" t="s">
        <v>37</v>
      </c>
      <c r="FG23" s="13" t="s">
        <v>37</v>
      </c>
      <c r="FH23" s="11" t="s">
        <v>37</v>
      </c>
      <c r="FI23" s="11" t="s">
        <v>37</v>
      </c>
      <c r="FJ23" s="19"/>
      <c r="FK23" s="19"/>
      <c r="FL23" s="19"/>
      <c r="FM23" s="32"/>
      <c r="FN23" s="12" t="s">
        <v>37</v>
      </c>
      <c r="FO23" s="12" t="s">
        <v>37</v>
      </c>
      <c r="FP23" s="11" t="s">
        <v>37</v>
      </c>
      <c r="FQ23" s="13" t="s">
        <v>37</v>
      </c>
      <c r="FR23" s="11" t="s">
        <v>37</v>
      </c>
      <c r="FS23" s="11" t="s">
        <v>37</v>
      </c>
      <c r="FT23" s="19"/>
      <c r="FU23" s="19"/>
      <c r="FV23" s="19"/>
      <c r="FW23" s="12"/>
      <c r="FX23" s="12"/>
      <c r="FY23" s="12" t="s">
        <v>37</v>
      </c>
      <c r="FZ23" s="12" t="s">
        <v>37</v>
      </c>
      <c r="GA23" s="13" t="s">
        <v>37</v>
      </c>
      <c r="GB23" s="12" t="s">
        <v>37</v>
      </c>
      <c r="GC23" s="12" t="s">
        <v>37</v>
      </c>
      <c r="GD23" s="13" t="s">
        <v>37</v>
      </c>
      <c r="GE23" s="19"/>
      <c r="GF23" s="19"/>
      <c r="GG23" s="12"/>
      <c r="GH23" s="12"/>
      <c r="GI23" s="12" t="s">
        <v>37</v>
      </c>
      <c r="GJ23" s="12" t="s">
        <v>37</v>
      </c>
      <c r="GK23" s="12" t="s">
        <v>37</v>
      </c>
      <c r="GL23" s="19"/>
      <c r="GM23" s="12" t="s">
        <v>37</v>
      </c>
      <c r="GN23" s="12" t="s">
        <v>37</v>
      </c>
      <c r="GO23" s="12" t="s">
        <v>37</v>
      </c>
      <c r="GP23" s="19"/>
      <c r="GQ23" s="19"/>
      <c r="GR23" s="19"/>
      <c r="GS23" s="17" t="s">
        <v>63</v>
      </c>
      <c r="GT23" s="34" t="s">
        <v>345</v>
      </c>
      <c r="GU23" s="12">
        <v>0.46</v>
      </c>
      <c r="GV23" s="12">
        <f>0.02*SQRT(3)</f>
        <v>3.4641016151377546E-2</v>
      </c>
      <c r="GW23" s="13">
        <v>3</v>
      </c>
      <c r="GX23" s="19">
        <f t="shared" ref="GX23:GX28" si="117">GV23/GU23</f>
        <v>7.5306556850820744E-2</v>
      </c>
      <c r="GY23" s="12" t="s">
        <v>37</v>
      </c>
      <c r="GZ23" s="12" t="s">
        <v>37</v>
      </c>
      <c r="HA23" s="12" t="s">
        <v>37</v>
      </c>
      <c r="HB23" s="19"/>
      <c r="HC23" s="19"/>
      <c r="HD23" s="19"/>
      <c r="HE23" s="34" t="s">
        <v>535</v>
      </c>
      <c r="HF23" s="12">
        <v>0.42</v>
      </c>
      <c r="HG23" s="12">
        <f>0.02*SQRT(3)</f>
        <v>3.4641016151377546E-2</v>
      </c>
      <c r="HH23" s="13">
        <v>3</v>
      </c>
      <c r="HI23" s="12" t="s">
        <v>37</v>
      </c>
      <c r="HJ23" s="12" t="s">
        <v>37</v>
      </c>
      <c r="HK23" s="12" t="s">
        <v>37</v>
      </c>
      <c r="HL23" s="12"/>
      <c r="HM23" s="12"/>
      <c r="HN23" s="34" t="s">
        <v>536</v>
      </c>
      <c r="HO23" s="12">
        <v>0.27</v>
      </c>
      <c r="HP23" s="12">
        <f>0.02*SQRT(3)</f>
        <v>3.4641016151377546E-2</v>
      </c>
      <c r="HQ23" s="13">
        <v>3</v>
      </c>
      <c r="HR23" s="12" t="s">
        <v>37</v>
      </c>
      <c r="HS23" s="12" t="s">
        <v>37</v>
      </c>
      <c r="HT23" s="13" t="s">
        <v>37</v>
      </c>
      <c r="HU23" s="13"/>
      <c r="HV23" s="13"/>
      <c r="HW23" s="12"/>
      <c r="HX23" s="12"/>
      <c r="HY23" s="12" t="s">
        <v>37</v>
      </c>
      <c r="HZ23" s="12" t="s">
        <v>37</v>
      </c>
      <c r="IA23" s="12" t="s">
        <v>37</v>
      </c>
      <c r="IB23" s="12" t="s">
        <v>37</v>
      </c>
      <c r="IC23" s="12" t="s">
        <v>37</v>
      </c>
      <c r="ID23" s="12" t="s">
        <v>37</v>
      </c>
      <c r="IE23" s="12"/>
      <c r="IF23" s="32" t="s">
        <v>345</v>
      </c>
      <c r="IG23" s="12">
        <v>7.42</v>
      </c>
      <c r="IH23" s="12">
        <f>0.05*SQRT(3)</f>
        <v>8.6602540378443865E-2</v>
      </c>
      <c r="II23" s="13">
        <v>3</v>
      </c>
      <c r="IJ23" s="19">
        <f t="shared" ref="IJ23:IJ27" si="118">IH23/IG23</f>
        <v>1.1671501398712111E-2</v>
      </c>
      <c r="IK23" s="12" t="s">
        <v>37</v>
      </c>
      <c r="IL23" s="12" t="s">
        <v>37</v>
      </c>
      <c r="IM23" s="13" t="s">
        <v>37</v>
      </c>
      <c r="IN23" s="19"/>
      <c r="IO23" s="19"/>
      <c r="IP23" s="19"/>
      <c r="IQ23" s="32" t="s">
        <v>535</v>
      </c>
      <c r="IR23" s="12">
        <v>7.17</v>
      </c>
      <c r="IS23" s="12">
        <f>0.03*SQRT(3)</f>
        <v>5.1961524227066312E-2</v>
      </c>
      <c r="IT23" s="13">
        <v>3</v>
      </c>
      <c r="IU23" s="12" t="s">
        <v>37</v>
      </c>
      <c r="IV23" s="12" t="s">
        <v>37</v>
      </c>
      <c r="IW23" s="12" t="s">
        <v>37</v>
      </c>
      <c r="IX23" s="32" t="s">
        <v>536</v>
      </c>
      <c r="IY23" s="12">
        <v>7.05</v>
      </c>
      <c r="IZ23" s="12">
        <f>0.03*SQRT(3)</f>
        <v>5.1961524227066312E-2</v>
      </c>
      <c r="JA23" s="13">
        <v>3</v>
      </c>
      <c r="JB23" s="12" t="s">
        <v>37</v>
      </c>
      <c r="JC23" s="12" t="s">
        <v>37</v>
      </c>
      <c r="JD23" s="12" t="s">
        <v>37</v>
      </c>
      <c r="JE23" s="12"/>
      <c r="JF23" s="12"/>
      <c r="JG23" s="11" t="s">
        <v>37</v>
      </c>
      <c r="JH23" s="11" t="s">
        <v>37</v>
      </c>
      <c r="JI23" s="13" t="s">
        <v>37</v>
      </c>
      <c r="JJ23" s="11" t="s">
        <v>37</v>
      </c>
      <c r="JK23" s="11" t="s">
        <v>37</v>
      </c>
      <c r="JL23" s="11" t="s">
        <v>37</v>
      </c>
      <c r="JM23" s="12" t="s">
        <v>42</v>
      </c>
      <c r="JN23" s="32" t="s">
        <v>345</v>
      </c>
      <c r="JO23" s="12">
        <v>29</v>
      </c>
      <c r="JP23" s="12">
        <f>1*SQRT(3)</f>
        <v>1.7320508075688772</v>
      </c>
      <c r="JQ23" s="11">
        <v>3</v>
      </c>
      <c r="JR23" s="19"/>
      <c r="JS23" s="12" t="s">
        <v>37</v>
      </c>
      <c r="JT23" s="12" t="s">
        <v>37</v>
      </c>
      <c r="JU23" s="13" t="s">
        <v>37</v>
      </c>
      <c r="JV23" s="19"/>
      <c r="JW23" s="19"/>
      <c r="JX23" s="19"/>
      <c r="JY23" s="32" t="s">
        <v>535</v>
      </c>
      <c r="JZ23" s="12">
        <v>28</v>
      </c>
      <c r="KA23" s="12">
        <f>0.2*SQRT(3)</f>
        <v>0.34641016151377546</v>
      </c>
      <c r="KB23" s="13">
        <v>3</v>
      </c>
      <c r="KC23" s="12" t="s">
        <v>37</v>
      </c>
      <c r="KD23" s="12" t="s">
        <v>37</v>
      </c>
      <c r="KE23" s="13" t="s">
        <v>37</v>
      </c>
      <c r="KF23" s="13"/>
      <c r="KG23" s="13"/>
      <c r="KH23" s="32" t="s">
        <v>536</v>
      </c>
      <c r="KI23" s="12">
        <v>23</v>
      </c>
      <c r="KJ23" s="12">
        <f>2*SQRT(3)</f>
        <v>3.4641016151377544</v>
      </c>
      <c r="KK23" s="13">
        <v>3</v>
      </c>
      <c r="KL23" s="12" t="s">
        <v>37</v>
      </c>
      <c r="KM23" s="12" t="s">
        <v>37</v>
      </c>
      <c r="KN23" s="12" t="s">
        <v>37</v>
      </c>
      <c r="KO23" s="12"/>
      <c r="KP23" s="12"/>
      <c r="KQ23" s="12"/>
      <c r="KR23" s="12" t="str">
        <f t="shared" si="87"/>
        <v>0-10</v>
      </c>
      <c r="KS23" s="12">
        <f t="shared" si="88"/>
        <v>14.862068965517242</v>
      </c>
      <c r="KT23" s="12">
        <f t="shared" ref="KT23:KT29" si="119">SQRT((1/JO23)^2*AJ23^2+AI23^2*(-1/JO23^2)^2*JP23^2)</f>
        <v>0.89565159177519005</v>
      </c>
      <c r="KU23" s="13">
        <f t="shared" si="89"/>
        <v>3</v>
      </c>
      <c r="KV23" s="19">
        <f>KT23/KS23</f>
        <v>6.0264260235453622E-2</v>
      </c>
      <c r="KW23" s="13" t="str">
        <f t="shared" si="91"/>
        <v>/</v>
      </c>
      <c r="KX23" s="13" t="str">
        <f t="shared" si="92"/>
        <v>/</v>
      </c>
      <c r="KY23" s="13" t="str">
        <f t="shared" si="93"/>
        <v>/</v>
      </c>
      <c r="KZ23" s="19"/>
      <c r="LA23" s="19"/>
      <c r="LB23" s="19"/>
      <c r="LC23" s="12" t="str">
        <f t="shared" ref="LC23:LC29" si="120">JY23</f>
        <v>10-30</v>
      </c>
      <c r="LD23" s="12">
        <f>AT23/JZ23</f>
        <v>15.214285714285714</v>
      </c>
      <c r="LE23" s="12">
        <f>SQRT((1/JZ23)^2*AU23^2+AT23^2*(-1/JZ23^2)^2*KA23^2)</f>
        <v>0.47215439090017364</v>
      </c>
      <c r="LF23" s="13">
        <f t="shared" ref="LF23:LF29" si="121">KB23</f>
        <v>3</v>
      </c>
      <c r="LG23" s="19" t="str">
        <f t="shared" si="19"/>
        <v>/</v>
      </c>
      <c r="LH23" s="19" t="str">
        <f t="shared" si="20"/>
        <v>/</v>
      </c>
      <c r="LI23" s="13" t="str">
        <f t="shared" si="21"/>
        <v>/</v>
      </c>
      <c r="LJ23" s="13"/>
      <c r="LK23" s="13"/>
      <c r="LL23" s="12" t="str">
        <f t="shared" ref="LL23:LL29" si="122">KH23</f>
        <v>30-40</v>
      </c>
      <c r="LM23" s="12">
        <f t="shared" ref="LM23:LM29" si="123">BC23/KI23</f>
        <v>13.739130434782609</v>
      </c>
      <c r="LN23" s="12">
        <f t="shared" ref="LN23:LN29" si="124">SQRT((1/KI23)^2*BD23^2+BC23^2*(-1/KI23^2)^2*KJ23^2)</f>
        <v>2.6044038831332332</v>
      </c>
      <c r="LO23" s="13">
        <f t="shared" ref="LO23:LO29" si="125">KK23</f>
        <v>3</v>
      </c>
      <c r="LP23" s="12" t="e">
        <f t="shared" ref="LP23:LP29" si="126">BF23/KL23</f>
        <v>#VALUE!</v>
      </c>
      <c r="LQ23" s="12" t="e">
        <f t="shared" ref="LQ23:LQ29" si="127">SQRT((1/KL23)^2*BG23^2+BF23^2*(-1/KL23^2)^2*KM23^2)</f>
        <v>#VALUE!</v>
      </c>
      <c r="LR23" s="13" t="str">
        <f t="shared" ref="LR23:LR29" si="128">KN23</f>
        <v>/</v>
      </c>
      <c r="LS23" s="12"/>
      <c r="LT23" s="12"/>
      <c r="LU23" s="12" t="s">
        <v>37</v>
      </c>
      <c r="LV23" s="12" t="s">
        <v>37</v>
      </c>
      <c r="LW23" s="13" t="s">
        <v>37</v>
      </c>
      <c r="LX23" s="12" t="s">
        <v>37</v>
      </c>
      <c r="LY23" s="12" t="s">
        <v>37</v>
      </c>
      <c r="LZ23" s="13" t="s">
        <v>37</v>
      </c>
      <c r="MA23" s="13"/>
      <c r="MB23" s="13"/>
      <c r="MC23" s="12"/>
      <c r="MD23" s="12"/>
      <c r="ME23" s="12" t="s">
        <v>37</v>
      </c>
      <c r="MF23" s="12" t="s">
        <v>37</v>
      </c>
      <c r="MG23" s="13" t="s">
        <v>37</v>
      </c>
      <c r="MH23" s="12" t="s">
        <v>37</v>
      </c>
      <c r="MI23" s="12" t="s">
        <v>37</v>
      </c>
      <c r="MJ23" s="13" t="s">
        <v>37</v>
      </c>
      <c r="MK23" s="13"/>
      <c r="ML23" s="13"/>
      <c r="MM23" s="12"/>
      <c r="MN23" s="12"/>
      <c r="MO23" s="12" t="s">
        <v>37</v>
      </c>
      <c r="MP23" s="12" t="s">
        <v>37</v>
      </c>
      <c r="MQ23" s="13" t="s">
        <v>37</v>
      </c>
      <c r="MR23" s="12" t="s">
        <v>37</v>
      </c>
      <c r="MS23" s="12" t="s">
        <v>37</v>
      </c>
      <c r="MT23" s="13" t="s">
        <v>37</v>
      </c>
      <c r="MU23" s="13"/>
      <c r="MV23" s="13"/>
      <c r="MW23" s="12"/>
      <c r="MX23" s="12"/>
      <c r="MY23" s="12" t="s">
        <v>37</v>
      </c>
      <c r="MZ23" s="12" t="s">
        <v>37</v>
      </c>
      <c r="NA23" s="12" t="s">
        <v>37</v>
      </c>
      <c r="NB23" s="12" t="s">
        <v>37</v>
      </c>
      <c r="NC23" s="12" t="s">
        <v>37</v>
      </c>
      <c r="ND23" s="12" t="s">
        <v>37</v>
      </c>
      <c r="NE23" s="12"/>
      <c r="NF23" s="12"/>
      <c r="NG23" s="12"/>
      <c r="NH23" s="12"/>
      <c r="NI23" s="12" t="s">
        <v>37</v>
      </c>
      <c r="NJ23" s="12" t="s">
        <v>37</v>
      </c>
      <c r="NK23" s="13" t="s">
        <v>37</v>
      </c>
      <c r="NL23" s="12" t="s">
        <v>37</v>
      </c>
      <c r="NM23" s="12" t="s">
        <v>37</v>
      </c>
      <c r="NN23" s="13" t="s">
        <v>37</v>
      </c>
      <c r="NO23" s="13"/>
      <c r="NP23" s="13"/>
      <c r="NQ23" s="12"/>
      <c r="NR23" s="12"/>
      <c r="NS23" s="11" t="s">
        <v>37</v>
      </c>
      <c r="NT23" s="11" t="s">
        <v>37</v>
      </c>
      <c r="NU23" s="13" t="s">
        <v>37</v>
      </c>
      <c r="NV23" s="11" t="s">
        <v>37</v>
      </c>
      <c r="NW23" s="11" t="s">
        <v>37</v>
      </c>
      <c r="NX23" s="13" t="s">
        <v>37</v>
      </c>
      <c r="NY23" s="13"/>
      <c r="NZ23" s="13"/>
      <c r="OA23" s="12"/>
      <c r="OB23" s="12"/>
      <c r="OC23" s="12" t="s">
        <v>37</v>
      </c>
      <c r="OD23" s="12" t="s">
        <v>37</v>
      </c>
      <c r="OE23" s="12" t="s">
        <v>37</v>
      </c>
      <c r="OF23" s="12" t="s">
        <v>37</v>
      </c>
      <c r="OG23" s="12" t="s">
        <v>37</v>
      </c>
      <c r="OH23" s="12" t="s">
        <v>37</v>
      </c>
      <c r="OI23" s="12"/>
      <c r="OJ23" s="12"/>
      <c r="OK23" s="12"/>
      <c r="OL23" s="12" t="s">
        <v>37</v>
      </c>
      <c r="OM23" s="12" t="s">
        <v>37</v>
      </c>
      <c r="ON23" s="11" t="s">
        <v>37</v>
      </c>
      <c r="OO23" s="12" t="s">
        <v>37</v>
      </c>
      <c r="OP23" s="12" t="s">
        <v>37</v>
      </c>
      <c r="OQ23" s="12" t="s">
        <v>37</v>
      </c>
      <c r="OR23" s="12"/>
      <c r="OS23" s="12" t="s">
        <v>37</v>
      </c>
      <c r="OT23" s="12" t="s">
        <v>37</v>
      </c>
      <c r="OU23" s="12" t="s">
        <v>37</v>
      </c>
      <c r="OV23" s="12" t="s">
        <v>37</v>
      </c>
      <c r="OW23" s="12" t="s">
        <v>37</v>
      </c>
      <c r="OX23" s="12" t="s">
        <v>37</v>
      </c>
      <c r="OY23" s="12"/>
      <c r="OZ23" s="12"/>
      <c r="PA23" s="12" t="s">
        <v>37</v>
      </c>
      <c r="PB23" s="12" t="s">
        <v>37</v>
      </c>
      <c r="PC23" s="12" t="s">
        <v>37</v>
      </c>
      <c r="PD23" s="12" t="s">
        <v>37</v>
      </c>
      <c r="PE23" s="12" t="s">
        <v>37</v>
      </c>
      <c r="PF23" s="12" t="s">
        <v>37</v>
      </c>
      <c r="PG23" s="12"/>
      <c r="PH23" s="12"/>
      <c r="PI23" s="12" t="s">
        <v>37</v>
      </c>
      <c r="PJ23" s="12" t="s">
        <v>37</v>
      </c>
      <c r="PK23" s="12" t="s">
        <v>37</v>
      </c>
      <c r="PL23" s="12" t="s">
        <v>37</v>
      </c>
      <c r="PM23" s="12" t="s">
        <v>37</v>
      </c>
      <c r="PN23" s="12" t="s">
        <v>37</v>
      </c>
      <c r="PO23" s="12"/>
      <c r="PP23" s="12"/>
      <c r="PQ23" s="12" t="s">
        <v>37</v>
      </c>
      <c r="PR23" s="12" t="s">
        <v>37</v>
      </c>
      <c r="PS23" s="12" t="s">
        <v>37</v>
      </c>
      <c r="PT23" s="12" t="s">
        <v>37</v>
      </c>
      <c r="PU23" s="12" t="s">
        <v>37</v>
      </c>
      <c r="PV23" s="12" t="s">
        <v>37</v>
      </c>
      <c r="PW23" s="12"/>
      <c r="PX23" s="12"/>
      <c r="PY23" s="12" t="s">
        <v>37</v>
      </c>
      <c r="PZ23" s="12" t="s">
        <v>37</v>
      </c>
      <c r="QA23" s="12" t="s">
        <v>37</v>
      </c>
      <c r="QB23" s="12" t="s">
        <v>37</v>
      </c>
      <c r="QC23" s="12" t="s">
        <v>37</v>
      </c>
      <c r="QD23" s="12" t="s">
        <v>37</v>
      </c>
      <c r="QE23" s="12"/>
      <c r="QF23" s="12"/>
      <c r="QG23" s="12" t="s">
        <v>37</v>
      </c>
      <c r="QH23" s="12" t="s">
        <v>37</v>
      </c>
      <c r="QI23" s="12" t="s">
        <v>37</v>
      </c>
      <c r="QJ23" s="12" t="s">
        <v>37</v>
      </c>
      <c r="QK23" s="12" t="s">
        <v>37</v>
      </c>
      <c r="QL23" s="12" t="s">
        <v>37</v>
      </c>
      <c r="QM23" s="12" t="s">
        <v>42</v>
      </c>
      <c r="QN23" s="12" t="s">
        <v>345</v>
      </c>
      <c r="QO23" s="12">
        <v>1.29</v>
      </c>
      <c r="QP23" s="12">
        <f>0.02*SQRT(3)</f>
        <v>3.4641016151377546E-2</v>
      </c>
      <c r="QQ23" s="13">
        <v>3</v>
      </c>
      <c r="QR23" s="12" t="s">
        <v>37</v>
      </c>
      <c r="QS23" s="12" t="s">
        <v>37</v>
      </c>
      <c r="QT23" s="12" t="s">
        <v>37</v>
      </c>
      <c r="QU23" s="12"/>
      <c r="QV23" s="12"/>
      <c r="QW23" s="12"/>
      <c r="QX23" s="12"/>
      <c r="QY23" s="12" t="s">
        <v>37</v>
      </c>
      <c r="QZ23" s="12" t="s">
        <v>37</v>
      </c>
      <c r="RA23" s="11" t="s">
        <v>37</v>
      </c>
      <c r="RB23" s="12" t="s">
        <v>37</v>
      </c>
      <c r="RC23" s="12" t="s">
        <v>37</v>
      </c>
      <c r="RD23" s="11" t="s">
        <v>37</v>
      </c>
      <c r="RE23" s="11"/>
      <c r="RF23" s="11"/>
      <c r="RG23" s="12"/>
      <c r="RH23" s="12"/>
      <c r="RI23" s="12" t="s">
        <v>37</v>
      </c>
      <c r="RJ23" s="12" t="s">
        <v>37</v>
      </c>
      <c r="RK23" s="11" t="s">
        <v>37</v>
      </c>
      <c r="RL23" s="12" t="s">
        <v>37</v>
      </c>
      <c r="RM23" s="12" t="s">
        <v>37</v>
      </c>
      <c r="RN23" s="11" t="s">
        <v>37</v>
      </c>
      <c r="RO23" s="11"/>
      <c r="RP23" s="11"/>
      <c r="RQ23" s="12"/>
      <c r="RR23" s="12"/>
      <c r="RS23" s="12" t="s">
        <v>37</v>
      </c>
      <c r="RT23" s="12" t="s">
        <v>37</v>
      </c>
      <c r="RU23" s="11" t="s">
        <v>37</v>
      </c>
      <c r="RV23" s="12" t="s">
        <v>37</v>
      </c>
      <c r="RW23" s="12" t="s">
        <v>37</v>
      </c>
      <c r="RX23" s="11" t="s">
        <v>37</v>
      </c>
      <c r="RY23" s="11"/>
      <c r="RZ23" s="11"/>
      <c r="SA23" s="12"/>
      <c r="SB23" s="12"/>
      <c r="SC23" s="12" t="s">
        <v>37</v>
      </c>
      <c r="SD23" s="12" t="s">
        <v>37</v>
      </c>
      <c r="SE23" s="12" t="s">
        <v>37</v>
      </c>
      <c r="SF23" s="12" t="s">
        <v>37</v>
      </c>
      <c r="SG23" s="12" t="s">
        <v>37</v>
      </c>
      <c r="SH23" s="12" t="s">
        <v>37</v>
      </c>
      <c r="SI23" s="12"/>
      <c r="SJ23" s="12"/>
      <c r="SK23" s="12"/>
      <c r="SL23" s="12"/>
      <c r="SM23" s="12" t="s">
        <v>37</v>
      </c>
      <c r="SN23" s="12" t="s">
        <v>37</v>
      </c>
      <c r="SO23" s="12" t="s">
        <v>37</v>
      </c>
      <c r="SP23" s="12" t="s">
        <v>37</v>
      </c>
      <c r="SQ23" s="12" t="s">
        <v>37</v>
      </c>
      <c r="SR23" s="12" t="s">
        <v>37</v>
      </c>
      <c r="SS23" s="12"/>
      <c r="ST23" s="12"/>
      <c r="SU23" s="12"/>
      <c r="SV23" s="12"/>
      <c r="SW23" s="12" t="s">
        <v>37</v>
      </c>
      <c r="SX23" s="12" t="s">
        <v>37</v>
      </c>
      <c r="SY23" s="12" t="s">
        <v>37</v>
      </c>
      <c r="SZ23" s="12" t="s">
        <v>37</v>
      </c>
      <c r="TA23" s="12" t="s">
        <v>37</v>
      </c>
      <c r="TB23" s="12" t="s">
        <v>37</v>
      </c>
      <c r="TC23" s="12"/>
      <c r="TD23" s="12"/>
      <c r="TE23" s="12"/>
      <c r="TF23" s="12"/>
      <c r="TG23" s="13" t="s">
        <v>37</v>
      </c>
      <c r="TH23" s="13" t="s">
        <v>37</v>
      </c>
      <c r="TI23" s="13" t="s">
        <v>37</v>
      </c>
      <c r="TJ23" s="13" t="s">
        <v>37</v>
      </c>
      <c r="TK23" s="13" t="s">
        <v>37</v>
      </c>
      <c r="TL23" s="13" t="s">
        <v>37</v>
      </c>
      <c r="TM23" s="13"/>
      <c r="TN23" s="13"/>
      <c r="TO23" s="12"/>
      <c r="TP23" s="12"/>
      <c r="TQ23" s="13" t="s">
        <v>37</v>
      </c>
      <c r="TR23" s="13" t="s">
        <v>37</v>
      </c>
      <c r="TS23" s="13" t="s">
        <v>37</v>
      </c>
      <c r="TT23" s="19"/>
      <c r="TU23" s="13" t="s">
        <v>37</v>
      </c>
      <c r="TV23" s="13" t="s">
        <v>37</v>
      </c>
      <c r="TW23" s="13" t="s">
        <v>37</v>
      </c>
    </row>
    <row r="24" spans="1:543" ht="17.399999999999999" x14ac:dyDescent="0.4">
      <c r="A24" s="11">
        <v>10</v>
      </c>
      <c r="B24" s="16" t="s">
        <v>251</v>
      </c>
      <c r="C24" s="12" t="s">
        <v>26</v>
      </c>
      <c r="D24" s="12" t="s">
        <v>119</v>
      </c>
      <c r="E24" s="14" t="s">
        <v>37</v>
      </c>
      <c r="F24" s="14">
        <v>0</v>
      </c>
      <c r="G24" s="14">
        <v>0</v>
      </c>
      <c r="H24" s="12" t="s">
        <v>82</v>
      </c>
      <c r="I24" s="29">
        <v>26.933</v>
      </c>
      <c r="J24" s="29">
        <v>-80.8</v>
      </c>
      <c r="K24" s="12" t="s">
        <v>807</v>
      </c>
      <c r="L24" s="12" t="s">
        <v>808</v>
      </c>
      <c r="M24" s="12" t="s">
        <v>37</v>
      </c>
      <c r="N24" s="14">
        <v>24</v>
      </c>
      <c r="O24" s="14">
        <v>1330</v>
      </c>
      <c r="P24" s="14" t="s">
        <v>89</v>
      </c>
      <c r="Q24" s="11" t="s">
        <v>252</v>
      </c>
      <c r="R24" s="11" t="s">
        <v>37</v>
      </c>
      <c r="S24" s="12" t="s">
        <v>37</v>
      </c>
      <c r="T24" s="12" t="s">
        <v>37</v>
      </c>
      <c r="U24" s="12" t="s">
        <v>158</v>
      </c>
      <c r="V24" s="12" t="s">
        <v>274</v>
      </c>
      <c r="W24" s="23" t="s">
        <v>253</v>
      </c>
      <c r="X24" s="12" t="s">
        <v>283</v>
      </c>
      <c r="Y24" s="12" t="s">
        <v>37</v>
      </c>
      <c r="Z24" s="12" t="s">
        <v>37</v>
      </c>
      <c r="AA24" s="32">
        <v>2013</v>
      </c>
      <c r="AB24" s="13" t="s">
        <v>37</v>
      </c>
      <c r="AC24" s="13" t="s">
        <v>37</v>
      </c>
      <c r="AD24" s="12" t="s">
        <v>81</v>
      </c>
      <c r="AE24" s="12" t="s">
        <v>74</v>
      </c>
      <c r="AF24" s="12" t="s">
        <v>489</v>
      </c>
      <c r="AG24" s="12" t="s">
        <v>42</v>
      </c>
      <c r="AH24" s="32" t="s">
        <v>345</v>
      </c>
      <c r="AI24" s="12">
        <v>431</v>
      </c>
      <c r="AJ24" s="12">
        <f t="shared" ref="AJ24:AJ27" si="129">2*SQRT(3)</f>
        <v>3.4641016151377544</v>
      </c>
      <c r="AK24" s="11">
        <v>3</v>
      </c>
      <c r="AL24" s="19">
        <f t="shared" si="110"/>
        <v>8.0373587358184562E-3</v>
      </c>
      <c r="AM24" s="12" t="s">
        <v>37</v>
      </c>
      <c r="AN24" s="12" t="s">
        <v>37</v>
      </c>
      <c r="AO24" s="13" t="s">
        <v>37</v>
      </c>
      <c r="AP24" s="19"/>
      <c r="AQ24" s="49"/>
      <c r="AR24" s="49"/>
      <c r="AS24" s="32" t="s">
        <v>535</v>
      </c>
      <c r="AT24" s="12">
        <v>426</v>
      </c>
      <c r="AU24" s="12">
        <f t="shared" ref="AU24:AU27" si="130">7*SQRT(3)</f>
        <v>12.124355652982141</v>
      </c>
      <c r="AV24" s="13">
        <v>3</v>
      </c>
      <c r="AW24" s="12" t="s">
        <v>37</v>
      </c>
      <c r="AX24" s="12" t="s">
        <v>37</v>
      </c>
      <c r="AY24" s="13" t="s">
        <v>37</v>
      </c>
      <c r="AZ24" s="13"/>
      <c r="BA24" s="13"/>
      <c r="BB24" s="32" t="s">
        <v>536</v>
      </c>
      <c r="BC24" s="12">
        <v>316</v>
      </c>
      <c r="BD24" s="12">
        <f t="shared" ref="BD24:BD27" si="131">21*SQRT(3)</f>
        <v>36.373066958946424</v>
      </c>
      <c r="BE24" s="13">
        <v>3</v>
      </c>
      <c r="BF24" s="12" t="s">
        <v>37</v>
      </c>
      <c r="BG24" s="12" t="s">
        <v>37</v>
      </c>
      <c r="BH24" s="13" t="s">
        <v>37</v>
      </c>
      <c r="BI24" s="12"/>
      <c r="BJ24" s="12" t="s">
        <v>37</v>
      </c>
      <c r="BK24" s="12" t="s">
        <v>37</v>
      </c>
      <c r="BL24" s="13" t="s">
        <v>37</v>
      </c>
      <c r="BM24" s="12" t="s">
        <v>37</v>
      </c>
      <c r="BN24" s="12" t="s">
        <v>37</v>
      </c>
      <c r="BO24" s="13" t="s">
        <v>37</v>
      </c>
      <c r="BP24" s="19"/>
      <c r="BQ24" s="19"/>
      <c r="BR24" s="19"/>
      <c r="BS24" s="19"/>
      <c r="BT24" s="12"/>
      <c r="BU24" s="12" t="s">
        <v>37</v>
      </c>
      <c r="BV24" s="12" t="s">
        <v>37</v>
      </c>
      <c r="BW24" s="13" t="s">
        <v>37</v>
      </c>
      <c r="BX24" s="12" t="s">
        <v>37</v>
      </c>
      <c r="BY24" s="12" t="s">
        <v>37</v>
      </c>
      <c r="BZ24" s="13" t="s">
        <v>37</v>
      </c>
      <c r="CA24" s="19"/>
      <c r="CB24" s="19"/>
      <c r="CC24" s="19"/>
      <c r="CD24" s="19"/>
      <c r="CE24" s="12"/>
      <c r="CF24" s="12" t="s">
        <v>37</v>
      </c>
      <c r="CG24" s="12" t="s">
        <v>37</v>
      </c>
      <c r="CH24" s="13" t="s">
        <v>37</v>
      </c>
      <c r="CI24" s="12" t="s">
        <v>37</v>
      </c>
      <c r="CJ24" s="12" t="s">
        <v>37</v>
      </c>
      <c r="CK24" s="13" t="s">
        <v>37</v>
      </c>
      <c r="CL24" s="19"/>
      <c r="CM24" s="19"/>
      <c r="CN24" s="19"/>
      <c r="CO24" s="19"/>
      <c r="CP24" s="11" t="s">
        <v>34</v>
      </c>
      <c r="CQ24" s="12">
        <f t="shared" ref="CQ24:CQ27" si="132">21*16/12/168/24</f>
        <v>6.9444444444444441E-3</v>
      </c>
      <c r="CR24" s="19">
        <f t="shared" ref="CR24:CR27" si="133">4*SQRT(5)*16/12/168/24</f>
        <v>2.9577618749997217E-3</v>
      </c>
      <c r="CS24" s="13">
        <v>5</v>
      </c>
      <c r="CT24" s="52">
        <f t="shared" si="85"/>
        <v>0.42591770999995993</v>
      </c>
      <c r="CU24" s="12">
        <f>21*16/12/168/24</f>
        <v>6.9444444444444441E-3</v>
      </c>
      <c r="CV24" s="19">
        <f>1*SQRT(5)*16/12/168/24</f>
        <v>7.3944046874993043E-4</v>
      </c>
      <c r="CW24" s="13">
        <v>5</v>
      </c>
      <c r="CX24" s="52">
        <f t="shared" si="86"/>
        <v>0.10647942749998998</v>
      </c>
      <c r="CY24" s="68">
        <f t="shared" si="61"/>
        <v>0</v>
      </c>
      <c r="CZ24" s="12">
        <f t="shared" si="39"/>
        <v>2.1558209011913517E-3</v>
      </c>
      <c r="DA24" s="72">
        <f t="shared" si="40"/>
        <v>1.8590255032053972E-6</v>
      </c>
      <c r="DB24" s="72">
        <f t="shared" si="41"/>
        <v>1.859025503205397E-6</v>
      </c>
      <c r="DC24" s="15" t="s">
        <v>34</v>
      </c>
      <c r="DD24" s="29">
        <f t="shared" ref="DD24:DD27" si="134">7*44/28/168/24</f>
        <v>2.7281746031746035E-3</v>
      </c>
      <c r="DE24" s="68">
        <f t="shared" ref="DE24:DE27" si="135">1*SQRT(5)*44/28/168/24</f>
        <v>8.7148340959813237E-4</v>
      </c>
      <c r="DF24" s="13">
        <v>5</v>
      </c>
      <c r="DG24" s="52">
        <f t="shared" si="111"/>
        <v>0.31943828249996992</v>
      </c>
      <c r="DH24" s="29">
        <f>18*44/28/168/24</f>
        <v>7.0153061224489796E-3</v>
      </c>
      <c r="DI24" s="68">
        <f>4*SQRT(5)*44/28/168/24</f>
        <v>3.4859336383925295E-3</v>
      </c>
      <c r="DJ24" s="13">
        <v>5</v>
      </c>
      <c r="DK24" s="52">
        <f t="shared" si="112"/>
        <v>0.4969039949999533</v>
      </c>
      <c r="DL24" s="68">
        <f t="shared" si="113"/>
        <v>4.2871315192743766E-3</v>
      </c>
      <c r="DM24" s="12">
        <f t="shared" si="114"/>
        <v>2.5407889192612366E-3</v>
      </c>
      <c r="DN24" s="87">
        <f t="shared" si="115"/>
        <v>2.5822433328962732E-6</v>
      </c>
      <c r="DO24" s="87">
        <f t="shared" si="116"/>
        <v>2.5822433328962732E-6</v>
      </c>
      <c r="DP24" s="12"/>
      <c r="DQ24" s="12" t="s">
        <v>37</v>
      </c>
      <c r="DR24" s="12" t="s">
        <v>37</v>
      </c>
      <c r="DS24" s="13" t="s">
        <v>37</v>
      </c>
      <c r="DT24" s="19"/>
      <c r="DU24" s="12" t="s">
        <v>37</v>
      </c>
      <c r="DV24" s="12" t="s">
        <v>37</v>
      </c>
      <c r="DW24" s="13" t="s">
        <v>37</v>
      </c>
      <c r="DX24" s="19"/>
      <c r="DY24" s="19"/>
      <c r="DZ24" s="19"/>
      <c r="EA24" s="72"/>
      <c r="EB24" s="72"/>
      <c r="EC24" s="12" t="s">
        <v>132</v>
      </c>
      <c r="ED24" s="32" t="s">
        <v>330</v>
      </c>
      <c r="EE24" s="12">
        <v>59</v>
      </c>
      <c r="EF24" s="12">
        <f t="shared" ref="EF24:EF27" si="136">49*SQRT(5)</f>
        <v>109.5673308974897</v>
      </c>
      <c r="EG24" s="11">
        <v>5</v>
      </c>
      <c r="EH24" s="19">
        <f t="shared" ref="EH24:EH27" si="137">EF24/EE24</f>
        <v>1.8570734050421982</v>
      </c>
      <c r="EI24" s="12">
        <f>AVERAGEA(578,371)</f>
        <v>474.5</v>
      </c>
      <c r="EJ24" s="20">
        <f>SQRT((37*SQRT(5))^2+(38*SQRT(5))^2)/2</f>
        <v>59.297976356702094</v>
      </c>
      <c r="EK24" s="11">
        <v>5</v>
      </c>
      <c r="EL24" s="19">
        <f t="shared" ref="EL24:EL27" si="138">EJ24/EI24</f>
        <v>0.12496939168957238</v>
      </c>
      <c r="EM24" s="19">
        <f t="shared" ref="EM24:EM27" si="139">EI24-EE24</f>
        <v>415.5</v>
      </c>
      <c r="EN24" s="12">
        <f t="shared" ref="EN24:EN27" si="140">SQRT(((EG24-1)*EF24^2+(EK24-1)*EJ24^2)/(EG24+EK24-2))</f>
        <v>88.09440958426363</v>
      </c>
      <c r="EO24" s="72">
        <f t="shared" ref="EO24:EO27" si="141">(((EG24+EK24)/(EG24*EK24))*(((EG24-1)*EF24^2)+(EK24-1)*EJ24^2)/(EG24+EK24-2))</f>
        <v>3104.25</v>
      </c>
      <c r="EP24" s="72">
        <f t="shared" ref="EP24:EP27" si="142">(EF24^2/EG24)+(EJ24^2/EK24)</f>
        <v>3104.25</v>
      </c>
      <c r="EQ24" s="32"/>
      <c r="ER24" s="12" t="s">
        <v>37</v>
      </c>
      <c r="ES24" s="12" t="s">
        <v>37</v>
      </c>
      <c r="ET24" s="11" t="s">
        <v>37</v>
      </c>
      <c r="EU24" s="19"/>
      <c r="EV24" s="13" t="s">
        <v>37</v>
      </c>
      <c r="EW24" s="11" t="s">
        <v>37</v>
      </c>
      <c r="EX24" s="11" t="s">
        <v>37</v>
      </c>
      <c r="EY24" s="19"/>
      <c r="EZ24" s="19"/>
      <c r="FA24" s="19"/>
      <c r="FB24" s="19"/>
      <c r="FC24" s="32"/>
      <c r="FD24" s="12" t="s">
        <v>37</v>
      </c>
      <c r="FE24" s="12" t="s">
        <v>37</v>
      </c>
      <c r="FF24" s="11" t="s">
        <v>37</v>
      </c>
      <c r="FG24" s="13" t="s">
        <v>37</v>
      </c>
      <c r="FH24" s="11" t="s">
        <v>37</v>
      </c>
      <c r="FI24" s="11" t="s">
        <v>37</v>
      </c>
      <c r="FJ24" s="19"/>
      <c r="FK24" s="19"/>
      <c r="FL24" s="19"/>
      <c r="FM24" s="32"/>
      <c r="FN24" s="12" t="s">
        <v>37</v>
      </c>
      <c r="FO24" s="12" t="s">
        <v>37</v>
      </c>
      <c r="FP24" s="11" t="s">
        <v>37</v>
      </c>
      <c r="FQ24" s="13" t="s">
        <v>37</v>
      </c>
      <c r="FR24" s="11" t="s">
        <v>37</v>
      </c>
      <c r="FS24" s="11" t="s">
        <v>37</v>
      </c>
      <c r="FT24" s="19"/>
      <c r="FU24" s="19"/>
      <c r="FV24" s="19"/>
      <c r="FW24" s="12"/>
      <c r="FX24" s="12"/>
      <c r="FY24" s="12" t="s">
        <v>37</v>
      </c>
      <c r="FZ24" s="12" t="s">
        <v>37</v>
      </c>
      <c r="GA24" s="13" t="s">
        <v>37</v>
      </c>
      <c r="GB24" s="12" t="s">
        <v>37</v>
      </c>
      <c r="GC24" s="12" t="s">
        <v>37</v>
      </c>
      <c r="GD24" s="13" t="s">
        <v>37</v>
      </c>
      <c r="GE24" s="19"/>
      <c r="GF24" s="19"/>
      <c r="GG24" s="12"/>
      <c r="GH24" s="12"/>
      <c r="GI24" s="12" t="s">
        <v>37</v>
      </c>
      <c r="GJ24" s="12" t="s">
        <v>37</v>
      </c>
      <c r="GK24" s="12" t="s">
        <v>37</v>
      </c>
      <c r="GL24" s="19"/>
      <c r="GM24" s="12" t="s">
        <v>37</v>
      </c>
      <c r="GN24" s="12" t="s">
        <v>37</v>
      </c>
      <c r="GO24" s="12" t="s">
        <v>37</v>
      </c>
      <c r="GP24" s="19"/>
      <c r="GQ24" s="19"/>
      <c r="GR24" s="19"/>
      <c r="GS24" s="17" t="s">
        <v>63</v>
      </c>
      <c r="GT24" s="34" t="s">
        <v>345</v>
      </c>
      <c r="GU24" s="12">
        <v>0.46</v>
      </c>
      <c r="GV24" s="12">
        <f t="shared" ref="GV24:GV27" si="143">0.02*SQRT(3)</f>
        <v>3.4641016151377546E-2</v>
      </c>
      <c r="GW24" s="13">
        <v>3</v>
      </c>
      <c r="GX24" s="19">
        <f t="shared" si="117"/>
        <v>7.5306556850820744E-2</v>
      </c>
      <c r="GY24" s="12" t="s">
        <v>37</v>
      </c>
      <c r="GZ24" s="12" t="s">
        <v>37</v>
      </c>
      <c r="HA24" s="12" t="s">
        <v>37</v>
      </c>
      <c r="HB24" s="19"/>
      <c r="HC24" s="19"/>
      <c r="HD24" s="19"/>
      <c r="HE24" s="34" t="s">
        <v>535</v>
      </c>
      <c r="HF24" s="12">
        <v>0.42</v>
      </c>
      <c r="HG24" s="12">
        <f t="shared" ref="HG24:HG27" si="144">0.02*SQRT(3)</f>
        <v>3.4641016151377546E-2</v>
      </c>
      <c r="HH24" s="13">
        <v>3</v>
      </c>
      <c r="HI24" s="12" t="s">
        <v>37</v>
      </c>
      <c r="HJ24" s="12" t="s">
        <v>37</v>
      </c>
      <c r="HK24" s="12" t="s">
        <v>37</v>
      </c>
      <c r="HL24" s="12"/>
      <c r="HM24" s="12"/>
      <c r="HN24" s="34" t="s">
        <v>536</v>
      </c>
      <c r="HO24" s="12">
        <v>0.27</v>
      </c>
      <c r="HP24" s="12">
        <f t="shared" ref="HP24:HP27" si="145">0.02*SQRT(3)</f>
        <v>3.4641016151377546E-2</v>
      </c>
      <c r="HQ24" s="13">
        <v>3</v>
      </c>
      <c r="HR24" s="12" t="s">
        <v>37</v>
      </c>
      <c r="HS24" s="12" t="s">
        <v>37</v>
      </c>
      <c r="HT24" s="13" t="s">
        <v>37</v>
      </c>
      <c r="HU24" s="13"/>
      <c r="HV24" s="13"/>
      <c r="HW24" s="12"/>
      <c r="HX24" s="12"/>
      <c r="HY24" s="12" t="s">
        <v>37</v>
      </c>
      <c r="HZ24" s="12" t="s">
        <v>37</v>
      </c>
      <c r="IA24" s="12" t="s">
        <v>37</v>
      </c>
      <c r="IB24" s="12" t="s">
        <v>37</v>
      </c>
      <c r="IC24" s="12" t="s">
        <v>37</v>
      </c>
      <c r="ID24" s="12" t="s">
        <v>37</v>
      </c>
      <c r="IE24" s="12"/>
      <c r="IF24" s="32" t="s">
        <v>345</v>
      </c>
      <c r="IG24" s="12">
        <v>7.42</v>
      </c>
      <c r="IH24" s="12">
        <f t="shared" ref="IH24:IH27" si="146">0.05*SQRT(3)</f>
        <v>8.6602540378443865E-2</v>
      </c>
      <c r="II24" s="13">
        <v>3</v>
      </c>
      <c r="IJ24" s="19">
        <f t="shared" si="118"/>
        <v>1.1671501398712111E-2</v>
      </c>
      <c r="IK24" s="12" t="s">
        <v>37</v>
      </c>
      <c r="IL24" s="12" t="s">
        <v>37</v>
      </c>
      <c r="IM24" s="13" t="s">
        <v>37</v>
      </c>
      <c r="IN24" s="19"/>
      <c r="IO24" s="19"/>
      <c r="IP24" s="19"/>
      <c r="IQ24" s="32" t="s">
        <v>535</v>
      </c>
      <c r="IR24" s="12">
        <v>7.17</v>
      </c>
      <c r="IS24" s="12">
        <f t="shared" ref="IS24:IS27" si="147">0.03*SQRT(3)</f>
        <v>5.1961524227066312E-2</v>
      </c>
      <c r="IT24" s="13">
        <v>3</v>
      </c>
      <c r="IU24" s="12" t="s">
        <v>37</v>
      </c>
      <c r="IV24" s="12" t="s">
        <v>37</v>
      </c>
      <c r="IW24" s="12" t="s">
        <v>37</v>
      </c>
      <c r="IX24" s="32" t="s">
        <v>536</v>
      </c>
      <c r="IY24" s="12">
        <v>7.05</v>
      </c>
      <c r="IZ24" s="12">
        <f t="shared" ref="IZ24:IZ27" si="148">0.03*SQRT(3)</f>
        <v>5.1961524227066312E-2</v>
      </c>
      <c r="JA24" s="13">
        <v>3</v>
      </c>
      <c r="JB24" s="12" t="s">
        <v>37</v>
      </c>
      <c r="JC24" s="12" t="s">
        <v>37</v>
      </c>
      <c r="JD24" s="12" t="s">
        <v>37</v>
      </c>
      <c r="JE24" s="12"/>
      <c r="JF24" s="12"/>
      <c r="JG24" s="11" t="s">
        <v>37</v>
      </c>
      <c r="JH24" s="11" t="s">
        <v>37</v>
      </c>
      <c r="JI24" s="13" t="s">
        <v>37</v>
      </c>
      <c r="JJ24" s="11" t="s">
        <v>37</v>
      </c>
      <c r="JK24" s="11" t="s">
        <v>37</v>
      </c>
      <c r="JL24" s="11" t="s">
        <v>37</v>
      </c>
      <c r="JM24" s="12" t="s">
        <v>42</v>
      </c>
      <c r="JN24" s="32" t="s">
        <v>345</v>
      </c>
      <c r="JO24" s="12">
        <v>29</v>
      </c>
      <c r="JP24" s="12">
        <f t="shared" ref="JP24:JP27" si="149">1*SQRT(3)</f>
        <v>1.7320508075688772</v>
      </c>
      <c r="JQ24" s="11">
        <v>3</v>
      </c>
      <c r="JR24" s="19"/>
      <c r="JS24" s="12" t="s">
        <v>37</v>
      </c>
      <c r="JT24" s="12" t="s">
        <v>37</v>
      </c>
      <c r="JU24" s="13" t="s">
        <v>37</v>
      </c>
      <c r="JV24" s="19"/>
      <c r="JW24" s="19"/>
      <c r="JX24" s="19"/>
      <c r="JY24" s="32" t="s">
        <v>535</v>
      </c>
      <c r="JZ24" s="12">
        <v>28</v>
      </c>
      <c r="KA24" s="12">
        <f t="shared" ref="KA24:KA27" si="150">0.2*SQRT(3)</f>
        <v>0.34641016151377546</v>
      </c>
      <c r="KB24" s="13">
        <v>3</v>
      </c>
      <c r="KC24" s="12" t="s">
        <v>37</v>
      </c>
      <c r="KD24" s="12" t="s">
        <v>37</v>
      </c>
      <c r="KE24" s="13" t="s">
        <v>37</v>
      </c>
      <c r="KF24" s="13"/>
      <c r="KG24" s="13"/>
      <c r="KH24" s="32" t="s">
        <v>536</v>
      </c>
      <c r="KI24" s="12">
        <v>23</v>
      </c>
      <c r="KJ24" s="12">
        <f t="shared" ref="KJ24:KJ27" si="151">2*SQRT(3)</f>
        <v>3.4641016151377544</v>
      </c>
      <c r="KK24" s="13">
        <v>3</v>
      </c>
      <c r="KL24" s="12" t="s">
        <v>37</v>
      </c>
      <c r="KM24" s="12" t="s">
        <v>37</v>
      </c>
      <c r="KN24" s="12" t="s">
        <v>37</v>
      </c>
      <c r="KO24" s="12"/>
      <c r="KP24" s="12"/>
      <c r="KQ24" s="12"/>
      <c r="KR24" s="12" t="str">
        <f t="shared" si="87"/>
        <v>0-10</v>
      </c>
      <c r="KS24" s="12">
        <f t="shared" si="88"/>
        <v>14.862068965517242</v>
      </c>
      <c r="KT24" s="12">
        <f t="shared" si="119"/>
        <v>0.89565159177519005</v>
      </c>
      <c r="KU24" s="13">
        <f t="shared" si="89"/>
        <v>3</v>
      </c>
      <c r="KV24" s="19">
        <f>KT24/KS24</f>
        <v>6.0264260235453622E-2</v>
      </c>
      <c r="KW24" s="13" t="str">
        <f t="shared" si="91"/>
        <v>/</v>
      </c>
      <c r="KX24" s="13" t="str">
        <f t="shared" si="92"/>
        <v>/</v>
      </c>
      <c r="KY24" s="13" t="str">
        <f t="shared" si="93"/>
        <v>/</v>
      </c>
      <c r="KZ24" s="19"/>
      <c r="LA24" s="19"/>
      <c r="LB24" s="19"/>
      <c r="LC24" s="12" t="str">
        <f t="shared" si="120"/>
        <v>10-30</v>
      </c>
      <c r="LD24" s="12">
        <f>AT24/JZ24</f>
        <v>15.214285714285714</v>
      </c>
      <c r="LE24" s="12">
        <f>SQRT((1/JZ24)^2*AU24^2+AT24^2*(-1/JZ24^2)^2*KA24^2)</f>
        <v>0.47215439090017364</v>
      </c>
      <c r="LF24" s="13">
        <f t="shared" si="121"/>
        <v>3</v>
      </c>
      <c r="LG24" s="19" t="str">
        <f t="shared" si="19"/>
        <v>/</v>
      </c>
      <c r="LH24" s="19" t="str">
        <f t="shared" si="20"/>
        <v>/</v>
      </c>
      <c r="LI24" s="13" t="str">
        <f t="shared" si="21"/>
        <v>/</v>
      </c>
      <c r="LJ24" s="13"/>
      <c r="LK24" s="13"/>
      <c r="LL24" s="12" t="str">
        <f t="shared" si="122"/>
        <v>30-40</v>
      </c>
      <c r="LM24" s="12">
        <f t="shared" si="123"/>
        <v>13.739130434782609</v>
      </c>
      <c r="LN24" s="12">
        <f t="shared" si="124"/>
        <v>2.6044038831332332</v>
      </c>
      <c r="LO24" s="13">
        <f t="shared" si="125"/>
        <v>3</v>
      </c>
      <c r="LP24" s="12" t="e">
        <f t="shared" si="126"/>
        <v>#VALUE!</v>
      </c>
      <c r="LQ24" s="12" t="e">
        <f t="shared" si="127"/>
        <v>#VALUE!</v>
      </c>
      <c r="LR24" s="13" t="str">
        <f t="shared" si="128"/>
        <v>/</v>
      </c>
      <c r="LS24" s="12" t="s">
        <v>152</v>
      </c>
      <c r="LT24" s="12" t="s">
        <v>340</v>
      </c>
      <c r="LU24" s="12">
        <v>1.1499999999999999</v>
      </c>
      <c r="LV24" s="12">
        <v>0.04</v>
      </c>
      <c r="LW24" s="13">
        <v>5</v>
      </c>
      <c r="LX24" s="12">
        <v>0.11</v>
      </c>
      <c r="LY24" s="12">
        <v>0.01</v>
      </c>
      <c r="LZ24" s="13">
        <v>5</v>
      </c>
      <c r="MA24" s="19">
        <f t="shared" ref="MA24:MA29" si="152">LN(LX24/LU24)</f>
        <v>-2.3470368555648795</v>
      </c>
      <c r="MB24" s="19">
        <f t="shared" ref="MB24:MB29" si="153">LY24^2/(LZ24*LX24^2)+LV24^2/(LW24*LU24^2)</f>
        <v>1.8948585355184429E-3</v>
      </c>
      <c r="MC24" s="12" t="s">
        <v>152</v>
      </c>
      <c r="MD24" s="12" t="s">
        <v>340</v>
      </c>
      <c r="ME24" s="12">
        <v>0.36</v>
      </c>
      <c r="MF24" s="12">
        <v>0.05</v>
      </c>
      <c r="MG24" s="13">
        <v>5</v>
      </c>
      <c r="MH24" s="12">
        <v>2.77</v>
      </c>
      <c r="MI24" s="12">
        <v>0.52</v>
      </c>
      <c r="MJ24" s="13">
        <v>5</v>
      </c>
      <c r="MK24" s="19">
        <f t="shared" ref="MK24:MK29" si="154">LN(MH24/ME24)</f>
        <v>2.0404985677312286</v>
      </c>
      <c r="ML24" s="19">
        <f t="shared" ref="ML24:ML29" si="155">MI24^2/(MJ24*MH24^2)+MF24^2/(MG24*ME24^2)</f>
        <v>1.0906207255968539E-2</v>
      </c>
      <c r="MM24" s="12"/>
      <c r="MN24" s="12"/>
      <c r="MO24" s="12" t="s">
        <v>37</v>
      </c>
      <c r="MP24" s="12" t="s">
        <v>37</v>
      </c>
      <c r="MQ24" s="13" t="s">
        <v>37</v>
      </c>
      <c r="MR24" s="12" t="s">
        <v>37</v>
      </c>
      <c r="MS24" s="12" t="s">
        <v>37</v>
      </c>
      <c r="MT24" s="13" t="s">
        <v>37</v>
      </c>
      <c r="MU24" s="13"/>
      <c r="MV24" s="13"/>
      <c r="MW24" s="12"/>
      <c r="MX24" s="12"/>
      <c r="MY24" s="12" t="s">
        <v>37</v>
      </c>
      <c r="MZ24" s="12" t="s">
        <v>37</v>
      </c>
      <c r="NA24" s="12" t="s">
        <v>37</v>
      </c>
      <c r="NB24" s="12" t="s">
        <v>37</v>
      </c>
      <c r="NC24" s="12" t="s">
        <v>37</v>
      </c>
      <c r="ND24" s="12" t="s">
        <v>37</v>
      </c>
      <c r="NE24" s="12"/>
      <c r="NF24" s="12"/>
      <c r="NG24" s="12"/>
      <c r="NH24" s="12"/>
      <c r="NI24" s="12" t="s">
        <v>37</v>
      </c>
      <c r="NJ24" s="12" t="s">
        <v>37</v>
      </c>
      <c r="NK24" s="13" t="s">
        <v>37</v>
      </c>
      <c r="NL24" s="12" t="s">
        <v>37</v>
      </c>
      <c r="NM24" s="12" t="s">
        <v>37</v>
      </c>
      <c r="NN24" s="13" t="s">
        <v>37</v>
      </c>
      <c r="NO24" s="13"/>
      <c r="NP24" s="13"/>
      <c r="NQ24" s="12"/>
      <c r="NR24" s="12"/>
      <c r="NS24" s="11" t="s">
        <v>37</v>
      </c>
      <c r="NT24" s="11" t="s">
        <v>37</v>
      </c>
      <c r="NU24" s="13" t="s">
        <v>37</v>
      </c>
      <c r="NV24" s="11" t="s">
        <v>37</v>
      </c>
      <c r="NW24" s="11" t="s">
        <v>37</v>
      </c>
      <c r="NX24" s="13" t="s">
        <v>37</v>
      </c>
      <c r="NY24" s="13"/>
      <c r="NZ24" s="13"/>
      <c r="OA24" s="12"/>
      <c r="OB24" s="12"/>
      <c r="OC24" s="12" t="s">
        <v>37</v>
      </c>
      <c r="OD24" s="12" t="s">
        <v>37</v>
      </c>
      <c r="OE24" s="12" t="s">
        <v>37</v>
      </c>
      <c r="OF24" s="12" t="s">
        <v>37</v>
      </c>
      <c r="OG24" s="12" t="s">
        <v>37</v>
      </c>
      <c r="OH24" s="12" t="s">
        <v>37</v>
      </c>
      <c r="OI24" s="12"/>
      <c r="OJ24" s="12"/>
      <c r="OK24" s="12"/>
      <c r="OL24" s="12" t="s">
        <v>37</v>
      </c>
      <c r="OM24" s="12" t="s">
        <v>37</v>
      </c>
      <c r="ON24" s="11" t="s">
        <v>37</v>
      </c>
      <c r="OO24" s="12" t="s">
        <v>37</v>
      </c>
      <c r="OP24" s="12" t="s">
        <v>37</v>
      </c>
      <c r="OQ24" s="12" t="s">
        <v>37</v>
      </c>
      <c r="OR24" s="12"/>
      <c r="OS24" s="12" t="s">
        <v>37</v>
      </c>
      <c r="OT24" s="12" t="s">
        <v>37</v>
      </c>
      <c r="OU24" s="12" t="s">
        <v>37</v>
      </c>
      <c r="OV24" s="12" t="s">
        <v>37</v>
      </c>
      <c r="OW24" s="12" t="s">
        <v>37</v>
      </c>
      <c r="OX24" s="12" t="s">
        <v>37</v>
      </c>
      <c r="OY24" s="12"/>
      <c r="OZ24" s="12"/>
      <c r="PA24" s="12" t="s">
        <v>37</v>
      </c>
      <c r="PB24" s="12" t="s">
        <v>37</v>
      </c>
      <c r="PC24" s="12" t="s">
        <v>37</v>
      </c>
      <c r="PD24" s="12" t="s">
        <v>37</v>
      </c>
      <c r="PE24" s="12" t="s">
        <v>37</v>
      </c>
      <c r="PF24" s="12" t="s">
        <v>37</v>
      </c>
      <c r="PG24" s="12"/>
      <c r="PH24" s="12"/>
      <c r="PI24" s="12" t="s">
        <v>37</v>
      </c>
      <c r="PJ24" s="12" t="s">
        <v>37</v>
      </c>
      <c r="PK24" s="12" t="s">
        <v>37</v>
      </c>
      <c r="PL24" s="12" t="s">
        <v>37</v>
      </c>
      <c r="PM24" s="12" t="s">
        <v>37</v>
      </c>
      <c r="PN24" s="12" t="s">
        <v>37</v>
      </c>
      <c r="PO24" s="12"/>
      <c r="PP24" s="12"/>
      <c r="PQ24" s="12" t="s">
        <v>37</v>
      </c>
      <c r="PR24" s="12" t="s">
        <v>37</v>
      </c>
      <c r="PS24" s="12" t="s">
        <v>37</v>
      </c>
      <c r="PT24" s="12" t="s">
        <v>37</v>
      </c>
      <c r="PU24" s="12" t="s">
        <v>37</v>
      </c>
      <c r="PV24" s="12" t="s">
        <v>37</v>
      </c>
      <c r="PW24" s="12"/>
      <c r="PX24" s="12"/>
      <c r="PY24" s="12" t="s">
        <v>37</v>
      </c>
      <c r="PZ24" s="12" t="s">
        <v>37</v>
      </c>
      <c r="QA24" s="12" t="s">
        <v>37</v>
      </c>
      <c r="QB24" s="12" t="s">
        <v>37</v>
      </c>
      <c r="QC24" s="12" t="s">
        <v>37</v>
      </c>
      <c r="QD24" s="12" t="s">
        <v>37</v>
      </c>
      <c r="QE24" s="12"/>
      <c r="QF24" s="12"/>
      <c r="QG24" s="12" t="s">
        <v>37</v>
      </c>
      <c r="QH24" s="12" t="s">
        <v>37</v>
      </c>
      <c r="QI24" s="12" t="s">
        <v>37</v>
      </c>
      <c r="QJ24" s="12" t="s">
        <v>37</v>
      </c>
      <c r="QK24" s="12" t="s">
        <v>37</v>
      </c>
      <c r="QL24" s="12" t="s">
        <v>37</v>
      </c>
      <c r="QM24" s="12" t="s">
        <v>42</v>
      </c>
      <c r="QN24" s="12" t="s">
        <v>345</v>
      </c>
      <c r="QO24" s="12">
        <v>1.29</v>
      </c>
      <c r="QP24" s="12">
        <f t="shared" ref="QP24:QP27" si="156">0.02*SQRT(3)</f>
        <v>3.4641016151377546E-2</v>
      </c>
      <c r="QQ24" s="13">
        <v>3</v>
      </c>
      <c r="QR24" s="12" t="s">
        <v>37</v>
      </c>
      <c r="QS24" s="12" t="s">
        <v>37</v>
      </c>
      <c r="QT24" s="12" t="s">
        <v>37</v>
      </c>
      <c r="QU24" s="12"/>
      <c r="QV24" s="12"/>
      <c r="QW24" s="12"/>
      <c r="QX24" s="12"/>
      <c r="QY24" s="12" t="s">
        <v>37</v>
      </c>
      <c r="QZ24" s="12" t="s">
        <v>37</v>
      </c>
      <c r="RA24" s="11" t="s">
        <v>37</v>
      </c>
      <c r="RB24" s="12" t="s">
        <v>37</v>
      </c>
      <c r="RC24" s="12" t="s">
        <v>37</v>
      </c>
      <c r="RD24" s="11" t="s">
        <v>37</v>
      </c>
      <c r="RE24" s="11"/>
      <c r="RF24" s="11"/>
      <c r="RG24" s="12"/>
      <c r="RH24" s="12"/>
      <c r="RI24" s="12" t="s">
        <v>37</v>
      </c>
      <c r="RJ24" s="12" t="s">
        <v>37</v>
      </c>
      <c r="RK24" s="11" t="s">
        <v>37</v>
      </c>
      <c r="RL24" s="12" t="s">
        <v>37</v>
      </c>
      <c r="RM24" s="12" t="s">
        <v>37</v>
      </c>
      <c r="RN24" s="11" t="s">
        <v>37</v>
      </c>
      <c r="RO24" s="11"/>
      <c r="RP24" s="11"/>
      <c r="RQ24" s="12"/>
      <c r="RR24" s="12"/>
      <c r="RS24" s="12" t="s">
        <v>37</v>
      </c>
      <c r="RT24" s="12" t="s">
        <v>37</v>
      </c>
      <c r="RU24" s="11" t="s">
        <v>37</v>
      </c>
      <c r="RV24" s="12" t="s">
        <v>37</v>
      </c>
      <c r="RW24" s="12" t="s">
        <v>37</v>
      </c>
      <c r="RX24" s="11" t="s">
        <v>37</v>
      </c>
      <c r="RY24" s="11"/>
      <c r="RZ24" s="11"/>
      <c r="SA24" s="12"/>
      <c r="SB24" s="12"/>
      <c r="SC24" s="12" t="s">
        <v>37</v>
      </c>
      <c r="SD24" s="12" t="s">
        <v>37</v>
      </c>
      <c r="SE24" s="12" t="s">
        <v>37</v>
      </c>
      <c r="SF24" s="12" t="s">
        <v>37</v>
      </c>
      <c r="SG24" s="12" t="s">
        <v>37</v>
      </c>
      <c r="SH24" s="12" t="s">
        <v>37</v>
      </c>
      <c r="SI24" s="12"/>
      <c r="SJ24" s="12"/>
      <c r="SK24" s="12"/>
      <c r="SL24" s="12"/>
      <c r="SM24" s="12" t="s">
        <v>37</v>
      </c>
      <c r="SN24" s="12" t="s">
        <v>37</v>
      </c>
      <c r="SO24" s="12" t="s">
        <v>37</v>
      </c>
      <c r="SP24" s="12" t="s">
        <v>37</v>
      </c>
      <c r="SQ24" s="12" t="s">
        <v>37</v>
      </c>
      <c r="SR24" s="12" t="s">
        <v>37</v>
      </c>
      <c r="SS24" s="12"/>
      <c r="ST24" s="12"/>
      <c r="SU24" s="12"/>
      <c r="SV24" s="12"/>
      <c r="SW24" s="12" t="s">
        <v>37</v>
      </c>
      <c r="SX24" s="12" t="s">
        <v>37</v>
      </c>
      <c r="SY24" s="12" t="s">
        <v>37</v>
      </c>
      <c r="SZ24" s="12" t="s">
        <v>37</v>
      </c>
      <c r="TA24" s="12" t="s">
        <v>37</v>
      </c>
      <c r="TB24" s="12" t="s">
        <v>37</v>
      </c>
      <c r="TC24" s="12"/>
      <c r="TD24" s="12"/>
      <c r="TE24" s="12"/>
      <c r="TF24" s="12"/>
      <c r="TG24" s="13" t="s">
        <v>37</v>
      </c>
      <c r="TH24" s="13" t="s">
        <v>37</v>
      </c>
      <c r="TI24" s="13" t="s">
        <v>37</v>
      </c>
      <c r="TJ24" s="13" t="s">
        <v>37</v>
      </c>
      <c r="TK24" s="13" t="s">
        <v>37</v>
      </c>
      <c r="TL24" s="13" t="s">
        <v>37</v>
      </c>
      <c r="TM24" s="13"/>
      <c r="TN24" s="13"/>
      <c r="TO24" s="12"/>
      <c r="TP24" s="12"/>
      <c r="TQ24" s="13" t="s">
        <v>37</v>
      </c>
      <c r="TR24" s="13" t="s">
        <v>37</v>
      </c>
      <c r="TS24" s="13" t="s">
        <v>37</v>
      </c>
      <c r="TT24" s="19"/>
      <c r="TU24" s="13" t="s">
        <v>37</v>
      </c>
      <c r="TV24" s="13" t="s">
        <v>37</v>
      </c>
      <c r="TW24" s="13" t="s">
        <v>37</v>
      </c>
    </row>
    <row r="25" spans="1:543" ht="17.399999999999999" x14ac:dyDescent="0.4">
      <c r="A25" s="11">
        <v>10</v>
      </c>
      <c r="B25" s="16" t="s">
        <v>251</v>
      </c>
      <c r="C25" s="12" t="s">
        <v>26</v>
      </c>
      <c r="D25" s="12" t="s">
        <v>119</v>
      </c>
      <c r="E25" s="14" t="s">
        <v>37</v>
      </c>
      <c r="F25" s="14">
        <v>0</v>
      </c>
      <c r="G25" s="14">
        <v>0</v>
      </c>
      <c r="H25" s="12" t="s">
        <v>82</v>
      </c>
      <c r="I25" s="29">
        <v>26.933</v>
      </c>
      <c r="J25" s="29">
        <v>-80.8</v>
      </c>
      <c r="K25" s="12" t="s">
        <v>807</v>
      </c>
      <c r="L25" s="12" t="s">
        <v>808</v>
      </c>
      <c r="M25" s="12" t="s">
        <v>37</v>
      </c>
      <c r="N25" s="14">
        <v>24</v>
      </c>
      <c r="O25" s="14">
        <v>1330</v>
      </c>
      <c r="P25" s="14" t="s">
        <v>89</v>
      </c>
      <c r="Q25" s="11" t="s">
        <v>252</v>
      </c>
      <c r="R25" s="11" t="s">
        <v>37</v>
      </c>
      <c r="S25" s="12" t="s">
        <v>37</v>
      </c>
      <c r="T25" s="12" t="s">
        <v>37</v>
      </c>
      <c r="U25" s="12" t="s">
        <v>158</v>
      </c>
      <c r="V25" s="12" t="s">
        <v>274</v>
      </c>
      <c r="W25" s="23" t="s">
        <v>253</v>
      </c>
      <c r="X25" s="12" t="s">
        <v>283</v>
      </c>
      <c r="Y25" s="12" t="s">
        <v>37</v>
      </c>
      <c r="Z25" s="12" t="s">
        <v>37</v>
      </c>
      <c r="AA25" s="32">
        <v>2013</v>
      </c>
      <c r="AB25" s="13" t="s">
        <v>37</v>
      </c>
      <c r="AC25" s="13" t="s">
        <v>37</v>
      </c>
      <c r="AD25" s="12" t="s">
        <v>81</v>
      </c>
      <c r="AE25" s="12" t="s">
        <v>74</v>
      </c>
      <c r="AF25" s="12" t="s">
        <v>489</v>
      </c>
      <c r="AG25" s="12" t="s">
        <v>42</v>
      </c>
      <c r="AH25" s="32" t="s">
        <v>345</v>
      </c>
      <c r="AI25" s="12">
        <v>431</v>
      </c>
      <c r="AJ25" s="12">
        <f t="shared" si="129"/>
        <v>3.4641016151377544</v>
      </c>
      <c r="AK25" s="11">
        <v>3</v>
      </c>
      <c r="AL25" s="19">
        <f t="shared" si="110"/>
        <v>8.0373587358184562E-3</v>
      </c>
      <c r="AM25" s="12" t="s">
        <v>37</v>
      </c>
      <c r="AN25" s="12" t="s">
        <v>37</v>
      </c>
      <c r="AO25" s="13" t="s">
        <v>37</v>
      </c>
      <c r="AP25" s="19"/>
      <c r="AQ25" s="49"/>
      <c r="AR25" s="49"/>
      <c r="AS25" s="32" t="s">
        <v>535</v>
      </c>
      <c r="AT25" s="12">
        <v>426</v>
      </c>
      <c r="AU25" s="12">
        <f t="shared" si="130"/>
        <v>12.124355652982141</v>
      </c>
      <c r="AV25" s="13">
        <v>3</v>
      </c>
      <c r="AW25" s="12" t="s">
        <v>37</v>
      </c>
      <c r="AX25" s="12" t="s">
        <v>37</v>
      </c>
      <c r="AY25" s="13" t="s">
        <v>37</v>
      </c>
      <c r="AZ25" s="13"/>
      <c r="BA25" s="13"/>
      <c r="BB25" s="32" t="s">
        <v>536</v>
      </c>
      <c r="BC25" s="12">
        <v>316</v>
      </c>
      <c r="BD25" s="12">
        <f t="shared" si="131"/>
        <v>36.373066958946424</v>
      </c>
      <c r="BE25" s="13">
        <v>3</v>
      </c>
      <c r="BF25" s="12" t="s">
        <v>37</v>
      </c>
      <c r="BG25" s="12" t="s">
        <v>37</v>
      </c>
      <c r="BH25" s="13" t="s">
        <v>37</v>
      </c>
      <c r="BI25" s="12"/>
      <c r="BJ25" s="12" t="s">
        <v>37</v>
      </c>
      <c r="BK25" s="12" t="s">
        <v>37</v>
      </c>
      <c r="BL25" s="13" t="s">
        <v>37</v>
      </c>
      <c r="BM25" s="12" t="s">
        <v>37</v>
      </c>
      <c r="BN25" s="12" t="s">
        <v>37</v>
      </c>
      <c r="BO25" s="13" t="s">
        <v>37</v>
      </c>
      <c r="BP25" s="19"/>
      <c r="BQ25" s="19"/>
      <c r="BR25" s="19"/>
      <c r="BS25" s="19"/>
      <c r="BT25" s="12"/>
      <c r="BU25" s="12" t="s">
        <v>37</v>
      </c>
      <c r="BV25" s="12" t="s">
        <v>37</v>
      </c>
      <c r="BW25" s="13" t="s">
        <v>37</v>
      </c>
      <c r="BX25" s="12" t="s">
        <v>37</v>
      </c>
      <c r="BY25" s="12" t="s">
        <v>37</v>
      </c>
      <c r="BZ25" s="13" t="s">
        <v>37</v>
      </c>
      <c r="CA25" s="19"/>
      <c r="CB25" s="19"/>
      <c r="CC25" s="19"/>
      <c r="CD25" s="19"/>
      <c r="CE25" s="12"/>
      <c r="CF25" s="12" t="s">
        <v>37</v>
      </c>
      <c r="CG25" s="12" t="s">
        <v>37</v>
      </c>
      <c r="CH25" s="13" t="s">
        <v>37</v>
      </c>
      <c r="CI25" s="12" t="s">
        <v>37</v>
      </c>
      <c r="CJ25" s="12" t="s">
        <v>37</v>
      </c>
      <c r="CK25" s="13" t="s">
        <v>37</v>
      </c>
      <c r="CL25" s="19"/>
      <c r="CM25" s="19"/>
      <c r="CN25" s="19"/>
      <c r="CO25" s="19"/>
      <c r="CP25" s="11" t="s">
        <v>34</v>
      </c>
      <c r="CQ25" s="12">
        <f t="shared" si="132"/>
        <v>6.9444444444444441E-3</v>
      </c>
      <c r="CR25" s="19">
        <f t="shared" si="133"/>
        <v>2.9577618749997217E-3</v>
      </c>
      <c r="CS25" s="13">
        <v>5</v>
      </c>
      <c r="CT25" s="52">
        <f t="shared" si="85"/>
        <v>0.42591770999995993</v>
      </c>
      <c r="CU25" s="12">
        <f>23*16/12/168/24</f>
        <v>7.6058201058201063E-3</v>
      </c>
      <c r="CV25" s="19">
        <f>5*SQRT(5)*16/12/168/24</f>
        <v>3.6972023437496526E-3</v>
      </c>
      <c r="CW25" s="13">
        <v>5</v>
      </c>
      <c r="CX25" s="52">
        <f t="shared" si="86"/>
        <v>0.4861017342390847</v>
      </c>
      <c r="CY25" s="68">
        <f t="shared" si="61"/>
        <v>6.6137566137566221E-4</v>
      </c>
      <c r="CZ25" s="12">
        <f t="shared" si="39"/>
        <v>3.3479591156277428E-3</v>
      </c>
      <c r="DA25" s="72">
        <f t="shared" si="40"/>
        <v>4.4835320959659585E-6</v>
      </c>
      <c r="DB25" s="72">
        <f t="shared" si="41"/>
        <v>4.4835320959659585E-6</v>
      </c>
      <c r="DC25" s="15" t="s">
        <v>34</v>
      </c>
      <c r="DD25" s="29">
        <f t="shared" si="134"/>
        <v>2.7281746031746035E-3</v>
      </c>
      <c r="DE25" s="68">
        <f t="shared" si="135"/>
        <v>8.7148340959813237E-4</v>
      </c>
      <c r="DF25" s="13">
        <v>5</v>
      </c>
      <c r="DG25" s="52">
        <f t="shared" si="111"/>
        <v>0.31943828249996992</v>
      </c>
      <c r="DH25" s="29">
        <f>12*44/28/168/24</f>
        <v>4.6768707482993197E-3</v>
      </c>
      <c r="DI25" s="68">
        <f>2*SQRT(5)*44/28/168/24</f>
        <v>1.7429668191962647E-3</v>
      </c>
      <c r="DJ25" s="13">
        <v>5</v>
      </c>
      <c r="DK25" s="52">
        <f t="shared" si="112"/>
        <v>0.37267799624996495</v>
      </c>
      <c r="DL25" s="68">
        <f t="shared" si="113"/>
        <v>1.9486961451247163E-3</v>
      </c>
      <c r="DM25" s="12">
        <f t="shared" si="114"/>
        <v>1.3779362586897716E-3</v>
      </c>
      <c r="DN25" s="87">
        <f t="shared" si="115"/>
        <v>7.5948333320478619E-7</v>
      </c>
      <c r="DO25" s="87">
        <f t="shared" si="116"/>
        <v>7.5948333320478619E-7</v>
      </c>
      <c r="DP25" s="12"/>
      <c r="DQ25" s="12" t="s">
        <v>37</v>
      </c>
      <c r="DR25" s="12" t="s">
        <v>37</v>
      </c>
      <c r="DS25" s="13" t="s">
        <v>37</v>
      </c>
      <c r="DT25" s="19"/>
      <c r="DU25" s="12" t="s">
        <v>37</v>
      </c>
      <c r="DV25" s="12" t="s">
        <v>37</v>
      </c>
      <c r="DW25" s="13" t="s">
        <v>37</v>
      </c>
      <c r="DX25" s="19"/>
      <c r="DY25" s="19"/>
      <c r="DZ25" s="19"/>
      <c r="EA25" s="72"/>
      <c r="EB25" s="72"/>
      <c r="EC25" s="12" t="s">
        <v>132</v>
      </c>
      <c r="ED25" s="32" t="s">
        <v>330</v>
      </c>
      <c r="EE25" s="12">
        <v>59</v>
      </c>
      <c r="EF25" s="12">
        <f t="shared" si="136"/>
        <v>109.5673308974897</v>
      </c>
      <c r="EG25" s="11">
        <v>5</v>
      </c>
      <c r="EH25" s="19">
        <f t="shared" si="137"/>
        <v>1.8570734050421982</v>
      </c>
      <c r="EI25" s="12">
        <f>1*542/3+196*2/3</f>
        <v>311.33333333333331</v>
      </c>
      <c r="EJ25" s="20">
        <f>SQRT((1/3*42*SQRT(5))^2+(2/3*49*SQRT(5))^2)/2</f>
        <v>39.735234853828267</v>
      </c>
      <c r="EK25" s="11">
        <v>5</v>
      </c>
      <c r="EL25" s="19">
        <f t="shared" si="138"/>
        <v>0.12762923400587239</v>
      </c>
      <c r="EM25" s="19">
        <f t="shared" si="139"/>
        <v>252.33333333333331</v>
      </c>
      <c r="EN25" s="12">
        <f t="shared" si="140"/>
        <v>82.41325405809701</v>
      </c>
      <c r="EO25" s="72">
        <f t="shared" si="141"/>
        <v>2716.7777777777778</v>
      </c>
      <c r="EP25" s="72">
        <f t="shared" si="142"/>
        <v>2716.7777777777778</v>
      </c>
      <c r="EQ25" s="32"/>
      <c r="ER25" s="12" t="s">
        <v>37</v>
      </c>
      <c r="ES25" s="12" t="s">
        <v>37</v>
      </c>
      <c r="ET25" s="11" t="s">
        <v>37</v>
      </c>
      <c r="EU25" s="19"/>
      <c r="EV25" s="13" t="s">
        <v>37</v>
      </c>
      <c r="EW25" s="11" t="s">
        <v>37</v>
      </c>
      <c r="EX25" s="11" t="s">
        <v>37</v>
      </c>
      <c r="EY25" s="19"/>
      <c r="EZ25" s="19"/>
      <c r="FA25" s="19"/>
      <c r="FB25" s="19"/>
      <c r="FC25" s="32"/>
      <c r="FD25" s="12" t="s">
        <v>37</v>
      </c>
      <c r="FE25" s="12" t="s">
        <v>37</v>
      </c>
      <c r="FF25" s="11" t="s">
        <v>37</v>
      </c>
      <c r="FG25" s="13" t="s">
        <v>37</v>
      </c>
      <c r="FH25" s="11" t="s">
        <v>37</v>
      </c>
      <c r="FI25" s="11" t="s">
        <v>37</v>
      </c>
      <c r="FJ25" s="19"/>
      <c r="FK25" s="19"/>
      <c r="FL25" s="19"/>
      <c r="FM25" s="32"/>
      <c r="FN25" s="12" t="s">
        <v>37</v>
      </c>
      <c r="FO25" s="12" t="s">
        <v>37</v>
      </c>
      <c r="FP25" s="11" t="s">
        <v>37</v>
      </c>
      <c r="FQ25" s="13" t="s">
        <v>37</v>
      </c>
      <c r="FR25" s="11" t="s">
        <v>37</v>
      </c>
      <c r="FS25" s="11" t="s">
        <v>37</v>
      </c>
      <c r="FT25" s="19"/>
      <c r="FU25" s="19"/>
      <c r="FV25" s="19"/>
      <c r="FW25" s="12"/>
      <c r="FX25" s="12"/>
      <c r="FY25" s="12" t="s">
        <v>37</v>
      </c>
      <c r="FZ25" s="12" t="s">
        <v>37</v>
      </c>
      <c r="GA25" s="13" t="s">
        <v>37</v>
      </c>
      <c r="GB25" s="12" t="s">
        <v>37</v>
      </c>
      <c r="GC25" s="12" t="s">
        <v>37</v>
      </c>
      <c r="GD25" s="13" t="s">
        <v>37</v>
      </c>
      <c r="GE25" s="19"/>
      <c r="GF25" s="19"/>
      <c r="GG25" s="12"/>
      <c r="GH25" s="12"/>
      <c r="GI25" s="12" t="s">
        <v>37</v>
      </c>
      <c r="GJ25" s="12" t="s">
        <v>37</v>
      </c>
      <c r="GK25" s="12" t="s">
        <v>37</v>
      </c>
      <c r="GL25" s="19"/>
      <c r="GM25" s="12" t="s">
        <v>37</v>
      </c>
      <c r="GN25" s="12" t="s">
        <v>37</v>
      </c>
      <c r="GO25" s="12" t="s">
        <v>37</v>
      </c>
      <c r="GP25" s="19"/>
      <c r="GQ25" s="19"/>
      <c r="GR25" s="19"/>
      <c r="GS25" s="17" t="s">
        <v>63</v>
      </c>
      <c r="GT25" s="34" t="s">
        <v>345</v>
      </c>
      <c r="GU25" s="12">
        <v>0.46</v>
      </c>
      <c r="GV25" s="12">
        <f t="shared" si="143"/>
        <v>3.4641016151377546E-2</v>
      </c>
      <c r="GW25" s="13">
        <v>3</v>
      </c>
      <c r="GX25" s="19">
        <f t="shared" si="117"/>
        <v>7.5306556850820744E-2</v>
      </c>
      <c r="GY25" s="12" t="s">
        <v>37</v>
      </c>
      <c r="GZ25" s="12" t="s">
        <v>37</v>
      </c>
      <c r="HA25" s="12" t="s">
        <v>37</v>
      </c>
      <c r="HB25" s="19"/>
      <c r="HC25" s="19"/>
      <c r="HD25" s="19"/>
      <c r="HE25" s="34" t="s">
        <v>535</v>
      </c>
      <c r="HF25" s="12">
        <v>0.42</v>
      </c>
      <c r="HG25" s="12">
        <f t="shared" si="144"/>
        <v>3.4641016151377546E-2</v>
      </c>
      <c r="HH25" s="13">
        <v>3</v>
      </c>
      <c r="HI25" s="12" t="s">
        <v>37</v>
      </c>
      <c r="HJ25" s="12" t="s">
        <v>37</v>
      </c>
      <c r="HK25" s="12" t="s">
        <v>37</v>
      </c>
      <c r="HL25" s="12"/>
      <c r="HM25" s="12"/>
      <c r="HN25" s="34" t="s">
        <v>536</v>
      </c>
      <c r="HO25" s="12">
        <v>0.27</v>
      </c>
      <c r="HP25" s="12">
        <f t="shared" si="145"/>
        <v>3.4641016151377546E-2</v>
      </c>
      <c r="HQ25" s="13">
        <v>3</v>
      </c>
      <c r="HR25" s="12" t="s">
        <v>37</v>
      </c>
      <c r="HS25" s="12" t="s">
        <v>37</v>
      </c>
      <c r="HT25" s="13" t="s">
        <v>37</v>
      </c>
      <c r="HU25" s="13"/>
      <c r="HV25" s="13"/>
      <c r="HW25" s="12"/>
      <c r="HX25" s="12"/>
      <c r="HY25" s="12" t="s">
        <v>37</v>
      </c>
      <c r="HZ25" s="12" t="s">
        <v>37</v>
      </c>
      <c r="IA25" s="12" t="s">
        <v>37</v>
      </c>
      <c r="IB25" s="12" t="s">
        <v>37</v>
      </c>
      <c r="IC25" s="12" t="s">
        <v>37</v>
      </c>
      <c r="ID25" s="12" t="s">
        <v>37</v>
      </c>
      <c r="IE25" s="12"/>
      <c r="IF25" s="32" t="s">
        <v>345</v>
      </c>
      <c r="IG25" s="12">
        <v>7.42</v>
      </c>
      <c r="IH25" s="12">
        <f t="shared" si="146"/>
        <v>8.6602540378443865E-2</v>
      </c>
      <c r="II25" s="13">
        <v>3</v>
      </c>
      <c r="IJ25" s="19">
        <f t="shared" si="118"/>
        <v>1.1671501398712111E-2</v>
      </c>
      <c r="IK25" s="12" t="s">
        <v>37</v>
      </c>
      <c r="IL25" s="12" t="s">
        <v>37</v>
      </c>
      <c r="IM25" s="13" t="s">
        <v>37</v>
      </c>
      <c r="IN25" s="19"/>
      <c r="IO25" s="19"/>
      <c r="IP25" s="19"/>
      <c r="IQ25" s="32" t="s">
        <v>535</v>
      </c>
      <c r="IR25" s="12">
        <v>7.17</v>
      </c>
      <c r="IS25" s="12">
        <f t="shared" si="147"/>
        <v>5.1961524227066312E-2</v>
      </c>
      <c r="IT25" s="13">
        <v>3</v>
      </c>
      <c r="IU25" s="12" t="s">
        <v>37</v>
      </c>
      <c r="IV25" s="12" t="s">
        <v>37</v>
      </c>
      <c r="IW25" s="12" t="s">
        <v>37</v>
      </c>
      <c r="IX25" s="32" t="s">
        <v>536</v>
      </c>
      <c r="IY25" s="12">
        <v>7.05</v>
      </c>
      <c r="IZ25" s="12">
        <f t="shared" si="148"/>
        <v>5.1961524227066312E-2</v>
      </c>
      <c r="JA25" s="13">
        <v>3</v>
      </c>
      <c r="JB25" s="12" t="s">
        <v>37</v>
      </c>
      <c r="JC25" s="12" t="s">
        <v>37</v>
      </c>
      <c r="JD25" s="12" t="s">
        <v>37</v>
      </c>
      <c r="JE25" s="12"/>
      <c r="JF25" s="12"/>
      <c r="JG25" s="11" t="s">
        <v>37</v>
      </c>
      <c r="JH25" s="11" t="s">
        <v>37</v>
      </c>
      <c r="JI25" s="13" t="s">
        <v>37</v>
      </c>
      <c r="JJ25" s="11" t="s">
        <v>37</v>
      </c>
      <c r="JK25" s="11" t="s">
        <v>37</v>
      </c>
      <c r="JL25" s="11" t="s">
        <v>37</v>
      </c>
      <c r="JM25" s="12" t="s">
        <v>42</v>
      </c>
      <c r="JN25" s="32" t="s">
        <v>345</v>
      </c>
      <c r="JO25" s="12">
        <v>29</v>
      </c>
      <c r="JP25" s="12">
        <f t="shared" si="149"/>
        <v>1.7320508075688772</v>
      </c>
      <c r="JQ25" s="11">
        <v>3</v>
      </c>
      <c r="JR25" s="19"/>
      <c r="JS25" s="12" t="s">
        <v>37</v>
      </c>
      <c r="JT25" s="12" t="s">
        <v>37</v>
      </c>
      <c r="JU25" s="13" t="s">
        <v>37</v>
      </c>
      <c r="JV25" s="19"/>
      <c r="JW25" s="19"/>
      <c r="JX25" s="19"/>
      <c r="JY25" s="32" t="s">
        <v>535</v>
      </c>
      <c r="JZ25" s="12">
        <v>28</v>
      </c>
      <c r="KA25" s="12">
        <f t="shared" si="150"/>
        <v>0.34641016151377546</v>
      </c>
      <c r="KB25" s="13">
        <v>3</v>
      </c>
      <c r="KC25" s="12" t="s">
        <v>37</v>
      </c>
      <c r="KD25" s="12" t="s">
        <v>37</v>
      </c>
      <c r="KE25" s="13" t="s">
        <v>37</v>
      </c>
      <c r="KF25" s="13"/>
      <c r="KG25" s="13"/>
      <c r="KH25" s="32" t="s">
        <v>536</v>
      </c>
      <c r="KI25" s="12">
        <v>23</v>
      </c>
      <c r="KJ25" s="12">
        <f t="shared" si="151"/>
        <v>3.4641016151377544</v>
      </c>
      <c r="KK25" s="13">
        <v>3</v>
      </c>
      <c r="KL25" s="12" t="s">
        <v>37</v>
      </c>
      <c r="KM25" s="12" t="s">
        <v>37</v>
      </c>
      <c r="KN25" s="12" t="s">
        <v>37</v>
      </c>
      <c r="KO25" s="12"/>
      <c r="KP25" s="12"/>
      <c r="KQ25" s="12"/>
      <c r="KR25" s="12" t="str">
        <f t="shared" si="87"/>
        <v>0-10</v>
      </c>
      <c r="KS25" s="12">
        <f t="shared" si="88"/>
        <v>14.862068965517242</v>
      </c>
      <c r="KT25" s="12">
        <f t="shared" si="119"/>
        <v>0.89565159177519005</v>
      </c>
      <c r="KU25" s="13">
        <f t="shared" si="89"/>
        <v>3</v>
      </c>
      <c r="KV25" s="19">
        <f t="shared" ref="KV25:KV28" si="157">KT25/KS25</f>
        <v>6.0264260235453622E-2</v>
      </c>
      <c r="KW25" s="13" t="str">
        <f t="shared" si="91"/>
        <v>/</v>
      </c>
      <c r="KX25" s="13" t="str">
        <f t="shared" si="92"/>
        <v>/</v>
      </c>
      <c r="KY25" s="13" t="str">
        <f t="shared" si="93"/>
        <v>/</v>
      </c>
      <c r="KZ25" s="19"/>
      <c r="LA25" s="19"/>
      <c r="LB25" s="19"/>
      <c r="LC25" s="12" t="str">
        <f t="shared" si="120"/>
        <v>10-30</v>
      </c>
      <c r="LD25" s="12">
        <f>AT25/JZ25</f>
        <v>15.214285714285714</v>
      </c>
      <c r="LE25" s="12">
        <f>SQRT((1/JZ25)^2*AU25^2+AT25^2*(-1/JZ25^2)^2*KA25^2)</f>
        <v>0.47215439090017364</v>
      </c>
      <c r="LF25" s="13">
        <f t="shared" si="121"/>
        <v>3</v>
      </c>
      <c r="LG25" s="19" t="str">
        <f t="shared" ref="LG25:LG29" si="158">KC25</f>
        <v>/</v>
      </c>
      <c r="LH25" s="19" t="str">
        <f t="shared" ref="LH25:LH29" si="159">KD25</f>
        <v>/</v>
      </c>
      <c r="LI25" s="13" t="str">
        <f>KE25</f>
        <v>/</v>
      </c>
      <c r="LJ25" s="13"/>
      <c r="LK25" s="13"/>
      <c r="LL25" s="12" t="str">
        <f t="shared" si="122"/>
        <v>30-40</v>
      </c>
      <c r="LM25" s="12">
        <f t="shared" si="123"/>
        <v>13.739130434782609</v>
      </c>
      <c r="LN25" s="12">
        <f t="shared" si="124"/>
        <v>2.6044038831332332</v>
      </c>
      <c r="LO25" s="13">
        <f t="shared" si="125"/>
        <v>3</v>
      </c>
      <c r="LP25" s="12" t="e">
        <f t="shared" si="126"/>
        <v>#VALUE!</v>
      </c>
      <c r="LQ25" s="12" t="e">
        <f t="shared" si="127"/>
        <v>#VALUE!</v>
      </c>
      <c r="LR25" s="13" t="str">
        <f t="shared" si="128"/>
        <v>/</v>
      </c>
      <c r="LS25" s="12" t="s">
        <v>152</v>
      </c>
      <c r="LT25" s="12" t="s">
        <v>340</v>
      </c>
      <c r="LU25" s="12">
        <v>1.1499999999999999</v>
      </c>
      <c r="LV25" s="12">
        <v>0.04</v>
      </c>
      <c r="LW25" s="13">
        <v>5</v>
      </c>
      <c r="LX25" s="12">
        <v>0.17</v>
      </c>
      <c r="LY25" s="12">
        <v>0.1</v>
      </c>
      <c r="LZ25" s="13">
        <v>5</v>
      </c>
      <c r="MA25" s="19">
        <f t="shared" si="152"/>
        <v>-1.9117187843070338</v>
      </c>
      <c r="MB25" s="19">
        <f t="shared" si="153"/>
        <v>6.9446118222669925E-2</v>
      </c>
      <c r="MC25" s="12" t="s">
        <v>152</v>
      </c>
      <c r="MD25" s="12" t="s">
        <v>340</v>
      </c>
      <c r="ME25" s="12">
        <v>0.36</v>
      </c>
      <c r="MF25" s="12">
        <v>0.05</v>
      </c>
      <c r="MG25" s="13">
        <v>5</v>
      </c>
      <c r="MH25" s="12">
        <v>2.25</v>
      </c>
      <c r="MI25" s="12">
        <v>0.55000000000000004</v>
      </c>
      <c r="MJ25" s="13">
        <v>5</v>
      </c>
      <c r="MK25" s="19">
        <f t="shared" si="154"/>
        <v>1.8325814637483102</v>
      </c>
      <c r="ML25" s="19">
        <f t="shared" si="155"/>
        <v>1.5808641975308645E-2</v>
      </c>
      <c r="MM25" s="12"/>
      <c r="MN25" s="12"/>
      <c r="MO25" s="12" t="s">
        <v>37</v>
      </c>
      <c r="MP25" s="12" t="s">
        <v>37</v>
      </c>
      <c r="MQ25" s="13" t="s">
        <v>37</v>
      </c>
      <c r="MR25" s="12" t="s">
        <v>37</v>
      </c>
      <c r="MS25" s="12" t="s">
        <v>37</v>
      </c>
      <c r="MT25" s="13" t="s">
        <v>37</v>
      </c>
      <c r="MU25" s="13"/>
      <c r="MV25" s="13"/>
      <c r="MW25" s="12"/>
      <c r="MX25" s="12"/>
      <c r="MY25" s="12" t="s">
        <v>37</v>
      </c>
      <c r="MZ25" s="12" t="s">
        <v>37</v>
      </c>
      <c r="NA25" s="12" t="s">
        <v>37</v>
      </c>
      <c r="NB25" s="12" t="s">
        <v>37</v>
      </c>
      <c r="NC25" s="12" t="s">
        <v>37</v>
      </c>
      <c r="ND25" s="12" t="s">
        <v>37</v>
      </c>
      <c r="NE25" s="12"/>
      <c r="NF25" s="12"/>
      <c r="NG25" s="12"/>
      <c r="NH25" s="12"/>
      <c r="NI25" s="12" t="s">
        <v>37</v>
      </c>
      <c r="NJ25" s="12" t="s">
        <v>37</v>
      </c>
      <c r="NK25" s="13" t="s">
        <v>37</v>
      </c>
      <c r="NL25" s="12" t="s">
        <v>37</v>
      </c>
      <c r="NM25" s="12" t="s">
        <v>37</v>
      </c>
      <c r="NN25" s="13" t="s">
        <v>37</v>
      </c>
      <c r="NO25" s="13"/>
      <c r="NP25" s="13"/>
      <c r="NQ25" s="12"/>
      <c r="NR25" s="12"/>
      <c r="NS25" s="11" t="s">
        <v>37</v>
      </c>
      <c r="NT25" s="11" t="s">
        <v>37</v>
      </c>
      <c r="NU25" s="13" t="s">
        <v>37</v>
      </c>
      <c r="NV25" s="11" t="s">
        <v>37</v>
      </c>
      <c r="NW25" s="11" t="s">
        <v>37</v>
      </c>
      <c r="NX25" s="13" t="s">
        <v>37</v>
      </c>
      <c r="NY25" s="13"/>
      <c r="NZ25" s="13"/>
      <c r="OA25" s="12"/>
      <c r="OB25" s="12"/>
      <c r="OC25" s="12" t="s">
        <v>37</v>
      </c>
      <c r="OD25" s="12" t="s">
        <v>37</v>
      </c>
      <c r="OE25" s="12" t="s">
        <v>37</v>
      </c>
      <c r="OF25" s="12" t="s">
        <v>37</v>
      </c>
      <c r="OG25" s="12" t="s">
        <v>37</v>
      </c>
      <c r="OH25" s="12" t="s">
        <v>37</v>
      </c>
      <c r="OI25" s="12"/>
      <c r="OJ25" s="12"/>
      <c r="OK25" s="12"/>
      <c r="OL25" s="12" t="s">
        <v>37</v>
      </c>
      <c r="OM25" s="12" t="s">
        <v>37</v>
      </c>
      <c r="ON25" s="11" t="s">
        <v>37</v>
      </c>
      <c r="OO25" s="12" t="s">
        <v>37</v>
      </c>
      <c r="OP25" s="12" t="s">
        <v>37</v>
      </c>
      <c r="OQ25" s="12" t="s">
        <v>37</v>
      </c>
      <c r="OR25" s="12"/>
      <c r="OS25" s="12" t="s">
        <v>37</v>
      </c>
      <c r="OT25" s="12" t="s">
        <v>37</v>
      </c>
      <c r="OU25" s="12" t="s">
        <v>37</v>
      </c>
      <c r="OV25" s="12" t="s">
        <v>37</v>
      </c>
      <c r="OW25" s="12" t="s">
        <v>37</v>
      </c>
      <c r="OX25" s="12" t="s">
        <v>37</v>
      </c>
      <c r="OY25" s="12"/>
      <c r="OZ25" s="12"/>
      <c r="PA25" s="12" t="s">
        <v>37</v>
      </c>
      <c r="PB25" s="12" t="s">
        <v>37</v>
      </c>
      <c r="PC25" s="12" t="s">
        <v>37</v>
      </c>
      <c r="PD25" s="12" t="s">
        <v>37</v>
      </c>
      <c r="PE25" s="12" t="s">
        <v>37</v>
      </c>
      <c r="PF25" s="12" t="s">
        <v>37</v>
      </c>
      <c r="PG25" s="12"/>
      <c r="PH25" s="12"/>
      <c r="PI25" s="12" t="s">
        <v>37</v>
      </c>
      <c r="PJ25" s="12" t="s">
        <v>37</v>
      </c>
      <c r="PK25" s="12" t="s">
        <v>37</v>
      </c>
      <c r="PL25" s="12" t="s">
        <v>37</v>
      </c>
      <c r="PM25" s="12" t="s">
        <v>37</v>
      </c>
      <c r="PN25" s="12" t="s">
        <v>37</v>
      </c>
      <c r="PO25" s="12"/>
      <c r="PP25" s="12"/>
      <c r="PQ25" s="12" t="s">
        <v>37</v>
      </c>
      <c r="PR25" s="12" t="s">
        <v>37</v>
      </c>
      <c r="PS25" s="12" t="s">
        <v>37</v>
      </c>
      <c r="PT25" s="12" t="s">
        <v>37</v>
      </c>
      <c r="PU25" s="12" t="s">
        <v>37</v>
      </c>
      <c r="PV25" s="12" t="s">
        <v>37</v>
      </c>
      <c r="PW25" s="12"/>
      <c r="PX25" s="12"/>
      <c r="PY25" s="12" t="s">
        <v>37</v>
      </c>
      <c r="PZ25" s="12" t="s">
        <v>37</v>
      </c>
      <c r="QA25" s="12" t="s">
        <v>37</v>
      </c>
      <c r="QB25" s="12" t="s">
        <v>37</v>
      </c>
      <c r="QC25" s="12" t="s">
        <v>37</v>
      </c>
      <c r="QD25" s="12" t="s">
        <v>37</v>
      </c>
      <c r="QE25" s="12"/>
      <c r="QF25" s="12"/>
      <c r="QG25" s="12" t="s">
        <v>37</v>
      </c>
      <c r="QH25" s="12" t="s">
        <v>37</v>
      </c>
      <c r="QI25" s="12" t="s">
        <v>37</v>
      </c>
      <c r="QJ25" s="12" t="s">
        <v>37</v>
      </c>
      <c r="QK25" s="12" t="s">
        <v>37</v>
      </c>
      <c r="QL25" s="12" t="s">
        <v>37</v>
      </c>
      <c r="QM25" s="12" t="s">
        <v>42</v>
      </c>
      <c r="QN25" s="12" t="s">
        <v>345</v>
      </c>
      <c r="QO25" s="12">
        <v>1.29</v>
      </c>
      <c r="QP25" s="12">
        <f t="shared" si="156"/>
        <v>3.4641016151377546E-2</v>
      </c>
      <c r="QQ25" s="13">
        <v>3</v>
      </c>
      <c r="QR25" s="12" t="s">
        <v>37</v>
      </c>
      <c r="QS25" s="12" t="s">
        <v>37</v>
      </c>
      <c r="QT25" s="12" t="s">
        <v>37</v>
      </c>
      <c r="QU25" s="12"/>
      <c r="QV25" s="12"/>
      <c r="QW25" s="12"/>
      <c r="QX25" s="12"/>
      <c r="QY25" s="12" t="s">
        <v>37</v>
      </c>
      <c r="QZ25" s="12" t="s">
        <v>37</v>
      </c>
      <c r="RA25" s="11" t="s">
        <v>37</v>
      </c>
      <c r="RB25" s="12" t="s">
        <v>37</v>
      </c>
      <c r="RC25" s="12" t="s">
        <v>37</v>
      </c>
      <c r="RD25" s="11" t="s">
        <v>37</v>
      </c>
      <c r="RE25" s="11"/>
      <c r="RF25" s="11"/>
      <c r="RG25" s="12"/>
      <c r="RH25" s="12"/>
      <c r="RI25" s="12" t="s">
        <v>37</v>
      </c>
      <c r="RJ25" s="12" t="s">
        <v>37</v>
      </c>
      <c r="RK25" s="11" t="s">
        <v>37</v>
      </c>
      <c r="RL25" s="12" t="s">
        <v>37</v>
      </c>
      <c r="RM25" s="12" t="s">
        <v>37</v>
      </c>
      <c r="RN25" s="11" t="s">
        <v>37</v>
      </c>
      <c r="RO25" s="11"/>
      <c r="RP25" s="11"/>
      <c r="RQ25" s="12"/>
      <c r="RR25" s="12"/>
      <c r="RS25" s="12" t="s">
        <v>37</v>
      </c>
      <c r="RT25" s="12" t="s">
        <v>37</v>
      </c>
      <c r="RU25" s="11" t="s">
        <v>37</v>
      </c>
      <c r="RV25" s="12" t="s">
        <v>37</v>
      </c>
      <c r="RW25" s="12" t="s">
        <v>37</v>
      </c>
      <c r="RX25" s="11" t="s">
        <v>37</v>
      </c>
      <c r="RY25" s="11"/>
      <c r="RZ25" s="11"/>
      <c r="SA25" s="12"/>
      <c r="SB25" s="12"/>
      <c r="SC25" s="12" t="s">
        <v>37</v>
      </c>
      <c r="SD25" s="12" t="s">
        <v>37</v>
      </c>
      <c r="SE25" s="12" t="s">
        <v>37</v>
      </c>
      <c r="SF25" s="12" t="s">
        <v>37</v>
      </c>
      <c r="SG25" s="12" t="s">
        <v>37</v>
      </c>
      <c r="SH25" s="12" t="s">
        <v>37</v>
      </c>
      <c r="SI25" s="12"/>
      <c r="SJ25" s="12"/>
      <c r="SK25" s="12"/>
      <c r="SL25" s="12"/>
      <c r="SM25" s="12" t="s">
        <v>37</v>
      </c>
      <c r="SN25" s="12" t="s">
        <v>37</v>
      </c>
      <c r="SO25" s="12" t="s">
        <v>37</v>
      </c>
      <c r="SP25" s="12" t="s">
        <v>37</v>
      </c>
      <c r="SQ25" s="12" t="s">
        <v>37</v>
      </c>
      <c r="SR25" s="12" t="s">
        <v>37</v>
      </c>
      <c r="SS25" s="12"/>
      <c r="ST25" s="12"/>
      <c r="SU25" s="12"/>
      <c r="SV25" s="12"/>
      <c r="SW25" s="12" t="s">
        <v>37</v>
      </c>
      <c r="SX25" s="12" t="s">
        <v>37</v>
      </c>
      <c r="SY25" s="12" t="s">
        <v>37</v>
      </c>
      <c r="SZ25" s="12" t="s">
        <v>37</v>
      </c>
      <c r="TA25" s="12" t="s">
        <v>37</v>
      </c>
      <c r="TB25" s="12" t="s">
        <v>37</v>
      </c>
      <c r="TC25" s="12"/>
      <c r="TD25" s="12"/>
      <c r="TE25" s="12"/>
      <c r="TF25" s="12"/>
      <c r="TG25" s="13" t="s">
        <v>37</v>
      </c>
      <c r="TH25" s="13" t="s">
        <v>37</v>
      </c>
      <c r="TI25" s="13" t="s">
        <v>37</v>
      </c>
      <c r="TJ25" s="13" t="s">
        <v>37</v>
      </c>
      <c r="TK25" s="13" t="s">
        <v>37</v>
      </c>
      <c r="TL25" s="13" t="s">
        <v>37</v>
      </c>
      <c r="TM25" s="13"/>
      <c r="TN25" s="13"/>
      <c r="TO25" s="12"/>
      <c r="TP25" s="12"/>
      <c r="TQ25" s="13" t="s">
        <v>37</v>
      </c>
      <c r="TR25" s="13" t="s">
        <v>37</v>
      </c>
      <c r="TS25" s="13" t="s">
        <v>37</v>
      </c>
      <c r="TT25" s="19"/>
      <c r="TU25" s="13" t="s">
        <v>37</v>
      </c>
      <c r="TV25" s="13" t="s">
        <v>37</v>
      </c>
      <c r="TW25" s="13" t="s">
        <v>37</v>
      </c>
    </row>
    <row r="26" spans="1:543" ht="17.399999999999999" x14ac:dyDescent="0.4">
      <c r="A26" s="11">
        <v>10</v>
      </c>
      <c r="B26" s="16" t="s">
        <v>251</v>
      </c>
      <c r="C26" s="12" t="s">
        <v>26</v>
      </c>
      <c r="D26" s="12" t="s">
        <v>119</v>
      </c>
      <c r="E26" s="14" t="s">
        <v>37</v>
      </c>
      <c r="F26" s="14">
        <v>0</v>
      </c>
      <c r="G26" s="14">
        <v>0</v>
      </c>
      <c r="H26" s="12" t="s">
        <v>82</v>
      </c>
      <c r="I26" s="29">
        <v>26.933</v>
      </c>
      <c r="J26" s="29">
        <v>-80.8</v>
      </c>
      <c r="K26" s="12" t="s">
        <v>807</v>
      </c>
      <c r="L26" s="12" t="s">
        <v>808</v>
      </c>
      <c r="M26" s="12" t="s">
        <v>37</v>
      </c>
      <c r="N26" s="14">
        <v>24</v>
      </c>
      <c r="O26" s="14">
        <v>1330</v>
      </c>
      <c r="P26" s="14" t="s">
        <v>89</v>
      </c>
      <c r="Q26" s="11" t="s">
        <v>252</v>
      </c>
      <c r="R26" s="11" t="s">
        <v>37</v>
      </c>
      <c r="S26" s="12" t="s">
        <v>37</v>
      </c>
      <c r="T26" s="12" t="s">
        <v>37</v>
      </c>
      <c r="U26" s="12" t="s">
        <v>158</v>
      </c>
      <c r="V26" s="12" t="s">
        <v>274</v>
      </c>
      <c r="W26" s="23" t="s">
        <v>253</v>
      </c>
      <c r="X26" s="12" t="s">
        <v>283</v>
      </c>
      <c r="Y26" s="12" t="s">
        <v>37</v>
      </c>
      <c r="Z26" s="12" t="s">
        <v>37</v>
      </c>
      <c r="AA26" s="32">
        <v>2013</v>
      </c>
      <c r="AB26" s="13" t="s">
        <v>37</v>
      </c>
      <c r="AC26" s="13" t="s">
        <v>37</v>
      </c>
      <c r="AD26" s="12" t="s">
        <v>81</v>
      </c>
      <c r="AE26" s="12" t="s">
        <v>74</v>
      </c>
      <c r="AF26" s="12" t="s">
        <v>489</v>
      </c>
      <c r="AG26" s="12" t="s">
        <v>42</v>
      </c>
      <c r="AH26" s="32" t="s">
        <v>345</v>
      </c>
      <c r="AI26" s="12">
        <v>431</v>
      </c>
      <c r="AJ26" s="12">
        <f t="shared" si="129"/>
        <v>3.4641016151377544</v>
      </c>
      <c r="AK26" s="11">
        <v>3</v>
      </c>
      <c r="AL26" s="19">
        <f t="shared" si="110"/>
        <v>8.0373587358184562E-3</v>
      </c>
      <c r="AM26" s="12" t="s">
        <v>37</v>
      </c>
      <c r="AN26" s="12" t="s">
        <v>37</v>
      </c>
      <c r="AO26" s="13" t="s">
        <v>37</v>
      </c>
      <c r="AP26" s="19"/>
      <c r="AQ26" s="49"/>
      <c r="AR26" s="49"/>
      <c r="AS26" s="32" t="s">
        <v>535</v>
      </c>
      <c r="AT26" s="12">
        <v>426</v>
      </c>
      <c r="AU26" s="12">
        <f t="shared" si="130"/>
        <v>12.124355652982141</v>
      </c>
      <c r="AV26" s="13">
        <v>3</v>
      </c>
      <c r="AW26" s="12" t="s">
        <v>37</v>
      </c>
      <c r="AX26" s="12" t="s">
        <v>37</v>
      </c>
      <c r="AY26" s="13" t="s">
        <v>37</v>
      </c>
      <c r="AZ26" s="13"/>
      <c r="BA26" s="13"/>
      <c r="BB26" s="32" t="s">
        <v>536</v>
      </c>
      <c r="BC26" s="12">
        <v>316</v>
      </c>
      <c r="BD26" s="12">
        <f t="shared" si="131"/>
        <v>36.373066958946424</v>
      </c>
      <c r="BE26" s="13">
        <v>3</v>
      </c>
      <c r="BF26" s="12" t="s">
        <v>37</v>
      </c>
      <c r="BG26" s="12" t="s">
        <v>37</v>
      </c>
      <c r="BH26" s="13" t="s">
        <v>37</v>
      </c>
      <c r="BI26" s="12"/>
      <c r="BJ26" s="12" t="s">
        <v>37</v>
      </c>
      <c r="BK26" s="12" t="s">
        <v>37</v>
      </c>
      <c r="BL26" s="13" t="s">
        <v>37</v>
      </c>
      <c r="BM26" s="12" t="s">
        <v>37</v>
      </c>
      <c r="BN26" s="12" t="s">
        <v>37</v>
      </c>
      <c r="BO26" s="13" t="s">
        <v>37</v>
      </c>
      <c r="BP26" s="19"/>
      <c r="BQ26" s="19"/>
      <c r="BR26" s="19"/>
      <c r="BS26" s="19"/>
      <c r="BT26" s="12"/>
      <c r="BU26" s="12" t="s">
        <v>37</v>
      </c>
      <c r="BV26" s="12" t="s">
        <v>37</v>
      </c>
      <c r="BW26" s="13" t="s">
        <v>37</v>
      </c>
      <c r="BX26" s="12" t="s">
        <v>37</v>
      </c>
      <c r="BY26" s="12" t="s">
        <v>37</v>
      </c>
      <c r="BZ26" s="13" t="s">
        <v>37</v>
      </c>
      <c r="CA26" s="19"/>
      <c r="CB26" s="19"/>
      <c r="CC26" s="19"/>
      <c r="CD26" s="19"/>
      <c r="CE26" s="12"/>
      <c r="CF26" s="12" t="s">
        <v>37</v>
      </c>
      <c r="CG26" s="12" t="s">
        <v>37</v>
      </c>
      <c r="CH26" s="13" t="s">
        <v>37</v>
      </c>
      <c r="CI26" s="12" t="s">
        <v>37</v>
      </c>
      <c r="CJ26" s="12" t="s">
        <v>37</v>
      </c>
      <c r="CK26" s="13" t="s">
        <v>37</v>
      </c>
      <c r="CL26" s="19"/>
      <c r="CM26" s="19"/>
      <c r="CN26" s="19"/>
      <c r="CO26" s="19"/>
      <c r="CP26" s="11" t="s">
        <v>34</v>
      </c>
      <c r="CQ26" s="12">
        <f t="shared" si="132"/>
        <v>6.9444444444444441E-3</v>
      </c>
      <c r="CR26" s="19">
        <f t="shared" si="133"/>
        <v>2.9577618749997217E-3</v>
      </c>
      <c r="CS26" s="13">
        <v>5</v>
      </c>
      <c r="CT26" s="52">
        <f t="shared" si="85"/>
        <v>0.42591770999995993</v>
      </c>
      <c r="CU26" s="12">
        <f>178*16/12/168/24</f>
        <v>5.8862433862433866E-2</v>
      </c>
      <c r="CV26" s="19">
        <f>6*SQRT(5)*16/12/168/24</f>
        <v>4.4366428124995834E-3</v>
      </c>
      <c r="CW26" s="13">
        <v>5</v>
      </c>
      <c r="CX26" s="52">
        <f t="shared" si="86"/>
        <v>7.5373077893251345E-2</v>
      </c>
      <c r="CY26" s="68">
        <f t="shared" si="61"/>
        <v>5.1917989417989419E-2</v>
      </c>
      <c r="CZ26" s="12">
        <f t="shared" si="39"/>
        <v>3.7704213792960914E-3</v>
      </c>
      <c r="DA26" s="72">
        <f t="shared" si="40"/>
        <v>5.6864309509812167E-6</v>
      </c>
      <c r="DB26" s="72">
        <f t="shared" si="41"/>
        <v>5.6864309509812167E-6</v>
      </c>
      <c r="DC26" s="15" t="s">
        <v>34</v>
      </c>
      <c r="DD26" s="29">
        <f t="shared" si="134"/>
        <v>2.7281746031746035E-3</v>
      </c>
      <c r="DE26" s="68">
        <f t="shared" si="135"/>
        <v>8.7148340959813237E-4</v>
      </c>
      <c r="DF26" s="13">
        <v>5</v>
      </c>
      <c r="DG26" s="52">
        <f t="shared" si="111"/>
        <v>0.31943828249996992</v>
      </c>
      <c r="DH26" s="29">
        <f>12*44/28/168/24</f>
        <v>4.6768707482993197E-3</v>
      </c>
      <c r="DI26" s="68">
        <f>4*SQRT(5)*44/28/168/24</f>
        <v>3.4859336383925295E-3</v>
      </c>
      <c r="DJ26" s="13">
        <v>5</v>
      </c>
      <c r="DK26" s="52">
        <f t="shared" si="112"/>
        <v>0.7453559924999299</v>
      </c>
      <c r="DL26" s="68">
        <f t="shared" si="113"/>
        <v>1.9486961451247163E-3</v>
      </c>
      <c r="DM26" s="12">
        <f t="shared" si="114"/>
        <v>2.5407889192612366E-3</v>
      </c>
      <c r="DN26" s="87">
        <f t="shared" si="115"/>
        <v>2.5822433328962732E-6</v>
      </c>
      <c r="DO26" s="87">
        <f t="shared" si="116"/>
        <v>2.5822433328962732E-6</v>
      </c>
      <c r="DP26" s="12"/>
      <c r="DQ26" s="12" t="s">
        <v>37</v>
      </c>
      <c r="DR26" s="12" t="s">
        <v>37</v>
      </c>
      <c r="DS26" s="13" t="s">
        <v>37</v>
      </c>
      <c r="DT26" s="19"/>
      <c r="DU26" s="12" t="s">
        <v>37</v>
      </c>
      <c r="DV26" s="12" t="s">
        <v>37</v>
      </c>
      <c r="DW26" s="13" t="s">
        <v>37</v>
      </c>
      <c r="DX26" s="19"/>
      <c r="DY26" s="19"/>
      <c r="DZ26" s="19"/>
      <c r="EA26" s="72"/>
      <c r="EB26" s="72"/>
      <c r="EC26" s="12" t="s">
        <v>132</v>
      </c>
      <c r="ED26" s="32" t="s">
        <v>330</v>
      </c>
      <c r="EE26" s="12">
        <v>59</v>
      </c>
      <c r="EF26" s="12">
        <f t="shared" si="136"/>
        <v>109.5673308974897</v>
      </c>
      <c r="EG26" s="11">
        <v>5</v>
      </c>
      <c r="EH26" s="19">
        <f t="shared" si="137"/>
        <v>1.8570734050421982</v>
      </c>
      <c r="EI26" s="12">
        <f>2*589/3+330*1/3</f>
        <v>502.66666666666669</v>
      </c>
      <c r="EJ26" s="20">
        <f>SQRT((2/3*19*SQRT(5))^2+(1/3*20*SQRT(5))^2)/2</f>
        <v>16.003471845543739</v>
      </c>
      <c r="EK26" s="11">
        <v>5</v>
      </c>
      <c r="EL26" s="19">
        <f t="shared" si="138"/>
        <v>3.1837145581320433E-2</v>
      </c>
      <c r="EM26" s="19">
        <f t="shared" si="139"/>
        <v>443.66666666666669</v>
      </c>
      <c r="EN26" s="12">
        <f t="shared" si="140"/>
        <v>78.297864310308967</v>
      </c>
      <c r="EO26" s="72">
        <f t="shared" si="141"/>
        <v>2452.2222222222222</v>
      </c>
      <c r="EP26" s="72">
        <f t="shared" si="142"/>
        <v>2452.2222222222222</v>
      </c>
      <c r="EQ26" s="32"/>
      <c r="ER26" s="12" t="s">
        <v>37</v>
      </c>
      <c r="ES26" s="12" t="s">
        <v>37</v>
      </c>
      <c r="ET26" s="11" t="s">
        <v>37</v>
      </c>
      <c r="EU26" s="19"/>
      <c r="EV26" s="13" t="s">
        <v>37</v>
      </c>
      <c r="EW26" s="11" t="s">
        <v>37</v>
      </c>
      <c r="EX26" s="11" t="s">
        <v>37</v>
      </c>
      <c r="EY26" s="19"/>
      <c r="EZ26" s="19"/>
      <c r="FA26" s="19"/>
      <c r="FB26" s="19"/>
      <c r="FC26" s="32"/>
      <c r="FD26" s="12" t="s">
        <v>37</v>
      </c>
      <c r="FE26" s="12" t="s">
        <v>37</v>
      </c>
      <c r="FF26" s="11" t="s">
        <v>37</v>
      </c>
      <c r="FG26" s="13" t="s">
        <v>37</v>
      </c>
      <c r="FH26" s="11" t="s">
        <v>37</v>
      </c>
      <c r="FI26" s="11" t="s">
        <v>37</v>
      </c>
      <c r="FJ26" s="19"/>
      <c r="FK26" s="19"/>
      <c r="FL26" s="19"/>
      <c r="FM26" s="32"/>
      <c r="FN26" s="12" t="s">
        <v>37</v>
      </c>
      <c r="FO26" s="12" t="s">
        <v>37</v>
      </c>
      <c r="FP26" s="11" t="s">
        <v>37</v>
      </c>
      <c r="FQ26" s="13" t="s">
        <v>37</v>
      </c>
      <c r="FR26" s="11" t="s">
        <v>37</v>
      </c>
      <c r="FS26" s="11" t="s">
        <v>37</v>
      </c>
      <c r="FT26" s="19"/>
      <c r="FU26" s="19"/>
      <c r="FV26" s="19"/>
      <c r="FW26" s="12"/>
      <c r="FX26" s="12"/>
      <c r="FY26" s="12" t="s">
        <v>37</v>
      </c>
      <c r="FZ26" s="12" t="s">
        <v>37</v>
      </c>
      <c r="GA26" s="13" t="s">
        <v>37</v>
      </c>
      <c r="GB26" s="12" t="s">
        <v>37</v>
      </c>
      <c r="GC26" s="12" t="s">
        <v>37</v>
      </c>
      <c r="GD26" s="13" t="s">
        <v>37</v>
      </c>
      <c r="GE26" s="19"/>
      <c r="GF26" s="19"/>
      <c r="GG26" s="12"/>
      <c r="GH26" s="12"/>
      <c r="GI26" s="12" t="s">
        <v>37</v>
      </c>
      <c r="GJ26" s="12" t="s">
        <v>37</v>
      </c>
      <c r="GK26" s="12" t="s">
        <v>37</v>
      </c>
      <c r="GL26" s="19"/>
      <c r="GM26" s="12" t="s">
        <v>37</v>
      </c>
      <c r="GN26" s="12" t="s">
        <v>37</v>
      </c>
      <c r="GO26" s="12" t="s">
        <v>37</v>
      </c>
      <c r="GP26" s="19"/>
      <c r="GQ26" s="19"/>
      <c r="GR26" s="19"/>
      <c r="GS26" s="17" t="s">
        <v>63</v>
      </c>
      <c r="GT26" s="34" t="s">
        <v>345</v>
      </c>
      <c r="GU26" s="12">
        <v>0.46</v>
      </c>
      <c r="GV26" s="12">
        <f t="shared" si="143"/>
        <v>3.4641016151377546E-2</v>
      </c>
      <c r="GW26" s="13">
        <v>3</v>
      </c>
      <c r="GX26" s="19">
        <f t="shared" si="117"/>
        <v>7.5306556850820744E-2</v>
      </c>
      <c r="GY26" s="12" t="s">
        <v>37</v>
      </c>
      <c r="GZ26" s="12" t="s">
        <v>37</v>
      </c>
      <c r="HA26" s="12" t="s">
        <v>37</v>
      </c>
      <c r="HB26" s="19"/>
      <c r="HC26" s="19"/>
      <c r="HD26" s="19"/>
      <c r="HE26" s="34" t="s">
        <v>535</v>
      </c>
      <c r="HF26" s="12">
        <v>0.42</v>
      </c>
      <c r="HG26" s="12">
        <f t="shared" si="144"/>
        <v>3.4641016151377546E-2</v>
      </c>
      <c r="HH26" s="13">
        <v>3</v>
      </c>
      <c r="HI26" s="12" t="s">
        <v>37</v>
      </c>
      <c r="HJ26" s="12" t="s">
        <v>37</v>
      </c>
      <c r="HK26" s="12" t="s">
        <v>37</v>
      </c>
      <c r="HL26" s="12"/>
      <c r="HM26" s="12"/>
      <c r="HN26" s="34" t="s">
        <v>536</v>
      </c>
      <c r="HO26" s="12">
        <v>0.27</v>
      </c>
      <c r="HP26" s="12">
        <f t="shared" si="145"/>
        <v>3.4641016151377546E-2</v>
      </c>
      <c r="HQ26" s="13">
        <v>3</v>
      </c>
      <c r="HR26" s="12" t="s">
        <v>37</v>
      </c>
      <c r="HS26" s="12" t="s">
        <v>37</v>
      </c>
      <c r="HT26" s="13" t="s">
        <v>37</v>
      </c>
      <c r="HU26" s="13"/>
      <c r="HV26" s="13"/>
      <c r="HW26" s="12"/>
      <c r="HX26" s="12"/>
      <c r="HY26" s="12" t="s">
        <v>37</v>
      </c>
      <c r="HZ26" s="12" t="s">
        <v>37</v>
      </c>
      <c r="IA26" s="12" t="s">
        <v>37</v>
      </c>
      <c r="IB26" s="12" t="s">
        <v>37</v>
      </c>
      <c r="IC26" s="12" t="s">
        <v>37</v>
      </c>
      <c r="ID26" s="12" t="s">
        <v>37</v>
      </c>
      <c r="IE26" s="12"/>
      <c r="IF26" s="32" t="s">
        <v>345</v>
      </c>
      <c r="IG26" s="12">
        <v>7.42</v>
      </c>
      <c r="IH26" s="12">
        <f t="shared" si="146"/>
        <v>8.6602540378443865E-2</v>
      </c>
      <c r="II26" s="13">
        <v>3</v>
      </c>
      <c r="IJ26" s="19">
        <f t="shared" si="118"/>
        <v>1.1671501398712111E-2</v>
      </c>
      <c r="IK26" s="12" t="s">
        <v>37</v>
      </c>
      <c r="IL26" s="12" t="s">
        <v>37</v>
      </c>
      <c r="IM26" s="13" t="s">
        <v>37</v>
      </c>
      <c r="IN26" s="19"/>
      <c r="IO26" s="19"/>
      <c r="IP26" s="19"/>
      <c r="IQ26" s="32" t="s">
        <v>535</v>
      </c>
      <c r="IR26" s="12">
        <v>7.17</v>
      </c>
      <c r="IS26" s="12">
        <f t="shared" si="147"/>
        <v>5.1961524227066312E-2</v>
      </c>
      <c r="IT26" s="13">
        <v>3</v>
      </c>
      <c r="IU26" s="12" t="s">
        <v>37</v>
      </c>
      <c r="IV26" s="12" t="s">
        <v>37</v>
      </c>
      <c r="IW26" s="12" t="s">
        <v>37</v>
      </c>
      <c r="IX26" s="32" t="s">
        <v>536</v>
      </c>
      <c r="IY26" s="12">
        <v>7.05</v>
      </c>
      <c r="IZ26" s="12">
        <f t="shared" si="148"/>
        <v>5.1961524227066312E-2</v>
      </c>
      <c r="JA26" s="13">
        <v>3</v>
      </c>
      <c r="JB26" s="12" t="s">
        <v>37</v>
      </c>
      <c r="JC26" s="12" t="s">
        <v>37</v>
      </c>
      <c r="JD26" s="12" t="s">
        <v>37</v>
      </c>
      <c r="JE26" s="12"/>
      <c r="JF26" s="12"/>
      <c r="JG26" s="11" t="s">
        <v>37</v>
      </c>
      <c r="JH26" s="11" t="s">
        <v>37</v>
      </c>
      <c r="JI26" s="13" t="s">
        <v>37</v>
      </c>
      <c r="JJ26" s="11" t="s">
        <v>37</v>
      </c>
      <c r="JK26" s="11" t="s">
        <v>37</v>
      </c>
      <c r="JL26" s="11" t="s">
        <v>37</v>
      </c>
      <c r="JM26" s="12" t="s">
        <v>42</v>
      </c>
      <c r="JN26" s="32" t="s">
        <v>345</v>
      </c>
      <c r="JO26" s="12">
        <v>29</v>
      </c>
      <c r="JP26" s="12">
        <f t="shared" si="149"/>
        <v>1.7320508075688772</v>
      </c>
      <c r="JQ26" s="11">
        <v>3</v>
      </c>
      <c r="JR26" s="19"/>
      <c r="JS26" s="12" t="s">
        <v>37</v>
      </c>
      <c r="JT26" s="12" t="s">
        <v>37</v>
      </c>
      <c r="JU26" s="13" t="s">
        <v>37</v>
      </c>
      <c r="JV26" s="19"/>
      <c r="JW26" s="19"/>
      <c r="JX26" s="19"/>
      <c r="JY26" s="32" t="s">
        <v>535</v>
      </c>
      <c r="JZ26" s="12">
        <v>28</v>
      </c>
      <c r="KA26" s="12">
        <f t="shared" si="150"/>
        <v>0.34641016151377546</v>
      </c>
      <c r="KB26" s="13">
        <v>3</v>
      </c>
      <c r="KC26" s="12" t="s">
        <v>37</v>
      </c>
      <c r="KD26" s="12" t="s">
        <v>37</v>
      </c>
      <c r="KE26" s="13" t="s">
        <v>37</v>
      </c>
      <c r="KF26" s="13"/>
      <c r="KG26" s="13"/>
      <c r="KH26" s="32" t="s">
        <v>536</v>
      </c>
      <c r="KI26" s="12">
        <v>23</v>
      </c>
      <c r="KJ26" s="12">
        <f t="shared" si="151"/>
        <v>3.4641016151377544</v>
      </c>
      <c r="KK26" s="13">
        <v>3</v>
      </c>
      <c r="KL26" s="12" t="s">
        <v>37</v>
      </c>
      <c r="KM26" s="12" t="s">
        <v>37</v>
      </c>
      <c r="KN26" s="12" t="s">
        <v>37</v>
      </c>
      <c r="KO26" s="12"/>
      <c r="KP26" s="12"/>
      <c r="KQ26" s="12"/>
      <c r="KR26" s="12" t="str">
        <f t="shared" si="87"/>
        <v>0-10</v>
      </c>
      <c r="KS26" s="12">
        <f t="shared" si="88"/>
        <v>14.862068965517242</v>
      </c>
      <c r="KT26" s="12">
        <f t="shared" si="119"/>
        <v>0.89565159177519005</v>
      </c>
      <c r="KU26" s="13">
        <f t="shared" si="89"/>
        <v>3</v>
      </c>
      <c r="KV26" s="19">
        <f t="shared" si="157"/>
        <v>6.0264260235453622E-2</v>
      </c>
      <c r="KW26" s="13" t="str">
        <f t="shared" si="91"/>
        <v>/</v>
      </c>
      <c r="KX26" s="13" t="str">
        <f t="shared" si="92"/>
        <v>/</v>
      </c>
      <c r="KY26" s="13" t="str">
        <f t="shared" si="93"/>
        <v>/</v>
      </c>
      <c r="KZ26" s="19"/>
      <c r="LA26" s="19"/>
      <c r="LB26" s="19"/>
      <c r="LC26" s="12" t="str">
        <f t="shared" si="120"/>
        <v>10-30</v>
      </c>
      <c r="LD26" s="12">
        <f>AT26/JZ26</f>
        <v>15.214285714285714</v>
      </c>
      <c r="LE26" s="12">
        <f>SQRT((1/JZ26)^2*AU26^2+AT26^2*(-1/JZ26^2)^2*KA26^2)</f>
        <v>0.47215439090017364</v>
      </c>
      <c r="LF26" s="13">
        <f t="shared" si="121"/>
        <v>3</v>
      </c>
      <c r="LG26" s="19" t="str">
        <f t="shared" si="158"/>
        <v>/</v>
      </c>
      <c r="LH26" s="19" t="str">
        <f t="shared" si="159"/>
        <v>/</v>
      </c>
      <c r="LI26" s="13" t="str">
        <f>KE26</f>
        <v>/</v>
      </c>
      <c r="LJ26" s="13"/>
      <c r="LK26" s="13"/>
      <c r="LL26" s="12" t="str">
        <f t="shared" si="122"/>
        <v>30-40</v>
      </c>
      <c r="LM26" s="12">
        <f t="shared" si="123"/>
        <v>13.739130434782609</v>
      </c>
      <c r="LN26" s="12">
        <f t="shared" si="124"/>
        <v>2.6044038831332332</v>
      </c>
      <c r="LO26" s="13">
        <f t="shared" si="125"/>
        <v>3</v>
      </c>
      <c r="LP26" s="12" t="e">
        <f t="shared" si="126"/>
        <v>#VALUE!</v>
      </c>
      <c r="LQ26" s="12" t="e">
        <f t="shared" si="127"/>
        <v>#VALUE!</v>
      </c>
      <c r="LR26" s="13" t="str">
        <f t="shared" si="128"/>
        <v>/</v>
      </c>
      <c r="LS26" s="12" t="s">
        <v>152</v>
      </c>
      <c r="LT26" s="12" t="s">
        <v>340</v>
      </c>
      <c r="LU26" s="12">
        <v>1.1499999999999999</v>
      </c>
      <c r="LV26" s="12">
        <v>0.04</v>
      </c>
      <c r="LW26" s="13">
        <v>5</v>
      </c>
      <c r="LX26" s="12">
        <v>0.1</v>
      </c>
      <c r="LY26" s="12">
        <v>0.01</v>
      </c>
      <c r="LZ26" s="13">
        <v>5</v>
      </c>
      <c r="MA26" s="19">
        <f t="shared" si="152"/>
        <v>-2.4423470353692043</v>
      </c>
      <c r="MB26" s="19">
        <f t="shared" si="153"/>
        <v>2.2419659735349712E-3</v>
      </c>
      <c r="MC26" s="12" t="s">
        <v>152</v>
      </c>
      <c r="MD26" s="12" t="s">
        <v>340</v>
      </c>
      <c r="ME26" s="12">
        <v>0.36</v>
      </c>
      <c r="MF26" s="12">
        <v>0.05</v>
      </c>
      <c r="MG26" s="13">
        <v>5</v>
      </c>
      <c r="MH26" s="12">
        <v>3.35</v>
      </c>
      <c r="MI26" s="12">
        <v>0.69</v>
      </c>
      <c r="MJ26" s="13">
        <v>5</v>
      </c>
      <c r="MK26" s="19">
        <f t="shared" si="154"/>
        <v>2.2306115933689563</v>
      </c>
      <c r="ML26" s="19">
        <f t="shared" si="155"/>
        <v>1.2342765168078898E-2</v>
      </c>
      <c r="MM26" s="12"/>
      <c r="MN26" s="12"/>
      <c r="MO26" s="12" t="s">
        <v>37</v>
      </c>
      <c r="MP26" s="12" t="s">
        <v>37</v>
      </c>
      <c r="MQ26" s="13" t="s">
        <v>37</v>
      </c>
      <c r="MR26" s="12" t="s">
        <v>37</v>
      </c>
      <c r="MS26" s="12" t="s">
        <v>37</v>
      </c>
      <c r="MT26" s="13" t="s">
        <v>37</v>
      </c>
      <c r="MU26" s="13"/>
      <c r="MV26" s="13"/>
      <c r="MW26" s="12"/>
      <c r="MX26" s="12"/>
      <c r="MY26" s="12" t="s">
        <v>37</v>
      </c>
      <c r="MZ26" s="12" t="s">
        <v>37</v>
      </c>
      <c r="NA26" s="12" t="s">
        <v>37</v>
      </c>
      <c r="NB26" s="12" t="s">
        <v>37</v>
      </c>
      <c r="NC26" s="12" t="s">
        <v>37</v>
      </c>
      <c r="ND26" s="12" t="s">
        <v>37</v>
      </c>
      <c r="NE26" s="12"/>
      <c r="NF26" s="12"/>
      <c r="NG26" s="12"/>
      <c r="NH26" s="12"/>
      <c r="NI26" s="12" t="s">
        <v>37</v>
      </c>
      <c r="NJ26" s="12" t="s">
        <v>37</v>
      </c>
      <c r="NK26" s="13" t="s">
        <v>37</v>
      </c>
      <c r="NL26" s="12" t="s">
        <v>37</v>
      </c>
      <c r="NM26" s="12" t="s">
        <v>37</v>
      </c>
      <c r="NN26" s="13" t="s">
        <v>37</v>
      </c>
      <c r="NO26" s="13"/>
      <c r="NP26" s="13"/>
      <c r="NQ26" s="12"/>
      <c r="NR26" s="12"/>
      <c r="NS26" s="11" t="s">
        <v>37</v>
      </c>
      <c r="NT26" s="11" t="s">
        <v>37</v>
      </c>
      <c r="NU26" s="13" t="s">
        <v>37</v>
      </c>
      <c r="NV26" s="11" t="s">
        <v>37</v>
      </c>
      <c r="NW26" s="11" t="s">
        <v>37</v>
      </c>
      <c r="NX26" s="13" t="s">
        <v>37</v>
      </c>
      <c r="NY26" s="13"/>
      <c r="NZ26" s="13"/>
      <c r="OA26" s="12"/>
      <c r="OB26" s="12"/>
      <c r="OC26" s="12" t="s">
        <v>37</v>
      </c>
      <c r="OD26" s="12" t="s">
        <v>37</v>
      </c>
      <c r="OE26" s="12" t="s">
        <v>37</v>
      </c>
      <c r="OF26" s="12" t="s">
        <v>37</v>
      </c>
      <c r="OG26" s="12" t="s">
        <v>37</v>
      </c>
      <c r="OH26" s="12" t="s">
        <v>37</v>
      </c>
      <c r="OI26" s="12"/>
      <c r="OJ26" s="12"/>
      <c r="OK26" s="12"/>
      <c r="OL26" s="12" t="s">
        <v>37</v>
      </c>
      <c r="OM26" s="12" t="s">
        <v>37</v>
      </c>
      <c r="ON26" s="11" t="s">
        <v>37</v>
      </c>
      <c r="OO26" s="12" t="s">
        <v>37</v>
      </c>
      <c r="OP26" s="12" t="s">
        <v>37</v>
      </c>
      <c r="OQ26" s="12" t="s">
        <v>37</v>
      </c>
      <c r="OR26" s="12"/>
      <c r="OS26" s="12" t="s">
        <v>37</v>
      </c>
      <c r="OT26" s="12" t="s">
        <v>37</v>
      </c>
      <c r="OU26" s="12" t="s">
        <v>37</v>
      </c>
      <c r="OV26" s="12" t="s">
        <v>37</v>
      </c>
      <c r="OW26" s="12" t="s">
        <v>37</v>
      </c>
      <c r="OX26" s="12" t="s">
        <v>37</v>
      </c>
      <c r="OY26" s="12"/>
      <c r="OZ26" s="12"/>
      <c r="PA26" s="12" t="s">
        <v>37</v>
      </c>
      <c r="PB26" s="12" t="s">
        <v>37</v>
      </c>
      <c r="PC26" s="12" t="s">
        <v>37</v>
      </c>
      <c r="PD26" s="12" t="s">
        <v>37</v>
      </c>
      <c r="PE26" s="12" t="s">
        <v>37</v>
      </c>
      <c r="PF26" s="12" t="s">
        <v>37</v>
      </c>
      <c r="PG26" s="12"/>
      <c r="PH26" s="12"/>
      <c r="PI26" s="12" t="s">
        <v>37</v>
      </c>
      <c r="PJ26" s="12" t="s">
        <v>37</v>
      </c>
      <c r="PK26" s="12" t="s">
        <v>37</v>
      </c>
      <c r="PL26" s="12" t="s">
        <v>37</v>
      </c>
      <c r="PM26" s="12" t="s">
        <v>37</v>
      </c>
      <c r="PN26" s="12" t="s">
        <v>37</v>
      </c>
      <c r="PO26" s="12"/>
      <c r="PP26" s="12"/>
      <c r="PQ26" s="12" t="s">
        <v>37</v>
      </c>
      <c r="PR26" s="12" t="s">
        <v>37</v>
      </c>
      <c r="PS26" s="12" t="s">
        <v>37</v>
      </c>
      <c r="PT26" s="12" t="s">
        <v>37</v>
      </c>
      <c r="PU26" s="12" t="s">
        <v>37</v>
      </c>
      <c r="PV26" s="12" t="s">
        <v>37</v>
      </c>
      <c r="PW26" s="12"/>
      <c r="PX26" s="12"/>
      <c r="PY26" s="12" t="s">
        <v>37</v>
      </c>
      <c r="PZ26" s="12" t="s">
        <v>37</v>
      </c>
      <c r="QA26" s="12" t="s">
        <v>37</v>
      </c>
      <c r="QB26" s="12" t="s">
        <v>37</v>
      </c>
      <c r="QC26" s="12" t="s">
        <v>37</v>
      </c>
      <c r="QD26" s="12" t="s">
        <v>37</v>
      </c>
      <c r="QE26" s="12"/>
      <c r="QF26" s="12"/>
      <c r="QG26" s="12" t="s">
        <v>37</v>
      </c>
      <c r="QH26" s="12" t="s">
        <v>37</v>
      </c>
      <c r="QI26" s="12" t="s">
        <v>37</v>
      </c>
      <c r="QJ26" s="12" t="s">
        <v>37</v>
      </c>
      <c r="QK26" s="12" t="s">
        <v>37</v>
      </c>
      <c r="QL26" s="12" t="s">
        <v>37</v>
      </c>
      <c r="QM26" s="12" t="s">
        <v>42</v>
      </c>
      <c r="QN26" s="12" t="s">
        <v>345</v>
      </c>
      <c r="QO26" s="12">
        <v>1.29</v>
      </c>
      <c r="QP26" s="12">
        <f t="shared" si="156"/>
        <v>3.4641016151377546E-2</v>
      </c>
      <c r="QQ26" s="13">
        <v>3</v>
      </c>
      <c r="QR26" s="12" t="s">
        <v>37</v>
      </c>
      <c r="QS26" s="12" t="s">
        <v>37</v>
      </c>
      <c r="QT26" s="12" t="s">
        <v>37</v>
      </c>
      <c r="QU26" s="12"/>
      <c r="QV26" s="12"/>
      <c r="QW26" s="12"/>
      <c r="QX26" s="12"/>
      <c r="QY26" s="12" t="s">
        <v>37</v>
      </c>
      <c r="QZ26" s="12" t="s">
        <v>37</v>
      </c>
      <c r="RA26" s="11" t="s">
        <v>37</v>
      </c>
      <c r="RB26" s="12" t="s">
        <v>37</v>
      </c>
      <c r="RC26" s="12" t="s">
        <v>37</v>
      </c>
      <c r="RD26" s="11" t="s">
        <v>37</v>
      </c>
      <c r="RE26" s="11"/>
      <c r="RF26" s="11"/>
      <c r="RG26" s="12"/>
      <c r="RH26" s="12"/>
      <c r="RI26" s="12" t="s">
        <v>37</v>
      </c>
      <c r="RJ26" s="12" t="s">
        <v>37</v>
      </c>
      <c r="RK26" s="11" t="s">
        <v>37</v>
      </c>
      <c r="RL26" s="12" t="s">
        <v>37</v>
      </c>
      <c r="RM26" s="12" t="s">
        <v>37</v>
      </c>
      <c r="RN26" s="11" t="s">
        <v>37</v>
      </c>
      <c r="RO26" s="11"/>
      <c r="RP26" s="11"/>
      <c r="RQ26" s="12"/>
      <c r="RR26" s="12"/>
      <c r="RS26" s="12" t="s">
        <v>37</v>
      </c>
      <c r="RT26" s="12" t="s">
        <v>37</v>
      </c>
      <c r="RU26" s="11" t="s">
        <v>37</v>
      </c>
      <c r="RV26" s="12" t="s">
        <v>37</v>
      </c>
      <c r="RW26" s="12" t="s">
        <v>37</v>
      </c>
      <c r="RX26" s="11" t="s">
        <v>37</v>
      </c>
      <c r="RY26" s="11"/>
      <c r="RZ26" s="11"/>
      <c r="SA26" s="12"/>
      <c r="SB26" s="12"/>
      <c r="SC26" s="12" t="s">
        <v>37</v>
      </c>
      <c r="SD26" s="12" t="s">
        <v>37</v>
      </c>
      <c r="SE26" s="12" t="s">
        <v>37</v>
      </c>
      <c r="SF26" s="12" t="s">
        <v>37</v>
      </c>
      <c r="SG26" s="12" t="s">
        <v>37</v>
      </c>
      <c r="SH26" s="12" t="s">
        <v>37</v>
      </c>
      <c r="SI26" s="12"/>
      <c r="SJ26" s="12"/>
      <c r="SK26" s="12"/>
      <c r="SL26" s="12"/>
      <c r="SM26" s="12" t="s">
        <v>37</v>
      </c>
      <c r="SN26" s="12" t="s">
        <v>37</v>
      </c>
      <c r="SO26" s="12" t="s">
        <v>37</v>
      </c>
      <c r="SP26" s="12" t="s">
        <v>37</v>
      </c>
      <c r="SQ26" s="12" t="s">
        <v>37</v>
      </c>
      <c r="SR26" s="12" t="s">
        <v>37</v>
      </c>
      <c r="SS26" s="12"/>
      <c r="ST26" s="12"/>
      <c r="SU26" s="12"/>
      <c r="SV26" s="12"/>
      <c r="SW26" s="12" t="s">
        <v>37</v>
      </c>
      <c r="SX26" s="12" t="s">
        <v>37</v>
      </c>
      <c r="SY26" s="12" t="s">
        <v>37</v>
      </c>
      <c r="SZ26" s="12" t="s">
        <v>37</v>
      </c>
      <c r="TA26" s="12" t="s">
        <v>37</v>
      </c>
      <c r="TB26" s="12" t="s">
        <v>37</v>
      </c>
      <c r="TC26" s="12"/>
      <c r="TD26" s="12"/>
      <c r="TE26" s="12"/>
      <c r="TF26" s="12"/>
      <c r="TG26" s="13" t="s">
        <v>37</v>
      </c>
      <c r="TH26" s="13" t="s">
        <v>37</v>
      </c>
      <c r="TI26" s="13" t="s">
        <v>37</v>
      </c>
      <c r="TJ26" s="13" t="s">
        <v>37</v>
      </c>
      <c r="TK26" s="13" t="s">
        <v>37</v>
      </c>
      <c r="TL26" s="13" t="s">
        <v>37</v>
      </c>
      <c r="TM26" s="13"/>
      <c r="TN26" s="13"/>
      <c r="TO26" s="12"/>
      <c r="TP26" s="12"/>
      <c r="TQ26" s="13" t="s">
        <v>37</v>
      </c>
      <c r="TR26" s="13" t="s">
        <v>37</v>
      </c>
      <c r="TS26" s="13" t="s">
        <v>37</v>
      </c>
      <c r="TT26" s="19"/>
      <c r="TU26" s="13" t="s">
        <v>37</v>
      </c>
      <c r="TV26" s="13" t="s">
        <v>37</v>
      </c>
      <c r="TW26" s="13" t="s">
        <v>37</v>
      </c>
    </row>
    <row r="27" spans="1:543" ht="17.399999999999999" x14ac:dyDescent="0.4">
      <c r="A27" s="11">
        <v>10</v>
      </c>
      <c r="B27" s="16" t="s">
        <v>251</v>
      </c>
      <c r="C27" s="12" t="s">
        <v>26</v>
      </c>
      <c r="D27" s="12" t="s">
        <v>119</v>
      </c>
      <c r="E27" s="14" t="s">
        <v>37</v>
      </c>
      <c r="F27" s="14">
        <v>0</v>
      </c>
      <c r="G27" s="14">
        <v>0</v>
      </c>
      <c r="H27" s="12" t="s">
        <v>82</v>
      </c>
      <c r="I27" s="29">
        <v>26.933</v>
      </c>
      <c r="J27" s="29">
        <v>-80.8</v>
      </c>
      <c r="K27" s="12" t="s">
        <v>807</v>
      </c>
      <c r="L27" s="12" t="s">
        <v>808</v>
      </c>
      <c r="M27" s="12" t="s">
        <v>37</v>
      </c>
      <c r="N27" s="14">
        <v>24</v>
      </c>
      <c r="O27" s="14">
        <v>1330</v>
      </c>
      <c r="P27" s="14" t="s">
        <v>89</v>
      </c>
      <c r="Q27" s="11" t="s">
        <v>252</v>
      </c>
      <c r="R27" s="11" t="s">
        <v>37</v>
      </c>
      <c r="S27" s="12" t="s">
        <v>37</v>
      </c>
      <c r="T27" s="12" t="s">
        <v>37</v>
      </c>
      <c r="U27" s="12" t="s">
        <v>158</v>
      </c>
      <c r="V27" s="12" t="s">
        <v>274</v>
      </c>
      <c r="W27" s="23" t="s">
        <v>253</v>
      </c>
      <c r="X27" s="12" t="s">
        <v>283</v>
      </c>
      <c r="Y27" s="12" t="s">
        <v>37</v>
      </c>
      <c r="Z27" s="12" t="s">
        <v>37</v>
      </c>
      <c r="AA27" s="32">
        <v>2013</v>
      </c>
      <c r="AB27" s="13" t="s">
        <v>37</v>
      </c>
      <c r="AC27" s="13" t="s">
        <v>37</v>
      </c>
      <c r="AD27" s="12" t="s">
        <v>81</v>
      </c>
      <c r="AE27" s="12" t="s">
        <v>74</v>
      </c>
      <c r="AF27" s="12" t="s">
        <v>489</v>
      </c>
      <c r="AG27" s="12" t="s">
        <v>42</v>
      </c>
      <c r="AH27" s="32" t="s">
        <v>345</v>
      </c>
      <c r="AI27" s="12">
        <v>431</v>
      </c>
      <c r="AJ27" s="12">
        <f t="shared" si="129"/>
        <v>3.4641016151377544</v>
      </c>
      <c r="AK27" s="11">
        <v>3</v>
      </c>
      <c r="AL27" s="19">
        <f t="shared" si="110"/>
        <v>8.0373587358184562E-3</v>
      </c>
      <c r="AM27" s="12" t="s">
        <v>37</v>
      </c>
      <c r="AN27" s="12" t="s">
        <v>37</v>
      </c>
      <c r="AO27" s="13" t="s">
        <v>37</v>
      </c>
      <c r="AP27" s="19"/>
      <c r="AQ27" s="49"/>
      <c r="AR27" s="49"/>
      <c r="AS27" s="32" t="s">
        <v>535</v>
      </c>
      <c r="AT27" s="12">
        <v>426</v>
      </c>
      <c r="AU27" s="12">
        <f t="shared" si="130"/>
        <v>12.124355652982141</v>
      </c>
      <c r="AV27" s="13">
        <v>3</v>
      </c>
      <c r="AW27" s="12" t="s">
        <v>37</v>
      </c>
      <c r="AX27" s="12" t="s">
        <v>37</v>
      </c>
      <c r="AY27" s="13" t="s">
        <v>37</v>
      </c>
      <c r="AZ27" s="13"/>
      <c r="BA27" s="13"/>
      <c r="BB27" s="32" t="s">
        <v>536</v>
      </c>
      <c r="BC27" s="12">
        <v>316</v>
      </c>
      <c r="BD27" s="12">
        <f t="shared" si="131"/>
        <v>36.373066958946424</v>
      </c>
      <c r="BE27" s="13">
        <v>3</v>
      </c>
      <c r="BF27" s="12" t="s">
        <v>37</v>
      </c>
      <c r="BG27" s="12" t="s">
        <v>37</v>
      </c>
      <c r="BH27" s="13" t="s">
        <v>37</v>
      </c>
      <c r="BI27" s="12"/>
      <c r="BJ27" s="12" t="s">
        <v>37</v>
      </c>
      <c r="BK27" s="12" t="s">
        <v>37</v>
      </c>
      <c r="BL27" s="13" t="s">
        <v>37</v>
      </c>
      <c r="BM27" s="12" t="s">
        <v>37</v>
      </c>
      <c r="BN27" s="12" t="s">
        <v>37</v>
      </c>
      <c r="BO27" s="13" t="s">
        <v>37</v>
      </c>
      <c r="BP27" s="19"/>
      <c r="BQ27" s="19"/>
      <c r="BR27" s="19"/>
      <c r="BS27" s="19"/>
      <c r="BT27" s="12"/>
      <c r="BU27" s="12" t="s">
        <v>37</v>
      </c>
      <c r="BV27" s="12" t="s">
        <v>37</v>
      </c>
      <c r="BW27" s="13" t="s">
        <v>37</v>
      </c>
      <c r="BX27" s="12" t="s">
        <v>37</v>
      </c>
      <c r="BY27" s="12" t="s">
        <v>37</v>
      </c>
      <c r="BZ27" s="13" t="s">
        <v>37</v>
      </c>
      <c r="CA27" s="19"/>
      <c r="CB27" s="19"/>
      <c r="CC27" s="19"/>
      <c r="CD27" s="19"/>
      <c r="CE27" s="12"/>
      <c r="CF27" s="12" t="s">
        <v>37</v>
      </c>
      <c r="CG27" s="12" t="s">
        <v>37</v>
      </c>
      <c r="CH27" s="13" t="s">
        <v>37</v>
      </c>
      <c r="CI27" s="12" t="s">
        <v>37</v>
      </c>
      <c r="CJ27" s="12" t="s">
        <v>37</v>
      </c>
      <c r="CK27" s="13" t="s">
        <v>37</v>
      </c>
      <c r="CL27" s="19"/>
      <c r="CM27" s="19"/>
      <c r="CN27" s="19"/>
      <c r="CO27" s="19"/>
      <c r="CP27" s="11" t="s">
        <v>34</v>
      </c>
      <c r="CQ27" s="12">
        <f t="shared" si="132"/>
        <v>6.9444444444444441E-3</v>
      </c>
      <c r="CR27" s="19">
        <f t="shared" si="133"/>
        <v>2.9577618749997217E-3</v>
      </c>
      <c r="CS27" s="13">
        <v>5</v>
      </c>
      <c r="CT27" s="52">
        <f t="shared" si="85"/>
        <v>0.42591770999995993</v>
      </c>
      <c r="CU27" s="12">
        <f>15*16/12/168/24</f>
        <v>4.96031746031746E-3</v>
      </c>
      <c r="CV27" s="19">
        <f>4*SQRT(5)*16/12/168/24</f>
        <v>2.9577618749997217E-3</v>
      </c>
      <c r="CW27" s="13">
        <v>5</v>
      </c>
      <c r="CX27" s="52">
        <f t="shared" si="86"/>
        <v>0.59628479399994394</v>
      </c>
      <c r="CY27" s="68">
        <f t="shared" si="61"/>
        <v>-1.984126984126984E-3</v>
      </c>
      <c r="CZ27" s="12">
        <f t="shared" si="39"/>
        <v>2.9577618749997217E-3</v>
      </c>
      <c r="DA27" s="72">
        <f t="shared" si="40"/>
        <v>3.4993421236807478E-6</v>
      </c>
      <c r="DB27" s="72">
        <f t="shared" si="41"/>
        <v>3.4993421236807474E-6</v>
      </c>
      <c r="DC27" s="15" t="s">
        <v>34</v>
      </c>
      <c r="DD27" s="29">
        <f t="shared" si="134"/>
        <v>2.7281746031746035E-3</v>
      </c>
      <c r="DE27" s="68">
        <f t="shared" si="135"/>
        <v>8.7148340959813237E-4</v>
      </c>
      <c r="DF27" s="13">
        <v>5</v>
      </c>
      <c r="DG27" s="52">
        <f t="shared" si="111"/>
        <v>0.31943828249996992</v>
      </c>
      <c r="DH27" s="29">
        <f>21*44/28/168/24</f>
        <v>8.1845238095238099E-3</v>
      </c>
      <c r="DI27" s="68">
        <f>5*SQRT(5)*44/28/168/24</f>
        <v>4.3574170479906615E-3</v>
      </c>
      <c r="DJ27" s="13">
        <v>5</v>
      </c>
      <c r="DK27" s="52">
        <f t="shared" si="112"/>
        <v>0.53239713749994988</v>
      </c>
      <c r="DL27" s="68">
        <f t="shared" si="113"/>
        <v>5.456349206349206E-3</v>
      </c>
      <c r="DM27" s="12">
        <f t="shared" si="114"/>
        <v>3.1421781190222519E-3</v>
      </c>
      <c r="DN27" s="87">
        <f t="shared" si="115"/>
        <v>3.9493133326648871E-6</v>
      </c>
      <c r="DO27" s="87">
        <f t="shared" si="116"/>
        <v>3.9493133326648871E-6</v>
      </c>
      <c r="DP27" s="12"/>
      <c r="DQ27" s="12" t="s">
        <v>37</v>
      </c>
      <c r="DR27" s="12" t="s">
        <v>37</v>
      </c>
      <c r="DS27" s="13" t="s">
        <v>37</v>
      </c>
      <c r="DT27" s="19"/>
      <c r="DU27" s="12" t="s">
        <v>37</v>
      </c>
      <c r="DV27" s="12" t="s">
        <v>37</v>
      </c>
      <c r="DW27" s="13" t="s">
        <v>37</v>
      </c>
      <c r="DX27" s="19"/>
      <c r="DY27" s="19"/>
      <c r="DZ27" s="19"/>
      <c r="EA27" s="72"/>
      <c r="EB27" s="72"/>
      <c r="EC27" s="12" t="s">
        <v>132</v>
      </c>
      <c r="ED27" s="32" t="s">
        <v>330</v>
      </c>
      <c r="EE27" s="12">
        <v>59</v>
      </c>
      <c r="EF27" s="12">
        <f t="shared" si="136"/>
        <v>109.5673308974897</v>
      </c>
      <c r="EG27" s="11">
        <v>5</v>
      </c>
      <c r="EH27" s="19">
        <f t="shared" si="137"/>
        <v>1.8570734050421982</v>
      </c>
      <c r="EI27" s="12">
        <f>AVERAGEA(608,326)</f>
        <v>467</v>
      </c>
      <c r="EJ27" s="20">
        <f>SQRT((23*SQRT(5))^2+(63*SQRT(5))^2)/2</f>
        <v>74.98333148106984</v>
      </c>
      <c r="EK27" s="11">
        <v>5</v>
      </c>
      <c r="EL27" s="19">
        <f t="shared" si="138"/>
        <v>0.16056387897445362</v>
      </c>
      <c r="EM27" s="19">
        <f t="shared" si="139"/>
        <v>408</v>
      </c>
      <c r="EN27" s="12">
        <f t="shared" si="140"/>
        <v>93.881574337033783</v>
      </c>
      <c r="EO27" s="72">
        <f t="shared" si="141"/>
        <v>3525.5</v>
      </c>
      <c r="EP27" s="72">
        <f t="shared" si="142"/>
        <v>3525.5</v>
      </c>
      <c r="EQ27" s="32"/>
      <c r="ER27" s="12" t="s">
        <v>37</v>
      </c>
      <c r="ES27" s="12" t="s">
        <v>37</v>
      </c>
      <c r="ET27" s="11" t="s">
        <v>37</v>
      </c>
      <c r="EU27" s="19"/>
      <c r="EV27" s="13" t="s">
        <v>37</v>
      </c>
      <c r="EW27" s="11" t="s">
        <v>37</v>
      </c>
      <c r="EX27" s="11" t="s">
        <v>37</v>
      </c>
      <c r="EY27" s="19"/>
      <c r="EZ27" s="19"/>
      <c r="FA27" s="19"/>
      <c r="FB27" s="19"/>
      <c r="FC27" s="32"/>
      <c r="FD27" s="12" t="s">
        <v>37</v>
      </c>
      <c r="FE27" s="12" t="s">
        <v>37</v>
      </c>
      <c r="FF27" s="11" t="s">
        <v>37</v>
      </c>
      <c r="FG27" s="13" t="s">
        <v>37</v>
      </c>
      <c r="FH27" s="11" t="s">
        <v>37</v>
      </c>
      <c r="FI27" s="11" t="s">
        <v>37</v>
      </c>
      <c r="FJ27" s="19"/>
      <c r="FK27" s="19"/>
      <c r="FL27" s="19"/>
      <c r="FM27" s="32"/>
      <c r="FN27" s="12" t="s">
        <v>37</v>
      </c>
      <c r="FO27" s="12" t="s">
        <v>37</v>
      </c>
      <c r="FP27" s="11" t="s">
        <v>37</v>
      </c>
      <c r="FQ27" s="13" t="s">
        <v>37</v>
      </c>
      <c r="FR27" s="11" t="s">
        <v>37</v>
      </c>
      <c r="FS27" s="11" t="s">
        <v>37</v>
      </c>
      <c r="FT27" s="19"/>
      <c r="FU27" s="19"/>
      <c r="FV27" s="19"/>
      <c r="FW27" s="12"/>
      <c r="FX27" s="12"/>
      <c r="FY27" s="12" t="s">
        <v>37</v>
      </c>
      <c r="FZ27" s="12" t="s">
        <v>37</v>
      </c>
      <c r="GA27" s="13" t="s">
        <v>37</v>
      </c>
      <c r="GB27" s="12" t="s">
        <v>37</v>
      </c>
      <c r="GC27" s="12" t="s">
        <v>37</v>
      </c>
      <c r="GD27" s="13" t="s">
        <v>37</v>
      </c>
      <c r="GE27" s="19"/>
      <c r="GF27" s="19"/>
      <c r="GG27" s="12"/>
      <c r="GH27" s="12"/>
      <c r="GI27" s="12" t="s">
        <v>37</v>
      </c>
      <c r="GJ27" s="12" t="s">
        <v>37</v>
      </c>
      <c r="GK27" s="12" t="s">
        <v>37</v>
      </c>
      <c r="GL27" s="19"/>
      <c r="GM27" s="12" t="s">
        <v>37</v>
      </c>
      <c r="GN27" s="12" t="s">
        <v>37</v>
      </c>
      <c r="GO27" s="12" t="s">
        <v>37</v>
      </c>
      <c r="GP27" s="19"/>
      <c r="GQ27" s="19"/>
      <c r="GR27" s="19"/>
      <c r="GS27" s="17" t="s">
        <v>63</v>
      </c>
      <c r="GT27" s="34" t="s">
        <v>345</v>
      </c>
      <c r="GU27" s="12">
        <v>0.46</v>
      </c>
      <c r="GV27" s="12">
        <f t="shared" si="143"/>
        <v>3.4641016151377546E-2</v>
      </c>
      <c r="GW27" s="13">
        <v>3</v>
      </c>
      <c r="GX27" s="19">
        <f t="shared" si="117"/>
        <v>7.5306556850820744E-2</v>
      </c>
      <c r="GY27" s="12" t="s">
        <v>37</v>
      </c>
      <c r="GZ27" s="12" t="s">
        <v>37</v>
      </c>
      <c r="HA27" s="12" t="s">
        <v>37</v>
      </c>
      <c r="HB27" s="19"/>
      <c r="HC27" s="19"/>
      <c r="HD27" s="19"/>
      <c r="HE27" s="34" t="s">
        <v>535</v>
      </c>
      <c r="HF27" s="12">
        <v>0.42</v>
      </c>
      <c r="HG27" s="12">
        <f t="shared" si="144"/>
        <v>3.4641016151377546E-2</v>
      </c>
      <c r="HH27" s="13">
        <v>3</v>
      </c>
      <c r="HI27" s="12" t="s">
        <v>37</v>
      </c>
      <c r="HJ27" s="12" t="s">
        <v>37</v>
      </c>
      <c r="HK27" s="12" t="s">
        <v>37</v>
      </c>
      <c r="HL27" s="12"/>
      <c r="HM27" s="12"/>
      <c r="HN27" s="34" t="s">
        <v>536</v>
      </c>
      <c r="HO27" s="12">
        <v>0.27</v>
      </c>
      <c r="HP27" s="12">
        <f t="shared" si="145"/>
        <v>3.4641016151377546E-2</v>
      </c>
      <c r="HQ27" s="13">
        <v>3</v>
      </c>
      <c r="HR27" s="12" t="s">
        <v>37</v>
      </c>
      <c r="HS27" s="12" t="s">
        <v>37</v>
      </c>
      <c r="HT27" s="13" t="s">
        <v>37</v>
      </c>
      <c r="HU27" s="13"/>
      <c r="HV27" s="13"/>
      <c r="HW27" s="12"/>
      <c r="HX27" s="12"/>
      <c r="HY27" s="12" t="s">
        <v>37</v>
      </c>
      <c r="HZ27" s="12" t="s">
        <v>37</v>
      </c>
      <c r="IA27" s="12" t="s">
        <v>37</v>
      </c>
      <c r="IB27" s="12" t="s">
        <v>37</v>
      </c>
      <c r="IC27" s="12" t="s">
        <v>37</v>
      </c>
      <c r="ID27" s="12" t="s">
        <v>37</v>
      </c>
      <c r="IE27" s="12"/>
      <c r="IF27" s="32" t="s">
        <v>345</v>
      </c>
      <c r="IG27" s="12">
        <v>7.42</v>
      </c>
      <c r="IH27" s="12">
        <f t="shared" si="146"/>
        <v>8.6602540378443865E-2</v>
      </c>
      <c r="II27" s="13">
        <v>3</v>
      </c>
      <c r="IJ27" s="19">
        <f t="shared" si="118"/>
        <v>1.1671501398712111E-2</v>
      </c>
      <c r="IK27" s="12" t="s">
        <v>37</v>
      </c>
      <c r="IL27" s="12" t="s">
        <v>37</v>
      </c>
      <c r="IM27" s="13" t="s">
        <v>37</v>
      </c>
      <c r="IN27" s="19"/>
      <c r="IO27" s="19"/>
      <c r="IP27" s="19"/>
      <c r="IQ27" s="32" t="s">
        <v>535</v>
      </c>
      <c r="IR27" s="12">
        <v>7.17</v>
      </c>
      <c r="IS27" s="12">
        <f t="shared" si="147"/>
        <v>5.1961524227066312E-2</v>
      </c>
      <c r="IT27" s="13">
        <v>3</v>
      </c>
      <c r="IU27" s="12" t="s">
        <v>37</v>
      </c>
      <c r="IV27" s="12" t="s">
        <v>37</v>
      </c>
      <c r="IW27" s="12" t="s">
        <v>37</v>
      </c>
      <c r="IX27" s="32" t="s">
        <v>536</v>
      </c>
      <c r="IY27" s="12">
        <v>7.05</v>
      </c>
      <c r="IZ27" s="12">
        <f t="shared" si="148"/>
        <v>5.1961524227066312E-2</v>
      </c>
      <c r="JA27" s="13">
        <v>3</v>
      </c>
      <c r="JB27" s="12" t="s">
        <v>37</v>
      </c>
      <c r="JC27" s="12" t="s">
        <v>37</v>
      </c>
      <c r="JD27" s="12" t="s">
        <v>37</v>
      </c>
      <c r="JE27" s="12"/>
      <c r="JF27" s="12"/>
      <c r="JG27" s="11" t="s">
        <v>37</v>
      </c>
      <c r="JH27" s="11" t="s">
        <v>37</v>
      </c>
      <c r="JI27" s="13" t="s">
        <v>37</v>
      </c>
      <c r="JJ27" s="11" t="s">
        <v>37</v>
      </c>
      <c r="JK27" s="11" t="s">
        <v>37</v>
      </c>
      <c r="JL27" s="11" t="s">
        <v>37</v>
      </c>
      <c r="JM27" s="12" t="s">
        <v>42</v>
      </c>
      <c r="JN27" s="32" t="s">
        <v>345</v>
      </c>
      <c r="JO27" s="12">
        <v>29</v>
      </c>
      <c r="JP27" s="12">
        <f t="shared" si="149"/>
        <v>1.7320508075688772</v>
      </c>
      <c r="JQ27" s="11">
        <v>3</v>
      </c>
      <c r="JR27" s="19"/>
      <c r="JS27" s="12" t="s">
        <v>37</v>
      </c>
      <c r="JT27" s="12" t="s">
        <v>37</v>
      </c>
      <c r="JU27" s="13" t="s">
        <v>37</v>
      </c>
      <c r="JV27" s="19"/>
      <c r="JW27" s="19"/>
      <c r="JX27" s="19"/>
      <c r="JY27" s="32" t="s">
        <v>535</v>
      </c>
      <c r="JZ27" s="12">
        <v>28</v>
      </c>
      <c r="KA27" s="12">
        <f t="shared" si="150"/>
        <v>0.34641016151377546</v>
      </c>
      <c r="KB27" s="13">
        <v>3</v>
      </c>
      <c r="KC27" s="12" t="s">
        <v>37</v>
      </c>
      <c r="KD27" s="12" t="s">
        <v>37</v>
      </c>
      <c r="KE27" s="13" t="s">
        <v>37</v>
      </c>
      <c r="KF27" s="13"/>
      <c r="KG27" s="13"/>
      <c r="KH27" s="32" t="s">
        <v>536</v>
      </c>
      <c r="KI27" s="12">
        <v>23</v>
      </c>
      <c r="KJ27" s="12">
        <f t="shared" si="151"/>
        <v>3.4641016151377544</v>
      </c>
      <c r="KK27" s="13">
        <v>3</v>
      </c>
      <c r="KL27" s="12" t="s">
        <v>37</v>
      </c>
      <c r="KM27" s="12" t="s">
        <v>37</v>
      </c>
      <c r="KN27" s="12" t="s">
        <v>37</v>
      </c>
      <c r="KO27" s="12"/>
      <c r="KP27" s="12"/>
      <c r="KQ27" s="12"/>
      <c r="KR27" s="12" t="str">
        <f t="shared" si="87"/>
        <v>0-10</v>
      </c>
      <c r="KS27" s="12">
        <f t="shared" si="88"/>
        <v>14.862068965517242</v>
      </c>
      <c r="KT27" s="12">
        <f t="shared" si="119"/>
        <v>0.89565159177519005</v>
      </c>
      <c r="KU27" s="13">
        <f t="shared" si="89"/>
        <v>3</v>
      </c>
      <c r="KV27" s="19">
        <f t="shared" si="157"/>
        <v>6.0264260235453622E-2</v>
      </c>
      <c r="KW27" s="13" t="str">
        <f t="shared" si="91"/>
        <v>/</v>
      </c>
      <c r="KX27" s="13" t="str">
        <f t="shared" si="92"/>
        <v>/</v>
      </c>
      <c r="KY27" s="13" t="str">
        <f t="shared" si="93"/>
        <v>/</v>
      </c>
      <c r="KZ27" s="19"/>
      <c r="LA27" s="19"/>
      <c r="LB27" s="19"/>
      <c r="LC27" s="12" t="str">
        <f t="shared" si="120"/>
        <v>10-30</v>
      </c>
      <c r="LD27" s="12">
        <f>AT27/JZ27</f>
        <v>15.214285714285714</v>
      </c>
      <c r="LE27" s="12">
        <f>SQRT((1/JZ27)^2*AU27^2+AT27^2*(-1/JZ27^2)^2*KA27^2)</f>
        <v>0.47215439090017364</v>
      </c>
      <c r="LF27" s="13">
        <f t="shared" si="121"/>
        <v>3</v>
      </c>
      <c r="LG27" s="19" t="str">
        <f t="shared" si="158"/>
        <v>/</v>
      </c>
      <c r="LH27" s="19" t="str">
        <f t="shared" si="159"/>
        <v>/</v>
      </c>
      <c r="LI27" s="13" t="str">
        <f>KE27</f>
        <v>/</v>
      </c>
      <c r="LJ27" s="13"/>
      <c r="LK27" s="13"/>
      <c r="LL27" s="12" t="str">
        <f t="shared" si="122"/>
        <v>30-40</v>
      </c>
      <c r="LM27" s="12">
        <f t="shared" si="123"/>
        <v>13.739130434782609</v>
      </c>
      <c r="LN27" s="12">
        <f t="shared" si="124"/>
        <v>2.6044038831332332</v>
      </c>
      <c r="LO27" s="13">
        <f t="shared" si="125"/>
        <v>3</v>
      </c>
      <c r="LP27" s="12" t="e">
        <f t="shared" si="126"/>
        <v>#VALUE!</v>
      </c>
      <c r="LQ27" s="12" t="e">
        <f t="shared" si="127"/>
        <v>#VALUE!</v>
      </c>
      <c r="LR27" s="13" t="str">
        <f t="shared" si="128"/>
        <v>/</v>
      </c>
      <c r="LS27" s="12" t="s">
        <v>152</v>
      </c>
      <c r="LT27" s="12" t="s">
        <v>340</v>
      </c>
      <c r="LU27" s="12">
        <v>1.1499999999999999</v>
      </c>
      <c r="LV27" s="12">
        <v>0.04</v>
      </c>
      <c r="LW27" s="13">
        <v>5</v>
      </c>
      <c r="LX27" s="12">
        <v>0.16</v>
      </c>
      <c r="LY27" s="12">
        <v>0.02</v>
      </c>
      <c r="LZ27" s="13">
        <v>5</v>
      </c>
      <c r="MA27" s="19">
        <f t="shared" si="152"/>
        <v>-1.9723434061234688</v>
      </c>
      <c r="MB27" s="19">
        <f t="shared" si="153"/>
        <v>3.3669659735349718E-3</v>
      </c>
      <c r="MC27" s="12" t="s">
        <v>152</v>
      </c>
      <c r="MD27" s="12" t="s">
        <v>340</v>
      </c>
      <c r="ME27" s="12">
        <v>0.36</v>
      </c>
      <c r="MF27" s="12">
        <v>0.05</v>
      </c>
      <c r="MG27" s="13">
        <v>5</v>
      </c>
      <c r="MH27" s="12">
        <v>3.98</v>
      </c>
      <c r="MI27" s="12">
        <v>1.02</v>
      </c>
      <c r="MJ27" s="13">
        <v>5</v>
      </c>
      <c r="MK27" s="19">
        <f t="shared" si="154"/>
        <v>2.4029330668283277</v>
      </c>
      <c r="ML27" s="19">
        <f t="shared" si="155"/>
        <v>1.6994056609743926E-2</v>
      </c>
      <c r="MM27" s="12"/>
      <c r="MN27" s="12"/>
      <c r="MO27" s="12" t="s">
        <v>37</v>
      </c>
      <c r="MP27" s="12" t="s">
        <v>37</v>
      </c>
      <c r="MQ27" s="13" t="s">
        <v>37</v>
      </c>
      <c r="MR27" s="12" t="s">
        <v>37</v>
      </c>
      <c r="MS27" s="12" t="s">
        <v>37</v>
      </c>
      <c r="MT27" s="13" t="s">
        <v>37</v>
      </c>
      <c r="MU27" s="13"/>
      <c r="MV27" s="13"/>
      <c r="MW27" s="12"/>
      <c r="MX27" s="12"/>
      <c r="MY27" s="12" t="s">
        <v>37</v>
      </c>
      <c r="MZ27" s="12" t="s">
        <v>37</v>
      </c>
      <c r="NA27" s="12" t="s">
        <v>37</v>
      </c>
      <c r="NB27" s="12" t="s">
        <v>37</v>
      </c>
      <c r="NC27" s="12" t="s">
        <v>37</v>
      </c>
      <c r="ND27" s="12" t="s">
        <v>37</v>
      </c>
      <c r="NE27" s="12"/>
      <c r="NF27" s="12"/>
      <c r="NG27" s="12"/>
      <c r="NH27" s="12"/>
      <c r="NI27" s="12" t="s">
        <v>37</v>
      </c>
      <c r="NJ27" s="12" t="s">
        <v>37</v>
      </c>
      <c r="NK27" s="13" t="s">
        <v>37</v>
      </c>
      <c r="NL27" s="12" t="s">
        <v>37</v>
      </c>
      <c r="NM27" s="12" t="s">
        <v>37</v>
      </c>
      <c r="NN27" s="13" t="s">
        <v>37</v>
      </c>
      <c r="NO27" s="13"/>
      <c r="NP27" s="13"/>
      <c r="NQ27" s="12"/>
      <c r="NR27" s="12"/>
      <c r="NS27" s="11" t="s">
        <v>37</v>
      </c>
      <c r="NT27" s="11" t="s">
        <v>37</v>
      </c>
      <c r="NU27" s="13" t="s">
        <v>37</v>
      </c>
      <c r="NV27" s="11" t="s">
        <v>37</v>
      </c>
      <c r="NW27" s="11" t="s">
        <v>37</v>
      </c>
      <c r="NX27" s="13" t="s">
        <v>37</v>
      </c>
      <c r="NY27" s="13"/>
      <c r="NZ27" s="13"/>
      <c r="OA27" s="12"/>
      <c r="OB27" s="12"/>
      <c r="OC27" s="12" t="s">
        <v>37</v>
      </c>
      <c r="OD27" s="12" t="s">
        <v>37</v>
      </c>
      <c r="OE27" s="12" t="s">
        <v>37</v>
      </c>
      <c r="OF27" s="12" t="s">
        <v>37</v>
      </c>
      <c r="OG27" s="12" t="s">
        <v>37</v>
      </c>
      <c r="OH27" s="12" t="s">
        <v>37</v>
      </c>
      <c r="OI27" s="12"/>
      <c r="OJ27" s="12"/>
      <c r="OK27" s="12"/>
      <c r="OL27" s="12" t="s">
        <v>37</v>
      </c>
      <c r="OM27" s="12" t="s">
        <v>37</v>
      </c>
      <c r="ON27" s="11" t="s">
        <v>37</v>
      </c>
      <c r="OO27" s="12" t="s">
        <v>37</v>
      </c>
      <c r="OP27" s="12" t="s">
        <v>37</v>
      </c>
      <c r="OQ27" s="12" t="s">
        <v>37</v>
      </c>
      <c r="OR27" s="12"/>
      <c r="OS27" s="12" t="s">
        <v>37</v>
      </c>
      <c r="OT27" s="12" t="s">
        <v>37</v>
      </c>
      <c r="OU27" s="12" t="s">
        <v>37</v>
      </c>
      <c r="OV27" s="12" t="s">
        <v>37</v>
      </c>
      <c r="OW27" s="12" t="s">
        <v>37</v>
      </c>
      <c r="OX27" s="12" t="s">
        <v>37</v>
      </c>
      <c r="OY27" s="12"/>
      <c r="OZ27" s="12"/>
      <c r="PA27" s="12" t="s">
        <v>37</v>
      </c>
      <c r="PB27" s="12" t="s">
        <v>37</v>
      </c>
      <c r="PC27" s="12" t="s">
        <v>37</v>
      </c>
      <c r="PD27" s="12" t="s">
        <v>37</v>
      </c>
      <c r="PE27" s="12" t="s">
        <v>37</v>
      </c>
      <c r="PF27" s="12" t="s">
        <v>37</v>
      </c>
      <c r="PG27" s="12"/>
      <c r="PH27" s="12"/>
      <c r="PI27" s="12" t="s">
        <v>37</v>
      </c>
      <c r="PJ27" s="12" t="s">
        <v>37</v>
      </c>
      <c r="PK27" s="12" t="s">
        <v>37</v>
      </c>
      <c r="PL27" s="12" t="s">
        <v>37</v>
      </c>
      <c r="PM27" s="12" t="s">
        <v>37</v>
      </c>
      <c r="PN27" s="12" t="s">
        <v>37</v>
      </c>
      <c r="PO27" s="12"/>
      <c r="PP27" s="12"/>
      <c r="PQ27" s="12" t="s">
        <v>37</v>
      </c>
      <c r="PR27" s="12" t="s">
        <v>37</v>
      </c>
      <c r="PS27" s="12" t="s">
        <v>37</v>
      </c>
      <c r="PT27" s="12" t="s">
        <v>37</v>
      </c>
      <c r="PU27" s="12" t="s">
        <v>37</v>
      </c>
      <c r="PV27" s="12" t="s">
        <v>37</v>
      </c>
      <c r="PW27" s="12"/>
      <c r="PX27" s="12"/>
      <c r="PY27" s="12" t="s">
        <v>37</v>
      </c>
      <c r="PZ27" s="12" t="s">
        <v>37</v>
      </c>
      <c r="QA27" s="12" t="s">
        <v>37</v>
      </c>
      <c r="QB27" s="12" t="s">
        <v>37</v>
      </c>
      <c r="QC27" s="12" t="s">
        <v>37</v>
      </c>
      <c r="QD27" s="12" t="s">
        <v>37</v>
      </c>
      <c r="QE27" s="12"/>
      <c r="QF27" s="12"/>
      <c r="QG27" s="12" t="s">
        <v>37</v>
      </c>
      <c r="QH27" s="12" t="s">
        <v>37</v>
      </c>
      <c r="QI27" s="12" t="s">
        <v>37</v>
      </c>
      <c r="QJ27" s="12" t="s">
        <v>37</v>
      </c>
      <c r="QK27" s="12" t="s">
        <v>37</v>
      </c>
      <c r="QL27" s="12" t="s">
        <v>37</v>
      </c>
      <c r="QM27" s="12" t="s">
        <v>42</v>
      </c>
      <c r="QN27" s="12" t="s">
        <v>345</v>
      </c>
      <c r="QO27" s="12">
        <v>1.29</v>
      </c>
      <c r="QP27" s="12">
        <f t="shared" si="156"/>
        <v>3.4641016151377546E-2</v>
      </c>
      <c r="QQ27" s="13">
        <v>3</v>
      </c>
      <c r="QR27" s="12" t="s">
        <v>37</v>
      </c>
      <c r="QS27" s="12" t="s">
        <v>37</v>
      </c>
      <c r="QT27" s="12" t="s">
        <v>37</v>
      </c>
      <c r="QU27" s="12"/>
      <c r="QV27" s="12"/>
      <c r="QW27" s="12"/>
      <c r="QX27" s="12"/>
      <c r="QY27" s="12" t="s">
        <v>37</v>
      </c>
      <c r="QZ27" s="12" t="s">
        <v>37</v>
      </c>
      <c r="RA27" s="11" t="s">
        <v>37</v>
      </c>
      <c r="RB27" s="12" t="s">
        <v>37</v>
      </c>
      <c r="RC27" s="12" t="s">
        <v>37</v>
      </c>
      <c r="RD27" s="11" t="s">
        <v>37</v>
      </c>
      <c r="RE27" s="11"/>
      <c r="RF27" s="11"/>
      <c r="RG27" s="12"/>
      <c r="RH27" s="12"/>
      <c r="RI27" s="12" t="s">
        <v>37</v>
      </c>
      <c r="RJ27" s="12" t="s">
        <v>37</v>
      </c>
      <c r="RK27" s="11" t="s">
        <v>37</v>
      </c>
      <c r="RL27" s="12" t="s">
        <v>37</v>
      </c>
      <c r="RM27" s="12" t="s">
        <v>37</v>
      </c>
      <c r="RN27" s="11" t="s">
        <v>37</v>
      </c>
      <c r="RO27" s="11"/>
      <c r="RP27" s="11"/>
      <c r="RQ27" s="12"/>
      <c r="RR27" s="12"/>
      <c r="RS27" s="12" t="s">
        <v>37</v>
      </c>
      <c r="RT27" s="12" t="s">
        <v>37</v>
      </c>
      <c r="RU27" s="11" t="s">
        <v>37</v>
      </c>
      <c r="RV27" s="12" t="s">
        <v>37</v>
      </c>
      <c r="RW27" s="12" t="s">
        <v>37</v>
      </c>
      <c r="RX27" s="11" t="s">
        <v>37</v>
      </c>
      <c r="RY27" s="11"/>
      <c r="RZ27" s="11"/>
      <c r="SA27" s="12"/>
      <c r="SB27" s="12"/>
      <c r="SC27" s="12" t="s">
        <v>37</v>
      </c>
      <c r="SD27" s="12" t="s">
        <v>37</v>
      </c>
      <c r="SE27" s="12" t="s">
        <v>37</v>
      </c>
      <c r="SF27" s="12" t="s">
        <v>37</v>
      </c>
      <c r="SG27" s="12" t="s">
        <v>37</v>
      </c>
      <c r="SH27" s="12" t="s">
        <v>37</v>
      </c>
      <c r="SI27" s="12"/>
      <c r="SJ27" s="12"/>
      <c r="SK27" s="12"/>
      <c r="SL27" s="12"/>
      <c r="SM27" s="12" t="s">
        <v>37</v>
      </c>
      <c r="SN27" s="12" t="s">
        <v>37</v>
      </c>
      <c r="SO27" s="12" t="s">
        <v>37</v>
      </c>
      <c r="SP27" s="12" t="s">
        <v>37</v>
      </c>
      <c r="SQ27" s="12" t="s">
        <v>37</v>
      </c>
      <c r="SR27" s="12" t="s">
        <v>37</v>
      </c>
      <c r="SS27" s="12"/>
      <c r="ST27" s="12"/>
      <c r="SU27" s="12"/>
      <c r="SV27" s="12"/>
      <c r="SW27" s="12" t="s">
        <v>37</v>
      </c>
      <c r="SX27" s="12" t="s">
        <v>37</v>
      </c>
      <c r="SY27" s="12" t="s">
        <v>37</v>
      </c>
      <c r="SZ27" s="12" t="s">
        <v>37</v>
      </c>
      <c r="TA27" s="12" t="s">
        <v>37</v>
      </c>
      <c r="TB27" s="12" t="s">
        <v>37</v>
      </c>
      <c r="TC27" s="12"/>
      <c r="TD27" s="12"/>
      <c r="TE27" s="12"/>
      <c r="TF27" s="12"/>
      <c r="TG27" s="13" t="s">
        <v>37</v>
      </c>
      <c r="TH27" s="13" t="s">
        <v>37</v>
      </c>
      <c r="TI27" s="13" t="s">
        <v>37</v>
      </c>
      <c r="TJ27" s="13" t="s">
        <v>37</v>
      </c>
      <c r="TK27" s="13" t="s">
        <v>37</v>
      </c>
      <c r="TL27" s="13" t="s">
        <v>37</v>
      </c>
      <c r="TM27" s="13"/>
      <c r="TN27" s="13"/>
      <c r="TO27" s="12"/>
      <c r="TP27" s="12"/>
      <c r="TQ27" s="13" t="s">
        <v>37</v>
      </c>
      <c r="TR27" s="13" t="s">
        <v>37</v>
      </c>
      <c r="TS27" s="13" t="s">
        <v>37</v>
      </c>
      <c r="TT27" s="19"/>
      <c r="TU27" s="13" t="s">
        <v>37</v>
      </c>
      <c r="TV27" s="13" t="s">
        <v>37</v>
      </c>
      <c r="TW27" s="13" t="s">
        <v>37</v>
      </c>
    </row>
    <row r="28" spans="1:543" ht="15.6" x14ac:dyDescent="0.3">
      <c r="A28" s="11">
        <v>11</v>
      </c>
      <c r="B28" s="16" t="s">
        <v>259</v>
      </c>
      <c r="C28" s="12" t="s">
        <v>26</v>
      </c>
      <c r="D28" s="12" t="s">
        <v>609</v>
      </c>
      <c r="E28" s="12" t="s">
        <v>37</v>
      </c>
      <c r="F28" s="14">
        <v>0</v>
      </c>
      <c r="G28" s="14">
        <v>0</v>
      </c>
      <c r="H28" s="12" t="s">
        <v>82</v>
      </c>
      <c r="I28" s="29">
        <v>46.183</v>
      </c>
      <c r="J28" s="29">
        <v>-86.016999999999996</v>
      </c>
      <c r="K28" s="12" t="s">
        <v>809</v>
      </c>
      <c r="L28" s="12" t="s">
        <v>810</v>
      </c>
      <c r="M28" s="13">
        <v>207</v>
      </c>
      <c r="N28" s="14">
        <v>5.0999999999999996</v>
      </c>
      <c r="O28" s="14">
        <v>810</v>
      </c>
      <c r="P28" s="14" t="s">
        <v>16</v>
      </c>
      <c r="Q28" s="11">
        <v>80</v>
      </c>
      <c r="R28" s="11" t="s">
        <v>37</v>
      </c>
      <c r="S28" s="12" t="s">
        <v>85</v>
      </c>
      <c r="T28" s="12" t="s">
        <v>141</v>
      </c>
      <c r="U28" s="12" t="s">
        <v>163</v>
      </c>
      <c r="V28" s="12" t="s">
        <v>275</v>
      </c>
      <c r="W28" s="23" t="s">
        <v>260</v>
      </c>
      <c r="X28" s="12" t="s">
        <v>281</v>
      </c>
      <c r="Y28" s="12" t="s">
        <v>69</v>
      </c>
      <c r="Z28" s="12" t="s">
        <v>37</v>
      </c>
      <c r="AA28" s="32">
        <v>2011</v>
      </c>
      <c r="AB28" s="13" t="s">
        <v>37</v>
      </c>
      <c r="AC28" s="13" t="s">
        <v>37</v>
      </c>
      <c r="AD28" s="12" t="s">
        <v>37</v>
      </c>
      <c r="AE28" s="12" t="s">
        <v>74</v>
      </c>
      <c r="AF28" s="12" t="s">
        <v>489</v>
      </c>
      <c r="AG28" s="12" t="s">
        <v>42</v>
      </c>
      <c r="AH28" s="32" t="s">
        <v>330</v>
      </c>
      <c r="AI28" s="12">
        <v>476</v>
      </c>
      <c r="AJ28" s="12">
        <f>4*SQRT(6)</f>
        <v>9.7979589711327115</v>
      </c>
      <c r="AK28" s="11">
        <v>6</v>
      </c>
      <c r="AL28" s="19">
        <f t="shared" si="110"/>
        <v>2.0583947418346033E-2</v>
      </c>
      <c r="AM28" s="12">
        <v>482</v>
      </c>
      <c r="AN28" s="12">
        <f>4*SQRT(6)</f>
        <v>9.7979589711327115</v>
      </c>
      <c r="AO28" s="13">
        <v>6</v>
      </c>
      <c r="AP28" s="19">
        <f>AN28/AM28</f>
        <v>2.0327715707744214E-2</v>
      </c>
      <c r="AQ28" s="49">
        <f t="shared" ref="AQ28:AQ29" si="160">LN(AM28/AI28)</f>
        <v>1.2526259819180256E-2</v>
      </c>
      <c r="AR28" s="19">
        <f t="shared" ref="AR28:AR29" si="161">AN28^2/(AO28*AM28^2)+AJ28^2/(AK28*AI28^2)</f>
        <v>1.3948581953601754E-4</v>
      </c>
      <c r="AS28" s="32"/>
      <c r="AT28" s="12" t="s">
        <v>37</v>
      </c>
      <c r="AU28" s="12" t="s">
        <v>37</v>
      </c>
      <c r="AV28" s="12" t="s">
        <v>37</v>
      </c>
      <c r="AW28" s="12" t="s">
        <v>37</v>
      </c>
      <c r="AX28" s="12" t="s">
        <v>37</v>
      </c>
      <c r="AY28" s="12" t="s">
        <v>37</v>
      </c>
      <c r="AZ28" s="12"/>
      <c r="BA28" s="12"/>
      <c r="BB28" s="12"/>
      <c r="BC28" s="12" t="s">
        <v>37</v>
      </c>
      <c r="BD28" s="12" t="s">
        <v>37</v>
      </c>
      <c r="BE28" s="12" t="s">
        <v>37</v>
      </c>
      <c r="BF28" s="12" t="s">
        <v>37</v>
      </c>
      <c r="BG28" s="12" t="s">
        <v>37</v>
      </c>
      <c r="BH28" s="12" t="s">
        <v>37</v>
      </c>
      <c r="BI28" s="12"/>
      <c r="BJ28" s="12" t="s">
        <v>37</v>
      </c>
      <c r="BK28" s="12" t="s">
        <v>37</v>
      </c>
      <c r="BL28" s="13" t="s">
        <v>37</v>
      </c>
      <c r="BM28" s="12" t="s">
        <v>37</v>
      </c>
      <c r="BN28" s="12" t="s">
        <v>37</v>
      </c>
      <c r="BO28" s="13" t="s">
        <v>37</v>
      </c>
      <c r="BP28" s="19"/>
      <c r="BQ28" s="19"/>
      <c r="BR28" s="19"/>
      <c r="BS28" s="19"/>
      <c r="BT28" s="12"/>
      <c r="BU28" s="12" t="s">
        <v>37</v>
      </c>
      <c r="BV28" s="12" t="s">
        <v>37</v>
      </c>
      <c r="BW28" s="13" t="s">
        <v>37</v>
      </c>
      <c r="BX28" s="12" t="s">
        <v>37</v>
      </c>
      <c r="BY28" s="12" t="s">
        <v>37</v>
      </c>
      <c r="BZ28" s="13" t="s">
        <v>37</v>
      </c>
      <c r="CA28" s="19"/>
      <c r="CB28" s="19"/>
      <c r="CC28" s="19"/>
      <c r="CD28" s="19"/>
      <c r="CE28" s="12"/>
      <c r="CF28" s="12" t="s">
        <v>37</v>
      </c>
      <c r="CG28" s="12" t="s">
        <v>37</v>
      </c>
      <c r="CH28" s="13" t="s">
        <v>37</v>
      </c>
      <c r="CI28" s="12" t="s">
        <v>37</v>
      </c>
      <c r="CJ28" s="12" t="s">
        <v>37</v>
      </c>
      <c r="CK28" s="13" t="s">
        <v>37</v>
      </c>
      <c r="CL28" s="19"/>
      <c r="CM28" s="19"/>
      <c r="CN28" s="19"/>
      <c r="CO28" s="19"/>
      <c r="CP28" s="11" t="s">
        <v>34</v>
      </c>
      <c r="CQ28" s="12" t="s">
        <v>37</v>
      </c>
      <c r="CR28" s="19" t="s">
        <v>37</v>
      </c>
      <c r="CS28" s="12" t="s">
        <v>37</v>
      </c>
      <c r="CT28" s="19"/>
      <c r="CU28" s="12" t="s">
        <v>37</v>
      </c>
      <c r="CV28" s="19" t="s">
        <v>37</v>
      </c>
      <c r="CW28" s="12" t="s">
        <v>37</v>
      </c>
      <c r="CX28" s="19"/>
      <c r="CY28" s="68"/>
      <c r="CZ28" s="68"/>
      <c r="DA28" s="68"/>
      <c r="DB28" s="68"/>
      <c r="DC28" s="11"/>
      <c r="DD28" s="11" t="s">
        <v>37</v>
      </c>
      <c r="DE28" s="68" t="s">
        <v>37</v>
      </c>
      <c r="DF28" s="11" t="s">
        <v>37</v>
      </c>
      <c r="DG28" s="19"/>
      <c r="DH28" s="11" t="s">
        <v>37</v>
      </c>
      <c r="DI28" s="68" t="s">
        <v>37</v>
      </c>
      <c r="DJ28" s="11" t="s">
        <v>37</v>
      </c>
      <c r="DK28" s="19"/>
      <c r="DL28" s="68"/>
      <c r="DM28" s="68"/>
      <c r="DN28" s="68"/>
      <c r="DO28" s="68"/>
      <c r="DP28" s="12" t="s">
        <v>39</v>
      </c>
      <c r="DQ28" s="12">
        <v>-26.2</v>
      </c>
      <c r="DR28" s="12">
        <v>7.1</v>
      </c>
      <c r="DS28" s="13">
        <v>6</v>
      </c>
      <c r="DT28" s="19">
        <f>DR28/ABS(DQ28)</f>
        <v>0.27099236641221375</v>
      </c>
      <c r="DU28" s="12">
        <v>-36.6</v>
      </c>
      <c r="DV28" s="12">
        <v>5.7</v>
      </c>
      <c r="DW28" s="13">
        <v>6</v>
      </c>
      <c r="DX28" s="19">
        <f>DV28/ABS(DU28)</f>
        <v>0.15573770491803279</v>
      </c>
      <c r="DY28" s="19">
        <f t="shared" ref="DY28:DY42" si="162">DU28-DQ28</f>
        <v>-10.400000000000002</v>
      </c>
      <c r="DZ28" s="12">
        <f t="shared" ref="DZ28:DZ42" si="163">SQRT(((DS28-1)*DR28^2+(DW28-1)*DV28^2)/(DS28+DW28-2))</f>
        <v>6.4381674411279493</v>
      </c>
      <c r="EA28" s="72">
        <f t="shared" ref="EA28:EA59" si="164">(((DS28+DW28)/(DS28*DW28))*(((DS28-1)*DR28^2)+(DW28-1)*DV28^2)/(DS28+DW28-2))</f>
        <v>13.816666666666666</v>
      </c>
      <c r="EB28" s="72">
        <f t="shared" ref="EB28:EB59" si="165">(DR28^2/DS28)+(DV28^2/DW28)</f>
        <v>13.816666666666666</v>
      </c>
      <c r="EC28" s="12"/>
      <c r="ED28" s="12"/>
      <c r="EE28" s="12" t="s">
        <v>37</v>
      </c>
      <c r="EF28" s="12" t="s">
        <v>37</v>
      </c>
      <c r="EG28" s="11" t="s">
        <v>37</v>
      </c>
      <c r="EH28" s="19"/>
      <c r="EI28" s="12" t="s">
        <v>37</v>
      </c>
      <c r="EJ28" s="20" t="s">
        <v>37</v>
      </c>
      <c r="EK28" s="11" t="s">
        <v>37</v>
      </c>
      <c r="EL28" s="19"/>
      <c r="EM28" s="19"/>
      <c r="EN28" s="19"/>
      <c r="EO28" s="19"/>
      <c r="EP28" s="19"/>
      <c r="EQ28" s="32"/>
      <c r="ER28" s="12" t="s">
        <v>37</v>
      </c>
      <c r="ES28" s="12" t="s">
        <v>37</v>
      </c>
      <c r="ET28" s="11" t="s">
        <v>37</v>
      </c>
      <c r="EU28" s="19"/>
      <c r="EV28" s="13" t="s">
        <v>37</v>
      </c>
      <c r="EW28" s="11" t="s">
        <v>37</v>
      </c>
      <c r="EX28" s="11" t="s">
        <v>37</v>
      </c>
      <c r="EY28" s="19"/>
      <c r="EZ28" s="19"/>
      <c r="FA28" s="19"/>
      <c r="FB28" s="19"/>
      <c r="FC28" s="32"/>
      <c r="FD28" s="12" t="s">
        <v>37</v>
      </c>
      <c r="FE28" s="12" t="s">
        <v>37</v>
      </c>
      <c r="FF28" s="11" t="s">
        <v>37</v>
      </c>
      <c r="FG28" s="13" t="s">
        <v>37</v>
      </c>
      <c r="FH28" s="11" t="s">
        <v>37</v>
      </c>
      <c r="FI28" s="11" t="s">
        <v>37</v>
      </c>
      <c r="FJ28" s="19"/>
      <c r="FK28" s="19"/>
      <c r="FL28" s="19"/>
      <c r="FM28" s="32"/>
      <c r="FN28" s="12" t="s">
        <v>37</v>
      </c>
      <c r="FO28" s="12" t="s">
        <v>37</v>
      </c>
      <c r="FP28" s="11" t="s">
        <v>37</v>
      </c>
      <c r="FQ28" s="13" t="s">
        <v>37</v>
      </c>
      <c r="FR28" s="11" t="s">
        <v>37</v>
      </c>
      <c r="FS28" s="11" t="s">
        <v>37</v>
      </c>
      <c r="FT28" s="19"/>
      <c r="FU28" s="19"/>
      <c r="FV28" s="19"/>
      <c r="FW28" s="12"/>
      <c r="FX28" s="12"/>
      <c r="FY28" s="12" t="s">
        <v>37</v>
      </c>
      <c r="FZ28" s="12" t="s">
        <v>37</v>
      </c>
      <c r="GA28" s="13" t="s">
        <v>37</v>
      </c>
      <c r="GB28" s="12" t="s">
        <v>37</v>
      </c>
      <c r="GC28" s="12" t="s">
        <v>37</v>
      </c>
      <c r="GD28" s="13" t="s">
        <v>37</v>
      </c>
      <c r="GE28" s="19"/>
      <c r="GF28" s="19"/>
      <c r="GG28" s="12"/>
      <c r="GH28" s="12"/>
      <c r="GI28" s="12" t="s">
        <v>37</v>
      </c>
      <c r="GJ28" s="12" t="s">
        <v>37</v>
      </c>
      <c r="GK28" s="12" t="s">
        <v>37</v>
      </c>
      <c r="GL28" s="19"/>
      <c r="GM28" s="12" t="s">
        <v>37</v>
      </c>
      <c r="GN28" s="12" t="s">
        <v>37</v>
      </c>
      <c r="GO28" s="12" t="s">
        <v>37</v>
      </c>
      <c r="GP28" s="19"/>
      <c r="GQ28" s="19"/>
      <c r="GR28" s="19"/>
      <c r="GS28" s="17" t="s">
        <v>63</v>
      </c>
      <c r="GT28" s="34" t="s">
        <v>330</v>
      </c>
      <c r="GU28" s="12">
        <v>0.01</v>
      </c>
      <c r="GV28" s="12">
        <f>0.0002*SQRT(6)</f>
        <v>4.8989794855663557E-4</v>
      </c>
      <c r="GW28" s="13">
        <v>6</v>
      </c>
      <c r="GX28" s="19">
        <f t="shared" si="117"/>
        <v>4.8989794855663557E-2</v>
      </c>
      <c r="GY28" s="12">
        <v>0.01</v>
      </c>
      <c r="GZ28" s="12">
        <f>0.002*SQRT(6)</f>
        <v>4.8989794855663557E-3</v>
      </c>
      <c r="HA28" s="13">
        <v>6</v>
      </c>
      <c r="HB28" s="19">
        <f t="shared" ref="HB28" si="166">GZ28/GY28</f>
        <v>0.48989794855663554</v>
      </c>
      <c r="HC28" s="19">
        <f>LN(GY28/GU28)</f>
        <v>0</v>
      </c>
      <c r="HD28" s="19">
        <f t="shared" ref="HD28:HD29" si="167">GZ28^2/(HA28*GY28^2)+GV28^2/(GW28*GU28^2)</f>
        <v>4.0399999999999985E-2</v>
      </c>
      <c r="HE28" s="34" t="s">
        <v>421</v>
      </c>
      <c r="HF28" s="12">
        <v>0.01</v>
      </c>
      <c r="HG28" s="12">
        <f>0.0004*SQRT(6)</f>
        <v>9.7979589711327114E-4</v>
      </c>
      <c r="HH28" s="13">
        <v>6</v>
      </c>
      <c r="HI28" s="12">
        <v>0.01</v>
      </c>
      <c r="HJ28" s="12">
        <f>0.001*SQRT(6)</f>
        <v>2.4494897427831779E-3</v>
      </c>
      <c r="HK28" s="13">
        <v>6</v>
      </c>
      <c r="HL28" s="13"/>
      <c r="HM28" s="13"/>
      <c r="HN28" s="34" t="s">
        <v>422</v>
      </c>
      <c r="HO28" s="12">
        <v>0.02</v>
      </c>
      <c r="HP28" s="12">
        <f>0.0002*SQRT(6)</f>
        <v>4.8989794855663557E-4</v>
      </c>
      <c r="HQ28" s="13">
        <v>6</v>
      </c>
      <c r="HR28" s="12">
        <v>0.02</v>
      </c>
      <c r="HS28" s="12">
        <f>0.003*SQRT(6)</f>
        <v>7.3484692283495336E-3</v>
      </c>
      <c r="HT28" s="13">
        <v>6</v>
      </c>
      <c r="HU28" s="19">
        <f>LN(HR28/HO28)</f>
        <v>0</v>
      </c>
      <c r="HV28" s="19">
        <f>HS28^2/(HT28*HR28^2)+HP28^2/(HQ28*HO28^2)</f>
        <v>2.2599999999999995E-2</v>
      </c>
      <c r="HW28" s="12"/>
      <c r="HX28" s="12"/>
      <c r="HY28" s="12" t="s">
        <v>37</v>
      </c>
      <c r="HZ28" s="12" t="s">
        <v>37</v>
      </c>
      <c r="IA28" s="12" t="s">
        <v>37</v>
      </c>
      <c r="IB28" s="12" t="s">
        <v>37</v>
      </c>
      <c r="IC28" s="12" t="s">
        <v>37</v>
      </c>
      <c r="ID28" s="12" t="s">
        <v>37</v>
      </c>
      <c r="IE28" s="12"/>
      <c r="IF28" s="32"/>
      <c r="IG28" s="12" t="s">
        <v>37</v>
      </c>
      <c r="IH28" s="12" t="s">
        <v>37</v>
      </c>
      <c r="II28" s="13" t="s">
        <v>37</v>
      </c>
      <c r="IJ28" s="19"/>
      <c r="IK28" s="12" t="s">
        <v>37</v>
      </c>
      <c r="IL28" s="12" t="s">
        <v>37</v>
      </c>
      <c r="IM28" s="13" t="s">
        <v>37</v>
      </c>
      <c r="IN28" s="19"/>
      <c r="IO28" s="19"/>
      <c r="IP28" s="19"/>
      <c r="IQ28" s="32"/>
      <c r="IR28" s="12" t="s">
        <v>37</v>
      </c>
      <c r="IS28" s="12" t="s">
        <v>37</v>
      </c>
      <c r="IT28" s="13" t="s">
        <v>37</v>
      </c>
      <c r="IU28" s="12" t="s">
        <v>37</v>
      </c>
      <c r="IV28" s="12" t="s">
        <v>37</v>
      </c>
      <c r="IW28" s="12" t="s">
        <v>37</v>
      </c>
      <c r="IX28" s="32"/>
      <c r="IY28" s="12" t="s">
        <v>37</v>
      </c>
      <c r="IZ28" s="12" t="s">
        <v>37</v>
      </c>
      <c r="JA28" s="13" t="s">
        <v>37</v>
      </c>
      <c r="JB28" s="12" t="s">
        <v>37</v>
      </c>
      <c r="JC28" s="12" t="s">
        <v>37</v>
      </c>
      <c r="JD28" s="12" t="s">
        <v>37</v>
      </c>
      <c r="JE28" s="12"/>
      <c r="JF28" s="12"/>
      <c r="JG28" s="11" t="s">
        <v>37</v>
      </c>
      <c r="JH28" s="11" t="s">
        <v>37</v>
      </c>
      <c r="JI28" s="13" t="s">
        <v>37</v>
      </c>
      <c r="JJ28" s="11" t="s">
        <v>37</v>
      </c>
      <c r="JK28" s="11" t="s">
        <v>37</v>
      </c>
      <c r="JL28" s="11" t="s">
        <v>37</v>
      </c>
      <c r="JM28" s="12" t="s">
        <v>42</v>
      </c>
      <c r="JN28" s="32" t="s">
        <v>330</v>
      </c>
      <c r="JO28" s="12">
        <v>8.1999999999999993</v>
      </c>
      <c r="JP28" s="12">
        <f>0.6*SQRT(6)</f>
        <v>1.4696938456699067</v>
      </c>
      <c r="JQ28" s="11">
        <v>6</v>
      </c>
      <c r="JR28" s="19"/>
      <c r="JS28" s="12">
        <v>8.6</v>
      </c>
      <c r="JT28" s="12">
        <f>0.5*SQRT(6)</f>
        <v>1.2247448713915889</v>
      </c>
      <c r="JU28" s="13">
        <v>6</v>
      </c>
      <c r="JV28" s="19"/>
      <c r="JW28" s="19">
        <f t="shared" ref="JW28:JW29" si="168">LN(JS28/JO28)</f>
        <v>4.7628048989254664E-2</v>
      </c>
      <c r="JX28" s="19">
        <f t="shared" ref="JX28:JX29" si="169">JT28^2/(JU28*JS28^2)+JP28^2/(JQ28*JO28^2)</f>
        <v>8.7341614950795787E-3</v>
      </c>
      <c r="JY28" s="32" t="s">
        <v>421</v>
      </c>
      <c r="JZ28" s="12">
        <v>7.6</v>
      </c>
      <c r="KA28" s="12">
        <f>1.3*SQRT(6)</f>
        <v>3.1843366656181313</v>
      </c>
      <c r="KB28" s="13">
        <v>6</v>
      </c>
      <c r="KC28" s="12">
        <v>7.6</v>
      </c>
      <c r="KD28" s="12">
        <f>0.3*SQRT(6)</f>
        <v>0.73484692283495334</v>
      </c>
      <c r="KE28" s="13">
        <v>6</v>
      </c>
      <c r="KF28" s="19">
        <f>LN(KC28/JZ28)</f>
        <v>0</v>
      </c>
      <c r="KG28" s="19">
        <f>KD28^2/(KE28*KC28^2)+KA28^2/(KB28*JZ28^2)</f>
        <v>3.0817174515235451E-2</v>
      </c>
      <c r="KH28" s="32" t="s">
        <v>422</v>
      </c>
      <c r="KI28" s="12">
        <v>7.3</v>
      </c>
      <c r="KJ28" s="12">
        <f>0.9*SQRT(6)</f>
        <v>2.2045407685048604</v>
      </c>
      <c r="KK28" s="13">
        <v>6</v>
      </c>
      <c r="KL28" s="12">
        <v>8</v>
      </c>
      <c r="KM28" s="12">
        <f>0.5*SQRT(6)</f>
        <v>1.2247448713915889</v>
      </c>
      <c r="KN28" s="13">
        <v>6</v>
      </c>
      <c r="KO28" s="19">
        <f>LN(KL28/KI28)</f>
        <v>9.1567193525490434E-2</v>
      </c>
      <c r="KP28" s="19">
        <f>KM28^2/(KN28*KL28^2)+KJ28^2/(KK28*KI28^2)</f>
        <v>1.9106099878025896E-2</v>
      </c>
      <c r="KQ28" s="12"/>
      <c r="KR28" s="12" t="str">
        <f t="shared" si="87"/>
        <v>0-5</v>
      </c>
      <c r="KS28" s="12">
        <f t="shared" si="88"/>
        <v>58.048780487804883</v>
      </c>
      <c r="KT28" s="12">
        <f t="shared" si="119"/>
        <v>10.472526860328662</v>
      </c>
      <c r="KU28" s="13">
        <f t="shared" si="89"/>
        <v>6</v>
      </c>
      <c r="KV28" s="19">
        <f t="shared" si="157"/>
        <v>0.18040907616532567</v>
      </c>
      <c r="KW28" s="12">
        <f>AM28/JS28</f>
        <v>56.04651162790698</v>
      </c>
      <c r="KX28" s="12">
        <f>SQRT((1/JS28)^2*AN28^2+AM28^2*(-1/JS28^2)^2*JT28^2)</f>
        <v>8.0626075723980826</v>
      </c>
      <c r="KY28" s="13">
        <f t="shared" si="93"/>
        <v>6</v>
      </c>
      <c r="KZ28" s="19">
        <f t="shared" ref="KZ28" si="170">KX28/KW28</f>
        <v>0.14385565378137657</v>
      </c>
      <c r="LA28" s="19">
        <f t="shared" ref="LA28:LA29" si="171">LN(KW28/KS28)</f>
        <v>-3.5101789170074386E-2</v>
      </c>
      <c r="LB28" s="19">
        <f t="shared" ref="LB28:LB29" si="172">KX28^2/(KY28*KW28^2)+KT28^2/(KU28*KS28^2)</f>
        <v>8.8736473146155941E-3</v>
      </c>
      <c r="LC28" s="12" t="str">
        <f t="shared" si="120"/>
        <v>5-10</v>
      </c>
      <c r="LD28" s="12" t="s">
        <v>37</v>
      </c>
      <c r="LE28" s="12" t="s">
        <v>37</v>
      </c>
      <c r="LF28" s="13">
        <f t="shared" si="121"/>
        <v>6</v>
      </c>
      <c r="LG28" s="19">
        <f t="shared" si="158"/>
        <v>7.6</v>
      </c>
      <c r="LH28" s="19">
        <f t="shared" si="159"/>
        <v>0.73484692283495334</v>
      </c>
      <c r="LI28" s="13">
        <f>KE28</f>
        <v>6</v>
      </c>
      <c r="LJ28" s="13"/>
      <c r="LK28" s="13"/>
      <c r="LL28" s="12" t="str">
        <f t="shared" si="122"/>
        <v>10-20</v>
      </c>
      <c r="LM28" s="12" t="e">
        <f t="shared" si="123"/>
        <v>#VALUE!</v>
      </c>
      <c r="LN28" s="12" t="e">
        <f t="shared" si="124"/>
        <v>#VALUE!</v>
      </c>
      <c r="LO28" s="13">
        <f t="shared" si="125"/>
        <v>6</v>
      </c>
      <c r="LP28" s="12" t="e">
        <f t="shared" si="126"/>
        <v>#VALUE!</v>
      </c>
      <c r="LQ28" s="12" t="e">
        <f t="shared" si="127"/>
        <v>#VALUE!</v>
      </c>
      <c r="LR28" s="13">
        <f t="shared" si="128"/>
        <v>6</v>
      </c>
      <c r="LS28" s="12" t="s">
        <v>261</v>
      </c>
      <c r="LT28" s="12" t="s">
        <v>345</v>
      </c>
      <c r="LU28" s="12">
        <f>AVERAGEA(237.3,312)</f>
        <v>274.64999999999998</v>
      </c>
      <c r="LV28" s="12">
        <f>SQRT((29*SQRT(12))^2+((40.4*SQRT(12))^2))/2</f>
        <v>86.136403454056506</v>
      </c>
      <c r="LW28" s="13">
        <v>12</v>
      </c>
      <c r="LX28" s="12">
        <f>AVERAGEA(200.9,318.9)</f>
        <v>259.89999999999998</v>
      </c>
      <c r="LY28" s="12">
        <f>SQRT((22.9*SQRT(12))^2+((36*SQRT(12))^2))/2</f>
        <v>73.900135317873406</v>
      </c>
      <c r="LZ28" s="13">
        <v>12</v>
      </c>
      <c r="MA28" s="19">
        <f t="shared" si="152"/>
        <v>-5.5200618141184842E-2</v>
      </c>
      <c r="MB28" s="19">
        <f t="shared" si="153"/>
        <v>1.493405347127261E-2</v>
      </c>
      <c r="MC28" s="12" t="s">
        <v>261</v>
      </c>
      <c r="MD28" s="12" t="s">
        <v>345</v>
      </c>
      <c r="ME28" s="12">
        <f>AVERAGEA(4.1,0.7)</f>
        <v>2.4</v>
      </c>
      <c r="MF28" s="12">
        <f>SQRT((0.9*SQRT(12))^2+((0.7*SQRT(12))^2))/2</f>
        <v>1.9748417658131499</v>
      </c>
      <c r="MG28" s="13">
        <v>12</v>
      </c>
      <c r="MH28" s="12">
        <f>AVERAGEA(0.7)</f>
        <v>0.7</v>
      </c>
      <c r="MI28" s="12">
        <v>0.4</v>
      </c>
      <c r="MJ28" s="13">
        <v>12</v>
      </c>
      <c r="MK28" s="19">
        <f t="shared" si="154"/>
        <v>-1.2321436812926323</v>
      </c>
      <c r="ML28" s="19">
        <f t="shared" si="155"/>
        <v>8.3634495464852604E-2</v>
      </c>
      <c r="MM28" s="12"/>
      <c r="MN28" s="12"/>
      <c r="MO28" s="12" t="s">
        <v>37</v>
      </c>
      <c r="MP28" s="12" t="s">
        <v>37</v>
      </c>
      <c r="MQ28" s="13" t="s">
        <v>37</v>
      </c>
      <c r="MR28" s="12" t="s">
        <v>37</v>
      </c>
      <c r="MS28" s="12" t="s">
        <v>37</v>
      </c>
      <c r="MT28" s="13" t="s">
        <v>37</v>
      </c>
      <c r="MU28" s="13"/>
      <c r="MV28" s="13"/>
      <c r="MW28" s="12"/>
      <c r="MX28" s="12"/>
      <c r="MY28" s="12" t="s">
        <v>37</v>
      </c>
      <c r="MZ28" s="12" t="s">
        <v>37</v>
      </c>
      <c r="NA28" s="12" t="s">
        <v>37</v>
      </c>
      <c r="NB28" s="12" t="s">
        <v>37</v>
      </c>
      <c r="NC28" s="12" t="s">
        <v>37</v>
      </c>
      <c r="ND28" s="12" t="s">
        <v>37</v>
      </c>
      <c r="NE28" s="12"/>
      <c r="NF28" s="12"/>
      <c r="NG28" s="12"/>
      <c r="NH28" s="12"/>
      <c r="NI28" s="12" t="s">
        <v>37</v>
      </c>
      <c r="NJ28" s="12" t="s">
        <v>37</v>
      </c>
      <c r="NK28" s="13" t="s">
        <v>37</v>
      </c>
      <c r="NL28" s="12" t="s">
        <v>37</v>
      </c>
      <c r="NM28" s="12" t="s">
        <v>37</v>
      </c>
      <c r="NN28" s="13" t="s">
        <v>37</v>
      </c>
      <c r="NO28" s="13"/>
      <c r="NP28" s="13"/>
      <c r="NQ28" s="12"/>
      <c r="NR28" s="12"/>
      <c r="NS28" s="11" t="s">
        <v>37</v>
      </c>
      <c r="NT28" s="11" t="s">
        <v>37</v>
      </c>
      <c r="NU28" s="13" t="s">
        <v>37</v>
      </c>
      <c r="NV28" s="11" t="s">
        <v>37</v>
      </c>
      <c r="NW28" s="11" t="s">
        <v>37</v>
      </c>
      <c r="NX28" s="13" t="s">
        <v>37</v>
      </c>
      <c r="NY28" s="13"/>
      <c r="NZ28" s="13"/>
      <c r="OA28" s="12"/>
      <c r="OB28" s="12"/>
      <c r="OC28" s="12" t="s">
        <v>37</v>
      </c>
      <c r="OD28" s="12" t="s">
        <v>37</v>
      </c>
      <c r="OE28" s="12" t="s">
        <v>37</v>
      </c>
      <c r="OF28" s="12" t="s">
        <v>37</v>
      </c>
      <c r="OG28" s="12" t="s">
        <v>37</v>
      </c>
      <c r="OH28" s="12" t="s">
        <v>37</v>
      </c>
      <c r="OI28" s="12"/>
      <c r="OJ28" s="12"/>
      <c r="OK28" s="12"/>
      <c r="OL28" s="12" t="s">
        <v>37</v>
      </c>
      <c r="OM28" s="12" t="s">
        <v>37</v>
      </c>
      <c r="ON28" s="11" t="s">
        <v>37</v>
      </c>
      <c r="OO28" s="12" t="s">
        <v>37</v>
      </c>
      <c r="OP28" s="12" t="s">
        <v>37</v>
      </c>
      <c r="OQ28" s="12" t="s">
        <v>37</v>
      </c>
      <c r="OR28" s="12"/>
      <c r="OS28" s="12" t="s">
        <v>37</v>
      </c>
      <c r="OT28" s="12" t="s">
        <v>37</v>
      </c>
      <c r="OU28" s="12" t="s">
        <v>37</v>
      </c>
      <c r="OV28" s="12" t="s">
        <v>37</v>
      </c>
      <c r="OW28" s="12" t="s">
        <v>37</v>
      </c>
      <c r="OX28" s="12" t="s">
        <v>37</v>
      </c>
      <c r="OY28" s="12"/>
      <c r="OZ28" s="12"/>
      <c r="PA28" s="12" t="s">
        <v>37</v>
      </c>
      <c r="PB28" s="12" t="s">
        <v>37</v>
      </c>
      <c r="PC28" s="12" t="s">
        <v>37</v>
      </c>
      <c r="PD28" s="12" t="s">
        <v>37</v>
      </c>
      <c r="PE28" s="12" t="s">
        <v>37</v>
      </c>
      <c r="PF28" s="12" t="s">
        <v>37</v>
      </c>
      <c r="PG28" s="12"/>
      <c r="PH28" s="12"/>
      <c r="PI28" s="12" t="s">
        <v>37</v>
      </c>
      <c r="PJ28" s="12" t="s">
        <v>37</v>
      </c>
      <c r="PK28" s="12" t="s">
        <v>37</v>
      </c>
      <c r="PL28" s="12" t="s">
        <v>37</v>
      </c>
      <c r="PM28" s="12" t="s">
        <v>37</v>
      </c>
      <c r="PN28" s="12" t="s">
        <v>37</v>
      </c>
      <c r="PO28" s="12"/>
      <c r="PP28" s="12"/>
      <c r="PQ28" s="12" t="s">
        <v>37</v>
      </c>
      <c r="PR28" s="12" t="s">
        <v>37</v>
      </c>
      <c r="PS28" s="12" t="s">
        <v>37</v>
      </c>
      <c r="PT28" s="12" t="s">
        <v>37</v>
      </c>
      <c r="PU28" s="12" t="s">
        <v>37</v>
      </c>
      <c r="PV28" s="12" t="s">
        <v>37</v>
      </c>
      <c r="PW28" s="12"/>
      <c r="PX28" s="12"/>
      <c r="PY28" s="12" t="s">
        <v>37</v>
      </c>
      <c r="PZ28" s="12" t="s">
        <v>37</v>
      </c>
      <c r="QA28" s="12" t="s">
        <v>37</v>
      </c>
      <c r="QB28" s="12" t="s">
        <v>37</v>
      </c>
      <c r="QC28" s="12" t="s">
        <v>37</v>
      </c>
      <c r="QD28" s="12" t="s">
        <v>37</v>
      </c>
      <c r="QE28" s="12"/>
      <c r="QF28" s="12"/>
      <c r="QG28" s="12" t="s">
        <v>37</v>
      </c>
      <c r="QH28" s="12" t="s">
        <v>37</v>
      </c>
      <c r="QI28" s="12" t="s">
        <v>37</v>
      </c>
      <c r="QJ28" s="12" t="s">
        <v>37</v>
      </c>
      <c r="QK28" s="12" t="s">
        <v>37</v>
      </c>
      <c r="QL28" s="12" t="s">
        <v>37</v>
      </c>
      <c r="QM28" s="12"/>
      <c r="QN28" s="12"/>
      <c r="QO28" s="12" t="s">
        <v>37</v>
      </c>
      <c r="QP28" s="12" t="s">
        <v>37</v>
      </c>
      <c r="QQ28" s="12" t="s">
        <v>37</v>
      </c>
      <c r="QR28" s="12" t="s">
        <v>37</v>
      </c>
      <c r="QS28" s="12" t="s">
        <v>37</v>
      </c>
      <c r="QT28" s="12" t="s">
        <v>37</v>
      </c>
      <c r="QU28" s="12"/>
      <c r="QV28" s="12"/>
      <c r="QW28" s="12"/>
      <c r="QX28" s="12"/>
      <c r="QY28" s="12" t="s">
        <v>37</v>
      </c>
      <c r="QZ28" s="12" t="s">
        <v>37</v>
      </c>
      <c r="RA28" s="11" t="s">
        <v>37</v>
      </c>
      <c r="RB28" s="12" t="s">
        <v>37</v>
      </c>
      <c r="RC28" s="12" t="s">
        <v>37</v>
      </c>
      <c r="RD28" s="11" t="s">
        <v>37</v>
      </c>
      <c r="RE28" s="11"/>
      <c r="RF28" s="11"/>
      <c r="RG28" s="12"/>
      <c r="RH28" s="12"/>
      <c r="RI28" s="12" t="s">
        <v>37</v>
      </c>
      <c r="RJ28" s="12" t="s">
        <v>37</v>
      </c>
      <c r="RK28" s="11" t="s">
        <v>37</v>
      </c>
      <c r="RL28" s="12" t="s">
        <v>37</v>
      </c>
      <c r="RM28" s="12" t="s">
        <v>37</v>
      </c>
      <c r="RN28" s="11" t="s">
        <v>37</v>
      </c>
      <c r="RO28" s="11"/>
      <c r="RP28" s="11"/>
      <c r="RQ28" s="12"/>
      <c r="RR28" s="12"/>
      <c r="RS28" s="12" t="s">
        <v>37</v>
      </c>
      <c r="RT28" s="12" t="s">
        <v>37</v>
      </c>
      <c r="RU28" s="11" t="s">
        <v>37</v>
      </c>
      <c r="RV28" s="12" t="s">
        <v>37</v>
      </c>
      <c r="RW28" s="12" t="s">
        <v>37</v>
      </c>
      <c r="RX28" s="11" t="s">
        <v>37</v>
      </c>
      <c r="RY28" s="11"/>
      <c r="RZ28" s="11"/>
      <c r="SA28" s="12"/>
      <c r="SB28" s="12"/>
      <c r="SC28" s="12" t="s">
        <v>37</v>
      </c>
      <c r="SD28" s="12" t="s">
        <v>37</v>
      </c>
      <c r="SE28" s="12" t="s">
        <v>37</v>
      </c>
      <c r="SF28" s="12" t="s">
        <v>37</v>
      </c>
      <c r="SG28" s="12" t="s">
        <v>37</v>
      </c>
      <c r="SH28" s="12" t="s">
        <v>37</v>
      </c>
      <c r="SI28" s="12"/>
      <c r="SJ28" s="12"/>
      <c r="SK28" s="12"/>
      <c r="SL28" s="12"/>
      <c r="SM28" s="12" t="s">
        <v>37</v>
      </c>
      <c r="SN28" s="12" t="s">
        <v>37</v>
      </c>
      <c r="SO28" s="12" t="s">
        <v>37</v>
      </c>
      <c r="SP28" s="12" t="s">
        <v>37</v>
      </c>
      <c r="SQ28" s="12" t="s">
        <v>37</v>
      </c>
      <c r="SR28" s="12" t="s">
        <v>37</v>
      </c>
      <c r="SS28" s="12"/>
      <c r="ST28" s="12"/>
      <c r="SU28" s="12"/>
      <c r="SV28" s="12"/>
      <c r="SW28" s="12" t="s">
        <v>37</v>
      </c>
      <c r="SX28" s="12" t="s">
        <v>37</v>
      </c>
      <c r="SY28" s="12" t="s">
        <v>37</v>
      </c>
      <c r="SZ28" s="12" t="s">
        <v>37</v>
      </c>
      <c r="TA28" s="12" t="s">
        <v>37</v>
      </c>
      <c r="TB28" s="12" t="s">
        <v>37</v>
      </c>
      <c r="TC28" s="12"/>
      <c r="TD28" s="12"/>
      <c r="TE28" s="12"/>
      <c r="TF28" s="12"/>
      <c r="TG28" s="13" t="s">
        <v>37</v>
      </c>
      <c r="TH28" s="13" t="s">
        <v>37</v>
      </c>
      <c r="TI28" s="13" t="s">
        <v>37</v>
      </c>
      <c r="TJ28" s="13" t="s">
        <v>37</v>
      </c>
      <c r="TK28" s="13" t="s">
        <v>37</v>
      </c>
      <c r="TL28" s="13" t="s">
        <v>37</v>
      </c>
      <c r="TM28" s="13"/>
      <c r="TN28" s="13"/>
      <c r="TO28" s="12"/>
      <c r="TP28" s="12"/>
      <c r="TQ28" s="13" t="s">
        <v>37</v>
      </c>
      <c r="TR28" s="13" t="s">
        <v>37</v>
      </c>
      <c r="TS28" s="13" t="s">
        <v>37</v>
      </c>
      <c r="TT28" s="19"/>
      <c r="TU28" s="13" t="s">
        <v>37</v>
      </c>
      <c r="TV28" s="13" t="s">
        <v>37</v>
      </c>
      <c r="TW28" s="13" t="s">
        <v>37</v>
      </c>
    </row>
    <row r="29" spans="1:543" ht="15.6" x14ac:dyDescent="0.3">
      <c r="A29" s="11">
        <v>11</v>
      </c>
      <c r="B29" s="16" t="s">
        <v>259</v>
      </c>
      <c r="C29" s="12" t="s">
        <v>26</v>
      </c>
      <c r="D29" s="12" t="s">
        <v>609</v>
      </c>
      <c r="E29" s="12" t="s">
        <v>37</v>
      </c>
      <c r="F29" s="14">
        <v>0</v>
      </c>
      <c r="G29" s="14">
        <v>0</v>
      </c>
      <c r="H29" s="12" t="s">
        <v>82</v>
      </c>
      <c r="I29" s="29">
        <v>46.183</v>
      </c>
      <c r="J29" s="29">
        <v>-86.016999999999996</v>
      </c>
      <c r="K29" s="12" t="s">
        <v>809</v>
      </c>
      <c r="L29" s="12" t="s">
        <v>810</v>
      </c>
      <c r="M29" s="13">
        <v>207</v>
      </c>
      <c r="N29" s="14">
        <v>5.0999999999999996</v>
      </c>
      <c r="O29" s="14">
        <v>810</v>
      </c>
      <c r="P29" s="14" t="s">
        <v>16</v>
      </c>
      <c r="Q29" s="11">
        <v>80</v>
      </c>
      <c r="R29" s="11" t="s">
        <v>37</v>
      </c>
      <c r="S29" s="12" t="s">
        <v>85</v>
      </c>
      <c r="T29" s="12" t="s">
        <v>141</v>
      </c>
      <c r="U29" s="12" t="s">
        <v>164</v>
      </c>
      <c r="V29" s="12" t="s">
        <v>275</v>
      </c>
      <c r="W29" s="23" t="s">
        <v>175</v>
      </c>
      <c r="X29" s="12" t="s">
        <v>281</v>
      </c>
      <c r="Y29" s="12" t="s">
        <v>69</v>
      </c>
      <c r="Z29" s="12" t="s">
        <v>37</v>
      </c>
      <c r="AA29" s="32">
        <v>2011</v>
      </c>
      <c r="AB29" s="13" t="s">
        <v>37</v>
      </c>
      <c r="AC29" s="13" t="s">
        <v>37</v>
      </c>
      <c r="AD29" s="12" t="s">
        <v>37</v>
      </c>
      <c r="AE29" s="12" t="s">
        <v>74</v>
      </c>
      <c r="AF29" s="12" t="s">
        <v>489</v>
      </c>
      <c r="AG29" s="12" t="s">
        <v>42</v>
      </c>
      <c r="AH29" s="32" t="s">
        <v>330</v>
      </c>
      <c r="AI29" s="12">
        <v>471</v>
      </c>
      <c r="AJ29" s="12">
        <f>3*SQRT(6)</f>
        <v>7.3484692283495336</v>
      </c>
      <c r="AK29" s="11">
        <v>6</v>
      </c>
      <c r="AL29" s="19">
        <f>AJ29/AI29</f>
        <v>1.5601845495434254E-2</v>
      </c>
      <c r="AM29" s="12">
        <v>482</v>
      </c>
      <c r="AN29" s="12">
        <f>3*SQRT(6)</f>
        <v>7.3484692283495336</v>
      </c>
      <c r="AO29" s="13">
        <v>6</v>
      </c>
      <c r="AP29" s="19">
        <f>AN29/AM29</f>
        <v>1.5245786780808162E-2</v>
      </c>
      <c r="AQ29" s="49">
        <f t="shared" si="160"/>
        <v>2.3086020034182551E-2</v>
      </c>
      <c r="AR29" s="19">
        <f t="shared" si="161"/>
        <v>7.9308599571544506E-5</v>
      </c>
      <c r="AS29" s="32"/>
      <c r="AT29" s="12" t="s">
        <v>37</v>
      </c>
      <c r="AU29" s="12" t="s">
        <v>37</v>
      </c>
      <c r="AV29" s="12" t="s">
        <v>37</v>
      </c>
      <c r="AW29" s="12" t="s">
        <v>37</v>
      </c>
      <c r="AX29" s="12" t="s">
        <v>37</v>
      </c>
      <c r="AY29" s="12" t="s">
        <v>37</v>
      </c>
      <c r="AZ29" s="12"/>
      <c r="BA29" s="12"/>
      <c r="BB29" s="12"/>
      <c r="BC29" s="12" t="s">
        <v>37</v>
      </c>
      <c r="BD29" s="12" t="s">
        <v>37</v>
      </c>
      <c r="BE29" s="12" t="s">
        <v>37</v>
      </c>
      <c r="BF29" s="12" t="s">
        <v>37</v>
      </c>
      <c r="BG29" s="12" t="s">
        <v>37</v>
      </c>
      <c r="BH29" s="12" t="s">
        <v>37</v>
      </c>
      <c r="BI29" s="12"/>
      <c r="BJ29" s="12" t="s">
        <v>37</v>
      </c>
      <c r="BK29" s="12" t="s">
        <v>37</v>
      </c>
      <c r="BL29" s="13" t="s">
        <v>37</v>
      </c>
      <c r="BM29" s="12" t="s">
        <v>37</v>
      </c>
      <c r="BN29" s="12" t="s">
        <v>37</v>
      </c>
      <c r="BO29" s="13" t="s">
        <v>37</v>
      </c>
      <c r="BP29" s="19"/>
      <c r="BQ29" s="19"/>
      <c r="BR29" s="19"/>
      <c r="BS29" s="19"/>
      <c r="BT29" s="12"/>
      <c r="BU29" s="12" t="s">
        <v>37</v>
      </c>
      <c r="BV29" s="12" t="s">
        <v>37</v>
      </c>
      <c r="BW29" s="13" t="s">
        <v>37</v>
      </c>
      <c r="BX29" s="12" t="s">
        <v>37</v>
      </c>
      <c r="BY29" s="12" t="s">
        <v>37</v>
      </c>
      <c r="BZ29" s="13" t="s">
        <v>37</v>
      </c>
      <c r="CA29" s="19"/>
      <c r="CB29" s="19"/>
      <c r="CC29" s="19"/>
      <c r="CD29" s="19"/>
      <c r="CE29" s="12"/>
      <c r="CF29" s="12" t="s">
        <v>37</v>
      </c>
      <c r="CG29" s="12" t="s">
        <v>37</v>
      </c>
      <c r="CH29" s="13" t="s">
        <v>37</v>
      </c>
      <c r="CI29" s="12" t="s">
        <v>37</v>
      </c>
      <c r="CJ29" s="12" t="s">
        <v>37</v>
      </c>
      <c r="CK29" s="13" t="s">
        <v>37</v>
      </c>
      <c r="CL29" s="19"/>
      <c r="CM29" s="19"/>
      <c r="CN29" s="19"/>
      <c r="CO29" s="19"/>
      <c r="CP29" s="11" t="s">
        <v>34</v>
      </c>
      <c r="CQ29" s="12">
        <f>1.54*10^6*16/12/50/24</f>
        <v>1711.1111111111111</v>
      </c>
      <c r="CR29" s="19">
        <f>1.84*10^6*16/12/50/24</f>
        <v>2044.4444444444446</v>
      </c>
      <c r="CS29" s="13">
        <v>12</v>
      </c>
      <c r="CT29" s="52">
        <f>CR29/CQ29</f>
        <v>1.194805194805195</v>
      </c>
      <c r="CU29" s="12">
        <f>1.21*10^6*16/12/50/24</f>
        <v>1344.4444444444443</v>
      </c>
      <c r="CV29" s="19">
        <f>0.92*10^6*16/12/50/24</f>
        <v>1022.2222222222223</v>
      </c>
      <c r="CW29" s="13">
        <v>12</v>
      </c>
      <c r="CX29" s="52">
        <f t="shared" ref="CX29" si="173">CV29/CU29</f>
        <v>0.76033057851239683</v>
      </c>
      <c r="CY29" s="68">
        <f>CU29-CQ29</f>
        <v>-366.66666666666674</v>
      </c>
      <c r="CZ29" s="12">
        <f>SQRT(((CS29-1)*CR29^2+(CW29-1)*CV29^2)/(CS29+CW29-2))</f>
        <v>1616.2752485305052</v>
      </c>
      <c r="DA29" s="72">
        <f>(((CS29+CW29)/(CS29*CW29))*(((CS29-1)*CR29^2)+(CW29-1)*CV29^2)/(CS29+CW29-2))</f>
        <v>435390.94650205766</v>
      </c>
      <c r="DB29" s="72">
        <f>(CR29^2/CS29)+(CV29^2/CW29)</f>
        <v>435390.94650205772</v>
      </c>
      <c r="DC29" s="11"/>
      <c r="DD29" s="11" t="s">
        <v>37</v>
      </c>
      <c r="DE29" s="68" t="s">
        <v>37</v>
      </c>
      <c r="DF29" s="11" t="s">
        <v>37</v>
      </c>
      <c r="DG29" s="19"/>
      <c r="DH29" s="11" t="s">
        <v>37</v>
      </c>
      <c r="DI29" s="68" t="s">
        <v>37</v>
      </c>
      <c r="DJ29" s="11" t="s">
        <v>37</v>
      </c>
      <c r="DK29" s="19"/>
      <c r="DL29" s="68"/>
      <c r="DM29" s="68"/>
      <c r="DN29" s="68"/>
      <c r="DO29" s="68"/>
      <c r="DP29" s="12" t="s">
        <v>39</v>
      </c>
      <c r="DQ29" s="12">
        <v>-26.2</v>
      </c>
      <c r="DR29" s="12">
        <v>7.1</v>
      </c>
      <c r="DS29" s="13">
        <v>6</v>
      </c>
      <c r="DT29" s="19">
        <f>DS29/ABS(DQ29)</f>
        <v>0.22900763358778625</v>
      </c>
      <c r="DU29" s="12">
        <v>-36.6</v>
      </c>
      <c r="DV29" s="12">
        <v>5.7</v>
      </c>
      <c r="DW29" s="13">
        <v>6</v>
      </c>
      <c r="DX29" s="19">
        <f>DW29/ABS(DU29)</f>
        <v>0.16393442622950818</v>
      </c>
      <c r="DY29" s="19">
        <f>DU29-DQ29</f>
        <v>-10.400000000000002</v>
      </c>
      <c r="DZ29" s="12">
        <f t="shared" si="163"/>
        <v>6.4381674411279493</v>
      </c>
      <c r="EA29" s="72">
        <f t="shared" si="164"/>
        <v>13.816666666666666</v>
      </c>
      <c r="EB29" s="72">
        <f t="shared" si="165"/>
        <v>13.816666666666666</v>
      </c>
      <c r="EC29" s="12"/>
      <c r="ED29" s="12"/>
      <c r="EE29" s="12" t="s">
        <v>37</v>
      </c>
      <c r="EF29" s="12" t="s">
        <v>37</v>
      </c>
      <c r="EG29" s="11" t="s">
        <v>37</v>
      </c>
      <c r="EH29" s="19"/>
      <c r="EI29" s="12" t="s">
        <v>37</v>
      </c>
      <c r="EJ29" s="20" t="s">
        <v>37</v>
      </c>
      <c r="EK29" s="11" t="s">
        <v>37</v>
      </c>
      <c r="EL29" s="19"/>
      <c r="EM29" s="19"/>
      <c r="EN29" s="19"/>
      <c r="EO29" s="19"/>
      <c r="EP29" s="19"/>
      <c r="EQ29" s="32"/>
      <c r="ER29" s="12" t="s">
        <v>37</v>
      </c>
      <c r="ES29" s="12" t="s">
        <v>37</v>
      </c>
      <c r="ET29" s="11" t="s">
        <v>37</v>
      </c>
      <c r="EU29" s="19"/>
      <c r="EV29" s="13" t="s">
        <v>37</v>
      </c>
      <c r="EW29" s="11" t="s">
        <v>37</v>
      </c>
      <c r="EX29" s="11" t="s">
        <v>37</v>
      </c>
      <c r="EY29" s="19"/>
      <c r="EZ29" s="19"/>
      <c r="FA29" s="19"/>
      <c r="FB29" s="19"/>
      <c r="FC29" s="32"/>
      <c r="FD29" s="12" t="s">
        <v>37</v>
      </c>
      <c r="FE29" s="12" t="s">
        <v>37</v>
      </c>
      <c r="FF29" s="11" t="s">
        <v>37</v>
      </c>
      <c r="FG29" s="13" t="s">
        <v>37</v>
      </c>
      <c r="FH29" s="11" t="s">
        <v>37</v>
      </c>
      <c r="FI29" s="11" t="s">
        <v>37</v>
      </c>
      <c r="FJ29" s="19"/>
      <c r="FK29" s="19"/>
      <c r="FL29" s="19"/>
      <c r="FM29" s="32"/>
      <c r="FN29" s="12" t="s">
        <v>37</v>
      </c>
      <c r="FO29" s="12" t="s">
        <v>37</v>
      </c>
      <c r="FP29" s="11" t="s">
        <v>37</v>
      </c>
      <c r="FQ29" s="13" t="s">
        <v>37</v>
      </c>
      <c r="FR29" s="11" t="s">
        <v>37</v>
      </c>
      <c r="FS29" s="11" t="s">
        <v>37</v>
      </c>
      <c r="FT29" s="19"/>
      <c r="FU29" s="19"/>
      <c r="FV29" s="19"/>
      <c r="FW29" s="12" t="s">
        <v>90</v>
      </c>
      <c r="FX29" s="12" t="s">
        <v>345</v>
      </c>
      <c r="FY29" s="12">
        <v>77.400000000000006</v>
      </c>
      <c r="FZ29" s="12">
        <v>2.4</v>
      </c>
      <c r="GA29" s="13">
        <v>6</v>
      </c>
      <c r="GB29" s="12">
        <v>77.900000000000006</v>
      </c>
      <c r="GC29" s="12">
        <v>3.3</v>
      </c>
      <c r="GD29" s="13">
        <v>6</v>
      </c>
      <c r="GE29" s="19">
        <f t="shared" ref="GE29" si="174">LN(GB29/FY29)</f>
        <v>6.4391722810212331E-3</v>
      </c>
      <c r="GF29" s="19">
        <f t="shared" ref="GF29" si="175">GC29^2/(GD29*GB29^2)+FZ29^2/(GA29*FY29^2)</f>
        <v>4.5933665696124741E-4</v>
      </c>
      <c r="GG29" s="12"/>
      <c r="GH29" s="12"/>
      <c r="GI29" s="12" t="s">
        <v>37</v>
      </c>
      <c r="GJ29" s="12" t="s">
        <v>37</v>
      </c>
      <c r="GK29" s="12" t="s">
        <v>37</v>
      </c>
      <c r="GL29" s="19"/>
      <c r="GM29" s="12" t="s">
        <v>37</v>
      </c>
      <c r="GN29" s="12" t="s">
        <v>37</v>
      </c>
      <c r="GO29" s="12" t="s">
        <v>37</v>
      </c>
      <c r="GP29" s="19"/>
      <c r="GQ29" s="19"/>
      <c r="GR29" s="19"/>
      <c r="GS29" s="17" t="s">
        <v>63</v>
      </c>
      <c r="GT29" s="34" t="s">
        <v>330</v>
      </c>
      <c r="GU29" s="12">
        <v>0.01</v>
      </c>
      <c r="GV29" s="12">
        <f>0.001*SQRT(6)</f>
        <v>2.4494897427831779E-3</v>
      </c>
      <c r="GW29" s="13">
        <v>6</v>
      </c>
      <c r="GX29" s="19">
        <f>GV29/GU29</f>
        <v>0.24494897427831777</v>
      </c>
      <c r="GY29" s="12">
        <v>0.01</v>
      </c>
      <c r="GZ29" s="12">
        <f>0.002*SQRT(6)</f>
        <v>4.8989794855663557E-3</v>
      </c>
      <c r="HA29" s="13">
        <v>6</v>
      </c>
      <c r="HB29" s="19">
        <f>GZ29/GY29</f>
        <v>0.48989794855663554</v>
      </c>
      <c r="HC29" s="19">
        <f t="shared" ref="HC29" si="176">LN(GY29/GU29)</f>
        <v>0</v>
      </c>
      <c r="HD29" s="19">
        <f t="shared" si="167"/>
        <v>4.9999999999999982E-2</v>
      </c>
      <c r="HE29" s="34" t="s">
        <v>421</v>
      </c>
      <c r="HF29" s="12">
        <v>0.01</v>
      </c>
      <c r="HG29" s="12">
        <f>0.002*SQRT(6)</f>
        <v>4.8989794855663557E-3</v>
      </c>
      <c r="HH29" s="13">
        <v>6</v>
      </c>
      <c r="HI29" s="12">
        <v>0.02</v>
      </c>
      <c r="HJ29" s="12">
        <f>0.003*SQRT(6)</f>
        <v>7.3484692283495336E-3</v>
      </c>
      <c r="HK29" s="13">
        <v>6</v>
      </c>
      <c r="HL29" s="13"/>
      <c r="HM29" s="13"/>
      <c r="HN29" s="34" t="s">
        <v>422</v>
      </c>
      <c r="HO29" s="12">
        <v>0.04</v>
      </c>
      <c r="HP29" s="12">
        <f>0.003*SQRT(6)</f>
        <v>7.3484692283495336E-3</v>
      </c>
      <c r="HQ29" s="13">
        <v>6</v>
      </c>
      <c r="HR29" s="12">
        <v>0.06</v>
      </c>
      <c r="HS29" s="12">
        <f>0.003*SQRT(6)</f>
        <v>7.3484692283495336E-3</v>
      </c>
      <c r="HT29" s="13">
        <v>6</v>
      </c>
      <c r="HU29" s="19">
        <f>LN(HR29/HO29)</f>
        <v>0.40546510810816438</v>
      </c>
      <c r="HV29" s="19">
        <f>HS29^2/(HT29*HR29^2)+HP29^2/(HQ29*HO29^2)</f>
        <v>8.1249999999999985E-3</v>
      </c>
      <c r="HW29" s="12"/>
      <c r="HX29" s="12"/>
      <c r="HY29" s="12" t="s">
        <v>37</v>
      </c>
      <c r="HZ29" s="12" t="s">
        <v>37</v>
      </c>
      <c r="IA29" s="12" t="s">
        <v>37</v>
      </c>
      <c r="IB29" s="12" t="s">
        <v>37</v>
      </c>
      <c r="IC29" s="12" t="s">
        <v>37</v>
      </c>
      <c r="ID29" s="12" t="s">
        <v>37</v>
      </c>
      <c r="IE29" s="12"/>
      <c r="IF29" s="32"/>
      <c r="IG29" s="12" t="s">
        <v>37</v>
      </c>
      <c r="IH29" s="12" t="s">
        <v>37</v>
      </c>
      <c r="II29" s="13" t="s">
        <v>37</v>
      </c>
      <c r="IJ29" s="19"/>
      <c r="IK29" s="12" t="s">
        <v>37</v>
      </c>
      <c r="IL29" s="12" t="s">
        <v>37</v>
      </c>
      <c r="IM29" s="13" t="s">
        <v>37</v>
      </c>
      <c r="IN29" s="19"/>
      <c r="IO29" s="19"/>
      <c r="IP29" s="19"/>
      <c r="IQ29" s="32"/>
      <c r="IR29" s="12" t="s">
        <v>37</v>
      </c>
      <c r="IS29" s="12" t="s">
        <v>37</v>
      </c>
      <c r="IT29" s="13" t="s">
        <v>37</v>
      </c>
      <c r="IU29" s="12" t="s">
        <v>37</v>
      </c>
      <c r="IV29" s="12" t="s">
        <v>37</v>
      </c>
      <c r="IW29" s="12" t="s">
        <v>37</v>
      </c>
      <c r="IX29" s="32"/>
      <c r="IY29" s="12" t="s">
        <v>37</v>
      </c>
      <c r="IZ29" s="12" t="s">
        <v>37</v>
      </c>
      <c r="JA29" s="13" t="s">
        <v>37</v>
      </c>
      <c r="JB29" s="12" t="s">
        <v>37</v>
      </c>
      <c r="JC29" s="12" t="s">
        <v>37</v>
      </c>
      <c r="JD29" s="12" t="s">
        <v>37</v>
      </c>
      <c r="JE29" s="12"/>
      <c r="JF29" s="12"/>
      <c r="JG29" s="11" t="s">
        <v>37</v>
      </c>
      <c r="JH29" s="11" t="s">
        <v>37</v>
      </c>
      <c r="JI29" s="13" t="s">
        <v>37</v>
      </c>
      <c r="JJ29" s="11" t="s">
        <v>37</v>
      </c>
      <c r="JK29" s="11" t="s">
        <v>37</v>
      </c>
      <c r="JL29" s="11" t="s">
        <v>37</v>
      </c>
      <c r="JM29" s="12" t="s">
        <v>42</v>
      </c>
      <c r="JN29" s="32" t="s">
        <v>330</v>
      </c>
      <c r="JO29" s="12">
        <v>11.3</v>
      </c>
      <c r="JP29" s="12">
        <f>0.9*SQRT(6)</f>
        <v>2.2045407685048604</v>
      </c>
      <c r="JQ29" s="11">
        <v>6</v>
      </c>
      <c r="JR29" s="19">
        <f>JP29/JO29</f>
        <v>0.19509210340750976</v>
      </c>
      <c r="JS29" s="12">
        <v>12</v>
      </c>
      <c r="JT29" s="12">
        <f>1*SQRT(6)</f>
        <v>2.4494897427831779</v>
      </c>
      <c r="JU29" s="13">
        <v>6</v>
      </c>
      <c r="JV29" s="19">
        <f>JT29/JS29</f>
        <v>0.20412414523193148</v>
      </c>
      <c r="JW29" s="19">
        <f t="shared" si="168"/>
        <v>6.0103924069705307E-2</v>
      </c>
      <c r="JX29" s="19">
        <f t="shared" si="169"/>
        <v>1.3287932579772191E-2</v>
      </c>
      <c r="JY29" s="32" t="s">
        <v>421</v>
      </c>
      <c r="JZ29" s="12">
        <v>11</v>
      </c>
      <c r="KA29" s="12">
        <f>1.4*SQRT(6)</f>
        <v>3.4292856398964489</v>
      </c>
      <c r="KB29" s="13">
        <v>6</v>
      </c>
      <c r="KC29" s="12">
        <v>12.5</v>
      </c>
      <c r="KD29" s="12">
        <f>1.5*SQRT(6)</f>
        <v>3.6742346141747668</v>
      </c>
      <c r="KE29" s="13">
        <v>6</v>
      </c>
      <c r="KF29" s="19">
        <f>LN(KC29/JZ29)</f>
        <v>0.127833371509885</v>
      </c>
      <c r="KG29" s="19">
        <f>KD29^2/(KE29*KC29^2)+KA29^2/(KB29*JZ29^2)</f>
        <v>3.0598347107438008E-2</v>
      </c>
      <c r="KH29" s="32" t="s">
        <v>422</v>
      </c>
      <c r="KI29" s="12">
        <v>12.3</v>
      </c>
      <c r="KJ29" s="12">
        <f>1.4*SQRT(6)</f>
        <v>3.4292856398964489</v>
      </c>
      <c r="KK29" s="13">
        <v>6</v>
      </c>
      <c r="KL29" s="12">
        <v>12.3</v>
      </c>
      <c r="KM29" s="12">
        <f>1*SQRT(6)</f>
        <v>2.4494897427831779</v>
      </c>
      <c r="KN29" s="13">
        <v>6</v>
      </c>
      <c r="KO29" s="19">
        <f>LN(KL29/KI29)</f>
        <v>0</v>
      </c>
      <c r="KP29" s="19">
        <f>KM29^2/(KN29*KL29^2)+KJ29^2/(KK29*KI29^2)</f>
        <v>1.9565073699517474E-2</v>
      </c>
      <c r="KQ29" s="12"/>
      <c r="KR29" s="12" t="str">
        <f t="shared" si="87"/>
        <v>0-5</v>
      </c>
      <c r="KS29" s="12">
        <f t="shared" si="88"/>
        <v>41.681415929203538</v>
      </c>
      <c r="KT29" s="12">
        <f t="shared" si="119"/>
        <v>8.1576767393935405</v>
      </c>
      <c r="KU29" s="13">
        <f t="shared" si="89"/>
        <v>6</v>
      </c>
      <c r="KV29" s="19">
        <f>KT29/KS29</f>
        <v>0.19571496211283868</v>
      </c>
      <c r="KW29" s="12">
        <f>AM29/JS29</f>
        <v>40.166666666666664</v>
      </c>
      <c r="KX29" s="12">
        <f>SQRT((1/JS29)^2*AN29^2+AM29^2*(-1/JS29^2)^2*JT29^2)</f>
        <v>8.2218233762122139</v>
      </c>
      <c r="KY29" s="13">
        <f t="shared" si="93"/>
        <v>6</v>
      </c>
      <c r="KZ29" s="19">
        <f>KX29/KW29</f>
        <v>0.20469269816295971</v>
      </c>
      <c r="LA29" s="19">
        <f t="shared" si="171"/>
        <v>-3.7017904035522839E-2</v>
      </c>
      <c r="LB29" s="19">
        <f t="shared" si="172"/>
        <v>1.3367241179343733E-2</v>
      </c>
      <c r="LC29" s="12" t="str">
        <f t="shared" si="120"/>
        <v>5-10</v>
      </c>
      <c r="LD29" s="12" t="s">
        <v>37</v>
      </c>
      <c r="LE29" s="12" t="s">
        <v>37</v>
      </c>
      <c r="LF29" s="13">
        <f t="shared" si="121"/>
        <v>6</v>
      </c>
      <c r="LG29" s="19">
        <f t="shared" si="158"/>
        <v>12.5</v>
      </c>
      <c r="LH29" s="19">
        <f t="shared" si="159"/>
        <v>3.6742346141747668</v>
      </c>
      <c r="LI29" s="13">
        <f>KE29</f>
        <v>6</v>
      </c>
      <c r="LJ29" s="13"/>
      <c r="LK29" s="13"/>
      <c r="LL29" s="12" t="str">
        <f t="shared" si="122"/>
        <v>10-20</v>
      </c>
      <c r="LM29" s="12" t="e">
        <f t="shared" si="123"/>
        <v>#VALUE!</v>
      </c>
      <c r="LN29" s="12" t="e">
        <f t="shared" si="124"/>
        <v>#VALUE!</v>
      </c>
      <c r="LO29" s="13">
        <f t="shared" si="125"/>
        <v>6</v>
      </c>
      <c r="LP29" s="12" t="e">
        <f t="shared" si="126"/>
        <v>#VALUE!</v>
      </c>
      <c r="LQ29" s="12" t="e">
        <f t="shared" si="127"/>
        <v>#VALUE!</v>
      </c>
      <c r="LR29" s="13">
        <f t="shared" si="128"/>
        <v>6</v>
      </c>
      <c r="LS29" s="12" t="s">
        <v>261</v>
      </c>
      <c r="LT29" s="12" t="s">
        <v>345</v>
      </c>
      <c r="LU29" s="12">
        <f>AVERAGEA(502.4,563.1)</f>
        <v>532.75</v>
      </c>
      <c r="LV29" s="12">
        <f>SQRT((36.7*SQRT(12))^2+((43.5*SQRT(12))^2))/2</f>
        <v>98.576974999236</v>
      </c>
      <c r="LW29" s="13">
        <v>12</v>
      </c>
      <c r="LX29" s="12">
        <f>AVERAGEA(922.4,906.9)</f>
        <v>914.65</v>
      </c>
      <c r="LY29" s="12">
        <f>SQRT((56.7*SQRT(12))^2+((224.6*SQRT(12))^2))/2</f>
        <v>401.2233168697951</v>
      </c>
      <c r="LZ29" s="13">
        <v>12</v>
      </c>
      <c r="MA29" s="19">
        <f t="shared" si="152"/>
        <v>0.54048920745858064</v>
      </c>
      <c r="MB29" s="19">
        <f t="shared" si="153"/>
        <v>1.8888590147923719E-2</v>
      </c>
      <c r="MC29" s="12" t="s">
        <v>261</v>
      </c>
      <c r="MD29" s="12" t="s">
        <v>345</v>
      </c>
      <c r="ME29" s="12">
        <f>AVERAGEA(26.9,5.7)</f>
        <v>16.3</v>
      </c>
      <c r="MF29" s="12">
        <f>SQRT((6.7*SQRT(12))^2+((4.2*SQRT(12))^2))/2</f>
        <v>13.69634987870856</v>
      </c>
      <c r="MG29" s="13">
        <v>12</v>
      </c>
      <c r="MH29" s="12">
        <f>AVERAGEA(9.5,5.5)</f>
        <v>7.5</v>
      </c>
      <c r="MI29" s="12">
        <f>SQRT((6.2*SQRT(12))^2+((3.3*SQRT(12))^2))/2</f>
        <v>12.165114056185416</v>
      </c>
      <c r="MJ29" s="13">
        <v>12</v>
      </c>
      <c r="MK29" s="19">
        <f t="shared" si="154"/>
        <v>-0.77626208727045198</v>
      </c>
      <c r="ML29" s="19">
        <f t="shared" si="155"/>
        <v>0.27808181130055493</v>
      </c>
      <c r="MM29" s="12"/>
      <c r="MN29" s="12"/>
      <c r="MO29" s="12" t="s">
        <v>37</v>
      </c>
      <c r="MP29" s="12" t="s">
        <v>37</v>
      </c>
      <c r="MQ29" s="13" t="s">
        <v>37</v>
      </c>
      <c r="MR29" s="12" t="s">
        <v>37</v>
      </c>
      <c r="MS29" s="12" t="s">
        <v>37</v>
      </c>
      <c r="MT29" s="13" t="s">
        <v>37</v>
      </c>
      <c r="MU29" s="13"/>
      <c r="MV29" s="13"/>
      <c r="MW29" s="12"/>
      <c r="MX29" s="12"/>
      <c r="MY29" s="12" t="s">
        <v>37</v>
      </c>
      <c r="MZ29" s="12" t="s">
        <v>37</v>
      </c>
      <c r="NA29" s="12" t="s">
        <v>37</v>
      </c>
      <c r="NB29" s="12" t="s">
        <v>37</v>
      </c>
      <c r="NC29" s="12" t="s">
        <v>37</v>
      </c>
      <c r="ND29" s="12" t="s">
        <v>37</v>
      </c>
      <c r="NE29" s="12"/>
      <c r="NF29" s="12"/>
      <c r="NG29" s="12"/>
      <c r="NH29" s="12"/>
      <c r="NI29" s="12" t="s">
        <v>37</v>
      </c>
      <c r="NJ29" s="12" t="s">
        <v>37</v>
      </c>
      <c r="NK29" s="13" t="s">
        <v>37</v>
      </c>
      <c r="NL29" s="12" t="s">
        <v>37</v>
      </c>
      <c r="NM29" s="12" t="s">
        <v>37</v>
      </c>
      <c r="NN29" s="13" t="s">
        <v>37</v>
      </c>
      <c r="NO29" s="13"/>
      <c r="NP29" s="13"/>
      <c r="NQ29" s="12"/>
      <c r="NR29" s="12"/>
      <c r="NS29" s="11" t="s">
        <v>37</v>
      </c>
      <c r="NT29" s="11" t="s">
        <v>37</v>
      </c>
      <c r="NU29" s="13" t="s">
        <v>37</v>
      </c>
      <c r="NV29" s="11" t="s">
        <v>37</v>
      </c>
      <c r="NW29" s="11" t="s">
        <v>37</v>
      </c>
      <c r="NX29" s="13" t="s">
        <v>37</v>
      </c>
      <c r="NY29" s="13"/>
      <c r="NZ29" s="13"/>
      <c r="OA29" s="12"/>
      <c r="OB29" s="12"/>
      <c r="OC29" s="12" t="s">
        <v>37</v>
      </c>
      <c r="OD29" s="12" t="s">
        <v>37</v>
      </c>
      <c r="OE29" s="12" t="s">
        <v>37</v>
      </c>
      <c r="OF29" s="12" t="s">
        <v>37</v>
      </c>
      <c r="OG29" s="12" t="s">
        <v>37</v>
      </c>
      <c r="OH29" s="12" t="s">
        <v>37</v>
      </c>
      <c r="OI29" s="12"/>
      <c r="OJ29" s="12"/>
      <c r="OK29" s="12"/>
      <c r="OL29" s="12" t="s">
        <v>37</v>
      </c>
      <c r="OM29" s="12" t="s">
        <v>37</v>
      </c>
      <c r="ON29" s="11" t="s">
        <v>37</v>
      </c>
      <c r="OO29" s="12" t="s">
        <v>37</v>
      </c>
      <c r="OP29" s="12" t="s">
        <v>37</v>
      </c>
      <c r="OQ29" s="12" t="s">
        <v>37</v>
      </c>
      <c r="OR29" s="12"/>
      <c r="OS29" s="12" t="s">
        <v>37</v>
      </c>
      <c r="OT29" s="12" t="s">
        <v>37</v>
      </c>
      <c r="OU29" s="12" t="s">
        <v>37</v>
      </c>
      <c r="OV29" s="12" t="s">
        <v>37</v>
      </c>
      <c r="OW29" s="12" t="s">
        <v>37</v>
      </c>
      <c r="OX29" s="12" t="s">
        <v>37</v>
      </c>
      <c r="OY29" s="12"/>
      <c r="OZ29" s="12"/>
      <c r="PA29" s="12" t="s">
        <v>37</v>
      </c>
      <c r="PB29" s="12" t="s">
        <v>37</v>
      </c>
      <c r="PC29" s="12" t="s">
        <v>37</v>
      </c>
      <c r="PD29" s="12" t="s">
        <v>37</v>
      </c>
      <c r="PE29" s="12" t="s">
        <v>37</v>
      </c>
      <c r="PF29" s="12" t="s">
        <v>37</v>
      </c>
      <c r="PG29" s="12"/>
      <c r="PH29" s="12"/>
      <c r="PI29" s="12" t="s">
        <v>37</v>
      </c>
      <c r="PJ29" s="12" t="s">
        <v>37</v>
      </c>
      <c r="PK29" s="12" t="s">
        <v>37</v>
      </c>
      <c r="PL29" s="12" t="s">
        <v>37</v>
      </c>
      <c r="PM29" s="12" t="s">
        <v>37</v>
      </c>
      <c r="PN29" s="12" t="s">
        <v>37</v>
      </c>
      <c r="PO29" s="12"/>
      <c r="PP29" s="12"/>
      <c r="PQ29" s="12" t="s">
        <v>37</v>
      </c>
      <c r="PR29" s="12" t="s">
        <v>37</v>
      </c>
      <c r="PS29" s="12" t="s">
        <v>37</v>
      </c>
      <c r="PT29" s="12" t="s">
        <v>37</v>
      </c>
      <c r="PU29" s="12" t="s">
        <v>37</v>
      </c>
      <c r="PV29" s="12" t="s">
        <v>37</v>
      </c>
      <c r="PW29" s="12"/>
      <c r="PX29" s="12"/>
      <c r="PY29" s="12" t="s">
        <v>37</v>
      </c>
      <c r="PZ29" s="12" t="s">
        <v>37</v>
      </c>
      <c r="QA29" s="12" t="s">
        <v>37</v>
      </c>
      <c r="QB29" s="12" t="s">
        <v>37</v>
      </c>
      <c r="QC29" s="12" t="s">
        <v>37</v>
      </c>
      <c r="QD29" s="12" t="s">
        <v>37</v>
      </c>
      <c r="QE29" s="12"/>
      <c r="QF29" s="12"/>
      <c r="QG29" s="12" t="s">
        <v>37</v>
      </c>
      <c r="QH29" s="12" t="s">
        <v>37</v>
      </c>
      <c r="QI29" s="12" t="s">
        <v>37</v>
      </c>
      <c r="QJ29" s="12" t="s">
        <v>37</v>
      </c>
      <c r="QK29" s="12" t="s">
        <v>37</v>
      </c>
      <c r="QL29" s="12" t="s">
        <v>37</v>
      </c>
      <c r="QM29" s="12"/>
      <c r="QN29" s="12"/>
      <c r="QO29" s="12" t="s">
        <v>37</v>
      </c>
      <c r="QP29" s="12" t="s">
        <v>37</v>
      </c>
      <c r="QQ29" s="12" t="s">
        <v>37</v>
      </c>
      <c r="QR29" s="12" t="s">
        <v>37</v>
      </c>
      <c r="QS29" s="12" t="s">
        <v>37</v>
      </c>
      <c r="QT29" s="12" t="s">
        <v>37</v>
      </c>
      <c r="QU29" s="12"/>
      <c r="QV29" s="12"/>
      <c r="QW29" s="12"/>
      <c r="QX29" s="12"/>
      <c r="QY29" s="12" t="s">
        <v>37</v>
      </c>
      <c r="QZ29" s="12" t="s">
        <v>37</v>
      </c>
      <c r="RA29" s="11" t="s">
        <v>37</v>
      </c>
      <c r="RB29" s="12" t="s">
        <v>37</v>
      </c>
      <c r="RC29" s="12" t="s">
        <v>37</v>
      </c>
      <c r="RD29" s="11" t="s">
        <v>37</v>
      </c>
      <c r="RE29" s="11"/>
      <c r="RF29" s="11"/>
      <c r="RG29" s="12"/>
      <c r="RH29" s="12"/>
      <c r="RI29" s="12" t="s">
        <v>37</v>
      </c>
      <c r="RJ29" s="12" t="s">
        <v>37</v>
      </c>
      <c r="RK29" s="11" t="s">
        <v>37</v>
      </c>
      <c r="RL29" s="12" t="s">
        <v>37</v>
      </c>
      <c r="RM29" s="12" t="s">
        <v>37</v>
      </c>
      <c r="RN29" s="11" t="s">
        <v>37</v>
      </c>
      <c r="RO29" s="11"/>
      <c r="RP29" s="11"/>
      <c r="RQ29" s="12"/>
      <c r="RR29" s="12"/>
      <c r="RS29" s="12" t="s">
        <v>37</v>
      </c>
      <c r="RT29" s="12" t="s">
        <v>37</v>
      </c>
      <c r="RU29" s="11" t="s">
        <v>37</v>
      </c>
      <c r="RV29" s="12" t="s">
        <v>37</v>
      </c>
      <c r="RW29" s="12" t="s">
        <v>37</v>
      </c>
      <c r="RX29" s="11" t="s">
        <v>37</v>
      </c>
      <c r="RY29" s="11"/>
      <c r="RZ29" s="11"/>
      <c r="SA29" s="12"/>
      <c r="SB29" s="12"/>
      <c r="SC29" s="12" t="s">
        <v>37</v>
      </c>
      <c r="SD29" s="12" t="s">
        <v>37</v>
      </c>
      <c r="SE29" s="12" t="s">
        <v>37</v>
      </c>
      <c r="SF29" s="12" t="s">
        <v>37</v>
      </c>
      <c r="SG29" s="12" t="s">
        <v>37</v>
      </c>
      <c r="SH29" s="12" t="s">
        <v>37</v>
      </c>
      <c r="SI29" s="12"/>
      <c r="SJ29" s="12"/>
      <c r="SK29" s="12"/>
      <c r="SL29" s="12"/>
      <c r="SM29" s="12" t="s">
        <v>37</v>
      </c>
      <c r="SN29" s="12" t="s">
        <v>37</v>
      </c>
      <c r="SO29" s="12" t="s">
        <v>37</v>
      </c>
      <c r="SP29" s="12" t="s">
        <v>37</v>
      </c>
      <c r="SQ29" s="12" t="s">
        <v>37</v>
      </c>
      <c r="SR29" s="12" t="s">
        <v>37</v>
      </c>
      <c r="SS29" s="12"/>
      <c r="ST29" s="12"/>
      <c r="SU29" s="12"/>
      <c r="SV29" s="12"/>
      <c r="SW29" s="12" t="s">
        <v>37</v>
      </c>
      <c r="SX29" s="12" t="s">
        <v>37</v>
      </c>
      <c r="SY29" s="12" t="s">
        <v>37</v>
      </c>
      <c r="SZ29" s="12" t="s">
        <v>37</v>
      </c>
      <c r="TA29" s="12" t="s">
        <v>37</v>
      </c>
      <c r="TB29" s="12" t="s">
        <v>37</v>
      </c>
      <c r="TC29" s="12"/>
      <c r="TD29" s="12"/>
      <c r="TE29" s="12"/>
      <c r="TF29" s="12"/>
      <c r="TG29" s="13" t="s">
        <v>37</v>
      </c>
      <c r="TH29" s="13" t="s">
        <v>37</v>
      </c>
      <c r="TI29" s="13" t="s">
        <v>37</v>
      </c>
      <c r="TJ29" s="13" t="s">
        <v>37</v>
      </c>
      <c r="TK29" s="13" t="s">
        <v>37</v>
      </c>
      <c r="TL29" s="13" t="s">
        <v>37</v>
      </c>
      <c r="TM29" s="13"/>
      <c r="TN29" s="13"/>
      <c r="TO29" s="12"/>
      <c r="TP29" s="12"/>
      <c r="TQ29" s="13" t="s">
        <v>37</v>
      </c>
      <c r="TR29" s="13" t="s">
        <v>37</v>
      </c>
      <c r="TS29" s="13" t="s">
        <v>37</v>
      </c>
      <c r="TT29" s="19"/>
      <c r="TU29" s="13" t="s">
        <v>37</v>
      </c>
      <c r="TV29" s="13" t="s">
        <v>37</v>
      </c>
      <c r="TW29" s="13" t="s">
        <v>37</v>
      </c>
    </row>
    <row r="30" spans="1:543" ht="15.6" x14ac:dyDescent="0.3">
      <c r="A30" s="11">
        <v>12</v>
      </c>
      <c r="B30" s="16" t="s">
        <v>262</v>
      </c>
      <c r="C30" s="12" t="s">
        <v>26</v>
      </c>
      <c r="D30" s="12" t="s">
        <v>609</v>
      </c>
      <c r="E30" s="14">
        <v>2.2999999999999998</v>
      </c>
      <c r="F30" s="14">
        <v>0</v>
      </c>
      <c r="G30" s="14">
        <v>0</v>
      </c>
      <c r="H30" s="12" t="s">
        <v>82</v>
      </c>
      <c r="I30" s="29">
        <v>40.332999999999998</v>
      </c>
      <c r="J30" s="29">
        <v>-105.709</v>
      </c>
      <c r="K30" s="29" t="s">
        <v>572</v>
      </c>
      <c r="L30" s="29" t="s">
        <v>573</v>
      </c>
      <c r="M30" s="13">
        <v>2655</v>
      </c>
      <c r="N30" s="14">
        <v>0.8</v>
      </c>
      <c r="O30" s="14">
        <v>650</v>
      </c>
      <c r="P30" s="14" t="s">
        <v>16</v>
      </c>
      <c r="Q30" s="11" t="s">
        <v>226</v>
      </c>
      <c r="R30" s="11" t="s">
        <v>37</v>
      </c>
      <c r="S30" s="12" t="s">
        <v>85</v>
      </c>
      <c r="T30" s="12" t="s">
        <v>138</v>
      </c>
      <c r="U30" s="12" t="s">
        <v>158</v>
      </c>
      <c r="V30" s="12" t="s">
        <v>274</v>
      </c>
      <c r="W30" s="23" t="s">
        <v>540</v>
      </c>
      <c r="X30" s="12" t="s">
        <v>280</v>
      </c>
      <c r="Y30" s="12" t="s">
        <v>69</v>
      </c>
      <c r="Z30" s="12" t="s">
        <v>37</v>
      </c>
      <c r="AA30" s="32">
        <v>1997</v>
      </c>
      <c r="AB30" s="13" t="s">
        <v>37</v>
      </c>
      <c r="AC30" s="13" t="s">
        <v>37</v>
      </c>
      <c r="AD30" s="12" t="s">
        <v>167</v>
      </c>
      <c r="AE30" s="12" t="s">
        <v>74</v>
      </c>
      <c r="AF30" s="12" t="s">
        <v>489</v>
      </c>
      <c r="AG30" s="12"/>
      <c r="AH30" s="32"/>
      <c r="AI30" s="12" t="s">
        <v>37</v>
      </c>
      <c r="AJ30" s="12" t="s">
        <v>37</v>
      </c>
      <c r="AK30" s="11" t="s">
        <v>37</v>
      </c>
      <c r="AL30" s="19"/>
      <c r="AM30" s="12" t="s">
        <v>37</v>
      </c>
      <c r="AN30" s="12" t="s">
        <v>37</v>
      </c>
      <c r="AO30" s="13" t="s">
        <v>37</v>
      </c>
      <c r="AP30" s="19"/>
      <c r="AQ30" s="49"/>
      <c r="AR30" s="49"/>
      <c r="AS30" s="32"/>
      <c r="AT30" s="12" t="s">
        <v>37</v>
      </c>
      <c r="AU30" s="12" t="s">
        <v>37</v>
      </c>
      <c r="AV30" s="13" t="s">
        <v>37</v>
      </c>
      <c r="AW30" s="12" t="s">
        <v>37</v>
      </c>
      <c r="AX30" s="12" t="s">
        <v>37</v>
      </c>
      <c r="AY30" s="13" t="s">
        <v>37</v>
      </c>
      <c r="AZ30" s="13"/>
      <c r="BA30" s="13"/>
      <c r="BB30" s="12"/>
      <c r="BC30" s="12" t="s">
        <v>37</v>
      </c>
      <c r="BD30" s="12" t="s">
        <v>37</v>
      </c>
      <c r="BE30" s="13" t="s">
        <v>37</v>
      </c>
      <c r="BF30" s="12" t="s">
        <v>37</v>
      </c>
      <c r="BG30" s="12" t="s">
        <v>37</v>
      </c>
      <c r="BH30" s="12" t="s">
        <v>37</v>
      </c>
      <c r="BI30" s="12"/>
      <c r="BJ30" s="12" t="s">
        <v>37</v>
      </c>
      <c r="BK30" s="12" t="s">
        <v>37</v>
      </c>
      <c r="BL30" s="13" t="s">
        <v>37</v>
      </c>
      <c r="BM30" s="12" t="s">
        <v>37</v>
      </c>
      <c r="BN30" s="12" t="s">
        <v>37</v>
      </c>
      <c r="BO30" s="13" t="s">
        <v>37</v>
      </c>
      <c r="BP30" s="19"/>
      <c r="BQ30" s="19"/>
      <c r="BR30" s="19"/>
      <c r="BS30" s="19"/>
      <c r="BT30" s="12"/>
      <c r="BU30" s="12" t="s">
        <v>37</v>
      </c>
      <c r="BV30" s="12" t="s">
        <v>37</v>
      </c>
      <c r="BW30" s="13" t="s">
        <v>37</v>
      </c>
      <c r="BX30" s="12" t="s">
        <v>37</v>
      </c>
      <c r="BY30" s="12" t="s">
        <v>37</v>
      </c>
      <c r="BZ30" s="13" t="s">
        <v>37</v>
      </c>
      <c r="CA30" s="19"/>
      <c r="CB30" s="19"/>
      <c r="CC30" s="19"/>
      <c r="CD30" s="19"/>
      <c r="CE30" s="12"/>
      <c r="CF30" s="12" t="s">
        <v>37</v>
      </c>
      <c r="CG30" s="12" t="s">
        <v>37</v>
      </c>
      <c r="CH30" s="13" t="s">
        <v>37</v>
      </c>
      <c r="CI30" s="12" t="s">
        <v>37</v>
      </c>
      <c r="CJ30" s="12" t="s">
        <v>37</v>
      </c>
      <c r="CK30" s="13" t="s">
        <v>37</v>
      </c>
      <c r="CL30" s="19"/>
      <c r="CM30" s="19"/>
      <c r="CN30" s="19"/>
      <c r="CO30" s="19"/>
      <c r="CP30" s="11"/>
      <c r="CQ30" s="12" t="s">
        <v>37</v>
      </c>
      <c r="CR30" s="19" t="s">
        <v>37</v>
      </c>
      <c r="CS30" s="12" t="s">
        <v>37</v>
      </c>
      <c r="CT30" s="19"/>
      <c r="CU30" s="12" t="s">
        <v>37</v>
      </c>
      <c r="CV30" s="19" t="s">
        <v>37</v>
      </c>
      <c r="CW30" s="12" t="s">
        <v>37</v>
      </c>
      <c r="CX30" s="19"/>
      <c r="CY30" s="68"/>
      <c r="CZ30" s="68"/>
      <c r="DA30" s="68"/>
      <c r="DB30" s="68"/>
      <c r="DC30" s="11"/>
      <c r="DD30" s="11" t="s">
        <v>37</v>
      </c>
      <c r="DE30" s="68" t="s">
        <v>37</v>
      </c>
      <c r="DF30" s="11" t="s">
        <v>37</v>
      </c>
      <c r="DG30" s="19"/>
      <c r="DH30" s="11" t="s">
        <v>37</v>
      </c>
      <c r="DI30" s="68" t="s">
        <v>37</v>
      </c>
      <c r="DJ30" s="11" t="s">
        <v>37</v>
      </c>
      <c r="DK30" s="19"/>
      <c r="DL30" s="68"/>
      <c r="DM30" s="68"/>
      <c r="DN30" s="68"/>
      <c r="DO30" s="68"/>
      <c r="DP30" s="12" t="s">
        <v>39</v>
      </c>
      <c r="DQ30" s="12">
        <v>2.5</v>
      </c>
      <c r="DR30" s="60">
        <f t="shared" ref="DR30:DR42" si="177">ABS(DQ30)*DT$61</f>
        <v>1.01</v>
      </c>
      <c r="DS30" s="13">
        <v>3</v>
      </c>
      <c r="DT30" s="19"/>
      <c r="DU30" s="12">
        <v>-2.5</v>
      </c>
      <c r="DV30" s="60">
        <f t="shared" ref="DV30:DV42" si="178">ABS(DU30)*DX$61</f>
        <v>0.86403190617603054</v>
      </c>
      <c r="DW30" s="13">
        <v>3</v>
      </c>
      <c r="DX30" s="19"/>
      <c r="DY30" s="19">
        <f t="shared" si="162"/>
        <v>-5</v>
      </c>
      <c r="DZ30" s="12">
        <f t="shared" si="163"/>
        <v>0.9398540139006123</v>
      </c>
      <c r="EA30" s="72">
        <f t="shared" si="164"/>
        <v>0.58888371163006159</v>
      </c>
      <c r="EB30" s="72">
        <f t="shared" si="165"/>
        <v>0.58888371163006159</v>
      </c>
      <c r="EC30" s="12"/>
      <c r="ED30" s="12"/>
      <c r="EE30" s="12" t="s">
        <v>37</v>
      </c>
      <c r="EF30" s="12" t="s">
        <v>37</v>
      </c>
      <c r="EG30" s="11" t="s">
        <v>37</v>
      </c>
      <c r="EH30" s="19"/>
      <c r="EI30" s="12" t="s">
        <v>37</v>
      </c>
      <c r="EJ30" s="20" t="s">
        <v>37</v>
      </c>
      <c r="EK30" s="11" t="s">
        <v>37</v>
      </c>
      <c r="EL30" s="19"/>
      <c r="EM30" s="19"/>
      <c r="EN30" s="19"/>
      <c r="EO30" s="19"/>
      <c r="EP30" s="19"/>
      <c r="EQ30" s="32"/>
      <c r="ER30" s="12" t="s">
        <v>37</v>
      </c>
      <c r="ES30" s="12" t="s">
        <v>37</v>
      </c>
      <c r="ET30" s="11" t="s">
        <v>37</v>
      </c>
      <c r="EU30" s="19"/>
      <c r="EV30" s="13" t="s">
        <v>37</v>
      </c>
      <c r="EW30" s="11" t="s">
        <v>37</v>
      </c>
      <c r="EX30" s="11" t="s">
        <v>37</v>
      </c>
      <c r="EY30" s="19"/>
      <c r="EZ30" s="19"/>
      <c r="FA30" s="19"/>
      <c r="FB30" s="19"/>
      <c r="FC30" s="32"/>
      <c r="FD30" s="12" t="s">
        <v>37</v>
      </c>
      <c r="FE30" s="12" t="s">
        <v>37</v>
      </c>
      <c r="FF30" s="11" t="s">
        <v>37</v>
      </c>
      <c r="FG30" s="13" t="s">
        <v>37</v>
      </c>
      <c r="FH30" s="11" t="s">
        <v>37</v>
      </c>
      <c r="FI30" s="11" t="s">
        <v>37</v>
      </c>
      <c r="FJ30" s="19"/>
      <c r="FK30" s="19"/>
      <c r="FL30" s="19"/>
      <c r="FM30" s="32"/>
      <c r="FN30" s="12" t="s">
        <v>37</v>
      </c>
      <c r="FO30" s="12" t="s">
        <v>37</v>
      </c>
      <c r="FP30" s="11" t="s">
        <v>37</v>
      </c>
      <c r="FQ30" s="13" t="s">
        <v>37</v>
      </c>
      <c r="FR30" s="11" t="s">
        <v>37</v>
      </c>
      <c r="FS30" s="11" t="s">
        <v>37</v>
      </c>
      <c r="FT30" s="19"/>
      <c r="FU30" s="19"/>
      <c r="FV30" s="19"/>
      <c r="FW30" s="12"/>
      <c r="FX30" s="12"/>
      <c r="FY30" s="12" t="s">
        <v>37</v>
      </c>
      <c r="FZ30" s="12" t="s">
        <v>37</v>
      </c>
      <c r="GA30" s="13" t="s">
        <v>37</v>
      </c>
      <c r="GB30" s="12" t="s">
        <v>37</v>
      </c>
      <c r="GC30" s="12" t="s">
        <v>37</v>
      </c>
      <c r="GD30" s="13" t="s">
        <v>37</v>
      </c>
      <c r="GE30" s="19"/>
      <c r="GF30" s="19"/>
      <c r="GG30" s="12"/>
      <c r="GH30" s="12"/>
      <c r="GI30" s="12" t="s">
        <v>37</v>
      </c>
      <c r="GJ30" s="12" t="s">
        <v>37</v>
      </c>
      <c r="GK30" s="12" t="s">
        <v>37</v>
      </c>
      <c r="GL30" s="19"/>
      <c r="GM30" s="12" t="s">
        <v>37</v>
      </c>
      <c r="GN30" s="12" t="s">
        <v>37</v>
      </c>
      <c r="GO30" s="12" t="s">
        <v>37</v>
      </c>
      <c r="GP30" s="19"/>
      <c r="GQ30" s="19"/>
      <c r="GR30" s="19"/>
      <c r="GS30" s="17"/>
      <c r="GT30" s="34"/>
      <c r="GU30" s="12" t="s">
        <v>37</v>
      </c>
      <c r="GV30" s="12" t="s">
        <v>37</v>
      </c>
      <c r="GW30" s="12" t="s">
        <v>37</v>
      </c>
      <c r="GX30" s="19"/>
      <c r="GY30" s="12" t="s">
        <v>37</v>
      </c>
      <c r="GZ30" s="12" t="s">
        <v>37</v>
      </c>
      <c r="HA30" s="12" t="s">
        <v>37</v>
      </c>
      <c r="HB30" s="19"/>
      <c r="HC30" s="19"/>
      <c r="HD30" s="19"/>
      <c r="HE30" s="34"/>
      <c r="HF30" s="12" t="s">
        <v>37</v>
      </c>
      <c r="HG30" s="12" t="s">
        <v>37</v>
      </c>
      <c r="HH30" s="13" t="s">
        <v>37</v>
      </c>
      <c r="HI30" s="12" t="s">
        <v>37</v>
      </c>
      <c r="HJ30" s="12" t="s">
        <v>37</v>
      </c>
      <c r="HK30" s="13" t="s">
        <v>37</v>
      </c>
      <c r="HL30" s="13"/>
      <c r="HM30" s="13"/>
      <c r="HN30" s="34"/>
      <c r="HO30" s="12" t="s">
        <v>37</v>
      </c>
      <c r="HP30" s="12" t="s">
        <v>37</v>
      </c>
      <c r="HQ30" s="13" t="s">
        <v>37</v>
      </c>
      <c r="HR30" s="12" t="s">
        <v>37</v>
      </c>
      <c r="HS30" s="12" t="s">
        <v>37</v>
      </c>
      <c r="HT30" s="13" t="s">
        <v>37</v>
      </c>
      <c r="HU30" s="13"/>
      <c r="HV30" s="13"/>
      <c r="HW30" s="12"/>
      <c r="HX30" s="12"/>
      <c r="HY30" s="12" t="s">
        <v>37</v>
      </c>
      <c r="HZ30" s="12" t="s">
        <v>37</v>
      </c>
      <c r="IA30" s="12" t="s">
        <v>37</v>
      </c>
      <c r="IB30" s="12" t="s">
        <v>37</v>
      </c>
      <c r="IC30" s="12" t="s">
        <v>37</v>
      </c>
      <c r="ID30" s="12" t="s">
        <v>37</v>
      </c>
      <c r="IE30" s="12"/>
      <c r="IF30" s="32" t="s">
        <v>345</v>
      </c>
      <c r="IG30" s="12">
        <v>6</v>
      </c>
      <c r="IH30" s="60">
        <f t="shared" ref="IH30:IH32" si="179">IG30*IJ$61</f>
        <v>0.2319161243770364</v>
      </c>
      <c r="II30" s="13">
        <v>3</v>
      </c>
      <c r="IJ30" s="19"/>
      <c r="IK30" s="12" t="s">
        <v>37</v>
      </c>
      <c r="IL30" s="12" t="s">
        <v>37</v>
      </c>
      <c r="IM30" s="13" t="s">
        <v>37</v>
      </c>
      <c r="IN30" s="19"/>
      <c r="IO30" s="19"/>
      <c r="IP30" s="19"/>
      <c r="IQ30" s="32"/>
      <c r="IR30" s="12" t="s">
        <v>37</v>
      </c>
      <c r="IS30" s="12" t="s">
        <v>37</v>
      </c>
      <c r="IT30" s="13" t="s">
        <v>37</v>
      </c>
      <c r="IU30" s="12" t="s">
        <v>37</v>
      </c>
      <c r="IV30" s="12" t="s">
        <v>37</v>
      </c>
      <c r="IW30" s="12" t="s">
        <v>37</v>
      </c>
      <c r="IX30" s="32"/>
      <c r="IY30" s="12" t="s">
        <v>37</v>
      </c>
      <c r="IZ30" s="12" t="s">
        <v>37</v>
      </c>
      <c r="JA30" s="13" t="s">
        <v>37</v>
      </c>
      <c r="JB30" s="12" t="s">
        <v>37</v>
      </c>
      <c r="JC30" s="12" t="s">
        <v>37</v>
      </c>
      <c r="JD30" s="12" t="s">
        <v>37</v>
      </c>
      <c r="JE30" s="12"/>
      <c r="JF30" s="12"/>
      <c r="JG30" s="11" t="s">
        <v>37</v>
      </c>
      <c r="JH30" s="11" t="s">
        <v>37</v>
      </c>
      <c r="JI30" s="13" t="s">
        <v>37</v>
      </c>
      <c r="JJ30" s="11" t="s">
        <v>37</v>
      </c>
      <c r="JK30" s="11" t="s">
        <v>37</v>
      </c>
      <c r="JL30" s="11" t="s">
        <v>37</v>
      </c>
      <c r="JM30" s="12"/>
      <c r="JN30" s="32"/>
      <c r="JO30" s="12" t="s">
        <v>37</v>
      </c>
      <c r="JP30" s="12" t="s">
        <v>37</v>
      </c>
      <c r="JQ30" s="11" t="s">
        <v>37</v>
      </c>
      <c r="JR30" s="19"/>
      <c r="JS30" s="12" t="s">
        <v>37</v>
      </c>
      <c r="JT30" s="12" t="s">
        <v>37</v>
      </c>
      <c r="JU30" s="12" t="s">
        <v>37</v>
      </c>
      <c r="JV30" s="19"/>
      <c r="JW30" s="19"/>
      <c r="JX30" s="19"/>
      <c r="JY30" s="32"/>
      <c r="JZ30" s="12" t="s">
        <v>37</v>
      </c>
      <c r="KA30" s="12" t="s">
        <v>37</v>
      </c>
      <c r="KB30" s="13" t="s">
        <v>37</v>
      </c>
      <c r="KC30" s="12" t="s">
        <v>37</v>
      </c>
      <c r="KD30" s="12" t="s">
        <v>37</v>
      </c>
      <c r="KE30" s="13" t="s">
        <v>37</v>
      </c>
      <c r="KF30" s="13"/>
      <c r="KG30" s="13"/>
      <c r="KH30" s="32"/>
      <c r="KI30" s="12" t="s">
        <v>37</v>
      </c>
      <c r="KJ30" s="12" t="s">
        <v>37</v>
      </c>
      <c r="KK30" s="12" t="s">
        <v>37</v>
      </c>
      <c r="KL30" s="12" t="s">
        <v>37</v>
      </c>
      <c r="KM30" s="12" t="s">
        <v>37</v>
      </c>
      <c r="KN30" s="12" t="s">
        <v>37</v>
      </c>
      <c r="KO30" s="12"/>
      <c r="KP30" s="12"/>
      <c r="KQ30" s="12"/>
      <c r="KR30" s="12"/>
      <c r="KS30" s="12" t="s">
        <v>37</v>
      </c>
      <c r="KT30" s="12" t="s">
        <v>37</v>
      </c>
      <c r="KU30" s="13" t="s">
        <v>37</v>
      </c>
      <c r="KV30" s="19"/>
      <c r="KW30" s="12" t="s">
        <v>37</v>
      </c>
      <c r="KX30" s="12" t="s">
        <v>37</v>
      </c>
      <c r="KY30" s="12" t="s">
        <v>37</v>
      </c>
      <c r="KZ30" s="19"/>
      <c r="LA30" s="19"/>
      <c r="LB30" s="19"/>
      <c r="LC30" s="12"/>
      <c r="LD30" s="12" t="s">
        <v>37</v>
      </c>
      <c r="LE30" s="12" t="s">
        <v>37</v>
      </c>
      <c r="LF30" s="12" t="s">
        <v>37</v>
      </c>
      <c r="LG30" s="19" t="s">
        <v>37</v>
      </c>
      <c r="LH30" s="19" t="s">
        <v>37</v>
      </c>
      <c r="LI30" s="12" t="s">
        <v>37</v>
      </c>
      <c r="LJ30" s="12"/>
      <c r="LK30" s="12"/>
      <c r="LL30" s="12"/>
      <c r="LM30" s="12" t="s">
        <v>37</v>
      </c>
      <c r="LN30" s="12" t="s">
        <v>37</v>
      </c>
      <c r="LO30" s="12" t="s">
        <v>37</v>
      </c>
      <c r="LP30" s="12" t="s">
        <v>37</v>
      </c>
      <c r="LQ30" s="12" t="s">
        <v>37</v>
      </c>
      <c r="LR30" s="12" t="s">
        <v>37</v>
      </c>
      <c r="LS30" s="12"/>
      <c r="LT30" s="12"/>
      <c r="LU30" s="12" t="s">
        <v>37</v>
      </c>
      <c r="LV30" s="12" t="s">
        <v>37</v>
      </c>
      <c r="LW30" s="13" t="s">
        <v>37</v>
      </c>
      <c r="LX30" s="12" t="s">
        <v>37</v>
      </c>
      <c r="LY30" s="12" t="s">
        <v>37</v>
      </c>
      <c r="LZ30" s="13" t="s">
        <v>37</v>
      </c>
      <c r="MA30" s="13"/>
      <c r="MB30" s="13"/>
      <c r="MC30" s="12"/>
      <c r="MD30" s="12"/>
      <c r="ME30" s="12" t="s">
        <v>37</v>
      </c>
      <c r="MF30" s="12" t="s">
        <v>37</v>
      </c>
      <c r="MG30" s="13" t="s">
        <v>37</v>
      </c>
      <c r="MH30" s="12" t="s">
        <v>37</v>
      </c>
      <c r="MI30" s="12" t="s">
        <v>37</v>
      </c>
      <c r="MJ30" s="13" t="s">
        <v>37</v>
      </c>
      <c r="MK30" s="13"/>
      <c r="ML30" s="13"/>
      <c r="MM30" s="12"/>
      <c r="MN30" s="12"/>
      <c r="MO30" s="12" t="s">
        <v>37</v>
      </c>
      <c r="MP30" s="12" t="s">
        <v>37</v>
      </c>
      <c r="MQ30" s="13" t="s">
        <v>37</v>
      </c>
      <c r="MR30" s="12" t="s">
        <v>37</v>
      </c>
      <c r="MS30" s="12" t="s">
        <v>37</v>
      </c>
      <c r="MT30" s="13" t="s">
        <v>37</v>
      </c>
      <c r="MU30" s="13"/>
      <c r="MV30" s="13"/>
      <c r="MW30" s="12"/>
      <c r="MX30" s="12"/>
      <c r="MY30" s="12" t="s">
        <v>37</v>
      </c>
      <c r="MZ30" s="12" t="s">
        <v>37</v>
      </c>
      <c r="NA30" s="12" t="s">
        <v>37</v>
      </c>
      <c r="NB30" s="12" t="s">
        <v>37</v>
      </c>
      <c r="NC30" s="12" t="s">
        <v>37</v>
      </c>
      <c r="ND30" s="12" t="s">
        <v>37</v>
      </c>
      <c r="NE30" s="12"/>
      <c r="NF30" s="12"/>
      <c r="NG30" s="12"/>
      <c r="NH30" s="12"/>
      <c r="NI30" s="12" t="s">
        <v>37</v>
      </c>
      <c r="NJ30" s="12" t="s">
        <v>37</v>
      </c>
      <c r="NK30" s="13" t="s">
        <v>37</v>
      </c>
      <c r="NL30" s="12" t="s">
        <v>37</v>
      </c>
      <c r="NM30" s="12" t="s">
        <v>37</v>
      </c>
      <c r="NN30" s="13" t="s">
        <v>37</v>
      </c>
      <c r="NO30" s="13"/>
      <c r="NP30" s="13"/>
      <c r="NQ30" s="12"/>
      <c r="NR30" s="12"/>
      <c r="NS30" s="11" t="s">
        <v>37</v>
      </c>
      <c r="NT30" s="11" t="s">
        <v>37</v>
      </c>
      <c r="NU30" s="13" t="s">
        <v>37</v>
      </c>
      <c r="NV30" s="11" t="s">
        <v>37</v>
      </c>
      <c r="NW30" s="11" t="s">
        <v>37</v>
      </c>
      <c r="NX30" s="13" t="s">
        <v>37</v>
      </c>
      <c r="NY30" s="13"/>
      <c r="NZ30" s="13"/>
      <c r="OA30" s="12"/>
      <c r="OB30" s="12"/>
      <c r="OC30" s="12" t="s">
        <v>37</v>
      </c>
      <c r="OD30" s="12" t="s">
        <v>37</v>
      </c>
      <c r="OE30" s="12" t="s">
        <v>37</v>
      </c>
      <c r="OF30" s="12" t="s">
        <v>37</v>
      </c>
      <c r="OG30" s="12" t="s">
        <v>37</v>
      </c>
      <c r="OH30" s="12" t="s">
        <v>37</v>
      </c>
      <c r="OI30" s="12"/>
      <c r="OJ30" s="12"/>
      <c r="OK30" s="12"/>
      <c r="OL30" s="12" t="s">
        <v>37</v>
      </c>
      <c r="OM30" s="12" t="s">
        <v>37</v>
      </c>
      <c r="ON30" s="11" t="s">
        <v>37</v>
      </c>
      <c r="OO30" s="12" t="s">
        <v>37</v>
      </c>
      <c r="OP30" s="12" t="s">
        <v>37</v>
      </c>
      <c r="OQ30" s="12" t="s">
        <v>37</v>
      </c>
      <c r="OR30" s="12"/>
      <c r="OS30" s="12" t="s">
        <v>37</v>
      </c>
      <c r="OT30" s="12" t="s">
        <v>37</v>
      </c>
      <c r="OU30" s="12" t="s">
        <v>37</v>
      </c>
      <c r="OV30" s="12" t="s">
        <v>37</v>
      </c>
      <c r="OW30" s="12" t="s">
        <v>37</v>
      </c>
      <c r="OX30" s="12" t="s">
        <v>37</v>
      </c>
      <c r="OY30" s="12"/>
      <c r="OZ30" s="12"/>
      <c r="PA30" s="12" t="s">
        <v>37</v>
      </c>
      <c r="PB30" s="12" t="s">
        <v>37</v>
      </c>
      <c r="PC30" s="12" t="s">
        <v>37</v>
      </c>
      <c r="PD30" s="12" t="s">
        <v>37</v>
      </c>
      <c r="PE30" s="12" t="s">
        <v>37</v>
      </c>
      <c r="PF30" s="12" t="s">
        <v>37</v>
      </c>
      <c r="PG30" s="12"/>
      <c r="PH30" s="12"/>
      <c r="PI30" s="12" t="s">
        <v>37</v>
      </c>
      <c r="PJ30" s="12" t="s">
        <v>37</v>
      </c>
      <c r="PK30" s="12" t="s">
        <v>37</v>
      </c>
      <c r="PL30" s="12" t="s">
        <v>37</v>
      </c>
      <c r="PM30" s="12" t="s">
        <v>37</v>
      </c>
      <c r="PN30" s="12" t="s">
        <v>37</v>
      </c>
      <c r="PO30" s="12"/>
      <c r="PP30" s="12"/>
      <c r="PQ30" s="12" t="s">
        <v>37</v>
      </c>
      <c r="PR30" s="12" t="s">
        <v>37</v>
      </c>
      <c r="PS30" s="12" t="s">
        <v>37</v>
      </c>
      <c r="PT30" s="12" t="s">
        <v>37</v>
      </c>
      <c r="PU30" s="12" t="s">
        <v>37</v>
      </c>
      <c r="PV30" s="12" t="s">
        <v>37</v>
      </c>
      <c r="PW30" s="12"/>
      <c r="PX30" s="12"/>
      <c r="PY30" s="12" t="s">
        <v>37</v>
      </c>
      <c r="PZ30" s="12" t="s">
        <v>37</v>
      </c>
      <c r="QA30" s="12" t="s">
        <v>37</v>
      </c>
      <c r="QB30" s="12" t="s">
        <v>37</v>
      </c>
      <c r="QC30" s="12" t="s">
        <v>37</v>
      </c>
      <c r="QD30" s="12" t="s">
        <v>37</v>
      </c>
      <c r="QE30" s="12"/>
      <c r="QF30" s="12"/>
      <c r="QG30" s="12" t="s">
        <v>37</v>
      </c>
      <c r="QH30" s="12" t="s">
        <v>37</v>
      </c>
      <c r="QI30" s="12" t="s">
        <v>37</v>
      </c>
      <c r="QJ30" s="12" t="s">
        <v>37</v>
      </c>
      <c r="QK30" s="12" t="s">
        <v>37</v>
      </c>
      <c r="QL30" s="12" t="s">
        <v>37</v>
      </c>
      <c r="QM30" s="12"/>
      <c r="QN30" s="12"/>
      <c r="QO30" s="12" t="s">
        <v>37</v>
      </c>
      <c r="QP30" s="12" t="s">
        <v>37</v>
      </c>
      <c r="QQ30" s="12" t="s">
        <v>37</v>
      </c>
      <c r="QR30" s="12" t="s">
        <v>37</v>
      </c>
      <c r="QS30" s="12" t="s">
        <v>37</v>
      </c>
      <c r="QT30" s="12" t="s">
        <v>37</v>
      </c>
      <c r="QU30" s="12"/>
      <c r="QV30" s="12"/>
      <c r="QW30" s="12"/>
      <c r="QX30" s="12"/>
      <c r="QY30" s="12" t="s">
        <v>37</v>
      </c>
      <c r="QZ30" s="12" t="s">
        <v>37</v>
      </c>
      <c r="RA30" s="11" t="s">
        <v>37</v>
      </c>
      <c r="RB30" s="12" t="s">
        <v>37</v>
      </c>
      <c r="RC30" s="12" t="s">
        <v>37</v>
      </c>
      <c r="RD30" s="11" t="s">
        <v>37</v>
      </c>
      <c r="RE30" s="11"/>
      <c r="RF30" s="11"/>
      <c r="RG30" s="12"/>
      <c r="RH30" s="12"/>
      <c r="RI30" s="12" t="s">
        <v>37</v>
      </c>
      <c r="RJ30" s="12" t="s">
        <v>37</v>
      </c>
      <c r="RK30" s="11" t="s">
        <v>37</v>
      </c>
      <c r="RL30" s="12" t="s">
        <v>37</v>
      </c>
      <c r="RM30" s="12" t="s">
        <v>37</v>
      </c>
      <c r="RN30" s="11" t="s">
        <v>37</v>
      </c>
      <c r="RO30" s="11"/>
      <c r="RP30" s="11"/>
      <c r="RQ30" s="12"/>
      <c r="RR30" s="12"/>
      <c r="RS30" s="12" t="s">
        <v>37</v>
      </c>
      <c r="RT30" s="12" t="s">
        <v>37</v>
      </c>
      <c r="RU30" s="11" t="s">
        <v>37</v>
      </c>
      <c r="RV30" s="12" t="s">
        <v>37</v>
      </c>
      <c r="RW30" s="12" t="s">
        <v>37</v>
      </c>
      <c r="RX30" s="11" t="s">
        <v>37</v>
      </c>
      <c r="RY30" s="11"/>
      <c r="RZ30" s="11"/>
      <c r="SA30" s="12"/>
      <c r="SB30" s="12"/>
      <c r="SC30" s="12" t="s">
        <v>37</v>
      </c>
      <c r="SD30" s="12" t="s">
        <v>37</v>
      </c>
      <c r="SE30" s="12" t="s">
        <v>37</v>
      </c>
      <c r="SF30" s="12" t="s">
        <v>37</v>
      </c>
      <c r="SG30" s="12" t="s">
        <v>37</v>
      </c>
      <c r="SH30" s="12" t="s">
        <v>37</v>
      </c>
      <c r="SI30" s="12"/>
      <c r="SJ30" s="12"/>
      <c r="SK30" s="12"/>
      <c r="SL30" s="12"/>
      <c r="SM30" s="12" t="s">
        <v>37</v>
      </c>
      <c r="SN30" s="12" t="s">
        <v>37</v>
      </c>
      <c r="SO30" s="12" t="s">
        <v>37</v>
      </c>
      <c r="SP30" s="12" t="s">
        <v>37</v>
      </c>
      <c r="SQ30" s="12" t="s">
        <v>37</v>
      </c>
      <c r="SR30" s="12" t="s">
        <v>37</v>
      </c>
      <c r="SS30" s="12"/>
      <c r="ST30" s="12"/>
      <c r="SU30" s="12"/>
      <c r="SV30" s="12"/>
      <c r="SW30" s="12" t="s">
        <v>37</v>
      </c>
      <c r="SX30" s="12" t="s">
        <v>37</v>
      </c>
      <c r="SY30" s="12" t="s">
        <v>37</v>
      </c>
      <c r="SZ30" s="12" t="s">
        <v>37</v>
      </c>
      <c r="TA30" s="12" t="s">
        <v>37</v>
      </c>
      <c r="TB30" s="12" t="s">
        <v>37</v>
      </c>
      <c r="TC30" s="12"/>
      <c r="TD30" s="12"/>
      <c r="TE30" s="12"/>
      <c r="TF30" s="12"/>
      <c r="TG30" s="13" t="s">
        <v>37</v>
      </c>
      <c r="TH30" s="13" t="s">
        <v>37</v>
      </c>
      <c r="TI30" s="13" t="s">
        <v>37</v>
      </c>
      <c r="TJ30" s="13" t="s">
        <v>37</v>
      </c>
      <c r="TK30" s="13" t="s">
        <v>37</v>
      </c>
      <c r="TL30" s="13" t="s">
        <v>37</v>
      </c>
      <c r="TM30" s="13"/>
      <c r="TN30" s="13"/>
      <c r="TO30" s="12"/>
      <c r="TP30" s="12"/>
      <c r="TQ30" s="13" t="s">
        <v>37</v>
      </c>
      <c r="TR30" s="13" t="s">
        <v>37</v>
      </c>
      <c r="TS30" s="13" t="s">
        <v>37</v>
      </c>
      <c r="TT30" s="19"/>
      <c r="TU30" s="13" t="s">
        <v>37</v>
      </c>
      <c r="TV30" s="13" t="s">
        <v>37</v>
      </c>
      <c r="TW30" s="13" t="s">
        <v>37</v>
      </c>
    </row>
    <row r="31" spans="1:543" ht="15.6" x14ac:dyDescent="0.3">
      <c r="A31" s="11">
        <v>12</v>
      </c>
      <c r="B31" s="16" t="s">
        <v>262</v>
      </c>
      <c r="C31" s="12" t="s">
        <v>26</v>
      </c>
      <c r="D31" s="12" t="s">
        <v>609</v>
      </c>
      <c r="E31" s="14">
        <v>2.2999999999999998</v>
      </c>
      <c r="F31" s="14">
        <v>0</v>
      </c>
      <c r="G31" s="14">
        <v>0</v>
      </c>
      <c r="H31" s="12" t="s">
        <v>82</v>
      </c>
      <c r="I31" s="29">
        <v>40.332999999999998</v>
      </c>
      <c r="J31" s="29">
        <v>-105.709</v>
      </c>
      <c r="K31" s="29" t="s">
        <v>572</v>
      </c>
      <c r="L31" s="29" t="s">
        <v>573</v>
      </c>
      <c r="M31" s="13">
        <v>2655</v>
      </c>
      <c r="N31" s="14">
        <v>0.8</v>
      </c>
      <c r="O31" s="14">
        <v>650</v>
      </c>
      <c r="P31" s="14" t="s">
        <v>16</v>
      </c>
      <c r="Q31" s="11" t="s">
        <v>226</v>
      </c>
      <c r="R31" s="11" t="s">
        <v>37</v>
      </c>
      <c r="S31" s="12" t="s">
        <v>85</v>
      </c>
      <c r="T31" s="12" t="s">
        <v>138</v>
      </c>
      <c r="U31" s="12" t="s">
        <v>158</v>
      </c>
      <c r="V31" s="12" t="s">
        <v>274</v>
      </c>
      <c r="W31" s="23" t="s">
        <v>540</v>
      </c>
      <c r="X31" s="12" t="s">
        <v>280</v>
      </c>
      <c r="Y31" s="12" t="s">
        <v>69</v>
      </c>
      <c r="Z31" s="12" t="s">
        <v>37</v>
      </c>
      <c r="AA31" s="32">
        <v>1997</v>
      </c>
      <c r="AB31" s="13" t="s">
        <v>37</v>
      </c>
      <c r="AC31" s="13" t="s">
        <v>37</v>
      </c>
      <c r="AD31" s="12" t="s">
        <v>167</v>
      </c>
      <c r="AE31" s="12" t="s">
        <v>74</v>
      </c>
      <c r="AF31" s="12" t="s">
        <v>489</v>
      </c>
      <c r="AG31" s="12"/>
      <c r="AH31" s="32"/>
      <c r="AI31" s="12" t="s">
        <v>37</v>
      </c>
      <c r="AJ31" s="12" t="s">
        <v>37</v>
      </c>
      <c r="AK31" s="11" t="s">
        <v>37</v>
      </c>
      <c r="AL31" s="19"/>
      <c r="AM31" s="12" t="s">
        <v>37</v>
      </c>
      <c r="AN31" s="12" t="s">
        <v>37</v>
      </c>
      <c r="AO31" s="13" t="s">
        <v>37</v>
      </c>
      <c r="AP31" s="19"/>
      <c r="AQ31" s="49"/>
      <c r="AR31" s="49"/>
      <c r="AS31" s="32"/>
      <c r="AT31" s="12" t="s">
        <v>37</v>
      </c>
      <c r="AU31" s="12" t="s">
        <v>37</v>
      </c>
      <c r="AV31" s="13" t="s">
        <v>37</v>
      </c>
      <c r="AW31" s="12" t="s">
        <v>37</v>
      </c>
      <c r="AX31" s="12" t="s">
        <v>37</v>
      </c>
      <c r="AY31" s="13" t="s">
        <v>37</v>
      </c>
      <c r="AZ31" s="13"/>
      <c r="BA31" s="13"/>
      <c r="BB31" s="12"/>
      <c r="BC31" s="12" t="s">
        <v>37</v>
      </c>
      <c r="BD31" s="12" t="s">
        <v>37</v>
      </c>
      <c r="BE31" s="13" t="s">
        <v>37</v>
      </c>
      <c r="BF31" s="12" t="s">
        <v>37</v>
      </c>
      <c r="BG31" s="12" t="s">
        <v>37</v>
      </c>
      <c r="BH31" s="12" t="s">
        <v>37</v>
      </c>
      <c r="BI31" s="12"/>
      <c r="BJ31" s="12" t="s">
        <v>37</v>
      </c>
      <c r="BK31" s="12" t="s">
        <v>37</v>
      </c>
      <c r="BL31" s="13" t="s">
        <v>37</v>
      </c>
      <c r="BM31" s="12" t="s">
        <v>37</v>
      </c>
      <c r="BN31" s="12" t="s">
        <v>37</v>
      </c>
      <c r="BO31" s="13" t="s">
        <v>37</v>
      </c>
      <c r="BP31" s="19"/>
      <c r="BQ31" s="19"/>
      <c r="BR31" s="19"/>
      <c r="BS31" s="19"/>
      <c r="BT31" s="12"/>
      <c r="BU31" s="12" t="s">
        <v>37</v>
      </c>
      <c r="BV31" s="12" t="s">
        <v>37</v>
      </c>
      <c r="BW31" s="13" t="s">
        <v>37</v>
      </c>
      <c r="BX31" s="12" t="s">
        <v>37</v>
      </c>
      <c r="BY31" s="12" t="s">
        <v>37</v>
      </c>
      <c r="BZ31" s="13" t="s">
        <v>37</v>
      </c>
      <c r="CA31" s="19"/>
      <c r="CB31" s="19"/>
      <c r="CC31" s="19"/>
      <c r="CD31" s="19"/>
      <c r="CE31" s="12"/>
      <c r="CF31" s="12" t="s">
        <v>37</v>
      </c>
      <c r="CG31" s="12" t="s">
        <v>37</v>
      </c>
      <c r="CH31" s="13" t="s">
        <v>37</v>
      </c>
      <c r="CI31" s="12" t="s">
        <v>37</v>
      </c>
      <c r="CJ31" s="12" t="s">
        <v>37</v>
      </c>
      <c r="CK31" s="13" t="s">
        <v>37</v>
      </c>
      <c r="CL31" s="19"/>
      <c r="CM31" s="19"/>
      <c r="CN31" s="19"/>
      <c r="CO31" s="19"/>
      <c r="CP31" s="11"/>
      <c r="CQ31" s="12" t="s">
        <v>37</v>
      </c>
      <c r="CR31" s="19" t="s">
        <v>37</v>
      </c>
      <c r="CS31" s="12" t="s">
        <v>37</v>
      </c>
      <c r="CT31" s="19"/>
      <c r="CU31" s="12" t="s">
        <v>37</v>
      </c>
      <c r="CV31" s="19" t="s">
        <v>37</v>
      </c>
      <c r="CW31" s="12" t="s">
        <v>37</v>
      </c>
      <c r="CX31" s="19"/>
      <c r="CY31" s="68"/>
      <c r="CZ31" s="68"/>
      <c r="DA31" s="68"/>
      <c r="DB31" s="68"/>
      <c r="DC31" s="11"/>
      <c r="DD31" s="11" t="s">
        <v>37</v>
      </c>
      <c r="DE31" s="68" t="s">
        <v>37</v>
      </c>
      <c r="DF31" s="11" t="s">
        <v>37</v>
      </c>
      <c r="DG31" s="19"/>
      <c r="DH31" s="11" t="s">
        <v>37</v>
      </c>
      <c r="DI31" s="68" t="s">
        <v>37</v>
      </c>
      <c r="DJ31" s="11" t="s">
        <v>37</v>
      </c>
      <c r="DK31" s="19"/>
      <c r="DL31" s="68"/>
      <c r="DM31" s="68"/>
      <c r="DN31" s="68"/>
      <c r="DO31" s="68"/>
      <c r="DP31" s="12" t="s">
        <v>39</v>
      </c>
      <c r="DQ31" s="12">
        <v>2.5</v>
      </c>
      <c r="DR31" s="60">
        <f t="shared" si="177"/>
        <v>1.01</v>
      </c>
      <c r="DS31" s="13">
        <v>3</v>
      </c>
      <c r="DT31" s="19"/>
      <c r="DU31" s="12">
        <v>-8</v>
      </c>
      <c r="DV31" s="60">
        <f t="shared" si="178"/>
        <v>2.7649020997632978</v>
      </c>
      <c r="DW31" s="13">
        <v>3</v>
      </c>
      <c r="DX31" s="19"/>
      <c r="DY31" s="19">
        <f t="shared" si="162"/>
        <v>-10.5</v>
      </c>
      <c r="DZ31" s="12">
        <f t="shared" si="163"/>
        <v>2.0814398407443213</v>
      </c>
      <c r="EA31" s="72">
        <f t="shared" si="164"/>
        <v>2.8882612070918308</v>
      </c>
      <c r="EB31" s="72">
        <f t="shared" si="165"/>
        <v>2.8882612070918312</v>
      </c>
      <c r="EC31" s="12"/>
      <c r="ED31" s="12"/>
      <c r="EE31" s="12" t="s">
        <v>37</v>
      </c>
      <c r="EF31" s="12" t="s">
        <v>37</v>
      </c>
      <c r="EG31" s="11" t="s">
        <v>37</v>
      </c>
      <c r="EH31" s="19"/>
      <c r="EI31" s="12" t="s">
        <v>37</v>
      </c>
      <c r="EJ31" s="20" t="s">
        <v>37</v>
      </c>
      <c r="EK31" s="11" t="s">
        <v>37</v>
      </c>
      <c r="EL31" s="19"/>
      <c r="EM31" s="19"/>
      <c r="EN31" s="19"/>
      <c r="EO31" s="19"/>
      <c r="EP31" s="19"/>
      <c r="EQ31" s="32"/>
      <c r="ER31" s="12" t="s">
        <v>37</v>
      </c>
      <c r="ES31" s="12" t="s">
        <v>37</v>
      </c>
      <c r="ET31" s="11" t="s">
        <v>37</v>
      </c>
      <c r="EU31" s="19"/>
      <c r="EV31" s="13" t="s">
        <v>37</v>
      </c>
      <c r="EW31" s="11" t="s">
        <v>37</v>
      </c>
      <c r="EX31" s="11" t="s">
        <v>37</v>
      </c>
      <c r="EY31" s="19"/>
      <c r="EZ31" s="19"/>
      <c r="FA31" s="19"/>
      <c r="FB31" s="19"/>
      <c r="FC31" s="32"/>
      <c r="FD31" s="12" t="s">
        <v>37</v>
      </c>
      <c r="FE31" s="12" t="s">
        <v>37</v>
      </c>
      <c r="FF31" s="11" t="s">
        <v>37</v>
      </c>
      <c r="FG31" s="13" t="s">
        <v>37</v>
      </c>
      <c r="FH31" s="11" t="s">
        <v>37</v>
      </c>
      <c r="FI31" s="11" t="s">
        <v>37</v>
      </c>
      <c r="FJ31" s="19"/>
      <c r="FK31" s="19"/>
      <c r="FL31" s="19"/>
      <c r="FM31" s="32"/>
      <c r="FN31" s="12" t="s">
        <v>37</v>
      </c>
      <c r="FO31" s="12" t="s">
        <v>37</v>
      </c>
      <c r="FP31" s="11" t="s">
        <v>37</v>
      </c>
      <c r="FQ31" s="13" t="s">
        <v>37</v>
      </c>
      <c r="FR31" s="11" t="s">
        <v>37</v>
      </c>
      <c r="FS31" s="11" t="s">
        <v>37</v>
      </c>
      <c r="FT31" s="19"/>
      <c r="FU31" s="19"/>
      <c r="FV31" s="19"/>
      <c r="FW31" s="12"/>
      <c r="FX31" s="12"/>
      <c r="FY31" s="12" t="s">
        <v>37</v>
      </c>
      <c r="FZ31" s="12" t="s">
        <v>37</v>
      </c>
      <c r="GA31" s="13" t="s">
        <v>37</v>
      </c>
      <c r="GB31" s="12" t="s">
        <v>37</v>
      </c>
      <c r="GC31" s="12" t="s">
        <v>37</v>
      </c>
      <c r="GD31" s="13" t="s">
        <v>37</v>
      </c>
      <c r="GE31" s="19"/>
      <c r="GF31" s="19"/>
      <c r="GG31" s="12"/>
      <c r="GH31" s="12"/>
      <c r="GI31" s="12" t="s">
        <v>37</v>
      </c>
      <c r="GJ31" s="12" t="s">
        <v>37</v>
      </c>
      <c r="GK31" s="12" t="s">
        <v>37</v>
      </c>
      <c r="GL31" s="19"/>
      <c r="GM31" s="12" t="s">
        <v>37</v>
      </c>
      <c r="GN31" s="12" t="s">
        <v>37</v>
      </c>
      <c r="GO31" s="12" t="s">
        <v>37</v>
      </c>
      <c r="GP31" s="19"/>
      <c r="GQ31" s="19"/>
      <c r="GR31" s="19"/>
      <c r="GS31" s="17"/>
      <c r="GT31" s="34"/>
      <c r="GU31" s="12" t="s">
        <v>37</v>
      </c>
      <c r="GV31" s="12" t="s">
        <v>37</v>
      </c>
      <c r="GW31" s="12" t="s">
        <v>37</v>
      </c>
      <c r="GX31" s="19"/>
      <c r="GY31" s="12" t="s">
        <v>37</v>
      </c>
      <c r="GZ31" s="12" t="s">
        <v>37</v>
      </c>
      <c r="HA31" s="12" t="s">
        <v>37</v>
      </c>
      <c r="HB31" s="19"/>
      <c r="HC31" s="19"/>
      <c r="HD31" s="19"/>
      <c r="HE31" s="34"/>
      <c r="HF31" s="12" t="s">
        <v>37</v>
      </c>
      <c r="HG31" s="12" t="s">
        <v>37</v>
      </c>
      <c r="HH31" s="13" t="s">
        <v>37</v>
      </c>
      <c r="HI31" s="12" t="s">
        <v>37</v>
      </c>
      <c r="HJ31" s="12" t="s">
        <v>37</v>
      </c>
      <c r="HK31" s="13" t="s">
        <v>37</v>
      </c>
      <c r="HL31" s="13"/>
      <c r="HM31" s="13"/>
      <c r="HN31" s="34"/>
      <c r="HO31" s="12" t="s">
        <v>37</v>
      </c>
      <c r="HP31" s="12" t="s">
        <v>37</v>
      </c>
      <c r="HQ31" s="13" t="s">
        <v>37</v>
      </c>
      <c r="HR31" s="12" t="s">
        <v>37</v>
      </c>
      <c r="HS31" s="12" t="s">
        <v>37</v>
      </c>
      <c r="HT31" s="13" t="s">
        <v>37</v>
      </c>
      <c r="HU31" s="13"/>
      <c r="HV31" s="13"/>
      <c r="HW31" s="12"/>
      <c r="HX31" s="12"/>
      <c r="HY31" s="12" t="s">
        <v>37</v>
      </c>
      <c r="HZ31" s="12" t="s">
        <v>37</v>
      </c>
      <c r="IA31" s="12" t="s">
        <v>37</v>
      </c>
      <c r="IB31" s="12" t="s">
        <v>37</v>
      </c>
      <c r="IC31" s="12" t="s">
        <v>37</v>
      </c>
      <c r="ID31" s="12" t="s">
        <v>37</v>
      </c>
      <c r="IE31" s="12"/>
      <c r="IF31" s="32" t="s">
        <v>345</v>
      </c>
      <c r="IG31" s="12">
        <v>6</v>
      </c>
      <c r="IH31" s="60">
        <f t="shared" si="179"/>
        <v>0.2319161243770364</v>
      </c>
      <c r="II31" s="13">
        <v>3</v>
      </c>
      <c r="IJ31" s="19"/>
      <c r="IK31" s="12" t="s">
        <v>37</v>
      </c>
      <c r="IL31" s="12" t="s">
        <v>37</v>
      </c>
      <c r="IM31" s="13" t="s">
        <v>37</v>
      </c>
      <c r="IN31" s="19"/>
      <c r="IO31" s="19"/>
      <c r="IP31" s="19"/>
      <c r="IQ31" s="32"/>
      <c r="IR31" s="12" t="s">
        <v>37</v>
      </c>
      <c r="IS31" s="12" t="s">
        <v>37</v>
      </c>
      <c r="IT31" s="13" t="s">
        <v>37</v>
      </c>
      <c r="IU31" s="12" t="s">
        <v>37</v>
      </c>
      <c r="IV31" s="12" t="s">
        <v>37</v>
      </c>
      <c r="IW31" s="12" t="s">
        <v>37</v>
      </c>
      <c r="IX31" s="32"/>
      <c r="IY31" s="12" t="s">
        <v>37</v>
      </c>
      <c r="IZ31" s="12" t="s">
        <v>37</v>
      </c>
      <c r="JA31" s="13" t="s">
        <v>37</v>
      </c>
      <c r="JB31" s="12" t="s">
        <v>37</v>
      </c>
      <c r="JC31" s="12" t="s">
        <v>37</v>
      </c>
      <c r="JD31" s="12" t="s">
        <v>37</v>
      </c>
      <c r="JE31" s="12"/>
      <c r="JF31" s="12"/>
      <c r="JG31" s="11" t="s">
        <v>37</v>
      </c>
      <c r="JH31" s="11" t="s">
        <v>37</v>
      </c>
      <c r="JI31" s="13" t="s">
        <v>37</v>
      </c>
      <c r="JJ31" s="11" t="s">
        <v>37</v>
      </c>
      <c r="JK31" s="11" t="s">
        <v>37</v>
      </c>
      <c r="JL31" s="11" t="s">
        <v>37</v>
      </c>
      <c r="JM31" s="12"/>
      <c r="JN31" s="32"/>
      <c r="JO31" s="12" t="s">
        <v>37</v>
      </c>
      <c r="JP31" s="12" t="s">
        <v>37</v>
      </c>
      <c r="JQ31" s="11" t="s">
        <v>37</v>
      </c>
      <c r="JR31" s="19"/>
      <c r="JS31" s="12" t="s">
        <v>37</v>
      </c>
      <c r="JT31" s="12" t="s">
        <v>37</v>
      </c>
      <c r="JU31" s="12" t="s">
        <v>37</v>
      </c>
      <c r="JV31" s="19"/>
      <c r="JW31" s="19"/>
      <c r="JX31" s="19"/>
      <c r="JY31" s="32"/>
      <c r="JZ31" s="12" t="s">
        <v>37</v>
      </c>
      <c r="KA31" s="12" t="s">
        <v>37</v>
      </c>
      <c r="KB31" s="13" t="s">
        <v>37</v>
      </c>
      <c r="KC31" s="12" t="s">
        <v>37</v>
      </c>
      <c r="KD31" s="12" t="s">
        <v>37</v>
      </c>
      <c r="KE31" s="13" t="s">
        <v>37</v>
      </c>
      <c r="KF31" s="13"/>
      <c r="KG31" s="13"/>
      <c r="KH31" s="32"/>
      <c r="KI31" s="12" t="s">
        <v>37</v>
      </c>
      <c r="KJ31" s="12" t="s">
        <v>37</v>
      </c>
      <c r="KK31" s="12" t="s">
        <v>37</v>
      </c>
      <c r="KL31" s="12" t="s">
        <v>37</v>
      </c>
      <c r="KM31" s="12" t="s">
        <v>37</v>
      </c>
      <c r="KN31" s="12" t="s">
        <v>37</v>
      </c>
      <c r="KO31" s="12"/>
      <c r="KP31" s="12"/>
      <c r="KQ31" s="12"/>
      <c r="KR31" s="12"/>
      <c r="KS31" s="12" t="s">
        <v>37</v>
      </c>
      <c r="KT31" s="12" t="s">
        <v>37</v>
      </c>
      <c r="KU31" s="13" t="s">
        <v>37</v>
      </c>
      <c r="KV31" s="19"/>
      <c r="KW31" s="12" t="s">
        <v>37</v>
      </c>
      <c r="KX31" s="12" t="s">
        <v>37</v>
      </c>
      <c r="KY31" s="12" t="s">
        <v>37</v>
      </c>
      <c r="KZ31" s="19"/>
      <c r="LA31" s="19"/>
      <c r="LB31" s="19"/>
      <c r="LC31" s="12"/>
      <c r="LD31" s="12" t="s">
        <v>37</v>
      </c>
      <c r="LE31" s="12" t="s">
        <v>37</v>
      </c>
      <c r="LF31" s="12" t="s">
        <v>37</v>
      </c>
      <c r="LG31" s="19" t="s">
        <v>37</v>
      </c>
      <c r="LH31" s="19" t="s">
        <v>37</v>
      </c>
      <c r="LI31" s="12" t="s">
        <v>37</v>
      </c>
      <c r="LJ31" s="12"/>
      <c r="LK31" s="12"/>
      <c r="LL31" s="12"/>
      <c r="LM31" s="12" t="s">
        <v>37</v>
      </c>
      <c r="LN31" s="12" t="s">
        <v>37</v>
      </c>
      <c r="LO31" s="12" t="s">
        <v>37</v>
      </c>
      <c r="LP31" s="12" t="s">
        <v>37</v>
      </c>
      <c r="LQ31" s="12" t="s">
        <v>37</v>
      </c>
      <c r="LR31" s="12" t="s">
        <v>37</v>
      </c>
      <c r="LS31" s="12"/>
      <c r="LT31" s="12"/>
      <c r="LU31" s="12" t="s">
        <v>37</v>
      </c>
      <c r="LV31" s="12" t="s">
        <v>37</v>
      </c>
      <c r="LW31" s="13" t="s">
        <v>37</v>
      </c>
      <c r="LX31" s="12" t="s">
        <v>37</v>
      </c>
      <c r="LY31" s="12" t="s">
        <v>37</v>
      </c>
      <c r="LZ31" s="13" t="s">
        <v>37</v>
      </c>
      <c r="MA31" s="13"/>
      <c r="MB31" s="13"/>
      <c r="MC31" s="12"/>
      <c r="MD31" s="12"/>
      <c r="ME31" s="12" t="s">
        <v>37</v>
      </c>
      <c r="MF31" s="12" t="s">
        <v>37</v>
      </c>
      <c r="MG31" s="13" t="s">
        <v>37</v>
      </c>
      <c r="MH31" s="12" t="s">
        <v>37</v>
      </c>
      <c r="MI31" s="12" t="s">
        <v>37</v>
      </c>
      <c r="MJ31" s="13" t="s">
        <v>37</v>
      </c>
      <c r="MK31" s="13"/>
      <c r="ML31" s="13"/>
      <c r="MM31" s="12"/>
      <c r="MN31" s="12"/>
      <c r="MO31" s="12" t="s">
        <v>37</v>
      </c>
      <c r="MP31" s="12" t="s">
        <v>37</v>
      </c>
      <c r="MQ31" s="13" t="s">
        <v>37</v>
      </c>
      <c r="MR31" s="12" t="s">
        <v>37</v>
      </c>
      <c r="MS31" s="12" t="s">
        <v>37</v>
      </c>
      <c r="MT31" s="13" t="s">
        <v>37</v>
      </c>
      <c r="MU31" s="13"/>
      <c r="MV31" s="13"/>
      <c r="MW31" s="12"/>
      <c r="MX31" s="12"/>
      <c r="MY31" s="12" t="s">
        <v>37</v>
      </c>
      <c r="MZ31" s="12" t="s">
        <v>37</v>
      </c>
      <c r="NA31" s="12" t="s">
        <v>37</v>
      </c>
      <c r="NB31" s="12" t="s">
        <v>37</v>
      </c>
      <c r="NC31" s="12" t="s">
        <v>37</v>
      </c>
      <c r="ND31" s="12" t="s">
        <v>37</v>
      </c>
      <c r="NE31" s="12"/>
      <c r="NF31" s="12"/>
      <c r="NG31" s="12"/>
      <c r="NH31" s="12"/>
      <c r="NI31" s="12" t="s">
        <v>37</v>
      </c>
      <c r="NJ31" s="12" t="s">
        <v>37</v>
      </c>
      <c r="NK31" s="13" t="s">
        <v>37</v>
      </c>
      <c r="NL31" s="12" t="s">
        <v>37</v>
      </c>
      <c r="NM31" s="12" t="s">
        <v>37</v>
      </c>
      <c r="NN31" s="13" t="s">
        <v>37</v>
      </c>
      <c r="NO31" s="13"/>
      <c r="NP31" s="13"/>
      <c r="NQ31" s="12"/>
      <c r="NR31" s="12"/>
      <c r="NS31" s="11" t="s">
        <v>37</v>
      </c>
      <c r="NT31" s="11" t="s">
        <v>37</v>
      </c>
      <c r="NU31" s="13" t="s">
        <v>37</v>
      </c>
      <c r="NV31" s="11" t="s">
        <v>37</v>
      </c>
      <c r="NW31" s="11" t="s">
        <v>37</v>
      </c>
      <c r="NX31" s="13" t="s">
        <v>37</v>
      </c>
      <c r="NY31" s="13"/>
      <c r="NZ31" s="13"/>
      <c r="OA31" s="12"/>
      <c r="OB31" s="12"/>
      <c r="OC31" s="12" t="s">
        <v>37</v>
      </c>
      <c r="OD31" s="12" t="s">
        <v>37</v>
      </c>
      <c r="OE31" s="12" t="s">
        <v>37</v>
      </c>
      <c r="OF31" s="12" t="s">
        <v>37</v>
      </c>
      <c r="OG31" s="12" t="s">
        <v>37</v>
      </c>
      <c r="OH31" s="12" t="s">
        <v>37</v>
      </c>
      <c r="OI31" s="12"/>
      <c r="OJ31" s="12"/>
      <c r="OK31" s="12"/>
      <c r="OL31" s="12" t="s">
        <v>37</v>
      </c>
      <c r="OM31" s="12" t="s">
        <v>37</v>
      </c>
      <c r="ON31" s="11" t="s">
        <v>37</v>
      </c>
      <c r="OO31" s="12" t="s">
        <v>37</v>
      </c>
      <c r="OP31" s="12" t="s">
        <v>37</v>
      </c>
      <c r="OQ31" s="12" t="s">
        <v>37</v>
      </c>
      <c r="OR31" s="12"/>
      <c r="OS31" s="12" t="s">
        <v>37</v>
      </c>
      <c r="OT31" s="12" t="s">
        <v>37</v>
      </c>
      <c r="OU31" s="12" t="s">
        <v>37</v>
      </c>
      <c r="OV31" s="12" t="s">
        <v>37</v>
      </c>
      <c r="OW31" s="12" t="s">
        <v>37</v>
      </c>
      <c r="OX31" s="12" t="s">
        <v>37</v>
      </c>
      <c r="OY31" s="12"/>
      <c r="OZ31" s="12"/>
      <c r="PA31" s="12" t="s">
        <v>37</v>
      </c>
      <c r="PB31" s="12" t="s">
        <v>37</v>
      </c>
      <c r="PC31" s="12" t="s">
        <v>37</v>
      </c>
      <c r="PD31" s="12" t="s">
        <v>37</v>
      </c>
      <c r="PE31" s="12" t="s">
        <v>37</v>
      </c>
      <c r="PF31" s="12" t="s">
        <v>37</v>
      </c>
      <c r="PG31" s="12"/>
      <c r="PH31" s="12"/>
      <c r="PI31" s="12" t="s">
        <v>37</v>
      </c>
      <c r="PJ31" s="12" t="s">
        <v>37</v>
      </c>
      <c r="PK31" s="12" t="s">
        <v>37</v>
      </c>
      <c r="PL31" s="12" t="s">
        <v>37</v>
      </c>
      <c r="PM31" s="12" t="s">
        <v>37</v>
      </c>
      <c r="PN31" s="12" t="s">
        <v>37</v>
      </c>
      <c r="PO31" s="12"/>
      <c r="PP31" s="12"/>
      <c r="PQ31" s="12" t="s">
        <v>37</v>
      </c>
      <c r="PR31" s="12" t="s">
        <v>37</v>
      </c>
      <c r="PS31" s="12" t="s">
        <v>37</v>
      </c>
      <c r="PT31" s="12" t="s">
        <v>37</v>
      </c>
      <c r="PU31" s="12" t="s">
        <v>37</v>
      </c>
      <c r="PV31" s="12" t="s">
        <v>37</v>
      </c>
      <c r="PW31" s="12"/>
      <c r="PX31" s="12"/>
      <c r="PY31" s="12" t="s">
        <v>37</v>
      </c>
      <c r="PZ31" s="12" t="s">
        <v>37</v>
      </c>
      <c r="QA31" s="12" t="s">
        <v>37</v>
      </c>
      <c r="QB31" s="12" t="s">
        <v>37</v>
      </c>
      <c r="QC31" s="12" t="s">
        <v>37</v>
      </c>
      <c r="QD31" s="12" t="s">
        <v>37</v>
      </c>
      <c r="QE31" s="12"/>
      <c r="QF31" s="12"/>
      <c r="QG31" s="12" t="s">
        <v>37</v>
      </c>
      <c r="QH31" s="12" t="s">
        <v>37</v>
      </c>
      <c r="QI31" s="12" t="s">
        <v>37</v>
      </c>
      <c r="QJ31" s="12" t="s">
        <v>37</v>
      </c>
      <c r="QK31" s="12" t="s">
        <v>37</v>
      </c>
      <c r="QL31" s="12" t="s">
        <v>37</v>
      </c>
      <c r="QM31" s="12"/>
      <c r="QN31" s="12"/>
      <c r="QO31" s="12" t="s">
        <v>37</v>
      </c>
      <c r="QP31" s="12" t="s">
        <v>37</v>
      </c>
      <c r="QQ31" s="12" t="s">
        <v>37</v>
      </c>
      <c r="QR31" s="12" t="s">
        <v>37</v>
      </c>
      <c r="QS31" s="12" t="s">
        <v>37</v>
      </c>
      <c r="QT31" s="12" t="s">
        <v>37</v>
      </c>
      <c r="QU31" s="12"/>
      <c r="QV31" s="12"/>
      <c r="QW31" s="12"/>
      <c r="QX31" s="12"/>
      <c r="QY31" s="12" t="s">
        <v>37</v>
      </c>
      <c r="QZ31" s="12" t="s">
        <v>37</v>
      </c>
      <c r="RA31" s="11" t="s">
        <v>37</v>
      </c>
      <c r="RB31" s="12" t="s">
        <v>37</v>
      </c>
      <c r="RC31" s="12" t="s">
        <v>37</v>
      </c>
      <c r="RD31" s="11" t="s">
        <v>37</v>
      </c>
      <c r="RE31" s="11"/>
      <c r="RF31" s="11"/>
      <c r="RG31" s="12"/>
      <c r="RH31" s="12"/>
      <c r="RI31" s="12" t="s">
        <v>37</v>
      </c>
      <c r="RJ31" s="12" t="s">
        <v>37</v>
      </c>
      <c r="RK31" s="11" t="s">
        <v>37</v>
      </c>
      <c r="RL31" s="12" t="s">
        <v>37</v>
      </c>
      <c r="RM31" s="12" t="s">
        <v>37</v>
      </c>
      <c r="RN31" s="11" t="s">
        <v>37</v>
      </c>
      <c r="RO31" s="11"/>
      <c r="RP31" s="11"/>
      <c r="RQ31" s="12"/>
      <c r="RR31" s="12"/>
      <c r="RS31" s="12" t="s">
        <v>37</v>
      </c>
      <c r="RT31" s="12" t="s">
        <v>37</v>
      </c>
      <c r="RU31" s="11" t="s">
        <v>37</v>
      </c>
      <c r="RV31" s="12" t="s">
        <v>37</v>
      </c>
      <c r="RW31" s="12" t="s">
        <v>37</v>
      </c>
      <c r="RX31" s="11" t="s">
        <v>37</v>
      </c>
      <c r="RY31" s="11"/>
      <c r="RZ31" s="11"/>
      <c r="SA31" s="12"/>
      <c r="SB31" s="12"/>
      <c r="SC31" s="12" t="s">
        <v>37</v>
      </c>
      <c r="SD31" s="12" t="s">
        <v>37</v>
      </c>
      <c r="SE31" s="12" t="s">
        <v>37</v>
      </c>
      <c r="SF31" s="12" t="s">
        <v>37</v>
      </c>
      <c r="SG31" s="12" t="s">
        <v>37</v>
      </c>
      <c r="SH31" s="12" t="s">
        <v>37</v>
      </c>
      <c r="SI31" s="12"/>
      <c r="SJ31" s="12"/>
      <c r="SK31" s="12"/>
      <c r="SL31" s="12"/>
      <c r="SM31" s="12" t="s">
        <v>37</v>
      </c>
      <c r="SN31" s="12" t="s">
        <v>37</v>
      </c>
      <c r="SO31" s="12" t="s">
        <v>37</v>
      </c>
      <c r="SP31" s="12" t="s">
        <v>37</v>
      </c>
      <c r="SQ31" s="12" t="s">
        <v>37</v>
      </c>
      <c r="SR31" s="12" t="s">
        <v>37</v>
      </c>
      <c r="SS31" s="12"/>
      <c r="ST31" s="12"/>
      <c r="SU31" s="12"/>
      <c r="SV31" s="12"/>
      <c r="SW31" s="12" t="s">
        <v>37</v>
      </c>
      <c r="SX31" s="12" t="s">
        <v>37</v>
      </c>
      <c r="SY31" s="12" t="s">
        <v>37</v>
      </c>
      <c r="SZ31" s="12" t="s">
        <v>37</v>
      </c>
      <c r="TA31" s="12" t="s">
        <v>37</v>
      </c>
      <c r="TB31" s="12" t="s">
        <v>37</v>
      </c>
      <c r="TC31" s="12"/>
      <c r="TD31" s="12"/>
      <c r="TE31" s="12"/>
      <c r="TF31" s="12"/>
      <c r="TG31" s="13" t="s">
        <v>37</v>
      </c>
      <c r="TH31" s="13" t="s">
        <v>37</v>
      </c>
      <c r="TI31" s="13" t="s">
        <v>37</v>
      </c>
      <c r="TJ31" s="13" t="s">
        <v>37</v>
      </c>
      <c r="TK31" s="13" t="s">
        <v>37</v>
      </c>
      <c r="TL31" s="13" t="s">
        <v>37</v>
      </c>
      <c r="TM31" s="13"/>
      <c r="TN31" s="13"/>
      <c r="TO31" s="12"/>
      <c r="TP31" s="12"/>
      <c r="TQ31" s="13" t="s">
        <v>37</v>
      </c>
      <c r="TR31" s="13" t="s">
        <v>37</v>
      </c>
      <c r="TS31" s="13" t="s">
        <v>37</v>
      </c>
      <c r="TT31" s="19"/>
      <c r="TU31" s="13" t="s">
        <v>37</v>
      </c>
      <c r="TV31" s="13" t="s">
        <v>37</v>
      </c>
      <c r="TW31" s="13" t="s">
        <v>37</v>
      </c>
    </row>
    <row r="32" spans="1:543" ht="15.6" x14ac:dyDescent="0.3">
      <c r="A32" s="11">
        <v>12</v>
      </c>
      <c r="B32" s="16" t="s">
        <v>262</v>
      </c>
      <c r="C32" s="12" t="s">
        <v>26</v>
      </c>
      <c r="D32" s="12" t="s">
        <v>609</v>
      </c>
      <c r="E32" s="14">
        <v>2.2999999999999998</v>
      </c>
      <c r="F32" s="14">
        <v>0</v>
      </c>
      <c r="G32" s="14">
        <v>0</v>
      </c>
      <c r="H32" s="12" t="s">
        <v>82</v>
      </c>
      <c r="I32" s="29">
        <v>40.332999999999998</v>
      </c>
      <c r="J32" s="29">
        <v>-105.709</v>
      </c>
      <c r="K32" s="29" t="s">
        <v>572</v>
      </c>
      <c r="L32" s="29" t="s">
        <v>573</v>
      </c>
      <c r="M32" s="13">
        <v>2655</v>
      </c>
      <c r="N32" s="14">
        <v>0.8</v>
      </c>
      <c r="O32" s="14">
        <v>650</v>
      </c>
      <c r="P32" s="14" t="s">
        <v>16</v>
      </c>
      <c r="Q32" s="11" t="s">
        <v>226</v>
      </c>
      <c r="R32" s="11" t="s">
        <v>37</v>
      </c>
      <c r="S32" s="12" t="s">
        <v>85</v>
      </c>
      <c r="T32" s="12" t="s">
        <v>138</v>
      </c>
      <c r="U32" s="12" t="s">
        <v>158</v>
      </c>
      <c r="V32" s="12" t="s">
        <v>274</v>
      </c>
      <c r="W32" s="23" t="s">
        <v>540</v>
      </c>
      <c r="X32" s="12" t="s">
        <v>280</v>
      </c>
      <c r="Y32" s="12" t="s">
        <v>69</v>
      </c>
      <c r="Z32" s="12" t="s">
        <v>37</v>
      </c>
      <c r="AA32" s="32">
        <v>1997</v>
      </c>
      <c r="AB32" s="13" t="s">
        <v>37</v>
      </c>
      <c r="AC32" s="13" t="s">
        <v>37</v>
      </c>
      <c r="AD32" s="12" t="s">
        <v>167</v>
      </c>
      <c r="AE32" s="12" t="s">
        <v>74</v>
      </c>
      <c r="AF32" s="12" t="s">
        <v>489</v>
      </c>
      <c r="AG32" s="12"/>
      <c r="AH32" s="32"/>
      <c r="AI32" s="12" t="s">
        <v>37</v>
      </c>
      <c r="AJ32" s="12" t="s">
        <v>37</v>
      </c>
      <c r="AK32" s="11" t="s">
        <v>37</v>
      </c>
      <c r="AL32" s="19"/>
      <c r="AM32" s="12" t="s">
        <v>37</v>
      </c>
      <c r="AN32" s="12" t="s">
        <v>37</v>
      </c>
      <c r="AO32" s="13" t="s">
        <v>37</v>
      </c>
      <c r="AP32" s="19"/>
      <c r="AQ32" s="49"/>
      <c r="AR32" s="49"/>
      <c r="AS32" s="32"/>
      <c r="AT32" s="12" t="s">
        <v>37</v>
      </c>
      <c r="AU32" s="12" t="s">
        <v>37</v>
      </c>
      <c r="AV32" s="13" t="s">
        <v>37</v>
      </c>
      <c r="AW32" s="12" t="s">
        <v>37</v>
      </c>
      <c r="AX32" s="12" t="s">
        <v>37</v>
      </c>
      <c r="AY32" s="13" t="s">
        <v>37</v>
      </c>
      <c r="AZ32" s="13"/>
      <c r="BA32" s="13"/>
      <c r="BB32" s="12"/>
      <c r="BC32" s="12" t="s">
        <v>37</v>
      </c>
      <c r="BD32" s="12" t="s">
        <v>37</v>
      </c>
      <c r="BE32" s="13" t="s">
        <v>37</v>
      </c>
      <c r="BF32" s="12" t="s">
        <v>37</v>
      </c>
      <c r="BG32" s="12" t="s">
        <v>37</v>
      </c>
      <c r="BH32" s="12" t="s">
        <v>37</v>
      </c>
      <c r="BI32" s="12"/>
      <c r="BJ32" s="12" t="s">
        <v>37</v>
      </c>
      <c r="BK32" s="12" t="s">
        <v>37</v>
      </c>
      <c r="BL32" s="13" t="s">
        <v>37</v>
      </c>
      <c r="BM32" s="12" t="s">
        <v>37</v>
      </c>
      <c r="BN32" s="12" t="s">
        <v>37</v>
      </c>
      <c r="BO32" s="13" t="s">
        <v>37</v>
      </c>
      <c r="BP32" s="19"/>
      <c r="BQ32" s="19"/>
      <c r="BR32" s="19"/>
      <c r="BS32" s="19"/>
      <c r="BT32" s="12"/>
      <c r="BU32" s="12" t="s">
        <v>37</v>
      </c>
      <c r="BV32" s="12" t="s">
        <v>37</v>
      </c>
      <c r="BW32" s="13" t="s">
        <v>37</v>
      </c>
      <c r="BX32" s="12" t="s">
        <v>37</v>
      </c>
      <c r="BY32" s="12" t="s">
        <v>37</v>
      </c>
      <c r="BZ32" s="13" t="s">
        <v>37</v>
      </c>
      <c r="CA32" s="19"/>
      <c r="CB32" s="19"/>
      <c r="CC32" s="19"/>
      <c r="CD32" s="19"/>
      <c r="CE32" s="12"/>
      <c r="CF32" s="12" t="s">
        <v>37</v>
      </c>
      <c r="CG32" s="12" t="s">
        <v>37</v>
      </c>
      <c r="CH32" s="13" t="s">
        <v>37</v>
      </c>
      <c r="CI32" s="12" t="s">
        <v>37</v>
      </c>
      <c r="CJ32" s="12" t="s">
        <v>37</v>
      </c>
      <c r="CK32" s="13" t="s">
        <v>37</v>
      </c>
      <c r="CL32" s="19"/>
      <c r="CM32" s="19"/>
      <c r="CN32" s="19"/>
      <c r="CO32" s="19"/>
      <c r="CP32" s="11"/>
      <c r="CQ32" s="12" t="s">
        <v>37</v>
      </c>
      <c r="CR32" s="19" t="s">
        <v>37</v>
      </c>
      <c r="CS32" s="12" t="s">
        <v>37</v>
      </c>
      <c r="CT32" s="19"/>
      <c r="CU32" s="12" t="s">
        <v>37</v>
      </c>
      <c r="CV32" s="19" t="s">
        <v>37</v>
      </c>
      <c r="CW32" s="12" t="s">
        <v>37</v>
      </c>
      <c r="CX32" s="19"/>
      <c r="CY32" s="68"/>
      <c r="CZ32" s="68"/>
      <c r="DA32" s="68"/>
      <c r="DB32" s="68"/>
      <c r="DC32" s="11"/>
      <c r="DD32" s="11" t="s">
        <v>37</v>
      </c>
      <c r="DE32" s="68" t="s">
        <v>37</v>
      </c>
      <c r="DF32" s="11" t="s">
        <v>37</v>
      </c>
      <c r="DG32" s="19"/>
      <c r="DH32" s="11" t="s">
        <v>37</v>
      </c>
      <c r="DI32" s="68" t="s">
        <v>37</v>
      </c>
      <c r="DJ32" s="11" t="s">
        <v>37</v>
      </c>
      <c r="DK32" s="19"/>
      <c r="DL32" s="68"/>
      <c r="DM32" s="68"/>
      <c r="DN32" s="68"/>
      <c r="DO32" s="68"/>
      <c r="DP32" s="12" t="s">
        <v>39</v>
      </c>
      <c r="DQ32" s="12">
        <v>2.5</v>
      </c>
      <c r="DR32" s="60">
        <f t="shared" si="177"/>
        <v>1.01</v>
      </c>
      <c r="DS32" s="13">
        <v>3</v>
      </c>
      <c r="DT32" s="19"/>
      <c r="DU32" s="12">
        <v>-25</v>
      </c>
      <c r="DV32" s="60">
        <f t="shared" si="178"/>
        <v>8.6403190617603052</v>
      </c>
      <c r="DW32" s="13">
        <v>3</v>
      </c>
      <c r="DX32" s="19"/>
      <c r="DY32" s="19">
        <f t="shared" si="162"/>
        <v>-27.5</v>
      </c>
      <c r="DZ32" s="12">
        <f t="shared" si="163"/>
        <v>6.1512280679966045</v>
      </c>
      <c r="EA32" s="72">
        <f t="shared" si="164"/>
        <v>25.225071163006156</v>
      </c>
      <c r="EB32" s="72">
        <f t="shared" si="165"/>
        <v>25.225071163006159</v>
      </c>
      <c r="EC32" s="12"/>
      <c r="ED32" s="12"/>
      <c r="EE32" s="12" t="s">
        <v>37</v>
      </c>
      <c r="EF32" s="12" t="s">
        <v>37</v>
      </c>
      <c r="EG32" s="11" t="s">
        <v>37</v>
      </c>
      <c r="EH32" s="19"/>
      <c r="EI32" s="12" t="s">
        <v>37</v>
      </c>
      <c r="EJ32" s="20" t="s">
        <v>37</v>
      </c>
      <c r="EK32" s="11" t="s">
        <v>37</v>
      </c>
      <c r="EL32" s="19"/>
      <c r="EM32" s="19"/>
      <c r="EN32" s="19"/>
      <c r="EO32" s="19"/>
      <c r="EP32" s="19"/>
      <c r="EQ32" s="32"/>
      <c r="ER32" s="12" t="s">
        <v>37</v>
      </c>
      <c r="ES32" s="12" t="s">
        <v>37</v>
      </c>
      <c r="ET32" s="11" t="s">
        <v>37</v>
      </c>
      <c r="EU32" s="19"/>
      <c r="EV32" s="13" t="s">
        <v>37</v>
      </c>
      <c r="EW32" s="11" t="s">
        <v>37</v>
      </c>
      <c r="EX32" s="11" t="s">
        <v>37</v>
      </c>
      <c r="EY32" s="19"/>
      <c r="EZ32" s="19"/>
      <c r="FA32" s="19"/>
      <c r="FB32" s="19"/>
      <c r="FC32" s="32"/>
      <c r="FD32" s="12" t="s">
        <v>37</v>
      </c>
      <c r="FE32" s="12" t="s">
        <v>37</v>
      </c>
      <c r="FF32" s="11" t="s">
        <v>37</v>
      </c>
      <c r="FG32" s="13" t="s">
        <v>37</v>
      </c>
      <c r="FH32" s="11" t="s">
        <v>37</v>
      </c>
      <c r="FI32" s="11" t="s">
        <v>37</v>
      </c>
      <c r="FJ32" s="19"/>
      <c r="FK32" s="19"/>
      <c r="FL32" s="19"/>
      <c r="FM32" s="32"/>
      <c r="FN32" s="12" t="s">
        <v>37</v>
      </c>
      <c r="FO32" s="12" t="s">
        <v>37</v>
      </c>
      <c r="FP32" s="11" t="s">
        <v>37</v>
      </c>
      <c r="FQ32" s="13" t="s">
        <v>37</v>
      </c>
      <c r="FR32" s="11" t="s">
        <v>37</v>
      </c>
      <c r="FS32" s="11" t="s">
        <v>37</v>
      </c>
      <c r="FT32" s="19"/>
      <c r="FU32" s="19"/>
      <c r="FV32" s="19"/>
      <c r="FW32" s="12"/>
      <c r="FX32" s="12"/>
      <c r="FY32" s="12" t="s">
        <v>37</v>
      </c>
      <c r="FZ32" s="12" t="s">
        <v>37</v>
      </c>
      <c r="GA32" s="13" t="s">
        <v>37</v>
      </c>
      <c r="GB32" s="12" t="s">
        <v>37</v>
      </c>
      <c r="GC32" s="12" t="s">
        <v>37</v>
      </c>
      <c r="GD32" s="13" t="s">
        <v>37</v>
      </c>
      <c r="GE32" s="19"/>
      <c r="GF32" s="19"/>
      <c r="GG32" s="12"/>
      <c r="GH32" s="12"/>
      <c r="GI32" s="12" t="s">
        <v>37</v>
      </c>
      <c r="GJ32" s="12" t="s">
        <v>37</v>
      </c>
      <c r="GK32" s="12" t="s">
        <v>37</v>
      </c>
      <c r="GL32" s="19"/>
      <c r="GM32" s="12" t="s">
        <v>37</v>
      </c>
      <c r="GN32" s="12" t="s">
        <v>37</v>
      </c>
      <c r="GO32" s="12" t="s">
        <v>37</v>
      </c>
      <c r="GP32" s="19"/>
      <c r="GQ32" s="19"/>
      <c r="GR32" s="19"/>
      <c r="GS32" s="17"/>
      <c r="GT32" s="34"/>
      <c r="GU32" s="12" t="s">
        <v>37</v>
      </c>
      <c r="GV32" s="12" t="s">
        <v>37</v>
      </c>
      <c r="GW32" s="12" t="s">
        <v>37</v>
      </c>
      <c r="GX32" s="19"/>
      <c r="GY32" s="12" t="s">
        <v>37</v>
      </c>
      <c r="GZ32" s="12" t="s">
        <v>37</v>
      </c>
      <c r="HA32" s="12" t="s">
        <v>37</v>
      </c>
      <c r="HB32" s="19"/>
      <c r="HC32" s="19"/>
      <c r="HD32" s="19"/>
      <c r="HE32" s="34"/>
      <c r="HF32" s="12" t="s">
        <v>37</v>
      </c>
      <c r="HG32" s="12" t="s">
        <v>37</v>
      </c>
      <c r="HH32" s="13" t="s">
        <v>37</v>
      </c>
      <c r="HI32" s="12" t="s">
        <v>37</v>
      </c>
      <c r="HJ32" s="12" t="s">
        <v>37</v>
      </c>
      <c r="HK32" s="13" t="s">
        <v>37</v>
      </c>
      <c r="HL32" s="13"/>
      <c r="HM32" s="13"/>
      <c r="HN32" s="34"/>
      <c r="HO32" s="12" t="s">
        <v>37</v>
      </c>
      <c r="HP32" s="12" t="s">
        <v>37</v>
      </c>
      <c r="HQ32" s="13" t="s">
        <v>37</v>
      </c>
      <c r="HR32" s="12" t="s">
        <v>37</v>
      </c>
      <c r="HS32" s="12" t="s">
        <v>37</v>
      </c>
      <c r="HT32" s="13" t="s">
        <v>37</v>
      </c>
      <c r="HU32" s="13"/>
      <c r="HV32" s="13"/>
      <c r="HW32" s="12"/>
      <c r="HX32" s="12"/>
      <c r="HY32" s="12" t="s">
        <v>37</v>
      </c>
      <c r="HZ32" s="12" t="s">
        <v>37</v>
      </c>
      <c r="IA32" s="12" t="s">
        <v>37</v>
      </c>
      <c r="IB32" s="12" t="s">
        <v>37</v>
      </c>
      <c r="IC32" s="12" t="s">
        <v>37</v>
      </c>
      <c r="ID32" s="12" t="s">
        <v>37</v>
      </c>
      <c r="IE32" s="12"/>
      <c r="IF32" s="32" t="s">
        <v>345</v>
      </c>
      <c r="IG32" s="12">
        <v>6</v>
      </c>
      <c r="IH32" s="60">
        <f t="shared" si="179"/>
        <v>0.2319161243770364</v>
      </c>
      <c r="II32" s="13">
        <v>3</v>
      </c>
      <c r="IJ32" s="19"/>
      <c r="IK32" s="12" t="s">
        <v>37</v>
      </c>
      <c r="IL32" s="12" t="s">
        <v>37</v>
      </c>
      <c r="IM32" s="13" t="s">
        <v>37</v>
      </c>
      <c r="IN32" s="19"/>
      <c r="IO32" s="19"/>
      <c r="IP32" s="19"/>
      <c r="IQ32" s="32"/>
      <c r="IR32" s="12" t="s">
        <v>37</v>
      </c>
      <c r="IS32" s="12" t="s">
        <v>37</v>
      </c>
      <c r="IT32" s="13" t="s">
        <v>37</v>
      </c>
      <c r="IU32" s="12" t="s">
        <v>37</v>
      </c>
      <c r="IV32" s="12" t="s">
        <v>37</v>
      </c>
      <c r="IW32" s="12" t="s">
        <v>37</v>
      </c>
      <c r="IX32" s="32"/>
      <c r="IY32" s="12" t="s">
        <v>37</v>
      </c>
      <c r="IZ32" s="12" t="s">
        <v>37</v>
      </c>
      <c r="JA32" s="13" t="s">
        <v>37</v>
      </c>
      <c r="JB32" s="12" t="s">
        <v>37</v>
      </c>
      <c r="JC32" s="12" t="s">
        <v>37</v>
      </c>
      <c r="JD32" s="12" t="s">
        <v>37</v>
      </c>
      <c r="JE32" s="12"/>
      <c r="JF32" s="12"/>
      <c r="JG32" s="11" t="s">
        <v>37</v>
      </c>
      <c r="JH32" s="11" t="s">
        <v>37</v>
      </c>
      <c r="JI32" s="13" t="s">
        <v>37</v>
      </c>
      <c r="JJ32" s="11" t="s">
        <v>37</v>
      </c>
      <c r="JK32" s="11" t="s">
        <v>37</v>
      </c>
      <c r="JL32" s="11" t="s">
        <v>37</v>
      </c>
      <c r="JM32" s="12"/>
      <c r="JN32" s="32"/>
      <c r="JO32" s="12" t="s">
        <v>37</v>
      </c>
      <c r="JP32" s="12" t="s">
        <v>37</v>
      </c>
      <c r="JQ32" s="11" t="s">
        <v>37</v>
      </c>
      <c r="JR32" s="19"/>
      <c r="JS32" s="12" t="s">
        <v>37</v>
      </c>
      <c r="JT32" s="12" t="s">
        <v>37</v>
      </c>
      <c r="JU32" s="12" t="s">
        <v>37</v>
      </c>
      <c r="JV32" s="19"/>
      <c r="JW32" s="19"/>
      <c r="JX32" s="19"/>
      <c r="JY32" s="32"/>
      <c r="JZ32" s="12" t="s">
        <v>37</v>
      </c>
      <c r="KA32" s="12" t="s">
        <v>37</v>
      </c>
      <c r="KB32" s="13" t="s">
        <v>37</v>
      </c>
      <c r="KC32" s="12" t="s">
        <v>37</v>
      </c>
      <c r="KD32" s="12" t="s">
        <v>37</v>
      </c>
      <c r="KE32" s="13" t="s">
        <v>37</v>
      </c>
      <c r="KF32" s="13"/>
      <c r="KG32" s="13"/>
      <c r="KH32" s="32"/>
      <c r="KI32" s="12" t="s">
        <v>37</v>
      </c>
      <c r="KJ32" s="12" t="s">
        <v>37</v>
      </c>
      <c r="KK32" s="12" t="s">
        <v>37</v>
      </c>
      <c r="KL32" s="12" t="s">
        <v>37</v>
      </c>
      <c r="KM32" s="12" t="s">
        <v>37</v>
      </c>
      <c r="KN32" s="12" t="s">
        <v>37</v>
      </c>
      <c r="KO32" s="12"/>
      <c r="KP32" s="12"/>
      <c r="KQ32" s="12"/>
      <c r="KR32" s="12"/>
      <c r="KS32" s="12" t="s">
        <v>37</v>
      </c>
      <c r="KT32" s="12" t="s">
        <v>37</v>
      </c>
      <c r="KU32" s="13" t="s">
        <v>37</v>
      </c>
      <c r="KV32" s="19"/>
      <c r="KW32" s="12" t="s">
        <v>37</v>
      </c>
      <c r="KX32" s="12" t="s">
        <v>37</v>
      </c>
      <c r="KY32" s="12" t="s">
        <v>37</v>
      </c>
      <c r="KZ32" s="19"/>
      <c r="LA32" s="19"/>
      <c r="LB32" s="19"/>
      <c r="LC32" s="12"/>
      <c r="LD32" s="12" t="s">
        <v>37</v>
      </c>
      <c r="LE32" s="12" t="s">
        <v>37</v>
      </c>
      <c r="LF32" s="12" t="s">
        <v>37</v>
      </c>
      <c r="LG32" s="19" t="s">
        <v>37</v>
      </c>
      <c r="LH32" s="19" t="s">
        <v>37</v>
      </c>
      <c r="LI32" s="12" t="s">
        <v>37</v>
      </c>
      <c r="LJ32" s="12"/>
      <c r="LK32" s="12"/>
      <c r="LL32" s="12"/>
      <c r="LM32" s="12" t="s">
        <v>37</v>
      </c>
      <c r="LN32" s="12" t="s">
        <v>37</v>
      </c>
      <c r="LO32" s="12" t="s">
        <v>37</v>
      </c>
      <c r="LP32" s="12" t="s">
        <v>37</v>
      </c>
      <c r="LQ32" s="12" t="s">
        <v>37</v>
      </c>
      <c r="LR32" s="12" t="s">
        <v>37</v>
      </c>
      <c r="LS32" s="12"/>
      <c r="LT32" s="12"/>
      <c r="LU32" s="12" t="s">
        <v>37</v>
      </c>
      <c r="LV32" s="12" t="s">
        <v>37</v>
      </c>
      <c r="LW32" s="13" t="s">
        <v>37</v>
      </c>
      <c r="LX32" s="12" t="s">
        <v>37</v>
      </c>
      <c r="LY32" s="12" t="s">
        <v>37</v>
      </c>
      <c r="LZ32" s="13" t="s">
        <v>37</v>
      </c>
      <c r="MA32" s="13"/>
      <c r="MB32" s="13"/>
      <c r="MC32" s="12"/>
      <c r="MD32" s="12"/>
      <c r="ME32" s="12" t="s">
        <v>37</v>
      </c>
      <c r="MF32" s="12" t="s">
        <v>37</v>
      </c>
      <c r="MG32" s="13" t="s">
        <v>37</v>
      </c>
      <c r="MH32" s="12" t="s">
        <v>37</v>
      </c>
      <c r="MI32" s="12" t="s">
        <v>37</v>
      </c>
      <c r="MJ32" s="13" t="s">
        <v>37</v>
      </c>
      <c r="MK32" s="13"/>
      <c r="ML32" s="13"/>
      <c r="MM32" s="12"/>
      <c r="MN32" s="12"/>
      <c r="MO32" s="12" t="s">
        <v>37</v>
      </c>
      <c r="MP32" s="12" t="s">
        <v>37</v>
      </c>
      <c r="MQ32" s="13" t="s">
        <v>37</v>
      </c>
      <c r="MR32" s="12" t="s">
        <v>37</v>
      </c>
      <c r="MS32" s="12" t="s">
        <v>37</v>
      </c>
      <c r="MT32" s="13" t="s">
        <v>37</v>
      </c>
      <c r="MU32" s="13"/>
      <c r="MV32" s="13"/>
      <c r="MW32" s="12"/>
      <c r="MX32" s="12"/>
      <c r="MY32" s="12" t="s">
        <v>37</v>
      </c>
      <c r="MZ32" s="12" t="s">
        <v>37</v>
      </c>
      <c r="NA32" s="12" t="s">
        <v>37</v>
      </c>
      <c r="NB32" s="12" t="s">
        <v>37</v>
      </c>
      <c r="NC32" s="12" t="s">
        <v>37</v>
      </c>
      <c r="ND32" s="12" t="s">
        <v>37</v>
      </c>
      <c r="NE32" s="12"/>
      <c r="NF32" s="12"/>
      <c r="NG32" s="12"/>
      <c r="NH32" s="12"/>
      <c r="NI32" s="12" t="s">
        <v>37</v>
      </c>
      <c r="NJ32" s="12" t="s">
        <v>37</v>
      </c>
      <c r="NK32" s="13" t="s">
        <v>37</v>
      </c>
      <c r="NL32" s="12" t="s">
        <v>37</v>
      </c>
      <c r="NM32" s="12" t="s">
        <v>37</v>
      </c>
      <c r="NN32" s="13" t="s">
        <v>37</v>
      </c>
      <c r="NO32" s="13"/>
      <c r="NP32" s="13"/>
      <c r="NQ32" s="12"/>
      <c r="NR32" s="12"/>
      <c r="NS32" s="11" t="s">
        <v>37</v>
      </c>
      <c r="NT32" s="11" t="s">
        <v>37</v>
      </c>
      <c r="NU32" s="13" t="s">
        <v>37</v>
      </c>
      <c r="NV32" s="11" t="s">
        <v>37</v>
      </c>
      <c r="NW32" s="11" t="s">
        <v>37</v>
      </c>
      <c r="NX32" s="13" t="s">
        <v>37</v>
      </c>
      <c r="NY32" s="13"/>
      <c r="NZ32" s="13"/>
      <c r="OA32" s="12"/>
      <c r="OB32" s="12"/>
      <c r="OC32" s="12" t="s">
        <v>37</v>
      </c>
      <c r="OD32" s="12" t="s">
        <v>37</v>
      </c>
      <c r="OE32" s="12" t="s">
        <v>37</v>
      </c>
      <c r="OF32" s="12" t="s">
        <v>37</v>
      </c>
      <c r="OG32" s="12" t="s">
        <v>37</v>
      </c>
      <c r="OH32" s="12" t="s">
        <v>37</v>
      </c>
      <c r="OI32" s="12"/>
      <c r="OJ32" s="12"/>
      <c r="OK32" s="12"/>
      <c r="OL32" s="12" t="s">
        <v>37</v>
      </c>
      <c r="OM32" s="12" t="s">
        <v>37</v>
      </c>
      <c r="ON32" s="11" t="s">
        <v>37</v>
      </c>
      <c r="OO32" s="12" t="s">
        <v>37</v>
      </c>
      <c r="OP32" s="12" t="s">
        <v>37</v>
      </c>
      <c r="OQ32" s="12" t="s">
        <v>37</v>
      </c>
      <c r="OR32" s="12"/>
      <c r="OS32" s="12" t="s">
        <v>37</v>
      </c>
      <c r="OT32" s="12" t="s">
        <v>37</v>
      </c>
      <c r="OU32" s="12" t="s">
        <v>37</v>
      </c>
      <c r="OV32" s="12" t="s">
        <v>37</v>
      </c>
      <c r="OW32" s="12" t="s">
        <v>37</v>
      </c>
      <c r="OX32" s="12" t="s">
        <v>37</v>
      </c>
      <c r="OY32" s="12"/>
      <c r="OZ32" s="12"/>
      <c r="PA32" s="12" t="s">
        <v>37</v>
      </c>
      <c r="PB32" s="12" t="s">
        <v>37</v>
      </c>
      <c r="PC32" s="12" t="s">
        <v>37</v>
      </c>
      <c r="PD32" s="12" t="s">
        <v>37</v>
      </c>
      <c r="PE32" s="12" t="s">
        <v>37</v>
      </c>
      <c r="PF32" s="12" t="s">
        <v>37</v>
      </c>
      <c r="PG32" s="12"/>
      <c r="PH32" s="12"/>
      <c r="PI32" s="12" t="s">
        <v>37</v>
      </c>
      <c r="PJ32" s="12" t="s">
        <v>37</v>
      </c>
      <c r="PK32" s="12" t="s">
        <v>37</v>
      </c>
      <c r="PL32" s="12" t="s">
        <v>37</v>
      </c>
      <c r="PM32" s="12" t="s">
        <v>37</v>
      </c>
      <c r="PN32" s="12" t="s">
        <v>37</v>
      </c>
      <c r="PO32" s="12"/>
      <c r="PP32" s="12"/>
      <c r="PQ32" s="12" t="s">
        <v>37</v>
      </c>
      <c r="PR32" s="12" t="s">
        <v>37</v>
      </c>
      <c r="PS32" s="12" t="s">
        <v>37</v>
      </c>
      <c r="PT32" s="12" t="s">
        <v>37</v>
      </c>
      <c r="PU32" s="12" t="s">
        <v>37</v>
      </c>
      <c r="PV32" s="12" t="s">
        <v>37</v>
      </c>
      <c r="PW32" s="12"/>
      <c r="PX32" s="12"/>
      <c r="PY32" s="12" t="s">
        <v>37</v>
      </c>
      <c r="PZ32" s="12" t="s">
        <v>37</v>
      </c>
      <c r="QA32" s="12" t="s">
        <v>37</v>
      </c>
      <c r="QB32" s="12" t="s">
        <v>37</v>
      </c>
      <c r="QC32" s="12" t="s">
        <v>37</v>
      </c>
      <c r="QD32" s="12" t="s">
        <v>37</v>
      </c>
      <c r="QE32" s="12"/>
      <c r="QF32" s="12"/>
      <c r="QG32" s="12" t="s">
        <v>37</v>
      </c>
      <c r="QH32" s="12" t="s">
        <v>37</v>
      </c>
      <c r="QI32" s="12" t="s">
        <v>37</v>
      </c>
      <c r="QJ32" s="12" t="s">
        <v>37</v>
      </c>
      <c r="QK32" s="12" t="s">
        <v>37</v>
      </c>
      <c r="QL32" s="12" t="s">
        <v>37</v>
      </c>
      <c r="QM32" s="12"/>
      <c r="QN32" s="12"/>
      <c r="QO32" s="12" t="s">
        <v>37</v>
      </c>
      <c r="QP32" s="12" t="s">
        <v>37</v>
      </c>
      <c r="QQ32" s="12" t="s">
        <v>37</v>
      </c>
      <c r="QR32" s="12" t="s">
        <v>37</v>
      </c>
      <c r="QS32" s="12" t="s">
        <v>37</v>
      </c>
      <c r="QT32" s="12" t="s">
        <v>37</v>
      </c>
      <c r="QU32" s="12"/>
      <c r="QV32" s="12"/>
      <c r="QW32" s="12"/>
      <c r="QX32" s="12"/>
      <c r="QY32" s="12" t="s">
        <v>37</v>
      </c>
      <c r="QZ32" s="12" t="s">
        <v>37</v>
      </c>
      <c r="RA32" s="11" t="s">
        <v>37</v>
      </c>
      <c r="RB32" s="12" t="s">
        <v>37</v>
      </c>
      <c r="RC32" s="12" t="s">
        <v>37</v>
      </c>
      <c r="RD32" s="11" t="s">
        <v>37</v>
      </c>
      <c r="RE32" s="11"/>
      <c r="RF32" s="11"/>
      <c r="RG32" s="12"/>
      <c r="RH32" s="12"/>
      <c r="RI32" s="12" t="s">
        <v>37</v>
      </c>
      <c r="RJ32" s="12" t="s">
        <v>37</v>
      </c>
      <c r="RK32" s="11" t="s">
        <v>37</v>
      </c>
      <c r="RL32" s="12" t="s">
        <v>37</v>
      </c>
      <c r="RM32" s="12" t="s">
        <v>37</v>
      </c>
      <c r="RN32" s="11" t="s">
        <v>37</v>
      </c>
      <c r="RO32" s="11"/>
      <c r="RP32" s="11"/>
      <c r="RQ32" s="12"/>
      <c r="RR32" s="12"/>
      <c r="RS32" s="12" t="s">
        <v>37</v>
      </c>
      <c r="RT32" s="12" t="s">
        <v>37</v>
      </c>
      <c r="RU32" s="11" t="s">
        <v>37</v>
      </c>
      <c r="RV32" s="12" t="s">
        <v>37</v>
      </c>
      <c r="RW32" s="12" t="s">
        <v>37</v>
      </c>
      <c r="RX32" s="11" t="s">
        <v>37</v>
      </c>
      <c r="RY32" s="11"/>
      <c r="RZ32" s="11"/>
      <c r="SA32" s="12"/>
      <c r="SB32" s="12"/>
      <c r="SC32" s="12" t="s">
        <v>37</v>
      </c>
      <c r="SD32" s="12" t="s">
        <v>37</v>
      </c>
      <c r="SE32" s="12" t="s">
        <v>37</v>
      </c>
      <c r="SF32" s="12" t="s">
        <v>37</v>
      </c>
      <c r="SG32" s="12" t="s">
        <v>37</v>
      </c>
      <c r="SH32" s="12" t="s">
        <v>37</v>
      </c>
      <c r="SI32" s="12"/>
      <c r="SJ32" s="12"/>
      <c r="SK32" s="12"/>
      <c r="SL32" s="12"/>
      <c r="SM32" s="12" t="s">
        <v>37</v>
      </c>
      <c r="SN32" s="12" t="s">
        <v>37</v>
      </c>
      <c r="SO32" s="12" t="s">
        <v>37</v>
      </c>
      <c r="SP32" s="12" t="s">
        <v>37</v>
      </c>
      <c r="SQ32" s="12" t="s">
        <v>37</v>
      </c>
      <c r="SR32" s="12" t="s">
        <v>37</v>
      </c>
      <c r="SS32" s="12"/>
      <c r="ST32" s="12"/>
      <c r="SU32" s="12"/>
      <c r="SV32" s="12"/>
      <c r="SW32" s="12" t="s">
        <v>37</v>
      </c>
      <c r="SX32" s="12" t="s">
        <v>37</v>
      </c>
      <c r="SY32" s="12" t="s">
        <v>37</v>
      </c>
      <c r="SZ32" s="12" t="s">
        <v>37</v>
      </c>
      <c r="TA32" s="12" t="s">
        <v>37</v>
      </c>
      <c r="TB32" s="12" t="s">
        <v>37</v>
      </c>
      <c r="TC32" s="12"/>
      <c r="TD32" s="12"/>
      <c r="TE32" s="12"/>
      <c r="TF32" s="12"/>
      <c r="TG32" s="13" t="s">
        <v>37</v>
      </c>
      <c r="TH32" s="13" t="s">
        <v>37</v>
      </c>
      <c r="TI32" s="13" t="s">
        <v>37</v>
      </c>
      <c r="TJ32" s="13" t="s">
        <v>37</v>
      </c>
      <c r="TK32" s="13" t="s">
        <v>37</v>
      </c>
      <c r="TL32" s="13" t="s">
        <v>37</v>
      </c>
      <c r="TM32" s="13"/>
      <c r="TN32" s="13"/>
      <c r="TO32" s="12"/>
      <c r="TP32" s="12"/>
      <c r="TQ32" s="13" t="s">
        <v>37</v>
      </c>
      <c r="TR32" s="13" t="s">
        <v>37</v>
      </c>
      <c r="TS32" s="13" t="s">
        <v>37</v>
      </c>
      <c r="TT32" s="19"/>
      <c r="TU32" s="13" t="s">
        <v>37</v>
      </c>
      <c r="TV32" s="13" t="s">
        <v>37</v>
      </c>
      <c r="TW32" s="13" t="s">
        <v>37</v>
      </c>
    </row>
    <row r="33" spans="1:546" ht="15.6" x14ac:dyDescent="0.3">
      <c r="A33" s="11">
        <v>13</v>
      </c>
      <c r="B33" s="16" t="s">
        <v>940</v>
      </c>
      <c r="C33" s="12" t="s">
        <v>26</v>
      </c>
      <c r="D33" s="12" t="s">
        <v>609</v>
      </c>
      <c r="E33" s="12" t="s">
        <v>37</v>
      </c>
      <c r="F33" s="14">
        <v>0</v>
      </c>
      <c r="G33" s="14">
        <v>0</v>
      </c>
      <c r="H33" s="12" t="s">
        <v>79</v>
      </c>
      <c r="I33" s="29">
        <v>37.582999999999998</v>
      </c>
      <c r="J33" s="29">
        <v>101.333</v>
      </c>
      <c r="K33" s="12" t="s">
        <v>811</v>
      </c>
      <c r="L33" s="12" t="s">
        <v>812</v>
      </c>
      <c r="M33" s="13">
        <v>3250</v>
      </c>
      <c r="N33" s="14">
        <v>-1.1000000000000001</v>
      </c>
      <c r="O33" s="14">
        <v>480</v>
      </c>
      <c r="P33" s="14" t="s">
        <v>16</v>
      </c>
      <c r="Q33" s="11" t="s">
        <v>162</v>
      </c>
      <c r="R33" s="11" t="s">
        <v>37</v>
      </c>
      <c r="S33" s="12" t="s">
        <v>85</v>
      </c>
      <c r="T33" s="12" t="s">
        <v>37</v>
      </c>
      <c r="U33" s="12" t="s">
        <v>158</v>
      </c>
      <c r="V33" s="12" t="s">
        <v>37</v>
      </c>
      <c r="W33" s="23" t="s">
        <v>298</v>
      </c>
      <c r="X33" s="12" t="s">
        <v>280</v>
      </c>
      <c r="Y33" s="12" t="s">
        <v>37</v>
      </c>
      <c r="Z33" s="12" t="s">
        <v>37</v>
      </c>
      <c r="AA33" s="32" t="s">
        <v>548</v>
      </c>
      <c r="AB33" s="12" t="s">
        <v>317</v>
      </c>
      <c r="AC33" s="12" t="s">
        <v>37</v>
      </c>
      <c r="AD33" s="12" t="s">
        <v>108</v>
      </c>
      <c r="AE33" s="12" t="s">
        <v>74</v>
      </c>
      <c r="AF33" s="12" t="s">
        <v>483</v>
      </c>
      <c r="AG33" s="12" t="s">
        <v>42</v>
      </c>
      <c r="AH33" s="32" t="s">
        <v>345</v>
      </c>
      <c r="AI33" s="12">
        <v>162</v>
      </c>
      <c r="AJ33" s="60">
        <f>AI33*AL$61</f>
        <v>5.8959466499014734</v>
      </c>
      <c r="AK33" s="11">
        <v>10</v>
      </c>
      <c r="AL33" s="19"/>
      <c r="AM33" s="12" t="s">
        <v>37</v>
      </c>
      <c r="AN33" s="12" t="s">
        <v>37</v>
      </c>
      <c r="AO33" s="13" t="s">
        <v>37</v>
      </c>
      <c r="AP33" s="19"/>
      <c r="AQ33" s="49"/>
      <c r="AR33" s="49"/>
      <c r="AS33" s="32"/>
      <c r="AT33" s="12" t="s">
        <v>37</v>
      </c>
      <c r="AU33" s="12" t="s">
        <v>37</v>
      </c>
      <c r="AV33" s="12" t="s">
        <v>37</v>
      </c>
      <c r="AW33" s="12" t="s">
        <v>37</v>
      </c>
      <c r="AX33" s="12" t="s">
        <v>37</v>
      </c>
      <c r="AY33" s="12" t="s">
        <v>37</v>
      </c>
      <c r="AZ33" s="12"/>
      <c r="BA33" s="12"/>
      <c r="BB33" s="12"/>
      <c r="BC33" s="12" t="s">
        <v>37</v>
      </c>
      <c r="BD33" s="12" t="s">
        <v>37</v>
      </c>
      <c r="BE33" s="12" t="s">
        <v>37</v>
      </c>
      <c r="BF33" s="12" t="s">
        <v>37</v>
      </c>
      <c r="BG33" s="12" t="s">
        <v>37</v>
      </c>
      <c r="BH33" s="12" t="s">
        <v>37</v>
      </c>
      <c r="BI33" s="12" t="s">
        <v>34</v>
      </c>
      <c r="BJ33" s="12">
        <f>-1505.7*10^3/("2011/09/30"-"2011/06/01")/24</f>
        <v>-518.49173553719004</v>
      </c>
      <c r="BK33" s="12">
        <f>80.7*SQRT(10)*10^3/("2011/09/30"-"2011/06/01")/24</f>
        <v>87.877344068728732</v>
      </c>
      <c r="BL33" s="13">
        <v>10</v>
      </c>
      <c r="BM33" s="12">
        <f>-1942.3*10^3/("2011/09/30"-"2011/06/01")/24</f>
        <v>-668.83608815426999</v>
      </c>
      <c r="BN33" s="12">
        <f>76.3*SQRT(10)*10^3/("2011/09/30"-"2011/06/01")/24</f>
        <v>83.086014280594824</v>
      </c>
      <c r="BO33" s="13">
        <v>10</v>
      </c>
      <c r="BP33" s="68">
        <f>BM33-BJ33</f>
        <v>-150.34435261707995</v>
      </c>
      <c r="BQ33" s="12">
        <f t="shared" ref="BQ33:BQ35" si="180">SQRT(((BL33-1)*BK33^2+(BO33-1)*BN33^2)/(BL33+BO33-2))</f>
        <v>85.515242412124806</v>
      </c>
      <c r="BR33" s="72">
        <f t="shared" ref="BR33:BR35" si="181">(((BL33+BO33)/(BL33*BO33))*(((BL33-1)*BK33^2)+(BO33-1)*BN33^2)/(BL33+BO33-2))</f>
        <v>1462.5713369608941</v>
      </c>
      <c r="BS33" s="72">
        <f t="shared" ref="BS33:BS35" si="182">(BK33^2/BL33)+(BN33^2/BO33)</f>
        <v>1462.5713369608941</v>
      </c>
      <c r="BT33" s="12" t="s">
        <v>34</v>
      </c>
      <c r="BU33" s="12">
        <f>823.8*10^3/("2011/09/30"-"2011/06/01")/24</f>
        <v>283.67768595041321</v>
      </c>
      <c r="BV33" s="12">
        <f>48.3*SQRT(10)*10^3/("2011/09/30"-"2011/06/01")/24</f>
        <v>52.595733810651758</v>
      </c>
      <c r="BW33" s="13">
        <v>10</v>
      </c>
      <c r="BX33" s="12">
        <f>1390.5*10^3/("2011/09/30"-"2011/06/01")/24</f>
        <v>478.82231404958679</v>
      </c>
      <c r="BY33" s="12">
        <f>59.5*SQRT(10)*10^3/("2011/09/30"-"2011/06/01")/24</f>
        <v>64.791845998628986</v>
      </c>
      <c r="BZ33" s="13">
        <v>10</v>
      </c>
      <c r="CA33" s="68">
        <f t="shared" ref="CA33:CA35" si="183">BX33-BU33</f>
        <v>195.14462809917359</v>
      </c>
      <c r="CB33" s="12">
        <f t="shared" ref="CB33:CB34" si="184">SQRT(((BW33-1)*BV33^2+(BZ33-1)*BY33^2)/(BW33+BZ33-2))</f>
        <v>59.009721754093164</v>
      </c>
      <c r="CC33" s="72">
        <f t="shared" ref="CC33:CC35" si="185">(((BW33+BZ33)/(BW33*BZ33))*(((BW33-1)*BV33^2)+(BZ33-1)*BY33^2)/(BW33+BZ33-2))</f>
        <v>696.42945229909913</v>
      </c>
      <c r="CD33" s="72">
        <f t="shared" ref="CD33:CD35" si="186">(BV33^2/BW33)+(BY33^2/BZ33)</f>
        <v>696.42945229909924</v>
      </c>
      <c r="CE33" s="12" t="s">
        <v>34</v>
      </c>
      <c r="CF33" s="12">
        <f>-681.9*10^3/("2011/09/30"-"2011/06/01")/24</f>
        <v>-234.81404958677686</v>
      </c>
      <c r="CG33" s="12">
        <f>42.3*SQRT(10)*10^3/("2011/09/30"-"2011/06/01")/24</f>
        <v>46.062102281378259</v>
      </c>
      <c r="CH33" s="13">
        <v>10</v>
      </c>
      <c r="CI33" s="12">
        <f>-551.8*10^3/("2011/09/30"-"2011/06/01")/24</f>
        <v>-190.01377410468319</v>
      </c>
      <c r="CJ33" s="12">
        <f>33.7*SQRT(10)*10^3/("2011/09/30"-"2011/06/01")/24</f>
        <v>36.697230422752895</v>
      </c>
      <c r="CK33" s="13">
        <v>10</v>
      </c>
      <c r="CL33" s="68">
        <f>CI33-CF33</f>
        <v>44.800275482093667</v>
      </c>
      <c r="CM33" s="12">
        <f t="shared" ref="CM33:CM34" si="187">SQRT(((CH33-1)*CG33^2+(CK33-1)*CJ33^2)/(CH33+CK33-2))</f>
        <v>41.643750955460128</v>
      </c>
      <c r="CN33" s="72">
        <f t="shared" ref="CN33:CN35" si="188">(((CH33+CK33)/(CH33*CK33))*(((CH33-1)*CG33^2)+(CK33-1)*CJ33^2)/(CH33+CK33-2))</f>
        <v>346.84039872807728</v>
      </c>
      <c r="CO33" s="72">
        <f t="shared" ref="CO33:CO35" si="189">(CG33^2/CH33)+(CJ33^2/CK33)</f>
        <v>346.84039872807728</v>
      </c>
      <c r="CP33" s="11" t="s">
        <v>34</v>
      </c>
      <c r="CQ33" s="12">
        <f>51*10^3/("2011/09/30"-"2011/06/01")/24</f>
        <v>17.561983471074381</v>
      </c>
      <c r="CR33" s="19">
        <f>2.6*SQRT(10)*10^3/("2011/09/30"-"2011/06/01")/24</f>
        <v>2.8312403293518553</v>
      </c>
      <c r="CS33" s="13">
        <v>10</v>
      </c>
      <c r="CT33" s="52">
        <f t="shared" ref="CT33:CT37" si="190">CR33/ABS(CQ33)</f>
        <v>0.16121415522427035</v>
      </c>
      <c r="CU33" s="12">
        <f>16.9*10^3/("2011/09/30"-"2011/06/01")/24</f>
        <v>5.8195592286501379</v>
      </c>
      <c r="CV33" s="19">
        <f>1.5*SQRT(10)*10^3/("2011/09/30"-"2011/06/01")/24</f>
        <v>1.6334078823183777</v>
      </c>
      <c r="CW33" s="13">
        <v>10</v>
      </c>
      <c r="CX33" s="52">
        <f t="shared" ref="CX33:CX37" si="191">CV33/ABS(CU33)</f>
        <v>0.28067553196760764</v>
      </c>
      <c r="CY33" s="68">
        <f t="shared" ref="CY33:CY37" si="192">CU33-CQ33</f>
        <v>-11.742424242424242</v>
      </c>
      <c r="CZ33" s="12">
        <f t="shared" ref="CZ33:CZ37" si="193">SQRT(((CS33-1)*CR33^2+(CW33-1)*CV33^2)/(CS33+CW33-2))</f>
        <v>2.311270550213476</v>
      </c>
      <c r="DA33" s="72">
        <f t="shared" ref="DA33:DA37" si="194">(((CS33+CW33)/(CS33*CW33))*(((CS33-1)*CR33^2)+(CW33-1)*CV33^2)/(CS33+CW33-2))</f>
        <v>1.068394311256821</v>
      </c>
      <c r="DB33" s="72">
        <f t="shared" ref="DB33:DB37" si="195">(CR33^2/CS33)+(CV33^2/CW33)</f>
        <v>1.0683943112568208</v>
      </c>
      <c r="DC33" s="11"/>
      <c r="DD33" s="12" t="s">
        <v>37</v>
      </c>
      <c r="DE33" s="68" t="s">
        <v>37</v>
      </c>
      <c r="DF33" s="12" t="s">
        <v>37</v>
      </c>
      <c r="DG33" s="19"/>
      <c r="DH33" s="12" t="s">
        <v>37</v>
      </c>
      <c r="DI33" s="68" t="s">
        <v>37</v>
      </c>
      <c r="DJ33" s="12" t="s">
        <v>37</v>
      </c>
      <c r="DK33" s="19"/>
      <c r="DL33" s="68"/>
      <c r="DM33" s="68"/>
      <c r="DN33" s="68"/>
      <c r="DO33" s="68"/>
      <c r="DP33" s="12" t="s">
        <v>39</v>
      </c>
      <c r="DQ33" s="12">
        <v>3</v>
      </c>
      <c r="DR33" s="60">
        <f t="shared" si="177"/>
        <v>1.2120000000000002</v>
      </c>
      <c r="DS33" s="13">
        <v>5</v>
      </c>
      <c r="DT33" s="19"/>
      <c r="DU33" s="12">
        <v>-20</v>
      </c>
      <c r="DV33" s="60">
        <f t="shared" si="178"/>
        <v>6.9122552494082443</v>
      </c>
      <c r="DW33" s="13">
        <v>5</v>
      </c>
      <c r="DX33" s="19"/>
      <c r="DY33" s="19">
        <f t="shared" si="162"/>
        <v>-23</v>
      </c>
      <c r="DZ33" s="12">
        <f t="shared" si="163"/>
        <v>4.9622684647735369</v>
      </c>
      <c r="EA33" s="72">
        <f t="shared" si="164"/>
        <v>9.8496433265943679</v>
      </c>
      <c r="EB33" s="72">
        <f t="shared" si="165"/>
        <v>9.8496433265943661</v>
      </c>
      <c r="EC33" s="12"/>
      <c r="ED33" s="12"/>
      <c r="EE33" s="12" t="s">
        <v>37</v>
      </c>
      <c r="EF33" s="12" t="s">
        <v>37</v>
      </c>
      <c r="EG33" s="11" t="s">
        <v>37</v>
      </c>
      <c r="EH33" s="19"/>
      <c r="EI33" s="12" t="s">
        <v>37</v>
      </c>
      <c r="EJ33" s="20" t="s">
        <v>37</v>
      </c>
      <c r="EK33" s="11" t="s">
        <v>37</v>
      </c>
      <c r="EL33" s="19"/>
      <c r="EM33" s="19"/>
      <c r="EN33" s="19"/>
      <c r="EO33" s="19"/>
      <c r="EP33" s="19"/>
      <c r="EQ33" s="32"/>
      <c r="ER33" s="12" t="s">
        <v>37</v>
      </c>
      <c r="ES33" s="12" t="s">
        <v>37</v>
      </c>
      <c r="ET33" s="11" t="s">
        <v>37</v>
      </c>
      <c r="EU33" s="19"/>
      <c r="EV33" s="13" t="s">
        <v>37</v>
      </c>
      <c r="EW33" s="11" t="s">
        <v>37</v>
      </c>
      <c r="EX33" s="11" t="s">
        <v>37</v>
      </c>
      <c r="EY33" s="19"/>
      <c r="EZ33" s="19"/>
      <c r="FA33" s="19"/>
      <c r="FB33" s="19"/>
      <c r="FC33" s="32"/>
      <c r="FD33" s="12" t="s">
        <v>37</v>
      </c>
      <c r="FE33" s="12" t="s">
        <v>37</v>
      </c>
      <c r="FF33" s="11" t="s">
        <v>37</v>
      </c>
      <c r="FG33" s="13" t="s">
        <v>37</v>
      </c>
      <c r="FH33" s="11" t="s">
        <v>37</v>
      </c>
      <c r="FI33" s="11" t="s">
        <v>37</v>
      </c>
      <c r="FJ33" s="19"/>
      <c r="FK33" s="19"/>
      <c r="FL33" s="19"/>
      <c r="FM33" s="32"/>
      <c r="FN33" s="12" t="s">
        <v>37</v>
      </c>
      <c r="FO33" s="12" t="s">
        <v>37</v>
      </c>
      <c r="FP33" s="11" t="s">
        <v>37</v>
      </c>
      <c r="FQ33" s="13" t="s">
        <v>37</v>
      </c>
      <c r="FR33" s="11" t="s">
        <v>37</v>
      </c>
      <c r="FS33" s="11" t="s">
        <v>37</v>
      </c>
      <c r="FT33" s="19"/>
      <c r="FU33" s="19"/>
      <c r="FV33" s="19"/>
      <c r="FW33" s="12"/>
      <c r="FX33" s="12"/>
      <c r="FY33" s="12" t="s">
        <v>37</v>
      </c>
      <c r="FZ33" s="12" t="s">
        <v>37</v>
      </c>
      <c r="GA33" s="13" t="s">
        <v>37</v>
      </c>
      <c r="GB33" s="12" t="s">
        <v>37</v>
      </c>
      <c r="GC33" s="12" t="s">
        <v>37</v>
      </c>
      <c r="GD33" s="13" t="s">
        <v>37</v>
      </c>
      <c r="GE33" s="19"/>
      <c r="GF33" s="19"/>
      <c r="GG33" s="12"/>
      <c r="GH33" s="12"/>
      <c r="GI33" s="12" t="s">
        <v>37</v>
      </c>
      <c r="GJ33" s="12" t="s">
        <v>37</v>
      </c>
      <c r="GK33" s="12" t="s">
        <v>37</v>
      </c>
      <c r="GL33" s="19"/>
      <c r="GM33" s="12" t="s">
        <v>37</v>
      </c>
      <c r="GN33" s="12" t="s">
        <v>37</v>
      </c>
      <c r="GO33" s="12" t="s">
        <v>37</v>
      </c>
      <c r="GP33" s="19"/>
      <c r="GQ33" s="19"/>
      <c r="GR33" s="19"/>
      <c r="GS33" s="17"/>
      <c r="GT33" s="34"/>
      <c r="GU33" s="12" t="s">
        <v>37</v>
      </c>
      <c r="GV33" s="12" t="s">
        <v>37</v>
      </c>
      <c r="GW33" s="12" t="s">
        <v>37</v>
      </c>
      <c r="GX33" s="19"/>
      <c r="GY33" s="12" t="s">
        <v>37</v>
      </c>
      <c r="GZ33" s="12" t="s">
        <v>37</v>
      </c>
      <c r="HA33" s="12" t="s">
        <v>37</v>
      </c>
      <c r="HB33" s="19"/>
      <c r="HC33" s="19"/>
      <c r="HD33" s="19"/>
      <c r="HE33" s="34"/>
      <c r="HF33" s="12" t="s">
        <v>37</v>
      </c>
      <c r="HG33" s="12" t="s">
        <v>37</v>
      </c>
      <c r="HH33" s="13" t="s">
        <v>37</v>
      </c>
      <c r="HI33" s="12" t="s">
        <v>37</v>
      </c>
      <c r="HJ33" s="12" t="s">
        <v>37</v>
      </c>
      <c r="HK33" s="13" t="s">
        <v>37</v>
      </c>
      <c r="HL33" s="13"/>
      <c r="HM33" s="13"/>
      <c r="HN33" s="34"/>
      <c r="HO33" s="12" t="s">
        <v>37</v>
      </c>
      <c r="HP33" s="12" t="s">
        <v>37</v>
      </c>
      <c r="HQ33" s="13" t="s">
        <v>37</v>
      </c>
      <c r="HR33" s="12" t="s">
        <v>37</v>
      </c>
      <c r="HS33" s="12" t="s">
        <v>37</v>
      </c>
      <c r="HT33" s="13" t="s">
        <v>37</v>
      </c>
      <c r="HU33" s="13"/>
      <c r="HV33" s="13"/>
      <c r="HW33" s="12"/>
      <c r="HX33" s="12"/>
      <c r="HY33" s="12" t="s">
        <v>37</v>
      </c>
      <c r="HZ33" s="12" t="s">
        <v>37</v>
      </c>
      <c r="IA33" s="12" t="s">
        <v>37</v>
      </c>
      <c r="IB33" s="12" t="s">
        <v>37</v>
      </c>
      <c r="IC33" s="12" t="s">
        <v>37</v>
      </c>
      <c r="ID33" s="12" t="s">
        <v>37</v>
      </c>
      <c r="IE33" s="12"/>
      <c r="IF33" s="32" t="s">
        <v>345</v>
      </c>
      <c r="IG33" s="12">
        <v>7.7</v>
      </c>
      <c r="IH33" s="12" t="s">
        <v>37</v>
      </c>
      <c r="II33" s="13" t="s">
        <v>37</v>
      </c>
      <c r="IJ33" s="19"/>
      <c r="IK33" s="12" t="s">
        <v>37</v>
      </c>
      <c r="IL33" s="12" t="s">
        <v>37</v>
      </c>
      <c r="IM33" s="13" t="s">
        <v>37</v>
      </c>
      <c r="IN33" s="19"/>
      <c r="IO33" s="19"/>
      <c r="IP33" s="19"/>
      <c r="IQ33" s="32"/>
      <c r="IR33" s="12" t="s">
        <v>37</v>
      </c>
      <c r="IS33" s="12" t="s">
        <v>37</v>
      </c>
      <c r="IT33" s="13" t="s">
        <v>37</v>
      </c>
      <c r="IU33" s="12" t="s">
        <v>37</v>
      </c>
      <c r="IV33" s="12" t="s">
        <v>37</v>
      </c>
      <c r="IW33" s="12" t="s">
        <v>37</v>
      </c>
      <c r="IX33" s="32"/>
      <c r="IY33" s="12" t="s">
        <v>37</v>
      </c>
      <c r="IZ33" s="12" t="s">
        <v>37</v>
      </c>
      <c r="JA33" s="13" t="s">
        <v>37</v>
      </c>
      <c r="JB33" s="12" t="s">
        <v>37</v>
      </c>
      <c r="JC33" s="12" t="s">
        <v>37</v>
      </c>
      <c r="JD33" s="12" t="s">
        <v>37</v>
      </c>
      <c r="JE33" s="12"/>
      <c r="JF33" s="12"/>
      <c r="JG33" s="12" t="s">
        <v>37</v>
      </c>
      <c r="JH33" s="12" t="s">
        <v>37</v>
      </c>
      <c r="JI33" s="13" t="s">
        <v>37</v>
      </c>
      <c r="JJ33" s="12" t="s">
        <v>37</v>
      </c>
      <c r="JK33" s="12" t="s">
        <v>37</v>
      </c>
      <c r="JL33" s="12" t="s">
        <v>37</v>
      </c>
      <c r="JM33" s="12" t="s">
        <v>42</v>
      </c>
      <c r="JN33" s="32" t="s">
        <v>345</v>
      </c>
      <c r="JO33" s="12">
        <v>11</v>
      </c>
      <c r="JP33" s="60">
        <f t="shared" ref="JP33:JP35" si="196">JO33*JR$61</f>
        <v>1.3260063131718003</v>
      </c>
      <c r="JQ33" s="11">
        <v>5</v>
      </c>
      <c r="JR33" s="19"/>
      <c r="JS33" s="12" t="s">
        <v>37</v>
      </c>
      <c r="JT33" s="12" t="s">
        <v>37</v>
      </c>
      <c r="JU33" s="12" t="s">
        <v>37</v>
      </c>
      <c r="JV33" s="19"/>
      <c r="JW33" s="19"/>
      <c r="JX33" s="19"/>
      <c r="JY33" s="32"/>
      <c r="JZ33" s="12" t="s">
        <v>37</v>
      </c>
      <c r="KA33" s="12" t="s">
        <v>37</v>
      </c>
      <c r="KB33" s="13" t="s">
        <v>37</v>
      </c>
      <c r="KC33" s="12" t="s">
        <v>37</v>
      </c>
      <c r="KD33" s="12" t="s">
        <v>37</v>
      </c>
      <c r="KE33" s="13" t="s">
        <v>37</v>
      </c>
      <c r="KF33" s="13"/>
      <c r="KG33" s="13"/>
      <c r="KH33" s="32"/>
      <c r="KI33" s="12" t="s">
        <v>37</v>
      </c>
      <c r="KJ33" s="12" t="s">
        <v>37</v>
      </c>
      <c r="KK33" s="12" t="s">
        <v>37</v>
      </c>
      <c r="KL33" s="12" t="s">
        <v>37</v>
      </c>
      <c r="KM33" s="12" t="s">
        <v>37</v>
      </c>
      <c r="KN33" s="12" t="s">
        <v>37</v>
      </c>
      <c r="KO33" s="12"/>
      <c r="KP33" s="12"/>
      <c r="KQ33" s="12"/>
      <c r="KR33" s="12" t="str">
        <f t="shared" ref="KR33:KR35" si="197">JN33</f>
        <v>0-10</v>
      </c>
      <c r="KS33" s="12">
        <f>AI33/JO33</f>
        <v>14.727272727272727</v>
      </c>
      <c r="KT33" s="12">
        <f>SQRT((1/JO33)^2*AJ33^2+AI33^2*(-1/JO33^2)^2*JP33^2)</f>
        <v>1.8544625751350396</v>
      </c>
      <c r="KU33" s="13">
        <f t="shared" ref="KU33:KU35" si="198">JQ33</f>
        <v>5</v>
      </c>
      <c r="KV33" s="19"/>
      <c r="KW33" s="13" t="str">
        <f>JS33</f>
        <v>/</v>
      </c>
      <c r="KX33" s="13" t="str">
        <f t="shared" ref="KX33:KX35" si="199">JT33</f>
        <v>/</v>
      </c>
      <c r="KY33" s="13" t="str">
        <f t="shared" ref="KY33:KY35" si="200">JU33</f>
        <v>/</v>
      </c>
      <c r="KZ33" s="19"/>
      <c r="LA33" s="19"/>
      <c r="LB33" s="19"/>
      <c r="LC33" s="12"/>
      <c r="LD33" s="12" t="s">
        <v>37</v>
      </c>
      <c r="LE33" s="12" t="s">
        <v>37</v>
      </c>
      <c r="LF33" s="12" t="s">
        <v>37</v>
      </c>
      <c r="LG33" s="19" t="s">
        <v>37</v>
      </c>
      <c r="LH33" s="19" t="s">
        <v>37</v>
      </c>
      <c r="LI33" s="12" t="s">
        <v>37</v>
      </c>
      <c r="LJ33" s="12"/>
      <c r="LK33" s="12"/>
      <c r="LL33" s="12"/>
      <c r="LM33" s="12" t="s">
        <v>37</v>
      </c>
      <c r="LN33" s="12" t="s">
        <v>37</v>
      </c>
      <c r="LO33" s="12" t="s">
        <v>37</v>
      </c>
      <c r="LP33" s="12" t="s">
        <v>37</v>
      </c>
      <c r="LQ33" s="12" t="s">
        <v>37</v>
      </c>
      <c r="LR33" s="12" t="s">
        <v>37</v>
      </c>
      <c r="LS33" s="12"/>
      <c r="LT33" s="12"/>
      <c r="LU33" s="12" t="s">
        <v>37</v>
      </c>
      <c r="LV33" s="12" t="s">
        <v>37</v>
      </c>
      <c r="LW33" s="13" t="s">
        <v>37</v>
      </c>
      <c r="LX33" s="12" t="s">
        <v>37</v>
      </c>
      <c r="LY33" s="12" t="s">
        <v>37</v>
      </c>
      <c r="LZ33" s="13" t="s">
        <v>37</v>
      </c>
      <c r="MA33" s="13"/>
      <c r="MB33" s="13"/>
      <c r="MC33" s="12"/>
      <c r="MD33" s="12"/>
      <c r="ME33" s="12" t="s">
        <v>37</v>
      </c>
      <c r="MF33" s="12" t="s">
        <v>37</v>
      </c>
      <c r="MG33" s="13" t="s">
        <v>37</v>
      </c>
      <c r="MH33" s="12" t="s">
        <v>37</v>
      </c>
      <c r="MI33" s="12" t="s">
        <v>37</v>
      </c>
      <c r="MJ33" s="13" t="s">
        <v>37</v>
      </c>
      <c r="MK33" s="13"/>
      <c r="ML33" s="13"/>
      <c r="MM33" s="12"/>
      <c r="MN33" s="12"/>
      <c r="MO33" s="12" t="s">
        <v>37</v>
      </c>
      <c r="MP33" s="12" t="s">
        <v>37</v>
      </c>
      <c r="MQ33" s="12" t="s">
        <v>37</v>
      </c>
      <c r="MR33" s="12" t="s">
        <v>37</v>
      </c>
      <c r="MS33" s="12" t="s">
        <v>37</v>
      </c>
      <c r="MT33" s="12" t="s">
        <v>37</v>
      </c>
      <c r="MU33" s="12"/>
      <c r="MV33" s="12"/>
      <c r="MW33" s="12"/>
      <c r="MX33" s="12"/>
      <c r="MY33" s="12" t="s">
        <v>37</v>
      </c>
      <c r="MZ33" s="12" t="s">
        <v>37</v>
      </c>
      <c r="NA33" s="12" t="s">
        <v>37</v>
      </c>
      <c r="NB33" s="12" t="s">
        <v>37</v>
      </c>
      <c r="NC33" s="12" t="s">
        <v>37</v>
      </c>
      <c r="ND33" s="12" t="s">
        <v>37</v>
      </c>
      <c r="NE33" s="12"/>
      <c r="NF33" s="12"/>
      <c r="NG33" s="12"/>
      <c r="NH33" s="12"/>
      <c r="NI33" s="12" t="s">
        <v>37</v>
      </c>
      <c r="NJ33" s="12" t="s">
        <v>37</v>
      </c>
      <c r="NK33" s="13" t="s">
        <v>37</v>
      </c>
      <c r="NL33" s="12" t="s">
        <v>37</v>
      </c>
      <c r="NM33" s="12" t="s">
        <v>37</v>
      </c>
      <c r="NN33" s="13" t="s">
        <v>37</v>
      </c>
      <c r="NO33" s="13"/>
      <c r="NP33" s="13"/>
      <c r="NQ33" s="12"/>
      <c r="NR33" s="12"/>
      <c r="NS33" s="11" t="s">
        <v>37</v>
      </c>
      <c r="NT33" s="11" t="s">
        <v>37</v>
      </c>
      <c r="NU33" s="13" t="s">
        <v>37</v>
      </c>
      <c r="NV33" s="11" t="s">
        <v>37</v>
      </c>
      <c r="NW33" s="11" t="s">
        <v>37</v>
      </c>
      <c r="NX33" s="13" t="s">
        <v>37</v>
      </c>
      <c r="NY33" s="13"/>
      <c r="NZ33" s="13"/>
      <c r="OA33" s="12"/>
      <c r="OB33" s="12"/>
      <c r="OC33" s="12" t="s">
        <v>37</v>
      </c>
      <c r="OD33" s="12" t="s">
        <v>37</v>
      </c>
      <c r="OE33" s="12" t="s">
        <v>37</v>
      </c>
      <c r="OF33" s="12" t="s">
        <v>37</v>
      </c>
      <c r="OG33" s="12" t="s">
        <v>37</v>
      </c>
      <c r="OH33" s="12" t="s">
        <v>37</v>
      </c>
      <c r="OI33" s="12"/>
      <c r="OJ33" s="12"/>
      <c r="OK33" s="12"/>
      <c r="OL33" s="12" t="s">
        <v>37</v>
      </c>
      <c r="OM33" s="12" t="s">
        <v>37</v>
      </c>
      <c r="ON33" s="11" t="s">
        <v>37</v>
      </c>
      <c r="OO33" s="12" t="s">
        <v>37</v>
      </c>
      <c r="OP33" s="12" t="s">
        <v>37</v>
      </c>
      <c r="OQ33" s="12" t="s">
        <v>37</v>
      </c>
      <c r="OR33" s="12"/>
      <c r="OS33" s="12" t="s">
        <v>37</v>
      </c>
      <c r="OT33" s="12" t="s">
        <v>37</v>
      </c>
      <c r="OU33" s="12" t="s">
        <v>37</v>
      </c>
      <c r="OV33" s="12" t="s">
        <v>37</v>
      </c>
      <c r="OW33" s="12" t="s">
        <v>37</v>
      </c>
      <c r="OX33" s="12" t="s">
        <v>37</v>
      </c>
      <c r="OY33" s="12"/>
      <c r="OZ33" s="12"/>
      <c r="PA33" s="12" t="s">
        <v>37</v>
      </c>
      <c r="PB33" s="12" t="s">
        <v>37</v>
      </c>
      <c r="PC33" s="12" t="s">
        <v>37</v>
      </c>
      <c r="PD33" s="12" t="s">
        <v>37</v>
      </c>
      <c r="PE33" s="12" t="s">
        <v>37</v>
      </c>
      <c r="PF33" s="12" t="s">
        <v>37</v>
      </c>
      <c r="PG33" s="12"/>
      <c r="PH33" s="12"/>
      <c r="PI33" s="12" t="s">
        <v>37</v>
      </c>
      <c r="PJ33" s="12" t="s">
        <v>37</v>
      </c>
      <c r="PK33" s="12" t="s">
        <v>37</v>
      </c>
      <c r="PL33" s="12" t="s">
        <v>37</v>
      </c>
      <c r="PM33" s="12" t="s">
        <v>37</v>
      </c>
      <c r="PN33" s="12" t="s">
        <v>37</v>
      </c>
      <c r="PO33" s="12"/>
      <c r="PP33" s="12"/>
      <c r="PQ33" s="12" t="s">
        <v>37</v>
      </c>
      <c r="PR33" s="12" t="s">
        <v>37</v>
      </c>
      <c r="PS33" s="12" t="s">
        <v>37</v>
      </c>
      <c r="PT33" s="12" t="s">
        <v>37</v>
      </c>
      <c r="PU33" s="12" t="s">
        <v>37</v>
      </c>
      <c r="PV33" s="12" t="s">
        <v>37</v>
      </c>
      <c r="PW33" s="12"/>
      <c r="PX33" s="12"/>
      <c r="PY33" s="12" t="s">
        <v>37</v>
      </c>
      <c r="PZ33" s="12" t="s">
        <v>37</v>
      </c>
      <c r="QA33" s="12" t="s">
        <v>37</v>
      </c>
      <c r="QB33" s="12" t="s">
        <v>37</v>
      </c>
      <c r="QC33" s="12" t="s">
        <v>37</v>
      </c>
      <c r="QD33" s="12" t="s">
        <v>37</v>
      </c>
      <c r="QE33" s="12"/>
      <c r="QF33" s="12"/>
      <c r="QG33" s="12" t="s">
        <v>37</v>
      </c>
      <c r="QH33" s="12" t="s">
        <v>37</v>
      </c>
      <c r="QI33" s="12" t="s">
        <v>37</v>
      </c>
      <c r="QJ33" s="12" t="s">
        <v>37</v>
      </c>
      <c r="QK33" s="12" t="s">
        <v>37</v>
      </c>
      <c r="QL33" s="12" t="s">
        <v>37</v>
      </c>
      <c r="QM33" s="12"/>
      <c r="QN33" s="12"/>
      <c r="QO33" s="12" t="s">
        <v>37</v>
      </c>
      <c r="QP33" s="12" t="s">
        <v>37</v>
      </c>
      <c r="QQ33" s="12" t="s">
        <v>37</v>
      </c>
      <c r="QR33" s="12" t="s">
        <v>37</v>
      </c>
      <c r="QS33" s="12" t="s">
        <v>37</v>
      </c>
      <c r="QT33" s="12" t="s">
        <v>37</v>
      </c>
      <c r="QU33" s="12"/>
      <c r="QV33" s="12"/>
      <c r="QW33" s="12"/>
      <c r="QX33" s="12"/>
      <c r="QY33" s="12"/>
      <c r="QZ33" s="12"/>
      <c r="RA33" s="11"/>
      <c r="RB33" s="12"/>
      <c r="RC33" s="12"/>
      <c r="RD33" s="11"/>
      <c r="RE33" s="11"/>
      <c r="RF33" s="11"/>
      <c r="RG33" s="12"/>
      <c r="RH33" s="12"/>
      <c r="RI33" s="12" t="s">
        <v>37</v>
      </c>
      <c r="RJ33" s="12" t="s">
        <v>37</v>
      </c>
      <c r="RK33" s="11" t="s">
        <v>37</v>
      </c>
      <c r="RL33" s="12" t="s">
        <v>37</v>
      </c>
      <c r="RM33" s="12" t="s">
        <v>37</v>
      </c>
      <c r="RN33" s="11" t="s">
        <v>37</v>
      </c>
      <c r="RO33" s="11"/>
      <c r="RP33" s="11"/>
      <c r="RQ33" s="12"/>
      <c r="RR33" s="12"/>
      <c r="RS33" s="12" t="s">
        <v>37</v>
      </c>
      <c r="RT33" s="12" t="s">
        <v>37</v>
      </c>
      <c r="RU33" s="11" t="s">
        <v>37</v>
      </c>
      <c r="RV33" s="12" t="s">
        <v>37</v>
      </c>
      <c r="RW33" s="12" t="s">
        <v>37</v>
      </c>
      <c r="RX33" s="11" t="s">
        <v>37</v>
      </c>
      <c r="RY33" s="11"/>
      <c r="RZ33" s="11"/>
      <c r="SA33" s="12"/>
      <c r="SB33" s="12"/>
      <c r="SC33" s="12" t="s">
        <v>37</v>
      </c>
      <c r="SD33" s="12" t="s">
        <v>37</v>
      </c>
      <c r="SE33" s="12" t="s">
        <v>37</v>
      </c>
      <c r="SF33" s="12" t="s">
        <v>37</v>
      </c>
      <c r="SG33" s="12" t="s">
        <v>37</v>
      </c>
      <c r="SH33" s="12" t="s">
        <v>37</v>
      </c>
      <c r="SI33" s="12"/>
      <c r="SJ33" s="12"/>
      <c r="SK33" s="12"/>
      <c r="SL33" s="12"/>
      <c r="SM33" s="12" t="s">
        <v>37</v>
      </c>
      <c r="SN33" s="12" t="s">
        <v>37</v>
      </c>
      <c r="SO33" s="12" t="s">
        <v>37</v>
      </c>
      <c r="SP33" s="12" t="s">
        <v>37</v>
      </c>
      <c r="SQ33" s="12" t="s">
        <v>37</v>
      </c>
      <c r="SR33" s="12" t="s">
        <v>37</v>
      </c>
      <c r="SS33" s="12"/>
      <c r="ST33" s="12"/>
      <c r="SU33" s="12"/>
      <c r="SV33" s="12"/>
      <c r="SW33" s="12" t="s">
        <v>37</v>
      </c>
      <c r="SX33" s="12" t="s">
        <v>37</v>
      </c>
      <c r="SY33" s="12" t="s">
        <v>37</v>
      </c>
      <c r="SZ33" s="12" t="s">
        <v>37</v>
      </c>
      <c r="TA33" s="12" t="s">
        <v>37</v>
      </c>
      <c r="TB33" s="12" t="s">
        <v>37</v>
      </c>
      <c r="TC33" s="12"/>
      <c r="TD33" s="12"/>
      <c r="TE33" s="12"/>
      <c r="TF33" s="12"/>
      <c r="TG33" s="72"/>
      <c r="TH33" s="72"/>
      <c r="TI33" s="13"/>
      <c r="TJ33" s="72"/>
      <c r="TK33" s="72"/>
      <c r="TL33" s="13"/>
      <c r="TM33" s="13"/>
      <c r="TN33" s="13"/>
      <c r="TO33" s="12"/>
      <c r="TP33" s="12"/>
      <c r="TQ33" s="12"/>
      <c r="TR33" s="12"/>
      <c r="TS33" s="13"/>
      <c r="TT33" s="19"/>
      <c r="TU33" s="12"/>
      <c r="TV33" s="12"/>
      <c r="TW33" s="13"/>
    </row>
    <row r="34" spans="1:546" ht="15.6" x14ac:dyDescent="0.3">
      <c r="A34" s="11">
        <v>13</v>
      </c>
      <c r="B34" s="16" t="s">
        <v>940</v>
      </c>
      <c r="C34" s="12" t="s">
        <v>26</v>
      </c>
      <c r="D34" s="12" t="s">
        <v>609</v>
      </c>
      <c r="E34" s="12" t="s">
        <v>37</v>
      </c>
      <c r="F34" s="14">
        <v>0</v>
      </c>
      <c r="G34" s="14">
        <v>0</v>
      </c>
      <c r="H34" s="12" t="s">
        <v>79</v>
      </c>
      <c r="I34" s="29">
        <v>37.582999999999998</v>
      </c>
      <c r="J34" s="29">
        <v>101.333</v>
      </c>
      <c r="K34" s="12" t="s">
        <v>811</v>
      </c>
      <c r="L34" s="12" t="s">
        <v>812</v>
      </c>
      <c r="M34" s="13">
        <v>3250</v>
      </c>
      <c r="N34" s="14">
        <v>-1.1000000000000001</v>
      </c>
      <c r="O34" s="14">
        <v>480</v>
      </c>
      <c r="P34" s="14" t="s">
        <v>16</v>
      </c>
      <c r="Q34" s="11" t="s">
        <v>162</v>
      </c>
      <c r="R34" s="11" t="s">
        <v>37</v>
      </c>
      <c r="S34" s="12" t="s">
        <v>85</v>
      </c>
      <c r="T34" s="12" t="s">
        <v>37</v>
      </c>
      <c r="U34" s="12" t="s">
        <v>158</v>
      </c>
      <c r="V34" s="12" t="s">
        <v>37</v>
      </c>
      <c r="W34" s="23" t="s">
        <v>298</v>
      </c>
      <c r="X34" s="12" t="s">
        <v>280</v>
      </c>
      <c r="Y34" s="12" t="s">
        <v>37</v>
      </c>
      <c r="Z34" s="12" t="s">
        <v>37</v>
      </c>
      <c r="AA34" s="32" t="s">
        <v>537</v>
      </c>
      <c r="AB34" s="12" t="s">
        <v>317</v>
      </c>
      <c r="AC34" s="12" t="s">
        <v>37</v>
      </c>
      <c r="AD34" s="12" t="s">
        <v>108</v>
      </c>
      <c r="AE34" s="12" t="s">
        <v>74</v>
      </c>
      <c r="AF34" s="12" t="s">
        <v>483</v>
      </c>
      <c r="AG34" s="12" t="s">
        <v>42</v>
      </c>
      <c r="AH34" s="32" t="s">
        <v>345</v>
      </c>
      <c r="AI34" s="12">
        <v>162</v>
      </c>
      <c r="AJ34" s="60">
        <f t="shared" ref="AJ34:AJ37" si="201">AI34*AL$61</f>
        <v>5.8959466499014734</v>
      </c>
      <c r="AK34" s="11">
        <v>10</v>
      </c>
      <c r="AL34" s="19"/>
      <c r="AM34" s="12" t="s">
        <v>37</v>
      </c>
      <c r="AN34" s="12" t="s">
        <v>37</v>
      </c>
      <c r="AO34" s="13" t="s">
        <v>37</v>
      </c>
      <c r="AP34" s="19"/>
      <c r="AQ34" s="49"/>
      <c r="AR34" s="49"/>
      <c r="AS34" s="32"/>
      <c r="AT34" s="12" t="s">
        <v>37</v>
      </c>
      <c r="AU34" s="12" t="s">
        <v>37</v>
      </c>
      <c r="AV34" s="12" t="s">
        <v>37</v>
      </c>
      <c r="AW34" s="12" t="s">
        <v>37</v>
      </c>
      <c r="AX34" s="12" t="s">
        <v>37</v>
      </c>
      <c r="AY34" s="12" t="s">
        <v>37</v>
      </c>
      <c r="AZ34" s="12"/>
      <c r="BA34" s="12"/>
      <c r="BB34" s="12"/>
      <c r="BC34" s="12" t="s">
        <v>37</v>
      </c>
      <c r="BD34" s="12" t="s">
        <v>37</v>
      </c>
      <c r="BE34" s="12" t="s">
        <v>37</v>
      </c>
      <c r="BF34" s="12" t="s">
        <v>37</v>
      </c>
      <c r="BG34" s="12" t="s">
        <v>37</v>
      </c>
      <c r="BH34" s="12" t="s">
        <v>37</v>
      </c>
      <c r="BI34" s="12" t="s">
        <v>34</v>
      </c>
      <c r="BJ34" s="12">
        <f>-2388.8*10^3/("2011/09/30"-"2011/06/01")/24</f>
        <v>-822.58953168044081</v>
      </c>
      <c r="BK34" s="12">
        <f>125*SQRT(10)*10^3/("2011/09/30"-"2011/06/01")/24</f>
        <v>136.11732352653149</v>
      </c>
      <c r="BL34" s="13">
        <v>10</v>
      </c>
      <c r="BM34" s="12">
        <f>-3924.8*10^3/("2011/09/30"-"2011/06/01")/24</f>
        <v>-1351.5151515151515</v>
      </c>
      <c r="BN34" s="12">
        <f>166.2*SQRT(10)*10^3/("2011/09/30"-"2011/06/01")/24</f>
        <v>180.98159336087625</v>
      </c>
      <c r="BO34" s="13">
        <v>10</v>
      </c>
      <c r="BP34" s="68">
        <f>BM34-BJ34</f>
        <v>-528.92561983471069</v>
      </c>
      <c r="BQ34" s="12">
        <f t="shared" si="180"/>
        <v>160.12848419233225</v>
      </c>
      <c r="BR34" s="72">
        <f t="shared" si="181"/>
        <v>5128.2262899468005</v>
      </c>
      <c r="BS34" s="72">
        <f t="shared" si="182"/>
        <v>5128.2262899468005</v>
      </c>
      <c r="BT34" s="12" t="s">
        <v>34</v>
      </c>
      <c r="BU34" s="12">
        <f>1274*10^3/("2011/09/30"-"2011/06/01")/24</f>
        <v>438.70523415977959</v>
      </c>
      <c r="BV34" s="12">
        <f>70*SQRT(10)*10^3/("2011/09/30"-"2011/06/01")/24</f>
        <v>76.225701174857633</v>
      </c>
      <c r="BW34" s="13">
        <v>10</v>
      </c>
      <c r="BX34" s="12">
        <f>2856.3*10^3/("2011/09/30"-"2011/06/01")/24</f>
        <v>983.57438016528931</v>
      </c>
      <c r="BY34" s="12">
        <f>111.6*SQRT(10)*10^3/("2011/09/30"-"2011/06/01")/24</f>
        <v>121.5255464444873</v>
      </c>
      <c r="BZ34" s="13">
        <v>10</v>
      </c>
      <c r="CA34" s="68">
        <f t="shared" si="183"/>
        <v>544.86914600550972</v>
      </c>
      <c r="CB34" s="12">
        <f t="shared" si="184"/>
        <v>101.4367190869015</v>
      </c>
      <c r="CC34" s="72">
        <f t="shared" si="185"/>
        <v>2057.8815958229934</v>
      </c>
      <c r="CD34" s="72">
        <f t="shared" si="186"/>
        <v>2057.8815958229934</v>
      </c>
      <c r="CE34" s="12" t="s">
        <v>34</v>
      </c>
      <c r="CF34" s="12">
        <f>-1114.8*10^3/("2011/09/30"-"2011/06/01")/24</f>
        <v>-383.88429752066116</v>
      </c>
      <c r="CG34" s="12">
        <f>60.2*SQRT(10)*10^3/("2011/09/30"-"2011/06/01")/24</f>
        <v>65.554103010377574</v>
      </c>
      <c r="CH34" s="13">
        <v>10</v>
      </c>
      <c r="CI34" s="12">
        <f>-1068.5*10^3/("2011/09/30"-"2011/06/01")/24</f>
        <v>-367.94077134986225</v>
      </c>
      <c r="CJ34" s="12">
        <f>59.3*SQRT(10)*10^3/("2011/09/30"-"2011/06/01")/24</f>
        <v>64.574058280986534</v>
      </c>
      <c r="CK34" s="13">
        <v>10</v>
      </c>
      <c r="CL34" s="68">
        <f t="shared" ref="CL34" si="202">CI34-CF34</f>
        <v>15.943526170798918</v>
      </c>
      <c r="CM34" s="12">
        <f t="shared" si="187"/>
        <v>65.065925892019081</v>
      </c>
      <c r="CN34" s="72">
        <f t="shared" si="188"/>
        <v>846.71494243714392</v>
      </c>
      <c r="CO34" s="72">
        <f t="shared" si="189"/>
        <v>846.71494243714392</v>
      </c>
      <c r="CP34" s="11" t="s">
        <v>34</v>
      </c>
      <c r="CQ34" s="12">
        <f>49.8*10^3/("2011/09/30"-"2011/06/01")/24</f>
        <v>17.148760330578511</v>
      </c>
      <c r="CR34" s="19">
        <f>1.4*SQRT(10)*10^3/("2011/09/30"-"2011/06/01")/24</f>
        <v>1.5245140234971524</v>
      </c>
      <c r="CS34" s="13">
        <v>10</v>
      </c>
      <c r="CT34" s="52">
        <f t="shared" si="190"/>
        <v>8.8899371972605029E-2</v>
      </c>
      <c r="CU34" s="12">
        <f>23.6*10^3/("2011/09/30"-"2011/06/01")/24</f>
        <v>8.1267217630853992</v>
      </c>
      <c r="CV34" s="19">
        <f>0.9*SQRT(10)*10^3/("2011/09/30"-"2011/06/01")/24</f>
        <v>0.98004472939102671</v>
      </c>
      <c r="CW34" s="13">
        <v>10</v>
      </c>
      <c r="CX34" s="52">
        <f t="shared" si="191"/>
        <v>0.12059533449794668</v>
      </c>
      <c r="CY34" s="68">
        <f t="shared" si="192"/>
        <v>-9.0220385674931123</v>
      </c>
      <c r="CZ34" s="12">
        <f t="shared" si="193"/>
        <v>1.281528516937217</v>
      </c>
      <c r="DA34" s="72">
        <f t="shared" si="194"/>
        <v>0.32846306794466068</v>
      </c>
      <c r="DB34" s="72">
        <f t="shared" si="195"/>
        <v>0.32846306794466068</v>
      </c>
      <c r="DC34" s="15" t="s">
        <v>34</v>
      </c>
      <c r="DD34" s="29">
        <f>8.3/("2011/09/30"-"2011/06/01")/24</f>
        <v>2.8581267217630858E-3</v>
      </c>
      <c r="DE34" s="68">
        <f>6.1*SQRT(10)/("2011/09/30"-"2011/06/01")/24</f>
        <v>6.6425253880947359E-3</v>
      </c>
      <c r="DF34" s="13">
        <v>10</v>
      </c>
      <c r="DG34" s="52">
        <f t="shared" ref="DG34:DG37" si="203">DE34/ABS(DD34)</f>
        <v>2.3240835815695315</v>
      </c>
      <c r="DH34" s="29">
        <f>7.6/("2011/09/30"-"2011/06/01")/24</f>
        <v>2.617079889807162E-3</v>
      </c>
      <c r="DI34" s="68">
        <f>5.2*SQRT(10)/("2011/09/30"-"2011/06/01")/24</f>
        <v>5.6624806587037106E-3</v>
      </c>
      <c r="DJ34" s="13">
        <v>10</v>
      </c>
      <c r="DK34" s="52">
        <f t="shared" ref="DK34:DK37" si="204">DI34/ABS(DH34)</f>
        <v>2.163663662220471</v>
      </c>
      <c r="DL34" s="68">
        <f t="shared" ref="DL34:DL40" si="205">DH34-DD34</f>
        <v>-2.4104683195592383E-4</v>
      </c>
      <c r="DM34" s="12">
        <f t="shared" ref="DM34:DM37" si="206">SQRT(((DF34-1)*DE34^2+(DJ34-1)*DI34^2)/(DF34+DJ34-2))</f>
        <v>6.1719863391649183E-3</v>
      </c>
      <c r="DN34" s="87">
        <f t="shared" ref="DN34:DN40" si="207">(((DF34+DJ34)/(DF34*DJ34))*(((DF34-1)*DE34^2)+(DJ34-1)*DI34^2)/(DF34+DJ34-2))</f>
        <v>7.6186830741676742E-6</v>
      </c>
      <c r="DO34" s="87">
        <f t="shared" ref="DO34:DO40" si="208">(DE34^2/DF34)+(DI34^2/DJ34)</f>
        <v>7.6186830741676734E-6</v>
      </c>
      <c r="DP34" s="12" t="s">
        <v>39</v>
      </c>
      <c r="DQ34" s="12">
        <v>3</v>
      </c>
      <c r="DR34" s="60">
        <f t="shared" si="177"/>
        <v>1.2120000000000002</v>
      </c>
      <c r="DS34" s="13">
        <v>5</v>
      </c>
      <c r="DT34" s="19"/>
      <c r="DU34" s="12">
        <v>-20</v>
      </c>
      <c r="DV34" s="60">
        <f t="shared" si="178"/>
        <v>6.9122552494082443</v>
      </c>
      <c r="DW34" s="13">
        <v>5</v>
      </c>
      <c r="DX34" s="19"/>
      <c r="DY34" s="19">
        <f t="shared" si="162"/>
        <v>-23</v>
      </c>
      <c r="DZ34" s="12">
        <f t="shared" si="163"/>
        <v>4.9622684647735369</v>
      </c>
      <c r="EA34" s="72">
        <f t="shared" si="164"/>
        <v>9.8496433265943679</v>
      </c>
      <c r="EB34" s="72">
        <f t="shared" si="165"/>
        <v>9.8496433265943661</v>
      </c>
      <c r="EC34" s="12"/>
      <c r="ED34" s="12"/>
      <c r="EE34" s="12" t="s">
        <v>37</v>
      </c>
      <c r="EF34" s="12" t="s">
        <v>37</v>
      </c>
      <c r="EG34" s="11" t="s">
        <v>37</v>
      </c>
      <c r="EH34" s="19"/>
      <c r="EI34" s="12" t="s">
        <v>37</v>
      </c>
      <c r="EJ34" s="20" t="s">
        <v>37</v>
      </c>
      <c r="EK34" s="11" t="s">
        <v>37</v>
      </c>
      <c r="EL34" s="19"/>
      <c r="EM34" s="19"/>
      <c r="EN34" s="19"/>
      <c r="EO34" s="19"/>
      <c r="EP34" s="19"/>
      <c r="EQ34" s="32"/>
      <c r="ER34" s="12" t="s">
        <v>37</v>
      </c>
      <c r="ES34" s="12" t="s">
        <v>37</v>
      </c>
      <c r="ET34" s="11" t="s">
        <v>37</v>
      </c>
      <c r="EU34" s="19"/>
      <c r="EV34" s="13" t="s">
        <v>37</v>
      </c>
      <c r="EW34" s="11" t="s">
        <v>37</v>
      </c>
      <c r="EX34" s="11" t="s">
        <v>37</v>
      </c>
      <c r="EY34" s="19"/>
      <c r="EZ34" s="19"/>
      <c r="FA34" s="19"/>
      <c r="FB34" s="19"/>
      <c r="FC34" s="32"/>
      <c r="FD34" s="12" t="s">
        <v>37</v>
      </c>
      <c r="FE34" s="12" t="s">
        <v>37</v>
      </c>
      <c r="FF34" s="11" t="s">
        <v>37</v>
      </c>
      <c r="FG34" s="13" t="s">
        <v>37</v>
      </c>
      <c r="FH34" s="11" t="s">
        <v>37</v>
      </c>
      <c r="FI34" s="11" t="s">
        <v>37</v>
      </c>
      <c r="FJ34" s="19"/>
      <c r="FK34" s="19"/>
      <c r="FL34" s="19"/>
      <c r="FM34" s="32"/>
      <c r="FN34" s="12" t="s">
        <v>37</v>
      </c>
      <c r="FO34" s="12" t="s">
        <v>37</v>
      </c>
      <c r="FP34" s="11" t="s">
        <v>37</v>
      </c>
      <c r="FQ34" s="13" t="s">
        <v>37</v>
      </c>
      <c r="FR34" s="11" t="s">
        <v>37</v>
      </c>
      <c r="FS34" s="11" t="s">
        <v>37</v>
      </c>
      <c r="FT34" s="19"/>
      <c r="FU34" s="19"/>
      <c r="FV34" s="19"/>
      <c r="FW34" s="12"/>
      <c r="FX34" s="12"/>
      <c r="FY34" s="12" t="s">
        <v>37</v>
      </c>
      <c r="FZ34" s="12" t="s">
        <v>37</v>
      </c>
      <c r="GA34" s="13" t="s">
        <v>37</v>
      </c>
      <c r="GB34" s="12" t="s">
        <v>37</v>
      </c>
      <c r="GC34" s="12" t="s">
        <v>37</v>
      </c>
      <c r="GD34" s="13" t="s">
        <v>37</v>
      </c>
      <c r="GE34" s="19"/>
      <c r="GF34" s="19"/>
      <c r="GG34" s="12"/>
      <c r="GH34" s="12"/>
      <c r="GI34" s="12" t="s">
        <v>37</v>
      </c>
      <c r="GJ34" s="12" t="s">
        <v>37</v>
      </c>
      <c r="GK34" s="12" t="s">
        <v>37</v>
      </c>
      <c r="GL34" s="19"/>
      <c r="GM34" s="12" t="s">
        <v>37</v>
      </c>
      <c r="GN34" s="12" t="s">
        <v>37</v>
      </c>
      <c r="GO34" s="12" t="s">
        <v>37</v>
      </c>
      <c r="GP34" s="19"/>
      <c r="GQ34" s="19"/>
      <c r="GR34" s="19"/>
      <c r="GS34" s="17"/>
      <c r="GT34" s="34"/>
      <c r="GU34" s="12" t="s">
        <v>37</v>
      </c>
      <c r="GV34" s="12" t="s">
        <v>37</v>
      </c>
      <c r="GW34" s="12" t="s">
        <v>37</v>
      </c>
      <c r="GX34" s="19"/>
      <c r="GY34" s="12" t="s">
        <v>37</v>
      </c>
      <c r="GZ34" s="12" t="s">
        <v>37</v>
      </c>
      <c r="HA34" s="12" t="s">
        <v>37</v>
      </c>
      <c r="HB34" s="19"/>
      <c r="HC34" s="19"/>
      <c r="HD34" s="19"/>
      <c r="HE34" s="34"/>
      <c r="HF34" s="12" t="s">
        <v>37</v>
      </c>
      <c r="HG34" s="12" t="s">
        <v>37</v>
      </c>
      <c r="HH34" s="13" t="s">
        <v>37</v>
      </c>
      <c r="HI34" s="12" t="s">
        <v>37</v>
      </c>
      <c r="HJ34" s="12" t="s">
        <v>37</v>
      </c>
      <c r="HK34" s="13" t="s">
        <v>37</v>
      </c>
      <c r="HL34" s="13"/>
      <c r="HM34" s="13"/>
      <c r="HN34" s="34"/>
      <c r="HO34" s="12" t="s">
        <v>37</v>
      </c>
      <c r="HP34" s="12" t="s">
        <v>37</v>
      </c>
      <c r="HQ34" s="13" t="s">
        <v>37</v>
      </c>
      <c r="HR34" s="12" t="s">
        <v>37</v>
      </c>
      <c r="HS34" s="12" t="s">
        <v>37</v>
      </c>
      <c r="HT34" s="13" t="s">
        <v>37</v>
      </c>
      <c r="HU34" s="13"/>
      <c r="HV34" s="13"/>
      <c r="HW34" s="12"/>
      <c r="HX34" s="12"/>
      <c r="HY34" s="12" t="s">
        <v>37</v>
      </c>
      <c r="HZ34" s="12" t="s">
        <v>37</v>
      </c>
      <c r="IA34" s="12" t="s">
        <v>37</v>
      </c>
      <c r="IB34" s="12" t="s">
        <v>37</v>
      </c>
      <c r="IC34" s="12" t="s">
        <v>37</v>
      </c>
      <c r="ID34" s="12" t="s">
        <v>37</v>
      </c>
      <c r="IE34" s="12"/>
      <c r="IF34" s="32" t="s">
        <v>345</v>
      </c>
      <c r="IG34" s="12">
        <v>7.7</v>
      </c>
      <c r="IH34" s="12" t="s">
        <v>37</v>
      </c>
      <c r="II34" s="13" t="s">
        <v>37</v>
      </c>
      <c r="IJ34" s="19"/>
      <c r="IK34" s="12" t="s">
        <v>37</v>
      </c>
      <c r="IL34" s="12" t="s">
        <v>37</v>
      </c>
      <c r="IM34" s="13" t="s">
        <v>37</v>
      </c>
      <c r="IN34" s="19"/>
      <c r="IO34" s="19"/>
      <c r="IP34" s="19"/>
      <c r="IQ34" s="32"/>
      <c r="IR34" s="12" t="s">
        <v>37</v>
      </c>
      <c r="IS34" s="12" t="s">
        <v>37</v>
      </c>
      <c r="IT34" s="13" t="s">
        <v>37</v>
      </c>
      <c r="IU34" s="12" t="s">
        <v>37</v>
      </c>
      <c r="IV34" s="12" t="s">
        <v>37</v>
      </c>
      <c r="IW34" s="12" t="s">
        <v>37</v>
      </c>
      <c r="IX34" s="32"/>
      <c r="IY34" s="12" t="s">
        <v>37</v>
      </c>
      <c r="IZ34" s="12" t="s">
        <v>37</v>
      </c>
      <c r="JA34" s="13" t="s">
        <v>37</v>
      </c>
      <c r="JB34" s="12" t="s">
        <v>37</v>
      </c>
      <c r="JC34" s="12" t="s">
        <v>37</v>
      </c>
      <c r="JD34" s="12" t="s">
        <v>37</v>
      </c>
      <c r="JE34" s="12"/>
      <c r="JF34" s="12"/>
      <c r="JG34" s="12" t="s">
        <v>37</v>
      </c>
      <c r="JH34" s="12" t="s">
        <v>37</v>
      </c>
      <c r="JI34" s="13" t="s">
        <v>37</v>
      </c>
      <c r="JJ34" s="12" t="s">
        <v>37</v>
      </c>
      <c r="JK34" s="12" t="s">
        <v>37</v>
      </c>
      <c r="JL34" s="12" t="s">
        <v>37</v>
      </c>
      <c r="JM34" s="12" t="s">
        <v>42</v>
      </c>
      <c r="JN34" s="32" t="s">
        <v>345</v>
      </c>
      <c r="JO34" s="12">
        <v>11</v>
      </c>
      <c r="JP34" s="60">
        <f t="shared" si="196"/>
        <v>1.3260063131718003</v>
      </c>
      <c r="JQ34" s="11">
        <v>5</v>
      </c>
      <c r="JR34" s="19"/>
      <c r="JS34" s="12" t="s">
        <v>37</v>
      </c>
      <c r="JT34" s="12" t="s">
        <v>37</v>
      </c>
      <c r="JU34" s="12" t="s">
        <v>37</v>
      </c>
      <c r="JV34" s="19"/>
      <c r="JW34" s="19"/>
      <c r="JX34" s="19"/>
      <c r="JY34" s="32"/>
      <c r="JZ34" s="12" t="s">
        <v>37</v>
      </c>
      <c r="KA34" s="12" t="s">
        <v>37</v>
      </c>
      <c r="KB34" s="13" t="s">
        <v>37</v>
      </c>
      <c r="KC34" s="12" t="s">
        <v>37</v>
      </c>
      <c r="KD34" s="12" t="s">
        <v>37</v>
      </c>
      <c r="KE34" s="13" t="s">
        <v>37</v>
      </c>
      <c r="KF34" s="13"/>
      <c r="KG34" s="13"/>
      <c r="KH34" s="32"/>
      <c r="KI34" s="12" t="s">
        <v>37</v>
      </c>
      <c r="KJ34" s="12" t="s">
        <v>37</v>
      </c>
      <c r="KK34" s="12" t="s">
        <v>37</v>
      </c>
      <c r="KL34" s="12" t="s">
        <v>37</v>
      </c>
      <c r="KM34" s="12" t="s">
        <v>37</v>
      </c>
      <c r="KN34" s="12" t="s">
        <v>37</v>
      </c>
      <c r="KO34" s="12"/>
      <c r="KP34" s="12"/>
      <c r="KQ34" s="12"/>
      <c r="KR34" s="12" t="str">
        <f t="shared" si="197"/>
        <v>0-10</v>
      </c>
      <c r="KS34" s="12">
        <f>AI34/JO34</f>
        <v>14.727272727272727</v>
      </c>
      <c r="KT34" s="12">
        <f>SQRT((1/JO34)^2*AJ34^2+AI34^2*(-1/JO34^2)^2*JP34^2)</f>
        <v>1.8544625751350396</v>
      </c>
      <c r="KU34" s="13">
        <f t="shared" si="198"/>
        <v>5</v>
      </c>
      <c r="KV34" s="19"/>
      <c r="KW34" s="13" t="str">
        <f>JS34</f>
        <v>/</v>
      </c>
      <c r="KX34" s="13" t="str">
        <f t="shared" si="199"/>
        <v>/</v>
      </c>
      <c r="KY34" s="13" t="str">
        <f t="shared" si="200"/>
        <v>/</v>
      </c>
      <c r="KZ34" s="19"/>
      <c r="LA34" s="19"/>
      <c r="LB34" s="19"/>
      <c r="LC34" s="12"/>
      <c r="LD34" s="12" t="s">
        <v>37</v>
      </c>
      <c r="LE34" s="12" t="s">
        <v>37</v>
      </c>
      <c r="LF34" s="12" t="s">
        <v>37</v>
      </c>
      <c r="LG34" s="19" t="s">
        <v>37</v>
      </c>
      <c r="LH34" s="19" t="s">
        <v>37</v>
      </c>
      <c r="LI34" s="12" t="s">
        <v>37</v>
      </c>
      <c r="LJ34" s="12"/>
      <c r="LK34" s="12"/>
      <c r="LL34" s="12"/>
      <c r="LM34" s="12" t="s">
        <v>37</v>
      </c>
      <c r="LN34" s="12" t="s">
        <v>37</v>
      </c>
      <c r="LO34" s="12" t="s">
        <v>37</v>
      </c>
      <c r="LP34" s="12" t="s">
        <v>37</v>
      </c>
      <c r="LQ34" s="12" t="s">
        <v>37</v>
      </c>
      <c r="LR34" s="12" t="s">
        <v>37</v>
      </c>
      <c r="LS34" s="12"/>
      <c r="LT34" s="12"/>
      <c r="LU34" s="12" t="s">
        <v>37</v>
      </c>
      <c r="LV34" s="12" t="s">
        <v>37</v>
      </c>
      <c r="LW34" s="13" t="s">
        <v>37</v>
      </c>
      <c r="LX34" s="12" t="s">
        <v>37</v>
      </c>
      <c r="LY34" s="12" t="s">
        <v>37</v>
      </c>
      <c r="LZ34" s="13" t="s">
        <v>37</v>
      </c>
      <c r="MA34" s="13"/>
      <c r="MB34" s="13"/>
      <c r="MC34" s="12"/>
      <c r="MD34" s="12"/>
      <c r="ME34" s="12" t="s">
        <v>37</v>
      </c>
      <c r="MF34" s="12" t="s">
        <v>37</v>
      </c>
      <c r="MG34" s="13" t="s">
        <v>37</v>
      </c>
      <c r="MH34" s="12" t="s">
        <v>37</v>
      </c>
      <c r="MI34" s="12" t="s">
        <v>37</v>
      </c>
      <c r="MJ34" s="13" t="s">
        <v>37</v>
      </c>
      <c r="MK34" s="13"/>
      <c r="ML34" s="13"/>
      <c r="MM34" s="12"/>
      <c r="MN34" s="12"/>
      <c r="MO34" s="12" t="s">
        <v>37</v>
      </c>
      <c r="MP34" s="12" t="s">
        <v>37</v>
      </c>
      <c r="MQ34" s="12" t="s">
        <v>37</v>
      </c>
      <c r="MR34" s="12" t="s">
        <v>37</v>
      </c>
      <c r="MS34" s="12" t="s">
        <v>37</v>
      </c>
      <c r="MT34" s="12" t="s">
        <v>37</v>
      </c>
      <c r="MU34" s="12"/>
      <c r="MV34" s="12"/>
      <c r="MW34" s="12"/>
      <c r="MX34" s="12"/>
      <c r="MY34" s="12" t="s">
        <v>37</v>
      </c>
      <c r="MZ34" s="12" t="s">
        <v>37</v>
      </c>
      <c r="NA34" s="12" t="s">
        <v>37</v>
      </c>
      <c r="NB34" s="12" t="s">
        <v>37</v>
      </c>
      <c r="NC34" s="12" t="s">
        <v>37</v>
      </c>
      <c r="ND34" s="12" t="s">
        <v>37</v>
      </c>
      <c r="NE34" s="12"/>
      <c r="NF34" s="12"/>
      <c r="NG34" s="12"/>
      <c r="NH34" s="12"/>
      <c r="NI34" s="12" t="s">
        <v>37</v>
      </c>
      <c r="NJ34" s="12" t="s">
        <v>37</v>
      </c>
      <c r="NK34" s="13" t="s">
        <v>37</v>
      </c>
      <c r="NL34" s="12" t="s">
        <v>37</v>
      </c>
      <c r="NM34" s="12" t="s">
        <v>37</v>
      </c>
      <c r="NN34" s="13" t="s">
        <v>37</v>
      </c>
      <c r="NO34" s="13"/>
      <c r="NP34" s="13"/>
      <c r="NQ34" s="12"/>
      <c r="NR34" s="12"/>
      <c r="NS34" s="11" t="s">
        <v>37</v>
      </c>
      <c r="NT34" s="11" t="s">
        <v>37</v>
      </c>
      <c r="NU34" s="13" t="s">
        <v>37</v>
      </c>
      <c r="NV34" s="11" t="s">
        <v>37</v>
      </c>
      <c r="NW34" s="11" t="s">
        <v>37</v>
      </c>
      <c r="NX34" s="13" t="s">
        <v>37</v>
      </c>
      <c r="NY34" s="13"/>
      <c r="NZ34" s="13"/>
      <c r="OA34" s="12"/>
      <c r="OB34" s="12"/>
      <c r="OC34" s="12" t="s">
        <v>37</v>
      </c>
      <c r="OD34" s="12" t="s">
        <v>37</v>
      </c>
      <c r="OE34" s="12" t="s">
        <v>37</v>
      </c>
      <c r="OF34" s="12" t="s">
        <v>37</v>
      </c>
      <c r="OG34" s="12" t="s">
        <v>37</v>
      </c>
      <c r="OH34" s="12" t="s">
        <v>37</v>
      </c>
      <c r="OI34" s="12"/>
      <c r="OJ34" s="12"/>
      <c r="OK34" s="12"/>
      <c r="OL34" s="12" t="s">
        <v>37</v>
      </c>
      <c r="OM34" s="12" t="s">
        <v>37</v>
      </c>
      <c r="ON34" s="11" t="s">
        <v>37</v>
      </c>
      <c r="OO34" s="12" t="s">
        <v>37</v>
      </c>
      <c r="OP34" s="12" t="s">
        <v>37</v>
      </c>
      <c r="OQ34" s="12" t="s">
        <v>37</v>
      </c>
      <c r="OR34" s="12"/>
      <c r="OS34" s="12" t="s">
        <v>37</v>
      </c>
      <c r="OT34" s="12" t="s">
        <v>37</v>
      </c>
      <c r="OU34" s="12" t="s">
        <v>37</v>
      </c>
      <c r="OV34" s="12" t="s">
        <v>37</v>
      </c>
      <c r="OW34" s="12" t="s">
        <v>37</v>
      </c>
      <c r="OX34" s="12" t="s">
        <v>37</v>
      </c>
      <c r="OY34" s="12"/>
      <c r="OZ34" s="12"/>
      <c r="PA34" s="12" t="s">
        <v>37</v>
      </c>
      <c r="PB34" s="12" t="s">
        <v>37</v>
      </c>
      <c r="PC34" s="12" t="s">
        <v>37</v>
      </c>
      <c r="PD34" s="12" t="s">
        <v>37</v>
      </c>
      <c r="PE34" s="12" t="s">
        <v>37</v>
      </c>
      <c r="PF34" s="12" t="s">
        <v>37</v>
      </c>
      <c r="PG34" s="12"/>
      <c r="PH34" s="12"/>
      <c r="PI34" s="12" t="s">
        <v>37</v>
      </c>
      <c r="PJ34" s="12" t="s">
        <v>37</v>
      </c>
      <c r="PK34" s="12" t="s">
        <v>37</v>
      </c>
      <c r="PL34" s="12" t="s">
        <v>37</v>
      </c>
      <c r="PM34" s="12" t="s">
        <v>37</v>
      </c>
      <c r="PN34" s="12" t="s">
        <v>37</v>
      </c>
      <c r="PO34" s="12"/>
      <c r="PP34" s="12"/>
      <c r="PQ34" s="12" t="s">
        <v>37</v>
      </c>
      <c r="PR34" s="12" t="s">
        <v>37</v>
      </c>
      <c r="PS34" s="12" t="s">
        <v>37</v>
      </c>
      <c r="PT34" s="12" t="s">
        <v>37</v>
      </c>
      <c r="PU34" s="12" t="s">
        <v>37</v>
      </c>
      <c r="PV34" s="12" t="s">
        <v>37</v>
      </c>
      <c r="PW34" s="12"/>
      <c r="PX34" s="12"/>
      <c r="PY34" s="12" t="s">
        <v>37</v>
      </c>
      <c r="PZ34" s="12" t="s">
        <v>37</v>
      </c>
      <c r="QA34" s="12" t="s">
        <v>37</v>
      </c>
      <c r="QB34" s="12" t="s">
        <v>37</v>
      </c>
      <c r="QC34" s="12" t="s">
        <v>37</v>
      </c>
      <c r="QD34" s="12" t="s">
        <v>37</v>
      </c>
      <c r="QE34" s="12"/>
      <c r="QF34" s="12"/>
      <c r="QG34" s="12" t="s">
        <v>37</v>
      </c>
      <c r="QH34" s="12" t="s">
        <v>37</v>
      </c>
      <c r="QI34" s="12" t="s">
        <v>37</v>
      </c>
      <c r="QJ34" s="12" t="s">
        <v>37</v>
      </c>
      <c r="QK34" s="12" t="s">
        <v>37</v>
      </c>
      <c r="QL34" s="12" t="s">
        <v>37</v>
      </c>
      <c r="QM34" s="12"/>
      <c r="QN34" s="12"/>
      <c r="QO34" s="12" t="s">
        <v>37</v>
      </c>
      <c r="QP34" s="12" t="s">
        <v>37</v>
      </c>
      <c r="QQ34" s="12" t="s">
        <v>37</v>
      </c>
      <c r="QR34" s="12" t="s">
        <v>37</v>
      </c>
      <c r="QS34" s="12" t="s">
        <v>37</v>
      </c>
      <c r="QT34" s="12" t="s">
        <v>37</v>
      </c>
      <c r="QU34" s="12"/>
      <c r="QV34" s="12"/>
      <c r="QW34" s="12"/>
      <c r="QX34" s="12"/>
      <c r="QY34" s="12"/>
      <c r="QZ34" s="12"/>
      <c r="RA34" s="11"/>
      <c r="RB34" s="12"/>
      <c r="RC34" s="12"/>
      <c r="RD34" s="11"/>
      <c r="RE34" s="11"/>
      <c r="RF34" s="11"/>
      <c r="RG34" s="12"/>
      <c r="RH34" s="12"/>
      <c r="RI34" s="12" t="s">
        <v>37</v>
      </c>
      <c r="RJ34" s="12" t="s">
        <v>37</v>
      </c>
      <c r="RK34" s="11" t="s">
        <v>37</v>
      </c>
      <c r="RL34" s="12" t="s">
        <v>37</v>
      </c>
      <c r="RM34" s="12" t="s">
        <v>37</v>
      </c>
      <c r="RN34" s="11" t="s">
        <v>37</v>
      </c>
      <c r="RO34" s="11"/>
      <c r="RP34" s="11"/>
      <c r="RQ34" s="12"/>
      <c r="RR34" s="12"/>
      <c r="RS34" s="12" t="s">
        <v>37</v>
      </c>
      <c r="RT34" s="12" t="s">
        <v>37</v>
      </c>
      <c r="RU34" s="11" t="s">
        <v>37</v>
      </c>
      <c r="RV34" s="12" t="s">
        <v>37</v>
      </c>
      <c r="RW34" s="12" t="s">
        <v>37</v>
      </c>
      <c r="RX34" s="11" t="s">
        <v>37</v>
      </c>
      <c r="RY34" s="11"/>
      <c r="RZ34" s="11"/>
      <c r="SA34" s="12"/>
      <c r="SB34" s="12"/>
      <c r="SC34" s="12" t="s">
        <v>37</v>
      </c>
      <c r="SD34" s="12" t="s">
        <v>37</v>
      </c>
      <c r="SE34" s="12" t="s">
        <v>37</v>
      </c>
      <c r="SF34" s="12" t="s">
        <v>37</v>
      </c>
      <c r="SG34" s="12" t="s">
        <v>37</v>
      </c>
      <c r="SH34" s="12" t="s">
        <v>37</v>
      </c>
      <c r="SI34" s="12"/>
      <c r="SJ34" s="12"/>
      <c r="SK34" s="12"/>
      <c r="SL34" s="12"/>
      <c r="SM34" s="12" t="s">
        <v>37</v>
      </c>
      <c r="SN34" s="12" t="s">
        <v>37</v>
      </c>
      <c r="SO34" s="12" t="s">
        <v>37</v>
      </c>
      <c r="SP34" s="12" t="s">
        <v>37</v>
      </c>
      <c r="SQ34" s="12" t="s">
        <v>37</v>
      </c>
      <c r="SR34" s="12" t="s">
        <v>37</v>
      </c>
      <c r="SS34" s="12"/>
      <c r="ST34" s="12"/>
      <c r="SU34" s="12"/>
      <c r="SV34" s="12"/>
      <c r="SW34" s="12" t="s">
        <v>37</v>
      </c>
      <c r="SX34" s="12" t="s">
        <v>37</v>
      </c>
      <c r="SY34" s="12" t="s">
        <v>37</v>
      </c>
      <c r="SZ34" s="12" t="s">
        <v>37</v>
      </c>
      <c r="TA34" s="12" t="s">
        <v>37</v>
      </c>
      <c r="TB34" s="12" t="s">
        <v>37</v>
      </c>
      <c r="TC34" s="12"/>
      <c r="TD34" s="12"/>
      <c r="TE34" s="12"/>
      <c r="TF34" s="12"/>
      <c r="TG34" s="72"/>
      <c r="TH34" s="72"/>
      <c r="TI34" s="13"/>
      <c r="TJ34" s="72"/>
      <c r="TK34" s="72"/>
      <c r="TL34" s="13"/>
      <c r="TM34" s="13"/>
      <c r="TN34" s="13"/>
      <c r="TO34" s="12"/>
      <c r="TP34" s="12"/>
      <c r="TQ34" s="12"/>
      <c r="TR34" s="12"/>
      <c r="TS34" s="13"/>
      <c r="TT34" s="19"/>
      <c r="TU34" s="12"/>
      <c r="TV34" s="12"/>
      <c r="TW34" s="13"/>
    </row>
    <row r="35" spans="1:546" ht="15.6" x14ac:dyDescent="0.3">
      <c r="A35" s="11">
        <v>13</v>
      </c>
      <c r="B35" s="16" t="s">
        <v>940</v>
      </c>
      <c r="C35" s="12" t="s">
        <v>26</v>
      </c>
      <c r="D35" s="12" t="s">
        <v>609</v>
      </c>
      <c r="E35" s="12" t="s">
        <v>37</v>
      </c>
      <c r="F35" s="14">
        <v>0</v>
      </c>
      <c r="G35" s="14">
        <v>0</v>
      </c>
      <c r="H35" s="12" t="s">
        <v>79</v>
      </c>
      <c r="I35" s="29">
        <v>37.582999999999998</v>
      </c>
      <c r="J35" s="29">
        <v>101.333</v>
      </c>
      <c r="K35" s="12" t="s">
        <v>811</v>
      </c>
      <c r="L35" s="12" t="s">
        <v>812</v>
      </c>
      <c r="M35" s="13">
        <v>3250</v>
      </c>
      <c r="N35" s="14">
        <v>-1.1000000000000001</v>
      </c>
      <c r="O35" s="14">
        <v>480</v>
      </c>
      <c r="P35" s="14" t="s">
        <v>16</v>
      </c>
      <c r="Q35" s="11" t="s">
        <v>162</v>
      </c>
      <c r="R35" s="11" t="s">
        <v>37</v>
      </c>
      <c r="S35" s="12" t="s">
        <v>85</v>
      </c>
      <c r="T35" s="12" t="s">
        <v>37</v>
      </c>
      <c r="U35" s="12" t="s">
        <v>158</v>
      </c>
      <c r="V35" s="12" t="s">
        <v>37</v>
      </c>
      <c r="W35" s="23" t="s">
        <v>298</v>
      </c>
      <c r="X35" s="12" t="s">
        <v>280</v>
      </c>
      <c r="Y35" s="12" t="s">
        <v>37</v>
      </c>
      <c r="Z35" s="12" t="s">
        <v>37</v>
      </c>
      <c r="AA35" s="32" t="s">
        <v>549</v>
      </c>
      <c r="AB35" s="12" t="s">
        <v>317</v>
      </c>
      <c r="AC35" s="12" t="s">
        <v>37</v>
      </c>
      <c r="AD35" s="12" t="s">
        <v>108</v>
      </c>
      <c r="AE35" s="12" t="s">
        <v>74</v>
      </c>
      <c r="AF35" s="12" t="s">
        <v>483</v>
      </c>
      <c r="AG35" s="12" t="s">
        <v>42</v>
      </c>
      <c r="AH35" s="32" t="s">
        <v>345</v>
      </c>
      <c r="AI35" s="12">
        <v>162</v>
      </c>
      <c r="AJ35" s="60">
        <f t="shared" si="201"/>
        <v>5.8959466499014734</v>
      </c>
      <c r="AK35" s="11">
        <v>10</v>
      </c>
      <c r="AL35" s="19"/>
      <c r="AM35" s="12" t="s">
        <v>37</v>
      </c>
      <c r="AN35" s="12" t="s">
        <v>37</v>
      </c>
      <c r="AO35" s="13" t="s">
        <v>37</v>
      </c>
      <c r="AP35" s="19"/>
      <c r="AQ35" s="49"/>
      <c r="AR35" s="49"/>
      <c r="AS35" s="32"/>
      <c r="AT35" s="12" t="s">
        <v>37</v>
      </c>
      <c r="AU35" s="12" t="s">
        <v>37</v>
      </c>
      <c r="AV35" s="12" t="s">
        <v>37</v>
      </c>
      <c r="AW35" s="12" t="s">
        <v>37</v>
      </c>
      <c r="AX35" s="12" t="s">
        <v>37</v>
      </c>
      <c r="AY35" s="12" t="s">
        <v>37</v>
      </c>
      <c r="AZ35" s="12"/>
      <c r="BA35" s="12"/>
      <c r="BB35" s="12"/>
      <c r="BC35" s="12" t="s">
        <v>37</v>
      </c>
      <c r="BD35" s="12" t="s">
        <v>37</v>
      </c>
      <c r="BE35" s="12" t="s">
        <v>37</v>
      </c>
      <c r="BF35" s="12" t="s">
        <v>37</v>
      </c>
      <c r="BG35" s="12" t="s">
        <v>37</v>
      </c>
      <c r="BH35" s="12" t="s">
        <v>37</v>
      </c>
      <c r="BI35" s="12" t="s">
        <v>34</v>
      </c>
      <c r="BJ35" s="12">
        <f>-3256.9*10^3/("2011/09/30"-"2011/06/01")/24</f>
        <v>-1121.5220385674932</v>
      </c>
      <c r="BK35" s="12">
        <f>130.1*SQRT(10)*10^3/("2011/09/30"-"2011/06/01")/24</f>
        <v>141.67091032641397</v>
      </c>
      <c r="BL35" s="13">
        <v>10</v>
      </c>
      <c r="BM35" s="12">
        <f>-4982.2*10^3/("2011/09/30"-"2011/06/01")/24</f>
        <v>-1715.6336088154269</v>
      </c>
      <c r="BN35" s="12">
        <f>240.8*SQRT(10)*10^3/("2011/09/30"-"2011/06/01")/24</f>
        <v>262.2164120415103</v>
      </c>
      <c r="BO35" s="13">
        <v>10</v>
      </c>
      <c r="BP35" s="68">
        <f>BM35-BJ35</f>
        <v>-594.11157024793374</v>
      </c>
      <c r="BQ35" s="12">
        <f t="shared" si="180"/>
        <v>210.74640397482224</v>
      </c>
      <c r="BR35" s="72">
        <f t="shared" si="181"/>
        <v>8882.8093576637948</v>
      </c>
      <c r="BS35" s="72">
        <f t="shared" si="182"/>
        <v>8882.8093576637948</v>
      </c>
      <c r="BT35" s="12" t="s">
        <v>34</v>
      </c>
      <c r="BU35" s="12">
        <f>1735.7*10^3/("2011/09/30"-"2011/06/01")/24</f>
        <v>597.69283746556471</v>
      </c>
      <c r="BV35" s="12">
        <f>72.2*SQRT(10)*10^3/("2011/09/30"-"2011/06/01")/24</f>
        <v>78.621366068924587</v>
      </c>
      <c r="BW35" s="13">
        <v>10</v>
      </c>
      <c r="BX35" s="12">
        <f>3313.3*10^3/("2011/09/30"-"2011/06/01")/24</f>
        <v>1140.9435261707988</v>
      </c>
      <c r="BY35" s="12">
        <f>142.1*SQRT(10)*10^3/("2011/09/30"-"2011/06/01")/24</f>
        <v>154.73817338496099</v>
      </c>
      <c r="BZ35" s="13">
        <v>10</v>
      </c>
      <c r="CA35" s="68">
        <f t="shared" si="183"/>
        <v>543.2506887052341</v>
      </c>
      <c r="CB35" s="12">
        <f>SQRT(((BW35-1)*BV35^2+(BZ35-1)*BY35^2)/(BW35+BZ35-2))</f>
        <v>122.72982829177693</v>
      </c>
      <c r="CC35" s="72">
        <f t="shared" si="185"/>
        <v>3012.5221505058093</v>
      </c>
      <c r="CD35" s="72">
        <f t="shared" si="186"/>
        <v>3012.5221505058093</v>
      </c>
      <c r="CE35" s="12" t="s">
        <v>34</v>
      </c>
      <c r="CF35" s="12">
        <f>-1521.2*10^3/("2011/09/30"-"2011/06/01")/24</f>
        <v>-523.82920110192833</v>
      </c>
      <c r="CG35" s="12">
        <f>66*SQRT(10)*10^3/("2011/09/30"-"2011/06/01")/24</f>
        <v>71.869946822008629</v>
      </c>
      <c r="CH35" s="13">
        <v>10</v>
      </c>
      <c r="CI35" s="12">
        <f>-1668.9*10^3/("2011/09/30"-"2011/06/01")/24</f>
        <v>-574.69008264462809</v>
      </c>
      <c r="CJ35" s="12">
        <f>111.3*SQRT(10)*10^3/("2011/09/30"-"2011/06/01")/24</f>
        <v>121.19886486802365</v>
      </c>
      <c r="CK35" s="13">
        <v>10</v>
      </c>
      <c r="CL35" s="68">
        <f>CI35-CF35</f>
        <v>-50.860881542699758</v>
      </c>
      <c r="CM35" s="12">
        <f>SQRT(((CH35-1)*CG35^2+(CK35-1)*CJ35^2)/(CH35+CK35-2))</f>
        <v>99.635470846219732</v>
      </c>
      <c r="CN35" s="72">
        <f t="shared" si="188"/>
        <v>1985.4454101495805</v>
      </c>
      <c r="CO35" s="72">
        <f t="shared" si="189"/>
        <v>1985.4454101495805</v>
      </c>
      <c r="CP35" s="11" t="s">
        <v>34</v>
      </c>
      <c r="CQ35" s="12">
        <f>53.6*10^3/("2011/09/30"-"2011/06/01")/24</f>
        <v>18.457300275482094</v>
      </c>
      <c r="CR35" s="19">
        <f>2.8*SQRT(10)*10^3/("2011/09/30"-"2011/06/01")/24</f>
        <v>3.0490280469943047</v>
      </c>
      <c r="CS35" s="13">
        <v>10</v>
      </c>
      <c r="CT35" s="52">
        <f t="shared" si="190"/>
        <v>0.16519360911327352</v>
      </c>
      <c r="CU35" s="12">
        <f>25.4*10^3/("2011/09/30"-"2011/06/01")/24</f>
        <v>8.7465564738292017</v>
      </c>
      <c r="CV35" s="19">
        <f>2.6*SQRT(10)*10^3/("2011/09/30"-"2011/06/01")/24</f>
        <v>2.8312403293518553</v>
      </c>
      <c r="CW35" s="13">
        <v>10</v>
      </c>
      <c r="CX35" s="52">
        <f t="shared" si="191"/>
        <v>0.32369771324558216</v>
      </c>
      <c r="CY35" s="68">
        <f t="shared" si="192"/>
        <v>-9.7107438016528924</v>
      </c>
      <c r="CZ35" s="12">
        <f t="shared" si="193"/>
        <v>2.942150050040472</v>
      </c>
      <c r="DA35" s="72">
        <f t="shared" si="194"/>
        <v>1.7312493833906306</v>
      </c>
      <c r="DB35" s="72">
        <f t="shared" si="195"/>
        <v>1.7312493833906304</v>
      </c>
      <c r="DC35" s="15" t="s">
        <v>34</v>
      </c>
      <c r="DD35" s="29">
        <f>15.2/("2011/09/30"-"2011/06/01")/24</f>
        <v>5.234159779614324E-3</v>
      </c>
      <c r="DE35" s="68">
        <f>10.8*SQRT(10)/("2011/09/30"-"2011/06/01")/24</f>
        <v>1.176053675269232E-2</v>
      </c>
      <c r="DF35" s="13">
        <v>10</v>
      </c>
      <c r="DG35" s="52">
        <f t="shared" si="203"/>
        <v>2.2468814953827962</v>
      </c>
      <c r="DH35" s="29">
        <f>21.3/("2011/09/30"-"2011/06/01")/24</f>
        <v>7.3347107438016534E-3</v>
      </c>
      <c r="DI35" s="68">
        <f>14.8*SQRT(10)/("2011/09/30"-"2011/06/01")/24</f>
        <v>1.6116291105541327E-2</v>
      </c>
      <c r="DJ35" s="13">
        <v>10</v>
      </c>
      <c r="DK35" s="52">
        <f t="shared" si="204"/>
        <v>2.1972633507273245</v>
      </c>
      <c r="DL35" s="68">
        <f t="shared" si="205"/>
        <v>2.1005509641873294E-3</v>
      </c>
      <c r="DM35" s="12">
        <f t="shared" si="206"/>
        <v>1.4107534577486907E-2</v>
      </c>
      <c r="DN35" s="87">
        <f t="shared" si="207"/>
        <v>3.9804506370997732E-5</v>
      </c>
      <c r="DO35" s="87">
        <f t="shared" si="208"/>
        <v>3.9804506370997732E-5</v>
      </c>
      <c r="DP35" s="12" t="s">
        <v>39</v>
      </c>
      <c r="DQ35" s="12">
        <v>3</v>
      </c>
      <c r="DR35" s="60">
        <f t="shared" si="177"/>
        <v>1.2120000000000002</v>
      </c>
      <c r="DS35" s="13">
        <v>5</v>
      </c>
      <c r="DT35" s="19"/>
      <c r="DU35" s="12">
        <v>-20</v>
      </c>
      <c r="DV35" s="60">
        <f t="shared" si="178"/>
        <v>6.9122552494082443</v>
      </c>
      <c r="DW35" s="13">
        <v>5</v>
      </c>
      <c r="DX35" s="19"/>
      <c r="DY35" s="19">
        <f t="shared" si="162"/>
        <v>-23</v>
      </c>
      <c r="DZ35" s="12">
        <f t="shared" si="163"/>
        <v>4.9622684647735369</v>
      </c>
      <c r="EA35" s="72">
        <f t="shared" si="164"/>
        <v>9.8496433265943679</v>
      </c>
      <c r="EB35" s="72">
        <f t="shared" si="165"/>
        <v>9.8496433265943661</v>
      </c>
      <c r="EC35" s="12"/>
      <c r="ED35" s="12"/>
      <c r="EE35" s="12" t="s">
        <v>37</v>
      </c>
      <c r="EF35" s="12" t="s">
        <v>37</v>
      </c>
      <c r="EG35" s="11" t="s">
        <v>37</v>
      </c>
      <c r="EH35" s="19"/>
      <c r="EI35" s="12" t="s">
        <v>37</v>
      </c>
      <c r="EJ35" s="20" t="s">
        <v>37</v>
      </c>
      <c r="EK35" s="11" t="s">
        <v>37</v>
      </c>
      <c r="EL35" s="19"/>
      <c r="EM35" s="19"/>
      <c r="EN35" s="19"/>
      <c r="EO35" s="19"/>
      <c r="EP35" s="19"/>
      <c r="EQ35" s="32"/>
      <c r="ER35" s="12" t="s">
        <v>37</v>
      </c>
      <c r="ES35" s="12" t="s">
        <v>37</v>
      </c>
      <c r="ET35" s="11" t="s">
        <v>37</v>
      </c>
      <c r="EU35" s="19"/>
      <c r="EV35" s="13" t="s">
        <v>37</v>
      </c>
      <c r="EW35" s="11" t="s">
        <v>37</v>
      </c>
      <c r="EX35" s="11" t="s">
        <v>37</v>
      </c>
      <c r="EY35" s="19"/>
      <c r="EZ35" s="19"/>
      <c r="FA35" s="19"/>
      <c r="FB35" s="19"/>
      <c r="FC35" s="32"/>
      <c r="FD35" s="12" t="s">
        <v>37</v>
      </c>
      <c r="FE35" s="12" t="s">
        <v>37</v>
      </c>
      <c r="FF35" s="11" t="s">
        <v>37</v>
      </c>
      <c r="FG35" s="13" t="s">
        <v>37</v>
      </c>
      <c r="FH35" s="11" t="s">
        <v>37</v>
      </c>
      <c r="FI35" s="11" t="s">
        <v>37</v>
      </c>
      <c r="FJ35" s="19"/>
      <c r="FK35" s="19"/>
      <c r="FL35" s="19"/>
      <c r="FM35" s="32"/>
      <c r="FN35" s="12" t="s">
        <v>37</v>
      </c>
      <c r="FO35" s="12" t="s">
        <v>37</v>
      </c>
      <c r="FP35" s="11" t="s">
        <v>37</v>
      </c>
      <c r="FQ35" s="13" t="s">
        <v>37</v>
      </c>
      <c r="FR35" s="11" t="s">
        <v>37</v>
      </c>
      <c r="FS35" s="11" t="s">
        <v>37</v>
      </c>
      <c r="FT35" s="19"/>
      <c r="FU35" s="19"/>
      <c r="FV35" s="19"/>
      <c r="FW35" s="12"/>
      <c r="FX35" s="12"/>
      <c r="FY35" s="12" t="s">
        <v>37</v>
      </c>
      <c r="FZ35" s="12" t="s">
        <v>37</v>
      </c>
      <c r="GA35" s="13" t="s">
        <v>37</v>
      </c>
      <c r="GB35" s="12" t="s">
        <v>37</v>
      </c>
      <c r="GC35" s="12" t="s">
        <v>37</v>
      </c>
      <c r="GD35" s="13" t="s">
        <v>37</v>
      </c>
      <c r="GE35" s="19"/>
      <c r="GF35" s="19"/>
      <c r="GG35" s="12"/>
      <c r="GH35" s="12"/>
      <c r="GI35" s="12" t="s">
        <v>37</v>
      </c>
      <c r="GJ35" s="12" t="s">
        <v>37</v>
      </c>
      <c r="GK35" s="12" t="s">
        <v>37</v>
      </c>
      <c r="GL35" s="19"/>
      <c r="GM35" s="12" t="s">
        <v>37</v>
      </c>
      <c r="GN35" s="12" t="s">
        <v>37</v>
      </c>
      <c r="GO35" s="12" t="s">
        <v>37</v>
      </c>
      <c r="GP35" s="19"/>
      <c r="GQ35" s="19"/>
      <c r="GR35" s="19"/>
      <c r="GS35" s="17"/>
      <c r="GT35" s="34"/>
      <c r="GU35" s="12" t="s">
        <v>37</v>
      </c>
      <c r="GV35" s="12" t="s">
        <v>37</v>
      </c>
      <c r="GW35" s="12" t="s">
        <v>37</v>
      </c>
      <c r="GX35" s="19"/>
      <c r="GY35" s="12" t="s">
        <v>37</v>
      </c>
      <c r="GZ35" s="12" t="s">
        <v>37</v>
      </c>
      <c r="HA35" s="12" t="s">
        <v>37</v>
      </c>
      <c r="HB35" s="19"/>
      <c r="HC35" s="19"/>
      <c r="HD35" s="19"/>
      <c r="HE35" s="34"/>
      <c r="HF35" s="12" t="s">
        <v>37</v>
      </c>
      <c r="HG35" s="12" t="s">
        <v>37</v>
      </c>
      <c r="HH35" s="13" t="s">
        <v>37</v>
      </c>
      <c r="HI35" s="12" t="s">
        <v>37</v>
      </c>
      <c r="HJ35" s="12" t="s">
        <v>37</v>
      </c>
      <c r="HK35" s="13" t="s">
        <v>37</v>
      </c>
      <c r="HL35" s="13"/>
      <c r="HM35" s="13"/>
      <c r="HN35" s="34"/>
      <c r="HO35" s="12" t="s">
        <v>37</v>
      </c>
      <c r="HP35" s="12" t="s">
        <v>37</v>
      </c>
      <c r="HQ35" s="13" t="s">
        <v>37</v>
      </c>
      <c r="HR35" s="12" t="s">
        <v>37</v>
      </c>
      <c r="HS35" s="12" t="s">
        <v>37</v>
      </c>
      <c r="HT35" s="13" t="s">
        <v>37</v>
      </c>
      <c r="HU35" s="13"/>
      <c r="HV35" s="13"/>
      <c r="HW35" s="12"/>
      <c r="HX35" s="12"/>
      <c r="HY35" s="12" t="s">
        <v>37</v>
      </c>
      <c r="HZ35" s="12" t="s">
        <v>37</v>
      </c>
      <c r="IA35" s="12" t="s">
        <v>37</v>
      </c>
      <c r="IB35" s="12" t="s">
        <v>37</v>
      </c>
      <c r="IC35" s="12" t="s">
        <v>37</v>
      </c>
      <c r="ID35" s="12" t="s">
        <v>37</v>
      </c>
      <c r="IE35" s="12"/>
      <c r="IF35" s="32" t="s">
        <v>345</v>
      </c>
      <c r="IG35" s="12">
        <v>7.7</v>
      </c>
      <c r="IH35" s="12" t="s">
        <v>37</v>
      </c>
      <c r="II35" s="13" t="s">
        <v>37</v>
      </c>
      <c r="IJ35" s="19"/>
      <c r="IK35" s="12" t="s">
        <v>37</v>
      </c>
      <c r="IL35" s="12" t="s">
        <v>37</v>
      </c>
      <c r="IM35" s="13" t="s">
        <v>37</v>
      </c>
      <c r="IN35" s="19"/>
      <c r="IO35" s="19"/>
      <c r="IP35" s="19"/>
      <c r="IQ35" s="32"/>
      <c r="IR35" s="12" t="s">
        <v>37</v>
      </c>
      <c r="IS35" s="12" t="s">
        <v>37</v>
      </c>
      <c r="IT35" s="13" t="s">
        <v>37</v>
      </c>
      <c r="IU35" s="12" t="s">
        <v>37</v>
      </c>
      <c r="IV35" s="12" t="s">
        <v>37</v>
      </c>
      <c r="IW35" s="12" t="s">
        <v>37</v>
      </c>
      <c r="IX35" s="32"/>
      <c r="IY35" s="12" t="s">
        <v>37</v>
      </c>
      <c r="IZ35" s="12" t="s">
        <v>37</v>
      </c>
      <c r="JA35" s="13" t="s">
        <v>37</v>
      </c>
      <c r="JB35" s="12" t="s">
        <v>37</v>
      </c>
      <c r="JC35" s="12" t="s">
        <v>37</v>
      </c>
      <c r="JD35" s="12" t="s">
        <v>37</v>
      </c>
      <c r="JE35" s="12"/>
      <c r="JF35" s="12"/>
      <c r="JG35" s="12" t="s">
        <v>37</v>
      </c>
      <c r="JH35" s="12" t="s">
        <v>37</v>
      </c>
      <c r="JI35" s="13" t="s">
        <v>37</v>
      </c>
      <c r="JJ35" s="12" t="s">
        <v>37</v>
      </c>
      <c r="JK35" s="12" t="s">
        <v>37</v>
      </c>
      <c r="JL35" s="12" t="s">
        <v>37</v>
      </c>
      <c r="JM35" s="12" t="s">
        <v>42</v>
      </c>
      <c r="JN35" s="32" t="s">
        <v>345</v>
      </c>
      <c r="JO35" s="12">
        <v>11</v>
      </c>
      <c r="JP35" s="60">
        <f t="shared" si="196"/>
        <v>1.3260063131718003</v>
      </c>
      <c r="JQ35" s="11">
        <v>5</v>
      </c>
      <c r="JR35" s="19"/>
      <c r="JS35" s="12" t="s">
        <v>37</v>
      </c>
      <c r="JT35" s="12" t="s">
        <v>37</v>
      </c>
      <c r="JU35" s="12" t="s">
        <v>37</v>
      </c>
      <c r="JV35" s="19"/>
      <c r="JW35" s="19"/>
      <c r="JX35" s="19"/>
      <c r="JY35" s="32"/>
      <c r="JZ35" s="12" t="s">
        <v>37</v>
      </c>
      <c r="KA35" s="12" t="s">
        <v>37</v>
      </c>
      <c r="KB35" s="13" t="s">
        <v>37</v>
      </c>
      <c r="KC35" s="12" t="s">
        <v>37</v>
      </c>
      <c r="KD35" s="12" t="s">
        <v>37</v>
      </c>
      <c r="KE35" s="13" t="s">
        <v>37</v>
      </c>
      <c r="KF35" s="13"/>
      <c r="KG35" s="13"/>
      <c r="KH35" s="32"/>
      <c r="KI35" s="12" t="s">
        <v>37</v>
      </c>
      <c r="KJ35" s="12" t="s">
        <v>37</v>
      </c>
      <c r="KK35" s="12" t="s">
        <v>37</v>
      </c>
      <c r="KL35" s="12" t="s">
        <v>37</v>
      </c>
      <c r="KM35" s="12" t="s">
        <v>37</v>
      </c>
      <c r="KN35" s="12" t="s">
        <v>37</v>
      </c>
      <c r="KO35" s="12"/>
      <c r="KP35" s="12"/>
      <c r="KQ35" s="12"/>
      <c r="KR35" s="12" t="str">
        <f t="shared" si="197"/>
        <v>0-10</v>
      </c>
      <c r="KS35" s="12">
        <f>AI35/JO35</f>
        <v>14.727272727272727</v>
      </c>
      <c r="KT35" s="12">
        <f>SQRT((1/JO35)^2*AJ35^2+AI35^2*(-1/JO35^2)^2*JP35^2)</f>
        <v>1.8544625751350396</v>
      </c>
      <c r="KU35" s="13">
        <f t="shared" si="198"/>
        <v>5</v>
      </c>
      <c r="KV35" s="19"/>
      <c r="KW35" s="13" t="str">
        <f>JS35</f>
        <v>/</v>
      </c>
      <c r="KX35" s="13" t="str">
        <f t="shared" si="199"/>
        <v>/</v>
      </c>
      <c r="KY35" s="13" t="str">
        <f t="shared" si="200"/>
        <v>/</v>
      </c>
      <c r="KZ35" s="19"/>
      <c r="LA35" s="19"/>
      <c r="LB35" s="19"/>
      <c r="LC35" s="12"/>
      <c r="LD35" s="12" t="s">
        <v>37</v>
      </c>
      <c r="LE35" s="12" t="s">
        <v>37</v>
      </c>
      <c r="LF35" s="12" t="s">
        <v>37</v>
      </c>
      <c r="LG35" s="19" t="s">
        <v>37</v>
      </c>
      <c r="LH35" s="19" t="s">
        <v>37</v>
      </c>
      <c r="LI35" s="12" t="s">
        <v>37</v>
      </c>
      <c r="LJ35" s="12"/>
      <c r="LK35" s="12"/>
      <c r="LL35" s="12"/>
      <c r="LM35" s="12" t="s">
        <v>37</v>
      </c>
      <c r="LN35" s="12" t="s">
        <v>37</v>
      </c>
      <c r="LO35" s="12" t="s">
        <v>37</v>
      </c>
      <c r="LP35" s="12" t="s">
        <v>37</v>
      </c>
      <c r="LQ35" s="12" t="s">
        <v>37</v>
      </c>
      <c r="LR35" s="12" t="s">
        <v>37</v>
      </c>
      <c r="LS35" s="12"/>
      <c r="LT35" s="12"/>
      <c r="LU35" s="12" t="s">
        <v>37</v>
      </c>
      <c r="LV35" s="12" t="s">
        <v>37</v>
      </c>
      <c r="LW35" s="13" t="s">
        <v>37</v>
      </c>
      <c r="LX35" s="12" t="s">
        <v>37</v>
      </c>
      <c r="LY35" s="12" t="s">
        <v>37</v>
      </c>
      <c r="LZ35" s="13" t="s">
        <v>37</v>
      </c>
      <c r="MA35" s="13"/>
      <c r="MB35" s="13"/>
      <c r="MC35" s="12"/>
      <c r="MD35" s="12"/>
      <c r="ME35" s="12" t="s">
        <v>37</v>
      </c>
      <c r="MF35" s="12" t="s">
        <v>37</v>
      </c>
      <c r="MG35" s="13" t="s">
        <v>37</v>
      </c>
      <c r="MH35" s="12" t="s">
        <v>37</v>
      </c>
      <c r="MI35" s="12" t="s">
        <v>37</v>
      </c>
      <c r="MJ35" s="13" t="s">
        <v>37</v>
      </c>
      <c r="MK35" s="13"/>
      <c r="ML35" s="13"/>
      <c r="MM35" s="12"/>
      <c r="MN35" s="12"/>
      <c r="MO35" s="12" t="s">
        <v>37</v>
      </c>
      <c r="MP35" s="12" t="s">
        <v>37</v>
      </c>
      <c r="MQ35" s="12" t="s">
        <v>37</v>
      </c>
      <c r="MR35" s="12" t="s">
        <v>37</v>
      </c>
      <c r="MS35" s="12" t="s">
        <v>37</v>
      </c>
      <c r="MT35" s="12" t="s">
        <v>37</v>
      </c>
      <c r="MU35" s="12"/>
      <c r="MV35" s="12"/>
      <c r="MW35" s="12"/>
      <c r="MX35" s="12"/>
      <c r="MY35" s="12" t="s">
        <v>37</v>
      </c>
      <c r="MZ35" s="12" t="s">
        <v>37</v>
      </c>
      <c r="NA35" s="12" t="s">
        <v>37</v>
      </c>
      <c r="NB35" s="12" t="s">
        <v>37</v>
      </c>
      <c r="NC35" s="12" t="s">
        <v>37</v>
      </c>
      <c r="ND35" s="12" t="s">
        <v>37</v>
      </c>
      <c r="NE35" s="12"/>
      <c r="NF35" s="12"/>
      <c r="NG35" s="12"/>
      <c r="NH35" s="12"/>
      <c r="NI35" s="12" t="s">
        <v>37</v>
      </c>
      <c r="NJ35" s="12" t="s">
        <v>37</v>
      </c>
      <c r="NK35" s="13" t="s">
        <v>37</v>
      </c>
      <c r="NL35" s="12" t="s">
        <v>37</v>
      </c>
      <c r="NM35" s="12" t="s">
        <v>37</v>
      </c>
      <c r="NN35" s="13" t="s">
        <v>37</v>
      </c>
      <c r="NO35" s="13"/>
      <c r="NP35" s="13"/>
      <c r="NQ35" s="12"/>
      <c r="NR35" s="12"/>
      <c r="NS35" s="11" t="s">
        <v>37</v>
      </c>
      <c r="NT35" s="11" t="s">
        <v>37</v>
      </c>
      <c r="NU35" s="13" t="s">
        <v>37</v>
      </c>
      <c r="NV35" s="11" t="s">
        <v>37</v>
      </c>
      <c r="NW35" s="11" t="s">
        <v>37</v>
      </c>
      <c r="NX35" s="13" t="s">
        <v>37</v>
      </c>
      <c r="NY35" s="13"/>
      <c r="NZ35" s="13"/>
      <c r="OA35" s="12"/>
      <c r="OB35" s="12"/>
      <c r="OC35" s="12" t="s">
        <v>37</v>
      </c>
      <c r="OD35" s="12" t="s">
        <v>37</v>
      </c>
      <c r="OE35" s="12" t="s">
        <v>37</v>
      </c>
      <c r="OF35" s="12" t="s">
        <v>37</v>
      </c>
      <c r="OG35" s="12" t="s">
        <v>37</v>
      </c>
      <c r="OH35" s="12" t="s">
        <v>37</v>
      </c>
      <c r="OI35" s="12"/>
      <c r="OJ35" s="12"/>
      <c r="OK35" s="12"/>
      <c r="OL35" s="12" t="s">
        <v>37</v>
      </c>
      <c r="OM35" s="12" t="s">
        <v>37</v>
      </c>
      <c r="ON35" s="11" t="s">
        <v>37</v>
      </c>
      <c r="OO35" s="12" t="s">
        <v>37</v>
      </c>
      <c r="OP35" s="12" t="s">
        <v>37</v>
      </c>
      <c r="OQ35" s="12" t="s">
        <v>37</v>
      </c>
      <c r="OR35" s="12"/>
      <c r="OS35" s="12" t="s">
        <v>37</v>
      </c>
      <c r="OT35" s="12" t="s">
        <v>37</v>
      </c>
      <c r="OU35" s="12" t="s">
        <v>37</v>
      </c>
      <c r="OV35" s="12" t="s">
        <v>37</v>
      </c>
      <c r="OW35" s="12" t="s">
        <v>37</v>
      </c>
      <c r="OX35" s="12" t="s">
        <v>37</v>
      </c>
      <c r="OY35" s="12"/>
      <c r="OZ35" s="12"/>
      <c r="PA35" s="12" t="s">
        <v>37</v>
      </c>
      <c r="PB35" s="12" t="s">
        <v>37</v>
      </c>
      <c r="PC35" s="12" t="s">
        <v>37</v>
      </c>
      <c r="PD35" s="12" t="s">
        <v>37</v>
      </c>
      <c r="PE35" s="12" t="s">
        <v>37</v>
      </c>
      <c r="PF35" s="12" t="s">
        <v>37</v>
      </c>
      <c r="PG35" s="12"/>
      <c r="PH35" s="12"/>
      <c r="PI35" s="12" t="s">
        <v>37</v>
      </c>
      <c r="PJ35" s="12" t="s">
        <v>37</v>
      </c>
      <c r="PK35" s="12" t="s">
        <v>37</v>
      </c>
      <c r="PL35" s="12" t="s">
        <v>37</v>
      </c>
      <c r="PM35" s="12" t="s">
        <v>37</v>
      </c>
      <c r="PN35" s="12" t="s">
        <v>37</v>
      </c>
      <c r="PO35" s="12"/>
      <c r="PP35" s="12"/>
      <c r="PQ35" s="12" t="s">
        <v>37</v>
      </c>
      <c r="PR35" s="12" t="s">
        <v>37</v>
      </c>
      <c r="PS35" s="12" t="s">
        <v>37</v>
      </c>
      <c r="PT35" s="12" t="s">
        <v>37</v>
      </c>
      <c r="PU35" s="12" t="s">
        <v>37</v>
      </c>
      <c r="PV35" s="12" t="s">
        <v>37</v>
      </c>
      <c r="PW35" s="12"/>
      <c r="PX35" s="12"/>
      <c r="PY35" s="12" t="s">
        <v>37</v>
      </c>
      <c r="PZ35" s="12" t="s">
        <v>37</v>
      </c>
      <c r="QA35" s="12" t="s">
        <v>37</v>
      </c>
      <c r="QB35" s="12" t="s">
        <v>37</v>
      </c>
      <c r="QC35" s="12" t="s">
        <v>37</v>
      </c>
      <c r="QD35" s="12" t="s">
        <v>37</v>
      </c>
      <c r="QE35" s="12"/>
      <c r="QF35" s="12"/>
      <c r="QG35" s="12" t="s">
        <v>37</v>
      </c>
      <c r="QH35" s="12" t="s">
        <v>37</v>
      </c>
      <c r="QI35" s="12" t="s">
        <v>37</v>
      </c>
      <c r="QJ35" s="12" t="s">
        <v>37</v>
      </c>
      <c r="QK35" s="12" t="s">
        <v>37</v>
      </c>
      <c r="QL35" s="12" t="s">
        <v>37</v>
      </c>
      <c r="QM35" s="12"/>
      <c r="QN35" s="12"/>
      <c r="QO35" s="12" t="s">
        <v>37</v>
      </c>
      <c r="QP35" s="12" t="s">
        <v>37</v>
      </c>
      <c r="QQ35" s="12" t="s">
        <v>37</v>
      </c>
      <c r="QR35" s="12" t="s">
        <v>37</v>
      </c>
      <c r="QS35" s="12" t="s">
        <v>37</v>
      </c>
      <c r="QT35" s="12" t="s">
        <v>37</v>
      </c>
      <c r="QU35" s="12"/>
      <c r="QV35" s="12"/>
      <c r="QW35" s="12" t="s">
        <v>127</v>
      </c>
      <c r="QX35" s="12" t="s">
        <v>345</v>
      </c>
      <c r="QY35" s="12">
        <v>220714.285714286</v>
      </c>
      <c r="QZ35" s="12">
        <v>22587.697572627832</v>
      </c>
      <c r="RA35" s="11">
        <v>10</v>
      </c>
      <c r="RB35" s="12">
        <v>197857.14285714299</v>
      </c>
      <c r="RC35" s="12">
        <v>36140.316116211892</v>
      </c>
      <c r="RD35" s="11">
        <v>10</v>
      </c>
      <c r="RE35" s="19">
        <f>LN(RB35/QY35)</f>
        <v>-0.10932377071040757</v>
      </c>
      <c r="RF35" s="19">
        <f>RC35^2/(RD35*RB35^2)+QZ35^2/(RA35*QY35^2)</f>
        <v>4.3837465699905556E-3</v>
      </c>
      <c r="RG35" s="12"/>
      <c r="RH35" s="12"/>
      <c r="RI35" s="12" t="s">
        <v>37</v>
      </c>
      <c r="RJ35" s="12" t="s">
        <v>37</v>
      </c>
      <c r="RK35" s="11" t="s">
        <v>37</v>
      </c>
      <c r="RL35" s="12" t="s">
        <v>37</v>
      </c>
      <c r="RM35" s="12" t="s">
        <v>37</v>
      </c>
      <c r="RN35" s="11" t="s">
        <v>37</v>
      </c>
      <c r="RO35" s="11"/>
      <c r="RP35" s="11"/>
      <c r="RQ35" s="12"/>
      <c r="RR35" s="12"/>
      <c r="RS35" s="12" t="s">
        <v>37</v>
      </c>
      <c r="RT35" s="12" t="s">
        <v>37</v>
      </c>
      <c r="RU35" s="11" t="s">
        <v>37</v>
      </c>
      <c r="RV35" s="12" t="s">
        <v>37</v>
      </c>
      <c r="RW35" s="12" t="s">
        <v>37</v>
      </c>
      <c r="RX35" s="11" t="s">
        <v>37</v>
      </c>
      <c r="RY35" s="11"/>
      <c r="RZ35" s="11"/>
      <c r="SA35" s="12" t="s">
        <v>127</v>
      </c>
      <c r="SB35" s="12" t="s">
        <v>345</v>
      </c>
      <c r="SC35" s="12">
        <v>2361290.32258065</v>
      </c>
      <c r="SD35" s="12">
        <v>90674.628248530149</v>
      </c>
      <c r="SE35" s="11">
        <v>10</v>
      </c>
      <c r="SF35" s="12">
        <v>2410035.8422939098</v>
      </c>
      <c r="SG35" s="12">
        <v>90674.628248530149</v>
      </c>
      <c r="SH35" s="11">
        <v>10</v>
      </c>
      <c r="SI35" s="19">
        <f>LN(SF35/SC35)</f>
        <v>2.0433403230974558E-2</v>
      </c>
      <c r="SJ35" s="19">
        <f>SG35^2/(SH35*SF35^2)+SD35^2/(SE35*SC35^2)</f>
        <v>2.8901430047585045E-4</v>
      </c>
      <c r="SK35" s="12"/>
      <c r="SL35" s="12"/>
      <c r="SM35" s="12" t="s">
        <v>37</v>
      </c>
      <c r="SN35" s="12" t="s">
        <v>37</v>
      </c>
      <c r="SO35" s="12" t="s">
        <v>37</v>
      </c>
      <c r="SP35" s="12" t="s">
        <v>37</v>
      </c>
      <c r="SQ35" s="12" t="s">
        <v>37</v>
      </c>
      <c r="SR35" s="12" t="s">
        <v>37</v>
      </c>
      <c r="SS35" s="12"/>
      <c r="ST35" s="12"/>
      <c r="SU35" s="12"/>
      <c r="SV35" s="12"/>
      <c r="SW35" s="12" t="s">
        <v>37</v>
      </c>
      <c r="SX35" s="12" t="s">
        <v>37</v>
      </c>
      <c r="SY35" s="12" t="s">
        <v>37</v>
      </c>
      <c r="SZ35" s="12" t="s">
        <v>37</v>
      </c>
      <c r="TA35" s="12" t="s">
        <v>37</v>
      </c>
      <c r="TB35" s="12" t="s">
        <v>37</v>
      </c>
      <c r="TC35" s="12"/>
      <c r="TD35" s="12"/>
      <c r="TE35" s="12" t="s">
        <v>127</v>
      </c>
      <c r="TF35" s="12" t="s">
        <v>345</v>
      </c>
      <c r="TG35" s="72">
        <v>775899.28057554003</v>
      </c>
      <c r="TH35" s="72">
        <v>50050.437786836221</v>
      </c>
      <c r="TI35" s="13">
        <v>10</v>
      </c>
      <c r="TJ35" s="72">
        <v>747841.72661870497</v>
      </c>
      <c r="TK35" s="72">
        <v>50050.437786836788</v>
      </c>
      <c r="TL35" s="13">
        <v>10</v>
      </c>
      <c r="TM35" s="19">
        <f>LN(TJ35/TG35)</f>
        <v>-3.6831358531144137E-2</v>
      </c>
      <c r="TN35" s="19">
        <f t="shared" ref="TN35" si="209">TK35^2/(TL35*TJ35^2)+TH35^2/(TI35*TG35^2)</f>
        <v>8.6402283106831311E-4</v>
      </c>
      <c r="TO35" s="12" t="s">
        <v>127</v>
      </c>
      <c r="TP35" s="12" t="s">
        <v>345</v>
      </c>
      <c r="TQ35" s="13">
        <v>79280.575539568294</v>
      </c>
      <c r="TR35" s="13">
        <v>5460.0477585642293</v>
      </c>
      <c r="TS35" s="13">
        <v>10</v>
      </c>
      <c r="TT35" s="19">
        <f>TR35/TQ35</f>
        <v>6.8869930892960826E-2</v>
      </c>
      <c r="TU35" s="13">
        <v>79580.575539568294</v>
      </c>
      <c r="TV35" s="13">
        <v>8190.0716378463076</v>
      </c>
      <c r="TW35" s="13">
        <v>10</v>
      </c>
      <c r="TX35" s="19">
        <f>TV35/TU35</f>
        <v>0.10291546124561664</v>
      </c>
      <c r="TY35" s="19">
        <f>LN(TU35/TQ35)</f>
        <v>3.7768876101429718E-3</v>
      </c>
      <c r="TZ35" s="19">
        <f>TV35^2/(TW35*TU35^2)+TR35^2/(TS35*TQ35^2)</f>
        <v>1.533465954459922E-3</v>
      </c>
    </row>
    <row r="36" spans="1:546" ht="15.6" x14ac:dyDescent="0.3">
      <c r="A36" s="11">
        <v>14</v>
      </c>
      <c r="B36" s="16" t="s">
        <v>311</v>
      </c>
      <c r="C36" s="12" t="s">
        <v>26</v>
      </c>
      <c r="D36" s="14" t="s">
        <v>609</v>
      </c>
      <c r="E36" s="14" t="s">
        <v>37</v>
      </c>
      <c r="F36" s="14">
        <v>0</v>
      </c>
      <c r="G36" s="14">
        <v>0</v>
      </c>
      <c r="H36" s="12" t="s">
        <v>82</v>
      </c>
      <c r="I36" s="29">
        <v>46.85</v>
      </c>
      <c r="J36" s="29">
        <v>-95.816999999999993</v>
      </c>
      <c r="K36" s="12" t="s">
        <v>813</v>
      </c>
      <c r="L36" s="12" t="s">
        <v>814</v>
      </c>
      <c r="M36" s="13" t="s">
        <v>37</v>
      </c>
      <c r="N36" s="13" t="s">
        <v>37</v>
      </c>
      <c r="O36" s="14">
        <v>705</v>
      </c>
      <c r="P36" s="14" t="s">
        <v>16</v>
      </c>
      <c r="Q36" s="11" t="s">
        <v>37</v>
      </c>
      <c r="R36" s="11" t="s">
        <v>37</v>
      </c>
      <c r="S36" s="12" t="s">
        <v>51</v>
      </c>
      <c r="T36" s="12" t="s">
        <v>37</v>
      </c>
      <c r="U36" s="12" t="s">
        <v>158</v>
      </c>
      <c r="V36" s="12" t="s">
        <v>275</v>
      </c>
      <c r="W36" s="23" t="s">
        <v>37</v>
      </c>
      <c r="X36" s="12" t="s">
        <v>37</v>
      </c>
      <c r="Y36" s="12" t="s">
        <v>37</v>
      </c>
      <c r="Z36" s="12" t="s">
        <v>37</v>
      </c>
      <c r="AA36" s="32" t="s">
        <v>382</v>
      </c>
      <c r="AB36" s="12" t="s">
        <v>37</v>
      </c>
      <c r="AC36" s="12" t="s">
        <v>37</v>
      </c>
      <c r="AD36" s="12" t="s">
        <v>37</v>
      </c>
      <c r="AE36" s="12" t="s">
        <v>74</v>
      </c>
      <c r="AF36" s="12" t="s">
        <v>489</v>
      </c>
      <c r="AG36" s="12" t="s">
        <v>42</v>
      </c>
      <c r="AH36" s="32" t="s">
        <v>327</v>
      </c>
      <c r="AI36" s="12">
        <f>468/1.724</f>
        <v>271.46171693735499</v>
      </c>
      <c r="AJ36" s="60">
        <f>AI36*AL$61</f>
        <v>9.87977654662531</v>
      </c>
      <c r="AK36" s="11">
        <v>3</v>
      </c>
      <c r="AL36" s="19"/>
      <c r="AM36" s="12" t="s">
        <v>37</v>
      </c>
      <c r="AN36" s="12" t="s">
        <v>37</v>
      </c>
      <c r="AO36" s="13" t="s">
        <v>37</v>
      </c>
      <c r="AP36" s="19"/>
      <c r="AQ36" s="49"/>
      <c r="AR36" s="49"/>
      <c r="AS36" s="32"/>
      <c r="AT36" s="12" t="s">
        <v>37</v>
      </c>
      <c r="AU36" s="12" t="s">
        <v>37</v>
      </c>
      <c r="AV36" s="12" t="s">
        <v>37</v>
      </c>
      <c r="AW36" s="12" t="s">
        <v>37</v>
      </c>
      <c r="AX36" s="12" t="s">
        <v>37</v>
      </c>
      <c r="AY36" s="12" t="s">
        <v>37</v>
      </c>
      <c r="AZ36" s="12"/>
      <c r="BA36" s="12"/>
      <c r="BB36" s="12"/>
      <c r="BC36" s="12" t="s">
        <v>37</v>
      </c>
      <c r="BD36" s="12" t="s">
        <v>37</v>
      </c>
      <c r="BE36" s="12" t="s">
        <v>37</v>
      </c>
      <c r="BF36" s="12" t="s">
        <v>37</v>
      </c>
      <c r="BG36" s="12" t="s">
        <v>37</v>
      </c>
      <c r="BH36" s="12" t="s">
        <v>37</v>
      </c>
      <c r="BI36" s="12"/>
      <c r="BJ36" s="12" t="s">
        <v>37</v>
      </c>
      <c r="BK36" s="12" t="s">
        <v>37</v>
      </c>
      <c r="BL36" s="13" t="s">
        <v>37</v>
      </c>
      <c r="BM36" s="12" t="s">
        <v>37</v>
      </c>
      <c r="BN36" s="12" t="s">
        <v>37</v>
      </c>
      <c r="BO36" s="13" t="s">
        <v>37</v>
      </c>
      <c r="BP36" s="19"/>
      <c r="BQ36" s="19"/>
      <c r="BR36" s="19"/>
      <c r="BS36" s="19"/>
      <c r="BT36" s="12"/>
      <c r="BU36" s="12" t="s">
        <v>37</v>
      </c>
      <c r="BV36" s="12" t="s">
        <v>37</v>
      </c>
      <c r="BW36" s="13" t="s">
        <v>37</v>
      </c>
      <c r="BX36" s="12" t="s">
        <v>37</v>
      </c>
      <c r="BY36" s="12" t="s">
        <v>37</v>
      </c>
      <c r="BZ36" s="13" t="s">
        <v>37</v>
      </c>
      <c r="CA36" s="19"/>
      <c r="CB36" s="19"/>
      <c r="CC36" s="19"/>
      <c r="CD36" s="19"/>
      <c r="CE36" s="12"/>
      <c r="CF36" s="12" t="s">
        <v>37</v>
      </c>
      <c r="CG36" s="12" t="s">
        <v>37</v>
      </c>
      <c r="CH36" s="13" t="s">
        <v>37</v>
      </c>
      <c r="CI36" s="12" t="s">
        <v>37</v>
      </c>
      <c r="CJ36" s="12" t="s">
        <v>37</v>
      </c>
      <c r="CK36" s="13" t="s">
        <v>37</v>
      </c>
      <c r="CL36" s="19"/>
      <c r="CM36" s="19"/>
      <c r="CN36" s="19"/>
      <c r="CO36" s="19"/>
      <c r="CP36" s="11" t="s">
        <v>34</v>
      </c>
      <c r="CQ36" s="29">
        <f>0.190909090909091*16/12/24</f>
        <v>1.0606060606060612E-2</v>
      </c>
      <c r="CR36" s="19">
        <f>0.0487869376909045*16/12/24</f>
        <v>2.7103854272724722E-3</v>
      </c>
      <c r="CS36" s="13">
        <v>3</v>
      </c>
      <c r="CT36" s="52">
        <f t="shared" si="190"/>
        <v>0.2555506259999758</v>
      </c>
      <c r="CU36" s="29">
        <f>0.0460227272727273*16/12/24</f>
        <v>2.5568181818181831E-3</v>
      </c>
      <c r="CV36" s="19">
        <f>0.0201348116578196*16/12/24</f>
        <v>1.1186006476566444E-3</v>
      </c>
      <c r="CW36" s="13">
        <v>3</v>
      </c>
      <c r="CX36" s="52">
        <f t="shared" si="191"/>
        <v>0.43749714219459851</v>
      </c>
      <c r="CY36" s="68">
        <f t="shared" si="192"/>
        <v>-8.0492424242424292E-3</v>
      </c>
      <c r="CZ36" s="12">
        <f t="shared" si="193"/>
        <v>2.0733374753412488E-3</v>
      </c>
      <c r="DA36" s="72">
        <f t="shared" si="194"/>
        <v>2.8658188577696153E-6</v>
      </c>
      <c r="DB36" s="72">
        <f t="shared" si="195"/>
        <v>2.8658188577696153E-6</v>
      </c>
      <c r="DC36" s="15" t="s">
        <v>34</v>
      </c>
      <c r="DD36" s="29">
        <f>1.1241134751773*44/28/24</f>
        <v>7.360266801756131E-2</v>
      </c>
      <c r="DE36" s="68">
        <f>0.335233005459335*44/28/24</f>
        <v>2.1949780119361221E-2</v>
      </c>
      <c r="DF36" s="13">
        <v>3</v>
      </c>
      <c r="DG36" s="52">
        <f t="shared" si="203"/>
        <v>0.29821989760105011</v>
      </c>
      <c r="DH36" s="29">
        <f>2.13829787234043*44/28/24</f>
        <v>0.1400075987841948</v>
      </c>
      <c r="DI36" s="68">
        <f>0.635121463456447*44/28/24</f>
        <v>4.1585333916791173E-2</v>
      </c>
      <c r="DJ36" s="13">
        <v>3</v>
      </c>
      <c r="DK36" s="52">
        <f t="shared" si="204"/>
        <v>0.29702197793485524</v>
      </c>
      <c r="DL36" s="68">
        <f t="shared" si="205"/>
        <v>6.6404930766633494E-2</v>
      </c>
      <c r="DM36" s="12">
        <f t="shared" si="206"/>
        <v>3.3250058979341128E-2</v>
      </c>
      <c r="DN36" s="87">
        <f t="shared" si="207"/>
        <v>7.3704428141977579E-4</v>
      </c>
      <c r="DO36" s="87">
        <f t="shared" si="208"/>
        <v>7.3704428141977579E-4</v>
      </c>
      <c r="DP36" s="12" t="s">
        <v>39</v>
      </c>
      <c r="DQ36" s="12">
        <v>-75</v>
      </c>
      <c r="DR36" s="60">
        <f t="shared" si="177"/>
        <v>30.3</v>
      </c>
      <c r="DS36" s="13">
        <v>3</v>
      </c>
      <c r="DT36" s="19"/>
      <c r="DU36" s="12">
        <v>-150</v>
      </c>
      <c r="DV36" s="60">
        <f t="shared" si="178"/>
        <v>51.841914370561831</v>
      </c>
      <c r="DW36" s="13">
        <v>3</v>
      </c>
      <c r="DX36" s="19"/>
      <c r="DY36" s="19">
        <f t="shared" si="162"/>
        <v>-75</v>
      </c>
      <c r="DZ36" s="12">
        <f t="shared" si="163"/>
        <v>42.459828577166121</v>
      </c>
      <c r="EA36" s="72">
        <f t="shared" si="164"/>
        <v>1201.8913618682218</v>
      </c>
      <c r="EB36" s="72">
        <f t="shared" si="165"/>
        <v>1201.8913618682218</v>
      </c>
      <c r="EC36" s="12" t="s">
        <v>132</v>
      </c>
      <c r="ED36" s="12" t="s">
        <v>345</v>
      </c>
      <c r="EE36" s="12">
        <v>152</v>
      </c>
      <c r="EF36" s="12">
        <v>17.899999999999999</v>
      </c>
      <c r="EG36" s="11">
        <v>3</v>
      </c>
      <c r="EH36" s="19">
        <f t="shared" ref="EH36:EH37" si="210">EF36/EE36</f>
        <v>0.11776315789473683</v>
      </c>
      <c r="EI36" s="12">
        <v>187</v>
      </c>
      <c r="EJ36" s="20">
        <v>11.7</v>
      </c>
      <c r="EK36" s="11">
        <v>3</v>
      </c>
      <c r="EL36" s="19">
        <f t="shared" ref="EL36:EL37" si="211">EJ36/EI36</f>
        <v>6.2566844919786091E-2</v>
      </c>
      <c r="EM36" s="19">
        <f t="shared" ref="EM36:EM37" si="212">EI36-EE36</f>
        <v>35</v>
      </c>
      <c r="EN36" s="12">
        <f t="shared" ref="EN36:EN37" si="213">SQRT(((EG36-1)*EF36^2+(EK36-1)*EJ36^2)/(EG36+EK36-2))</f>
        <v>15.121177202850312</v>
      </c>
      <c r="EO36" s="72">
        <f t="shared" ref="EO36:EO37" si="214">(((EG36+EK36)/(EG36*EK36))*(((EG36-1)*EF36^2)+(EK36-1)*EJ36^2)/(EG36+EK36-2))</f>
        <v>152.43333333333331</v>
      </c>
      <c r="EP36" s="72">
        <f t="shared" ref="EP36:EP37" si="215">(EF36^2/EG36)+(EJ36^2/EK36)</f>
        <v>152.43333333333334</v>
      </c>
      <c r="EQ36" s="32"/>
      <c r="ER36" s="12" t="s">
        <v>37</v>
      </c>
      <c r="ES36" s="12" t="s">
        <v>37</v>
      </c>
      <c r="ET36" s="11" t="s">
        <v>37</v>
      </c>
      <c r="EU36" s="19"/>
      <c r="EV36" s="13" t="s">
        <v>37</v>
      </c>
      <c r="EW36" s="11" t="s">
        <v>37</v>
      </c>
      <c r="EX36" s="11" t="s">
        <v>37</v>
      </c>
      <c r="EY36" s="19"/>
      <c r="EZ36" s="19"/>
      <c r="FA36" s="19"/>
      <c r="FB36" s="19"/>
      <c r="FC36" s="32"/>
      <c r="FD36" s="12" t="s">
        <v>37</v>
      </c>
      <c r="FE36" s="12" t="s">
        <v>37</v>
      </c>
      <c r="FF36" s="11" t="s">
        <v>37</v>
      </c>
      <c r="FG36" s="13" t="s">
        <v>37</v>
      </c>
      <c r="FH36" s="11" t="s">
        <v>37</v>
      </c>
      <c r="FI36" s="11" t="s">
        <v>37</v>
      </c>
      <c r="FJ36" s="19"/>
      <c r="FK36" s="19"/>
      <c r="FL36" s="19"/>
      <c r="FM36" s="32"/>
      <c r="FN36" s="12" t="s">
        <v>37</v>
      </c>
      <c r="FO36" s="12" t="s">
        <v>37</v>
      </c>
      <c r="FP36" s="11" t="s">
        <v>37</v>
      </c>
      <c r="FQ36" s="13" t="s">
        <v>37</v>
      </c>
      <c r="FR36" s="11" t="s">
        <v>37</v>
      </c>
      <c r="FS36" s="11" t="s">
        <v>37</v>
      </c>
      <c r="FT36" s="19"/>
      <c r="FU36" s="19"/>
      <c r="FV36" s="19"/>
      <c r="FW36" s="12"/>
      <c r="FX36" s="12"/>
      <c r="FY36" s="12" t="s">
        <v>37</v>
      </c>
      <c r="FZ36" s="12" t="s">
        <v>37</v>
      </c>
      <c r="GA36" s="13" t="s">
        <v>37</v>
      </c>
      <c r="GB36" s="12" t="s">
        <v>37</v>
      </c>
      <c r="GC36" s="12" t="s">
        <v>37</v>
      </c>
      <c r="GD36" s="13" t="s">
        <v>37</v>
      </c>
      <c r="GE36" s="19"/>
      <c r="GF36" s="19"/>
      <c r="GG36" s="12"/>
      <c r="GH36" s="12"/>
      <c r="GI36" s="12" t="s">
        <v>37</v>
      </c>
      <c r="GJ36" s="12" t="s">
        <v>37</v>
      </c>
      <c r="GK36" s="12" t="s">
        <v>37</v>
      </c>
      <c r="GL36" s="19"/>
      <c r="GM36" s="12" t="s">
        <v>37</v>
      </c>
      <c r="GN36" s="12" t="s">
        <v>37</v>
      </c>
      <c r="GO36" s="12" t="s">
        <v>37</v>
      </c>
      <c r="GP36" s="19"/>
      <c r="GQ36" s="19"/>
      <c r="GR36" s="19"/>
      <c r="GS36" s="17" t="s">
        <v>63</v>
      </c>
      <c r="GT36" s="34" t="s">
        <v>327</v>
      </c>
      <c r="GU36" s="12">
        <v>0.24</v>
      </c>
      <c r="GV36" s="12" t="s">
        <v>37</v>
      </c>
      <c r="GW36" s="12" t="s">
        <v>37</v>
      </c>
      <c r="GX36" s="19"/>
      <c r="GY36" s="12" t="s">
        <v>37</v>
      </c>
      <c r="GZ36" s="12" t="s">
        <v>37</v>
      </c>
      <c r="HA36" s="12" t="s">
        <v>37</v>
      </c>
      <c r="HB36" s="19"/>
      <c r="HC36" s="19"/>
      <c r="HD36" s="19"/>
      <c r="HE36" s="34"/>
      <c r="HF36" s="12" t="s">
        <v>37</v>
      </c>
      <c r="HG36" s="12" t="s">
        <v>37</v>
      </c>
      <c r="HH36" s="13" t="s">
        <v>37</v>
      </c>
      <c r="HI36" s="12" t="s">
        <v>37</v>
      </c>
      <c r="HJ36" s="12" t="s">
        <v>37</v>
      </c>
      <c r="HK36" s="13" t="s">
        <v>37</v>
      </c>
      <c r="HL36" s="13"/>
      <c r="HM36" s="13"/>
      <c r="HN36" s="34"/>
      <c r="HO36" s="12" t="s">
        <v>37</v>
      </c>
      <c r="HP36" s="12" t="s">
        <v>37</v>
      </c>
      <c r="HQ36" s="13" t="s">
        <v>37</v>
      </c>
      <c r="HR36" s="12" t="s">
        <v>37</v>
      </c>
      <c r="HS36" s="12" t="s">
        <v>37</v>
      </c>
      <c r="HT36" s="13" t="s">
        <v>37</v>
      </c>
      <c r="HU36" s="13"/>
      <c r="HV36" s="13"/>
      <c r="HW36" s="12"/>
      <c r="HX36" s="12"/>
      <c r="HY36" s="12" t="s">
        <v>37</v>
      </c>
      <c r="HZ36" s="12" t="s">
        <v>37</v>
      </c>
      <c r="IA36" s="12" t="s">
        <v>37</v>
      </c>
      <c r="IB36" s="12" t="s">
        <v>37</v>
      </c>
      <c r="IC36" s="12" t="s">
        <v>37</v>
      </c>
      <c r="ID36" s="12" t="s">
        <v>37</v>
      </c>
      <c r="IE36" s="12"/>
      <c r="IF36" s="32" t="s">
        <v>327</v>
      </c>
      <c r="IG36" s="12">
        <v>7.04</v>
      </c>
      <c r="IH36" s="12">
        <v>1.34</v>
      </c>
      <c r="II36" s="13">
        <v>3</v>
      </c>
      <c r="IJ36" s="19">
        <f t="shared" ref="IJ36:IJ37" si="216">IH36/IG36</f>
        <v>0.19034090909090909</v>
      </c>
      <c r="IK36" s="12">
        <v>6.85</v>
      </c>
      <c r="IL36" s="12">
        <v>0.21</v>
      </c>
      <c r="IM36" s="13">
        <v>3</v>
      </c>
      <c r="IN36" s="19">
        <f t="shared" ref="IN36:IN37" si="217">IL36/IK36</f>
        <v>3.0656934306569343E-2</v>
      </c>
      <c r="IO36" s="19">
        <f t="shared" ref="IO36" si="218">LN(IK36/IG36)</f>
        <v>-2.7359517895817215E-2</v>
      </c>
      <c r="IP36" s="19">
        <f>IL36^2/(IM36*IK36^2)+IH36^2/(II36*IG36^2)</f>
        <v>1.2389836431543679E-2</v>
      </c>
      <c r="IQ36" s="32"/>
      <c r="IR36" s="12" t="s">
        <v>37</v>
      </c>
      <c r="IS36" s="12" t="s">
        <v>37</v>
      </c>
      <c r="IT36" s="13" t="s">
        <v>37</v>
      </c>
      <c r="IU36" s="12" t="s">
        <v>37</v>
      </c>
      <c r="IV36" s="12" t="s">
        <v>37</v>
      </c>
      <c r="IW36" s="12" t="s">
        <v>37</v>
      </c>
      <c r="IX36" s="32"/>
      <c r="IY36" s="12" t="s">
        <v>37</v>
      </c>
      <c r="IZ36" s="12" t="s">
        <v>37</v>
      </c>
      <c r="JA36" s="13" t="s">
        <v>37</v>
      </c>
      <c r="JB36" s="12" t="s">
        <v>37</v>
      </c>
      <c r="JC36" s="12" t="s">
        <v>37</v>
      </c>
      <c r="JD36" s="12" t="s">
        <v>37</v>
      </c>
      <c r="JE36" s="12"/>
      <c r="JF36" s="12"/>
      <c r="JG36" s="12" t="s">
        <v>37</v>
      </c>
      <c r="JH36" s="12" t="s">
        <v>37</v>
      </c>
      <c r="JI36" s="13" t="s">
        <v>37</v>
      </c>
      <c r="JJ36" s="12" t="s">
        <v>37</v>
      </c>
      <c r="JK36" s="12" t="s">
        <v>37</v>
      </c>
      <c r="JL36" s="12" t="s">
        <v>37</v>
      </c>
      <c r="JM36" s="12"/>
      <c r="JN36" s="32"/>
      <c r="JO36" s="12" t="s">
        <v>37</v>
      </c>
      <c r="JP36" s="12" t="s">
        <v>37</v>
      </c>
      <c r="JQ36" s="11" t="s">
        <v>37</v>
      </c>
      <c r="JR36" s="19"/>
      <c r="JS36" s="12" t="s">
        <v>37</v>
      </c>
      <c r="JT36" s="12" t="s">
        <v>37</v>
      </c>
      <c r="JU36" s="12" t="s">
        <v>37</v>
      </c>
      <c r="JV36" s="19"/>
      <c r="JW36" s="19"/>
      <c r="JX36" s="19"/>
      <c r="JY36" s="32"/>
      <c r="JZ36" s="12" t="s">
        <v>37</v>
      </c>
      <c r="KA36" s="12" t="s">
        <v>37</v>
      </c>
      <c r="KB36" s="13" t="s">
        <v>37</v>
      </c>
      <c r="KC36" s="12" t="s">
        <v>37</v>
      </c>
      <c r="KD36" s="12" t="s">
        <v>37</v>
      </c>
      <c r="KE36" s="13" t="s">
        <v>37</v>
      </c>
      <c r="KF36" s="13"/>
      <c r="KG36" s="13"/>
      <c r="KH36" s="32"/>
      <c r="KI36" s="12" t="s">
        <v>37</v>
      </c>
      <c r="KJ36" s="12" t="s">
        <v>37</v>
      </c>
      <c r="KK36" s="12" t="s">
        <v>37</v>
      </c>
      <c r="KL36" s="12" t="s">
        <v>37</v>
      </c>
      <c r="KM36" s="12" t="s">
        <v>37</v>
      </c>
      <c r="KN36" s="12" t="s">
        <v>37</v>
      </c>
      <c r="KO36" s="12"/>
      <c r="KP36" s="12"/>
      <c r="KQ36" s="12"/>
      <c r="KR36" s="12"/>
      <c r="KS36" s="12" t="s">
        <v>37</v>
      </c>
      <c r="KT36" s="12" t="s">
        <v>37</v>
      </c>
      <c r="KU36" s="12" t="s">
        <v>37</v>
      </c>
      <c r="KV36" s="19"/>
      <c r="KW36" s="12" t="s">
        <v>37</v>
      </c>
      <c r="KX36" s="12" t="s">
        <v>37</v>
      </c>
      <c r="KY36" s="12" t="s">
        <v>37</v>
      </c>
      <c r="KZ36" s="19"/>
      <c r="LA36" s="19"/>
      <c r="LB36" s="19"/>
      <c r="LC36" s="12"/>
      <c r="LD36" s="12" t="s">
        <v>37</v>
      </c>
      <c r="LE36" s="12" t="s">
        <v>37</v>
      </c>
      <c r="LF36" s="12" t="s">
        <v>37</v>
      </c>
      <c r="LG36" s="19" t="s">
        <v>37</v>
      </c>
      <c r="LH36" s="19" t="s">
        <v>37</v>
      </c>
      <c r="LI36" s="12" t="s">
        <v>37</v>
      </c>
      <c r="LJ36" s="12"/>
      <c r="LK36" s="12"/>
      <c r="LL36" s="12"/>
      <c r="LM36" s="12" t="s">
        <v>37</v>
      </c>
      <c r="LN36" s="12" t="s">
        <v>37</v>
      </c>
      <c r="LO36" s="12" t="s">
        <v>37</v>
      </c>
      <c r="LP36" s="12" t="s">
        <v>37</v>
      </c>
      <c r="LQ36" s="12" t="s">
        <v>37</v>
      </c>
      <c r="LR36" s="12" t="s">
        <v>37</v>
      </c>
      <c r="LS36" s="12"/>
      <c r="LT36" s="12"/>
      <c r="LU36" s="12" t="s">
        <v>37</v>
      </c>
      <c r="LV36" s="12" t="s">
        <v>37</v>
      </c>
      <c r="LW36" s="13" t="s">
        <v>37</v>
      </c>
      <c r="LX36" s="12" t="s">
        <v>37</v>
      </c>
      <c r="LY36" s="12" t="s">
        <v>37</v>
      </c>
      <c r="LZ36" s="13" t="s">
        <v>37</v>
      </c>
      <c r="MA36" s="13"/>
      <c r="MB36" s="13"/>
      <c r="MC36" s="12"/>
      <c r="MD36" s="12"/>
      <c r="ME36" s="12" t="s">
        <v>37</v>
      </c>
      <c r="MF36" s="12" t="s">
        <v>37</v>
      </c>
      <c r="MG36" s="13" t="s">
        <v>37</v>
      </c>
      <c r="MH36" s="12" t="s">
        <v>37</v>
      </c>
      <c r="MI36" s="12" t="s">
        <v>37</v>
      </c>
      <c r="MJ36" s="13" t="s">
        <v>37</v>
      </c>
      <c r="MK36" s="13"/>
      <c r="ML36" s="13"/>
      <c r="MM36" s="12"/>
      <c r="MN36" s="12"/>
      <c r="MO36" s="12" t="s">
        <v>37</v>
      </c>
      <c r="MP36" s="12" t="s">
        <v>37</v>
      </c>
      <c r="MQ36" s="12" t="s">
        <v>37</v>
      </c>
      <c r="MR36" s="12" t="s">
        <v>37</v>
      </c>
      <c r="MS36" s="12" t="s">
        <v>37</v>
      </c>
      <c r="MT36" s="12" t="s">
        <v>37</v>
      </c>
      <c r="MU36" s="12"/>
      <c r="MV36" s="12"/>
      <c r="MW36" s="12"/>
      <c r="MX36" s="12"/>
      <c r="MY36" s="12" t="s">
        <v>37</v>
      </c>
      <c r="MZ36" s="12" t="s">
        <v>37</v>
      </c>
      <c r="NA36" s="12" t="s">
        <v>37</v>
      </c>
      <c r="NB36" s="12" t="s">
        <v>37</v>
      </c>
      <c r="NC36" s="12" t="s">
        <v>37</v>
      </c>
      <c r="ND36" s="12" t="s">
        <v>37</v>
      </c>
      <c r="NE36" s="12"/>
      <c r="NF36" s="12"/>
      <c r="NG36" s="12" t="s">
        <v>554</v>
      </c>
      <c r="NH36" s="12" t="s">
        <v>327</v>
      </c>
      <c r="NI36" s="12">
        <v>23.4</v>
      </c>
      <c r="NJ36" s="12">
        <v>5.98</v>
      </c>
      <c r="NK36" s="13">
        <v>3</v>
      </c>
      <c r="NL36" s="12">
        <v>24.3</v>
      </c>
      <c r="NM36" s="12">
        <v>9.76</v>
      </c>
      <c r="NN36" s="13">
        <v>3</v>
      </c>
      <c r="NO36" s="19">
        <f t="shared" ref="NO36:NO37" si="219">LN(NL36/NI36)</f>
        <v>3.7740327982847113E-2</v>
      </c>
      <c r="NP36" s="19">
        <f t="shared" ref="NP36:NP37" si="220">NM36^2/(NN36*NL36^2)+NJ36^2/(NK36*NI36^2)</f>
        <v>7.5542741339113845E-2</v>
      </c>
      <c r="NQ36" s="12"/>
      <c r="NR36" s="12"/>
      <c r="NS36" s="11" t="s">
        <v>37</v>
      </c>
      <c r="NT36" s="11" t="s">
        <v>37</v>
      </c>
      <c r="NU36" s="13" t="s">
        <v>37</v>
      </c>
      <c r="NV36" s="11" t="s">
        <v>37</v>
      </c>
      <c r="NW36" s="11" t="s">
        <v>37</v>
      </c>
      <c r="NX36" s="13" t="s">
        <v>37</v>
      </c>
      <c r="NY36" s="13"/>
      <c r="NZ36" s="13"/>
      <c r="OA36" s="12"/>
      <c r="OB36" s="12"/>
      <c r="OC36" s="12" t="s">
        <v>37</v>
      </c>
      <c r="OD36" s="12" t="s">
        <v>37</v>
      </c>
      <c r="OE36" s="12" t="s">
        <v>37</v>
      </c>
      <c r="OF36" s="12" t="s">
        <v>37</v>
      </c>
      <c r="OG36" s="12" t="s">
        <v>37</v>
      </c>
      <c r="OH36" s="12" t="s">
        <v>37</v>
      </c>
      <c r="OI36" s="12"/>
      <c r="OJ36" s="12"/>
      <c r="OK36" s="12"/>
      <c r="OL36" s="12" t="s">
        <v>37</v>
      </c>
      <c r="OM36" s="12" t="s">
        <v>37</v>
      </c>
      <c r="ON36" s="11" t="s">
        <v>37</v>
      </c>
      <c r="OO36" s="12" t="s">
        <v>37</v>
      </c>
      <c r="OP36" s="12" t="s">
        <v>37</v>
      </c>
      <c r="OQ36" s="12" t="s">
        <v>37</v>
      </c>
      <c r="OR36" s="12"/>
      <c r="OS36" s="12" t="s">
        <v>37</v>
      </c>
      <c r="OT36" s="12" t="s">
        <v>37</v>
      </c>
      <c r="OU36" s="12" t="s">
        <v>37</v>
      </c>
      <c r="OV36" s="12" t="s">
        <v>37</v>
      </c>
      <c r="OW36" s="12" t="s">
        <v>37</v>
      </c>
      <c r="OX36" s="12" t="s">
        <v>37</v>
      </c>
      <c r="OY36" s="12"/>
      <c r="OZ36" s="12"/>
      <c r="PA36" s="12" t="s">
        <v>37</v>
      </c>
      <c r="PB36" s="12" t="s">
        <v>37</v>
      </c>
      <c r="PC36" s="12" t="s">
        <v>37</v>
      </c>
      <c r="PD36" s="12" t="s">
        <v>37</v>
      </c>
      <c r="PE36" s="12" t="s">
        <v>37</v>
      </c>
      <c r="PF36" s="12" t="s">
        <v>37</v>
      </c>
      <c r="PG36" s="12"/>
      <c r="PH36" s="12"/>
      <c r="PI36" s="12" t="s">
        <v>37</v>
      </c>
      <c r="PJ36" s="12" t="s">
        <v>37</v>
      </c>
      <c r="PK36" s="12" t="s">
        <v>37</v>
      </c>
      <c r="PL36" s="12" t="s">
        <v>37</v>
      </c>
      <c r="PM36" s="12" t="s">
        <v>37</v>
      </c>
      <c r="PN36" s="12" t="s">
        <v>37</v>
      </c>
      <c r="PO36" s="12"/>
      <c r="PP36" s="12"/>
      <c r="PQ36" s="12" t="s">
        <v>37</v>
      </c>
      <c r="PR36" s="12" t="s">
        <v>37</v>
      </c>
      <c r="PS36" s="12" t="s">
        <v>37</v>
      </c>
      <c r="PT36" s="12" t="s">
        <v>37</v>
      </c>
      <c r="PU36" s="12" t="s">
        <v>37</v>
      </c>
      <c r="PV36" s="12" t="s">
        <v>37</v>
      </c>
      <c r="PW36" s="12"/>
      <c r="PX36" s="12"/>
      <c r="PY36" s="12" t="s">
        <v>37</v>
      </c>
      <c r="PZ36" s="12" t="s">
        <v>37</v>
      </c>
      <c r="QA36" s="12" t="s">
        <v>37</v>
      </c>
      <c r="QB36" s="12" t="s">
        <v>37</v>
      </c>
      <c r="QC36" s="12" t="s">
        <v>37</v>
      </c>
      <c r="QD36" s="12" t="s">
        <v>37</v>
      </c>
      <c r="QE36" s="12"/>
      <c r="QF36" s="12"/>
      <c r="QG36" s="12" t="s">
        <v>37</v>
      </c>
      <c r="QH36" s="12" t="s">
        <v>37</v>
      </c>
      <c r="QI36" s="12" t="s">
        <v>37</v>
      </c>
      <c r="QJ36" s="12" t="s">
        <v>37</v>
      </c>
      <c r="QK36" s="12" t="s">
        <v>37</v>
      </c>
      <c r="QL36" s="12" t="s">
        <v>37</v>
      </c>
      <c r="QM36" s="12" t="s">
        <v>42</v>
      </c>
      <c r="QN36" s="12" t="s">
        <v>327</v>
      </c>
      <c r="QO36" s="12">
        <v>0.96</v>
      </c>
      <c r="QP36" s="12" t="s">
        <v>37</v>
      </c>
      <c r="QQ36" s="12" t="s">
        <v>37</v>
      </c>
      <c r="QR36" s="12" t="s">
        <v>37</v>
      </c>
      <c r="QS36" s="12" t="s">
        <v>37</v>
      </c>
      <c r="QT36" s="12" t="s">
        <v>37</v>
      </c>
      <c r="QU36" s="12"/>
      <c r="QV36" s="12"/>
      <c r="QW36" s="12"/>
      <c r="QX36" s="12"/>
      <c r="QY36" s="12" t="s">
        <v>37</v>
      </c>
      <c r="QZ36" s="12" t="s">
        <v>37</v>
      </c>
      <c r="RA36" s="12" t="s">
        <v>37</v>
      </c>
      <c r="RB36" s="12" t="s">
        <v>37</v>
      </c>
      <c r="RC36" s="12" t="s">
        <v>37</v>
      </c>
      <c r="RD36" s="12" t="s">
        <v>37</v>
      </c>
      <c r="RE36" s="12"/>
      <c r="RF36" s="12"/>
      <c r="RG36" s="12"/>
      <c r="RH36" s="12"/>
      <c r="RI36" s="12" t="s">
        <v>37</v>
      </c>
      <c r="RJ36" s="12" t="s">
        <v>37</v>
      </c>
      <c r="RK36" s="11" t="s">
        <v>37</v>
      </c>
      <c r="RL36" s="12" t="s">
        <v>37</v>
      </c>
      <c r="RM36" s="12" t="s">
        <v>37</v>
      </c>
      <c r="RN36" s="11" t="s">
        <v>37</v>
      </c>
      <c r="RO36" s="11"/>
      <c r="RP36" s="11"/>
      <c r="RQ36" s="12"/>
      <c r="RR36" s="12"/>
      <c r="RS36" s="12" t="s">
        <v>37</v>
      </c>
      <c r="RT36" s="12" t="s">
        <v>37</v>
      </c>
      <c r="RU36" s="11" t="s">
        <v>37</v>
      </c>
      <c r="RV36" s="12" t="s">
        <v>37</v>
      </c>
      <c r="RW36" s="12" t="s">
        <v>37</v>
      </c>
      <c r="RX36" s="11" t="s">
        <v>37</v>
      </c>
      <c r="RY36" s="11"/>
      <c r="RZ36" s="11"/>
      <c r="SA36" s="12"/>
      <c r="SB36" s="12"/>
      <c r="SC36" s="12" t="s">
        <v>37</v>
      </c>
      <c r="SD36" s="12" t="s">
        <v>37</v>
      </c>
      <c r="SE36" s="12" t="s">
        <v>37</v>
      </c>
      <c r="SF36" s="12" t="s">
        <v>37</v>
      </c>
      <c r="SG36" s="12" t="s">
        <v>37</v>
      </c>
      <c r="SH36" s="12" t="s">
        <v>37</v>
      </c>
      <c r="SI36" s="12"/>
      <c r="SJ36" s="12"/>
      <c r="SK36" s="12"/>
      <c r="SL36" s="12"/>
      <c r="SM36" s="12" t="s">
        <v>37</v>
      </c>
      <c r="SN36" s="12" t="s">
        <v>37</v>
      </c>
      <c r="SO36" s="12" t="s">
        <v>37</v>
      </c>
      <c r="SP36" s="12" t="s">
        <v>37</v>
      </c>
      <c r="SQ36" s="12" t="s">
        <v>37</v>
      </c>
      <c r="SR36" s="12" t="s">
        <v>37</v>
      </c>
      <c r="SS36" s="12"/>
      <c r="ST36" s="12"/>
      <c r="SU36" s="12"/>
      <c r="SV36" s="12"/>
      <c r="SW36" s="12" t="s">
        <v>37</v>
      </c>
      <c r="SX36" s="12" t="s">
        <v>37</v>
      </c>
      <c r="SY36" s="12" t="s">
        <v>37</v>
      </c>
      <c r="SZ36" s="12" t="s">
        <v>37</v>
      </c>
      <c r="TA36" s="12" t="s">
        <v>37</v>
      </c>
      <c r="TB36" s="12" t="s">
        <v>37</v>
      </c>
      <c r="TC36" s="12"/>
      <c r="TD36" s="12"/>
      <c r="TE36" s="12"/>
      <c r="TF36" s="12"/>
      <c r="TG36" s="13" t="s">
        <v>37</v>
      </c>
      <c r="TH36" s="13" t="s">
        <v>37</v>
      </c>
      <c r="TI36" s="13" t="s">
        <v>37</v>
      </c>
      <c r="TJ36" s="13" t="s">
        <v>37</v>
      </c>
      <c r="TK36" s="13" t="s">
        <v>37</v>
      </c>
      <c r="TL36" s="13" t="s">
        <v>37</v>
      </c>
      <c r="TM36" s="13"/>
      <c r="TN36" s="13"/>
      <c r="TO36" s="12"/>
      <c r="TP36" s="12"/>
      <c r="TQ36" s="13" t="s">
        <v>37</v>
      </c>
      <c r="TR36" s="13" t="s">
        <v>37</v>
      </c>
      <c r="TS36" s="13" t="s">
        <v>37</v>
      </c>
      <c r="TT36" s="19"/>
      <c r="TU36" s="13" t="s">
        <v>37</v>
      </c>
      <c r="TV36" s="13" t="s">
        <v>37</v>
      </c>
      <c r="TW36" s="13" t="s">
        <v>37</v>
      </c>
    </row>
    <row r="37" spans="1:546" ht="15.6" x14ac:dyDescent="0.3">
      <c r="A37" s="11">
        <v>14</v>
      </c>
      <c r="B37" s="16" t="s">
        <v>311</v>
      </c>
      <c r="C37" s="12" t="s">
        <v>26</v>
      </c>
      <c r="D37" s="14" t="s">
        <v>609</v>
      </c>
      <c r="E37" s="14" t="s">
        <v>37</v>
      </c>
      <c r="F37" s="14">
        <v>0</v>
      </c>
      <c r="G37" s="14">
        <v>0</v>
      </c>
      <c r="H37" s="12" t="s">
        <v>82</v>
      </c>
      <c r="I37" s="29">
        <v>46.85</v>
      </c>
      <c r="J37" s="29">
        <v>-95.816999999999993</v>
      </c>
      <c r="K37" s="12" t="s">
        <v>813</v>
      </c>
      <c r="L37" s="12" t="s">
        <v>814</v>
      </c>
      <c r="M37" s="13" t="s">
        <v>37</v>
      </c>
      <c r="N37" s="13" t="s">
        <v>37</v>
      </c>
      <c r="O37" s="14">
        <v>705</v>
      </c>
      <c r="P37" s="14" t="s">
        <v>16</v>
      </c>
      <c r="Q37" s="11" t="s">
        <v>37</v>
      </c>
      <c r="R37" s="11" t="s">
        <v>37</v>
      </c>
      <c r="S37" s="12" t="s">
        <v>51</v>
      </c>
      <c r="T37" s="12" t="s">
        <v>37</v>
      </c>
      <c r="U37" s="12" t="s">
        <v>158</v>
      </c>
      <c r="V37" s="12" t="s">
        <v>275</v>
      </c>
      <c r="W37" s="23" t="s">
        <v>37</v>
      </c>
      <c r="X37" s="12" t="s">
        <v>37</v>
      </c>
      <c r="Y37" s="12" t="s">
        <v>37</v>
      </c>
      <c r="Z37" s="12" t="s">
        <v>37</v>
      </c>
      <c r="AA37" s="32" t="s">
        <v>382</v>
      </c>
      <c r="AB37" s="12" t="s">
        <v>37</v>
      </c>
      <c r="AC37" s="12" t="s">
        <v>37</v>
      </c>
      <c r="AD37" s="12" t="s">
        <v>37</v>
      </c>
      <c r="AE37" s="12" t="s">
        <v>74</v>
      </c>
      <c r="AF37" s="12" t="s">
        <v>489</v>
      </c>
      <c r="AG37" s="12" t="s">
        <v>42</v>
      </c>
      <c r="AH37" s="32" t="s">
        <v>327</v>
      </c>
      <c r="AI37" s="12">
        <f>238/1.724</f>
        <v>138.05104408352668</v>
      </c>
      <c r="AJ37" s="60">
        <f t="shared" si="201"/>
        <v>5.0243308078991955</v>
      </c>
      <c r="AK37" s="11">
        <v>3</v>
      </c>
      <c r="AL37" s="19"/>
      <c r="AM37" s="12" t="s">
        <v>37</v>
      </c>
      <c r="AN37" s="12" t="s">
        <v>37</v>
      </c>
      <c r="AO37" s="13" t="s">
        <v>37</v>
      </c>
      <c r="AP37" s="19"/>
      <c r="AQ37" s="49"/>
      <c r="AR37" s="49"/>
      <c r="AS37" s="32"/>
      <c r="AT37" s="12" t="s">
        <v>37</v>
      </c>
      <c r="AU37" s="12" t="s">
        <v>37</v>
      </c>
      <c r="AV37" s="12" t="s">
        <v>37</v>
      </c>
      <c r="AW37" s="12" t="s">
        <v>37</v>
      </c>
      <c r="AX37" s="12" t="s">
        <v>37</v>
      </c>
      <c r="AY37" s="12" t="s">
        <v>37</v>
      </c>
      <c r="AZ37" s="12"/>
      <c r="BA37" s="12"/>
      <c r="BB37" s="12"/>
      <c r="BC37" s="12" t="s">
        <v>37</v>
      </c>
      <c r="BD37" s="12" t="s">
        <v>37</v>
      </c>
      <c r="BE37" s="12" t="s">
        <v>37</v>
      </c>
      <c r="BF37" s="12" t="s">
        <v>37</v>
      </c>
      <c r="BG37" s="12" t="s">
        <v>37</v>
      </c>
      <c r="BH37" s="12" t="s">
        <v>37</v>
      </c>
      <c r="BI37" s="12"/>
      <c r="BJ37" s="12" t="s">
        <v>37</v>
      </c>
      <c r="BK37" s="12" t="s">
        <v>37</v>
      </c>
      <c r="BL37" s="13" t="s">
        <v>37</v>
      </c>
      <c r="BM37" s="12" t="s">
        <v>37</v>
      </c>
      <c r="BN37" s="12" t="s">
        <v>37</v>
      </c>
      <c r="BO37" s="13" t="s">
        <v>37</v>
      </c>
      <c r="BP37" s="19"/>
      <c r="BQ37" s="19"/>
      <c r="BR37" s="19"/>
      <c r="BS37" s="19"/>
      <c r="BT37" s="12"/>
      <c r="BU37" s="12" t="s">
        <v>37</v>
      </c>
      <c r="BV37" s="12" t="s">
        <v>37</v>
      </c>
      <c r="BW37" s="13" t="s">
        <v>37</v>
      </c>
      <c r="BX37" s="12" t="s">
        <v>37</v>
      </c>
      <c r="BY37" s="12" t="s">
        <v>37</v>
      </c>
      <c r="BZ37" s="13" t="s">
        <v>37</v>
      </c>
      <c r="CA37" s="19"/>
      <c r="CB37" s="19"/>
      <c r="CC37" s="19"/>
      <c r="CD37" s="19"/>
      <c r="CE37" s="12"/>
      <c r="CF37" s="12" t="s">
        <v>37</v>
      </c>
      <c r="CG37" s="12" t="s">
        <v>37</v>
      </c>
      <c r="CH37" s="13" t="s">
        <v>37</v>
      </c>
      <c r="CI37" s="12" t="s">
        <v>37</v>
      </c>
      <c r="CJ37" s="12" t="s">
        <v>37</v>
      </c>
      <c r="CK37" s="13" t="s">
        <v>37</v>
      </c>
      <c r="CL37" s="19"/>
      <c r="CM37" s="19"/>
      <c r="CN37" s="19"/>
      <c r="CO37" s="19"/>
      <c r="CP37" s="11" t="s">
        <v>34</v>
      </c>
      <c r="CQ37" s="29">
        <f>0.0644095788604458*16/12/24</f>
        <v>3.5783099366914328E-3</v>
      </c>
      <c r="CR37" s="19">
        <f>0.0295126345250321*16/12/24</f>
        <v>1.6395908069462277E-3</v>
      </c>
      <c r="CS37" s="13">
        <v>3</v>
      </c>
      <c r="CT37" s="52">
        <f t="shared" si="190"/>
        <v>0.45820256935658898</v>
      </c>
      <c r="CU37" s="29">
        <f>0.023121387283237*16/12/24</f>
        <v>1.2845215157353889E-3</v>
      </c>
      <c r="CV37" s="19">
        <f>0.0149247913148648*16/12/24</f>
        <v>8.2915507304804443E-4</v>
      </c>
      <c r="CW37" s="13">
        <v>3</v>
      </c>
      <c r="CX37" s="52">
        <f t="shared" si="191"/>
        <v>0.64549722436790247</v>
      </c>
      <c r="CY37" s="68">
        <f t="shared" si="192"/>
        <v>-2.2937884209560441E-3</v>
      </c>
      <c r="CZ37" s="12">
        <f t="shared" si="193"/>
        <v>1.2991836185435625E-3</v>
      </c>
      <c r="DA37" s="72">
        <f t="shared" si="194"/>
        <v>1.1252520497946301E-6</v>
      </c>
      <c r="DB37" s="72">
        <f t="shared" si="195"/>
        <v>1.1252520497946301E-6</v>
      </c>
      <c r="DC37" s="15" t="s">
        <v>34</v>
      </c>
      <c r="DD37" s="29">
        <f>4.27018633540373*44/28/24</f>
        <v>0.27959553386572045</v>
      </c>
      <c r="DE37" s="68">
        <f>2.69114804841722*44/28/24</f>
        <v>0.17620612221779416</v>
      </c>
      <c r="DF37" s="13">
        <v>3</v>
      </c>
      <c r="DG37" s="52">
        <f t="shared" si="203"/>
        <v>0.63021794297479572</v>
      </c>
      <c r="DH37" s="29">
        <f>4.23913043478261*44/28/24</f>
        <v>0.27756211180124229</v>
      </c>
      <c r="DI37" s="68">
        <f>1.78542170615994*44/28/24</f>
        <v>0.11690261171285321</v>
      </c>
      <c r="DJ37" s="13">
        <v>3</v>
      </c>
      <c r="DK37" s="52">
        <f t="shared" si="204"/>
        <v>0.42117640247875499</v>
      </c>
      <c r="DL37" s="68">
        <f t="shared" si="205"/>
        <v>-2.033422064478152E-3</v>
      </c>
      <c r="DM37" s="12">
        <f t="shared" si="206"/>
        <v>0.14952394144804762</v>
      </c>
      <c r="DN37" s="87">
        <f t="shared" si="207"/>
        <v>1.4904939377439447E-2</v>
      </c>
      <c r="DO37" s="87">
        <f t="shared" si="208"/>
        <v>1.4904939377439447E-2</v>
      </c>
      <c r="DP37" s="12" t="s">
        <v>39</v>
      </c>
      <c r="DQ37" s="12">
        <v>-75</v>
      </c>
      <c r="DR37" s="60">
        <f t="shared" si="177"/>
        <v>30.3</v>
      </c>
      <c r="DS37" s="13">
        <v>3</v>
      </c>
      <c r="DT37" s="19"/>
      <c r="DU37" s="12">
        <v>-150</v>
      </c>
      <c r="DV37" s="60">
        <f t="shared" si="178"/>
        <v>51.841914370561831</v>
      </c>
      <c r="DW37" s="13">
        <v>3</v>
      </c>
      <c r="DX37" s="19"/>
      <c r="DY37" s="19">
        <f t="shared" si="162"/>
        <v>-75</v>
      </c>
      <c r="DZ37" s="12">
        <f t="shared" si="163"/>
        <v>42.459828577166121</v>
      </c>
      <c r="EA37" s="72">
        <f t="shared" si="164"/>
        <v>1201.8913618682218</v>
      </c>
      <c r="EB37" s="72">
        <f t="shared" si="165"/>
        <v>1201.8913618682218</v>
      </c>
      <c r="EC37" s="12" t="s">
        <v>132</v>
      </c>
      <c r="ED37" s="12" t="s">
        <v>345</v>
      </c>
      <c r="EE37" s="12">
        <v>271</v>
      </c>
      <c r="EF37" s="12">
        <v>63.9</v>
      </c>
      <c r="EG37" s="11">
        <v>3</v>
      </c>
      <c r="EH37" s="19">
        <f t="shared" si="210"/>
        <v>0.23579335793357933</v>
      </c>
      <c r="EI37" s="12">
        <v>202</v>
      </c>
      <c r="EJ37" s="20">
        <v>7.34</v>
      </c>
      <c r="EK37" s="11">
        <v>3</v>
      </c>
      <c r="EL37" s="19">
        <f t="shared" si="211"/>
        <v>3.6336633663366334E-2</v>
      </c>
      <c r="EM37" s="19">
        <f t="shared" si="212"/>
        <v>-69</v>
      </c>
      <c r="EN37" s="12">
        <f t="shared" si="213"/>
        <v>45.481235691216661</v>
      </c>
      <c r="EO37" s="72">
        <f t="shared" si="214"/>
        <v>1379.0285333333334</v>
      </c>
      <c r="EP37" s="72">
        <f t="shared" si="215"/>
        <v>1379.0285333333334</v>
      </c>
      <c r="EQ37" s="32"/>
      <c r="ER37" s="12" t="s">
        <v>37</v>
      </c>
      <c r="ES37" s="12" t="s">
        <v>37</v>
      </c>
      <c r="ET37" s="11" t="s">
        <v>37</v>
      </c>
      <c r="EU37" s="19"/>
      <c r="EV37" s="13" t="s">
        <v>37</v>
      </c>
      <c r="EW37" s="11" t="s">
        <v>37</v>
      </c>
      <c r="EX37" s="11" t="s">
        <v>37</v>
      </c>
      <c r="EY37" s="19"/>
      <c r="EZ37" s="19"/>
      <c r="FA37" s="19"/>
      <c r="FB37" s="19"/>
      <c r="FC37" s="32"/>
      <c r="FD37" s="12" t="s">
        <v>37</v>
      </c>
      <c r="FE37" s="12" t="s">
        <v>37</v>
      </c>
      <c r="FF37" s="11" t="s">
        <v>37</v>
      </c>
      <c r="FG37" s="13" t="s">
        <v>37</v>
      </c>
      <c r="FH37" s="11" t="s">
        <v>37</v>
      </c>
      <c r="FI37" s="11" t="s">
        <v>37</v>
      </c>
      <c r="FJ37" s="19"/>
      <c r="FK37" s="19"/>
      <c r="FL37" s="19"/>
      <c r="FM37" s="32"/>
      <c r="FN37" s="12" t="s">
        <v>37</v>
      </c>
      <c r="FO37" s="12" t="s">
        <v>37</v>
      </c>
      <c r="FP37" s="11" t="s">
        <v>37</v>
      </c>
      <c r="FQ37" s="13" t="s">
        <v>37</v>
      </c>
      <c r="FR37" s="11" t="s">
        <v>37</v>
      </c>
      <c r="FS37" s="11" t="s">
        <v>37</v>
      </c>
      <c r="FT37" s="19"/>
      <c r="FU37" s="19"/>
      <c r="FV37" s="19"/>
      <c r="FW37" s="12"/>
      <c r="FX37" s="12"/>
      <c r="FY37" s="12" t="s">
        <v>37</v>
      </c>
      <c r="FZ37" s="12" t="s">
        <v>37</v>
      </c>
      <c r="GA37" s="13" t="s">
        <v>37</v>
      </c>
      <c r="GB37" s="12" t="s">
        <v>37</v>
      </c>
      <c r="GC37" s="12" t="s">
        <v>37</v>
      </c>
      <c r="GD37" s="13" t="s">
        <v>37</v>
      </c>
      <c r="GE37" s="19"/>
      <c r="GF37" s="19"/>
      <c r="GG37" s="12"/>
      <c r="GH37" s="12"/>
      <c r="GI37" s="12" t="s">
        <v>37</v>
      </c>
      <c r="GJ37" s="12" t="s">
        <v>37</v>
      </c>
      <c r="GK37" s="12" t="s">
        <v>37</v>
      </c>
      <c r="GL37" s="19"/>
      <c r="GM37" s="12" t="s">
        <v>37</v>
      </c>
      <c r="GN37" s="12" t="s">
        <v>37</v>
      </c>
      <c r="GO37" s="12" t="s">
        <v>37</v>
      </c>
      <c r="GP37" s="19"/>
      <c r="GQ37" s="19"/>
      <c r="GR37" s="19"/>
      <c r="GS37" s="17" t="s">
        <v>63</v>
      </c>
      <c r="GT37" s="34" t="s">
        <v>327</v>
      </c>
      <c r="GU37" s="12">
        <v>0.66</v>
      </c>
      <c r="GV37" s="12" t="s">
        <v>37</v>
      </c>
      <c r="GW37" s="12" t="s">
        <v>37</v>
      </c>
      <c r="GX37" s="19"/>
      <c r="GY37" s="12" t="s">
        <v>37</v>
      </c>
      <c r="GZ37" s="12" t="s">
        <v>37</v>
      </c>
      <c r="HA37" s="12" t="s">
        <v>37</v>
      </c>
      <c r="HB37" s="19"/>
      <c r="HC37" s="19"/>
      <c r="HD37" s="19"/>
      <c r="HE37" s="34"/>
      <c r="HF37" s="12" t="s">
        <v>37</v>
      </c>
      <c r="HG37" s="12" t="s">
        <v>37</v>
      </c>
      <c r="HH37" s="13" t="s">
        <v>37</v>
      </c>
      <c r="HI37" s="12" t="s">
        <v>37</v>
      </c>
      <c r="HJ37" s="12" t="s">
        <v>37</v>
      </c>
      <c r="HK37" s="13" t="s">
        <v>37</v>
      </c>
      <c r="HL37" s="13"/>
      <c r="HM37" s="13"/>
      <c r="HN37" s="34"/>
      <c r="HO37" s="12" t="s">
        <v>37</v>
      </c>
      <c r="HP37" s="12" t="s">
        <v>37</v>
      </c>
      <c r="HQ37" s="13" t="s">
        <v>37</v>
      </c>
      <c r="HR37" s="12" t="s">
        <v>37</v>
      </c>
      <c r="HS37" s="12" t="s">
        <v>37</v>
      </c>
      <c r="HT37" s="13" t="s">
        <v>37</v>
      </c>
      <c r="HU37" s="13"/>
      <c r="HV37" s="13"/>
      <c r="HW37" s="12"/>
      <c r="HX37" s="12"/>
      <c r="HY37" s="12" t="s">
        <v>37</v>
      </c>
      <c r="HZ37" s="12" t="s">
        <v>37</v>
      </c>
      <c r="IA37" s="12" t="s">
        <v>37</v>
      </c>
      <c r="IB37" s="12" t="s">
        <v>37</v>
      </c>
      <c r="IC37" s="12" t="s">
        <v>37</v>
      </c>
      <c r="ID37" s="12" t="s">
        <v>37</v>
      </c>
      <c r="IE37" s="12"/>
      <c r="IF37" s="32" t="s">
        <v>327</v>
      </c>
      <c r="IG37" s="12">
        <v>7.33</v>
      </c>
      <c r="IH37" s="12">
        <v>0.17</v>
      </c>
      <c r="II37" s="13">
        <v>3</v>
      </c>
      <c r="IJ37" s="19">
        <f t="shared" si="216"/>
        <v>2.319236016371078E-2</v>
      </c>
      <c r="IK37" s="12">
        <v>7.23</v>
      </c>
      <c r="IL37" s="12">
        <v>0.13</v>
      </c>
      <c r="IM37" s="13">
        <v>3</v>
      </c>
      <c r="IN37" s="19">
        <f t="shared" si="217"/>
        <v>1.7980636237897647E-2</v>
      </c>
      <c r="IO37" s="19">
        <f t="shared" ref="IO37" si="221">LN(IK37/IG37)</f>
        <v>-1.3736479727886726E-2</v>
      </c>
      <c r="IP37" s="19">
        <f>IL37^2/(IM37*IK37^2)+IH37^2/(II37*IG37^2)</f>
        <v>2.8706294982762561E-4</v>
      </c>
      <c r="IQ37" s="32"/>
      <c r="IR37" s="12" t="s">
        <v>37</v>
      </c>
      <c r="IS37" s="12" t="s">
        <v>37</v>
      </c>
      <c r="IT37" s="13" t="s">
        <v>37</v>
      </c>
      <c r="IU37" s="12" t="s">
        <v>37</v>
      </c>
      <c r="IV37" s="12" t="s">
        <v>37</v>
      </c>
      <c r="IW37" s="12" t="s">
        <v>37</v>
      </c>
      <c r="IX37" s="32"/>
      <c r="IY37" s="12" t="s">
        <v>37</v>
      </c>
      <c r="IZ37" s="12" t="s">
        <v>37</v>
      </c>
      <c r="JA37" s="13" t="s">
        <v>37</v>
      </c>
      <c r="JB37" s="12" t="s">
        <v>37</v>
      </c>
      <c r="JC37" s="12" t="s">
        <v>37</v>
      </c>
      <c r="JD37" s="12" t="s">
        <v>37</v>
      </c>
      <c r="JE37" s="12"/>
      <c r="JF37" s="12"/>
      <c r="JG37" s="12" t="s">
        <v>37</v>
      </c>
      <c r="JH37" s="12" t="s">
        <v>37</v>
      </c>
      <c r="JI37" s="13" t="s">
        <v>37</v>
      </c>
      <c r="JJ37" s="12" t="s">
        <v>37</v>
      </c>
      <c r="JK37" s="12" t="s">
        <v>37</v>
      </c>
      <c r="JL37" s="12" t="s">
        <v>37</v>
      </c>
      <c r="JM37" s="12"/>
      <c r="JN37" s="32"/>
      <c r="JO37" s="12" t="s">
        <v>37</v>
      </c>
      <c r="JP37" s="12" t="s">
        <v>37</v>
      </c>
      <c r="JQ37" s="11" t="s">
        <v>37</v>
      </c>
      <c r="JR37" s="19"/>
      <c r="JS37" s="12" t="s">
        <v>37</v>
      </c>
      <c r="JT37" s="12" t="s">
        <v>37</v>
      </c>
      <c r="JU37" s="12" t="s">
        <v>37</v>
      </c>
      <c r="JV37" s="19"/>
      <c r="JW37" s="19"/>
      <c r="JX37" s="19"/>
      <c r="JY37" s="32"/>
      <c r="JZ37" s="12" t="s">
        <v>37</v>
      </c>
      <c r="KA37" s="12" t="s">
        <v>37</v>
      </c>
      <c r="KB37" s="13" t="s">
        <v>37</v>
      </c>
      <c r="KC37" s="12" t="s">
        <v>37</v>
      </c>
      <c r="KD37" s="12" t="s">
        <v>37</v>
      </c>
      <c r="KE37" s="13" t="s">
        <v>37</v>
      </c>
      <c r="KF37" s="13"/>
      <c r="KG37" s="13"/>
      <c r="KH37" s="32"/>
      <c r="KI37" s="12" t="s">
        <v>37</v>
      </c>
      <c r="KJ37" s="12" t="s">
        <v>37</v>
      </c>
      <c r="KK37" s="12" t="s">
        <v>37</v>
      </c>
      <c r="KL37" s="12" t="s">
        <v>37</v>
      </c>
      <c r="KM37" s="12" t="s">
        <v>37</v>
      </c>
      <c r="KN37" s="12" t="s">
        <v>37</v>
      </c>
      <c r="KO37" s="12"/>
      <c r="KP37" s="12"/>
      <c r="KQ37" s="12"/>
      <c r="KR37" s="12"/>
      <c r="KS37" s="12" t="s">
        <v>37</v>
      </c>
      <c r="KT37" s="12" t="s">
        <v>37</v>
      </c>
      <c r="KU37" s="12" t="s">
        <v>37</v>
      </c>
      <c r="KV37" s="19"/>
      <c r="KW37" s="12" t="s">
        <v>37</v>
      </c>
      <c r="KX37" s="12" t="s">
        <v>37</v>
      </c>
      <c r="KY37" s="12" t="s">
        <v>37</v>
      </c>
      <c r="KZ37" s="19"/>
      <c r="LA37" s="19"/>
      <c r="LB37" s="19"/>
      <c r="LC37" s="12"/>
      <c r="LD37" s="12" t="s">
        <v>37</v>
      </c>
      <c r="LE37" s="12" t="s">
        <v>37</v>
      </c>
      <c r="LF37" s="12" t="s">
        <v>37</v>
      </c>
      <c r="LG37" s="19" t="s">
        <v>37</v>
      </c>
      <c r="LH37" s="19" t="s">
        <v>37</v>
      </c>
      <c r="LI37" s="12" t="s">
        <v>37</v>
      </c>
      <c r="LJ37" s="12"/>
      <c r="LK37" s="12"/>
      <c r="LL37" s="12"/>
      <c r="LM37" s="12" t="s">
        <v>37</v>
      </c>
      <c r="LN37" s="12" t="s">
        <v>37</v>
      </c>
      <c r="LO37" s="12" t="s">
        <v>37</v>
      </c>
      <c r="LP37" s="12" t="s">
        <v>37</v>
      </c>
      <c r="LQ37" s="12" t="s">
        <v>37</v>
      </c>
      <c r="LR37" s="12" t="s">
        <v>37</v>
      </c>
      <c r="LS37" s="12"/>
      <c r="LT37" s="12"/>
      <c r="LU37" s="12" t="s">
        <v>37</v>
      </c>
      <c r="LV37" s="12" t="s">
        <v>37</v>
      </c>
      <c r="LW37" s="13" t="s">
        <v>37</v>
      </c>
      <c r="LX37" s="12" t="s">
        <v>37</v>
      </c>
      <c r="LY37" s="12" t="s">
        <v>37</v>
      </c>
      <c r="LZ37" s="13" t="s">
        <v>37</v>
      </c>
      <c r="MA37" s="13"/>
      <c r="MB37" s="13"/>
      <c r="MC37" s="12"/>
      <c r="MD37" s="12"/>
      <c r="ME37" s="12" t="s">
        <v>37</v>
      </c>
      <c r="MF37" s="12" t="s">
        <v>37</v>
      </c>
      <c r="MG37" s="13" t="s">
        <v>37</v>
      </c>
      <c r="MH37" s="12" t="s">
        <v>37</v>
      </c>
      <c r="MI37" s="12" t="s">
        <v>37</v>
      </c>
      <c r="MJ37" s="13" t="s">
        <v>37</v>
      </c>
      <c r="MK37" s="13"/>
      <c r="ML37" s="13"/>
      <c r="MM37" s="12"/>
      <c r="MN37" s="12"/>
      <c r="MO37" s="12" t="s">
        <v>37</v>
      </c>
      <c r="MP37" s="12" t="s">
        <v>37</v>
      </c>
      <c r="MQ37" s="12" t="s">
        <v>37</v>
      </c>
      <c r="MR37" s="12" t="s">
        <v>37</v>
      </c>
      <c r="MS37" s="12" t="s">
        <v>37</v>
      </c>
      <c r="MT37" s="12" t="s">
        <v>37</v>
      </c>
      <c r="MU37" s="12"/>
      <c r="MV37" s="12"/>
      <c r="MW37" s="12"/>
      <c r="MX37" s="12"/>
      <c r="MY37" s="12" t="s">
        <v>37</v>
      </c>
      <c r="MZ37" s="12" t="s">
        <v>37</v>
      </c>
      <c r="NA37" s="12" t="s">
        <v>37</v>
      </c>
      <c r="NB37" s="12" t="s">
        <v>37</v>
      </c>
      <c r="NC37" s="12" t="s">
        <v>37</v>
      </c>
      <c r="ND37" s="12" t="s">
        <v>37</v>
      </c>
      <c r="NE37" s="12"/>
      <c r="NF37" s="12"/>
      <c r="NG37" s="12" t="s">
        <v>554</v>
      </c>
      <c r="NH37" s="12" t="s">
        <v>327</v>
      </c>
      <c r="NI37" s="12">
        <v>24.3</v>
      </c>
      <c r="NJ37" s="12">
        <v>21.1</v>
      </c>
      <c r="NK37" s="13">
        <v>3</v>
      </c>
      <c r="NL37" s="12">
        <v>9.64</v>
      </c>
      <c r="NM37" s="12">
        <v>3.92</v>
      </c>
      <c r="NN37" s="13">
        <v>3</v>
      </c>
      <c r="NO37" s="19">
        <f t="shared" si="219"/>
        <v>-0.92455524172404857</v>
      </c>
      <c r="NP37" s="19">
        <f t="shared" si="220"/>
        <v>0.3064407746715741</v>
      </c>
      <c r="NQ37" s="12"/>
      <c r="NR37" s="12"/>
      <c r="NS37" s="11" t="s">
        <v>37</v>
      </c>
      <c r="NT37" s="11" t="s">
        <v>37</v>
      </c>
      <c r="NU37" s="13" t="s">
        <v>37</v>
      </c>
      <c r="NV37" s="11" t="s">
        <v>37</v>
      </c>
      <c r="NW37" s="11" t="s">
        <v>37</v>
      </c>
      <c r="NX37" s="13" t="s">
        <v>37</v>
      </c>
      <c r="NY37" s="13"/>
      <c r="NZ37" s="13"/>
      <c r="OA37" s="12"/>
      <c r="OB37" s="12"/>
      <c r="OC37" s="12" t="s">
        <v>37</v>
      </c>
      <c r="OD37" s="12" t="s">
        <v>37</v>
      </c>
      <c r="OE37" s="12" t="s">
        <v>37</v>
      </c>
      <c r="OF37" s="12" t="s">
        <v>37</v>
      </c>
      <c r="OG37" s="12" t="s">
        <v>37</v>
      </c>
      <c r="OH37" s="12" t="s">
        <v>37</v>
      </c>
      <c r="OI37" s="12"/>
      <c r="OJ37" s="12"/>
      <c r="OK37" s="12"/>
      <c r="OL37" s="12" t="s">
        <v>37</v>
      </c>
      <c r="OM37" s="12" t="s">
        <v>37</v>
      </c>
      <c r="ON37" s="11" t="s">
        <v>37</v>
      </c>
      <c r="OO37" s="12" t="s">
        <v>37</v>
      </c>
      <c r="OP37" s="12" t="s">
        <v>37</v>
      </c>
      <c r="OQ37" s="12" t="s">
        <v>37</v>
      </c>
      <c r="OR37" s="12"/>
      <c r="OS37" s="12" t="s">
        <v>37</v>
      </c>
      <c r="OT37" s="12" t="s">
        <v>37</v>
      </c>
      <c r="OU37" s="12" t="s">
        <v>37</v>
      </c>
      <c r="OV37" s="12" t="s">
        <v>37</v>
      </c>
      <c r="OW37" s="12" t="s">
        <v>37</v>
      </c>
      <c r="OX37" s="12" t="s">
        <v>37</v>
      </c>
      <c r="OY37" s="12"/>
      <c r="OZ37" s="12"/>
      <c r="PA37" s="12" t="s">
        <v>37</v>
      </c>
      <c r="PB37" s="12" t="s">
        <v>37</v>
      </c>
      <c r="PC37" s="12" t="s">
        <v>37</v>
      </c>
      <c r="PD37" s="12" t="s">
        <v>37</v>
      </c>
      <c r="PE37" s="12" t="s">
        <v>37</v>
      </c>
      <c r="PF37" s="12" t="s">
        <v>37</v>
      </c>
      <c r="PG37" s="12"/>
      <c r="PH37" s="12"/>
      <c r="PI37" s="12" t="s">
        <v>37</v>
      </c>
      <c r="PJ37" s="12" t="s">
        <v>37</v>
      </c>
      <c r="PK37" s="12" t="s">
        <v>37</v>
      </c>
      <c r="PL37" s="12" t="s">
        <v>37</v>
      </c>
      <c r="PM37" s="12" t="s">
        <v>37</v>
      </c>
      <c r="PN37" s="12" t="s">
        <v>37</v>
      </c>
      <c r="PO37" s="12"/>
      <c r="PP37" s="12"/>
      <c r="PQ37" s="12" t="s">
        <v>37</v>
      </c>
      <c r="PR37" s="12" t="s">
        <v>37</v>
      </c>
      <c r="PS37" s="12" t="s">
        <v>37</v>
      </c>
      <c r="PT37" s="12" t="s">
        <v>37</v>
      </c>
      <c r="PU37" s="12" t="s">
        <v>37</v>
      </c>
      <c r="PV37" s="12" t="s">
        <v>37</v>
      </c>
      <c r="PW37" s="12"/>
      <c r="PX37" s="12"/>
      <c r="PY37" s="12" t="s">
        <v>37</v>
      </c>
      <c r="PZ37" s="12" t="s">
        <v>37</v>
      </c>
      <c r="QA37" s="12" t="s">
        <v>37</v>
      </c>
      <c r="QB37" s="12" t="s">
        <v>37</v>
      </c>
      <c r="QC37" s="12" t="s">
        <v>37</v>
      </c>
      <c r="QD37" s="12" t="s">
        <v>37</v>
      </c>
      <c r="QE37" s="12"/>
      <c r="QF37" s="12"/>
      <c r="QG37" s="12" t="s">
        <v>37</v>
      </c>
      <c r="QH37" s="12" t="s">
        <v>37</v>
      </c>
      <c r="QI37" s="12" t="s">
        <v>37</v>
      </c>
      <c r="QJ37" s="12" t="s">
        <v>37</v>
      </c>
      <c r="QK37" s="12" t="s">
        <v>37</v>
      </c>
      <c r="QL37" s="12" t="s">
        <v>37</v>
      </c>
      <c r="QM37" s="12" t="s">
        <v>42</v>
      </c>
      <c r="QN37" s="12" t="s">
        <v>327</v>
      </c>
      <c r="QO37" s="12">
        <v>0.36</v>
      </c>
      <c r="QP37" s="12" t="s">
        <v>37</v>
      </c>
      <c r="QQ37" s="12" t="s">
        <v>37</v>
      </c>
      <c r="QR37" s="12" t="s">
        <v>37</v>
      </c>
      <c r="QS37" s="12" t="s">
        <v>37</v>
      </c>
      <c r="QT37" s="12" t="s">
        <v>37</v>
      </c>
      <c r="QU37" s="12"/>
      <c r="QV37" s="12"/>
      <c r="QW37" s="12"/>
      <c r="QX37" s="12"/>
      <c r="QY37" s="12" t="s">
        <v>37</v>
      </c>
      <c r="QZ37" s="12" t="s">
        <v>37</v>
      </c>
      <c r="RA37" s="12" t="s">
        <v>37</v>
      </c>
      <c r="RB37" s="12" t="s">
        <v>37</v>
      </c>
      <c r="RC37" s="12" t="s">
        <v>37</v>
      </c>
      <c r="RD37" s="12" t="s">
        <v>37</v>
      </c>
      <c r="RE37" s="12"/>
      <c r="RF37" s="12"/>
      <c r="RG37" s="12"/>
      <c r="RH37" s="12"/>
      <c r="RI37" s="12" t="s">
        <v>37</v>
      </c>
      <c r="RJ37" s="12" t="s">
        <v>37</v>
      </c>
      <c r="RK37" s="11" t="s">
        <v>37</v>
      </c>
      <c r="RL37" s="12" t="s">
        <v>37</v>
      </c>
      <c r="RM37" s="12" t="s">
        <v>37</v>
      </c>
      <c r="RN37" s="11" t="s">
        <v>37</v>
      </c>
      <c r="RO37" s="11"/>
      <c r="RP37" s="11"/>
      <c r="RQ37" s="12"/>
      <c r="RR37" s="12"/>
      <c r="RS37" s="12" t="s">
        <v>37</v>
      </c>
      <c r="RT37" s="12" t="s">
        <v>37</v>
      </c>
      <c r="RU37" s="11" t="s">
        <v>37</v>
      </c>
      <c r="RV37" s="12" t="s">
        <v>37</v>
      </c>
      <c r="RW37" s="12" t="s">
        <v>37</v>
      </c>
      <c r="RX37" s="11" t="s">
        <v>37</v>
      </c>
      <c r="RY37" s="11"/>
      <c r="RZ37" s="11"/>
      <c r="SA37" s="12"/>
      <c r="SB37" s="12"/>
      <c r="SC37" s="12" t="s">
        <v>37</v>
      </c>
      <c r="SD37" s="12" t="s">
        <v>37</v>
      </c>
      <c r="SE37" s="12" t="s">
        <v>37</v>
      </c>
      <c r="SF37" s="12" t="s">
        <v>37</v>
      </c>
      <c r="SG37" s="12" t="s">
        <v>37</v>
      </c>
      <c r="SH37" s="12" t="s">
        <v>37</v>
      </c>
      <c r="SI37" s="12"/>
      <c r="SJ37" s="12"/>
      <c r="SK37" s="12"/>
      <c r="SL37" s="12"/>
      <c r="SM37" s="12" t="s">
        <v>37</v>
      </c>
      <c r="SN37" s="12" t="s">
        <v>37</v>
      </c>
      <c r="SO37" s="12" t="s">
        <v>37</v>
      </c>
      <c r="SP37" s="12" t="s">
        <v>37</v>
      </c>
      <c r="SQ37" s="12" t="s">
        <v>37</v>
      </c>
      <c r="SR37" s="12" t="s">
        <v>37</v>
      </c>
      <c r="SS37" s="12"/>
      <c r="ST37" s="12"/>
      <c r="SU37" s="12"/>
      <c r="SV37" s="12"/>
      <c r="SW37" s="12" t="s">
        <v>37</v>
      </c>
      <c r="SX37" s="12" t="s">
        <v>37</v>
      </c>
      <c r="SY37" s="12" t="s">
        <v>37</v>
      </c>
      <c r="SZ37" s="12" t="s">
        <v>37</v>
      </c>
      <c r="TA37" s="12" t="s">
        <v>37</v>
      </c>
      <c r="TB37" s="12" t="s">
        <v>37</v>
      </c>
      <c r="TC37" s="12"/>
      <c r="TD37" s="12"/>
      <c r="TE37" s="12"/>
      <c r="TF37" s="12"/>
      <c r="TG37" s="13" t="s">
        <v>37</v>
      </c>
      <c r="TH37" s="13" t="s">
        <v>37</v>
      </c>
      <c r="TI37" s="13" t="s">
        <v>37</v>
      </c>
      <c r="TJ37" s="13" t="s">
        <v>37</v>
      </c>
      <c r="TK37" s="13" t="s">
        <v>37</v>
      </c>
      <c r="TL37" s="13" t="s">
        <v>37</v>
      </c>
      <c r="TM37" s="13"/>
      <c r="TN37" s="13"/>
      <c r="TO37" s="12"/>
      <c r="TP37" s="12"/>
      <c r="TQ37" s="13" t="s">
        <v>37</v>
      </c>
      <c r="TR37" s="13" t="s">
        <v>37</v>
      </c>
      <c r="TS37" s="13" t="s">
        <v>37</v>
      </c>
      <c r="TT37" s="19"/>
      <c r="TU37" s="13" t="s">
        <v>37</v>
      </c>
      <c r="TV37" s="13" t="s">
        <v>37</v>
      </c>
      <c r="TW37" s="13" t="s">
        <v>37</v>
      </c>
    </row>
    <row r="38" spans="1:546" ht="15.6" x14ac:dyDescent="0.3">
      <c r="A38" s="11">
        <v>15</v>
      </c>
      <c r="B38" s="16" t="s">
        <v>332</v>
      </c>
      <c r="C38" s="12" t="s">
        <v>26</v>
      </c>
      <c r="D38" s="14" t="s">
        <v>609</v>
      </c>
      <c r="E38" s="14" t="s">
        <v>37</v>
      </c>
      <c r="F38" s="14">
        <v>0</v>
      </c>
      <c r="G38" s="14">
        <v>0</v>
      </c>
      <c r="H38" s="12" t="s">
        <v>123</v>
      </c>
      <c r="I38" s="29">
        <v>62.5</v>
      </c>
      <c r="J38" s="29">
        <v>25.5</v>
      </c>
      <c r="K38" s="12" t="s">
        <v>815</v>
      </c>
      <c r="L38" s="12" t="s">
        <v>816</v>
      </c>
      <c r="M38" s="12" t="s">
        <v>37</v>
      </c>
      <c r="N38" s="12" t="s">
        <v>37</v>
      </c>
      <c r="O38" s="12" t="s">
        <v>37</v>
      </c>
      <c r="P38" s="14" t="s">
        <v>84</v>
      </c>
      <c r="Q38" s="11" t="s">
        <v>333</v>
      </c>
      <c r="R38" s="11" t="s">
        <v>37</v>
      </c>
      <c r="S38" s="12" t="s">
        <v>85</v>
      </c>
      <c r="T38" s="12" t="s">
        <v>138</v>
      </c>
      <c r="U38" s="12" t="s">
        <v>158</v>
      </c>
      <c r="V38" s="12" t="s">
        <v>275</v>
      </c>
      <c r="W38" s="23" t="s">
        <v>335</v>
      </c>
      <c r="X38" s="12" t="s">
        <v>282</v>
      </c>
      <c r="Y38" s="12" t="s">
        <v>37</v>
      </c>
      <c r="Z38" s="12" t="s">
        <v>37</v>
      </c>
      <c r="AA38" s="32" t="s">
        <v>338</v>
      </c>
      <c r="AB38" s="12" t="s">
        <v>37</v>
      </c>
      <c r="AC38" s="12" t="s">
        <v>37</v>
      </c>
      <c r="AD38" s="12" t="s">
        <v>238</v>
      </c>
      <c r="AE38" s="12" t="s">
        <v>74</v>
      </c>
      <c r="AF38" s="12" t="s">
        <v>489</v>
      </c>
      <c r="AG38" s="12"/>
      <c r="AH38" s="32"/>
      <c r="AI38" s="12" t="s">
        <v>37</v>
      </c>
      <c r="AJ38" s="12" t="s">
        <v>37</v>
      </c>
      <c r="AK38" s="11" t="s">
        <v>37</v>
      </c>
      <c r="AL38" s="19"/>
      <c r="AM38" s="12" t="s">
        <v>37</v>
      </c>
      <c r="AN38" s="12" t="s">
        <v>37</v>
      </c>
      <c r="AO38" s="13" t="s">
        <v>37</v>
      </c>
      <c r="AP38" s="19"/>
      <c r="AQ38" s="49"/>
      <c r="AR38" s="49"/>
      <c r="AS38" s="32"/>
      <c r="AT38" s="12" t="s">
        <v>37</v>
      </c>
      <c r="AU38" s="12" t="s">
        <v>37</v>
      </c>
      <c r="AV38" s="13" t="s">
        <v>37</v>
      </c>
      <c r="AW38" s="12" t="s">
        <v>37</v>
      </c>
      <c r="AX38" s="12" t="s">
        <v>37</v>
      </c>
      <c r="AY38" s="13" t="s">
        <v>37</v>
      </c>
      <c r="AZ38" s="13"/>
      <c r="BA38" s="13"/>
      <c r="BB38" s="12"/>
      <c r="BC38" s="12" t="s">
        <v>37</v>
      </c>
      <c r="BD38" s="12" t="s">
        <v>37</v>
      </c>
      <c r="BE38" s="13" t="s">
        <v>37</v>
      </c>
      <c r="BF38" s="12" t="s">
        <v>37</v>
      </c>
      <c r="BG38" s="12" t="s">
        <v>37</v>
      </c>
      <c r="BH38" s="12" t="s">
        <v>37</v>
      </c>
      <c r="BI38" s="12"/>
      <c r="BJ38" s="12" t="s">
        <v>37</v>
      </c>
      <c r="BK38" s="12" t="s">
        <v>37</v>
      </c>
      <c r="BL38" s="13" t="s">
        <v>37</v>
      </c>
      <c r="BM38" s="12" t="s">
        <v>37</v>
      </c>
      <c r="BN38" s="12" t="s">
        <v>37</v>
      </c>
      <c r="BO38" s="13" t="s">
        <v>37</v>
      </c>
      <c r="BP38" s="19"/>
      <c r="BQ38" s="19"/>
      <c r="BR38" s="19"/>
      <c r="BS38" s="19"/>
      <c r="BT38" s="12"/>
      <c r="BU38" s="12" t="s">
        <v>37</v>
      </c>
      <c r="BV38" s="12" t="s">
        <v>37</v>
      </c>
      <c r="BW38" s="13" t="s">
        <v>37</v>
      </c>
      <c r="BX38" s="12" t="s">
        <v>37</v>
      </c>
      <c r="BY38" s="12" t="s">
        <v>37</v>
      </c>
      <c r="BZ38" s="13" t="s">
        <v>37</v>
      </c>
      <c r="CA38" s="19"/>
      <c r="CB38" s="19"/>
      <c r="CC38" s="19"/>
      <c r="CD38" s="19"/>
      <c r="CE38" s="12"/>
      <c r="CF38" s="12" t="s">
        <v>37</v>
      </c>
      <c r="CG38" s="12" t="s">
        <v>37</v>
      </c>
      <c r="CH38" s="13" t="s">
        <v>37</v>
      </c>
      <c r="CI38" s="12" t="s">
        <v>37</v>
      </c>
      <c r="CJ38" s="12" t="s">
        <v>37</v>
      </c>
      <c r="CK38" s="13" t="s">
        <v>37</v>
      </c>
      <c r="CL38" s="19"/>
      <c r="CM38" s="19"/>
      <c r="CN38" s="19"/>
      <c r="CO38" s="19"/>
      <c r="CP38" s="11"/>
      <c r="CQ38" s="12" t="s">
        <v>37</v>
      </c>
      <c r="CR38" s="19" t="s">
        <v>37</v>
      </c>
      <c r="CS38" s="12" t="s">
        <v>37</v>
      </c>
      <c r="CT38" s="19"/>
      <c r="CU38" s="12" t="s">
        <v>37</v>
      </c>
      <c r="CV38" s="19" t="s">
        <v>37</v>
      </c>
      <c r="CW38" s="12" t="s">
        <v>37</v>
      </c>
      <c r="CX38" s="19"/>
      <c r="CY38" s="68"/>
      <c r="CZ38" s="68"/>
      <c r="DA38" s="68"/>
      <c r="DB38" s="68"/>
      <c r="DC38" s="15" t="s">
        <v>34</v>
      </c>
      <c r="DD38" s="29">
        <f>-0.1/10^3*44/28</f>
        <v>-1.5714285714285716E-4</v>
      </c>
      <c r="DE38" s="69">
        <f t="shared" ref="DE38:DE40" si="222">DD38*DG$61</f>
        <v>-1.1500630007202329E-4</v>
      </c>
      <c r="DF38" s="13">
        <v>6</v>
      </c>
      <c r="DG38" s="19"/>
      <c r="DH38" s="29">
        <f>10*44/28/10^3</f>
        <v>1.5714285714285712E-2</v>
      </c>
      <c r="DI38" s="69">
        <f t="shared" ref="DI38:DI40" si="223">DH38*DK$61</f>
        <v>1.1719389951664971E-2</v>
      </c>
      <c r="DJ38" s="13">
        <v>6</v>
      </c>
      <c r="DK38" s="19"/>
      <c r="DL38" s="68">
        <f t="shared" si="205"/>
        <v>1.5871428571428568E-2</v>
      </c>
      <c r="DM38" s="69">
        <f>DL38*DP$61</f>
        <v>0</v>
      </c>
      <c r="DN38" s="87">
        <f t="shared" si="207"/>
        <v>2.2892887881373693E-5</v>
      </c>
      <c r="DO38" s="87">
        <f t="shared" si="208"/>
        <v>2.2892887881373693E-5</v>
      </c>
      <c r="DP38" s="12" t="s">
        <v>39</v>
      </c>
      <c r="DQ38" s="12">
        <v>-2</v>
      </c>
      <c r="DR38" s="60">
        <f t="shared" si="177"/>
        <v>0.80800000000000005</v>
      </c>
      <c r="DS38" s="13">
        <v>6</v>
      </c>
      <c r="DT38" s="19"/>
      <c r="DU38" s="12">
        <v>-25</v>
      </c>
      <c r="DV38" s="60">
        <f t="shared" si="178"/>
        <v>8.6403190617603052</v>
      </c>
      <c r="DW38" s="13">
        <v>6</v>
      </c>
      <c r="DX38" s="19"/>
      <c r="DY38" s="19">
        <f t="shared" si="162"/>
        <v>-23</v>
      </c>
      <c r="DZ38" s="12">
        <f t="shared" si="163"/>
        <v>6.1362846042625208</v>
      </c>
      <c r="EA38" s="72">
        <f t="shared" si="164"/>
        <v>12.551329581503079</v>
      </c>
      <c r="EB38" s="72">
        <f t="shared" si="165"/>
        <v>12.551329581503079</v>
      </c>
      <c r="EC38" s="12"/>
      <c r="ED38" s="12"/>
      <c r="EE38" s="12" t="s">
        <v>37</v>
      </c>
      <c r="EF38" s="12" t="s">
        <v>37</v>
      </c>
      <c r="EG38" s="11" t="s">
        <v>37</v>
      </c>
      <c r="EH38" s="19"/>
      <c r="EI38" s="12" t="s">
        <v>37</v>
      </c>
      <c r="EJ38" s="20" t="s">
        <v>37</v>
      </c>
      <c r="EK38" s="11" t="s">
        <v>37</v>
      </c>
      <c r="EL38" s="19"/>
      <c r="EM38" s="19"/>
      <c r="EN38" s="19"/>
      <c r="EO38" s="19"/>
      <c r="EP38" s="19"/>
      <c r="EQ38" s="32"/>
      <c r="ER38" s="12" t="s">
        <v>37</v>
      </c>
      <c r="ES38" s="12" t="s">
        <v>37</v>
      </c>
      <c r="ET38" s="11" t="s">
        <v>37</v>
      </c>
      <c r="EU38" s="19"/>
      <c r="EV38" s="13" t="s">
        <v>37</v>
      </c>
      <c r="EW38" s="11" t="s">
        <v>37</v>
      </c>
      <c r="EX38" s="11" t="s">
        <v>37</v>
      </c>
      <c r="EY38" s="19"/>
      <c r="EZ38" s="19"/>
      <c r="FA38" s="19"/>
      <c r="FB38" s="19"/>
      <c r="FC38" s="32"/>
      <c r="FD38" s="12" t="s">
        <v>37</v>
      </c>
      <c r="FE38" s="12" t="s">
        <v>37</v>
      </c>
      <c r="FF38" s="11" t="s">
        <v>37</v>
      </c>
      <c r="FG38" s="13" t="s">
        <v>37</v>
      </c>
      <c r="FH38" s="11" t="s">
        <v>37</v>
      </c>
      <c r="FI38" s="11" t="s">
        <v>37</v>
      </c>
      <c r="FJ38" s="19"/>
      <c r="FK38" s="19"/>
      <c r="FL38" s="19"/>
      <c r="FM38" s="32"/>
      <c r="FN38" s="12" t="s">
        <v>37</v>
      </c>
      <c r="FO38" s="12" t="s">
        <v>37</v>
      </c>
      <c r="FP38" s="11" t="s">
        <v>37</v>
      </c>
      <c r="FQ38" s="13" t="s">
        <v>37</v>
      </c>
      <c r="FR38" s="11" t="s">
        <v>37</v>
      </c>
      <c r="FS38" s="11" t="s">
        <v>37</v>
      </c>
      <c r="FT38" s="19"/>
      <c r="FU38" s="19"/>
      <c r="FV38" s="19"/>
      <c r="FW38" s="12"/>
      <c r="FX38" s="12"/>
      <c r="FY38" s="12" t="s">
        <v>37</v>
      </c>
      <c r="FZ38" s="12" t="s">
        <v>37</v>
      </c>
      <c r="GA38" s="13" t="s">
        <v>37</v>
      </c>
      <c r="GB38" s="12" t="s">
        <v>37</v>
      </c>
      <c r="GC38" s="12" t="s">
        <v>37</v>
      </c>
      <c r="GD38" s="13" t="s">
        <v>37</v>
      </c>
      <c r="GE38" s="19"/>
      <c r="GF38" s="19"/>
      <c r="GG38" s="12"/>
      <c r="GH38" s="12"/>
      <c r="GI38" s="12" t="s">
        <v>37</v>
      </c>
      <c r="GJ38" s="12" t="s">
        <v>37</v>
      </c>
      <c r="GK38" s="12" t="s">
        <v>37</v>
      </c>
      <c r="GL38" s="19"/>
      <c r="GM38" s="12" t="s">
        <v>37</v>
      </c>
      <c r="GN38" s="12" t="s">
        <v>37</v>
      </c>
      <c r="GO38" s="12" t="s">
        <v>37</v>
      </c>
      <c r="GP38" s="19"/>
      <c r="GQ38" s="19"/>
      <c r="GR38" s="19"/>
      <c r="GS38" s="17"/>
      <c r="GT38" s="34"/>
      <c r="GU38" s="12" t="s">
        <v>37</v>
      </c>
      <c r="GV38" s="12" t="s">
        <v>37</v>
      </c>
      <c r="GW38" s="12" t="s">
        <v>37</v>
      </c>
      <c r="GX38" s="19"/>
      <c r="GY38" s="12" t="s">
        <v>37</v>
      </c>
      <c r="GZ38" s="12" t="s">
        <v>37</v>
      </c>
      <c r="HA38" s="12" t="s">
        <v>37</v>
      </c>
      <c r="HB38" s="19"/>
      <c r="HC38" s="19"/>
      <c r="HD38" s="19"/>
      <c r="HE38" s="34"/>
      <c r="HF38" s="12" t="s">
        <v>37</v>
      </c>
      <c r="HG38" s="12" t="s">
        <v>37</v>
      </c>
      <c r="HH38" s="13" t="s">
        <v>37</v>
      </c>
      <c r="HI38" s="12" t="s">
        <v>37</v>
      </c>
      <c r="HJ38" s="12" t="s">
        <v>37</v>
      </c>
      <c r="HK38" s="13" t="s">
        <v>37</v>
      </c>
      <c r="HL38" s="13"/>
      <c r="HM38" s="13"/>
      <c r="HN38" s="34"/>
      <c r="HO38" s="12" t="s">
        <v>37</v>
      </c>
      <c r="HP38" s="12" t="s">
        <v>37</v>
      </c>
      <c r="HQ38" s="13" t="s">
        <v>37</v>
      </c>
      <c r="HR38" s="12" t="s">
        <v>37</v>
      </c>
      <c r="HS38" s="12" t="s">
        <v>37</v>
      </c>
      <c r="HT38" s="13" t="s">
        <v>37</v>
      </c>
      <c r="HU38" s="13"/>
      <c r="HV38" s="13"/>
      <c r="HW38" s="12"/>
      <c r="HX38" s="12"/>
      <c r="HY38" s="12" t="s">
        <v>37</v>
      </c>
      <c r="HZ38" s="12" t="s">
        <v>37</v>
      </c>
      <c r="IA38" s="12" t="s">
        <v>37</v>
      </c>
      <c r="IB38" s="12" t="s">
        <v>37</v>
      </c>
      <c r="IC38" s="12" t="s">
        <v>37</v>
      </c>
      <c r="ID38" s="12" t="s">
        <v>37</v>
      </c>
      <c r="IE38" s="12"/>
      <c r="IF38" s="32" t="s">
        <v>339</v>
      </c>
      <c r="IG38" s="12">
        <v>5</v>
      </c>
      <c r="IH38" s="12" t="s">
        <v>37</v>
      </c>
      <c r="II38" s="13" t="s">
        <v>37</v>
      </c>
      <c r="IJ38" s="19"/>
      <c r="IK38" s="12" t="s">
        <v>37</v>
      </c>
      <c r="IL38" s="12" t="s">
        <v>37</v>
      </c>
      <c r="IM38" s="13" t="s">
        <v>37</v>
      </c>
      <c r="IN38" s="19"/>
      <c r="IO38" s="19"/>
      <c r="IP38" s="19"/>
      <c r="IQ38" s="32"/>
      <c r="IR38" s="12" t="s">
        <v>37</v>
      </c>
      <c r="IS38" s="12" t="s">
        <v>37</v>
      </c>
      <c r="IT38" s="13" t="s">
        <v>37</v>
      </c>
      <c r="IU38" s="12" t="s">
        <v>37</v>
      </c>
      <c r="IV38" s="12" t="s">
        <v>37</v>
      </c>
      <c r="IW38" s="12" t="s">
        <v>37</v>
      </c>
      <c r="IX38" s="32"/>
      <c r="IY38" s="12" t="s">
        <v>37</v>
      </c>
      <c r="IZ38" s="12" t="s">
        <v>37</v>
      </c>
      <c r="JA38" s="13" t="s">
        <v>37</v>
      </c>
      <c r="JB38" s="12" t="s">
        <v>37</v>
      </c>
      <c r="JC38" s="12" t="s">
        <v>37</v>
      </c>
      <c r="JD38" s="12" t="s">
        <v>37</v>
      </c>
      <c r="JE38" s="12"/>
      <c r="JF38" s="12"/>
      <c r="JG38" s="12" t="s">
        <v>37</v>
      </c>
      <c r="JH38" s="12" t="s">
        <v>37</v>
      </c>
      <c r="JI38" s="13" t="s">
        <v>37</v>
      </c>
      <c r="JJ38" s="12" t="s">
        <v>37</v>
      </c>
      <c r="JK38" s="12" t="s">
        <v>37</v>
      </c>
      <c r="JL38" s="12" t="s">
        <v>37</v>
      </c>
      <c r="JM38" s="12" t="s">
        <v>42</v>
      </c>
      <c r="JN38" s="32" t="s">
        <v>339</v>
      </c>
      <c r="JO38" s="12">
        <v>19</v>
      </c>
      <c r="JP38" s="12" t="s">
        <v>37</v>
      </c>
      <c r="JQ38" s="11" t="s">
        <v>37</v>
      </c>
      <c r="JR38" s="19"/>
      <c r="JS38" s="12" t="s">
        <v>37</v>
      </c>
      <c r="JT38" s="12" t="s">
        <v>37</v>
      </c>
      <c r="JU38" s="12" t="s">
        <v>37</v>
      </c>
      <c r="JV38" s="19"/>
      <c r="JW38" s="19"/>
      <c r="JX38" s="19"/>
      <c r="JY38" s="32"/>
      <c r="JZ38" s="12" t="s">
        <v>37</v>
      </c>
      <c r="KA38" s="12" t="s">
        <v>37</v>
      </c>
      <c r="KB38" s="12" t="s">
        <v>37</v>
      </c>
      <c r="KC38" s="12" t="s">
        <v>37</v>
      </c>
      <c r="KD38" s="12" t="s">
        <v>37</v>
      </c>
      <c r="KE38" s="12" t="s">
        <v>37</v>
      </c>
      <c r="KF38" s="12"/>
      <c r="KG38" s="12"/>
      <c r="KH38" s="32"/>
      <c r="KI38" s="12" t="s">
        <v>37</v>
      </c>
      <c r="KJ38" s="12" t="s">
        <v>37</v>
      </c>
      <c r="KK38" s="12" t="s">
        <v>37</v>
      </c>
      <c r="KL38" s="12" t="s">
        <v>37</v>
      </c>
      <c r="KM38" s="12" t="s">
        <v>37</v>
      </c>
      <c r="KN38" s="12" t="s">
        <v>37</v>
      </c>
      <c r="KO38" s="12"/>
      <c r="KP38" s="12"/>
      <c r="KQ38" s="12"/>
      <c r="KR38" s="12"/>
      <c r="KS38" s="12" t="s">
        <v>37</v>
      </c>
      <c r="KT38" s="12" t="s">
        <v>37</v>
      </c>
      <c r="KU38" s="12" t="s">
        <v>37</v>
      </c>
      <c r="KV38" s="19"/>
      <c r="KW38" s="12" t="s">
        <v>37</v>
      </c>
      <c r="KX38" s="12" t="s">
        <v>37</v>
      </c>
      <c r="KY38" s="12" t="s">
        <v>37</v>
      </c>
      <c r="KZ38" s="19"/>
      <c r="LA38" s="19"/>
      <c r="LB38" s="19"/>
      <c r="LC38" s="12"/>
      <c r="LD38" s="12" t="s">
        <v>37</v>
      </c>
      <c r="LE38" s="12" t="s">
        <v>37</v>
      </c>
      <c r="LF38" s="12" t="s">
        <v>37</v>
      </c>
      <c r="LG38" s="19" t="s">
        <v>37</v>
      </c>
      <c r="LH38" s="19" t="s">
        <v>37</v>
      </c>
      <c r="LI38" s="12" t="s">
        <v>37</v>
      </c>
      <c r="LJ38" s="12"/>
      <c r="LK38" s="12"/>
      <c r="LL38" s="12"/>
      <c r="LM38" s="12" t="s">
        <v>37</v>
      </c>
      <c r="LN38" s="12" t="s">
        <v>37</v>
      </c>
      <c r="LO38" s="12" t="s">
        <v>37</v>
      </c>
      <c r="LP38" s="12" t="s">
        <v>37</v>
      </c>
      <c r="LQ38" s="12" t="s">
        <v>37</v>
      </c>
      <c r="LR38" s="12" t="s">
        <v>37</v>
      </c>
      <c r="LS38" s="12" t="s">
        <v>102</v>
      </c>
      <c r="LT38" s="12" t="s">
        <v>339</v>
      </c>
      <c r="LU38" s="12">
        <v>55.643251775848455</v>
      </c>
      <c r="LV38" s="12">
        <v>7.4179806260834962</v>
      </c>
      <c r="LW38" s="13">
        <v>6</v>
      </c>
      <c r="LX38" s="12">
        <v>409.62904498816107</v>
      </c>
      <c r="LY38" s="12">
        <v>107.42187413357544</v>
      </c>
      <c r="LZ38" s="13">
        <v>6</v>
      </c>
      <c r="MA38" s="19">
        <f t="shared" ref="MA38:MA40" si="224">LN(LX38/LU38)</f>
        <v>1.996291173347666</v>
      </c>
      <c r="MB38" s="19">
        <f t="shared" ref="MB38:MB40" si="225">LY38^2/(LZ38*LX38^2)+LV38^2/(LW38*LU38^2)</f>
        <v>1.4423865788403467E-2</v>
      </c>
      <c r="MC38" s="12" t="s">
        <v>102</v>
      </c>
      <c r="MD38" s="12" t="s">
        <v>339</v>
      </c>
      <c r="ME38" s="12">
        <v>0.24387591725317129</v>
      </c>
      <c r="MF38" s="12">
        <v>3.7904564610907035E-2</v>
      </c>
      <c r="MG38" s="13">
        <v>6</v>
      </c>
      <c r="MH38" s="12">
        <v>4.3410963167387271</v>
      </c>
      <c r="MI38" s="12">
        <v>2.4852769276763857</v>
      </c>
      <c r="MJ38" s="13">
        <v>6</v>
      </c>
      <c r="MK38" s="19">
        <f t="shared" ref="MK38:MK40" si="226">LN(MH38/ME38)</f>
        <v>2.8792226426406877</v>
      </c>
      <c r="ML38" s="19">
        <f t="shared" ref="ML38:ML40" si="227">MI38^2/(MJ38*MH38^2)+MF38^2/(MG38*ME38^2)</f>
        <v>5.8652197300860742E-2</v>
      </c>
      <c r="MM38" s="12"/>
      <c r="MN38" s="12"/>
      <c r="MO38" s="12" t="s">
        <v>37</v>
      </c>
      <c r="MP38" s="12" t="s">
        <v>37</v>
      </c>
      <c r="MQ38" s="12" t="s">
        <v>37</v>
      </c>
      <c r="MR38" s="12" t="s">
        <v>37</v>
      </c>
      <c r="MS38" s="12" t="s">
        <v>37</v>
      </c>
      <c r="MT38" s="12" t="s">
        <v>37</v>
      </c>
      <c r="MU38" s="12"/>
      <c r="MV38" s="12"/>
      <c r="MW38" s="12"/>
      <c r="MX38" s="12"/>
      <c r="MY38" s="12" t="s">
        <v>37</v>
      </c>
      <c r="MZ38" s="12" t="s">
        <v>37</v>
      </c>
      <c r="NA38" s="12" t="s">
        <v>37</v>
      </c>
      <c r="NB38" s="12" t="s">
        <v>37</v>
      </c>
      <c r="NC38" s="12" t="s">
        <v>37</v>
      </c>
      <c r="ND38" s="12" t="s">
        <v>37</v>
      </c>
      <c r="NE38" s="12"/>
      <c r="NF38" s="12"/>
      <c r="NG38" s="12"/>
      <c r="NH38" s="12"/>
      <c r="NI38" s="12" t="s">
        <v>37</v>
      </c>
      <c r="NJ38" s="12" t="s">
        <v>37</v>
      </c>
      <c r="NK38" s="13" t="s">
        <v>37</v>
      </c>
      <c r="NL38" s="12" t="s">
        <v>37</v>
      </c>
      <c r="NM38" s="12" t="s">
        <v>37</v>
      </c>
      <c r="NN38" s="13" t="s">
        <v>37</v>
      </c>
      <c r="NO38" s="13"/>
      <c r="NP38" s="13"/>
      <c r="NQ38" s="12"/>
      <c r="NR38" s="12"/>
      <c r="NS38" s="11" t="s">
        <v>37</v>
      </c>
      <c r="NT38" s="11" t="s">
        <v>37</v>
      </c>
      <c r="NU38" s="13" t="s">
        <v>37</v>
      </c>
      <c r="NV38" s="11" t="s">
        <v>37</v>
      </c>
      <c r="NW38" s="11" t="s">
        <v>37</v>
      </c>
      <c r="NX38" s="13" t="s">
        <v>37</v>
      </c>
      <c r="NY38" s="13"/>
      <c r="NZ38" s="13"/>
      <c r="OA38" s="12"/>
      <c r="OB38" s="12"/>
      <c r="OC38" s="12" t="s">
        <v>37</v>
      </c>
      <c r="OD38" s="12" t="s">
        <v>37</v>
      </c>
      <c r="OE38" s="12" t="s">
        <v>37</v>
      </c>
      <c r="OF38" s="12" t="s">
        <v>37</v>
      </c>
      <c r="OG38" s="12" t="s">
        <v>37</v>
      </c>
      <c r="OH38" s="12" t="s">
        <v>37</v>
      </c>
      <c r="OI38" s="12"/>
      <c r="OJ38" s="12"/>
      <c r="OK38" s="12"/>
      <c r="OL38" s="12" t="s">
        <v>37</v>
      </c>
      <c r="OM38" s="12" t="s">
        <v>37</v>
      </c>
      <c r="ON38" s="11" t="s">
        <v>37</v>
      </c>
      <c r="OO38" s="12" t="s">
        <v>37</v>
      </c>
      <c r="OP38" s="12" t="s">
        <v>37</v>
      </c>
      <c r="OQ38" s="12" t="s">
        <v>37</v>
      </c>
      <c r="OR38" s="12"/>
      <c r="OS38" s="12" t="s">
        <v>37</v>
      </c>
      <c r="OT38" s="12" t="s">
        <v>37</v>
      </c>
      <c r="OU38" s="12" t="s">
        <v>37</v>
      </c>
      <c r="OV38" s="12" t="s">
        <v>37</v>
      </c>
      <c r="OW38" s="12" t="s">
        <v>37</v>
      </c>
      <c r="OX38" s="12" t="s">
        <v>37</v>
      </c>
      <c r="OY38" s="12"/>
      <c r="OZ38" s="12"/>
      <c r="PA38" s="12" t="s">
        <v>37</v>
      </c>
      <c r="PB38" s="12" t="s">
        <v>37</v>
      </c>
      <c r="PC38" s="12" t="s">
        <v>37</v>
      </c>
      <c r="PD38" s="12" t="s">
        <v>37</v>
      </c>
      <c r="PE38" s="12" t="s">
        <v>37</v>
      </c>
      <c r="PF38" s="12" t="s">
        <v>37</v>
      </c>
      <c r="PG38" s="12"/>
      <c r="PH38" s="12"/>
      <c r="PI38" s="12" t="s">
        <v>37</v>
      </c>
      <c r="PJ38" s="12" t="s">
        <v>37</v>
      </c>
      <c r="PK38" s="12" t="s">
        <v>37</v>
      </c>
      <c r="PL38" s="12" t="s">
        <v>37</v>
      </c>
      <c r="PM38" s="12" t="s">
        <v>37</v>
      </c>
      <c r="PN38" s="12" t="s">
        <v>37</v>
      </c>
      <c r="PO38" s="12"/>
      <c r="PP38" s="12"/>
      <c r="PQ38" s="12" t="s">
        <v>37</v>
      </c>
      <c r="PR38" s="12" t="s">
        <v>37</v>
      </c>
      <c r="PS38" s="12" t="s">
        <v>37</v>
      </c>
      <c r="PT38" s="12" t="s">
        <v>37</v>
      </c>
      <c r="PU38" s="12" t="s">
        <v>37</v>
      </c>
      <c r="PV38" s="12" t="s">
        <v>37</v>
      </c>
      <c r="PW38" s="12"/>
      <c r="PX38" s="12"/>
      <c r="PY38" s="12" t="s">
        <v>37</v>
      </c>
      <c r="PZ38" s="12" t="s">
        <v>37</v>
      </c>
      <c r="QA38" s="12" t="s">
        <v>37</v>
      </c>
      <c r="QB38" s="12" t="s">
        <v>37</v>
      </c>
      <c r="QC38" s="12" t="s">
        <v>37</v>
      </c>
      <c r="QD38" s="12" t="s">
        <v>37</v>
      </c>
      <c r="QE38" s="12"/>
      <c r="QF38" s="12"/>
      <c r="QG38" s="12" t="s">
        <v>37</v>
      </c>
      <c r="QH38" s="12" t="s">
        <v>37</v>
      </c>
      <c r="QI38" s="12" t="s">
        <v>37</v>
      </c>
      <c r="QJ38" s="12" t="s">
        <v>37</v>
      </c>
      <c r="QK38" s="12" t="s">
        <v>37</v>
      </c>
      <c r="QL38" s="12" t="s">
        <v>37</v>
      </c>
      <c r="QM38" s="12"/>
      <c r="QN38" s="12"/>
      <c r="QO38" s="12" t="s">
        <v>37</v>
      </c>
      <c r="QP38" s="12" t="s">
        <v>37</v>
      </c>
      <c r="QQ38" s="12" t="s">
        <v>37</v>
      </c>
      <c r="QR38" s="12" t="s">
        <v>37</v>
      </c>
      <c r="QS38" s="12" t="s">
        <v>37</v>
      </c>
      <c r="QT38" s="12" t="s">
        <v>37</v>
      </c>
      <c r="QU38" s="12"/>
      <c r="QV38" s="12"/>
      <c r="QW38" s="12"/>
      <c r="QX38" s="12"/>
      <c r="QY38" s="12" t="s">
        <v>37</v>
      </c>
      <c r="QZ38" s="12" t="s">
        <v>37</v>
      </c>
      <c r="RA38" s="12" t="s">
        <v>37</v>
      </c>
      <c r="RB38" s="12" t="s">
        <v>37</v>
      </c>
      <c r="RC38" s="12" t="s">
        <v>37</v>
      </c>
      <c r="RD38" s="12" t="s">
        <v>37</v>
      </c>
      <c r="RE38" s="12"/>
      <c r="RF38" s="12"/>
      <c r="RG38" s="12"/>
      <c r="RH38" s="12"/>
      <c r="RI38" s="12" t="s">
        <v>37</v>
      </c>
      <c r="RJ38" s="12" t="s">
        <v>37</v>
      </c>
      <c r="RK38" s="11" t="s">
        <v>37</v>
      </c>
      <c r="RL38" s="12" t="s">
        <v>37</v>
      </c>
      <c r="RM38" s="12" t="s">
        <v>37</v>
      </c>
      <c r="RN38" s="11" t="s">
        <v>37</v>
      </c>
      <c r="RO38" s="11"/>
      <c r="RP38" s="11"/>
      <c r="RQ38" s="12"/>
      <c r="RR38" s="12"/>
      <c r="RS38" s="12" t="s">
        <v>37</v>
      </c>
      <c r="RT38" s="12" t="s">
        <v>37</v>
      </c>
      <c r="RU38" s="11" t="s">
        <v>37</v>
      </c>
      <c r="RV38" s="12" t="s">
        <v>37</v>
      </c>
      <c r="RW38" s="12" t="s">
        <v>37</v>
      </c>
      <c r="RX38" s="11" t="s">
        <v>37</v>
      </c>
      <c r="RY38" s="11"/>
      <c r="RZ38" s="11"/>
      <c r="SA38" s="12"/>
      <c r="SB38" s="12"/>
      <c r="SC38" s="12" t="s">
        <v>37</v>
      </c>
      <c r="SD38" s="12" t="s">
        <v>37</v>
      </c>
      <c r="SE38" s="12" t="s">
        <v>37</v>
      </c>
      <c r="SF38" s="12" t="s">
        <v>37</v>
      </c>
      <c r="SG38" s="12" t="s">
        <v>37</v>
      </c>
      <c r="SH38" s="12" t="s">
        <v>37</v>
      </c>
      <c r="SI38" s="12"/>
      <c r="SJ38" s="12"/>
      <c r="SK38" s="12"/>
      <c r="SL38" s="12"/>
      <c r="SM38" s="12" t="s">
        <v>37</v>
      </c>
      <c r="SN38" s="12" t="s">
        <v>37</v>
      </c>
      <c r="SO38" s="12" t="s">
        <v>37</v>
      </c>
      <c r="SP38" s="12" t="s">
        <v>37</v>
      </c>
      <c r="SQ38" s="12" t="s">
        <v>37</v>
      </c>
      <c r="SR38" s="12" t="s">
        <v>37</v>
      </c>
      <c r="SS38" s="12"/>
      <c r="ST38" s="12"/>
      <c r="SU38" s="12"/>
      <c r="SV38" s="12"/>
      <c r="SW38" s="12" t="s">
        <v>37</v>
      </c>
      <c r="SX38" s="12" t="s">
        <v>37</v>
      </c>
      <c r="SY38" s="12" t="s">
        <v>37</v>
      </c>
      <c r="SZ38" s="12" t="s">
        <v>37</v>
      </c>
      <c r="TA38" s="12" t="s">
        <v>37</v>
      </c>
      <c r="TB38" s="12" t="s">
        <v>37</v>
      </c>
      <c r="TC38" s="12"/>
      <c r="TD38" s="12"/>
      <c r="TE38" s="12"/>
      <c r="TF38" s="12"/>
      <c r="TG38" s="13" t="s">
        <v>37</v>
      </c>
      <c r="TH38" s="13" t="s">
        <v>37</v>
      </c>
      <c r="TI38" s="13" t="s">
        <v>37</v>
      </c>
      <c r="TJ38" s="13" t="s">
        <v>37</v>
      </c>
      <c r="TK38" s="13" t="s">
        <v>37</v>
      </c>
      <c r="TL38" s="13" t="s">
        <v>37</v>
      </c>
      <c r="TM38" s="13"/>
      <c r="TN38" s="13"/>
      <c r="TO38" s="12"/>
      <c r="TP38" s="12"/>
      <c r="TQ38" s="13" t="s">
        <v>37</v>
      </c>
      <c r="TR38" s="13" t="s">
        <v>37</v>
      </c>
      <c r="TS38" s="13" t="s">
        <v>37</v>
      </c>
      <c r="TT38" s="19"/>
      <c r="TU38" s="13" t="s">
        <v>37</v>
      </c>
      <c r="TV38" s="13" t="s">
        <v>37</v>
      </c>
      <c r="TW38" s="13" t="s">
        <v>37</v>
      </c>
    </row>
    <row r="39" spans="1:546" ht="15.6" x14ac:dyDescent="0.3">
      <c r="A39" s="11">
        <v>15</v>
      </c>
      <c r="B39" s="16" t="s">
        <v>332</v>
      </c>
      <c r="C39" s="12" t="s">
        <v>26</v>
      </c>
      <c r="D39" s="14" t="s">
        <v>609</v>
      </c>
      <c r="E39" s="14" t="s">
        <v>37</v>
      </c>
      <c r="F39" s="14">
        <v>0</v>
      </c>
      <c r="G39" s="14">
        <v>0</v>
      </c>
      <c r="H39" s="12" t="s">
        <v>123</v>
      </c>
      <c r="I39" s="29">
        <v>62</v>
      </c>
      <c r="J39" s="29">
        <v>28</v>
      </c>
      <c r="K39" s="12" t="s">
        <v>817</v>
      </c>
      <c r="L39" s="12" t="s">
        <v>818</v>
      </c>
      <c r="M39" s="12" t="s">
        <v>37</v>
      </c>
      <c r="N39" s="12" t="s">
        <v>37</v>
      </c>
      <c r="O39" s="12" t="s">
        <v>37</v>
      </c>
      <c r="P39" s="14" t="s">
        <v>84</v>
      </c>
      <c r="Q39" s="11" t="s">
        <v>333</v>
      </c>
      <c r="R39" s="11" t="s">
        <v>37</v>
      </c>
      <c r="S39" s="12" t="s">
        <v>85</v>
      </c>
      <c r="T39" s="12" t="s">
        <v>141</v>
      </c>
      <c r="U39" s="12" t="s">
        <v>163</v>
      </c>
      <c r="V39" s="12" t="s">
        <v>275</v>
      </c>
      <c r="W39" s="23" t="s">
        <v>336</v>
      </c>
      <c r="X39" s="12" t="s">
        <v>281</v>
      </c>
      <c r="Y39" s="12" t="s">
        <v>37</v>
      </c>
      <c r="Z39" s="12" t="s">
        <v>37</v>
      </c>
      <c r="AA39" s="32" t="s">
        <v>338</v>
      </c>
      <c r="AB39" s="12" t="s">
        <v>37</v>
      </c>
      <c r="AC39" s="12" t="s">
        <v>37</v>
      </c>
      <c r="AD39" s="12" t="s">
        <v>238</v>
      </c>
      <c r="AE39" s="12" t="s">
        <v>74</v>
      </c>
      <c r="AF39" s="12" t="s">
        <v>489</v>
      </c>
      <c r="AG39" s="12"/>
      <c r="AH39" s="32"/>
      <c r="AI39" s="12" t="s">
        <v>37</v>
      </c>
      <c r="AJ39" s="12" t="s">
        <v>37</v>
      </c>
      <c r="AK39" s="11" t="s">
        <v>37</v>
      </c>
      <c r="AL39" s="19"/>
      <c r="AM39" s="12" t="s">
        <v>37</v>
      </c>
      <c r="AN39" s="12" t="s">
        <v>37</v>
      </c>
      <c r="AO39" s="13" t="s">
        <v>37</v>
      </c>
      <c r="AP39" s="19"/>
      <c r="AQ39" s="49"/>
      <c r="AR39" s="49"/>
      <c r="AS39" s="32"/>
      <c r="AT39" s="12" t="s">
        <v>37</v>
      </c>
      <c r="AU39" s="12" t="s">
        <v>37</v>
      </c>
      <c r="AV39" s="13" t="s">
        <v>37</v>
      </c>
      <c r="AW39" s="12" t="s">
        <v>37</v>
      </c>
      <c r="AX39" s="12" t="s">
        <v>37</v>
      </c>
      <c r="AY39" s="13" t="s">
        <v>37</v>
      </c>
      <c r="AZ39" s="13"/>
      <c r="BA39" s="13"/>
      <c r="BB39" s="12"/>
      <c r="BC39" s="12" t="s">
        <v>37</v>
      </c>
      <c r="BD39" s="12" t="s">
        <v>37</v>
      </c>
      <c r="BE39" s="13" t="s">
        <v>37</v>
      </c>
      <c r="BF39" s="12" t="s">
        <v>37</v>
      </c>
      <c r="BG39" s="12" t="s">
        <v>37</v>
      </c>
      <c r="BH39" s="12" t="s">
        <v>37</v>
      </c>
      <c r="BI39" s="12"/>
      <c r="BJ39" s="12" t="s">
        <v>37</v>
      </c>
      <c r="BK39" s="12" t="s">
        <v>37</v>
      </c>
      <c r="BL39" s="13" t="s">
        <v>37</v>
      </c>
      <c r="BM39" s="12" t="s">
        <v>37</v>
      </c>
      <c r="BN39" s="12" t="s">
        <v>37</v>
      </c>
      <c r="BO39" s="13" t="s">
        <v>37</v>
      </c>
      <c r="BP39" s="19"/>
      <c r="BQ39" s="19"/>
      <c r="BR39" s="19"/>
      <c r="BS39" s="19"/>
      <c r="BT39" s="12"/>
      <c r="BU39" s="12" t="s">
        <v>37</v>
      </c>
      <c r="BV39" s="12" t="s">
        <v>37</v>
      </c>
      <c r="BW39" s="13" t="s">
        <v>37</v>
      </c>
      <c r="BX39" s="12" t="s">
        <v>37</v>
      </c>
      <c r="BY39" s="12" t="s">
        <v>37</v>
      </c>
      <c r="BZ39" s="13" t="s">
        <v>37</v>
      </c>
      <c r="CA39" s="19"/>
      <c r="CB39" s="19"/>
      <c r="CC39" s="19"/>
      <c r="CD39" s="19"/>
      <c r="CE39" s="12"/>
      <c r="CF39" s="12" t="s">
        <v>37</v>
      </c>
      <c r="CG39" s="12" t="s">
        <v>37</v>
      </c>
      <c r="CH39" s="13" t="s">
        <v>37</v>
      </c>
      <c r="CI39" s="12" t="s">
        <v>37</v>
      </c>
      <c r="CJ39" s="12" t="s">
        <v>37</v>
      </c>
      <c r="CK39" s="13" t="s">
        <v>37</v>
      </c>
      <c r="CL39" s="19"/>
      <c r="CM39" s="19"/>
      <c r="CN39" s="19"/>
      <c r="CO39" s="19"/>
      <c r="CP39" s="11"/>
      <c r="CQ39" s="12" t="s">
        <v>37</v>
      </c>
      <c r="CR39" s="19" t="s">
        <v>37</v>
      </c>
      <c r="CS39" s="12" t="s">
        <v>37</v>
      </c>
      <c r="CT39" s="19"/>
      <c r="CU39" s="12" t="s">
        <v>37</v>
      </c>
      <c r="CV39" s="19" t="s">
        <v>37</v>
      </c>
      <c r="CW39" s="12" t="s">
        <v>37</v>
      </c>
      <c r="CX39" s="19"/>
      <c r="CY39" s="68"/>
      <c r="CZ39" s="68"/>
      <c r="DA39" s="68"/>
      <c r="DB39" s="68"/>
      <c r="DC39" s="15" t="s">
        <v>34</v>
      </c>
      <c r="DD39" s="29">
        <f>2.7/10^3*44/28</f>
        <v>4.2428571428571428E-3</v>
      </c>
      <c r="DE39" s="69">
        <f t="shared" si="222"/>
        <v>3.1051701019446285E-3</v>
      </c>
      <c r="DF39" s="13">
        <v>6</v>
      </c>
      <c r="DG39" s="19"/>
      <c r="DH39" s="29">
        <f>13*44/28/10^3</f>
        <v>2.0428571428571428E-2</v>
      </c>
      <c r="DI39" s="69">
        <f t="shared" si="223"/>
        <v>1.5235206937164465E-2</v>
      </c>
      <c r="DJ39" s="13">
        <v>6</v>
      </c>
      <c r="DK39" s="19"/>
      <c r="DL39" s="68">
        <f t="shared" si="205"/>
        <v>1.6185714285714286E-2</v>
      </c>
      <c r="DM39" s="69">
        <f t="shared" ref="DM39:DM40" si="228">DL39*DP$61</f>
        <v>0</v>
      </c>
      <c r="DN39" s="87">
        <f t="shared" si="207"/>
        <v>4.0292268630039179E-5</v>
      </c>
      <c r="DO39" s="87">
        <f t="shared" si="208"/>
        <v>4.0292268630039172E-5</v>
      </c>
      <c r="DP39" s="12" t="s">
        <v>39</v>
      </c>
      <c r="DQ39" s="12">
        <v>-15</v>
      </c>
      <c r="DR39" s="60">
        <f t="shared" si="177"/>
        <v>6.0600000000000005</v>
      </c>
      <c r="DS39" s="13">
        <v>6</v>
      </c>
      <c r="DT39" s="19"/>
      <c r="DU39" s="12">
        <v>-25</v>
      </c>
      <c r="DV39" s="60">
        <f t="shared" si="178"/>
        <v>8.6403190617603052</v>
      </c>
      <c r="DW39" s="13">
        <v>6</v>
      </c>
      <c r="DX39" s="19"/>
      <c r="DY39" s="19">
        <f t="shared" si="162"/>
        <v>-10</v>
      </c>
      <c r="DZ39" s="12">
        <f t="shared" si="163"/>
        <v>7.4625301838256739</v>
      </c>
      <c r="EA39" s="72">
        <f t="shared" si="164"/>
        <v>18.563118914836416</v>
      </c>
      <c r="EB39" s="72">
        <f t="shared" si="165"/>
        <v>18.563118914836412</v>
      </c>
      <c r="EC39" s="12"/>
      <c r="ED39" s="12"/>
      <c r="EE39" s="12" t="s">
        <v>37</v>
      </c>
      <c r="EF39" s="12" t="s">
        <v>37</v>
      </c>
      <c r="EG39" s="11" t="s">
        <v>37</v>
      </c>
      <c r="EH39" s="19"/>
      <c r="EI39" s="12" t="s">
        <v>37</v>
      </c>
      <c r="EJ39" s="20" t="s">
        <v>37</v>
      </c>
      <c r="EK39" s="11" t="s">
        <v>37</v>
      </c>
      <c r="EL39" s="19"/>
      <c r="EM39" s="19"/>
      <c r="EN39" s="19"/>
      <c r="EO39" s="19"/>
      <c r="EP39" s="19"/>
      <c r="EQ39" s="32"/>
      <c r="ER39" s="12" t="s">
        <v>37</v>
      </c>
      <c r="ES39" s="12" t="s">
        <v>37</v>
      </c>
      <c r="ET39" s="11" t="s">
        <v>37</v>
      </c>
      <c r="EU39" s="19"/>
      <c r="EV39" s="13" t="s">
        <v>37</v>
      </c>
      <c r="EW39" s="11" t="s">
        <v>37</v>
      </c>
      <c r="EX39" s="11" t="s">
        <v>37</v>
      </c>
      <c r="EY39" s="19"/>
      <c r="EZ39" s="19"/>
      <c r="FA39" s="19"/>
      <c r="FB39" s="19"/>
      <c r="FC39" s="32"/>
      <c r="FD39" s="12" t="s">
        <v>37</v>
      </c>
      <c r="FE39" s="12" t="s">
        <v>37</v>
      </c>
      <c r="FF39" s="11" t="s">
        <v>37</v>
      </c>
      <c r="FG39" s="13" t="s">
        <v>37</v>
      </c>
      <c r="FH39" s="11" t="s">
        <v>37</v>
      </c>
      <c r="FI39" s="11" t="s">
        <v>37</v>
      </c>
      <c r="FJ39" s="19"/>
      <c r="FK39" s="19"/>
      <c r="FL39" s="19"/>
      <c r="FM39" s="32"/>
      <c r="FN39" s="12" t="s">
        <v>37</v>
      </c>
      <c r="FO39" s="12" t="s">
        <v>37</v>
      </c>
      <c r="FP39" s="11" t="s">
        <v>37</v>
      </c>
      <c r="FQ39" s="13" t="s">
        <v>37</v>
      </c>
      <c r="FR39" s="11" t="s">
        <v>37</v>
      </c>
      <c r="FS39" s="11" t="s">
        <v>37</v>
      </c>
      <c r="FT39" s="19"/>
      <c r="FU39" s="19"/>
      <c r="FV39" s="19"/>
      <c r="FW39" s="12"/>
      <c r="FX39" s="12"/>
      <c r="FY39" s="12" t="s">
        <v>37</v>
      </c>
      <c r="FZ39" s="12" t="s">
        <v>37</v>
      </c>
      <c r="GA39" s="13" t="s">
        <v>37</v>
      </c>
      <c r="GB39" s="12" t="s">
        <v>37</v>
      </c>
      <c r="GC39" s="12" t="s">
        <v>37</v>
      </c>
      <c r="GD39" s="13" t="s">
        <v>37</v>
      </c>
      <c r="GE39" s="19"/>
      <c r="GF39" s="19"/>
      <c r="GG39" s="12"/>
      <c r="GH39" s="12"/>
      <c r="GI39" s="12" t="s">
        <v>37</v>
      </c>
      <c r="GJ39" s="12" t="s">
        <v>37</v>
      </c>
      <c r="GK39" s="12" t="s">
        <v>37</v>
      </c>
      <c r="GL39" s="19"/>
      <c r="GM39" s="12" t="s">
        <v>37</v>
      </c>
      <c r="GN39" s="12" t="s">
        <v>37</v>
      </c>
      <c r="GO39" s="12" t="s">
        <v>37</v>
      </c>
      <c r="GP39" s="19"/>
      <c r="GQ39" s="19"/>
      <c r="GR39" s="19"/>
      <c r="GS39" s="17"/>
      <c r="GT39" s="34"/>
      <c r="GU39" s="12" t="s">
        <v>37</v>
      </c>
      <c r="GV39" s="12" t="s">
        <v>37</v>
      </c>
      <c r="GW39" s="12" t="s">
        <v>37</v>
      </c>
      <c r="GX39" s="19"/>
      <c r="GY39" s="12" t="s">
        <v>37</v>
      </c>
      <c r="GZ39" s="12" t="s">
        <v>37</v>
      </c>
      <c r="HA39" s="12" t="s">
        <v>37</v>
      </c>
      <c r="HB39" s="19"/>
      <c r="HC39" s="19"/>
      <c r="HD39" s="19"/>
      <c r="HE39" s="34"/>
      <c r="HF39" s="12" t="s">
        <v>37</v>
      </c>
      <c r="HG39" s="12" t="s">
        <v>37</v>
      </c>
      <c r="HH39" s="13" t="s">
        <v>37</v>
      </c>
      <c r="HI39" s="12" t="s">
        <v>37</v>
      </c>
      <c r="HJ39" s="12" t="s">
        <v>37</v>
      </c>
      <c r="HK39" s="13" t="s">
        <v>37</v>
      </c>
      <c r="HL39" s="13"/>
      <c r="HM39" s="13"/>
      <c r="HN39" s="34"/>
      <c r="HO39" s="12" t="s">
        <v>37</v>
      </c>
      <c r="HP39" s="12" t="s">
        <v>37</v>
      </c>
      <c r="HQ39" s="13" t="s">
        <v>37</v>
      </c>
      <c r="HR39" s="12" t="s">
        <v>37</v>
      </c>
      <c r="HS39" s="12" t="s">
        <v>37</v>
      </c>
      <c r="HT39" s="13" t="s">
        <v>37</v>
      </c>
      <c r="HU39" s="13"/>
      <c r="HV39" s="13"/>
      <c r="HW39" s="12"/>
      <c r="HX39" s="12"/>
      <c r="HY39" s="12" t="s">
        <v>37</v>
      </c>
      <c r="HZ39" s="12" t="s">
        <v>37</v>
      </c>
      <c r="IA39" s="12" t="s">
        <v>37</v>
      </c>
      <c r="IB39" s="12" t="s">
        <v>37</v>
      </c>
      <c r="IC39" s="12" t="s">
        <v>37</v>
      </c>
      <c r="ID39" s="12" t="s">
        <v>37</v>
      </c>
      <c r="IE39" s="12"/>
      <c r="IF39" s="32" t="s">
        <v>340</v>
      </c>
      <c r="IG39" s="12" t="s">
        <v>37</v>
      </c>
      <c r="IH39" s="12" t="s">
        <v>37</v>
      </c>
      <c r="II39" s="13" t="s">
        <v>37</v>
      </c>
      <c r="IJ39" s="19"/>
      <c r="IK39" s="12" t="s">
        <v>37</v>
      </c>
      <c r="IL39" s="12" t="s">
        <v>37</v>
      </c>
      <c r="IM39" s="13" t="s">
        <v>37</v>
      </c>
      <c r="IN39" s="19"/>
      <c r="IO39" s="19"/>
      <c r="IP39" s="19"/>
      <c r="IQ39" s="32"/>
      <c r="IR39" s="12" t="s">
        <v>37</v>
      </c>
      <c r="IS39" s="12" t="s">
        <v>37</v>
      </c>
      <c r="IT39" s="13" t="s">
        <v>37</v>
      </c>
      <c r="IU39" s="12" t="s">
        <v>37</v>
      </c>
      <c r="IV39" s="12" t="s">
        <v>37</v>
      </c>
      <c r="IW39" s="12" t="s">
        <v>37</v>
      </c>
      <c r="IX39" s="32"/>
      <c r="IY39" s="12" t="s">
        <v>37</v>
      </c>
      <c r="IZ39" s="12" t="s">
        <v>37</v>
      </c>
      <c r="JA39" s="13" t="s">
        <v>37</v>
      </c>
      <c r="JB39" s="12" t="s">
        <v>37</v>
      </c>
      <c r="JC39" s="12" t="s">
        <v>37</v>
      </c>
      <c r="JD39" s="12" t="s">
        <v>37</v>
      </c>
      <c r="JE39" s="12"/>
      <c r="JF39" s="12"/>
      <c r="JG39" s="12" t="s">
        <v>37</v>
      </c>
      <c r="JH39" s="12" t="s">
        <v>37</v>
      </c>
      <c r="JI39" s="13" t="s">
        <v>37</v>
      </c>
      <c r="JJ39" s="12" t="s">
        <v>37</v>
      </c>
      <c r="JK39" s="12" t="s">
        <v>37</v>
      </c>
      <c r="JL39" s="12" t="s">
        <v>37</v>
      </c>
      <c r="JM39" s="12" t="s">
        <v>42</v>
      </c>
      <c r="JN39" s="32" t="s">
        <v>340</v>
      </c>
      <c r="JO39" s="12">
        <v>5</v>
      </c>
      <c r="JP39" s="12" t="s">
        <v>37</v>
      </c>
      <c r="JQ39" s="11" t="s">
        <v>37</v>
      </c>
      <c r="JR39" s="19"/>
      <c r="JS39" s="12" t="s">
        <v>37</v>
      </c>
      <c r="JT39" s="12" t="s">
        <v>37</v>
      </c>
      <c r="JU39" s="12" t="s">
        <v>37</v>
      </c>
      <c r="JV39" s="19"/>
      <c r="JW39" s="19"/>
      <c r="JX39" s="19"/>
      <c r="JY39" s="32"/>
      <c r="JZ39" s="12" t="s">
        <v>37</v>
      </c>
      <c r="KA39" s="12" t="s">
        <v>37</v>
      </c>
      <c r="KB39" s="12" t="s">
        <v>37</v>
      </c>
      <c r="KC39" s="12" t="s">
        <v>37</v>
      </c>
      <c r="KD39" s="12" t="s">
        <v>37</v>
      </c>
      <c r="KE39" s="12" t="s">
        <v>37</v>
      </c>
      <c r="KF39" s="12"/>
      <c r="KG39" s="12"/>
      <c r="KH39" s="32"/>
      <c r="KI39" s="12" t="s">
        <v>37</v>
      </c>
      <c r="KJ39" s="12" t="s">
        <v>37</v>
      </c>
      <c r="KK39" s="12" t="s">
        <v>37</v>
      </c>
      <c r="KL39" s="12" t="s">
        <v>37</v>
      </c>
      <c r="KM39" s="12" t="s">
        <v>37</v>
      </c>
      <c r="KN39" s="12" t="s">
        <v>37</v>
      </c>
      <c r="KO39" s="12"/>
      <c r="KP39" s="12"/>
      <c r="KQ39" s="12"/>
      <c r="KR39" s="12"/>
      <c r="KS39" s="12" t="s">
        <v>37</v>
      </c>
      <c r="KT39" s="12" t="s">
        <v>37</v>
      </c>
      <c r="KU39" s="12" t="s">
        <v>37</v>
      </c>
      <c r="KV39" s="19"/>
      <c r="KW39" s="12" t="s">
        <v>37</v>
      </c>
      <c r="KX39" s="12" t="s">
        <v>37</v>
      </c>
      <c r="KY39" s="12" t="s">
        <v>37</v>
      </c>
      <c r="KZ39" s="19"/>
      <c r="LA39" s="19"/>
      <c r="LB39" s="19"/>
      <c r="LC39" s="12"/>
      <c r="LD39" s="12" t="s">
        <v>37</v>
      </c>
      <c r="LE39" s="12" t="s">
        <v>37</v>
      </c>
      <c r="LF39" s="12" t="s">
        <v>37</v>
      </c>
      <c r="LG39" s="19" t="s">
        <v>37</v>
      </c>
      <c r="LH39" s="19" t="s">
        <v>37</v>
      </c>
      <c r="LI39" s="12" t="s">
        <v>37</v>
      </c>
      <c r="LJ39" s="12"/>
      <c r="LK39" s="12"/>
      <c r="LL39" s="12"/>
      <c r="LM39" s="12" t="s">
        <v>37</v>
      </c>
      <c r="LN39" s="12" t="s">
        <v>37</v>
      </c>
      <c r="LO39" s="12" t="s">
        <v>37</v>
      </c>
      <c r="LP39" s="12" t="s">
        <v>37</v>
      </c>
      <c r="LQ39" s="12" t="s">
        <v>37</v>
      </c>
      <c r="LR39" s="12" t="s">
        <v>37</v>
      </c>
      <c r="LS39" s="12" t="s">
        <v>102</v>
      </c>
      <c r="LT39" s="12" t="s">
        <v>340</v>
      </c>
      <c r="LU39" s="12">
        <v>17.211449676823644</v>
      </c>
      <c r="LV39" s="12">
        <v>6.3012365205260048</v>
      </c>
      <c r="LW39" s="13">
        <v>6</v>
      </c>
      <c r="LX39" s="12">
        <v>14.736842105263158</v>
      </c>
      <c r="LY39" s="12">
        <v>5.9528649755832177</v>
      </c>
      <c r="LZ39" s="13">
        <v>6</v>
      </c>
      <c r="MA39" s="19">
        <f t="shared" si="224"/>
        <v>-0.15522421723578284</v>
      </c>
      <c r="MB39" s="19">
        <f t="shared" si="225"/>
        <v>4.9534267428680709E-2</v>
      </c>
      <c r="MC39" s="12" t="s">
        <v>102</v>
      </c>
      <c r="MD39" s="12" t="s">
        <v>340</v>
      </c>
      <c r="ME39" s="12">
        <v>0.2189434786921787</v>
      </c>
      <c r="MF39" s="12">
        <v>6.9240257078114611E-2</v>
      </c>
      <c r="MG39" s="13">
        <v>6</v>
      </c>
      <c r="MH39" s="12">
        <v>0.1689431869241228</v>
      </c>
      <c r="MI39" s="12">
        <v>5.8787815700549403E-2</v>
      </c>
      <c r="MJ39" s="13">
        <v>6</v>
      </c>
      <c r="MK39" s="19">
        <f t="shared" si="226"/>
        <v>-0.25925112198447831</v>
      </c>
      <c r="ML39" s="19">
        <f t="shared" si="227"/>
        <v>3.684968265000077E-2</v>
      </c>
      <c r="MM39" s="12"/>
      <c r="MN39" s="12"/>
      <c r="MO39" s="12" t="s">
        <v>37</v>
      </c>
      <c r="MP39" s="12" t="s">
        <v>37</v>
      </c>
      <c r="MQ39" s="12" t="s">
        <v>37</v>
      </c>
      <c r="MR39" s="12" t="s">
        <v>37</v>
      </c>
      <c r="MS39" s="12" t="s">
        <v>37</v>
      </c>
      <c r="MT39" s="12" t="s">
        <v>37</v>
      </c>
      <c r="MU39" s="12"/>
      <c r="MV39" s="12"/>
      <c r="MW39" s="12"/>
      <c r="MX39" s="12"/>
      <c r="MY39" s="12" t="s">
        <v>37</v>
      </c>
      <c r="MZ39" s="12" t="s">
        <v>37</v>
      </c>
      <c r="NA39" s="12" t="s">
        <v>37</v>
      </c>
      <c r="NB39" s="12" t="s">
        <v>37</v>
      </c>
      <c r="NC39" s="12" t="s">
        <v>37</v>
      </c>
      <c r="ND39" s="12" t="s">
        <v>37</v>
      </c>
      <c r="NE39" s="12"/>
      <c r="NF39" s="12"/>
      <c r="NG39" s="12"/>
      <c r="NH39" s="12"/>
      <c r="NI39" s="12" t="s">
        <v>37</v>
      </c>
      <c r="NJ39" s="12" t="s">
        <v>37</v>
      </c>
      <c r="NK39" s="13" t="s">
        <v>37</v>
      </c>
      <c r="NL39" s="12" t="s">
        <v>37</v>
      </c>
      <c r="NM39" s="12" t="s">
        <v>37</v>
      </c>
      <c r="NN39" s="13" t="s">
        <v>37</v>
      </c>
      <c r="NO39" s="13"/>
      <c r="NP39" s="13"/>
      <c r="NQ39" s="12"/>
      <c r="NR39" s="12"/>
      <c r="NS39" s="11" t="s">
        <v>37</v>
      </c>
      <c r="NT39" s="11" t="s">
        <v>37</v>
      </c>
      <c r="NU39" s="13" t="s">
        <v>37</v>
      </c>
      <c r="NV39" s="11" t="s">
        <v>37</v>
      </c>
      <c r="NW39" s="11" t="s">
        <v>37</v>
      </c>
      <c r="NX39" s="13" t="s">
        <v>37</v>
      </c>
      <c r="NY39" s="13"/>
      <c r="NZ39" s="13"/>
      <c r="OA39" s="12"/>
      <c r="OB39" s="12"/>
      <c r="OC39" s="12" t="s">
        <v>37</v>
      </c>
      <c r="OD39" s="12" t="s">
        <v>37</v>
      </c>
      <c r="OE39" s="12" t="s">
        <v>37</v>
      </c>
      <c r="OF39" s="12" t="s">
        <v>37</v>
      </c>
      <c r="OG39" s="12" t="s">
        <v>37</v>
      </c>
      <c r="OH39" s="12" t="s">
        <v>37</v>
      </c>
      <c r="OI39" s="12"/>
      <c r="OJ39" s="12"/>
      <c r="OK39" s="12"/>
      <c r="OL39" s="12" t="s">
        <v>37</v>
      </c>
      <c r="OM39" s="12" t="s">
        <v>37</v>
      </c>
      <c r="ON39" s="11" t="s">
        <v>37</v>
      </c>
      <c r="OO39" s="12" t="s">
        <v>37</v>
      </c>
      <c r="OP39" s="12" t="s">
        <v>37</v>
      </c>
      <c r="OQ39" s="12" t="s">
        <v>37</v>
      </c>
      <c r="OR39" s="12"/>
      <c r="OS39" s="12" t="s">
        <v>37</v>
      </c>
      <c r="OT39" s="12" t="s">
        <v>37</v>
      </c>
      <c r="OU39" s="12" t="s">
        <v>37</v>
      </c>
      <c r="OV39" s="12" t="s">
        <v>37</v>
      </c>
      <c r="OW39" s="12" t="s">
        <v>37</v>
      </c>
      <c r="OX39" s="12" t="s">
        <v>37</v>
      </c>
      <c r="OY39" s="12"/>
      <c r="OZ39" s="12"/>
      <c r="PA39" s="12" t="s">
        <v>37</v>
      </c>
      <c r="PB39" s="12" t="s">
        <v>37</v>
      </c>
      <c r="PC39" s="12" t="s">
        <v>37</v>
      </c>
      <c r="PD39" s="12" t="s">
        <v>37</v>
      </c>
      <c r="PE39" s="12" t="s">
        <v>37</v>
      </c>
      <c r="PF39" s="12" t="s">
        <v>37</v>
      </c>
      <c r="PG39" s="12"/>
      <c r="PH39" s="12"/>
      <c r="PI39" s="12" t="s">
        <v>37</v>
      </c>
      <c r="PJ39" s="12" t="s">
        <v>37</v>
      </c>
      <c r="PK39" s="12" t="s">
        <v>37</v>
      </c>
      <c r="PL39" s="12" t="s">
        <v>37</v>
      </c>
      <c r="PM39" s="12" t="s">
        <v>37</v>
      </c>
      <c r="PN39" s="12" t="s">
        <v>37</v>
      </c>
      <c r="PO39" s="12"/>
      <c r="PP39" s="12"/>
      <c r="PQ39" s="12" t="s">
        <v>37</v>
      </c>
      <c r="PR39" s="12" t="s">
        <v>37</v>
      </c>
      <c r="PS39" s="12" t="s">
        <v>37</v>
      </c>
      <c r="PT39" s="12" t="s">
        <v>37</v>
      </c>
      <c r="PU39" s="12" t="s">
        <v>37</v>
      </c>
      <c r="PV39" s="12" t="s">
        <v>37</v>
      </c>
      <c r="PW39" s="12"/>
      <c r="PX39" s="12"/>
      <c r="PY39" s="12" t="s">
        <v>37</v>
      </c>
      <c r="PZ39" s="12" t="s">
        <v>37</v>
      </c>
      <c r="QA39" s="12" t="s">
        <v>37</v>
      </c>
      <c r="QB39" s="12" t="s">
        <v>37</v>
      </c>
      <c r="QC39" s="12" t="s">
        <v>37</v>
      </c>
      <c r="QD39" s="12" t="s">
        <v>37</v>
      </c>
      <c r="QE39" s="12"/>
      <c r="QF39" s="12"/>
      <c r="QG39" s="12" t="s">
        <v>37</v>
      </c>
      <c r="QH39" s="12" t="s">
        <v>37</v>
      </c>
      <c r="QI39" s="12" t="s">
        <v>37</v>
      </c>
      <c r="QJ39" s="12" t="s">
        <v>37</v>
      </c>
      <c r="QK39" s="12" t="s">
        <v>37</v>
      </c>
      <c r="QL39" s="12" t="s">
        <v>37</v>
      </c>
      <c r="QM39" s="12"/>
      <c r="QN39" s="12"/>
      <c r="QO39" s="12" t="s">
        <v>37</v>
      </c>
      <c r="QP39" s="12" t="s">
        <v>37</v>
      </c>
      <c r="QQ39" s="12" t="s">
        <v>37</v>
      </c>
      <c r="QR39" s="12" t="s">
        <v>37</v>
      </c>
      <c r="QS39" s="12" t="s">
        <v>37</v>
      </c>
      <c r="QT39" s="12" t="s">
        <v>37</v>
      </c>
      <c r="QU39" s="12"/>
      <c r="QV39" s="12"/>
      <c r="QW39" s="12"/>
      <c r="QX39" s="12"/>
      <c r="QY39" s="12" t="s">
        <v>37</v>
      </c>
      <c r="QZ39" s="12" t="s">
        <v>37</v>
      </c>
      <c r="RA39" s="12" t="s">
        <v>37</v>
      </c>
      <c r="RB39" s="12" t="s">
        <v>37</v>
      </c>
      <c r="RC39" s="12" t="s">
        <v>37</v>
      </c>
      <c r="RD39" s="12" t="s">
        <v>37</v>
      </c>
      <c r="RE39" s="12"/>
      <c r="RF39" s="12"/>
      <c r="RG39" s="12"/>
      <c r="RH39" s="12"/>
      <c r="RI39" s="12" t="s">
        <v>37</v>
      </c>
      <c r="RJ39" s="12" t="s">
        <v>37</v>
      </c>
      <c r="RK39" s="11" t="s">
        <v>37</v>
      </c>
      <c r="RL39" s="12" t="s">
        <v>37</v>
      </c>
      <c r="RM39" s="12" t="s">
        <v>37</v>
      </c>
      <c r="RN39" s="11" t="s">
        <v>37</v>
      </c>
      <c r="RO39" s="11"/>
      <c r="RP39" s="11"/>
      <c r="RQ39" s="12"/>
      <c r="RR39" s="12"/>
      <c r="RS39" s="12" t="s">
        <v>37</v>
      </c>
      <c r="RT39" s="12" t="s">
        <v>37</v>
      </c>
      <c r="RU39" s="11" t="s">
        <v>37</v>
      </c>
      <c r="RV39" s="12" t="s">
        <v>37</v>
      </c>
      <c r="RW39" s="12" t="s">
        <v>37</v>
      </c>
      <c r="RX39" s="11" t="s">
        <v>37</v>
      </c>
      <c r="RY39" s="11"/>
      <c r="RZ39" s="11"/>
      <c r="SA39" s="12"/>
      <c r="SB39" s="12"/>
      <c r="SC39" s="12" t="s">
        <v>37</v>
      </c>
      <c r="SD39" s="12" t="s">
        <v>37</v>
      </c>
      <c r="SE39" s="12" t="s">
        <v>37</v>
      </c>
      <c r="SF39" s="12" t="s">
        <v>37</v>
      </c>
      <c r="SG39" s="12" t="s">
        <v>37</v>
      </c>
      <c r="SH39" s="12" t="s">
        <v>37</v>
      </c>
      <c r="SI39" s="12"/>
      <c r="SJ39" s="12"/>
      <c r="SK39" s="12"/>
      <c r="SL39" s="12"/>
      <c r="SM39" s="12" t="s">
        <v>37</v>
      </c>
      <c r="SN39" s="12" t="s">
        <v>37</v>
      </c>
      <c r="SO39" s="12" t="s">
        <v>37</v>
      </c>
      <c r="SP39" s="12" t="s">
        <v>37</v>
      </c>
      <c r="SQ39" s="12" t="s">
        <v>37</v>
      </c>
      <c r="SR39" s="12" t="s">
        <v>37</v>
      </c>
      <c r="SS39" s="12"/>
      <c r="ST39" s="12"/>
      <c r="SU39" s="12"/>
      <c r="SV39" s="12"/>
      <c r="SW39" s="12" t="s">
        <v>37</v>
      </c>
      <c r="SX39" s="12" t="s">
        <v>37</v>
      </c>
      <c r="SY39" s="12" t="s">
        <v>37</v>
      </c>
      <c r="SZ39" s="12" t="s">
        <v>37</v>
      </c>
      <c r="TA39" s="12" t="s">
        <v>37</v>
      </c>
      <c r="TB39" s="12" t="s">
        <v>37</v>
      </c>
      <c r="TC39" s="12"/>
      <c r="TD39" s="12"/>
      <c r="TE39" s="12"/>
      <c r="TF39" s="12"/>
      <c r="TG39" s="13" t="s">
        <v>37</v>
      </c>
      <c r="TH39" s="13" t="s">
        <v>37</v>
      </c>
      <c r="TI39" s="13" t="s">
        <v>37</v>
      </c>
      <c r="TJ39" s="13" t="s">
        <v>37</v>
      </c>
      <c r="TK39" s="13" t="s">
        <v>37</v>
      </c>
      <c r="TL39" s="13" t="s">
        <v>37</v>
      </c>
      <c r="TM39" s="13"/>
      <c r="TN39" s="13"/>
      <c r="TO39" s="12"/>
      <c r="TP39" s="12"/>
      <c r="TQ39" s="13" t="s">
        <v>37</v>
      </c>
      <c r="TR39" s="13" t="s">
        <v>37</v>
      </c>
      <c r="TS39" s="13" t="s">
        <v>37</v>
      </c>
      <c r="TT39" s="19"/>
      <c r="TU39" s="13" t="s">
        <v>37</v>
      </c>
      <c r="TV39" s="13" t="s">
        <v>37</v>
      </c>
      <c r="TW39" s="13" t="s">
        <v>37</v>
      </c>
    </row>
    <row r="40" spans="1:546" ht="15.6" x14ac:dyDescent="0.3">
      <c r="A40" s="11">
        <v>15</v>
      </c>
      <c r="B40" s="16" t="s">
        <v>332</v>
      </c>
      <c r="C40" s="12" t="s">
        <v>26</v>
      </c>
      <c r="D40" s="14" t="s">
        <v>609</v>
      </c>
      <c r="E40" s="14" t="s">
        <v>37</v>
      </c>
      <c r="F40" s="14">
        <v>0</v>
      </c>
      <c r="G40" s="14">
        <v>0</v>
      </c>
      <c r="H40" s="12" t="s">
        <v>123</v>
      </c>
      <c r="I40" s="29">
        <v>62</v>
      </c>
      <c r="J40" s="29">
        <v>28</v>
      </c>
      <c r="K40" s="12" t="s">
        <v>817</v>
      </c>
      <c r="L40" s="12" t="s">
        <v>818</v>
      </c>
      <c r="M40" s="12" t="s">
        <v>37</v>
      </c>
      <c r="N40" s="12" t="s">
        <v>37</v>
      </c>
      <c r="O40" s="12" t="s">
        <v>37</v>
      </c>
      <c r="P40" s="14" t="s">
        <v>84</v>
      </c>
      <c r="Q40" s="11" t="s">
        <v>333</v>
      </c>
      <c r="R40" s="11" t="s">
        <v>37</v>
      </c>
      <c r="S40" s="12" t="s">
        <v>85</v>
      </c>
      <c r="T40" s="12" t="s">
        <v>141</v>
      </c>
      <c r="U40" s="12" t="s">
        <v>334</v>
      </c>
      <c r="V40" s="12" t="s">
        <v>275</v>
      </c>
      <c r="W40" s="23" t="s">
        <v>337</v>
      </c>
      <c r="X40" s="12" t="s">
        <v>281</v>
      </c>
      <c r="Y40" s="12" t="s">
        <v>37</v>
      </c>
      <c r="Z40" s="12" t="s">
        <v>37</v>
      </c>
      <c r="AA40" s="32" t="s">
        <v>338</v>
      </c>
      <c r="AB40" s="12" t="s">
        <v>37</v>
      </c>
      <c r="AC40" s="12" t="s">
        <v>37</v>
      </c>
      <c r="AD40" s="12" t="s">
        <v>238</v>
      </c>
      <c r="AE40" s="12" t="s">
        <v>74</v>
      </c>
      <c r="AF40" s="12" t="s">
        <v>489</v>
      </c>
      <c r="AG40" s="12"/>
      <c r="AH40" s="32"/>
      <c r="AI40" s="12" t="s">
        <v>37</v>
      </c>
      <c r="AJ40" s="12" t="s">
        <v>37</v>
      </c>
      <c r="AK40" s="11" t="s">
        <v>37</v>
      </c>
      <c r="AL40" s="19"/>
      <c r="AM40" s="12" t="s">
        <v>37</v>
      </c>
      <c r="AN40" s="12" t="s">
        <v>37</v>
      </c>
      <c r="AO40" s="13" t="s">
        <v>37</v>
      </c>
      <c r="AP40" s="19"/>
      <c r="AQ40" s="49"/>
      <c r="AR40" s="49"/>
      <c r="AS40" s="32"/>
      <c r="AT40" s="12" t="s">
        <v>37</v>
      </c>
      <c r="AU40" s="12" t="s">
        <v>37</v>
      </c>
      <c r="AV40" s="13" t="s">
        <v>37</v>
      </c>
      <c r="AW40" s="12" t="s">
        <v>37</v>
      </c>
      <c r="AX40" s="12" t="s">
        <v>37</v>
      </c>
      <c r="AY40" s="13" t="s">
        <v>37</v>
      </c>
      <c r="AZ40" s="13"/>
      <c r="BA40" s="13"/>
      <c r="BB40" s="12"/>
      <c r="BC40" s="12" t="s">
        <v>37</v>
      </c>
      <c r="BD40" s="12" t="s">
        <v>37</v>
      </c>
      <c r="BE40" s="13" t="s">
        <v>37</v>
      </c>
      <c r="BF40" s="12" t="s">
        <v>37</v>
      </c>
      <c r="BG40" s="12" t="s">
        <v>37</v>
      </c>
      <c r="BH40" s="12" t="s">
        <v>37</v>
      </c>
      <c r="BI40" s="12"/>
      <c r="BJ40" s="12" t="s">
        <v>37</v>
      </c>
      <c r="BK40" s="12" t="s">
        <v>37</v>
      </c>
      <c r="BL40" s="13" t="s">
        <v>37</v>
      </c>
      <c r="BM40" s="12" t="s">
        <v>37</v>
      </c>
      <c r="BN40" s="12" t="s">
        <v>37</v>
      </c>
      <c r="BO40" s="13" t="s">
        <v>37</v>
      </c>
      <c r="BP40" s="19"/>
      <c r="BQ40" s="19"/>
      <c r="BR40" s="19"/>
      <c r="BS40" s="19"/>
      <c r="BT40" s="12"/>
      <c r="BU40" s="12" t="s">
        <v>37</v>
      </c>
      <c r="BV40" s="12" t="s">
        <v>37</v>
      </c>
      <c r="BW40" s="13" t="s">
        <v>37</v>
      </c>
      <c r="BX40" s="12" t="s">
        <v>37</v>
      </c>
      <c r="BY40" s="12" t="s">
        <v>37</v>
      </c>
      <c r="BZ40" s="13" t="s">
        <v>37</v>
      </c>
      <c r="CA40" s="19"/>
      <c r="CB40" s="19"/>
      <c r="CC40" s="19"/>
      <c r="CD40" s="19"/>
      <c r="CE40" s="12"/>
      <c r="CF40" s="12" t="s">
        <v>37</v>
      </c>
      <c r="CG40" s="12" t="s">
        <v>37</v>
      </c>
      <c r="CH40" s="13" t="s">
        <v>37</v>
      </c>
      <c r="CI40" s="12" t="s">
        <v>37</v>
      </c>
      <c r="CJ40" s="12" t="s">
        <v>37</v>
      </c>
      <c r="CK40" s="13" t="s">
        <v>37</v>
      </c>
      <c r="CL40" s="19"/>
      <c r="CM40" s="19"/>
      <c r="CN40" s="19"/>
      <c r="CO40" s="19"/>
      <c r="CP40" s="11"/>
      <c r="CQ40" s="12" t="s">
        <v>37</v>
      </c>
      <c r="CR40" s="19" t="s">
        <v>37</v>
      </c>
      <c r="CS40" s="12" t="s">
        <v>37</v>
      </c>
      <c r="CT40" s="19"/>
      <c r="CU40" s="12" t="s">
        <v>37</v>
      </c>
      <c r="CV40" s="19" t="s">
        <v>37</v>
      </c>
      <c r="CW40" s="12" t="s">
        <v>37</v>
      </c>
      <c r="CX40" s="19"/>
      <c r="CY40" s="68"/>
      <c r="CZ40" s="68"/>
      <c r="DA40" s="68"/>
      <c r="DB40" s="68"/>
      <c r="DC40" s="15" t="s">
        <v>34</v>
      </c>
      <c r="DD40" s="29">
        <f>4.2/10^3*44/28</f>
        <v>6.6000000000000008E-3</v>
      </c>
      <c r="DE40" s="69">
        <f t="shared" si="222"/>
        <v>4.8302646030249788E-3</v>
      </c>
      <c r="DF40" s="13">
        <v>6</v>
      </c>
      <c r="DG40" s="19"/>
      <c r="DH40" s="29">
        <f>0.7*44/28/10^3</f>
        <v>1.0999999999999998E-3</v>
      </c>
      <c r="DI40" s="69">
        <f t="shared" si="223"/>
        <v>8.2035729661654802E-4</v>
      </c>
      <c r="DJ40" s="13">
        <v>6</v>
      </c>
      <c r="DK40" s="19"/>
      <c r="DL40" s="68">
        <f t="shared" si="205"/>
        <v>-5.5000000000000014E-3</v>
      </c>
      <c r="DM40" s="69">
        <f t="shared" si="228"/>
        <v>0</v>
      </c>
      <c r="DN40" s="87">
        <f t="shared" si="207"/>
        <v>4.0007403715580106E-6</v>
      </c>
      <c r="DO40" s="87">
        <f t="shared" si="208"/>
        <v>4.0007403715580106E-6</v>
      </c>
      <c r="DP40" s="12" t="s">
        <v>39</v>
      </c>
      <c r="DQ40" s="12">
        <v>-2</v>
      </c>
      <c r="DR40" s="60">
        <f t="shared" si="177"/>
        <v>0.80800000000000005</v>
      </c>
      <c r="DS40" s="13">
        <v>6</v>
      </c>
      <c r="DT40" s="19"/>
      <c r="DU40" s="12">
        <v>-25</v>
      </c>
      <c r="DV40" s="60">
        <f t="shared" si="178"/>
        <v>8.6403190617603052</v>
      </c>
      <c r="DW40" s="13">
        <v>6</v>
      </c>
      <c r="DX40" s="19"/>
      <c r="DY40" s="19">
        <f t="shared" si="162"/>
        <v>-23</v>
      </c>
      <c r="DZ40" s="12">
        <f t="shared" si="163"/>
        <v>6.1362846042625208</v>
      </c>
      <c r="EA40" s="72">
        <f t="shared" si="164"/>
        <v>12.551329581503079</v>
      </c>
      <c r="EB40" s="72">
        <f t="shared" si="165"/>
        <v>12.551329581503079</v>
      </c>
      <c r="EC40" s="12"/>
      <c r="ED40" s="12"/>
      <c r="EE40" s="12" t="s">
        <v>37</v>
      </c>
      <c r="EF40" s="12" t="s">
        <v>37</v>
      </c>
      <c r="EG40" s="11" t="s">
        <v>37</v>
      </c>
      <c r="EH40" s="19"/>
      <c r="EI40" s="12" t="s">
        <v>37</v>
      </c>
      <c r="EJ40" s="20" t="s">
        <v>37</v>
      </c>
      <c r="EK40" s="11" t="s">
        <v>37</v>
      </c>
      <c r="EL40" s="19"/>
      <c r="EM40" s="19"/>
      <c r="EN40" s="19"/>
      <c r="EO40" s="19"/>
      <c r="EP40" s="19"/>
      <c r="EQ40" s="32"/>
      <c r="ER40" s="12" t="s">
        <v>37</v>
      </c>
      <c r="ES40" s="12" t="s">
        <v>37</v>
      </c>
      <c r="ET40" s="11" t="s">
        <v>37</v>
      </c>
      <c r="EU40" s="19"/>
      <c r="EV40" s="13" t="s">
        <v>37</v>
      </c>
      <c r="EW40" s="11" t="s">
        <v>37</v>
      </c>
      <c r="EX40" s="11" t="s">
        <v>37</v>
      </c>
      <c r="EY40" s="19"/>
      <c r="EZ40" s="19"/>
      <c r="FA40" s="19"/>
      <c r="FB40" s="19"/>
      <c r="FC40" s="32"/>
      <c r="FD40" s="12" t="s">
        <v>37</v>
      </c>
      <c r="FE40" s="12" t="s">
        <v>37</v>
      </c>
      <c r="FF40" s="11" t="s">
        <v>37</v>
      </c>
      <c r="FG40" s="13" t="s">
        <v>37</v>
      </c>
      <c r="FH40" s="11" t="s">
        <v>37</v>
      </c>
      <c r="FI40" s="11" t="s">
        <v>37</v>
      </c>
      <c r="FJ40" s="19"/>
      <c r="FK40" s="19"/>
      <c r="FL40" s="19"/>
      <c r="FM40" s="32"/>
      <c r="FN40" s="12" t="s">
        <v>37</v>
      </c>
      <c r="FO40" s="12" t="s">
        <v>37</v>
      </c>
      <c r="FP40" s="11" t="s">
        <v>37</v>
      </c>
      <c r="FQ40" s="13" t="s">
        <v>37</v>
      </c>
      <c r="FR40" s="11" t="s">
        <v>37</v>
      </c>
      <c r="FS40" s="11" t="s">
        <v>37</v>
      </c>
      <c r="FT40" s="19"/>
      <c r="FU40" s="19"/>
      <c r="FV40" s="19"/>
      <c r="FW40" s="12"/>
      <c r="FX40" s="12"/>
      <c r="FY40" s="12" t="s">
        <v>37</v>
      </c>
      <c r="FZ40" s="12" t="s">
        <v>37</v>
      </c>
      <c r="GA40" s="13" t="s">
        <v>37</v>
      </c>
      <c r="GB40" s="12" t="s">
        <v>37</v>
      </c>
      <c r="GC40" s="12" t="s">
        <v>37</v>
      </c>
      <c r="GD40" s="13" t="s">
        <v>37</v>
      </c>
      <c r="GE40" s="19"/>
      <c r="GF40" s="19"/>
      <c r="GG40" s="12"/>
      <c r="GH40" s="12"/>
      <c r="GI40" s="12" t="s">
        <v>37</v>
      </c>
      <c r="GJ40" s="12" t="s">
        <v>37</v>
      </c>
      <c r="GK40" s="12" t="s">
        <v>37</v>
      </c>
      <c r="GL40" s="19"/>
      <c r="GM40" s="12" t="s">
        <v>37</v>
      </c>
      <c r="GN40" s="12" t="s">
        <v>37</v>
      </c>
      <c r="GO40" s="12" t="s">
        <v>37</v>
      </c>
      <c r="GP40" s="19"/>
      <c r="GQ40" s="19"/>
      <c r="GR40" s="19"/>
      <c r="GS40" s="17"/>
      <c r="GT40" s="34"/>
      <c r="GU40" s="12" t="s">
        <v>37</v>
      </c>
      <c r="GV40" s="12" t="s">
        <v>37</v>
      </c>
      <c r="GW40" s="12" t="s">
        <v>37</v>
      </c>
      <c r="GX40" s="19"/>
      <c r="GY40" s="12" t="s">
        <v>37</v>
      </c>
      <c r="GZ40" s="12" t="s">
        <v>37</v>
      </c>
      <c r="HA40" s="12" t="s">
        <v>37</v>
      </c>
      <c r="HB40" s="19"/>
      <c r="HC40" s="19"/>
      <c r="HD40" s="19"/>
      <c r="HE40" s="34"/>
      <c r="HF40" s="12" t="s">
        <v>37</v>
      </c>
      <c r="HG40" s="12" t="s">
        <v>37</v>
      </c>
      <c r="HH40" s="13" t="s">
        <v>37</v>
      </c>
      <c r="HI40" s="12" t="s">
        <v>37</v>
      </c>
      <c r="HJ40" s="12" t="s">
        <v>37</v>
      </c>
      <c r="HK40" s="13" t="s">
        <v>37</v>
      </c>
      <c r="HL40" s="13"/>
      <c r="HM40" s="13"/>
      <c r="HN40" s="34"/>
      <c r="HO40" s="12" t="s">
        <v>37</v>
      </c>
      <c r="HP40" s="12" t="s">
        <v>37</v>
      </c>
      <c r="HQ40" s="13" t="s">
        <v>37</v>
      </c>
      <c r="HR40" s="12" t="s">
        <v>37</v>
      </c>
      <c r="HS40" s="12" t="s">
        <v>37</v>
      </c>
      <c r="HT40" s="13" t="s">
        <v>37</v>
      </c>
      <c r="HU40" s="13"/>
      <c r="HV40" s="13"/>
      <c r="HW40" s="12"/>
      <c r="HX40" s="12"/>
      <c r="HY40" s="12" t="s">
        <v>37</v>
      </c>
      <c r="HZ40" s="12" t="s">
        <v>37</v>
      </c>
      <c r="IA40" s="12" t="s">
        <v>37</v>
      </c>
      <c r="IB40" s="12" t="s">
        <v>37</v>
      </c>
      <c r="IC40" s="12" t="s">
        <v>37</v>
      </c>
      <c r="ID40" s="12" t="s">
        <v>37</v>
      </c>
      <c r="IE40" s="12"/>
      <c r="IF40" s="32" t="s">
        <v>340</v>
      </c>
      <c r="IG40" s="12">
        <v>4.0999999999999996</v>
      </c>
      <c r="IH40" s="12" t="s">
        <v>37</v>
      </c>
      <c r="II40" s="13" t="s">
        <v>37</v>
      </c>
      <c r="IJ40" s="19"/>
      <c r="IK40" s="12" t="s">
        <v>37</v>
      </c>
      <c r="IL40" s="12" t="s">
        <v>37</v>
      </c>
      <c r="IM40" s="13" t="s">
        <v>37</v>
      </c>
      <c r="IN40" s="19"/>
      <c r="IO40" s="19"/>
      <c r="IP40" s="19"/>
      <c r="IQ40" s="32"/>
      <c r="IR40" s="12" t="s">
        <v>37</v>
      </c>
      <c r="IS40" s="12" t="s">
        <v>37</v>
      </c>
      <c r="IT40" s="13" t="s">
        <v>37</v>
      </c>
      <c r="IU40" s="12" t="s">
        <v>37</v>
      </c>
      <c r="IV40" s="12" t="s">
        <v>37</v>
      </c>
      <c r="IW40" s="12" t="s">
        <v>37</v>
      </c>
      <c r="IX40" s="32"/>
      <c r="IY40" s="12" t="s">
        <v>37</v>
      </c>
      <c r="IZ40" s="12" t="s">
        <v>37</v>
      </c>
      <c r="JA40" s="13" t="s">
        <v>37</v>
      </c>
      <c r="JB40" s="12" t="s">
        <v>37</v>
      </c>
      <c r="JC40" s="12" t="s">
        <v>37</v>
      </c>
      <c r="JD40" s="12" t="s">
        <v>37</v>
      </c>
      <c r="JE40" s="12"/>
      <c r="JF40" s="12"/>
      <c r="JG40" s="12" t="s">
        <v>37</v>
      </c>
      <c r="JH40" s="12" t="s">
        <v>37</v>
      </c>
      <c r="JI40" s="13" t="s">
        <v>37</v>
      </c>
      <c r="JJ40" s="12" t="s">
        <v>37</v>
      </c>
      <c r="JK40" s="12" t="s">
        <v>37</v>
      </c>
      <c r="JL40" s="12" t="s">
        <v>37</v>
      </c>
      <c r="JM40" s="12" t="s">
        <v>42</v>
      </c>
      <c r="JN40" s="32" t="s">
        <v>340</v>
      </c>
      <c r="JO40" s="12">
        <v>6</v>
      </c>
      <c r="JP40" s="12" t="s">
        <v>37</v>
      </c>
      <c r="JQ40" s="11" t="s">
        <v>37</v>
      </c>
      <c r="JR40" s="19"/>
      <c r="JS40" s="12" t="s">
        <v>37</v>
      </c>
      <c r="JT40" s="12" t="s">
        <v>37</v>
      </c>
      <c r="JU40" s="12" t="s">
        <v>37</v>
      </c>
      <c r="JV40" s="19"/>
      <c r="JW40" s="19"/>
      <c r="JX40" s="19"/>
      <c r="JY40" s="32"/>
      <c r="JZ40" s="12" t="s">
        <v>37</v>
      </c>
      <c r="KA40" s="12" t="s">
        <v>37</v>
      </c>
      <c r="KB40" s="12" t="s">
        <v>37</v>
      </c>
      <c r="KC40" s="12" t="s">
        <v>37</v>
      </c>
      <c r="KD40" s="12" t="s">
        <v>37</v>
      </c>
      <c r="KE40" s="12" t="s">
        <v>37</v>
      </c>
      <c r="KF40" s="12"/>
      <c r="KG40" s="12"/>
      <c r="KH40" s="32"/>
      <c r="KI40" s="12" t="s">
        <v>37</v>
      </c>
      <c r="KJ40" s="12" t="s">
        <v>37</v>
      </c>
      <c r="KK40" s="12" t="s">
        <v>37</v>
      </c>
      <c r="KL40" s="12" t="s">
        <v>37</v>
      </c>
      <c r="KM40" s="12" t="s">
        <v>37</v>
      </c>
      <c r="KN40" s="12" t="s">
        <v>37</v>
      </c>
      <c r="KO40" s="12"/>
      <c r="KP40" s="12"/>
      <c r="KQ40" s="12"/>
      <c r="KR40" s="12"/>
      <c r="KS40" s="12" t="s">
        <v>37</v>
      </c>
      <c r="KT40" s="12" t="s">
        <v>37</v>
      </c>
      <c r="KU40" s="12" t="s">
        <v>37</v>
      </c>
      <c r="KV40" s="19"/>
      <c r="KW40" s="12" t="s">
        <v>37</v>
      </c>
      <c r="KX40" s="12" t="s">
        <v>37</v>
      </c>
      <c r="KY40" s="12" t="s">
        <v>37</v>
      </c>
      <c r="KZ40" s="19"/>
      <c r="LA40" s="19"/>
      <c r="LB40" s="19"/>
      <c r="LC40" s="12"/>
      <c r="LD40" s="12" t="s">
        <v>37</v>
      </c>
      <c r="LE40" s="12" t="s">
        <v>37</v>
      </c>
      <c r="LF40" s="12" t="s">
        <v>37</v>
      </c>
      <c r="LG40" s="19" t="s">
        <v>37</v>
      </c>
      <c r="LH40" s="19" t="s">
        <v>37</v>
      </c>
      <c r="LI40" s="12" t="s">
        <v>37</v>
      </c>
      <c r="LJ40" s="12"/>
      <c r="LK40" s="12"/>
      <c r="LL40" s="12"/>
      <c r="LM40" s="12" t="s">
        <v>37</v>
      </c>
      <c r="LN40" s="12" t="s">
        <v>37</v>
      </c>
      <c r="LO40" s="12" t="s">
        <v>37</v>
      </c>
      <c r="LP40" s="12" t="s">
        <v>37</v>
      </c>
      <c r="LQ40" s="12" t="s">
        <v>37</v>
      </c>
      <c r="LR40" s="12" t="s">
        <v>37</v>
      </c>
      <c r="LS40" s="12" t="s">
        <v>102</v>
      </c>
      <c r="LT40" s="12" t="s">
        <v>340</v>
      </c>
      <c r="LU40" s="12">
        <v>12.675900277008315</v>
      </c>
      <c r="LV40" s="12">
        <v>4.7557220414541597</v>
      </c>
      <c r="LW40" s="13">
        <v>6</v>
      </c>
      <c r="LX40" s="12">
        <v>39.482917820867975</v>
      </c>
      <c r="LY40" s="12">
        <v>10.49605083636779</v>
      </c>
      <c r="LZ40" s="13">
        <v>6</v>
      </c>
      <c r="MA40" s="19">
        <f t="shared" si="224"/>
        <v>1.1361655434112379</v>
      </c>
      <c r="MB40" s="19">
        <f t="shared" si="225"/>
        <v>3.5238072816311694E-2</v>
      </c>
      <c r="MC40" s="12" t="s">
        <v>102</v>
      </c>
      <c r="MD40" s="12" t="s">
        <v>340</v>
      </c>
      <c r="ME40" s="12">
        <v>0.31965145388022354</v>
      </c>
      <c r="MF40" s="12">
        <v>7.1539445412528685E-2</v>
      </c>
      <c r="MG40" s="13">
        <v>6</v>
      </c>
      <c r="MH40" s="12">
        <v>0.24109086240802016</v>
      </c>
      <c r="MI40" s="12">
        <v>3.2499394994557153E-2</v>
      </c>
      <c r="MJ40" s="13">
        <v>6</v>
      </c>
      <c r="MK40" s="19">
        <f t="shared" si="226"/>
        <v>-0.28205731067737744</v>
      </c>
      <c r="ML40" s="19">
        <f t="shared" si="227"/>
        <v>1.1376649702311104E-2</v>
      </c>
      <c r="MM40" s="12"/>
      <c r="MN40" s="12"/>
      <c r="MO40" s="12" t="s">
        <v>37</v>
      </c>
      <c r="MP40" s="12" t="s">
        <v>37</v>
      </c>
      <c r="MQ40" s="12" t="s">
        <v>37</v>
      </c>
      <c r="MR40" s="12" t="s">
        <v>37</v>
      </c>
      <c r="MS40" s="12" t="s">
        <v>37</v>
      </c>
      <c r="MT40" s="12" t="s">
        <v>37</v>
      </c>
      <c r="MU40" s="12"/>
      <c r="MV40" s="12"/>
      <c r="MW40" s="12"/>
      <c r="MX40" s="12"/>
      <c r="MY40" s="12" t="s">
        <v>37</v>
      </c>
      <c r="MZ40" s="12" t="s">
        <v>37</v>
      </c>
      <c r="NA40" s="12" t="s">
        <v>37</v>
      </c>
      <c r="NB40" s="12" t="s">
        <v>37</v>
      </c>
      <c r="NC40" s="12" t="s">
        <v>37</v>
      </c>
      <c r="ND40" s="12" t="s">
        <v>37</v>
      </c>
      <c r="NE40" s="12"/>
      <c r="NF40" s="12"/>
      <c r="NG40" s="12"/>
      <c r="NH40" s="12"/>
      <c r="NI40" s="12" t="s">
        <v>37</v>
      </c>
      <c r="NJ40" s="12" t="s">
        <v>37</v>
      </c>
      <c r="NK40" s="13" t="s">
        <v>37</v>
      </c>
      <c r="NL40" s="12" t="s">
        <v>37</v>
      </c>
      <c r="NM40" s="12" t="s">
        <v>37</v>
      </c>
      <c r="NN40" s="13" t="s">
        <v>37</v>
      </c>
      <c r="NO40" s="13"/>
      <c r="NP40" s="13"/>
      <c r="NQ40" s="12"/>
      <c r="NR40" s="12"/>
      <c r="NS40" s="11" t="s">
        <v>37</v>
      </c>
      <c r="NT40" s="11" t="s">
        <v>37</v>
      </c>
      <c r="NU40" s="13" t="s">
        <v>37</v>
      </c>
      <c r="NV40" s="11" t="s">
        <v>37</v>
      </c>
      <c r="NW40" s="11" t="s">
        <v>37</v>
      </c>
      <c r="NX40" s="13" t="s">
        <v>37</v>
      </c>
      <c r="NY40" s="13"/>
      <c r="NZ40" s="13"/>
      <c r="OA40" s="12"/>
      <c r="OB40" s="12"/>
      <c r="OC40" s="12" t="s">
        <v>37</v>
      </c>
      <c r="OD40" s="12" t="s">
        <v>37</v>
      </c>
      <c r="OE40" s="12" t="s">
        <v>37</v>
      </c>
      <c r="OF40" s="12" t="s">
        <v>37</v>
      </c>
      <c r="OG40" s="12" t="s">
        <v>37</v>
      </c>
      <c r="OH40" s="12" t="s">
        <v>37</v>
      </c>
      <c r="OI40" s="12"/>
      <c r="OJ40" s="12"/>
      <c r="OK40" s="12"/>
      <c r="OL40" s="12" t="s">
        <v>37</v>
      </c>
      <c r="OM40" s="12" t="s">
        <v>37</v>
      </c>
      <c r="ON40" s="11" t="s">
        <v>37</v>
      </c>
      <c r="OO40" s="12" t="s">
        <v>37</v>
      </c>
      <c r="OP40" s="12" t="s">
        <v>37</v>
      </c>
      <c r="OQ40" s="12" t="s">
        <v>37</v>
      </c>
      <c r="OR40" s="12"/>
      <c r="OS40" s="12" t="s">
        <v>37</v>
      </c>
      <c r="OT40" s="12" t="s">
        <v>37</v>
      </c>
      <c r="OU40" s="12" t="s">
        <v>37</v>
      </c>
      <c r="OV40" s="12" t="s">
        <v>37</v>
      </c>
      <c r="OW40" s="12" t="s">
        <v>37</v>
      </c>
      <c r="OX40" s="12" t="s">
        <v>37</v>
      </c>
      <c r="OY40" s="12"/>
      <c r="OZ40" s="12"/>
      <c r="PA40" s="12" t="s">
        <v>37</v>
      </c>
      <c r="PB40" s="12" t="s">
        <v>37</v>
      </c>
      <c r="PC40" s="12" t="s">
        <v>37</v>
      </c>
      <c r="PD40" s="12" t="s">
        <v>37</v>
      </c>
      <c r="PE40" s="12" t="s">
        <v>37</v>
      </c>
      <c r="PF40" s="12" t="s">
        <v>37</v>
      </c>
      <c r="PG40" s="12"/>
      <c r="PH40" s="12"/>
      <c r="PI40" s="12" t="s">
        <v>37</v>
      </c>
      <c r="PJ40" s="12" t="s">
        <v>37</v>
      </c>
      <c r="PK40" s="12" t="s">
        <v>37</v>
      </c>
      <c r="PL40" s="12" t="s">
        <v>37</v>
      </c>
      <c r="PM40" s="12" t="s">
        <v>37</v>
      </c>
      <c r="PN40" s="12" t="s">
        <v>37</v>
      </c>
      <c r="PO40" s="12"/>
      <c r="PP40" s="12"/>
      <c r="PQ40" s="12" t="s">
        <v>37</v>
      </c>
      <c r="PR40" s="12" t="s">
        <v>37</v>
      </c>
      <c r="PS40" s="12" t="s">
        <v>37</v>
      </c>
      <c r="PT40" s="12" t="s">
        <v>37</v>
      </c>
      <c r="PU40" s="12" t="s">
        <v>37</v>
      </c>
      <c r="PV40" s="12" t="s">
        <v>37</v>
      </c>
      <c r="PW40" s="12"/>
      <c r="PX40" s="12"/>
      <c r="PY40" s="12" t="s">
        <v>37</v>
      </c>
      <c r="PZ40" s="12" t="s">
        <v>37</v>
      </c>
      <c r="QA40" s="12" t="s">
        <v>37</v>
      </c>
      <c r="QB40" s="12" t="s">
        <v>37</v>
      </c>
      <c r="QC40" s="12" t="s">
        <v>37</v>
      </c>
      <c r="QD40" s="12" t="s">
        <v>37</v>
      </c>
      <c r="QE40" s="12"/>
      <c r="QF40" s="12"/>
      <c r="QG40" s="12" t="s">
        <v>37</v>
      </c>
      <c r="QH40" s="12" t="s">
        <v>37</v>
      </c>
      <c r="QI40" s="12" t="s">
        <v>37</v>
      </c>
      <c r="QJ40" s="12" t="s">
        <v>37</v>
      </c>
      <c r="QK40" s="12" t="s">
        <v>37</v>
      </c>
      <c r="QL40" s="12" t="s">
        <v>37</v>
      </c>
      <c r="QM40" s="12"/>
      <c r="QN40" s="12"/>
      <c r="QO40" s="12" t="s">
        <v>37</v>
      </c>
      <c r="QP40" s="12" t="s">
        <v>37</v>
      </c>
      <c r="QQ40" s="12" t="s">
        <v>37</v>
      </c>
      <c r="QR40" s="12" t="s">
        <v>37</v>
      </c>
      <c r="QS40" s="12" t="s">
        <v>37</v>
      </c>
      <c r="QT40" s="12" t="s">
        <v>37</v>
      </c>
      <c r="QU40" s="12"/>
      <c r="QV40" s="12"/>
      <c r="QW40" s="12"/>
      <c r="QX40" s="12"/>
      <c r="QY40" s="12" t="s">
        <v>37</v>
      </c>
      <c r="QZ40" s="12" t="s">
        <v>37</v>
      </c>
      <c r="RA40" s="12" t="s">
        <v>37</v>
      </c>
      <c r="RB40" s="12" t="s">
        <v>37</v>
      </c>
      <c r="RC40" s="12" t="s">
        <v>37</v>
      </c>
      <c r="RD40" s="12" t="s">
        <v>37</v>
      </c>
      <c r="RE40" s="12"/>
      <c r="RF40" s="12"/>
      <c r="RG40" s="12"/>
      <c r="RH40" s="12"/>
      <c r="RI40" s="12" t="s">
        <v>37</v>
      </c>
      <c r="RJ40" s="12" t="s">
        <v>37</v>
      </c>
      <c r="RK40" s="11" t="s">
        <v>37</v>
      </c>
      <c r="RL40" s="12" t="s">
        <v>37</v>
      </c>
      <c r="RM40" s="12" t="s">
        <v>37</v>
      </c>
      <c r="RN40" s="11" t="s">
        <v>37</v>
      </c>
      <c r="RO40" s="11"/>
      <c r="RP40" s="11"/>
      <c r="RQ40" s="12"/>
      <c r="RR40" s="12"/>
      <c r="RS40" s="12" t="s">
        <v>37</v>
      </c>
      <c r="RT40" s="12" t="s">
        <v>37</v>
      </c>
      <c r="RU40" s="11" t="s">
        <v>37</v>
      </c>
      <c r="RV40" s="12" t="s">
        <v>37</v>
      </c>
      <c r="RW40" s="12" t="s">
        <v>37</v>
      </c>
      <c r="RX40" s="11" t="s">
        <v>37</v>
      </c>
      <c r="RY40" s="11"/>
      <c r="RZ40" s="11"/>
      <c r="SA40" s="12"/>
      <c r="SB40" s="12"/>
      <c r="SC40" s="12" t="s">
        <v>37</v>
      </c>
      <c r="SD40" s="12" t="s">
        <v>37</v>
      </c>
      <c r="SE40" s="12" t="s">
        <v>37</v>
      </c>
      <c r="SF40" s="12" t="s">
        <v>37</v>
      </c>
      <c r="SG40" s="12" t="s">
        <v>37</v>
      </c>
      <c r="SH40" s="12" t="s">
        <v>37</v>
      </c>
      <c r="SI40" s="12"/>
      <c r="SJ40" s="12"/>
      <c r="SK40" s="12"/>
      <c r="SL40" s="12"/>
      <c r="SM40" s="12" t="s">
        <v>37</v>
      </c>
      <c r="SN40" s="12" t="s">
        <v>37</v>
      </c>
      <c r="SO40" s="12" t="s">
        <v>37</v>
      </c>
      <c r="SP40" s="12" t="s">
        <v>37</v>
      </c>
      <c r="SQ40" s="12" t="s">
        <v>37</v>
      </c>
      <c r="SR40" s="12" t="s">
        <v>37</v>
      </c>
      <c r="SS40" s="12"/>
      <c r="ST40" s="12"/>
      <c r="SU40" s="12"/>
      <c r="SV40" s="12"/>
      <c r="SW40" s="12" t="s">
        <v>37</v>
      </c>
      <c r="SX40" s="12" t="s">
        <v>37</v>
      </c>
      <c r="SY40" s="12" t="s">
        <v>37</v>
      </c>
      <c r="SZ40" s="12" t="s">
        <v>37</v>
      </c>
      <c r="TA40" s="12" t="s">
        <v>37</v>
      </c>
      <c r="TB40" s="12" t="s">
        <v>37</v>
      </c>
      <c r="TC40" s="12"/>
      <c r="TD40" s="12"/>
      <c r="TE40" s="12"/>
      <c r="TF40" s="12"/>
      <c r="TG40" s="13" t="s">
        <v>37</v>
      </c>
      <c r="TH40" s="13" t="s">
        <v>37</v>
      </c>
      <c r="TI40" s="13" t="s">
        <v>37</v>
      </c>
      <c r="TJ40" s="13" t="s">
        <v>37</v>
      </c>
      <c r="TK40" s="13" t="s">
        <v>37</v>
      </c>
      <c r="TL40" s="13" t="s">
        <v>37</v>
      </c>
      <c r="TM40" s="13"/>
      <c r="TN40" s="13"/>
      <c r="TO40" s="12"/>
      <c r="TP40" s="12"/>
      <c r="TQ40" s="13" t="s">
        <v>37</v>
      </c>
      <c r="TR40" s="13" t="s">
        <v>37</v>
      </c>
      <c r="TS40" s="13" t="s">
        <v>37</v>
      </c>
      <c r="TT40" s="19"/>
      <c r="TU40" s="13" t="s">
        <v>37</v>
      </c>
      <c r="TV40" s="13" t="s">
        <v>37</v>
      </c>
      <c r="TW40" s="13" t="s">
        <v>37</v>
      </c>
    </row>
    <row r="41" spans="1:546" ht="15.6" x14ac:dyDescent="0.3">
      <c r="A41" s="11">
        <v>16</v>
      </c>
      <c r="B41" s="16" t="s">
        <v>368</v>
      </c>
      <c r="C41" s="12" t="s">
        <v>31</v>
      </c>
      <c r="D41" s="14" t="s">
        <v>609</v>
      </c>
      <c r="E41" s="14" t="s">
        <v>37</v>
      </c>
      <c r="F41" s="14">
        <v>0</v>
      </c>
      <c r="G41" s="14">
        <v>0</v>
      </c>
      <c r="H41" s="12" t="s">
        <v>96</v>
      </c>
      <c r="I41" s="29">
        <v>56.156999999999996</v>
      </c>
      <c r="J41" s="29">
        <v>10.212</v>
      </c>
      <c r="K41" s="12" t="s">
        <v>819</v>
      </c>
      <c r="L41" s="12" t="s">
        <v>820</v>
      </c>
      <c r="M41" s="12" t="s">
        <v>37</v>
      </c>
      <c r="N41" s="12" t="s">
        <v>37</v>
      </c>
      <c r="O41" s="12" t="s">
        <v>37</v>
      </c>
      <c r="P41" s="14" t="s">
        <v>16</v>
      </c>
      <c r="Q41" s="11" t="s">
        <v>227</v>
      </c>
      <c r="R41" s="11" t="s">
        <v>37</v>
      </c>
      <c r="S41" s="12" t="s">
        <v>51</v>
      </c>
      <c r="T41" s="12" t="s">
        <v>37</v>
      </c>
      <c r="U41" s="12" t="s">
        <v>37</v>
      </c>
      <c r="V41" s="12" t="s">
        <v>37</v>
      </c>
      <c r="W41" s="23" t="s">
        <v>369</v>
      </c>
      <c r="X41" s="12" t="s">
        <v>283</v>
      </c>
      <c r="Y41" s="12" t="s">
        <v>37</v>
      </c>
      <c r="Z41" s="12" t="s">
        <v>37</v>
      </c>
      <c r="AA41" s="32" t="s">
        <v>561</v>
      </c>
      <c r="AB41" s="12" t="s">
        <v>37</v>
      </c>
      <c r="AC41" s="12" t="s">
        <v>37</v>
      </c>
      <c r="AD41" s="12" t="s">
        <v>370</v>
      </c>
      <c r="AE41" s="12" t="s">
        <v>74</v>
      </c>
      <c r="AF41" s="12" t="s">
        <v>483</v>
      </c>
      <c r="AG41" s="12"/>
      <c r="AH41" s="32"/>
      <c r="AI41" s="12" t="s">
        <v>37</v>
      </c>
      <c r="AJ41" s="12" t="s">
        <v>37</v>
      </c>
      <c r="AK41" s="11" t="s">
        <v>37</v>
      </c>
      <c r="AL41" s="19"/>
      <c r="AM41" s="12" t="s">
        <v>37</v>
      </c>
      <c r="AN41" s="12" t="s">
        <v>37</v>
      </c>
      <c r="AO41" s="13" t="s">
        <v>37</v>
      </c>
      <c r="AP41" s="19"/>
      <c r="AQ41" s="49"/>
      <c r="AR41" s="49"/>
      <c r="AS41" s="32"/>
      <c r="AT41" s="12" t="s">
        <v>37</v>
      </c>
      <c r="AU41" s="12" t="s">
        <v>37</v>
      </c>
      <c r="AV41" s="13" t="s">
        <v>37</v>
      </c>
      <c r="AW41" s="12" t="s">
        <v>37</v>
      </c>
      <c r="AX41" s="12" t="s">
        <v>37</v>
      </c>
      <c r="AY41" s="13" t="s">
        <v>37</v>
      </c>
      <c r="AZ41" s="13"/>
      <c r="BA41" s="13"/>
      <c r="BB41" s="12"/>
      <c r="BC41" s="12" t="s">
        <v>37</v>
      </c>
      <c r="BD41" s="12" t="s">
        <v>37</v>
      </c>
      <c r="BE41" s="13" t="s">
        <v>37</v>
      </c>
      <c r="BF41" s="12" t="s">
        <v>37</v>
      </c>
      <c r="BG41" s="12" t="s">
        <v>37</v>
      </c>
      <c r="BH41" s="12" t="s">
        <v>37</v>
      </c>
      <c r="BI41" s="12"/>
      <c r="BJ41" s="12" t="s">
        <v>37</v>
      </c>
      <c r="BK41" s="12" t="s">
        <v>37</v>
      </c>
      <c r="BL41" s="12" t="s">
        <v>37</v>
      </c>
      <c r="BM41" s="12" t="s">
        <v>37</v>
      </c>
      <c r="BN41" s="12" t="s">
        <v>37</v>
      </c>
      <c r="BO41" s="12" t="s">
        <v>37</v>
      </c>
      <c r="BP41" s="19"/>
      <c r="BQ41" s="19"/>
      <c r="BR41" s="19"/>
      <c r="BS41" s="19"/>
      <c r="BT41" s="12"/>
      <c r="BU41" s="12" t="s">
        <v>37</v>
      </c>
      <c r="BV41" s="12" t="s">
        <v>37</v>
      </c>
      <c r="BW41" s="12" t="s">
        <v>37</v>
      </c>
      <c r="BX41" s="12" t="s">
        <v>37</v>
      </c>
      <c r="BY41" s="12" t="s">
        <v>37</v>
      </c>
      <c r="BZ41" s="12" t="s">
        <v>37</v>
      </c>
      <c r="CA41" s="19"/>
      <c r="CB41" s="19"/>
      <c r="CC41" s="19"/>
      <c r="CD41" s="19"/>
      <c r="CE41" s="12"/>
      <c r="CF41" s="12" t="s">
        <v>37</v>
      </c>
      <c r="CG41" s="12" t="s">
        <v>37</v>
      </c>
      <c r="CH41" s="12" t="s">
        <v>37</v>
      </c>
      <c r="CI41" s="12" t="s">
        <v>37</v>
      </c>
      <c r="CJ41" s="12" t="s">
        <v>37</v>
      </c>
      <c r="CK41" s="12" t="s">
        <v>37</v>
      </c>
      <c r="CL41" s="19"/>
      <c r="CM41" s="19"/>
      <c r="CN41" s="19"/>
      <c r="CO41" s="19"/>
      <c r="CP41" s="11" t="s">
        <v>34</v>
      </c>
      <c r="CQ41" s="12">
        <v>284</v>
      </c>
      <c r="CR41" s="19">
        <f>46*SQRT(6)</f>
        <v>112.67652816802618</v>
      </c>
      <c r="CS41" s="13">
        <v>6</v>
      </c>
      <c r="CT41" s="52">
        <f t="shared" ref="CT41:CT43" si="229">CR41/ABS(CQ41)</f>
        <v>0.39674833861981051</v>
      </c>
      <c r="CU41" s="12">
        <v>52</v>
      </c>
      <c r="CV41" s="19">
        <f>10*SQRT(6)</f>
        <v>24.494897427831781</v>
      </c>
      <c r="CW41" s="13">
        <v>6</v>
      </c>
      <c r="CX41" s="52">
        <f t="shared" ref="CX41:CX42" si="230">CV41/ABS(CU41)</f>
        <v>0.47105571976599581</v>
      </c>
      <c r="CY41" s="68">
        <f t="shared" ref="CY41:CY43" si="231">CU41-CQ41</f>
        <v>-232</v>
      </c>
      <c r="CZ41" s="12">
        <f t="shared" ref="CZ41:CZ46" si="232">SQRT(((CS41-1)*CR41^2+(CW41-1)*CV41^2)/(CS41+CW41-2))</f>
        <v>81.535268442558035</v>
      </c>
      <c r="DA41" s="72">
        <f t="shared" ref="DA41:DA46" si="233">(((CS41+CW41)/(CS41*CW41))*(((CS41-1)*CR41^2)+(CW41-1)*CV41^2)/(CS41+CW41-2))</f>
        <v>2216</v>
      </c>
      <c r="DB41" s="72">
        <f t="shared" ref="DB41:DB46" si="234">(CR41^2/CS41)+(CV41^2/CW41)</f>
        <v>2215.9999999999995</v>
      </c>
      <c r="DC41" s="11"/>
      <c r="DD41" s="12" t="s">
        <v>37</v>
      </c>
      <c r="DE41" s="68" t="s">
        <v>37</v>
      </c>
      <c r="DF41" s="12" t="s">
        <v>37</v>
      </c>
      <c r="DG41" s="19"/>
      <c r="DH41" s="12" t="s">
        <v>37</v>
      </c>
      <c r="DI41" s="68" t="s">
        <v>37</v>
      </c>
      <c r="DJ41" s="12" t="s">
        <v>37</v>
      </c>
      <c r="DK41" s="19"/>
      <c r="DL41" s="68"/>
      <c r="DM41" s="68"/>
      <c r="DN41" s="68"/>
      <c r="DO41" s="68"/>
      <c r="DP41" s="12" t="s">
        <v>39</v>
      </c>
      <c r="DQ41" s="12">
        <v>0</v>
      </c>
      <c r="DR41" s="60">
        <f t="shared" si="177"/>
        <v>0</v>
      </c>
      <c r="DS41" s="13">
        <v>6</v>
      </c>
      <c r="DT41" s="19"/>
      <c r="DU41" s="12">
        <v>-10</v>
      </c>
      <c r="DV41" s="60">
        <f t="shared" si="178"/>
        <v>3.4561276247041222</v>
      </c>
      <c r="DW41" s="13">
        <v>6</v>
      </c>
      <c r="DX41" s="19"/>
      <c r="DY41" s="19">
        <f t="shared" si="162"/>
        <v>-10</v>
      </c>
      <c r="DZ41" s="12">
        <f t="shared" si="163"/>
        <v>2.4438512800744401</v>
      </c>
      <c r="EA41" s="72">
        <f t="shared" si="164"/>
        <v>1.9908030263738261</v>
      </c>
      <c r="EB41" s="72">
        <f t="shared" si="165"/>
        <v>1.9908030263738263</v>
      </c>
      <c r="EC41" s="12" t="s">
        <v>132</v>
      </c>
      <c r="ED41" s="12" t="s">
        <v>339</v>
      </c>
      <c r="EE41" s="12">
        <v>46.536072623029199</v>
      </c>
      <c r="EF41" s="12">
        <v>14.472543132582219</v>
      </c>
      <c r="EG41" s="11">
        <v>6</v>
      </c>
      <c r="EH41" s="19">
        <f t="shared" ref="EH41:EH42" si="235">EF41/EE41</f>
        <v>0.31099622973813706</v>
      </c>
      <c r="EI41" s="12">
        <v>75.203057811753524</v>
      </c>
      <c r="EJ41" s="20">
        <v>7.4640259994913123</v>
      </c>
      <c r="EK41" s="11">
        <v>6</v>
      </c>
      <c r="EL41" s="19">
        <f t="shared" ref="EL41:EL42" si="236">EJ41/EI41</f>
        <v>9.9251629078369152E-2</v>
      </c>
      <c r="EM41" s="19">
        <f t="shared" ref="EM41:EM42" si="237">EI41-EE41</f>
        <v>28.666985188724325</v>
      </c>
      <c r="EN41" s="12">
        <f t="shared" ref="EN41:EN42" si="238">SQRT(((EG41-1)*EF41^2+(EK41-1)*EJ41^2)/(EG41+EK41-2))</f>
        <v>11.514473258589273</v>
      </c>
      <c r="EO41" s="72">
        <f t="shared" ref="EO41:EO42" si="239">(((EG41+EK41)/(EG41*EK41))*(((EG41-1)*EF41^2)+(EK41-1)*EJ41^2)/(EG41+EK41-2))</f>
        <v>44.194364807589167</v>
      </c>
      <c r="EP41" s="72">
        <f t="shared" ref="EP41:EP42" si="240">(EF41^2/EG41)+(EJ41^2/EK41)</f>
        <v>44.194364807589167</v>
      </c>
      <c r="EQ41" s="32"/>
      <c r="ER41" s="12" t="s">
        <v>37</v>
      </c>
      <c r="ES41" s="12" t="s">
        <v>37</v>
      </c>
      <c r="ET41" s="11" t="s">
        <v>37</v>
      </c>
      <c r="EU41" s="19"/>
      <c r="EV41" s="13" t="s">
        <v>37</v>
      </c>
      <c r="EW41" s="11" t="s">
        <v>37</v>
      </c>
      <c r="EX41" s="11" t="s">
        <v>37</v>
      </c>
      <c r="EY41" s="19"/>
      <c r="EZ41" s="19"/>
      <c r="FA41" s="19"/>
      <c r="FB41" s="19"/>
      <c r="FC41" s="32"/>
      <c r="FD41" s="12" t="s">
        <v>37</v>
      </c>
      <c r="FE41" s="12" t="s">
        <v>37</v>
      </c>
      <c r="FF41" s="11" t="s">
        <v>37</v>
      </c>
      <c r="FG41" s="13" t="s">
        <v>37</v>
      </c>
      <c r="FH41" s="11" t="s">
        <v>37</v>
      </c>
      <c r="FI41" s="11" t="s">
        <v>37</v>
      </c>
      <c r="FJ41" s="19"/>
      <c r="FK41" s="19"/>
      <c r="FL41" s="19"/>
      <c r="FM41" s="32"/>
      <c r="FN41" s="12" t="s">
        <v>37</v>
      </c>
      <c r="FO41" s="12" t="s">
        <v>37</v>
      </c>
      <c r="FP41" s="11" t="s">
        <v>37</v>
      </c>
      <c r="FQ41" s="13" t="s">
        <v>37</v>
      </c>
      <c r="FR41" s="11" t="s">
        <v>37</v>
      </c>
      <c r="FS41" s="11" t="s">
        <v>37</v>
      </c>
      <c r="FT41" s="19"/>
      <c r="FU41" s="19"/>
      <c r="FV41" s="19"/>
      <c r="FW41" s="12" t="s">
        <v>101</v>
      </c>
      <c r="FX41" s="12" t="s">
        <v>345</v>
      </c>
      <c r="FY41" s="12">
        <v>75.099999999999994</v>
      </c>
      <c r="FZ41" s="12">
        <f>1.4*SQRT(6)</f>
        <v>3.4292856398964489</v>
      </c>
      <c r="GA41" s="13">
        <v>6</v>
      </c>
      <c r="GB41" s="12">
        <v>66.7</v>
      </c>
      <c r="GC41" s="12">
        <f>0.6*SQRT(6)</f>
        <v>1.4696938456699067</v>
      </c>
      <c r="GD41" s="13">
        <v>6</v>
      </c>
      <c r="GE41" s="19">
        <f t="shared" ref="GE41:GE42" si="241">LN(GB41/FY41)</f>
        <v>-0.11861560584851087</v>
      </c>
      <c r="GF41" s="19">
        <f t="shared" ref="GF41:GF42" si="242">GC41^2/(GD41*GB41^2)+FZ41^2/(GA41*FY41^2)</f>
        <v>4.2843617504088275E-4</v>
      </c>
      <c r="GG41" s="12"/>
      <c r="GH41" s="12"/>
      <c r="GI41" s="12" t="s">
        <v>37</v>
      </c>
      <c r="GJ41" s="12" t="s">
        <v>37</v>
      </c>
      <c r="GK41" s="12" t="s">
        <v>37</v>
      </c>
      <c r="GL41" s="19"/>
      <c r="GM41" s="12" t="s">
        <v>37</v>
      </c>
      <c r="GN41" s="12" t="s">
        <v>37</v>
      </c>
      <c r="GO41" s="12" t="s">
        <v>37</v>
      </c>
      <c r="GP41" s="19"/>
      <c r="GQ41" s="19"/>
      <c r="GR41" s="19"/>
      <c r="GS41" s="17"/>
      <c r="GT41" s="34"/>
      <c r="GU41" s="12" t="s">
        <v>37</v>
      </c>
      <c r="GV41" s="12" t="s">
        <v>37</v>
      </c>
      <c r="GW41" s="12" t="s">
        <v>37</v>
      </c>
      <c r="GX41" s="19"/>
      <c r="GY41" s="12" t="s">
        <v>37</v>
      </c>
      <c r="GZ41" s="12" t="s">
        <v>37</v>
      </c>
      <c r="HA41" s="12" t="s">
        <v>37</v>
      </c>
      <c r="HB41" s="19"/>
      <c r="HC41" s="19"/>
      <c r="HD41" s="19"/>
      <c r="HE41" s="34"/>
      <c r="HF41" s="12" t="s">
        <v>37</v>
      </c>
      <c r="HG41" s="12" t="s">
        <v>37</v>
      </c>
      <c r="HH41" s="13" t="s">
        <v>37</v>
      </c>
      <c r="HI41" s="12" t="s">
        <v>37</v>
      </c>
      <c r="HJ41" s="12" t="s">
        <v>37</v>
      </c>
      <c r="HK41" s="13" t="s">
        <v>37</v>
      </c>
      <c r="HL41" s="13"/>
      <c r="HM41" s="13"/>
      <c r="HN41" s="34"/>
      <c r="HO41" s="12" t="s">
        <v>37</v>
      </c>
      <c r="HP41" s="12" t="s">
        <v>37</v>
      </c>
      <c r="HQ41" s="13" t="s">
        <v>37</v>
      </c>
      <c r="HR41" s="12" t="s">
        <v>37</v>
      </c>
      <c r="HS41" s="12" t="s">
        <v>37</v>
      </c>
      <c r="HT41" s="13" t="s">
        <v>37</v>
      </c>
      <c r="HU41" s="13"/>
      <c r="HV41" s="13"/>
      <c r="HW41" s="12"/>
      <c r="HX41" s="12"/>
      <c r="HY41" s="12" t="s">
        <v>37</v>
      </c>
      <c r="HZ41" s="12" t="s">
        <v>37</v>
      </c>
      <c r="IA41" s="12" t="s">
        <v>37</v>
      </c>
      <c r="IB41" s="12" t="s">
        <v>37</v>
      </c>
      <c r="IC41" s="12" t="s">
        <v>37</v>
      </c>
      <c r="ID41" s="12" t="s">
        <v>37</v>
      </c>
      <c r="IE41" s="12"/>
      <c r="IF41" s="32" t="s">
        <v>345</v>
      </c>
      <c r="IG41" s="12">
        <v>8.1999999999999993</v>
      </c>
      <c r="IH41" s="12">
        <f>0.1*SQRT(6)</f>
        <v>0.2449489742783178</v>
      </c>
      <c r="II41" s="13">
        <v>6</v>
      </c>
      <c r="IJ41" s="19">
        <f t="shared" ref="IJ41:IJ42" si="243">IH41/IG41</f>
        <v>2.9871826131502174E-2</v>
      </c>
      <c r="IK41" s="12">
        <v>8.5</v>
      </c>
      <c r="IL41" s="12">
        <f>0.2*SQRT(6)</f>
        <v>0.4898979485566356</v>
      </c>
      <c r="IM41" s="13">
        <v>6</v>
      </c>
      <c r="IN41" s="19">
        <f t="shared" ref="IN41:IN42" si="244">IL41/IK41</f>
        <v>5.7635052771368891E-2</v>
      </c>
      <c r="IO41" s="19">
        <f t="shared" ref="IO41:IO42" si="245">LN(IK41/IG41)</f>
        <v>3.593200922606337E-2</v>
      </c>
      <c r="IP41" s="19">
        <f t="shared" ref="IP41:IP42" si="246">IL41^2/(IM41*IK41^2)+IH41^2/(II41*IG41^2)</f>
        <v>7.0235421739819556E-4</v>
      </c>
      <c r="IQ41" s="32"/>
      <c r="IR41" s="12" t="s">
        <v>37</v>
      </c>
      <c r="IS41" s="12" t="s">
        <v>37</v>
      </c>
      <c r="IT41" s="13" t="s">
        <v>37</v>
      </c>
      <c r="IU41" s="12" t="s">
        <v>37</v>
      </c>
      <c r="IV41" s="12" t="s">
        <v>37</v>
      </c>
      <c r="IW41" s="12" t="s">
        <v>37</v>
      </c>
      <c r="IX41" s="32"/>
      <c r="IY41" s="12" t="s">
        <v>37</v>
      </c>
      <c r="IZ41" s="12" t="s">
        <v>37</v>
      </c>
      <c r="JA41" s="13" t="s">
        <v>37</v>
      </c>
      <c r="JB41" s="12" t="s">
        <v>37</v>
      </c>
      <c r="JC41" s="12" t="s">
        <v>37</v>
      </c>
      <c r="JD41" s="12" t="s">
        <v>37</v>
      </c>
      <c r="JE41" s="12"/>
      <c r="JF41" s="12"/>
      <c r="JG41" s="12" t="s">
        <v>37</v>
      </c>
      <c r="JH41" s="12" t="s">
        <v>37</v>
      </c>
      <c r="JI41" s="13" t="s">
        <v>37</v>
      </c>
      <c r="JJ41" s="12" t="s">
        <v>37</v>
      </c>
      <c r="JK41" s="12" t="s">
        <v>37</v>
      </c>
      <c r="JL41" s="12" t="s">
        <v>37</v>
      </c>
      <c r="JM41" s="12"/>
      <c r="JN41" s="32" t="s">
        <v>37</v>
      </c>
      <c r="JO41" s="12" t="s">
        <v>37</v>
      </c>
      <c r="JP41" s="12" t="s">
        <v>37</v>
      </c>
      <c r="JQ41" s="11" t="s">
        <v>37</v>
      </c>
      <c r="JR41" s="19"/>
      <c r="JS41" s="12" t="s">
        <v>37</v>
      </c>
      <c r="JT41" s="12" t="s">
        <v>37</v>
      </c>
      <c r="JU41" s="12" t="s">
        <v>37</v>
      </c>
      <c r="JV41" s="19"/>
      <c r="JW41" s="19"/>
      <c r="JX41" s="19"/>
      <c r="JY41" s="32"/>
      <c r="JZ41" s="12" t="s">
        <v>37</v>
      </c>
      <c r="KA41" s="12" t="s">
        <v>37</v>
      </c>
      <c r="KB41" s="12" t="s">
        <v>37</v>
      </c>
      <c r="KC41" s="12" t="s">
        <v>37</v>
      </c>
      <c r="KD41" s="12" t="s">
        <v>37</v>
      </c>
      <c r="KE41" s="12" t="s">
        <v>37</v>
      </c>
      <c r="KF41" s="12"/>
      <c r="KG41" s="12"/>
      <c r="KH41" s="32"/>
      <c r="KI41" s="12" t="s">
        <v>37</v>
      </c>
      <c r="KJ41" s="12" t="s">
        <v>37</v>
      </c>
      <c r="KK41" s="12" t="s">
        <v>37</v>
      </c>
      <c r="KL41" s="12" t="s">
        <v>37</v>
      </c>
      <c r="KM41" s="12" t="s">
        <v>37</v>
      </c>
      <c r="KN41" s="12" t="s">
        <v>37</v>
      </c>
      <c r="KO41" s="12"/>
      <c r="KP41" s="12"/>
      <c r="KQ41" s="12"/>
      <c r="KR41" s="12"/>
      <c r="KS41" s="12" t="s">
        <v>37</v>
      </c>
      <c r="KT41" s="12" t="s">
        <v>37</v>
      </c>
      <c r="KU41" s="12" t="s">
        <v>37</v>
      </c>
      <c r="KV41" s="19"/>
      <c r="KW41" s="12" t="s">
        <v>37</v>
      </c>
      <c r="KX41" s="12" t="s">
        <v>37</v>
      </c>
      <c r="KY41" s="12" t="s">
        <v>37</v>
      </c>
      <c r="KZ41" s="19"/>
      <c r="LA41" s="19"/>
      <c r="LB41" s="19"/>
      <c r="LC41" s="12"/>
      <c r="LD41" s="12" t="s">
        <v>37</v>
      </c>
      <c r="LE41" s="12" t="s">
        <v>37</v>
      </c>
      <c r="LF41" s="12" t="s">
        <v>37</v>
      </c>
      <c r="LG41" s="19" t="s">
        <v>37</v>
      </c>
      <c r="LH41" s="19" t="s">
        <v>37</v>
      </c>
      <c r="LI41" s="12" t="s">
        <v>37</v>
      </c>
      <c r="LJ41" s="12"/>
      <c r="LK41" s="12"/>
      <c r="LL41" s="12"/>
      <c r="LM41" s="12" t="s">
        <v>37</v>
      </c>
      <c r="LN41" s="12" t="s">
        <v>37</v>
      </c>
      <c r="LO41" s="12" t="s">
        <v>37</v>
      </c>
      <c r="LP41" s="12" t="s">
        <v>37</v>
      </c>
      <c r="LQ41" s="12" t="s">
        <v>37</v>
      </c>
      <c r="LR41" s="12" t="s">
        <v>37</v>
      </c>
      <c r="LS41" s="12"/>
      <c r="LT41" s="12"/>
      <c r="LU41" s="12" t="s">
        <v>37</v>
      </c>
      <c r="LV41" s="12" t="s">
        <v>37</v>
      </c>
      <c r="LW41" s="13" t="s">
        <v>37</v>
      </c>
      <c r="LX41" s="12" t="s">
        <v>37</v>
      </c>
      <c r="LY41" s="12" t="s">
        <v>37</v>
      </c>
      <c r="LZ41" s="13" t="s">
        <v>37</v>
      </c>
      <c r="MA41" s="13"/>
      <c r="MB41" s="13"/>
      <c r="MC41" s="12"/>
      <c r="MD41" s="12"/>
      <c r="ME41" s="12" t="s">
        <v>37</v>
      </c>
      <c r="MF41" s="12" t="s">
        <v>37</v>
      </c>
      <c r="MG41" s="13" t="s">
        <v>37</v>
      </c>
      <c r="MH41" s="12" t="s">
        <v>37</v>
      </c>
      <c r="MI41" s="12" t="s">
        <v>37</v>
      </c>
      <c r="MJ41" s="13" t="s">
        <v>37</v>
      </c>
      <c r="MK41" s="13"/>
      <c r="ML41" s="13"/>
      <c r="MM41" s="12"/>
      <c r="MN41" s="12"/>
      <c r="MO41" s="12" t="s">
        <v>37</v>
      </c>
      <c r="MP41" s="12" t="s">
        <v>37</v>
      </c>
      <c r="MQ41" s="12" t="s">
        <v>37</v>
      </c>
      <c r="MR41" s="12" t="s">
        <v>37</v>
      </c>
      <c r="MS41" s="12" t="s">
        <v>37</v>
      </c>
      <c r="MT41" s="12" t="s">
        <v>37</v>
      </c>
      <c r="MU41" s="12"/>
      <c r="MV41" s="12"/>
      <c r="MW41" s="12"/>
      <c r="MX41" s="12"/>
      <c r="MY41" s="12" t="s">
        <v>37</v>
      </c>
      <c r="MZ41" s="12" t="s">
        <v>37</v>
      </c>
      <c r="NA41" s="12" t="s">
        <v>37</v>
      </c>
      <c r="NB41" s="12" t="s">
        <v>37</v>
      </c>
      <c r="NC41" s="12" t="s">
        <v>37</v>
      </c>
      <c r="ND41" s="12" t="s">
        <v>37</v>
      </c>
      <c r="NE41" s="12"/>
      <c r="NF41" s="12"/>
      <c r="NG41" s="12"/>
      <c r="NH41" s="12"/>
      <c r="NI41" s="12" t="s">
        <v>37</v>
      </c>
      <c r="NJ41" s="12" t="s">
        <v>37</v>
      </c>
      <c r="NK41" s="13" t="s">
        <v>37</v>
      </c>
      <c r="NL41" s="12" t="s">
        <v>37</v>
      </c>
      <c r="NM41" s="12" t="s">
        <v>37</v>
      </c>
      <c r="NN41" s="13" t="s">
        <v>37</v>
      </c>
      <c r="NO41" s="13"/>
      <c r="NP41" s="13"/>
      <c r="NQ41" s="12"/>
      <c r="NR41" s="12"/>
      <c r="NS41" s="12" t="s">
        <v>37</v>
      </c>
      <c r="NT41" s="12" t="s">
        <v>37</v>
      </c>
      <c r="NU41" s="12" t="s">
        <v>37</v>
      </c>
      <c r="NV41" s="12" t="s">
        <v>37</v>
      </c>
      <c r="NW41" s="12" t="s">
        <v>37</v>
      </c>
      <c r="NX41" s="12" t="s">
        <v>37</v>
      </c>
      <c r="NY41" s="12"/>
      <c r="NZ41" s="12"/>
      <c r="OA41" s="12"/>
      <c r="OB41" s="12"/>
      <c r="OC41" s="12" t="s">
        <v>37</v>
      </c>
      <c r="OD41" s="12" t="s">
        <v>37</v>
      </c>
      <c r="OE41" s="12" t="s">
        <v>37</v>
      </c>
      <c r="OF41" s="12" t="s">
        <v>37</v>
      </c>
      <c r="OG41" s="12" t="s">
        <v>37</v>
      </c>
      <c r="OH41" s="12" t="s">
        <v>37</v>
      </c>
      <c r="OI41" s="12"/>
      <c r="OJ41" s="12"/>
      <c r="OK41" s="12"/>
      <c r="OL41" s="12" t="s">
        <v>37</v>
      </c>
      <c r="OM41" s="12" t="s">
        <v>37</v>
      </c>
      <c r="ON41" s="12" t="s">
        <v>37</v>
      </c>
      <c r="OO41" s="12" t="s">
        <v>37</v>
      </c>
      <c r="OP41" s="12" t="s">
        <v>37</v>
      </c>
      <c r="OQ41" s="12" t="s">
        <v>37</v>
      </c>
      <c r="OR41" s="12"/>
      <c r="OS41" s="12" t="s">
        <v>37</v>
      </c>
      <c r="OT41" s="12" t="s">
        <v>37</v>
      </c>
      <c r="OU41" s="12" t="s">
        <v>37</v>
      </c>
      <c r="OV41" s="12" t="s">
        <v>37</v>
      </c>
      <c r="OW41" s="12" t="s">
        <v>37</v>
      </c>
      <c r="OX41" s="12" t="s">
        <v>37</v>
      </c>
      <c r="OY41" s="12"/>
      <c r="OZ41" s="12"/>
      <c r="PA41" s="12" t="s">
        <v>37</v>
      </c>
      <c r="PB41" s="12" t="s">
        <v>37</v>
      </c>
      <c r="PC41" s="12" t="s">
        <v>37</v>
      </c>
      <c r="PD41" s="12" t="s">
        <v>37</v>
      </c>
      <c r="PE41" s="12" t="s">
        <v>37</v>
      </c>
      <c r="PF41" s="12" t="s">
        <v>37</v>
      </c>
      <c r="PG41" s="12"/>
      <c r="PH41" s="12"/>
      <c r="PI41" s="12" t="s">
        <v>37</v>
      </c>
      <c r="PJ41" s="12" t="s">
        <v>37</v>
      </c>
      <c r="PK41" s="12" t="s">
        <v>37</v>
      </c>
      <c r="PL41" s="12" t="s">
        <v>37</v>
      </c>
      <c r="PM41" s="12" t="s">
        <v>37</v>
      </c>
      <c r="PN41" s="12" t="s">
        <v>37</v>
      </c>
      <c r="PO41" s="12"/>
      <c r="PP41" s="12"/>
      <c r="PQ41" s="12" t="s">
        <v>37</v>
      </c>
      <c r="PR41" s="12" t="s">
        <v>37</v>
      </c>
      <c r="PS41" s="12" t="s">
        <v>37</v>
      </c>
      <c r="PT41" s="12" t="s">
        <v>37</v>
      </c>
      <c r="PU41" s="12" t="s">
        <v>37</v>
      </c>
      <c r="PV41" s="12" t="s">
        <v>37</v>
      </c>
      <c r="PW41" s="12"/>
      <c r="PX41" s="12"/>
      <c r="PY41" s="12" t="s">
        <v>37</v>
      </c>
      <c r="PZ41" s="12" t="s">
        <v>37</v>
      </c>
      <c r="QA41" s="12" t="s">
        <v>37</v>
      </c>
      <c r="QB41" s="12" t="s">
        <v>37</v>
      </c>
      <c r="QC41" s="12" t="s">
        <v>37</v>
      </c>
      <c r="QD41" s="12" t="s">
        <v>37</v>
      </c>
      <c r="QE41" s="12"/>
      <c r="QF41" s="12"/>
      <c r="QG41" s="12" t="s">
        <v>37</v>
      </c>
      <c r="QH41" s="12" t="s">
        <v>37</v>
      </c>
      <c r="QI41" s="12" t="s">
        <v>37</v>
      </c>
      <c r="QJ41" s="12" t="s">
        <v>37</v>
      </c>
      <c r="QK41" s="12" t="s">
        <v>37</v>
      </c>
      <c r="QL41" s="12" t="s">
        <v>37</v>
      </c>
      <c r="QM41" s="12"/>
      <c r="QN41" s="12"/>
      <c r="QO41" s="12" t="s">
        <v>37</v>
      </c>
      <c r="QP41" s="12" t="s">
        <v>37</v>
      </c>
      <c r="QQ41" s="12" t="s">
        <v>37</v>
      </c>
      <c r="QR41" s="12" t="s">
        <v>37</v>
      </c>
      <c r="QS41" s="12" t="s">
        <v>37</v>
      </c>
      <c r="QT41" s="12" t="s">
        <v>37</v>
      </c>
      <c r="QU41" s="12"/>
      <c r="QV41" s="12"/>
      <c r="QW41" s="12"/>
      <c r="QX41" s="12"/>
      <c r="QY41" s="12" t="s">
        <v>37</v>
      </c>
      <c r="QZ41" s="12" t="s">
        <v>37</v>
      </c>
      <c r="RA41" s="12" t="s">
        <v>37</v>
      </c>
      <c r="RB41" s="12" t="s">
        <v>37</v>
      </c>
      <c r="RC41" s="12" t="s">
        <v>37</v>
      </c>
      <c r="RD41" s="12" t="s">
        <v>37</v>
      </c>
      <c r="RE41" s="12"/>
      <c r="RF41" s="12"/>
      <c r="RG41" s="12"/>
      <c r="RH41" s="12"/>
      <c r="RI41" s="12" t="s">
        <v>37</v>
      </c>
      <c r="RJ41" s="12" t="s">
        <v>37</v>
      </c>
      <c r="RK41" s="12" t="s">
        <v>37</v>
      </c>
      <c r="RL41" s="12" t="s">
        <v>37</v>
      </c>
      <c r="RM41" s="12" t="s">
        <v>37</v>
      </c>
      <c r="RN41" s="12" t="s">
        <v>37</v>
      </c>
      <c r="RO41" s="12"/>
      <c r="RP41" s="12"/>
      <c r="RQ41" s="12"/>
      <c r="RR41" s="12"/>
      <c r="RS41" s="12" t="s">
        <v>37</v>
      </c>
      <c r="RT41" s="12" t="s">
        <v>37</v>
      </c>
      <c r="RU41" s="12" t="s">
        <v>37</v>
      </c>
      <c r="RV41" s="12" t="s">
        <v>37</v>
      </c>
      <c r="RW41" s="12" t="s">
        <v>37</v>
      </c>
      <c r="RX41" s="12" t="s">
        <v>37</v>
      </c>
      <c r="RY41" s="12"/>
      <c r="RZ41" s="12"/>
      <c r="SA41" s="12"/>
      <c r="SB41" s="12"/>
      <c r="SC41" s="12" t="s">
        <v>37</v>
      </c>
      <c r="SD41" s="12" t="s">
        <v>37</v>
      </c>
      <c r="SE41" s="12" t="s">
        <v>37</v>
      </c>
      <c r="SF41" s="12" t="s">
        <v>37</v>
      </c>
      <c r="SG41" s="12" t="s">
        <v>37</v>
      </c>
      <c r="SH41" s="12" t="s">
        <v>37</v>
      </c>
      <c r="SI41" s="12"/>
      <c r="SJ41" s="12"/>
      <c r="SK41" s="12"/>
      <c r="SL41" s="12"/>
      <c r="SM41" s="12" t="s">
        <v>37</v>
      </c>
      <c r="SN41" s="12" t="s">
        <v>37</v>
      </c>
      <c r="SO41" s="12" t="s">
        <v>37</v>
      </c>
      <c r="SP41" s="12" t="s">
        <v>37</v>
      </c>
      <c r="SQ41" s="12" t="s">
        <v>37</v>
      </c>
      <c r="SR41" s="12" t="s">
        <v>37</v>
      </c>
      <c r="SS41" s="12"/>
      <c r="ST41" s="12"/>
      <c r="SU41" s="12"/>
      <c r="SV41" s="12"/>
      <c r="SW41" s="12" t="s">
        <v>37</v>
      </c>
      <c r="SX41" s="12" t="s">
        <v>37</v>
      </c>
      <c r="SY41" s="12" t="s">
        <v>37</v>
      </c>
      <c r="SZ41" s="12" t="s">
        <v>37</v>
      </c>
      <c r="TA41" s="12" t="s">
        <v>37</v>
      </c>
      <c r="TB41" s="12" t="s">
        <v>37</v>
      </c>
      <c r="TC41" s="12"/>
      <c r="TD41" s="12"/>
      <c r="TE41" s="12"/>
      <c r="TF41" s="12"/>
      <c r="TG41" s="12" t="s">
        <v>37</v>
      </c>
      <c r="TH41" s="12" t="s">
        <v>37</v>
      </c>
      <c r="TI41" s="12" t="s">
        <v>37</v>
      </c>
      <c r="TJ41" s="12" t="s">
        <v>37</v>
      </c>
      <c r="TK41" s="12" t="s">
        <v>37</v>
      </c>
      <c r="TL41" s="12" t="s">
        <v>37</v>
      </c>
      <c r="TM41" s="12"/>
      <c r="TN41" s="12"/>
      <c r="TO41" s="12"/>
      <c r="TP41" s="12"/>
      <c r="TQ41" s="12" t="s">
        <v>37</v>
      </c>
      <c r="TR41" s="12" t="s">
        <v>37</v>
      </c>
      <c r="TS41" s="12" t="s">
        <v>37</v>
      </c>
      <c r="TT41" s="19"/>
      <c r="TU41" s="12" t="s">
        <v>37</v>
      </c>
      <c r="TV41" s="12" t="s">
        <v>37</v>
      </c>
      <c r="TW41" s="12" t="s">
        <v>37</v>
      </c>
    </row>
    <row r="42" spans="1:546" ht="15.6" x14ac:dyDescent="0.3">
      <c r="A42" s="11">
        <v>16</v>
      </c>
      <c r="B42" s="16" t="s">
        <v>368</v>
      </c>
      <c r="C42" s="12" t="s">
        <v>32</v>
      </c>
      <c r="D42" s="14" t="s">
        <v>609</v>
      </c>
      <c r="E42" s="14" t="s">
        <v>37</v>
      </c>
      <c r="F42" s="14">
        <v>0</v>
      </c>
      <c r="G42" s="14">
        <v>0</v>
      </c>
      <c r="H42" s="12" t="s">
        <v>96</v>
      </c>
      <c r="I42" s="29">
        <v>56.156999999999996</v>
      </c>
      <c r="J42" s="29">
        <v>10.212</v>
      </c>
      <c r="K42" s="12" t="s">
        <v>819</v>
      </c>
      <c r="L42" s="12" t="s">
        <v>820</v>
      </c>
      <c r="M42" s="12" t="s">
        <v>37</v>
      </c>
      <c r="N42" s="12" t="s">
        <v>37</v>
      </c>
      <c r="O42" s="12" t="s">
        <v>37</v>
      </c>
      <c r="P42" s="14" t="s">
        <v>16</v>
      </c>
      <c r="Q42" s="11" t="s">
        <v>227</v>
      </c>
      <c r="R42" s="11" t="s">
        <v>37</v>
      </c>
      <c r="S42" s="12" t="s">
        <v>51</v>
      </c>
      <c r="T42" s="12" t="s">
        <v>37</v>
      </c>
      <c r="U42" s="12" t="s">
        <v>37</v>
      </c>
      <c r="V42" s="12" t="s">
        <v>37</v>
      </c>
      <c r="W42" s="23" t="s">
        <v>369</v>
      </c>
      <c r="X42" s="12" t="s">
        <v>283</v>
      </c>
      <c r="Y42" s="12" t="s">
        <v>37</v>
      </c>
      <c r="Z42" s="12" t="s">
        <v>37</v>
      </c>
      <c r="AA42" s="32" t="s">
        <v>561</v>
      </c>
      <c r="AB42" s="12" t="s">
        <v>37</v>
      </c>
      <c r="AC42" s="12" t="s">
        <v>37</v>
      </c>
      <c r="AD42" s="12" t="s">
        <v>370</v>
      </c>
      <c r="AE42" s="12" t="s">
        <v>74</v>
      </c>
      <c r="AF42" s="12" t="s">
        <v>483</v>
      </c>
      <c r="AG42" s="12"/>
      <c r="AH42" s="32"/>
      <c r="AI42" s="12" t="s">
        <v>37</v>
      </c>
      <c r="AJ42" s="12" t="s">
        <v>37</v>
      </c>
      <c r="AK42" s="11" t="s">
        <v>37</v>
      </c>
      <c r="AL42" s="19"/>
      <c r="AM42" s="12" t="s">
        <v>37</v>
      </c>
      <c r="AN42" s="12" t="s">
        <v>37</v>
      </c>
      <c r="AO42" s="13" t="s">
        <v>37</v>
      </c>
      <c r="AP42" s="19"/>
      <c r="AQ42" s="49"/>
      <c r="AR42" s="49"/>
      <c r="AS42" s="32"/>
      <c r="AT42" s="12" t="s">
        <v>37</v>
      </c>
      <c r="AU42" s="12" t="s">
        <v>37</v>
      </c>
      <c r="AV42" s="13" t="s">
        <v>37</v>
      </c>
      <c r="AW42" s="12" t="s">
        <v>37</v>
      </c>
      <c r="AX42" s="12" t="s">
        <v>37</v>
      </c>
      <c r="AY42" s="13" t="s">
        <v>37</v>
      </c>
      <c r="AZ42" s="13"/>
      <c r="BA42" s="13"/>
      <c r="BB42" s="12"/>
      <c r="BC42" s="12" t="s">
        <v>37</v>
      </c>
      <c r="BD42" s="12" t="s">
        <v>37</v>
      </c>
      <c r="BE42" s="13" t="s">
        <v>37</v>
      </c>
      <c r="BF42" s="12" t="s">
        <v>37</v>
      </c>
      <c r="BG42" s="12" t="s">
        <v>37</v>
      </c>
      <c r="BH42" s="12" t="s">
        <v>37</v>
      </c>
      <c r="BI42" s="12"/>
      <c r="BJ42" s="12" t="s">
        <v>37</v>
      </c>
      <c r="BK42" s="12" t="s">
        <v>37</v>
      </c>
      <c r="BL42" s="12" t="s">
        <v>37</v>
      </c>
      <c r="BM42" s="12" t="s">
        <v>37</v>
      </c>
      <c r="BN42" s="12" t="s">
        <v>37</v>
      </c>
      <c r="BO42" s="12" t="s">
        <v>37</v>
      </c>
      <c r="BP42" s="19"/>
      <c r="BQ42" s="19"/>
      <c r="BR42" s="19"/>
      <c r="BS42" s="19"/>
      <c r="BT42" s="12"/>
      <c r="BU42" s="12" t="s">
        <v>37</v>
      </c>
      <c r="BV42" s="12" t="s">
        <v>37</v>
      </c>
      <c r="BW42" s="12" t="s">
        <v>37</v>
      </c>
      <c r="BX42" s="12" t="s">
        <v>37</v>
      </c>
      <c r="BY42" s="12" t="s">
        <v>37</v>
      </c>
      <c r="BZ42" s="12" t="s">
        <v>37</v>
      </c>
      <c r="CA42" s="19"/>
      <c r="CB42" s="19"/>
      <c r="CC42" s="19"/>
      <c r="CD42" s="19"/>
      <c r="CE42" s="12"/>
      <c r="CF42" s="12" t="s">
        <v>37</v>
      </c>
      <c r="CG42" s="12" t="s">
        <v>37</v>
      </c>
      <c r="CH42" s="12" t="s">
        <v>37</v>
      </c>
      <c r="CI42" s="12" t="s">
        <v>37</v>
      </c>
      <c r="CJ42" s="12" t="s">
        <v>37</v>
      </c>
      <c r="CK42" s="12" t="s">
        <v>37</v>
      </c>
      <c r="CL42" s="19"/>
      <c r="CM42" s="19"/>
      <c r="CN42" s="19"/>
      <c r="CO42" s="19"/>
      <c r="CP42" s="11" t="s">
        <v>34</v>
      </c>
      <c r="CQ42" s="12">
        <v>284</v>
      </c>
      <c r="CR42" s="19">
        <f>46*SQRT(6)</f>
        <v>112.67652816802618</v>
      </c>
      <c r="CS42" s="13">
        <v>6</v>
      </c>
      <c r="CT42" s="52">
        <f t="shared" si="229"/>
        <v>0.39674833861981051</v>
      </c>
      <c r="CU42" s="12">
        <v>15</v>
      </c>
      <c r="CV42" s="19">
        <f>2*SQRT(6)</f>
        <v>4.8989794855663558</v>
      </c>
      <c r="CW42" s="13">
        <v>6</v>
      </c>
      <c r="CX42" s="52">
        <f t="shared" si="230"/>
        <v>0.32659863237109038</v>
      </c>
      <c r="CY42" s="68">
        <f t="shared" si="231"/>
        <v>-269</v>
      </c>
      <c r="CZ42" s="12">
        <f t="shared" si="232"/>
        <v>79.749608149507537</v>
      </c>
      <c r="DA42" s="72">
        <f t="shared" si="233"/>
        <v>2119.9999999999995</v>
      </c>
      <c r="DB42" s="72">
        <f t="shared" si="234"/>
        <v>2119.9999999999995</v>
      </c>
      <c r="DC42" s="11"/>
      <c r="DD42" s="12" t="s">
        <v>37</v>
      </c>
      <c r="DE42" s="68" t="s">
        <v>37</v>
      </c>
      <c r="DF42" s="12" t="s">
        <v>37</v>
      </c>
      <c r="DG42" s="19"/>
      <c r="DH42" s="12" t="s">
        <v>37</v>
      </c>
      <c r="DI42" s="68" t="s">
        <v>37</v>
      </c>
      <c r="DJ42" s="12" t="s">
        <v>37</v>
      </c>
      <c r="DK42" s="19"/>
      <c r="DL42" s="68"/>
      <c r="DM42" s="68"/>
      <c r="DN42" s="68"/>
      <c r="DO42" s="68"/>
      <c r="DP42" s="12" t="s">
        <v>39</v>
      </c>
      <c r="DQ42" s="12">
        <v>0</v>
      </c>
      <c r="DR42" s="60">
        <f t="shared" si="177"/>
        <v>0</v>
      </c>
      <c r="DS42" s="13">
        <v>6</v>
      </c>
      <c r="DT42" s="19"/>
      <c r="DU42" s="12">
        <v>-20</v>
      </c>
      <c r="DV42" s="60">
        <f t="shared" si="178"/>
        <v>6.9122552494082443</v>
      </c>
      <c r="DW42" s="13">
        <v>6</v>
      </c>
      <c r="DX42" s="19"/>
      <c r="DY42" s="19">
        <f t="shared" si="162"/>
        <v>-20</v>
      </c>
      <c r="DZ42" s="12">
        <f t="shared" si="163"/>
        <v>4.8877025601488802</v>
      </c>
      <c r="EA42" s="72">
        <f t="shared" si="164"/>
        <v>7.9632121054953044</v>
      </c>
      <c r="EB42" s="72">
        <f t="shared" si="165"/>
        <v>7.9632121054953053</v>
      </c>
      <c r="EC42" s="12" t="s">
        <v>132</v>
      </c>
      <c r="ED42" s="12" t="s">
        <v>339</v>
      </c>
      <c r="EE42" s="12">
        <v>46.536072623029199</v>
      </c>
      <c r="EF42" s="12">
        <v>14.472543132582219</v>
      </c>
      <c r="EG42" s="11">
        <v>6</v>
      </c>
      <c r="EH42" s="19">
        <f t="shared" si="235"/>
        <v>0.31099622973813706</v>
      </c>
      <c r="EI42" s="12">
        <v>129.43432406519653</v>
      </c>
      <c r="EJ42" s="20">
        <v>47.540694104920625</v>
      </c>
      <c r="EK42" s="11">
        <v>6</v>
      </c>
      <c r="EL42" s="19">
        <f t="shared" si="236"/>
        <v>0.36729588112172012</v>
      </c>
      <c r="EM42" s="19">
        <f t="shared" si="237"/>
        <v>82.898251442167336</v>
      </c>
      <c r="EN42" s="12">
        <f t="shared" si="238"/>
        <v>35.139522625542931</v>
      </c>
      <c r="EO42" s="72">
        <f t="shared" si="239"/>
        <v>411.59535011701445</v>
      </c>
      <c r="EP42" s="72">
        <f t="shared" si="240"/>
        <v>411.59535011701456</v>
      </c>
      <c r="EQ42" s="32"/>
      <c r="ER42" s="12" t="s">
        <v>37</v>
      </c>
      <c r="ES42" s="12" t="s">
        <v>37</v>
      </c>
      <c r="ET42" s="11" t="s">
        <v>37</v>
      </c>
      <c r="EU42" s="19"/>
      <c r="EV42" s="13" t="s">
        <v>37</v>
      </c>
      <c r="EW42" s="11" t="s">
        <v>37</v>
      </c>
      <c r="EX42" s="11" t="s">
        <v>37</v>
      </c>
      <c r="EY42" s="19"/>
      <c r="EZ42" s="19"/>
      <c r="FA42" s="19"/>
      <c r="FB42" s="19"/>
      <c r="FC42" s="32"/>
      <c r="FD42" s="12" t="s">
        <v>37</v>
      </c>
      <c r="FE42" s="12" t="s">
        <v>37</v>
      </c>
      <c r="FF42" s="11" t="s">
        <v>37</v>
      </c>
      <c r="FG42" s="13" t="s">
        <v>37</v>
      </c>
      <c r="FH42" s="11" t="s">
        <v>37</v>
      </c>
      <c r="FI42" s="11" t="s">
        <v>37</v>
      </c>
      <c r="FJ42" s="19"/>
      <c r="FK42" s="19"/>
      <c r="FL42" s="19"/>
      <c r="FM42" s="32"/>
      <c r="FN42" s="12" t="s">
        <v>37</v>
      </c>
      <c r="FO42" s="12" t="s">
        <v>37</v>
      </c>
      <c r="FP42" s="11" t="s">
        <v>37</v>
      </c>
      <c r="FQ42" s="13" t="s">
        <v>37</v>
      </c>
      <c r="FR42" s="11" t="s">
        <v>37</v>
      </c>
      <c r="FS42" s="11" t="s">
        <v>37</v>
      </c>
      <c r="FT42" s="19"/>
      <c r="FU42" s="19"/>
      <c r="FV42" s="19"/>
      <c r="FW42" s="12" t="s">
        <v>101</v>
      </c>
      <c r="FX42" s="12" t="s">
        <v>345</v>
      </c>
      <c r="FY42" s="12">
        <v>75.099999999999994</v>
      </c>
      <c r="FZ42" s="12">
        <f>1.4*SQRT(6)</f>
        <v>3.4292856398964489</v>
      </c>
      <c r="GA42" s="13">
        <v>6</v>
      </c>
      <c r="GB42" s="12">
        <v>59.5</v>
      </c>
      <c r="GC42" s="12">
        <f>0.9*SQRT(6)</f>
        <v>2.2045407685048604</v>
      </c>
      <c r="GD42" s="13">
        <v>6</v>
      </c>
      <c r="GE42" s="19">
        <f t="shared" si="241"/>
        <v>-0.23284424621850494</v>
      </c>
      <c r="GF42" s="19">
        <f t="shared" si="242"/>
        <v>5.7631451564482401E-4</v>
      </c>
      <c r="GG42" s="12"/>
      <c r="GH42" s="12"/>
      <c r="GI42" s="12" t="s">
        <v>37</v>
      </c>
      <c r="GJ42" s="12" t="s">
        <v>37</v>
      </c>
      <c r="GK42" s="12" t="s">
        <v>37</v>
      </c>
      <c r="GL42" s="19"/>
      <c r="GM42" s="12" t="s">
        <v>37</v>
      </c>
      <c r="GN42" s="12" t="s">
        <v>37</v>
      </c>
      <c r="GO42" s="12" t="s">
        <v>37</v>
      </c>
      <c r="GP42" s="19"/>
      <c r="GQ42" s="19"/>
      <c r="GR42" s="19"/>
      <c r="GS42" s="17"/>
      <c r="GT42" s="34"/>
      <c r="GU42" s="12" t="s">
        <v>37</v>
      </c>
      <c r="GV42" s="12" t="s">
        <v>37</v>
      </c>
      <c r="GW42" s="12" t="s">
        <v>37</v>
      </c>
      <c r="GX42" s="19"/>
      <c r="GY42" s="12" t="s">
        <v>37</v>
      </c>
      <c r="GZ42" s="12" t="s">
        <v>37</v>
      </c>
      <c r="HA42" s="12" t="s">
        <v>37</v>
      </c>
      <c r="HB42" s="19"/>
      <c r="HC42" s="19"/>
      <c r="HD42" s="19"/>
      <c r="HE42" s="34"/>
      <c r="HF42" s="12" t="s">
        <v>37</v>
      </c>
      <c r="HG42" s="12" t="s">
        <v>37</v>
      </c>
      <c r="HH42" s="13" t="s">
        <v>37</v>
      </c>
      <c r="HI42" s="12" t="s">
        <v>37</v>
      </c>
      <c r="HJ42" s="12" t="s">
        <v>37</v>
      </c>
      <c r="HK42" s="13" t="s">
        <v>37</v>
      </c>
      <c r="HL42" s="13"/>
      <c r="HM42" s="13"/>
      <c r="HN42" s="34"/>
      <c r="HO42" s="12" t="s">
        <v>37</v>
      </c>
      <c r="HP42" s="12" t="s">
        <v>37</v>
      </c>
      <c r="HQ42" s="13" t="s">
        <v>37</v>
      </c>
      <c r="HR42" s="12" t="s">
        <v>37</v>
      </c>
      <c r="HS42" s="12" t="s">
        <v>37</v>
      </c>
      <c r="HT42" s="13" t="s">
        <v>37</v>
      </c>
      <c r="HU42" s="13"/>
      <c r="HV42" s="13"/>
      <c r="HW42" s="12"/>
      <c r="HX42" s="12"/>
      <c r="HY42" s="12" t="s">
        <v>37</v>
      </c>
      <c r="HZ42" s="12" t="s">
        <v>37</v>
      </c>
      <c r="IA42" s="12" t="s">
        <v>37</v>
      </c>
      <c r="IB42" s="12" t="s">
        <v>37</v>
      </c>
      <c r="IC42" s="12" t="s">
        <v>37</v>
      </c>
      <c r="ID42" s="12" t="s">
        <v>37</v>
      </c>
      <c r="IE42" s="12"/>
      <c r="IF42" s="32" t="s">
        <v>345</v>
      </c>
      <c r="IG42" s="12">
        <v>8.1999999999999993</v>
      </c>
      <c r="IH42" s="12">
        <f>0.1*SQRT(6)</f>
        <v>0.2449489742783178</v>
      </c>
      <c r="II42" s="13">
        <v>6</v>
      </c>
      <c r="IJ42" s="19">
        <f t="shared" si="243"/>
        <v>2.9871826131502174E-2</v>
      </c>
      <c r="IK42" s="12">
        <v>6.2</v>
      </c>
      <c r="IL42" s="12">
        <f>0.2*SQRT(6)</f>
        <v>0.4898979485566356</v>
      </c>
      <c r="IM42" s="13">
        <v>6</v>
      </c>
      <c r="IN42" s="19">
        <f t="shared" si="244"/>
        <v>7.901579815429606E-2</v>
      </c>
      <c r="IO42" s="19">
        <f t="shared" si="245"/>
        <v>-0.2795848622191614</v>
      </c>
      <c r="IP42" s="19">
        <f t="shared" si="246"/>
        <v>1.1893037257318586E-3</v>
      </c>
      <c r="IQ42" s="32"/>
      <c r="IR42" s="12" t="s">
        <v>37</v>
      </c>
      <c r="IS42" s="12" t="s">
        <v>37</v>
      </c>
      <c r="IT42" s="13" t="s">
        <v>37</v>
      </c>
      <c r="IU42" s="12" t="s">
        <v>37</v>
      </c>
      <c r="IV42" s="12" t="s">
        <v>37</v>
      </c>
      <c r="IW42" s="12" t="s">
        <v>37</v>
      </c>
      <c r="IX42" s="32"/>
      <c r="IY42" s="12" t="s">
        <v>37</v>
      </c>
      <c r="IZ42" s="12" t="s">
        <v>37</v>
      </c>
      <c r="JA42" s="13" t="s">
        <v>37</v>
      </c>
      <c r="JB42" s="12" t="s">
        <v>37</v>
      </c>
      <c r="JC42" s="12" t="s">
        <v>37</v>
      </c>
      <c r="JD42" s="12" t="s">
        <v>37</v>
      </c>
      <c r="JE42" s="12"/>
      <c r="JF42" s="12"/>
      <c r="JG42" s="12" t="s">
        <v>37</v>
      </c>
      <c r="JH42" s="12" t="s">
        <v>37</v>
      </c>
      <c r="JI42" s="13" t="s">
        <v>37</v>
      </c>
      <c r="JJ42" s="12" t="s">
        <v>37</v>
      </c>
      <c r="JK42" s="12" t="s">
        <v>37</v>
      </c>
      <c r="JL42" s="12" t="s">
        <v>37</v>
      </c>
      <c r="JM42" s="12"/>
      <c r="JN42" s="32" t="s">
        <v>37</v>
      </c>
      <c r="JO42" s="12" t="s">
        <v>37</v>
      </c>
      <c r="JP42" s="12" t="s">
        <v>37</v>
      </c>
      <c r="JQ42" s="11" t="s">
        <v>37</v>
      </c>
      <c r="JR42" s="19"/>
      <c r="JS42" s="12" t="s">
        <v>37</v>
      </c>
      <c r="JT42" s="12" t="s">
        <v>37</v>
      </c>
      <c r="JU42" s="12" t="s">
        <v>37</v>
      </c>
      <c r="JV42" s="19"/>
      <c r="JW42" s="19"/>
      <c r="JX42" s="19"/>
      <c r="JY42" s="32"/>
      <c r="JZ42" s="12" t="s">
        <v>37</v>
      </c>
      <c r="KA42" s="12" t="s">
        <v>37</v>
      </c>
      <c r="KB42" s="12" t="s">
        <v>37</v>
      </c>
      <c r="KC42" s="12" t="s">
        <v>37</v>
      </c>
      <c r="KD42" s="12" t="s">
        <v>37</v>
      </c>
      <c r="KE42" s="12" t="s">
        <v>37</v>
      </c>
      <c r="KF42" s="12"/>
      <c r="KG42" s="12"/>
      <c r="KH42" s="32"/>
      <c r="KI42" s="12" t="s">
        <v>37</v>
      </c>
      <c r="KJ42" s="12" t="s">
        <v>37</v>
      </c>
      <c r="KK42" s="12" t="s">
        <v>37</v>
      </c>
      <c r="KL42" s="12" t="s">
        <v>37</v>
      </c>
      <c r="KM42" s="12" t="s">
        <v>37</v>
      </c>
      <c r="KN42" s="12" t="s">
        <v>37</v>
      </c>
      <c r="KO42" s="12"/>
      <c r="KP42" s="12"/>
      <c r="KQ42" s="12"/>
      <c r="KR42" s="12"/>
      <c r="KS42" s="12" t="s">
        <v>37</v>
      </c>
      <c r="KT42" s="12" t="s">
        <v>37</v>
      </c>
      <c r="KU42" s="12" t="s">
        <v>37</v>
      </c>
      <c r="KV42" s="19"/>
      <c r="KW42" s="12" t="s">
        <v>37</v>
      </c>
      <c r="KX42" s="12" t="s">
        <v>37</v>
      </c>
      <c r="KY42" s="12" t="s">
        <v>37</v>
      </c>
      <c r="KZ42" s="19"/>
      <c r="LA42" s="19"/>
      <c r="LB42" s="19"/>
      <c r="LC42" s="12"/>
      <c r="LD42" s="12" t="s">
        <v>37</v>
      </c>
      <c r="LE42" s="12" t="s">
        <v>37</v>
      </c>
      <c r="LF42" s="12" t="s">
        <v>37</v>
      </c>
      <c r="LG42" s="19" t="s">
        <v>37</v>
      </c>
      <c r="LH42" s="19" t="s">
        <v>37</v>
      </c>
      <c r="LI42" s="12" t="s">
        <v>37</v>
      </c>
      <c r="LJ42" s="12"/>
      <c r="LK42" s="12"/>
      <c r="LL42" s="12"/>
      <c r="LM42" s="12" t="s">
        <v>37</v>
      </c>
      <c r="LN42" s="12" t="s">
        <v>37</v>
      </c>
      <c r="LO42" s="12" t="s">
        <v>37</v>
      </c>
      <c r="LP42" s="12" t="s">
        <v>37</v>
      </c>
      <c r="LQ42" s="12" t="s">
        <v>37</v>
      </c>
      <c r="LR42" s="12" t="s">
        <v>37</v>
      </c>
      <c r="LS42" s="12"/>
      <c r="LT42" s="12"/>
      <c r="LU42" s="12" t="s">
        <v>37</v>
      </c>
      <c r="LV42" s="12" t="s">
        <v>37</v>
      </c>
      <c r="LW42" s="13" t="s">
        <v>37</v>
      </c>
      <c r="LX42" s="12" t="s">
        <v>37</v>
      </c>
      <c r="LY42" s="12" t="s">
        <v>37</v>
      </c>
      <c r="LZ42" s="13" t="s">
        <v>37</v>
      </c>
      <c r="MA42" s="13"/>
      <c r="MB42" s="13"/>
      <c r="MC42" s="12"/>
      <c r="MD42" s="12"/>
      <c r="ME42" s="12" t="s">
        <v>37</v>
      </c>
      <c r="MF42" s="12" t="s">
        <v>37</v>
      </c>
      <c r="MG42" s="13" t="s">
        <v>37</v>
      </c>
      <c r="MH42" s="12" t="s">
        <v>37</v>
      </c>
      <c r="MI42" s="12" t="s">
        <v>37</v>
      </c>
      <c r="MJ42" s="13" t="s">
        <v>37</v>
      </c>
      <c r="MK42" s="13"/>
      <c r="ML42" s="13"/>
      <c r="MM42" s="12"/>
      <c r="MN42" s="12"/>
      <c r="MO42" s="12" t="s">
        <v>37</v>
      </c>
      <c r="MP42" s="12" t="s">
        <v>37</v>
      </c>
      <c r="MQ42" s="12" t="s">
        <v>37</v>
      </c>
      <c r="MR42" s="12" t="s">
        <v>37</v>
      </c>
      <c r="MS42" s="12" t="s">
        <v>37</v>
      </c>
      <c r="MT42" s="12" t="s">
        <v>37</v>
      </c>
      <c r="MU42" s="12"/>
      <c r="MV42" s="12"/>
      <c r="MW42" s="12"/>
      <c r="MX42" s="12"/>
      <c r="MY42" s="12" t="s">
        <v>37</v>
      </c>
      <c r="MZ42" s="12" t="s">
        <v>37</v>
      </c>
      <c r="NA42" s="12" t="s">
        <v>37</v>
      </c>
      <c r="NB42" s="12" t="s">
        <v>37</v>
      </c>
      <c r="NC42" s="12" t="s">
        <v>37</v>
      </c>
      <c r="ND42" s="12" t="s">
        <v>37</v>
      </c>
      <c r="NE42" s="12"/>
      <c r="NF42" s="12"/>
      <c r="NG42" s="12"/>
      <c r="NH42" s="12"/>
      <c r="NI42" s="12" t="s">
        <v>37</v>
      </c>
      <c r="NJ42" s="12" t="s">
        <v>37</v>
      </c>
      <c r="NK42" s="13" t="s">
        <v>37</v>
      </c>
      <c r="NL42" s="12" t="s">
        <v>37</v>
      </c>
      <c r="NM42" s="12" t="s">
        <v>37</v>
      </c>
      <c r="NN42" s="13" t="s">
        <v>37</v>
      </c>
      <c r="NO42" s="13"/>
      <c r="NP42" s="13"/>
      <c r="NQ42" s="12"/>
      <c r="NR42" s="12"/>
      <c r="NS42" s="12" t="s">
        <v>37</v>
      </c>
      <c r="NT42" s="12" t="s">
        <v>37</v>
      </c>
      <c r="NU42" s="12" t="s">
        <v>37</v>
      </c>
      <c r="NV42" s="12" t="s">
        <v>37</v>
      </c>
      <c r="NW42" s="12" t="s">
        <v>37</v>
      </c>
      <c r="NX42" s="12" t="s">
        <v>37</v>
      </c>
      <c r="NY42" s="12"/>
      <c r="NZ42" s="12"/>
      <c r="OA42" s="12"/>
      <c r="OB42" s="12"/>
      <c r="OC42" s="12" t="s">
        <v>37</v>
      </c>
      <c r="OD42" s="12" t="s">
        <v>37</v>
      </c>
      <c r="OE42" s="12" t="s">
        <v>37</v>
      </c>
      <c r="OF42" s="12" t="s">
        <v>37</v>
      </c>
      <c r="OG42" s="12" t="s">
        <v>37</v>
      </c>
      <c r="OH42" s="12" t="s">
        <v>37</v>
      </c>
      <c r="OI42" s="12"/>
      <c r="OJ42" s="12"/>
      <c r="OK42" s="12"/>
      <c r="OL42" s="12" t="s">
        <v>37</v>
      </c>
      <c r="OM42" s="12" t="s">
        <v>37</v>
      </c>
      <c r="ON42" s="12" t="s">
        <v>37</v>
      </c>
      <c r="OO42" s="12" t="s">
        <v>37</v>
      </c>
      <c r="OP42" s="12" t="s">
        <v>37</v>
      </c>
      <c r="OQ42" s="12" t="s">
        <v>37</v>
      </c>
      <c r="OR42" s="12"/>
      <c r="OS42" s="12" t="s">
        <v>37</v>
      </c>
      <c r="OT42" s="12" t="s">
        <v>37</v>
      </c>
      <c r="OU42" s="12" t="s">
        <v>37</v>
      </c>
      <c r="OV42" s="12" t="s">
        <v>37</v>
      </c>
      <c r="OW42" s="12" t="s">
        <v>37</v>
      </c>
      <c r="OX42" s="12" t="s">
        <v>37</v>
      </c>
      <c r="OY42" s="12"/>
      <c r="OZ42" s="12"/>
      <c r="PA42" s="12" t="s">
        <v>37</v>
      </c>
      <c r="PB42" s="12" t="s">
        <v>37</v>
      </c>
      <c r="PC42" s="12" t="s">
        <v>37</v>
      </c>
      <c r="PD42" s="12" t="s">
        <v>37</v>
      </c>
      <c r="PE42" s="12" t="s">
        <v>37</v>
      </c>
      <c r="PF42" s="12" t="s">
        <v>37</v>
      </c>
      <c r="PG42" s="12"/>
      <c r="PH42" s="12"/>
      <c r="PI42" s="12" t="s">
        <v>37</v>
      </c>
      <c r="PJ42" s="12" t="s">
        <v>37</v>
      </c>
      <c r="PK42" s="12" t="s">
        <v>37</v>
      </c>
      <c r="PL42" s="12" t="s">
        <v>37</v>
      </c>
      <c r="PM42" s="12" t="s">
        <v>37</v>
      </c>
      <c r="PN42" s="12" t="s">
        <v>37</v>
      </c>
      <c r="PO42" s="12"/>
      <c r="PP42" s="12"/>
      <c r="PQ42" s="12" t="s">
        <v>37</v>
      </c>
      <c r="PR42" s="12" t="s">
        <v>37</v>
      </c>
      <c r="PS42" s="12" t="s">
        <v>37</v>
      </c>
      <c r="PT42" s="12" t="s">
        <v>37</v>
      </c>
      <c r="PU42" s="12" t="s">
        <v>37</v>
      </c>
      <c r="PV42" s="12" t="s">
        <v>37</v>
      </c>
      <c r="PW42" s="12"/>
      <c r="PX42" s="12"/>
      <c r="PY42" s="12" t="s">
        <v>37</v>
      </c>
      <c r="PZ42" s="12" t="s">
        <v>37</v>
      </c>
      <c r="QA42" s="12" t="s">
        <v>37</v>
      </c>
      <c r="QB42" s="12" t="s">
        <v>37</v>
      </c>
      <c r="QC42" s="12" t="s">
        <v>37</v>
      </c>
      <c r="QD42" s="12" t="s">
        <v>37</v>
      </c>
      <c r="QE42" s="12"/>
      <c r="QF42" s="12"/>
      <c r="QG42" s="12" t="s">
        <v>37</v>
      </c>
      <c r="QH42" s="12" t="s">
        <v>37</v>
      </c>
      <c r="QI42" s="12" t="s">
        <v>37</v>
      </c>
      <c r="QJ42" s="12" t="s">
        <v>37</v>
      </c>
      <c r="QK42" s="12" t="s">
        <v>37</v>
      </c>
      <c r="QL42" s="12" t="s">
        <v>37</v>
      </c>
      <c r="QM42" s="12"/>
      <c r="QN42" s="12"/>
      <c r="QO42" s="12" t="s">
        <v>37</v>
      </c>
      <c r="QP42" s="12" t="s">
        <v>37</v>
      </c>
      <c r="QQ42" s="12" t="s">
        <v>37</v>
      </c>
      <c r="QR42" s="12" t="s">
        <v>37</v>
      </c>
      <c r="QS42" s="12" t="s">
        <v>37</v>
      </c>
      <c r="QT42" s="12" t="s">
        <v>37</v>
      </c>
      <c r="QU42" s="12"/>
      <c r="QV42" s="12"/>
      <c r="QW42" s="12"/>
      <c r="QX42" s="12"/>
      <c r="QY42" s="12" t="s">
        <v>37</v>
      </c>
      <c r="QZ42" s="12" t="s">
        <v>37</v>
      </c>
      <c r="RA42" s="12" t="s">
        <v>37</v>
      </c>
      <c r="RB42" s="12" t="s">
        <v>37</v>
      </c>
      <c r="RC42" s="12" t="s">
        <v>37</v>
      </c>
      <c r="RD42" s="12" t="s">
        <v>37</v>
      </c>
      <c r="RE42" s="12"/>
      <c r="RF42" s="12"/>
      <c r="RG42" s="12"/>
      <c r="RH42" s="12"/>
      <c r="RI42" s="12" t="s">
        <v>37</v>
      </c>
      <c r="RJ42" s="12" t="s">
        <v>37</v>
      </c>
      <c r="RK42" s="12" t="s">
        <v>37</v>
      </c>
      <c r="RL42" s="12" t="s">
        <v>37</v>
      </c>
      <c r="RM42" s="12" t="s">
        <v>37</v>
      </c>
      <c r="RN42" s="12" t="s">
        <v>37</v>
      </c>
      <c r="RO42" s="12"/>
      <c r="RP42" s="12"/>
      <c r="RQ42" s="12"/>
      <c r="RR42" s="12"/>
      <c r="RS42" s="12" t="s">
        <v>37</v>
      </c>
      <c r="RT42" s="12" t="s">
        <v>37</v>
      </c>
      <c r="RU42" s="12" t="s">
        <v>37</v>
      </c>
      <c r="RV42" s="12" t="s">
        <v>37</v>
      </c>
      <c r="RW42" s="12" t="s">
        <v>37</v>
      </c>
      <c r="RX42" s="12" t="s">
        <v>37</v>
      </c>
      <c r="RY42" s="12"/>
      <c r="RZ42" s="12"/>
      <c r="SA42" s="12"/>
      <c r="SB42" s="12"/>
      <c r="SC42" s="12" t="s">
        <v>37</v>
      </c>
      <c r="SD42" s="12" t="s">
        <v>37</v>
      </c>
      <c r="SE42" s="12" t="s">
        <v>37</v>
      </c>
      <c r="SF42" s="12" t="s">
        <v>37</v>
      </c>
      <c r="SG42" s="12" t="s">
        <v>37</v>
      </c>
      <c r="SH42" s="12" t="s">
        <v>37</v>
      </c>
      <c r="SI42" s="12"/>
      <c r="SJ42" s="12"/>
      <c r="SK42" s="12"/>
      <c r="SL42" s="12"/>
      <c r="SM42" s="12" t="s">
        <v>37</v>
      </c>
      <c r="SN42" s="12" t="s">
        <v>37</v>
      </c>
      <c r="SO42" s="12" t="s">
        <v>37</v>
      </c>
      <c r="SP42" s="12" t="s">
        <v>37</v>
      </c>
      <c r="SQ42" s="12" t="s">
        <v>37</v>
      </c>
      <c r="SR42" s="12" t="s">
        <v>37</v>
      </c>
      <c r="SS42" s="12"/>
      <c r="ST42" s="12"/>
      <c r="SU42" s="12"/>
      <c r="SV42" s="12"/>
      <c r="SW42" s="12" t="s">
        <v>37</v>
      </c>
      <c r="SX42" s="12" t="s">
        <v>37</v>
      </c>
      <c r="SY42" s="12" t="s">
        <v>37</v>
      </c>
      <c r="SZ42" s="12" t="s">
        <v>37</v>
      </c>
      <c r="TA42" s="12" t="s">
        <v>37</v>
      </c>
      <c r="TB42" s="12" t="s">
        <v>37</v>
      </c>
      <c r="TC42" s="12"/>
      <c r="TD42" s="12"/>
      <c r="TE42" s="12"/>
      <c r="TF42" s="12"/>
      <c r="TG42" s="12" t="s">
        <v>37</v>
      </c>
      <c r="TH42" s="12" t="s">
        <v>37</v>
      </c>
      <c r="TI42" s="12" t="s">
        <v>37</v>
      </c>
      <c r="TJ42" s="12" t="s">
        <v>37</v>
      </c>
      <c r="TK42" s="12" t="s">
        <v>37</v>
      </c>
      <c r="TL42" s="12" t="s">
        <v>37</v>
      </c>
      <c r="TM42" s="12"/>
      <c r="TN42" s="12"/>
      <c r="TO42" s="12"/>
      <c r="TP42" s="12"/>
      <c r="TQ42" s="12" t="s">
        <v>37</v>
      </c>
      <c r="TR42" s="12" t="s">
        <v>37</v>
      </c>
      <c r="TS42" s="12" t="s">
        <v>37</v>
      </c>
      <c r="TT42" s="19"/>
      <c r="TU42" s="12" t="s">
        <v>37</v>
      </c>
      <c r="TV42" s="12" t="s">
        <v>37</v>
      </c>
      <c r="TW42" s="12" t="s">
        <v>37</v>
      </c>
    </row>
    <row r="43" spans="1:546" ht="15.6" x14ac:dyDescent="0.3">
      <c r="A43" s="11">
        <v>17</v>
      </c>
      <c r="B43" s="16" t="s">
        <v>386</v>
      </c>
      <c r="C43" s="12" t="s">
        <v>26</v>
      </c>
      <c r="D43" s="14" t="s">
        <v>609</v>
      </c>
      <c r="E43" s="14">
        <v>5</v>
      </c>
      <c r="F43" s="14">
        <v>0</v>
      </c>
      <c r="G43" s="14">
        <v>0</v>
      </c>
      <c r="H43" s="12" t="s">
        <v>91</v>
      </c>
      <c r="I43" s="29">
        <v>45.4</v>
      </c>
      <c r="J43" s="29">
        <v>-75.5</v>
      </c>
      <c r="K43" s="12" t="s">
        <v>821</v>
      </c>
      <c r="L43" s="12" t="s">
        <v>822</v>
      </c>
      <c r="M43" s="13" t="s">
        <v>37</v>
      </c>
      <c r="N43" s="13" t="s">
        <v>37</v>
      </c>
      <c r="O43" s="13" t="s">
        <v>37</v>
      </c>
      <c r="P43" s="14" t="s">
        <v>84</v>
      </c>
      <c r="Q43" s="11" t="s">
        <v>162</v>
      </c>
      <c r="R43" s="11" t="s">
        <v>37</v>
      </c>
      <c r="S43" s="12" t="s">
        <v>93</v>
      </c>
      <c r="T43" s="12" t="s">
        <v>141</v>
      </c>
      <c r="U43" s="12" t="s">
        <v>334</v>
      </c>
      <c r="V43" s="12" t="s">
        <v>275</v>
      </c>
      <c r="W43" s="23" t="s">
        <v>387</v>
      </c>
      <c r="X43" s="12" t="s">
        <v>281</v>
      </c>
      <c r="Y43" s="12" t="s">
        <v>37</v>
      </c>
      <c r="Z43" s="12" t="s">
        <v>37</v>
      </c>
      <c r="AA43" s="32" t="s">
        <v>37</v>
      </c>
      <c r="AB43" s="12" t="s">
        <v>317</v>
      </c>
      <c r="AC43" s="12" t="s">
        <v>37</v>
      </c>
      <c r="AD43" s="12" t="s">
        <v>37</v>
      </c>
      <c r="AE43" s="12" t="s">
        <v>74</v>
      </c>
      <c r="AF43" s="12" t="s">
        <v>489</v>
      </c>
      <c r="AG43" s="12"/>
      <c r="AH43" s="32"/>
      <c r="AI43" s="12" t="s">
        <v>37</v>
      </c>
      <c r="AJ43" s="12" t="s">
        <v>37</v>
      </c>
      <c r="AK43" s="11" t="s">
        <v>37</v>
      </c>
      <c r="AL43" s="19"/>
      <c r="AM43" s="12" t="s">
        <v>37</v>
      </c>
      <c r="AN43" s="12" t="s">
        <v>37</v>
      </c>
      <c r="AO43" s="13" t="s">
        <v>37</v>
      </c>
      <c r="AP43" s="19"/>
      <c r="AQ43" s="49"/>
      <c r="AR43" s="49"/>
      <c r="AS43" s="32"/>
      <c r="AT43" s="12" t="s">
        <v>37</v>
      </c>
      <c r="AU43" s="12" t="s">
        <v>37</v>
      </c>
      <c r="AV43" s="13" t="s">
        <v>37</v>
      </c>
      <c r="AW43" s="12" t="s">
        <v>37</v>
      </c>
      <c r="AX43" s="12" t="s">
        <v>37</v>
      </c>
      <c r="AY43" s="13" t="s">
        <v>37</v>
      </c>
      <c r="AZ43" s="13"/>
      <c r="BA43" s="13"/>
      <c r="BB43" s="12"/>
      <c r="BC43" s="12" t="s">
        <v>37</v>
      </c>
      <c r="BD43" s="12" t="s">
        <v>37</v>
      </c>
      <c r="BE43" s="13" t="s">
        <v>37</v>
      </c>
      <c r="BF43" s="12" t="s">
        <v>37</v>
      </c>
      <c r="BG43" s="12" t="s">
        <v>37</v>
      </c>
      <c r="BH43" s="12" t="s">
        <v>37</v>
      </c>
      <c r="BI43" s="12"/>
      <c r="BJ43" s="12" t="s">
        <v>37</v>
      </c>
      <c r="BK43" s="12" t="s">
        <v>37</v>
      </c>
      <c r="BL43" s="12" t="s">
        <v>37</v>
      </c>
      <c r="BM43" s="12" t="s">
        <v>37</v>
      </c>
      <c r="BN43" s="12" t="s">
        <v>37</v>
      </c>
      <c r="BO43" s="12" t="s">
        <v>37</v>
      </c>
      <c r="BP43" s="19"/>
      <c r="BQ43" s="19"/>
      <c r="BR43" s="19"/>
      <c r="BS43" s="19"/>
      <c r="BT43" s="12"/>
      <c r="BU43" s="12" t="s">
        <v>37</v>
      </c>
      <c r="BV43" s="12" t="s">
        <v>37</v>
      </c>
      <c r="BW43" s="12" t="s">
        <v>37</v>
      </c>
      <c r="BX43" s="12" t="s">
        <v>37</v>
      </c>
      <c r="BY43" s="12" t="s">
        <v>37</v>
      </c>
      <c r="BZ43" s="12" t="s">
        <v>37</v>
      </c>
      <c r="CA43" s="19"/>
      <c r="CB43" s="19"/>
      <c r="CC43" s="19"/>
      <c r="CD43" s="19"/>
      <c r="CE43" s="12"/>
      <c r="CF43" s="12" t="s">
        <v>37</v>
      </c>
      <c r="CG43" s="12" t="s">
        <v>37</v>
      </c>
      <c r="CH43" s="12" t="s">
        <v>37</v>
      </c>
      <c r="CI43" s="12" t="s">
        <v>37</v>
      </c>
      <c r="CJ43" s="12" t="s">
        <v>37</v>
      </c>
      <c r="CK43" s="12" t="s">
        <v>37</v>
      </c>
      <c r="CL43" s="19"/>
      <c r="CM43" s="19"/>
      <c r="CN43" s="19"/>
      <c r="CO43" s="19"/>
      <c r="CP43" s="11" t="s">
        <v>34</v>
      </c>
      <c r="CQ43" s="12">
        <f>0.08/24*16</f>
        <v>5.3333333333333337E-2</v>
      </c>
      <c r="CR43" s="19">
        <f>0.05/24*16</f>
        <v>3.3333333333333333E-2</v>
      </c>
      <c r="CS43" s="13">
        <v>3</v>
      </c>
      <c r="CT43" s="52">
        <f t="shared" si="229"/>
        <v>0.625</v>
      </c>
      <c r="CU43" s="12">
        <f>-0.18/24*16</f>
        <v>-0.12</v>
      </c>
      <c r="CV43" s="19">
        <f>0.02/24*16</f>
        <v>1.3333333333333334E-2</v>
      </c>
      <c r="CW43" s="13">
        <v>3</v>
      </c>
      <c r="CX43" s="52">
        <f>CV43/ABS(CU43)</f>
        <v>0.11111111111111112</v>
      </c>
      <c r="CY43" s="68">
        <f t="shared" si="231"/>
        <v>-0.17333333333333334</v>
      </c>
      <c r="CZ43" s="12">
        <f t="shared" si="232"/>
        <v>2.5385910352879695E-2</v>
      </c>
      <c r="DA43" s="72">
        <f t="shared" si="233"/>
        <v>4.2962962962962963E-4</v>
      </c>
      <c r="DB43" s="72">
        <f t="shared" si="234"/>
        <v>4.2962962962962963E-4</v>
      </c>
      <c r="DC43" s="11"/>
      <c r="DD43" s="12" t="s">
        <v>37</v>
      </c>
      <c r="DE43" s="68" t="s">
        <v>37</v>
      </c>
      <c r="DF43" s="12" t="s">
        <v>37</v>
      </c>
      <c r="DG43" s="19"/>
      <c r="DH43" s="12" t="s">
        <v>37</v>
      </c>
      <c r="DI43" s="68" t="s">
        <v>37</v>
      </c>
      <c r="DJ43" s="12" t="s">
        <v>37</v>
      </c>
      <c r="DK43" s="19"/>
      <c r="DL43" s="68"/>
      <c r="DM43" s="68"/>
      <c r="DN43" s="68"/>
      <c r="DO43" s="68"/>
      <c r="DP43" s="12"/>
      <c r="DQ43" s="12" t="s">
        <v>37</v>
      </c>
      <c r="DR43" s="12" t="s">
        <v>37</v>
      </c>
      <c r="DS43" s="13" t="s">
        <v>37</v>
      </c>
      <c r="DT43" s="19"/>
      <c r="DU43" s="12" t="s">
        <v>37</v>
      </c>
      <c r="DV43" s="12" t="s">
        <v>37</v>
      </c>
      <c r="DW43" s="13" t="s">
        <v>37</v>
      </c>
      <c r="DX43" s="19"/>
      <c r="DY43" s="19"/>
      <c r="DZ43" s="19"/>
      <c r="EA43" s="72"/>
      <c r="EB43" s="72"/>
      <c r="EC43" s="12"/>
      <c r="ED43" s="12"/>
      <c r="EE43" s="12" t="s">
        <v>37</v>
      </c>
      <c r="EF43" s="12" t="s">
        <v>37</v>
      </c>
      <c r="EG43" s="12" t="s">
        <v>37</v>
      </c>
      <c r="EH43" s="19"/>
      <c r="EI43" s="12" t="s">
        <v>37</v>
      </c>
      <c r="EJ43" s="20" t="s">
        <v>37</v>
      </c>
      <c r="EK43" s="12" t="s">
        <v>37</v>
      </c>
      <c r="EL43" s="19"/>
      <c r="EM43" s="19"/>
      <c r="EN43" s="19"/>
      <c r="EO43" s="19"/>
      <c r="EP43" s="19"/>
      <c r="EQ43" s="32"/>
      <c r="ER43" s="12" t="s">
        <v>37</v>
      </c>
      <c r="ES43" s="12" t="s">
        <v>37</v>
      </c>
      <c r="ET43" s="12" t="s">
        <v>37</v>
      </c>
      <c r="EU43" s="19"/>
      <c r="EV43" s="12" t="s">
        <v>37</v>
      </c>
      <c r="EW43" s="12" t="s">
        <v>37</v>
      </c>
      <c r="EX43" s="12" t="s">
        <v>37</v>
      </c>
      <c r="EY43" s="19"/>
      <c r="EZ43" s="19"/>
      <c r="FA43" s="19"/>
      <c r="FB43" s="19"/>
      <c r="FC43" s="32"/>
      <c r="FD43" s="12" t="s">
        <v>37</v>
      </c>
      <c r="FE43" s="12" t="s">
        <v>37</v>
      </c>
      <c r="FF43" s="12" t="s">
        <v>37</v>
      </c>
      <c r="FG43" s="12" t="s">
        <v>37</v>
      </c>
      <c r="FH43" s="12" t="s">
        <v>37</v>
      </c>
      <c r="FI43" s="12" t="s">
        <v>37</v>
      </c>
      <c r="FJ43" s="19"/>
      <c r="FK43" s="19"/>
      <c r="FL43" s="19"/>
      <c r="FM43" s="32"/>
      <c r="FN43" s="12" t="s">
        <v>37</v>
      </c>
      <c r="FO43" s="12" t="s">
        <v>37</v>
      </c>
      <c r="FP43" s="12" t="s">
        <v>37</v>
      </c>
      <c r="FQ43" s="12" t="s">
        <v>37</v>
      </c>
      <c r="FR43" s="12" t="s">
        <v>37</v>
      </c>
      <c r="FS43" s="12" t="s">
        <v>37</v>
      </c>
      <c r="FT43" s="19"/>
      <c r="FU43" s="19"/>
      <c r="FV43" s="19"/>
      <c r="FW43" s="12"/>
      <c r="FX43" s="12"/>
      <c r="FY43" s="12" t="s">
        <v>37</v>
      </c>
      <c r="FZ43" s="12" t="s">
        <v>37</v>
      </c>
      <c r="GA43" s="13" t="s">
        <v>37</v>
      </c>
      <c r="GB43" s="12" t="s">
        <v>37</v>
      </c>
      <c r="GC43" s="12" t="s">
        <v>37</v>
      </c>
      <c r="GD43" s="13" t="s">
        <v>37</v>
      </c>
      <c r="GE43" s="19"/>
      <c r="GF43" s="19"/>
      <c r="GG43" s="12"/>
      <c r="GH43" s="12"/>
      <c r="GI43" s="12" t="s">
        <v>37</v>
      </c>
      <c r="GJ43" s="12" t="s">
        <v>37</v>
      </c>
      <c r="GK43" s="12" t="s">
        <v>37</v>
      </c>
      <c r="GL43" s="19"/>
      <c r="GM43" s="12" t="s">
        <v>37</v>
      </c>
      <c r="GN43" s="12" t="s">
        <v>37</v>
      </c>
      <c r="GO43" s="12" t="s">
        <v>37</v>
      </c>
      <c r="GP43" s="19"/>
      <c r="GQ43" s="19"/>
      <c r="GR43" s="19"/>
      <c r="GS43" s="17"/>
      <c r="GT43" s="34"/>
      <c r="GU43" s="12" t="s">
        <v>37</v>
      </c>
      <c r="GV43" s="12" t="s">
        <v>37</v>
      </c>
      <c r="GW43" s="12" t="s">
        <v>37</v>
      </c>
      <c r="GX43" s="19"/>
      <c r="GY43" s="12" t="s">
        <v>37</v>
      </c>
      <c r="GZ43" s="12" t="s">
        <v>37</v>
      </c>
      <c r="HA43" s="12" t="s">
        <v>37</v>
      </c>
      <c r="HB43" s="19"/>
      <c r="HC43" s="19"/>
      <c r="HD43" s="19"/>
      <c r="HE43" s="34"/>
      <c r="HF43" s="12" t="s">
        <v>37</v>
      </c>
      <c r="HG43" s="12" t="s">
        <v>37</v>
      </c>
      <c r="HH43" s="13" t="s">
        <v>37</v>
      </c>
      <c r="HI43" s="12" t="s">
        <v>37</v>
      </c>
      <c r="HJ43" s="12" t="s">
        <v>37</v>
      </c>
      <c r="HK43" s="13" t="s">
        <v>37</v>
      </c>
      <c r="HL43" s="13"/>
      <c r="HM43" s="13"/>
      <c r="HN43" s="34"/>
      <c r="HO43" s="12" t="s">
        <v>37</v>
      </c>
      <c r="HP43" s="12" t="s">
        <v>37</v>
      </c>
      <c r="HQ43" s="13" t="s">
        <v>37</v>
      </c>
      <c r="HR43" s="12" t="s">
        <v>37</v>
      </c>
      <c r="HS43" s="12" t="s">
        <v>37</v>
      </c>
      <c r="HT43" s="13" t="s">
        <v>37</v>
      </c>
      <c r="HU43" s="13"/>
      <c r="HV43" s="13"/>
      <c r="HW43" s="12"/>
      <c r="HX43" s="12"/>
      <c r="HY43" s="12" t="s">
        <v>37</v>
      </c>
      <c r="HZ43" s="12" t="s">
        <v>37</v>
      </c>
      <c r="IA43" s="12" t="s">
        <v>37</v>
      </c>
      <c r="IB43" s="12" t="s">
        <v>37</v>
      </c>
      <c r="IC43" s="12" t="s">
        <v>37</v>
      </c>
      <c r="ID43" s="12" t="s">
        <v>37</v>
      </c>
      <c r="IE43" s="12"/>
      <c r="IF43" s="32"/>
      <c r="IG43" s="12" t="s">
        <v>37</v>
      </c>
      <c r="IH43" s="12" t="s">
        <v>37</v>
      </c>
      <c r="II43" s="13" t="s">
        <v>37</v>
      </c>
      <c r="IJ43" s="19"/>
      <c r="IK43" s="12" t="s">
        <v>37</v>
      </c>
      <c r="IL43" s="12" t="s">
        <v>37</v>
      </c>
      <c r="IM43" s="13" t="s">
        <v>37</v>
      </c>
      <c r="IN43" s="19"/>
      <c r="IO43" s="19"/>
      <c r="IP43" s="19"/>
      <c r="IQ43" s="32"/>
      <c r="IR43" s="12" t="s">
        <v>37</v>
      </c>
      <c r="IS43" s="12" t="s">
        <v>37</v>
      </c>
      <c r="IT43" s="13" t="s">
        <v>37</v>
      </c>
      <c r="IU43" s="12" t="s">
        <v>37</v>
      </c>
      <c r="IV43" s="12" t="s">
        <v>37</v>
      </c>
      <c r="IW43" s="12" t="s">
        <v>37</v>
      </c>
      <c r="IX43" s="32"/>
      <c r="IY43" s="12" t="s">
        <v>37</v>
      </c>
      <c r="IZ43" s="12" t="s">
        <v>37</v>
      </c>
      <c r="JA43" s="13" t="s">
        <v>37</v>
      </c>
      <c r="JB43" s="12" t="s">
        <v>37</v>
      </c>
      <c r="JC43" s="12" t="s">
        <v>37</v>
      </c>
      <c r="JD43" s="12" t="s">
        <v>37</v>
      </c>
      <c r="JE43" s="12"/>
      <c r="JF43" s="12"/>
      <c r="JG43" s="12" t="s">
        <v>37</v>
      </c>
      <c r="JH43" s="12" t="s">
        <v>37</v>
      </c>
      <c r="JI43" s="13" t="s">
        <v>37</v>
      </c>
      <c r="JJ43" s="12" t="s">
        <v>37</v>
      </c>
      <c r="JK43" s="12" t="s">
        <v>37</v>
      </c>
      <c r="JL43" s="12" t="s">
        <v>37</v>
      </c>
      <c r="JM43" s="12"/>
      <c r="JN43" s="32"/>
      <c r="JO43" s="12" t="s">
        <v>37</v>
      </c>
      <c r="JP43" s="12" t="s">
        <v>37</v>
      </c>
      <c r="JQ43" s="11" t="s">
        <v>37</v>
      </c>
      <c r="JR43" s="19"/>
      <c r="JS43" s="12" t="s">
        <v>37</v>
      </c>
      <c r="JT43" s="12" t="s">
        <v>37</v>
      </c>
      <c r="JU43" s="12" t="s">
        <v>37</v>
      </c>
      <c r="JV43" s="19"/>
      <c r="JW43" s="19"/>
      <c r="JX43" s="19"/>
      <c r="JY43" s="32"/>
      <c r="JZ43" s="12" t="s">
        <v>37</v>
      </c>
      <c r="KA43" s="12" t="s">
        <v>37</v>
      </c>
      <c r="KB43" s="12" t="s">
        <v>37</v>
      </c>
      <c r="KC43" s="12" t="s">
        <v>37</v>
      </c>
      <c r="KD43" s="12" t="s">
        <v>37</v>
      </c>
      <c r="KE43" s="12" t="s">
        <v>37</v>
      </c>
      <c r="KF43" s="12"/>
      <c r="KG43" s="12"/>
      <c r="KH43" s="32"/>
      <c r="KI43" s="12" t="s">
        <v>37</v>
      </c>
      <c r="KJ43" s="12" t="s">
        <v>37</v>
      </c>
      <c r="KK43" s="12" t="s">
        <v>37</v>
      </c>
      <c r="KL43" s="12" t="s">
        <v>37</v>
      </c>
      <c r="KM43" s="12" t="s">
        <v>37</v>
      </c>
      <c r="KN43" s="12" t="s">
        <v>37</v>
      </c>
      <c r="KO43" s="12"/>
      <c r="KP43" s="12"/>
      <c r="KQ43" s="12"/>
      <c r="KR43" s="12"/>
      <c r="KS43" s="12" t="s">
        <v>37</v>
      </c>
      <c r="KT43" s="12" t="s">
        <v>37</v>
      </c>
      <c r="KU43" s="12" t="s">
        <v>37</v>
      </c>
      <c r="KV43" s="19"/>
      <c r="KW43" s="12" t="s">
        <v>37</v>
      </c>
      <c r="KX43" s="12" t="s">
        <v>37</v>
      </c>
      <c r="KY43" s="12" t="s">
        <v>37</v>
      </c>
      <c r="KZ43" s="19"/>
      <c r="LA43" s="19"/>
      <c r="LB43" s="19"/>
      <c r="LC43" s="12"/>
      <c r="LD43" s="12" t="s">
        <v>37</v>
      </c>
      <c r="LE43" s="12" t="s">
        <v>37</v>
      </c>
      <c r="LF43" s="12" t="s">
        <v>37</v>
      </c>
      <c r="LG43" s="19" t="s">
        <v>37</v>
      </c>
      <c r="LH43" s="19" t="s">
        <v>37</v>
      </c>
      <c r="LI43" s="12" t="s">
        <v>37</v>
      </c>
      <c r="LJ43" s="12"/>
      <c r="LK43" s="12"/>
      <c r="LL43" s="12"/>
      <c r="LM43" s="12" t="s">
        <v>37</v>
      </c>
      <c r="LN43" s="12" t="s">
        <v>37</v>
      </c>
      <c r="LO43" s="12" t="s">
        <v>37</v>
      </c>
      <c r="LP43" s="12" t="s">
        <v>37</v>
      </c>
      <c r="LQ43" s="12" t="s">
        <v>37</v>
      </c>
      <c r="LR43" s="12" t="s">
        <v>37</v>
      </c>
      <c r="LS43" s="12"/>
      <c r="LT43" s="12"/>
      <c r="LU43" s="12" t="s">
        <v>37</v>
      </c>
      <c r="LV43" s="12" t="s">
        <v>37</v>
      </c>
      <c r="LW43" s="13" t="s">
        <v>37</v>
      </c>
      <c r="LX43" s="12" t="s">
        <v>37</v>
      </c>
      <c r="LY43" s="12" t="s">
        <v>37</v>
      </c>
      <c r="LZ43" s="13" t="s">
        <v>37</v>
      </c>
      <c r="MA43" s="13"/>
      <c r="MB43" s="13"/>
      <c r="MC43" s="12"/>
      <c r="MD43" s="12"/>
      <c r="ME43" s="12" t="s">
        <v>37</v>
      </c>
      <c r="MF43" s="12" t="s">
        <v>37</v>
      </c>
      <c r="MG43" s="13" t="s">
        <v>37</v>
      </c>
      <c r="MH43" s="12" t="s">
        <v>37</v>
      </c>
      <c r="MI43" s="12" t="s">
        <v>37</v>
      </c>
      <c r="MJ43" s="13" t="s">
        <v>37</v>
      </c>
      <c r="MK43" s="13"/>
      <c r="ML43" s="13"/>
      <c r="MM43" s="12"/>
      <c r="MN43" s="12"/>
      <c r="MO43" s="12" t="s">
        <v>37</v>
      </c>
      <c r="MP43" s="12" t="s">
        <v>37</v>
      </c>
      <c r="MQ43" s="12" t="s">
        <v>37</v>
      </c>
      <c r="MR43" s="12" t="s">
        <v>37</v>
      </c>
      <c r="MS43" s="12" t="s">
        <v>37</v>
      </c>
      <c r="MT43" s="12" t="s">
        <v>37</v>
      </c>
      <c r="MU43" s="12"/>
      <c r="MV43" s="12"/>
      <c r="MW43" s="12"/>
      <c r="MX43" s="12"/>
      <c r="MY43" s="12" t="s">
        <v>37</v>
      </c>
      <c r="MZ43" s="12" t="s">
        <v>37</v>
      </c>
      <c r="NA43" s="12" t="s">
        <v>37</v>
      </c>
      <c r="NB43" s="12" t="s">
        <v>37</v>
      </c>
      <c r="NC43" s="12" t="s">
        <v>37</v>
      </c>
      <c r="ND43" s="12" t="s">
        <v>37</v>
      </c>
      <c r="NE43" s="12"/>
      <c r="NF43" s="12"/>
      <c r="NG43" s="12"/>
      <c r="NH43" s="12"/>
      <c r="NI43" s="12" t="s">
        <v>37</v>
      </c>
      <c r="NJ43" s="12" t="s">
        <v>37</v>
      </c>
      <c r="NK43" s="13" t="s">
        <v>37</v>
      </c>
      <c r="NL43" s="12" t="s">
        <v>37</v>
      </c>
      <c r="NM43" s="12" t="s">
        <v>37</v>
      </c>
      <c r="NN43" s="13" t="s">
        <v>37</v>
      </c>
      <c r="NO43" s="13"/>
      <c r="NP43" s="13"/>
      <c r="NQ43" s="12"/>
      <c r="NR43" s="12"/>
      <c r="NS43" s="12" t="s">
        <v>37</v>
      </c>
      <c r="NT43" s="12" t="s">
        <v>37</v>
      </c>
      <c r="NU43" s="12" t="s">
        <v>37</v>
      </c>
      <c r="NV43" s="12" t="s">
        <v>37</v>
      </c>
      <c r="NW43" s="12" t="s">
        <v>37</v>
      </c>
      <c r="NX43" s="12" t="s">
        <v>37</v>
      </c>
      <c r="NY43" s="12"/>
      <c r="NZ43" s="12"/>
      <c r="OA43" s="12"/>
      <c r="OB43" s="12"/>
      <c r="OC43" s="12" t="s">
        <v>37</v>
      </c>
      <c r="OD43" s="12" t="s">
        <v>37</v>
      </c>
      <c r="OE43" s="12" t="s">
        <v>37</v>
      </c>
      <c r="OF43" s="12" t="s">
        <v>37</v>
      </c>
      <c r="OG43" s="12" t="s">
        <v>37</v>
      </c>
      <c r="OH43" s="12" t="s">
        <v>37</v>
      </c>
      <c r="OI43" s="12"/>
      <c r="OJ43" s="12"/>
      <c r="OK43" s="12"/>
      <c r="OL43" s="12" t="s">
        <v>37</v>
      </c>
      <c r="OM43" s="12" t="s">
        <v>37</v>
      </c>
      <c r="ON43" s="12" t="s">
        <v>37</v>
      </c>
      <c r="OO43" s="12" t="s">
        <v>37</v>
      </c>
      <c r="OP43" s="12" t="s">
        <v>37</v>
      </c>
      <c r="OQ43" s="12" t="s">
        <v>37</v>
      </c>
      <c r="OR43" s="12"/>
      <c r="OS43" s="12" t="s">
        <v>37</v>
      </c>
      <c r="OT43" s="12" t="s">
        <v>37</v>
      </c>
      <c r="OU43" s="12" t="s">
        <v>37</v>
      </c>
      <c r="OV43" s="12" t="s">
        <v>37</v>
      </c>
      <c r="OW43" s="12" t="s">
        <v>37</v>
      </c>
      <c r="OX43" s="12" t="s">
        <v>37</v>
      </c>
      <c r="OY43" s="12"/>
      <c r="OZ43" s="12"/>
      <c r="PA43" s="12" t="s">
        <v>37</v>
      </c>
      <c r="PB43" s="12" t="s">
        <v>37</v>
      </c>
      <c r="PC43" s="12" t="s">
        <v>37</v>
      </c>
      <c r="PD43" s="12" t="s">
        <v>37</v>
      </c>
      <c r="PE43" s="12" t="s">
        <v>37</v>
      </c>
      <c r="PF43" s="12" t="s">
        <v>37</v>
      </c>
      <c r="PG43" s="12"/>
      <c r="PH43" s="12"/>
      <c r="PI43" s="12" t="s">
        <v>37</v>
      </c>
      <c r="PJ43" s="12" t="s">
        <v>37</v>
      </c>
      <c r="PK43" s="12" t="s">
        <v>37</v>
      </c>
      <c r="PL43" s="12" t="s">
        <v>37</v>
      </c>
      <c r="PM43" s="12" t="s">
        <v>37</v>
      </c>
      <c r="PN43" s="12" t="s">
        <v>37</v>
      </c>
      <c r="PO43" s="12"/>
      <c r="PP43" s="12"/>
      <c r="PQ43" s="12" t="s">
        <v>37</v>
      </c>
      <c r="PR43" s="12" t="s">
        <v>37</v>
      </c>
      <c r="PS43" s="12" t="s">
        <v>37</v>
      </c>
      <c r="PT43" s="12" t="s">
        <v>37</v>
      </c>
      <c r="PU43" s="12" t="s">
        <v>37</v>
      </c>
      <c r="PV43" s="12" t="s">
        <v>37</v>
      </c>
      <c r="PW43" s="12"/>
      <c r="PX43" s="12"/>
      <c r="PY43" s="12" t="s">
        <v>37</v>
      </c>
      <c r="PZ43" s="12" t="s">
        <v>37</v>
      </c>
      <c r="QA43" s="12" t="s">
        <v>37</v>
      </c>
      <c r="QB43" s="12" t="s">
        <v>37</v>
      </c>
      <c r="QC43" s="12" t="s">
        <v>37</v>
      </c>
      <c r="QD43" s="12" t="s">
        <v>37</v>
      </c>
      <c r="QE43" s="12"/>
      <c r="QF43" s="12"/>
      <c r="QG43" s="12" t="s">
        <v>37</v>
      </c>
      <c r="QH43" s="12" t="s">
        <v>37</v>
      </c>
      <c r="QI43" s="12" t="s">
        <v>37</v>
      </c>
      <c r="QJ43" s="12" t="s">
        <v>37</v>
      </c>
      <c r="QK43" s="12" t="s">
        <v>37</v>
      </c>
      <c r="QL43" s="12" t="s">
        <v>37</v>
      </c>
      <c r="QM43" s="12"/>
      <c r="QN43" s="12"/>
      <c r="QO43" s="12" t="s">
        <v>37</v>
      </c>
      <c r="QP43" s="12" t="s">
        <v>37</v>
      </c>
      <c r="QQ43" s="12" t="s">
        <v>37</v>
      </c>
      <c r="QR43" s="12" t="s">
        <v>37</v>
      </c>
      <c r="QS43" s="12" t="s">
        <v>37</v>
      </c>
      <c r="QT43" s="12" t="s">
        <v>37</v>
      </c>
      <c r="QU43" s="12"/>
      <c r="QV43" s="12"/>
      <c r="QW43" s="12"/>
      <c r="QX43" s="12"/>
      <c r="QY43" s="12" t="s">
        <v>37</v>
      </c>
      <c r="QZ43" s="12" t="s">
        <v>37</v>
      </c>
      <c r="RA43" s="12" t="s">
        <v>37</v>
      </c>
      <c r="RB43" s="12" t="s">
        <v>37</v>
      </c>
      <c r="RC43" s="12" t="s">
        <v>37</v>
      </c>
      <c r="RD43" s="12" t="s">
        <v>37</v>
      </c>
      <c r="RE43" s="12"/>
      <c r="RF43" s="12"/>
      <c r="RG43" s="12"/>
      <c r="RH43" s="12"/>
      <c r="RI43" s="12" t="s">
        <v>37</v>
      </c>
      <c r="RJ43" s="12" t="s">
        <v>37</v>
      </c>
      <c r="RK43" s="12" t="s">
        <v>37</v>
      </c>
      <c r="RL43" s="12" t="s">
        <v>37</v>
      </c>
      <c r="RM43" s="12" t="s">
        <v>37</v>
      </c>
      <c r="RN43" s="12" t="s">
        <v>37</v>
      </c>
      <c r="RO43" s="12"/>
      <c r="RP43" s="12"/>
      <c r="RQ43" s="12"/>
      <c r="RR43" s="12"/>
      <c r="RS43" s="12" t="s">
        <v>37</v>
      </c>
      <c r="RT43" s="12" t="s">
        <v>37</v>
      </c>
      <c r="RU43" s="12" t="s">
        <v>37</v>
      </c>
      <c r="RV43" s="12" t="s">
        <v>37</v>
      </c>
      <c r="RW43" s="12" t="s">
        <v>37</v>
      </c>
      <c r="RX43" s="12" t="s">
        <v>37</v>
      </c>
      <c r="RY43" s="12"/>
      <c r="RZ43" s="12"/>
      <c r="SA43" s="12"/>
      <c r="SB43" s="12"/>
      <c r="SC43" s="12" t="s">
        <v>37</v>
      </c>
      <c r="SD43" s="12" t="s">
        <v>37</v>
      </c>
      <c r="SE43" s="12" t="s">
        <v>37</v>
      </c>
      <c r="SF43" s="12" t="s">
        <v>37</v>
      </c>
      <c r="SG43" s="12" t="s">
        <v>37</v>
      </c>
      <c r="SH43" s="12" t="s">
        <v>37</v>
      </c>
      <c r="SI43" s="12"/>
      <c r="SJ43" s="12"/>
      <c r="SK43" s="12"/>
      <c r="SL43" s="12"/>
      <c r="SM43" s="12" t="s">
        <v>37</v>
      </c>
      <c r="SN43" s="12" t="s">
        <v>37</v>
      </c>
      <c r="SO43" s="12" t="s">
        <v>37</v>
      </c>
      <c r="SP43" s="12" t="s">
        <v>37</v>
      </c>
      <c r="SQ43" s="12" t="s">
        <v>37</v>
      </c>
      <c r="SR43" s="12" t="s">
        <v>37</v>
      </c>
      <c r="SS43" s="12"/>
      <c r="ST43" s="12"/>
      <c r="SU43" s="12"/>
      <c r="SV43" s="12"/>
      <c r="SW43" s="12" t="s">
        <v>37</v>
      </c>
      <c r="SX43" s="12" t="s">
        <v>37</v>
      </c>
      <c r="SY43" s="12" t="s">
        <v>37</v>
      </c>
      <c r="SZ43" s="12" t="s">
        <v>37</v>
      </c>
      <c r="TA43" s="12" t="s">
        <v>37</v>
      </c>
      <c r="TB43" s="12" t="s">
        <v>37</v>
      </c>
      <c r="TC43" s="12"/>
      <c r="TD43" s="12"/>
      <c r="TE43" s="12"/>
      <c r="TF43" s="12"/>
      <c r="TG43" s="12" t="s">
        <v>37</v>
      </c>
      <c r="TH43" s="12" t="s">
        <v>37</v>
      </c>
      <c r="TI43" s="12" t="s">
        <v>37</v>
      </c>
      <c r="TJ43" s="12" t="s">
        <v>37</v>
      </c>
      <c r="TK43" s="12" t="s">
        <v>37</v>
      </c>
      <c r="TL43" s="12" t="s">
        <v>37</v>
      </c>
      <c r="TM43" s="12"/>
      <c r="TN43" s="12"/>
      <c r="TO43" s="12"/>
      <c r="TP43" s="12"/>
      <c r="TQ43" s="12" t="s">
        <v>37</v>
      </c>
      <c r="TR43" s="12" t="s">
        <v>37</v>
      </c>
      <c r="TS43" s="12" t="s">
        <v>37</v>
      </c>
      <c r="TT43" s="19"/>
      <c r="TU43" s="12" t="s">
        <v>37</v>
      </c>
      <c r="TV43" s="12" t="s">
        <v>37</v>
      </c>
      <c r="TW43" s="12" t="s">
        <v>37</v>
      </c>
    </row>
    <row r="44" spans="1:546" ht="15.6" x14ac:dyDescent="0.3">
      <c r="A44" s="11">
        <v>18</v>
      </c>
      <c r="B44" s="16" t="s">
        <v>416</v>
      </c>
      <c r="C44" s="12" t="s">
        <v>26</v>
      </c>
      <c r="D44" s="12" t="s">
        <v>54</v>
      </c>
      <c r="E44" s="14">
        <v>2</v>
      </c>
      <c r="F44" s="14">
        <v>0</v>
      </c>
      <c r="G44" s="14">
        <v>0</v>
      </c>
      <c r="H44" s="12" t="s">
        <v>123</v>
      </c>
      <c r="I44" s="29">
        <v>61.783000000000001</v>
      </c>
      <c r="J44" s="29">
        <v>24.3</v>
      </c>
      <c r="K44" s="12" t="s">
        <v>775</v>
      </c>
      <c r="L44" s="12" t="s">
        <v>709</v>
      </c>
      <c r="M44" s="13">
        <v>150</v>
      </c>
      <c r="N44" s="14">
        <v>3</v>
      </c>
      <c r="O44" s="14">
        <v>709</v>
      </c>
      <c r="P44" s="14" t="s">
        <v>84</v>
      </c>
      <c r="Q44" s="11">
        <v>42</v>
      </c>
      <c r="R44" s="11" t="s">
        <v>37</v>
      </c>
      <c r="S44" s="12" t="s">
        <v>85</v>
      </c>
      <c r="T44" s="12" t="s">
        <v>138</v>
      </c>
      <c r="U44" s="12" t="s">
        <v>158</v>
      </c>
      <c r="V44" s="12" t="s">
        <v>275</v>
      </c>
      <c r="W44" s="23" t="s">
        <v>173</v>
      </c>
      <c r="X44" s="12" t="s">
        <v>280</v>
      </c>
      <c r="Y44" s="12" t="s">
        <v>37</v>
      </c>
      <c r="Z44" s="12" t="s">
        <v>37</v>
      </c>
      <c r="AA44" s="32">
        <v>2003</v>
      </c>
      <c r="AB44" s="12" t="s">
        <v>317</v>
      </c>
      <c r="AC44" s="12" t="s">
        <v>37</v>
      </c>
      <c r="AD44" s="12" t="s">
        <v>373</v>
      </c>
      <c r="AE44" s="12" t="s">
        <v>74</v>
      </c>
      <c r="AF44" s="12" t="s">
        <v>489</v>
      </c>
      <c r="AG44" s="12"/>
      <c r="AH44" s="32"/>
      <c r="AI44" s="12" t="s">
        <v>37</v>
      </c>
      <c r="AJ44" s="12" t="s">
        <v>37</v>
      </c>
      <c r="AK44" s="11" t="s">
        <v>37</v>
      </c>
      <c r="AL44" s="19"/>
      <c r="AM44" s="12" t="s">
        <v>37</v>
      </c>
      <c r="AN44" s="12" t="s">
        <v>37</v>
      </c>
      <c r="AO44" s="13" t="s">
        <v>37</v>
      </c>
      <c r="AP44" s="19"/>
      <c r="AQ44" s="49"/>
      <c r="AR44" s="49"/>
      <c r="AS44" s="32"/>
      <c r="AT44" s="12" t="s">
        <v>37</v>
      </c>
      <c r="AU44" s="12" t="s">
        <v>37</v>
      </c>
      <c r="AV44" s="13" t="s">
        <v>37</v>
      </c>
      <c r="AW44" s="12" t="s">
        <v>37</v>
      </c>
      <c r="AX44" s="12" t="s">
        <v>37</v>
      </c>
      <c r="AY44" s="13" t="s">
        <v>37</v>
      </c>
      <c r="AZ44" s="13"/>
      <c r="BA44" s="13"/>
      <c r="BB44" s="12"/>
      <c r="BC44" s="12" t="s">
        <v>37</v>
      </c>
      <c r="BD44" s="12" t="s">
        <v>37</v>
      </c>
      <c r="BE44" s="13" t="s">
        <v>37</v>
      </c>
      <c r="BF44" s="12" t="s">
        <v>37</v>
      </c>
      <c r="BG44" s="12" t="s">
        <v>37</v>
      </c>
      <c r="BH44" s="12" t="s">
        <v>37</v>
      </c>
      <c r="BI44" s="12"/>
      <c r="BJ44" s="12" t="s">
        <v>37</v>
      </c>
      <c r="BK44" s="12" t="s">
        <v>37</v>
      </c>
      <c r="BL44" s="12" t="s">
        <v>37</v>
      </c>
      <c r="BM44" s="12" t="s">
        <v>37</v>
      </c>
      <c r="BN44" s="12" t="s">
        <v>37</v>
      </c>
      <c r="BO44" s="12" t="s">
        <v>37</v>
      </c>
      <c r="BP44" s="19"/>
      <c r="BQ44" s="19"/>
      <c r="BR44" s="19"/>
      <c r="BS44" s="19"/>
      <c r="BT44" s="12"/>
      <c r="BU44" s="12" t="s">
        <v>37</v>
      </c>
      <c r="BV44" s="12" t="s">
        <v>37</v>
      </c>
      <c r="BW44" s="12" t="s">
        <v>37</v>
      </c>
      <c r="BX44" s="12" t="s">
        <v>37</v>
      </c>
      <c r="BY44" s="12" t="s">
        <v>37</v>
      </c>
      <c r="BZ44" s="12" t="s">
        <v>37</v>
      </c>
      <c r="CA44" s="19"/>
      <c r="CB44" s="19"/>
      <c r="CC44" s="19"/>
      <c r="CD44" s="19"/>
      <c r="CE44" s="12"/>
      <c r="CF44" s="12" t="s">
        <v>37</v>
      </c>
      <c r="CG44" s="12" t="s">
        <v>37</v>
      </c>
      <c r="CH44" s="12" t="s">
        <v>37</v>
      </c>
      <c r="CI44" s="12" t="s">
        <v>37</v>
      </c>
      <c r="CJ44" s="12" t="s">
        <v>37</v>
      </c>
      <c r="CK44" s="12" t="s">
        <v>37</v>
      </c>
      <c r="CL44" s="19"/>
      <c r="CM44" s="19"/>
      <c r="CN44" s="19"/>
      <c r="CO44" s="19"/>
      <c r="CP44" s="11" t="s">
        <v>866</v>
      </c>
      <c r="CQ44" s="29">
        <f>-10.54*16/1000000*1000/1000/0.1</f>
        <v>-1.6863999999999998E-3</v>
      </c>
      <c r="CR44" s="19">
        <f>2*SQRT(3)*16/1000000*1000/1000/0.1</f>
        <v>5.5425625842204064E-4</v>
      </c>
      <c r="CS44" s="13">
        <v>3</v>
      </c>
      <c r="CT44" s="19">
        <f>CR44/ABS(CQ44)</f>
        <v>0.32866239232806022</v>
      </c>
      <c r="CU44" s="12">
        <f>-0.89*16/1000000*1000/1000/0.1</f>
        <v>-1.4239999999999999E-4</v>
      </c>
      <c r="CV44" s="19">
        <f>0.07*SQRT(3)</f>
        <v>0.12124355652982141</v>
      </c>
      <c r="CW44" s="13">
        <v>3</v>
      </c>
      <c r="CX44" s="19"/>
      <c r="CY44" s="68">
        <f>CU44-CQ44</f>
        <v>1.5439999999999998E-3</v>
      </c>
      <c r="CZ44" s="12">
        <f t="shared" si="232"/>
        <v>8.5733036806122764E-2</v>
      </c>
      <c r="DA44" s="72">
        <f t="shared" si="233"/>
        <v>4.9001024000000001E-3</v>
      </c>
      <c r="DB44" s="72">
        <f t="shared" si="234"/>
        <v>4.9001024000000001E-3</v>
      </c>
      <c r="DC44" s="11"/>
      <c r="DD44" s="12" t="s">
        <v>37</v>
      </c>
      <c r="DE44" s="68" t="s">
        <v>37</v>
      </c>
      <c r="DF44" s="12" t="s">
        <v>37</v>
      </c>
      <c r="DG44" s="19"/>
      <c r="DH44" s="12" t="s">
        <v>37</v>
      </c>
      <c r="DI44" s="68" t="s">
        <v>37</v>
      </c>
      <c r="DJ44" s="12" t="s">
        <v>37</v>
      </c>
      <c r="DK44" s="19"/>
      <c r="DL44" s="68"/>
      <c r="DM44" s="68"/>
      <c r="DN44" s="68"/>
      <c r="DO44" s="68"/>
      <c r="DP44" s="12" t="s">
        <v>39</v>
      </c>
      <c r="DQ44" s="12">
        <v>-33</v>
      </c>
      <c r="DR44" s="12">
        <f>ABS(DQ44)*DT$61</f>
        <v>13.332000000000001</v>
      </c>
      <c r="DS44" s="13">
        <v>3</v>
      </c>
      <c r="DT44" s="19"/>
      <c r="DU44" s="12">
        <v>-60</v>
      </c>
      <c r="DV44" s="12">
        <f>ABS(DU44)*DX$61</f>
        <v>20.736765748224734</v>
      </c>
      <c r="DW44" s="13">
        <v>3</v>
      </c>
      <c r="DX44" s="19"/>
      <c r="DY44" s="19">
        <f t="shared" ref="DY44:DY58" si="247">DU44-DQ44</f>
        <v>-27</v>
      </c>
      <c r="DZ44" s="12">
        <f t="shared" ref="DZ44:DZ59" si="248">SQRT(((DS44-1)*DR44^2+(DW44-1)*DV44^2)/(DS44+DW44-2))</f>
        <v>17.432092210872831</v>
      </c>
      <c r="EA44" s="72">
        <f t="shared" si="164"/>
        <v>202.5852258989155</v>
      </c>
      <c r="EB44" s="72">
        <f t="shared" si="165"/>
        <v>202.58522589891552</v>
      </c>
      <c r="EC44" s="12"/>
      <c r="ED44" s="12"/>
      <c r="EE44" s="12" t="s">
        <v>37</v>
      </c>
      <c r="EF44" s="12" t="s">
        <v>37</v>
      </c>
      <c r="EG44" s="12" t="s">
        <v>37</v>
      </c>
      <c r="EH44" s="19"/>
      <c r="EI44" s="12" t="s">
        <v>37</v>
      </c>
      <c r="EJ44" s="20" t="s">
        <v>37</v>
      </c>
      <c r="EK44" s="12" t="s">
        <v>37</v>
      </c>
      <c r="EL44" s="19"/>
      <c r="EM44" s="19"/>
      <c r="EN44" s="19"/>
      <c r="EO44" s="19"/>
      <c r="EP44" s="19"/>
      <c r="EQ44" s="32"/>
      <c r="ER44" s="12" t="s">
        <v>37</v>
      </c>
      <c r="ES44" s="12" t="s">
        <v>37</v>
      </c>
      <c r="ET44" s="12" t="s">
        <v>37</v>
      </c>
      <c r="EU44" s="19"/>
      <c r="EV44" s="12" t="s">
        <v>37</v>
      </c>
      <c r="EW44" s="12" t="s">
        <v>37</v>
      </c>
      <c r="EX44" s="12" t="s">
        <v>37</v>
      </c>
      <c r="EY44" s="19"/>
      <c r="EZ44" s="19"/>
      <c r="FA44" s="19"/>
      <c r="FB44" s="19"/>
      <c r="FC44" s="32"/>
      <c r="FD44" s="12" t="s">
        <v>37</v>
      </c>
      <c r="FE44" s="12" t="s">
        <v>37</v>
      </c>
      <c r="FF44" s="12" t="s">
        <v>37</v>
      </c>
      <c r="FG44" s="12" t="s">
        <v>37</v>
      </c>
      <c r="FH44" s="12" t="s">
        <v>37</v>
      </c>
      <c r="FI44" s="12" t="s">
        <v>37</v>
      </c>
      <c r="FJ44" s="19"/>
      <c r="FK44" s="19"/>
      <c r="FL44" s="19"/>
      <c r="FM44" s="32"/>
      <c r="FN44" s="12" t="s">
        <v>37</v>
      </c>
      <c r="FO44" s="12" t="s">
        <v>37</v>
      </c>
      <c r="FP44" s="12" t="s">
        <v>37</v>
      </c>
      <c r="FQ44" s="12" t="s">
        <v>37</v>
      </c>
      <c r="FR44" s="12" t="s">
        <v>37</v>
      </c>
      <c r="FS44" s="12" t="s">
        <v>37</v>
      </c>
      <c r="FT44" s="19"/>
      <c r="FU44" s="19"/>
      <c r="FV44" s="19"/>
      <c r="FW44" s="12"/>
      <c r="FX44" s="12"/>
      <c r="FY44" s="12" t="s">
        <v>37</v>
      </c>
      <c r="FZ44" s="12" t="s">
        <v>37</v>
      </c>
      <c r="GA44" s="13" t="s">
        <v>37</v>
      </c>
      <c r="GB44" s="12" t="s">
        <v>37</v>
      </c>
      <c r="GC44" s="12" t="s">
        <v>37</v>
      </c>
      <c r="GD44" s="13" t="s">
        <v>37</v>
      </c>
      <c r="GE44" s="19"/>
      <c r="GF44" s="19"/>
      <c r="GG44" s="12"/>
      <c r="GH44" s="12"/>
      <c r="GI44" s="12" t="s">
        <v>37</v>
      </c>
      <c r="GJ44" s="12" t="s">
        <v>37</v>
      </c>
      <c r="GK44" s="12" t="s">
        <v>37</v>
      </c>
      <c r="GL44" s="19"/>
      <c r="GM44" s="12" t="s">
        <v>37</v>
      </c>
      <c r="GN44" s="12" t="s">
        <v>37</v>
      </c>
      <c r="GO44" s="12" t="s">
        <v>37</v>
      </c>
      <c r="GP44" s="19"/>
      <c r="GQ44" s="19"/>
      <c r="GR44" s="19"/>
      <c r="GS44" s="17" t="s">
        <v>63</v>
      </c>
      <c r="GT44" s="34" t="s">
        <v>345</v>
      </c>
      <c r="GU44" s="12">
        <v>7.0999999999999994E-2</v>
      </c>
      <c r="GV44" s="12">
        <f>GU44*GX$61</f>
        <v>7.3767015551898475E-3</v>
      </c>
      <c r="GW44" s="13">
        <v>3</v>
      </c>
      <c r="GX44" s="19"/>
      <c r="GY44" s="12">
        <v>0.17899999999999999</v>
      </c>
      <c r="GZ44" s="12">
        <f>GY44*HB$61</f>
        <v>7.9339029641005296E-2</v>
      </c>
      <c r="HA44" s="13">
        <v>3</v>
      </c>
      <c r="HB44" s="19"/>
      <c r="HC44" s="19">
        <f t="shared" ref="HC44:HC45" si="249">LN(GY44/GU44)</f>
        <v>0.92470592879943969</v>
      </c>
      <c r="HD44" s="19">
        <f t="shared" ref="HD44:HD45" si="250">GZ44^2/(HA44*GY44^2)+GV44^2/(GW44*GU44^2)</f>
        <v>6.9083906440805878E-2</v>
      </c>
      <c r="HE44" s="34"/>
      <c r="HF44" s="12" t="s">
        <v>37</v>
      </c>
      <c r="HG44" s="12" t="s">
        <v>37</v>
      </c>
      <c r="HH44" s="13" t="s">
        <v>37</v>
      </c>
      <c r="HI44" s="12" t="s">
        <v>37</v>
      </c>
      <c r="HJ44" s="12" t="s">
        <v>37</v>
      </c>
      <c r="HK44" s="13" t="s">
        <v>37</v>
      </c>
      <c r="HL44" s="13"/>
      <c r="HM44" s="13"/>
      <c r="HN44" s="34"/>
      <c r="HO44" s="12" t="s">
        <v>37</v>
      </c>
      <c r="HP44" s="12" t="s">
        <v>37</v>
      </c>
      <c r="HQ44" s="13" t="s">
        <v>37</v>
      </c>
      <c r="HR44" s="12" t="s">
        <v>37</v>
      </c>
      <c r="HS44" s="12" t="s">
        <v>37</v>
      </c>
      <c r="HT44" s="13" t="s">
        <v>37</v>
      </c>
      <c r="HU44" s="13"/>
      <c r="HV44" s="13"/>
      <c r="HW44" s="12"/>
      <c r="HX44" s="12"/>
      <c r="HY44" s="12" t="s">
        <v>37</v>
      </c>
      <c r="HZ44" s="12" t="s">
        <v>37</v>
      </c>
      <c r="IA44" s="12" t="s">
        <v>37</v>
      </c>
      <c r="IB44" s="12" t="s">
        <v>37</v>
      </c>
      <c r="IC44" s="12" t="s">
        <v>37</v>
      </c>
      <c r="ID44" s="12" t="s">
        <v>37</v>
      </c>
      <c r="IE44" s="12"/>
      <c r="IF44" s="32" t="s">
        <v>345</v>
      </c>
      <c r="IG44" s="12">
        <v>5</v>
      </c>
      <c r="IH44" s="12">
        <f>0.08*SQRT(3)</f>
        <v>0.13856406460551018</v>
      </c>
      <c r="II44" s="13">
        <v>3</v>
      </c>
      <c r="IJ44" s="19">
        <f>IH44/IG44</f>
        <v>2.7712812921102038E-2</v>
      </c>
      <c r="IK44" s="12">
        <v>4.3</v>
      </c>
      <c r="IL44" s="12">
        <f>0.07*SQRT(3)</f>
        <v>0.12124355652982141</v>
      </c>
      <c r="IM44" s="13">
        <v>3</v>
      </c>
      <c r="IN44" s="19">
        <f>IL44/IK44</f>
        <v>2.8196175937167771E-2</v>
      </c>
      <c r="IO44" s="19">
        <f t="shared" ref="IO44:IO46" si="251">LN(IK44/IG44)</f>
        <v>-0.15082288973458366</v>
      </c>
      <c r="IP44" s="19">
        <f t="shared" ref="IP44:IP46" si="252">IL44^2/(IM44*IK44^2)+IH44^2/(II44*IG44^2)</f>
        <v>5.2100811249323965E-4</v>
      </c>
      <c r="IQ44" s="32"/>
      <c r="IR44" s="12" t="s">
        <v>37</v>
      </c>
      <c r="IS44" s="12" t="s">
        <v>37</v>
      </c>
      <c r="IT44" s="13" t="s">
        <v>37</v>
      </c>
      <c r="IU44" s="12" t="s">
        <v>37</v>
      </c>
      <c r="IV44" s="12" t="s">
        <v>37</v>
      </c>
      <c r="IW44" s="12" t="s">
        <v>37</v>
      </c>
      <c r="IX44" s="32"/>
      <c r="IY44" s="12" t="s">
        <v>37</v>
      </c>
      <c r="IZ44" s="12" t="s">
        <v>37</v>
      </c>
      <c r="JA44" s="13" t="s">
        <v>37</v>
      </c>
      <c r="JB44" s="12" t="s">
        <v>37</v>
      </c>
      <c r="JC44" s="12" t="s">
        <v>37</v>
      </c>
      <c r="JD44" s="12" t="s">
        <v>37</v>
      </c>
      <c r="JE44" s="12"/>
      <c r="JF44" s="12"/>
      <c r="JG44" s="12" t="s">
        <v>37</v>
      </c>
      <c r="JH44" s="12" t="s">
        <v>37</v>
      </c>
      <c r="JI44" s="13" t="s">
        <v>37</v>
      </c>
      <c r="JJ44" s="12" t="s">
        <v>37</v>
      </c>
      <c r="JK44" s="12" t="s">
        <v>37</v>
      </c>
      <c r="JL44" s="12" t="s">
        <v>37</v>
      </c>
      <c r="JM44" s="12" t="s">
        <v>42</v>
      </c>
      <c r="JN44" s="32" t="s">
        <v>345</v>
      </c>
      <c r="JO44" s="12">
        <v>17.5</v>
      </c>
      <c r="JP44" s="12" t="s">
        <v>37</v>
      </c>
      <c r="JQ44" s="11" t="s">
        <v>37</v>
      </c>
      <c r="JR44" s="19"/>
      <c r="JS44" s="12" t="s">
        <v>37</v>
      </c>
      <c r="JT44" s="12" t="s">
        <v>37</v>
      </c>
      <c r="JU44" s="12" t="s">
        <v>37</v>
      </c>
      <c r="JV44" s="19"/>
      <c r="JW44" s="19"/>
      <c r="JX44" s="19"/>
      <c r="JY44" s="32"/>
      <c r="JZ44" s="12" t="s">
        <v>37</v>
      </c>
      <c r="KA44" s="12" t="s">
        <v>37</v>
      </c>
      <c r="KB44" s="12" t="s">
        <v>37</v>
      </c>
      <c r="KC44" s="12" t="s">
        <v>37</v>
      </c>
      <c r="KD44" s="12" t="s">
        <v>37</v>
      </c>
      <c r="KE44" s="12" t="s">
        <v>37</v>
      </c>
      <c r="KF44" s="12"/>
      <c r="KG44" s="12"/>
      <c r="KH44" s="32"/>
      <c r="KI44" s="12" t="s">
        <v>37</v>
      </c>
      <c r="KJ44" s="12" t="s">
        <v>37</v>
      </c>
      <c r="KK44" s="12" t="s">
        <v>37</v>
      </c>
      <c r="KL44" s="12" t="s">
        <v>37</v>
      </c>
      <c r="KM44" s="12" t="s">
        <v>37</v>
      </c>
      <c r="KN44" s="12" t="s">
        <v>37</v>
      </c>
      <c r="KO44" s="12"/>
      <c r="KP44" s="12"/>
      <c r="KQ44" s="12"/>
      <c r="KR44" s="12"/>
      <c r="KS44" s="12" t="s">
        <v>37</v>
      </c>
      <c r="KT44" s="12" t="s">
        <v>37</v>
      </c>
      <c r="KU44" s="12" t="s">
        <v>37</v>
      </c>
      <c r="KV44" s="19"/>
      <c r="KW44" s="12" t="s">
        <v>37</v>
      </c>
      <c r="KX44" s="12" t="s">
        <v>37</v>
      </c>
      <c r="KY44" s="12" t="s">
        <v>37</v>
      </c>
      <c r="KZ44" s="19"/>
      <c r="LA44" s="19"/>
      <c r="LB44" s="19"/>
      <c r="LC44" s="12"/>
      <c r="LD44" s="12" t="s">
        <v>37</v>
      </c>
      <c r="LE44" s="12" t="s">
        <v>37</v>
      </c>
      <c r="LF44" s="12" t="s">
        <v>37</v>
      </c>
      <c r="LG44" s="19" t="s">
        <v>37</v>
      </c>
      <c r="LH44" s="19" t="s">
        <v>37</v>
      </c>
      <c r="LI44" s="12" t="s">
        <v>37</v>
      </c>
      <c r="LJ44" s="12"/>
      <c r="LK44" s="12"/>
      <c r="LL44" s="12"/>
      <c r="LM44" s="12" t="s">
        <v>37</v>
      </c>
      <c r="LN44" s="12" t="s">
        <v>37</v>
      </c>
      <c r="LO44" s="12" t="s">
        <v>37</v>
      </c>
      <c r="LP44" s="12" t="s">
        <v>37</v>
      </c>
      <c r="LQ44" s="12" t="s">
        <v>37</v>
      </c>
      <c r="LR44" s="12" t="s">
        <v>37</v>
      </c>
      <c r="LS44" s="12"/>
      <c r="LT44" s="12"/>
      <c r="LU44" s="12" t="s">
        <v>37</v>
      </c>
      <c r="LV44" s="12" t="s">
        <v>37</v>
      </c>
      <c r="LW44" s="13" t="s">
        <v>37</v>
      </c>
      <c r="LX44" s="12" t="s">
        <v>37</v>
      </c>
      <c r="LY44" s="12" t="s">
        <v>37</v>
      </c>
      <c r="LZ44" s="13" t="s">
        <v>37</v>
      </c>
      <c r="MA44" s="13"/>
      <c r="MB44" s="13"/>
      <c r="MC44" s="12"/>
      <c r="MD44" s="12"/>
      <c r="ME44" s="12" t="s">
        <v>37</v>
      </c>
      <c r="MF44" s="12" t="s">
        <v>37</v>
      </c>
      <c r="MG44" s="13" t="s">
        <v>37</v>
      </c>
      <c r="MH44" s="12" t="s">
        <v>37</v>
      </c>
      <c r="MI44" s="12" t="s">
        <v>37</v>
      </c>
      <c r="MJ44" s="13" t="s">
        <v>37</v>
      </c>
      <c r="MK44" s="13"/>
      <c r="ML44" s="13"/>
      <c r="MM44" s="12"/>
      <c r="MN44" s="12"/>
      <c r="MO44" s="12" t="s">
        <v>37</v>
      </c>
      <c r="MP44" s="12" t="s">
        <v>37</v>
      </c>
      <c r="MQ44" s="12" t="s">
        <v>37</v>
      </c>
      <c r="MR44" s="12" t="s">
        <v>37</v>
      </c>
      <c r="MS44" s="12" t="s">
        <v>37</v>
      </c>
      <c r="MT44" s="12" t="s">
        <v>37</v>
      </c>
      <c r="MU44" s="12"/>
      <c r="MV44" s="12"/>
      <c r="MW44" s="12"/>
      <c r="MX44" s="12"/>
      <c r="MY44" s="12" t="s">
        <v>37</v>
      </c>
      <c r="MZ44" s="12" t="s">
        <v>37</v>
      </c>
      <c r="NA44" s="12" t="s">
        <v>37</v>
      </c>
      <c r="NB44" s="12" t="s">
        <v>37</v>
      </c>
      <c r="NC44" s="12" t="s">
        <v>37</v>
      </c>
      <c r="ND44" s="12" t="s">
        <v>37</v>
      </c>
      <c r="NE44" s="12"/>
      <c r="NF44" s="12"/>
      <c r="NG44" s="12"/>
      <c r="NH44" s="12"/>
      <c r="NI44" s="12" t="s">
        <v>37</v>
      </c>
      <c r="NJ44" s="12" t="s">
        <v>37</v>
      </c>
      <c r="NK44" s="13" t="s">
        <v>37</v>
      </c>
      <c r="NL44" s="12" t="s">
        <v>37</v>
      </c>
      <c r="NM44" s="12" t="s">
        <v>37</v>
      </c>
      <c r="NN44" s="13" t="s">
        <v>37</v>
      </c>
      <c r="NO44" s="13"/>
      <c r="NP44" s="13"/>
      <c r="NQ44" s="12"/>
      <c r="NR44" s="12"/>
      <c r="NS44" s="12" t="s">
        <v>37</v>
      </c>
      <c r="NT44" s="12" t="s">
        <v>37</v>
      </c>
      <c r="NU44" s="12" t="s">
        <v>37</v>
      </c>
      <c r="NV44" s="12" t="s">
        <v>37</v>
      </c>
      <c r="NW44" s="12" t="s">
        <v>37</v>
      </c>
      <c r="NX44" s="12" t="s">
        <v>37</v>
      </c>
      <c r="NY44" s="12"/>
      <c r="NZ44" s="12"/>
      <c r="OA44" s="12"/>
      <c r="OB44" s="12"/>
      <c r="OC44" s="12" t="s">
        <v>37</v>
      </c>
      <c r="OD44" s="12" t="s">
        <v>37</v>
      </c>
      <c r="OE44" s="12" t="s">
        <v>37</v>
      </c>
      <c r="OF44" s="12" t="s">
        <v>37</v>
      </c>
      <c r="OG44" s="12" t="s">
        <v>37</v>
      </c>
      <c r="OH44" s="12" t="s">
        <v>37</v>
      </c>
      <c r="OI44" s="12"/>
      <c r="OJ44" s="12"/>
      <c r="OK44" s="12"/>
      <c r="OL44" s="12" t="s">
        <v>37</v>
      </c>
      <c r="OM44" s="12" t="s">
        <v>37</v>
      </c>
      <c r="ON44" s="12" t="s">
        <v>37</v>
      </c>
      <c r="OO44" s="12" t="s">
        <v>37</v>
      </c>
      <c r="OP44" s="12" t="s">
        <v>37</v>
      </c>
      <c r="OQ44" s="12" t="s">
        <v>37</v>
      </c>
      <c r="OR44" s="12"/>
      <c r="OS44" s="12" t="s">
        <v>37</v>
      </c>
      <c r="OT44" s="12" t="s">
        <v>37</v>
      </c>
      <c r="OU44" s="12" t="s">
        <v>37</v>
      </c>
      <c r="OV44" s="12" t="s">
        <v>37</v>
      </c>
      <c r="OW44" s="12" t="s">
        <v>37</v>
      </c>
      <c r="OX44" s="12" t="s">
        <v>37</v>
      </c>
      <c r="OY44" s="12"/>
      <c r="OZ44" s="12"/>
      <c r="PA44" s="12" t="s">
        <v>37</v>
      </c>
      <c r="PB44" s="12" t="s">
        <v>37</v>
      </c>
      <c r="PC44" s="12" t="s">
        <v>37</v>
      </c>
      <c r="PD44" s="12" t="s">
        <v>37</v>
      </c>
      <c r="PE44" s="12" t="s">
        <v>37</v>
      </c>
      <c r="PF44" s="12" t="s">
        <v>37</v>
      </c>
      <c r="PG44" s="12"/>
      <c r="PH44" s="12"/>
      <c r="PI44" s="12" t="s">
        <v>37</v>
      </c>
      <c r="PJ44" s="12" t="s">
        <v>37</v>
      </c>
      <c r="PK44" s="12" t="s">
        <v>37</v>
      </c>
      <c r="PL44" s="12" t="s">
        <v>37</v>
      </c>
      <c r="PM44" s="12" t="s">
        <v>37</v>
      </c>
      <c r="PN44" s="12" t="s">
        <v>37</v>
      </c>
      <c r="PO44" s="12"/>
      <c r="PP44" s="12"/>
      <c r="PQ44" s="12" t="s">
        <v>37</v>
      </c>
      <c r="PR44" s="12" t="s">
        <v>37</v>
      </c>
      <c r="PS44" s="12" t="s">
        <v>37</v>
      </c>
      <c r="PT44" s="12" t="s">
        <v>37</v>
      </c>
      <c r="PU44" s="12" t="s">
        <v>37</v>
      </c>
      <c r="PV44" s="12" t="s">
        <v>37</v>
      </c>
      <c r="PW44" s="12"/>
      <c r="PX44" s="12"/>
      <c r="PY44" s="12" t="s">
        <v>37</v>
      </c>
      <c r="PZ44" s="12" t="s">
        <v>37</v>
      </c>
      <c r="QA44" s="12" t="s">
        <v>37</v>
      </c>
      <c r="QB44" s="12" t="s">
        <v>37</v>
      </c>
      <c r="QC44" s="12" t="s">
        <v>37</v>
      </c>
      <c r="QD44" s="12" t="s">
        <v>37</v>
      </c>
      <c r="QE44" s="12"/>
      <c r="QF44" s="12"/>
      <c r="QG44" s="12" t="s">
        <v>37</v>
      </c>
      <c r="QH44" s="12" t="s">
        <v>37</v>
      </c>
      <c r="QI44" s="12" t="s">
        <v>37</v>
      </c>
      <c r="QJ44" s="12" t="s">
        <v>37</v>
      </c>
      <c r="QK44" s="12" t="s">
        <v>37</v>
      </c>
      <c r="QL44" s="12" t="s">
        <v>37</v>
      </c>
      <c r="QM44" s="12" t="s">
        <v>42</v>
      </c>
      <c r="QN44" s="12" t="s">
        <v>345</v>
      </c>
      <c r="QO44" s="12">
        <v>0.5</v>
      </c>
      <c r="QP44" s="12" t="s">
        <v>37</v>
      </c>
      <c r="QQ44" s="12" t="s">
        <v>37</v>
      </c>
      <c r="QR44" s="12" t="s">
        <v>37</v>
      </c>
      <c r="QS44" s="12" t="s">
        <v>37</v>
      </c>
      <c r="QT44" s="12" t="s">
        <v>37</v>
      </c>
      <c r="QU44" s="12"/>
      <c r="QV44" s="12"/>
      <c r="QW44" s="12"/>
      <c r="QX44" s="12"/>
      <c r="QY44" s="12" t="s">
        <v>37</v>
      </c>
      <c r="QZ44" s="12" t="s">
        <v>37</v>
      </c>
      <c r="RA44" s="12" t="s">
        <v>37</v>
      </c>
      <c r="RB44" s="12" t="s">
        <v>37</v>
      </c>
      <c r="RC44" s="12" t="s">
        <v>37</v>
      </c>
      <c r="RD44" s="12" t="s">
        <v>37</v>
      </c>
      <c r="RE44" s="12"/>
      <c r="RF44" s="12"/>
      <c r="RG44" s="12"/>
      <c r="RH44" s="12"/>
      <c r="RI44" s="12" t="s">
        <v>37</v>
      </c>
      <c r="RJ44" s="12" t="s">
        <v>37</v>
      </c>
      <c r="RK44" s="12" t="s">
        <v>37</v>
      </c>
      <c r="RL44" s="12" t="s">
        <v>37</v>
      </c>
      <c r="RM44" s="12" t="s">
        <v>37</v>
      </c>
      <c r="RN44" s="12" t="s">
        <v>37</v>
      </c>
      <c r="RO44" s="12"/>
      <c r="RP44" s="12"/>
      <c r="RQ44" s="12"/>
      <c r="RR44" s="12"/>
      <c r="RS44" s="12" t="s">
        <v>37</v>
      </c>
      <c r="RT44" s="12" t="s">
        <v>37</v>
      </c>
      <c r="RU44" s="12" t="s">
        <v>37</v>
      </c>
      <c r="RV44" s="12" t="s">
        <v>37</v>
      </c>
      <c r="RW44" s="12" t="s">
        <v>37</v>
      </c>
      <c r="RX44" s="12" t="s">
        <v>37</v>
      </c>
      <c r="RY44" s="12"/>
      <c r="RZ44" s="12"/>
      <c r="SA44" s="12"/>
      <c r="SB44" s="12"/>
      <c r="SC44" s="12" t="s">
        <v>37</v>
      </c>
      <c r="SD44" s="12" t="s">
        <v>37</v>
      </c>
      <c r="SE44" s="12" t="s">
        <v>37</v>
      </c>
      <c r="SF44" s="12" t="s">
        <v>37</v>
      </c>
      <c r="SG44" s="12" t="s">
        <v>37</v>
      </c>
      <c r="SH44" s="12" t="s">
        <v>37</v>
      </c>
      <c r="SI44" s="12"/>
      <c r="SJ44" s="12"/>
      <c r="SK44" s="12"/>
      <c r="SL44" s="12"/>
      <c r="SM44" s="12" t="s">
        <v>37</v>
      </c>
      <c r="SN44" s="12" t="s">
        <v>37</v>
      </c>
      <c r="SO44" s="12" t="s">
        <v>37</v>
      </c>
      <c r="SP44" s="12" t="s">
        <v>37</v>
      </c>
      <c r="SQ44" s="12" t="s">
        <v>37</v>
      </c>
      <c r="SR44" s="12" t="s">
        <v>37</v>
      </c>
      <c r="SS44" s="12"/>
      <c r="ST44" s="12"/>
      <c r="SU44" s="12"/>
      <c r="SV44" s="12"/>
      <c r="SW44" s="12" t="s">
        <v>37</v>
      </c>
      <c r="SX44" s="12" t="s">
        <v>37</v>
      </c>
      <c r="SY44" s="12" t="s">
        <v>37</v>
      </c>
      <c r="SZ44" s="12" t="s">
        <v>37</v>
      </c>
      <c r="TA44" s="12" t="s">
        <v>37</v>
      </c>
      <c r="TB44" s="12" t="s">
        <v>37</v>
      </c>
      <c r="TC44" s="12"/>
      <c r="TD44" s="12"/>
      <c r="TE44" s="12"/>
      <c r="TF44" s="12"/>
      <c r="TG44" s="12" t="s">
        <v>37</v>
      </c>
      <c r="TH44" s="12" t="s">
        <v>37</v>
      </c>
      <c r="TI44" s="12" t="s">
        <v>37</v>
      </c>
      <c r="TJ44" s="12" t="s">
        <v>37</v>
      </c>
      <c r="TK44" s="12" t="s">
        <v>37</v>
      </c>
      <c r="TL44" s="12" t="s">
        <v>37</v>
      </c>
      <c r="TM44" s="12"/>
      <c r="TN44" s="12"/>
      <c r="TO44" s="12" t="s">
        <v>417</v>
      </c>
      <c r="TP44" s="12" t="s">
        <v>345</v>
      </c>
      <c r="TQ44" s="12">
        <v>7</v>
      </c>
      <c r="TR44" s="12">
        <f>TQ44*TT61</f>
        <v>0.48208951625072577</v>
      </c>
      <c r="TS44" s="13">
        <v>3</v>
      </c>
      <c r="TT44" s="19"/>
      <c r="TU44" s="12">
        <v>2</v>
      </c>
      <c r="TV44" s="12">
        <f>TU44*TX61</f>
        <v>0.20583092249123328</v>
      </c>
      <c r="TW44" s="13">
        <v>3</v>
      </c>
      <c r="TY44" s="19">
        <f>LN(TU44/TQ44)</f>
        <v>-1.2527629684953681</v>
      </c>
      <c r="TZ44" s="19">
        <f t="shared" ref="TZ44" si="253">TV44^2/(TW44*TU44^2)+TR44^2/(TS44*TQ44^2)</f>
        <v>5.1115531815330729E-3</v>
      </c>
    </row>
    <row r="45" spans="1:546" ht="15.6" x14ac:dyDescent="0.3">
      <c r="A45" s="11">
        <v>18</v>
      </c>
      <c r="B45" s="16" t="s">
        <v>416</v>
      </c>
      <c r="C45" s="12" t="s">
        <v>26</v>
      </c>
      <c r="D45" s="12" t="s">
        <v>54</v>
      </c>
      <c r="E45" s="14">
        <v>2</v>
      </c>
      <c r="F45" s="14">
        <v>0</v>
      </c>
      <c r="G45" s="14">
        <v>0</v>
      </c>
      <c r="H45" s="12" t="s">
        <v>123</v>
      </c>
      <c r="I45" s="29">
        <v>61.783000000000001</v>
      </c>
      <c r="J45" s="29">
        <v>24.3</v>
      </c>
      <c r="K45" s="12" t="s">
        <v>775</v>
      </c>
      <c r="L45" s="12" t="s">
        <v>709</v>
      </c>
      <c r="M45" s="13">
        <v>150</v>
      </c>
      <c r="N45" s="14">
        <v>3</v>
      </c>
      <c r="O45" s="14">
        <v>709</v>
      </c>
      <c r="P45" s="14" t="s">
        <v>84</v>
      </c>
      <c r="Q45" s="11">
        <v>42</v>
      </c>
      <c r="R45" s="11" t="s">
        <v>37</v>
      </c>
      <c r="S45" s="12" t="s">
        <v>93</v>
      </c>
      <c r="T45" s="12" t="s">
        <v>141</v>
      </c>
      <c r="U45" s="12" t="s">
        <v>158</v>
      </c>
      <c r="V45" s="12" t="s">
        <v>275</v>
      </c>
      <c r="W45" s="23" t="s">
        <v>404</v>
      </c>
      <c r="X45" s="12" t="s">
        <v>281</v>
      </c>
      <c r="Y45" s="12" t="s">
        <v>37</v>
      </c>
      <c r="Z45" s="12" t="s">
        <v>37</v>
      </c>
      <c r="AA45" s="32">
        <v>2003</v>
      </c>
      <c r="AB45" s="12" t="s">
        <v>317</v>
      </c>
      <c r="AC45" s="12" t="s">
        <v>37</v>
      </c>
      <c r="AD45" s="12" t="s">
        <v>373</v>
      </c>
      <c r="AE45" s="12" t="s">
        <v>74</v>
      </c>
      <c r="AF45" s="12" t="s">
        <v>489</v>
      </c>
      <c r="AG45" s="12"/>
      <c r="AH45" s="32"/>
      <c r="AI45" s="12" t="s">
        <v>37</v>
      </c>
      <c r="AJ45" s="12" t="s">
        <v>37</v>
      </c>
      <c r="AK45" s="11" t="s">
        <v>37</v>
      </c>
      <c r="AL45" s="19"/>
      <c r="AM45" s="12" t="s">
        <v>37</v>
      </c>
      <c r="AN45" s="12" t="s">
        <v>37</v>
      </c>
      <c r="AO45" s="13" t="s">
        <v>37</v>
      </c>
      <c r="AP45" s="19"/>
      <c r="AQ45" s="49"/>
      <c r="AR45" s="49"/>
      <c r="AS45" s="32"/>
      <c r="AT45" s="12" t="s">
        <v>37</v>
      </c>
      <c r="AU45" s="12" t="s">
        <v>37</v>
      </c>
      <c r="AV45" s="13" t="s">
        <v>37</v>
      </c>
      <c r="AW45" s="12" t="s">
        <v>37</v>
      </c>
      <c r="AX45" s="12" t="s">
        <v>37</v>
      </c>
      <c r="AY45" s="13" t="s">
        <v>37</v>
      </c>
      <c r="AZ45" s="13"/>
      <c r="BA45" s="13"/>
      <c r="BB45" s="12"/>
      <c r="BC45" s="12" t="s">
        <v>37</v>
      </c>
      <c r="BD45" s="12" t="s">
        <v>37</v>
      </c>
      <c r="BE45" s="13" t="s">
        <v>37</v>
      </c>
      <c r="BF45" s="12" t="s">
        <v>37</v>
      </c>
      <c r="BG45" s="12" t="s">
        <v>37</v>
      </c>
      <c r="BH45" s="12" t="s">
        <v>37</v>
      </c>
      <c r="BI45" s="12"/>
      <c r="BJ45" s="12" t="s">
        <v>37</v>
      </c>
      <c r="BK45" s="12" t="s">
        <v>37</v>
      </c>
      <c r="BL45" s="12" t="s">
        <v>37</v>
      </c>
      <c r="BM45" s="12" t="s">
        <v>37</v>
      </c>
      <c r="BN45" s="12" t="s">
        <v>37</v>
      </c>
      <c r="BO45" s="12" t="s">
        <v>37</v>
      </c>
      <c r="BP45" s="19"/>
      <c r="BQ45" s="19"/>
      <c r="BR45" s="19"/>
      <c r="BS45" s="19"/>
      <c r="BT45" s="12"/>
      <c r="BU45" s="12" t="s">
        <v>37</v>
      </c>
      <c r="BV45" s="12" t="s">
        <v>37</v>
      </c>
      <c r="BW45" s="12" t="s">
        <v>37</v>
      </c>
      <c r="BX45" s="12" t="s">
        <v>37</v>
      </c>
      <c r="BY45" s="12" t="s">
        <v>37</v>
      </c>
      <c r="BZ45" s="12" t="s">
        <v>37</v>
      </c>
      <c r="CA45" s="19"/>
      <c r="CB45" s="19"/>
      <c r="CC45" s="19"/>
      <c r="CD45" s="19"/>
      <c r="CE45" s="12"/>
      <c r="CF45" s="12" t="s">
        <v>37</v>
      </c>
      <c r="CG45" s="12" t="s">
        <v>37</v>
      </c>
      <c r="CH45" s="12" t="s">
        <v>37</v>
      </c>
      <c r="CI45" s="12" t="s">
        <v>37</v>
      </c>
      <c r="CJ45" s="12" t="s">
        <v>37</v>
      </c>
      <c r="CK45" s="12" t="s">
        <v>37</v>
      </c>
      <c r="CL45" s="19"/>
      <c r="CM45" s="19"/>
      <c r="CN45" s="19"/>
      <c r="CO45" s="19"/>
      <c r="CP45" s="11" t="s">
        <v>867</v>
      </c>
      <c r="CQ45" s="82">
        <f>-0.43*16/1000000*1000/1000/0.1</f>
        <v>-6.8799999999999992E-5</v>
      </c>
      <c r="CR45" s="19">
        <f>0.08*SQRT(3)*16/1000000*1000/1000/0.1</f>
        <v>2.2170250336881622E-5</v>
      </c>
      <c r="CS45" s="13">
        <v>3</v>
      </c>
      <c r="CT45" s="19">
        <f>CR45/ABS(CQ45)</f>
        <v>0.32224201071048875</v>
      </c>
      <c r="CU45" s="12">
        <f>-0.3*16/1000000*1000/1000/0.1</f>
        <v>-4.7999999999999994E-5</v>
      </c>
      <c r="CV45" s="19">
        <f>0.22*SQRT(3)</f>
        <v>0.38105117766515301</v>
      </c>
      <c r="CW45" s="13">
        <v>3</v>
      </c>
      <c r="CX45" s="19"/>
      <c r="CY45" s="68">
        <f>CU45-CQ45</f>
        <v>2.0799999999999997E-5</v>
      </c>
      <c r="CZ45" s="12">
        <f t="shared" si="232"/>
        <v>0.26944387216220006</v>
      </c>
      <c r="DA45" s="72">
        <f t="shared" si="233"/>
        <v>4.8400000163839996E-2</v>
      </c>
      <c r="DB45" s="72">
        <f t="shared" si="234"/>
        <v>4.8400000163839996E-2</v>
      </c>
      <c r="DC45" s="11"/>
      <c r="DD45" s="12" t="s">
        <v>37</v>
      </c>
      <c r="DE45" s="68" t="s">
        <v>37</v>
      </c>
      <c r="DF45" s="12" t="s">
        <v>37</v>
      </c>
      <c r="DG45" s="19"/>
      <c r="DH45" s="12" t="s">
        <v>37</v>
      </c>
      <c r="DI45" s="68" t="s">
        <v>37</v>
      </c>
      <c r="DJ45" s="12" t="s">
        <v>37</v>
      </c>
      <c r="DK45" s="19"/>
      <c r="DL45" s="68"/>
      <c r="DM45" s="68"/>
      <c r="DN45" s="68"/>
      <c r="DO45" s="68"/>
      <c r="DP45" s="12" t="s">
        <v>39</v>
      </c>
      <c r="DQ45" s="12">
        <v>-25</v>
      </c>
      <c r="DR45" s="12">
        <f>ABS(DQ45)*DT$61</f>
        <v>10.100000000000001</v>
      </c>
      <c r="DS45" s="13">
        <v>3</v>
      </c>
      <c r="DT45" s="19"/>
      <c r="DU45" s="12">
        <v>-44</v>
      </c>
      <c r="DV45" s="12">
        <f>ABS(DU45)*DX$61</f>
        <v>15.206961548698137</v>
      </c>
      <c r="DW45" s="13">
        <v>3</v>
      </c>
      <c r="DX45" s="19"/>
      <c r="DY45" s="19">
        <f t="shared" si="247"/>
        <v>-19</v>
      </c>
      <c r="DZ45" s="12">
        <f t="shared" si="248"/>
        <v>12.908556843109606</v>
      </c>
      <c r="EA45" s="72">
        <f t="shared" si="164"/>
        <v>111.08722651452788</v>
      </c>
      <c r="EB45" s="72">
        <f t="shared" si="165"/>
        <v>111.0872265145279</v>
      </c>
      <c r="EC45" s="12"/>
      <c r="ED45" s="12"/>
      <c r="EE45" s="12" t="s">
        <v>37</v>
      </c>
      <c r="EF45" s="12" t="s">
        <v>37</v>
      </c>
      <c r="EG45" s="12" t="s">
        <v>37</v>
      </c>
      <c r="EH45" s="19"/>
      <c r="EI45" s="12" t="s">
        <v>37</v>
      </c>
      <c r="EJ45" s="20" t="s">
        <v>37</v>
      </c>
      <c r="EK45" s="12" t="s">
        <v>37</v>
      </c>
      <c r="EL45" s="19"/>
      <c r="EM45" s="19"/>
      <c r="EN45" s="19"/>
      <c r="EO45" s="19"/>
      <c r="EP45" s="19"/>
      <c r="EQ45" s="32"/>
      <c r="ER45" s="12" t="s">
        <v>37</v>
      </c>
      <c r="ES45" s="12" t="s">
        <v>37</v>
      </c>
      <c r="ET45" s="12" t="s">
        <v>37</v>
      </c>
      <c r="EU45" s="19"/>
      <c r="EV45" s="12" t="s">
        <v>37</v>
      </c>
      <c r="EW45" s="12" t="s">
        <v>37</v>
      </c>
      <c r="EX45" s="12" t="s">
        <v>37</v>
      </c>
      <c r="EY45" s="19"/>
      <c r="EZ45" s="19"/>
      <c r="FA45" s="19"/>
      <c r="FB45" s="19"/>
      <c r="FC45" s="32"/>
      <c r="FD45" s="12" t="s">
        <v>37</v>
      </c>
      <c r="FE45" s="12" t="s">
        <v>37</v>
      </c>
      <c r="FF45" s="12" t="s">
        <v>37</v>
      </c>
      <c r="FG45" s="12" t="s">
        <v>37</v>
      </c>
      <c r="FH45" s="12" t="s">
        <v>37</v>
      </c>
      <c r="FI45" s="12" t="s">
        <v>37</v>
      </c>
      <c r="FJ45" s="19"/>
      <c r="FK45" s="19"/>
      <c r="FL45" s="19"/>
      <c r="FM45" s="32"/>
      <c r="FN45" s="12" t="s">
        <v>37</v>
      </c>
      <c r="FO45" s="12" t="s">
        <v>37</v>
      </c>
      <c r="FP45" s="12" t="s">
        <v>37</v>
      </c>
      <c r="FQ45" s="12" t="s">
        <v>37</v>
      </c>
      <c r="FR45" s="12" t="s">
        <v>37</v>
      </c>
      <c r="FS45" s="12" t="s">
        <v>37</v>
      </c>
      <c r="FT45" s="19"/>
      <c r="FU45" s="19"/>
      <c r="FV45" s="19"/>
      <c r="FW45" s="12"/>
      <c r="FX45" s="12"/>
      <c r="FY45" s="12" t="s">
        <v>37</v>
      </c>
      <c r="FZ45" s="12" t="s">
        <v>37</v>
      </c>
      <c r="GA45" s="13" t="s">
        <v>37</v>
      </c>
      <c r="GB45" s="12" t="s">
        <v>37</v>
      </c>
      <c r="GC45" s="12" t="s">
        <v>37</v>
      </c>
      <c r="GD45" s="13" t="s">
        <v>37</v>
      </c>
      <c r="GE45" s="19"/>
      <c r="GF45" s="19"/>
      <c r="GG45" s="12"/>
      <c r="GH45" s="12"/>
      <c r="GI45" s="12" t="s">
        <v>37</v>
      </c>
      <c r="GJ45" s="12" t="s">
        <v>37</v>
      </c>
      <c r="GK45" s="12" t="s">
        <v>37</v>
      </c>
      <c r="GL45" s="19"/>
      <c r="GM45" s="12" t="s">
        <v>37</v>
      </c>
      <c r="GN45" s="12" t="s">
        <v>37</v>
      </c>
      <c r="GO45" s="12" t="s">
        <v>37</v>
      </c>
      <c r="GP45" s="19"/>
      <c r="GQ45" s="19"/>
      <c r="GR45" s="19"/>
      <c r="GS45" s="17" t="s">
        <v>63</v>
      </c>
      <c r="GT45" s="34" t="s">
        <v>345</v>
      </c>
      <c r="GU45" s="12">
        <v>5.1999999999999998E-2</v>
      </c>
      <c r="GV45" s="12">
        <f t="shared" ref="GV45" si="254">GU45*GX$61</f>
        <v>5.4026546601390439E-3</v>
      </c>
      <c r="GW45" s="13">
        <v>3</v>
      </c>
      <c r="GX45" s="19"/>
      <c r="GY45" s="12">
        <v>9.7000000000000003E-2</v>
      </c>
      <c r="GZ45" s="12">
        <f>GY45*HB$61</f>
        <v>4.2993775838980529E-2</v>
      </c>
      <c r="HA45" s="13">
        <v>3</v>
      </c>
      <c r="HB45" s="19"/>
      <c r="HC45" s="19">
        <f t="shared" si="249"/>
        <v>0.62346725992195551</v>
      </c>
      <c r="HD45" s="19">
        <f t="shared" si="250"/>
        <v>6.9083906440805892E-2</v>
      </c>
      <c r="HE45" s="34"/>
      <c r="HF45" s="12" t="s">
        <v>37</v>
      </c>
      <c r="HG45" s="12" t="s">
        <v>37</v>
      </c>
      <c r="HH45" s="13" t="s">
        <v>37</v>
      </c>
      <c r="HI45" s="12" t="s">
        <v>37</v>
      </c>
      <c r="HJ45" s="12" t="s">
        <v>37</v>
      </c>
      <c r="HK45" s="13" t="s">
        <v>37</v>
      </c>
      <c r="HL45" s="13"/>
      <c r="HM45" s="13"/>
      <c r="HN45" s="34"/>
      <c r="HO45" s="12" t="s">
        <v>37</v>
      </c>
      <c r="HP45" s="12" t="s">
        <v>37</v>
      </c>
      <c r="HQ45" s="13" t="s">
        <v>37</v>
      </c>
      <c r="HR45" s="12" t="s">
        <v>37</v>
      </c>
      <c r="HS45" s="12" t="s">
        <v>37</v>
      </c>
      <c r="HT45" s="13" t="s">
        <v>37</v>
      </c>
      <c r="HU45" s="13"/>
      <c r="HV45" s="13"/>
      <c r="HW45" s="12"/>
      <c r="HX45" s="12"/>
      <c r="HY45" s="12" t="s">
        <v>37</v>
      </c>
      <c r="HZ45" s="12" t="s">
        <v>37</v>
      </c>
      <c r="IA45" s="12" t="s">
        <v>37</v>
      </c>
      <c r="IB45" s="12" t="s">
        <v>37</v>
      </c>
      <c r="IC45" s="12" t="s">
        <v>37</v>
      </c>
      <c r="ID45" s="12" t="s">
        <v>37</v>
      </c>
      <c r="IE45" s="12"/>
      <c r="IF45" s="32" t="s">
        <v>345</v>
      </c>
      <c r="IG45" s="12">
        <v>4.4000000000000004</v>
      </c>
      <c r="IH45" s="12">
        <f>0.08*SQRT(3)</f>
        <v>0.13856406460551018</v>
      </c>
      <c r="II45" s="13">
        <v>3</v>
      </c>
      <c r="IJ45" s="19">
        <f>IH45/IG45</f>
        <v>3.1491832864888679E-2</v>
      </c>
      <c r="IK45" s="12">
        <v>4.3</v>
      </c>
      <c r="IL45" s="12">
        <f>0.05*SQRT(3)</f>
        <v>8.6602540378443865E-2</v>
      </c>
      <c r="IM45" s="13">
        <v>3</v>
      </c>
      <c r="IN45" s="19">
        <f>IL45/IK45</f>
        <v>2.014012566940555E-2</v>
      </c>
      <c r="IO45" s="19">
        <f t="shared" si="251"/>
        <v>-2.2989518224698833E-2</v>
      </c>
      <c r="IP45" s="19">
        <f t="shared" si="252"/>
        <v>4.6578673305651028E-4</v>
      </c>
      <c r="IQ45" s="32"/>
      <c r="IR45" s="12" t="s">
        <v>37</v>
      </c>
      <c r="IS45" s="12" t="s">
        <v>37</v>
      </c>
      <c r="IT45" s="13" t="s">
        <v>37</v>
      </c>
      <c r="IU45" s="12" t="s">
        <v>37</v>
      </c>
      <c r="IV45" s="12" t="s">
        <v>37</v>
      </c>
      <c r="IW45" s="12" t="s">
        <v>37</v>
      </c>
      <c r="IX45" s="32"/>
      <c r="IY45" s="12" t="s">
        <v>37</v>
      </c>
      <c r="IZ45" s="12" t="s">
        <v>37</v>
      </c>
      <c r="JA45" s="13" t="s">
        <v>37</v>
      </c>
      <c r="JB45" s="12" t="s">
        <v>37</v>
      </c>
      <c r="JC45" s="12" t="s">
        <v>37</v>
      </c>
      <c r="JD45" s="12" t="s">
        <v>37</v>
      </c>
      <c r="JE45" s="12"/>
      <c r="JF45" s="12"/>
      <c r="JG45" s="12" t="s">
        <v>37</v>
      </c>
      <c r="JH45" s="12" t="s">
        <v>37</v>
      </c>
      <c r="JI45" s="13" t="s">
        <v>37</v>
      </c>
      <c r="JJ45" s="12" t="s">
        <v>37</v>
      </c>
      <c r="JK45" s="12" t="s">
        <v>37</v>
      </c>
      <c r="JL45" s="12" t="s">
        <v>37</v>
      </c>
      <c r="JM45" s="12" t="s">
        <v>42</v>
      </c>
      <c r="JN45" s="32" t="s">
        <v>345</v>
      </c>
      <c r="JO45" s="12">
        <v>5</v>
      </c>
      <c r="JP45" s="12" t="s">
        <v>37</v>
      </c>
      <c r="JQ45" s="11" t="s">
        <v>37</v>
      </c>
      <c r="JR45" s="19"/>
      <c r="JS45" s="12" t="s">
        <v>37</v>
      </c>
      <c r="JT45" s="12" t="s">
        <v>37</v>
      </c>
      <c r="JU45" s="12" t="s">
        <v>37</v>
      </c>
      <c r="JV45" s="19"/>
      <c r="JW45" s="19"/>
      <c r="JX45" s="19"/>
      <c r="JY45" s="32"/>
      <c r="JZ45" s="12" t="s">
        <v>37</v>
      </c>
      <c r="KA45" s="12" t="s">
        <v>37</v>
      </c>
      <c r="KB45" s="12" t="s">
        <v>37</v>
      </c>
      <c r="KC45" s="12" t="s">
        <v>37</v>
      </c>
      <c r="KD45" s="12" t="s">
        <v>37</v>
      </c>
      <c r="KE45" s="12" t="s">
        <v>37</v>
      </c>
      <c r="KF45" s="12"/>
      <c r="KG45" s="12"/>
      <c r="KH45" s="32"/>
      <c r="KI45" s="12" t="s">
        <v>37</v>
      </c>
      <c r="KJ45" s="12" t="s">
        <v>37</v>
      </c>
      <c r="KK45" s="12" t="s">
        <v>37</v>
      </c>
      <c r="KL45" s="12" t="s">
        <v>37</v>
      </c>
      <c r="KM45" s="12" t="s">
        <v>37</v>
      </c>
      <c r="KN45" s="12" t="s">
        <v>37</v>
      </c>
      <c r="KO45" s="12"/>
      <c r="KP45" s="12"/>
      <c r="KQ45" s="12"/>
      <c r="KR45" s="12"/>
      <c r="KS45" s="12" t="s">
        <v>37</v>
      </c>
      <c r="KT45" s="12" t="s">
        <v>37</v>
      </c>
      <c r="KU45" s="12" t="s">
        <v>37</v>
      </c>
      <c r="KV45" s="19"/>
      <c r="KW45" s="12" t="s">
        <v>37</v>
      </c>
      <c r="KX45" s="12" t="s">
        <v>37</v>
      </c>
      <c r="KY45" s="12" t="s">
        <v>37</v>
      </c>
      <c r="KZ45" s="19"/>
      <c r="LA45" s="19"/>
      <c r="LB45" s="19"/>
      <c r="LC45" s="12"/>
      <c r="LD45" s="12" t="s">
        <v>37</v>
      </c>
      <c r="LE45" s="12" t="s">
        <v>37</v>
      </c>
      <c r="LF45" s="12" t="s">
        <v>37</v>
      </c>
      <c r="LG45" s="19" t="s">
        <v>37</v>
      </c>
      <c r="LH45" s="19" t="s">
        <v>37</v>
      </c>
      <c r="LI45" s="12" t="s">
        <v>37</v>
      </c>
      <c r="LJ45" s="12"/>
      <c r="LK45" s="12"/>
      <c r="LL45" s="12"/>
      <c r="LM45" s="12" t="s">
        <v>37</v>
      </c>
      <c r="LN45" s="12" t="s">
        <v>37</v>
      </c>
      <c r="LO45" s="12" t="s">
        <v>37</v>
      </c>
      <c r="LP45" s="12" t="s">
        <v>37</v>
      </c>
      <c r="LQ45" s="12" t="s">
        <v>37</v>
      </c>
      <c r="LR45" s="12" t="s">
        <v>37</v>
      </c>
      <c r="LS45" s="12"/>
      <c r="LT45" s="12"/>
      <c r="LU45" s="12" t="s">
        <v>37</v>
      </c>
      <c r="LV45" s="12" t="s">
        <v>37</v>
      </c>
      <c r="LW45" s="13" t="s">
        <v>37</v>
      </c>
      <c r="LX45" s="12" t="s">
        <v>37</v>
      </c>
      <c r="LY45" s="12" t="s">
        <v>37</v>
      </c>
      <c r="LZ45" s="13" t="s">
        <v>37</v>
      </c>
      <c r="MA45" s="13"/>
      <c r="MB45" s="13"/>
      <c r="MC45" s="12"/>
      <c r="MD45" s="12"/>
      <c r="ME45" s="12" t="s">
        <v>37</v>
      </c>
      <c r="MF45" s="12" t="s">
        <v>37</v>
      </c>
      <c r="MG45" s="13" t="s">
        <v>37</v>
      </c>
      <c r="MH45" s="12" t="s">
        <v>37</v>
      </c>
      <c r="MI45" s="12" t="s">
        <v>37</v>
      </c>
      <c r="MJ45" s="13" t="s">
        <v>37</v>
      </c>
      <c r="MK45" s="13"/>
      <c r="ML45" s="13"/>
      <c r="MM45" s="12"/>
      <c r="MN45" s="12"/>
      <c r="MO45" s="12" t="s">
        <v>37</v>
      </c>
      <c r="MP45" s="12" t="s">
        <v>37</v>
      </c>
      <c r="MQ45" s="12" t="s">
        <v>37</v>
      </c>
      <c r="MR45" s="12" t="s">
        <v>37</v>
      </c>
      <c r="MS45" s="12" t="s">
        <v>37</v>
      </c>
      <c r="MT45" s="12" t="s">
        <v>37</v>
      </c>
      <c r="MU45" s="12"/>
      <c r="MV45" s="12"/>
      <c r="MW45" s="12"/>
      <c r="MX45" s="12"/>
      <c r="MY45" s="12" t="s">
        <v>37</v>
      </c>
      <c r="MZ45" s="12" t="s">
        <v>37</v>
      </c>
      <c r="NA45" s="12" t="s">
        <v>37</v>
      </c>
      <c r="NB45" s="12" t="s">
        <v>37</v>
      </c>
      <c r="NC45" s="12" t="s">
        <v>37</v>
      </c>
      <c r="ND45" s="12" t="s">
        <v>37</v>
      </c>
      <c r="NE45" s="12"/>
      <c r="NF45" s="12"/>
      <c r="NG45" s="12"/>
      <c r="NH45" s="12"/>
      <c r="NI45" s="12" t="s">
        <v>37</v>
      </c>
      <c r="NJ45" s="12" t="s">
        <v>37</v>
      </c>
      <c r="NK45" s="13" t="s">
        <v>37</v>
      </c>
      <c r="NL45" s="12" t="s">
        <v>37</v>
      </c>
      <c r="NM45" s="12" t="s">
        <v>37</v>
      </c>
      <c r="NN45" s="13" t="s">
        <v>37</v>
      </c>
      <c r="NO45" s="13"/>
      <c r="NP45" s="13"/>
      <c r="NQ45" s="12"/>
      <c r="NR45" s="12"/>
      <c r="NS45" s="12" t="s">
        <v>37</v>
      </c>
      <c r="NT45" s="12" t="s">
        <v>37</v>
      </c>
      <c r="NU45" s="12" t="s">
        <v>37</v>
      </c>
      <c r="NV45" s="12" t="s">
        <v>37</v>
      </c>
      <c r="NW45" s="12" t="s">
        <v>37</v>
      </c>
      <c r="NX45" s="12" t="s">
        <v>37</v>
      </c>
      <c r="NY45" s="12"/>
      <c r="NZ45" s="12"/>
      <c r="OA45" s="12"/>
      <c r="OB45" s="12"/>
      <c r="OC45" s="12" t="s">
        <v>37</v>
      </c>
      <c r="OD45" s="12" t="s">
        <v>37</v>
      </c>
      <c r="OE45" s="12" t="s">
        <v>37</v>
      </c>
      <c r="OF45" s="12" t="s">
        <v>37</v>
      </c>
      <c r="OG45" s="12" t="s">
        <v>37</v>
      </c>
      <c r="OH45" s="12" t="s">
        <v>37</v>
      </c>
      <c r="OI45" s="12"/>
      <c r="OJ45" s="12"/>
      <c r="OK45" s="12"/>
      <c r="OL45" s="12" t="s">
        <v>37</v>
      </c>
      <c r="OM45" s="12" t="s">
        <v>37</v>
      </c>
      <c r="ON45" s="12" t="s">
        <v>37</v>
      </c>
      <c r="OO45" s="12" t="s">
        <v>37</v>
      </c>
      <c r="OP45" s="12" t="s">
        <v>37</v>
      </c>
      <c r="OQ45" s="12" t="s">
        <v>37</v>
      </c>
      <c r="OR45" s="12"/>
      <c r="OS45" s="12" t="s">
        <v>37</v>
      </c>
      <c r="OT45" s="12" t="s">
        <v>37</v>
      </c>
      <c r="OU45" s="12" t="s">
        <v>37</v>
      </c>
      <c r="OV45" s="12" t="s">
        <v>37</v>
      </c>
      <c r="OW45" s="12" t="s">
        <v>37</v>
      </c>
      <c r="OX45" s="12" t="s">
        <v>37</v>
      </c>
      <c r="OY45" s="12"/>
      <c r="OZ45" s="12"/>
      <c r="PA45" s="12" t="s">
        <v>37</v>
      </c>
      <c r="PB45" s="12" t="s">
        <v>37</v>
      </c>
      <c r="PC45" s="12" t="s">
        <v>37</v>
      </c>
      <c r="PD45" s="12" t="s">
        <v>37</v>
      </c>
      <c r="PE45" s="12" t="s">
        <v>37</v>
      </c>
      <c r="PF45" s="12" t="s">
        <v>37</v>
      </c>
      <c r="PG45" s="12"/>
      <c r="PH45" s="12"/>
      <c r="PI45" s="12" t="s">
        <v>37</v>
      </c>
      <c r="PJ45" s="12" t="s">
        <v>37</v>
      </c>
      <c r="PK45" s="12" t="s">
        <v>37</v>
      </c>
      <c r="PL45" s="12" t="s">
        <v>37</v>
      </c>
      <c r="PM45" s="12" t="s">
        <v>37</v>
      </c>
      <c r="PN45" s="12" t="s">
        <v>37</v>
      </c>
      <c r="PO45" s="12"/>
      <c r="PP45" s="12"/>
      <c r="PQ45" s="12" t="s">
        <v>37</v>
      </c>
      <c r="PR45" s="12" t="s">
        <v>37</v>
      </c>
      <c r="PS45" s="12" t="s">
        <v>37</v>
      </c>
      <c r="PT45" s="12" t="s">
        <v>37</v>
      </c>
      <c r="PU45" s="12" t="s">
        <v>37</v>
      </c>
      <c r="PV45" s="12" t="s">
        <v>37</v>
      </c>
      <c r="PW45" s="12"/>
      <c r="PX45" s="12"/>
      <c r="PY45" s="12" t="s">
        <v>37</v>
      </c>
      <c r="PZ45" s="12" t="s">
        <v>37</v>
      </c>
      <c r="QA45" s="12" t="s">
        <v>37</v>
      </c>
      <c r="QB45" s="12" t="s">
        <v>37</v>
      </c>
      <c r="QC45" s="12" t="s">
        <v>37</v>
      </c>
      <c r="QD45" s="12" t="s">
        <v>37</v>
      </c>
      <c r="QE45" s="12"/>
      <c r="QF45" s="12"/>
      <c r="QG45" s="12" t="s">
        <v>37</v>
      </c>
      <c r="QH45" s="12" t="s">
        <v>37</v>
      </c>
      <c r="QI45" s="12" t="s">
        <v>37</v>
      </c>
      <c r="QJ45" s="12" t="s">
        <v>37</v>
      </c>
      <c r="QK45" s="12" t="s">
        <v>37</v>
      </c>
      <c r="QL45" s="12" t="s">
        <v>37</v>
      </c>
      <c r="QM45" s="12" t="s">
        <v>42</v>
      </c>
      <c r="QN45" s="12" t="s">
        <v>345</v>
      </c>
      <c r="QO45" s="12">
        <v>0.9</v>
      </c>
      <c r="QP45" s="12" t="s">
        <v>37</v>
      </c>
      <c r="QQ45" s="12" t="s">
        <v>37</v>
      </c>
      <c r="QR45" s="12" t="s">
        <v>37</v>
      </c>
      <c r="QS45" s="12" t="s">
        <v>37</v>
      </c>
      <c r="QT45" s="12" t="s">
        <v>37</v>
      </c>
      <c r="QU45" s="12"/>
      <c r="QV45" s="12"/>
      <c r="QW45" s="12"/>
      <c r="QX45" s="12"/>
      <c r="QY45" s="12" t="s">
        <v>37</v>
      </c>
      <c r="QZ45" s="12" t="s">
        <v>37</v>
      </c>
      <c r="RA45" s="12" t="s">
        <v>37</v>
      </c>
      <c r="RB45" s="12" t="s">
        <v>37</v>
      </c>
      <c r="RC45" s="12" t="s">
        <v>37</v>
      </c>
      <c r="RD45" s="12" t="s">
        <v>37</v>
      </c>
      <c r="RE45" s="12"/>
      <c r="RF45" s="12"/>
      <c r="RG45" s="12"/>
      <c r="RH45" s="12"/>
      <c r="RI45" s="12" t="s">
        <v>37</v>
      </c>
      <c r="RJ45" s="12" t="s">
        <v>37</v>
      </c>
      <c r="RK45" s="12" t="s">
        <v>37</v>
      </c>
      <c r="RL45" s="12" t="s">
        <v>37</v>
      </c>
      <c r="RM45" s="12" t="s">
        <v>37</v>
      </c>
      <c r="RN45" s="12" t="s">
        <v>37</v>
      </c>
      <c r="RO45" s="12"/>
      <c r="RP45" s="12"/>
      <c r="RQ45" s="12"/>
      <c r="RR45" s="12"/>
      <c r="RS45" s="12" t="s">
        <v>37</v>
      </c>
      <c r="RT45" s="12" t="s">
        <v>37</v>
      </c>
      <c r="RU45" s="12" t="s">
        <v>37</v>
      </c>
      <c r="RV45" s="12" t="s">
        <v>37</v>
      </c>
      <c r="RW45" s="12" t="s">
        <v>37</v>
      </c>
      <c r="RX45" s="12" t="s">
        <v>37</v>
      </c>
      <c r="RY45" s="12"/>
      <c r="RZ45" s="12"/>
      <c r="SA45" s="12"/>
      <c r="SB45" s="12"/>
      <c r="SC45" s="12" t="s">
        <v>37</v>
      </c>
      <c r="SD45" s="12" t="s">
        <v>37</v>
      </c>
      <c r="SE45" s="12" t="s">
        <v>37</v>
      </c>
      <c r="SF45" s="12" t="s">
        <v>37</v>
      </c>
      <c r="SG45" s="12" t="s">
        <v>37</v>
      </c>
      <c r="SH45" s="12" t="s">
        <v>37</v>
      </c>
      <c r="SI45" s="12"/>
      <c r="SJ45" s="12"/>
      <c r="SK45" s="12"/>
      <c r="SL45" s="12"/>
      <c r="SM45" s="12" t="s">
        <v>37</v>
      </c>
      <c r="SN45" s="12" t="s">
        <v>37</v>
      </c>
      <c r="SO45" s="12" t="s">
        <v>37</v>
      </c>
      <c r="SP45" s="12" t="s">
        <v>37</v>
      </c>
      <c r="SQ45" s="12" t="s">
        <v>37</v>
      </c>
      <c r="SR45" s="12" t="s">
        <v>37</v>
      </c>
      <c r="SS45" s="12"/>
      <c r="ST45" s="12"/>
      <c r="SU45" s="12"/>
      <c r="SV45" s="12"/>
      <c r="SW45" s="12" t="s">
        <v>37</v>
      </c>
      <c r="SX45" s="12" t="s">
        <v>37</v>
      </c>
      <c r="SY45" s="12" t="s">
        <v>37</v>
      </c>
      <c r="SZ45" s="12" t="s">
        <v>37</v>
      </c>
      <c r="TA45" s="12" t="s">
        <v>37</v>
      </c>
      <c r="TB45" s="12" t="s">
        <v>37</v>
      </c>
      <c r="TC45" s="12"/>
      <c r="TD45" s="12"/>
      <c r="TE45" s="12"/>
      <c r="TF45" s="12"/>
      <c r="TG45" s="12" t="s">
        <v>37</v>
      </c>
      <c r="TH45" s="12" t="s">
        <v>37</v>
      </c>
      <c r="TI45" s="12" t="s">
        <v>37</v>
      </c>
      <c r="TJ45" s="12" t="s">
        <v>37</v>
      </c>
      <c r="TK45" s="12" t="s">
        <v>37</v>
      </c>
      <c r="TL45" s="12" t="s">
        <v>37</v>
      </c>
      <c r="TM45" s="12"/>
      <c r="TN45" s="12"/>
      <c r="TO45" s="12" t="s">
        <v>417</v>
      </c>
      <c r="TP45" s="12" t="s">
        <v>345</v>
      </c>
      <c r="TQ45" s="12">
        <v>1</v>
      </c>
      <c r="TR45" s="12">
        <f>TQ45*TT61</f>
        <v>6.8869930892960826E-2</v>
      </c>
      <c r="TS45" s="13">
        <v>3</v>
      </c>
      <c r="TT45" s="19"/>
      <c r="TU45" s="12">
        <v>1</v>
      </c>
      <c r="TV45" s="12">
        <f>TU45*TX61</f>
        <v>0.10291546124561664</v>
      </c>
      <c r="TW45" s="13">
        <v>3</v>
      </c>
      <c r="TY45" s="19">
        <f>LN(TU45/TQ45)</f>
        <v>0</v>
      </c>
      <c r="TZ45" s="19">
        <f>TV45^2/(TW45*TU45^2)+TR45^2/(TS45*TQ45^2)</f>
        <v>5.1115531815330729E-3</v>
      </c>
    </row>
    <row r="46" spans="1:546" ht="15.6" x14ac:dyDescent="0.3">
      <c r="A46" s="11">
        <v>19</v>
      </c>
      <c r="B46" s="16" t="s">
        <v>418</v>
      </c>
      <c r="C46" s="12" t="s">
        <v>26</v>
      </c>
      <c r="D46" s="12" t="s">
        <v>609</v>
      </c>
      <c r="E46" s="14" t="s">
        <v>37</v>
      </c>
      <c r="F46" s="14">
        <v>0</v>
      </c>
      <c r="G46" s="14">
        <v>0</v>
      </c>
      <c r="H46" s="12" t="s">
        <v>96</v>
      </c>
      <c r="I46" s="29">
        <v>56</v>
      </c>
      <c r="J46" s="29">
        <v>10</v>
      </c>
      <c r="K46" s="29">
        <v>56</v>
      </c>
      <c r="L46" s="29">
        <v>10</v>
      </c>
      <c r="M46" s="12" t="s">
        <v>37</v>
      </c>
      <c r="N46" s="12" t="s">
        <v>37</v>
      </c>
      <c r="O46" s="12" t="s">
        <v>37</v>
      </c>
      <c r="P46" s="14" t="s">
        <v>37</v>
      </c>
      <c r="Q46" s="11" t="s">
        <v>162</v>
      </c>
      <c r="R46" s="11" t="s">
        <v>37</v>
      </c>
      <c r="S46" s="12" t="s">
        <v>85</v>
      </c>
      <c r="T46" s="12" t="s">
        <v>138</v>
      </c>
      <c r="U46" s="12" t="s">
        <v>158</v>
      </c>
      <c r="V46" s="12" t="s">
        <v>275</v>
      </c>
      <c r="W46" s="23" t="s">
        <v>419</v>
      </c>
      <c r="X46" s="12" t="s">
        <v>285</v>
      </c>
      <c r="Y46" s="12" t="s">
        <v>37</v>
      </c>
      <c r="Z46" s="12" t="s">
        <v>37</v>
      </c>
      <c r="AA46" s="32">
        <v>1996</v>
      </c>
      <c r="AB46" s="12" t="s">
        <v>37</v>
      </c>
      <c r="AC46" s="12" t="s">
        <v>37</v>
      </c>
      <c r="AD46" s="12" t="s">
        <v>420</v>
      </c>
      <c r="AE46" s="12" t="s">
        <v>74</v>
      </c>
      <c r="AF46" s="12" t="s">
        <v>489</v>
      </c>
      <c r="AG46" s="12" t="s">
        <v>42</v>
      </c>
      <c r="AH46" s="32"/>
      <c r="AI46" s="12">
        <f>17.7*12</f>
        <v>212.39999999999998</v>
      </c>
      <c r="AJ46" s="12">
        <f>1.4*12</f>
        <v>16.799999999999997</v>
      </c>
      <c r="AK46" s="11">
        <v>5</v>
      </c>
      <c r="AL46" s="19">
        <f>AJ46/AI46</f>
        <v>7.9096045197740106E-2</v>
      </c>
      <c r="AM46" s="12">
        <f>17.4*12</f>
        <v>208.79999999999998</v>
      </c>
      <c r="AN46" s="12">
        <f>1.3*12</f>
        <v>15.600000000000001</v>
      </c>
      <c r="AO46" s="13">
        <v>5</v>
      </c>
      <c r="AP46" s="19">
        <f>AN46/AM46</f>
        <v>7.4712643678160939E-2</v>
      </c>
      <c r="AQ46" s="49">
        <f>LN(AM46/AI46)</f>
        <v>-1.7094433359300068E-2</v>
      </c>
      <c r="AR46" s="19">
        <f t="shared" ref="AR46" si="255">AN46^2/(AO46*AM46^2)+AJ46^2/(AK46*AI46^2)</f>
        <v>2.3676326982605576E-3</v>
      </c>
      <c r="AS46" s="32"/>
      <c r="AT46" s="12" t="s">
        <v>37</v>
      </c>
      <c r="AU46" s="12" t="s">
        <v>37</v>
      </c>
      <c r="AV46" s="13" t="s">
        <v>37</v>
      </c>
      <c r="AW46" s="12" t="s">
        <v>37</v>
      </c>
      <c r="AX46" s="12" t="s">
        <v>37</v>
      </c>
      <c r="AY46" s="13" t="s">
        <v>37</v>
      </c>
      <c r="AZ46" s="13"/>
      <c r="BA46" s="13"/>
      <c r="BB46" s="12"/>
      <c r="BC46" s="12" t="s">
        <v>37</v>
      </c>
      <c r="BD46" s="12" t="s">
        <v>37</v>
      </c>
      <c r="BE46" s="13" t="s">
        <v>37</v>
      </c>
      <c r="BF46" s="12" t="s">
        <v>37</v>
      </c>
      <c r="BG46" s="12" t="s">
        <v>37</v>
      </c>
      <c r="BH46" s="12" t="s">
        <v>37</v>
      </c>
      <c r="BI46" s="12"/>
      <c r="BJ46" s="12" t="s">
        <v>37</v>
      </c>
      <c r="BK46" s="12" t="s">
        <v>37</v>
      </c>
      <c r="BL46" s="12" t="s">
        <v>37</v>
      </c>
      <c r="BM46" s="12" t="s">
        <v>37</v>
      </c>
      <c r="BN46" s="12" t="s">
        <v>37</v>
      </c>
      <c r="BO46" s="12" t="s">
        <v>37</v>
      </c>
      <c r="BP46" s="19"/>
      <c r="BQ46" s="19"/>
      <c r="BR46" s="19"/>
      <c r="BS46" s="19"/>
      <c r="BT46" s="12"/>
      <c r="BU46" s="12" t="s">
        <v>37</v>
      </c>
      <c r="BV46" s="12" t="s">
        <v>37</v>
      </c>
      <c r="BW46" s="12" t="s">
        <v>37</v>
      </c>
      <c r="BX46" s="12" t="s">
        <v>37</v>
      </c>
      <c r="BY46" s="12" t="s">
        <v>37</v>
      </c>
      <c r="BZ46" s="12" t="s">
        <v>37</v>
      </c>
      <c r="CA46" s="19"/>
      <c r="CB46" s="19"/>
      <c r="CC46" s="19"/>
      <c r="CD46" s="19"/>
      <c r="CE46" s="12"/>
      <c r="CF46" s="12" t="s">
        <v>37</v>
      </c>
      <c r="CG46" s="12" t="s">
        <v>37</v>
      </c>
      <c r="CH46" s="12" t="s">
        <v>37</v>
      </c>
      <c r="CI46" s="12" t="s">
        <v>37</v>
      </c>
      <c r="CJ46" s="12" t="s">
        <v>37</v>
      </c>
      <c r="CK46" s="12" t="s">
        <v>37</v>
      </c>
      <c r="CL46" s="19"/>
      <c r="CM46" s="19"/>
      <c r="CN46" s="19"/>
      <c r="CO46" s="19"/>
      <c r="CP46" s="11" t="s">
        <v>34</v>
      </c>
      <c r="CQ46" s="12">
        <f>46*16/24</f>
        <v>30.666666666666668</v>
      </c>
      <c r="CR46" s="19">
        <f>13*16/24</f>
        <v>8.6666666666666661</v>
      </c>
      <c r="CS46" s="13">
        <v>5</v>
      </c>
      <c r="CT46" s="52">
        <f t="shared" ref="CT46" si="256">CR46/ABS(CQ46)</f>
        <v>0.28260869565217389</v>
      </c>
      <c r="CU46" s="12">
        <f>22*16/24</f>
        <v>14.666666666666666</v>
      </c>
      <c r="CV46" s="19">
        <f>1*16/24</f>
        <v>0.66666666666666663</v>
      </c>
      <c r="CW46" s="13">
        <v>5</v>
      </c>
      <c r="CX46" s="52">
        <f t="shared" ref="CX46" si="257">CV46/ABS(CU46)</f>
        <v>4.5454545454545456E-2</v>
      </c>
      <c r="CY46" s="68">
        <f t="shared" ref="CY46" si="258">CU46-CQ46</f>
        <v>-16</v>
      </c>
      <c r="CZ46" s="12">
        <f t="shared" si="232"/>
        <v>6.1463629715285908</v>
      </c>
      <c r="DA46" s="72">
        <f t="shared" si="233"/>
        <v>15.111111111111109</v>
      </c>
      <c r="DB46" s="72">
        <f t="shared" si="234"/>
        <v>15.111111111111109</v>
      </c>
      <c r="DC46" s="11"/>
      <c r="DD46" s="12" t="s">
        <v>37</v>
      </c>
      <c r="DE46" s="68" t="s">
        <v>37</v>
      </c>
      <c r="DF46" s="12" t="s">
        <v>37</v>
      </c>
      <c r="DG46" s="19"/>
      <c r="DH46" s="12" t="s">
        <v>37</v>
      </c>
      <c r="DI46" s="68" t="s">
        <v>37</v>
      </c>
      <c r="DJ46" s="12" t="s">
        <v>37</v>
      </c>
      <c r="DK46" s="19"/>
      <c r="DL46" s="68"/>
      <c r="DM46" s="68"/>
      <c r="DN46" s="68"/>
      <c r="DO46" s="68"/>
      <c r="DP46" s="12" t="s">
        <v>39</v>
      </c>
      <c r="DQ46" s="12">
        <v>-22</v>
      </c>
      <c r="DR46" s="60">
        <f>ABS(DQ46)*DT$61</f>
        <v>8.8879999999999999</v>
      </c>
      <c r="DS46" s="13">
        <v>5</v>
      </c>
      <c r="DT46" s="19"/>
      <c r="DU46" s="12">
        <v>-8</v>
      </c>
      <c r="DV46" s="60">
        <f>ABS(DU46)*DX$61</f>
        <v>2.7649020997632978</v>
      </c>
      <c r="DW46" s="13">
        <v>5</v>
      </c>
      <c r="DX46" s="19"/>
      <c r="DY46" s="19">
        <f t="shared" si="247"/>
        <v>14</v>
      </c>
      <c r="DZ46" s="12">
        <f t="shared" si="248"/>
        <v>6.5818396980356297</v>
      </c>
      <c r="EA46" s="72">
        <f t="shared" si="164"/>
        <v>17.328245524255099</v>
      </c>
      <c r="EB46" s="72">
        <f t="shared" si="165"/>
        <v>17.328245524255099</v>
      </c>
      <c r="EC46" s="12" t="s">
        <v>132</v>
      </c>
      <c r="ED46" s="12" t="s">
        <v>330</v>
      </c>
      <c r="EE46" s="12">
        <v>-18.5968693284937</v>
      </c>
      <c r="EF46" s="12">
        <v>78.947368421052801</v>
      </c>
      <c r="EG46" s="11">
        <v>5</v>
      </c>
      <c r="EH46" s="19">
        <f>EF46/ABS(EE46)</f>
        <v>4.2451967063128979</v>
      </c>
      <c r="EI46" s="12">
        <v>201.13430127041701</v>
      </c>
      <c r="EJ46" s="20">
        <v>28.958711433757969</v>
      </c>
      <c r="EK46" s="11">
        <v>5</v>
      </c>
      <c r="EL46" s="19">
        <f>EJ46/ABS(EI46)</f>
        <v>0.14397699075119039</v>
      </c>
      <c r="EM46" s="19">
        <f>EI46-EE46</f>
        <v>219.73117059891072</v>
      </c>
      <c r="EN46" s="12">
        <f>SQRT(((EG46-1)*EF46^2+(EK46-1)*EJ46^2)/(EG46+EK46-2))</f>
        <v>59.461306530016259</v>
      </c>
      <c r="EO46" s="72">
        <f>(((EG46+EK46)/(EG46*EK46))*(((EG46-1)*EF46^2)+(EK46-1)*EJ46^2)/(EG46+EK46-2))</f>
        <v>1414.2587897026219</v>
      </c>
      <c r="EP46" s="72">
        <f>(EF46^2/EG46)+(EJ46^2/EK46)</f>
        <v>1414.2587897026217</v>
      </c>
      <c r="EQ46" s="32" t="s">
        <v>421</v>
      </c>
      <c r="ER46" s="12">
        <v>-65.176950998185106</v>
      </c>
      <c r="ES46" s="12">
        <v>65.789473684210606</v>
      </c>
      <c r="ET46" s="11">
        <v>5</v>
      </c>
      <c r="EU46" s="19">
        <f>ES46/ABS(ER46)</f>
        <v>1.0093978419770289</v>
      </c>
      <c r="EV46" s="12">
        <v>137.46029945553499</v>
      </c>
      <c r="EW46" s="12">
        <v>110.50362976406603</v>
      </c>
      <c r="EX46" s="11">
        <v>5</v>
      </c>
      <c r="EY46" s="19">
        <f>EW46/ABS(EV46)</f>
        <v>0.80389487147750049</v>
      </c>
      <c r="EZ46" s="19">
        <f>EV46-ER46</f>
        <v>202.6372504537201</v>
      </c>
      <c r="FA46" s="12">
        <f>SQRT(((ET46-1)*ES46^2+(EX46-1)*EW46^2)/(ET46+EX46-2))</f>
        <v>90.937635329601633</v>
      </c>
      <c r="FB46" s="19">
        <f>FA46^2</f>
        <v>8269.6535193396103</v>
      </c>
      <c r="FC46" s="32" t="s">
        <v>422</v>
      </c>
      <c r="FD46" s="12">
        <v>-119.816243194192</v>
      </c>
      <c r="FE46" s="12">
        <v>31.567604355715986</v>
      </c>
      <c r="FF46" s="11">
        <v>5</v>
      </c>
      <c r="FG46" s="12">
        <v>-84.301270417422899</v>
      </c>
      <c r="FH46" s="12">
        <v>18.421052631578988</v>
      </c>
      <c r="FI46" s="11">
        <v>5</v>
      </c>
      <c r="FJ46" s="19">
        <f>FG46-FD46</f>
        <v>35.514972776769099</v>
      </c>
      <c r="FK46" s="12">
        <f>SQRT(((FF46-1)*FE46^2+(FI46-1)*FH46^2)/(FF46+FI46-2))</f>
        <v>25.844233639386776</v>
      </c>
      <c r="FL46" s="19">
        <f>FK46*FK46</f>
        <v>667.92441240721098</v>
      </c>
      <c r="FM46" s="32" t="s">
        <v>423</v>
      </c>
      <c r="FN46" s="12">
        <v>-152.10412885662399</v>
      </c>
      <c r="FO46" s="12">
        <v>23.684210526315951</v>
      </c>
      <c r="FP46" s="11">
        <v>5</v>
      </c>
      <c r="FQ46" s="12">
        <v>-145.525181488203</v>
      </c>
      <c r="FR46" s="12">
        <v>49.977313974591993</v>
      </c>
      <c r="FS46" s="11">
        <v>5</v>
      </c>
      <c r="FT46" s="19">
        <f>FQ46-FN46</f>
        <v>6.5789473684209838</v>
      </c>
      <c r="FU46" s="12">
        <f>SQRT(((FP46-1)*FO46^2+(FS46-1)*FR46^2)/(FP46+FS46-2))</f>
        <v>39.106736890015533</v>
      </c>
      <c r="FV46" s="19">
        <f>FU46*FU46</f>
        <v>1529.3368701849017</v>
      </c>
      <c r="FW46" s="12"/>
      <c r="FX46" s="12"/>
      <c r="FY46" s="12" t="s">
        <v>37</v>
      </c>
      <c r="FZ46" s="12" t="s">
        <v>37</v>
      </c>
      <c r="GA46" s="13" t="s">
        <v>37</v>
      </c>
      <c r="GB46" s="12" t="s">
        <v>37</v>
      </c>
      <c r="GC46" s="12" t="s">
        <v>37</v>
      </c>
      <c r="GD46" s="13" t="s">
        <v>37</v>
      </c>
      <c r="GE46" s="19"/>
      <c r="GF46" s="19"/>
      <c r="GG46" s="12"/>
      <c r="GH46" s="12"/>
      <c r="GI46" s="12" t="s">
        <v>37</v>
      </c>
      <c r="GJ46" s="12" t="s">
        <v>37</v>
      </c>
      <c r="GK46" s="12" t="s">
        <v>37</v>
      </c>
      <c r="GL46" s="19"/>
      <c r="GM46" s="12" t="s">
        <v>37</v>
      </c>
      <c r="GN46" s="12" t="s">
        <v>37</v>
      </c>
      <c r="GO46" s="12" t="s">
        <v>37</v>
      </c>
      <c r="GP46" s="19"/>
      <c r="GQ46" s="19"/>
      <c r="GR46" s="19"/>
      <c r="GS46" s="17"/>
      <c r="GT46" s="34"/>
      <c r="GU46" s="12" t="s">
        <v>37</v>
      </c>
      <c r="GV46" s="12" t="s">
        <v>37</v>
      </c>
      <c r="GW46" s="12" t="s">
        <v>37</v>
      </c>
      <c r="GX46" s="19"/>
      <c r="GY46" s="12" t="s">
        <v>37</v>
      </c>
      <c r="GZ46" s="12" t="s">
        <v>37</v>
      </c>
      <c r="HA46" s="12" t="s">
        <v>37</v>
      </c>
      <c r="HB46" s="19"/>
      <c r="HC46" s="19"/>
      <c r="HD46" s="19"/>
      <c r="HE46" s="34"/>
      <c r="HF46" s="12" t="s">
        <v>37</v>
      </c>
      <c r="HG46" s="12" t="s">
        <v>37</v>
      </c>
      <c r="HH46" s="13" t="s">
        <v>37</v>
      </c>
      <c r="HI46" s="12" t="s">
        <v>37</v>
      </c>
      <c r="HJ46" s="12" t="s">
        <v>37</v>
      </c>
      <c r="HK46" s="13" t="s">
        <v>37</v>
      </c>
      <c r="HL46" s="13"/>
      <c r="HM46" s="13"/>
      <c r="HN46" s="34"/>
      <c r="HO46" s="12" t="s">
        <v>37</v>
      </c>
      <c r="HP46" s="12" t="s">
        <v>37</v>
      </c>
      <c r="HQ46" s="13" t="s">
        <v>37</v>
      </c>
      <c r="HR46" s="12" t="s">
        <v>37</v>
      </c>
      <c r="HS46" s="12" t="s">
        <v>37</v>
      </c>
      <c r="HT46" s="13" t="s">
        <v>37</v>
      </c>
      <c r="HU46" s="13"/>
      <c r="HV46" s="13"/>
      <c r="HW46" s="12"/>
      <c r="HX46" s="12"/>
      <c r="HY46" s="12" t="s">
        <v>37</v>
      </c>
      <c r="HZ46" s="12" t="s">
        <v>37</v>
      </c>
      <c r="IA46" s="12" t="s">
        <v>37</v>
      </c>
      <c r="IB46" s="12" t="s">
        <v>37</v>
      </c>
      <c r="IC46" s="12" t="s">
        <v>37</v>
      </c>
      <c r="ID46" s="12" t="s">
        <v>37</v>
      </c>
      <c r="IE46" s="12"/>
      <c r="IF46" s="32" t="s">
        <v>345</v>
      </c>
      <c r="IG46" s="12">
        <v>7.3</v>
      </c>
      <c r="IH46" s="12">
        <v>0.2</v>
      </c>
      <c r="II46" s="13">
        <v>5</v>
      </c>
      <c r="IJ46" s="19">
        <f>IH46/IG46</f>
        <v>2.7397260273972605E-2</v>
      </c>
      <c r="IK46" s="12">
        <v>7.4</v>
      </c>
      <c r="IL46" s="12">
        <v>0.2</v>
      </c>
      <c r="IM46" s="13">
        <v>5</v>
      </c>
      <c r="IN46" s="19">
        <f>IL46/IK46</f>
        <v>2.7027027027027029E-2</v>
      </c>
      <c r="IO46" s="19">
        <f t="shared" si="251"/>
        <v>1.3605652055778678E-2</v>
      </c>
      <c r="IP46" s="19">
        <f t="shared" si="252"/>
        <v>2.9621401208788939E-4</v>
      </c>
      <c r="IQ46" s="32"/>
      <c r="IR46" s="12" t="s">
        <v>37</v>
      </c>
      <c r="IS46" s="12" t="s">
        <v>37</v>
      </c>
      <c r="IT46" s="13" t="s">
        <v>37</v>
      </c>
      <c r="IU46" s="12" t="s">
        <v>37</v>
      </c>
      <c r="IV46" s="12" t="s">
        <v>37</v>
      </c>
      <c r="IW46" s="12" t="s">
        <v>37</v>
      </c>
      <c r="IX46" s="32"/>
      <c r="IY46" s="12" t="s">
        <v>37</v>
      </c>
      <c r="IZ46" s="12" t="s">
        <v>37</v>
      </c>
      <c r="JA46" s="13" t="s">
        <v>37</v>
      </c>
      <c r="JB46" s="12" t="s">
        <v>37</v>
      </c>
      <c r="JC46" s="12" t="s">
        <v>37</v>
      </c>
      <c r="JD46" s="12" t="s">
        <v>37</v>
      </c>
      <c r="JE46" s="12"/>
      <c r="JF46" s="12"/>
      <c r="JG46" s="12" t="s">
        <v>37</v>
      </c>
      <c r="JH46" s="12" t="s">
        <v>37</v>
      </c>
      <c r="JI46" s="13" t="s">
        <v>37</v>
      </c>
      <c r="JJ46" s="12" t="s">
        <v>37</v>
      </c>
      <c r="JK46" s="12" t="s">
        <v>37</v>
      </c>
      <c r="JL46" s="12" t="s">
        <v>37</v>
      </c>
      <c r="JM46" s="12" t="s">
        <v>42</v>
      </c>
      <c r="JN46" s="32" t="s">
        <v>340</v>
      </c>
      <c r="JO46" s="12">
        <f>753*14/1000</f>
        <v>10.542</v>
      </c>
      <c r="JP46" s="12">
        <f>56*14/1000</f>
        <v>0.78400000000000003</v>
      </c>
      <c r="JQ46" s="11">
        <v>5</v>
      </c>
      <c r="JR46" s="19">
        <f>JP46/JO46</f>
        <v>7.4369189907038516E-2</v>
      </c>
      <c r="JS46" s="12">
        <f>741*14/1000</f>
        <v>10.374000000000001</v>
      </c>
      <c r="JT46" s="12">
        <f>73*14/1000</f>
        <v>1.022</v>
      </c>
      <c r="JU46" s="13">
        <v>5</v>
      </c>
      <c r="JV46" s="19">
        <f>JT46/JS46</f>
        <v>9.8515519568151147E-2</v>
      </c>
      <c r="JW46" s="19">
        <f t="shared" ref="JW46" si="259">LN(JS46/JO46)</f>
        <v>-1.6064602503806563E-2</v>
      </c>
      <c r="JX46" s="19">
        <f t="shared" ref="JX46:JX47" si="260">JT46^2/(JU46*JS46^2)+JP46^2/(JQ46*JO46^2)</f>
        <v>3.0472168006423863E-3</v>
      </c>
      <c r="JY46" s="32"/>
      <c r="JZ46" s="12" t="s">
        <v>37</v>
      </c>
      <c r="KA46" s="12" t="s">
        <v>37</v>
      </c>
      <c r="KB46" s="12" t="s">
        <v>37</v>
      </c>
      <c r="KC46" s="12" t="s">
        <v>37</v>
      </c>
      <c r="KD46" s="12" t="s">
        <v>37</v>
      </c>
      <c r="KE46" s="12" t="s">
        <v>37</v>
      </c>
      <c r="KF46" s="12"/>
      <c r="KG46" s="12"/>
      <c r="KH46" s="32"/>
      <c r="KI46" s="12" t="s">
        <v>37</v>
      </c>
      <c r="KJ46" s="12" t="s">
        <v>37</v>
      </c>
      <c r="KK46" s="12" t="s">
        <v>37</v>
      </c>
      <c r="KL46" s="12" t="s">
        <v>37</v>
      </c>
      <c r="KM46" s="12" t="s">
        <v>37</v>
      </c>
      <c r="KN46" s="12" t="s">
        <v>37</v>
      </c>
      <c r="KO46" s="12"/>
      <c r="KP46" s="12"/>
      <c r="KQ46" s="12"/>
      <c r="KR46" s="12" t="str">
        <f t="shared" ref="KR46:KR47" si="261">JN46</f>
        <v>0-30</v>
      </c>
      <c r="KS46" s="12">
        <f>AI46/JO46</f>
        <v>20.147979510529311</v>
      </c>
      <c r="KT46" s="12">
        <f>SQRT((1/JO46)^2*AJ46^2+AI46^2*(-1/JO46^2)^2*JP46^2)</f>
        <v>2.1874212138686921</v>
      </c>
      <c r="KU46" s="13">
        <f t="shared" ref="KU46:KU47" si="262">JQ46</f>
        <v>5</v>
      </c>
      <c r="KV46" s="19">
        <f>KT46/KS46</f>
        <v>0.10856777041715515</v>
      </c>
      <c r="KW46" s="12">
        <f>AM46/JS46</f>
        <v>20.127241179872755</v>
      </c>
      <c r="KX46" s="12">
        <f>SQRT((1/JS46)^2*AN46^2+AM46^2*(-1/JS46^2)^2*JT46^2)</f>
        <v>2.488567678499896</v>
      </c>
      <c r="KY46" s="13">
        <f t="shared" ref="KY46:KY47" si="263">JU46</f>
        <v>5</v>
      </c>
      <c r="KZ46" s="19">
        <f>KX46/KW46</f>
        <v>0.12364176770477935</v>
      </c>
      <c r="LA46" s="19">
        <f t="shared" ref="LA46" si="264">LN(KW46/KS46)</f>
        <v>-1.0298308554935881E-3</v>
      </c>
      <c r="LB46" s="19">
        <f t="shared" ref="LB46" si="265">KX46^2/(KY46*KW46^2)+KT46^2/(KU46*KS46^2)</f>
        <v>5.4148494989029444E-3</v>
      </c>
      <c r="LC46" s="13"/>
      <c r="LD46" s="12" t="s">
        <v>37</v>
      </c>
      <c r="LE46" s="12" t="s">
        <v>37</v>
      </c>
      <c r="LF46" s="12" t="s">
        <v>37</v>
      </c>
      <c r="LG46" s="19" t="s">
        <v>37</v>
      </c>
      <c r="LH46" s="19" t="s">
        <v>37</v>
      </c>
      <c r="LI46" s="12" t="s">
        <v>37</v>
      </c>
      <c r="LJ46" s="12"/>
      <c r="LK46" s="12"/>
      <c r="LL46" s="12"/>
      <c r="LM46" s="12" t="s">
        <v>37</v>
      </c>
      <c r="LN46" s="12" t="s">
        <v>37</v>
      </c>
      <c r="LO46" s="12" t="s">
        <v>37</v>
      </c>
      <c r="LP46" s="12" t="s">
        <v>37</v>
      </c>
      <c r="LQ46" s="12" t="s">
        <v>37</v>
      </c>
      <c r="LR46" s="12" t="s">
        <v>37</v>
      </c>
      <c r="LS46" s="12"/>
      <c r="LT46" s="12"/>
      <c r="LU46" s="12" t="s">
        <v>37</v>
      </c>
      <c r="LV46" s="12" t="s">
        <v>37</v>
      </c>
      <c r="LW46" s="13" t="s">
        <v>37</v>
      </c>
      <c r="LX46" s="12" t="s">
        <v>37</v>
      </c>
      <c r="LY46" s="12" t="s">
        <v>37</v>
      </c>
      <c r="LZ46" s="13" t="s">
        <v>37</v>
      </c>
      <c r="MA46" s="13"/>
      <c r="MB46" s="13"/>
      <c r="MC46" s="12"/>
      <c r="MD46" s="12"/>
      <c r="ME46" s="12" t="s">
        <v>37</v>
      </c>
      <c r="MF46" s="12" t="s">
        <v>37</v>
      </c>
      <c r="MG46" s="13" t="s">
        <v>37</v>
      </c>
      <c r="MH46" s="12" t="s">
        <v>37</v>
      </c>
      <c r="MI46" s="12" t="s">
        <v>37</v>
      </c>
      <c r="MJ46" s="13" t="s">
        <v>37</v>
      </c>
      <c r="MK46" s="13"/>
      <c r="ML46" s="13"/>
      <c r="MM46" s="12"/>
      <c r="MN46" s="12"/>
      <c r="MO46" s="12" t="s">
        <v>37</v>
      </c>
      <c r="MP46" s="12" t="s">
        <v>37</v>
      </c>
      <c r="MQ46" s="12" t="s">
        <v>37</v>
      </c>
      <c r="MR46" s="12" t="s">
        <v>37</v>
      </c>
      <c r="MS46" s="12" t="s">
        <v>37</v>
      </c>
      <c r="MT46" s="12" t="s">
        <v>37</v>
      </c>
      <c r="MU46" s="12"/>
      <c r="MV46" s="12"/>
      <c r="MW46" s="12"/>
      <c r="MX46" s="12"/>
      <c r="MY46" s="12" t="s">
        <v>37</v>
      </c>
      <c r="MZ46" s="12" t="s">
        <v>37</v>
      </c>
      <c r="NA46" s="12" t="s">
        <v>37</v>
      </c>
      <c r="NB46" s="12" t="s">
        <v>37</v>
      </c>
      <c r="NC46" s="12" t="s">
        <v>37</v>
      </c>
      <c r="ND46" s="12" t="s">
        <v>37</v>
      </c>
      <c r="NE46" s="12"/>
      <c r="NF46" s="12"/>
      <c r="NG46" s="12"/>
      <c r="NH46" s="12"/>
      <c r="NI46" s="12" t="s">
        <v>37</v>
      </c>
      <c r="NJ46" s="12" t="s">
        <v>37</v>
      </c>
      <c r="NK46" s="13" t="s">
        <v>37</v>
      </c>
      <c r="NL46" s="12" t="s">
        <v>37</v>
      </c>
      <c r="NM46" s="12" t="s">
        <v>37</v>
      </c>
      <c r="NN46" s="13" t="s">
        <v>37</v>
      </c>
      <c r="NO46" s="13"/>
      <c r="NP46" s="13"/>
      <c r="NQ46" s="12"/>
      <c r="NR46" s="12"/>
      <c r="NS46" s="12" t="s">
        <v>37</v>
      </c>
      <c r="NT46" s="12" t="s">
        <v>37</v>
      </c>
      <c r="NU46" s="12" t="s">
        <v>37</v>
      </c>
      <c r="NV46" s="12" t="s">
        <v>37</v>
      </c>
      <c r="NW46" s="12" t="s">
        <v>37</v>
      </c>
      <c r="NX46" s="12" t="s">
        <v>37</v>
      </c>
      <c r="NY46" s="12"/>
      <c r="NZ46" s="12"/>
      <c r="OA46" s="12"/>
      <c r="OB46" s="12"/>
      <c r="OC46" s="12" t="s">
        <v>37</v>
      </c>
      <c r="OD46" s="12" t="s">
        <v>37</v>
      </c>
      <c r="OE46" s="12" t="s">
        <v>37</v>
      </c>
      <c r="OF46" s="12" t="s">
        <v>37</v>
      </c>
      <c r="OG46" s="12" t="s">
        <v>37</v>
      </c>
      <c r="OH46" s="12" t="s">
        <v>37</v>
      </c>
      <c r="OI46" s="12"/>
      <c r="OJ46" s="12"/>
      <c r="OK46" s="12"/>
      <c r="OL46" s="12" t="s">
        <v>37</v>
      </c>
      <c r="OM46" s="12" t="s">
        <v>37</v>
      </c>
      <c r="ON46" s="12" t="s">
        <v>37</v>
      </c>
      <c r="OO46" s="12" t="s">
        <v>37</v>
      </c>
      <c r="OP46" s="12" t="s">
        <v>37</v>
      </c>
      <c r="OQ46" s="12" t="s">
        <v>37</v>
      </c>
      <c r="OR46" s="12"/>
      <c r="OS46" s="12" t="s">
        <v>37</v>
      </c>
      <c r="OT46" s="12" t="s">
        <v>37</v>
      </c>
      <c r="OU46" s="12" t="s">
        <v>37</v>
      </c>
      <c r="OV46" s="12" t="s">
        <v>37</v>
      </c>
      <c r="OW46" s="12" t="s">
        <v>37</v>
      </c>
      <c r="OX46" s="12" t="s">
        <v>37</v>
      </c>
      <c r="OY46" s="12"/>
      <c r="OZ46" s="12"/>
      <c r="PA46" s="12" t="s">
        <v>37</v>
      </c>
      <c r="PB46" s="12" t="s">
        <v>37</v>
      </c>
      <c r="PC46" s="12" t="s">
        <v>37</v>
      </c>
      <c r="PD46" s="12" t="s">
        <v>37</v>
      </c>
      <c r="PE46" s="12" t="s">
        <v>37</v>
      </c>
      <c r="PF46" s="12" t="s">
        <v>37</v>
      </c>
      <c r="PG46" s="12"/>
      <c r="PH46" s="12"/>
      <c r="PI46" s="12" t="s">
        <v>37</v>
      </c>
      <c r="PJ46" s="12" t="s">
        <v>37</v>
      </c>
      <c r="PK46" s="12" t="s">
        <v>37</v>
      </c>
      <c r="PL46" s="12" t="s">
        <v>37</v>
      </c>
      <c r="PM46" s="12" t="s">
        <v>37</v>
      </c>
      <c r="PN46" s="12" t="s">
        <v>37</v>
      </c>
      <c r="PO46" s="12"/>
      <c r="PP46" s="12"/>
      <c r="PQ46" s="12" t="s">
        <v>37</v>
      </c>
      <c r="PR46" s="12" t="s">
        <v>37</v>
      </c>
      <c r="PS46" s="12" t="s">
        <v>37</v>
      </c>
      <c r="PT46" s="12" t="s">
        <v>37</v>
      </c>
      <c r="PU46" s="12" t="s">
        <v>37</v>
      </c>
      <c r="PV46" s="12" t="s">
        <v>37</v>
      </c>
      <c r="PW46" s="12"/>
      <c r="PX46" s="12"/>
      <c r="PY46" s="12" t="s">
        <v>37</v>
      </c>
      <c r="PZ46" s="12" t="s">
        <v>37</v>
      </c>
      <c r="QA46" s="12" t="s">
        <v>37</v>
      </c>
      <c r="QB46" s="12" t="s">
        <v>37</v>
      </c>
      <c r="QC46" s="12" t="s">
        <v>37</v>
      </c>
      <c r="QD46" s="12" t="s">
        <v>37</v>
      </c>
      <c r="QE46" s="12"/>
      <c r="QF46" s="12"/>
      <c r="QG46" s="12" t="s">
        <v>37</v>
      </c>
      <c r="QH46" s="12" t="s">
        <v>37</v>
      </c>
      <c r="QI46" s="12" t="s">
        <v>37</v>
      </c>
      <c r="QJ46" s="12" t="s">
        <v>37</v>
      </c>
      <c r="QK46" s="12" t="s">
        <v>37</v>
      </c>
      <c r="QL46" s="12" t="s">
        <v>37</v>
      </c>
      <c r="QM46" s="12" t="s">
        <v>42</v>
      </c>
      <c r="QN46" s="12" t="s">
        <v>340</v>
      </c>
      <c r="QO46" s="12">
        <f>29.7*34/1000</f>
        <v>1.0098</v>
      </c>
      <c r="QP46" s="12">
        <f>3.4*34/1000</f>
        <v>0.11559999999999999</v>
      </c>
      <c r="QQ46" s="13">
        <v>5</v>
      </c>
      <c r="QR46" s="12">
        <f>33.8*34/1000</f>
        <v>1.1491999999999998</v>
      </c>
      <c r="QS46" s="12">
        <f>4.3*34/1000</f>
        <v>0.1462</v>
      </c>
      <c r="QT46" s="13">
        <v>5</v>
      </c>
      <c r="QU46" s="19">
        <f>LN(QR46/QO46)</f>
        <v>0.12931375668031891</v>
      </c>
      <c r="QV46" s="19">
        <f>QS46^2/(QT46*QR46^2)+QP46^2/(QQ46*QO46^2)</f>
        <v>5.8579792188830533E-3</v>
      </c>
      <c r="QW46" s="12"/>
      <c r="QX46" s="12"/>
      <c r="QY46" s="12" t="s">
        <v>37</v>
      </c>
      <c r="QZ46" s="12" t="s">
        <v>37</v>
      </c>
      <c r="RA46" s="12" t="s">
        <v>37</v>
      </c>
      <c r="RB46" s="12" t="s">
        <v>37</v>
      </c>
      <c r="RC46" s="12" t="s">
        <v>37</v>
      </c>
      <c r="RD46" s="12" t="s">
        <v>37</v>
      </c>
      <c r="RE46" s="12"/>
      <c r="RF46" s="12"/>
      <c r="RG46" s="12"/>
      <c r="RH46" s="12"/>
      <c r="RI46" s="12" t="s">
        <v>37</v>
      </c>
      <c r="RJ46" s="12" t="s">
        <v>37</v>
      </c>
      <c r="RK46" s="12" t="s">
        <v>37</v>
      </c>
      <c r="RL46" s="12" t="s">
        <v>37</v>
      </c>
      <c r="RM46" s="12" t="s">
        <v>37</v>
      </c>
      <c r="RN46" s="12" t="s">
        <v>37</v>
      </c>
      <c r="RO46" s="12"/>
      <c r="RP46" s="12"/>
      <c r="RQ46" s="12"/>
      <c r="RR46" s="12"/>
      <c r="RS46" s="12" t="s">
        <v>37</v>
      </c>
      <c r="RT46" s="12" t="s">
        <v>37</v>
      </c>
      <c r="RU46" s="12" t="s">
        <v>37</v>
      </c>
      <c r="RV46" s="12" t="s">
        <v>37</v>
      </c>
      <c r="RW46" s="12" t="s">
        <v>37</v>
      </c>
      <c r="RX46" s="12" t="s">
        <v>37</v>
      </c>
      <c r="RY46" s="12"/>
      <c r="RZ46" s="12"/>
      <c r="SA46" s="12"/>
      <c r="SB46" s="12"/>
      <c r="SC46" s="12" t="s">
        <v>37</v>
      </c>
      <c r="SD46" s="12" t="s">
        <v>37</v>
      </c>
      <c r="SE46" s="12" t="s">
        <v>37</v>
      </c>
      <c r="SF46" s="12" t="s">
        <v>37</v>
      </c>
      <c r="SG46" s="12" t="s">
        <v>37</v>
      </c>
      <c r="SH46" s="12" t="s">
        <v>37</v>
      </c>
      <c r="SI46" s="12"/>
      <c r="SJ46" s="12"/>
      <c r="SK46" s="12"/>
      <c r="SL46" s="12"/>
      <c r="SM46" s="12" t="s">
        <v>37</v>
      </c>
      <c r="SN46" s="12" t="s">
        <v>37</v>
      </c>
      <c r="SO46" s="12" t="s">
        <v>37</v>
      </c>
      <c r="SP46" s="12" t="s">
        <v>37</v>
      </c>
      <c r="SQ46" s="12" t="s">
        <v>37</v>
      </c>
      <c r="SR46" s="12" t="s">
        <v>37</v>
      </c>
      <c r="SS46" s="12"/>
      <c r="ST46" s="12"/>
      <c r="SU46" s="12"/>
      <c r="SV46" s="12"/>
      <c r="SW46" s="12" t="s">
        <v>37</v>
      </c>
      <c r="SX46" s="12" t="s">
        <v>37</v>
      </c>
      <c r="SY46" s="12" t="s">
        <v>37</v>
      </c>
      <c r="SZ46" s="12" t="s">
        <v>37</v>
      </c>
      <c r="TA46" s="12" t="s">
        <v>37</v>
      </c>
      <c r="TB46" s="12" t="s">
        <v>37</v>
      </c>
      <c r="TC46" s="12"/>
      <c r="TD46" s="12"/>
      <c r="TE46" s="12" t="s">
        <v>869</v>
      </c>
      <c r="TF46" s="12" t="s">
        <v>345</v>
      </c>
      <c r="TG46" s="12">
        <v>18.119266055045848</v>
      </c>
      <c r="TH46" s="12">
        <v>12.950086434397376</v>
      </c>
      <c r="TI46" s="11">
        <v>2</v>
      </c>
      <c r="TJ46" s="12">
        <v>3.4403669724770651</v>
      </c>
      <c r="TK46" s="12">
        <v>3.21100917431197</v>
      </c>
      <c r="TL46" s="11">
        <v>2</v>
      </c>
      <c r="TM46" s="19">
        <f>LN(TJ46/TG46)</f>
        <v>-1.6613976513648099</v>
      </c>
      <c r="TN46" s="19">
        <f t="shared" ref="TN46" si="266">TK46^2/(TL46*TJ46^2)+TH46^2/(TI46*TG46^2)</f>
        <v>0.69096334276915661</v>
      </c>
      <c r="TO46" s="12"/>
      <c r="TP46" s="12"/>
      <c r="TQ46" s="12"/>
      <c r="TR46" s="12"/>
      <c r="TS46" s="11"/>
      <c r="TT46" s="19"/>
      <c r="TU46" s="12"/>
      <c r="TV46" s="12"/>
      <c r="TW46" s="11"/>
    </row>
    <row r="47" spans="1:546" ht="15.6" x14ac:dyDescent="0.3">
      <c r="A47" s="11">
        <v>20</v>
      </c>
      <c r="B47" s="16" t="s">
        <v>433</v>
      </c>
      <c r="C47" s="12" t="s">
        <v>26</v>
      </c>
      <c r="D47" s="12" t="s">
        <v>609</v>
      </c>
      <c r="E47" s="12" t="s">
        <v>37</v>
      </c>
      <c r="F47" s="14">
        <v>0</v>
      </c>
      <c r="G47" s="14">
        <v>0</v>
      </c>
      <c r="H47" s="12" t="s">
        <v>82</v>
      </c>
      <c r="I47" s="29">
        <v>64.819999999999993</v>
      </c>
      <c r="J47" s="29">
        <v>-147.87</v>
      </c>
      <c r="K47" s="12" t="s">
        <v>289</v>
      </c>
      <c r="L47" s="12" t="s">
        <v>290</v>
      </c>
      <c r="M47" s="13" t="s">
        <v>37</v>
      </c>
      <c r="N47" s="14">
        <v>-2.9</v>
      </c>
      <c r="O47" s="14">
        <v>269</v>
      </c>
      <c r="P47" s="14" t="s">
        <v>84</v>
      </c>
      <c r="Q47" s="11">
        <v>2</v>
      </c>
      <c r="R47" s="11" t="s">
        <v>37</v>
      </c>
      <c r="S47" s="12" t="s">
        <v>85</v>
      </c>
      <c r="T47" s="12" t="s">
        <v>138</v>
      </c>
      <c r="U47" s="12" t="s">
        <v>158</v>
      </c>
      <c r="V47" s="12" t="s">
        <v>275</v>
      </c>
      <c r="W47" s="23" t="s">
        <v>292</v>
      </c>
      <c r="X47" s="12" t="s">
        <v>281</v>
      </c>
      <c r="Y47" s="12" t="s">
        <v>37</v>
      </c>
      <c r="Z47" s="12" t="s">
        <v>37</v>
      </c>
      <c r="AA47" s="32">
        <v>2007</v>
      </c>
      <c r="AB47" s="12" t="s">
        <v>37</v>
      </c>
      <c r="AC47" s="12" t="s">
        <v>37</v>
      </c>
      <c r="AD47" s="12" t="s">
        <v>167</v>
      </c>
      <c r="AE47" s="12" t="s">
        <v>74</v>
      </c>
      <c r="AF47" s="12" t="s">
        <v>489</v>
      </c>
      <c r="AG47" s="12" t="s">
        <v>434</v>
      </c>
      <c r="AH47" s="32"/>
      <c r="AI47" s="12">
        <v>403.5</v>
      </c>
      <c r="AJ47" s="12">
        <f>4.1*SQRT(8)</f>
        <v>11.59655121145938</v>
      </c>
      <c r="AK47" s="11">
        <v>8</v>
      </c>
      <c r="AL47" s="19">
        <f>AJ47/AI47</f>
        <v>2.8739903869787805E-2</v>
      </c>
      <c r="AM47" s="12">
        <v>417.6</v>
      </c>
      <c r="AN47" s="12">
        <f>4.4*SQRT(8)</f>
        <v>12.445079348883239</v>
      </c>
      <c r="AO47" s="13">
        <v>8</v>
      </c>
      <c r="AP47" s="19">
        <f>AN47/AM47</f>
        <v>2.9801435222421548E-2</v>
      </c>
      <c r="AQ47" s="49">
        <f>LN(AM47/AI47)</f>
        <v>3.4347548858425517E-2</v>
      </c>
      <c r="AR47" s="19">
        <f>AN47^2/(AO47*AM47^2)+AJ47^2/(AK47*AI47^2)</f>
        <v>2.1426345197010399E-4</v>
      </c>
      <c r="AS47" s="32" t="s">
        <v>435</v>
      </c>
      <c r="AT47" s="12">
        <v>399.6</v>
      </c>
      <c r="AU47" s="12">
        <f>5.2*SQRT(8)</f>
        <v>14.70782104868019</v>
      </c>
      <c r="AV47" s="13">
        <v>8</v>
      </c>
      <c r="AW47" s="12">
        <v>394.6</v>
      </c>
      <c r="AX47" s="12">
        <f>7.5*SQRT(8)</f>
        <v>21.213203435596427</v>
      </c>
      <c r="AY47" s="13">
        <v>8</v>
      </c>
      <c r="AZ47" s="49">
        <f>LN(AW47/AT47)</f>
        <v>-1.2591453185883478E-2</v>
      </c>
      <c r="BA47" s="19">
        <f>AX47^2/(AY47*AW47^2)+AU47^2/(AV47*AT47^2)</f>
        <v>5.3058893122289819E-4</v>
      </c>
      <c r="BB47" s="12"/>
      <c r="BC47" s="12" t="s">
        <v>37</v>
      </c>
      <c r="BD47" s="12" t="s">
        <v>37</v>
      </c>
      <c r="BE47" s="13" t="s">
        <v>37</v>
      </c>
      <c r="BF47" s="12" t="s">
        <v>37</v>
      </c>
      <c r="BG47" s="12" t="s">
        <v>37</v>
      </c>
      <c r="BH47" s="12" t="s">
        <v>37</v>
      </c>
      <c r="BI47" s="12"/>
      <c r="BJ47" s="12" t="s">
        <v>37</v>
      </c>
      <c r="BK47" s="12" t="s">
        <v>37</v>
      </c>
      <c r="BL47" s="12" t="s">
        <v>37</v>
      </c>
      <c r="BM47" s="12" t="s">
        <v>37</v>
      </c>
      <c r="BN47" s="12" t="s">
        <v>37</v>
      </c>
      <c r="BO47" s="12" t="s">
        <v>37</v>
      </c>
      <c r="BP47" s="19"/>
      <c r="BQ47" s="19"/>
      <c r="BR47" s="19"/>
      <c r="BS47" s="19"/>
      <c r="BT47" s="12"/>
      <c r="BU47" s="12" t="s">
        <v>37</v>
      </c>
      <c r="BV47" s="12" t="s">
        <v>37</v>
      </c>
      <c r="BW47" s="12" t="s">
        <v>37</v>
      </c>
      <c r="BX47" s="12" t="s">
        <v>37</v>
      </c>
      <c r="BY47" s="12" t="s">
        <v>37</v>
      </c>
      <c r="BZ47" s="12" t="s">
        <v>37</v>
      </c>
      <c r="CA47" s="19"/>
      <c r="CB47" s="19"/>
      <c r="CC47" s="19"/>
      <c r="CD47" s="19"/>
      <c r="CE47" s="12"/>
      <c r="CF47" s="12" t="s">
        <v>37</v>
      </c>
      <c r="CG47" s="12" t="s">
        <v>37</v>
      </c>
      <c r="CH47" s="12" t="s">
        <v>37</v>
      </c>
      <c r="CI47" s="12" t="s">
        <v>37</v>
      </c>
      <c r="CJ47" s="12" t="s">
        <v>37</v>
      </c>
      <c r="CK47" s="12" t="s">
        <v>37</v>
      </c>
      <c r="CL47" s="19"/>
      <c r="CM47" s="19"/>
      <c r="CN47" s="19"/>
      <c r="CO47" s="19"/>
      <c r="CP47" s="11"/>
      <c r="CQ47" s="12" t="s">
        <v>37</v>
      </c>
      <c r="CR47" s="19" t="s">
        <v>37</v>
      </c>
      <c r="CS47" s="12" t="s">
        <v>37</v>
      </c>
      <c r="CT47" s="19"/>
      <c r="CU47" s="12" t="s">
        <v>37</v>
      </c>
      <c r="CV47" s="19" t="s">
        <v>37</v>
      </c>
      <c r="CW47" s="12" t="s">
        <v>37</v>
      </c>
      <c r="CX47" s="19"/>
      <c r="CY47" s="68"/>
      <c r="CZ47" s="68"/>
      <c r="DA47" s="68"/>
      <c r="DB47" s="68"/>
      <c r="DC47" s="11"/>
      <c r="DD47" s="12" t="s">
        <v>37</v>
      </c>
      <c r="DE47" s="68" t="s">
        <v>37</v>
      </c>
      <c r="DF47" s="12" t="s">
        <v>37</v>
      </c>
      <c r="DG47" s="19"/>
      <c r="DH47" s="12" t="s">
        <v>37</v>
      </c>
      <c r="DI47" s="68" t="s">
        <v>37</v>
      </c>
      <c r="DJ47" s="12" t="s">
        <v>37</v>
      </c>
      <c r="DK47" s="19"/>
      <c r="DL47" s="68"/>
      <c r="DM47" s="68"/>
      <c r="DN47" s="68"/>
      <c r="DO47" s="68"/>
      <c r="DP47" s="12" t="s">
        <v>39</v>
      </c>
      <c r="DQ47" s="12">
        <v>-7.2</v>
      </c>
      <c r="DR47" s="12">
        <v>3.2</v>
      </c>
      <c r="DS47" s="13">
        <v>3</v>
      </c>
      <c r="DT47" s="19"/>
      <c r="DU47" s="12">
        <v>-10</v>
      </c>
      <c r="DV47" s="12">
        <v>3.8</v>
      </c>
      <c r="DW47" s="13">
        <v>3</v>
      </c>
      <c r="DX47" s="19"/>
      <c r="DY47" s="19">
        <f t="shared" si="247"/>
        <v>-2.8</v>
      </c>
      <c r="DZ47" s="12">
        <f t="shared" si="248"/>
        <v>3.5128336140500593</v>
      </c>
      <c r="EA47" s="72">
        <f t="shared" si="164"/>
        <v>8.2266666666666666</v>
      </c>
      <c r="EB47" s="72">
        <f t="shared" si="165"/>
        <v>8.2266666666666666</v>
      </c>
      <c r="EC47" s="12"/>
      <c r="ED47" s="12"/>
      <c r="EE47" s="12" t="s">
        <v>37</v>
      </c>
      <c r="EF47" s="12" t="s">
        <v>37</v>
      </c>
      <c r="EG47" s="12" t="s">
        <v>37</v>
      </c>
      <c r="EH47" s="19"/>
      <c r="EI47" s="12" t="s">
        <v>37</v>
      </c>
      <c r="EJ47" s="20" t="s">
        <v>37</v>
      </c>
      <c r="EK47" s="12" t="s">
        <v>37</v>
      </c>
      <c r="EL47" s="19"/>
      <c r="EM47" s="19"/>
      <c r="EN47" s="19"/>
      <c r="EO47" s="19"/>
      <c r="EP47" s="19"/>
      <c r="EQ47" s="32"/>
      <c r="ER47" s="12" t="s">
        <v>37</v>
      </c>
      <c r="ES47" s="12" t="s">
        <v>37</v>
      </c>
      <c r="ET47" s="12" t="s">
        <v>37</v>
      </c>
      <c r="EU47" s="19"/>
      <c r="EV47" s="12" t="s">
        <v>37</v>
      </c>
      <c r="EW47" s="12" t="s">
        <v>37</v>
      </c>
      <c r="EX47" s="12" t="s">
        <v>37</v>
      </c>
      <c r="EY47" s="19"/>
      <c r="EZ47" s="19"/>
      <c r="FA47" s="19"/>
      <c r="FB47" s="19"/>
      <c r="FC47" s="32"/>
      <c r="FD47" s="12" t="s">
        <v>37</v>
      </c>
      <c r="FE47" s="12" t="s">
        <v>37</v>
      </c>
      <c r="FF47" s="12" t="s">
        <v>37</v>
      </c>
      <c r="FG47" s="12" t="s">
        <v>37</v>
      </c>
      <c r="FH47" s="12" t="s">
        <v>37</v>
      </c>
      <c r="FI47" s="12" t="s">
        <v>37</v>
      </c>
      <c r="FJ47" s="19"/>
      <c r="FK47" s="19"/>
      <c r="FL47" s="19"/>
      <c r="FM47" s="32"/>
      <c r="FN47" s="12" t="s">
        <v>37</v>
      </c>
      <c r="FO47" s="12" t="s">
        <v>37</v>
      </c>
      <c r="FP47" s="12" t="s">
        <v>37</v>
      </c>
      <c r="FQ47" s="12" t="s">
        <v>37</v>
      </c>
      <c r="FR47" s="12" t="s">
        <v>37</v>
      </c>
      <c r="FS47" s="12" t="s">
        <v>37</v>
      </c>
      <c r="FT47" s="19"/>
      <c r="FU47" s="19"/>
      <c r="FV47" s="19"/>
      <c r="FW47" s="12"/>
      <c r="FX47" s="12"/>
      <c r="FY47" s="12" t="s">
        <v>37</v>
      </c>
      <c r="FZ47" s="12" t="s">
        <v>37</v>
      </c>
      <c r="GA47" s="13" t="s">
        <v>37</v>
      </c>
      <c r="GB47" s="12" t="s">
        <v>37</v>
      </c>
      <c r="GC47" s="12" t="s">
        <v>37</v>
      </c>
      <c r="GD47" s="13" t="s">
        <v>37</v>
      </c>
      <c r="GE47" s="19"/>
      <c r="GF47" s="19"/>
      <c r="GG47" s="12"/>
      <c r="GH47" s="12"/>
      <c r="GI47" s="12" t="s">
        <v>37</v>
      </c>
      <c r="GJ47" s="12" t="s">
        <v>37</v>
      </c>
      <c r="GK47" s="12" t="s">
        <v>37</v>
      </c>
      <c r="GL47" s="19"/>
      <c r="GM47" s="12" t="s">
        <v>37</v>
      </c>
      <c r="GN47" s="12" t="s">
        <v>37</v>
      </c>
      <c r="GO47" s="12" t="s">
        <v>37</v>
      </c>
      <c r="GP47" s="19"/>
      <c r="GQ47" s="19"/>
      <c r="GR47" s="19"/>
      <c r="GS47" s="17" t="s">
        <v>63</v>
      </c>
      <c r="GT47" s="34" t="s">
        <v>421</v>
      </c>
      <c r="GU47" s="12">
        <v>8.7999999999999995E-2</v>
      </c>
      <c r="GV47" s="12">
        <f>0.005*SQRT(8)</f>
        <v>1.4142135623730952E-2</v>
      </c>
      <c r="GW47" s="13">
        <v>8</v>
      </c>
      <c r="GX47" s="19">
        <f>GV47/GU47</f>
        <v>0.16070608663330629</v>
      </c>
      <c r="GY47" s="12">
        <v>9.7000000000000003E-2</v>
      </c>
      <c r="GZ47" s="12">
        <f>0.012*SQRT(8)</f>
        <v>3.3941125496954286E-2</v>
      </c>
      <c r="HA47" s="13">
        <v>8</v>
      </c>
      <c r="HB47" s="19">
        <f>GZ47/GY47</f>
        <v>0.34990851027787923</v>
      </c>
      <c r="HC47" s="19">
        <f>LN(GY47/GU47)</f>
        <v>9.7374164025176374E-2</v>
      </c>
      <c r="HD47" s="19">
        <f>GZ47^2/(HA47*GY47^2)+GV47^2/(GW47*GU47^2)</f>
        <v>1.8532801480734558E-2</v>
      </c>
      <c r="HE47" s="34" t="s">
        <v>435</v>
      </c>
      <c r="HF47" s="12">
        <v>0.13800000000000001</v>
      </c>
      <c r="HG47" s="12">
        <f>0.014*SQRT(8)</f>
        <v>3.9597979746446667E-2</v>
      </c>
      <c r="HH47" s="13">
        <v>8</v>
      </c>
      <c r="HI47" s="12">
        <v>0.126</v>
      </c>
      <c r="HJ47" s="12">
        <f>0.012*SQRT(8)</f>
        <v>3.3941125496954286E-2</v>
      </c>
      <c r="HK47" s="13">
        <v>8</v>
      </c>
      <c r="HL47" s="19">
        <f>LN(HI47/HF47)</f>
        <v>-9.0971778205726758E-2</v>
      </c>
      <c r="HM47" s="19">
        <f>HJ47^2/(HK47*HI47^2)+HG47^2/(HH47*HF47^2)</f>
        <v>1.9362250256120095E-2</v>
      </c>
      <c r="HN47" s="34"/>
      <c r="HO47" s="12" t="s">
        <v>37</v>
      </c>
      <c r="HP47" s="12" t="s">
        <v>37</v>
      </c>
      <c r="HQ47" s="13" t="s">
        <v>37</v>
      </c>
      <c r="HR47" s="12" t="s">
        <v>37</v>
      </c>
      <c r="HS47" s="12" t="s">
        <v>37</v>
      </c>
      <c r="HT47" s="13" t="s">
        <v>37</v>
      </c>
      <c r="HU47" s="13"/>
      <c r="HV47" s="13"/>
      <c r="HW47" s="12"/>
      <c r="HX47" s="12"/>
      <c r="HY47" s="12" t="s">
        <v>37</v>
      </c>
      <c r="HZ47" s="12" t="s">
        <v>37</v>
      </c>
      <c r="IA47" s="12" t="s">
        <v>37</v>
      </c>
      <c r="IB47" s="12" t="s">
        <v>37</v>
      </c>
      <c r="IC47" s="12" t="s">
        <v>37</v>
      </c>
      <c r="ID47" s="12" t="s">
        <v>37</v>
      </c>
      <c r="IE47" s="12"/>
      <c r="IF47" s="32"/>
      <c r="IG47" s="12" t="s">
        <v>37</v>
      </c>
      <c r="IH47" s="12" t="s">
        <v>37</v>
      </c>
      <c r="II47" s="13" t="s">
        <v>37</v>
      </c>
      <c r="IJ47" s="19"/>
      <c r="IK47" s="12" t="s">
        <v>37</v>
      </c>
      <c r="IL47" s="12" t="s">
        <v>37</v>
      </c>
      <c r="IM47" s="13" t="s">
        <v>37</v>
      </c>
      <c r="IN47" s="19"/>
      <c r="IO47" s="19"/>
      <c r="IP47" s="19"/>
      <c r="IQ47" s="32"/>
      <c r="IR47" s="12" t="s">
        <v>37</v>
      </c>
      <c r="IS47" s="12" t="s">
        <v>37</v>
      </c>
      <c r="IT47" s="13" t="s">
        <v>37</v>
      </c>
      <c r="IU47" s="12" t="s">
        <v>37</v>
      </c>
      <c r="IV47" s="12" t="s">
        <v>37</v>
      </c>
      <c r="IW47" s="12" t="s">
        <v>37</v>
      </c>
      <c r="IX47" s="32"/>
      <c r="IY47" s="12" t="s">
        <v>37</v>
      </c>
      <c r="IZ47" s="12" t="s">
        <v>37</v>
      </c>
      <c r="JA47" s="13" t="s">
        <v>37</v>
      </c>
      <c r="JB47" s="12" t="s">
        <v>37</v>
      </c>
      <c r="JC47" s="12" t="s">
        <v>37</v>
      </c>
      <c r="JD47" s="12" t="s">
        <v>37</v>
      </c>
      <c r="JE47" s="12"/>
      <c r="JF47" s="12"/>
      <c r="JG47" s="12" t="s">
        <v>37</v>
      </c>
      <c r="JH47" s="12" t="s">
        <v>37</v>
      </c>
      <c r="JI47" s="13" t="s">
        <v>37</v>
      </c>
      <c r="JJ47" s="12" t="s">
        <v>37</v>
      </c>
      <c r="JK47" s="12" t="s">
        <v>37</v>
      </c>
      <c r="JL47" s="12" t="s">
        <v>37</v>
      </c>
      <c r="JM47" s="12" t="s">
        <v>42</v>
      </c>
      <c r="JN47" s="32" t="s">
        <v>421</v>
      </c>
      <c r="JO47" s="12">
        <v>24.9</v>
      </c>
      <c r="JP47" s="12">
        <f>0.7*SQRT(8)</f>
        <v>1.9798989873223332</v>
      </c>
      <c r="JQ47" s="11">
        <v>8</v>
      </c>
      <c r="JR47" s="19">
        <f>JP47/JO47</f>
        <v>7.9514015555113782E-2</v>
      </c>
      <c r="JS47" s="12">
        <v>24.1</v>
      </c>
      <c r="JT47" s="12">
        <f>1.6*SQRT(8)</f>
        <v>4.525483399593905</v>
      </c>
      <c r="JU47" s="13">
        <v>8</v>
      </c>
      <c r="JV47" s="19">
        <f>JT47/JS47</f>
        <v>0.18777939417402095</v>
      </c>
      <c r="JW47" s="19">
        <f>LN(JS47/JO47)</f>
        <v>-3.265596297405246E-2</v>
      </c>
      <c r="JX47" s="19">
        <f t="shared" si="260"/>
        <v>5.1979474432576516E-3</v>
      </c>
      <c r="JY47" s="32" t="s">
        <v>435</v>
      </c>
      <c r="JZ47" s="12">
        <v>29.6</v>
      </c>
      <c r="KA47" s="12">
        <f>0.4*SQRT(8)</f>
        <v>1.1313708498984762</v>
      </c>
      <c r="KB47" s="13">
        <v>8</v>
      </c>
      <c r="KC47" s="12">
        <v>25.5</v>
      </c>
      <c r="KD47" s="12">
        <f>2.4*SQRT(8)</f>
        <v>6.7882250993908562</v>
      </c>
      <c r="KE47" s="13">
        <v>8</v>
      </c>
      <c r="KF47" s="19">
        <f>LN(KC47/JZ47)</f>
        <v>-0.14909590916563431</v>
      </c>
      <c r="KG47" s="19">
        <f>KD47^2/(KE47*KC47^2)+KA47^2/(KB47*JZ47^2)</f>
        <v>9.0407465353691853E-3</v>
      </c>
      <c r="KH47" s="32"/>
      <c r="KI47" s="12" t="s">
        <v>37</v>
      </c>
      <c r="KJ47" s="12" t="s">
        <v>37</v>
      </c>
      <c r="KK47" s="12" t="s">
        <v>37</v>
      </c>
      <c r="KL47" s="12" t="s">
        <v>37</v>
      </c>
      <c r="KM47" s="12" t="s">
        <v>37</v>
      </c>
      <c r="KN47" s="12" t="s">
        <v>37</v>
      </c>
      <c r="KO47" s="12"/>
      <c r="KP47" s="12"/>
      <c r="KQ47" s="12"/>
      <c r="KR47" s="12" t="str">
        <f t="shared" si="261"/>
        <v>5-10</v>
      </c>
      <c r="KS47" s="12">
        <f>AI47/JO47</f>
        <v>16.204819277108435</v>
      </c>
      <c r="KT47" s="12">
        <f>SQRT((1/JO47)^2*AJ47^2+AI47^2*(-1/JO47^2)^2*JP47^2)</f>
        <v>1.3700943022681311</v>
      </c>
      <c r="KU47" s="13">
        <f t="shared" si="262"/>
        <v>8</v>
      </c>
      <c r="KV47" s="19">
        <f>KT47/KS47</f>
        <v>8.4548570325840053E-2</v>
      </c>
      <c r="KW47" s="12">
        <f>AM47/JS47</f>
        <v>17.327800829875518</v>
      </c>
      <c r="KX47" s="12">
        <f>SQRT((1/JS47)^2*AN47^2+AM47^2*(-1/JS47^2)^2*JT47^2)</f>
        <v>3.2945260918176928</v>
      </c>
      <c r="KY47" s="13">
        <f t="shared" si="263"/>
        <v>8</v>
      </c>
      <c r="KZ47" s="19">
        <f>KX47/KW47</f>
        <v>0.19012949907281226</v>
      </c>
      <c r="LA47" s="19">
        <f>LN(KW47/KS47)</f>
        <v>6.7003511832478033E-2</v>
      </c>
      <c r="LB47" s="19">
        <f>KX47^2/(KY47*KW47^2)+KT47^2/(KU47*KS47^2)</f>
        <v>5.4122108952277554E-3</v>
      </c>
      <c r="LC47" s="12" t="str">
        <f t="shared" ref="LC47" si="267">JY47</f>
        <v>20-25</v>
      </c>
      <c r="LD47" s="12">
        <f>AT47/JZ47</f>
        <v>13.5</v>
      </c>
      <c r="LE47" s="12">
        <f>SQRT((1/JZ47)^2*AU47^2+AT47^2*(-1/JZ47^2)^2*KA47^2)</f>
        <v>0.71634369084857141</v>
      </c>
      <c r="LF47" s="13">
        <f t="shared" ref="LF47" si="268">KB47</f>
        <v>8</v>
      </c>
      <c r="LG47" s="19">
        <f>AW47/KC47</f>
        <v>15.474509803921569</v>
      </c>
      <c r="LH47" s="19">
        <f>SQRT((1/KC47)^2*AX47^2+AW47^2*(-1/KC47^2)^2*KD47^2)</f>
        <v>4.2025491074676502</v>
      </c>
      <c r="LI47" s="13">
        <f t="shared" ref="LI47" si="269">KE47</f>
        <v>8</v>
      </c>
      <c r="LJ47" s="19">
        <f>LN(LG47/LD47)</f>
        <v>0.13650445597975067</v>
      </c>
      <c r="LK47" s="19">
        <f>LH47^2/(LI47*LG47^2)+LE47^2/(LF47*LD47^2)</f>
        <v>9.5713354665920829E-3</v>
      </c>
      <c r="LL47" s="12"/>
      <c r="LM47" s="12" t="s">
        <v>37</v>
      </c>
      <c r="LN47" s="12" t="s">
        <v>37</v>
      </c>
      <c r="LO47" s="12" t="s">
        <v>37</v>
      </c>
      <c r="LP47" s="12" t="s">
        <v>37</v>
      </c>
      <c r="LQ47" s="12" t="s">
        <v>37</v>
      </c>
      <c r="LR47" s="12" t="s">
        <v>37</v>
      </c>
      <c r="LS47" s="12"/>
      <c r="LT47" s="12"/>
      <c r="LU47" s="12" t="s">
        <v>37</v>
      </c>
      <c r="LV47" s="12" t="s">
        <v>37</v>
      </c>
      <c r="LW47" s="13" t="s">
        <v>37</v>
      </c>
      <c r="LX47" s="12" t="s">
        <v>37</v>
      </c>
      <c r="LY47" s="12" t="s">
        <v>37</v>
      </c>
      <c r="LZ47" s="13" t="s">
        <v>37</v>
      </c>
      <c r="MA47" s="13"/>
      <c r="MB47" s="13"/>
      <c r="MC47" s="12"/>
      <c r="MD47" s="12"/>
      <c r="ME47" s="12" t="s">
        <v>37</v>
      </c>
      <c r="MF47" s="12" t="s">
        <v>37</v>
      </c>
      <c r="MG47" s="13" t="s">
        <v>37</v>
      </c>
      <c r="MH47" s="12" t="s">
        <v>37</v>
      </c>
      <c r="MI47" s="12" t="s">
        <v>37</v>
      </c>
      <c r="MJ47" s="13" t="s">
        <v>37</v>
      </c>
      <c r="MK47" s="13"/>
      <c r="ML47" s="13"/>
      <c r="MM47" s="12"/>
      <c r="MN47" s="12"/>
      <c r="MO47" s="12" t="s">
        <v>37</v>
      </c>
      <c r="MP47" s="12" t="s">
        <v>37</v>
      </c>
      <c r="MQ47" s="12" t="s">
        <v>37</v>
      </c>
      <c r="MR47" s="12" t="s">
        <v>37</v>
      </c>
      <c r="MS47" s="12" t="s">
        <v>37</v>
      </c>
      <c r="MT47" s="12" t="s">
        <v>37</v>
      </c>
      <c r="MU47" s="12"/>
      <c r="MV47" s="12"/>
      <c r="MW47" s="12"/>
      <c r="MX47" s="12"/>
      <c r="MY47" s="12" t="s">
        <v>37</v>
      </c>
      <c r="MZ47" s="12" t="s">
        <v>37</v>
      </c>
      <c r="NA47" s="12" t="s">
        <v>37</v>
      </c>
      <c r="NB47" s="12" t="s">
        <v>37</v>
      </c>
      <c r="NC47" s="12" t="s">
        <v>37</v>
      </c>
      <c r="ND47" s="12" t="s">
        <v>37</v>
      </c>
      <c r="NE47" s="12"/>
      <c r="NF47" s="12"/>
      <c r="NG47" s="12"/>
      <c r="NH47" s="12"/>
      <c r="NI47" s="12" t="s">
        <v>37</v>
      </c>
      <c r="NJ47" s="12" t="s">
        <v>37</v>
      </c>
      <c r="NK47" s="13" t="s">
        <v>37</v>
      </c>
      <c r="NL47" s="12" t="s">
        <v>37</v>
      </c>
      <c r="NM47" s="12" t="s">
        <v>37</v>
      </c>
      <c r="NN47" s="13" t="s">
        <v>37</v>
      </c>
      <c r="NO47" s="13"/>
      <c r="NP47" s="13"/>
      <c r="NQ47" s="12"/>
      <c r="NR47" s="12"/>
      <c r="NS47" s="12" t="s">
        <v>37</v>
      </c>
      <c r="NT47" s="12" t="s">
        <v>37</v>
      </c>
      <c r="NU47" s="12" t="s">
        <v>37</v>
      </c>
      <c r="NV47" s="12" t="s">
        <v>37</v>
      </c>
      <c r="NW47" s="12" t="s">
        <v>37</v>
      </c>
      <c r="NX47" s="12" t="s">
        <v>37</v>
      </c>
      <c r="NY47" s="12"/>
      <c r="NZ47" s="12"/>
      <c r="OA47" s="12"/>
      <c r="OB47" s="12"/>
      <c r="OC47" s="12" t="s">
        <v>37</v>
      </c>
      <c r="OD47" s="12" t="s">
        <v>37</v>
      </c>
      <c r="OE47" s="12" t="s">
        <v>37</v>
      </c>
      <c r="OF47" s="12" t="s">
        <v>37</v>
      </c>
      <c r="OG47" s="12" t="s">
        <v>37</v>
      </c>
      <c r="OH47" s="12" t="s">
        <v>37</v>
      </c>
      <c r="OI47" s="12"/>
      <c r="OJ47" s="12"/>
      <c r="OK47" s="12"/>
      <c r="OL47" s="12" t="s">
        <v>37</v>
      </c>
      <c r="OM47" s="12" t="s">
        <v>37</v>
      </c>
      <c r="ON47" s="12" t="s">
        <v>37</v>
      </c>
      <c r="OO47" s="12" t="s">
        <v>37</v>
      </c>
      <c r="OP47" s="12" t="s">
        <v>37</v>
      </c>
      <c r="OQ47" s="12" t="s">
        <v>37</v>
      </c>
      <c r="OR47" s="12"/>
      <c r="OS47" s="12" t="s">
        <v>37</v>
      </c>
      <c r="OT47" s="12" t="s">
        <v>37</v>
      </c>
      <c r="OU47" s="12" t="s">
        <v>37</v>
      </c>
      <c r="OV47" s="12" t="s">
        <v>37</v>
      </c>
      <c r="OW47" s="12" t="s">
        <v>37</v>
      </c>
      <c r="OX47" s="12" t="s">
        <v>37</v>
      </c>
      <c r="OY47" s="12"/>
      <c r="OZ47" s="12"/>
      <c r="PA47" s="12" t="s">
        <v>37</v>
      </c>
      <c r="PB47" s="12" t="s">
        <v>37</v>
      </c>
      <c r="PC47" s="12" t="s">
        <v>37</v>
      </c>
      <c r="PD47" s="12" t="s">
        <v>37</v>
      </c>
      <c r="PE47" s="12" t="s">
        <v>37</v>
      </c>
      <c r="PF47" s="12" t="s">
        <v>37</v>
      </c>
      <c r="PG47" s="12"/>
      <c r="PH47" s="12"/>
      <c r="PI47" s="12" t="s">
        <v>37</v>
      </c>
      <c r="PJ47" s="12" t="s">
        <v>37</v>
      </c>
      <c r="PK47" s="12" t="s">
        <v>37</v>
      </c>
      <c r="PL47" s="12" t="s">
        <v>37</v>
      </c>
      <c r="PM47" s="12" t="s">
        <v>37</v>
      </c>
      <c r="PN47" s="12" t="s">
        <v>37</v>
      </c>
      <c r="PO47" s="12"/>
      <c r="PP47" s="12"/>
      <c r="PQ47" s="12" t="s">
        <v>37</v>
      </c>
      <c r="PR47" s="12" t="s">
        <v>37</v>
      </c>
      <c r="PS47" s="12" t="s">
        <v>37</v>
      </c>
      <c r="PT47" s="12" t="s">
        <v>37</v>
      </c>
      <c r="PU47" s="12" t="s">
        <v>37</v>
      </c>
      <c r="PV47" s="12" t="s">
        <v>37</v>
      </c>
      <c r="PW47" s="12"/>
      <c r="PX47" s="12"/>
      <c r="PY47" s="12" t="s">
        <v>37</v>
      </c>
      <c r="PZ47" s="12" t="s">
        <v>37</v>
      </c>
      <c r="QA47" s="12" t="s">
        <v>37</v>
      </c>
      <c r="QB47" s="12" t="s">
        <v>37</v>
      </c>
      <c r="QC47" s="12" t="s">
        <v>37</v>
      </c>
      <c r="QD47" s="12" t="s">
        <v>37</v>
      </c>
      <c r="QE47" s="12"/>
      <c r="QF47" s="12"/>
      <c r="QG47" s="12" t="s">
        <v>37</v>
      </c>
      <c r="QH47" s="12" t="s">
        <v>37</v>
      </c>
      <c r="QI47" s="12" t="s">
        <v>37</v>
      </c>
      <c r="QJ47" s="12" t="s">
        <v>37</v>
      </c>
      <c r="QK47" s="12" t="s">
        <v>37</v>
      </c>
      <c r="QL47" s="12" t="s">
        <v>37</v>
      </c>
      <c r="QM47" s="12"/>
      <c r="QN47" s="12"/>
      <c r="QO47" s="12" t="s">
        <v>37</v>
      </c>
      <c r="QP47" s="12" t="s">
        <v>37</v>
      </c>
      <c r="QQ47" s="12" t="s">
        <v>37</v>
      </c>
      <c r="QR47" s="12" t="s">
        <v>37</v>
      </c>
      <c r="QS47" s="12" t="s">
        <v>37</v>
      </c>
      <c r="QT47" s="12" t="s">
        <v>37</v>
      </c>
      <c r="QU47" s="12"/>
      <c r="QV47" s="12"/>
      <c r="QW47" s="12"/>
      <c r="QX47" s="12"/>
      <c r="QY47" s="12" t="s">
        <v>37</v>
      </c>
      <c r="QZ47" s="12" t="s">
        <v>37</v>
      </c>
      <c r="RA47" s="12" t="s">
        <v>37</v>
      </c>
      <c r="RB47" s="12" t="s">
        <v>37</v>
      </c>
      <c r="RC47" s="12" t="s">
        <v>37</v>
      </c>
      <c r="RD47" s="12" t="s">
        <v>37</v>
      </c>
      <c r="RE47" s="12"/>
      <c r="RF47" s="12"/>
      <c r="RG47" s="12"/>
      <c r="RH47" s="12"/>
      <c r="RI47" s="12" t="s">
        <v>37</v>
      </c>
      <c r="RJ47" s="12" t="s">
        <v>37</v>
      </c>
      <c r="RK47" s="12" t="s">
        <v>37</v>
      </c>
      <c r="RL47" s="12" t="s">
        <v>37</v>
      </c>
      <c r="RM47" s="12" t="s">
        <v>37</v>
      </c>
      <c r="RN47" s="12" t="s">
        <v>37</v>
      </c>
      <c r="RO47" s="12"/>
      <c r="RP47" s="12"/>
      <c r="RQ47" s="12" t="s">
        <v>127</v>
      </c>
      <c r="RR47" s="12" t="s">
        <v>345</v>
      </c>
      <c r="RS47" s="12">
        <v>253286.21908127199</v>
      </c>
      <c r="RT47" s="12">
        <v>407773.23918602185</v>
      </c>
      <c r="RU47" s="11">
        <v>8</v>
      </c>
      <c r="RV47" s="12">
        <v>355053.00353356899</v>
      </c>
      <c r="RW47" s="12">
        <v>239866.6112858977</v>
      </c>
      <c r="RX47" s="11">
        <v>8</v>
      </c>
      <c r="RY47" s="19">
        <f>LN(RV47/RS47)</f>
        <v>0.3377469340532141</v>
      </c>
      <c r="RZ47" s="19">
        <f>RW47^2/(RX47*RV47^2)+RT47^2/(RU47*RS47^2)</f>
        <v>0.38103557028207824</v>
      </c>
      <c r="SA47" s="12"/>
      <c r="SB47" s="12"/>
      <c r="SC47" s="12" t="s">
        <v>37</v>
      </c>
      <c r="SD47" s="12" t="s">
        <v>37</v>
      </c>
      <c r="SE47" s="12" t="s">
        <v>37</v>
      </c>
      <c r="SF47" s="12" t="s">
        <v>37</v>
      </c>
      <c r="SG47" s="12" t="s">
        <v>37</v>
      </c>
      <c r="SH47" s="12" t="s">
        <v>37</v>
      </c>
      <c r="SI47" s="12"/>
      <c r="SJ47" s="12"/>
      <c r="SK47" s="12" t="s">
        <v>127</v>
      </c>
      <c r="SL47" s="12" t="s">
        <v>345</v>
      </c>
      <c r="SM47" s="12">
        <v>226431095.40636</v>
      </c>
      <c r="SN47" s="12">
        <v>55968875.966713682</v>
      </c>
      <c r="SO47" s="13">
        <v>8</v>
      </c>
      <c r="SP47" s="12">
        <v>319717314.48763299</v>
      </c>
      <c r="SQ47" s="12">
        <v>1335257469.4914873</v>
      </c>
      <c r="SR47" s="13">
        <v>8</v>
      </c>
      <c r="SS47" s="19">
        <f>LN(SP47/SM47)</f>
        <v>0.34499652904776462</v>
      </c>
      <c r="ST47" s="19">
        <f>SQ47^2/(SR47*SP47^2)+SN47^2/(SO47*SM47^2)</f>
        <v>2.1878943606756476</v>
      </c>
      <c r="SU47" s="12"/>
      <c r="SV47" s="12"/>
      <c r="SW47" s="12" t="s">
        <v>37</v>
      </c>
      <c r="SX47" s="12" t="s">
        <v>37</v>
      </c>
      <c r="SY47" s="12" t="s">
        <v>37</v>
      </c>
      <c r="SZ47" s="12" t="s">
        <v>37</v>
      </c>
      <c r="TA47" s="12" t="s">
        <v>37</v>
      </c>
      <c r="TB47" s="12" t="s">
        <v>37</v>
      </c>
      <c r="TC47" s="12"/>
      <c r="TD47" s="12"/>
      <c r="TE47" s="12"/>
      <c r="TF47" s="12"/>
      <c r="TG47" s="12" t="s">
        <v>37</v>
      </c>
      <c r="TH47" s="12" t="s">
        <v>37</v>
      </c>
      <c r="TI47" s="12" t="s">
        <v>37</v>
      </c>
      <c r="TJ47" s="12" t="s">
        <v>37</v>
      </c>
      <c r="TK47" s="12" t="s">
        <v>37</v>
      </c>
      <c r="TL47" s="12" t="s">
        <v>37</v>
      </c>
      <c r="TM47" s="12"/>
      <c r="TN47" s="12"/>
      <c r="TO47" s="12"/>
      <c r="TP47" s="12"/>
      <c r="TQ47" s="13" t="s">
        <v>37</v>
      </c>
      <c r="TR47" s="13" t="s">
        <v>37</v>
      </c>
      <c r="TS47" s="13" t="s">
        <v>37</v>
      </c>
      <c r="TT47" s="19"/>
      <c r="TU47" s="13" t="s">
        <v>37</v>
      </c>
      <c r="TV47" s="13" t="s">
        <v>37</v>
      </c>
      <c r="TW47" s="13" t="s">
        <v>37</v>
      </c>
    </row>
    <row r="48" spans="1:546" ht="15.6" x14ac:dyDescent="0.3">
      <c r="A48" s="11">
        <v>21</v>
      </c>
      <c r="B48" s="16" t="s">
        <v>462</v>
      </c>
      <c r="C48" s="12" t="s">
        <v>26</v>
      </c>
      <c r="D48" s="12" t="s">
        <v>54</v>
      </c>
      <c r="E48" s="14">
        <v>1.4</v>
      </c>
      <c r="F48" s="14">
        <v>0</v>
      </c>
      <c r="G48" s="14">
        <v>0</v>
      </c>
      <c r="H48" s="12" t="s">
        <v>91</v>
      </c>
      <c r="I48" s="29">
        <v>45.067</v>
      </c>
      <c r="J48" s="29">
        <v>-78.75</v>
      </c>
      <c r="K48" s="12" t="s">
        <v>823</v>
      </c>
      <c r="L48" s="12" t="s">
        <v>824</v>
      </c>
      <c r="M48" s="13" t="s">
        <v>37</v>
      </c>
      <c r="N48" s="14">
        <v>4.4000000000000004</v>
      </c>
      <c r="O48" s="14">
        <v>1102</v>
      </c>
      <c r="P48" s="14" t="s">
        <v>16</v>
      </c>
      <c r="Q48" s="11" t="s">
        <v>226</v>
      </c>
      <c r="R48" s="11" t="s">
        <v>37</v>
      </c>
      <c r="S48" s="12" t="s">
        <v>93</v>
      </c>
      <c r="T48" s="12" t="s">
        <v>141</v>
      </c>
      <c r="U48" s="12" t="s">
        <v>158</v>
      </c>
      <c r="V48" s="12" t="s">
        <v>275</v>
      </c>
      <c r="W48" s="23" t="s">
        <v>464</v>
      </c>
      <c r="X48" s="12" t="s">
        <v>281</v>
      </c>
      <c r="Y48" s="12" t="s">
        <v>37</v>
      </c>
      <c r="Z48" s="12" t="s">
        <v>37</v>
      </c>
      <c r="AA48" s="32" t="s">
        <v>467</v>
      </c>
      <c r="AB48" s="12" t="s">
        <v>37</v>
      </c>
      <c r="AC48" s="12" t="s">
        <v>37</v>
      </c>
      <c r="AD48" s="12" t="s">
        <v>370</v>
      </c>
      <c r="AE48" s="12" t="s">
        <v>74</v>
      </c>
      <c r="AF48" s="12" t="s">
        <v>489</v>
      </c>
      <c r="AG48" s="12"/>
      <c r="AH48" s="32"/>
      <c r="AI48" s="12"/>
      <c r="AJ48" s="12" t="s">
        <v>37</v>
      </c>
      <c r="AK48" s="11" t="s">
        <v>37</v>
      </c>
      <c r="AL48" s="19"/>
      <c r="AM48" s="12" t="s">
        <v>37</v>
      </c>
      <c r="AN48" s="12" t="s">
        <v>37</v>
      </c>
      <c r="AO48" s="12" t="s">
        <v>37</v>
      </c>
      <c r="AP48" s="19"/>
      <c r="AQ48" s="49"/>
      <c r="AR48" s="49"/>
      <c r="AS48" s="32"/>
      <c r="AT48" s="12" t="s">
        <v>37</v>
      </c>
      <c r="AU48" s="12" t="s">
        <v>37</v>
      </c>
      <c r="AV48" s="13" t="s">
        <v>37</v>
      </c>
      <c r="AW48" s="12" t="s">
        <v>37</v>
      </c>
      <c r="AX48" s="12" t="s">
        <v>37</v>
      </c>
      <c r="AY48" s="13" t="s">
        <v>37</v>
      </c>
      <c r="AZ48" s="13"/>
      <c r="BA48" s="13"/>
      <c r="BB48" s="12"/>
      <c r="BC48" s="12" t="s">
        <v>37</v>
      </c>
      <c r="BD48" s="12" t="s">
        <v>37</v>
      </c>
      <c r="BE48" s="13" t="s">
        <v>37</v>
      </c>
      <c r="BF48" s="12" t="s">
        <v>37</v>
      </c>
      <c r="BG48" s="12" t="s">
        <v>37</v>
      </c>
      <c r="BH48" s="12" t="s">
        <v>37</v>
      </c>
      <c r="BI48" s="12"/>
      <c r="BJ48" s="12" t="s">
        <v>37</v>
      </c>
      <c r="BK48" s="12" t="s">
        <v>37</v>
      </c>
      <c r="BL48" s="12" t="s">
        <v>37</v>
      </c>
      <c r="BM48" s="12" t="s">
        <v>37</v>
      </c>
      <c r="BN48" s="12" t="s">
        <v>37</v>
      </c>
      <c r="BO48" s="12" t="s">
        <v>37</v>
      </c>
      <c r="BP48" s="19"/>
      <c r="BQ48" s="19"/>
      <c r="BR48" s="19"/>
      <c r="BS48" s="19"/>
      <c r="BT48" s="12"/>
      <c r="BU48" s="12" t="s">
        <v>37</v>
      </c>
      <c r="BV48" s="12" t="s">
        <v>37</v>
      </c>
      <c r="BW48" s="12" t="s">
        <v>37</v>
      </c>
      <c r="BX48" s="12" t="s">
        <v>37</v>
      </c>
      <c r="BY48" s="12" t="s">
        <v>37</v>
      </c>
      <c r="BZ48" s="12" t="s">
        <v>37</v>
      </c>
      <c r="CA48" s="19"/>
      <c r="CB48" s="19"/>
      <c r="CC48" s="19"/>
      <c r="CD48" s="19"/>
      <c r="CE48" s="12"/>
      <c r="CF48" s="12" t="s">
        <v>37</v>
      </c>
      <c r="CG48" s="12" t="s">
        <v>37</v>
      </c>
      <c r="CH48" s="12" t="s">
        <v>37</v>
      </c>
      <c r="CI48" s="12" t="s">
        <v>37</v>
      </c>
      <c r="CJ48" s="12" t="s">
        <v>37</v>
      </c>
      <c r="CK48" s="12" t="s">
        <v>37</v>
      </c>
      <c r="CL48" s="19"/>
      <c r="CM48" s="19"/>
      <c r="CN48" s="19"/>
      <c r="CO48" s="19"/>
      <c r="CP48" s="11" t="s">
        <v>34</v>
      </c>
      <c r="CQ48" s="12">
        <f>1413/24</f>
        <v>58.875</v>
      </c>
      <c r="CR48" s="19">
        <f>1251/24</f>
        <v>52.125</v>
      </c>
      <c r="CS48" s="13">
        <v>3</v>
      </c>
      <c r="CT48" s="52">
        <f t="shared" ref="CT48:CT53" si="270">CR48/ABS(CQ48)</f>
        <v>0.88535031847133761</v>
      </c>
      <c r="CU48" s="12">
        <f>156/24</f>
        <v>6.5</v>
      </c>
      <c r="CV48" s="19">
        <f>131/24</f>
        <v>5.458333333333333</v>
      </c>
      <c r="CW48" s="13">
        <v>3</v>
      </c>
      <c r="CX48" s="52">
        <f t="shared" ref="CX48:CX53" si="271">CV48/ABS(CU48)</f>
        <v>0.83974358974358965</v>
      </c>
      <c r="CY48" s="68">
        <f>CU48-CQ48</f>
        <v>-52.375</v>
      </c>
      <c r="CZ48" s="12">
        <f t="shared" ref="CZ48:CZ56" si="272">SQRT(((CS48-1)*CR48^2+(CW48-1)*CV48^2)/(CS48+CW48-2))</f>
        <v>37.059472660696194</v>
      </c>
      <c r="DA48" s="72">
        <f t="shared" ref="DA48:DA56" si="273">(((CS48+CW48)/(CS48*CW48))*(((CS48-1)*CR48^2)+(CW48-1)*CV48^2)/(CS48+CW48-2))</f>
        <v>915.60300925925924</v>
      </c>
      <c r="DB48" s="72">
        <f t="shared" ref="DB48:DB56" si="274">(CR48^2/CS48)+(CV48^2/CW48)</f>
        <v>915.60300925925924</v>
      </c>
      <c r="DC48" s="11"/>
      <c r="DD48" s="12" t="s">
        <v>37</v>
      </c>
      <c r="DE48" s="68" t="s">
        <v>37</v>
      </c>
      <c r="DF48" s="12" t="s">
        <v>37</v>
      </c>
      <c r="DG48" s="19"/>
      <c r="DH48" s="12" t="s">
        <v>37</v>
      </c>
      <c r="DI48" s="68" t="s">
        <v>37</v>
      </c>
      <c r="DJ48" s="12" t="s">
        <v>37</v>
      </c>
      <c r="DK48" s="19"/>
      <c r="DL48" s="68"/>
      <c r="DM48" s="68"/>
      <c r="DN48" s="68"/>
      <c r="DO48" s="68"/>
      <c r="DP48" s="12" t="s">
        <v>39</v>
      </c>
      <c r="DQ48" s="12">
        <v>0</v>
      </c>
      <c r="DR48" s="60">
        <f>ABS(DQ48)*DT$61</f>
        <v>0</v>
      </c>
      <c r="DS48" s="13">
        <v>3</v>
      </c>
      <c r="DT48" s="19"/>
      <c r="DU48" s="12">
        <v>-40</v>
      </c>
      <c r="DV48" s="60">
        <f t="shared" ref="DV48:DV59" si="275">ABS(DU48)*DX$61</f>
        <v>13.824510498816489</v>
      </c>
      <c r="DW48" s="13">
        <v>3</v>
      </c>
      <c r="DX48" s="19"/>
      <c r="DY48" s="19">
        <f t="shared" si="247"/>
        <v>-40</v>
      </c>
      <c r="DZ48" s="12">
        <f t="shared" si="248"/>
        <v>9.7754051202977603</v>
      </c>
      <c r="EA48" s="72">
        <f t="shared" si="164"/>
        <v>63.705696843962443</v>
      </c>
      <c r="EB48" s="72">
        <f t="shared" si="165"/>
        <v>63.705696843962443</v>
      </c>
      <c r="EC48" s="12"/>
      <c r="ED48" s="12"/>
      <c r="EE48" s="12" t="s">
        <v>37</v>
      </c>
      <c r="EF48" s="12" t="s">
        <v>37</v>
      </c>
      <c r="EG48" s="12" t="s">
        <v>37</v>
      </c>
      <c r="EH48" s="19"/>
      <c r="EI48" s="12" t="s">
        <v>37</v>
      </c>
      <c r="EJ48" s="20" t="s">
        <v>37</v>
      </c>
      <c r="EK48" s="12" t="s">
        <v>37</v>
      </c>
      <c r="EL48" s="19"/>
      <c r="EM48" s="19"/>
      <c r="EN48" s="19"/>
      <c r="EO48" s="19"/>
      <c r="EP48" s="19"/>
      <c r="EQ48" s="32"/>
      <c r="ER48" s="12" t="s">
        <v>37</v>
      </c>
      <c r="ES48" s="12" t="s">
        <v>37</v>
      </c>
      <c r="ET48" s="12" t="s">
        <v>37</v>
      </c>
      <c r="EU48" s="19"/>
      <c r="EV48" s="12" t="s">
        <v>37</v>
      </c>
      <c r="EW48" s="12" t="s">
        <v>37</v>
      </c>
      <c r="EX48" s="12" t="s">
        <v>37</v>
      </c>
      <c r="EY48" s="19"/>
      <c r="EZ48" s="19"/>
      <c r="FA48" s="19"/>
      <c r="FB48" s="19"/>
      <c r="FC48" s="32"/>
      <c r="FD48" s="12" t="s">
        <v>37</v>
      </c>
      <c r="FE48" s="12" t="s">
        <v>37</v>
      </c>
      <c r="FF48" s="12" t="s">
        <v>37</v>
      </c>
      <c r="FG48" s="12" t="s">
        <v>37</v>
      </c>
      <c r="FH48" s="12" t="s">
        <v>37</v>
      </c>
      <c r="FI48" s="12" t="s">
        <v>37</v>
      </c>
      <c r="FJ48" s="19"/>
      <c r="FK48" s="19"/>
      <c r="FL48" s="19"/>
      <c r="FM48" s="32"/>
      <c r="FN48" s="12" t="s">
        <v>37</v>
      </c>
      <c r="FO48" s="12" t="s">
        <v>37</v>
      </c>
      <c r="FP48" s="12" t="s">
        <v>37</v>
      </c>
      <c r="FQ48" s="12" t="s">
        <v>37</v>
      </c>
      <c r="FR48" s="12" t="s">
        <v>37</v>
      </c>
      <c r="FS48" s="12" t="s">
        <v>37</v>
      </c>
      <c r="FT48" s="19"/>
      <c r="FU48" s="19"/>
      <c r="FV48" s="19"/>
      <c r="FW48" s="12"/>
      <c r="FX48" s="12"/>
      <c r="FY48" s="12" t="s">
        <v>37</v>
      </c>
      <c r="FZ48" s="12" t="s">
        <v>37</v>
      </c>
      <c r="GA48" s="13" t="s">
        <v>37</v>
      </c>
      <c r="GB48" s="12" t="s">
        <v>37</v>
      </c>
      <c r="GC48" s="12" t="s">
        <v>37</v>
      </c>
      <c r="GD48" s="13" t="s">
        <v>37</v>
      </c>
      <c r="GE48" s="19"/>
      <c r="GF48" s="19"/>
      <c r="GG48" s="12"/>
      <c r="GH48" s="12"/>
      <c r="GI48" s="12" t="s">
        <v>37</v>
      </c>
      <c r="GJ48" s="12" t="s">
        <v>37</v>
      </c>
      <c r="GK48" s="12" t="s">
        <v>37</v>
      </c>
      <c r="GL48" s="19"/>
      <c r="GM48" s="12" t="s">
        <v>37</v>
      </c>
      <c r="GN48" s="12" t="s">
        <v>37</v>
      </c>
      <c r="GO48" s="12" t="s">
        <v>37</v>
      </c>
      <c r="GP48" s="19"/>
      <c r="GQ48" s="19"/>
      <c r="GR48" s="19"/>
      <c r="GS48" s="17"/>
      <c r="GT48" s="34"/>
      <c r="GU48" s="12" t="s">
        <v>37</v>
      </c>
      <c r="GV48" s="12" t="s">
        <v>37</v>
      </c>
      <c r="GW48" s="12" t="s">
        <v>37</v>
      </c>
      <c r="GX48" s="19"/>
      <c r="GY48" s="12" t="s">
        <v>37</v>
      </c>
      <c r="GZ48" s="12" t="s">
        <v>37</v>
      </c>
      <c r="HA48" s="12" t="s">
        <v>37</v>
      </c>
      <c r="HB48" s="19"/>
      <c r="HC48" s="19"/>
      <c r="HD48" s="19"/>
      <c r="HE48" s="34"/>
      <c r="HF48" s="12" t="s">
        <v>37</v>
      </c>
      <c r="HG48" s="12" t="s">
        <v>37</v>
      </c>
      <c r="HH48" s="13" t="s">
        <v>37</v>
      </c>
      <c r="HI48" s="12" t="s">
        <v>37</v>
      </c>
      <c r="HJ48" s="12" t="s">
        <v>37</v>
      </c>
      <c r="HK48" s="13" t="s">
        <v>37</v>
      </c>
      <c r="HL48" s="13"/>
      <c r="HM48" s="13"/>
      <c r="HN48" s="34"/>
      <c r="HO48" s="12" t="s">
        <v>37</v>
      </c>
      <c r="HP48" s="12" t="s">
        <v>37</v>
      </c>
      <c r="HQ48" s="13" t="s">
        <v>37</v>
      </c>
      <c r="HR48" s="12" t="s">
        <v>37</v>
      </c>
      <c r="HS48" s="12" t="s">
        <v>37</v>
      </c>
      <c r="HT48" s="13" t="s">
        <v>37</v>
      </c>
      <c r="HU48" s="13"/>
      <c r="HV48" s="13"/>
      <c r="HW48" s="12"/>
      <c r="HX48" s="12"/>
      <c r="HY48" s="12" t="s">
        <v>37</v>
      </c>
      <c r="HZ48" s="12" t="s">
        <v>37</v>
      </c>
      <c r="IA48" s="12" t="s">
        <v>37</v>
      </c>
      <c r="IB48" s="12" t="s">
        <v>37</v>
      </c>
      <c r="IC48" s="12" t="s">
        <v>37</v>
      </c>
      <c r="ID48" s="12" t="s">
        <v>37</v>
      </c>
      <c r="IE48" s="12"/>
      <c r="IF48" s="32" t="s">
        <v>345</v>
      </c>
      <c r="IG48" s="12">
        <v>5.7</v>
      </c>
      <c r="IH48" s="12" t="s">
        <v>37</v>
      </c>
      <c r="II48" s="13" t="s">
        <v>37</v>
      </c>
      <c r="IJ48" s="19"/>
      <c r="IK48" s="12" t="s">
        <v>37</v>
      </c>
      <c r="IL48" s="12" t="s">
        <v>37</v>
      </c>
      <c r="IM48" s="13" t="s">
        <v>37</v>
      </c>
      <c r="IN48" s="19"/>
      <c r="IO48" s="19"/>
      <c r="IP48" s="19"/>
      <c r="IQ48" s="32"/>
      <c r="IR48" s="12" t="s">
        <v>37</v>
      </c>
      <c r="IS48" s="12" t="s">
        <v>37</v>
      </c>
      <c r="IT48" s="13" t="s">
        <v>37</v>
      </c>
      <c r="IU48" s="12" t="s">
        <v>37</v>
      </c>
      <c r="IV48" s="12" t="s">
        <v>37</v>
      </c>
      <c r="IW48" s="12" t="s">
        <v>37</v>
      </c>
      <c r="IX48" s="32"/>
      <c r="IY48" s="12" t="s">
        <v>37</v>
      </c>
      <c r="IZ48" s="12" t="s">
        <v>37</v>
      </c>
      <c r="JA48" s="13" t="s">
        <v>37</v>
      </c>
      <c r="JB48" s="12" t="s">
        <v>37</v>
      </c>
      <c r="JC48" s="12" t="s">
        <v>37</v>
      </c>
      <c r="JD48" s="12" t="s">
        <v>37</v>
      </c>
      <c r="JE48" s="12"/>
      <c r="JF48" s="12"/>
      <c r="JG48" s="12" t="s">
        <v>37</v>
      </c>
      <c r="JH48" s="12" t="s">
        <v>37</v>
      </c>
      <c r="JI48" s="13" t="s">
        <v>37</v>
      </c>
      <c r="JJ48" s="12" t="s">
        <v>37</v>
      </c>
      <c r="JK48" s="12" t="s">
        <v>37</v>
      </c>
      <c r="JL48" s="12" t="s">
        <v>37</v>
      </c>
      <c r="JM48" s="12"/>
      <c r="JN48" s="32"/>
      <c r="JO48" s="12" t="s">
        <v>37</v>
      </c>
      <c r="JP48" s="12" t="s">
        <v>37</v>
      </c>
      <c r="JQ48" s="11" t="s">
        <v>37</v>
      </c>
      <c r="JR48" s="19"/>
      <c r="JS48" s="12" t="s">
        <v>37</v>
      </c>
      <c r="JT48" s="12" t="s">
        <v>37</v>
      </c>
      <c r="JU48" s="12" t="s">
        <v>37</v>
      </c>
      <c r="JV48" s="19"/>
      <c r="JW48" s="19"/>
      <c r="JX48" s="19"/>
      <c r="JY48" s="32"/>
      <c r="JZ48" s="12" t="s">
        <v>37</v>
      </c>
      <c r="KA48" s="12" t="s">
        <v>37</v>
      </c>
      <c r="KB48" s="12" t="s">
        <v>37</v>
      </c>
      <c r="KC48" s="12" t="s">
        <v>37</v>
      </c>
      <c r="KD48" s="12" t="s">
        <v>37</v>
      </c>
      <c r="KE48" s="12" t="s">
        <v>37</v>
      </c>
      <c r="KF48" s="12"/>
      <c r="KG48" s="12"/>
      <c r="KH48" s="32"/>
      <c r="KI48" s="12" t="s">
        <v>37</v>
      </c>
      <c r="KJ48" s="12" t="s">
        <v>37</v>
      </c>
      <c r="KK48" s="12" t="s">
        <v>37</v>
      </c>
      <c r="KL48" s="12" t="s">
        <v>37</v>
      </c>
      <c r="KM48" s="12" t="s">
        <v>37</v>
      </c>
      <c r="KN48" s="12" t="s">
        <v>37</v>
      </c>
      <c r="KO48" s="12"/>
      <c r="KP48" s="12"/>
      <c r="KQ48" s="12"/>
      <c r="KR48" s="12"/>
      <c r="KS48" s="12" t="s">
        <v>37</v>
      </c>
      <c r="KT48" s="12" t="s">
        <v>37</v>
      </c>
      <c r="KU48" s="12" t="s">
        <v>37</v>
      </c>
      <c r="KV48" s="19"/>
      <c r="KW48" s="12" t="s">
        <v>37</v>
      </c>
      <c r="KX48" s="12" t="s">
        <v>37</v>
      </c>
      <c r="KY48" s="12" t="s">
        <v>37</v>
      </c>
      <c r="KZ48" s="19"/>
      <c r="LA48" s="19"/>
      <c r="LB48" s="19"/>
      <c r="LC48" s="12"/>
      <c r="LD48" s="12" t="s">
        <v>37</v>
      </c>
      <c r="LE48" s="12" t="s">
        <v>37</v>
      </c>
      <c r="LF48" s="12" t="s">
        <v>37</v>
      </c>
      <c r="LG48" s="19" t="s">
        <v>37</v>
      </c>
      <c r="LH48" s="19" t="s">
        <v>37</v>
      </c>
      <c r="LI48" s="12" t="s">
        <v>37</v>
      </c>
      <c r="LJ48" s="12"/>
      <c r="LK48" s="12"/>
      <c r="LL48" s="12"/>
      <c r="LM48" s="12" t="s">
        <v>37</v>
      </c>
      <c r="LN48" s="12" t="s">
        <v>37</v>
      </c>
      <c r="LO48" s="12" t="s">
        <v>37</v>
      </c>
      <c r="LP48" s="12" t="s">
        <v>37</v>
      </c>
      <c r="LQ48" s="12" t="s">
        <v>37</v>
      </c>
      <c r="LR48" s="12" t="s">
        <v>37</v>
      </c>
      <c r="LS48" s="12"/>
      <c r="LT48" s="12"/>
      <c r="LU48" s="12" t="s">
        <v>37</v>
      </c>
      <c r="LV48" s="12" t="s">
        <v>37</v>
      </c>
      <c r="LW48" s="13" t="s">
        <v>37</v>
      </c>
      <c r="LX48" s="12" t="s">
        <v>37</v>
      </c>
      <c r="LY48" s="12" t="s">
        <v>37</v>
      </c>
      <c r="LZ48" s="13" t="s">
        <v>37</v>
      </c>
      <c r="MA48" s="13"/>
      <c r="MB48" s="13"/>
      <c r="MC48" s="12"/>
      <c r="MD48" s="12"/>
      <c r="ME48" s="12" t="s">
        <v>37</v>
      </c>
      <c r="MF48" s="12" t="s">
        <v>37</v>
      </c>
      <c r="MG48" s="13" t="s">
        <v>37</v>
      </c>
      <c r="MH48" s="12" t="s">
        <v>37</v>
      </c>
      <c r="MI48" s="12" t="s">
        <v>37</v>
      </c>
      <c r="MJ48" s="13" t="s">
        <v>37</v>
      </c>
      <c r="MK48" s="13"/>
      <c r="ML48" s="13"/>
      <c r="MM48" s="12"/>
      <c r="MN48" s="12"/>
      <c r="MO48" s="12" t="s">
        <v>37</v>
      </c>
      <c r="MP48" s="12" t="s">
        <v>37</v>
      </c>
      <c r="MQ48" s="12" t="s">
        <v>37</v>
      </c>
      <c r="MR48" s="12" t="s">
        <v>37</v>
      </c>
      <c r="MS48" s="12" t="s">
        <v>37</v>
      </c>
      <c r="MT48" s="12" t="s">
        <v>37</v>
      </c>
      <c r="MU48" s="12"/>
      <c r="MV48" s="12"/>
      <c r="MW48" s="12"/>
      <c r="MX48" s="12"/>
      <c r="MY48" s="12" t="s">
        <v>37</v>
      </c>
      <c r="MZ48" s="12" t="s">
        <v>37</v>
      </c>
      <c r="NA48" s="12" t="s">
        <v>37</v>
      </c>
      <c r="NB48" s="12" t="s">
        <v>37</v>
      </c>
      <c r="NC48" s="12" t="s">
        <v>37</v>
      </c>
      <c r="ND48" s="12" t="s">
        <v>37</v>
      </c>
      <c r="NE48" s="12"/>
      <c r="NF48" s="12"/>
      <c r="NG48" s="12"/>
      <c r="NH48" s="12"/>
      <c r="NI48" s="12" t="s">
        <v>37</v>
      </c>
      <c r="NJ48" s="12" t="s">
        <v>37</v>
      </c>
      <c r="NK48" s="13" t="s">
        <v>37</v>
      </c>
      <c r="NL48" s="12" t="s">
        <v>37</v>
      </c>
      <c r="NM48" s="12" t="s">
        <v>37</v>
      </c>
      <c r="NN48" s="13" t="s">
        <v>37</v>
      </c>
      <c r="NO48" s="13"/>
      <c r="NP48" s="13"/>
      <c r="NQ48" s="12"/>
      <c r="NR48" s="12"/>
      <c r="NS48" s="12" t="s">
        <v>37</v>
      </c>
      <c r="NT48" s="12" t="s">
        <v>37</v>
      </c>
      <c r="NU48" s="12" t="s">
        <v>37</v>
      </c>
      <c r="NV48" s="12" t="s">
        <v>37</v>
      </c>
      <c r="NW48" s="12" t="s">
        <v>37</v>
      </c>
      <c r="NX48" s="12" t="s">
        <v>37</v>
      </c>
      <c r="NY48" s="12"/>
      <c r="NZ48" s="12"/>
      <c r="OA48" s="12"/>
      <c r="OB48" s="12"/>
      <c r="OC48" s="12" t="s">
        <v>37</v>
      </c>
      <c r="OD48" s="12" t="s">
        <v>37</v>
      </c>
      <c r="OE48" s="12" t="s">
        <v>37</v>
      </c>
      <c r="OF48" s="12" t="s">
        <v>37</v>
      </c>
      <c r="OG48" s="12" t="s">
        <v>37</v>
      </c>
      <c r="OH48" s="12" t="s">
        <v>37</v>
      </c>
      <c r="OI48" s="12"/>
      <c r="OJ48" s="12"/>
      <c r="OK48" s="12"/>
      <c r="OL48" s="12" t="s">
        <v>37</v>
      </c>
      <c r="OM48" s="12" t="s">
        <v>37</v>
      </c>
      <c r="ON48" s="12" t="s">
        <v>37</v>
      </c>
      <c r="OO48" s="12" t="s">
        <v>37</v>
      </c>
      <c r="OP48" s="12" t="s">
        <v>37</v>
      </c>
      <c r="OQ48" s="12" t="s">
        <v>37</v>
      </c>
      <c r="OR48" s="12"/>
      <c r="OS48" s="12" t="s">
        <v>37</v>
      </c>
      <c r="OT48" s="12" t="s">
        <v>37</v>
      </c>
      <c r="OU48" s="12" t="s">
        <v>37</v>
      </c>
      <c r="OV48" s="12" t="s">
        <v>37</v>
      </c>
      <c r="OW48" s="12" t="s">
        <v>37</v>
      </c>
      <c r="OX48" s="12" t="s">
        <v>37</v>
      </c>
      <c r="OY48" s="12"/>
      <c r="OZ48" s="12"/>
      <c r="PA48" s="12" t="s">
        <v>37</v>
      </c>
      <c r="PB48" s="12" t="s">
        <v>37</v>
      </c>
      <c r="PC48" s="12" t="s">
        <v>37</v>
      </c>
      <c r="PD48" s="12" t="s">
        <v>37</v>
      </c>
      <c r="PE48" s="12" t="s">
        <v>37</v>
      </c>
      <c r="PF48" s="12" t="s">
        <v>37</v>
      </c>
      <c r="PG48" s="12"/>
      <c r="PH48" s="12"/>
      <c r="PI48" s="12" t="s">
        <v>37</v>
      </c>
      <c r="PJ48" s="12" t="s">
        <v>37</v>
      </c>
      <c r="PK48" s="12" t="s">
        <v>37</v>
      </c>
      <c r="PL48" s="12" t="s">
        <v>37</v>
      </c>
      <c r="PM48" s="12" t="s">
        <v>37</v>
      </c>
      <c r="PN48" s="12" t="s">
        <v>37</v>
      </c>
      <c r="PO48" s="12"/>
      <c r="PP48" s="12"/>
      <c r="PQ48" s="12" t="s">
        <v>37</v>
      </c>
      <c r="PR48" s="12" t="s">
        <v>37</v>
      </c>
      <c r="PS48" s="12" t="s">
        <v>37</v>
      </c>
      <c r="PT48" s="12" t="s">
        <v>37</v>
      </c>
      <c r="PU48" s="12" t="s">
        <v>37</v>
      </c>
      <c r="PV48" s="12" t="s">
        <v>37</v>
      </c>
      <c r="PW48" s="12"/>
      <c r="PX48" s="12"/>
      <c r="PY48" s="12" t="s">
        <v>37</v>
      </c>
      <c r="PZ48" s="12" t="s">
        <v>37</v>
      </c>
      <c r="QA48" s="12" t="s">
        <v>37</v>
      </c>
      <c r="QB48" s="12" t="s">
        <v>37</v>
      </c>
      <c r="QC48" s="12" t="s">
        <v>37</v>
      </c>
      <c r="QD48" s="12" t="s">
        <v>37</v>
      </c>
      <c r="QE48" s="12"/>
      <c r="QF48" s="12"/>
      <c r="QG48" s="12" t="s">
        <v>37</v>
      </c>
      <c r="QH48" s="12" t="s">
        <v>37</v>
      </c>
      <c r="QI48" s="12" t="s">
        <v>37</v>
      </c>
      <c r="QJ48" s="12" t="s">
        <v>37</v>
      </c>
      <c r="QK48" s="12" t="s">
        <v>37</v>
      </c>
      <c r="QL48" s="12" t="s">
        <v>37</v>
      </c>
      <c r="QM48" s="12"/>
      <c r="QN48" s="12"/>
      <c r="QO48" s="12" t="s">
        <v>37</v>
      </c>
      <c r="QP48" s="12" t="s">
        <v>37</v>
      </c>
      <c r="QQ48" s="12" t="s">
        <v>37</v>
      </c>
      <c r="QR48" s="12" t="s">
        <v>37</v>
      </c>
      <c r="QS48" s="12" t="s">
        <v>37</v>
      </c>
      <c r="QT48" s="12" t="s">
        <v>37</v>
      </c>
      <c r="QU48" s="12"/>
      <c r="QV48" s="12"/>
      <c r="QW48" s="12"/>
      <c r="QX48" s="12"/>
      <c r="QY48" s="12" t="s">
        <v>37</v>
      </c>
      <c r="QZ48" s="12" t="s">
        <v>37</v>
      </c>
      <c r="RA48" s="12" t="s">
        <v>37</v>
      </c>
      <c r="RB48" s="12" t="s">
        <v>37</v>
      </c>
      <c r="RC48" s="12" t="s">
        <v>37</v>
      </c>
      <c r="RD48" s="12" t="s">
        <v>37</v>
      </c>
      <c r="RE48" s="12"/>
      <c r="RF48" s="12"/>
      <c r="RG48" s="12"/>
      <c r="RH48" s="12"/>
      <c r="RI48" s="12" t="s">
        <v>37</v>
      </c>
      <c r="RJ48" s="12" t="s">
        <v>37</v>
      </c>
      <c r="RK48" s="12" t="s">
        <v>37</v>
      </c>
      <c r="RL48" s="12" t="s">
        <v>37</v>
      </c>
      <c r="RM48" s="12" t="s">
        <v>37</v>
      </c>
      <c r="RN48" s="12" t="s">
        <v>37</v>
      </c>
      <c r="RO48" s="12"/>
      <c r="RP48" s="12"/>
      <c r="RQ48" s="12"/>
      <c r="RR48" s="12"/>
      <c r="RS48" s="12" t="s">
        <v>37</v>
      </c>
      <c r="RT48" s="12" t="s">
        <v>37</v>
      </c>
      <c r="RU48" s="12" t="s">
        <v>37</v>
      </c>
      <c r="RV48" s="12" t="s">
        <v>37</v>
      </c>
      <c r="RW48" s="12" t="s">
        <v>37</v>
      </c>
      <c r="RX48" s="12" t="s">
        <v>37</v>
      </c>
      <c r="RY48" s="12"/>
      <c r="RZ48" s="12"/>
      <c r="SA48" s="12"/>
      <c r="SB48" s="12"/>
      <c r="SC48" s="12" t="s">
        <v>37</v>
      </c>
      <c r="SD48" s="12" t="s">
        <v>37</v>
      </c>
      <c r="SE48" s="12" t="s">
        <v>37</v>
      </c>
      <c r="SF48" s="12" t="s">
        <v>37</v>
      </c>
      <c r="SG48" s="12" t="s">
        <v>37</v>
      </c>
      <c r="SH48" s="12" t="s">
        <v>37</v>
      </c>
      <c r="SI48" s="12"/>
      <c r="SJ48" s="12"/>
      <c r="SK48" s="12"/>
      <c r="SL48" s="12"/>
      <c r="SM48" s="12" t="s">
        <v>37</v>
      </c>
      <c r="SN48" s="12" t="s">
        <v>37</v>
      </c>
      <c r="SO48" s="12" t="s">
        <v>37</v>
      </c>
      <c r="SP48" s="12" t="s">
        <v>37</v>
      </c>
      <c r="SQ48" s="12" t="s">
        <v>37</v>
      </c>
      <c r="SR48" s="12" t="s">
        <v>37</v>
      </c>
      <c r="SS48" s="12"/>
      <c r="ST48" s="12"/>
      <c r="SU48" s="12"/>
      <c r="SV48" s="12"/>
      <c r="SW48" s="12" t="s">
        <v>37</v>
      </c>
      <c r="SX48" s="12" t="s">
        <v>37</v>
      </c>
      <c r="SY48" s="12" t="s">
        <v>37</v>
      </c>
      <c r="SZ48" s="12" t="s">
        <v>37</v>
      </c>
      <c r="TA48" s="12" t="s">
        <v>37</v>
      </c>
      <c r="TB48" s="12" t="s">
        <v>37</v>
      </c>
      <c r="TC48" s="12"/>
      <c r="TD48" s="12"/>
      <c r="TE48" s="12"/>
      <c r="TF48" s="12"/>
      <c r="TG48" s="12" t="s">
        <v>37</v>
      </c>
      <c r="TH48" s="12" t="s">
        <v>37</v>
      </c>
      <c r="TI48" s="12" t="s">
        <v>37</v>
      </c>
      <c r="TJ48" s="12" t="s">
        <v>37</v>
      </c>
      <c r="TK48" s="12" t="s">
        <v>37</v>
      </c>
      <c r="TL48" s="12" t="s">
        <v>37</v>
      </c>
      <c r="TM48" s="12"/>
      <c r="TN48" s="12"/>
      <c r="TO48" s="12"/>
      <c r="TP48" s="12"/>
      <c r="TQ48" s="12" t="s">
        <v>37</v>
      </c>
      <c r="TR48" s="12" t="s">
        <v>37</v>
      </c>
      <c r="TS48" s="12" t="s">
        <v>37</v>
      </c>
      <c r="TT48" s="19"/>
      <c r="TU48" s="12" t="s">
        <v>37</v>
      </c>
      <c r="TV48" s="12" t="s">
        <v>37</v>
      </c>
      <c r="TW48" s="12" t="s">
        <v>37</v>
      </c>
    </row>
    <row r="49" spans="1:544" ht="15.6" x14ac:dyDescent="0.3">
      <c r="A49" s="11">
        <v>21</v>
      </c>
      <c r="B49" s="16" t="s">
        <v>462</v>
      </c>
      <c r="C49" s="12" t="s">
        <v>26</v>
      </c>
      <c r="D49" s="12" t="s">
        <v>54</v>
      </c>
      <c r="E49" s="14">
        <v>1.3</v>
      </c>
      <c r="F49" s="14">
        <v>0</v>
      </c>
      <c r="G49" s="14">
        <v>0</v>
      </c>
      <c r="H49" s="12" t="s">
        <v>91</v>
      </c>
      <c r="I49" s="29">
        <v>54.8</v>
      </c>
      <c r="J49" s="29">
        <v>-66.816999999999993</v>
      </c>
      <c r="K49" s="12" t="s">
        <v>825</v>
      </c>
      <c r="L49" s="12" t="s">
        <v>826</v>
      </c>
      <c r="M49" s="13" t="s">
        <v>37</v>
      </c>
      <c r="N49" s="14" t="s">
        <v>37</v>
      </c>
      <c r="O49" s="14" t="s">
        <v>37</v>
      </c>
      <c r="P49" s="14" t="s">
        <v>84</v>
      </c>
      <c r="Q49" s="11" t="s">
        <v>226</v>
      </c>
      <c r="R49" s="11" t="s">
        <v>37</v>
      </c>
      <c r="S49" s="12" t="s">
        <v>85</v>
      </c>
      <c r="T49" s="12" t="s">
        <v>138</v>
      </c>
      <c r="U49" s="12" t="s">
        <v>158</v>
      </c>
      <c r="V49" s="12" t="s">
        <v>275</v>
      </c>
      <c r="W49" s="23" t="s">
        <v>465</v>
      </c>
      <c r="X49" s="12" t="s">
        <v>280</v>
      </c>
      <c r="Y49" s="12" t="s">
        <v>37</v>
      </c>
      <c r="Z49" s="12" t="s">
        <v>37</v>
      </c>
      <c r="AA49" s="32" t="s">
        <v>467</v>
      </c>
      <c r="AB49" s="12" t="s">
        <v>37</v>
      </c>
      <c r="AC49" s="12" t="s">
        <v>37</v>
      </c>
      <c r="AD49" s="12" t="s">
        <v>370</v>
      </c>
      <c r="AE49" s="12" t="s">
        <v>74</v>
      </c>
      <c r="AF49" s="12" t="s">
        <v>489</v>
      </c>
      <c r="AG49" s="12"/>
      <c r="AH49" s="32"/>
      <c r="AI49" s="12"/>
      <c r="AJ49" s="12" t="s">
        <v>37</v>
      </c>
      <c r="AK49" s="11" t="s">
        <v>37</v>
      </c>
      <c r="AL49" s="19"/>
      <c r="AM49" s="12" t="s">
        <v>37</v>
      </c>
      <c r="AN49" s="12" t="s">
        <v>37</v>
      </c>
      <c r="AO49" s="12" t="s">
        <v>37</v>
      </c>
      <c r="AP49" s="19"/>
      <c r="AQ49" s="49"/>
      <c r="AR49" s="49"/>
      <c r="AS49" s="32"/>
      <c r="AT49" s="12" t="s">
        <v>37</v>
      </c>
      <c r="AU49" s="12" t="s">
        <v>37</v>
      </c>
      <c r="AV49" s="13" t="s">
        <v>37</v>
      </c>
      <c r="AW49" s="12" t="s">
        <v>37</v>
      </c>
      <c r="AX49" s="12" t="s">
        <v>37</v>
      </c>
      <c r="AY49" s="13" t="s">
        <v>37</v>
      </c>
      <c r="AZ49" s="13"/>
      <c r="BA49" s="13"/>
      <c r="BB49" s="12"/>
      <c r="BC49" s="12" t="s">
        <v>37</v>
      </c>
      <c r="BD49" s="12" t="s">
        <v>37</v>
      </c>
      <c r="BE49" s="13" t="s">
        <v>37</v>
      </c>
      <c r="BF49" s="12" t="s">
        <v>37</v>
      </c>
      <c r="BG49" s="12" t="s">
        <v>37</v>
      </c>
      <c r="BH49" s="12" t="s">
        <v>37</v>
      </c>
      <c r="BI49" s="12"/>
      <c r="BJ49" s="12" t="s">
        <v>37</v>
      </c>
      <c r="BK49" s="12" t="s">
        <v>37</v>
      </c>
      <c r="BL49" s="12" t="s">
        <v>37</v>
      </c>
      <c r="BM49" s="12" t="s">
        <v>37</v>
      </c>
      <c r="BN49" s="12" t="s">
        <v>37</v>
      </c>
      <c r="BO49" s="12" t="s">
        <v>37</v>
      </c>
      <c r="BP49" s="19"/>
      <c r="BQ49" s="19"/>
      <c r="BR49" s="19"/>
      <c r="BS49" s="19"/>
      <c r="BT49" s="12"/>
      <c r="BU49" s="12" t="s">
        <v>37</v>
      </c>
      <c r="BV49" s="12" t="s">
        <v>37</v>
      </c>
      <c r="BW49" s="12" t="s">
        <v>37</v>
      </c>
      <c r="BX49" s="12" t="s">
        <v>37</v>
      </c>
      <c r="BY49" s="12" t="s">
        <v>37</v>
      </c>
      <c r="BZ49" s="12" t="s">
        <v>37</v>
      </c>
      <c r="CA49" s="19"/>
      <c r="CB49" s="19"/>
      <c r="CC49" s="19"/>
      <c r="CD49" s="19"/>
      <c r="CE49" s="12"/>
      <c r="CF49" s="12" t="s">
        <v>37</v>
      </c>
      <c r="CG49" s="12" t="s">
        <v>37</v>
      </c>
      <c r="CH49" s="12" t="s">
        <v>37</v>
      </c>
      <c r="CI49" s="12" t="s">
        <v>37</v>
      </c>
      <c r="CJ49" s="12" t="s">
        <v>37</v>
      </c>
      <c r="CK49" s="12" t="s">
        <v>37</v>
      </c>
      <c r="CL49" s="19"/>
      <c r="CM49" s="19"/>
      <c r="CN49" s="19"/>
      <c r="CO49" s="19"/>
      <c r="CP49" s="11" t="s">
        <v>34</v>
      </c>
      <c r="CQ49" s="12">
        <f>18.6/24</f>
        <v>0.77500000000000002</v>
      </c>
      <c r="CR49" s="19">
        <f>31.9/24</f>
        <v>1.3291666666666666</v>
      </c>
      <c r="CS49" s="13">
        <v>3</v>
      </c>
      <c r="CT49" s="52">
        <f t="shared" si="270"/>
        <v>1.71505376344086</v>
      </c>
      <c r="CU49" s="12">
        <f>67.2/24</f>
        <v>2.8000000000000003</v>
      </c>
      <c r="CV49" s="19">
        <f>63/24</f>
        <v>2.625</v>
      </c>
      <c r="CW49" s="13">
        <v>3</v>
      </c>
      <c r="CX49" s="52">
        <f t="shared" si="271"/>
        <v>0.93749999999999989</v>
      </c>
      <c r="CY49" s="68">
        <f t="shared" ref="CY49:CY56" si="276">CU49-CQ49</f>
        <v>2.0250000000000004</v>
      </c>
      <c r="CZ49" s="12">
        <f t="shared" si="272"/>
        <v>2.0805418798690134</v>
      </c>
      <c r="DA49" s="72">
        <f t="shared" si="273"/>
        <v>2.8857696759259257</v>
      </c>
      <c r="DB49" s="72">
        <f t="shared" si="274"/>
        <v>2.8857696759259257</v>
      </c>
      <c r="DC49" s="11"/>
      <c r="DD49" s="12" t="s">
        <v>37</v>
      </c>
      <c r="DE49" s="68" t="s">
        <v>37</v>
      </c>
      <c r="DF49" s="12" t="s">
        <v>37</v>
      </c>
      <c r="DG49" s="19"/>
      <c r="DH49" s="12" t="s">
        <v>37</v>
      </c>
      <c r="DI49" s="68" t="s">
        <v>37</v>
      </c>
      <c r="DJ49" s="12" t="s">
        <v>37</v>
      </c>
      <c r="DK49" s="19"/>
      <c r="DL49" s="68"/>
      <c r="DM49" s="68"/>
      <c r="DN49" s="68"/>
      <c r="DO49" s="68"/>
      <c r="DP49" s="12" t="s">
        <v>39</v>
      </c>
      <c r="DQ49" s="12">
        <v>0</v>
      </c>
      <c r="DR49" s="60">
        <f t="shared" ref="DR49:DR59" si="277">ABS(DQ49)*DT$61</f>
        <v>0</v>
      </c>
      <c r="DS49" s="13">
        <v>3</v>
      </c>
      <c r="DT49" s="19"/>
      <c r="DU49" s="12">
        <v>-40</v>
      </c>
      <c r="DV49" s="60">
        <f t="shared" si="275"/>
        <v>13.824510498816489</v>
      </c>
      <c r="DW49" s="13">
        <v>3</v>
      </c>
      <c r="DX49" s="19"/>
      <c r="DY49" s="19">
        <f t="shared" si="247"/>
        <v>-40</v>
      </c>
      <c r="DZ49" s="12">
        <f t="shared" si="248"/>
        <v>9.7754051202977603</v>
      </c>
      <c r="EA49" s="72">
        <f t="shared" si="164"/>
        <v>63.705696843962443</v>
      </c>
      <c r="EB49" s="72">
        <f t="shared" si="165"/>
        <v>63.705696843962443</v>
      </c>
      <c r="EC49" s="12"/>
      <c r="ED49" s="12"/>
      <c r="EE49" s="12" t="s">
        <v>37</v>
      </c>
      <c r="EF49" s="12" t="s">
        <v>37</v>
      </c>
      <c r="EG49" s="12" t="s">
        <v>37</v>
      </c>
      <c r="EH49" s="19"/>
      <c r="EI49" s="12" t="s">
        <v>37</v>
      </c>
      <c r="EJ49" s="20" t="s">
        <v>37</v>
      </c>
      <c r="EK49" s="12" t="s">
        <v>37</v>
      </c>
      <c r="EL49" s="19"/>
      <c r="EM49" s="19"/>
      <c r="EN49" s="19"/>
      <c r="EO49" s="19"/>
      <c r="EP49" s="19"/>
      <c r="EQ49" s="32"/>
      <c r="ER49" s="12" t="s">
        <v>37</v>
      </c>
      <c r="ES49" s="12" t="s">
        <v>37</v>
      </c>
      <c r="ET49" s="12" t="s">
        <v>37</v>
      </c>
      <c r="EU49" s="19"/>
      <c r="EV49" s="12" t="s">
        <v>37</v>
      </c>
      <c r="EW49" s="12" t="s">
        <v>37</v>
      </c>
      <c r="EX49" s="12" t="s">
        <v>37</v>
      </c>
      <c r="EY49" s="19"/>
      <c r="EZ49" s="19"/>
      <c r="FA49" s="19"/>
      <c r="FB49" s="19"/>
      <c r="FC49" s="32"/>
      <c r="FD49" s="12" t="s">
        <v>37</v>
      </c>
      <c r="FE49" s="12" t="s">
        <v>37</v>
      </c>
      <c r="FF49" s="12" t="s">
        <v>37</v>
      </c>
      <c r="FG49" s="12" t="s">
        <v>37</v>
      </c>
      <c r="FH49" s="12" t="s">
        <v>37</v>
      </c>
      <c r="FI49" s="12" t="s">
        <v>37</v>
      </c>
      <c r="FJ49" s="19"/>
      <c r="FK49" s="19"/>
      <c r="FL49" s="19"/>
      <c r="FM49" s="32"/>
      <c r="FN49" s="12" t="s">
        <v>37</v>
      </c>
      <c r="FO49" s="12" t="s">
        <v>37</v>
      </c>
      <c r="FP49" s="12" t="s">
        <v>37</v>
      </c>
      <c r="FQ49" s="12" t="s">
        <v>37</v>
      </c>
      <c r="FR49" s="12" t="s">
        <v>37</v>
      </c>
      <c r="FS49" s="12" t="s">
        <v>37</v>
      </c>
      <c r="FT49" s="19"/>
      <c r="FU49" s="19"/>
      <c r="FV49" s="19"/>
      <c r="FW49" s="12"/>
      <c r="FX49" s="12"/>
      <c r="FY49" s="12" t="s">
        <v>37</v>
      </c>
      <c r="FZ49" s="12" t="s">
        <v>37</v>
      </c>
      <c r="GA49" s="13" t="s">
        <v>37</v>
      </c>
      <c r="GB49" s="12" t="s">
        <v>37</v>
      </c>
      <c r="GC49" s="12" t="s">
        <v>37</v>
      </c>
      <c r="GD49" s="13" t="s">
        <v>37</v>
      </c>
      <c r="GE49" s="19"/>
      <c r="GF49" s="19"/>
      <c r="GG49" s="12"/>
      <c r="GH49" s="12"/>
      <c r="GI49" s="12" t="s">
        <v>37</v>
      </c>
      <c r="GJ49" s="12" t="s">
        <v>37</v>
      </c>
      <c r="GK49" s="12" t="s">
        <v>37</v>
      </c>
      <c r="GL49" s="19"/>
      <c r="GM49" s="12" t="s">
        <v>37</v>
      </c>
      <c r="GN49" s="12" t="s">
        <v>37</v>
      </c>
      <c r="GO49" s="12" t="s">
        <v>37</v>
      </c>
      <c r="GP49" s="19"/>
      <c r="GQ49" s="19"/>
      <c r="GR49" s="19"/>
      <c r="GS49" s="17"/>
      <c r="GT49" s="34"/>
      <c r="GU49" s="12" t="s">
        <v>37</v>
      </c>
      <c r="GV49" s="12" t="s">
        <v>37</v>
      </c>
      <c r="GW49" s="12" t="s">
        <v>37</v>
      </c>
      <c r="GX49" s="19"/>
      <c r="GY49" s="12" t="s">
        <v>37</v>
      </c>
      <c r="GZ49" s="12" t="s">
        <v>37</v>
      </c>
      <c r="HA49" s="12" t="s">
        <v>37</v>
      </c>
      <c r="HB49" s="19"/>
      <c r="HC49" s="19"/>
      <c r="HD49" s="19"/>
      <c r="HE49" s="34"/>
      <c r="HF49" s="12" t="s">
        <v>37</v>
      </c>
      <c r="HG49" s="12" t="s">
        <v>37</v>
      </c>
      <c r="HH49" s="13" t="s">
        <v>37</v>
      </c>
      <c r="HI49" s="12" t="s">
        <v>37</v>
      </c>
      <c r="HJ49" s="12" t="s">
        <v>37</v>
      </c>
      <c r="HK49" s="13" t="s">
        <v>37</v>
      </c>
      <c r="HL49" s="13"/>
      <c r="HM49" s="13"/>
      <c r="HN49" s="34"/>
      <c r="HO49" s="12" t="s">
        <v>37</v>
      </c>
      <c r="HP49" s="12" t="s">
        <v>37</v>
      </c>
      <c r="HQ49" s="13" t="s">
        <v>37</v>
      </c>
      <c r="HR49" s="12" t="s">
        <v>37</v>
      </c>
      <c r="HS49" s="12" t="s">
        <v>37</v>
      </c>
      <c r="HT49" s="13" t="s">
        <v>37</v>
      </c>
      <c r="HU49" s="13"/>
      <c r="HV49" s="13"/>
      <c r="HW49" s="12"/>
      <c r="HX49" s="12"/>
      <c r="HY49" s="12" t="s">
        <v>37</v>
      </c>
      <c r="HZ49" s="12" t="s">
        <v>37</v>
      </c>
      <c r="IA49" s="12" t="s">
        <v>37</v>
      </c>
      <c r="IB49" s="12" t="s">
        <v>37</v>
      </c>
      <c r="IC49" s="12" t="s">
        <v>37</v>
      </c>
      <c r="ID49" s="12" t="s">
        <v>37</v>
      </c>
      <c r="IE49" s="12"/>
      <c r="IF49" s="32" t="s">
        <v>345</v>
      </c>
      <c r="IG49" s="12">
        <v>5.4</v>
      </c>
      <c r="IH49" s="12" t="s">
        <v>37</v>
      </c>
      <c r="II49" s="13" t="s">
        <v>37</v>
      </c>
      <c r="IJ49" s="19"/>
      <c r="IK49" s="12" t="s">
        <v>37</v>
      </c>
      <c r="IL49" s="12" t="s">
        <v>37</v>
      </c>
      <c r="IM49" s="13" t="s">
        <v>37</v>
      </c>
      <c r="IN49" s="19"/>
      <c r="IO49" s="19"/>
      <c r="IP49" s="19"/>
      <c r="IQ49" s="32"/>
      <c r="IR49" s="12" t="s">
        <v>37</v>
      </c>
      <c r="IS49" s="12" t="s">
        <v>37</v>
      </c>
      <c r="IT49" s="13" t="s">
        <v>37</v>
      </c>
      <c r="IU49" s="12" t="s">
        <v>37</v>
      </c>
      <c r="IV49" s="12" t="s">
        <v>37</v>
      </c>
      <c r="IW49" s="12" t="s">
        <v>37</v>
      </c>
      <c r="IX49" s="32"/>
      <c r="IY49" s="12" t="s">
        <v>37</v>
      </c>
      <c r="IZ49" s="12" t="s">
        <v>37</v>
      </c>
      <c r="JA49" s="13" t="s">
        <v>37</v>
      </c>
      <c r="JB49" s="12" t="s">
        <v>37</v>
      </c>
      <c r="JC49" s="12" t="s">
        <v>37</v>
      </c>
      <c r="JD49" s="12" t="s">
        <v>37</v>
      </c>
      <c r="JE49" s="12"/>
      <c r="JF49" s="12"/>
      <c r="JG49" s="12" t="s">
        <v>37</v>
      </c>
      <c r="JH49" s="12" t="s">
        <v>37</v>
      </c>
      <c r="JI49" s="13" t="s">
        <v>37</v>
      </c>
      <c r="JJ49" s="12" t="s">
        <v>37</v>
      </c>
      <c r="JK49" s="12" t="s">
        <v>37</v>
      </c>
      <c r="JL49" s="12" t="s">
        <v>37</v>
      </c>
      <c r="JM49" s="12"/>
      <c r="JN49" s="32"/>
      <c r="JO49" s="12" t="s">
        <v>37</v>
      </c>
      <c r="JP49" s="12" t="s">
        <v>37</v>
      </c>
      <c r="JQ49" s="11" t="s">
        <v>37</v>
      </c>
      <c r="JR49" s="19"/>
      <c r="JS49" s="12" t="s">
        <v>37</v>
      </c>
      <c r="JT49" s="12" t="s">
        <v>37</v>
      </c>
      <c r="JU49" s="12" t="s">
        <v>37</v>
      </c>
      <c r="JV49" s="19"/>
      <c r="JW49" s="19"/>
      <c r="JX49" s="19"/>
      <c r="JY49" s="32"/>
      <c r="JZ49" s="12" t="s">
        <v>37</v>
      </c>
      <c r="KA49" s="12" t="s">
        <v>37</v>
      </c>
      <c r="KB49" s="12" t="s">
        <v>37</v>
      </c>
      <c r="KC49" s="12" t="s">
        <v>37</v>
      </c>
      <c r="KD49" s="12" t="s">
        <v>37</v>
      </c>
      <c r="KE49" s="12" t="s">
        <v>37</v>
      </c>
      <c r="KF49" s="12"/>
      <c r="KG49" s="12"/>
      <c r="KH49" s="32"/>
      <c r="KI49" s="12" t="s">
        <v>37</v>
      </c>
      <c r="KJ49" s="12" t="s">
        <v>37</v>
      </c>
      <c r="KK49" s="12" t="s">
        <v>37</v>
      </c>
      <c r="KL49" s="12" t="s">
        <v>37</v>
      </c>
      <c r="KM49" s="12" t="s">
        <v>37</v>
      </c>
      <c r="KN49" s="12" t="s">
        <v>37</v>
      </c>
      <c r="KO49" s="12"/>
      <c r="KP49" s="12"/>
      <c r="KQ49" s="12"/>
      <c r="KR49" s="12"/>
      <c r="KS49" s="12" t="s">
        <v>37</v>
      </c>
      <c r="KT49" s="12" t="s">
        <v>37</v>
      </c>
      <c r="KU49" s="12" t="s">
        <v>37</v>
      </c>
      <c r="KV49" s="19"/>
      <c r="KW49" s="12" t="s">
        <v>37</v>
      </c>
      <c r="KX49" s="12" t="s">
        <v>37</v>
      </c>
      <c r="KY49" s="12" t="s">
        <v>37</v>
      </c>
      <c r="KZ49" s="19"/>
      <c r="LA49" s="19"/>
      <c r="LB49" s="19"/>
      <c r="LC49" s="12"/>
      <c r="LD49" s="12" t="s">
        <v>37</v>
      </c>
      <c r="LE49" s="12" t="s">
        <v>37</v>
      </c>
      <c r="LF49" s="12" t="s">
        <v>37</v>
      </c>
      <c r="LG49" s="19" t="s">
        <v>37</v>
      </c>
      <c r="LH49" s="19" t="s">
        <v>37</v>
      </c>
      <c r="LI49" s="12" t="s">
        <v>37</v>
      </c>
      <c r="LJ49" s="12"/>
      <c r="LK49" s="12"/>
      <c r="LL49" s="12"/>
      <c r="LM49" s="12" t="s">
        <v>37</v>
      </c>
      <c r="LN49" s="12" t="s">
        <v>37</v>
      </c>
      <c r="LO49" s="12" t="s">
        <v>37</v>
      </c>
      <c r="LP49" s="12" t="s">
        <v>37</v>
      </c>
      <c r="LQ49" s="12" t="s">
        <v>37</v>
      </c>
      <c r="LR49" s="12" t="s">
        <v>37</v>
      </c>
      <c r="LS49" s="12"/>
      <c r="LT49" s="12"/>
      <c r="LU49" s="12" t="s">
        <v>37</v>
      </c>
      <c r="LV49" s="12" t="s">
        <v>37</v>
      </c>
      <c r="LW49" s="13" t="s">
        <v>37</v>
      </c>
      <c r="LX49" s="12" t="s">
        <v>37</v>
      </c>
      <c r="LY49" s="12" t="s">
        <v>37</v>
      </c>
      <c r="LZ49" s="13" t="s">
        <v>37</v>
      </c>
      <c r="MA49" s="13"/>
      <c r="MB49" s="13"/>
      <c r="MC49" s="12"/>
      <c r="MD49" s="12"/>
      <c r="ME49" s="12" t="s">
        <v>37</v>
      </c>
      <c r="MF49" s="12" t="s">
        <v>37</v>
      </c>
      <c r="MG49" s="13" t="s">
        <v>37</v>
      </c>
      <c r="MH49" s="12" t="s">
        <v>37</v>
      </c>
      <c r="MI49" s="12" t="s">
        <v>37</v>
      </c>
      <c r="MJ49" s="13" t="s">
        <v>37</v>
      </c>
      <c r="MK49" s="13"/>
      <c r="ML49" s="13"/>
      <c r="MM49" s="12"/>
      <c r="MN49" s="12"/>
      <c r="MO49" s="12" t="s">
        <v>37</v>
      </c>
      <c r="MP49" s="12" t="s">
        <v>37</v>
      </c>
      <c r="MQ49" s="12" t="s">
        <v>37</v>
      </c>
      <c r="MR49" s="12" t="s">
        <v>37</v>
      </c>
      <c r="MS49" s="12" t="s">
        <v>37</v>
      </c>
      <c r="MT49" s="12" t="s">
        <v>37</v>
      </c>
      <c r="MU49" s="12"/>
      <c r="MV49" s="12"/>
      <c r="MW49" s="12"/>
      <c r="MX49" s="12"/>
      <c r="MY49" s="12" t="s">
        <v>37</v>
      </c>
      <c r="MZ49" s="12" t="s">
        <v>37</v>
      </c>
      <c r="NA49" s="12" t="s">
        <v>37</v>
      </c>
      <c r="NB49" s="12" t="s">
        <v>37</v>
      </c>
      <c r="NC49" s="12" t="s">
        <v>37</v>
      </c>
      <c r="ND49" s="12" t="s">
        <v>37</v>
      </c>
      <c r="NE49" s="12"/>
      <c r="NF49" s="12"/>
      <c r="NG49" s="12"/>
      <c r="NH49" s="12"/>
      <c r="NI49" s="12" t="s">
        <v>37</v>
      </c>
      <c r="NJ49" s="12" t="s">
        <v>37</v>
      </c>
      <c r="NK49" s="13" t="s">
        <v>37</v>
      </c>
      <c r="NL49" s="12" t="s">
        <v>37</v>
      </c>
      <c r="NM49" s="12" t="s">
        <v>37</v>
      </c>
      <c r="NN49" s="13" t="s">
        <v>37</v>
      </c>
      <c r="NO49" s="13"/>
      <c r="NP49" s="13"/>
      <c r="NQ49" s="12"/>
      <c r="NR49" s="12"/>
      <c r="NS49" s="12" t="s">
        <v>37</v>
      </c>
      <c r="NT49" s="12" t="s">
        <v>37</v>
      </c>
      <c r="NU49" s="12" t="s">
        <v>37</v>
      </c>
      <c r="NV49" s="12" t="s">
        <v>37</v>
      </c>
      <c r="NW49" s="12" t="s">
        <v>37</v>
      </c>
      <c r="NX49" s="12" t="s">
        <v>37</v>
      </c>
      <c r="NY49" s="12"/>
      <c r="NZ49" s="12"/>
      <c r="OA49" s="12"/>
      <c r="OB49" s="12"/>
      <c r="OC49" s="12" t="s">
        <v>37</v>
      </c>
      <c r="OD49" s="12" t="s">
        <v>37</v>
      </c>
      <c r="OE49" s="12" t="s">
        <v>37</v>
      </c>
      <c r="OF49" s="12" t="s">
        <v>37</v>
      </c>
      <c r="OG49" s="12" t="s">
        <v>37</v>
      </c>
      <c r="OH49" s="12" t="s">
        <v>37</v>
      </c>
      <c r="OI49" s="12"/>
      <c r="OJ49" s="12"/>
      <c r="OK49" s="12"/>
      <c r="OL49" s="12" t="s">
        <v>37</v>
      </c>
      <c r="OM49" s="12" t="s">
        <v>37</v>
      </c>
      <c r="ON49" s="12" t="s">
        <v>37</v>
      </c>
      <c r="OO49" s="12" t="s">
        <v>37</v>
      </c>
      <c r="OP49" s="12" t="s">
        <v>37</v>
      </c>
      <c r="OQ49" s="12" t="s">
        <v>37</v>
      </c>
      <c r="OR49" s="12"/>
      <c r="OS49" s="12" t="s">
        <v>37</v>
      </c>
      <c r="OT49" s="12" t="s">
        <v>37</v>
      </c>
      <c r="OU49" s="12" t="s">
        <v>37</v>
      </c>
      <c r="OV49" s="12" t="s">
        <v>37</v>
      </c>
      <c r="OW49" s="12" t="s">
        <v>37</v>
      </c>
      <c r="OX49" s="12" t="s">
        <v>37</v>
      </c>
      <c r="OY49" s="12"/>
      <c r="OZ49" s="12"/>
      <c r="PA49" s="12" t="s">
        <v>37</v>
      </c>
      <c r="PB49" s="12" t="s">
        <v>37</v>
      </c>
      <c r="PC49" s="12" t="s">
        <v>37</v>
      </c>
      <c r="PD49" s="12" t="s">
        <v>37</v>
      </c>
      <c r="PE49" s="12" t="s">
        <v>37</v>
      </c>
      <c r="PF49" s="12" t="s">
        <v>37</v>
      </c>
      <c r="PG49" s="12"/>
      <c r="PH49" s="12"/>
      <c r="PI49" s="12" t="s">
        <v>37</v>
      </c>
      <c r="PJ49" s="12" t="s">
        <v>37</v>
      </c>
      <c r="PK49" s="12" t="s">
        <v>37</v>
      </c>
      <c r="PL49" s="12" t="s">
        <v>37</v>
      </c>
      <c r="PM49" s="12" t="s">
        <v>37</v>
      </c>
      <c r="PN49" s="12" t="s">
        <v>37</v>
      </c>
      <c r="PO49" s="12"/>
      <c r="PP49" s="12"/>
      <c r="PQ49" s="12" t="s">
        <v>37</v>
      </c>
      <c r="PR49" s="12" t="s">
        <v>37</v>
      </c>
      <c r="PS49" s="12" t="s">
        <v>37</v>
      </c>
      <c r="PT49" s="12" t="s">
        <v>37</v>
      </c>
      <c r="PU49" s="12" t="s">
        <v>37</v>
      </c>
      <c r="PV49" s="12" t="s">
        <v>37</v>
      </c>
      <c r="PW49" s="12"/>
      <c r="PX49" s="12"/>
      <c r="PY49" s="12" t="s">
        <v>37</v>
      </c>
      <c r="PZ49" s="12" t="s">
        <v>37</v>
      </c>
      <c r="QA49" s="12" t="s">
        <v>37</v>
      </c>
      <c r="QB49" s="12" t="s">
        <v>37</v>
      </c>
      <c r="QC49" s="12" t="s">
        <v>37</v>
      </c>
      <c r="QD49" s="12" t="s">
        <v>37</v>
      </c>
      <c r="QE49" s="12"/>
      <c r="QF49" s="12"/>
      <c r="QG49" s="12" t="s">
        <v>37</v>
      </c>
      <c r="QH49" s="12" t="s">
        <v>37</v>
      </c>
      <c r="QI49" s="12" t="s">
        <v>37</v>
      </c>
      <c r="QJ49" s="12" t="s">
        <v>37</v>
      </c>
      <c r="QK49" s="12" t="s">
        <v>37</v>
      </c>
      <c r="QL49" s="12" t="s">
        <v>37</v>
      </c>
      <c r="QM49" s="12"/>
      <c r="QN49" s="12"/>
      <c r="QO49" s="12" t="s">
        <v>37</v>
      </c>
      <c r="QP49" s="12" t="s">
        <v>37</v>
      </c>
      <c r="QQ49" s="12" t="s">
        <v>37</v>
      </c>
      <c r="QR49" s="12" t="s">
        <v>37</v>
      </c>
      <c r="QS49" s="12" t="s">
        <v>37</v>
      </c>
      <c r="QT49" s="12" t="s">
        <v>37</v>
      </c>
      <c r="QU49" s="12"/>
      <c r="QV49" s="12"/>
      <c r="QW49" s="12"/>
      <c r="QX49" s="12"/>
      <c r="QY49" s="12" t="s">
        <v>37</v>
      </c>
      <c r="QZ49" s="12" t="s">
        <v>37</v>
      </c>
      <c r="RA49" s="12" t="s">
        <v>37</v>
      </c>
      <c r="RB49" s="12" t="s">
        <v>37</v>
      </c>
      <c r="RC49" s="12" t="s">
        <v>37</v>
      </c>
      <c r="RD49" s="12" t="s">
        <v>37</v>
      </c>
      <c r="RE49" s="12"/>
      <c r="RF49" s="12"/>
      <c r="RG49" s="12"/>
      <c r="RH49" s="12"/>
      <c r="RI49" s="12" t="s">
        <v>37</v>
      </c>
      <c r="RJ49" s="12" t="s">
        <v>37</v>
      </c>
      <c r="RK49" s="12" t="s">
        <v>37</v>
      </c>
      <c r="RL49" s="12" t="s">
        <v>37</v>
      </c>
      <c r="RM49" s="12" t="s">
        <v>37</v>
      </c>
      <c r="RN49" s="12" t="s">
        <v>37</v>
      </c>
      <c r="RO49" s="12"/>
      <c r="RP49" s="12"/>
      <c r="RQ49" s="12"/>
      <c r="RR49" s="12"/>
      <c r="RS49" s="12" t="s">
        <v>37</v>
      </c>
      <c r="RT49" s="12" t="s">
        <v>37</v>
      </c>
      <c r="RU49" s="12" t="s">
        <v>37</v>
      </c>
      <c r="RV49" s="12" t="s">
        <v>37</v>
      </c>
      <c r="RW49" s="12" t="s">
        <v>37</v>
      </c>
      <c r="RX49" s="12" t="s">
        <v>37</v>
      </c>
      <c r="RY49" s="12"/>
      <c r="RZ49" s="12"/>
      <c r="SA49" s="12"/>
      <c r="SB49" s="12"/>
      <c r="SC49" s="12" t="s">
        <v>37</v>
      </c>
      <c r="SD49" s="12" t="s">
        <v>37</v>
      </c>
      <c r="SE49" s="12" t="s">
        <v>37</v>
      </c>
      <c r="SF49" s="12" t="s">
        <v>37</v>
      </c>
      <c r="SG49" s="12" t="s">
        <v>37</v>
      </c>
      <c r="SH49" s="12" t="s">
        <v>37</v>
      </c>
      <c r="SI49" s="12"/>
      <c r="SJ49" s="12"/>
      <c r="SK49" s="12"/>
      <c r="SL49" s="12"/>
      <c r="SM49" s="12" t="s">
        <v>37</v>
      </c>
      <c r="SN49" s="12" t="s">
        <v>37</v>
      </c>
      <c r="SO49" s="12" t="s">
        <v>37</v>
      </c>
      <c r="SP49" s="12" t="s">
        <v>37</v>
      </c>
      <c r="SQ49" s="12" t="s">
        <v>37</v>
      </c>
      <c r="SR49" s="12" t="s">
        <v>37</v>
      </c>
      <c r="SS49" s="12"/>
      <c r="ST49" s="12"/>
      <c r="SU49" s="12"/>
      <c r="SV49" s="12"/>
      <c r="SW49" s="12" t="s">
        <v>37</v>
      </c>
      <c r="SX49" s="12" t="s">
        <v>37</v>
      </c>
      <c r="SY49" s="12" t="s">
        <v>37</v>
      </c>
      <c r="SZ49" s="12" t="s">
        <v>37</v>
      </c>
      <c r="TA49" s="12" t="s">
        <v>37</v>
      </c>
      <c r="TB49" s="12" t="s">
        <v>37</v>
      </c>
      <c r="TC49" s="12"/>
      <c r="TD49" s="12"/>
      <c r="TE49" s="12"/>
      <c r="TF49" s="12"/>
      <c r="TG49" s="12" t="s">
        <v>37</v>
      </c>
      <c r="TH49" s="12" t="s">
        <v>37</v>
      </c>
      <c r="TI49" s="12" t="s">
        <v>37</v>
      </c>
      <c r="TJ49" s="12" t="s">
        <v>37</v>
      </c>
      <c r="TK49" s="12" t="s">
        <v>37</v>
      </c>
      <c r="TL49" s="12" t="s">
        <v>37</v>
      </c>
      <c r="TM49" s="12"/>
      <c r="TN49" s="12"/>
      <c r="TO49" s="12"/>
      <c r="TP49" s="12"/>
      <c r="TQ49" s="12" t="s">
        <v>37</v>
      </c>
      <c r="TR49" s="12" t="s">
        <v>37</v>
      </c>
      <c r="TS49" s="12" t="s">
        <v>37</v>
      </c>
      <c r="TT49" s="19"/>
      <c r="TU49" s="12" t="s">
        <v>37</v>
      </c>
      <c r="TV49" s="12" t="s">
        <v>37</v>
      </c>
      <c r="TW49" s="12" t="s">
        <v>37</v>
      </c>
    </row>
    <row r="50" spans="1:544" ht="15.6" x14ac:dyDescent="0.3">
      <c r="A50" s="11">
        <v>21</v>
      </c>
      <c r="B50" s="16" t="s">
        <v>462</v>
      </c>
      <c r="C50" s="12" t="s">
        <v>26</v>
      </c>
      <c r="D50" s="12" t="s">
        <v>54</v>
      </c>
      <c r="E50" s="14">
        <v>1.6</v>
      </c>
      <c r="F50" s="14">
        <v>0</v>
      </c>
      <c r="G50" s="14">
        <v>0</v>
      </c>
      <c r="H50" s="12" t="s">
        <v>91</v>
      </c>
      <c r="I50" s="29">
        <v>45.533000000000001</v>
      </c>
      <c r="J50" s="29">
        <v>-73.132999999999996</v>
      </c>
      <c r="K50" s="12" t="s">
        <v>787</v>
      </c>
      <c r="L50" s="12" t="s">
        <v>788</v>
      </c>
      <c r="M50" s="13" t="s">
        <v>37</v>
      </c>
      <c r="N50" s="14" t="s">
        <v>37</v>
      </c>
      <c r="O50" s="14" t="s">
        <v>37</v>
      </c>
      <c r="P50" s="14" t="s">
        <v>16</v>
      </c>
      <c r="Q50" s="11" t="s">
        <v>226</v>
      </c>
      <c r="R50" s="11" t="s">
        <v>37</v>
      </c>
      <c r="S50" s="12" t="s">
        <v>105</v>
      </c>
      <c r="T50" s="12" t="s">
        <v>37</v>
      </c>
      <c r="U50" s="12" t="s">
        <v>158</v>
      </c>
      <c r="V50" s="12" t="s">
        <v>275</v>
      </c>
      <c r="W50" s="23" t="s">
        <v>466</v>
      </c>
      <c r="X50" s="12" t="s">
        <v>49</v>
      </c>
      <c r="Y50" s="12" t="s">
        <v>37</v>
      </c>
      <c r="Z50" s="12" t="s">
        <v>37</v>
      </c>
      <c r="AA50" s="32" t="s">
        <v>467</v>
      </c>
      <c r="AB50" s="12" t="s">
        <v>37</v>
      </c>
      <c r="AC50" s="12" t="s">
        <v>37</v>
      </c>
      <c r="AD50" s="12" t="s">
        <v>370</v>
      </c>
      <c r="AE50" s="12" t="s">
        <v>74</v>
      </c>
      <c r="AF50" s="12" t="s">
        <v>489</v>
      </c>
      <c r="AG50" s="12"/>
      <c r="AH50" s="32"/>
      <c r="AI50" s="12"/>
      <c r="AJ50" s="12" t="s">
        <v>37</v>
      </c>
      <c r="AK50" s="11" t="s">
        <v>37</v>
      </c>
      <c r="AL50" s="19"/>
      <c r="AM50" s="12" t="s">
        <v>37</v>
      </c>
      <c r="AN50" s="12" t="s">
        <v>37</v>
      </c>
      <c r="AO50" s="12" t="s">
        <v>37</v>
      </c>
      <c r="AP50" s="19"/>
      <c r="AQ50" s="49"/>
      <c r="AR50" s="49"/>
      <c r="AS50" s="32"/>
      <c r="AT50" s="12" t="s">
        <v>37</v>
      </c>
      <c r="AU50" s="12" t="s">
        <v>37</v>
      </c>
      <c r="AV50" s="13" t="s">
        <v>37</v>
      </c>
      <c r="AW50" s="12" t="s">
        <v>37</v>
      </c>
      <c r="AX50" s="12" t="s">
        <v>37</v>
      </c>
      <c r="AY50" s="13" t="s">
        <v>37</v>
      </c>
      <c r="AZ50" s="13"/>
      <c r="BA50" s="13"/>
      <c r="BB50" s="12"/>
      <c r="BC50" s="12" t="s">
        <v>37</v>
      </c>
      <c r="BD50" s="12" t="s">
        <v>37</v>
      </c>
      <c r="BE50" s="13" t="s">
        <v>37</v>
      </c>
      <c r="BF50" s="12" t="s">
        <v>37</v>
      </c>
      <c r="BG50" s="12" t="s">
        <v>37</v>
      </c>
      <c r="BH50" s="12" t="s">
        <v>37</v>
      </c>
      <c r="BI50" s="12"/>
      <c r="BJ50" s="12" t="s">
        <v>37</v>
      </c>
      <c r="BK50" s="12" t="s">
        <v>37</v>
      </c>
      <c r="BL50" s="12" t="s">
        <v>37</v>
      </c>
      <c r="BM50" s="12" t="s">
        <v>37</v>
      </c>
      <c r="BN50" s="12" t="s">
        <v>37</v>
      </c>
      <c r="BO50" s="12" t="s">
        <v>37</v>
      </c>
      <c r="BP50" s="19"/>
      <c r="BQ50" s="19"/>
      <c r="BR50" s="19"/>
      <c r="BS50" s="19"/>
      <c r="BT50" s="12"/>
      <c r="BU50" s="12" t="s">
        <v>37</v>
      </c>
      <c r="BV50" s="12" t="s">
        <v>37</v>
      </c>
      <c r="BW50" s="12" t="s">
        <v>37</v>
      </c>
      <c r="BX50" s="12" t="s">
        <v>37</v>
      </c>
      <c r="BY50" s="12" t="s">
        <v>37</v>
      </c>
      <c r="BZ50" s="12" t="s">
        <v>37</v>
      </c>
      <c r="CA50" s="19"/>
      <c r="CB50" s="19"/>
      <c r="CC50" s="19"/>
      <c r="CD50" s="19"/>
      <c r="CE50" s="12"/>
      <c r="CF50" s="12" t="s">
        <v>37</v>
      </c>
      <c r="CG50" s="12" t="s">
        <v>37</v>
      </c>
      <c r="CH50" s="12" t="s">
        <v>37</v>
      </c>
      <c r="CI50" s="12" t="s">
        <v>37</v>
      </c>
      <c r="CJ50" s="12" t="s">
        <v>37</v>
      </c>
      <c r="CK50" s="12" t="s">
        <v>37</v>
      </c>
      <c r="CL50" s="19"/>
      <c r="CM50" s="19"/>
      <c r="CN50" s="19"/>
      <c r="CO50" s="19"/>
      <c r="CP50" s="11" t="s">
        <v>34</v>
      </c>
      <c r="CQ50" s="12">
        <f>23.1/24</f>
        <v>0.96250000000000002</v>
      </c>
      <c r="CR50" s="19">
        <f>15.4/24</f>
        <v>0.64166666666666672</v>
      </c>
      <c r="CS50" s="13">
        <v>3</v>
      </c>
      <c r="CT50" s="52">
        <f t="shared" si="270"/>
        <v>0.66666666666666674</v>
      </c>
      <c r="CU50" s="12">
        <f>26.9/24</f>
        <v>1.1208333333333333</v>
      </c>
      <c r="CV50" s="19">
        <f>18.8/24</f>
        <v>0.78333333333333333</v>
      </c>
      <c r="CW50" s="13">
        <v>3</v>
      </c>
      <c r="CX50" s="52">
        <f t="shared" si="271"/>
        <v>0.6988847583643123</v>
      </c>
      <c r="CY50" s="68">
        <f t="shared" si="276"/>
        <v>0.15833333333333333</v>
      </c>
      <c r="CZ50" s="12">
        <f t="shared" si="272"/>
        <v>0.71601229815633138</v>
      </c>
      <c r="DA50" s="72">
        <f t="shared" si="273"/>
        <v>0.34178240740740745</v>
      </c>
      <c r="DB50" s="72">
        <f t="shared" si="274"/>
        <v>0.34178240740740745</v>
      </c>
      <c r="DC50" s="11"/>
      <c r="DD50" s="12" t="s">
        <v>37</v>
      </c>
      <c r="DE50" s="68" t="s">
        <v>37</v>
      </c>
      <c r="DF50" s="12" t="s">
        <v>37</v>
      </c>
      <c r="DG50" s="19"/>
      <c r="DH50" s="12" t="s">
        <v>37</v>
      </c>
      <c r="DI50" s="68" t="s">
        <v>37</v>
      </c>
      <c r="DJ50" s="12" t="s">
        <v>37</v>
      </c>
      <c r="DK50" s="19"/>
      <c r="DL50" s="68"/>
      <c r="DM50" s="68"/>
      <c r="DN50" s="68"/>
      <c r="DO50" s="68"/>
      <c r="DP50" s="12" t="s">
        <v>39</v>
      </c>
      <c r="DQ50" s="12">
        <v>0</v>
      </c>
      <c r="DR50" s="60">
        <f t="shared" si="277"/>
        <v>0</v>
      </c>
      <c r="DS50" s="13">
        <v>3</v>
      </c>
      <c r="DT50" s="19"/>
      <c r="DU50" s="12">
        <v>-40</v>
      </c>
      <c r="DV50" s="60">
        <f t="shared" si="275"/>
        <v>13.824510498816489</v>
      </c>
      <c r="DW50" s="13">
        <v>3</v>
      </c>
      <c r="DX50" s="19"/>
      <c r="DY50" s="19">
        <f t="shared" si="247"/>
        <v>-40</v>
      </c>
      <c r="DZ50" s="12">
        <f t="shared" si="248"/>
        <v>9.7754051202977603</v>
      </c>
      <c r="EA50" s="72">
        <f t="shared" si="164"/>
        <v>63.705696843962443</v>
      </c>
      <c r="EB50" s="72">
        <f t="shared" si="165"/>
        <v>63.705696843962443</v>
      </c>
      <c r="EC50" s="12"/>
      <c r="ED50" s="12"/>
      <c r="EE50" s="12" t="s">
        <v>37</v>
      </c>
      <c r="EF50" s="12" t="s">
        <v>37</v>
      </c>
      <c r="EG50" s="12" t="s">
        <v>37</v>
      </c>
      <c r="EH50" s="19"/>
      <c r="EI50" s="12" t="s">
        <v>37</v>
      </c>
      <c r="EJ50" s="20" t="s">
        <v>37</v>
      </c>
      <c r="EK50" s="12" t="s">
        <v>37</v>
      </c>
      <c r="EL50" s="19"/>
      <c r="EM50" s="19"/>
      <c r="EN50" s="19"/>
      <c r="EO50" s="19"/>
      <c r="EP50" s="19"/>
      <c r="EQ50" s="32"/>
      <c r="ER50" s="12" t="s">
        <v>37</v>
      </c>
      <c r="ES50" s="12" t="s">
        <v>37</v>
      </c>
      <c r="ET50" s="12" t="s">
        <v>37</v>
      </c>
      <c r="EU50" s="19"/>
      <c r="EV50" s="12" t="s">
        <v>37</v>
      </c>
      <c r="EW50" s="12" t="s">
        <v>37</v>
      </c>
      <c r="EX50" s="12" t="s">
        <v>37</v>
      </c>
      <c r="EY50" s="19"/>
      <c r="EZ50" s="19"/>
      <c r="FA50" s="19"/>
      <c r="FB50" s="19"/>
      <c r="FC50" s="32"/>
      <c r="FD50" s="12" t="s">
        <v>37</v>
      </c>
      <c r="FE50" s="12" t="s">
        <v>37</v>
      </c>
      <c r="FF50" s="12" t="s">
        <v>37</v>
      </c>
      <c r="FG50" s="12" t="s">
        <v>37</v>
      </c>
      <c r="FH50" s="12" t="s">
        <v>37</v>
      </c>
      <c r="FI50" s="12" t="s">
        <v>37</v>
      </c>
      <c r="FJ50" s="19"/>
      <c r="FK50" s="19"/>
      <c r="FL50" s="19"/>
      <c r="FM50" s="32"/>
      <c r="FN50" s="12" t="s">
        <v>37</v>
      </c>
      <c r="FO50" s="12" t="s">
        <v>37</v>
      </c>
      <c r="FP50" s="12" t="s">
        <v>37</v>
      </c>
      <c r="FQ50" s="12" t="s">
        <v>37</v>
      </c>
      <c r="FR50" s="12" t="s">
        <v>37</v>
      </c>
      <c r="FS50" s="12" t="s">
        <v>37</v>
      </c>
      <c r="FT50" s="19"/>
      <c r="FU50" s="19"/>
      <c r="FV50" s="19"/>
      <c r="FW50" s="12"/>
      <c r="FX50" s="12"/>
      <c r="FY50" s="12" t="s">
        <v>37</v>
      </c>
      <c r="FZ50" s="12" t="s">
        <v>37</v>
      </c>
      <c r="GA50" s="13" t="s">
        <v>37</v>
      </c>
      <c r="GB50" s="12" t="s">
        <v>37</v>
      </c>
      <c r="GC50" s="12" t="s">
        <v>37</v>
      </c>
      <c r="GD50" s="13" t="s">
        <v>37</v>
      </c>
      <c r="GE50" s="19"/>
      <c r="GF50" s="19"/>
      <c r="GG50" s="12"/>
      <c r="GH50" s="12"/>
      <c r="GI50" s="12" t="s">
        <v>37</v>
      </c>
      <c r="GJ50" s="12" t="s">
        <v>37</v>
      </c>
      <c r="GK50" s="12" t="s">
        <v>37</v>
      </c>
      <c r="GL50" s="19"/>
      <c r="GM50" s="12" t="s">
        <v>37</v>
      </c>
      <c r="GN50" s="12" t="s">
        <v>37</v>
      </c>
      <c r="GO50" s="12" t="s">
        <v>37</v>
      </c>
      <c r="GP50" s="19"/>
      <c r="GQ50" s="19"/>
      <c r="GR50" s="19"/>
      <c r="GS50" s="17"/>
      <c r="GT50" s="34"/>
      <c r="GU50" s="12" t="s">
        <v>37</v>
      </c>
      <c r="GV50" s="12" t="s">
        <v>37</v>
      </c>
      <c r="GW50" s="12" t="s">
        <v>37</v>
      </c>
      <c r="GX50" s="19"/>
      <c r="GY50" s="12" t="s">
        <v>37</v>
      </c>
      <c r="GZ50" s="12" t="s">
        <v>37</v>
      </c>
      <c r="HA50" s="12" t="s">
        <v>37</v>
      </c>
      <c r="HB50" s="19"/>
      <c r="HC50" s="19"/>
      <c r="HD50" s="19"/>
      <c r="HE50" s="34"/>
      <c r="HF50" s="12" t="s">
        <v>37</v>
      </c>
      <c r="HG50" s="12" t="s">
        <v>37</v>
      </c>
      <c r="HH50" s="13" t="s">
        <v>37</v>
      </c>
      <c r="HI50" s="12" t="s">
        <v>37</v>
      </c>
      <c r="HJ50" s="12" t="s">
        <v>37</v>
      </c>
      <c r="HK50" s="13" t="s">
        <v>37</v>
      </c>
      <c r="HL50" s="13"/>
      <c r="HM50" s="13"/>
      <c r="HN50" s="34"/>
      <c r="HO50" s="12" t="s">
        <v>37</v>
      </c>
      <c r="HP50" s="12" t="s">
        <v>37</v>
      </c>
      <c r="HQ50" s="13" t="s">
        <v>37</v>
      </c>
      <c r="HR50" s="12" t="s">
        <v>37</v>
      </c>
      <c r="HS50" s="12" t="s">
        <v>37</v>
      </c>
      <c r="HT50" s="13" t="s">
        <v>37</v>
      </c>
      <c r="HU50" s="13"/>
      <c r="HV50" s="13"/>
      <c r="HW50" s="12"/>
      <c r="HX50" s="12"/>
      <c r="HY50" s="12" t="s">
        <v>37</v>
      </c>
      <c r="HZ50" s="12" t="s">
        <v>37</v>
      </c>
      <c r="IA50" s="12" t="s">
        <v>37</v>
      </c>
      <c r="IB50" s="12" t="s">
        <v>37</v>
      </c>
      <c r="IC50" s="12" t="s">
        <v>37</v>
      </c>
      <c r="ID50" s="12" t="s">
        <v>37</v>
      </c>
      <c r="IE50" s="12"/>
      <c r="IF50" s="32" t="s">
        <v>345</v>
      </c>
      <c r="IG50" s="12">
        <v>6.2</v>
      </c>
      <c r="IH50" s="12" t="s">
        <v>37</v>
      </c>
      <c r="II50" s="13" t="s">
        <v>37</v>
      </c>
      <c r="IJ50" s="19"/>
      <c r="IK50" s="12" t="s">
        <v>37</v>
      </c>
      <c r="IL50" s="12" t="s">
        <v>37</v>
      </c>
      <c r="IM50" s="13" t="s">
        <v>37</v>
      </c>
      <c r="IN50" s="19"/>
      <c r="IO50" s="19"/>
      <c r="IP50" s="19"/>
      <c r="IQ50" s="32"/>
      <c r="IR50" s="12" t="s">
        <v>37</v>
      </c>
      <c r="IS50" s="12" t="s">
        <v>37</v>
      </c>
      <c r="IT50" s="13" t="s">
        <v>37</v>
      </c>
      <c r="IU50" s="12" t="s">
        <v>37</v>
      </c>
      <c r="IV50" s="12" t="s">
        <v>37</v>
      </c>
      <c r="IW50" s="12" t="s">
        <v>37</v>
      </c>
      <c r="IX50" s="32"/>
      <c r="IY50" s="12" t="s">
        <v>37</v>
      </c>
      <c r="IZ50" s="12" t="s">
        <v>37</v>
      </c>
      <c r="JA50" s="13" t="s">
        <v>37</v>
      </c>
      <c r="JB50" s="12" t="s">
        <v>37</v>
      </c>
      <c r="JC50" s="12" t="s">
        <v>37</v>
      </c>
      <c r="JD50" s="12" t="s">
        <v>37</v>
      </c>
      <c r="JE50" s="12"/>
      <c r="JF50" s="12"/>
      <c r="JG50" s="12" t="s">
        <v>37</v>
      </c>
      <c r="JH50" s="12" t="s">
        <v>37</v>
      </c>
      <c r="JI50" s="13" t="s">
        <v>37</v>
      </c>
      <c r="JJ50" s="12" t="s">
        <v>37</v>
      </c>
      <c r="JK50" s="12" t="s">
        <v>37</v>
      </c>
      <c r="JL50" s="12" t="s">
        <v>37</v>
      </c>
      <c r="JM50" s="12"/>
      <c r="JN50" s="32"/>
      <c r="JO50" s="12" t="s">
        <v>37</v>
      </c>
      <c r="JP50" s="12" t="s">
        <v>37</v>
      </c>
      <c r="JQ50" s="11" t="s">
        <v>37</v>
      </c>
      <c r="JR50" s="19"/>
      <c r="JS50" s="12" t="s">
        <v>37</v>
      </c>
      <c r="JT50" s="12" t="s">
        <v>37</v>
      </c>
      <c r="JU50" s="12" t="s">
        <v>37</v>
      </c>
      <c r="JV50" s="19"/>
      <c r="JW50" s="19"/>
      <c r="JX50" s="19"/>
      <c r="JY50" s="32"/>
      <c r="JZ50" s="12" t="s">
        <v>37</v>
      </c>
      <c r="KA50" s="12" t="s">
        <v>37</v>
      </c>
      <c r="KB50" s="12" t="s">
        <v>37</v>
      </c>
      <c r="KC50" s="12" t="s">
        <v>37</v>
      </c>
      <c r="KD50" s="12" t="s">
        <v>37</v>
      </c>
      <c r="KE50" s="12" t="s">
        <v>37</v>
      </c>
      <c r="KF50" s="12"/>
      <c r="KG50" s="12"/>
      <c r="KH50" s="32"/>
      <c r="KI50" s="12" t="s">
        <v>37</v>
      </c>
      <c r="KJ50" s="12" t="s">
        <v>37</v>
      </c>
      <c r="KK50" s="12" t="s">
        <v>37</v>
      </c>
      <c r="KL50" s="12" t="s">
        <v>37</v>
      </c>
      <c r="KM50" s="12" t="s">
        <v>37</v>
      </c>
      <c r="KN50" s="12" t="s">
        <v>37</v>
      </c>
      <c r="KO50" s="12"/>
      <c r="KP50" s="12"/>
      <c r="KQ50" s="12"/>
      <c r="KR50" s="12"/>
      <c r="KS50" s="12" t="s">
        <v>37</v>
      </c>
      <c r="KT50" s="12" t="s">
        <v>37</v>
      </c>
      <c r="KU50" s="12" t="s">
        <v>37</v>
      </c>
      <c r="KV50" s="19"/>
      <c r="KW50" s="12" t="s">
        <v>37</v>
      </c>
      <c r="KX50" s="12" t="s">
        <v>37</v>
      </c>
      <c r="KY50" s="12" t="s">
        <v>37</v>
      </c>
      <c r="KZ50" s="19"/>
      <c r="LA50" s="19"/>
      <c r="LB50" s="19"/>
      <c r="LC50" s="12"/>
      <c r="LD50" s="12" t="s">
        <v>37</v>
      </c>
      <c r="LE50" s="12" t="s">
        <v>37</v>
      </c>
      <c r="LF50" s="12" t="s">
        <v>37</v>
      </c>
      <c r="LG50" s="19" t="s">
        <v>37</v>
      </c>
      <c r="LH50" s="19" t="s">
        <v>37</v>
      </c>
      <c r="LI50" s="12" t="s">
        <v>37</v>
      </c>
      <c r="LJ50" s="12"/>
      <c r="LK50" s="12"/>
      <c r="LL50" s="12"/>
      <c r="LM50" s="12" t="s">
        <v>37</v>
      </c>
      <c r="LN50" s="12" t="s">
        <v>37</v>
      </c>
      <c r="LO50" s="12" t="s">
        <v>37</v>
      </c>
      <c r="LP50" s="12" t="s">
        <v>37</v>
      </c>
      <c r="LQ50" s="12" t="s">
        <v>37</v>
      </c>
      <c r="LR50" s="12" t="s">
        <v>37</v>
      </c>
      <c r="LS50" s="12"/>
      <c r="LT50" s="12"/>
      <c r="LU50" s="12" t="s">
        <v>37</v>
      </c>
      <c r="LV50" s="12" t="s">
        <v>37</v>
      </c>
      <c r="LW50" s="13" t="s">
        <v>37</v>
      </c>
      <c r="LX50" s="12" t="s">
        <v>37</v>
      </c>
      <c r="LY50" s="12" t="s">
        <v>37</v>
      </c>
      <c r="LZ50" s="13" t="s">
        <v>37</v>
      </c>
      <c r="MA50" s="13"/>
      <c r="MB50" s="13"/>
      <c r="MC50" s="12"/>
      <c r="MD50" s="12"/>
      <c r="ME50" s="12" t="s">
        <v>37</v>
      </c>
      <c r="MF50" s="12" t="s">
        <v>37</v>
      </c>
      <c r="MG50" s="13" t="s">
        <v>37</v>
      </c>
      <c r="MH50" s="12" t="s">
        <v>37</v>
      </c>
      <c r="MI50" s="12" t="s">
        <v>37</v>
      </c>
      <c r="MJ50" s="13" t="s">
        <v>37</v>
      </c>
      <c r="MK50" s="13"/>
      <c r="ML50" s="13"/>
      <c r="MM50" s="12"/>
      <c r="MN50" s="12"/>
      <c r="MO50" s="12" t="s">
        <v>37</v>
      </c>
      <c r="MP50" s="12" t="s">
        <v>37</v>
      </c>
      <c r="MQ50" s="12" t="s">
        <v>37</v>
      </c>
      <c r="MR50" s="12" t="s">
        <v>37</v>
      </c>
      <c r="MS50" s="12" t="s">
        <v>37</v>
      </c>
      <c r="MT50" s="12" t="s">
        <v>37</v>
      </c>
      <c r="MU50" s="12"/>
      <c r="MV50" s="12"/>
      <c r="MW50" s="12"/>
      <c r="MX50" s="12"/>
      <c r="MY50" s="12" t="s">
        <v>37</v>
      </c>
      <c r="MZ50" s="12" t="s">
        <v>37</v>
      </c>
      <c r="NA50" s="12" t="s">
        <v>37</v>
      </c>
      <c r="NB50" s="12" t="s">
        <v>37</v>
      </c>
      <c r="NC50" s="12" t="s">
        <v>37</v>
      </c>
      <c r="ND50" s="12" t="s">
        <v>37</v>
      </c>
      <c r="NE50" s="12"/>
      <c r="NF50" s="12"/>
      <c r="NG50" s="12"/>
      <c r="NH50" s="12"/>
      <c r="NI50" s="12" t="s">
        <v>37</v>
      </c>
      <c r="NJ50" s="12" t="s">
        <v>37</v>
      </c>
      <c r="NK50" s="13" t="s">
        <v>37</v>
      </c>
      <c r="NL50" s="12" t="s">
        <v>37</v>
      </c>
      <c r="NM50" s="12" t="s">
        <v>37</v>
      </c>
      <c r="NN50" s="13" t="s">
        <v>37</v>
      </c>
      <c r="NO50" s="13"/>
      <c r="NP50" s="13"/>
      <c r="NQ50" s="12"/>
      <c r="NR50" s="12"/>
      <c r="NS50" s="12" t="s">
        <v>37</v>
      </c>
      <c r="NT50" s="12" t="s">
        <v>37</v>
      </c>
      <c r="NU50" s="12" t="s">
        <v>37</v>
      </c>
      <c r="NV50" s="12" t="s">
        <v>37</v>
      </c>
      <c r="NW50" s="12" t="s">
        <v>37</v>
      </c>
      <c r="NX50" s="12" t="s">
        <v>37</v>
      </c>
      <c r="NY50" s="12"/>
      <c r="NZ50" s="12"/>
      <c r="OA50" s="12"/>
      <c r="OB50" s="12"/>
      <c r="OC50" s="12" t="s">
        <v>37</v>
      </c>
      <c r="OD50" s="12" t="s">
        <v>37</v>
      </c>
      <c r="OE50" s="12" t="s">
        <v>37</v>
      </c>
      <c r="OF50" s="12" t="s">
        <v>37</v>
      </c>
      <c r="OG50" s="12" t="s">
        <v>37</v>
      </c>
      <c r="OH50" s="12" t="s">
        <v>37</v>
      </c>
      <c r="OI50" s="12"/>
      <c r="OJ50" s="12"/>
      <c r="OK50" s="12"/>
      <c r="OL50" s="12" t="s">
        <v>37</v>
      </c>
      <c r="OM50" s="12" t="s">
        <v>37</v>
      </c>
      <c r="ON50" s="12" t="s">
        <v>37</v>
      </c>
      <c r="OO50" s="12" t="s">
        <v>37</v>
      </c>
      <c r="OP50" s="12" t="s">
        <v>37</v>
      </c>
      <c r="OQ50" s="12" t="s">
        <v>37</v>
      </c>
      <c r="OR50" s="12"/>
      <c r="OS50" s="12" t="s">
        <v>37</v>
      </c>
      <c r="OT50" s="12" t="s">
        <v>37</v>
      </c>
      <c r="OU50" s="12" t="s">
        <v>37</v>
      </c>
      <c r="OV50" s="12" t="s">
        <v>37</v>
      </c>
      <c r="OW50" s="12" t="s">
        <v>37</v>
      </c>
      <c r="OX50" s="12" t="s">
        <v>37</v>
      </c>
      <c r="OY50" s="12"/>
      <c r="OZ50" s="12"/>
      <c r="PA50" s="12" t="s">
        <v>37</v>
      </c>
      <c r="PB50" s="12" t="s">
        <v>37</v>
      </c>
      <c r="PC50" s="12" t="s">
        <v>37</v>
      </c>
      <c r="PD50" s="12" t="s">
        <v>37</v>
      </c>
      <c r="PE50" s="12" t="s">
        <v>37</v>
      </c>
      <c r="PF50" s="12" t="s">
        <v>37</v>
      </c>
      <c r="PG50" s="12"/>
      <c r="PH50" s="12"/>
      <c r="PI50" s="12" t="s">
        <v>37</v>
      </c>
      <c r="PJ50" s="12" t="s">
        <v>37</v>
      </c>
      <c r="PK50" s="12" t="s">
        <v>37</v>
      </c>
      <c r="PL50" s="12" t="s">
        <v>37</v>
      </c>
      <c r="PM50" s="12" t="s">
        <v>37</v>
      </c>
      <c r="PN50" s="12" t="s">
        <v>37</v>
      </c>
      <c r="PO50" s="12"/>
      <c r="PP50" s="12"/>
      <c r="PQ50" s="12" t="s">
        <v>37</v>
      </c>
      <c r="PR50" s="12" t="s">
        <v>37</v>
      </c>
      <c r="PS50" s="12" t="s">
        <v>37</v>
      </c>
      <c r="PT50" s="12" t="s">
        <v>37</v>
      </c>
      <c r="PU50" s="12" t="s">
        <v>37</v>
      </c>
      <c r="PV50" s="12" t="s">
        <v>37</v>
      </c>
      <c r="PW50" s="12"/>
      <c r="PX50" s="12"/>
      <c r="PY50" s="12" t="s">
        <v>37</v>
      </c>
      <c r="PZ50" s="12" t="s">
        <v>37</v>
      </c>
      <c r="QA50" s="12" t="s">
        <v>37</v>
      </c>
      <c r="QB50" s="12" t="s">
        <v>37</v>
      </c>
      <c r="QC50" s="12" t="s">
        <v>37</v>
      </c>
      <c r="QD50" s="12" t="s">
        <v>37</v>
      </c>
      <c r="QE50" s="12"/>
      <c r="QF50" s="12"/>
      <c r="QG50" s="12" t="s">
        <v>37</v>
      </c>
      <c r="QH50" s="12" t="s">
        <v>37</v>
      </c>
      <c r="QI50" s="12" t="s">
        <v>37</v>
      </c>
      <c r="QJ50" s="12" t="s">
        <v>37</v>
      </c>
      <c r="QK50" s="12" t="s">
        <v>37</v>
      </c>
      <c r="QL50" s="12" t="s">
        <v>37</v>
      </c>
      <c r="QM50" s="12"/>
      <c r="QN50" s="12"/>
      <c r="QO50" s="12" t="s">
        <v>37</v>
      </c>
      <c r="QP50" s="12" t="s">
        <v>37</v>
      </c>
      <c r="QQ50" s="12" t="s">
        <v>37</v>
      </c>
      <c r="QR50" s="12" t="s">
        <v>37</v>
      </c>
      <c r="QS50" s="12" t="s">
        <v>37</v>
      </c>
      <c r="QT50" s="12" t="s">
        <v>37</v>
      </c>
      <c r="QU50" s="12"/>
      <c r="QV50" s="12"/>
      <c r="QW50" s="12"/>
      <c r="QX50" s="12"/>
      <c r="QY50" s="12" t="s">
        <v>37</v>
      </c>
      <c r="QZ50" s="12" t="s">
        <v>37</v>
      </c>
      <c r="RA50" s="12" t="s">
        <v>37</v>
      </c>
      <c r="RB50" s="12" t="s">
        <v>37</v>
      </c>
      <c r="RC50" s="12" t="s">
        <v>37</v>
      </c>
      <c r="RD50" s="12" t="s">
        <v>37</v>
      </c>
      <c r="RE50" s="12"/>
      <c r="RF50" s="12"/>
      <c r="RG50" s="12"/>
      <c r="RH50" s="12"/>
      <c r="RI50" s="12" t="s">
        <v>37</v>
      </c>
      <c r="RJ50" s="12" t="s">
        <v>37</v>
      </c>
      <c r="RK50" s="12" t="s">
        <v>37</v>
      </c>
      <c r="RL50" s="12" t="s">
        <v>37</v>
      </c>
      <c r="RM50" s="12" t="s">
        <v>37</v>
      </c>
      <c r="RN50" s="12" t="s">
        <v>37</v>
      </c>
      <c r="RO50" s="12"/>
      <c r="RP50" s="12"/>
      <c r="RQ50" s="12"/>
      <c r="RR50" s="12"/>
      <c r="RS50" s="12" t="s">
        <v>37</v>
      </c>
      <c r="RT50" s="12" t="s">
        <v>37</v>
      </c>
      <c r="RU50" s="12" t="s">
        <v>37</v>
      </c>
      <c r="RV50" s="12" t="s">
        <v>37</v>
      </c>
      <c r="RW50" s="12" t="s">
        <v>37</v>
      </c>
      <c r="RX50" s="12" t="s">
        <v>37</v>
      </c>
      <c r="RY50" s="12"/>
      <c r="RZ50" s="12"/>
      <c r="SA50" s="12"/>
      <c r="SB50" s="12"/>
      <c r="SC50" s="12" t="s">
        <v>37</v>
      </c>
      <c r="SD50" s="12" t="s">
        <v>37</v>
      </c>
      <c r="SE50" s="12" t="s">
        <v>37</v>
      </c>
      <c r="SF50" s="12" t="s">
        <v>37</v>
      </c>
      <c r="SG50" s="12" t="s">
        <v>37</v>
      </c>
      <c r="SH50" s="12" t="s">
        <v>37</v>
      </c>
      <c r="SI50" s="12"/>
      <c r="SJ50" s="12"/>
      <c r="SK50" s="12"/>
      <c r="SL50" s="12"/>
      <c r="SM50" s="12" t="s">
        <v>37</v>
      </c>
      <c r="SN50" s="12" t="s">
        <v>37</v>
      </c>
      <c r="SO50" s="12" t="s">
        <v>37</v>
      </c>
      <c r="SP50" s="12" t="s">
        <v>37</v>
      </c>
      <c r="SQ50" s="12" t="s">
        <v>37</v>
      </c>
      <c r="SR50" s="12" t="s">
        <v>37</v>
      </c>
      <c r="SS50" s="12"/>
      <c r="ST50" s="12"/>
      <c r="SU50" s="12"/>
      <c r="SV50" s="12"/>
      <c r="SW50" s="12" t="s">
        <v>37</v>
      </c>
      <c r="SX50" s="12" t="s">
        <v>37</v>
      </c>
      <c r="SY50" s="12" t="s">
        <v>37</v>
      </c>
      <c r="SZ50" s="12" t="s">
        <v>37</v>
      </c>
      <c r="TA50" s="12" t="s">
        <v>37</v>
      </c>
      <c r="TB50" s="12" t="s">
        <v>37</v>
      </c>
      <c r="TC50" s="12"/>
      <c r="TD50" s="12"/>
      <c r="TE50" s="12"/>
      <c r="TF50" s="12"/>
      <c r="TG50" s="12" t="s">
        <v>37</v>
      </c>
      <c r="TH50" s="12" t="s">
        <v>37</v>
      </c>
      <c r="TI50" s="12" t="s">
        <v>37</v>
      </c>
      <c r="TJ50" s="12" t="s">
        <v>37</v>
      </c>
      <c r="TK50" s="12" t="s">
        <v>37</v>
      </c>
      <c r="TL50" s="12" t="s">
        <v>37</v>
      </c>
      <c r="TM50" s="12"/>
      <c r="TN50" s="12"/>
      <c r="TO50" s="12"/>
      <c r="TP50" s="12"/>
      <c r="TQ50" s="12" t="s">
        <v>37</v>
      </c>
      <c r="TR50" s="12" t="s">
        <v>37</v>
      </c>
      <c r="TS50" s="12" t="s">
        <v>37</v>
      </c>
      <c r="TT50" s="19"/>
      <c r="TU50" s="12" t="s">
        <v>37</v>
      </c>
      <c r="TV50" s="12" t="s">
        <v>37</v>
      </c>
      <c r="TW50" s="12" t="s">
        <v>37</v>
      </c>
    </row>
    <row r="51" spans="1:544" ht="15.6" x14ac:dyDescent="0.3">
      <c r="A51" s="11">
        <v>21</v>
      </c>
      <c r="B51" s="16" t="s">
        <v>462</v>
      </c>
      <c r="C51" s="12" t="s">
        <v>26</v>
      </c>
      <c r="D51" s="12" t="s">
        <v>54</v>
      </c>
      <c r="E51" s="14">
        <v>1.4</v>
      </c>
      <c r="F51" s="14">
        <v>0</v>
      </c>
      <c r="G51" s="14">
        <v>0</v>
      </c>
      <c r="H51" s="12" t="s">
        <v>91</v>
      </c>
      <c r="I51" s="29">
        <v>45.067</v>
      </c>
      <c r="J51" s="29">
        <v>-78.75</v>
      </c>
      <c r="K51" s="12" t="s">
        <v>823</v>
      </c>
      <c r="L51" s="12" t="s">
        <v>824</v>
      </c>
      <c r="M51" s="13" t="s">
        <v>37</v>
      </c>
      <c r="N51" s="14">
        <v>4.4000000000000004</v>
      </c>
      <c r="O51" s="14">
        <v>1102</v>
      </c>
      <c r="P51" s="14" t="s">
        <v>16</v>
      </c>
      <c r="Q51" s="11" t="s">
        <v>226</v>
      </c>
      <c r="R51" s="11" t="s">
        <v>37</v>
      </c>
      <c r="S51" s="12" t="s">
        <v>93</v>
      </c>
      <c r="T51" s="12" t="s">
        <v>141</v>
      </c>
      <c r="U51" s="12" t="s">
        <v>158</v>
      </c>
      <c r="V51" s="12" t="s">
        <v>275</v>
      </c>
      <c r="W51" s="23" t="s">
        <v>464</v>
      </c>
      <c r="X51" s="12" t="s">
        <v>281</v>
      </c>
      <c r="Y51" s="12" t="s">
        <v>37</v>
      </c>
      <c r="Z51" s="12" t="s">
        <v>37</v>
      </c>
      <c r="AA51" s="32" t="s">
        <v>467</v>
      </c>
      <c r="AB51" s="12" t="s">
        <v>37</v>
      </c>
      <c r="AC51" s="12" t="s">
        <v>37</v>
      </c>
      <c r="AD51" s="12" t="s">
        <v>370</v>
      </c>
      <c r="AE51" s="12" t="s">
        <v>74</v>
      </c>
      <c r="AF51" s="12" t="s">
        <v>489</v>
      </c>
      <c r="AG51" s="12"/>
      <c r="AH51" s="32"/>
      <c r="AI51" s="12"/>
      <c r="AJ51" s="12" t="s">
        <v>37</v>
      </c>
      <c r="AK51" s="11" t="s">
        <v>37</v>
      </c>
      <c r="AL51" s="19"/>
      <c r="AM51" s="12" t="s">
        <v>37</v>
      </c>
      <c r="AN51" s="12" t="s">
        <v>37</v>
      </c>
      <c r="AO51" s="12" t="s">
        <v>37</v>
      </c>
      <c r="AP51" s="19"/>
      <c r="AQ51" s="49"/>
      <c r="AR51" s="49"/>
      <c r="AS51" s="32"/>
      <c r="AT51" s="12" t="s">
        <v>37</v>
      </c>
      <c r="AU51" s="12" t="s">
        <v>37</v>
      </c>
      <c r="AV51" s="13" t="s">
        <v>37</v>
      </c>
      <c r="AW51" s="12" t="s">
        <v>37</v>
      </c>
      <c r="AX51" s="12" t="s">
        <v>37</v>
      </c>
      <c r="AY51" s="13" t="s">
        <v>37</v>
      </c>
      <c r="AZ51" s="13"/>
      <c r="BA51" s="13"/>
      <c r="BB51" s="12"/>
      <c r="BC51" s="12" t="s">
        <v>37</v>
      </c>
      <c r="BD51" s="12" t="s">
        <v>37</v>
      </c>
      <c r="BE51" s="13" t="s">
        <v>37</v>
      </c>
      <c r="BF51" s="12" t="s">
        <v>37</v>
      </c>
      <c r="BG51" s="12" t="s">
        <v>37</v>
      </c>
      <c r="BH51" s="12" t="s">
        <v>37</v>
      </c>
      <c r="BI51" s="12"/>
      <c r="BJ51" s="12" t="s">
        <v>37</v>
      </c>
      <c r="BK51" s="12" t="s">
        <v>37</v>
      </c>
      <c r="BL51" s="12" t="s">
        <v>37</v>
      </c>
      <c r="BM51" s="12" t="s">
        <v>37</v>
      </c>
      <c r="BN51" s="12" t="s">
        <v>37</v>
      </c>
      <c r="BO51" s="12" t="s">
        <v>37</v>
      </c>
      <c r="BP51" s="19"/>
      <c r="BQ51" s="19"/>
      <c r="BR51" s="19"/>
      <c r="BS51" s="19"/>
      <c r="BT51" s="12"/>
      <c r="BU51" s="12" t="s">
        <v>37</v>
      </c>
      <c r="BV51" s="12" t="s">
        <v>37</v>
      </c>
      <c r="BW51" s="12" t="s">
        <v>37</v>
      </c>
      <c r="BX51" s="12" t="s">
        <v>37</v>
      </c>
      <c r="BY51" s="12" t="s">
        <v>37</v>
      </c>
      <c r="BZ51" s="12" t="s">
        <v>37</v>
      </c>
      <c r="CA51" s="19"/>
      <c r="CB51" s="19"/>
      <c r="CC51" s="19"/>
      <c r="CD51" s="19"/>
      <c r="CE51" s="12"/>
      <c r="CF51" s="12" t="s">
        <v>37</v>
      </c>
      <c r="CG51" s="12" t="s">
        <v>37</v>
      </c>
      <c r="CH51" s="12" t="s">
        <v>37</v>
      </c>
      <c r="CI51" s="12" t="s">
        <v>37</v>
      </c>
      <c r="CJ51" s="12" t="s">
        <v>37</v>
      </c>
      <c r="CK51" s="12" t="s">
        <v>37</v>
      </c>
      <c r="CL51" s="19"/>
      <c r="CM51" s="19"/>
      <c r="CN51" s="19"/>
      <c r="CO51" s="19"/>
      <c r="CP51" s="11" t="s">
        <v>34</v>
      </c>
      <c r="CQ51" s="12">
        <f>310/24</f>
        <v>12.916666666666666</v>
      </c>
      <c r="CR51" s="19">
        <f>2990/24</f>
        <v>124.58333333333333</v>
      </c>
      <c r="CS51" s="13">
        <v>3</v>
      </c>
      <c r="CT51" s="52">
        <f t="shared" si="270"/>
        <v>9.6451612903225801</v>
      </c>
      <c r="CU51" s="12">
        <f>246/24</f>
        <v>10.25</v>
      </c>
      <c r="CV51" s="19">
        <f>539/24</f>
        <v>22.458333333333332</v>
      </c>
      <c r="CW51" s="13">
        <v>3</v>
      </c>
      <c r="CX51" s="52">
        <f t="shared" si="271"/>
        <v>2.1910569105691056</v>
      </c>
      <c r="CY51" s="68">
        <f t="shared" si="276"/>
        <v>-2.6666666666666661</v>
      </c>
      <c r="CZ51" s="12">
        <f t="shared" si="272"/>
        <v>89.513640526334186</v>
      </c>
      <c r="DA51" s="72">
        <f t="shared" si="273"/>
        <v>5341.7945601851843</v>
      </c>
      <c r="DB51" s="72">
        <f t="shared" si="274"/>
        <v>5341.7945601851843</v>
      </c>
      <c r="DC51" s="11"/>
      <c r="DD51" s="12" t="s">
        <v>37</v>
      </c>
      <c r="DE51" s="68" t="s">
        <v>37</v>
      </c>
      <c r="DF51" s="12" t="s">
        <v>37</v>
      </c>
      <c r="DG51" s="19"/>
      <c r="DH51" s="12" t="s">
        <v>37</v>
      </c>
      <c r="DI51" s="68" t="s">
        <v>37</v>
      </c>
      <c r="DJ51" s="12" t="s">
        <v>37</v>
      </c>
      <c r="DK51" s="19"/>
      <c r="DL51" s="68"/>
      <c r="DM51" s="68"/>
      <c r="DN51" s="68"/>
      <c r="DO51" s="68"/>
      <c r="DP51" s="12" t="s">
        <v>39</v>
      </c>
      <c r="DQ51" s="12">
        <v>0</v>
      </c>
      <c r="DR51" s="60">
        <f t="shared" si="277"/>
        <v>0</v>
      </c>
      <c r="DS51" s="13">
        <v>3</v>
      </c>
      <c r="DT51" s="19"/>
      <c r="DU51" s="12">
        <v>-40</v>
      </c>
      <c r="DV51" s="60">
        <f t="shared" si="275"/>
        <v>13.824510498816489</v>
      </c>
      <c r="DW51" s="13">
        <v>3</v>
      </c>
      <c r="DX51" s="19"/>
      <c r="DY51" s="19">
        <f t="shared" si="247"/>
        <v>-40</v>
      </c>
      <c r="DZ51" s="12">
        <f t="shared" si="248"/>
        <v>9.7754051202977603</v>
      </c>
      <c r="EA51" s="72">
        <f t="shared" si="164"/>
        <v>63.705696843962443</v>
      </c>
      <c r="EB51" s="72">
        <f t="shared" si="165"/>
        <v>63.705696843962443</v>
      </c>
      <c r="EC51" s="12"/>
      <c r="ED51" s="12"/>
      <c r="EE51" s="12" t="s">
        <v>37</v>
      </c>
      <c r="EF51" s="12" t="s">
        <v>37</v>
      </c>
      <c r="EG51" s="12" t="s">
        <v>37</v>
      </c>
      <c r="EH51" s="19"/>
      <c r="EI51" s="12" t="s">
        <v>37</v>
      </c>
      <c r="EJ51" s="20" t="s">
        <v>37</v>
      </c>
      <c r="EK51" s="12" t="s">
        <v>37</v>
      </c>
      <c r="EL51" s="19"/>
      <c r="EM51" s="19"/>
      <c r="EN51" s="19"/>
      <c r="EO51" s="19"/>
      <c r="EP51" s="19"/>
      <c r="EQ51" s="32"/>
      <c r="ER51" s="12" t="s">
        <v>37</v>
      </c>
      <c r="ES51" s="12" t="s">
        <v>37</v>
      </c>
      <c r="ET51" s="12" t="s">
        <v>37</v>
      </c>
      <c r="EU51" s="19"/>
      <c r="EV51" s="12" t="s">
        <v>37</v>
      </c>
      <c r="EW51" s="12" t="s">
        <v>37</v>
      </c>
      <c r="EX51" s="12" t="s">
        <v>37</v>
      </c>
      <c r="EY51" s="19"/>
      <c r="EZ51" s="19"/>
      <c r="FA51" s="19"/>
      <c r="FB51" s="19"/>
      <c r="FC51" s="32"/>
      <c r="FD51" s="12" t="s">
        <v>37</v>
      </c>
      <c r="FE51" s="12" t="s">
        <v>37</v>
      </c>
      <c r="FF51" s="12" t="s">
        <v>37</v>
      </c>
      <c r="FG51" s="12" t="s">
        <v>37</v>
      </c>
      <c r="FH51" s="12" t="s">
        <v>37</v>
      </c>
      <c r="FI51" s="12" t="s">
        <v>37</v>
      </c>
      <c r="FJ51" s="19"/>
      <c r="FK51" s="19"/>
      <c r="FL51" s="19"/>
      <c r="FM51" s="32"/>
      <c r="FN51" s="12" t="s">
        <v>37</v>
      </c>
      <c r="FO51" s="12" t="s">
        <v>37</v>
      </c>
      <c r="FP51" s="12" t="s">
        <v>37</v>
      </c>
      <c r="FQ51" s="12" t="s">
        <v>37</v>
      </c>
      <c r="FR51" s="12" t="s">
        <v>37</v>
      </c>
      <c r="FS51" s="12" t="s">
        <v>37</v>
      </c>
      <c r="FT51" s="19"/>
      <c r="FU51" s="19"/>
      <c r="FV51" s="19"/>
      <c r="FW51" s="12"/>
      <c r="FX51" s="12"/>
      <c r="FY51" s="12" t="s">
        <v>37</v>
      </c>
      <c r="FZ51" s="12" t="s">
        <v>37</v>
      </c>
      <c r="GA51" s="13" t="s">
        <v>37</v>
      </c>
      <c r="GB51" s="12" t="s">
        <v>37</v>
      </c>
      <c r="GC51" s="12" t="s">
        <v>37</v>
      </c>
      <c r="GD51" s="13" t="s">
        <v>37</v>
      </c>
      <c r="GE51" s="19"/>
      <c r="GF51" s="19"/>
      <c r="GG51" s="12"/>
      <c r="GH51" s="12"/>
      <c r="GI51" s="12" t="s">
        <v>37</v>
      </c>
      <c r="GJ51" s="12" t="s">
        <v>37</v>
      </c>
      <c r="GK51" s="12" t="s">
        <v>37</v>
      </c>
      <c r="GL51" s="19"/>
      <c r="GM51" s="12" t="s">
        <v>37</v>
      </c>
      <c r="GN51" s="12" t="s">
        <v>37</v>
      </c>
      <c r="GO51" s="12" t="s">
        <v>37</v>
      </c>
      <c r="GP51" s="19"/>
      <c r="GQ51" s="19"/>
      <c r="GR51" s="19"/>
      <c r="GS51" s="17"/>
      <c r="GT51" s="34"/>
      <c r="GU51" s="12" t="s">
        <v>37</v>
      </c>
      <c r="GV51" s="12" t="s">
        <v>37</v>
      </c>
      <c r="GW51" s="12" t="s">
        <v>37</v>
      </c>
      <c r="GX51" s="19"/>
      <c r="GY51" s="12" t="s">
        <v>37</v>
      </c>
      <c r="GZ51" s="12" t="s">
        <v>37</v>
      </c>
      <c r="HA51" s="12" t="s">
        <v>37</v>
      </c>
      <c r="HB51" s="19"/>
      <c r="HC51" s="19"/>
      <c r="HD51" s="19"/>
      <c r="HE51" s="34"/>
      <c r="HF51" s="12" t="s">
        <v>37</v>
      </c>
      <c r="HG51" s="12" t="s">
        <v>37</v>
      </c>
      <c r="HH51" s="13" t="s">
        <v>37</v>
      </c>
      <c r="HI51" s="12" t="s">
        <v>37</v>
      </c>
      <c r="HJ51" s="12" t="s">
        <v>37</v>
      </c>
      <c r="HK51" s="13" t="s">
        <v>37</v>
      </c>
      <c r="HL51" s="13"/>
      <c r="HM51" s="13"/>
      <c r="HN51" s="34"/>
      <c r="HO51" s="12" t="s">
        <v>37</v>
      </c>
      <c r="HP51" s="12" t="s">
        <v>37</v>
      </c>
      <c r="HQ51" s="13" t="s">
        <v>37</v>
      </c>
      <c r="HR51" s="12" t="s">
        <v>37</v>
      </c>
      <c r="HS51" s="12" t="s">
        <v>37</v>
      </c>
      <c r="HT51" s="13" t="s">
        <v>37</v>
      </c>
      <c r="HU51" s="13"/>
      <c r="HV51" s="13"/>
      <c r="HW51" s="12"/>
      <c r="HX51" s="12"/>
      <c r="HY51" s="12" t="s">
        <v>37</v>
      </c>
      <c r="HZ51" s="12" t="s">
        <v>37</v>
      </c>
      <c r="IA51" s="12" t="s">
        <v>37</v>
      </c>
      <c r="IB51" s="12" t="s">
        <v>37</v>
      </c>
      <c r="IC51" s="12" t="s">
        <v>37</v>
      </c>
      <c r="ID51" s="12" t="s">
        <v>37</v>
      </c>
      <c r="IE51" s="12"/>
      <c r="IF51" s="32" t="s">
        <v>345</v>
      </c>
      <c r="IG51" s="12">
        <v>5.7</v>
      </c>
      <c r="IH51" s="12" t="s">
        <v>37</v>
      </c>
      <c r="II51" s="13" t="s">
        <v>37</v>
      </c>
      <c r="IJ51" s="19"/>
      <c r="IK51" s="12" t="s">
        <v>37</v>
      </c>
      <c r="IL51" s="12" t="s">
        <v>37</v>
      </c>
      <c r="IM51" s="13" t="s">
        <v>37</v>
      </c>
      <c r="IN51" s="19"/>
      <c r="IO51" s="19"/>
      <c r="IP51" s="19"/>
      <c r="IQ51" s="32"/>
      <c r="IR51" s="12" t="s">
        <v>37</v>
      </c>
      <c r="IS51" s="12" t="s">
        <v>37</v>
      </c>
      <c r="IT51" s="13" t="s">
        <v>37</v>
      </c>
      <c r="IU51" s="12" t="s">
        <v>37</v>
      </c>
      <c r="IV51" s="12" t="s">
        <v>37</v>
      </c>
      <c r="IW51" s="12" t="s">
        <v>37</v>
      </c>
      <c r="IX51" s="32"/>
      <c r="IY51" s="12" t="s">
        <v>37</v>
      </c>
      <c r="IZ51" s="12" t="s">
        <v>37</v>
      </c>
      <c r="JA51" s="13" t="s">
        <v>37</v>
      </c>
      <c r="JB51" s="12" t="s">
        <v>37</v>
      </c>
      <c r="JC51" s="12" t="s">
        <v>37</v>
      </c>
      <c r="JD51" s="12" t="s">
        <v>37</v>
      </c>
      <c r="JE51" s="12"/>
      <c r="JF51" s="12"/>
      <c r="JG51" s="12" t="s">
        <v>37</v>
      </c>
      <c r="JH51" s="12" t="s">
        <v>37</v>
      </c>
      <c r="JI51" s="13" t="s">
        <v>37</v>
      </c>
      <c r="JJ51" s="12" t="s">
        <v>37</v>
      </c>
      <c r="JK51" s="12" t="s">
        <v>37</v>
      </c>
      <c r="JL51" s="12" t="s">
        <v>37</v>
      </c>
      <c r="JM51" s="12"/>
      <c r="JN51" s="32"/>
      <c r="JO51" s="12" t="s">
        <v>37</v>
      </c>
      <c r="JP51" s="12" t="s">
        <v>37</v>
      </c>
      <c r="JQ51" s="11" t="s">
        <v>37</v>
      </c>
      <c r="JR51" s="19"/>
      <c r="JS51" s="12" t="s">
        <v>37</v>
      </c>
      <c r="JT51" s="12" t="s">
        <v>37</v>
      </c>
      <c r="JU51" s="12" t="s">
        <v>37</v>
      </c>
      <c r="JV51" s="19"/>
      <c r="JW51" s="19"/>
      <c r="JX51" s="19"/>
      <c r="JY51" s="32"/>
      <c r="JZ51" s="12" t="s">
        <v>37</v>
      </c>
      <c r="KA51" s="12" t="s">
        <v>37</v>
      </c>
      <c r="KB51" s="12" t="s">
        <v>37</v>
      </c>
      <c r="KC51" s="12" t="s">
        <v>37</v>
      </c>
      <c r="KD51" s="12" t="s">
        <v>37</v>
      </c>
      <c r="KE51" s="12" t="s">
        <v>37</v>
      </c>
      <c r="KF51" s="12"/>
      <c r="KG51" s="12"/>
      <c r="KH51" s="32"/>
      <c r="KI51" s="12" t="s">
        <v>37</v>
      </c>
      <c r="KJ51" s="12" t="s">
        <v>37</v>
      </c>
      <c r="KK51" s="12" t="s">
        <v>37</v>
      </c>
      <c r="KL51" s="12" t="s">
        <v>37</v>
      </c>
      <c r="KM51" s="12" t="s">
        <v>37</v>
      </c>
      <c r="KN51" s="12" t="s">
        <v>37</v>
      </c>
      <c r="KO51" s="12"/>
      <c r="KP51" s="12"/>
      <c r="KQ51" s="12"/>
      <c r="KR51" s="12"/>
      <c r="KS51" s="12" t="s">
        <v>37</v>
      </c>
      <c r="KT51" s="12" t="s">
        <v>37</v>
      </c>
      <c r="KU51" s="12" t="s">
        <v>37</v>
      </c>
      <c r="KV51" s="19"/>
      <c r="KW51" s="12" t="s">
        <v>37</v>
      </c>
      <c r="KX51" s="12" t="s">
        <v>37</v>
      </c>
      <c r="KY51" s="12" t="s">
        <v>37</v>
      </c>
      <c r="KZ51" s="19"/>
      <c r="LA51" s="19"/>
      <c r="LB51" s="19"/>
      <c r="LC51" s="12"/>
      <c r="LD51" s="12" t="s">
        <v>37</v>
      </c>
      <c r="LE51" s="12" t="s">
        <v>37</v>
      </c>
      <c r="LF51" s="12" t="s">
        <v>37</v>
      </c>
      <c r="LG51" s="19" t="s">
        <v>37</v>
      </c>
      <c r="LH51" s="19" t="s">
        <v>37</v>
      </c>
      <c r="LI51" s="12" t="s">
        <v>37</v>
      </c>
      <c r="LJ51" s="12"/>
      <c r="LK51" s="12"/>
      <c r="LL51" s="12"/>
      <c r="LM51" s="12" t="s">
        <v>37</v>
      </c>
      <c r="LN51" s="12" t="s">
        <v>37</v>
      </c>
      <c r="LO51" s="12" t="s">
        <v>37</v>
      </c>
      <c r="LP51" s="12" t="s">
        <v>37</v>
      </c>
      <c r="LQ51" s="12" t="s">
        <v>37</v>
      </c>
      <c r="LR51" s="12" t="s">
        <v>37</v>
      </c>
      <c r="LS51" s="12"/>
      <c r="LT51" s="12"/>
      <c r="LU51" s="12" t="s">
        <v>37</v>
      </c>
      <c r="LV51" s="12" t="s">
        <v>37</v>
      </c>
      <c r="LW51" s="13" t="s">
        <v>37</v>
      </c>
      <c r="LX51" s="12" t="s">
        <v>37</v>
      </c>
      <c r="LY51" s="12" t="s">
        <v>37</v>
      </c>
      <c r="LZ51" s="13" t="s">
        <v>37</v>
      </c>
      <c r="MA51" s="13"/>
      <c r="MB51" s="13"/>
      <c r="MC51" s="12"/>
      <c r="MD51" s="12"/>
      <c r="ME51" s="12" t="s">
        <v>37</v>
      </c>
      <c r="MF51" s="12" t="s">
        <v>37</v>
      </c>
      <c r="MG51" s="13" t="s">
        <v>37</v>
      </c>
      <c r="MH51" s="12" t="s">
        <v>37</v>
      </c>
      <c r="MI51" s="12" t="s">
        <v>37</v>
      </c>
      <c r="MJ51" s="13" t="s">
        <v>37</v>
      </c>
      <c r="MK51" s="13"/>
      <c r="ML51" s="13"/>
      <c r="MM51" s="12"/>
      <c r="MN51" s="12"/>
      <c r="MO51" s="12" t="s">
        <v>37</v>
      </c>
      <c r="MP51" s="12" t="s">
        <v>37</v>
      </c>
      <c r="MQ51" s="12" t="s">
        <v>37</v>
      </c>
      <c r="MR51" s="12" t="s">
        <v>37</v>
      </c>
      <c r="MS51" s="12" t="s">
        <v>37</v>
      </c>
      <c r="MT51" s="12" t="s">
        <v>37</v>
      </c>
      <c r="MU51" s="12"/>
      <c r="MV51" s="12"/>
      <c r="MW51" s="12"/>
      <c r="MX51" s="12"/>
      <c r="MY51" s="12" t="s">
        <v>37</v>
      </c>
      <c r="MZ51" s="12" t="s">
        <v>37</v>
      </c>
      <c r="NA51" s="12" t="s">
        <v>37</v>
      </c>
      <c r="NB51" s="12" t="s">
        <v>37</v>
      </c>
      <c r="NC51" s="12" t="s">
        <v>37</v>
      </c>
      <c r="ND51" s="12" t="s">
        <v>37</v>
      </c>
      <c r="NE51" s="12"/>
      <c r="NF51" s="12"/>
      <c r="NG51" s="12"/>
      <c r="NH51" s="12"/>
      <c r="NI51" s="12" t="s">
        <v>37</v>
      </c>
      <c r="NJ51" s="12" t="s">
        <v>37</v>
      </c>
      <c r="NK51" s="13" t="s">
        <v>37</v>
      </c>
      <c r="NL51" s="12" t="s">
        <v>37</v>
      </c>
      <c r="NM51" s="12" t="s">
        <v>37</v>
      </c>
      <c r="NN51" s="13" t="s">
        <v>37</v>
      </c>
      <c r="NO51" s="13"/>
      <c r="NP51" s="13"/>
      <c r="NQ51" s="12"/>
      <c r="NR51" s="12"/>
      <c r="NS51" s="12" t="s">
        <v>37</v>
      </c>
      <c r="NT51" s="12" t="s">
        <v>37</v>
      </c>
      <c r="NU51" s="12" t="s">
        <v>37</v>
      </c>
      <c r="NV51" s="12" t="s">
        <v>37</v>
      </c>
      <c r="NW51" s="12" t="s">
        <v>37</v>
      </c>
      <c r="NX51" s="12" t="s">
        <v>37</v>
      </c>
      <c r="NY51" s="12"/>
      <c r="NZ51" s="12"/>
      <c r="OA51" s="12"/>
      <c r="OB51" s="12"/>
      <c r="OC51" s="12" t="s">
        <v>37</v>
      </c>
      <c r="OD51" s="12" t="s">
        <v>37</v>
      </c>
      <c r="OE51" s="12" t="s">
        <v>37</v>
      </c>
      <c r="OF51" s="12" t="s">
        <v>37</v>
      </c>
      <c r="OG51" s="12" t="s">
        <v>37</v>
      </c>
      <c r="OH51" s="12" t="s">
        <v>37</v>
      </c>
      <c r="OI51" s="12"/>
      <c r="OJ51" s="12"/>
      <c r="OK51" s="12"/>
      <c r="OL51" s="12" t="s">
        <v>37</v>
      </c>
      <c r="OM51" s="12" t="s">
        <v>37</v>
      </c>
      <c r="ON51" s="12" t="s">
        <v>37</v>
      </c>
      <c r="OO51" s="12" t="s">
        <v>37</v>
      </c>
      <c r="OP51" s="12" t="s">
        <v>37</v>
      </c>
      <c r="OQ51" s="12" t="s">
        <v>37</v>
      </c>
      <c r="OR51" s="12"/>
      <c r="OS51" s="12" t="s">
        <v>37</v>
      </c>
      <c r="OT51" s="12" t="s">
        <v>37</v>
      </c>
      <c r="OU51" s="12" t="s">
        <v>37</v>
      </c>
      <c r="OV51" s="12" t="s">
        <v>37</v>
      </c>
      <c r="OW51" s="12" t="s">
        <v>37</v>
      </c>
      <c r="OX51" s="12" t="s">
        <v>37</v>
      </c>
      <c r="OY51" s="12"/>
      <c r="OZ51" s="12"/>
      <c r="PA51" s="12" t="s">
        <v>37</v>
      </c>
      <c r="PB51" s="12" t="s">
        <v>37</v>
      </c>
      <c r="PC51" s="12" t="s">
        <v>37</v>
      </c>
      <c r="PD51" s="12" t="s">
        <v>37</v>
      </c>
      <c r="PE51" s="12" t="s">
        <v>37</v>
      </c>
      <c r="PF51" s="12" t="s">
        <v>37</v>
      </c>
      <c r="PG51" s="12"/>
      <c r="PH51" s="12"/>
      <c r="PI51" s="12" t="s">
        <v>37</v>
      </c>
      <c r="PJ51" s="12" t="s">
        <v>37</v>
      </c>
      <c r="PK51" s="12" t="s">
        <v>37</v>
      </c>
      <c r="PL51" s="12" t="s">
        <v>37</v>
      </c>
      <c r="PM51" s="12" t="s">
        <v>37</v>
      </c>
      <c r="PN51" s="12" t="s">
        <v>37</v>
      </c>
      <c r="PO51" s="12"/>
      <c r="PP51" s="12"/>
      <c r="PQ51" s="12" t="s">
        <v>37</v>
      </c>
      <c r="PR51" s="12" t="s">
        <v>37</v>
      </c>
      <c r="PS51" s="12" t="s">
        <v>37</v>
      </c>
      <c r="PT51" s="12" t="s">
        <v>37</v>
      </c>
      <c r="PU51" s="12" t="s">
        <v>37</v>
      </c>
      <c r="PV51" s="12" t="s">
        <v>37</v>
      </c>
      <c r="PW51" s="12"/>
      <c r="PX51" s="12"/>
      <c r="PY51" s="12" t="s">
        <v>37</v>
      </c>
      <c r="PZ51" s="12" t="s">
        <v>37</v>
      </c>
      <c r="QA51" s="12" t="s">
        <v>37</v>
      </c>
      <c r="QB51" s="12" t="s">
        <v>37</v>
      </c>
      <c r="QC51" s="12" t="s">
        <v>37</v>
      </c>
      <c r="QD51" s="12" t="s">
        <v>37</v>
      </c>
      <c r="QE51" s="12"/>
      <c r="QF51" s="12"/>
      <c r="QG51" s="12" t="s">
        <v>37</v>
      </c>
      <c r="QH51" s="12" t="s">
        <v>37</v>
      </c>
      <c r="QI51" s="12" t="s">
        <v>37</v>
      </c>
      <c r="QJ51" s="12" t="s">
        <v>37</v>
      </c>
      <c r="QK51" s="12" t="s">
        <v>37</v>
      </c>
      <c r="QL51" s="12" t="s">
        <v>37</v>
      </c>
      <c r="QM51" s="12"/>
      <c r="QN51" s="12"/>
      <c r="QO51" s="12" t="s">
        <v>37</v>
      </c>
      <c r="QP51" s="12" t="s">
        <v>37</v>
      </c>
      <c r="QQ51" s="12" t="s">
        <v>37</v>
      </c>
      <c r="QR51" s="12" t="s">
        <v>37</v>
      </c>
      <c r="QS51" s="12" t="s">
        <v>37</v>
      </c>
      <c r="QT51" s="12" t="s">
        <v>37</v>
      </c>
      <c r="QU51" s="12"/>
      <c r="QV51" s="12"/>
      <c r="QW51" s="12"/>
      <c r="QX51" s="12"/>
      <c r="QY51" s="12" t="s">
        <v>37</v>
      </c>
      <c r="QZ51" s="12" t="s">
        <v>37</v>
      </c>
      <c r="RA51" s="12" t="s">
        <v>37</v>
      </c>
      <c r="RB51" s="12" t="s">
        <v>37</v>
      </c>
      <c r="RC51" s="12" t="s">
        <v>37</v>
      </c>
      <c r="RD51" s="12" t="s">
        <v>37</v>
      </c>
      <c r="RE51" s="12"/>
      <c r="RF51" s="12"/>
      <c r="RG51" s="12"/>
      <c r="RH51" s="12"/>
      <c r="RI51" s="12" t="s">
        <v>37</v>
      </c>
      <c r="RJ51" s="12" t="s">
        <v>37</v>
      </c>
      <c r="RK51" s="12" t="s">
        <v>37</v>
      </c>
      <c r="RL51" s="12" t="s">
        <v>37</v>
      </c>
      <c r="RM51" s="12" t="s">
        <v>37</v>
      </c>
      <c r="RN51" s="12" t="s">
        <v>37</v>
      </c>
      <c r="RO51" s="12"/>
      <c r="RP51" s="12"/>
      <c r="RQ51" s="12"/>
      <c r="RR51" s="12"/>
      <c r="RS51" s="12" t="s">
        <v>37</v>
      </c>
      <c r="RT51" s="12" t="s">
        <v>37</v>
      </c>
      <c r="RU51" s="12" t="s">
        <v>37</v>
      </c>
      <c r="RV51" s="12" t="s">
        <v>37</v>
      </c>
      <c r="RW51" s="12" t="s">
        <v>37</v>
      </c>
      <c r="RX51" s="12" t="s">
        <v>37</v>
      </c>
      <c r="RY51" s="12"/>
      <c r="RZ51" s="12"/>
      <c r="SA51" s="12"/>
      <c r="SB51" s="12"/>
      <c r="SC51" s="12" t="s">
        <v>37</v>
      </c>
      <c r="SD51" s="12" t="s">
        <v>37</v>
      </c>
      <c r="SE51" s="12" t="s">
        <v>37</v>
      </c>
      <c r="SF51" s="12" t="s">
        <v>37</v>
      </c>
      <c r="SG51" s="12" t="s">
        <v>37</v>
      </c>
      <c r="SH51" s="12" t="s">
        <v>37</v>
      </c>
      <c r="SI51" s="12"/>
      <c r="SJ51" s="12"/>
      <c r="SK51" s="12"/>
      <c r="SL51" s="12"/>
      <c r="SM51" s="12" t="s">
        <v>37</v>
      </c>
      <c r="SN51" s="12" t="s">
        <v>37</v>
      </c>
      <c r="SO51" s="12" t="s">
        <v>37</v>
      </c>
      <c r="SP51" s="12" t="s">
        <v>37</v>
      </c>
      <c r="SQ51" s="12" t="s">
        <v>37</v>
      </c>
      <c r="SR51" s="12" t="s">
        <v>37</v>
      </c>
      <c r="SS51" s="12"/>
      <c r="ST51" s="12"/>
      <c r="SU51" s="12"/>
      <c r="SV51" s="12"/>
      <c r="SW51" s="12" t="s">
        <v>37</v>
      </c>
      <c r="SX51" s="12" t="s">
        <v>37</v>
      </c>
      <c r="SY51" s="12" t="s">
        <v>37</v>
      </c>
      <c r="SZ51" s="12" t="s">
        <v>37</v>
      </c>
      <c r="TA51" s="12" t="s">
        <v>37</v>
      </c>
      <c r="TB51" s="12" t="s">
        <v>37</v>
      </c>
      <c r="TC51" s="12"/>
      <c r="TD51" s="12"/>
      <c r="TE51" s="12"/>
      <c r="TF51" s="12"/>
      <c r="TG51" s="12" t="s">
        <v>37</v>
      </c>
      <c r="TH51" s="12" t="s">
        <v>37</v>
      </c>
      <c r="TI51" s="12" t="s">
        <v>37</v>
      </c>
      <c r="TJ51" s="12" t="s">
        <v>37</v>
      </c>
      <c r="TK51" s="12" t="s">
        <v>37</v>
      </c>
      <c r="TL51" s="12" t="s">
        <v>37</v>
      </c>
      <c r="TM51" s="12"/>
      <c r="TN51" s="12"/>
      <c r="TO51" s="12"/>
      <c r="TP51" s="12"/>
      <c r="TQ51" s="12" t="s">
        <v>37</v>
      </c>
      <c r="TR51" s="12" t="s">
        <v>37</v>
      </c>
      <c r="TS51" s="12" t="s">
        <v>37</v>
      </c>
      <c r="TT51" s="19"/>
      <c r="TU51" s="12" t="s">
        <v>37</v>
      </c>
      <c r="TV51" s="12" t="s">
        <v>37</v>
      </c>
      <c r="TW51" s="12" t="s">
        <v>37</v>
      </c>
    </row>
    <row r="52" spans="1:544" ht="15.6" x14ac:dyDescent="0.3">
      <c r="A52" s="11">
        <v>21</v>
      </c>
      <c r="B52" s="16" t="s">
        <v>462</v>
      </c>
      <c r="C52" s="12" t="s">
        <v>26</v>
      </c>
      <c r="D52" s="12" t="s">
        <v>54</v>
      </c>
      <c r="E52" s="14">
        <v>1.3</v>
      </c>
      <c r="F52" s="14">
        <v>0</v>
      </c>
      <c r="G52" s="14">
        <v>0</v>
      </c>
      <c r="H52" s="12" t="s">
        <v>91</v>
      </c>
      <c r="I52" s="29">
        <v>54.8</v>
      </c>
      <c r="J52" s="29">
        <v>-66.816999999999993</v>
      </c>
      <c r="K52" s="12" t="s">
        <v>825</v>
      </c>
      <c r="L52" s="12" t="s">
        <v>826</v>
      </c>
      <c r="M52" s="13" t="s">
        <v>37</v>
      </c>
      <c r="N52" s="14" t="s">
        <v>37</v>
      </c>
      <c r="O52" s="14" t="s">
        <v>37</v>
      </c>
      <c r="P52" s="14" t="s">
        <v>84</v>
      </c>
      <c r="Q52" s="11" t="s">
        <v>226</v>
      </c>
      <c r="R52" s="11" t="s">
        <v>37</v>
      </c>
      <c r="S52" s="12" t="s">
        <v>85</v>
      </c>
      <c r="T52" s="12" t="s">
        <v>138</v>
      </c>
      <c r="U52" s="12" t="s">
        <v>158</v>
      </c>
      <c r="V52" s="12" t="s">
        <v>275</v>
      </c>
      <c r="W52" s="23" t="s">
        <v>465</v>
      </c>
      <c r="X52" s="12" t="s">
        <v>280</v>
      </c>
      <c r="Y52" s="12" t="s">
        <v>37</v>
      </c>
      <c r="Z52" s="12" t="s">
        <v>37</v>
      </c>
      <c r="AA52" s="32" t="s">
        <v>467</v>
      </c>
      <c r="AB52" s="12" t="s">
        <v>37</v>
      </c>
      <c r="AC52" s="12" t="s">
        <v>37</v>
      </c>
      <c r="AD52" s="12" t="s">
        <v>370</v>
      </c>
      <c r="AE52" s="12" t="s">
        <v>74</v>
      </c>
      <c r="AF52" s="12" t="s">
        <v>489</v>
      </c>
      <c r="AG52" s="12"/>
      <c r="AH52" s="32"/>
      <c r="AI52" s="12"/>
      <c r="AJ52" s="12" t="s">
        <v>37</v>
      </c>
      <c r="AK52" s="11" t="s">
        <v>37</v>
      </c>
      <c r="AL52" s="19"/>
      <c r="AM52" s="12" t="s">
        <v>37</v>
      </c>
      <c r="AN52" s="12" t="s">
        <v>37</v>
      </c>
      <c r="AO52" s="12" t="s">
        <v>37</v>
      </c>
      <c r="AP52" s="19"/>
      <c r="AQ52" s="49"/>
      <c r="AR52" s="49"/>
      <c r="AS52" s="32"/>
      <c r="AT52" s="12" t="s">
        <v>37</v>
      </c>
      <c r="AU52" s="12" t="s">
        <v>37</v>
      </c>
      <c r="AV52" s="13" t="s">
        <v>37</v>
      </c>
      <c r="AW52" s="12" t="s">
        <v>37</v>
      </c>
      <c r="AX52" s="12" t="s">
        <v>37</v>
      </c>
      <c r="AY52" s="13" t="s">
        <v>37</v>
      </c>
      <c r="AZ52" s="13"/>
      <c r="BA52" s="13"/>
      <c r="BB52" s="12"/>
      <c r="BC52" s="12" t="s">
        <v>37</v>
      </c>
      <c r="BD52" s="12" t="s">
        <v>37</v>
      </c>
      <c r="BE52" s="13" t="s">
        <v>37</v>
      </c>
      <c r="BF52" s="12" t="s">
        <v>37</v>
      </c>
      <c r="BG52" s="12" t="s">
        <v>37</v>
      </c>
      <c r="BH52" s="12" t="s">
        <v>37</v>
      </c>
      <c r="BI52" s="12"/>
      <c r="BJ52" s="12" t="s">
        <v>37</v>
      </c>
      <c r="BK52" s="12" t="s">
        <v>37</v>
      </c>
      <c r="BL52" s="12" t="s">
        <v>37</v>
      </c>
      <c r="BM52" s="12" t="s">
        <v>37</v>
      </c>
      <c r="BN52" s="12" t="s">
        <v>37</v>
      </c>
      <c r="BO52" s="12" t="s">
        <v>37</v>
      </c>
      <c r="BP52" s="19"/>
      <c r="BQ52" s="19"/>
      <c r="BR52" s="19"/>
      <c r="BS52" s="19"/>
      <c r="BT52" s="12"/>
      <c r="BU52" s="12" t="s">
        <v>37</v>
      </c>
      <c r="BV52" s="12" t="s">
        <v>37</v>
      </c>
      <c r="BW52" s="12" t="s">
        <v>37</v>
      </c>
      <c r="BX52" s="12" t="s">
        <v>37</v>
      </c>
      <c r="BY52" s="12" t="s">
        <v>37</v>
      </c>
      <c r="BZ52" s="12" t="s">
        <v>37</v>
      </c>
      <c r="CA52" s="19"/>
      <c r="CB52" s="19"/>
      <c r="CC52" s="19"/>
      <c r="CD52" s="19"/>
      <c r="CE52" s="12"/>
      <c r="CF52" s="12" t="s">
        <v>37</v>
      </c>
      <c r="CG52" s="12" t="s">
        <v>37</v>
      </c>
      <c r="CH52" s="12" t="s">
        <v>37</v>
      </c>
      <c r="CI52" s="12" t="s">
        <v>37</v>
      </c>
      <c r="CJ52" s="12" t="s">
        <v>37</v>
      </c>
      <c r="CK52" s="12" t="s">
        <v>37</v>
      </c>
      <c r="CL52" s="19"/>
      <c r="CM52" s="19"/>
      <c r="CN52" s="19"/>
      <c r="CO52" s="19"/>
      <c r="CP52" s="11" t="s">
        <v>34</v>
      </c>
      <c r="CQ52" s="12">
        <f>555/24</f>
        <v>23.125</v>
      </c>
      <c r="CR52" s="19">
        <f>400/24</f>
        <v>16.666666666666668</v>
      </c>
      <c r="CS52" s="13">
        <v>3</v>
      </c>
      <c r="CT52" s="52">
        <f t="shared" si="270"/>
        <v>0.7207207207207208</v>
      </c>
      <c r="CU52" s="12">
        <f>61.5/24</f>
        <v>2.5625</v>
      </c>
      <c r="CV52" s="19">
        <f>118/24</f>
        <v>4.916666666666667</v>
      </c>
      <c r="CW52" s="13">
        <v>3</v>
      </c>
      <c r="CX52" s="52">
        <f t="shared" si="271"/>
        <v>1.9186991869918701</v>
      </c>
      <c r="CY52" s="68">
        <f t="shared" si="276"/>
        <v>-20.5625</v>
      </c>
      <c r="CZ52" s="12">
        <f t="shared" si="272"/>
        <v>12.287216708614057</v>
      </c>
      <c r="DA52" s="72">
        <f t="shared" si="273"/>
        <v>100.65046296296296</v>
      </c>
      <c r="DB52" s="72">
        <f t="shared" si="274"/>
        <v>100.65046296296298</v>
      </c>
      <c r="DC52" s="11"/>
      <c r="DD52" s="12" t="s">
        <v>37</v>
      </c>
      <c r="DE52" s="68" t="s">
        <v>37</v>
      </c>
      <c r="DF52" s="12" t="s">
        <v>37</v>
      </c>
      <c r="DG52" s="19"/>
      <c r="DH52" s="12" t="s">
        <v>37</v>
      </c>
      <c r="DI52" s="68" t="s">
        <v>37</v>
      </c>
      <c r="DJ52" s="12" t="s">
        <v>37</v>
      </c>
      <c r="DK52" s="19"/>
      <c r="DL52" s="68"/>
      <c r="DM52" s="68"/>
      <c r="DN52" s="68"/>
      <c r="DO52" s="68"/>
      <c r="DP52" s="12" t="s">
        <v>39</v>
      </c>
      <c r="DQ52" s="12">
        <v>0</v>
      </c>
      <c r="DR52" s="60">
        <f t="shared" si="277"/>
        <v>0</v>
      </c>
      <c r="DS52" s="13">
        <v>3</v>
      </c>
      <c r="DT52" s="19"/>
      <c r="DU52" s="12">
        <v>-40</v>
      </c>
      <c r="DV52" s="60">
        <f t="shared" si="275"/>
        <v>13.824510498816489</v>
      </c>
      <c r="DW52" s="13">
        <v>3</v>
      </c>
      <c r="DX52" s="19"/>
      <c r="DY52" s="19">
        <f t="shared" si="247"/>
        <v>-40</v>
      </c>
      <c r="DZ52" s="12">
        <f t="shared" si="248"/>
        <v>9.7754051202977603</v>
      </c>
      <c r="EA52" s="72">
        <f t="shared" si="164"/>
        <v>63.705696843962443</v>
      </c>
      <c r="EB52" s="72">
        <f t="shared" si="165"/>
        <v>63.705696843962443</v>
      </c>
      <c r="EC52" s="12"/>
      <c r="ED52" s="12"/>
      <c r="EE52" s="12" t="s">
        <v>37</v>
      </c>
      <c r="EF52" s="12" t="s">
        <v>37</v>
      </c>
      <c r="EG52" s="12" t="s">
        <v>37</v>
      </c>
      <c r="EH52" s="19"/>
      <c r="EI52" s="12" t="s">
        <v>37</v>
      </c>
      <c r="EJ52" s="20" t="s">
        <v>37</v>
      </c>
      <c r="EK52" s="12" t="s">
        <v>37</v>
      </c>
      <c r="EL52" s="19"/>
      <c r="EM52" s="19"/>
      <c r="EN52" s="19"/>
      <c r="EO52" s="19"/>
      <c r="EP52" s="19"/>
      <c r="EQ52" s="32"/>
      <c r="ER52" s="12" t="s">
        <v>37</v>
      </c>
      <c r="ES52" s="12" t="s">
        <v>37</v>
      </c>
      <c r="ET52" s="12" t="s">
        <v>37</v>
      </c>
      <c r="EU52" s="19"/>
      <c r="EV52" s="12" t="s">
        <v>37</v>
      </c>
      <c r="EW52" s="12" t="s">
        <v>37</v>
      </c>
      <c r="EX52" s="12" t="s">
        <v>37</v>
      </c>
      <c r="EY52" s="19"/>
      <c r="EZ52" s="19"/>
      <c r="FA52" s="19"/>
      <c r="FB52" s="19"/>
      <c r="FC52" s="32"/>
      <c r="FD52" s="12" t="s">
        <v>37</v>
      </c>
      <c r="FE52" s="12" t="s">
        <v>37</v>
      </c>
      <c r="FF52" s="12" t="s">
        <v>37</v>
      </c>
      <c r="FG52" s="12" t="s">
        <v>37</v>
      </c>
      <c r="FH52" s="12" t="s">
        <v>37</v>
      </c>
      <c r="FI52" s="12" t="s">
        <v>37</v>
      </c>
      <c r="FJ52" s="19"/>
      <c r="FK52" s="19"/>
      <c r="FL52" s="19"/>
      <c r="FM52" s="32"/>
      <c r="FN52" s="12" t="s">
        <v>37</v>
      </c>
      <c r="FO52" s="12" t="s">
        <v>37</v>
      </c>
      <c r="FP52" s="12" t="s">
        <v>37</v>
      </c>
      <c r="FQ52" s="12" t="s">
        <v>37</v>
      </c>
      <c r="FR52" s="12" t="s">
        <v>37</v>
      </c>
      <c r="FS52" s="12" t="s">
        <v>37</v>
      </c>
      <c r="FT52" s="19"/>
      <c r="FU52" s="19"/>
      <c r="FV52" s="19"/>
      <c r="FW52" s="12"/>
      <c r="FX52" s="12"/>
      <c r="FY52" s="12" t="s">
        <v>37</v>
      </c>
      <c r="FZ52" s="12" t="s">
        <v>37</v>
      </c>
      <c r="GA52" s="13" t="s">
        <v>37</v>
      </c>
      <c r="GB52" s="12" t="s">
        <v>37</v>
      </c>
      <c r="GC52" s="12" t="s">
        <v>37</v>
      </c>
      <c r="GD52" s="13" t="s">
        <v>37</v>
      </c>
      <c r="GE52" s="19"/>
      <c r="GF52" s="19"/>
      <c r="GG52" s="12"/>
      <c r="GH52" s="12"/>
      <c r="GI52" s="12" t="s">
        <v>37</v>
      </c>
      <c r="GJ52" s="12" t="s">
        <v>37</v>
      </c>
      <c r="GK52" s="12" t="s">
        <v>37</v>
      </c>
      <c r="GL52" s="19"/>
      <c r="GM52" s="12" t="s">
        <v>37</v>
      </c>
      <c r="GN52" s="12" t="s">
        <v>37</v>
      </c>
      <c r="GO52" s="12" t="s">
        <v>37</v>
      </c>
      <c r="GP52" s="19"/>
      <c r="GQ52" s="19"/>
      <c r="GR52" s="19"/>
      <c r="GS52" s="17"/>
      <c r="GT52" s="34"/>
      <c r="GU52" s="12" t="s">
        <v>37</v>
      </c>
      <c r="GV52" s="12" t="s">
        <v>37</v>
      </c>
      <c r="GW52" s="12" t="s">
        <v>37</v>
      </c>
      <c r="GX52" s="19"/>
      <c r="GY52" s="12" t="s">
        <v>37</v>
      </c>
      <c r="GZ52" s="12" t="s">
        <v>37</v>
      </c>
      <c r="HA52" s="12" t="s">
        <v>37</v>
      </c>
      <c r="HB52" s="19"/>
      <c r="HC52" s="19"/>
      <c r="HD52" s="19"/>
      <c r="HE52" s="34"/>
      <c r="HF52" s="12" t="s">
        <v>37</v>
      </c>
      <c r="HG52" s="12" t="s">
        <v>37</v>
      </c>
      <c r="HH52" s="13" t="s">
        <v>37</v>
      </c>
      <c r="HI52" s="12" t="s">
        <v>37</v>
      </c>
      <c r="HJ52" s="12" t="s">
        <v>37</v>
      </c>
      <c r="HK52" s="13" t="s">
        <v>37</v>
      </c>
      <c r="HL52" s="13"/>
      <c r="HM52" s="13"/>
      <c r="HN52" s="34"/>
      <c r="HO52" s="12" t="s">
        <v>37</v>
      </c>
      <c r="HP52" s="12" t="s">
        <v>37</v>
      </c>
      <c r="HQ52" s="13" t="s">
        <v>37</v>
      </c>
      <c r="HR52" s="12" t="s">
        <v>37</v>
      </c>
      <c r="HS52" s="12" t="s">
        <v>37</v>
      </c>
      <c r="HT52" s="13" t="s">
        <v>37</v>
      </c>
      <c r="HU52" s="13"/>
      <c r="HV52" s="13"/>
      <c r="HW52" s="12"/>
      <c r="HX52" s="12"/>
      <c r="HY52" s="12" t="s">
        <v>37</v>
      </c>
      <c r="HZ52" s="12" t="s">
        <v>37</v>
      </c>
      <c r="IA52" s="12" t="s">
        <v>37</v>
      </c>
      <c r="IB52" s="12" t="s">
        <v>37</v>
      </c>
      <c r="IC52" s="12" t="s">
        <v>37</v>
      </c>
      <c r="ID52" s="12" t="s">
        <v>37</v>
      </c>
      <c r="IE52" s="12"/>
      <c r="IF52" s="32" t="s">
        <v>345</v>
      </c>
      <c r="IG52" s="12">
        <v>5.4</v>
      </c>
      <c r="IH52" s="12" t="s">
        <v>37</v>
      </c>
      <c r="II52" s="13" t="s">
        <v>37</v>
      </c>
      <c r="IJ52" s="19"/>
      <c r="IK52" s="12" t="s">
        <v>37</v>
      </c>
      <c r="IL52" s="12" t="s">
        <v>37</v>
      </c>
      <c r="IM52" s="13" t="s">
        <v>37</v>
      </c>
      <c r="IN52" s="19"/>
      <c r="IO52" s="19"/>
      <c r="IP52" s="19"/>
      <c r="IQ52" s="32"/>
      <c r="IR52" s="12" t="s">
        <v>37</v>
      </c>
      <c r="IS52" s="12" t="s">
        <v>37</v>
      </c>
      <c r="IT52" s="13" t="s">
        <v>37</v>
      </c>
      <c r="IU52" s="12" t="s">
        <v>37</v>
      </c>
      <c r="IV52" s="12" t="s">
        <v>37</v>
      </c>
      <c r="IW52" s="12" t="s">
        <v>37</v>
      </c>
      <c r="IX52" s="32"/>
      <c r="IY52" s="12" t="s">
        <v>37</v>
      </c>
      <c r="IZ52" s="12" t="s">
        <v>37</v>
      </c>
      <c r="JA52" s="13" t="s">
        <v>37</v>
      </c>
      <c r="JB52" s="12" t="s">
        <v>37</v>
      </c>
      <c r="JC52" s="12" t="s">
        <v>37</v>
      </c>
      <c r="JD52" s="12" t="s">
        <v>37</v>
      </c>
      <c r="JE52" s="12"/>
      <c r="JF52" s="12"/>
      <c r="JG52" s="12" t="s">
        <v>37</v>
      </c>
      <c r="JH52" s="12" t="s">
        <v>37</v>
      </c>
      <c r="JI52" s="13" t="s">
        <v>37</v>
      </c>
      <c r="JJ52" s="12" t="s">
        <v>37</v>
      </c>
      <c r="JK52" s="12" t="s">
        <v>37</v>
      </c>
      <c r="JL52" s="12" t="s">
        <v>37</v>
      </c>
      <c r="JM52" s="12"/>
      <c r="JN52" s="32"/>
      <c r="JO52" s="12" t="s">
        <v>37</v>
      </c>
      <c r="JP52" s="12" t="s">
        <v>37</v>
      </c>
      <c r="JQ52" s="11" t="s">
        <v>37</v>
      </c>
      <c r="JR52" s="19"/>
      <c r="JS52" s="12" t="s">
        <v>37</v>
      </c>
      <c r="JT52" s="12" t="s">
        <v>37</v>
      </c>
      <c r="JU52" s="12" t="s">
        <v>37</v>
      </c>
      <c r="JV52" s="19"/>
      <c r="JW52" s="19"/>
      <c r="JX52" s="19"/>
      <c r="JY52" s="32"/>
      <c r="JZ52" s="12" t="s">
        <v>37</v>
      </c>
      <c r="KA52" s="12" t="s">
        <v>37</v>
      </c>
      <c r="KB52" s="12" t="s">
        <v>37</v>
      </c>
      <c r="KC52" s="12" t="s">
        <v>37</v>
      </c>
      <c r="KD52" s="12" t="s">
        <v>37</v>
      </c>
      <c r="KE52" s="12" t="s">
        <v>37</v>
      </c>
      <c r="KF52" s="12"/>
      <c r="KG52" s="12"/>
      <c r="KH52" s="32"/>
      <c r="KI52" s="12" t="s">
        <v>37</v>
      </c>
      <c r="KJ52" s="12" t="s">
        <v>37</v>
      </c>
      <c r="KK52" s="12" t="s">
        <v>37</v>
      </c>
      <c r="KL52" s="12" t="s">
        <v>37</v>
      </c>
      <c r="KM52" s="12" t="s">
        <v>37</v>
      </c>
      <c r="KN52" s="12" t="s">
        <v>37</v>
      </c>
      <c r="KO52" s="12"/>
      <c r="KP52" s="12"/>
      <c r="KQ52" s="12"/>
      <c r="KR52" s="12"/>
      <c r="KS52" s="12" t="s">
        <v>37</v>
      </c>
      <c r="KT52" s="12" t="s">
        <v>37</v>
      </c>
      <c r="KU52" s="12" t="s">
        <v>37</v>
      </c>
      <c r="KV52" s="19"/>
      <c r="KW52" s="12" t="s">
        <v>37</v>
      </c>
      <c r="KX52" s="12" t="s">
        <v>37</v>
      </c>
      <c r="KY52" s="12" t="s">
        <v>37</v>
      </c>
      <c r="KZ52" s="19"/>
      <c r="LA52" s="19"/>
      <c r="LB52" s="19"/>
      <c r="LC52" s="12"/>
      <c r="LD52" s="12" t="s">
        <v>37</v>
      </c>
      <c r="LE52" s="12" t="s">
        <v>37</v>
      </c>
      <c r="LF52" s="12" t="s">
        <v>37</v>
      </c>
      <c r="LG52" s="19" t="s">
        <v>37</v>
      </c>
      <c r="LH52" s="19" t="s">
        <v>37</v>
      </c>
      <c r="LI52" s="12" t="s">
        <v>37</v>
      </c>
      <c r="LJ52" s="12"/>
      <c r="LK52" s="12"/>
      <c r="LL52" s="12"/>
      <c r="LM52" s="12" t="s">
        <v>37</v>
      </c>
      <c r="LN52" s="12" t="s">
        <v>37</v>
      </c>
      <c r="LO52" s="12" t="s">
        <v>37</v>
      </c>
      <c r="LP52" s="12" t="s">
        <v>37</v>
      </c>
      <c r="LQ52" s="12" t="s">
        <v>37</v>
      </c>
      <c r="LR52" s="12" t="s">
        <v>37</v>
      </c>
      <c r="LS52" s="12"/>
      <c r="LT52" s="12"/>
      <c r="LU52" s="12" t="s">
        <v>37</v>
      </c>
      <c r="LV52" s="12" t="s">
        <v>37</v>
      </c>
      <c r="LW52" s="13" t="s">
        <v>37</v>
      </c>
      <c r="LX52" s="12" t="s">
        <v>37</v>
      </c>
      <c r="LY52" s="12" t="s">
        <v>37</v>
      </c>
      <c r="LZ52" s="13" t="s">
        <v>37</v>
      </c>
      <c r="MA52" s="13"/>
      <c r="MB52" s="13"/>
      <c r="MC52" s="12"/>
      <c r="MD52" s="12"/>
      <c r="ME52" s="12" t="s">
        <v>37</v>
      </c>
      <c r="MF52" s="12" t="s">
        <v>37</v>
      </c>
      <c r="MG52" s="13" t="s">
        <v>37</v>
      </c>
      <c r="MH52" s="12" t="s">
        <v>37</v>
      </c>
      <c r="MI52" s="12" t="s">
        <v>37</v>
      </c>
      <c r="MJ52" s="13" t="s">
        <v>37</v>
      </c>
      <c r="MK52" s="13"/>
      <c r="ML52" s="13"/>
      <c r="MM52" s="12"/>
      <c r="MN52" s="12"/>
      <c r="MO52" s="12" t="s">
        <v>37</v>
      </c>
      <c r="MP52" s="12" t="s">
        <v>37</v>
      </c>
      <c r="MQ52" s="12" t="s">
        <v>37</v>
      </c>
      <c r="MR52" s="12" t="s">
        <v>37</v>
      </c>
      <c r="MS52" s="12" t="s">
        <v>37</v>
      </c>
      <c r="MT52" s="12" t="s">
        <v>37</v>
      </c>
      <c r="MU52" s="12"/>
      <c r="MV52" s="12"/>
      <c r="MW52" s="12"/>
      <c r="MX52" s="12"/>
      <c r="MY52" s="12" t="s">
        <v>37</v>
      </c>
      <c r="MZ52" s="12" t="s">
        <v>37</v>
      </c>
      <c r="NA52" s="12" t="s">
        <v>37</v>
      </c>
      <c r="NB52" s="12" t="s">
        <v>37</v>
      </c>
      <c r="NC52" s="12" t="s">
        <v>37</v>
      </c>
      <c r="ND52" s="12" t="s">
        <v>37</v>
      </c>
      <c r="NE52" s="12"/>
      <c r="NF52" s="12"/>
      <c r="NG52" s="12"/>
      <c r="NH52" s="12"/>
      <c r="NI52" s="12" t="s">
        <v>37</v>
      </c>
      <c r="NJ52" s="12" t="s">
        <v>37</v>
      </c>
      <c r="NK52" s="13" t="s">
        <v>37</v>
      </c>
      <c r="NL52" s="12" t="s">
        <v>37</v>
      </c>
      <c r="NM52" s="12" t="s">
        <v>37</v>
      </c>
      <c r="NN52" s="13" t="s">
        <v>37</v>
      </c>
      <c r="NO52" s="13"/>
      <c r="NP52" s="13"/>
      <c r="NQ52" s="12"/>
      <c r="NR52" s="12"/>
      <c r="NS52" s="12" t="s">
        <v>37</v>
      </c>
      <c r="NT52" s="12" t="s">
        <v>37</v>
      </c>
      <c r="NU52" s="12" t="s">
        <v>37</v>
      </c>
      <c r="NV52" s="12" t="s">
        <v>37</v>
      </c>
      <c r="NW52" s="12" t="s">
        <v>37</v>
      </c>
      <c r="NX52" s="12" t="s">
        <v>37</v>
      </c>
      <c r="NY52" s="12"/>
      <c r="NZ52" s="12"/>
      <c r="OA52" s="12"/>
      <c r="OB52" s="12"/>
      <c r="OC52" s="12" t="s">
        <v>37</v>
      </c>
      <c r="OD52" s="12" t="s">
        <v>37</v>
      </c>
      <c r="OE52" s="12" t="s">
        <v>37</v>
      </c>
      <c r="OF52" s="12" t="s">
        <v>37</v>
      </c>
      <c r="OG52" s="12" t="s">
        <v>37</v>
      </c>
      <c r="OH52" s="12" t="s">
        <v>37</v>
      </c>
      <c r="OI52" s="12"/>
      <c r="OJ52" s="12"/>
      <c r="OK52" s="12"/>
      <c r="OL52" s="12" t="s">
        <v>37</v>
      </c>
      <c r="OM52" s="12" t="s">
        <v>37</v>
      </c>
      <c r="ON52" s="12" t="s">
        <v>37</v>
      </c>
      <c r="OO52" s="12" t="s">
        <v>37</v>
      </c>
      <c r="OP52" s="12" t="s">
        <v>37</v>
      </c>
      <c r="OQ52" s="12" t="s">
        <v>37</v>
      </c>
      <c r="OR52" s="12"/>
      <c r="OS52" s="12" t="s">
        <v>37</v>
      </c>
      <c r="OT52" s="12" t="s">
        <v>37</v>
      </c>
      <c r="OU52" s="12" t="s">
        <v>37</v>
      </c>
      <c r="OV52" s="12" t="s">
        <v>37</v>
      </c>
      <c r="OW52" s="12" t="s">
        <v>37</v>
      </c>
      <c r="OX52" s="12" t="s">
        <v>37</v>
      </c>
      <c r="OY52" s="12"/>
      <c r="OZ52" s="12"/>
      <c r="PA52" s="12" t="s">
        <v>37</v>
      </c>
      <c r="PB52" s="12" t="s">
        <v>37</v>
      </c>
      <c r="PC52" s="12" t="s">
        <v>37</v>
      </c>
      <c r="PD52" s="12" t="s">
        <v>37</v>
      </c>
      <c r="PE52" s="12" t="s">
        <v>37</v>
      </c>
      <c r="PF52" s="12" t="s">
        <v>37</v>
      </c>
      <c r="PG52" s="12"/>
      <c r="PH52" s="12"/>
      <c r="PI52" s="12" t="s">
        <v>37</v>
      </c>
      <c r="PJ52" s="12" t="s">
        <v>37</v>
      </c>
      <c r="PK52" s="12" t="s">
        <v>37</v>
      </c>
      <c r="PL52" s="12" t="s">
        <v>37</v>
      </c>
      <c r="PM52" s="12" t="s">
        <v>37</v>
      </c>
      <c r="PN52" s="12" t="s">
        <v>37</v>
      </c>
      <c r="PO52" s="12"/>
      <c r="PP52" s="12"/>
      <c r="PQ52" s="12" t="s">
        <v>37</v>
      </c>
      <c r="PR52" s="12" t="s">
        <v>37</v>
      </c>
      <c r="PS52" s="12" t="s">
        <v>37</v>
      </c>
      <c r="PT52" s="12" t="s">
        <v>37</v>
      </c>
      <c r="PU52" s="12" t="s">
        <v>37</v>
      </c>
      <c r="PV52" s="12" t="s">
        <v>37</v>
      </c>
      <c r="PW52" s="12"/>
      <c r="PX52" s="12"/>
      <c r="PY52" s="12" t="s">
        <v>37</v>
      </c>
      <c r="PZ52" s="12" t="s">
        <v>37</v>
      </c>
      <c r="QA52" s="12" t="s">
        <v>37</v>
      </c>
      <c r="QB52" s="12" t="s">
        <v>37</v>
      </c>
      <c r="QC52" s="12" t="s">
        <v>37</v>
      </c>
      <c r="QD52" s="12" t="s">
        <v>37</v>
      </c>
      <c r="QE52" s="12"/>
      <c r="QF52" s="12"/>
      <c r="QG52" s="12" t="s">
        <v>37</v>
      </c>
      <c r="QH52" s="12" t="s">
        <v>37</v>
      </c>
      <c r="QI52" s="12" t="s">
        <v>37</v>
      </c>
      <c r="QJ52" s="12" t="s">
        <v>37</v>
      </c>
      <c r="QK52" s="12" t="s">
        <v>37</v>
      </c>
      <c r="QL52" s="12" t="s">
        <v>37</v>
      </c>
      <c r="QM52" s="12"/>
      <c r="QN52" s="12"/>
      <c r="QO52" s="12" t="s">
        <v>37</v>
      </c>
      <c r="QP52" s="12" t="s">
        <v>37</v>
      </c>
      <c r="QQ52" s="12" t="s">
        <v>37</v>
      </c>
      <c r="QR52" s="12" t="s">
        <v>37</v>
      </c>
      <c r="QS52" s="12" t="s">
        <v>37</v>
      </c>
      <c r="QT52" s="12" t="s">
        <v>37</v>
      </c>
      <c r="QU52" s="12"/>
      <c r="QV52" s="12"/>
      <c r="QW52" s="12"/>
      <c r="QX52" s="12"/>
      <c r="QY52" s="12" t="s">
        <v>37</v>
      </c>
      <c r="QZ52" s="12" t="s">
        <v>37</v>
      </c>
      <c r="RA52" s="12" t="s">
        <v>37</v>
      </c>
      <c r="RB52" s="12" t="s">
        <v>37</v>
      </c>
      <c r="RC52" s="12" t="s">
        <v>37</v>
      </c>
      <c r="RD52" s="12" t="s">
        <v>37</v>
      </c>
      <c r="RE52" s="12"/>
      <c r="RF52" s="12"/>
      <c r="RG52" s="12"/>
      <c r="RH52" s="12"/>
      <c r="RI52" s="12" t="s">
        <v>37</v>
      </c>
      <c r="RJ52" s="12" t="s">
        <v>37</v>
      </c>
      <c r="RK52" s="12" t="s">
        <v>37</v>
      </c>
      <c r="RL52" s="12" t="s">
        <v>37</v>
      </c>
      <c r="RM52" s="12" t="s">
        <v>37</v>
      </c>
      <c r="RN52" s="12" t="s">
        <v>37</v>
      </c>
      <c r="RO52" s="12"/>
      <c r="RP52" s="12"/>
      <c r="RQ52" s="12"/>
      <c r="RR52" s="12"/>
      <c r="RS52" s="12" t="s">
        <v>37</v>
      </c>
      <c r="RT52" s="12" t="s">
        <v>37</v>
      </c>
      <c r="RU52" s="12" t="s">
        <v>37</v>
      </c>
      <c r="RV52" s="12" t="s">
        <v>37</v>
      </c>
      <c r="RW52" s="12" t="s">
        <v>37</v>
      </c>
      <c r="RX52" s="12" t="s">
        <v>37</v>
      </c>
      <c r="RY52" s="12"/>
      <c r="RZ52" s="12"/>
      <c r="SA52" s="12"/>
      <c r="SB52" s="12"/>
      <c r="SC52" s="12" t="s">
        <v>37</v>
      </c>
      <c r="SD52" s="12" t="s">
        <v>37</v>
      </c>
      <c r="SE52" s="12" t="s">
        <v>37</v>
      </c>
      <c r="SF52" s="12" t="s">
        <v>37</v>
      </c>
      <c r="SG52" s="12" t="s">
        <v>37</v>
      </c>
      <c r="SH52" s="12" t="s">
        <v>37</v>
      </c>
      <c r="SI52" s="12"/>
      <c r="SJ52" s="12"/>
      <c r="SK52" s="12"/>
      <c r="SL52" s="12"/>
      <c r="SM52" s="12" t="s">
        <v>37</v>
      </c>
      <c r="SN52" s="12" t="s">
        <v>37</v>
      </c>
      <c r="SO52" s="12" t="s">
        <v>37</v>
      </c>
      <c r="SP52" s="12" t="s">
        <v>37</v>
      </c>
      <c r="SQ52" s="12" t="s">
        <v>37</v>
      </c>
      <c r="SR52" s="12" t="s">
        <v>37</v>
      </c>
      <c r="SS52" s="12"/>
      <c r="ST52" s="12"/>
      <c r="SU52" s="12"/>
      <c r="SV52" s="12"/>
      <c r="SW52" s="12" t="s">
        <v>37</v>
      </c>
      <c r="SX52" s="12" t="s">
        <v>37</v>
      </c>
      <c r="SY52" s="12" t="s">
        <v>37</v>
      </c>
      <c r="SZ52" s="12" t="s">
        <v>37</v>
      </c>
      <c r="TA52" s="12" t="s">
        <v>37</v>
      </c>
      <c r="TB52" s="12" t="s">
        <v>37</v>
      </c>
      <c r="TC52" s="12"/>
      <c r="TD52" s="12"/>
      <c r="TE52" s="12"/>
      <c r="TF52" s="12"/>
      <c r="TG52" s="12" t="s">
        <v>37</v>
      </c>
      <c r="TH52" s="12" t="s">
        <v>37</v>
      </c>
      <c r="TI52" s="12" t="s">
        <v>37</v>
      </c>
      <c r="TJ52" s="12" t="s">
        <v>37</v>
      </c>
      <c r="TK52" s="12" t="s">
        <v>37</v>
      </c>
      <c r="TL52" s="12" t="s">
        <v>37</v>
      </c>
      <c r="TM52" s="12"/>
      <c r="TN52" s="12"/>
      <c r="TO52" s="12"/>
      <c r="TP52" s="12"/>
      <c r="TQ52" s="12" t="s">
        <v>37</v>
      </c>
      <c r="TR52" s="12" t="s">
        <v>37</v>
      </c>
      <c r="TS52" s="12" t="s">
        <v>37</v>
      </c>
      <c r="TT52" s="19"/>
      <c r="TU52" s="12" t="s">
        <v>37</v>
      </c>
      <c r="TV52" s="12" t="s">
        <v>37</v>
      </c>
      <c r="TW52" s="12" t="s">
        <v>37</v>
      </c>
    </row>
    <row r="53" spans="1:544" ht="15.6" x14ac:dyDescent="0.3">
      <c r="A53" s="11">
        <v>21</v>
      </c>
      <c r="B53" s="16" t="s">
        <v>462</v>
      </c>
      <c r="C53" s="12" t="s">
        <v>26</v>
      </c>
      <c r="D53" s="12" t="s">
        <v>54</v>
      </c>
      <c r="E53" s="14">
        <v>1.6</v>
      </c>
      <c r="F53" s="14">
        <v>0</v>
      </c>
      <c r="G53" s="14">
        <v>0</v>
      </c>
      <c r="H53" s="12" t="s">
        <v>91</v>
      </c>
      <c r="I53" s="29">
        <v>45.533000000000001</v>
      </c>
      <c r="J53" s="29">
        <v>-73.132999999999996</v>
      </c>
      <c r="K53" s="12" t="s">
        <v>787</v>
      </c>
      <c r="L53" s="12" t="s">
        <v>788</v>
      </c>
      <c r="M53" s="13" t="s">
        <v>37</v>
      </c>
      <c r="N53" s="14" t="s">
        <v>37</v>
      </c>
      <c r="O53" s="14" t="s">
        <v>37</v>
      </c>
      <c r="P53" s="14" t="s">
        <v>16</v>
      </c>
      <c r="Q53" s="11" t="s">
        <v>226</v>
      </c>
      <c r="R53" s="11" t="s">
        <v>37</v>
      </c>
      <c r="S53" s="12" t="s">
        <v>105</v>
      </c>
      <c r="T53" s="12" t="s">
        <v>37</v>
      </c>
      <c r="U53" s="12" t="s">
        <v>158</v>
      </c>
      <c r="V53" s="12" t="s">
        <v>275</v>
      </c>
      <c r="W53" s="23" t="s">
        <v>466</v>
      </c>
      <c r="X53" s="12" t="s">
        <v>49</v>
      </c>
      <c r="Y53" s="12" t="s">
        <v>37</v>
      </c>
      <c r="Z53" s="12" t="s">
        <v>37</v>
      </c>
      <c r="AA53" s="32" t="s">
        <v>467</v>
      </c>
      <c r="AB53" s="12" t="s">
        <v>37</v>
      </c>
      <c r="AC53" s="12" t="s">
        <v>37</v>
      </c>
      <c r="AD53" s="12" t="s">
        <v>370</v>
      </c>
      <c r="AE53" s="12" t="s">
        <v>74</v>
      </c>
      <c r="AF53" s="12" t="s">
        <v>489</v>
      </c>
      <c r="AG53" s="12"/>
      <c r="AH53" s="32"/>
      <c r="AI53" s="12"/>
      <c r="AJ53" s="12" t="s">
        <v>37</v>
      </c>
      <c r="AK53" s="11" t="s">
        <v>37</v>
      </c>
      <c r="AL53" s="19"/>
      <c r="AM53" s="12" t="s">
        <v>37</v>
      </c>
      <c r="AN53" s="12" t="s">
        <v>37</v>
      </c>
      <c r="AO53" s="12" t="s">
        <v>37</v>
      </c>
      <c r="AP53" s="19"/>
      <c r="AQ53" s="49"/>
      <c r="AR53" s="49"/>
      <c r="AS53" s="32"/>
      <c r="AT53" s="12" t="s">
        <v>37</v>
      </c>
      <c r="AU53" s="12" t="s">
        <v>37</v>
      </c>
      <c r="AV53" s="13" t="s">
        <v>37</v>
      </c>
      <c r="AW53" s="12" t="s">
        <v>37</v>
      </c>
      <c r="AX53" s="12" t="s">
        <v>37</v>
      </c>
      <c r="AY53" s="13" t="s">
        <v>37</v>
      </c>
      <c r="AZ53" s="13"/>
      <c r="BA53" s="13"/>
      <c r="BB53" s="12"/>
      <c r="BC53" s="12" t="s">
        <v>37</v>
      </c>
      <c r="BD53" s="12" t="s">
        <v>37</v>
      </c>
      <c r="BE53" s="13" t="s">
        <v>37</v>
      </c>
      <c r="BF53" s="12" t="s">
        <v>37</v>
      </c>
      <c r="BG53" s="12" t="s">
        <v>37</v>
      </c>
      <c r="BH53" s="12" t="s">
        <v>37</v>
      </c>
      <c r="BI53" s="12"/>
      <c r="BJ53" s="12" t="s">
        <v>37</v>
      </c>
      <c r="BK53" s="12" t="s">
        <v>37</v>
      </c>
      <c r="BL53" s="12" t="s">
        <v>37</v>
      </c>
      <c r="BM53" s="12" t="s">
        <v>37</v>
      </c>
      <c r="BN53" s="12" t="s">
        <v>37</v>
      </c>
      <c r="BO53" s="12" t="s">
        <v>37</v>
      </c>
      <c r="BP53" s="19"/>
      <c r="BQ53" s="19"/>
      <c r="BR53" s="19"/>
      <c r="BS53" s="19"/>
      <c r="BT53" s="12"/>
      <c r="BU53" s="12" t="s">
        <v>37</v>
      </c>
      <c r="BV53" s="12" t="s">
        <v>37</v>
      </c>
      <c r="BW53" s="12" t="s">
        <v>37</v>
      </c>
      <c r="BX53" s="12" t="s">
        <v>37</v>
      </c>
      <c r="BY53" s="12" t="s">
        <v>37</v>
      </c>
      <c r="BZ53" s="12" t="s">
        <v>37</v>
      </c>
      <c r="CA53" s="19"/>
      <c r="CB53" s="19"/>
      <c r="CC53" s="19"/>
      <c r="CD53" s="19"/>
      <c r="CE53" s="12"/>
      <c r="CF53" s="12" t="s">
        <v>37</v>
      </c>
      <c r="CG53" s="12" t="s">
        <v>37</v>
      </c>
      <c r="CH53" s="12" t="s">
        <v>37</v>
      </c>
      <c r="CI53" s="12" t="s">
        <v>37</v>
      </c>
      <c r="CJ53" s="12" t="s">
        <v>37</v>
      </c>
      <c r="CK53" s="12" t="s">
        <v>37</v>
      </c>
      <c r="CL53" s="19"/>
      <c r="CM53" s="19"/>
      <c r="CN53" s="19"/>
      <c r="CO53" s="19"/>
      <c r="CP53" s="11" t="s">
        <v>34</v>
      </c>
      <c r="CQ53" s="12">
        <f>80.6/24</f>
        <v>3.3583333333333329</v>
      </c>
      <c r="CR53" s="19">
        <f>82.5/24</f>
        <v>3.4375</v>
      </c>
      <c r="CS53" s="13">
        <v>3</v>
      </c>
      <c r="CT53" s="52">
        <f t="shared" si="270"/>
        <v>1.023573200992556</v>
      </c>
      <c r="CU53" s="12">
        <f>33.9/24</f>
        <v>1.4124999999999999</v>
      </c>
      <c r="CV53" s="19">
        <f>31/24</f>
        <v>1.2916666666666667</v>
      </c>
      <c r="CW53" s="13">
        <v>3</v>
      </c>
      <c r="CX53" s="52">
        <f t="shared" si="271"/>
        <v>0.91445427728613582</v>
      </c>
      <c r="CY53" s="68">
        <f t="shared" si="276"/>
        <v>-1.9458333333333331</v>
      </c>
      <c r="CZ53" s="12">
        <f t="shared" si="272"/>
        <v>2.5966140479264315</v>
      </c>
      <c r="DA53" s="72">
        <f t="shared" si="273"/>
        <v>4.4949363425925926</v>
      </c>
      <c r="DB53" s="72">
        <f t="shared" si="274"/>
        <v>4.4949363425925926</v>
      </c>
      <c r="DC53" s="11"/>
      <c r="DD53" s="12" t="s">
        <v>37</v>
      </c>
      <c r="DE53" s="68" t="s">
        <v>37</v>
      </c>
      <c r="DF53" s="12" t="s">
        <v>37</v>
      </c>
      <c r="DG53" s="19"/>
      <c r="DH53" s="12" t="s">
        <v>37</v>
      </c>
      <c r="DI53" s="68" t="s">
        <v>37</v>
      </c>
      <c r="DJ53" s="12" t="s">
        <v>37</v>
      </c>
      <c r="DK53" s="19"/>
      <c r="DL53" s="68"/>
      <c r="DM53" s="68"/>
      <c r="DN53" s="68"/>
      <c r="DO53" s="68"/>
      <c r="DP53" s="12" t="s">
        <v>39</v>
      </c>
      <c r="DQ53" s="12">
        <v>0</v>
      </c>
      <c r="DR53" s="60">
        <f t="shared" si="277"/>
        <v>0</v>
      </c>
      <c r="DS53" s="13">
        <v>3</v>
      </c>
      <c r="DT53" s="19"/>
      <c r="DU53" s="12">
        <v>-40</v>
      </c>
      <c r="DV53" s="60">
        <f t="shared" si="275"/>
        <v>13.824510498816489</v>
      </c>
      <c r="DW53" s="13">
        <v>3</v>
      </c>
      <c r="DX53" s="19"/>
      <c r="DY53" s="19">
        <f t="shared" si="247"/>
        <v>-40</v>
      </c>
      <c r="DZ53" s="12">
        <f t="shared" si="248"/>
        <v>9.7754051202977603</v>
      </c>
      <c r="EA53" s="72">
        <f t="shared" si="164"/>
        <v>63.705696843962443</v>
      </c>
      <c r="EB53" s="72">
        <f t="shared" si="165"/>
        <v>63.705696843962443</v>
      </c>
      <c r="EC53" s="12"/>
      <c r="ED53" s="12"/>
      <c r="EE53" s="12" t="s">
        <v>37</v>
      </c>
      <c r="EF53" s="12" t="s">
        <v>37</v>
      </c>
      <c r="EG53" s="12" t="s">
        <v>37</v>
      </c>
      <c r="EH53" s="19"/>
      <c r="EI53" s="12" t="s">
        <v>37</v>
      </c>
      <c r="EJ53" s="20" t="s">
        <v>37</v>
      </c>
      <c r="EK53" s="12" t="s">
        <v>37</v>
      </c>
      <c r="EL53" s="19"/>
      <c r="EM53" s="19"/>
      <c r="EN53" s="19"/>
      <c r="EO53" s="19"/>
      <c r="EP53" s="19"/>
      <c r="EQ53" s="32"/>
      <c r="ER53" s="12" t="s">
        <v>37</v>
      </c>
      <c r="ES53" s="12" t="s">
        <v>37</v>
      </c>
      <c r="ET53" s="12" t="s">
        <v>37</v>
      </c>
      <c r="EU53" s="19"/>
      <c r="EV53" s="12" t="s">
        <v>37</v>
      </c>
      <c r="EW53" s="12" t="s">
        <v>37</v>
      </c>
      <c r="EX53" s="12" t="s">
        <v>37</v>
      </c>
      <c r="EY53" s="19"/>
      <c r="EZ53" s="19"/>
      <c r="FA53" s="19"/>
      <c r="FB53" s="19"/>
      <c r="FC53" s="32"/>
      <c r="FD53" s="12" t="s">
        <v>37</v>
      </c>
      <c r="FE53" s="12" t="s">
        <v>37</v>
      </c>
      <c r="FF53" s="12" t="s">
        <v>37</v>
      </c>
      <c r="FG53" s="12" t="s">
        <v>37</v>
      </c>
      <c r="FH53" s="12" t="s">
        <v>37</v>
      </c>
      <c r="FI53" s="12" t="s">
        <v>37</v>
      </c>
      <c r="FJ53" s="19"/>
      <c r="FK53" s="19"/>
      <c r="FL53" s="19"/>
      <c r="FM53" s="32"/>
      <c r="FN53" s="12" t="s">
        <v>37</v>
      </c>
      <c r="FO53" s="12" t="s">
        <v>37</v>
      </c>
      <c r="FP53" s="12" t="s">
        <v>37</v>
      </c>
      <c r="FQ53" s="12" t="s">
        <v>37</v>
      </c>
      <c r="FR53" s="12" t="s">
        <v>37</v>
      </c>
      <c r="FS53" s="12" t="s">
        <v>37</v>
      </c>
      <c r="FT53" s="19"/>
      <c r="FU53" s="19"/>
      <c r="FV53" s="19"/>
      <c r="FW53" s="12"/>
      <c r="FX53" s="12"/>
      <c r="FY53" s="12" t="s">
        <v>37</v>
      </c>
      <c r="FZ53" s="12" t="s">
        <v>37</v>
      </c>
      <c r="GA53" s="13" t="s">
        <v>37</v>
      </c>
      <c r="GB53" s="12" t="s">
        <v>37</v>
      </c>
      <c r="GC53" s="12" t="s">
        <v>37</v>
      </c>
      <c r="GD53" s="13" t="s">
        <v>37</v>
      </c>
      <c r="GE53" s="19"/>
      <c r="GF53" s="19"/>
      <c r="GG53" s="12"/>
      <c r="GH53" s="12"/>
      <c r="GI53" s="12" t="s">
        <v>37</v>
      </c>
      <c r="GJ53" s="12" t="s">
        <v>37</v>
      </c>
      <c r="GK53" s="12" t="s">
        <v>37</v>
      </c>
      <c r="GL53" s="19"/>
      <c r="GM53" s="12" t="s">
        <v>37</v>
      </c>
      <c r="GN53" s="12" t="s">
        <v>37</v>
      </c>
      <c r="GO53" s="12" t="s">
        <v>37</v>
      </c>
      <c r="GP53" s="19"/>
      <c r="GQ53" s="19"/>
      <c r="GR53" s="19"/>
      <c r="GS53" s="17"/>
      <c r="GT53" s="34"/>
      <c r="GU53" s="12" t="s">
        <v>37</v>
      </c>
      <c r="GV53" s="12" t="s">
        <v>37</v>
      </c>
      <c r="GW53" s="12" t="s">
        <v>37</v>
      </c>
      <c r="GX53" s="19"/>
      <c r="GY53" s="12" t="s">
        <v>37</v>
      </c>
      <c r="GZ53" s="12" t="s">
        <v>37</v>
      </c>
      <c r="HA53" s="12" t="s">
        <v>37</v>
      </c>
      <c r="HB53" s="19"/>
      <c r="HC53" s="19"/>
      <c r="HD53" s="19"/>
      <c r="HE53" s="34"/>
      <c r="HF53" s="12" t="s">
        <v>37</v>
      </c>
      <c r="HG53" s="12" t="s">
        <v>37</v>
      </c>
      <c r="HH53" s="13" t="s">
        <v>37</v>
      </c>
      <c r="HI53" s="12" t="s">
        <v>37</v>
      </c>
      <c r="HJ53" s="12" t="s">
        <v>37</v>
      </c>
      <c r="HK53" s="13" t="s">
        <v>37</v>
      </c>
      <c r="HL53" s="13"/>
      <c r="HM53" s="13"/>
      <c r="HN53" s="34"/>
      <c r="HO53" s="12" t="s">
        <v>37</v>
      </c>
      <c r="HP53" s="12" t="s">
        <v>37</v>
      </c>
      <c r="HQ53" s="13" t="s">
        <v>37</v>
      </c>
      <c r="HR53" s="12" t="s">
        <v>37</v>
      </c>
      <c r="HS53" s="12" t="s">
        <v>37</v>
      </c>
      <c r="HT53" s="13" t="s">
        <v>37</v>
      </c>
      <c r="HU53" s="13"/>
      <c r="HV53" s="13"/>
      <c r="HW53" s="12"/>
      <c r="HX53" s="12"/>
      <c r="HY53" s="12" t="s">
        <v>37</v>
      </c>
      <c r="HZ53" s="12" t="s">
        <v>37</v>
      </c>
      <c r="IA53" s="12" t="s">
        <v>37</v>
      </c>
      <c r="IB53" s="12" t="s">
        <v>37</v>
      </c>
      <c r="IC53" s="12" t="s">
        <v>37</v>
      </c>
      <c r="ID53" s="12" t="s">
        <v>37</v>
      </c>
      <c r="IE53" s="12"/>
      <c r="IF53" s="32" t="s">
        <v>345</v>
      </c>
      <c r="IG53" s="12">
        <v>6.2</v>
      </c>
      <c r="IH53" s="12" t="s">
        <v>37</v>
      </c>
      <c r="II53" s="13" t="s">
        <v>37</v>
      </c>
      <c r="IJ53" s="19"/>
      <c r="IK53" s="12" t="s">
        <v>37</v>
      </c>
      <c r="IL53" s="12" t="s">
        <v>37</v>
      </c>
      <c r="IM53" s="13" t="s">
        <v>37</v>
      </c>
      <c r="IN53" s="19"/>
      <c r="IO53" s="19"/>
      <c r="IP53" s="19"/>
      <c r="IQ53" s="32"/>
      <c r="IR53" s="12" t="s">
        <v>37</v>
      </c>
      <c r="IS53" s="12" t="s">
        <v>37</v>
      </c>
      <c r="IT53" s="13" t="s">
        <v>37</v>
      </c>
      <c r="IU53" s="12" t="s">
        <v>37</v>
      </c>
      <c r="IV53" s="12" t="s">
        <v>37</v>
      </c>
      <c r="IW53" s="12" t="s">
        <v>37</v>
      </c>
      <c r="IX53" s="32"/>
      <c r="IY53" s="12" t="s">
        <v>37</v>
      </c>
      <c r="IZ53" s="12" t="s">
        <v>37</v>
      </c>
      <c r="JA53" s="13" t="s">
        <v>37</v>
      </c>
      <c r="JB53" s="12" t="s">
        <v>37</v>
      </c>
      <c r="JC53" s="12" t="s">
        <v>37</v>
      </c>
      <c r="JD53" s="12" t="s">
        <v>37</v>
      </c>
      <c r="JE53" s="12"/>
      <c r="JF53" s="12"/>
      <c r="JG53" s="12" t="s">
        <v>37</v>
      </c>
      <c r="JH53" s="12" t="s">
        <v>37</v>
      </c>
      <c r="JI53" s="13" t="s">
        <v>37</v>
      </c>
      <c r="JJ53" s="12" t="s">
        <v>37</v>
      </c>
      <c r="JK53" s="12" t="s">
        <v>37</v>
      </c>
      <c r="JL53" s="12" t="s">
        <v>37</v>
      </c>
      <c r="JM53" s="12"/>
      <c r="JN53" s="32"/>
      <c r="JO53" s="12" t="s">
        <v>37</v>
      </c>
      <c r="JP53" s="12" t="s">
        <v>37</v>
      </c>
      <c r="JQ53" s="11" t="s">
        <v>37</v>
      </c>
      <c r="JR53" s="19"/>
      <c r="JS53" s="12" t="s">
        <v>37</v>
      </c>
      <c r="JT53" s="12" t="s">
        <v>37</v>
      </c>
      <c r="JU53" s="12" t="s">
        <v>37</v>
      </c>
      <c r="JV53" s="19"/>
      <c r="JW53" s="19"/>
      <c r="JX53" s="19"/>
      <c r="JY53" s="32"/>
      <c r="JZ53" s="12" t="s">
        <v>37</v>
      </c>
      <c r="KA53" s="12" t="s">
        <v>37</v>
      </c>
      <c r="KB53" s="12" t="s">
        <v>37</v>
      </c>
      <c r="KC53" s="12" t="s">
        <v>37</v>
      </c>
      <c r="KD53" s="12" t="s">
        <v>37</v>
      </c>
      <c r="KE53" s="12" t="s">
        <v>37</v>
      </c>
      <c r="KF53" s="12"/>
      <c r="KG53" s="12"/>
      <c r="KH53" s="32"/>
      <c r="KI53" s="12" t="s">
        <v>37</v>
      </c>
      <c r="KJ53" s="12" t="s">
        <v>37</v>
      </c>
      <c r="KK53" s="12" t="s">
        <v>37</v>
      </c>
      <c r="KL53" s="12" t="s">
        <v>37</v>
      </c>
      <c r="KM53" s="12" t="s">
        <v>37</v>
      </c>
      <c r="KN53" s="12" t="s">
        <v>37</v>
      </c>
      <c r="KO53" s="12"/>
      <c r="KP53" s="12"/>
      <c r="KQ53" s="12"/>
      <c r="KR53" s="12"/>
      <c r="KS53" s="12" t="s">
        <v>37</v>
      </c>
      <c r="KT53" s="12" t="s">
        <v>37</v>
      </c>
      <c r="KU53" s="12" t="s">
        <v>37</v>
      </c>
      <c r="KV53" s="19"/>
      <c r="KW53" s="12" t="s">
        <v>37</v>
      </c>
      <c r="KX53" s="12" t="s">
        <v>37</v>
      </c>
      <c r="KY53" s="12" t="s">
        <v>37</v>
      </c>
      <c r="KZ53" s="19"/>
      <c r="LA53" s="19"/>
      <c r="LB53" s="19"/>
      <c r="LC53" s="12"/>
      <c r="LD53" s="12" t="s">
        <v>37</v>
      </c>
      <c r="LE53" s="12" t="s">
        <v>37</v>
      </c>
      <c r="LF53" s="12" t="s">
        <v>37</v>
      </c>
      <c r="LG53" s="19" t="s">
        <v>37</v>
      </c>
      <c r="LH53" s="19" t="s">
        <v>37</v>
      </c>
      <c r="LI53" s="12" t="s">
        <v>37</v>
      </c>
      <c r="LJ53" s="12"/>
      <c r="LK53" s="12"/>
      <c r="LL53" s="12"/>
      <c r="LM53" s="12" t="s">
        <v>37</v>
      </c>
      <c r="LN53" s="12" t="s">
        <v>37</v>
      </c>
      <c r="LO53" s="12" t="s">
        <v>37</v>
      </c>
      <c r="LP53" s="12" t="s">
        <v>37</v>
      </c>
      <c r="LQ53" s="12" t="s">
        <v>37</v>
      </c>
      <c r="LR53" s="12" t="s">
        <v>37</v>
      </c>
      <c r="LS53" s="12"/>
      <c r="LT53" s="12"/>
      <c r="LU53" s="12" t="s">
        <v>37</v>
      </c>
      <c r="LV53" s="12" t="s">
        <v>37</v>
      </c>
      <c r="LW53" s="13" t="s">
        <v>37</v>
      </c>
      <c r="LX53" s="12" t="s">
        <v>37</v>
      </c>
      <c r="LY53" s="12" t="s">
        <v>37</v>
      </c>
      <c r="LZ53" s="13" t="s">
        <v>37</v>
      </c>
      <c r="MA53" s="13"/>
      <c r="MB53" s="13"/>
      <c r="MC53" s="12"/>
      <c r="MD53" s="12"/>
      <c r="ME53" s="12" t="s">
        <v>37</v>
      </c>
      <c r="MF53" s="12" t="s">
        <v>37</v>
      </c>
      <c r="MG53" s="13" t="s">
        <v>37</v>
      </c>
      <c r="MH53" s="12" t="s">
        <v>37</v>
      </c>
      <c r="MI53" s="12" t="s">
        <v>37</v>
      </c>
      <c r="MJ53" s="13" t="s">
        <v>37</v>
      </c>
      <c r="MK53" s="13"/>
      <c r="ML53" s="13"/>
      <c r="MM53" s="12"/>
      <c r="MN53" s="12"/>
      <c r="MO53" s="12" t="s">
        <v>37</v>
      </c>
      <c r="MP53" s="12" t="s">
        <v>37</v>
      </c>
      <c r="MQ53" s="12" t="s">
        <v>37</v>
      </c>
      <c r="MR53" s="12" t="s">
        <v>37</v>
      </c>
      <c r="MS53" s="12" t="s">
        <v>37</v>
      </c>
      <c r="MT53" s="12" t="s">
        <v>37</v>
      </c>
      <c r="MU53" s="12"/>
      <c r="MV53" s="12"/>
      <c r="MW53" s="12"/>
      <c r="MX53" s="12"/>
      <c r="MY53" s="12" t="s">
        <v>37</v>
      </c>
      <c r="MZ53" s="12" t="s">
        <v>37</v>
      </c>
      <c r="NA53" s="12" t="s">
        <v>37</v>
      </c>
      <c r="NB53" s="12" t="s">
        <v>37</v>
      </c>
      <c r="NC53" s="12" t="s">
        <v>37</v>
      </c>
      <c r="ND53" s="12" t="s">
        <v>37</v>
      </c>
      <c r="NE53" s="12"/>
      <c r="NF53" s="12"/>
      <c r="NG53" s="12"/>
      <c r="NH53" s="12"/>
      <c r="NI53" s="12" t="s">
        <v>37</v>
      </c>
      <c r="NJ53" s="12" t="s">
        <v>37</v>
      </c>
      <c r="NK53" s="13" t="s">
        <v>37</v>
      </c>
      <c r="NL53" s="12" t="s">
        <v>37</v>
      </c>
      <c r="NM53" s="12" t="s">
        <v>37</v>
      </c>
      <c r="NN53" s="13" t="s">
        <v>37</v>
      </c>
      <c r="NO53" s="13"/>
      <c r="NP53" s="13"/>
      <c r="NQ53" s="12"/>
      <c r="NR53" s="12"/>
      <c r="NS53" s="12" t="s">
        <v>37</v>
      </c>
      <c r="NT53" s="12" t="s">
        <v>37</v>
      </c>
      <c r="NU53" s="12" t="s">
        <v>37</v>
      </c>
      <c r="NV53" s="12" t="s">
        <v>37</v>
      </c>
      <c r="NW53" s="12" t="s">
        <v>37</v>
      </c>
      <c r="NX53" s="12" t="s">
        <v>37</v>
      </c>
      <c r="NY53" s="12"/>
      <c r="NZ53" s="12"/>
      <c r="OA53" s="12"/>
      <c r="OB53" s="12"/>
      <c r="OC53" s="12" t="s">
        <v>37</v>
      </c>
      <c r="OD53" s="12" t="s">
        <v>37</v>
      </c>
      <c r="OE53" s="12" t="s">
        <v>37</v>
      </c>
      <c r="OF53" s="12" t="s">
        <v>37</v>
      </c>
      <c r="OG53" s="12" t="s">
        <v>37</v>
      </c>
      <c r="OH53" s="12" t="s">
        <v>37</v>
      </c>
      <c r="OI53" s="12"/>
      <c r="OJ53" s="12"/>
      <c r="OK53" s="12"/>
      <c r="OL53" s="12" t="s">
        <v>37</v>
      </c>
      <c r="OM53" s="12" t="s">
        <v>37</v>
      </c>
      <c r="ON53" s="12" t="s">
        <v>37</v>
      </c>
      <c r="OO53" s="12" t="s">
        <v>37</v>
      </c>
      <c r="OP53" s="12" t="s">
        <v>37</v>
      </c>
      <c r="OQ53" s="12" t="s">
        <v>37</v>
      </c>
      <c r="OR53" s="12"/>
      <c r="OS53" s="12" t="s">
        <v>37</v>
      </c>
      <c r="OT53" s="12" t="s">
        <v>37</v>
      </c>
      <c r="OU53" s="12" t="s">
        <v>37</v>
      </c>
      <c r="OV53" s="12" t="s">
        <v>37</v>
      </c>
      <c r="OW53" s="12" t="s">
        <v>37</v>
      </c>
      <c r="OX53" s="12" t="s">
        <v>37</v>
      </c>
      <c r="OY53" s="12"/>
      <c r="OZ53" s="12"/>
      <c r="PA53" s="12" t="s">
        <v>37</v>
      </c>
      <c r="PB53" s="12" t="s">
        <v>37</v>
      </c>
      <c r="PC53" s="12" t="s">
        <v>37</v>
      </c>
      <c r="PD53" s="12" t="s">
        <v>37</v>
      </c>
      <c r="PE53" s="12" t="s">
        <v>37</v>
      </c>
      <c r="PF53" s="12" t="s">
        <v>37</v>
      </c>
      <c r="PG53" s="12"/>
      <c r="PH53" s="12"/>
      <c r="PI53" s="12" t="s">
        <v>37</v>
      </c>
      <c r="PJ53" s="12" t="s">
        <v>37</v>
      </c>
      <c r="PK53" s="12" t="s">
        <v>37</v>
      </c>
      <c r="PL53" s="12" t="s">
        <v>37</v>
      </c>
      <c r="PM53" s="12" t="s">
        <v>37</v>
      </c>
      <c r="PN53" s="12" t="s">
        <v>37</v>
      </c>
      <c r="PO53" s="12"/>
      <c r="PP53" s="12"/>
      <c r="PQ53" s="12" t="s">
        <v>37</v>
      </c>
      <c r="PR53" s="12" t="s">
        <v>37</v>
      </c>
      <c r="PS53" s="12" t="s">
        <v>37</v>
      </c>
      <c r="PT53" s="12" t="s">
        <v>37</v>
      </c>
      <c r="PU53" s="12" t="s">
        <v>37</v>
      </c>
      <c r="PV53" s="12" t="s">
        <v>37</v>
      </c>
      <c r="PW53" s="12"/>
      <c r="PX53" s="12"/>
      <c r="PY53" s="12" t="s">
        <v>37</v>
      </c>
      <c r="PZ53" s="12" t="s">
        <v>37</v>
      </c>
      <c r="QA53" s="12" t="s">
        <v>37</v>
      </c>
      <c r="QB53" s="12" t="s">
        <v>37</v>
      </c>
      <c r="QC53" s="12" t="s">
        <v>37</v>
      </c>
      <c r="QD53" s="12" t="s">
        <v>37</v>
      </c>
      <c r="QE53" s="12"/>
      <c r="QF53" s="12"/>
      <c r="QG53" s="12" t="s">
        <v>37</v>
      </c>
      <c r="QH53" s="12" t="s">
        <v>37</v>
      </c>
      <c r="QI53" s="12" t="s">
        <v>37</v>
      </c>
      <c r="QJ53" s="12" t="s">
        <v>37</v>
      </c>
      <c r="QK53" s="12" t="s">
        <v>37</v>
      </c>
      <c r="QL53" s="12" t="s">
        <v>37</v>
      </c>
      <c r="QM53" s="12"/>
      <c r="QN53" s="12"/>
      <c r="QO53" s="12" t="s">
        <v>37</v>
      </c>
      <c r="QP53" s="12" t="s">
        <v>37</v>
      </c>
      <c r="QQ53" s="12" t="s">
        <v>37</v>
      </c>
      <c r="QR53" s="12" t="s">
        <v>37</v>
      </c>
      <c r="QS53" s="12" t="s">
        <v>37</v>
      </c>
      <c r="QT53" s="12" t="s">
        <v>37</v>
      </c>
      <c r="QU53" s="12"/>
      <c r="QV53" s="12"/>
      <c r="QW53" s="12"/>
      <c r="QX53" s="12"/>
      <c r="QY53" s="12" t="s">
        <v>37</v>
      </c>
      <c r="QZ53" s="12" t="s">
        <v>37</v>
      </c>
      <c r="RA53" s="12" t="s">
        <v>37</v>
      </c>
      <c r="RB53" s="12" t="s">
        <v>37</v>
      </c>
      <c r="RC53" s="12" t="s">
        <v>37</v>
      </c>
      <c r="RD53" s="12" t="s">
        <v>37</v>
      </c>
      <c r="RE53" s="12"/>
      <c r="RF53" s="12"/>
      <c r="RG53" s="12"/>
      <c r="RH53" s="12"/>
      <c r="RI53" s="12" t="s">
        <v>37</v>
      </c>
      <c r="RJ53" s="12" t="s">
        <v>37</v>
      </c>
      <c r="RK53" s="12" t="s">
        <v>37</v>
      </c>
      <c r="RL53" s="12" t="s">
        <v>37</v>
      </c>
      <c r="RM53" s="12" t="s">
        <v>37</v>
      </c>
      <c r="RN53" s="12" t="s">
        <v>37</v>
      </c>
      <c r="RO53" s="12"/>
      <c r="RP53" s="12"/>
      <c r="RQ53" s="12"/>
      <c r="RR53" s="12"/>
      <c r="RS53" s="12" t="s">
        <v>37</v>
      </c>
      <c r="RT53" s="12" t="s">
        <v>37</v>
      </c>
      <c r="RU53" s="12" t="s">
        <v>37</v>
      </c>
      <c r="RV53" s="12" t="s">
        <v>37</v>
      </c>
      <c r="RW53" s="12" t="s">
        <v>37</v>
      </c>
      <c r="RX53" s="12" t="s">
        <v>37</v>
      </c>
      <c r="RY53" s="12"/>
      <c r="RZ53" s="12"/>
      <c r="SA53" s="12"/>
      <c r="SB53" s="12"/>
      <c r="SC53" s="12" t="s">
        <v>37</v>
      </c>
      <c r="SD53" s="12" t="s">
        <v>37</v>
      </c>
      <c r="SE53" s="12" t="s">
        <v>37</v>
      </c>
      <c r="SF53" s="12" t="s">
        <v>37</v>
      </c>
      <c r="SG53" s="12" t="s">
        <v>37</v>
      </c>
      <c r="SH53" s="12" t="s">
        <v>37</v>
      </c>
      <c r="SI53" s="12"/>
      <c r="SJ53" s="12"/>
      <c r="SK53" s="12"/>
      <c r="SL53" s="12"/>
      <c r="SM53" s="12" t="s">
        <v>37</v>
      </c>
      <c r="SN53" s="12" t="s">
        <v>37</v>
      </c>
      <c r="SO53" s="12" t="s">
        <v>37</v>
      </c>
      <c r="SP53" s="12" t="s">
        <v>37</v>
      </c>
      <c r="SQ53" s="12" t="s">
        <v>37</v>
      </c>
      <c r="SR53" s="12" t="s">
        <v>37</v>
      </c>
      <c r="SS53" s="12"/>
      <c r="ST53" s="12"/>
      <c r="SU53" s="12"/>
      <c r="SV53" s="12"/>
      <c r="SW53" s="12" t="s">
        <v>37</v>
      </c>
      <c r="SX53" s="12" t="s">
        <v>37</v>
      </c>
      <c r="SY53" s="12" t="s">
        <v>37</v>
      </c>
      <c r="SZ53" s="12" t="s">
        <v>37</v>
      </c>
      <c r="TA53" s="12" t="s">
        <v>37</v>
      </c>
      <c r="TB53" s="12" t="s">
        <v>37</v>
      </c>
      <c r="TC53" s="12"/>
      <c r="TD53" s="12"/>
      <c r="TE53" s="12"/>
      <c r="TF53" s="12"/>
      <c r="TG53" s="12" t="s">
        <v>37</v>
      </c>
      <c r="TH53" s="12" t="s">
        <v>37</v>
      </c>
      <c r="TI53" s="12" t="s">
        <v>37</v>
      </c>
      <c r="TJ53" s="12" t="s">
        <v>37</v>
      </c>
      <c r="TK53" s="12" t="s">
        <v>37</v>
      </c>
      <c r="TL53" s="12" t="s">
        <v>37</v>
      </c>
      <c r="TM53" s="12"/>
      <c r="TN53" s="12"/>
      <c r="TO53" s="12"/>
      <c r="TP53" s="12"/>
      <c r="TQ53" s="12" t="s">
        <v>37</v>
      </c>
      <c r="TR53" s="12" t="s">
        <v>37</v>
      </c>
      <c r="TS53" s="12" t="s">
        <v>37</v>
      </c>
      <c r="TT53" s="19"/>
      <c r="TU53" s="12" t="s">
        <v>37</v>
      </c>
      <c r="TV53" s="12" t="s">
        <v>37</v>
      </c>
      <c r="TW53" s="12" t="s">
        <v>37</v>
      </c>
    </row>
    <row r="54" spans="1:544" ht="15.6" x14ac:dyDescent="0.3">
      <c r="A54" s="11">
        <v>22</v>
      </c>
      <c r="B54" s="16" t="s">
        <v>471</v>
      </c>
      <c r="C54" s="12" t="s">
        <v>26</v>
      </c>
      <c r="D54" s="12" t="s">
        <v>609</v>
      </c>
      <c r="E54" s="14" t="s">
        <v>37</v>
      </c>
      <c r="F54" s="14">
        <v>0</v>
      </c>
      <c r="G54" s="14">
        <v>0</v>
      </c>
      <c r="H54" s="12" t="s">
        <v>472</v>
      </c>
      <c r="I54" s="29">
        <v>52.017000000000003</v>
      </c>
      <c r="J54" s="29">
        <v>5.6829999999999998</v>
      </c>
      <c r="K54" s="12" t="s">
        <v>827</v>
      </c>
      <c r="L54" s="12" t="s">
        <v>828</v>
      </c>
      <c r="M54" s="13" t="s">
        <v>37</v>
      </c>
      <c r="N54" s="13" t="s">
        <v>37</v>
      </c>
      <c r="O54" s="13" t="s">
        <v>37</v>
      </c>
      <c r="P54" s="14" t="s">
        <v>16</v>
      </c>
      <c r="Q54" s="11" t="s">
        <v>227</v>
      </c>
      <c r="R54" s="11" t="s">
        <v>37</v>
      </c>
      <c r="S54" s="12" t="s">
        <v>85</v>
      </c>
      <c r="T54" s="12" t="s">
        <v>138</v>
      </c>
      <c r="U54" s="12" t="s">
        <v>158</v>
      </c>
      <c r="V54" s="12" t="s">
        <v>275</v>
      </c>
      <c r="W54" s="23" t="s">
        <v>474</v>
      </c>
      <c r="X54" s="12" t="s">
        <v>280</v>
      </c>
      <c r="Y54" s="12" t="s">
        <v>37</v>
      </c>
      <c r="Z54" s="12" t="s">
        <v>37</v>
      </c>
      <c r="AA54" s="32" t="s">
        <v>37</v>
      </c>
      <c r="AB54" s="12" t="s">
        <v>37</v>
      </c>
      <c r="AC54" s="12" t="s">
        <v>37</v>
      </c>
      <c r="AD54" s="12" t="s">
        <v>167</v>
      </c>
      <c r="AE54" s="12" t="s">
        <v>74</v>
      </c>
      <c r="AF54" s="12" t="s">
        <v>489</v>
      </c>
      <c r="AG54" s="12" t="s">
        <v>42</v>
      </c>
      <c r="AH54" s="32"/>
      <c r="AI54" s="12">
        <f>905.6/1.724</f>
        <v>525.29002320185612</v>
      </c>
      <c r="AJ54" s="12">
        <f>13.9/1.724</f>
        <v>8.0626450116009281</v>
      </c>
      <c r="AK54" s="11">
        <v>10</v>
      </c>
      <c r="AL54" s="19">
        <f>AJ54/AI54</f>
        <v>1.5348939929328623E-2</v>
      </c>
      <c r="AM54" s="12" t="s">
        <v>37</v>
      </c>
      <c r="AN54" s="12" t="s">
        <v>37</v>
      </c>
      <c r="AO54" s="12" t="s">
        <v>37</v>
      </c>
      <c r="AP54" s="19"/>
      <c r="AQ54" s="49"/>
      <c r="AR54" s="49"/>
      <c r="AS54" s="32"/>
      <c r="AT54" s="12" t="s">
        <v>37</v>
      </c>
      <c r="AU54" s="12" t="s">
        <v>37</v>
      </c>
      <c r="AV54" s="13" t="s">
        <v>37</v>
      </c>
      <c r="AW54" s="12" t="s">
        <v>37</v>
      </c>
      <c r="AX54" s="12" t="s">
        <v>37</v>
      </c>
      <c r="AY54" s="13" t="s">
        <v>37</v>
      </c>
      <c r="AZ54" s="13"/>
      <c r="BA54" s="13"/>
      <c r="BB54" s="12"/>
      <c r="BC54" s="12" t="s">
        <v>37</v>
      </c>
      <c r="BD54" s="12" t="s">
        <v>37</v>
      </c>
      <c r="BE54" s="13" t="s">
        <v>37</v>
      </c>
      <c r="BF54" s="12" t="s">
        <v>37</v>
      </c>
      <c r="BG54" s="12" t="s">
        <v>37</v>
      </c>
      <c r="BH54" s="12" t="s">
        <v>37</v>
      </c>
      <c r="BI54" s="12"/>
      <c r="BJ54" s="12" t="s">
        <v>37</v>
      </c>
      <c r="BK54" s="12" t="s">
        <v>37</v>
      </c>
      <c r="BL54" s="12" t="s">
        <v>37</v>
      </c>
      <c r="BM54" s="12" t="s">
        <v>37</v>
      </c>
      <c r="BN54" s="12" t="s">
        <v>37</v>
      </c>
      <c r="BO54" s="12" t="s">
        <v>37</v>
      </c>
      <c r="BP54" s="19"/>
      <c r="BQ54" s="19"/>
      <c r="BR54" s="19"/>
      <c r="BS54" s="19"/>
      <c r="BT54" s="12"/>
      <c r="BU54" s="12" t="s">
        <v>37</v>
      </c>
      <c r="BV54" s="12" t="s">
        <v>37</v>
      </c>
      <c r="BW54" s="12" t="s">
        <v>37</v>
      </c>
      <c r="BX54" s="12" t="s">
        <v>37</v>
      </c>
      <c r="BY54" s="12" t="s">
        <v>37</v>
      </c>
      <c r="BZ54" s="12" t="s">
        <v>37</v>
      </c>
      <c r="CA54" s="19"/>
      <c r="CB54" s="19"/>
      <c r="CC54" s="19"/>
      <c r="CD54" s="19"/>
      <c r="CE54" s="12"/>
      <c r="CF54" s="12" t="s">
        <v>37</v>
      </c>
      <c r="CG54" s="12" t="s">
        <v>37</v>
      </c>
      <c r="CH54" s="12" t="s">
        <v>37</v>
      </c>
      <c r="CI54" s="12" t="s">
        <v>37</v>
      </c>
      <c r="CJ54" s="12" t="s">
        <v>37</v>
      </c>
      <c r="CK54" s="12" t="s">
        <v>37</v>
      </c>
      <c r="CL54" s="19"/>
      <c r="CM54" s="19"/>
      <c r="CN54" s="19"/>
      <c r="CO54" s="19"/>
      <c r="CP54" s="11" t="s">
        <v>34</v>
      </c>
      <c r="CQ54" s="12">
        <f>1920/24</f>
        <v>80</v>
      </c>
      <c r="CR54" s="70">
        <f t="shared" ref="CR54:CR55" si="278">CQ54*CT$61</f>
        <v>73.498242103981482</v>
      </c>
      <c r="CS54" s="13">
        <v>6</v>
      </c>
      <c r="CT54" s="19"/>
      <c r="CU54" s="12">
        <f>240/24</f>
        <v>10</v>
      </c>
      <c r="CV54" s="70">
        <f t="shared" ref="CV54:CV55" si="279">CU54*CX$61</f>
        <v>7.4188318042150971</v>
      </c>
      <c r="CW54" s="13">
        <v>6</v>
      </c>
      <c r="CX54" s="19"/>
      <c r="CY54" s="68">
        <f t="shared" si="276"/>
        <v>-70</v>
      </c>
      <c r="CZ54" s="12">
        <f t="shared" si="272"/>
        <v>52.235192436300593</v>
      </c>
      <c r="DA54" s="72">
        <f t="shared" si="273"/>
        <v>909.50510961911823</v>
      </c>
      <c r="DB54" s="72">
        <f t="shared" si="274"/>
        <v>909.50510961911823</v>
      </c>
      <c r="DC54" s="15" t="s">
        <v>34</v>
      </c>
      <c r="DD54" s="29">
        <f>0.528526506660138/10^3</f>
        <v>5.2852650666013797E-4</v>
      </c>
      <c r="DE54" s="68">
        <f>0.323053488348797/10^3</f>
        <v>3.2305348834879701E-4</v>
      </c>
      <c r="DF54" s="13">
        <v>10</v>
      </c>
      <c r="DG54" s="52">
        <f t="shared" ref="DG54:DG59" si="280">DE54/ABS(DD54)</f>
        <v>0.61123422246167936</v>
      </c>
      <c r="DH54" s="29">
        <f>151.662773070025/10^3</f>
        <v>0.15166277307002499</v>
      </c>
      <c r="DI54" s="68">
        <f>46.9611604866441/10^3</f>
        <v>4.6961160486644095E-2</v>
      </c>
      <c r="DJ54" s="13">
        <v>10</v>
      </c>
      <c r="DK54" s="52">
        <f t="shared" ref="DK54:DK59" si="281">DI54/ABS(DH54)</f>
        <v>0.30964197433579443</v>
      </c>
      <c r="DL54" s="68">
        <f t="shared" ref="DL54:DL58" si="282">DH54-DD54</f>
        <v>0.15113424656336485</v>
      </c>
      <c r="DM54" s="12">
        <f t="shared" ref="DM54:DM58" si="283">SQRT(((DF54-1)*DE54^2+(DJ54-1)*DI54^2)/(DF54+DJ54-2))</f>
        <v>3.3207340738221396E-2</v>
      </c>
      <c r="DN54" s="87">
        <f t="shared" ref="DN54:DN58" si="284">(((DF54+DJ54)/(DF54*DJ54))*(((DF54-1)*DE54^2)+(DJ54-1)*DI54^2)/(DF54+DJ54-2))</f>
        <v>2.2054549578086775E-4</v>
      </c>
      <c r="DO54" s="87">
        <f t="shared" ref="DO54:DO58" si="285">(DE54^2/DF54)+(DI54^2/DJ54)</f>
        <v>2.2054549578086769E-4</v>
      </c>
      <c r="DP54" s="12" t="s">
        <v>39</v>
      </c>
      <c r="DQ54" s="12">
        <v>0</v>
      </c>
      <c r="DR54" s="60">
        <f t="shared" si="277"/>
        <v>0</v>
      </c>
      <c r="DS54" s="13">
        <v>6</v>
      </c>
      <c r="DT54" s="19"/>
      <c r="DU54" s="12">
        <v>-10</v>
      </c>
      <c r="DV54" s="60">
        <f t="shared" si="275"/>
        <v>3.4561276247041222</v>
      </c>
      <c r="DW54" s="13">
        <v>6</v>
      </c>
      <c r="DX54" s="19"/>
      <c r="DY54" s="19">
        <f t="shared" si="247"/>
        <v>-10</v>
      </c>
      <c r="DZ54" s="12">
        <f t="shared" si="248"/>
        <v>2.4438512800744401</v>
      </c>
      <c r="EA54" s="72">
        <f t="shared" si="164"/>
        <v>1.9908030263738261</v>
      </c>
      <c r="EB54" s="72">
        <f t="shared" si="165"/>
        <v>1.9908030263738263</v>
      </c>
      <c r="EC54" s="12" t="s">
        <v>132</v>
      </c>
      <c r="ED54" s="12" t="s">
        <v>330</v>
      </c>
      <c r="EE54" s="12">
        <v>-122.64986387021976</v>
      </c>
      <c r="EF54" s="12">
        <v>11.80782142583899</v>
      </c>
      <c r="EG54" s="11">
        <v>10</v>
      </c>
      <c r="EH54" s="19">
        <f>EF54/ABS(EE54)</f>
        <v>9.6272601152931334E-2</v>
      </c>
      <c r="EI54" s="12">
        <v>218.4393681511221</v>
      </c>
      <c r="EJ54" s="20">
        <v>66.566112574452049</v>
      </c>
      <c r="EK54" s="11">
        <v>10</v>
      </c>
      <c r="EL54" s="19">
        <f>EJ54/ABS(EI54)</f>
        <v>0.30473496209895584</v>
      </c>
      <c r="EM54" s="19">
        <f t="shared" ref="EM54:EM55" si="286">EI54-EE54</f>
        <v>341.08923202134184</v>
      </c>
      <c r="EN54" s="12">
        <f t="shared" ref="EN54:EN55" si="287">SQRT(((EG54-1)*EF54^2+(EK54-1)*EJ54^2)/(EG54+EK54-2))</f>
        <v>47.804142028171185</v>
      </c>
      <c r="EO54" s="72">
        <f t="shared" ref="EO54" si="288">(((EG54+EK54)/(EG54*EK54))*(((EG54-1)*EF54^2)+(EK54-1)*EJ54^2)/(EG54+EK54-2))</f>
        <v>457.0471990099125</v>
      </c>
      <c r="EP54" s="72">
        <f t="shared" ref="EP54" si="289">(EF54^2/EG54)+(EJ54^2/EK54)</f>
        <v>457.04719900991256</v>
      </c>
      <c r="EQ54" s="32"/>
      <c r="ER54" s="12" t="s">
        <v>37</v>
      </c>
      <c r="ES54" s="12" t="s">
        <v>37</v>
      </c>
      <c r="ET54" s="12" t="s">
        <v>37</v>
      </c>
      <c r="EU54" s="19"/>
      <c r="EV54" s="12" t="s">
        <v>37</v>
      </c>
      <c r="EW54" s="12" t="s">
        <v>37</v>
      </c>
      <c r="EX54" s="12" t="s">
        <v>37</v>
      </c>
      <c r="EY54" s="19"/>
      <c r="EZ54" s="19"/>
      <c r="FA54" s="19"/>
      <c r="FB54" s="19"/>
      <c r="FC54" s="32"/>
      <c r="FD54" s="12" t="s">
        <v>37</v>
      </c>
      <c r="FE54" s="12" t="s">
        <v>37</v>
      </c>
      <c r="FF54" s="12" t="s">
        <v>37</v>
      </c>
      <c r="FG54" s="12" t="s">
        <v>37</v>
      </c>
      <c r="FH54" s="12" t="s">
        <v>37</v>
      </c>
      <c r="FI54" s="12" t="s">
        <v>37</v>
      </c>
      <c r="FJ54" s="19"/>
      <c r="FK54" s="19"/>
      <c r="FL54" s="19"/>
      <c r="FM54" s="32"/>
      <c r="FN54" s="12" t="s">
        <v>37</v>
      </c>
      <c r="FO54" s="12" t="s">
        <v>37</v>
      </c>
      <c r="FP54" s="12" t="s">
        <v>37</v>
      </c>
      <c r="FQ54" s="12" t="s">
        <v>37</v>
      </c>
      <c r="FR54" s="12" t="s">
        <v>37</v>
      </c>
      <c r="FS54" s="12" t="s">
        <v>37</v>
      </c>
      <c r="FT54" s="19"/>
      <c r="FU54" s="19"/>
      <c r="FV54" s="19"/>
      <c r="FW54" s="12"/>
      <c r="FX54" s="12"/>
      <c r="FY54" s="12" t="s">
        <v>37</v>
      </c>
      <c r="FZ54" s="12" t="s">
        <v>37</v>
      </c>
      <c r="GA54" s="13" t="s">
        <v>37</v>
      </c>
      <c r="GB54" s="12" t="s">
        <v>37</v>
      </c>
      <c r="GC54" s="12" t="s">
        <v>37</v>
      </c>
      <c r="GD54" s="13" t="s">
        <v>37</v>
      </c>
      <c r="GE54" s="19"/>
      <c r="GF54" s="19"/>
      <c r="GG54" s="12"/>
      <c r="GH54" s="12"/>
      <c r="GI54" s="12" t="s">
        <v>37</v>
      </c>
      <c r="GJ54" s="12" t="s">
        <v>37</v>
      </c>
      <c r="GK54" s="12" t="s">
        <v>37</v>
      </c>
      <c r="GL54" s="19"/>
      <c r="GM54" s="12" t="s">
        <v>37</v>
      </c>
      <c r="GN54" s="12" t="s">
        <v>37</v>
      </c>
      <c r="GO54" s="12" t="s">
        <v>37</v>
      </c>
      <c r="GP54" s="19"/>
      <c r="GQ54" s="19"/>
      <c r="GR54" s="19"/>
      <c r="GS54" s="17"/>
      <c r="GT54" s="34"/>
      <c r="GU54" s="12" t="s">
        <v>37</v>
      </c>
      <c r="GV54" s="12" t="s">
        <v>37</v>
      </c>
      <c r="GW54" s="12" t="s">
        <v>37</v>
      </c>
      <c r="GX54" s="19"/>
      <c r="GY54" s="12" t="s">
        <v>37</v>
      </c>
      <c r="GZ54" s="12" t="s">
        <v>37</v>
      </c>
      <c r="HA54" s="12" t="s">
        <v>37</v>
      </c>
      <c r="HB54" s="19"/>
      <c r="HC54" s="19"/>
      <c r="HD54" s="19"/>
      <c r="HE54" s="34"/>
      <c r="HF54" s="12" t="s">
        <v>37</v>
      </c>
      <c r="HG54" s="12" t="s">
        <v>37</v>
      </c>
      <c r="HH54" s="13" t="s">
        <v>37</v>
      </c>
      <c r="HI54" s="12" t="s">
        <v>37</v>
      </c>
      <c r="HJ54" s="12" t="s">
        <v>37</v>
      </c>
      <c r="HK54" s="13" t="s">
        <v>37</v>
      </c>
      <c r="HL54" s="13"/>
      <c r="HM54" s="13"/>
      <c r="HN54" s="34"/>
      <c r="HO54" s="12" t="s">
        <v>37</v>
      </c>
      <c r="HP54" s="12" t="s">
        <v>37</v>
      </c>
      <c r="HQ54" s="13" t="s">
        <v>37</v>
      </c>
      <c r="HR54" s="12" t="s">
        <v>37</v>
      </c>
      <c r="HS54" s="12" t="s">
        <v>37</v>
      </c>
      <c r="HT54" s="13" t="s">
        <v>37</v>
      </c>
      <c r="HU54" s="13"/>
      <c r="HV54" s="13"/>
      <c r="HW54" s="12"/>
      <c r="HX54" s="12"/>
      <c r="HY54" s="12" t="s">
        <v>37</v>
      </c>
      <c r="HZ54" s="12" t="s">
        <v>37</v>
      </c>
      <c r="IA54" s="12" t="s">
        <v>37</v>
      </c>
      <c r="IB54" s="12" t="s">
        <v>37</v>
      </c>
      <c r="IC54" s="12" t="s">
        <v>37</v>
      </c>
      <c r="ID54" s="12" t="s">
        <v>37</v>
      </c>
      <c r="IE54" s="12"/>
      <c r="IF54" s="32" t="s">
        <v>345</v>
      </c>
      <c r="IG54" s="12">
        <v>5.97</v>
      </c>
      <c r="IH54" s="12">
        <v>0.04</v>
      </c>
      <c r="II54" s="13">
        <v>10</v>
      </c>
      <c r="IJ54" s="19">
        <f t="shared" ref="IJ54:IJ55" si="290">IH54/IG54</f>
        <v>6.7001675041876048E-3</v>
      </c>
      <c r="IK54" s="12" t="s">
        <v>37</v>
      </c>
      <c r="IL54" s="12" t="s">
        <v>37</v>
      </c>
      <c r="IM54" s="13" t="s">
        <v>37</v>
      </c>
      <c r="IN54" s="19"/>
      <c r="IO54" s="19"/>
      <c r="IP54" s="19"/>
      <c r="IQ54" s="32"/>
      <c r="IR54" s="12" t="s">
        <v>37</v>
      </c>
      <c r="IS54" s="12" t="s">
        <v>37</v>
      </c>
      <c r="IT54" s="13" t="s">
        <v>37</v>
      </c>
      <c r="IU54" s="12" t="s">
        <v>37</v>
      </c>
      <c r="IV54" s="12" t="s">
        <v>37</v>
      </c>
      <c r="IW54" s="12" t="s">
        <v>37</v>
      </c>
      <c r="IX54" s="32"/>
      <c r="IY54" s="12" t="s">
        <v>37</v>
      </c>
      <c r="IZ54" s="12" t="s">
        <v>37</v>
      </c>
      <c r="JA54" s="13" t="s">
        <v>37</v>
      </c>
      <c r="JB54" s="12" t="s">
        <v>37</v>
      </c>
      <c r="JC54" s="12" t="s">
        <v>37</v>
      </c>
      <c r="JD54" s="12" t="s">
        <v>37</v>
      </c>
      <c r="JE54" s="12"/>
      <c r="JF54" s="12"/>
      <c r="JG54" s="12" t="s">
        <v>37</v>
      </c>
      <c r="JH54" s="12" t="s">
        <v>37</v>
      </c>
      <c r="JI54" s="13" t="s">
        <v>37</v>
      </c>
      <c r="JJ54" s="12" t="s">
        <v>37</v>
      </c>
      <c r="JK54" s="12" t="s">
        <v>37</v>
      </c>
      <c r="JL54" s="12" t="s">
        <v>37</v>
      </c>
      <c r="JM54" s="12" t="s">
        <v>42</v>
      </c>
      <c r="JN54" s="32" t="s">
        <v>345</v>
      </c>
      <c r="JO54" s="12">
        <v>23.34</v>
      </c>
      <c r="JP54" s="12">
        <v>1.27</v>
      </c>
      <c r="JQ54" s="11">
        <v>10</v>
      </c>
      <c r="JR54" s="19">
        <f>JP54/JO54</f>
        <v>5.4413024850042846E-2</v>
      </c>
      <c r="JS54" s="12" t="s">
        <v>37</v>
      </c>
      <c r="JT54" s="12" t="s">
        <v>37</v>
      </c>
      <c r="JU54" s="12" t="s">
        <v>37</v>
      </c>
      <c r="JV54" s="19"/>
      <c r="JW54" s="19"/>
      <c r="JX54" s="19"/>
      <c r="JY54" s="32"/>
      <c r="JZ54" s="12" t="s">
        <v>37</v>
      </c>
      <c r="KA54" s="12" t="s">
        <v>37</v>
      </c>
      <c r="KB54" s="12" t="s">
        <v>37</v>
      </c>
      <c r="KC54" s="12" t="s">
        <v>37</v>
      </c>
      <c r="KD54" s="12" t="s">
        <v>37</v>
      </c>
      <c r="KE54" s="12" t="s">
        <v>37</v>
      </c>
      <c r="KF54" s="12"/>
      <c r="KG54" s="12"/>
      <c r="KH54" s="32"/>
      <c r="KI54" s="12" t="s">
        <v>37</v>
      </c>
      <c r="KJ54" s="12" t="s">
        <v>37</v>
      </c>
      <c r="KK54" s="12" t="s">
        <v>37</v>
      </c>
      <c r="KL54" s="12" t="s">
        <v>37</v>
      </c>
      <c r="KM54" s="12" t="s">
        <v>37</v>
      </c>
      <c r="KN54" s="12" t="s">
        <v>37</v>
      </c>
      <c r="KO54" s="12"/>
      <c r="KP54" s="12"/>
      <c r="KQ54" s="12"/>
      <c r="KR54" s="12" t="str">
        <f t="shared" ref="KR54:KR55" si="291">JN54</f>
        <v>0-10</v>
      </c>
      <c r="KS54" s="12">
        <f>AI54/JO54</f>
        <v>22.505999280285181</v>
      </c>
      <c r="KT54" s="12">
        <f>SQRT((1/JO54)^2*AJ54^2+AI54^2*(-1/JO54^2)^2*JP54^2)</f>
        <v>1.2724087161775335</v>
      </c>
      <c r="KU54" s="13">
        <f t="shared" ref="KU54:KU55" si="292">JQ54</f>
        <v>10</v>
      </c>
      <c r="KV54" s="19">
        <f>KT54/KS54</f>
        <v>5.6536423925514778E-2</v>
      </c>
      <c r="KW54" s="13" t="str">
        <f>JS54</f>
        <v>/</v>
      </c>
      <c r="KX54" s="13" t="str">
        <f t="shared" ref="KX54:KX55" si="293">JT54</f>
        <v>/</v>
      </c>
      <c r="KY54" s="13" t="str">
        <f t="shared" ref="KY54:KY55" si="294">JU54</f>
        <v>/</v>
      </c>
      <c r="KZ54" s="19"/>
      <c r="LA54" s="19"/>
      <c r="LB54" s="19"/>
      <c r="LC54" s="12"/>
      <c r="LD54" s="12" t="s">
        <v>37</v>
      </c>
      <c r="LE54" s="12" t="s">
        <v>37</v>
      </c>
      <c r="LF54" s="12" t="s">
        <v>37</v>
      </c>
      <c r="LG54" s="19" t="s">
        <v>37</v>
      </c>
      <c r="LH54" s="19" t="s">
        <v>37</v>
      </c>
      <c r="LI54" s="12" t="s">
        <v>37</v>
      </c>
      <c r="LJ54" s="12"/>
      <c r="LK54" s="12"/>
      <c r="LL54" s="12"/>
      <c r="LM54" s="12" t="s">
        <v>37</v>
      </c>
      <c r="LN54" s="12" t="s">
        <v>37</v>
      </c>
      <c r="LO54" s="12" t="s">
        <v>37</v>
      </c>
      <c r="LP54" s="12" t="s">
        <v>37</v>
      </c>
      <c r="LQ54" s="12" t="s">
        <v>37</v>
      </c>
      <c r="LR54" s="12" t="s">
        <v>37</v>
      </c>
      <c r="LS54" s="12" t="s">
        <v>102</v>
      </c>
      <c r="LT54" s="12" t="s">
        <v>345</v>
      </c>
      <c r="LU54" s="12">
        <v>36.56</v>
      </c>
      <c r="LV54" s="12">
        <v>14.42</v>
      </c>
      <c r="LW54" s="13">
        <v>10</v>
      </c>
      <c r="LX54" s="12" t="s">
        <v>37</v>
      </c>
      <c r="LY54" s="12" t="s">
        <v>37</v>
      </c>
      <c r="LZ54" s="13" t="s">
        <v>37</v>
      </c>
      <c r="MA54" s="13"/>
      <c r="MB54" s="13"/>
      <c r="MC54" s="12" t="s">
        <v>102</v>
      </c>
      <c r="MD54" s="12" t="s">
        <v>345</v>
      </c>
      <c r="ME54" s="12">
        <v>3.41</v>
      </c>
      <c r="MF54" s="12">
        <v>2.86</v>
      </c>
      <c r="MG54" s="13">
        <v>10</v>
      </c>
      <c r="MH54" s="12" t="s">
        <v>37</v>
      </c>
      <c r="MI54" s="12" t="s">
        <v>37</v>
      </c>
      <c r="MJ54" s="13" t="s">
        <v>37</v>
      </c>
      <c r="MK54" s="13"/>
      <c r="ML54" s="13"/>
      <c r="MM54" s="12"/>
      <c r="MN54" s="12"/>
      <c r="MO54" s="12" t="s">
        <v>37</v>
      </c>
      <c r="MP54" s="12" t="s">
        <v>37</v>
      </c>
      <c r="MQ54" s="12" t="s">
        <v>37</v>
      </c>
      <c r="MR54" s="12" t="s">
        <v>37</v>
      </c>
      <c r="MS54" s="12" t="s">
        <v>37</v>
      </c>
      <c r="MT54" s="12" t="s">
        <v>37</v>
      </c>
      <c r="MU54" s="12"/>
      <c r="MV54" s="12"/>
      <c r="MW54" s="12"/>
      <c r="MX54" s="12"/>
      <c r="MY54" s="12" t="s">
        <v>37</v>
      </c>
      <c r="MZ54" s="12" t="s">
        <v>37</v>
      </c>
      <c r="NA54" s="12" t="s">
        <v>37</v>
      </c>
      <c r="NB54" s="12" t="s">
        <v>37</v>
      </c>
      <c r="NC54" s="12" t="s">
        <v>37</v>
      </c>
      <c r="ND54" s="12" t="s">
        <v>37</v>
      </c>
      <c r="NE54" s="12"/>
      <c r="NF54" s="12"/>
      <c r="NG54" s="12"/>
      <c r="NH54" s="12"/>
      <c r="NI54" s="12" t="s">
        <v>37</v>
      </c>
      <c r="NJ54" s="12" t="s">
        <v>37</v>
      </c>
      <c r="NK54" s="13" t="s">
        <v>37</v>
      </c>
      <c r="NL54" s="12" t="s">
        <v>37</v>
      </c>
      <c r="NM54" s="12" t="s">
        <v>37</v>
      </c>
      <c r="NN54" s="13" t="s">
        <v>37</v>
      </c>
      <c r="NO54" s="13"/>
      <c r="NP54" s="13"/>
      <c r="NQ54" s="12"/>
      <c r="NR54" s="12"/>
      <c r="NS54" s="12" t="s">
        <v>37</v>
      </c>
      <c r="NT54" s="12" t="s">
        <v>37</v>
      </c>
      <c r="NU54" s="12" t="s">
        <v>37</v>
      </c>
      <c r="NV54" s="12" t="s">
        <v>37</v>
      </c>
      <c r="NW54" s="12" t="s">
        <v>37</v>
      </c>
      <c r="NX54" s="12" t="s">
        <v>37</v>
      </c>
      <c r="NY54" s="12"/>
      <c r="NZ54" s="12"/>
      <c r="OA54" s="12" t="s">
        <v>476</v>
      </c>
      <c r="OB54" s="12" t="s">
        <v>345</v>
      </c>
      <c r="OC54" s="12">
        <v>36.28</v>
      </c>
      <c r="OD54" s="12">
        <v>12.46</v>
      </c>
      <c r="OE54" s="13">
        <v>10</v>
      </c>
      <c r="OF54" s="12" t="s">
        <v>37</v>
      </c>
      <c r="OG54" s="12" t="s">
        <v>37</v>
      </c>
      <c r="OH54" s="12" t="s">
        <v>37</v>
      </c>
      <c r="OI54" s="12"/>
      <c r="OJ54" s="12"/>
      <c r="OK54" s="12"/>
      <c r="OL54" s="12" t="s">
        <v>37</v>
      </c>
      <c r="OM54" s="12" t="s">
        <v>37</v>
      </c>
      <c r="ON54" s="12" t="s">
        <v>37</v>
      </c>
      <c r="OO54" s="12" t="s">
        <v>37</v>
      </c>
      <c r="OP54" s="12" t="s">
        <v>37</v>
      </c>
      <c r="OQ54" s="12" t="s">
        <v>37</v>
      </c>
      <c r="OR54" s="12"/>
      <c r="OS54" s="12" t="s">
        <v>37</v>
      </c>
      <c r="OT54" s="12" t="s">
        <v>37</v>
      </c>
      <c r="OU54" s="12" t="s">
        <v>37</v>
      </c>
      <c r="OV54" s="12" t="s">
        <v>37</v>
      </c>
      <c r="OW54" s="12" t="s">
        <v>37</v>
      </c>
      <c r="OX54" s="12" t="s">
        <v>37</v>
      </c>
      <c r="OY54" s="12"/>
      <c r="OZ54" s="12"/>
      <c r="PA54" s="12" t="s">
        <v>37</v>
      </c>
      <c r="PB54" s="12" t="s">
        <v>37</v>
      </c>
      <c r="PC54" s="12" t="s">
        <v>37</v>
      </c>
      <c r="PD54" s="12" t="s">
        <v>37</v>
      </c>
      <c r="PE54" s="12" t="s">
        <v>37</v>
      </c>
      <c r="PF54" s="12" t="s">
        <v>37</v>
      </c>
      <c r="PG54" s="12"/>
      <c r="PH54" s="12"/>
      <c r="PI54" s="12" t="s">
        <v>37</v>
      </c>
      <c r="PJ54" s="12" t="s">
        <v>37</v>
      </c>
      <c r="PK54" s="12" t="s">
        <v>37</v>
      </c>
      <c r="PL54" s="12" t="s">
        <v>37</v>
      </c>
      <c r="PM54" s="12" t="s">
        <v>37</v>
      </c>
      <c r="PN54" s="12" t="s">
        <v>37</v>
      </c>
      <c r="PO54" s="12"/>
      <c r="PP54" s="12"/>
      <c r="PQ54" s="12" t="s">
        <v>37</v>
      </c>
      <c r="PR54" s="12" t="s">
        <v>37</v>
      </c>
      <c r="PS54" s="12" t="s">
        <v>37</v>
      </c>
      <c r="PT54" s="12" t="s">
        <v>37</v>
      </c>
      <c r="PU54" s="12" t="s">
        <v>37</v>
      </c>
      <c r="PV54" s="12" t="s">
        <v>37</v>
      </c>
      <c r="PW54" s="12"/>
      <c r="PX54" s="12"/>
      <c r="PY54" s="12" t="s">
        <v>37</v>
      </c>
      <c r="PZ54" s="12" t="s">
        <v>37</v>
      </c>
      <c r="QA54" s="12" t="s">
        <v>37</v>
      </c>
      <c r="QB54" s="12" t="s">
        <v>37</v>
      </c>
      <c r="QC54" s="12" t="s">
        <v>37</v>
      </c>
      <c r="QD54" s="12" t="s">
        <v>37</v>
      </c>
      <c r="QE54" s="12"/>
      <c r="QF54" s="12"/>
      <c r="QG54" s="12" t="s">
        <v>37</v>
      </c>
      <c r="QH54" s="12" t="s">
        <v>37</v>
      </c>
      <c r="QI54" s="12" t="s">
        <v>37</v>
      </c>
      <c r="QJ54" s="12" t="s">
        <v>37</v>
      </c>
      <c r="QK54" s="12" t="s">
        <v>37</v>
      </c>
      <c r="QL54" s="12" t="s">
        <v>37</v>
      </c>
      <c r="QM54" s="12" t="s">
        <v>45</v>
      </c>
      <c r="QN54" s="12" t="s">
        <v>345</v>
      </c>
      <c r="QO54" s="12">
        <v>0.77</v>
      </c>
      <c r="QP54" s="12">
        <v>0.05</v>
      </c>
      <c r="QQ54" s="13">
        <v>10</v>
      </c>
      <c r="QR54" s="12" t="s">
        <v>37</v>
      </c>
      <c r="QS54" s="12" t="s">
        <v>37</v>
      </c>
      <c r="QT54" s="12" t="s">
        <v>37</v>
      </c>
      <c r="QU54" s="12"/>
      <c r="QV54" s="12"/>
      <c r="QW54" s="12"/>
      <c r="QX54" s="12"/>
      <c r="QY54" s="12" t="s">
        <v>37</v>
      </c>
      <c r="QZ54" s="12" t="s">
        <v>37</v>
      </c>
      <c r="RA54" s="12" t="s">
        <v>37</v>
      </c>
      <c r="RB54" s="12" t="s">
        <v>37</v>
      </c>
      <c r="RC54" s="12" t="s">
        <v>37</v>
      </c>
      <c r="RD54" s="12" t="s">
        <v>37</v>
      </c>
      <c r="RE54" s="12"/>
      <c r="RF54" s="12"/>
      <c r="RG54" s="12"/>
      <c r="RH54" s="12"/>
      <c r="RI54" s="12" t="s">
        <v>37</v>
      </c>
      <c r="RJ54" s="12" t="s">
        <v>37</v>
      </c>
      <c r="RK54" s="12" t="s">
        <v>37</v>
      </c>
      <c r="RL54" s="12" t="s">
        <v>37</v>
      </c>
      <c r="RM54" s="12" t="s">
        <v>37</v>
      </c>
      <c r="RN54" s="12" t="s">
        <v>37</v>
      </c>
      <c r="RO54" s="12"/>
      <c r="RP54" s="12"/>
      <c r="RQ54" s="12"/>
      <c r="RR54" s="12"/>
      <c r="RS54" s="12" t="s">
        <v>37</v>
      </c>
      <c r="RT54" s="12" t="s">
        <v>37</v>
      </c>
      <c r="RU54" s="12" t="s">
        <v>37</v>
      </c>
      <c r="RV54" s="12" t="s">
        <v>37</v>
      </c>
      <c r="RW54" s="12" t="s">
        <v>37</v>
      </c>
      <c r="RX54" s="12" t="s">
        <v>37</v>
      </c>
      <c r="RY54" s="12"/>
      <c r="RZ54" s="12"/>
      <c r="SA54" s="12"/>
      <c r="SB54" s="12"/>
      <c r="SC54" s="12" t="s">
        <v>37</v>
      </c>
      <c r="SD54" s="12" t="s">
        <v>37</v>
      </c>
      <c r="SE54" s="12" t="s">
        <v>37</v>
      </c>
      <c r="SF54" s="12" t="s">
        <v>37</v>
      </c>
      <c r="SG54" s="12" t="s">
        <v>37</v>
      </c>
      <c r="SH54" s="12" t="s">
        <v>37</v>
      </c>
      <c r="SI54" s="12"/>
      <c r="SJ54" s="12"/>
      <c r="SK54" s="12"/>
      <c r="SL54" s="12"/>
      <c r="SM54" s="12" t="s">
        <v>37</v>
      </c>
      <c r="SN54" s="12" t="s">
        <v>37</v>
      </c>
      <c r="SO54" s="12" t="s">
        <v>37</v>
      </c>
      <c r="SP54" s="12" t="s">
        <v>37</v>
      </c>
      <c r="SQ54" s="12" t="s">
        <v>37</v>
      </c>
      <c r="SR54" s="12" t="s">
        <v>37</v>
      </c>
      <c r="SS54" s="12"/>
      <c r="ST54" s="12"/>
      <c r="SU54" s="12"/>
      <c r="SV54" s="12"/>
      <c r="SW54" s="12" t="s">
        <v>37</v>
      </c>
      <c r="SX54" s="12" t="s">
        <v>37</v>
      </c>
      <c r="SY54" s="12" t="s">
        <v>37</v>
      </c>
      <c r="SZ54" s="12" t="s">
        <v>37</v>
      </c>
      <c r="TA54" s="12" t="s">
        <v>37</v>
      </c>
      <c r="TB54" s="12" t="s">
        <v>37</v>
      </c>
      <c r="TC54" s="12"/>
      <c r="TD54" s="12"/>
      <c r="TE54" s="12"/>
      <c r="TF54" s="12"/>
      <c r="TG54" s="12" t="s">
        <v>37</v>
      </c>
      <c r="TH54" s="12" t="s">
        <v>37</v>
      </c>
      <c r="TI54" s="12" t="s">
        <v>37</v>
      </c>
      <c r="TJ54" s="12" t="s">
        <v>37</v>
      </c>
      <c r="TK54" s="12" t="s">
        <v>37</v>
      </c>
      <c r="TL54" s="12" t="s">
        <v>37</v>
      </c>
      <c r="TM54" s="12"/>
      <c r="TN54" s="12"/>
      <c r="TO54" s="12"/>
      <c r="TP54" s="12"/>
      <c r="TQ54" s="12" t="s">
        <v>37</v>
      </c>
      <c r="TR54" s="12" t="s">
        <v>37</v>
      </c>
      <c r="TS54" s="12" t="s">
        <v>37</v>
      </c>
      <c r="TT54" s="19"/>
      <c r="TU54" s="12" t="s">
        <v>37</v>
      </c>
      <c r="TV54" s="12" t="s">
        <v>37</v>
      </c>
      <c r="TW54" s="12" t="s">
        <v>37</v>
      </c>
    </row>
    <row r="55" spans="1:544" ht="15.6" x14ac:dyDescent="0.3">
      <c r="A55" s="11">
        <v>22</v>
      </c>
      <c r="B55" s="16" t="s">
        <v>471</v>
      </c>
      <c r="C55" s="12" t="s">
        <v>26</v>
      </c>
      <c r="D55" s="12" t="s">
        <v>609</v>
      </c>
      <c r="E55" s="14" t="s">
        <v>37</v>
      </c>
      <c r="F55" s="14">
        <v>0</v>
      </c>
      <c r="G55" s="14">
        <v>0</v>
      </c>
      <c r="H55" s="12" t="s">
        <v>472</v>
      </c>
      <c r="I55" s="29">
        <v>52.017000000000003</v>
      </c>
      <c r="J55" s="29">
        <v>5.6829999999999998</v>
      </c>
      <c r="K55" s="12" t="s">
        <v>827</v>
      </c>
      <c r="L55" s="12" t="s">
        <v>828</v>
      </c>
      <c r="M55" s="13" t="s">
        <v>37</v>
      </c>
      <c r="N55" s="13" t="s">
        <v>37</v>
      </c>
      <c r="O55" s="13" t="s">
        <v>37</v>
      </c>
      <c r="P55" s="14" t="s">
        <v>16</v>
      </c>
      <c r="Q55" s="11" t="s">
        <v>227</v>
      </c>
      <c r="R55" s="11" t="s">
        <v>37</v>
      </c>
      <c r="S55" s="12" t="s">
        <v>85</v>
      </c>
      <c r="T55" s="12" t="s">
        <v>473</v>
      </c>
      <c r="U55" s="12" t="s">
        <v>158</v>
      </c>
      <c r="V55" s="12" t="s">
        <v>275</v>
      </c>
      <c r="W55" s="23" t="s">
        <v>475</v>
      </c>
      <c r="X55" s="12" t="s">
        <v>280</v>
      </c>
      <c r="Y55" s="12" t="s">
        <v>37</v>
      </c>
      <c r="Z55" s="12" t="s">
        <v>37</v>
      </c>
      <c r="AA55" s="32" t="s">
        <v>37</v>
      </c>
      <c r="AB55" s="12" t="s">
        <v>37</v>
      </c>
      <c r="AC55" s="12" t="s">
        <v>37</v>
      </c>
      <c r="AD55" s="12" t="s">
        <v>167</v>
      </c>
      <c r="AE55" s="12" t="s">
        <v>74</v>
      </c>
      <c r="AF55" s="12" t="s">
        <v>489</v>
      </c>
      <c r="AG55" s="12" t="s">
        <v>42</v>
      </c>
      <c r="AH55" s="32"/>
      <c r="AI55" s="12">
        <f>882.1/1.724</f>
        <v>511.65893271461721</v>
      </c>
      <c r="AJ55" s="12">
        <f>21.3/1.724</f>
        <v>12.354988399071926</v>
      </c>
      <c r="AK55" s="11">
        <v>10</v>
      </c>
      <c r="AL55" s="19">
        <f>AJ55/AI55</f>
        <v>2.4146922117673733E-2</v>
      </c>
      <c r="AM55" s="12" t="s">
        <v>37</v>
      </c>
      <c r="AN55" s="12" t="s">
        <v>37</v>
      </c>
      <c r="AO55" s="12" t="s">
        <v>37</v>
      </c>
      <c r="AP55" s="19"/>
      <c r="AQ55" s="49"/>
      <c r="AR55" s="49"/>
      <c r="AS55" s="32"/>
      <c r="AT55" s="12" t="s">
        <v>37</v>
      </c>
      <c r="AU55" s="12" t="s">
        <v>37</v>
      </c>
      <c r="AV55" s="13" t="s">
        <v>37</v>
      </c>
      <c r="AW55" s="12" t="s">
        <v>37</v>
      </c>
      <c r="AX55" s="12" t="s">
        <v>37</v>
      </c>
      <c r="AY55" s="13" t="s">
        <v>37</v>
      </c>
      <c r="AZ55" s="13"/>
      <c r="BA55" s="13"/>
      <c r="BB55" s="12"/>
      <c r="BC55" s="12" t="s">
        <v>37</v>
      </c>
      <c r="BD55" s="12" t="s">
        <v>37</v>
      </c>
      <c r="BE55" s="13" t="s">
        <v>37</v>
      </c>
      <c r="BF55" s="12" t="s">
        <v>37</v>
      </c>
      <c r="BG55" s="12" t="s">
        <v>37</v>
      </c>
      <c r="BH55" s="12" t="s">
        <v>37</v>
      </c>
      <c r="BI55" s="12"/>
      <c r="BJ55" s="12" t="s">
        <v>37</v>
      </c>
      <c r="BK55" s="12" t="s">
        <v>37</v>
      </c>
      <c r="BL55" s="12" t="s">
        <v>37</v>
      </c>
      <c r="BM55" s="12" t="s">
        <v>37</v>
      </c>
      <c r="BN55" s="12" t="s">
        <v>37</v>
      </c>
      <c r="BO55" s="12" t="s">
        <v>37</v>
      </c>
      <c r="BP55" s="19"/>
      <c r="BQ55" s="19"/>
      <c r="BR55" s="19"/>
      <c r="BS55" s="19"/>
      <c r="BT55" s="12"/>
      <c r="BU55" s="12" t="s">
        <v>37</v>
      </c>
      <c r="BV55" s="12" t="s">
        <v>37</v>
      </c>
      <c r="BW55" s="12" t="s">
        <v>37</v>
      </c>
      <c r="BX55" s="12" t="s">
        <v>37</v>
      </c>
      <c r="BY55" s="12" t="s">
        <v>37</v>
      </c>
      <c r="BZ55" s="12" t="s">
        <v>37</v>
      </c>
      <c r="CA55" s="19"/>
      <c r="CB55" s="19"/>
      <c r="CC55" s="19"/>
      <c r="CD55" s="19"/>
      <c r="CE55" s="12"/>
      <c r="CF55" s="12" t="s">
        <v>37</v>
      </c>
      <c r="CG55" s="12" t="s">
        <v>37</v>
      </c>
      <c r="CH55" s="12" t="s">
        <v>37</v>
      </c>
      <c r="CI55" s="12" t="s">
        <v>37</v>
      </c>
      <c r="CJ55" s="12" t="s">
        <v>37</v>
      </c>
      <c r="CK55" s="12" t="s">
        <v>37</v>
      </c>
      <c r="CL55" s="19"/>
      <c r="CM55" s="19"/>
      <c r="CN55" s="19"/>
      <c r="CO55" s="19"/>
      <c r="CP55" s="11" t="s">
        <v>34</v>
      </c>
      <c r="CQ55" s="12">
        <f>1440/24</f>
        <v>60</v>
      </c>
      <c r="CR55" s="70">
        <f t="shared" si="278"/>
        <v>55.123681577986105</v>
      </c>
      <c r="CS55" s="13">
        <v>6</v>
      </c>
      <c r="CT55" s="19"/>
      <c r="CU55" s="12">
        <f>240/24</f>
        <v>10</v>
      </c>
      <c r="CV55" s="70">
        <f t="shared" si="279"/>
        <v>7.4188318042150971</v>
      </c>
      <c r="CW55" s="13">
        <v>6</v>
      </c>
      <c r="CX55" s="19"/>
      <c r="CY55" s="68">
        <f t="shared" si="276"/>
        <v>-50</v>
      </c>
      <c r="CZ55" s="12">
        <f t="shared" si="272"/>
        <v>39.32975550426444</v>
      </c>
      <c r="DA55" s="72">
        <f t="shared" si="273"/>
        <v>515.60988934173963</v>
      </c>
      <c r="DB55" s="72">
        <f t="shared" si="274"/>
        <v>515.60988934173963</v>
      </c>
      <c r="DC55" s="15" t="s">
        <v>34</v>
      </c>
      <c r="DD55" s="29">
        <f>0.01/10^3</f>
        <v>1.0000000000000001E-5</v>
      </c>
      <c r="DE55" s="68">
        <f>0.01/10^3</f>
        <v>1.0000000000000001E-5</v>
      </c>
      <c r="DF55" s="13">
        <v>10</v>
      </c>
      <c r="DG55" s="52">
        <f t="shared" si="280"/>
        <v>1</v>
      </c>
      <c r="DH55" s="29">
        <f>0.01/10^3</f>
        <v>1.0000000000000001E-5</v>
      </c>
      <c r="DI55" s="68">
        <f>0.01/10^3</f>
        <v>1.0000000000000001E-5</v>
      </c>
      <c r="DJ55" s="13">
        <v>10</v>
      </c>
      <c r="DK55" s="52">
        <f t="shared" si="281"/>
        <v>1</v>
      </c>
      <c r="DL55" s="68">
        <f>DH55-DD55</f>
        <v>0</v>
      </c>
      <c r="DM55" s="12">
        <f t="shared" si="283"/>
        <v>1.0000000000000001E-5</v>
      </c>
      <c r="DN55" s="87">
        <f t="shared" si="284"/>
        <v>2.0000000000000005E-11</v>
      </c>
      <c r="DO55" s="87">
        <f t="shared" si="285"/>
        <v>2.0000000000000002E-11</v>
      </c>
      <c r="DP55" s="12" t="s">
        <v>39</v>
      </c>
      <c r="DQ55" s="12">
        <v>0</v>
      </c>
      <c r="DR55" s="60">
        <f t="shared" si="277"/>
        <v>0</v>
      </c>
      <c r="DS55" s="13">
        <v>6</v>
      </c>
      <c r="DT55" s="19"/>
      <c r="DU55" s="12">
        <v>-10</v>
      </c>
      <c r="DV55" s="60">
        <f t="shared" si="275"/>
        <v>3.4561276247041222</v>
      </c>
      <c r="DW55" s="13">
        <v>6</v>
      </c>
      <c r="DX55" s="19"/>
      <c r="DY55" s="19">
        <f t="shared" si="247"/>
        <v>-10</v>
      </c>
      <c r="DZ55" s="12">
        <f t="shared" si="248"/>
        <v>2.4438512800744401</v>
      </c>
      <c r="EA55" s="72">
        <f t="shared" si="164"/>
        <v>1.9908030263738261</v>
      </c>
      <c r="EB55" s="72">
        <f t="shared" si="165"/>
        <v>1.9908030263738263</v>
      </c>
      <c r="EC55" s="12" t="s">
        <v>132</v>
      </c>
      <c r="ED55" s="12" t="s">
        <v>330</v>
      </c>
      <c r="EE55" s="12">
        <v>-121.23220926177608</v>
      </c>
      <c r="EF55" s="12">
        <v>18.302189654696999</v>
      </c>
      <c r="EG55" s="11">
        <v>10</v>
      </c>
      <c r="EH55" s="19">
        <f>EF55/ABS(EE55)</f>
        <v>0.15096804525913718</v>
      </c>
      <c r="EI55" s="12">
        <v>170.01867477536487</v>
      </c>
      <c r="EJ55" s="20">
        <v>27.489919769976915</v>
      </c>
      <c r="EK55" s="11">
        <v>10</v>
      </c>
      <c r="EL55" s="19">
        <f>EJ55/ABS(EI55)</f>
        <v>0.16168764876151187</v>
      </c>
      <c r="EM55" s="19">
        <f t="shared" si="286"/>
        <v>291.25088403714096</v>
      </c>
      <c r="EN55" s="12">
        <f t="shared" si="287"/>
        <v>23.35236428197652</v>
      </c>
      <c r="EO55" s="72">
        <f>(((EG55+EK55)/(EG55*EK55))*(((EG55-1)*EF55^2)+(EK55-1)*EJ55^2)/(EG55+EK55-2))</f>
        <v>109.06658351162656</v>
      </c>
      <c r="EP55" s="72">
        <f>(EF55^2/EG55)+(EJ55^2/EK55)</f>
        <v>109.06658351162653</v>
      </c>
      <c r="EQ55" s="32"/>
      <c r="ER55" s="12" t="s">
        <v>37</v>
      </c>
      <c r="ES55" s="12" t="s">
        <v>37</v>
      </c>
      <c r="ET55" s="12" t="s">
        <v>37</v>
      </c>
      <c r="EU55" s="19"/>
      <c r="EV55" s="12" t="s">
        <v>37</v>
      </c>
      <c r="EW55" s="12" t="s">
        <v>37</v>
      </c>
      <c r="EX55" s="12" t="s">
        <v>37</v>
      </c>
      <c r="EY55" s="19"/>
      <c r="EZ55" s="19"/>
      <c r="FA55" s="19"/>
      <c r="FB55" s="19"/>
      <c r="FC55" s="32"/>
      <c r="FD55" s="12" t="s">
        <v>37</v>
      </c>
      <c r="FE55" s="12" t="s">
        <v>37</v>
      </c>
      <c r="FF55" s="12" t="s">
        <v>37</v>
      </c>
      <c r="FG55" s="12" t="s">
        <v>37</v>
      </c>
      <c r="FH55" s="12" t="s">
        <v>37</v>
      </c>
      <c r="FI55" s="12" t="s">
        <v>37</v>
      </c>
      <c r="FJ55" s="19"/>
      <c r="FK55" s="19"/>
      <c r="FL55" s="19"/>
      <c r="FM55" s="32"/>
      <c r="FN55" s="12" t="s">
        <v>37</v>
      </c>
      <c r="FO55" s="12" t="s">
        <v>37</v>
      </c>
      <c r="FP55" s="12" t="s">
        <v>37</v>
      </c>
      <c r="FQ55" s="12" t="s">
        <v>37</v>
      </c>
      <c r="FR55" s="12" t="s">
        <v>37</v>
      </c>
      <c r="FS55" s="12" t="s">
        <v>37</v>
      </c>
      <c r="FT55" s="19"/>
      <c r="FU55" s="19"/>
      <c r="FV55" s="19"/>
      <c r="FW55" s="12"/>
      <c r="FX55" s="12"/>
      <c r="FY55" s="12" t="s">
        <v>37</v>
      </c>
      <c r="FZ55" s="12" t="s">
        <v>37</v>
      </c>
      <c r="GA55" s="13" t="s">
        <v>37</v>
      </c>
      <c r="GB55" s="12" t="s">
        <v>37</v>
      </c>
      <c r="GC55" s="12" t="s">
        <v>37</v>
      </c>
      <c r="GD55" s="13" t="s">
        <v>37</v>
      </c>
      <c r="GE55" s="19"/>
      <c r="GF55" s="19"/>
      <c r="GG55" s="12"/>
      <c r="GH55" s="12"/>
      <c r="GI55" s="12" t="s">
        <v>37</v>
      </c>
      <c r="GJ55" s="12" t="s">
        <v>37</v>
      </c>
      <c r="GK55" s="12" t="s">
        <v>37</v>
      </c>
      <c r="GL55" s="19"/>
      <c r="GM55" s="12" t="s">
        <v>37</v>
      </c>
      <c r="GN55" s="12" t="s">
        <v>37</v>
      </c>
      <c r="GO55" s="12" t="s">
        <v>37</v>
      </c>
      <c r="GP55" s="19"/>
      <c r="GQ55" s="19"/>
      <c r="GR55" s="19"/>
      <c r="GS55" s="17"/>
      <c r="GT55" s="34"/>
      <c r="GU55" s="12" t="s">
        <v>37</v>
      </c>
      <c r="GV55" s="12" t="s">
        <v>37</v>
      </c>
      <c r="GW55" s="12" t="s">
        <v>37</v>
      </c>
      <c r="GX55" s="19"/>
      <c r="GY55" s="12" t="s">
        <v>37</v>
      </c>
      <c r="GZ55" s="12" t="s">
        <v>37</v>
      </c>
      <c r="HA55" s="12" t="s">
        <v>37</v>
      </c>
      <c r="HB55" s="19"/>
      <c r="HC55" s="19"/>
      <c r="HD55" s="19"/>
      <c r="HE55" s="34"/>
      <c r="HF55" s="12" t="s">
        <v>37</v>
      </c>
      <c r="HG55" s="12" t="s">
        <v>37</v>
      </c>
      <c r="HH55" s="13" t="s">
        <v>37</v>
      </c>
      <c r="HI55" s="12" t="s">
        <v>37</v>
      </c>
      <c r="HJ55" s="12" t="s">
        <v>37</v>
      </c>
      <c r="HK55" s="13" t="s">
        <v>37</v>
      </c>
      <c r="HL55" s="13"/>
      <c r="HM55" s="13"/>
      <c r="HN55" s="34"/>
      <c r="HO55" s="12" t="s">
        <v>37</v>
      </c>
      <c r="HP55" s="12" t="s">
        <v>37</v>
      </c>
      <c r="HQ55" s="13" t="s">
        <v>37</v>
      </c>
      <c r="HR55" s="12" t="s">
        <v>37</v>
      </c>
      <c r="HS55" s="12" t="s">
        <v>37</v>
      </c>
      <c r="HT55" s="13" t="s">
        <v>37</v>
      </c>
      <c r="HU55" s="13"/>
      <c r="HV55" s="13"/>
      <c r="HW55" s="12"/>
      <c r="HX55" s="12"/>
      <c r="HY55" s="12" t="s">
        <v>37</v>
      </c>
      <c r="HZ55" s="12" t="s">
        <v>37</v>
      </c>
      <c r="IA55" s="12" t="s">
        <v>37</v>
      </c>
      <c r="IB55" s="12" t="s">
        <v>37</v>
      </c>
      <c r="IC55" s="12" t="s">
        <v>37</v>
      </c>
      <c r="ID55" s="12" t="s">
        <v>37</v>
      </c>
      <c r="IE55" s="12"/>
      <c r="IF55" s="32" t="s">
        <v>345</v>
      </c>
      <c r="IG55" s="12">
        <v>5.5</v>
      </c>
      <c r="IH55" s="12">
        <v>1</v>
      </c>
      <c r="II55" s="13">
        <v>10</v>
      </c>
      <c r="IJ55" s="19">
        <f t="shared" si="290"/>
        <v>0.18181818181818182</v>
      </c>
      <c r="IK55" s="12" t="s">
        <v>37</v>
      </c>
      <c r="IL55" s="12" t="s">
        <v>37</v>
      </c>
      <c r="IM55" s="13" t="s">
        <v>37</v>
      </c>
      <c r="IN55" s="19"/>
      <c r="IO55" s="19"/>
      <c r="IP55" s="19"/>
      <c r="IQ55" s="32"/>
      <c r="IR55" s="12" t="s">
        <v>37</v>
      </c>
      <c r="IS55" s="12" t="s">
        <v>37</v>
      </c>
      <c r="IT55" s="13" t="s">
        <v>37</v>
      </c>
      <c r="IU55" s="12" t="s">
        <v>37</v>
      </c>
      <c r="IV55" s="12" t="s">
        <v>37</v>
      </c>
      <c r="IW55" s="12" t="s">
        <v>37</v>
      </c>
      <c r="IX55" s="32"/>
      <c r="IY55" s="12" t="s">
        <v>37</v>
      </c>
      <c r="IZ55" s="12" t="s">
        <v>37</v>
      </c>
      <c r="JA55" s="13" t="s">
        <v>37</v>
      </c>
      <c r="JB55" s="12" t="s">
        <v>37</v>
      </c>
      <c r="JC55" s="12" t="s">
        <v>37</v>
      </c>
      <c r="JD55" s="12" t="s">
        <v>37</v>
      </c>
      <c r="JE55" s="12"/>
      <c r="JF55" s="12"/>
      <c r="JG55" s="12" t="s">
        <v>37</v>
      </c>
      <c r="JH55" s="12" t="s">
        <v>37</v>
      </c>
      <c r="JI55" s="13" t="s">
        <v>37</v>
      </c>
      <c r="JJ55" s="12" t="s">
        <v>37</v>
      </c>
      <c r="JK55" s="12" t="s">
        <v>37</v>
      </c>
      <c r="JL55" s="12" t="s">
        <v>37</v>
      </c>
      <c r="JM55" s="12" t="s">
        <v>42</v>
      </c>
      <c r="JN55" s="32" t="s">
        <v>345</v>
      </c>
      <c r="JO55" s="12">
        <v>21.11</v>
      </c>
      <c r="JP55" s="12">
        <v>2.2999999999999998</v>
      </c>
      <c r="JQ55" s="11">
        <v>10</v>
      </c>
      <c r="JR55" s="19">
        <f>JP55/JO55</f>
        <v>0.10895310279488393</v>
      </c>
      <c r="JS55" s="12" t="s">
        <v>37</v>
      </c>
      <c r="JT55" s="12" t="s">
        <v>37</v>
      </c>
      <c r="JU55" s="12" t="s">
        <v>37</v>
      </c>
      <c r="JV55" s="19"/>
      <c r="JW55" s="19"/>
      <c r="JX55" s="19"/>
      <c r="JY55" s="32"/>
      <c r="JZ55" s="12" t="s">
        <v>37</v>
      </c>
      <c r="KA55" s="12" t="s">
        <v>37</v>
      </c>
      <c r="KB55" s="12" t="s">
        <v>37</v>
      </c>
      <c r="KC55" s="12" t="s">
        <v>37</v>
      </c>
      <c r="KD55" s="12" t="s">
        <v>37</v>
      </c>
      <c r="KE55" s="12" t="s">
        <v>37</v>
      </c>
      <c r="KF55" s="12"/>
      <c r="KG55" s="12"/>
      <c r="KH55" s="32"/>
      <c r="KI55" s="12" t="s">
        <v>37</v>
      </c>
      <c r="KJ55" s="12" t="s">
        <v>37</v>
      </c>
      <c r="KK55" s="12" t="s">
        <v>37</v>
      </c>
      <c r="KL55" s="12" t="s">
        <v>37</v>
      </c>
      <c r="KM55" s="12" t="s">
        <v>37</v>
      </c>
      <c r="KN55" s="12" t="s">
        <v>37</v>
      </c>
      <c r="KO55" s="12"/>
      <c r="KP55" s="12"/>
      <c r="KQ55" s="12"/>
      <c r="KR55" s="12" t="str">
        <f t="shared" si="291"/>
        <v>0-10</v>
      </c>
      <c r="KS55" s="12">
        <f>AI55/JO55</f>
        <v>24.237751431294043</v>
      </c>
      <c r="KT55" s="12">
        <f>SQRT((1/JO55)^2*AJ55^2+AI55^2*(-1/JO55^2)^2*JP55^2)</f>
        <v>2.7048562250114183</v>
      </c>
      <c r="KU55" s="13">
        <f t="shared" si="292"/>
        <v>10</v>
      </c>
      <c r="KV55" s="19">
        <f>KT55/KS55</f>
        <v>0.11159682995672207</v>
      </c>
      <c r="KW55" s="13" t="str">
        <f>JS55</f>
        <v>/</v>
      </c>
      <c r="KX55" s="13" t="str">
        <f t="shared" si="293"/>
        <v>/</v>
      </c>
      <c r="KY55" s="13" t="str">
        <f t="shared" si="294"/>
        <v>/</v>
      </c>
      <c r="KZ55" s="19"/>
      <c r="LA55" s="19"/>
      <c r="LB55" s="19"/>
      <c r="LC55" s="12"/>
      <c r="LD55" s="12" t="s">
        <v>37</v>
      </c>
      <c r="LE55" s="12" t="s">
        <v>37</v>
      </c>
      <c r="LF55" s="12" t="s">
        <v>37</v>
      </c>
      <c r="LG55" s="19" t="s">
        <v>37</v>
      </c>
      <c r="LH55" s="19" t="s">
        <v>37</v>
      </c>
      <c r="LI55" s="12" t="s">
        <v>37</v>
      </c>
      <c r="LJ55" s="12"/>
      <c r="LK55" s="12"/>
      <c r="LL55" s="12"/>
      <c r="LM55" s="12" t="s">
        <v>37</v>
      </c>
      <c r="LN55" s="12" t="s">
        <v>37</v>
      </c>
      <c r="LO55" s="12" t="s">
        <v>37</v>
      </c>
      <c r="LP55" s="12" t="s">
        <v>37</v>
      </c>
      <c r="LQ55" s="12" t="s">
        <v>37</v>
      </c>
      <c r="LR55" s="12" t="s">
        <v>37</v>
      </c>
      <c r="LS55" s="12" t="s">
        <v>102</v>
      </c>
      <c r="LT55" s="12" t="s">
        <v>345</v>
      </c>
      <c r="LU55" s="12">
        <v>21.39</v>
      </c>
      <c r="LV55" s="12">
        <v>15.64</v>
      </c>
      <c r="LW55" s="13">
        <v>10</v>
      </c>
      <c r="LX55" s="12" t="s">
        <v>37</v>
      </c>
      <c r="LY55" s="12" t="s">
        <v>37</v>
      </c>
      <c r="LZ55" s="13" t="s">
        <v>37</v>
      </c>
      <c r="MA55" s="13"/>
      <c r="MB55" s="13"/>
      <c r="MC55" s="12" t="s">
        <v>102</v>
      </c>
      <c r="MD55" s="12" t="s">
        <v>345</v>
      </c>
      <c r="ME55" s="12" t="s">
        <v>37</v>
      </c>
      <c r="MF55" s="12" t="s">
        <v>37</v>
      </c>
      <c r="MG55" s="13" t="s">
        <v>37</v>
      </c>
      <c r="MH55" s="12" t="s">
        <v>37</v>
      </c>
      <c r="MI55" s="12" t="s">
        <v>37</v>
      </c>
      <c r="MJ55" s="13" t="s">
        <v>37</v>
      </c>
      <c r="MK55" s="13"/>
      <c r="ML55" s="13"/>
      <c r="MM55" s="12"/>
      <c r="MN55" s="12"/>
      <c r="MO55" s="12" t="s">
        <v>37</v>
      </c>
      <c r="MP55" s="12" t="s">
        <v>37</v>
      </c>
      <c r="MQ55" s="12" t="s">
        <v>37</v>
      </c>
      <c r="MR55" s="12" t="s">
        <v>37</v>
      </c>
      <c r="MS55" s="12" t="s">
        <v>37</v>
      </c>
      <c r="MT55" s="12" t="s">
        <v>37</v>
      </c>
      <c r="MU55" s="12"/>
      <c r="MV55" s="12"/>
      <c r="MW55" s="12"/>
      <c r="MX55" s="12"/>
      <c r="MY55" s="12" t="s">
        <v>37</v>
      </c>
      <c r="MZ55" s="12" t="s">
        <v>37</v>
      </c>
      <c r="NA55" s="12" t="s">
        <v>37</v>
      </c>
      <c r="NB55" s="12" t="s">
        <v>37</v>
      </c>
      <c r="NC55" s="12" t="s">
        <v>37</v>
      </c>
      <c r="ND55" s="12" t="s">
        <v>37</v>
      </c>
      <c r="NE55" s="12"/>
      <c r="NF55" s="12"/>
      <c r="NG55" s="12"/>
      <c r="NH55" s="12"/>
      <c r="NI55" s="12" t="s">
        <v>37</v>
      </c>
      <c r="NJ55" s="12" t="s">
        <v>37</v>
      </c>
      <c r="NK55" s="13" t="s">
        <v>37</v>
      </c>
      <c r="NL55" s="12" t="s">
        <v>37</v>
      </c>
      <c r="NM55" s="12" t="s">
        <v>37</v>
      </c>
      <c r="NN55" s="13" t="s">
        <v>37</v>
      </c>
      <c r="NO55" s="13"/>
      <c r="NP55" s="13"/>
      <c r="NQ55" s="12"/>
      <c r="NR55" s="12"/>
      <c r="NS55" s="12" t="s">
        <v>37</v>
      </c>
      <c r="NT55" s="12" t="s">
        <v>37</v>
      </c>
      <c r="NU55" s="12" t="s">
        <v>37</v>
      </c>
      <c r="NV55" s="12" t="s">
        <v>37</v>
      </c>
      <c r="NW55" s="12" t="s">
        <v>37</v>
      </c>
      <c r="NX55" s="12" t="s">
        <v>37</v>
      </c>
      <c r="NY55" s="12"/>
      <c r="NZ55" s="12"/>
      <c r="OA55" s="12" t="s">
        <v>476</v>
      </c>
      <c r="OB55" s="12" t="s">
        <v>345</v>
      </c>
      <c r="OC55" s="12">
        <v>5.57</v>
      </c>
      <c r="OD55" s="12">
        <v>6.23</v>
      </c>
      <c r="OE55" s="13">
        <v>10</v>
      </c>
      <c r="OF55" s="12" t="s">
        <v>37</v>
      </c>
      <c r="OG55" s="12" t="s">
        <v>37</v>
      </c>
      <c r="OH55" s="12" t="s">
        <v>37</v>
      </c>
      <c r="OI55" s="12"/>
      <c r="OJ55" s="12"/>
      <c r="OK55" s="12"/>
      <c r="OL55" s="12" t="s">
        <v>37</v>
      </c>
      <c r="OM55" s="12" t="s">
        <v>37</v>
      </c>
      <c r="ON55" s="12" t="s">
        <v>37</v>
      </c>
      <c r="OO55" s="12" t="s">
        <v>37</v>
      </c>
      <c r="OP55" s="12" t="s">
        <v>37</v>
      </c>
      <c r="OQ55" s="12" t="s">
        <v>37</v>
      </c>
      <c r="OR55" s="12"/>
      <c r="OS55" s="12" t="s">
        <v>37</v>
      </c>
      <c r="OT55" s="12" t="s">
        <v>37</v>
      </c>
      <c r="OU55" s="12" t="s">
        <v>37</v>
      </c>
      <c r="OV55" s="12" t="s">
        <v>37</v>
      </c>
      <c r="OW55" s="12" t="s">
        <v>37</v>
      </c>
      <c r="OX55" s="12" t="s">
        <v>37</v>
      </c>
      <c r="OY55" s="12"/>
      <c r="OZ55" s="12"/>
      <c r="PA55" s="12" t="s">
        <v>37</v>
      </c>
      <c r="PB55" s="12" t="s">
        <v>37</v>
      </c>
      <c r="PC55" s="12" t="s">
        <v>37</v>
      </c>
      <c r="PD55" s="12" t="s">
        <v>37</v>
      </c>
      <c r="PE55" s="12" t="s">
        <v>37</v>
      </c>
      <c r="PF55" s="12" t="s">
        <v>37</v>
      </c>
      <c r="PG55" s="12"/>
      <c r="PH55" s="12"/>
      <c r="PI55" s="12" t="s">
        <v>37</v>
      </c>
      <c r="PJ55" s="12" t="s">
        <v>37</v>
      </c>
      <c r="PK55" s="12" t="s">
        <v>37</v>
      </c>
      <c r="PL55" s="12" t="s">
        <v>37</v>
      </c>
      <c r="PM55" s="12" t="s">
        <v>37</v>
      </c>
      <c r="PN55" s="12" t="s">
        <v>37</v>
      </c>
      <c r="PO55" s="12"/>
      <c r="PP55" s="12"/>
      <c r="PQ55" s="12" t="s">
        <v>37</v>
      </c>
      <c r="PR55" s="12" t="s">
        <v>37</v>
      </c>
      <c r="PS55" s="12" t="s">
        <v>37</v>
      </c>
      <c r="PT55" s="12" t="s">
        <v>37</v>
      </c>
      <c r="PU55" s="12" t="s">
        <v>37</v>
      </c>
      <c r="PV55" s="12" t="s">
        <v>37</v>
      </c>
      <c r="PW55" s="12"/>
      <c r="PX55" s="12"/>
      <c r="PY55" s="12" t="s">
        <v>37</v>
      </c>
      <c r="PZ55" s="12" t="s">
        <v>37</v>
      </c>
      <c r="QA55" s="12" t="s">
        <v>37</v>
      </c>
      <c r="QB55" s="12" t="s">
        <v>37</v>
      </c>
      <c r="QC55" s="12" t="s">
        <v>37</v>
      </c>
      <c r="QD55" s="12" t="s">
        <v>37</v>
      </c>
      <c r="QE55" s="12"/>
      <c r="QF55" s="12"/>
      <c r="QG55" s="12" t="s">
        <v>37</v>
      </c>
      <c r="QH55" s="12" t="s">
        <v>37</v>
      </c>
      <c r="QI55" s="12" t="s">
        <v>37</v>
      </c>
      <c r="QJ55" s="12" t="s">
        <v>37</v>
      </c>
      <c r="QK55" s="12" t="s">
        <v>37</v>
      </c>
      <c r="QL55" s="12" t="s">
        <v>37</v>
      </c>
      <c r="QM55" s="12" t="s">
        <v>45</v>
      </c>
      <c r="QN55" s="12" t="s">
        <v>345</v>
      </c>
      <c r="QO55" s="12">
        <v>0.54</v>
      </c>
      <c r="QP55" s="12">
        <v>0.02</v>
      </c>
      <c r="QQ55" s="13">
        <v>10</v>
      </c>
      <c r="QR55" s="12" t="s">
        <v>37</v>
      </c>
      <c r="QS55" s="12" t="s">
        <v>37</v>
      </c>
      <c r="QT55" s="12" t="s">
        <v>37</v>
      </c>
      <c r="QU55" s="12"/>
      <c r="QV55" s="12"/>
      <c r="QW55" s="12"/>
      <c r="QX55" s="12"/>
      <c r="QY55" s="12" t="s">
        <v>37</v>
      </c>
      <c r="QZ55" s="12" t="s">
        <v>37</v>
      </c>
      <c r="RA55" s="12" t="s">
        <v>37</v>
      </c>
      <c r="RB55" s="12" t="s">
        <v>37</v>
      </c>
      <c r="RC55" s="12" t="s">
        <v>37</v>
      </c>
      <c r="RD55" s="12" t="s">
        <v>37</v>
      </c>
      <c r="RE55" s="12"/>
      <c r="RF55" s="12"/>
      <c r="RG55" s="12"/>
      <c r="RH55" s="12"/>
      <c r="RI55" s="12" t="s">
        <v>37</v>
      </c>
      <c r="RJ55" s="12" t="s">
        <v>37</v>
      </c>
      <c r="RK55" s="12" t="s">
        <v>37</v>
      </c>
      <c r="RL55" s="12" t="s">
        <v>37</v>
      </c>
      <c r="RM55" s="12" t="s">
        <v>37</v>
      </c>
      <c r="RN55" s="12" t="s">
        <v>37</v>
      </c>
      <c r="RO55" s="12"/>
      <c r="RP55" s="12"/>
      <c r="RQ55" s="12"/>
      <c r="RR55" s="12"/>
      <c r="RS55" s="12" t="s">
        <v>37</v>
      </c>
      <c r="RT55" s="12" t="s">
        <v>37</v>
      </c>
      <c r="RU55" s="12" t="s">
        <v>37</v>
      </c>
      <c r="RV55" s="12" t="s">
        <v>37</v>
      </c>
      <c r="RW55" s="12" t="s">
        <v>37</v>
      </c>
      <c r="RX55" s="12" t="s">
        <v>37</v>
      </c>
      <c r="RY55" s="12"/>
      <c r="RZ55" s="12"/>
      <c r="SA55" s="12"/>
      <c r="SB55" s="12"/>
      <c r="SC55" s="12" t="s">
        <v>37</v>
      </c>
      <c r="SD55" s="12" t="s">
        <v>37</v>
      </c>
      <c r="SE55" s="12" t="s">
        <v>37</v>
      </c>
      <c r="SF55" s="12" t="s">
        <v>37</v>
      </c>
      <c r="SG55" s="12" t="s">
        <v>37</v>
      </c>
      <c r="SH55" s="12" t="s">
        <v>37</v>
      </c>
      <c r="SI55" s="12"/>
      <c r="SJ55" s="12"/>
      <c r="SK55" s="12"/>
      <c r="SL55" s="12"/>
      <c r="SM55" s="12" t="s">
        <v>37</v>
      </c>
      <c r="SN55" s="12" t="s">
        <v>37</v>
      </c>
      <c r="SO55" s="12" t="s">
        <v>37</v>
      </c>
      <c r="SP55" s="12" t="s">
        <v>37</v>
      </c>
      <c r="SQ55" s="12" t="s">
        <v>37</v>
      </c>
      <c r="SR55" s="12" t="s">
        <v>37</v>
      </c>
      <c r="SS55" s="12"/>
      <c r="ST55" s="12"/>
      <c r="SU55" s="12"/>
      <c r="SV55" s="12"/>
      <c r="SW55" s="12" t="s">
        <v>37</v>
      </c>
      <c r="SX55" s="12" t="s">
        <v>37</v>
      </c>
      <c r="SY55" s="12" t="s">
        <v>37</v>
      </c>
      <c r="SZ55" s="12" t="s">
        <v>37</v>
      </c>
      <c r="TA55" s="12" t="s">
        <v>37</v>
      </c>
      <c r="TB55" s="12" t="s">
        <v>37</v>
      </c>
      <c r="TC55" s="12"/>
      <c r="TD55" s="12"/>
      <c r="TE55" s="12"/>
      <c r="TF55" s="12"/>
      <c r="TG55" s="12" t="s">
        <v>37</v>
      </c>
      <c r="TH55" s="12" t="s">
        <v>37</v>
      </c>
      <c r="TI55" s="12" t="s">
        <v>37</v>
      </c>
      <c r="TJ55" s="12" t="s">
        <v>37</v>
      </c>
      <c r="TK55" s="12" t="s">
        <v>37</v>
      </c>
      <c r="TL55" s="12" t="s">
        <v>37</v>
      </c>
      <c r="TM55" s="12"/>
      <c r="TN55" s="12"/>
      <c r="TO55" s="12"/>
      <c r="TP55" s="12"/>
      <c r="TQ55" s="12" t="s">
        <v>37</v>
      </c>
      <c r="TR55" s="12" t="s">
        <v>37</v>
      </c>
      <c r="TS55" s="12" t="s">
        <v>37</v>
      </c>
      <c r="TT55" s="19"/>
      <c r="TU55" s="12" t="s">
        <v>37</v>
      </c>
      <c r="TV55" s="12" t="s">
        <v>37</v>
      </c>
      <c r="TW55" s="12" t="s">
        <v>37</v>
      </c>
    </row>
    <row r="56" spans="1:544" ht="15.6" x14ac:dyDescent="0.3">
      <c r="A56" s="11">
        <v>23</v>
      </c>
      <c r="B56" s="16" t="s">
        <v>477</v>
      </c>
      <c r="C56" s="12" t="s">
        <v>26</v>
      </c>
      <c r="D56" s="12" t="s">
        <v>609</v>
      </c>
      <c r="E56" s="14" t="s">
        <v>37</v>
      </c>
      <c r="F56" s="14">
        <v>0</v>
      </c>
      <c r="G56" s="14">
        <v>0</v>
      </c>
      <c r="H56" s="12" t="s">
        <v>131</v>
      </c>
      <c r="I56" s="29">
        <v>51.502000000000002</v>
      </c>
      <c r="J56" s="29">
        <v>-3.1720000000000002</v>
      </c>
      <c r="K56" s="12" t="s">
        <v>478</v>
      </c>
      <c r="L56" s="12" t="s">
        <v>479</v>
      </c>
      <c r="M56" s="13" t="s">
        <v>37</v>
      </c>
      <c r="N56" s="13" t="s">
        <v>37</v>
      </c>
      <c r="O56" s="13" t="s">
        <v>37</v>
      </c>
      <c r="P56" s="14" t="s">
        <v>16</v>
      </c>
      <c r="Q56" s="11" t="s">
        <v>226</v>
      </c>
      <c r="R56" s="11" t="s">
        <v>37</v>
      </c>
      <c r="S56" s="12" t="s">
        <v>85</v>
      </c>
      <c r="T56" s="12" t="s">
        <v>138</v>
      </c>
      <c r="U56" s="12" t="s">
        <v>158</v>
      </c>
      <c r="V56" s="12" t="s">
        <v>275</v>
      </c>
      <c r="W56" s="23" t="s">
        <v>463</v>
      </c>
      <c r="X56" s="12" t="s">
        <v>281</v>
      </c>
      <c r="Y56" s="12" t="s">
        <v>37</v>
      </c>
      <c r="Z56" s="12" t="s">
        <v>37</v>
      </c>
      <c r="AA56" s="32" t="s">
        <v>37</v>
      </c>
      <c r="AB56" s="12" t="s">
        <v>37</v>
      </c>
      <c r="AC56" s="12" t="s">
        <v>37</v>
      </c>
      <c r="AD56" s="12" t="s">
        <v>238</v>
      </c>
      <c r="AE56" s="12" t="s">
        <v>74</v>
      </c>
      <c r="AF56" s="12" t="s">
        <v>489</v>
      </c>
      <c r="AG56" s="12"/>
      <c r="AH56" s="32"/>
      <c r="AI56" s="12" t="s">
        <v>37</v>
      </c>
      <c r="AJ56" s="12" t="s">
        <v>37</v>
      </c>
      <c r="AK56" s="11" t="s">
        <v>37</v>
      </c>
      <c r="AL56" s="19"/>
      <c r="AM56" s="12" t="s">
        <v>37</v>
      </c>
      <c r="AN56" s="12" t="s">
        <v>37</v>
      </c>
      <c r="AO56" s="12" t="s">
        <v>37</v>
      </c>
      <c r="AP56" s="19"/>
      <c r="AQ56" s="49"/>
      <c r="AR56" s="49"/>
      <c r="AS56" s="32"/>
      <c r="AT56" s="12" t="s">
        <v>37</v>
      </c>
      <c r="AU56" s="12" t="s">
        <v>37</v>
      </c>
      <c r="AV56" s="13" t="s">
        <v>37</v>
      </c>
      <c r="AW56" s="12" t="s">
        <v>37</v>
      </c>
      <c r="AX56" s="12" t="s">
        <v>37</v>
      </c>
      <c r="AY56" s="13" t="s">
        <v>37</v>
      </c>
      <c r="AZ56" s="13"/>
      <c r="BA56" s="13"/>
      <c r="BB56" s="12"/>
      <c r="BC56" s="12" t="s">
        <v>37</v>
      </c>
      <c r="BD56" s="12" t="s">
        <v>37</v>
      </c>
      <c r="BE56" s="13" t="s">
        <v>37</v>
      </c>
      <c r="BF56" s="12" t="s">
        <v>37</v>
      </c>
      <c r="BG56" s="12" t="s">
        <v>37</v>
      </c>
      <c r="BH56" s="12" t="s">
        <v>37</v>
      </c>
      <c r="BI56" s="12"/>
      <c r="BJ56" s="12" t="s">
        <v>37</v>
      </c>
      <c r="BK56" s="12" t="s">
        <v>37</v>
      </c>
      <c r="BL56" s="12" t="s">
        <v>37</v>
      </c>
      <c r="BM56" s="12" t="s">
        <v>37</v>
      </c>
      <c r="BN56" s="12" t="s">
        <v>37</v>
      </c>
      <c r="BO56" s="12" t="s">
        <v>37</v>
      </c>
      <c r="BP56" s="19"/>
      <c r="BQ56" s="19"/>
      <c r="BR56" s="19"/>
      <c r="BS56" s="19"/>
      <c r="BT56" s="12"/>
      <c r="BU56" s="12" t="s">
        <v>37</v>
      </c>
      <c r="BV56" s="12" t="s">
        <v>37</v>
      </c>
      <c r="BW56" s="12" t="s">
        <v>37</v>
      </c>
      <c r="BX56" s="12" t="s">
        <v>37</v>
      </c>
      <c r="BY56" s="12" t="s">
        <v>37</v>
      </c>
      <c r="BZ56" s="12" t="s">
        <v>37</v>
      </c>
      <c r="CA56" s="19"/>
      <c r="CB56" s="19"/>
      <c r="CC56" s="19"/>
      <c r="CD56" s="19"/>
      <c r="CE56" s="12"/>
      <c r="CF56" s="12" t="s">
        <v>37</v>
      </c>
      <c r="CG56" s="12" t="s">
        <v>37</v>
      </c>
      <c r="CH56" s="12" t="s">
        <v>37</v>
      </c>
      <c r="CI56" s="12" t="s">
        <v>37</v>
      </c>
      <c r="CJ56" s="12" t="s">
        <v>37</v>
      </c>
      <c r="CK56" s="12" t="s">
        <v>37</v>
      </c>
      <c r="CL56" s="19"/>
      <c r="CM56" s="19"/>
      <c r="CN56" s="19"/>
      <c r="CO56" s="19"/>
      <c r="CP56" s="11" t="s">
        <v>34</v>
      </c>
      <c r="CQ56" s="12">
        <f>233.707558068999/24</f>
        <v>9.7378149195416253</v>
      </c>
      <c r="CR56" s="19">
        <f>53.374782777472/24</f>
        <v>2.2239492823946665</v>
      </c>
      <c r="CS56" s="13">
        <v>10</v>
      </c>
      <c r="CT56" s="52">
        <f t="shared" ref="CT56" si="295">CR56/ABS(CQ56)</f>
        <v>0.22838278410197504</v>
      </c>
      <c r="CU56" s="12">
        <f>112.004097366215/24</f>
        <v>4.6668373902589586</v>
      </c>
      <c r="CV56" s="19">
        <f>40.0627860659917/24</f>
        <v>1.6692827527496543</v>
      </c>
      <c r="CW56" s="13">
        <v>10</v>
      </c>
      <c r="CX56" s="52">
        <f t="shared" ref="CX56" si="296">CV56/ABS(CU56)</f>
        <v>0.35769036140704857</v>
      </c>
      <c r="CY56" s="68">
        <f t="shared" si="276"/>
        <v>-5.0709775292826667</v>
      </c>
      <c r="CZ56" s="12">
        <f t="shared" si="272"/>
        <v>1.9662725293421581</v>
      </c>
      <c r="DA56" s="72">
        <f t="shared" si="273"/>
        <v>0.77324553192912171</v>
      </c>
      <c r="DB56" s="72">
        <f t="shared" si="274"/>
        <v>0.7732455319291216</v>
      </c>
      <c r="DC56" s="15" t="s">
        <v>34</v>
      </c>
      <c r="DD56" s="29">
        <f>4.82489775051125/10^3</f>
        <v>4.8248977505112494E-3</v>
      </c>
      <c r="DE56" s="68">
        <f>1.11391066813746/10^3</f>
        <v>1.1139106681374599E-3</v>
      </c>
      <c r="DF56" s="13">
        <v>10</v>
      </c>
      <c r="DG56" s="52">
        <f t="shared" si="280"/>
        <v>0.23086720708629094</v>
      </c>
      <c r="DH56" s="29">
        <f>16.0403885480572/10^3</f>
        <v>1.6040388548057203E-2</v>
      </c>
      <c r="DI56" s="68">
        <f>4.91423130632689/10^3</f>
        <v>4.9142313063268899E-3</v>
      </c>
      <c r="DJ56" s="13">
        <v>10</v>
      </c>
      <c r="DK56" s="52">
        <f t="shared" si="281"/>
        <v>0.30636610151953564</v>
      </c>
      <c r="DL56" s="68">
        <f t="shared" si="282"/>
        <v>1.1215490797545954E-2</v>
      </c>
      <c r="DM56" s="12">
        <f t="shared" si="283"/>
        <v>3.563037068897385E-3</v>
      </c>
      <c r="DN56" s="87">
        <f t="shared" si="284"/>
        <v>2.5390466308673733E-6</v>
      </c>
      <c r="DO56" s="87">
        <f t="shared" si="285"/>
        <v>2.5390466308673733E-6</v>
      </c>
      <c r="DP56" s="12" t="s">
        <v>39</v>
      </c>
      <c r="DQ56" s="12">
        <v>0</v>
      </c>
      <c r="DR56" s="60">
        <f t="shared" si="277"/>
        <v>0</v>
      </c>
      <c r="DS56" s="13">
        <v>10</v>
      </c>
      <c r="DT56" s="19"/>
      <c r="DU56" s="12">
        <v>-20</v>
      </c>
      <c r="DV56" s="60">
        <f>ABS(DU56)*DX$61</f>
        <v>6.9122552494082443</v>
      </c>
      <c r="DW56" s="13">
        <v>10</v>
      </c>
      <c r="DX56" s="19"/>
      <c r="DY56" s="19">
        <f t="shared" si="247"/>
        <v>-20</v>
      </c>
      <c r="DZ56" s="12">
        <f t="shared" si="248"/>
        <v>4.8877025601488802</v>
      </c>
      <c r="EA56" s="72">
        <f t="shared" si="164"/>
        <v>4.7779272632971832</v>
      </c>
      <c r="EB56" s="72">
        <f t="shared" si="165"/>
        <v>4.7779272632971832</v>
      </c>
      <c r="EC56" s="12"/>
      <c r="ED56" s="12"/>
      <c r="EE56" s="12" t="s">
        <v>37</v>
      </c>
      <c r="EF56" s="12" t="s">
        <v>37</v>
      </c>
      <c r="EG56" s="12" t="s">
        <v>37</v>
      </c>
      <c r="EH56" s="19"/>
      <c r="EI56" s="12" t="s">
        <v>37</v>
      </c>
      <c r="EJ56" s="20" t="s">
        <v>37</v>
      </c>
      <c r="EK56" s="12" t="s">
        <v>37</v>
      </c>
      <c r="EL56" s="19"/>
      <c r="EM56" s="19"/>
      <c r="EN56" s="19"/>
      <c r="EO56" s="19"/>
      <c r="EP56" s="19"/>
      <c r="EQ56" s="32"/>
      <c r="ER56" s="12" t="s">
        <v>37</v>
      </c>
      <c r="ES56" s="12" t="s">
        <v>37</v>
      </c>
      <c r="ET56" s="12" t="s">
        <v>37</v>
      </c>
      <c r="EU56" s="19"/>
      <c r="EV56" s="12" t="s">
        <v>37</v>
      </c>
      <c r="EW56" s="12" t="s">
        <v>37</v>
      </c>
      <c r="EX56" s="12" t="s">
        <v>37</v>
      </c>
      <c r="EY56" s="19"/>
      <c r="EZ56" s="19"/>
      <c r="FA56" s="19"/>
      <c r="FB56" s="19"/>
      <c r="FC56" s="32"/>
      <c r="FD56" s="12" t="s">
        <v>37</v>
      </c>
      <c r="FE56" s="12" t="s">
        <v>37</v>
      </c>
      <c r="FF56" s="12" t="s">
        <v>37</v>
      </c>
      <c r="FG56" s="12" t="s">
        <v>37</v>
      </c>
      <c r="FH56" s="12" t="s">
        <v>37</v>
      </c>
      <c r="FI56" s="12" t="s">
        <v>37</v>
      </c>
      <c r="FJ56" s="19"/>
      <c r="FK56" s="19"/>
      <c r="FL56" s="19"/>
      <c r="FM56" s="32"/>
      <c r="FN56" s="12" t="s">
        <v>37</v>
      </c>
      <c r="FO56" s="12" t="s">
        <v>37</v>
      </c>
      <c r="FP56" s="12" t="s">
        <v>37</v>
      </c>
      <c r="FQ56" s="12" t="s">
        <v>37</v>
      </c>
      <c r="FR56" s="12" t="s">
        <v>37</v>
      </c>
      <c r="FS56" s="12" t="s">
        <v>37</v>
      </c>
      <c r="FT56" s="19"/>
      <c r="FU56" s="19"/>
      <c r="FV56" s="19"/>
      <c r="FW56" s="12"/>
      <c r="FX56" s="12"/>
      <c r="FY56" s="12" t="s">
        <v>37</v>
      </c>
      <c r="FZ56" s="12" t="s">
        <v>37</v>
      </c>
      <c r="GA56" s="13" t="s">
        <v>37</v>
      </c>
      <c r="GB56" s="12" t="s">
        <v>37</v>
      </c>
      <c r="GC56" s="12" t="s">
        <v>37</v>
      </c>
      <c r="GD56" s="13" t="s">
        <v>37</v>
      </c>
      <c r="GE56" s="19"/>
      <c r="GF56" s="19"/>
      <c r="GG56" s="12"/>
      <c r="GH56" s="12"/>
      <c r="GI56" s="12" t="s">
        <v>37</v>
      </c>
      <c r="GJ56" s="12" t="s">
        <v>37</v>
      </c>
      <c r="GK56" s="12" t="s">
        <v>37</v>
      </c>
      <c r="GL56" s="19"/>
      <c r="GM56" s="12" t="s">
        <v>37</v>
      </c>
      <c r="GN56" s="12" t="s">
        <v>37</v>
      </c>
      <c r="GO56" s="12" t="s">
        <v>37</v>
      </c>
      <c r="GP56" s="19"/>
      <c r="GQ56" s="19"/>
      <c r="GR56" s="19"/>
      <c r="GS56" s="17"/>
      <c r="GT56" s="34"/>
      <c r="GU56" s="12" t="s">
        <v>37</v>
      </c>
      <c r="GV56" s="12" t="s">
        <v>37</v>
      </c>
      <c r="GW56" s="12" t="s">
        <v>37</v>
      </c>
      <c r="GX56" s="19"/>
      <c r="GY56" s="12" t="s">
        <v>37</v>
      </c>
      <c r="GZ56" s="12" t="s">
        <v>37</v>
      </c>
      <c r="HA56" s="12" t="s">
        <v>37</v>
      </c>
      <c r="HB56" s="19"/>
      <c r="HC56" s="19"/>
      <c r="HD56" s="19"/>
      <c r="HE56" s="34"/>
      <c r="HF56" s="12" t="s">
        <v>37</v>
      </c>
      <c r="HG56" s="12" t="s">
        <v>37</v>
      </c>
      <c r="HH56" s="13" t="s">
        <v>37</v>
      </c>
      <c r="HI56" s="12" t="s">
        <v>37</v>
      </c>
      <c r="HJ56" s="12" t="s">
        <v>37</v>
      </c>
      <c r="HK56" s="13" t="s">
        <v>37</v>
      </c>
      <c r="HL56" s="13"/>
      <c r="HM56" s="13"/>
      <c r="HN56" s="34"/>
      <c r="HO56" s="12" t="s">
        <v>37</v>
      </c>
      <c r="HP56" s="12" t="s">
        <v>37</v>
      </c>
      <c r="HQ56" s="13" t="s">
        <v>37</v>
      </c>
      <c r="HR56" s="12" t="s">
        <v>37</v>
      </c>
      <c r="HS56" s="12" t="s">
        <v>37</v>
      </c>
      <c r="HT56" s="13" t="s">
        <v>37</v>
      </c>
      <c r="HU56" s="13"/>
      <c r="HV56" s="13"/>
      <c r="HW56" s="12"/>
      <c r="HX56" s="12"/>
      <c r="HY56" s="12" t="s">
        <v>37</v>
      </c>
      <c r="HZ56" s="12" t="s">
        <v>37</v>
      </c>
      <c r="IA56" s="12" t="s">
        <v>37</v>
      </c>
      <c r="IB56" s="12" t="s">
        <v>37</v>
      </c>
      <c r="IC56" s="12" t="s">
        <v>37</v>
      </c>
      <c r="ID56" s="12" t="s">
        <v>37</v>
      </c>
      <c r="IE56" s="12"/>
      <c r="IF56" s="32" t="s">
        <v>345</v>
      </c>
      <c r="IG56" s="12">
        <v>5.3</v>
      </c>
      <c r="IH56" s="60">
        <f t="shared" ref="IH56:IH59" si="297">IG56*IJ$61</f>
        <v>0.20485924319971546</v>
      </c>
      <c r="II56" s="13">
        <v>3</v>
      </c>
      <c r="IJ56" s="19"/>
      <c r="IK56" s="12" t="s">
        <v>37</v>
      </c>
      <c r="IL56" s="12" t="s">
        <v>37</v>
      </c>
      <c r="IM56" s="12" t="s">
        <v>37</v>
      </c>
      <c r="IN56" s="19"/>
      <c r="IO56" s="19"/>
      <c r="IP56" s="19"/>
      <c r="IQ56" s="32"/>
      <c r="IR56" s="12" t="s">
        <v>37</v>
      </c>
      <c r="IS56" s="12" t="s">
        <v>37</v>
      </c>
      <c r="IT56" s="13" t="s">
        <v>37</v>
      </c>
      <c r="IU56" s="12" t="s">
        <v>37</v>
      </c>
      <c r="IV56" s="12" t="s">
        <v>37</v>
      </c>
      <c r="IW56" s="12" t="s">
        <v>37</v>
      </c>
      <c r="IX56" s="32"/>
      <c r="IY56" s="12" t="s">
        <v>37</v>
      </c>
      <c r="IZ56" s="12" t="s">
        <v>37</v>
      </c>
      <c r="JA56" s="13" t="s">
        <v>37</v>
      </c>
      <c r="JB56" s="12" t="s">
        <v>37</v>
      </c>
      <c r="JC56" s="12" t="s">
        <v>37</v>
      </c>
      <c r="JD56" s="12" t="s">
        <v>37</v>
      </c>
      <c r="JE56" s="12"/>
      <c r="JF56" s="12"/>
      <c r="JG56" s="12" t="s">
        <v>37</v>
      </c>
      <c r="JH56" s="12" t="s">
        <v>37</v>
      </c>
      <c r="JI56" s="13" t="s">
        <v>37</v>
      </c>
      <c r="JJ56" s="12" t="s">
        <v>37</v>
      </c>
      <c r="JK56" s="12" t="s">
        <v>37</v>
      </c>
      <c r="JL56" s="12" t="s">
        <v>37</v>
      </c>
      <c r="JM56" s="12" t="s">
        <v>481</v>
      </c>
      <c r="JN56" s="32" t="s">
        <v>372</v>
      </c>
      <c r="JO56" s="12" t="s">
        <v>37</v>
      </c>
      <c r="JP56" s="12" t="s">
        <v>37</v>
      </c>
      <c r="JQ56" s="11" t="s">
        <v>37</v>
      </c>
      <c r="JR56" s="19"/>
      <c r="JS56" s="12" t="s">
        <v>37</v>
      </c>
      <c r="JT56" s="12" t="s">
        <v>37</v>
      </c>
      <c r="JU56" s="12" t="s">
        <v>37</v>
      </c>
      <c r="JV56" s="19"/>
      <c r="JW56" s="19"/>
      <c r="JX56" s="19"/>
      <c r="JY56" s="32"/>
      <c r="JZ56" s="12" t="s">
        <v>37</v>
      </c>
      <c r="KA56" s="12" t="s">
        <v>37</v>
      </c>
      <c r="KB56" s="12" t="s">
        <v>37</v>
      </c>
      <c r="KC56" s="12" t="s">
        <v>37</v>
      </c>
      <c r="KD56" s="12" t="s">
        <v>37</v>
      </c>
      <c r="KE56" s="12" t="s">
        <v>37</v>
      </c>
      <c r="KF56" s="12"/>
      <c r="KG56" s="12"/>
      <c r="KH56" s="32"/>
      <c r="KI56" s="12" t="s">
        <v>37</v>
      </c>
      <c r="KJ56" s="12" t="s">
        <v>37</v>
      </c>
      <c r="KK56" s="12" t="s">
        <v>37</v>
      </c>
      <c r="KL56" s="12" t="s">
        <v>37</v>
      </c>
      <c r="KM56" s="12" t="s">
        <v>37</v>
      </c>
      <c r="KN56" s="12" t="s">
        <v>37</v>
      </c>
      <c r="KO56" s="12"/>
      <c r="KP56" s="12"/>
      <c r="KQ56" s="12"/>
      <c r="KR56" s="12"/>
      <c r="KS56" s="12" t="s">
        <v>37</v>
      </c>
      <c r="KT56" s="12" t="s">
        <v>37</v>
      </c>
      <c r="KU56" s="12" t="s">
        <v>37</v>
      </c>
      <c r="KV56" s="19"/>
      <c r="KW56" s="12" t="s">
        <v>37</v>
      </c>
      <c r="KX56" s="12" t="s">
        <v>37</v>
      </c>
      <c r="KY56" s="12" t="s">
        <v>37</v>
      </c>
      <c r="KZ56" s="19"/>
      <c r="LA56" s="19"/>
      <c r="LB56" s="19"/>
      <c r="LC56" s="12"/>
      <c r="LD56" s="12" t="s">
        <v>37</v>
      </c>
      <c r="LE56" s="12" t="s">
        <v>37</v>
      </c>
      <c r="LF56" s="12" t="s">
        <v>37</v>
      </c>
      <c r="LG56" s="19" t="s">
        <v>37</v>
      </c>
      <c r="LH56" s="19" t="s">
        <v>37</v>
      </c>
      <c r="LI56" s="12" t="s">
        <v>37</v>
      </c>
      <c r="LJ56" s="12"/>
      <c r="LK56" s="12"/>
      <c r="LL56" s="12"/>
      <c r="LM56" s="12" t="s">
        <v>37</v>
      </c>
      <c r="LN56" s="12" t="s">
        <v>37</v>
      </c>
      <c r="LO56" s="12" t="s">
        <v>37</v>
      </c>
      <c r="LP56" s="12" t="s">
        <v>37</v>
      </c>
      <c r="LQ56" s="12" t="s">
        <v>37</v>
      </c>
      <c r="LR56" s="12" t="s">
        <v>37</v>
      </c>
      <c r="LS56" s="12"/>
      <c r="LT56" s="12"/>
      <c r="LU56" s="12" t="s">
        <v>37</v>
      </c>
      <c r="LV56" s="12" t="s">
        <v>37</v>
      </c>
      <c r="LW56" s="13" t="s">
        <v>37</v>
      </c>
      <c r="LX56" s="12" t="s">
        <v>37</v>
      </c>
      <c r="LY56" s="12" t="s">
        <v>37</v>
      </c>
      <c r="LZ56" s="13" t="s">
        <v>37</v>
      </c>
      <c r="MA56" s="13"/>
      <c r="MB56" s="13"/>
      <c r="MC56" s="12"/>
      <c r="MD56" s="12"/>
      <c r="ME56" s="12" t="s">
        <v>37</v>
      </c>
      <c r="MF56" s="12" t="s">
        <v>37</v>
      </c>
      <c r="MG56" s="13" t="s">
        <v>37</v>
      </c>
      <c r="MH56" s="12" t="s">
        <v>37</v>
      </c>
      <c r="MI56" s="12" t="s">
        <v>37</v>
      </c>
      <c r="MJ56" s="13" t="s">
        <v>37</v>
      </c>
      <c r="MK56" s="13"/>
      <c r="ML56" s="13"/>
      <c r="MM56" s="12"/>
      <c r="MN56" s="12"/>
      <c r="MO56" s="12" t="s">
        <v>37</v>
      </c>
      <c r="MP56" s="12" t="s">
        <v>37</v>
      </c>
      <c r="MQ56" s="12" t="s">
        <v>37</v>
      </c>
      <c r="MR56" s="12" t="s">
        <v>37</v>
      </c>
      <c r="MS56" s="12" t="s">
        <v>37</v>
      </c>
      <c r="MT56" s="12" t="s">
        <v>37</v>
      </c>
      <c r="MU56" s="12"/>
      <c r="MV56" s="12"/>
      <c r="MW56" s="12"/>
      <c r="MX56" s="12"/>
      <c r="MY56" s="12" t="s">
        <v>37</v>
      </c>
      <c r="MZ56" s="12" t="s">
        <v>37</v>
      </c>
      <c r="NA56" s="12" t="s">
        <v>37</v>
      </c>
      <c r="NB56" s="12" t="s">
        <v>37</v>
      </c>
      <c r="NC56" s="12" t="s">
        <v>37</v>
      </c>
      <c r="ND56" s="12" t="s">
        <v>37</v>
      </c>
      <c r="NE56" s="12"/>
      <c r="NF56" s="12"/>
      <c r="NG56" s="12"/>
      <c r="NH56" s="12"/>
      <c r="NI56" s="12" t="s">
        <v>37</v>
      </c>
      <c r="NJ56" s="12" t="s">
        <v>37</v>
      </c>
      <c r="NK56" s="13" t="s">
        <v>37</v>
      </c>
      <c r="NL56" s="12" t="s">
        <v>37</v>
      </c>
      <c r="NM56" s="12" t="s">
        <v>37</v>
      </c>
      <c r="NN56" s="13" t="s">
        <v>37</v>
      </c>
      <c r="NO56" s="13"/>
      <c r="NP56" s="13"/>
      <c r="NQ56" s="12"/>
      <c r="NR56" s="12"/>
      <c r="NS56" s="12" t="s">
        <v>37</v>
      </c>
      <c r="NT56" s="12" t="s">
        <v>37</v>
      </c>
      <c r="NU56" s="12" t="s">
        <v>37</v>
      </c>
      <c r="NV56" s="12" t="s">
        <v>37</v>
      </c>
      <c r="NW56" s="12" t="s">
        <v>37</v>
      </c>
      <c r="NX56" s="12" t="s">
        <v>37</v>
      </c>
      <c r="NY56" s="12"/>
      <c r="NZ56" s="12"/>
      <c r="OA56" s="12"/>
      <c r="OB56" s="12"/>
      <c r="OC56" s="12" t="s">
        <v>37</v>
      </c>
      <c r="OD56" s="12" t="s">
        <v>37</v>
      </c>
      <c r="OE56" s="12" t="s">
        <v>37</v>
      </c>
      <c r="OF56" s="12" t="s">
        <v>37</v>
      </c>
      <c r="OG56" s="12" t="s">
        <v>37</v>
      </c>
      <c r="OH56" s="12" t="s">
        <v>37</v>
      </c>
      <c r="OI56" s="12"/>
      <c r="OJ56" s="12"/>
      <c r="OK56" s="12"/>
      <c r="OL56" s="12" t="s">
        <v>37</v>
      </c>
      <c r="OM56" s="12" t="s">
        <v>37</v>
      </c>
      <c r="ON56" s="12" t="s">
        <v>37</v>
      </c>
      <c r="OO56" s="12" t="s">
        <v>37</v>
      </c>
      <c r="OP56" s="12" t="s">
        <v>37</v>
      </c>
      <c r="OQ56" s="12" t="s">
        <v>37</v>
      </c>
      <c r="OR56" s="12"/>
      <c r="OS56" s="12" t="s">
        <v>37</v>
      </c>
      <c r="OT56" s="12" t="s">
        <v>37</v>
      </c>
      <c r="OU56" s="12" t="s">
        <v>37</v>
      </c>
      <c r="OV56" s="12" t="s">
        <v>37</v>
      </c>
      <c r="OW56" s="12" t="s">
        <v>37</v>
      </c>
      <c r="OX56" s="12" t="s">
        <v>37</v>
      </c>
      <c r="OY56" s="12"/>
      <c r="OZ56" s="12"/>
      <c r="PA56" s="12" t="s">
        <v>37</v>
      </c>
      <c r="PB56" s="12" t="s">
        <v>37</v>
      </c>
      <c r="PC56" s="12" t="s">
        <v>37</v>
      </c>
      <c r="PD56" s="12" t="s">
        <v>37</v>
      </c>
      <c r="PE56" s="12" t="s">
        <v>37</v>
      </c>
      <c r="PF56" s="12" t="s">
        <v>37</v>
      </c>
      <c r="PG56" s="12"/>
      <c r="PH56" s="12"/>
      <c r="PI56" s="12" t="s">
        <v>37</v>
      </c>
      <c r="PJ56" s="12" t="s">
        <v>37</v>
      </c>
      <c r="PK56" s="12" t="s">
        <v>37</v>
      </c>
      <c r="PL56" s="12" t="s">
        <v>37</v>
      </c>
      <c r="PM56" s="12" t="s">
        <v>37</v>
      </c>
      <c r="PN56" s="12" t="s">
        <v>37</v>
      </c>
      <c r="PO56" s="12"/>
      <c r="PP56" s="12"/>
      <c r="PQ56" s="12" t="s">
        <v>37</v>
      </c>
      <c r="PR56" s="12" t="s">
        <v>37</v>
      </c>
      <c r="PS56" s="12" t="s">
        <v>37</v>
      </c>
      <c r="PT56" s="12" t="s">
        <v>37</v>
      </c>
      <c r="PU56" s="12" t="s">
        <v>37</v>
      </c>
      <c r="PV56" s="12" t="s">
        <v>37</v>
      </c>
      <c r="PW56" s="12"/>
      <c r="PX56" s="12"/>
      <c r="PY56" s="12" t="s">
        <v>37</v>
      </c>
      <c r="PZ56" s="12" t="s">
        <v>37</v>
      </c>
      <c r="QA56" s="12" t="s">
        <v>37</v>
      </c>
      <c r="QB56" s="12" t="s">
        <v>37</v>
      </c>
      <c r="QC56" s="12" t="s">
        <v>37</v>
      </c>
      <c r="QD56" s="12" t="s">
        <v>37</v>
      </c>
      <c r="QE56" s="12"/>
      <c r="QF56" s="12"/>
      <c r="QG56" s="12" t="s">
        <v>37</v>
      </c>
      <c r="QH56" s="12" t="s">
        <v>37</v>
      </c>
      <c r="QI56" s="12" t="s">
        <v>37</v>
      </c>
      <c r="QJ56" s="12" t="s">
        <v>37</v>
      </c>
      <c r="QK56" s="12" t="s">
        <v>37</v>
      </c>
      <c r="QL56" s="12" t="s">
        <v>37</v>
      </c>
      <c r="QM56" s="12"/>
      <c r="QN56" s="12"/>
      <c r="QO56" s="12" t="s">
        <v>37</v>
      </c>
      <c r="QP56" s="12" t="s">
        <v>37</v>
      </c>
      <c r="QQ56" s="12" t="s">
        <v>37</v>
      </c>
      <c r="QR56" s="12" t="s">
        <v>37</v>
      </c>
      <c r="QS56" s="12" t="s">
        <v>37</v>
      </c>
      <c r="QT56" s="12" t="s">
        <v>37</v>
      </c>
      <c r="QU56" s="12"/>
      <c r="QV56" s="12"/>
      <c r="QW56" s="12"/>
      <c r="QX56" s="12"/>
      <c r="QY56" s="12" t="s">
        <v>37</v>
      </c>
      <c r="QZ56" s="12" t="s">
        <v>37</v>
      </c>
      <c r="RA56" s="12" t="s">
        <v>37</v>
      </c>
      <c r="RB56" s="12" t="s">
        <v>37</v>
      </c>
      <c r="RC56" s="12" t="s">
        <v>37</v>
      </c>
      <c r="RD56" s="12" t="s">
        <v>37</v>
      </c>
      <c r="RE56" s="12"/>
      <c r="RF56" s="12"/>
      <c r="RG56" s="12"/>
      <c r="RH56" s="12"/>
      <c r="RI56" s="12" t="s">
        <v>37</v>
      </c>
      <c r="RJ56" s="12" t="s">
        <v>37</v>
      </c>
      <c r="RK56" s="12" t="s">
        <v>37</v>
      </c>
      <c r="RL56" s="12" t="s">
        <v>37</v>
      </c>
      <c r="RM56" s="12" t="s">
        <v>37</v>
      </c>
      <c r="RN56" s="12" t="s">
        <v>37</v>
      </c>
      <c r="RO56" s="12"/>
      <c r="RP56" s="12"/>
      <c r="RQ56" s="12"/>
      <c r="RR56" s="12"/>
      <c r="RS56" s="12" t="s">
        <v>37</v>
      </c>
      <c r="RT56" s="12" t="s">
        <v>37</v>
      </c>
      <c r="RU56" s="12" t="s">
        <v>37</v>
      </c>
      <c r="RV56" s="12" t="s">
        <v>37</v>
      </c>
      <c r="RW56" s="12" t="s">
        <v>37</v>
      </c>
      <c r="RX56" s="12" t="s">
        <v>37</v>
      </c>
      <c r="RY56" s="12"/>
      <c r="RZ56" s="12"/>
      <c r="SA56" s="12"/>
      <c r="SB56" s="12"/>
      <c r="SC56" s="12" t="s">
        <v>37</v>
      </c>
      <c r="SD56" s="12" t="s">
        <v>37</v>
      </c>
      <c r="SE56" s="12" t="s">
        <v>37</v>
      </c>
      <c r="SF56" s="12" t="s">
        <v>37</v>
      </c>
      <c r="SG56" s="12" t="s">
        <v>37</v>
      </c>
      <c r="SH56" s="12" t="s">
        <v>37</v>
      </c>
      <c r="SI56" s="12"/>
      <c r="SJ56" s="12"/>
      <c r="SK56" s="12"/>
      <c r="SL56" s="12"/>
      <c r="SM56" s="12" t="s">
        <v>37</v>
      </c>
      <c r="SN56" s="12" t="s">
        <v>37</v>
      </c>
      <c r="SO56" s="12" t="s">
        <v>37</v>
      </c>
      <c r="SP56" s="12" t="s">
        <v>37</v>
      </c>
      <c r="SQ56" s="12" t="s">
        <v>37</v>
      </c>
      <c r="SR56" s="12" t="s">
        <v>37</v>
      </c>
      <c r="SS56" s="12"/>
      <c r="ST56" s="12"/>
      <c r="SU56" s="12"/>
      <c r="SV56" s="12"/>
      <c r="SW56" s="12" t="s">
        <v>37</v>
      </c>
      <c r="SX56" s="12" t="s">
        <v>37</v>
      </c>
      <c r="SY56" s="12" t="s">
        <v>37</v>
      </c>
      <c r="SZ56" s="12" t="s">
        <v>37</v>
      </c>
      <c r="TA56" s="12" t="s">
        <v>37</v>
      </c>
      <c r="TB56" s="12" t="s">
        <v>37</v>
      </c>
      <c r="TC56" s="12"/>
      <c r="TD56" s="12"/>
      <c r="TE56" s="12"/>
      <c r="TF56" s="12"/>
      <c r="TG56" s="12" t="s">
        <v>37</v>
      </c>
      <c r="TH56" s="12" t="s">
        <v>37</v>
      </c>
      <c r="TI56" s="12" t="s">
        <v>37</v>
      </c>
      <c r="TJ56" s="12" t="s">
        <v>37</v>
      </c>
      <c r="TK56" s="12" t="s">
        <v>37</v>
      </c>
      <c r="TL56" s="12" t="s">
        <v>37</v>
      </c>
      <c r="TM56" s="12"/>
      <c r="TN56" s="12"/>
      <c r="TO56" s="12"/>
      <c r="TP56" s="12"/>
      <c r="TQ56" s="12" t="s">
        <v>37</v>
      </c>
      <c r="TR56" s="12" t="s">
        <v>37</v>
      </c>
      <c r="TS56" s="12" t="s">
        <v>37</v>
      </c>
      <c r="TT56" s="19"/>
      <c r="TU56" s="12" t="s">
        <v>37</v>
      </c>
      <c r="TV56" s="12" t="s">
        <v>37</v>
      </c>
      <c r="TW56" s="12" t="s">
        <v>37</v>
      </c>
    </row>
    <row r="57" spans="1:544" ht="15.6" x14ac:dyDescent="0.3">
      <c r="A57" s="11">
        <v>24</v>
      </c>
      <c r="B57" s="16" t="s">
        <v>578</v>
      </c>
      <c r="C57" s="12" t="s">
        <v>26</v>
      </c>
      <c r="D57" s="12" t="s">
        <v>609</v>
      </c>
      <c r="E57" s="14">
        <v>2</v>
      </c>
      <c r="F57" s="14">
        <v>0</v>
      </c>
      <c r="G57" s="14">
        <v>0</v>
      </c>
      <c r="H57" s="12" t="s">
        <v>131</v>
      </c>
      <c r="I57" s="29">
        <v>52.466999999999999</v>
      </c>
      <c r="J57" s="29">
        <v>-3.75</v>
      </c>
      <c r="K57" s="12" t="s">
        <v>671</v>
      </c>
      <c r="L57" s="12" t="s">
        <v>672</v>
      </c>
      <c r="M57" s="13" t="s">
        <v>37</v>
      </c>
      <c r="N57" s="13" t="s">
        <v>37</v>
      </c>
      <c r="O57" s="13" t="s">
        <v>37</v>
      </c>
      <c r="P57" s="14" t="s">
        <v>16</v>
      </c>
      <c r="Q57" s="11" t="s">
        <v>226</v>
      </c>
      <c r="R57" s="11" t="s">
        <v>37</v>
      </c>
      <c r="S57" s="12" t="s">
        <v>93</v>
      </c>
      <c r="T57" s="12" t="s">
        <v>141</v>
      </c>
      <c r="U57" s="12" t="s">
        <v>158</v>
      </c>
      <c r="V57" s="12" t="s">
        <v>275</v>
      </c>
      <c r="W57" s="23" t="s">
        <v>451</v>
      </c>
      <c r="X57" s="12" t="s">
        <v>281</v>
      </c>
      <c r="Y57" s="12" t="s">
        <v>37</v>
      </c>
      <c r="Z57" s="12" t="s">
        <v>37</v>
      </c>
      <c r="AA57" s="32" t="s">
        <v>580</v>
      </c>
      <c r="AB57" s="12" t="s">
        <v>37</v>
      </c>
      <c r="AC57" s="12" t="s">
        <v>37</v>
      </c>
      <c r="AD57" s="12" t="s">
        <v>167</v>
      </c>
      <c r="AE57" s="12" t="s">
        <v>73</v>
      </c>
      <c r="AF57" s="12" t="s">
        <v>489</v>
      </c>
      <c r="AG57" s="32"/>
      <c r="AH57" s="12"/>
      <c r="AI57" s="12" t="s">
        <v>37</v>
      </c>
      <c r="AJ57" s="12" t="s">
        <v>37</v>
      </c>
      <c r="AK57" s="12" t="s">
        <v>37</v>
      </c>
      <c r="AL57" s="19"/>
      <c r="AM57" s="12" t="s">
        <v>37</v>
      </c>
      <c r="AN57" s="12" t="s">
        <v>37</v>
      </c>
      <c r="AO57" s="12" t="s">
        <v>37</v>
      </c>
      <c r="AP57" s="19"/>
      <c r="AQ57" s="49"/>
      <c r="AR57" s="49"/>
      <c r="AS57" s="12"/>
      <c r="AT57" s="12" t="s">
        <v>37</v>
      </c>
      <c r="AU57" s="13" t="s">
        <v>37</v>
      </c>
      <c r="AV57" s="12" t="s">
        <v>37</v>
      </c>
      <c r="AW57" s="12" t="s">
        <v>37</v>
      </c>
      <c r="AX57" s="13" t="s">
        <v>37</v>
      </c>
      <c r="AY57" s="13" t="s">
        <v>37</v>
      </c>
      <c r="AZ57" s="13"/>
      <c r="BA57" s="13"/>
      <c r="BB57" s="12"/>
      <c r="BC57" s="12" t="s">
        <v>37</v>
      </c>
      <c r="BD57" s="13" t="s">
        <v>37</v>
      </c>
      <c r="BE57" s="12" t="s">
        <v>37</v>
      </c>
      <c r="BF57" s="12" t="s">
        <v>37</v>
      </c>
      <c r="BG57" s="12" t="s">
        <v>37</v>
      </c>
      <c r="BH57" s="12" t="s">
        <v>37</v>
      </c>
      <c r="BI57" s="12"/>
      <c r="BJ57" s="12" t="s">
        <v>37</v>
      </c>
      <c r="BK57" s="13" t="s">
        <v>37</v>
      </c>
      <c r="BL57" s="12" t="s">
        <v>37</v>
      </c>
      <c r="BM57" s="12" t="s">
        <v>37</v>
      </c>
      <c r="BN57" s="13" t="s">
        <v>37</v>
      </c>
      <c r="BO57" s="12" t="s">
        <v>37</v>
      </c>
      <c r="BP57" s="19"/>
      <c r="BQ57" s="19"/>
      <c r="BR57" s="19"/>
      <c r="BS57" s="19"/>
      <c r="BT57" s="12"/>
      <c r="BU57" s="12" t="s">
        <v>37</v>
      </c>
      <c r="BV57" s="13" t="s">
        <v>37</v>
      </c>
      <c r="BW57" s="12" t="s">
        <v>37</v>
      </c>
      <c r="BX57" s="12" t="s">
        <v>37</v>
      </c>
      <c r="BY57" s="13" t="s">
        <v>37</v>
      </c>
      <c r="BZ57" s="12" t="s">
        <v>37</v>
      </c>
      <c r="CA57" s="19"/>
      <c r="CB57" s="19"/>
      <c r="CC57" s="19"/>
      <c r="CD57" s="19"/>
      <c r="CE57" s="12"/>
      <c r="CF57" s="12" t="s">
        <v>37</v>
      </c>
      <c r="CG57" s="13" t="s">
        <v>37</v>
      </c>
      <c r="CH57" s="12" t="s">
        <v>37</v>
      </c>
      <c r="CI57" s="12" t="s">
        <v>37</v>
      </c>
      <c r="CJ57" s="13" t="s">
        <v>37</v>
      </c>
      <c r="CK57" s="12" t="s">
        <v>37</v>
      </c>
      <c r="CL57" s="19"/>
      <c r="CM57" s="19"/>
      <c r="CN57" s="19"/>
      <c r="CO57" s="19"/>
      <c r="CP57" s="12"/>
      <c r="CQ57" s="12" t="s">
        <v>37</v>
      </c>
      <c r="CR57" s="19" t="s">
        <v>37</v>
      </c>
      <c r="CS57" s="12" t="s">
        <v>37</v>
      </c>
      <c r="CT57" s="19"/>
      <c r="CU57" s="12" t="s">
        <v>37</v>
      </c>
      <c r="CV57" s="19" t="s">
        <v>37</v>
      </c>
      <c r="CW57" s="12" t="s">
        <v>37</v>
      </c>
      <c r="CX57" s="19"/>
      <c r="CY57" s="68"/>
      <c r="CZ57" s="68"/>
      <c r="DA57" s="68"/>
      <c r="DB57" s="68"/>
      <c r="DC57" s="15" t="s">
        <v>34</v>
      </c>
      <c r="DD57" s="29">
        <f>0.174664107485605/24</f>
        <v>7.2776711452335425E-3</v>
      </c>
      <c r="DE57" s="68">
        <f>0.06/24</f>
        <v>2.5000000000000001E-3</v>
      </c>
      <c r="DF57" s="13">
        <v>8</v>
      </c>
      <c r="DG57" s="52">
        <f t="shared" si="280"/>
        <v>0.34351648351648273</v>
      </c>
      <c r="DH57" s="29">
        <f>0.389635316698656/24</f>
        <v>1.6234804862444E-2</v>
      </c>
      <c r="DI57" s="68">
        <f>0.304015199588842/24</f>
        <v>1.2667299982868417E-2</v>
      </c>
      <c r="DJ57" s="13">
        <v>8</v>
      </c>
      <c r="DK57" s="52">
        <f t="shared" si="281"/>
        <v>0.78025575855067419</v>
      </c>
      <c r="DL57" s="68">
        <f t="shared" si="282"/>
        <v>8.9571337172104568E-3</v>
      </c>
      <c r="DM57" s="12">
        <f t="shared" si="283"/>
        <v>9.1299093329555644E-3</v>
      </c>
      <c r="DN57" s="87">
        <f t="shared" si="284"/>
        <v>2.0838811106997278E-5</v>
      </c>
      <c r="DO57" s="87">
        <f t="shared" si="285"/>
        <v>2.0838811106997274E-5</v>
      </c>
      <c r="DP57" s="12" t="s">
        <v>39</v>
      </c>
      <c r="DQ57" s="12">
        <v>0</v>
      </c>
      <c r="DR57" s="60">
        <f t="shared" si="277"/>
        <v>0</v>
      </c>
      <c r="DS57" s="13">
        <v>8</v>
      </c>
      <c r="DT57" s="19"/>
      <c r="DU57" s="12">
        <v>-7</v>
      </c>
      <c r="DV57" s="60">
        <f t="shared" si="275"/>
        <v>2.4192893372928856</v>
      </c>
      <c r="DW57" s="13">
        <v>8</v>
      </c>
      <c r="DX57" s="19"/>
      <c r="DY57" s="19">
        <f t="shared" si="247"/>
        <v>-7</v>
      </c>
      <c r="DZ57" s="12">
        <f t="shared" si="248"/>
        <v>1.7106958960521081</v>
      </c>
      <c r="EA57" s="72">
        <f t="shared" si="164"/>
        <v>0.73162011219238121</v>
      </c>
      <c r="EB57" s="72">
        <f t="shared" si="165"/>
        <v>0.73162011219238121</v>
      </c>
      <c r="EC57" s="12"/>
      <c r="ED57" s="12"/>
      <c r="EE57" s="12" t="s">
        <v>37</v>
      </c>
      <c r="EF57" s="12" t="s">
        <v>37</v>
      </c>
      <c r="EG57" s="12" t="s">
        <v>37</v>
      </c>
      <c r="EH57" s="19"/>
      <c r="EI57" s="12" t="s">
        <v>37</v>
      </c>
      <c r="EJ57" s="12" t="s">
        <v>37</v>
      </c>
      <c r="EK57" s="12" t="s">
        <v>37</v>
      </c>
      <c r="EL57" s="19"/>
      <c r="EM57" s="19"/>
      <c r="EN57" s="19"/>
      <c r="EO57" s="19"/>
      <c r="EP57" s="19"/>
      <c r="EQ57" s="32"/>
      <c r="ER57" s="12" t="s">
        <v>37</v>
      </c>
      <c r="ES57" s="12" t="s">
        <v>37</v>
      </c>
      <c r="ET57" s="12" t="s">
        <v>37</v>
      </c>
      <c r="EU57" s="19"/>
      <c r="EV57" s="12" t="s">
        <v>37</v>
      </c>
      <c r="EW57" s="12" t="s">
        <v>37</v>
      </c>
      <c r="EX57" s="12" t="s">
        <v>37</v>
      </c>
      <c r="EY57" s="19"/>
      <c r="EZ57" s="19"/>
      <c r="FA57" s="19"/>
      <c r="FB57" s="19"/>
      <c r="FC57" s="12"/>
      <c r="FD57" s="12" t="s">
        <v>37</v>
      </c>
      <c r="FE57" s="12" t="s">
        <v>37</v>
      </c>
      <c r="FF57" s="12" t="s">
        <v>37</v>
      </c>
      <c r="FG57" s="12" t="s">
        <v>37</v>
      </c>
      <c r="FH57" s="12" t="s">
        <v>37</v>
      </c>
      <c r="FI57" s="12" t="s">
        <v>37</v>
      </c>
      <c r="FJ57" s="19"/>
      <c r="FK57" s="19"/>
      <c r="FL57" s="19"/>
      <c r="FM57" s="32"/>
      <c r="FN57" s="12" t="s">
        <v>37</v>
      </c>
      <c r="FO57" s="12" t="s">
        <v>37</v>
      </c>
      <c r="FP57" s="12" t="s">
        <v>37</v>
      </c>
      <c r="FQ57" s="12" t="s">
        <v>37</v>
      </c>
      <c r="FR57" s="12" t="s">
        <v>37</v>
      </c>
      <c r="FS57" s="12" t="s">
        <v>37</v>
      </c>
      <c r="FT57" s="19"/>
      <c r="FU57" s="19"/>
      <c r="FV57" s="19"/>
      <c r="FW57" s="12"/>
      <c r="FX57" s="12"/>
      <c r="FY57" s="12" t="s">
        <v>37</v>
      </c>
      <c r="FZ57" s="12" t="s">
        <v>37</v>
      </c>
      <c r="GA57" s="12" t="s">
        <v>37</v>
      </c>
      <c r="GB57" s="12" t="s">
        <v>37</v>
      </c>
      <c r="GC57" s="12" t="s">
        <v>37</v>
      </c>
      <c r="GD57" s="12" t="s">
        <v>37</v>
      </c>
      <c r="GE57" s="19"/>
      <c r="GF57" s="19"/>
      <c r="GG57" s="12"/>
      <c r="GH57" s="12"/>
      <c r="GI57" s="12" t="s">
        <v>37</v>
      </c>
      <c r="GJ57" s="12" t="s">
        <v>37</v>
      </c>
      <c r="GK57" s="12" t="s">
        <v>37</v>
      </c>
      <c r="GL57" s="19"/>
      <c r="GM57" s="12" t="s">
        <v>37</v>
      </c>
      <c r="GN57" s="12" t="s">
        <v>37</v>
      </c>
      <c r="GO57" s="12" t="s">
        <v>37</v>
      </c>
      <c r="GP57" s="19"/>
      <c r="GQ57" s="19"/>
      <c r="GR57" s="19"/>
      <c r="GS57" s="17"/>
      <c r="GT57" s="34"/>
      <c r="GU57" s="12" t="s">
        <v>37</v>
      </c>
      <c r="GV57" s="12" t="s">
        <v>37</v>
      </c>
      <c r="GW57" s="12" t="s">
        <v>37</v>
      </c>
      <c r="GX57" s="19"/>
      <c r="GY57" s="12" t="s">
        <v>37</v>
      </c>
      <c r="GZ57" s="12" t="s">
        <v>37</v>
      </c>
      <c r="HA57" s="12" t="s">
        <v>37</v>
      </c>
      <c r="HB57" s="19"/>
      <c r="HC57" s="19"/>
      <c r="HD57" s="19"/>
      <c r="HE57" s="34"/>
      <c r="HF57" s="12" t="s">
        <v>37</v>
      </c>
      <c r="HG57" s="12" t="s">
        <v>37</v>
      </c>
      <c r="HH57" s="13" t="s">
        <v>37</v>
      </c>
      <c r="HI57" s="12" t="s">
        <v>37</v>
      </c>
      <c r="HJ57" s="12" t="s">
        <v>37</v>
      </c>
      <c r="HK57" s="13" t="s">
        <v>37</v>
      </c>
      <c r="HL57" s="13"/>
      <c r="HM57" s="13"/>
      <c r="HN57" s="34"/>
      <c r="HO57" s="12" t="s">
        <v>37</v>
      </c>
      <c r="HP57" s="12" t="s">
        <v>37</v>
      </c>
      <c r="HQ57" s="13" t="s">
        <v>37</v>
      </c>
      <c r="HR57" s="12" t="s">
        <v>37</v>
      </c>
      <c r="HS57" s="12" t="s">
        <v>37</v>
      </c>
      <c r="HT57" s="13" t="s">
        <v>37</v>
      </c>
      <c r="HU57" s="13"/>
      <c r="HV57" s="13"/>
      <c r="HW57" s="12"/>
      <c r="HX57" s="12"/>
      <c r="HY57" s="12" t="s">
        <v>37</v>
      </c>
      <c r="HZ57" s="12" t="s">
        <v>37</v>
      </c>
      <c r="IA57" s="12" t="s">
        <v>37</v>
      </c>
      <c r="IB57" s="12" t="s">
        <v>37</v>
      </c>
      <c r="IC57" s="12" t="s">
        <v>37</v>
      </c>
      <c r="ID57" s="12" t="s">
        <v>37</v>
      </c>
      <c r="IE57" s="12"/>
      <c r="IF57" s="32" t="s">
        <v>330</v>
      </c>
      <c r="IG57" s="12">
        <v>4.7</v>
      </c>
      <c r="IH57" s="60">
        <f t="shared" si="297"/>
        <v>0.18166763076201184</v>
      </c>
      <c r="II57" s="13">
        <v>3</v>
      </c>
      <c r="IJ57" s="19"/>
      <c r="IK57" s="12" t="s">
        <v>37</v>
      </c>
      <c r="IL57" s="12" t="s">
        <v>37</v>
      </c>
      <c r="IM57" s="12" t="s">
        <v>37</v>
      </c>
      <c r="IN57" s="19"/>
      <c r="IO57" s="19"/>
      <c r="IP57" s="19"/>
      <c r="IQ57" s="32"/>
      <c r="IR57" s="12" t="s">
        <v>37</v>
      </c>
      <c r="IS57" s="12" t="s">
        <v>37</v>
      </c>
      <c r="IT57" s="13" t="s">
        <v>37</v>
      </c>
      <c r="IU57" s="12" t="s">
        <v>37</v>
      </c>
      <c r="IV57" s="12" t="s">
        <v>37</v>
      </c>
      <c r="IW57" s="12" t="s">
        <v>37</v>
      </c>
      <c r="IX57" s="32"/>
      <c r="IY57" s="12" t="s">
        <v>37</v>
      </c>
      <c r="IZ57" s="12" t="s">
        <v>37</v>
      </c>
      <c r="JA57" s="13" t="s">
        <v>37</v>
      </c>
      <c r="JB57" s="12" t="s">
        <v>37</v>
      </c>
      <c r="JC57" s="12" t="s">
        <v>37</v>
      </c>
      <c r="JD57" s="12" t="s">
        <v>37</v>
      </c>
      <c r="JE57" s="12"/>
      <c r="JF57" s="12"/>
      <c r="JG57" s="11" t="s">
        <v>37</v>
      </c>
      <c r="JH57" s="11" t="s">
        <v>37</v>
      </c>
      <c r="JI57" s="13" t="s">
        <v>37</v>
      </c>
      <c r="JJ57" s="11" t="s">
        <v>37</v>
      </c>
      <c r="JK57" s="11" t="s">
        <v>37</v>
      </c>
      <c r="JL57" s="11" t="s">
        <v>37</v>
      </c>
      <c r="JM57" s="12"/>
      <c r="JN57" s="32"/>
      <c r="JO57" s="12" t="s">
        <v>37</v>
      </c>
      <c r="JP57" s="12" t="s">
        <v>37</v>
      </c>
      <c r="JQ57" s="12" t="s">
        <v>37</v>
      </c>
      <c r="JR57" s="19"/>
      <c r="JS57" s="12" t="s">
        <v>37</v>
      </c>
      <c r="JT57" s="12" t="s">
        <v>37</v>
      </c>
      <c r="JU57" s="12" t="s">
        <v>37</v>
      </c>
      <c r="JV57" s="19"/>
      <c r="JW57" s="19"/>
      <c r="JX57" s="19"/>
      <c r="JY57" s="32"/>
      <c r="JZ57" s="12" t="s">
        <v>37</v>
      </c>
      <c r="KA57" s="12" t="s">
        <v>37</v>
      </c>
      <c r="KB57" s="13" t="s">
        <v>37</v>
      </c>
      <c r="KC57" s="12" t="s">
        <v>37</v>
      </c>
      <c r="KD57" s="12" t="s">
        <v>37</v>
      </c>
      <c r="KE57" s="13" t="s">
        <v>37</v>
      </c>
      <c r="KF57" s="13"/>
      <c r="KG57" s="13"/>
      <c r="KH57" s="32"/>
      <c r="KI57" s="12" t="s">
        <v>37</v>
      </c>
      <c r="KJ57" s="12" t="s">
        <v>37</v>
      </c>
      <c r="KK57" s="12" t="s">
        <v>37</v>
      </c>
      <c r="KL57" s="12" t="s">
        <v>37</v>
      </c>
      <c r="KM57" s="12" t="s">
        <v>37</v>
      </c>
      <c r="KN57" s="12" t="s">
        <v>37</v>
      </c>
      <c r="KO57" s="12"/>
      <c r="KP57" s="12"/>
      <c r="KQ57" s="12"/>
      <c r="KR57" s="12"/>
      <c r="KS57" s="12" t="s">
        <v>37</v>
      </c>
      <c r="KT57" s="12" t="s">
        <v>37</v>
      </c>
      <c r="KU57" s="12" t="s">
        <v>37</v>
      </c>
      <c r="KV57" s="19"/>
      <c r="KW57" s="12" t="s">
        <v>37</v>
      </c>
      <c r="KX57" s="12" t="s">
        <v>37</v>
      </c>
      <c r="KY57" s="12" t="s">
        <v>37</v>
      </c>
      <c r="KZ57" s="19"/>
      <c r="LA57" s="19"/>
      <c r="LB57" s="19"/>
      <c r="LC57" s="12"/>
      <c r="LD57" s="12" t="s">
        <v>37</v>
      </c>
      <c r="LE57" s="12" t="s">
        <v>37</v>
      </c>
      <c r="LF57" s="12" t="s">
        <v>37</v>
      </c>
      <c r="LG57" s="19" t="s">
        <v>37</v>
      </c>
      <c r="LH57" s="19" t="s">
        <v>37</v>
      </c>
      <c r="LI57" s="12" t="s">
        <v>37</v>
      </c>
      <c r="LJ57" s="12"/>
      <c r="LK57" s="12"/>
      <c r="LL57" s="12"/>
      <c r="LM57" s="12" t="s">
        <v>37</v>
      </c>
      <c r="LN57" s="12" t="s">
        <v>37</v>
      </c>
      <c r="LO57" s="12" t="s">
        <v>37</v>
      </c>
      <c r="LP57" s="12" t="s">
        <v>37</v>
      </c>
      <c r="LQ57" s="12" t="s">
        <v>37</v>
      </c>
      <c r="LR57" s="12" t="s">
        <v>37</v>
      </c>
      <c r="LS57" s="12" t="s">
        <v>152</v>
      </c>
      <c r="LT57" s="12" t="s">
        <v>327</v>
      </c>
      <c r="LU57" s="12">
        <v>5.73243921184429</v>
      </c>
      <c r="LV57" s="12">
        <v>1.6680608537518582</v>
      </c>
      <c r="LW57" s="13">
        <v>8</v>
      </c>
      <c r="LX57" s="12">
        <v>4.5180780892375996</v>
      </c>
      <c r="LY57" s="12">
        <v>0.43485965202638771</v>
      </c>
      <c r="LZ57" s="13">
        <v>8</v>
      </c>
      <c r="MA57" s="19">
        <f>LN(LX57/LU57)</f>
        <v>-0.23805442964285836</v>
      </c>
      <c r="MB57" s="19">
        <f t="shared" ref="MB57:MB58" si="298">LY57^2/(LZ57*LX57^2)+LV57^2/(LW57*LU57^2)</f>
        <v>1.1742102231687998E-2</v>
      </c>
      <c r="MC57" s="12" t="s">
        <v>152</v>
      </c>
      <c r="MD57" s="12" t="s">
        <v>327</v>
      </c>
      <c r="ME57" s="12">
        <v>15.7508717085488</v>
      </c>
      <c r="MF57" s="12">
        <v>17.850910832753506</v>
      </c>
      <c r="MG57" s="13">
        <v>8</v>
      </c>
      <c r="MH57" s="12">
        <v>11.634643902047999</v>
      </c>
      <c r="MI57" s="12">
        <v>14.952541038937431</v>
      </c>
      <c r="MJ57" s="13">
        <v>8</v>
      </c>
      <c r="MK57" s="19">
        <f>LN(MH57/ME57)</f>
        <v>-0.30290851978307631</v>
      </c>
      <c r="ML57" s="19">
        <f>MI57^2/(MJ57*MH57^2)+MF57^2/(MG57*ME57^2)</f>
        <v>0.36701317268941558</v>
      </c>
      <c r="MM57" s="12"/>
      <c r="MN57" s="12"/>
      <c r="MO57" s="12" t="s">
        <v>37</v>
      </c>
      <c r="MP57" s="12" t="s">
        <v>37</v>
      </c>
      <c r="MQ57" s="12" t="s">
        <v>37</v>
      </c>
      <c r="MR57" s="12" t="s">
        <v>37</v>
      </c>
      <c r="MS57" s="12" t="s">
        <v>37</v>
      </c>
      <c r="MT57" s="12" t="s">
        <v>37</v>
      </c>
      <c r="MU57" s="12"/>
      <c r="MV57" s="12"/>
      <c r="MW57" s="12"/>
      <c r="MX57" s="12"/>
      <c r="MY57" s="12" t="s">
        <v>37</v>
      </c>
      <c r="MZ57" s="12" t="s">
        <v>37</v>
      </c>
      <c r="NA57" s="12" t="s">
        <v>37</v>
      </c>
      <c r="NB57" s="12" t="s">
        <v>37</v>
      </c>
      <c r="NC57" s="12" t="s">
        <v>37</v>
      </c>
      <c r="ND57" s="12" t="s">
        <v>37</v>
      </c>
      <c r="NE57" s="12"/>
      <c r="NF57" s="12"/>
      <c r="NG57" s="12"/>
      <c r="NH57" s="12"/>
      <c r="NI57" s="12" t="s">
        <v>37</v>
      </c>
      <c r="NJ57" s="12" t="s">
        <v>37</v>
      </c>
      <c r="NK57" s="12" t="s">
        <v>37</v>
      </c>
      <c r="NL57" s="12" t="s">
        <v>37</v>
      </c>
      <c r="NM57" s="12" t="s">
        <v>37</v>
      </c>
      <c r="NN57" s="12" t="s">
        <v>37</v>
      </c>
      <c r="NO57" s="12"/>
      <c r="NP57" s="12"/>
      <c r="NQ57" s="12"/>
      <c r="NR57" s="12"/>
      <c r="NS57" s="12" t="s">
        <v>37</v>
      </c>
      <c r="NT57" s="12" t="s">
        <v>37</v>
      </c>
      <c r="NU57" s="12" t="s">
        <v>37</v>
      </c>
      <c r="NV57" s="12" t="s">
        <v>37</v>
      </c>
      <c r="NW57" s="12" t="s">
        <v>37</v>
      </c>
      <c r="NX57" s="12" t="s">
        <v>37</v>
      </c>
      <c r="NY57" s="12"/>
      <c r="NZ57" s="12"/>
      <c r="OA57" s="12"/>
      <c r="OB57" s="12"/>
      <c r="OC57" s="12" t="s">
        <v>37</v>
      </c>
      <c r="OD57" s="12" t="s">
        <v>37</v>
      </c>
      <c r="OE57" s="12" t="s">
        <v>37</v>
      </c>
      <c r="OF57" s="12" t="s">
        <v>37</v>
      </c>
      <c r="OG57" s="12" t="s">
        <v>37</v>
      </c>
      <c r="OH57" s="12" t="s">
        <v>37</v>
      </c>
      <c r="OI57" s="12"/>
      <c r="OJ57" s="12"/>
      <c r="OK57" s="12"/>
      <c r="OL57" s="12" t="s">
        <v>37</v>
      </c>
      <c r="OM57" s="12" t="s">
        <v>37</v>
      </c>
      <c r="ON57" s="11" t="s">
        <v>37</v>
      </c>
      <c r="OO57" s="12" t="s">
        <v>37</v>
      </c>
      <c r="OP57" s="12" t="s">
        <v>37</v>
      </c>
      <c r="OQ57" s="12" t="s">
        <v>37</v>
      </c>
      <c r="OR57" s="12"/>
      <c r="OS57" s="12" t="s">
        <v>37</v>
      </c>
      <c r="OT57" s="12" t="s">
        <v>37</v>
      </c>
      <c r="OU57" s="12" t="s">
        <v>37</v>
      </c>
      <c r="OV57" s="12" t="s">
        <v>37</v>
      </c>
      <c r="OW57" s="12" t="s">
        <v>37</v>
      </c>
      <c r="OX57" s="12" t="s">
        <v>37</v>
      </c>
      <c r="OY57" s="12"/>
      <c r="OZ57" s="12"/>
      <c r="PA57" s="12" t="s">
        <v>37</v>
      </c>
      <c r="PB57" s="12" t="s">
        <v>37</v>
      </c>
      <c r="PC57" s="12" t="s">
        <v>37</v>
      </c>
      <c r="PD57" s="12" t="s">
        <v>37</v>
      </c>
      <c r="PE57" s="12" t="s">
        <v>37</v>
      </c>
      <c r="PF57" s="12" t="s">
        <v>37</v>
      </c>
      <c r="PG57" s="12"/>
      <c r="PH57" s="12"/>
      <c r="PI57" s="12" t="s">
        <v>37</v>
      </c>
      <c r="PJ57" s="12" t="s">
        <v>37</v>
      </c>
      <c r="PK57" s="12" t="s">
        <v>37</v>
      </c>
      <c r="PL57" s="12" t="s">
        <v>37</v>
      </c>
      <c r="PM57" s="12" t="s">
        <v>37</v>
      </c>
      <c r="PN57" s="12" t="s">
        <v>37</v>
      </c>
      <c r="PO57" s="12"/>
      <c r="PP57" s="12"/>
      <c r="PQ57" s="12" t="s">
        <v>37</v>
      </c>
      <c r="PR57" s="12" t="s">
        <v>37</v>
      </c>
      <c r="PS57" s="12" t="s">
        <v>37</v>
      </c>
      <c r="PT57" s="12" t="s">
        <v>37</v>
      </c>
      <c r="PU57" s="12" t="s">
        <v>37</v>
      </c>
      <c r="PV57" s="12" t="s">
        <v>37</v>
      </c>
      <c r="PW57" s="12"/>
      <c r="PX57" s="12"/>
      <c r="PY57" s="12" t="s">
        <v>37</v>
      </c>
      <c r="PZ57" s="12" t="s">
        <v>37</v>
      </c>
      <c r="QA57" s="12" t="s">
        <v>37</v>
      </c>
      <c r="QB57" s="12" t="s">
        <v>37</v>
      </c>
      <c r="QC57" s="12" t="s">
        <v>37</v>
      </c>
      <c r="QD57" s="12" t="s">
        <v>37</v>
      </c>
      <c r="QE57" s="12"/>
      <c r="QF57" s="12"/>
      <c r="QG57" s="12" t="s">
        <v>37</v>
      </c>
      <c r="QH57" s="12" t="s">
        <v>37</v>
      </c>
      <c r="QI57" s="12" t="s">
        <v>37</v>
      </c>
      <c r="QJ57" s="12" t="s">
        <v>37</v>
      </c>
      <c r="QK57" s="12" t="s">
        <v>37</v>
      </c>
      <c r="QL57" s="12" t="s">
        <v>37</v>
      </c>
      <c r="QM57" s="12"/>
      <c r="QN57" s="12"/>
      <c r="QO57" s="12" t="s">
        <v>37</v>
      </c>
      <c r="QP57" s="12" t="s">
        <v>37</v>
      </c>
      <c r="QQ57" s="12" t="s">
        <v>37</v>
      </c>
      <c r="QR57" s="12" t="s">
        <v>37</v>
      </c>
      <c r="QS57" s="12" t="s">
        <v>37</v>
      </c>
      <c r="QT57" s="12" t="s">
        <v>37</v>
      </c>
      <c r="QU57" s="12"/>
      <c r="QV57" s="12"/>
      <c r="QW57" s="12"/>
      <c r="QX57" s="12"/>
      <c r="QY57" s="12" t="s">
        <v>37</v>
      </c>
      <c r="QZ57" s="12" t="s">
        <v>37</v>
      </c>
      <c r="RA57" s="11" t="s">
        <v>37</v>
      </c>
      <c r="RB57" s="12" t="s">
        <v>37</v>
      </c>
      <c r="RC57" s="12" t="s">
        <v>37</v>
      </c>
      <c r="RD57" s="11" t="s">
        <v>37</v>
      </c>
      <c r="RE57" s="11"/>
      <c r="RF57" s="11"/>
      <c r="RG57" s="12"/>
      <c r="RH57" s="12"/>
      <c r="RI57" s="12" t="s">
        <v>37</v>
      </c>
      <c r="RJ57" s="12" t="s">
        <v>37</v>
      </c>
      <c r="RK57" s="11" t="s">
        <v>37</v>
      </c>
      <c r="RL57" s="12" t="s">
        <v>37</v>
      </c>
      <c r="RM57" s="12" t="s">
        <v>37</v>
      </c>
      <c r="RN57" s="11" t="s">
        <v>37</v>
      </c>
      <c r="RO57" s="11"/>
      <c r="RP57" s="11"/>
      <c r="RQ57" s="12"/>
      <c r="RR57" s="12"/>
      <c r="RS57" s="12" t="s">
        <v>37</v>
      </c>
      <c r="RT57" s="12" t="s">
        <v>37</v>
      </c>
      <c r="RU57" s="11" t="s">
        <v>37</v>
      </c>
      <c r="RV57" s="12" t="s">
        <v>37</v>
      </c>
      <c r="RW57" s="12" t="s">
        <v>37</v>
      </c>
      <c r="RX57" s="11" t="s">
        <v>37</v>
      </c>
      <c r="RY57" s="11"/>
      <c r="RZ57" s="11"/>
      <c r="SA57" s="12"/>
      <c r="SB57" s="12"/>
      <c r="SC57" s="12" t="s">
        <v>37</v>
      </c>
      <c r="SD57" s="12" t="s">
        <v>37</v>
      </c>
      <c r="SE57" s="12" t="s">
        <v>37</v>
      </c>
      <c r="SF57" s="12" t="s">
        <v>37</v>
      </c>
      <c r="SG57" s="12" t="s">
        <v>37</v>
      </c>
      <c r="SH57" s="12" t="s">
        <v>37</v>
      </c>
      <c r="SI57" s="12"/>
      <c r="SJ57" s="12"/>
      <c r="SK57" s="12"/>
      <c r="SL57" s="12"/>
      <c r="SM57" s="12" t="s">
        <v>37</v>
      </c>
      <c r="SN57" s="12" t="s">
        <v>37</v>
      </c>
      <c r="SO57" s="12" t="s">
        <v>37</v>
      </c>
      <c r="SP57" s="12" t="s">
        <v>37</v>
      </c>
      <c r="SQ57" s="12" t="s">
        <v>37</v>
      </c>
      <c r="SR57" s="12" t="s">
        <v>37</v>
      </c>
      <c r="SS57" s="12"/>
      <c r="ST57" s="12"/>
      <c r="SU57" s="12"/>
      <c r="SV57" s="12"/>
      <c r="SW57" s="12" t="s">
        <v>37</v>
      </c>
      <c r="SX57" s="12" t="s">
        <v>37</v>
      </c>
      <c r="SY57" s="12" t="s">
        <v>37</v>
      </c>
      <c r="SZ57" s="12" t="s">
        <v>37</v>
      </c>
      <c r="TA57" s="12" t="s">
        <v>37</v>
      </c>
      <c r="TB57" s="12" t="s">
        <v>37</v>
      </c>
      <c r="TC57" s="12"/>
      <c r="TD57" s="12"/>
      <c r="TE57" s="12"/>
      <c r="TF57" s="12"/>
      <c r="TG57" s="13" t="s">
        <v>37</v>
      </c>
      <c r="TH57" s="13" t="s">
        <v>37</v>
      </c>
      <c r="TI57" s="13" t="s">
        <v>37</v>
      </c>
      <c r="TJ57" s="13" t="s">
        <v>37</v>
      </c>
      <c r="TK57" s="13" t="s">
        <v>37</v>
      </c>
      <c r="TL57" s="13" t="s">
        <v>37</v>
      </c>
      <c r="TM57" s="13"/>
      <c r="TN57" s="13"/>
      <c r="TO57" s="12"/>
      <c r="TP57" s="12"/>
      <c r="TQ57" s="13" t="s">
        <v>37</v>
      </c>
      <c r="TR57" s="13" t="s">
        <v>37</v>
      </c>
      <c r="TS57" s="13" t="s">
        <v>37</v>
      </c>
      <c r="TT57" s="19"/>
      <c r="TU57" s="13" t="s">
        <v>37</v>
      </c>
      <c r="TV57" s="13" t="s">
        <v>37</v>
      </c>
      <c r="TW57" s="13" t="s">
        <v>37</v>
      </c>
    </row>
    <row r="58" spans="1:544" ht="15.6" x14ac:dyDescent="0.3">
      <c r="A58" s="11">
        <v>24</v>
      </c>
      <c r="B58" s="16" t="s">
        <v>578</v>
      </c>
      <c r="C58" s="12" t="s">
        <v>26</v>
      </c>
      <c r="D58" s="12" t="s">
        <v>609</v>
      </c>
      <c r="E58" s="14">
        <v>2</v>
      </c>
      <c r="F58" s="14">
        <v>0</v>
      </c>
      <c r="G58" s="14">
        <v>0</v>
      </c>
      <c r="H58" s="12" t="s">
        <v>131</v>
      </c>
      <c r="I58" s="29">
        <v>52.466999999999999</v>
      </c>
      <c r="J58" s="29">
        <v>-3.75</v>
      </c>
      <c r="K58" s="12" t="s">
        <v>671</v>
      </c>
      <c r="L58" s="12" t="s">
        <v>672</v>
      </c>
      <c r="M58" s="13" t="s">
        <v>37</v>
      </c>
      <c r="N58" s="13" t="s">
        <v>37</v>
      </c>
      <c r="O58" s="13" t="s">
        <v>37</v>
      </c>
      <c r="P58" s="14" t="s">
        <v>16</v>
      </c>
      <c r="Q58" s="11" t="s">
        <v>226</v>
      </c>
      <c r="R58" s="11" t="s">
        <v>37</v>
      </c>
      <c r="S58" s="12" t="s">
        <v>93</v>
      </c>
      <c r="T58" s="12" t="s">
        <v>141</v>
      </c>
      <c r="U58" s="12" t="s">
        <v>158</v>
      </c>
      <c r="V58" s="12" t="s">
        <v>275</v>
      </c>
      <c r="W58" s="23" t="s">
        <v>451</v>
      </c>
      <c r="X58" s="12" t="s">
        <v>281</v>
      </c>
      <c r="Y58" s="12" t="s">
        <v>37</v>
      </c>
      <c r="Z58" s="12" t="s">
        <v>37</v>
      </c>
      <c r="AA58" s="32" t="s">
        <v>580</v>
      </c>
      <c r="AB58" s="12" t="s">
        <v>37</v>
      </c>
      <c r="AC58" s="12" t="s">
        <v>37</v>
      </c>
      <c r="AD58" s="12" t="s">
        <v>167</v>
      </c>
      <c r="AE58" s="12" t="s">
        <v>73</v>
      </c>
      <c r="AF58" s="12" t="s">
        <v>489</v>
      </c>
      <c r="AG58" s="32"/>
      <c r="AH58" s="12"/>
      <c r="AI58" s="12" t="s">
        <v>37</v>
      </c>
      <c r="AJ58" s="12" t="s">
        <v>37</v>
      </c>
      <c r="AK58" s="12" t="s">
        <v>37</v>
      </c>
      <c r="AL58" s="19"/>
      <c r="AM58" s="12" t="s">
        <v>37</v>
      </c>
      <c r="AN58" s="12" t="s">
        <v>37</v>
      </c>
      <c r="AO58" s="12" t="s">
        <v>37</v>
      </c>
      <c r="AP58" s="19"/>
      <c r="AQ58" s="49"/>
      <c r="AR58" s="49"/>
      <c r="AS58" s="12"/>
      <c r="AT58" s="12" t="s">
        <v>37</v>
      </c>
      <c r="AU58" s="13" t="s">
        <v>37</v>
      </c>
      <c r="AV58" s="12" t="s">
        <v>37</v>
      </c>
      <c r="AW58" s="12" t="s">
        <v>37</v>
      </c>
      <c r="AX58" s="13" t="s">
        <v>37</v>
      </c>
      <c r="AY58" s="13" t="s">
        <v>37</v>
      </c>
      <c r="AZ58" s="13"/>
      <c r="BA58" s="13"/>
      <c r="BB58" s="12"/>
      <c r="BC58" s="12" t="s">
        <v>37</v>
      </c>
      <c r="BD58" s="13" t="s">
        <v>37</v>
      </c>
      <c r="BE58" s="12" t="s">
        <v>37</v>
      </c>
      <c r="BF58" s="12" t="s">
        <v>37</v>
      </c>
      <c r="BG58" s="12" t="s">
        <v>37</v>
      </c>
      <c r="BH58" s="12" t="s">
        <v>37</v>
      </c>
      <c r="BI58" s="12"/>
      <c r="BJ58" s="12" t="s">
        <v>37</v>
      </c>
      <c r="BK58" s="13" t="s">
        <v>37</v>
      </c>
      <c r="BL58" s="12" t="s">
        <v>37</v>
      </c>
      <c r="BM58" s="12" t="s">
        <v>37</v>
      </c>
      <c r="BN58" s="13" t="s">
        <v>37</v>
      </c>
      <c r="BO58" s="12" t="s">
        <v>37</v>
      </c>
      <c r="BP58" s="19"/>
      <c r="BQ58" s="19"/>
      <c r="BR58" s="19"/>
      <c r="BS58" s="19"/>
      <c r="BT58" s="12"/>
      <c r="BU58" s="12" t="s">
        <v>37</v>
      </c>
      <c r="BV58" s="13" t="s">
        <v>37</v>
      </c>
      <c r="BW58" s="12" t="s">
        <v>37</v>
      </c>
      <c r="BX58" s="12" t="s">
        <v>37</v>
      </c>
      <c r="BY58" s="13" t="s">
        <v>37</v>
      </c>
      <c r="BZ58" s="12" t="s">
        <v>37</v>
      </c>
      <c r="CA58" s="19"/>
      <c r="CB58" s="19"/>
      <c r="CC58" s="19"/>
      <c r="CD58" s="19"/>
      <c r="CE58" s="12"/>
      <c r="CF58" s="12" t="s">
        <v>37</v>
      </c>
      <c r="CG58" s="13" t="s">
        <v>37</v>
      </c>
      <c r="CH58" s="12" t="s">
        <v>37</v>
      </c>
      <c r="CI58" s="12" t="s">
        <v>37</v>
      </c>
      <c r="CJ58" s="13" t="s">
        <v>37</v>
      </c>
      <c r="CK58" s="12" t="s">
        <v>37</v>
      </c>
      <c r="CL58" s="19"/>
      <c r="CM58" s="19"/>
      <c r="CN58" s="19"/>
      <c r="CO58" s="19"/>
      <c r="CP58" s="12"/>
      <c r="CQ58" s="12" t="s">
        <v>37</v>
      </c>
      <c r="CR58" s="19" t="s">
        <v>37</v>
      </c>
      <c r="CS58" s="12" t="s">
        <v>37</v>
      </c>
      <c r="CT58" s="19"/>
      <c r="CU58" s="12" t="s">
        <v>37</v>
      </c>
      <c r="CV58" s="19" t="s">
        <v>37</v>
      </c>
      <c r="CW58" s="12" t="s">
        <v>37</v>
      </c>
      <c r="CX58" s="19"/>
      <c r="CY58" s="68"/>
      <c r="CZ58" s="68"/>
      <c r="DA58" s="68"/>
      <c r="DB58" s="68"/>
      <c r="DC58" s="15" t="s">
        <v>34</v>
      </c>
      <c r="DD58" s="29">
        <f>0.174664107485605/24</f>
        <v>7.2776711452335425E-3</v>
      </c>
      <c r="DE58" s="68">
        <f t="shared" ref="DE58:DE59" si="299">0.06/24</f>
        <v>2.5000000000000001E-3</v>
      </c>
      <c r="DF58" s="13">
        <v>8</v>
      </c>
      <c r="DG58" s="52">
        <f t="shared" si="280"/>
        <v>0.34351648351648273</v>
      </c>
      <c r="DH58" s="29">
        <f>1.92130518234165/24</f>
        <v>8.0054382597568752E-2</v>
      </c>
      <c r="DI58" s="68">
        <f>0.608030399177706/24</f>
        <v>2.5334599965737749E-2</v>
      </c>
      <c r="DJ58" s="13">
        <v>8</v>
      </c>
      <c r="DK58" s="52">
        <f t="shared" si="281"/>
        <v>0.31646737060098395</v>
      </c>
      <c r="DL58" s="68">
        <f t="shared" si="282"/>
        <v>7.2776711452335205E-2</v>
      </c>
      <c r="DM58" s="12">
        <f t="shared" si="283"/>
        <v>1.8001277113360029E-2</v>
      </c>
      <c r="DN58" s="87">
        <f t="shared" si="284"/>
        <v>8.1011494427994912E-5</v>
      </c>
      <c r="DO58" s="87">
        <f t="shared" si="285"/>
        <v>8.1011494427994898E-5</v>
      </c>
      <c r="DP58" s="12" t="s">
        <v>39</v>
      </c>
      <c r="DQ58" s="12">
        <v>0</v>
      </c>
      <c r="DR58" s="60">
        <f t="shared" si="277"/>
        <v>0</v>
      </c>
      <c r="DS58" s="13">
        <v>8</v>
      </c>
      <c r="DT58" s="19"/>
      <c r="DU58" s="12">
        <v>-14</v>
      </c>
      <c r="DV58" s="60">
        <f t="shared" si="275"/>
        <v>4.8385786745857713</v>
      </c>
      <c r="DW58" s="13">
        <v>8</v>
      </c>
      <c r="DX58" s="19"/>
      <c r="DY58" s="19">
        <f t="shared" si="247"/>
        <v>-14</v>
      </c>
      <c r="DZ58" s="12">
        <f t="shared" si="248"/>
        <v>3.4213917921042163</v>
      </c>
      <c r="EA58" s="72">
        <f t="shared" si="164"/>
        <v>2.9264804487695248</v>
      </c>
      <c r="EB58" s="72">
        <f t="shared" si="165"/>
        <v>2.9264804487695248</v>
      </c>
      <c r="EC58" s="12"/>
      <c r="ED58" s="12"/>
      <c r="EE58" s="12" t="s">
        <v>37</v>
      </c>
      <c r="EF58" s="12" t="s">
        <v>37</v>
      </c>
      <c r="EG58" s="12" t="s">
        <v>37</v>
      </c>
      <c r="EH58" s="19"/>
      <c r="EI58" s="12" t="s">
        <v>37</v>
      </c>
      <c r="EJ58" s="12" t="s">
        <v>37</v>
      </c>
      <c r="EK58" s="12" t="s">
        <v>37</v>
      </c>
      <c r="EL58" s="19"/>
      <c r="EM58" s="19"/>
      <c r="EN58" s="19"/>
      <c r="EO58" s="19"/>
      <c r="EP58" s="19"/>
      <c r="EQ58" s="32"/>
      <c r="ER58" s="12" t="s">
        <v>37</v>
      </c>
      <c r="ES58" s="12" t="s">
        <v>37</v>
      </c>
      <c r="ET58" s="12" t="s">
        <v>37</v>
      </c>
      <c r="EU58" s="19"/>
      <c r="EV58" s="12" t="s">
        <v>37</v>
      </c>
      <c r="EW58" s="12" t="s">
        <v>37</v>
      </c>
      <c r="EX58" s="12" t="s">
        <v>37</v>
      </c>
      <c r="EY58" s="19"/>
      <c r="EZ58" s="19"/>
      <c r="FA58" s="19"/>
      <c r="FB58" s="19"/>
      <c r="FC58" s="12"/>
      <c r="FD58" s="12" t="s">
        <v>37</v>
      </c>
      <c r="FE58" s="12" t="s">
        <v>37</v>
      </c>
      <c r="FF58" s="12" t="s">
        <v>37</v>
      </c>
      <c r="FG58" s="12" t="s">
        <v>37</v>
      </c>
      <c r="FH58" s="12" t="s">
        <v>37</v>
      </c>
      <c r="FI58" s="12" t="s">
        <v>37</v>
      </c>
      <c r="FJ58" s="19"/>
      <c r="FK58" s="19"/>
      <c r="FL58" s="19"/>
      <c r="FM58" s="32"/>
      <c r="FN58" s="12" t="s">
        <v>37</v>
      </c>
      <c r="FO58" s="12" t="s">
        <v>37</v>
      </c>
      <c r="FP58" s="12" t="s">
        <v>37</v>
      </c>
      <c r="FQ58" s="12" t="s">
        <v>37</v>
      </c>
      <c r="FR58" s="12" t="s">
        <v>37</v>
      </c>
      <c r="FS58" s="12" t="s">
        <v>37</v>
      </c>
      <c r="FT58" s="19"/>
      <c r="FU58" s="19"/>
      <c r="FV58" s="19"/>
      <c r="FW58" s="12"/>
      <c r="FX58" s="12"/>
      <c r="FY58" s="12" t="s">
        <v>37</v>
      </c>
      <c r="FZ58" s="12" t="s">
        <v>37</v>
      </c>
      <c r="GA58" s="12" t="s">
        <v>37</v>
      </c>
      <c r="GB58" s="12" t="s">
        <v>37</v>
      </c>
      <c r="GC58" s="12" t="s">
        <v>37</v>
      </c>
      <c r="GD58" s="12" t="s">
        <v>37</v>
      </c>
      <c r="GE58" s="19"/>
      <c r="GF58" s="19"/>
      <c r="GG58" s="12"/>
      <c r="GH58" s="12"/>
      <c r="GI58" s="12" t="s">
        <v>37</v>
      </c>
      <c r="GJ58" s="12" t="s">
        <v>37</v>
      </c>
      <c r="GK58" s="12" t="s">
        <v>37</v>
      </c>
      <c r="GL58" s="19"/>
      <c r="GM58" s="12" t="s">
        <v>37</v>
      </c>
      <c r="GN58" s="12" t="s">
        <v>37</v>
      </c>
      <c r="GO58" s="12" t="s">
        <v>37</v>
      </c>
      <c r="GP58" s="19"/>
      <c r="GQ58" s="19"/>
      <c r="GR58" s="19"/>
      <c r="GS58" s="17"/>
      <c r="GT58" s="34"/>
      <c r="GU58" s="12" t="s">
        <v>37</v>
      </c>
      <c r="GV58" s="12" t="s">
        <v>37</v>
      </c>
      <c r="GW58" s="12" t="s">
        <v>37</v>
      </c>
      <c r="GX58" s="19"/>
      <c r="GY58" s="12" t="s">
        <v>37</v>
      </c>
      <c r="GZ58" s="12" t="s">
        <v>37</v>
      </c>
      <c r="HA58" s="12" t="s">
        <v>37</v>
      </c>
      <c r="HB58" s="19"/>
      <c r="HC58" s="19"/>
      <c r="HD58" s="19"/>
      <c r="HE58" s="34"/>
      <c r="HF58" s="12" t="s">
        <v>37</v>
      </c>
      <c r="HG58" s="12" t="s">
        <v>37</v>
      </c>
      <c r="HH58" s="13" t="s">
        <v>37</v>
      </c>
      <c r="HI58" s="12" t="s">
        <v>37</v>
      </c>
      <c r="HJ58" s="12" t="s">
        <v>37</v>
      </c>
      <c r="HK58" s="13" t="s">
        <v>37</v>
      </c>
      <c r="HL58" s="13"/>
      <c r="HM58" s="13"/>
      <c r="HN58" s="34"/>
      <c r="HO58" s="12" t="s">
        <v>37</v>
      </c>
      <c r="HP58" s="12" t="s">
        <v>37</v>
      </c>
      <c r="HQ58" s="13" t="s">
        <v>37</v>
      </c>
      <c r="HR58" s="12" t="s">
        <v>37</v>
      </c>
      <c r="HS58" s="12" t="s">
        <v>37</v>
      </c>
      <c r="HT58" s="13" t="s">
        <v>37</v>
      </c>
      <c r="HU58" s="13"/>
      <c r="HV58" s="13"/>
      <c r="HW58" s="12"/>
      <c r="HX58" s="12"/>
      <c r="HY58" s="12" t="s">
        <v>37</v>
      </c>
      <c r="HZ58" s="12" t="s">
        <v>37</v>
      </c>
      <c r="IA58" s="12" t="s">
        <v>37</v>
      </c>
      <c r="IB58" s="12" t="s">
        <v>37</v>
      </c>
      <c r="IC58" s="12" t="s">
        <v>37</v>
      </c>
      <c r="ID58" s="12" t="s">
        <v>37</v>
      </c>
      <c r="IE58" s="12"/>
      <c r="IF58" s="32" t="s">
        <v>330</v>
      </c>
      <c r="IG58" s="12">
        <v>4.7</v>
      </c>
      <c r="IH58" s="60">
        <f t="shared" si="297"/>
        <v>0.18166763076201184</v>
      </c>
      <c r="II58" s="13">
        <v>3</v>
      </c>
      <c r="IJ58" s="19"/>
      <c r="IK58" s="12" t="s">
        <v>37</v>
      </c>
      <c r="IL58" s="12" t="s">
        <v>37</v>
      </c>
      <c r="IM58" s="12" t="s">
        <v>37</v>
      </c>
      <c r="IN58" s="19"/>
      <c r="IO58" s="19"/>
      <c r="IP58" s="19"/>
      <c r="IQ58" s="32"/>
      <c r="IR58" s="12" t="s">
        <v>37</v>
      </c>
      <c r="IS58" s="12" t="s">
        <v>37</v>
      </c>
      <c r="IT58" s="13" t="s">
        <v>37</v>
      </c>
      <c r="IU58" s="12" t="s">
        <v>37</v>
      </c>
      <c r="IV58" s="12" t="s">
        <v>37</v>
      </c>
      <c r="IW58" s="12" t="s">
        <v>37</v>
      </c>
      <c r="IX58" s="32"/>
      <c r="IY58" s="12" t="s">
        <v>37</v>
      </c>
      <c r="IZ58" s="12" t="s">
        <v>37</v>
      </c>
      <c r="JA58" s="13" t="s">
        <v>37</v>
      </c>
      <c r="JB58" s="12" t="s">
        <v>37</v>
      </c>
      <c r="JC58" s="12" t="s">
        <v>37</v>
      </c>
      <c r="JD58" s="12" t="s">
        <v>37</v>
      </c>
      <c r="JE58" s="12"/>
      <c r="JF58" s="12"/>
      <c r="JG58" s="11" t="s">
        <v>37</v>
      </c>
      <c r="JH58" s="11" t="s">
        <v>37</v>
      </c>
      <c r="JI58" s="13" t="s">
        <v>37</v>
      </c>
      <c r="JJ58" s="11" t="s">
        <v>37</v>
      </c>
      <c r="JK58" s="11" t="s">
        <v>37</v>
      </c>
      <c r="JL58" s="11" t="s">
        <v>37</v>
      </c>
      <c r="JM58" s="12"/>
      <c r="JN58" s="32"/>
      <c r="JO58" s="12" t="s">
        <v>37</v>
      </c>
      <c r="JP58" s="12" t="s">
        <v>37</v>
      </c>
      <c r="JQ58" s="12" t="s">
        <v>37</v>
      </c>
      <c r="JR58" s="19"/>
      <c r="JS58" s="12" t="s">
        <v>37</v>
      </c>
      <c r="JT58" s="12" t="s">
        <v>37</v>
      </c>
      <c r="JU58" s="12" t="s">
        <v>37</v>
      </c>
      <c r="JV58" s="19"/>
      <c r="JW58" s="19"/>
      <c r="JX58" s="19"/>
      <c r="JY58" s="32"/>
      <c r="JZ58" s="12" t="s">
        <v>37</v>
      </c>
      <c r="KA58" s="12" t="s">
        <v>37</v>
      </c>
      <c r="KB58" s="13" t="s">
        <v>37</v>
      </c>
      <c r="KC58" s="12" t="s">
        <v>37</v>
      </c>
      <c r="KD58" s="12" t="s">
        <v>37</v>
      </c>
      <c r="KE58" s="13" t="s">
        <v>37</v>
      </c>
      <c r="KF58" s="13"/>
      <c r="KG58" s="13"/>
      <c r="KH58" s="32"/>
      <c r="KI58" s="12" t="s">
        <v>37</v>
      </c>
      <c r="KJ58" s="12" t="s">
        <v>37</v>
      </c>
      <c r="KK58" s="12" t="s">
        <v>37</v>
      </c>
      <c r="KL58" s="12" t="s">
        <v>37</v>
      </c>
      <c r="KM58" s="12" t="s">
        <v>37</v>
      </c>
      <c r="KN58" s="12" t="s">
        <v>37</v>
      </c>
      <c r="KO58" s="12"/>
      <c r="KP58" s="12"/>
      <c r="KQ58" s="12"/>
      <c r="KR58" s="12"/>
      <c r="KS58" s="12" t="s">
        <v>37</v>
      </c>
      <c r="KT58" s="12" t="s">
        <v>37</v>
      </c>
      <c r="KU58" s="12" t="s">
        <v>37</v>
      </c>
      <c r="KV58" s="19"/>
      <c r="KW58" s="12" t="s">
        <v>37</v>
      </c>
      <c r="KX58" s="12" t="s">
        <v>37</v>
      </c>
      <c r="KY58" s="12" t="s">
        <v>37</v>
      </c>
      <c r="KZ58" s="19"/>
      <c r="LA58" s="19"/>
      <c r="LB58" s="19"/>
      <c r="LC58" s="12"/>
      <c r="LD58" s="12" t="s">
        <v>37</v>
      </c>
      <c r="LE58" s="12" t="s">
        <v>37</v>
      </c>
      <c r="LF58" s="12" t="s">
        <v>37</v>
      </c>
      <c r="LG58" s="19" t="s">
        <v>37</v>
      </c>
      <c r="LH58" s="19" t="s">
        <v>37</v>
      </c>
      <c r="LI58" s="12" t="s">
        <v>37</v>
      </c>
      <c r="LJ58" s="12"/>
      <c r="LK58" s="12"/>
      <c r="LL58" s="12"/>
      <c r="LM58" s="12" t="s">
        <v>37</v>
      </c>
      <c r="LN58" s="12" t="s">
        <v>37</v>
      </c>
      <c r="LO58" s="12" t="s">
        <v>37</v>
      </c>
      <c r="LP58" s="12" t="s">
        <v>37</v>
      </c>
      <c r="LQ58" s="12" t="s">
        <v>37</v>
      </c>
      <c r="LR58" s="12" t="s">
        <v>37</v>
      </c>
      <c r="LS58" s="12" t="s">
        <v>152</v>
      </c>
      <c r="LT58" s="12" t="s">
        <v>327</v>
      </c>
      <c r="LU58" s="12">
        <v>5.73243921184429</v>
      </c>
      <c r="LV58" s="12">
        <v>1.6680608537518582</v>
      </c>
      <c r="LW58" s="13">
        <v>8</v>
      </c>
      <c r="LX58" s="12">
        <v>2.2524767108941499</v>
      </c>
      <c r="LY58" s="12">
        <v>0.50767069462010428</v>
      </c>
      <c r="LZ58" s="13">
        <v>8</v>
      </c>
      <c r="MA58" s="19">
        <f>LN(LX58/LU58)</f>
        <v>-0.93411076034587948</v>
      </c>
      <c r="MB58" s="19">
        <f t="shared" si="298"/>
        <v>1.6933828486489836E-2</v>
      </c>
      <c r="MC58" s="12" t="s">
        <v>152</v>
      </c>
      <c r="MD58" s="12" t="s">
        <v>327</v>
      </c>
      <c r="ME58" s="12">
        <v>15.7508717085488</v>
      </c>
      <c r="MF58" s="12">
        <v>17.850910832753506</v>
      </c>
      <c r="MG58" s="13">
        <v>8</v>
      </c>
      <c r="MH58" s="12">
        <v>18.094024287603698</v>
      </c>
      <c r="MI58" s="12">
        <v>19.777111534275953</v>
      </c>
      <c r="MJ58" s="13">
        <v>8</v>
      </c>
      <c r="MK58" s="19">
        <f>LN(MH58/ME58)</f>
        <v>0.13868602358956478</v>
      </c>
      <c r="ML58" s="19">
        <f>MI58^2/(MJ58*MH58^2)+MF58^2/(MG58*ME58^2)</f>
        <v>0.3098904733220762</v>
      </c>
      <c r="MM58" s="12"/>
      <c r="MN58" s="12"/>
      <c r="MO58" s="12" t="s">
        <v>37</v>
      </c>
      <c r="MP58" s="12" t="s">
        <v>37</v>
      </c>
      <c r="MQ58" s="12" t="s">
        <v>37</v>
      </c>
      <c r="MR58" s="12" t="s">
        <v>37</v>
      </c>
      <c r="MS58" s="12" t="s">
        <v>37</v>
      </c>
      <c r="MT58" s="12" t="s">
        <v>37</v>
      </c>
      <c r="MU58" s="12"/>
      <c r="MV58" s="12"/>
      <c r="MW58" s="12"/>
      <c r="MX58" s="12"/>
      <c r="MY58" s="12" t="s">
        <v>37</v>
      </c>
      <c r="MZ58" s="12" t="s">
        <v>37</v>
      </c>
      <c r="NA58" s="12" t="s">
        <v>37</v>
      </c>
      <c r="NB58" s="12" t="s">
        <v>37</v>
      </c>
      <c r="NC58" s="12" t="s">
        <v>37</v>
      </c>
      <c r="ND58" s="12" t="s">
        <v>37</v>
      </c>
      <c r="NE58" s="12"/>
      <c r="NF58" s="12"/>
      <c r="NG58" s="12"/>
      <c r="NH58" s="12"/>
      <c r="NI58" s="12" t="s">
        <v>37</v>
      </c>
      <c r="NJ58" s="12" t="s">
        <v>37</v>
      </c>
      <c r="NK58" s="12" t="s">
        <v>37</v>
      </c>
      <c r="NL58" s="12" t="s">
        <v>37</v>
      </c>
      <c r="NM58" s="12" t="s">
        <v>37</v>
      </c>
      <c r="NN58" s="12" t="s">
        <v>37</v>
      </c>
      <c r="NO58" s="12"/>
      <c r="NP58" s="12"/>
      <c r="NQ58" s="12"/>
      <c r="NR58" s="12"/>
      <c r="NS58" s="12" t="s">
        <v>37</v>
      </c>
      <c r="NT58" s="12" t="s">
        <v>37</v>
      </c>
      <c r="NU58" s="12" t="s">
        <v>37</v>
      </c>
      <c r="NV58" s="12" t="s">
        <v>37</v>
      </c>
      <c r="NW58" s="12" t="s">
        <v>37</v>
      </c>
      <c r="NX58" s="12" t="s">
        <v>37</v>
      </c>
      <c r="NY58" s="12"/>
      <c r="NZ58" s="12"/>
      <c r="OA58" s="12"/>
      <c r="OB58" s="12"/>
      <c r="OC58" s="12" t="s">
        <v>37</v>
      </c>
      <c r="OD58" s="12" t="s">
        <v>37</v>
      </c>
      <c r="OE58" s="12" t="s">
        <v>37</v>
      </c>
      <c r="OF58" s="12" t="s">
        <v>37</v>
      </c>
      <c r="OG58" s="12" t="s">
        <v>37</v>
      </c>
      <c r="OH58" s="12" t="s">
        <v>37</v>
      </c>
      <c r="OI58" s="12"/>
      <c r="OJ58" s="12"/>
      <c r="OK58" s="12"/>
      <c r="OL58" s="12" t="s">
        <v>37</v>
      </c>
      <c r="OM58" s="12" t="s">
        <v>37</v>
      </c>
      <c r="ON58" s="11" t="s">
        <v>37</v>
      </c>
      <c r="OO58" s="12" t="s">
        <v>37</v>
      </c>
      <c r="OP58" s="12" t="s">
        <v>37</v>
      </c>
      <c r="OQ58" s="12" t="s">
        <v>37</v>
      </c>
      <c r="OR58" s="12"/>
      <c r="OS58" s="12" t="s">
        <v>37</v>
      </c>
      <c r="OT58" s="12" t="s">
        <v>37</v>
      </c>
      <c r="OU58" s="12" t="s">
        <v>37</v>
      </c>
      <c r="OV58" s="12" t="s">
        <v>37</v>
      </c>
      <c r="OW58" s="12" t="s">
        <v>37</v>
      </c>
      <c r="OX58" s="12" t="s">
        <v>37</v>
      </c>
      <c r="OY58" s="12"/>
      <c r="OZ58" s="12"/>
      <c r="PA58" s="12" t="s">
        <v>37</v>
      </c>
      <c r="PB58" s="12" t="s">
        <v>37</v>
      </c>
      <c r="PC58" s="12" t="s">
        <v>37</v>
      </c>
      <c r="PD58" s="12" t="s">
        <v>37</v>
      </c>
      <c r="PE58" s="12" t="s">
        <v>37</v>
      </c>
      <c r="PF58" s="12" t="s">
        <v>37</v>
      </c>
      <c r="PG58" s="12"/>
      <c r="PH58" s="12"/>
      <c r="PI58" s="12" t="s">
        <v>37</v>
      </c>
      <c r="PJ58" s="12" t="s">
        <v>37</v>
      </c>
      <c r="PK58" s="12" t="s">
        <v>37</v>
      </c>
      <c r="PL58" s="12" t="s">
        <v>37</v>
      </c>
      <c r="PM58" s="12" t="s">
        <v>37</v>
      </c>
      <c r="PN58" s="12" t="s">
        <v>37</v>
      </c>
      <c r="PO58" s="12"/>
      <c r="PP58" s="12"/>
      <c r="PQ58" s="12" t="s">
        <v>37</v>
      </c>
      <c r="PR58" s="12" t="s">
        <v>37</v>
      </c>
      <c r="PS58" s="12" t="s">
        <v>37</v>
      </c>
      <c r="PT58" s="12" t="s">
        <v>37</v>
      </c>
      <c r="PU58" s="12" t="s">
        <v>37</v>
      </c>
      <c r="PV58" s="12" t="s">
        <v>37</v>
      </c>
      <c r="PW58" s="12"/>
      <c r="PX58" s="12"/>
      <c r="PY58" s="12" t="s">
        <v>37</v>
      </c>
      <c r="PZ58" s="12" t="s">
        <v>37</v>
      </c>
      <c r="QA58" s="12" t="s">
        <v>37</v>
      </c>
      <c r="QB58" s="12" t="s">
        <v>37</v>
      </c>
      <c r="QC58" s="12" t="s">
        <v>37</v>
      </c>
      <c r="QD58" s="12" t="s">
        <v>37</v>
      </c>
      <c r="QE58" s="12"/>
      <c r="QF58" s="12"/>
      <c r="QG58" s="12" t="s">
        <v>37</v>
      </c>
      <c r="QH58" s="12" t="s">
        <v>37</v>
      </c>
      <c r="QI58" s="12" t="s">
        <v>37</v>
      </c>
      <c r="QJ58" s="12" t="s">
        <v>37</v>
      </c>
      <c r="QK58" s="12" t="s">
        <v>37</v>
      </c>
      <c r="QL58" s="12" t="s">
        <v>37</v>
      </c>
      <c r="QM58" s="12"/>
      <c r="QN58" s="12"/>
      <c r="QO58" s="12" t="s">
        <v>37</v>
      </c>
      <c r="QP58" s="12" t="s">
        <v>37</v>
      </c>
      <c r="QQ58" s="12" t="s">
        <v>37</v>
      </c>
      <c r="QR58" s="12" t="s">
        <v>37</v>
      </c>
      <c r="QS58" s="12" t="s">
        <v>37</v>
      </c>
      <c r="QT58" s="12" t="s">
        <v>37</v>
      </c>
      <c r="QU58" s="12"/>
      <c r="QV58" s="12"/>
      <c r="QW58" s="12"/>
      <c r="QX58" s="12"/>
      <c r="QY58" s="12" t="s">
        <v>37</v>
      </c>
      <c r="QZ58" s="12" t="s">
        <v>37</v>
      </c>
      <c r="RA58" s="11" t="s">
        <v>37</v>
      </c>
      <c r="RB58" s="12" t="s">
        <v>37</v>
      </c>
      <c r="RC58" s="12" t="s">
        <v>37</v>
      </c>
      <c r="RD58" s="11" t="s">
        <v>37</v>
      </c>
      <c r="RE58" s="11"/>
      <c r="RF58" s="11"/>
      <c r="RG58" s="12"/>
      <c r="RH58" s="12"/>
      <c r="RI58" s="12" t="s">
        <v>37</v>
      </c>
      <c r="RJ58" s="12" t="s">
        <v>37</v>
      </c>
      <c r="RK58" s="11" t="s">
        <v>37</v>
      </c>
      <c r="RL58" s="12" t="s">
        <v>37</v>
      </c>
      <c r="RM58" s="12" t="s">
        <v>37</v>
      </c>
      <c r="RN58" s="11" t="s">
        <v>37</v>
      </c>
      <c r="RO58" s="11"/>
      <c r="RP58" s="11"/>
      <c r="RQ58" s="12"/>
      <c r="RR58" s="12"/>
      <c r="RS58" s="12" t="s">
        <v>37</v>
      </c>
      <c r="RT58" s="12" t="s">
        <v>37</v>
      </c>
      <c r="RU58" s="11" t="s">
        <v>37</v>
      </c>
      <c r="RV58" s="12" t="s">
        <v>37</v>
      </c>
      <c r="RW58" s="12" t="s">
        <v>37</v>
      </c>
      <c r="RX58" s="11" t="s">
        <v>37</v>
      </c>
      <c r="RY58" s="11"/>
      <c r="RZ58" s="11"/>
      <c r="SA58" s="12"/>
      <c r="SB58" s="12"/>
      <c r="SC58" s="12" t="s">
        <v>37</v>
      </c>
      <c r="SD58" s="12" t="s">
        <v>37</v>
      </c>
      <c r="SE58" s="12" t="s">
        <v>37</v>
      </c>
      <c r="SF58" s="12" t="s">
        <v>37</v>
      </c>
      <c r="SG58" s="12" t="s">
        <v>37</v>
      </c>
      <c r="SH58" s="12" t="s">
        <v>37</v>
      </c>
      <c r="SI58" s="12"/>
      <c r="SJ58" s="12"/>
      <c r="SK58" s="12"/>
      <c r="SL58" s="12"/>
      <c r="SM58" s="12" t="s">
        <v>37</v>
      </c>
      <c r="SN58" s="12" t="s">
        <v>37</v>
      </c>
      <c r="SO58" s="12" t="s">
        <v>37</v>
      </c>
      <c r="SP58" s="12" t="s">
        <v>37</v>
      </c>
      <c r="SQ58" s="12" t="s">
        <v>37</v>
      </c>
      <c r="SR58" s="12" t="s">
        <v>37</v>
      </c>
      <c r="SS58" s="12"/>
      <c r="ST58" s="12"/>
      <c r="SU58" s="12"/>
      <c r="SV58" s="12"/>
      <c r="SW58" s="12" t="s">
        <v>37</v>
      </c>
      <c r="SX58" s="12" t="s">
        <v>37</v>
      </c>
      <c r="SY58" s="12" t="s">
        <v>37</v>
      </c>
      <c r="SZ58" s="12" t="s">
        <v>37</v>
      </c>
      <c r="TA58" s="12" t="s">
        <v>37</v>
      </c>
      <c r="TB58" s="12" t="s">
        <v>37</v>
      </c>
      <c r="TC58" s="12"/>
      <c r="TD58" s="12"/>
      <c r="TE58" s="12"/>
      <c r="TF58" s="12"/>
      <c r="TG58" s="13" t="s">
        <v>37</v>
      </c>
      <c r="TH58" s="13" t="s">
        <v>37</v>
      </c>
      <c r="TI58" s="13" t="s">
        <v>37</v>
      </c>
      <c r="TJ58" s="13" t="s">
        <v>37</v>
      </c>
      <c r="TK58" s="13" t="s">
        <v>37</v>
      </c>
      <c r="TL58" s="13" t="s">
        <v>37</v>
      </c>
      <c r="TM58" s="13"/>
      <c r="TN58" s="13"/>
      <c r="TO58" s="12"/>
      <c r="TP58" s="12"/>
      <c r="TQ58" s="13" t="s">
        <v>37</v>
      </c>
      <c r="TR58" s="13" t="s">
        <v>37</v>
      </c>
      <c r="TS58" s="13" t="s">
        <v>37</v>
      </c>
      <c r="TT58" s="19"/>
      <c r="TU58" s="13" t="s">
        <v>37</v>
      </c>
      <c r="TV58" s="13" t="s">
        <v>37</v>
      </c>
      <c r="TW58" s="13" t="s">
        <v>37</v>
      </c>
    </row>
    <row r="59" spans="1:544" ht="15.6" x14ac:dyDescent="0.3">
      <c r="A59" s="11">
        <v>24</v>
      </c>
      <c r="B59" s="16" t="s">
        <v>578</v>
      </c>
      <c r="C59" s="12" t="s">
        <v>26</v>
      </c>
      <c r="D59" s="12" t="s">
        <v>609</v>
      </c>
      <c r="E59" s="14">
        <v>2</v>
      </c>
      <c r="F59" s="14">
        <v>0</v>
      </c>
      <c r="G59" s="14">
        <v>0</v>
      </c>
      <c r="H59" s="12" t="s">
        <v>131</v>
      </c>
      <c r="I59" s="29">
        <v>52.466999999999999</v>
      </c>
      <c r="J59" s="29">
        <v>-3.75</v>
      </c>
      <c r="K59" s="12" t="s">
        <v>671</v>
      </c>
      <c r="L59" s="12" t="s">
        <v>672</v>
      </c>
      <c r="M59" s="13" t="s">
        <v>37</v>
      </c>
      <c r="N59" s="13" t="s">
        <v>37</v>
      </c>
      <c r="O59" s="13" t="s">
        <v>37</v>
      </c>
      <c r="P59" s="14" t="s">
        <v>16</v>
      </c>
      <c r="Q59" s="11" t="s">
        <v>226</v>
      </c>
      <c r="R59" s="11" t="s">
        <v>37</v>
      </c>
      <c r="S59" s="12" t="s">
        <v>93</v>
      </c>
      <c r="T59" s="12" t="s">
        <v>141</v>
      </c>
      <c r="U59" s="12" t="s">
        <v>158</v>
      </c>
      <c r="V59" s="12" t="s">
        <v>275</v>
      </c>
      <c r="W59" s="23" t="s">
        <v>451</v>
      </c>
      <c r="X59" s="12" t="s">
        <v>281</v>
      </c>
      <c r="Y59" s="12" t="s">
        <v>37</v>
      </c>
      <c r="Z59" s="12" t="s">
        <v>37</v>
      </c>
      <c r="AA59" s="32" t="s">
        <v>580</v>
      </c>
      <c r="AB59" s="12" t="s">
        <v>37</v>
      </c>
      <c r="AC59" s="12" t="s">
        <v>37</v>
      </c>
      <c r="AD59" s="12" t="s">
        <v>167</v>
      </c>
      <c r="AE59" s="12" t="s">
        <v>73</v>
      </c>
      <c r="AF59" s="12" t="s">
        <v>489</v>
      </c>
      <c r="AG59" s="32"/>
      <c r="AH59" s="12"/>
      <c r="AI59" s="12" t="s">
        <v>37</v>
      </c>
      <c r="AJ59" s="12" t="s">
        <v>37</v>
      </c>
      <c r="AK59" s="12" t="s">
        <v>37</v>
      </c>
      <c r="AL59" s="19"/>
      <c r="AM59" s="12" t="s">
        <v>37</v>
      </c>
      <c r="AN59" s="12" t="s">
        <v>37</v>
      </c>
      <c r="AO59" s="12" t="s">
        <v>37</v>
      </c>
      <c r="AP59" s="19"/>
      <c r="AQ59" s="49"/>
      <c r="AR59" s="49"/>
      <c r="AS59" s="12"/>
      <c r="AT59" s="12" t="s">
        <v>37</v>
      </c>
      <c r="AU59" s="13" t="s">
        <v>37</v>
      </c>
      <c r="AV59" s="12" t="s">
        <v>37</v>
      </c>
      <c r="AW59" s="12" t="s">
        <v>37</v>
      </c>
      <c r="AX59" s="13" t="s">
        <v>37</v>
      </c>
      <c r="AY59" s="13" t="s">
        <v>37</v>
      </c>
      <c r="AZ59" s="13"/>
      <c r="BA59" s="13"/>
      <c r="BB59" s="12"/>
      <c r="BC59" s="12" t="s">
        <v>37</v>
      </c>
      <c r="BD59" s="13" t="s">
        <v>37</v>
      </c>
      <c r="BE59" s="12" t="s">
        <v>37</v>
      </c>
      <c r="BF59" s="12" t="s">
        <v>37</v>
      </c>
      <c r="BG59" s="12" t="s">
        <v>37</v>
      </c>
      <c r="BH59" s="12" t="s">
        <v>37</v>
      </c>
      <c r="BI59" s="12"/>
      <c r="BJ59" s="12" t="s">
        <v>37</v>
      </c>
      <c r="BK59" s="13" t="s">
        <v>37</v>
      </c>
      <c r="BL59" s="12" t="s">
        <v>37</v>
      </c>
      <c r="BM59" s="12" t="s">
        <v>37</v>
      </c>
      <c r="BN59" s="13" t="s">
        <v>37</v>
      </c>
      <c r="BO59" s="12" t="s">
        <v>37</v>
      </c>
      <c r="BP59" s="19"/>
      <c r="BQ59" s="19"/>
      <c r="BR59" s="19"/>
      <c r="BS59" s="19"/>
      <c r="BT59" s="12"/>
      <c r="BU59" s="12" t="s">
        <v>37</v>
      </c>
      <c r="BV59" s="13" t="s">
        <v>37</v>
      </c>
      <c r="BW59" s="12" t="s">
        <v>37</v>
      </c>
      <c r="BX59" s="12" t="s">
        <v>37</v>
      </c>
      <c r="BY59" s="13" t="s">
        <v>37</v>
      </c>
      <c r="BZ59" s="12" t="s">
        <v>37</v>
      </c>
      <c r="CA59" s="19"/>
      <c r="CB59" s="19"/>
      <c r="CC59" s="19"/>
      <c r="CD59" s="19"/>
      <c r="CE59" s="12"/>
      <c r="CF59" s="12" t="s">
        <v>37</v>
      </c>
      <c r="CG59" s="13" t="s">
        <v>37</v>
      </c>
      <c r="CH59" s="12" t="s">
        <v>37</v>
      </c>
      <c r="CI59" s="12" t="s">
        <v>37</v>
      </c>
      <c r="CJ59" s="13" t="s">
        <v>37</v>
      </c>
      <c r="CK59" s="12" t="s">
        <v>37</v>
      </c>
      <c r="CL59" s="19"/>
      <c r="CM59" s="19"/>
      <c r="CN59" s="19"/>
      <c r="CO59" s="19"/>
      <c r="CP59" s="12"/>
      <c r="CQ59" s="12" t="s">
        <v>37</v>
      </c>
      <c r="CR59" s="19" t="s">
        <v>37</v>
      </c>
      <c r="CS59" s="12" t="s">
        <v>37</v>
      </c>
      <c r="CT59" s="19"/>
      <c r="CU59" s="12" t="s">
        <v>37</v>
      </c>
      <c r="CV59" s="19" t="s">
        <v>37</v>
      </c>
      <c r="CW59" s="12" t="s">
        <v>37</v>
      </c>
      <c r="CX59" s="19"/>
      <c r="CY59" s="68"/>
      <c r="CZ59" s="68"/>
      <c r="DA59" s="68"/>
      <c r="DB59" s="68"/>
      <c r="DC59" s="15" t="s">
        <v>34</v>
      </c>
      <c r="DD59" s="29">
        <f>0.174664107485605/24</f>
        <v>7.2776711452335425E-3</v>
      </c>
      <c r="DE59" s="68">
        <f t="shared" si="299"/>
        <v>2.5000000000000001E-3</v>
      </c>
      <c r="DF59" s="13">
        <v>8</v>
      </c>
      <c r="DG59" s="52">
        <f t="shared" si="280"/>
        <v>0.34351648351648273</v>
      </c>
      <c r="DH59" s="29">
        <f>6.12667946257198/24</f>
        <v>0.25527831094049919</v>
      </c>
      <c r="DI59" s="68">
        <f>2.12810639712189/24</f>
        <v>8.8671099880078749E-2</v>
      </c>
      <c r="DJ59" s="13">
        <v>8</v>
      </c>
      <c r="DK59" s="52">
        <f t="shared" si="281"/>
        <v>0.34735069953023312</v>
      </c>
      <c r="DL59" s="68">
        <f>DH59-DD59</f>
        <v>0.24800063979526565</v>
      </c>
      <c r="DM59" s="12">
        <f>SQRT(((DF59-1)*DE59^2+(DJ59-1)*DI59^2)/(DF59+DJ59-2))</f>
        <v>6.2724851350732205E-2</v>
      </c>
      <c r="DN59" s="87">
        <f>(((DF59+DJ59)/(DF59*DJ59))*(((DF59-1)*DE59^2)+(DJ59-1)*DI59^2)/(DF59+DJ59-2))</f>
        <v>9.8360174424286283E-4</v>
      </c>
      <c r="DO59" s="87">
        <f>(DE59^2/DF59)+(DI59^2/DJ59)</f>
        <v>9.8360174424286261E-4</v>
      </c>
      <c r="DP59" s="12" t="s">
        <v>39</v>
      </c>
      <c r="DQ59" s="12">
        <v>0</v>
      </c>
      <c r="DR59" s="60">
        <f t="shared" si="277"/>
        <v>0</v>
      </c>
      <c r="DS59" s="13">
        <v>8</v>
      </c>
      <c r="DT59" s="19"/>
      <c r="DU59" s="12">
        <v>-20</v>
      </c>
      <c r="DV59" s="60">
        <f t="shared" si="275"/>
        <v>6.9122552494082443</v>
      </c>
      <c r="DW59" s="13">
        <v>8</v>
      </c>
      <c r="DX59" s="19"/>
      <c r="DY59" s="19">
        <f>DU59-DQ59</f>
        <v>-20</v>
      </c>
      <c r="DZ59" s="12">
        <f t="shared" si="248"/>
        <v>4.8877025601488802</v>
      </c>
      <c r="EA59" s="72">
        <f t="shared" si="164"/>
        <v>5.972409079121479</v>
      </c>
      <c r="EB59" s="72">
        <f t="shared" si="165"/>
        <v>5.972409079121479</v>
      </c>
      <c r="EC59" s="12"/>
      <c r="ED59" s="12"/>
      <c r="EE59" s="12" t="s">
        <v>37</v>
      </c>
      <c r="EF59" s="12" t="s">
        <v>37</v>
      </c>
      <c r="EG59" s="12" t="s">
        <v>37</v>
      </c>
      <c r="EH59" s="19"/>
      <c r="EI59" s="12" t="s">
        <v>37</v>
      </c>
      <c r="EJ59" s="12" t="s">
        <v>37</v>
      </c>
      <c r="EK59" s="12" t="s">
        <v>37</v>
      </c>
      <c r="EL59" s="19"/>
      <c r="EM59" s="19"/>
      <c r="EN59" s="19"/>
      <c r="EO59" s="19"/>
      <c r="EP59" s="19"/>
      <c r="EQ59" s="32"/>
      <c r="ER59" s="12" t="s">
        <v>37</v>
      </c>
      <c r="ES59" s="12" t="s">
        <v>37</v>
      </c>
      <c r="ET59" s="12" t="s">
        <v>37</v>
      </c>
      <c r="EU59" s="19"/>
      <c r="EV59" s="12" t="s">
        <v>37</v>
      </c>
      <c r="EW59" s="12" t="s">
        <v>37</v>
      </c>
      <c r="EX59" s="12" t="s">
        <v>37</v>
      </c>
      <c r="EY59" s="19"/>
      <c r="EZ59" s="19"/>
      <c r="FA59" s="19"/>
      <c r="FB59" s="19"/>
      <c r="FC59" s="12"/>
      <c r="FD59" s="12" t="s">
        <v>37</v>
      </c>
      <c r="FE59" s="12" t="s">
        <v>37</v>
      </c>
      <c r="FF59" s="12" t="s">
        <v>37</v>
      </c>
      <c r="FG59" s="12" t="s">
        <v>37</v>
      </c>
      <c r="FH59" s="12" t="s">
        <v>37</v>
      </c>
      <c r="FI59" s="12" t="s">
        <v>37</v>
      </c>
      <c r="FJ59" s="19"/>
      <c r="FK59" s="19"/>
      <c r="FL59" s="19"/>
      <c r="FM59" s="32"/>
      <c r="FN59" s="12" t="s">
        <v>37</v>
      </c>
      <c r="FO59" s="12" t="s">
        <v>37</v>
      </c>
      <c r="FP59" s="12" t="s">
        <v>37</v>
      </c>
      <c r="FQ59" s="12" t="s">
        <v>37</v>
      </c>
      <c r="FR59" s="12" t="s">
        <v>37</v>
      </c>
      <c r="FS59" s="12" t="s">
        <v>37</v>
      </c>
      <c r="FT59" s="19"/>
      <c r="FU59" s="19"/>
      <c r="FV59" s="19"/>
      <c r="FW59" s="12"/>
      <c r="FX59" s="12"/>
      <c r="FY59" s="12" t="s">
        <v>37</v>
      </c>
      <c r="FZ59" s="12" t="s">
        <v>37</v>
      </c>
      <c r="GA59" s="12" t="s">
        <v>37</v>
      </c>
      <c r="GB59" s="12" t="s">
        <v>37</v>
      </c>
      <c r="GC59" s="12" t="s">
        <v>37</v>
      </c>
      <c r="GD59" s="12" t="s">
        <v>37</v>
      </c>
      <c r="GE59" s="19"/>
      <c r="GF59" s="19"/>
      <c r="GG59" s="12"/>
      <c r="GH59" s="12"/>
      <c r="GI59" s="12" t="s">
        <v>37</v>
      </c>
      <c r="GJ59" s="12" t="s">
        <v>37</v>
      </c>
      <c r="GK59" s="12" t="s">
        <v>37</v>
      </c>
      <c r="GL59" s="19"/>
      <c r="GM59" s="12" t="s">
        <v>37</v>
      </c>
      <c r="GN59" s="12" t="s">
        <v>37</v>
      </c>
      <c r="GO59" s="12" t="s">
        <v>37</v>
      </c>
      <c r="GP59" s="19"/>
      <c r="GQ59" s="19"/>
      <c r="GR59" s="19"/>
      <c r="GS59" s="17"/>
      <c r="GT59" s="34"/>
      <c r="GU59" s="12" t="s">
        <v>37</v>
      </c>
      <c r="GV59" s="12" t="s">
        <v>37</v>
      </c>
      <c r="GW59" s="12" t="s">
        <v>37</v>
      </c>
      <c r="GX59" s="19"/>
      <c r="GY59" s="12" t="s">
        <v>37</v>
      </c>
      <c r="GZ59" s="12" t="s">
        <v>37</v>
      </c>
      <c r="HA59" s="12" t="s">
        <v>37</v>
      </c>
      <c r="HB59" s="19"/>
      <c r="HC59" s="19"/>
      <c r="HD59" s="19"/>
      <c r="HE59" s="34"/>
      <c r="HF59" s="12" t="s">
        <v>37</v>
      </c>
      <c r="HG59" s="12" t="s">
        <v>37</v>
      </c>
      <c r="HH59" s="13" t="s">
        <v>37</v>
      </c>
      <c r="HI59" s="12" t="s">
        <v>37</v>
      </c>
      <c r="HJ59" s="12" t="s">
        <v>37</v>
      </c>
      <c r="HK59" s="13" t="s">
        <v>37</v>
      </c>
      <c r="HL59" s="13"/>
      <c r="HM59" s="13"/>
      <c r="HN59" s="34"/>
      <c r="HO59" s="12" t="s">
        <v>37</v>
      </c>
      <c r="HP59" s="12" t="s">
        <v>37</v>
      </c>
      <c r="HQ59" s="13" t="s">
        <v>37</v>
      </c>
      <c r="HR59" s="12" t="s">
        <v>37</v>
      </c>
      <c r="HS59" s="12" t="s">
        <v>37</v>
      </c>
      <c r="HT59" s="13" t="s">
        <v>37</v>
      </c>
      <c r="HU59" s="13"/>
      <c r="HV59" s="13"/>
      <c r="HW59" s="12"/>
      <c r="HX59" s="12"/>
      <c r="HY59" s="12" t="s">
        <v>37</v>
      </c>
      <c r="HZ59" s="12" t="s">
        <v>37</v>
      </c>
      <c r="IA59" s="12" t="s">
        <v>37</v>
      </c>
      <c r="IB59" s="12" t="s">
        <v>37</v>
      </c>
      <c r="IC59" s="12" t="s">
        <v>37</v>
      </c>
      <c r="ID59" s="12" t="s">
        <v>37</v>
      </c>
      <c r="IE59" s="12"/>
      <c r="IF59" s="32" t="s">
        <v>330</v>
      </c>
      <c r="IG59" s="12">
        <v>4.7</v>
      </c>
      <c r="IH59" s="60">
        <f t="shared" si="297"/>
        <v>0.18166763076201184</v>
      </c>
      <c r="II59" s="13">
        <v>3</v>
      </c>
      <c r="IJ59" s="19"/>
      <c r="IK59" s="12" t="s">
        <v>37</v>
      </c>
      <c r="IL59" s="12" t="s">
        <v>37</v>
      </c>
      <c r="IM59" s="12" t="s">
        <v>37</v>
      </c>
      <c r="IN59" s="19"/>
      <c r="IO59" s="19"/>
      <c r="IP59" s="19"/>
      <c r="IQ59" s="32"/>
      <c r="IR59" s="12" t="s">
        <v>37</v>
      </c>
      <c r="IS59" s="12" t="s">
        <v>37</v>
      </c>
      <c r="IT59" s="13" t="s">
        <v>37</v>
      </c>
      <c r="IU59" s="12" t="s">
        <v>37</v>
      </c>
      <c r="IV59" s="12" t="s">
        <v>37</v>
      </c>
      <c r="IW59" s="12" t="s">
        <v>37</v>
      </c>
      <c r="IX59" s="32"/>
      <c r="IY59" s="12" t="s">
        <v>37</v>
      </c>
      <c r="IZ59" s="12" t="s">
        <v>37</v>
      </c>
      <c r="JA59" s="13" t="s">
        <v>37</v>
      </c>
      <c r="JB59" s="12" t="s">
        <v>37</v>
      </c>
      <c r="JC59" s="12" t="s">
        <v>37</v>
      </c>
      <c r="JD59" s="12" t="s">
        <v>37</v>
      </c>
      <c r="JE59" s="12"/>
      <c r="JF59" s="12"/>
      <c r="JG59" s="11" t="s">
        <v>37</v>
      </c>
      <c r="JH59" s="11" t="s">
        <v>37</v>
      </c>
      <c r="JI59" s="13" t="s">
        <v>37</v>
      </c>
      <c r="JJ59" s="11" t="s">
        <v>37</v>
      </c>
      <c r="JK59" s="11" t="s">
        <v>37</v>
      </c>
      <c r="JL59" s="11" t="s">
        <v>37</v>
      </c>
      <c r="JM59" s="12"/>
      <c r="JN59" s="32"/>
      <c r="JO59" s="12" t="s">
        <v>37</v>
      </c>
      <c r="JP59" s="12" t="s">
        <v>37</v>
      </c>
      <c r="JQ59" s="12" t="s">
        <v>37</v>
      </c>
      <c r="JR59" s="19"/>
      <c r="JS59" s="12" t="s">
        <v>37</v>
      </c>
      <c r="JT59" s="12" t="s">
        <v>37</v>
      </c>
      <c r="JU59" s="12" t="s">
        <v>37</v>
      </c>
      <c r="JV59" s="19"/>
      <c r="JW59" s="19"/>
      <c r="JX59" s="19"/>
      <c r="JY59" s="32"/>
      <c r="JZ59" s="12" t="s">
        <v>37</v>
      </c>
      <c r="KA59" s="12" t="s">
        <v>37</v>
      </c>
      <c r="KB59" s="13" t="s">
        <v>37</v>
      </c>
      <c r="KC59" s="12" t="s">
        <v>37</v>
      </c>
      <c r="KD59" s="12" t="s">
        <v>37</v>
      </c>
      <c r="KE59" s="13" t="s">
        <v>37</v>
      </c>
      <c r="KF59" s="13"/>
      <c r="KG59" s="13"/>
      <c r="KH59" s="32"/>
      <c r="KI59" s="12" t="s">
        <v>37</v>
      </c>
      <c r="KJ59" s="12" t="s">
        <v>37</v>
      </c>
      <c r="KK59" s="12" t="s">
        <v>37</v>
      </c>
      <c r="KL59" s="12" t="s">
        <v>37</v>
      </c>
      <c r="KM59" s="12" t="s">
        <v>37</v>
      </c>
      <c r="KN59" s="12" t="s">
        <v>37</v>
      </c>
      <c r="KO59" s="12"/>
      <c r="KP59" s="12"/>
      <c r="KQ59" s="12"/>
      <c r="KR59" s="12"/>
      <c r="KS59" s="12" t="s">
        <v>37</v>
      </c>
      <c r="KT59" s="12" t="s">
        <v>37</v>
      </c>
      <c r="KU59" s="12" t="s">
        <v>37</v>
      </c>
      <c r="KV59" s="19"/>
      <c r="KW59" s="12" t="s">
        <v>37</v>
      </c>
      <c r="KX59" s="12" t="s">
        <v>37</v>
      </c>
      <c r="KY59" s="12" t="s">
        <v>37</v>
      </c>
      <c r="KZ59" s="19"/>
      <c r="LA59" s="19"/>
      <c r="LB59" s="19"/>
      <c r="LC59" s="12"/>
      <c r="LD59" s="12" t="s">
        <v>37</v>
      </c>
      <c r="LE59" s="12" t="s">
        <v>37</v>
      </c>
      <c r="LF59" s="12" t="s">
        <v>37</v>
      </c>
      <c r="LG59" s="19" t="s">
        <v>37</v>
      </c>
      <c r="LH59" s="19" t="s">
        <v>37</v>
      </c>
      <c r="LI59" s="12" t="s">
        <v>37</v>
      </c>
      <c r="LJ59" s="12"/>
      <c r="LK59" s="12"/>
      <c r="LL59" s="12"/>
      <c r="LM59" s="12" t="s">
        <v>37</v>
      </c>
      <c r="LN59" s="12" t="s">
        <v>37</v>
      </c>
      <c r="LO59" s="12" t="s">
        <v>37</v>
      </c>
      <c r="LP59" s="12" t="s">
        <v>37</v>
      </c>
      <c r="LQ59" s="12" t="s">
        <v>37</v>
      </c>
      <c r="LR59" s="12" t="s">
        <v>37</v>
      </c>
      <c r="LS59" s="12" t="s">
        <v>152</v>
      </c>
      <c r="LT59" s="12" t="s">
        <v>327</v>
      </c>
      <c r="LU59" s="12">
        <v>5.73243921184429</v>
      </c>
      <c r="LV59" s="12">
        <v>1.6680608537518582</v>
      </c>
      <c r="LW59" s="13">
        <v>8</v>
      </c>
      <c r="LX59" s="12" t="s">
        <v>37</v>
      </c>
      <c r="LY59" s="12" t="s">
        <v>37</v>
      </c>
      <c r="LZ59" s="13" t="s">
        <v>37</v>
      </c>
      <c r="MA59" s="13"/>
      <c r="MB59" s="13"/>
      <c r="MC59" s="12" t="s">
        <v>152</v>
      </c>
      <c r="MD59" s="12" t="s">
        <v>327</v>
      </c>
      <c r="ME59" s="12">
        <v>15.7508717085488</v>
      </c>
      <c r="MF59" s="12">
        <v>17.850910832753506</v>
      </c>
      <c r="MG59" s="13">
        <v>8</v>
      </c>
      <c r="MH59" s="12" t="s">
        <v>37</v>
      </c>
      <c r="MI59" s="12" t="s">
        <v>37</v>
      </c>
      <c r="MJ59" s="13" t="s">
        <v>37</v>
      </c>
      <c r="MK59" s="13"/>
      <c r="ML59" s="13"/>
      <c r="MM59" s="12"/>
      <c r="MN59" s="12"/>
      <c r="MO59" s="12" t="s">
        <v>37</v>
      </c>
      <c r="MP59" s="12" t="s">
        <v>37</v>
      </c>
      <c r="MQ59" s="12" t="s">
        <v>37</v>
      </c>
      <c r="MR59" s="12" t="s">
        <v>37</v>
      </c>
      <c r="MS59" s="12" t="s">
        <v>37</v>
      </c>
      <c r="MT59" s="12" t="s">
        <v>37</v>
      </c>
      <c r="MU59" s="12"/>
      <c r="MV59" s="12"/>
      <c r="MW59" s="12"/>
      <c r="MX59" s="12"/>
      <c r="MY59" s="12" t="s">
        <v>37</v>
      </c>
      <c r="MZ59" s="12" t="s">
        <v>37</v>
      </c>
      <c r="NA59" s="12" t="s">
        <v>37</v>
      </c>
      <c r="NB59" s="12" t="s">
        <v>37</v>
      </c>
      <c r="NC59" s="12" t="s">
        <v>37</v>
      </c>
      <c r="ND59" s="12" t="s">
        <v>37</v>
      </c>
      <c r="NE59" s="12"/>
      <c r="NF59" s="12"/>
      <c r="NG59" s="12"/>
      <c r="NH59" s="12"/>
      <c r="NI59" s="12" t="s">
        <v>37</v>
      </c>
      <c r="NJ59" s="12" t="s">
        <v>37</v>
      </c>
      <c r="NK59" s="12" t="s">
        <v>37</v>
      </c>
      <c r="NL59" s="12" t="s">
        <v>37</v>
      </c>
      <c r="NM59" s="12" t="s">
        <v>37</v>
      </c>
      <c r="NN59" s="12" t="s">
        <v>37</v>
      </c>
      <c r="NO59" s="12"/>
      <c r="NP59" s="12"/>
      <c r="NQ59" s="12"/>
      <c r="NR59" s="12"/>
      <c r="NS59" s="12" t="s">
        <v>37</v>
      </c>
      <c r="NT59" s="12" t="s">
        <v>37</v>
      </c>
      <c r="NU59" s="12" t="s">
        <v>37</v>
      </c>
      <c r="NV59" s="12" t="s">
        <v>37</v>
      </c>
      <c r="NW59" s="12" t="s">
        <v>37</v>
      </c>
      <c r="NX59" s="12" t="s">
        <v>37</v>
      </c>
      <c r="NY59" s="12"/>
      <c r="NZ59" s="12"/>
      <c r="OA59" s="12"/>
      <c r="OB59" s="12"/>
      <c r="OC59" s="12" t="s">
        <v>37</v>
      </c>
      <c r="OD59" s="12" t="s">
        <v>37</v>
      </c>
      <c r="OE59" s="12" t="s">
        <v>37</v>
      </c>
      <c r="OF59" s="12" t="s">
        <v>37</v>
      </c>
      <c r="OG59" s="12" t="s">
        <v>37</v>
      </c>
      <c r="OH59" s="12" t="s">
        <v>37</v>
      </c>
      <c r="OI59" s="12"/>
      <c r="OJ59" s="12"/>
      <c r="OK59" s="12"/>
      <c r="OL59" s="12" t="s">
        <v>37</v>
      </c>
      <c r="OM59" s="12" t="s">
        <v>37</v>
      </c>
      <c r="ON59" s="11" t="s">
        <v>37</v>
      </c>
      <c r="OO59" s="12" t="s">
        <v>37</v>
      </c>
      <c r="OP59" s="12" t="s">
        <v>37</v>
      </c>
      <c r="OQ59" s="12" t="s">
        <v>37</v>
      </c>
      <c r="OR59" s="12"/>
      <c r="OS59" s="12" t="s">
        <v>37</v>
      </c>
      <c r="OT59" s="12" t="s">
        <v>37</v>
      </c>
      <c r="OU59" s="12" t="s">
        <v>37</v>
      </c>
      <c r="OV59" s="12" t="s">
        <v>37</v>
      </c>
      <c r="OW59" s="12" t="s">
        <v>37</v>
      </c>
      <c r="OX59" s="12" t="s">
        <v>37</v>
      </c>
      <c r="OY59" s="12"/>
      <c r="OZ59" s="12"/>
      <c r="PA59" s="12" t="s">
        <v>37</v>
      </c>
      <c r="PB59" s="12" t="s">
        <v>37</v>
      </c>
      <c r="PC59" s="12" t="s">
        <v>37</v>
      </c>
      <c r="PD59" s="12" t="s">
        <v>37</v>
      </c>
      <c r="PE59" s="12" t="s">
        <v>37</v>
      </c>
      <c r="PF59" s="12" t="s">
        <v>37</v>
      </c>
      <c r="PG59" s="12"/>
      <c r="PH59" s="12"/>
      <c r="PI59" s="12" t="s">
        <v>37</v>
      </c>
      <c r="PJ59" s="12" t="s">
        <v>37</v>
      </c>
      <c r="PK59" s="12" t="s">
        <v>37</v>
      </c>
      <c r="PL59" s="12" t="s">
        <v>37</v>
      </c>
      <c r="PM59" s="12" t="s">
        <v>37</v>
      </c>
      <c r="PN59" s="12" t="s">
        <v>37</v>
      </c>
      <c r="PO59" s="12"/>
      <c r="PP59" s="12"/>
      <c r="PQ59" s="12" t="s">
        <v>37</v>
      </c>
      <c r="PR59" s="12" t="s">
        <v>37</v>
      </c>
      <c r="PS59" s="12" t="s">
        <v>37</v>
      </c>
      <c r="PT59" s="12" t="s">
        <v>37</v>
      </c>
      <c r="PU59" s="12" t="s">
        <v>37</v>
      </c>
      <c r="PV59" s="12" t="s">
        <v>37</v>
      </c>
      <c r="PW59" s="12"/>
      <c r="PX59" s="12"/>
      <c r="PY59" s="12" t="s">
        <v>37</v>
      </c>
      <c r="PZ59" s="12" t="s">
        <v>37</v>
      </c>
      <c r="QA59" s="12" t="s">
        <v>37</v>
      </c>
      <c r="QB59" s="12" t="s">
        <v>37</v>
      </c>
      <c r="QC59" s="12" t="s">
        <v>37</v>
      </c>
      <c r="QD59" s="12" t="s">
        <v>37</v>
      </c>
      <c r="QE59" s="12"/>
      <c r="QF59" s="12"/>
      <c r="QG59" s="12" t="s">
        <v>37</v>
      </c>
      <c r="QH59" s="12" t="s">
        <v>37</v>
      </c>
      <c r="QI59" s="12" t="s">
        <v>37</v>
      </c>
      <c r="QJ59" s="12" t="s">
        <v>37</v>
      </c>
      <c r="QK59" s="12" t="s">
        <v>37</v>
      </c>
      <c r="QL59" s="12" t="s">
        <v>37</v>
      </c>
      <c r="QM59" s="12"/>
      <c r="QN59" s="12"/>
      <c r="QO59" s="12" t="s">
        <v>37</v>
      </c>
      <c r="QP59" s="12" t="s">
        <v>37</v>
      </c>
      <c r="QQ59" s="12" t="s">
        <v>37</v>
      </c>
      <c r="QR59" s="12" t="s">
        <v>37</v>
      </c>
      <c r="QS59" s="12" t="s">
        <v>37</v>
      </c>
      <c r="QT59" s="12" t="s">
        <v>37</v>
      </c>
      <c r="QU59" s="12"/>
      <c r="QV59" s="12"/>
      <c r="QW59" s="12"/>
      <c r="QX59" s="12"/>
      <c r="QY59" s="12" t="s">
        <v>37</v>
      </c>
      <c r="QZ59" s="12" t="s">
        <v>37</v>
      </c>
      <c r="RA59" s="11" t="s">
        <v>37</v>
      </c>
      <c r="RB59" s="12" t="s">
        <v>37</v>
      </c>
      <c r="RC59" s="12" t="s">
        <v>37</v>
      </c>
      <c r="RD59" s="11" t="s">
        <v>37</v>
      </c>
      <c r="RE59" s="11"/>
      <c r="RF59" s="11"/>
      <c r="RG59" s="12"/>
      <c r="RH59" s="12"/>
      <c r="RI59" s="12" t="s">
        <v>37</v>
      </c>
      <c r="RJ59" s="12" t="s">
        <v>37</v>
      </c>
      <c r="RK59" s="11" t="s">
        <v>37</v>
      </c>
      <c r="RL59" s="12" t="s">
        <v>37</v>
      </c>
      <c r="RM59" s="12" t="s">
        <v>37</v>
      </c>
      <c r="RN59" s="11" t="s">
        <v>37</v>
      </c>
      <c r="RO59" s="11"/>
      <c r="RP59" s="11"/>
      <c r="RQ59" s="12"/>
      <c r="RR59" s="12"/>
      <c r="RS59" s="12" t="s">
        <v>37</v>
      </c>
      <c r="RT59" s="12" t="s">
        <v>37</v>
      </c>
      <c r="RU59" s="11" t="s">
        <v>37</v>
      </c>
      <c r="RV59" s="12" t="s">
        <v>37</v>
      </c>
      <c r="RW59" s="12" t="s">
        <v>37</v>
      </c>
      <c r="RX59" s="11" t="s">
        <v>37</v>
      </c>
      <c r="RY59" s="11"/>
      <c r="RZ59" s="11"/>
      <c r="SA59" s="12"/>
      <c r="SB59" s="12"/>
      <c r="SC59" s="12" t="s">
        <v>37</v>
      </c>
      <c r="SD59" s="12" t="s">
        <v>37</v>
      </c>
      <c r="SE59" s="12" t="s">
        <v>37</v>
      </c>
      <c r="SF59" s="12" t="s">
        <v>37</v>
      </c>
      <c r="SG59" s="12" t="s">
        <v>37</v>
      </c>
      <c r="SH59" s="12" t="s">
        <v>37</v>
      </c>
      <c r="SI59" s="12"/>
      <c r="SJ59" s="12"/>
      <c r="SK59" s="12"/>
      <c r="SL59" s="12"/>
      <c r="SM59" s="12" t="s">
        <v>37</v>
      </c>
      <c r="SN59" s="12" t="s">
        <v>37</v>
      </c>
      <c r="SO59" s="12" t="s">
        <v>37</v>
      </c>
      <c r="SP59" s="12" t="s">
        <v>37</v>
      </c>
      <c r="SQ59" s="12" t="s">
        <v>37</v>
      </c>
      <c r="SR59" s="12" t="s">
        <v>37</v>
      </c>
      <c r="SS59" s="12"/>
      <c r="ST59" s="12"/>
      <c r="SU59" s="12"/>
      <c r="SV59" s="12"/>
      <c r="SW59" s="12" t="s">
        <v>37</v>
      </c>
      <c r="SX59" s="12" t="s">
        <v>37</v>
      </c>
      <c r="SY59" s="12" t="s">
        <v>37</v>
      </c>
      <c r="SZ59" s="12" t="s">
        <v>37</v>
      </c>
      <c r="TA59" s="12" t="s">
        <v>37</v>
      </c>
      <c r="TB59" s="12" t="s">
        <v>37</v>
      </c>
      <c r="TC59" s="12"/>
      <c r="TD59" s="12"/>
      <c r="TE59" s="12"/>
      <c r="TF59" s="12"/>
      <c r="TG59" s="13" t="s">
        <v>37</v>
      </c>
      <c r="TH59" s="13" t="s">
        <v>37</v>
      </c>
      <c r="TI59" s="13" t="s">
        <v>37</v>
      </c>
      <c r="TJ59" s="13" t="s">
        <v>37</v>
      </c>
      <c r="TK59" s="13" t="s">
        <v>37</v>
      </c>
      <c r="TL59" s="13" t="s">
        <v>37</v>
      </c>
      <c r="TM59" s="13"/>
      <c r="TN59" s="13"/>
      <c r="TO59" s="12"/>
      <c r="TP59" s="12"/>
      <c r="TQ59" s="13" t="s">
        <v>37</v>
      </c>
      <c r="TR59" s="13" t="s">
        <v>37</v>
      </c>
      <c r="TS59" s="13" t="s">
        <v>37</v>
      </c>
      <c r="TT59" s="19"/>
      <c r="TU59" s="13" t="s">
        <v>37</v>
      </c>
      <c r="TV59" s="13" t="s">
        <v>37</v>
      </c>
      <c r="TW59" s="13" t="s">
        <v>37</v>
      </c>
    </row>
    <row r="60" spans="1:544" ht="15.6" x14ac:dyDescent="0.3">
      <c r="GX60" s="19"/>
    </row>
    <row r="61" spans="1:544" ht="15.6" x14ac:dyDescent="0.3">
      <c r="A61" s="11"/>
      <c r="B61" s="16"/>
      <c r="C61" s="12"/>
      <c r="D61" s="12"/>
      <c r="E61" s="14"/>
      <c r="F61" s="12"/>
      <c r="G61" s="12"/>
      <c r="H61" s="12"/>
      <c r="I61" s="29"/>
      <c r="J61" s="29"/>
      <c r="K61" s="12"/>
      <c r="L61" s="12"/>
      <c r="M61" s="13"/>
      <c r="N61" s="14"/>
      <c r="O61" s="14"/>
      <c r="P61" s="14"/>
      <c r="Q61" s="11"/>
      <c r="R61" s="11"/>
      <c r="S61" s="12"/>
      <c r="T61" s="12"/>
      <c r="U61" s="12"/>
      <c r="V61" s="12"/>
      <c r="W61" s="23"/>
      <c r="X61" s="12"/>
      <c r="Y61" s="12"/>
      <c r="Z61" s="12"/>
      <c r="AA61" s="32"/>
      <c r="AB61" s="12"/>
      <c r="AC61" s="12"/>
      <c r="AD61" s="12"/>
      <c r="AE61" s="12"/>
      <c r="AF61" s="12"/>
      <c r="AG61" s="12"/>
      <c r="AH61" s="32"/>
      <c r="AI61" s="12"/>
      <c r="AJ61" s="12"/>
      <c r="AK61" s="11"/>
      <c r="AL61" s="19">
        <f>AVERAGEA(AL2:AL59)</f>
        <v>3.6394732406799218E-2</v>
      </c>
      <c r="AM61" s="12"/>
      <c r="AN61" s="12"/>
      <c r="AO61" s="13"/>
      <c r="AP61" s="19">
        <f>AVERAGEA(AP2:AP59)</f>
        <v>4.49464300974311E-2</v>
      </c>
      <c r="AQ61" s="49"/>
      <c r="AR61" s="49"/>
      <c r="AS61" s="32"/>
      <c r="AT61" s="12"/>
      <c r="AU61" s="12"/>
      <c r="AV61" s="13"/>
      <c r="AW61" s="12"/>
      <c r="AX61" s="12"/>
      <c r="AY61" s="13"/>
      <c r="AZ61" s="13"/>
      <c r="BA61" s="13"/>
      <c r="BB61" s="12"/>
      <c r="BC61" s="12"/>
      <c r="BD61" s="12"/>
      <c r="BE61" s="13"/>
      <c r="BF61" s="12"/>
      <c r="BG61" s="12"/>
      <c r="BH61" s="13"/>
      <c r="BI61" s="12"/>
      <c r="BJ61" s="12"/>
      <c r="BK61" s="12"/>
      <c r="BL61" s="13"/>
      <c r="BM61" s="12"/>
      <c r="BN61" s="12"/>
      <c r="BO61" s="13"/>
      <c r="BP61" s="19"/>
      <c r="BQ61" s="19"/>
      <c r="BR61" s="19"/>
      <c r="BS61" s="19"/>
      <c r="BT61" s="12"/>
      <c r="BU61" s="12"/>
      <c r="BV61" s="12"/>
      <c r="BW61" s="13"/>
      <c r="BX61" s="12"/>
      <c r="BY61" s="12"/>
      <c r="BZ61" s="13"/>
      <c r="CA61" s="19"/>
      <c r="CB61" s="19"/>
      <c r="CC61" s="19"/>
      <c r="CD61" s="19"/>
      <c r="CE61" s="12"/>
      <c r="CF61" s="12"/>
      <c r="CG61" s="12"/>
      <c r="CH61" s="13"/>
      <c r="CI61" s="12"/>
      <c r="CJ61" s="12"/>
      <c r="CK61" s="13"/>
      <c r="CL61" s="19"/>
      <c r="CM61" s="19"/>
      <c r="CN61" s="19"/>
      <c r="CO61" s="19"/>
      <c r="CP61" s="11"/>
      <c r="CQ61" s="12"/>
      <c r="CR61" s="19"/>
      <c r="CS61" s="13"/>
      <c r="CT61" s="19">
        <f>AVERAGEA(CT2:CT59)</f>
        <v>0.91872802629976846</v>
      </c>
      <c r="CU61" s="12"/>
      <c r="CV61" s="19"/>
      <c r="CW61" s="13"/>
      <c r="CX61" s="19">
        <f>AVERAGEA(CX2:CX59)</f>
        <v>0.74188318042150969</v>
      </c>
      <c r="CY61" s="68"/>
      <c r="CZ61" s="68"/>
      <c r="DA61" s="11"/>
      <c r="DB61" s="11"/>
      <c r="DC61" s="12"/>
      <c r="DD61" s="68"/>
      <c r="DE61" s="13"/>
      <c r="DF61" s="19"/>
      <c r="DG61" s="19">
        <f>AVERAGEA(DG2:DG59)</f>
        <v>0.7318582731856027</v>
      </c>
      <c r="DH61" s="68"/>
      <c r="DI61" s="13"/>
      <c r="DJ61" s="19"/>
      <c r="DK61" s="19">
        <f>AVERAGEA(DK2:DK59)</f>
        <v>0.74577936056049832</v>
      </c>
      <c r="DL61" s="68"/>
      <c r="DM61" s="12"/>
      <c r="DN61" s="12"/>
      <c r="DO61" s="12"/>
      <c r="DP61" s="12"/>
      <c r="DQ61" s="13"/>
      <c r="DR61" s="19"/>
      <c r="DS61" s="19"/>
      <c r="DT61" s="19">
        <f>AVERAGEA(DT2:DT59)</f>
        <v>0.40400000000000003</v>
      </c>
      <c r="DU61" s="13"/>
      <c r="DV61" s="19"/>
      <c r="DW61" s="19"/>
      <c r="DX61" s="19">
        <f>AVERAGEA(DX2:DX59)</f>
        <v>0.34561276247041223</v>
      </c>
      <c r="DY61" s="12"/>
      <c r="DZ61" s="12"/>
      <c r="EA61" s="12"/>
      <c r="EB61" s="12"/>
      <c r="EC61" s="12"/>
      <c r="ED61" s="12"/>
      <c r="EE61" s="11"/>
      <c r="EF61" s="19"/>
      <c r="EG61" s="12"/>
      <c r="EH61" s="19">
        <f>AVERAGEA(EH2:EH59)</f>
        <v>1.2294461127700458</v>
      </c>
      <c r="EI61" s="11"/>
      <c r="EJ61" s="19"/>
      <c r="EK61" s="19"/>
      <c r="EL61" s="19">
        <f>AVERAGEA(EL2:EL59)</f>
        <v>0.14499239738052005</v>
      </c>
      <c r="EM61" s="32"/>
      <c r="EN61" s="12"/>
      <c r="EO61" s="12"/>
      <c r="EP61" s="12"/>
      <c r="EQ61" s="12"/>
      <c r="ER61" s="11"/>
      <c r="ES61" s="19"/>
      <c r="ET61" s="13"/>
      <c r="EU61" s="11"/>
      <c r="EV61" s="11"/>
      <c r="EW61" s="19"/>
      <c r="EX61" s="32"/>
      <c r="EY61" s="12"/>
      <c r="EZ61" s="19"/>
      <c r="FA61" s="19"/>
      <c r="FB61" s="19"/>
      <c r="FC61" s="12"/>
      <c r="FD61" s="11"/>
      <c r="FE61" s="13"/>
      <c r="FF61" s="11"/>
      <c r="FG61" s="11"/>
      <c r="FH61" s="32"/>
      <c r="FI61" s="12"/>
      <c r="FJ61" s="19"/>
      <c r="FK61" s="19"/>
      <c r="FL61" s="19"/>
      <c r="FM61" s="12"/>
      <c r="FN61" s="11"/>
      <c r="FO61" s="13"/>
      <c r="FP61" s="11"/>
      <c r="FQ61" s="11"/>
      <c r="FR61" s="12"/>
      <c r="FS61" s="12"/>
      <c r="FT61" s="19"/>
      <c r="FU61" s="19"/>
      <c r="FV61" s="19"/>
      <c r="FW61" s="12"/>
      <c r="FX61" s="12"/>
      <c r="FY61" s="13"/>
      <c r="FZ61" s="12"/>
      <c r="GA61" s="12"/>
      <c r="GB61" s="13"/>
      <c r="GC61" s="12"/>
      <c r="GD61" s="12"/>
      <c r="GE61" s="19"/>
      <c r="GF61" s="19"/>
      <c r="GG61" s="12"/>
      <c r="GH61" s="12"/>
      <c r="GI61" s="13"/>
      <c r="GJ61" s="19"/>
      <c r="GK61" s="12"/>
      <c r="GL61" s="19">
        <f>AVERAGEA(GL2:GL59)</f>
        <v>4.784188034188034E-2</v>
      </c>
      <c r="GM61" s="13"/>
      <c r="GN61" s="19"/>
      <c r="GO61" s="17"/>
      <c r="GP61" s="19">
        <f>AVERAGEA(GP2:GP59)</f>
        <v>4.8764309876112764E-2</v>
      </c>
      <c r="GQ61" s="19"/>
      <c r="GR61" s="19"/>
      <c r="GS61" s="12"/>
      <c r="GT61" s="12"/>
      <c r="GU61" s="13"/>
      <c r="GW61" s="12"/>
      <c r="GX61" s="19">
        <f>AVERAGEA(GX2:GX59)</f>
        <v>0.10389720500267392</v>
      </c>
      <c r="GY61" s="13"/>
      <c r="GZ61" s="19"/>
      <c r="HA61" s="34"/>
      <c r="HB61" s="19">
        <f>AVERAGEA(HB2:HB59)</f>
        <v>0.44323480246371677</v>
      </c>
      <c r="HC61" s="19"/>
      <c r="HD61" s="19"/>
      <c r="HE61" s="12"/>
      <c r="HF61" s="13"/>
      <c r="HG61" s="12"/>
      <c r="HH61" s="12"/>
      <c r="HI61" s="13"/>
      <c r="HJ61" s="34"/>
      <c r="HK61" s="12"/>
      <c r="HL61" s="12"/>
      <c r="HM61" s="12"/>
      <c r="HN61" s="12"/>
      <c r="HO61" s="13"/>
      <c r="HP61" s="12"/>
      <c r="HQ61" s="12"/>
      <c r="HR61" s="13"/>
      <c r="HS61" s="12"/>
      <c r="HT61" s="12"/>
      <c r="HU61" s="12"/>
      <c r="HV61" s="12"/>
      <c r="HW61" s="12"/>
      <c r="HX61" s="12"/>
      <c r="HY61" s="13"/>
      <c r="HZ61" s="12"/>
      <c r="IA61" s="12"/>
      <c r="IB61" s="13"/>
      <c r="IC61" s="12"/>
      <c r="ID61" s="32"/>
      <c r="IE61" s="12"/>
      <c r="IF61" s="12"/>
      <c r="IG61" s="13"/>
      <c r="IH61" s="19"/>
      <c r="II61" s="12"/>
      <c r="IJ61" s="19">
        <f>AVERAGEA(IJ2:IJ59)</f>
        <v>3.8652687396172732E-2</v>
      </c>
      <c r="IK61" s="13"/>
      <c r="IL61" s="19"/>
      <c r="IM61" s="32"/>
      <c r="IN61" s="19">
        <f>AVERAGEA(IN2:IN59)</f>
        <v>3.5806317572300524E-2</v>
      </c>
      <c r="IO61" s="19"/>
      <c r="IP61" s="19"/>
      <c r="IQ61" s="12"/>
      <c r="IR61" s="13"/>
      <c r="IS61" s="12"/>
      <c r="IT61" s="12"/>
      <c r="IU61" s="13"/>
      <c r="IV61" s="32"/>
      <c r="IW61" s="12"/>
      <c r="IX61" s="12"/>
      <c r="IY61" s="13"/>
      <c r="IZ61" s="12"/>
      <c r="JA61" s="12"/>
      <c r="JB61" s="13"/>
      <c r="JC61" s="12"/>
      <c r="JD61" s="12"/>
      <c r="JE61" s="12"/>
      <c r="JF61" s="12"/>
      <c r="JG61" s="13"/>
      <c r="JH61" s="12"/>
      <c r="JI61" s="12"/>
      <c r="JJ61" s="12"/>
      <c r="JK61" s="12"/>
      <c r="JL61" s="32"/>
      <c r="JM61" s="12"/>
      <c r="JN61" s="12"/>
      <c r="JO61" s="11"/>
      <c r="JP61" s="19"/>
      <c r="JQ61" s="12"/>
      <c r="JR61" s="19">
        <f>AVERAGEA(JR2:JR59)</f>
        <v>0.12054602847016367</v>
      </c>
      <c r="JS61" s="13"/>
      <c r="JT61" s="19"/>
      <c r="JU61" s="32"/>
      <c r="JV61" s="19">
        <f>AVERAGEA(JV2:JV59)</f>
        <v>0.12273285829015446</v>
      </c>
      <c r="JW61" s="19"/>
      <c r="JX61" s="19"/>
      <c r="JY61" s="12"/>
      <c r="JZ61" s="13"/>
      <c r="KA61" s="12"/>
      <c r="KB61" s="12"/>
      <c r="KC61" s="13"/>
      <c r="KD61" s="32"/>
      <c r="KE61" s="12"/>
      <c r="KF61" s="12"/>
      <c r="KG61" s="12"/>
      <c r="KH61" s="12"/>
      <c r="KI61" s="13"/>
      <c r="KJ61" s="12"/>
      <c r="KK61" s="12"/>
      <c r="KL61" s="13"/>
      <c r="KM61" s="12"/>
      <c r="KN61" s="12"/>
      <c r="KO61" s="12"/>
      <c r="KP61" s="12"/>
      <c r="KQ61" s="12"/>
      <c r="KR61" s="12"/>
      <c r="KS61" s="13"/>
      <c r="KT61" s="19"/>
      <c r="KU61" s="12"/>
      <c r="KV61" s="19">
        <f>AVERAGEA(KV2:KV59)</f>
        <v>0.12173769518571581</v>
      </c>
      <c r="KW61" s="13"/>
      <c r="KX61" s="19"/>
      <c r="KY61" s="12"/>
      <c r="KZ61" s="19">
        <f>AVERAGEA(KZ2:KZ59)</f>
        <v>0.13913131213856536</v>
      </c>
      <c r="LA61" s="19"/>
      <c r="LB61" s="19"/>
      <c r="LC61" s="12"/>
      <c r="LD61" s="13"/>
      <c r="LE61" s="12"/>
      <c r="LF61" s="12"/>
      <c r="LG61" s="19"/>
      <c r="LH61" s="19"/>
      <c r="LI61" s="12"/>
      <c r="LJ61" s="12"/>
      <c r="LK61" s="12"/>
      <c r="LL61" s="12"/>
      <c r="LM61" s="13"/>
      <c r="LN61" s="12"/>
      <c r="LO61" s="12"/>
      <c r="LP61" s="13"/>
      <c r="LQ61" s="12"/>
      <c r="LR61" s="12"/>
      <c r="LS61" s="12"/>
      <c r="LT61" s="12"/>
      <c r="LU61" s="13"/>
      <c r="LV61" s="12"/>
      <c r="LW61" s="12"/>
      <c r="LX61" s="13"/>
      <c r="LY61" s="12"/>
      <c r="LZ61" s="12"/>
      <c r="MA61" s="12"/>
      <c r="MB61" s="12"/>
      <c r="MC61" s="12"/>
      <c r="MD61" s="12"/>
      <c r="ME61" s="13"/>
      <c r="MF61" s="12"/>
      <c r="MG61" s="12"/>
      <c r="MH61" s="13"/>
      <c r="MI61" s="12"/>
      <c r="MJ61" s="12"/>
      <c r="MK61" s="12"/>
      <c r="ML61" s="12"/>
      <c r="MM61" s="12"/>
      <c r="MN61" s="12"/>
      <c r="MO61" s="13"/>
      <c r="MP61" s="12"/>
      <c r="MQ61" s="12"/>
      <c r="MR61" s="13"/>
      <c r="MS61" s="12"/>
      <c r="MT61" s="12"/>
      <c r="MU61" s="12"/>
      <c r="MV61" s="12"/>
      <c r="MW61" s="12"/>
      <c r="MX61" s="12"/>
      <c r="MY61" s="11"/>
      <c r="MZ61" s="12"/>
      <c r="NA61" s="12"/>
      <c r="NB61" s="11"/>
      <c r="NC61" s="12"/>
      <c r="ND61" s="12"/>
      <c r="NE61" s="12"/>
      <c r="NF61" s="12"/>
      <c r="NG61" s="12"/>
      <c r="NH61" s="12"/>
      <c r="NI61" s="13"/>
      <c r="NJ61" s="12"/>
      <c r="NK61" s="12"/>
      <c r="NL61" s="13"/>
      <c r="NM61" s="12"/>
      <c r="NN61" s="12"/>
      <c r="NO61" s="12"/>
      <c r="NP61" s="12"/>
      <c r="NQ61" s="12"/>
      <c r="NR61" s="12"/>
      <c r="NS61" s="13"/>
      <c r="NT61" s="12"/>
      <c r="NU61" s="12"/>
      <c r="NV61" s="13"/>
      <c r="NW61" s="12"/>
      <c r="NX61" s="12"/>
      <c r="NY61" s="12"/>
      <c r="NZ61" s="12"/>
      <c r="OA61" s="12"/>
      <c r="OB61" s="12"/>
      <c r="OC61" s="13"/>
      <c r="OD61" s="12"/>
      <c r="OE61" s="12"/>
      <c r="OF61" s="13"/>
      <c r="OG61" s="12"/>
      <c r="OH61" s="12"/>
      <c r="OI61" s="12"/>
      <c r="OJ61" s="12"/>
      <c r="OK61" s="12"/>
      <c r="OL61" s="11"/>
      <c r="OM61" s="12"/>
      <c r="ON61" s="12"/>
      <c r="OO61" s="13"/>
      <c r="OP61" s="12"/>
      <c r="OQ61" s="12"/>
      <c r="OR61" s="12"/>
      <c r="OS61" s="13"/>
      <c r="OT61" s="12"/>
      <c r="OU61" s="12"/>
      <c r="OV61" s="13"/>
      <c r="OW61" s="12"/>
      <c r="OX61" s="12"/>
      <c r="OY61" s="12"/>
      <c r="OZ61" s="12"/>
      <c r="PA61" s="13"/>
      <c r="PB61" s="12"/>
      <c r="PC61" s="12"/>
      <c r="PD61" s="13"/>
      <c r="PE61" s="12"/>
      <c r="PF61" s="12"/>
      <c r="PG61" s="12"/>
      <c r="PH61" s="12"/>
      <c r="PI61" s="13"/>
      <c r="PJ61" s="12"/>
      <c r="PK61" s="12"/>
      <c r="PL61" s="13"/>
      <c r="PM61" s="12"/>
      <c r="PN61" s="12"/>
      <c r="PO61" s="12"/>
      <c r="PP61" s="12"/>
      <c r="PQ61" s="13"/>
      <c r="PR61" s="12"/>
      <c r="PS61" s="12"/>
      <c r="PT61" s="13"/>
      <c r="PU61" s="12"/>
      <c r="PV61" s="12"/>
      <c r="PW61" s="12"/>
      <c r="PX61" s="12"/>
      <c r="PY61" s="11"/>
      <c r="PZ61" s="12"/>
      <c r="QA61" s="12"/>
      <c r="QB61" s="11"/>
      <c r="QC61" s="12"/>
      <c r="QD61" s="12"/>
      <c r="QE61" s="12"/>
      <c r="QF61" s="12"/>
      <c r="QG61" s="13"/>
      <c r="QH61" s="12"/>
      <c r="QI61" s="12"/>
      <c r="QJ61" s="13"/>
      <c r="QK61" s="12"/>
      <c r="QL61" s="12"/>
      <c r="QM61" s="12"/>
      <c r="QN61" s="12"/>
      <c r="QO61" s="13"/>
      <c r="QP61" s="12"/>
      <c r="QQ61" s="12"/>
      <c r="QR61" s="13"/>
      <c r="QS61" s="12"/>
      <c r="QT61" s="12"/>
      <c r="QU61" s="12"/>
      <c r="QV61" s="12"/>
      <c r="QW61" s="12"/>
      <c r="QX61" s="12"/>
      <c r="QY61" s="11"/>
      <c r="QZ61" s="12"/>
      <c r="RA61" s="12"/>
      <c r="RB61" s="11"/>
      <c r="RC61" s="12"/>
      <c r="RD61" s="12"/>
      <c r="RE61" s="12"/>
      <c r="RF61" s="12"/>
      <c r="RG61" s="12"/>
      <c r="RH61" s="12"/>
      <c r="RI61" s="11"/>
      <c r="RJ61" s="12"/>
      <c r="RK61" s="12"/>
      <c r="RL61" s="11"/>
      <c r="RM61" s="12"/>
      <c r="RN61" s="12"/>
      <c r="RO61" s="12"/>
      <c r="RP61" s="12"/>
      <c r="RQ61" s="12"/>
      <c r="RR61" s="12"/>
      <c r="RS61" s="11"/>
      <c r="RT61" s="12"/>
      <c r="RU61" s="12"/>
      <c r="RV61" s="11"/>
      <c r="RW61" s="12"/>
      <c r="RX61" s="12"/>
      <c r="RY61" s="12"/>
      <c r="RZ61" s="12"/>
      <c r="SA61" s="12"/>
      <c r="SB61" s="12"/>
      <c r="SC61" s="11"/>
      <c r="SD61" s="12"/>
      <c r="SE61" s="12"/>
      <c r="SF61" s="11"/>
      <c r="SG61" s="12"/>
      <c r="SH61" s="12"/>
      <c r="SI61" s="12"/>
      <c r="SJ61" s="12"/>
      <c r="SK61" s="12"/>
      <c r="SL61" s="12"/>
      <c r="SM61" s="13"/>
      <c r="SN61" s="12"/>
      <c r="SO61" s="12"/>
      <c r="SP61" s="13"/>
      <c r="SQ61" s="12"/>
      <c r="SR61" s="12"/>
      <c r="SS61" s="12"/>
      <c r="ST61" s="12"/>
      <c r="SU61" s="12"/>
      <c r="SV61" s="12"/>
      <c r="SW61" s="13"/>
      <c r="SX61" s="12"/>
      <c r="SY61" s="12"/>
      <c r="SZ61" s="13"/>
      <c r="TA61" s="12"/>
      <c r="TB61" s="12"/>
      <c r="TC61" s="12"/>
      <c r="TD61" s="12"/>
      <c r="TE61" s="13"/>
      <c r="TF61" s="13"/>
      <c r="TG61" s="13"/>
      <c r="TH61" s="13"/>
      <c r="TI61" s="13"/>
      <c r="TJ61" s="13"/>
      <c r="TK61" s="12"/>
      <c r="TL61" s="12"/>
      <c r="TM61" s="12"/>
      <c r="TN61" s="12"/>
      <c r="TO61" s="13"/>
      <c r="TP61" s="13"/>
      <c r="TQ61" s="13"/>
      <c r="TR61" s="13"/>
      <c r="TS61" s="13"/>
      <c r="TT61" s="19">
        <f>AVERAGEA(TT2:TT59)</f>
        <v>6.8869930892960826E-2</v>
      </c>
      <c r="TU61" s="13"/>
      <c r="TX61" s="19">
        <f>AVERAGEA(TX2:TX59)</f>
        <v>0.10291546124561664</v>
      </c>
    </row>
  </sheetData>
  <autoFilter ref="A1:TZ61" xr:uid="{1AB57D53-5C3D-45E3-8AD1-A6F3044FEF40}"/>
  <phoneticPr fontId="1"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F860D-0246-4EBB-B3D9-0DD1CA40039C}">
  <dimension ref="A1:WH497"/>
  <sheetViews>
    <sheetView tabSelected="1" zoomScaleNormal="100" workbookViewId="0">
      <pane xSplit="4" ySplit="1" topLeftCell="DM2" activePane="bottomRight" state="frozen"/>
      <selection pane="topRight" activeCell="E1" sqref="E1"/>
      <selection pane="bottomLeft" activeCell="A2" sqref="A2"/>
      <selection pane="bottomRight" activeCell="DN8" sqref="DN8"/>
    </sheetView>
  </sheetViews>
  <sheetFormatPr defaultColWidth="9" defaultRowHeight="15.6" x14ac:dyDescent="0.3"/>
  <cols>
    <col min="1" max="1" width="7.44140625" style="11" customWidth="1"/>
    <col min="2" max="2" width="18.88671875" style="16" customWidth="1"/>
    <col min="3" max="3" width="11.88671875" style="12" customWidth="1"/>
    <col min="4" max="4" width="11.6640625" style="12" customWidth="1"/>
    <col min="5" max="5" width="9" style="12" customWidth="1"/>
    <col min="6" max="6" width="10.44140625" style="14" customWidth="1"/>
    <col min="7" max="7" width="12" style="14" customWidth="1"/>
    <col min="8" max="8" width="8.6640625" style="12" customWidth="1"/>
    <col min="9" max="9" width="8.44140625" style="29" customWidth="1"/>
    <col min="10" max="10" width="10" style="29" customWidth="1"/>
    <col min="11" max="11" width="16.88671875" style="12" customWidth="1"/>
    <col min="12" max="12" width="17.44140625" style="12" customWidth="1"/>
    <col min="13" max="13" width="9.109375" style="13" customWidth="1"/>
    <col min="14" max="15" width="8.44140625" style="14" customWidth="1"/>
    <col min="16" max="16" width="11" style="14" customWidth="1"/>
    <col min="17" max="17" width="9.44140625" style="75" customWidth="1"/>
    <col min="18" max="18" width="9.33203125" style="11" customWidth="1"/>
    <col min="19" max="19" width="13.6640625" style="12" customWidth="1"/>
    <col min="20" max="21" width="10.33203125" style="12" customWidth="1"/>
    <col min="22" max="22" width="13.44140625" style="12" customWidth="1"/>
    <col min="23" max="23" width="17.109375" style="23" customWidth="1"/>
    <col min="24" max="24" width="10.109375" style="12" customWidth="1"/>
    <col min="25" max="25" width="8.33203125" style="12" customWidth="1"/>
    <col min="26" max="26" width="7.44140625" style="12" customWidth="1"/>
    <col min="27" max="27" width="10.44140625" style="32" customWidth="1"/>
    <col min="28" max="28" width="9.33203125" style="12" customWidth="1"/>
    <col min="29" max="29" width="11.44140625" style="12" customWidth="1"/>
    <col min="30" max="30" width="10.88671875" style="32" customWidth="1"/>
    <col min="31" max="31" width="9.44140625" style="12" customWidth="1"/>
    <col min="32" max="32" width="9" style="12" customWidth="1"/>
    <col min="33" max="33" width="10.44140625" style="32" customWidth="1"/>
    <col min="34" max="34" width="10.33203125" style="12" customWidth="1"/>
    <col min="35" max="36" width="9" style="12" customWidth="1"/>
    <col min="37" max="37" width="10.33203125" style="19" customWidth="1"/>
    <col min="38" max="38" width="17.6640625" style="32" customWidth="1"/>
    <col min="39" max="39" width="14.88671875" style="12" customWidth="1"/>
    <col min="40" max="40" width="13.88671875" style="32" customWidth="1"/>
    <col min="41" max="41" width="13.44140625" style="12" customWidth="1"/>
    <col min="42" max="42" width="14" style="12" customWidth="1"/>
    <col min="43" max="43" width="10" style="12" customWidth="1"/>
    <col min="44" max="44" width="12.44140625" style="12" customWidth="1"/>
    <col min="45" max="45" width="7.33203125" style="32" customWidth="1"/>
    <col min="46" max="46" width="8.109375" style="12" customWidth="1"/>
    <col min="47" max="47" width="8" style="12" customWidth="1"/>
    <col min="48" max="48" width="6.44140625" style="13" customWidth="1"/>
    <col min="49" max="49" width="6.44140625" style="19" customWidth="1"/>
    <col min="50" max="50" width="11" style="12" customWidth="1"/>
    <col min="51" max="51" width="8.33203125" style="12" customWidth="1"/>
    <col min="52" max="52" width="5.88671875" style="13" customWidth="1"/>
    <col min="53" max="55" width="5.88671875" style="19" customWidth="1"/>
    <col min="56" max="56" width="7.44140625" style="32" customWidth="1"/>
    <col min="57" max="57" width="8.109375" style="12" customWidth="1"/>
    <col min="58" max="58" width="8" style="12" customWidth="1"/>
    <col min="59" max="59" width="6.44140625" style="13" customWidth="1"/>
    <col min="60" max="60" width="6.44140625" style="19" customWidth="1"/>
    <col min="61" max="61" width="11" style="12" customWidth="1"/>
    <col min="62" max="62" width="7.33203125" style="12" customWidth="1"/>
    <col min="63" max="63" width="5.88671875" style="13" customWidth="1"/>
    <col min="64" max="66" width="5.88671875" style="19" customWidth="1"/>
    <col min="67" max="67" width="7" style="12" customWidth="1"/>
    <col min="68" max="68" width="8.109375" style="12" customWidth="1"/>
    <col min="69" max="69" width="8" style="12" customWidth="1"/>
    <col min="70" max="70" width="6.44140625" style="13" customWidth="1"/>
    <col min="71" max="71" width="6.44140625" style="19" customWidth="1"/>
    <col min="72" max="72" width="11" style="12" customWidth="1"/>
    <col min="73" max="73" width="7.33203125" style="12" customWidth="1"/>
    <col min="74" max="74" width="5.88671875" style="13" customWidth="1"/>
    <col min="75" max="77" width="5.88671875" style="19" customWidth="1"/>
    <col min="78" max="78" width="13.33203125" style="12" customWidth="1"/>
    <col min="79" max="79" width="12.44140625" style="12" customWidth="1"/>
    <col min="80" max="80" width="11.109375" style="12" customWidth="1"/>
    <col min="81" max="81" width="6.44140625" style="13" customWidth="1"/>
    <col min="82" max="82" width="6.44140625" style="19" customWidth="1"/>
    <col min="83" max="83" width="12.44140625" style="12" customWidth="1"/>
    <col min="84" max="84" width="10.44140625" style="12" customWidth="1"/>
    <col min="85" max="85" width="5.88671875" style="13" customWidth="1"/>
    <col min="86" max="86" width="5.88671875" style="19" customWidth="1"/>
    <col min="87" max="88" width="11.33203125" style="19" customWidth="1"/>
    <col min="89" max="90" width="16.44140625" style="72" customWidth="1"/>
    <col min="91" max="91" width="13.33203125" style="12" customWidth="1"/>
    <col min="92" max="92" width="11.6640625" style="12" customWidth="1"/>
    <col min="93" max="93" width="10.44140625" style="12" customWidth="1"/>
    <col min="94" max="94" width="6.44140625" style="13" customWidth="1"/>
    <col min="95" max="95" width="6.44140625" style="19" customWidth="1"/>
    <col min="96" max="96" width="13.6640625" style="12" customWidth="1"/>
    <col min="97" max="97" width="10.44140625" style="12" customWidth="1"/>
    <col min="98" max="98" width="5.88671875" style="13" customWidth="1"/>
    <col min="99" max="99" width="5.88671875" style="19" customWidth="1"/>
    <col min="100" max="101" width="11.6640625" style="19" customWidth="1"/>
    <col min="102" max="103" width="13.33203125" style="19" customWidth="1"/>
    <col min="104" max="104" width="13.33203125" style="12" customWidth="1"/>
    <col min="105" max="105" width="11.33203125" style="12" bestFit="1" customWidth="1"/>
    <col min="106" max="106" width="10.88671875" style="12" customWidth="1"/>
    <col min="107" max="107" width="6.44140625" style="13" customWidth="1"/>
    <col min="108" max="108" width="7.44140625" style="19" customWidth="1"/>
    <col min="109" max="109" width="11.44140625" style="12" customWidth="1"/>
    <col min="110" max="110" width="10.44140625" style="12" bestFit="1" customWidth="1"/>
    <col min="111" max="111" width="5.88671875" style="13" customWidth="1"/>
    <col min="112" max="112" width="6.44140625" style="19" customWidth="1"/>
    <col min="113" max="114" width="11.44140625" style="19" customWidth="1"/>
    <col min="115" max="115" width="12.44140625" style="72" customWidth="1"/>
    <col min="116" max="116" width="13.109375" style="72" customWidth="1"/>
    <col min="117" max="117" width="13" style="11" customWidth="1"/>
    <col min="118" max="118" width="11.6640625" style="19" customWidth="1"/>
    <col min="119" max="119" width="11.33203125" style="12" customWidth="1"/>
    <col min="120" max="120" width="6.88671875" style="13" customWidth="1"/>
    <col min="121" max="121" width="6.88671875" style="19" customWidth="1"/>
    <col min="122" max="122" width="11.44140625" style="19" customWidth="1"/>
    <col min="123" max="123" width="11.44140625" style="12" customWidth="1"/>
    <col min="124" max="124" width="6.88671875" style="13" customWidth="1"/>
    <col min="125" max="125" width="7.6640625" style="19" customWidth="1"/>
    <col min="126" max="127" width="11.109375" style="19" customWidth="1"/>
    <col min="128" max="129" width="14.44140625" style="72" customWidth="1"/>
    <col min="130" max="130" width="13.44140625" style="11" customWidth="1"/>
    <col min="131" max="131" width="11.6640625" style="19" customWidth="1"/>
    <col min="132" max="132" width="7.88671875" style="19" customWidth="1"/>
    <col min="133" max="133" width="6.88671875" style="72" customWidth="1"/>
    <col min="134" max="134" width="8.44140625" style="19" customWidth="1"/>
    <col min="135" max="135" width="10.88671875" style="19" customWidth="1"/>
    <col min="136" max="136" width="9.44140625" style="19" customWidth="1"/>
    <col min="137" max="137" width="6.88671875" style="13" customWidth="1"/>
    <col min="138" max="138" width="6.88671875" style="19" customWidth="1"/>
    <col min="139" max="142" width="11.109375" style="19" customWidth="1"/>
    <col min="143" max="143" width="9" style="12"/>
    <col min="144" max="145" width="9.44140625" style="12" bestFit="1" customWidth="1"/>
    <col min="146" max="146" width="9.44140625" style="13" bestFit="1" customWidth="1"/>
    <col min="147" max="147" width="9.44140625" style="19" customWidth="1"/>
    <col min="148" max="148" width="11.44140625" style="12" customWidth="1"/>
    <col min="149" max="149" width="9.44140625" style="12" bestFit="1" customWidth="1"/>
    <col min="150" max="150" width="10.6640625" style="13" bestFit="1" customWidth="1"/>
    <col min="151" max="155" width="10.6640625" style="19" customWidth="1"/>
    <col min="156" max="156" width="9.88671875" style="12" customWidth="1"/>
    <col min="157" max="157" width="9" style="12" customWidth="1"/>
    <col min="158" max="159" width="9.44140625" style="12" customWidth="1"/>
    <col min="160" max="160" width="9.44140625" style="11" customWidth="1"/>
    <col min="161" max="161" width="10.6640625" style="12" customWidth="1"/>
    <col min="162" max="162" width="9.44140625" style="20" customWidth="1"/>
    <col min="163" max="163" width="9.44140625" style="11" customWidth="1"/>
    <col min="164" max="164" width="10.44140625" style="32" customWidth="1"/>
    <col min="165" max="166" width="9.44140625" style="12" customWidth="1"/>
    <col min="167" max="167" width="9.44140625" style="11" customWidth="1"/>
    <col min="168" max="168" width="10.6640625" style="13" customWidth="1"/>
    <col min="169" max="170" width="9.44140625" style="11" customWidth="1"/>
    <col min="171" max="171" width="10.44140625" style="32" customWidth="1"/>
    <col min="172" max="173" width="9.44140625" style="12" customWidth="1"/>
    <col min="174" max="174" width="9.44140625" style="11" customWidth="1"/>
    <col min="175" max="175" width="10.6640625" style="13" customWidth="1"/>
    <col min="176" max="177" width="9.44140625" style="11" customWidth="1"/>
    <col min="178" max="178" width="9" style="32" customWidth="1"/>
    <col min="179" max="180" width="9.44140625" style="12" customWidth="1"/>
    <col min="181" max="181" width="9.44140625" style="11" customWidth="1"/>
    <col min="182" max="182" width="10.6640625" style="13" customWidth="1"/>
    <col min="183" max="184" width="9.44140625" style="11" customWidth="1"/>
    <col min="185" max="186" width="9" style="12" customWidth="1"/>
    <col min="187" max="188" width="9.44140625" style="12" customWidth="1"/>
    <col min="189" max="189" width="9.44140625" style="13" customWidth="1"/>
    <col min="190" max="190" width="9.44140625" style="19" customWidth="1"/>
    <col min="191" max="191" width="11" style="12" customWidth="1"/>
    <col min="192" max="192" width="9.44140625" style="12" customWidth="1"/>
    <col min="193" max="193" width="9.44140625" style="13" customWidth="1"/>
    <col min="194" max="196" width="9.44140625" style="19" customWidth="1"/>
    <col min="197" max="198" width="9" style="12" customWidth="1"/>
    <col min="199" max="200" width="9.44140625" style="12" customWidth="1"/>
    <col min="201" max="201" width="9.44140625" style="13" customWidth="1"/>
    <col min="202" max="202" width="9.44140625" style="19" customWidth="1"/>
    <col min="203" max="203" width="10.6640625" style="12" customWidth="1"/>
    <col min="204" max="204" width="9.44140625" style="12" customWidth="1"/>
    <col min="205" max="205" width="9.44140625" style="13" customWidth="1"/>
    <col min="206" max="208" width="9.44140625" style="19" customWidth="1"/>
    <col min="209" max="209" width="9" style="17" customWidth="1"/>
    <col min="210" max="210" width="8.6640625" style="34" customWidth="1"/>
    <col min="211" max="211" width="9.44140625" style="12" customWidth="1"/>
    <col min="212" max="212" width="9.44140625" style="12" bestFit="1" customWidth="1"/>
    <col min="213" max="213" width="9.44140625" style="13" bestFit="1" customWidth="1"/>
    <col min="214" max="214" width="9.44140625" style="19" customWidth="1"/>
    <col min="215" max="215" width="11.109375" style="12" customWidth="1"/>
    <col min="216" max="216" width="9.44140625" style="12" bestFit="1" customWidth="1"/>
    <col min="217" max="217" width="9.44140625" style="13" bestFit="1" customWidth="1"/>
    <col min="218" max="220" width="9.44140625" style="19" customWidth="1"/>
    <col min="221" max="221" width="9" style="34"/>
    <col min="222" max="223" width="9.44140625" style="12" bestFit="1" customWidth="1"/>
    <col min="224" max="224" width="9.44140625" style="13" bestFit="1" customWidth="1"/>
    <col min="225" max="225" width="9.44140625" style="19" customWidth="1"/>
    <col min="226" max="226" width="11.6640625" style="12" customWidth="1"/>
    <col min="227" max="227" width="9.44140625" style="12" bestFit="1" customWidth="1"/>
    <col min="228" max="228" width="9.44140625" style="13" bestFit="1" customWidth="1"/>
    <col min="229" max="231" width="9.44140625" style="19" customWidth="1"/>
    <col min="232" max="232" width="9" style="34"/>
    <col min="233" max="234" width="9.44140625" style="12" bestFit="1" customWidth="1"/>
    <col min="235" max="235" width="9.44140625" style="13" bestFit="1" customWidth="1"/>
    <col min="236" max="236" width="9.44140625" style="19" customWidth="1"/>
    <col min="237" max="237" width="11" style="12" customWidth="1"/>
    <col min="238" max="238" width="9.44140625" style="12" bestFit="1" customWidth="1"/>
    <col min="239" max="239" width="9.44140625" style="13" bestFit="1" customWidth="1"/>
    <col min="240" max="242" width="9.44140625" style="19" customWidth="1"/>
    <col min="243" max="243" width="10.109375" style="12" customWidth="1"/>
    <col min="244" max="244" width="9" style="12"/>
    <col min="245" max="246" width="9.33203125" style="12" bestFit="1" customWidth="1"/>
    <col min="247" max="247" width="9.33203125" style="13" bestFit="1" customWidth="1"/>
    <col min="248" max="248" width="9.33203125" style="19" customWidth="1"/>
    <col min="249" max="249" width="11.33203125" style="12" customWidth="1"/>
    <col min="250" max="250" width="9.33203125" style="12" bestFit="1" customWidth="1"/>
    <col min="251" max="251" width="9.33203125" style="13" bestFit="1" customWidth="1"/>
    <col min="252" max="254" width="9.33203125" style="19" customWidth="1"/>
    <col min="255" max="255" width="9" style="12"/>
    <col min="256" max="256" width="10.44140625" style="32" bestFit="1" customWidth="1"/>
    <col min="257" max="258" width="9.33203125" style="12" bestFit="1" customWidth="1"/>
    <col min="259" max="259" width="9.33203125" style="13" bestFit="1" customWidth="1"/>
    <col min="260" max="260" width="9.33203125" style="19" customWidth="1"/>
    <col min="261" max="261" width="10.6640625" style="12" customWidth="1"/>
    <col min="262" max="262" width="9.33203125" style="12" bestFit="1" customWidth="1"/>
    <col min="263" max="263" width="9.33203125" style="13" bestFit="1" customWidth="1"/>
    <col min="264" max="266" width="9.33203125" style="19" customWidth="1"/>
    <col min="267" max="267" width="10.44140625" style="32" bestFit="1" customWidth="1"/>
    <col min="268" max="269" width="9.33203125" style="12" bestFit="1" customWidth="1"/>
    <col min="270" max="270" width="9.33203125" style="13" bestFit="1" customWidth="1"/>
    <col min="271" max="271" width="9.33203125" style="19" customWidth="1"/>
    <col min="272" max="272" width="10.88671875" style="12" customWidth="1"/>
    <col min="273" max="273" width="9.33203125" style="12" bestFit="1" customWidth="1"/>
    <col min="274" max="274" width="9.33203125" style="13" bestFit="1" customWidth="1"/>
    <col min="275" max="277" width="9.33203125" style="19" customWidth="1"/>
    <col min="278" max="278" width="10.44140625" style="32" bestFit="1" customWidth="1"/>
    <col min="279" max="280" width="9.33203125" style="12" bestFit="1" customWidth="1"/>
    <col min="281" max="281" width="9.33203125" style="13" bestFit="1" customWidth="1"/>
    <col min="282" max="282" width="9.33203125" style="19" customWidth="1"/>
    <col min="283" max="283" width="10.88671875" style="12" customWidth="1"/>
    <col min="284" max="284" width="9.33203125" style="12" bestFit="1" customWidth="1"/>
    <col min="285" max="285" width="9.33203125" style="13" bestFit="1" customWidth="1"/>
    <col min="286" max="288" width="9.33203125" style="19" customWidth="1"/>
    <col min="289" max="290" width="9" style="12"/>
    <col min="291" max="291" width="9.33203125" style="12" bestFit="1" customWidth="1"/>
    <col min="292" max="292" width="9" style="12"/>
    <col min="293" max="293" width="9.33203125" style="13" bestFit="1" customWidth="1"/>
    <col min="294" max="294" width="12" style="12" customWidth="1"/>
    <col min="295" max="297" width="9" style="12"/>
    <col min="298" max="298" width="10.44140625" style="32" bestFit="1" customWidth="1"/>
    <col min="299" max="299" width="10.33203125" style="12" bestFit="1" customWidth="1"/>
    <col min="300" max="300" width="9.44140625" style="12" bestFit="1" customWidth="1"/>
    <col min="301" max="301" width="9.44140625" style="11" bestFit="1" customWidth="1"/>
    <col min="302" max="302" width="9.44140625" style="19" customWidth="1"/>
    <col min="303" max="303" width="11.6640625" style="12" customWidth="1"/>
    <col min="304" max="304" width="9.44140625" style="12" bestFit="1" customWidth="1"/>
    <col min="305" max="305" width="9.44140625" style="13" bestFit="1" customWidth="1"/>
    <col min="306" max="308" width="9.44140625" style="19" customWidth="1"/>
    <col min="309" max="309" width="10.44140625" style="32" bestFit="1" customWidth="1"/>
    <col min="310" max="310" width="10.33203125" style="12" bestFit="1" customWidth="1"/>
    <col min="311" max="311" width="9.44140625" style="12" bestFit="1" customWidth="1"/>
    <col min="312" max="312" width="9.44140625" style="13" bestFit="1" customWidth="1"/>
    <col min="313" max="313" width="9.44140625" style="19" customWidth="1"/>
    <col min="314" max="314" width="10.6640625" style="12" customWidth="1"/>
    <col min="315" max="315" width="9.44140625" style="12" bestFit="1" customWidth="1"/>
    <col min="316" max="316" width="9.44140625" style="13" bestFit="1" customWidth="1"/>
    <col min="317" max="319" width="9.44140625" style="19" customWidth="1"/>
    <col min="320" max="320" width="9" style="32"/>
    <col min="321" max="321" width="10.33203125" style="12" bestFit="1" customWidth="1"/>
    <col min="322" max="322" width="9.44140625" style="12" bestFit="1" customWidth="1"/>
    <col min="323" max="323" width="9.44140625" style="13" bestFit="1" customWidth="1"/>
    <col min="324" max="324" width="9.44140625" style="19" customWidth="1"/>
    <col min="325" max="325" width="11.33203125" style="12" customWidth="1"/>
    <col min="326" max="326" width="9.44140625" style="12" bestFit="1" customWidth="1"/>
    <col min="327" max="327" width="9.44140625" style="13" bestFit="1" customWidth="1"/>
    <col min="328" max="330" width="9.44140625" style="19" customWidth="1"/>
    <col min="331" max="332" width="9" style="12"/>
    <col min="333" max="333" width="10.33203125" style="12" bestFit="1" customWidth="1"/>
    <col min="334" max="334" width="9.6640625" style="12" bestFit="1" customWidth="1"/>
    <col min="335" max="335" width="9.44140625" style="13" bestFit="1" customWidth="1"/>
    <col min="336" max="336" width="9.44140625" style="19" customWidth="1"/>
    <col min="337" max="337" width="10.6640625" style="12" customWidth="1"/>
    <col min="338" max="338" width="9.6640625" style="12" bestFit="1" customWidth="1"/>
    <col min="339" max="339" width="9.44140625" style="13" bestFit="1" customWidth="1"/>
    <col min="340" max="342" width="9.44140625" style="19" customWidth="1"/>
    <col min="343" max="343" width="9" style="12"/>
    <col min="344" max="344" width="10.33203125" style="12" bestFit="1" customWidth="1"/>
    <col min="345" max="345" width="9.6640625" style="12" bestFit="1" customWidth="1"/>
    <col min="346" max="346" width="9.44140625" style="13" bestFit="1" customWidth="1"/>
    <col min="347" max="347" width="9.44140625" style="19" customWidth="1"/>
    <col min="348" max="348" width="11.109375" style="12" customWidth="1"/>
    <col min="349" max="349" width="9.6640625" style="12" bestFit="1" customWidth="1"/>
    <col min="350" max="350" width="9.44140625" style="13" bestFit="1" customWidth="1"/>
    <col min="351" max="353" width="9.44140625" style="19" customWidth="1"/>
    <col min="354" max="354" width="9" style="12"/>
    <col min="355" max="355" width="10.33203125" style="12" bestFit="1" customWidth="1"/>
    <col min="356" max="356" width="9.6640625" style="12" bestFit="1" customWidth="1"/>
    <col min="357" max="357" width="9.44140625" style="13" bestFit="1" customWidth="1"/>
    <col min="358" max="358" width="9.44140625" style="19" customWidth="1"/>
    <col min="359" max="359" width="11.33203125" style="12" customWidth="1"/>
    <col min="360" max="360" width="9.6640625" style="12" bestFit="1" customWidth="1"/>
    <col min="361" max="361" width="9.44140625" style="13" bestFit="1" customWidth="1"/>
    <col min="362" max="364" width="9.44140625" style="19" customWidth="1"/>
    <col min="365" max="366" width="9" style="12"/>
    <col min="367" max="368" width="9.44140625" style="12" bestFit="1" customWidth="1"/>
    <col min="369" max="369" width="9.44140625" style="13" bestFit="1" customWidth="1"/>
    <col min="370" max="370" width="9.44140625" style="19" customWidth="1"/>
    <col min="371" max="371" width="11.109375" style="12" customWidth="1"/>
    <col min="372" max="372" width="9.44140625" style="12" bestFit="1" customWidth="1"/>
    <col min="373" max="373" width="9.44140625" style="13" bestFit="1" customWidth="1"/>
    <col min="374" max="376" width="9.44140625" style="19" customWidth="1"/>
    <col min="377" max="377" width="10.109375" style="12" customWidth="1"/>
    <col min="378" max="378" width="9" style="12"/>
    <col min="379" max="380" width="9.44140625" style="12" bestFit="1" customWidth="1"/>
    <col min="381" max="381" width="9.44140625" style="13" bestFit="1" customWidth="1"/>
    <col min="382" max="382" width="9.44140625" style="19" customWidth="1"/>
    <col min="383" max="383" width="10.88671875" style="12" customWidth="1"/>
    <col min="384" max="384" width="9.44140625" style="12" bestFit="1" customWidth="1"/>
    <col min="385" max="385" width="9.44140625" style="13" bestFit="1" customWidth="1"/>
    <col min="386" max="388" width="9.44140625" style="19" customWidth="1"/>
    <col min="389" max="390" width="9" style="12"/>
    <col min="391" max="392" width="9.44140625" style="12" bestFit="1" customWidth="1"/>
    <col min="393" max="393" width="9.44140625" style="13" bestFit="1" customWidth="1"/>
    <col min="394" max="394" width="9.44140625" style="13" customWidth="1"/>
    <col min="395" max="395" width="10.88671875" style="12" customWidth="1"/>
    <col min="396" max="396" width="9.44140625" style="12" bestFit="1" customWidth="1"/>
    <col min="397" max="397" width="9.44140625" style="13" bestFit="1" customWidth="1"/>
    <col min="398" max="400" width="9.44140625" style="13" customWidth="1"/>
    <col min="401" max="402" width="9" style="12"/>
    <col min="403" max="404" width="9.44140625" style="12" bestFit="1" customWidth="1"/>
    <col min="405" max="405" width="9.44140625" style="11" bestFit="1" customWidth="1"/>
    <col min="406" max="406" width="10.88671875" style="12" customWidth="1"/>
    <col min="407" max="407" width="9.44140625" style="12" bestFit="1" customWidth="1"/>
    <col min="408" max="408" width="9.44140625" style="11" bestFit="1" customWidth="1"/>
    <col min="409" max="410" width="9.44140625" style="11" customWidth="1"/>
    <col min="411" max="412" width="9" style="12"/>
    <col min="413" max="414" width="9.44140625" style="12" bestFit="1" customWidth="1"/>
    <col min="415" max="415" width="9.44140625" style="13" bestFit="1" customWidth="1"/>
    <col min="416" max="416" width="11.109375" style="12" customWidth="1"/>
    <col min="417" max="417" width="9.44140625" style="12" bestFit="1" customWidth="1"/>
    <col min="418" max="418" width="9.44140625" style="13" bestFit="1" customWidth="1"/>
    <col min="419" max="420" width="9.44140625" style="13" customWidth="1"/>
    <col min="421" max="422" width="9" style="12"/>
    <col min="423" max="424" width="9.44140625" style="12" bestFit="1" customWidth="1"/>
    <col min="425" max="425" width="9.44140625" style="13" bestFit="1" customWidth="1"/>
    <col min="426" max="426" width="10.44140625" style="12" customWidth="1"/>
    <col min="427" max="427" width="9.44140625" style="12" bestFit="1" customWidth="1"/>
    <col min="428" max="428" width="9.44140625" style="13" bestFit="1" customWidth="1"/>
    <col min="429" max="430" width="9.44140625" style="13" customWidth="1"/>
    <col min="431" max="432" width="9" style="12"/>
    <col min="433" max="434" width="9.33203125" style="12" bestFit="1" customWidth="1"/>
    <col min="435" max="435" width="9.33203125" style="13" bestFit="1" customWidth="1"/>
    <col min="436" max="436" width="11.109375" style="12" customWidth="1"/>
    <col min="437" max="437" width="9.33203125" style="12" bestFit="1" customWidth="1"/>
    <col min="438" max="438" width="9.33203125" style="13" bestFit="1" customWidth="1"/>
    <col min="439" max="440" width="9.33203125" style="13" customWidth="1"/>
    <col min="441" max="441" width="9" style="12"/>
    <col min="442" max="443" width="9.44140625" style="12" bestFit="1" customWidth="1"/>
    <col min="444" max="444" width="9.44140625" style="11" bestFit="1" customWidth="1"/>
    <col min="445" max="445" width="9.44140625" style="19" customWidth="1"/>
    <col min="446" max="446" width="11.109375" style="12" customWidth="1"/>
    <col min="447" max="447" width="9.44140625" style="12" bestFit="1" customWidth="1"/>
    <col min="448" max="448" width="9.44140625" style="13" bestFit="1" customWidth="1"/>
    <col min="449" max="451" width="9.44140625" style="19" customWidth="1"/>
    <col min="452" max="452" width="9" style="12"/>
    <col min="453" max="454" width="9.44140625" style="12" bestFit="1" customWidth="1"/>
    <col min="455" max="455" width="9.33203125" style="13" bestFit="1" customWidth="1"/>
    <col min="456" max="456" width="11" style="12" customWidth="1"/>
    <col min="457" max="457" width="9.44140625" style="12" bestFit="1" customWidth="1"/>
    <col min="458" max="458" width="9.33203125" style="13" bestFit="1" customWidth="1"/>
    <col min="459" max="460" width="9.33203125" style="13" customWidth="1"/>
    <col min="461" max="462" width="9" style="12"/>
    <col min="463" max="464" width="9.33203125" style="12" bestFit="1" customWidth="1"/>
    <col min="465" max="465" width="9.33203125" style="13" bestFit="1" customWidth="1"/>
    <col min="466" max="466" width="10.6640625" style="12" customWidth="1"/>
    <col min="467" max="467" width="9.33203125" style="12" bestFit="1" customWidth="1"/>
    <col min="468" max="468" width="9.33203125" style="13" bestFit="1" customWidth="1"/>
    <col min="469" max="470" width="9" style="12"/>
    <col min="471" max="472" width="9.33203125" style="12" bestFit="1" customWidth="1"/>
    <col min="473" max="473" width="9.33203125" style="13" bestFit="1" customWidth="1"/>
    <col min="474" max="474" width="10.6640625" style="12" customWidth="1"/>
    <col min="475" max="475" width="9.33203125" style="12" bestFit="1" customWidth="1"/>
    <col min="476" max="476" width="9.33203125" style="13" bestFit="1" customWidth="1"/>
    <col min="477" max="478" width="9" style="12"/>
    <col min="479" max="480" width="9.33203125" style="12" bestFit="1" customWidth="1"/>
    <col min="481" max="481" width="9.33203125" style="11" bestFit="1" customWidth="1"/>
    <col min="482" max="482" width="10.6640625" style="12" customWidth="1"/>
    <col min="483" max="483" width="9.33203125" style="12" bestFit="1" customWidth="1"/>
    <col min="484" max="484" width="9.33203125" style="11" bestFit="1" customWidth="1"/>
    <col min="485" max="486" width="9" style="12"/>
    <col min="487" max="488" width="9.33203125" style="12" bestFit="1" customWidth="1"/>
    <col min="489" max="489" width="9.33203125" style="11" bestFit="1" customWidth="1"/>
    <col min="490" max="490" width="11" style="12" customWidth="1"/>
    <col min="491" max="491" width="9.33203125" style="12" bestFit="1" customWidth="1"/>
    <col min="492" max="492" width="9.33203125" style="11" bestFit="1" customWidth="1"/>
    <col min="493" max="494" width="9" style="12"/>
    <col min="495" max="496" width="9.33203125" style="12" bestFit="1" customWidth="1"/>
    <col min="497" max="497" width="9.33203125" style="13" bestFit="1" customWidth="1"/>
    <col min="498" max="498" width="11.33203125" style="12" customWidth="1"/>
    <col min="499" max="499" width="9.33203125" style="12" bestFit="1" customWidth="1"/>
    <col min="500" max="500" width="9.33203125" style="13" bestFit="1" customWidth="1"/>
    <col min="501" max="502" width="9" style="12"/>
    <col min="503" max="503" width="10.44140625" style="12" bestFit="1" customWidth="1"/>
    <col min="504" max="504" width="9.44140625" style="12" bestFit="1" customWidth="1"/>
    <col min="505" max="505" width="9.44140625" style="13" bestFit="1" customWidth="1"/>
    <col min="506" max="506" width="9.44140625" style="19" customWidth="1"/>
    <col min="507" max="507" width="11.109375" style="12" customWidth="1"/>
    <col min="508" max="508" width="9.44140625" style="12" bestFit="1" customWidth="1"/>
    <col min="509" max="509" width="9.44140625" style="13" bestFit="1" customWidth="1"/>
    <col min="510" max="512" width="9.44140625" style="19" customWidth="1"/>
    <col min="513" max="514" width="9" style="12"/>
    <col min="515" max="515" width="14.33203125" style="12" bestFit="1" customWidth="1"/>
    <col min="516" max="516" width="10.6640625" style="12" bestFit="1" customWidth="1"/>
    <col min="517" max="517" width="9.33203125" style="11" bestFit="1" customWidth="1"/>
    <col min="518" max="518" width="13.6640625" style="12" bestFit="1" customWidth="1"/>
    <col min="519" max="519" width="10.6640625" style="12" bestFit="1" customWidth="1"/>
    <col min="520" max="520" width="9.33203125" style="11" bestFit="1" customWidth="1"/>
    <col min="521" max="522" width="9.33203125" style="11" customWidth="1"/>
    <col min="523" max="524" width="9" style="12"/>
    <col min="525" max="525" width="10.44140625" style="12" bestFit="1" customWidth="1"/>
    <col min="526" max="526" width="9.33203125" style="12" bestFit="1" customWidth="1"/>
    <col min="527" max="527" width="9.33203125" style="11" bestFit="1" customWidth="1"/>
    <col min="528" max="528" width="10.88671875" style="12" customWidth="1"/>
    <col min="529" max="529" width="9.33203125" style="12" bestFit="1" customWidth="1"/>
    <col min="530" max="530" width="9.33203125" style="11" bestFit="1" customWidth="1"/>
    <col min="531" max="532" width="9.33203125" style="11" customWidth="1"/>
    <col min="533" max="534" width="9" style="12"/>
    <col min="535" max="536" width="11.6640625" style="12" bestFit="1" customWidth="1"/>
    <col min="537" max="537" width="9.33203125" style="11" bestFit="1" customWidth="1"/>
    <col min="538" max="538" width="11.88671875" style="12" customWidth="1"/>
    <col min="539" max="539" width="11.6640625" style="12" bestFit="1" customWidth="1"/>
    <col min="540" max="540" width="9.33203125" style="11" bestFit="1" customWidth="1"/>
    <col min="541" max="542" width="9.33203125" style="11" customWidth="1"/>
    <col min="543" max="544" width="9" style="12"/>
    <col min="545" max="545" width="15.44140625" style="12" bestFit="1" customWidth="1"/>
    <col min="546" max="546" width="13.109375" style="12" bestFit="1" customWidth="1"/>
    <col min="547" max="547" width="9.33203125" style="11" bestFit="1" customWidth="1"/>
    <col min="548" max="548" width="15.44140625" style="12" bestFit="1" customWidth="1"/>
    <col min="549" max="549" width="12" style="12" bestFit="1" customWidth="1"/>
    <col min="550" max="550" width="9.33203125" style="11" bestFit="1" customWidth="1"/>
    <col min="551" max="552" width="9.33203125" style="11" customWidth="1"/>
    <col min="553" max="554" width="9" style="12"/>
    <col min="555" max="556" width="15.44140625" style="12" bestFit="1" customWidth="1"/>
    <col min="557" max="557" width="14.88671875" style="13" bestFit="1" customWidth="1"/>
    <col min="558" max="558" width="15.33203125" style="12" bestFit="1" customWidth="1"/>
    <col min="559" max="559" width="16.6640625" style="12" bestFit="1" customWidth="1"/>
    <col min="560" max="560" width="13.6640625" style="13" bestFit="1" customWidth="1"/>
    <col min="561" max="562" width="13.6640625" style="13" customWidth="1"/>
    <col min="563" max="563" width="12.44140625" style="12" bestFit="1" customWidth="1"/>
    <col min="564" max="565" width="15.44140625" style="12" bestFit="1" customWidth="1"/>
    <col min="566" max="566" width="9.33203125" style="13" bestFit="1" customWidth="1"/>
    <col min="567" max="567" width="15.33203125" style="12" bestFit="1" customWidth="1"/>
    <col min="568" max="568" width="16.6640625" style="12" bestFit="1" customWidth="1"/>
    <col min="569" max="569" width="9.33203125" style="13" bestFit="1" customWidth="1"/>
    <col min="570" max="571" width="9.33203125" style="13" customWidth="1"/>
    <col min="572" max="573" width="9" style="12"/>
    <col min="574" max="574" width="16.6640625" style="12" bestFit="1" customWidth="1"/>
    <col min="575" max="575" width="15.44140625" style="12" customWidth="1"/>
    <col min="576" max="576" width="9.33203125" style="13" bestFit="1" customWidth="1"/>
    <col min="577" max="578" width="15.33203125" style="12" customWidth="1"/>
    <col min="579" max="579" width="9.33203125" style="13" bestFit="1" customWidth="1"/>
    <col min="580" max="580" width="9" style="12"/>
    <col min="581" max="581" width="16.6640625" style="12" bestFit="1" customWidth="1"/>
    <col min="582" max="582" width="15.44140625" style="12" customWidth="1"/>
    <col min="583" max="583" width="9.33203125" style="13" bestFit="1" customWidth="1"/>
    <col min="584" max="585" width="15.33203125" style="12" customWidth="1"/>
    <col min="586" max="586" width="9.33203125" style="13" bestFit="1" customWidth="1"/>
    <col min="587" max="588" width="9" style="12"/>
    <col min="589" max="590" width="16.44140625" style="13" bestFit="1" customWidth="1"/>
    <col min="591" max="591" width="5" style="13" customWidth="1"/>
    <col min="592" max="593" width="16.44140625" style="13" bestFit="1" customWidth="1"/>
    <col min="594" max="594" width="4.6640625" style="13" customWidth="1"/>
    <col min="595" max="595" width="6.6640625" style="13" customWidth="1"/>
    <col min="596" max="596" width="10.44140625" style="13" customWidth="1"/>
    <col min="597" max="598" width="9" style="12"/>
    <col min="599" max="600" width="12.44140625" style="13" bestFit="1" customWidth="1"/>
    <col min="601" max="601" width="9.44140625" style="13" bestFit="1" customWidth="1"/>
    <col min="602" max="603" width="12.44140625" style="13" bestFit="1" customWidth="1"/>
    <col min="604" max="604" width="9.44140625" style="13" bestFit="1" customWidth="1"/>
    <col min="605" max="16384" width="9" style="12"/>
  </cols>
  <sheetData>
    <row r="1" spans="1:606" s="9" customFormat="1" ht="98.25" customHeight="1" thickBot="1" x14ac:dyDescent="0.3">
      <c r="A1" s="1" t="s">
        <v>874</v>
      </c>
      <c r="B1" s="2" t="s">
        <v>18</v>
      </c>
      <c r="C1" s="3" t="s">
        <v>21</v>
      </c>
      <c r="D1" s="3" t="s">
        <v>53</v>
      </c>
      <c r="E1" s="4" t="s">
        <v>527</v>
      </c>
      <c r="F1" s="4" t="s">
        <v>525</v>
      </c>
      <c r="G1" s="4" t="s">
        <v>526</v>
      </c>
      <c r="H1" s="3" t="s">
        <v>78</v>
      </c>
      <c r="I1" s="37" t="s">
        <v>9</v>
      </c>
      <c r="J1" s="37" t="s">
        <v>563</v>
      </c>
      <c r="K1" s="37" t="s">
        <v>9</v>
      </c>
      <c r="L1" s="37" t="s">
        <v>563</v>
      </c>
      <c r="M1" s="28" t="s">
        <v>17</v>
      </c>
      <c r="N1" s="4" t="s">
        <v>20</v>
      </c>
      <c r="O1" s="4" t="s">
        <v>8</v>
      </c>
      <c r="P1" s="4" t="s">
        <v>15</v>
      </c>
      <c r="Q1" s="85" t="s">
        <v>843</v>
      </c>
      <c r="R1" s="1" t="s">
        <v>287</v>
      </c>
      <c r="S1" s="3" t="s">
        <v>23</v>
      </c>
      <c r="T1" s="3" t="s">
        <v>137</v>
      </c>
      <c r="U1" s="3" t="s">
        <v>157</v>
      </c>
      <c r="V1" s="3" t="s">
        <v>273</v>
      </c>
      <c r="W1" s="9" t="s">
        <v>850</v>
      </c>
      <c r="X1" s="9" t="s">
        <v>279</v>
      </c>
      <c r="Y1" s="5" t="s">
        <v>2</v>
      </c>
      <c r="Z1" s="5" t="s">
        <v>216</v>
      </c>
      <c r="AA1" s="33" t="s">
        <v>328</v>
      </c>
      <c r="AB1" s="79" t="s">
        <v>851</v>
      </c>
      <c r="AC1" s="3" t="s">
        <v>24</v>
      </c>
      <c r="AD1" s="33" t="s">
        <v>328</v>
      </c>
      <c r="AE1" s="9" t="s">
        <v>853</v>
      </c>
      <c r="AF1" s="9" t="s">
        <v>6</v>
      </c>
      <c r="AG1" s="31" t="s">
        <v>328</v>
      </c>
      <c r="AH1" s="9" t="s">
        <v>852</v>
      </c>
      <c r="AI1" s="9" t="s">
        <v>143</v>
      </c>
      <c r="AJ1" s="9" t="s">
        <v>328</v>
      </c>
      <c r="AK1" s="109" t="s">
        <v>854</v>
      </c>
      <c r="AL1" s="33" t="s">
        <v>11</v>
      </c>
      <c r="AM1" s="3" t="s">
        <v>316</v>
      </c>
      <c r="AN1" s="33" t="s">
        <v>885</v>
      </c>
      <c r="AO1" s="3" t="s">
        <v>620</v>
      </c>
      <c r="AP1" s="3" t="s">
        <v>50</v>
      </c>
      <c r="AQ1" s="3" t="s">
        <v>67</v>
      </c>
      <c r="AR1" s="6" t="s">
        <v>24</v>
      </c>
      <c r="AS1" s="33" t="s">
        <v>328</v>
      </c>
      <c r="AT1" s="3" t="s">
        <v>1</v>
      </c>
      <c r="AU1" s="3" t="s">
        <v>0</v>
      </c>
      <c r="AV1" s="22" t="s">
        <v>12</v>
      </c>
      <c r="AW1" s="49" t="s">
        <v>687</v>
      </c>
      <c r="AX1" s="3" t="s">
        <v>10</v>
      </c>
      <c r="AY1" s="3" t="s">
        <v>0</v>
      </c>
      <c r="AZ1" s="22" t="s">
        <v>12</v>
      </c>
      <c r="BA1" s="49" t="s">
        <v>687</v>
      </c>
      <c r="BB1" s="49" t="s">
        <v>916</v>
      </c>
      <c r="BC1" s="49" t="s">
        <v>976</v>
      </c>
      <c r="BD1" s="33" t="s">
        <v>328</v>
      </c>
      <c r="BE1" s="3" t="s">
        <v>1</v>
      </c>
      <c r="BF1" s="3" t="s">
        <v>0</v>
      </c>
      <c r="BG1" s="22" t="s">
        <v>12</v>
      </c>
      <c r="BH1" s="49" t="s">
        <v>687</v>
      </c>
      <c r="BI1" s="3" t="s">
        <v>10</v>
      </c>
      <c r="BJ1" s="3" t="s">
        <v>0</v>
      </c>
      <c r="BK1" s="22" t="s">
        <v>12</v>
      </c>
      <c r="BL1" s="49" t="s">
        <v>687</v>
      </c>
      <c r="BM1" s="49" t="s">
        <v>916</v>
      </c>
      <c r="BN1" s="49" t="s">
        <v>976</v>
      </c>
      <c r="BO1" s="3" t="s">
        <v>328</v>
      </c>
      <c r="BP1" s="3" t="s">
        <v>1</v>
      </c>
      <c r="BQ1" s="3" t="s">
        <v>0</v>
      </c>
      <c r="BR1" s="22" t="s">
        <v>12</v>
      </c>
      <c r="BS1" s="49" t="s">
        <v>687</v>
      </c>
      <c r="BT1" s="3" t="s">
        <v>10</v>
      </c>
      <c r="BU1" s="3" t="s">
        <v>0</v>
      </c>
      <c r="BV1" s="22" t="s">
        <v>12</v>
      </c>
      <c r="BW1" s="49" t="s">
        <v>687</v>
      </c>
      <c r="BX1" s="49" t="s">
        <v>916</v>
      </c>
      <c r="BY1" s="49" t="s">
        <v>976</v>
      </c>
      <c r="BZ1" s="6" t="s">
        <v>574</v>
      </c>
      <c r="CA1" s="3" t="s">
        <v>1</v>
      </c>
      <c r="CB1" s="3" t="s">
        <v>0</v>
      </c>
      <c r="CC1" s="22" t="s">
        <v>12</v>
      </c>
      <c r="CD1" s="49" t="s">
        <v>687</v>
      </c>
      <c r="CE1" s="3" t="s">
        <v>10</v>
      </c>
      <c r="CF1" s="3" t="s">
        <v>0</v>
      </c>
      <c r="CG1" s="22" t="s">
        <v>12</v>
      </c>
      <c r="CH1" s="49" t="s">
        <v>687</v>
      </c>
      <c r="CI1" s="49" t="s">
        <v>832</v>
      </c>
      <c r="CJ1" s="49" t="s">
        <v>873</v>
      </c>
      <c r="CK1" s="86" t="s">
        <v>875</v>
      </c>
      <c r="CL1" s="86" t="s">
        <v>875</v>
      </c>
      <c r="CM1" s="6" t="s">
        <v>648</v>
      </c>
      <c r="CN1" s="3" t="s">
        <v>1</v>
      </c>
      <c r="CO1" s="3" t="s">
        <v>0</v>
      </c>
      <c r="CP1" s="22" t="s">
        <v>12</v>
      </c>
      <c r="CQ1" s="49" t="s">
        <v>687</v>
      </c>
      <c r="CR1" s="3" t="s">
        <v>10</v>
      </c>
      <c r="CS1" s="3" t="s">
        <v>0</v>
      </c>
      <c r="CT1" s="22" t="s">
        <v>12</v>
      </c>
      <c r="CU1" s="49" t="s">
        <v>687</v>
      </c>
      <c r="CV1" s="49" t="s">
        <v>832</v>
      </c>
      <c r="CW1" s="49" t="s">
        <v>873</v>
      </c>
      <c r="CX1" s="86" t="s">
        <v>875</v>
      </c>
      <c r="CY1" s="86" t="s">
        <v>875</v>
      </c>
      <c r="CZ1" s="6" t="s">
        <v>86</v>
      </c>
      <c r="DA1" s="3" t="s">
        <v>1</v>
      </c>
      <c r="DB1" s="3" t="s">
        <v>0</v>
      </c>
      <c r="DC1" s="22" t="s">
        <v>12</v>
      </c>
      <c r="DD1" s="49" t="s">
        <v>687</v>
      </c>
      <c r="DE1" s="3" t="s">
        <v>10</v>
      </c>
      <c r="DF1" s="3" t="s">
        <v>0</v>
      </c>
      <c r="DG1" s="22" t="s">
        <v>12</v>
      </c>
      <c r="DH1" s="49" t="s">
        <v>687</v>
      </c>
      <c r="DI1" s="49" t="s">
        <v>832</v>
      </c>
      <c r="DJ1" s="49" t="s">
        <v>873</v>
      </c>
      <c r="DK1" s="86" t="s">
        <v>875</v>
      </c>
      <c r="DL1" s="86" t="s">
        <v>875</v>
      </c>
      <c r="DM1" s="6" t="s">
        <v>649</v>
      </c>
      <c r="DN1" s="49" t="s">
        <v>1</v>
      </c>
      <c r="DO1" s="3" t="s">
        <v>0</v>
      </c>
      <c r="DP1" s="22" t="s">
        <v>12</v>
      </c>
      <c r="DQ1" s="49" t="s">
        <v>687</v>
      </c>
      <c r="DR1" s="49" t="s">
        <v>10</v>
      </c>
      <c r="DS1" s="3" t="s">
        <v>0</v>
      </c>
      <c r="DT1" s="22" t="s">
        <v>12</v>
      </c>
      <c r="DU1" s="49" t="s">
        <v>687</v>
      </c>
      <c r="DV1" s="49" t="s">
        <v>832</v>
      </c>
      <c r="DW1" s="49" t="s">
        <v>873</v>
      </c>
      <c r="DX1" s="86" t="s">
        <v>875</v>
      </c>
      <c r="DY1" s="86" t="s">
        <v>875</v>
      </c>
      <c r="DZ1" s="6" t="s">
        <v>650</v>
      </c>
      <c r="EA1" s="49" t="s">
        <v>1</v>
      </c>
      <c r="EB1" s="49" t="s">
        <v>0</v>
      </c>
      <c r="EC1" s="71" t="s">
        <v>12</v>
      </c>
      <c r="ED1" s="49" t="s">
        <v>687</v>
      </c>
      <c r="EE1" s="49" t="s">
        <v>10</v>
      </c>
      <c r="EF1" s="49" t="s">
        <v>0</v>
      </c>
      <c r="EG1" s="22" t="s">
        <v>12</v>
      </c>
      <c r="EH1" s="49" t="s">
        <v>687</v>
      </c>
      <c r="EI1" s="49" t="s">
        <v>832</v>
      </c>
      <c r="EJ1" s="49" t="s">
        <v>873</v>
      </c>
      <c r="EK1" s="86" t="s">
        <v>875</v>
      </c>
      <c r="EL1" s="86" t="s">
        <v>875</v>
      </c>
      <c r="EM1" s="8" t="s">
        <v>33</v>
      </c>
      <c r="EN1" s="9" t="s">
        <v>1</v>
      </c>
      <c r="EO1" s="9" t="s">
        <v>0</v>
      </c>
      <c r="EP1" s="22" t="s">
        <v>12</v>
      </c>
      <c r="EQ1" s="49" t="s">
        <v>687</v>
      </c>
      <c r="ER1" s="3" t="s">
        <v>10</v>
      </c>
      <c r="ES1" s="3" t="s">
        <v>0</v>
      </c>
      <c r="ET1" s="22" t="s">
        <v>12</v>
      </c>
      <c r="EU1" s="49" t="s">
        <v>687</v>
      </c>
      <c r="EV1" s="49" t="s">
        <v>832</v>
      </c>
      <c r="EW1" s="49" t="s">
        <v>873</v>
      </c>
      <c r="EX1" s="86" t="s">
        <v>875</v>
      </c>
      <c r="EY1" s="86" t="s">
        <v>875</v>
      </c>
      <c r="EZ1" s="8" t="s">
        <v>680</v>
      </c>
      <c r="FA1" s="9" t="s">
        <v>328</v>
      </c>
      <c r="FB1" s="9" t="s">
        <v>1</v>
      </c>
      <c r="FC1" s="9" t="s">
        <v>0</v>
      </c>
      <c r="FD1" s="7" t="s">
        <v>12</v>
      </c>
      <c r="FE1" s="3" t="s">
        <v>10</v>
      </c>
      <c r="FF1" s="36" t="s">
        <v>0</v>
      </c>
      <c r="FG1" s="7" t="s">
        <v>12</v>
      </c>
      <c r="FH1" s="31" t="s">
        <v>328</v>
      </c>
      <c r="FI1" s="9" t="s">
        <v>1</v>
      </c>
      <c r="FJ1" s="9" t="s">
        <v>0</v>
      </c>
      <c r="FK1" s="7" t="s">
        <v>12</v>
      </c>
      <c r="FL1" s="28" t="s">
        <v>10</v>
      </c>
      <c r="FM1" s="1" t="s">
        <v>0</v>
      </c>
      <c r="FN1" s="7" t="s">
        <v>12</v>
      </c>
      <c r="FO1" s="31" t="s">
        <v>328</v>
      </c>
      <c r="FP1" s="9" t="s">
        <v>1</v>
      </c>
      <c r="FQ1" s="9" t="s">
        <v>0</v>
      </c>
      <c r="FR1" s="7" t="s">
        <v>12</v>
      </c>
      <c r="FS1" s="28" t="s">
        <v>10</v>
      </c>
      <c r="FT1" s="1" t="s">
        <v>0</v>
      </c>
      <c r="FU1" s="7" t="s">
        <v>12</v>
      </c>
      <c r="FV1" s="31" t="s">
        <v>328</v>
      </c>
      <c r="FW1" s="9" t="s">
        <v>1</v>
      </c>
      <c r="FX1" s="9" t="s">
        <v>0</v>
      </c>
      <c r="FY1" s="7" t="s">
        <v>12</v>
      </c>
      <c r="FZ1" s="28" t="s">
        <v>10</v>
      </c>
      <c r="GA1" s="1" t="s">
        <v>0</v>
      </c>
      <c r="GB1" s="7" t="s">
        <v>12</v>
      </c>
      <c r="GC1" s="8" t="s">
        <v>4</v>
      </c>
      <c r="GD1" s="9" t="s">
        <v>328</v>
      </c>
      <c r="GE1" s="9" t="s">
        <v>1</v>
      </c>
      <c r="GF1" s="9" t="s">
        <v>0</v>
      </c>
      <c r="GG1" s="22" t="s">
        <v>12</v>
      </c>
      <c r="GH1" s="49" t="s">
        <v>687</v>
      </c>
      <c r="GI1" s="3" t="s">
        <v>10</v>
      </c>
      <c r="GJ1" s="3" t="s">
        <v>0</v>
      </c>
      <c r="GK1" s="22" t="s">
        <v>12</v>
      </c>
      <c r="GL1" s="49" t="s">
        <v>687</v>
      </c>
      <c r="GM1" s="49" t="s">
        <v>916</v>
      </c>
      <c r="GN1" s="49" t="s">
        <v>875</v>
      </c>
      <c r="GO1" s="8" t="s">
        <v>3</v>
      </c>
      <c r="GP1" s="9" t="s">
        <v>328</v>
      </c>
      <c r="GQ1" s="9" t="s">
        <v>1</v>
      </c>
      <c r="GR1" s="9" t="s">
        <v>0</v>
      </c>
      <c r="GS1" s="22" t="s">
        <v>12</v>
      </c>
      <c r="GT1" s="48" t="s">
        <v>687</v>
      </c>
      <c r="GU1" s="3" t="s">
        <v>10</v>
      </c>
      <c r="GV1" s="3" t="s">
        <v>0</v>
      </c>
      <c r="GW1" s="22" t="s">
        <v>12</v>
      </c>
      <c r="GX1" s="49" t="s">
        <v>687</v>
      </c>
      <c r="GY1" s="49" t="s">
        <v>916</v>
      </c>
      <c r="GZ1" s="49" t="s">
        <v>875</v>
      </c>
      <c r="HA1" s="8" t="s">
        <v>5</v>
      </c>
      <c r="HB1" s="31" t="s">
        <v>328</v>
      </c>
      <c r="HC1" s="9" t="s">
        <v>1</v>
      </c>
      <c r="HD1" s="9" t="s">
        <v>0</v>
      </c>
      <c r="HE1" s="22" t="s">
        <v>12</v>
      </c>
      <c r="HF1" s="49" t="s">
        <v>687</v>
      </c>
      <c r="HG1" s="3" t="s">
        <v>10</v>
      </c>
      <c r="HH1" s="3" t="s">
        <v>0</v>
      </c>
      <c r="HI1" s="22" t="s">
        <v>12</v>
      </c>
      <c r="HJ1" s="49" t="s">
        <v>687</v>
      </c>
      <c r="HK1" s="49" t="s">
        <v>916</v>
      </c>
      <c r="HL1" s="49" t="s">
        <v>875</v>
      </c>
      <c r="HM1" s="31" t="s">
        <v>328</v>
      </c>
      <c r="HN1" s="9" t="s">
        <v>1</v>
      </c>
      <c r="HO1" s="9" t="s">
        <v>0</v>
      </c>
      <c r="HP1" s="22" t="s">
        <v>12</v>
      </c>
      <c r="HQ1" s="49" t="s">
        <v>687</v>
      </c>
      <c r="HR1" s="3" t="s">
        <v>10</v>
      </c>
      <c r="HS1" s="3" t="s">
        <v>0</v>
      </c>
      <c r="HT1" s="22" t="s">
        <v>12</v>
      </c>
      <c r="HU1" s="49" t="s">
        <v>687</v>
      </c>
      <c r="HV1" s="49" t="s">
        <v>916</v>
      </c>
      <c r="HW1" s="49" t="s">
        <v>875</v>
      </c>
      <c r="HX1" s="31" t="s">
        <v>328</v>
      </c>
      <c r="HY1" s="9" t="s">
        <v>1</v>
      </c>
      <c r="HZ1" s="9" t="s">
        <v>0</v>
      </c>
      <c r="IA1" s="22" t="s">
        <v>12</v>
      </c>
      <c r="IB1" s="49" t="s">
        <v>687</v>
      </c>
      <c r="IC1" s="3" t="s">
        <v>10</v>
      </c>
      <c r="ID1" s="3" t="s">
        <v>0</v>
      </c>
      <c r="IE1" s="22" t="s">
        <v>12</v>
      </c>
      <c r="IF1" s="49" t="s">
        <v>687</v>
      </c>
      <c r="IG1" s="49" t="s">
        <v>916</v>
      </c>
      <c r="IH1" s="49" t="s">
        <v>875</v>
      </c>
      <c r="II1" s="10" t="s">
        <v>651</v>
      </c>
      <c r="IJ1" s="2" t="s">
        <v>328</v>
      </c>
      <c r="IK1" s="9" t="s">
        <v>1</v>
      </c>
      <c r="IL1" s="9" t="s">
        <v>0</v>
      </c>
      <c r="IM1" s="22" t="s">
        <v>12</v>
      </c>
      <c r="IN1" s="49" t="s">
        <v>687</v>
      </c>
      <c r="IO1" s="3" t="s">
        <v>10</v>
      </c>
      <c r="IP1" s="3" t="s">
        <v>0</v>
      </c>
      <c r="IQ1" s="22" t="s">
        <v>12</v>
      </c>
      <c r="IR1" s="49" t="s">
        <v>687</v>
      </c>
      <c r="IS1" s="49" t="s">
        <v>916</v>
      </c>
      <c r="IT1" s="49" t="s">
        <v>875</v>
      </c>
      <c r="IU1" s="10" t="s">
        <v>19</v>
      </c>
      <c r="IV1" s="33" t="s">
        <v>328</v>
      </c>
      <c r="IW1" s="9" t="s">
        <v>1</v>
      </c>
      <c r="IX1" s="9" t="s">
        <v>0</v>
      </c>
      <c r="IY1" s="22" t="s">
        <v>12</v>
      </c>
      <c r="IZ1" s="49" t="s">
        <v>687</v>
      </c>
      <c r="JA1" s="3" t="s">
        <v>10</v>
      </c>
      <c r="JB1" s="3" t="s">
        <v>0</v>
      </c>
      <c r="JC1" s="22" t="s">
        <v>12</v>
      </c>
      <c r="JD1" s="49" t="s">
        <v>687</v>
      </c>
      <c r="JE1" s="49" t="s">
        <v>916</v>
      </c>
      <c r="JF1" s="49" t="s">
        <v>875</v>
      </c>
      <c r="JG1" s="33" t="s">
        <v>328</v>
      </c>
      <c r="JH1" s="9" t="s">
        <v>1</v>
      </c>
      <c r="JI1" s="9" t="s">
        <v>0</v>
      </c>
      <c r="JJ1" s="22" t="s">
        <v>12</v>
      </c>
      <c r="JK1" s="49" t="s">
        <v>687</v>
      </c>
      <c r="JL1" s="3" t="s">
        <v>10</v>
      </c>
      <c r="JM1" s="3" t="s">
        <v>0</v>
      </c>
      <c r="JN1" s="22" t="s">
        <v>12</v>
      </c>
      <c r="JO1" s="49" t="s">
        <v>687</v>
      </c>
      <c r="JP1" s="49" t="s">
        <v>916</v>
      </c>
      <c r="JQ1" s="49" t="s">
        <v>875</v>
      </c>
      <c r="JR1" s="33" t="s">
        <v>328</v>
      </c>
      <c r="JS1" s="9" t="s">
        <v>1</v>
      </c>
      <c r="JT1" s="9" t="s">
        <v>0</v>
      </c>
      <c r="JU1" s="22" t="s">
        <v>12</v>
      </c>
      <c r="JV1" s="49" t="s">
        <v>687</v>
      </c>
      <c r="JW1" s="3" t="s">
        <v>10</v>
      </c>
      <c r="JX1" s="3" t="s">
        <v>0</v>
      </c>
      <c r="JY1" s="22" t="s">
        <v>12</v>
      </c>
      <c r="JZ1" s="49" t="s">
        <v>687</v>
      </c>
      <c r="KA1" s="49" t="s">
        <v>916</v>
      </c>
      <c r="KB1" s="49" t="s">
        <v>875</v>
      </c>
      <c r="KC1" s="6" t="s">
        <v>25</v>
      </c>
      <c r="KD1" s="2" t="s">
        <v>328</v>
      </c>
      <c r="KE1" s="9" t="s">
        <v>1</v>
      </c>
      <c r="KF1" s="9" t="s">
        <v>0</v>
      </c>
      <c r="KG1" s="22" t="s">
        <v>12</v>
      </c>
      <c r="KH1" s="3" t="s">
        <v>10</v>
      </c>
      <c r="KI1" s="3" t="s">
        <v>0</v>
      </c>
      <c r="KJ1" s="7" t="s">
        <v>12</v>
      </c>
      <c r="KK1" s="8" t="s">
        <v>6</v>
      </c>
      <c r="KL1" s="31" t="s">
        <v>328</v>
      </c>
      <c r="KM1" s="9" t="s">
        <v>1</v>
      </c>
      <c r="KN1" s="9" t="s">
        <v>0</v>
      </c>
      <c r="KO1" s="7" t="s">
        <v>12</v>
      </c>
      <c r="KP1" s="49" t="s">
        <v>687</v>
      </c>
      <c r="KQ1" s="3" t="s">
        <v>10</v>
      </c>
      <c r="KR1" s="3" t="s">
        <v>0</v>
      </c>
      <c r="KS1" s="22" t="s">
        <v>12</v>
      </c>
      <c r="KT1" s="49" t="s">
        <v>687</v>
      </c>
      <c r="KU1" s="49" t="s">
        <v>916</v>
      </c>
      <c r="KV1" s="49" t="s">
        <v>875</v>
      </c>
      <c r="KW1" s="31" t="s">
        <v>328</v>
      </c>
      <c r="KX1" s="9" t="s">
        <v>1</v>
      </c>
      <c r="KY1" s="9" t="s">
        <v>0</v>
      </c>
      <c r="KZ1" s="22" t="s">
        <v>12</v>
      </c>
      <c r="LA1" s="49" t="s">
        <v>687</v>
      </c>
      <c r="LB1" s="3" t="s">
        <v>10</v>
      </c>
      <c r="LC1" s="3" t="s">
        <v>0</v>
      </c>
      <c r="LD1" s="22" t="s">
        <v>12</v>
      </c>
      <c r="LE1" s="49" t="s">
        <v>687</v>
      </c>
      <c r="LF1" s="49" t="s">
        <v>916</v>
      </c>
      <c r="LG1" s="49" t="s">
        <v>875</v>
      </c>
      <c r="LH1" s="31" t="s">
        <v>328</v>
      </c>
      <c r="LI1" s="9" t="s">
        <v>1</v>
      </c>
      <c r="LJ1" s="9" t="s">
        <v>0</v>
      </c>
      <c r="LK1" s="22" t="s">
        <v>12</v>
      </c>
      <c r="LL1" s="49" t="s">
        <v>687</v>
      </c>
      <c r="LM1" s="3" t="s">
        <v>10</v>
      </c>
      <c r="LN1" s="3" t="s">
        <v>0</v>
      </c>
      <c r="LO1" s="22" t="s">
        <v>12</v>
      </c>
      <c r="LP1" s="49" t="s">
        <v>687</v>
      </c>
      <c r="LQ1" s="49" t="s">
        <v>916</v>
      </c>
      <c r="LR1" s="49" t="s">
        <v>875</v>
      </c>
      <c r="LS1" s="8" t="s">
        <v>143</v>
      </c>
      <c r="LT1" s="9" t="s">
        <v>328</v>
      </c>
      <c r="LU1" s="9" t="s">
        <v>1</v>
      </c>
      <c r="LV1" s="9" t="s">
        <v>0</v>
      </c>
      <c r="LW1" s="22" t="s">
        <v>12</v>
      </c>
      <c r="LX1" s="49" t="s">
        <v>687</v>
      </c>
      <c r="LY1" s="3" t="s">
        <v>10</v>
      </c>
      <c r="LZ1" s="3" t="s">
        <v>0</v>
      </c>
      <c r="MA1" s="7" t="s">
        <v>12</v>
      </c>
      <c r="MB1" s="49" t="s">
        <v>687</v>
      </c>
      <c r="MC1" s="49" t="s">
        <v>916</v>
      </c>
      <c r="MD1" s="49" t="s">
        <v>875</v>
      </c>
      <c r="ME1" s="9" t="s">
        <v>328</v>
      </c>
      <c r="MF1" s="9" t="s">
        <v>1</v>
      </c>
      <c r="MG1" s="9" t="s">
        <v>0</v>
      </c>
      <c r="MH1" s="22" t="s">
        <v>12</v>
      </c>
      <c r="MI1" s="49" t="s">
        <v>687</v>
      </c>
      <c r="MJ1" s="3" t="s">
        <v>10</v>
      </c>
      <c r="MK1" s="3" t="s">
        <v>0</v>
      </c>
      <c r="ML1" s="7" t="s">
        <v>12</v>
      </c>
      <c r="MM1" s="49" t="s">
        <v>687</v>
      </c>
      <c r="MN1" s="49" t="s">
        <v>916</v>
      </c>
      <c r="MO1" s="49" t="s">
        <v>875</v>
      </c>
      <c r="MP1" s="9" t="s">
        <v>328</v>
      </c>
      <c r="MQ1" s="9" t="s">
        <v>1</v>
      </c>
      <c r="MR1" s="9" t="s">
        <v>0</v>
      </c>
      <c r="MS1" s="22" t="s">
        <v>12</v>
      </c>
      <c r="MT1" s="49" t="s">
        <v>687</v>
      </c>
      <c r="MU1" s="3" t="s">
        <v>10</v>
      </c>
      <c r="MV1" s="3" t="s">
        <v>0</v>
      </c>
      <c r="MW1" s="7" t="s">
        <v>12</v>
      </c>
      <c r="MX1" s="49" t="s">
        <v>687</v>
      </c>
      <c r="MY1" s="49" t="s">
        <v>916</v>
      </c>
      <c r="MZ1" s="49" t="s">
        <v>875</v>
      </c>
      <c r="NA1" s="8" t="s">
        <v>652</v>
      </c>
      <c r="NB1" s="9" t="s">
        <v>328</v>
      </c>
      <c r="NC1" s="9" t="s">
        <v>1</v>
      </c>
      <c r="ND1" s="9" t="s">
        <v>0</v>
      </c>
      <c r="NE1" s="22" t="s">
        <v>12</v>
      </c>
      <c r="NF1" s="49" t="s">
        <v>687</v>
      </c>
      <c r="NG1" s="3" t="s">
        <v>10</v>
      </c>
      <c r="NH1" s="3" t="s">
        <v>0</v>
      </c>
      <c r="NI1" s="22" t="s">
        <v>12</v>
      </c>
      <c r="NJ1" s="49" t="s">
        <v>687</v>
      </c>
      <c r="NK1" s="49" t="s">
        <v>916</v>
      </c>
      <c r="NL1" s="49" t="s">
        <v>875</v>
      </c>
      <c r="NM1" s="8" t="s">
        <v>653</v>
      </c>
      <c r="NN1" s="9" t="s">
        <v>328</v>
      </c>
      <c r="NO1" s="9" t="s">
        <v>1</v>
      </c>
      <c r="NP1" s="9" t="s">
        <v>0</v>
      </c>
      <c r="NQ1" s="22" t="s">
        <v>12</v>
      </c>
      <c r="NR1" s="49" t="s">
        <v>687</v>
      </c>
      <c r="NS1" s="3" t="s">
        <v>10</v>
      </c>
      <c r="NT1" s="3" t="s">
        <v>0</v>
      </c>
      <c r="NU1" s="22" t="s">
        <v>12</v>
      </c>
      <c r="NV1" s="49" t="s">
        <v>687</v>
      </c>
      <c r="NW1" s="49" t="s">
        <v>916</v>
      </c>
      <c r="NX1" s="49" t="s">
        <v>875</v>
      </c>
      <c r="NY1" s="8" t="s">
        <v>75</v>
      </c>
      <c r="NZ1" s="9" t="s">
        <v>328</v>
      </c>
      <c r="OA1" s="9" t="s">
        <v>1</v>
      </c>
      <c r="OB1" s="9" t="s">
        <v>0</v>
      </c>
      <c r="OC1" s="22" t="s">
        <v>12</v>
      </c>
      <c r="OD1" s="28" t="s">
        <v>687</v>
      </c>
      <c r="OE1" s="3" t="s">
        <v>10</v>
      </c>
      <c r="OF1" s="3" t="s">
        <v>0</v>
      </c>
      <c r="OG1" s="22" t="s">
        <v>12</v>
      </c>
      <c r="OH1" s="28" t="s">
        <v>687</v>
      </c>
      <c r="OI1" s="49" t="s">
        <v>916</v>
      </c>
      <c r="OJ1" s="49" t="s">
        <v>875</v>
      </c>
      <c r="OK1" s="8" t="s">
        <v>76</v>
      </c>
      <c r="OL1" s="9" t="s">
        <v>328</v>
      </c>
      <c r="OM1" s="9" t="s">
        <v>1</v>
      </c>
      <c r="ON1" s="9" t="s">
        <v>0</v>
      </c>
      <c r="OO1" s="7" t="s">
        <v>12</v>
      </c>
      <c r="OP1" s="3" t="s">
        <v>10</v>
      </c>
      <c r="OQ1" s="3" t="s">
        <v>0</v>
      </c>
      <c r="OR1" s="7" t="s">
        <v>12</v>
      </c>
      <c r="OS1" s="49" t="s">
        <v>916</v>
      </c>
      <c r="OT1" s="49" t="s">
        <v>875</v>
      </c>
      <c r="OU1" s="8" t="s">
        <v>27</v>
      </c>
      <c r="OV1" s="9" t="s">
        <v>328</v>
      </c>
      <c r="OW1" s="9" t="s">
        <v>1</v>
      </c>
      <c r="OX1" s="9" t="s">
        <v>0</v>
      </c>
      <c r="OY1" s="22" t="s">
        <v>12</v>
      </c>
      <c r="OZ1" s="3" t="s">
        <v>10</v>
      </c>
      <c r="PA1" s="3" t="s">
        <v>0</v>
      </c>
      <c r="PB1" s="22" t="s">
        <v>12</v>
      </c>
      <c r="PC1" s="49" t="s">
        <v>916</v>
      </c>
      <c r="PD1" s="49" t="s">
        <v>875</v>
      </c>
      <c r="PE1" s="8" t="s">
        <v>44</v>
      </c>
      <c r="PF1" s="9" t="s">
        <v>328</v>
      </c>
      <c r="PG1" s="9" t="s">
        <v>1</v>
      </c>
      <c r="PH1" s="9" t="s">
        <v>0</v>
      </c>
      <c r="PI1" s="22" t="s">
        <v>12</v>
      </c>
      <c r="PJ1" s="3" t="s">
        <v>10</v>
      </c>
      <c r="PK1" s="3" t="s">
        <v>0</v>
      </c>
      <c r="PL1" s="22" t="s">
        <v>12</v>
      </c>
      <c r="PM1" s="49" t="s">
        <v>916</v>
      </c>
      <c r="PN1" s="49" t="s">
        <v>875</v>
      </c>
      <c r="PO1" s="8" t="s">
        <v>46</v>
      </c>
      <c r="PP1" s="9" t="s">
        <v>328</v>
      </c>
      <c r="PQ1" s="9" t="s">
        <v>1</v>
      </c>
      <c r="PR1" s="9" t="s">
        <v>0</v>
      </c>
      <c r="PS1" s="22" t="s">
        <v>12</v>
      </c>
      <c r="PT1" s="3" t="s">
        <v>10</v>
      </c>
      <c r="PU1" s="3" t="s">
        <v>0</v>
      </c>
      <c r="PV1" s="22" t="s">
        <v>12</v>
      </c>
      <c r="PW1" s="49" t="s">
        <v>916</v>
      </c>
      <c r="PX1" s="49" t="s">
        <v>875</v>
      </c>
      <c r="PY1" s="8" t="s">
        <v>7</v>
      </c>
      <c r="PZ1" s="9" t="s">
        <v>1</v>
      </c>
      <c r="QA1" s="9" t="s">
        <v>0</v>
      </c>
      <c r="QB1" s="7" t="s">
        <v>12</v>
      </c>
      <c r="QC1" s="49" t="s">
        <v>687</v>
      </c>
      <c r="QD1" s="3" t="s">
        <v>10</v>
      </c>
      <c r="QE1" s="3" t="s">
        <v>0</v>
      </c>
      <c r="QF1" s="22" t="s">
        <v>12</v>
      </c>
      <c r="QG1" s="49" t="s">
        <v>687</v>
      </c>
      <c r="QH1" s="49" t="s">
        <v>916</v>
      </c>
      <c r="QI1" s="49" t="s">
        <v>875</v>
      </c>
      <c r="QJ1" s="6" t="s">
        <v>14</v>
      </c>
      <c r="QK1" s="9" t="s">
        <v>1</v>
      </c>
      <c r="QL1" s="9" t="s">
        <v>0</v>
      </c>
      <c r="QM1" s="22" t="s">
        <v>12</v>
      </c>
      <c r="QN1" s="3" t="s">
        <v>10</v>
      </c>
      <c r="QO1" s="3" t="s">
        <v>0</v>
      </c>
      <c r="QP1" s="22" t="s">
        <v>12</v>
      </c>
      <c r="QQ1" s="49" t="s">
        <v>916</v>
      </c>
      <c r="QR1" s="49" t="s">
        <v>875</v>
      </c>
      <c r="QS1" s="6" t="s">
        <v>221</v>
      </c>
      <c r="QT1" s="9" t="s">
        <v>328</v>
      </c>
      <c r="QU1" s="9" t="s">
        <v>1</v>
      </c>
      <c r="QV1" s="9" t="s">
        <v>0</v>
      </c>
      <c r="QW1" s="22" t="s">
        <v>12</v>
      </c>
      <c r="QX1" s="3" t="s">
        <v>10</v>
      </c>
      <c r="QY1" s="3" t="s">
        <v>0</v>
      </c>
      <c r="QZ1" s="22" t="s">
        <v>12</v>
      </c>
      <c r="RA1" s="6" t="s">
        <v>258</v>
      </c>
      <c r="RB1" s="9" t="s">
        <v>328</v>
      </c>
      <c r="RC1" s="9" t="s">
        <v>1</v>
      </c>
      <c r="RD1" s="9" t="s">
        <v>0</v>
      </c>
      <c r="RE1" s="22" t="s">
        <v>12</v>
      </c>
      <c r="RF1" s="3" t="s">
        <v>10</v>
      </c>
      <c r="RG1" s="3" t="s">
        <v>0</v>
      </c>
      <c r="RH1" s="22" t="s">
        <v>12</v>
      </c>
      <c r="RI1" s="6" t="s">
        <v>219</v>
      </c>
      <c r="RJ1" s="9" t="s">
        <v>328</v>
      </c>
      <c r="RK1" s="9" t="s">
        <v>1</v>
      </c>
      <c r="RL1" s="9" t="s">
        <v>0</v>
      </c>
      <c r="RM1" s="7" t="s">
        <v>12</v>
      </c>
      <c r="RN1" s="3" t="s">
        <v>10</v>
      </c>
      <c r="RO1" s="3" t="s">
        <v>0</v>
      </c>
      <c r="RP1" s="7" t="s">
        <v>12</v>
      </c>
      <c r="RQ1" s="6" t="s">
        <v>220</v>
      </c>
      <c r="RR1" s="9" t="s">
        <v>328</v>
      </c>
      <c r="RS1" s="9" t="s">
        <v>1</v>
      </c>
      <c r="RT1" s="9" t="s">
        <v>0</v>
      </c>
      <c r="RU1" s="7" t="s">
        <v>12</v>
      </c>
      <c r="RV1" s="3" t="s">
        <v>10</v>
      </c>
      <c r="RW1" s="3" t="s">
        <v>0</v>
      </c>
      <c r="RX1" s="7" t="s">
        <v>12</v>
      </c>
      <c r="RY1" s="6" t="s">
        <v>654</v>
      </c>
      <c r="RZ1" s="9" t="s">
        <v>328</v>
      </c>
      <c r="SA1" s="9" t="s">
        <v>1</v>
      </c>
      <c r="SB1" s="9" t="s">
        <v>0</v>
      </c>
      <c r="SC1" s="22" t="s">
        <v>12</v>
      </c>
      <c r="SD1" s="3" t="s">
        <v>10</v>
      </c>
      <c r="SE1" s="3" t="s">
        <v>0</v>
      </c>
      <c r="SF1" s="22" t="s">
        <v>12</v>
      </c>
      <c r="SG1" s="8" t="s">
        <v>13</v>
      </c>
      <c r="SH1" s="9" t="s">
        <v>328</v>
      </c>
      <c r="SI1" s="9" t="s">
        <v>1</v>
      </c>
      <c r="SJ1" s="9" t="s">
        <v>0</v>
      </c>
      <c r="SK1" s="22" t="s">
        <v>12</v>
      </c>
      <c r="SL1" s="49" t="s">
        <v>687</v>
      </c>
      <c r="SM1" s="3" t="s">
        <v>10</v>
      </c>
      <c r="SN1" s="3" t="s">
        <v>0</v>
      </c>
      <c r="SO1" s="22" t="s">
        <v>12</v>
      </c>
      <c r="SP1" s="49" t="s">
        <v>687</v>
      </c>
      <c r="SQ1" s="49" t="s">
        <v>916</v>
      </c>
      <c r="SR1" s="49" t="s">
        <v>875</v>
      </c>
      <c r="SS1" s="59" t="s">
        <v>65</v>
      </c>
      <c r="ST1" s="9" t="s">
        <v>328</v>
      </c>
      <c r="SU1" s="9" t="s">
        <v>1</v>
      </c>
      <c r="SV1" s="9" t="s">
        <v>0</v>
      </c>
      <c r="SW1" s="7" t="s">
        <v>12</v>
      </c>
      <c r="SX1" s="3" t="s">
        <v>10</v>
      </c>
      <c r="SY1" s="3" t="s">
        <v>0</v>
      </c>
      <c r="SZ1" s="7" t="s">
        <v>12</v>
      </c>
      <c r="TA1" s="49" t="s">
        <v>916</v>
      </c>
      <c r="TB1" s="1" t="s">
        <v>875</v>
      </c>
      <c r="TC1" s="59" t="s">
        <v>66</v>
      </c>
      <c r="TD1" s="9" t="s">
        <v>328</v>
      </c>
      <c r="TE1" s="9" t="s">
        <v>1</v>
      </c>
      <c r="TF1" s="9" t="s">
        <v>0</v>
      </c>
      <c r="TG1" s="7" t="s">
        <v>12</v>
      </c>
      <c r="TH1" s="3" t="s">
        <v>10</v>
      </c>
      <c r="TI1" s="3" t="s">
        <v>0</v>
      </c>
      <c r="TJ1" s="7" t="s">
        <v>12</v>
      </c>
      <c r="TK1" s="49" t="s">
        <v>916</v>
      </c>
      <c r="TL1" s="1" t="s">
        <v>875</v>
      </c>
      <c r="TM1" s="8" t="s">
        <v>681</v>
      </c>
      <c r="TN1" s="9" t="s">
        <v>328</v>
      </c>
      <c r="TO1" s="9" t="s">
        <v>1</v>
      </c>
      <c r="TP1" s="9" t="s">
        <v>0</v>
      </c>
      <c r="TQ1" s="7" t="s">
        <v>12</v>
      </c>
      <c r="TR1" s="3" t="s">
        <v>10</v>
      </c>
      <c r="TS1" s="3" t="s">
        <v>0</v>
      </c>
      <c r="TT1" s="7" t="s">
        <v>12</v>
      </c>
      <c r="TU1" s="49" t="s">
        <v>916</v>
      </c>
      <c r="TV1" s="1" t="s">
        <v>875</v>
      </c>
      <c r="TW1" s="8" t="s">
        <v>684</v>
      </c>
      <c r="TX1" s="9" t="s">
        <v>328</v>
      </c>
      <c r="TY1" s="9" t="s">
        <v>1</v>
      </c>
      <c r="TZ1" s="9" t="s">
        <v>0</v>
      </c>
      <c r="UA1" s="7" t="s">
        <v>12</v>
      </c>
      <c r="UB1" s="3" t="s">
        <v>10</v>
      </c>
      <c r="UC1" s="3" t="s">
        <v>0</v>
      </c>
      <c r="UD1" s="7" t="s">
        <v>12</v>
      </c>
      <c r="UE1" s="49" t="s">
        <v>916</v>
      </c>
      <c r="UF1" s="1" t="s">
        <v>875</v>
      </c>
      <c r="UG1" s="8" t="s">
        <v>685</v>
      </c>
      <c r="UH1" s="9" t="s">
        <v>328</v>
      </c>
      <c r="UI1" s="27" t="s">
        <v>1</v>
      </c>
      <c r="UJ1" s="27" t="s">
        <v>0</v>
      </c>
      <c r="UK1" s="22" t="s">
        <v>12</v>
      </c>
      <c r="UL1" s="28" t="s">
        <v>10</v>
      </c>
      <c r="UM1" s="28" t="s">
        <v>0</v>
      </c>
      <c r="UN1" s="22" t="s">
        <v>12</v>
      </c>
      <c r="UO1" s="28" t="s">
        <v>916</v>
      </c>
      <c r="UP1" s="1" t="s">
        <v>875</v>
      </c>
      <c r="UQ1" s="9" t="s">
        <v>328</v>
      </c>
      <c r="UR1" s="27" t="s">
        <v>1</v>
      </c>
      <c r="US1" s="27" t="s">
        <v>0</v>
      </c>
      <c r="UT1" s="22" t="s">
        <v>12</v>
      </c>
      <c r="UU1" s="28" t="s">
        <v>10</v>
      </c>
      <c r="UV1" s="28" t="s">
        <v>0</v>
      </c>
      <c r="UW1" s="22" t="s">
        <v>12</v>
      </c>
      <c r="UX1" s="28" t="s">
        <v>916</v>
      </c>
      <c r="UY1" s="1" t="s">
        <v>875</v>
      </c>
      <c r="UZ1" s="8" t="s">
        <v>686</v>
      </c>
      <c r="VA1" s="9" t="s">
        <v>328</v>
      </c>
      <c r="VB1" s="27" t="s">
        <v>1</v>
      </c>
      <c r="VC1" s="27" t="s">
        <v>0</v>
      </c>
      <c r="VD1" s="22" t="s">
        <v>12</v>
      </c>
      <c r="VE1" s="28" t="s">
        <v>10</v>
      </c>
      <c r="VF1" s="28" t="s">
        <v>0</v>
      </c>
      <c r="VG1" s="22" t="s">
        <v>12</v>
      </c>
      <c r="VH1" s="9" t="s">
        <v>328</v>
      </c>
      <c r="VI1" s="27" t="s">
        <v>1</v>
      </c>
      <c r="VJ1" s="27" t="s">
        <v>0</v>
      </c>
      <c r="VK1" s="22" t="s">
        <v>12</v>
      </c>
      <c r="VL1" s="28" t="s">
        <v>10</v>
      </c>
      <c r="VM1" s="28" t="s">
        <v>0</v>
      </c>
      <c r="VN1" s="22" t="s">
        <v>12</v>
      </c>
      <c r="VO1" s="8" t="s">
        <v>682</v>
      </c>
      <c r="VP1" s="9" t="s">
        <v>328</v>
      </c>
      <c r="VQ1" s="27" t="s">
        <v>1</v>
      </c>
      <c r="VR1" s="27" t="s">
        <v>0</v>
      </c>
      <c r="VS1" s="22" t="s">
        <v>12</v>
      </c>
      <c r="VT1" s="28" t="s">
        <v>10</v>
      </c>
      <c r="VU1" s="28" t="s">
        <v>0</v>
      </c>
      <c r="VV1" s="22" t="s">
        <v>12</v>
      </c>
      <c r="VW1" s="28" t="s">
        <v>916</v>
      </c>
      <c r="VX1" s="28" t="s">
        <v>875</v>
      </c>
      <c r="VY1" s="8" t="s">
        <v>683</v>
      </c>
      <c r="VZ1" s="9" t="s">
        <v>328</v>
      </c>
      <c r="WA1" s="27" t="s">
        <v>1</v>
      </c>
      <c r="WB1" s="27" t="s">
        <v>0</v>
      </c>
      <c r="WC1" s="22" t="s">
        <v>12</v>
      </c>
      <c r="WD1" s="28" t="s">
        <v>10</v>
      </c>
      <c r="WE1" s="28" t="s">
        <v>0</v>
      </c>
      <c r="WF1" s="22" t="s">
        <v>12</v>
      </c>
      <c r="WG1" s="28" t="s">
        <v>916</v>
      </c>
      <c r="WH1" s="28" t="s">
        <v>875</v>
      </c>
    </row>
    <row r="2" spans="1:606" ht="18" customHeight="1" x14ac:dyDescent="0.3">
      <c r="A2" s="11">
        <v>1</v>
      </c>
      <c r="B2" s="12" t="s">
        <v>931</v>
      </c>
      <c r="C2" s="12" t="s">
        <v>26</v>
      </c>
      <c r="D2" s="12" t="s">
        <v>54</v>
      </c>
      <c r="E2" s="39" t="s">
        <v>37</v>
      </c>
      <c r="F2" s="14">
        <v>0</v>
      </c>
      <c r="G2" s="14">
        <v>0</v>
      </c>
      <c r="H2" s="12" t="s">
        <v>79</v>
      </c>
      <c r="I2" s="29">
        <v>48.064999999999998</v>
      </c>
      <c r="J2" s="29">
        <v>128.51</v>
      </c>
      <c r="K2" s="12" t="s">
        <v>688</v>
      </c>
      <c r="L2" s="12" t="s">
        <v>689</v>
      </c>
      <c r="M2" s="13" t="s">
        <v>48</v>
      </c>
      <c r="N2" s="14">
        <v>0.4</v>
      </c>
      <c r="O2" s="14">
        <v>630</v>
      </c>
      <c r="P2" s="14" t="s">
        <v>16</v>
      </c>
      <c r="Q2" s="75">
        <v>10</v>
      </c>
      <c r="R2" s="11" t="s">
        <v>37</v>
      </c>
      <c r="S2" s="12" t="s">
        <v>51</v>
      </c>
      <c r="T2" s="12" t="s">
        <v>876</v>
      </c>
      <c r="U2" s="12" t="s">
        <v>158</v>
      </c>
      <c r="V2" s="12" t="s">
        <v>275</v>
      </c>
      <c r="W2" s="23" t="s">
        <v>38</v>
      </c>
      <c r="X2" s="12" t="s">
        <v>280</v>
      </c>
      <c r="Y2" s="12" t="s">
        <v>68</v>
      </c>
      <c r="Z2" s="12" t="s">
        <v>37</v>
      </c>
      <c r="AB2" s="12" t="s">
        <v>37</v>
      </c>
      <c r="AE2" s="12" t="s">
        <v>37</v>
      </c>
      <c r="AH2" s="12" t="s">
        <v>37</v>
      </c>
      <c r="AK2" s="12" t="s">
        <v>37</v>
      </c>
      <c r="AL2" s="32" t="s">
        <v>55</v>
      </c>
      <c r="AM2" s="12" t="s">
        <v>344</v>
      </c>
      <c r="AO2" s="12" t="s">
        <v>37</v>
      </c>
      <c r="AP2" s="12" t="s">
        <v>602</v>
      </c>
      <c r="AQ2" s="12" t="s">
        <v>975</v>
      </c>
      <c r="AT2" s="12" t="s">
        <v>326</v>
      </c>
      <c r="AU2" s="12" t="s">
        <v>326</v>
      </c>
      <c r="AV2" s="13" t="s">
        <v>326</v>
      </c>
      <c r="AX2" s="12" t="s">
        <v>326</v>
      </c>
      <c r="AY2" s="12" t="s">
        <v>326</v>
      </c>
      <c r="AZ2" s="13" t="s">
        <v>326</v>
      </c>
      <c r="BE2" s="12" t="s">
        <v>326</v>
      </c>
      <c r="BF2" s="12" t="s">
        <v>326</v>
      </c>
      <c r="BG2" s="12" t="s">
        <v>326</v>
      </c>
      <c r="BI2" s="12" t="s">
        <v>326</v>
      </c>
      <c r="BJ2" s="12" t="s">
        <v>326</v>
      </c>
      <c r="BK2" s="12" t="s">
        <v>326</v>
      </c>
      <c r="BP2" s="12" t="s">
        <v>37</v>
      </c>
      <c r="BQ2" s="12" t="s">
        <v>37</v>
      </c>
      <c r="BR2" s="13" t="s">
        <v>37</v>
      </c>
      <c r="BT2" s="12" t="s">
        <v>37</v>
      </c>
      <c r="BU2" s="12" t="s">
        <v>37</v>
      </c>
      <c r="BV2" s="12" t="s">
        <v>37</v>
      </c>
      <c r="CA2" s="12" t="s">
        <v>37</v>
      </c>
      <c r="CB2" s="12" t="s">
        <v>37</v>
      </c>
      <c r="CC2" s="13" t="s">
        <v>37</v>
      </c>
      <c r="CE2" s="12" t="s">
        <v>37</v>
      </c>
      <c r="CF2" s="12" t="s">
        <v>37</v>
      </c>
      <c r="CG2" s="13" t="s">
        <v>37</v>
      </c>
      <c r="CJ2" s="12"/>
      <c r="CN2" s="12" t="s">
        <v>37</v>
      </c>
      <c r="CO2" s="12" t="s">
        <v>37</v>
      </c>
      <c r="CP2" s="13" t="s">
        <v>37</v>
      </c>
      <c r="CR2" s="12" t="s">
        <v>37</v>
      </c>
      <c r="CS2" s="12" t="s">
        <v>37</v>
      </c>
      <c r="CT2" s="13" t="s">
        <v>37</v>
      </c>
      <c r="CW2" s="12"/>
      <c r="CX2" s="72"/>
      <c r="CY2" s="72"/>
      <c r="CZ2" s="12" t="s">
        <v>47</v>
      </c>
      <c r="DA2" s="12">
        <f>-2.08*10^3</f>
        <v>-2080</v>
      </c>
      <c r="DB2" s="15">
        <f>0.2*10^3</f>
        <v>200</v>
      </c>
      <c r="DC2" s="13">
        <v>4</v>
      </c>
      <c r="DD2" s="19">
        <f>DB2/ABS(DA2)</f>
        <v>9.6153846153846159E-2</v>
      </c>
      <c r="DE2" s="12">
        <f>-0.72*10^3</f>
        <v>-720</v>
      </c>
      <c r="DF2" s="15">
        <f>0.58*10^3</f>
        <v>580</v>
      </c>
      <c r="DG2" s="13">
        <v>4</v>
      </c>
      <c r="DH2" s="19">
        <f>DF2/ABS(DE2)</f>
        <v>0.80555555555555558</v>
      </c>
      <c r="DI2" s="19">
        <f t="shared" ref="DI2:DI3" si="0">DE2-DA2</f>
        <v>1360</v>
      </c>
      <c r="DJ2" s="12">
        <f>SQRT(((DC2-1)*DB2^2+(DG2-1)*DF2^2)/(DC2+DG2-2))</f>
        <v>433.82023926967724</v>
      </c>
      <c r="DK2" s="72">
        <f>(((DC2+DG2)/(DC2*DG2))*(((DC2-1)*DB2^2)+(DG2-1)*DF2^2)/(DC2+DG2-2))</f>
        <v>94100</v>
      </c>
      <c r="DL2" s="72">
        <f>(DB2^2/DC2)+(DF2^2/DG2)</f>
        <v>94100</v>
      </c>
      <c r="DM2" s="15" t="s">
        <v>47</v>
      </c>
      <c r="DN2" s="19">
        <v>155.93</v>
      </c>
      <c r="DO2" s="12">
        <v>91.89</v>
      </c>
      <c r="DP2" s="13">
        <v>3</v>
      </c>
      <c r="DQ2" s="19">
        <f t="shared" ref="DQ2:DQ3" si="1">DO2/ABS(DN2)</f>
        <v>0.58930289232347843</v>
      </c>
      <c r="DR2" s="52">
        <f>-0.613*0.65+(-0.35*0.35)</f>
        <v>-0.52095000000000002</v>
      </c>
      <c r="DS2" s="15">
        <f>SQRT(0.526^2*0.65^2+0.7^2*0.35^2)</f>
        <v>0.42061931719786716</v>
      </c>
      <c r="DT2" s="18">
        <v>3</v>
      </c>
      <c r="DU2" s="19">
        <f t="shared" ref="DU2:DU3" si="2">DS2/ABS(DR2)</f>
        <v>0.80740822957647973</v>
      </c>
      <c r="DV2" s="19">
        <f t="shared" ref="DV2:DV17" si="3">DR2-DN2</f>
        <v>-156.45095000000001</v>
      </c>
      <c r="DW2" s="12">
        <f>SQRT(((DP2-1)*DO2^2+(DT2-1)*DS2^2)/(DP2+DT2-2))</f>
        <v>64.976722834450499</v>
      </c>
      <c r="DX2" s="72">
        <f>(((DP2+DT2)/(DP2*DT2))*(((DP2-1)*DO2^2)+(DT2-1)*DS2^2)/(DP2+DT2-2))</f>
        <v>2814.6496735366663</v>
      </c>
      <c r="DY2" s="72">
        <f>(DO2^2/DP2)+(DS2^2/DT2)</f>
        <v>2814.6496735366668</v>
      </c>
      <c r="DZ2" s="15"/>
      <c r="EA2" s="19" t="s">
        <v>37</v>
      </c>
      <c r="EB2" s="19" t="s">
        <v>37</v>
      </c>
      <c r="EC2" s="72" t="s">
        <v>37</v>
      </c>
      <c r="EE2" s="19" t="s">
        <v>37</v>
      </c>
      <c r="EF2" s="19" t="s">
        <v>37</v>
      </c>
      <c r="EG2" s="11" t="s">
        <v>37</v>
      </c>
      <c r="EN2" s="11" t="s">
        <v>37</v>
      </c>
      <c r="EO2" s="11" t="s">
        <v>37</v>
      </c>
      <c r="EP2" s="13" t="s">
        <v>37</v>
      </c>
      <c r="ER2" s="11" t="s">
        <v>37</v>
      </c>
      <c r="ES2" s="11" t="s">
        <v>37</v>
      </c>
      <c r="ET2" s="13" t="s">
        <v>37</v>
      </c>
      <c r="FB2" s="11" t="s">
        <v>37</v>
      </c>
      <c r="FC2" s="11" t="s">
        <v>37</v>
      </c>
      <c r="FD2" s="11" t="s">
        <v>37</v>
      </c>
      <c r="FE2" s="12" t="s">
        <v>37</v>
      </c>
      <c r="FF2" s="20" t="s">
        <v>37</v>
      </c>
      <c r="FG2" s="11" t="s">
        <v>37</v>
      </c>
      <c r="FI2" s="11" t="s">
        <v>37</v>
      </c>
      <c r="FJ2" s="11" t="s">
        <v>37</v>
      </c>
      <c r="FK2" s="11" t="s">
        <v>37</v>
      </c>
      <c r="FL2" s="13" t="s">
        <v>37</v>
      </c>
      <c r="FM2" s="11" t="s">
        <v>37</v>
      </c>
      <c r="FN2" s="11" t="s">
        <v>37</v>
      </c>
      <c r="FP2" s="11" t="s">
        <v>37</v>
      </c>
      <c r="FQ2" s="11" t="s">
        <v>37</v>
      </c>
      <c r="FR2" s="11" t="s">
        <v>37</v>
      </c>
      <c r="FS2" s="13" t="s">
        <v>37</v>
      </c>
      <c r="FT2" s="11" t="s">
        <v>37</v>
      </c>
      <c r="FU2" s="11" t="s">
        <v>37</v>
      </c>
      <c r="FW2" s="11" t="s">
        <v>37</v>
      </c>
      <c r="FX2" s="11" t="s">
        <v>37</v>
      </c>
      <c r="FY2" s="11" t="s">
        <v>37</v>
      </c>
      <c r="FZ2" s="13" t="s">
        <v>37</v>
      </c>
      <c r="GA2" s="11" t="s">
        <v>37</v>
      </c>
      <c r="GB2" s="11" t="s">
        <v>37</v>
      </c>
      <c r="GE2" s="11"/>
      <c r="GF2" s="11"/>
      <c r="GI2" s="11"/>
      <c r="GJ2" s="11"/>
      <c r="GQ2" s="11"/>
      <c r="GR2" s="11"/>
      <c r="GU2" s="11"/>
      <c r="GV2" s="11"/>
      <c r="HD2" s="11"/>
      <c r="HG2" s="11"/>
      <c r="HH2" s="11"/>
      <c r="HX2" s="32"/>
      <c r="IK2" s="12" t="s">
        <v>37</v>
      </c>
      <c r="IL2" s="12" t="s">
        <v>37</v>
      </c>
      <c r="IM2" s="13" t="s">
        <v>37</v>
      </c>
      <c r="IO2" s="12" t="s">
        <v>37</v>
      </c>
      <c r="IP2" s="12" t="s">
        <v>37</v>
      </c>
      <c r="IQ2" s="13" t="s">
        <v>37</v>
      </c>
      <c r="IW2" s="12" t="s">
        <v>37</v>
      </c>
      <c r="IX2" s="11" t="s">
        <v>37</v>
      </c>
      <c r="IY2" s="13" t="s">
        <v>37</v>
      </c>
      <c r="JA2" s="11" t="s">
        <v>37</v>
      </c>
      <c r="JB2" s="11" t="s">
        <v>37</v>
      </c>
      <c r="JC2" s="13" t="s">
        <v>37</v>
      </c>
      <c r="JH2" s="12" t="s">
        <v>37</v>
      </c>
      <c r="JI2" s="12" t="s">
        <v>37</v>
      </c>
      <c r="JJ2" s="13" t="s">
        <v>37</v>
      </c>
      <c r="JL2" s="12" t="s">
        <v>37</v>
      </c>
      <c r="JM2" s="12" t="s">
        <v>37</v>
      </c>
      <c r="JN2" s="12" t="s">
        <v>37</v>
      </c>
      <c r="JS2" s="12" t="s">
        <v>37</v>
      </c>
      <c r="JT2" s="12" t="s">
        <v>37</v>
      </c>
      <c r="JU2" s="13" t="s">
        <v>37</v>
      </c>
      <c r="JW2" s="12" t="s">
        <v>37</v>
      </c>
      <c r="JX2" s="12" t="s">
        <v>37</v>
      </c>
      <c r="JY2" s="12" t="s">
        <v>37</v>
      </c>
      <c r="KE2" s="11" t="s">
        <v>37</v>
      </c>
      <c r="KF2" s="11" t="s">
        <v>37</v>
      </c>
      <c r="KG2" s="13" t="s">
        <v>37</v>
      </c>
      <c r="KH2" s="11" t="s">
        <v>37</v>
      </c>
      <c r="KI2" s="11" t="s">
        <v>37</v>
      </c>
      <c r="KJ2" s="11" t="s">
        <v>37</v>
      </c>
      <c r="KM2" s="12" t="s">
        <v>37</v>
      </c>
      <c r="KN2" s="11" t="s">
        <v>37</v>
      </c>
      <c r="KO2" s="11" t="s">
        <v>37</v>
      </c>
      <c r="KQ2" s="11" t="s">
        <v>37</v>
      </c>
      <c r="KR2" s="11" t="s">
        <v>37</v>
      </c>
      <c r="KS2" s="13" t="s">
        <v>37</v>
      </c>
      <c r="KX2" s="16" t="s">
        <v>37</v>
      </c>
      <c r="KY2" s="16" t="s">
        <v>37</v>
      </c>
      <c r="KZ2" s="13" t="s">
        <v>37</v>
      </c>
      <c r="LB2" s="16" t="s">
        <v>37</v>
      </c>
      <c r="LC2" s="16" t="s">
        <v>37</v>
      </c>
      <c r="LD2" s="13" t="s">
        <v>37</v>
      </c>
      <c r="LI2" s="12" t="s">
        <v>37</v>
      </c>
      <c r="LJ2" s="12" t="s">
        <v>37</v>
      </c>
      <c r="LK2" s="12" t="s">
        <v>37</v>
      </c>
      <c r="LM2" s="12" t="s">
        <v>37</v>
      </c>
      <c r="LN2" s="12" t="s">
        <v>37</v>
      </c>
      <c r="LO2" s="12" t="s">
        <v>37</v>
      </c>
      <c r="LU2" s="12" t="s">
        <v>37</v>
      </c>
      <c r="LV2" s="12" t="s">
        <v>37</v>
      </c>
      <c r="LW2" s="13" t="s">
        <v>37</v>
      </c>
      <c r="LY2" s="12" t="s">
        <v>37</v>
      </c>
      <c r="LZ2" s="12" t="s">
        <v>37</v>
      </c>
      <c r="MA2" s="11" t="s">
        <v>37</v>
      </c>
      <c r="MF2" s="12" t="s">
        <v>37</v>
      </c>
      <c r="MG2" s="12" t="s">
        <v>37</v>
      </c>
      <c r="MH2" s="12" t="s">
        <v>37</v>
      </c>
      <c r="MJ2" s="12" t="s">
        <v>37</v>
      </c>
      <c r="MK2" s="12" t="s">
        <v>37</v>
      </c>
      <c r="ML2" s="12" t="s">
        <v>37</v>
      </c>
      <c r="MQ2" s="12" t="s">
        <v>37</v>
      </c>
      <c r="MR2" s="12" t="s">
        <v>37</v>
      </c>
      <c r="MS2" s="12" t="s">
        <v>37</v>
      </c>
      <c r="MU2" s="12" t="s">
        <v>37</v>
      </c>
      <c r="MV2" s="12" t="s">
        <v>37</v>
      </c>
      <c r="MW2" s="12" t="s">
        <v>37</v>
      </c>
      <c r="NC2" s="11" t="s">
        <v>37</v>
      </c>
      <c r="ND2" s="11" t="s">
        <v>37</v>
      </c>
      <c r="NE2" s="13" t="s">
        <v>37</v>
      </c>
      <c r="NG2" s="11" t="s">
        <v>37</v>
      </c>
      <c r="NH2" s="11" t="s">
        <v>37</v>
      </c>
      <c r="NI2" s="13" t="s">
        <v>37</v>
      </c>
      <c r="NO2" s="11" t="s">
        <v>37</v>
      </c>
      <c r="NP2" s="11" t="s">
        <v>37</v>
      </c>
      <c r="NQ2" s="13" t="s">
        <v>37</v>
      </c>
      <c r="NS2" s="11" t="s">
        <v>37</v>
      </c>
      <c r="NT2" s="11" t="s">
        <v>37</v>
      </c>
      <c r="NU2" s="13" t="s">
        <v>37</v>
      </c>
      <c r="OA2" s="11" t="s">
        <v>37</v>
      </c>
      <c r="OB2" s="11" t="s">
        <v>37</v>
      </c>
      <c r="OC2" s="13" t="s">
        <v>37</v>
      </c>
      <c r="OE2" s="11" t="s">
        <v>37</v>
      </c>
      <c r="OF2" s="11" t="s">
        <v>37</v>
      </c>
      <c r="OG2" s="13" t="s">
        <v>37</v>
      </c>
      <c r="OM2" s="11" t="s">
        <v>37</v>
      </c>
      <c r="ON2" s="11" t="s">
        <v>37</v>
      </c>
      <c r="OO2" s="11" t="s">
        <v>37</v>
      </c>
      <c r="OP2" s="11" t="s">
        <v>37</v>
      </c>
      <c r="OQ2" s="11" t="s">
        <v>37</v>
      </c>
      <c r="OR2" s="11" t="s">
        <v>37</v>
      </c>
      <c r="OW2" s="11" t="s">
        <v>37</v>
      </c>
      <c r="OX2" s="11" t="s">
        <v>37</v>
      </c>
      <c r="OY2" s="13" t="s">
        <v>37</v>
      </c>
      <c r="OZ2" s="11" t="s">
        <v>37</v>
      </c>
      <c r="PA2" s="11" t="s">
        <v>37</v>
      </c>
      <c r="PB2" s="13" t="s">
        <v>37</v>
      </c>
      <c r="PG2" s="11" t="s">
        <v>37</v>
      </c>
      <c r="PH2" s="11" t="s">
        <v>37</v>
      </c>
      <c r="PI2" s="13" t="s">
        <v>37</v>
      </c>
      <c r="PJ2" s="11" t="s">
        <v>37</v>
      </c>
      <c r="PK2" s="11" t="s">
        <v>37</v>
      </c>
      <c r="PL2" s="13" t="s">
        <v>37</v>
      </c>
      <c r="PQ2" s="11" t="s">
        <v>37</v>
      </c>
      <c r="PR2" s="11" t="s">
        <v>37</v>
      </c>
      <c r="PS2" s="13" t="s">
        <v>37</v>
      </c>
      <c r="PT2" s="11" t="s">
        <v>37</v>
      </c>
      <c r="PU2" s="11" t="s">
        <v>37</v>
      </c>
      <c r="PV2" s="13" t="s">
        <v>37</v>
      </c>
      <c r="PZ2" s="11" t="s">
        <v>37</v>
      </c>
      <c r="QA2" s="11" t="s">
        <v>37</v>
      </c>
      <c r="QB2" s="11" t="s">
        <v>37</v>
      </c>
      <c r="QD2" s="11" t="s">
        <v>37</v>
      </c>
      <c r="QE2" s="11" t="s">
        <v>37</v>
      </c>
      <c r="QF2" s="13" t="s">
        <v>37</v>
      </c>
      <c r="QK2" s="11" t="s">
        <v>37</v>
      </c>
      <c r="QL2" s="11" t="s">
        <v>37</v>
      </c>
      <c r="QM2" s="13" t="s">
        <v>37</v>
      </c>
      <c r="QN2" s="11" t="s">
        <v>37</v>
      </c>
      <c r="QO2" s="11" t="s">
        <v>37</v>
      </c>
      <c r="QP2" s="13" t="s">
        <v>37</v>
      </c>
      <c r="QU2" s="11" t="s">
        <v>37</v>
      </c>
      <c r="QV2" s="11" t="s">
        <v>37</v>
      </c>
      <c r="QW2" s="13" t="s">
        <v>37</v>
      </c>
      <c r="QX2" s="11" t="s">
        <v>37</v>
      </c>
      <c r="QY2" s="11" t="s">
        <v>37</v>
      </c>
      <c r="QZ2" s="13" t="s">
        <v>37</v>
      </c>
      <c r="RC2" s="12" t="s">
        <v>37</v>
      </c>
      <c r="RD2" s="12" t="s">
        <v>37</v>
      </c>
      <c r="RE2" s="13" t="s">
        <v>37</v>
      </c>
      <c r="RF2" s="12" t="s">
        <v>37</v>
      </c>
      <c r="RG2" s="12" t="s">
        <v>37</v>
      </c>
      <c r="RH2" s="13" t="s">
        <v>37</v>
      </c>
      <c r="RK2" s="11" t="s">
        <v>37</v>
      </c>
      <c r="RL2" s="11" t="s">
        <v>37</v>
      </c>
      <c r="RM2" s="11" t="s">
        <v>37</v>
      </c>
      <c r="RN2" s="11" t="s">
        <v>37</v>
      </c>
      <c r="RO2" s="11" t="s">
        <v>37</v>
      </c>
      <c r="RP2" s="11" t="s">
        <v>37</v>
      </c>
      <c r="RS2" s="11" t="s">
        <v>37</v>
      </c>
      <c r="RT2" s="11" t="s">
        <v>37</v>
      </c>
      <c r="RU2" s="11" t="s">
        <v>37</v>
      </c>
      <c r="RV2" s="11" t="s">
        <v>37</v>
      </c>
      <c r="RW2" s="11" t="s">
        <v>37</v>
      </c>
      <c r="RX2" s="11" t="s">
        <v>37</v>
      </c>
      <c r="SA2" s="11" t="s">
        <v>37</v>
      </c>
      <c r="SB2" s="11" t="s">
        <v>37</v>
      </c>
      <c r="SC2" s="13" t="s">
        <v>37</v>
      </c>
      <c r="SD2" s="11" t="s">
        <v>37</v>
      </c>
      <c r="SE2" s="11" t="s">
        <v>37</v>
      </c>
      <c r="SF2" s="13" t="s">
        <v>37</v>
      </c>
      <c r="SI2" s="12" t="s">
        <v>37</v>
      </c>
      <c r="SJ2" s="11" t="s">
        <v>37</v>
      </c>
      <c r="SK2" s="13" t="s">
        <v>37</v>
      </c>
      <c r="SM2" s="11" t="s">
        <v>37</v>
      </c>
      <c r="SN2" s="11" t="s">
        <v>37</v>
      </c>
      <c r="SO2" s="13" t="s">
        <v>37</v>
      </c>
      <c r="SU2" s="12" t="s">
        <v>37</v>
      </c>
      <c r="SV2" s="12" t="s">
        <v>37</v>
      </c>
      <c r="SW2" s="11" t="s">
        <v>37</v>
      </c>
      <c r="SX2" s="12" t="s">
        <v>37</v>
      </c>
      <c r="SY2" s="12" t="s">
        <v>37</v>
      </c>
      <c r="SZ2" s="11" t="s">
        <v>37</v>
      </c>
      <c r="TE2" s="12" t="s">
        <v>37</v>
      </c>
      <c r="TF2" s="12" t="s">
        <v>37</v>
      </c>
      <c r="TG2" s="11" t="s">
        <v>37</v>
      </c>
      <c r="TH2" s="12" t="s">
        <v>37</v>
      </c>
      <c r="TI2" s="12" t="s">
        <v>37</v>
      </c>
      <c r="TJ2" s="11" t="s">
        <v>37</v>
      </c>
      <c r="TO2" s="12" t="s">
        <v>37</v>
      </c>
      <c r="TP2" s="12" t="s">
        <v>37</v>
      </c>
      <c r="TQ2" s="11" t="s">
        <v>37</v>
      </c>
      <c r="TR2" s="12" t="s">
        <v>37</v>
      </c>
      <c r="TS2" s="12" t="s">
        <v>37</v>
      </c>
      <c r="TT2" s="11" t="s">
        <v>37</v>
      </c>
      <c r="TY2" s="12" t="s">
        <v>37</v>
      </c>
      <c r="TZ2" s="12" t="s">
        <v>37</v>
      </c>
      <c r="UA2" s="11" t="s">
        <v>37</v>
      </c>
      <c r="UB2" s="12" t="s">
        <v>37</v>
      </c>
      <c r="UC2" s="12" t="s">
        <v>37</v>
      </c>
      <c r="UD2" s="11" t="s">
        <v>37</v>
      </c>
      <c r="UI2" s="12" t="s">
        <v>37</v>
      </c>
      <c r="UJ2" s="12" t="s">
        <v>37</v>
      </c>
      <c r="UK2" s="13" t="s">
        <v>37</v>
      </c>
      <c r="UL2" s="12" t="s">
        <v>37</v>
      </c>
      <c r="UM2" s="12" t="s">
        <v>37</v>
      </c>
      <c r="UN2" s="13" t="s">
        <v>37</v>
      </c>
      <c r="UR2" s="12" t="s">
        <v>37</v>
      </c>
      <c r="US2" s="12" t="s">
        <v>37</v>
      </c>
      <c r="UT2" s="13" t="s">
        <v>37</v>
      </c>
      <c r="UU2" s="12" t="s">
        <v>37</v>
      </c>
      <c r="UV2" s="12" t="s">
        <v>37</v>
      </c>
      <c r="UW2" s="13" t="s">
        <v>37</v>
      </c>
      <c r="VB2" s="12" t="s">
        <v>37</v>
      </c>
      <c r="VC2" s="12" t="s">
        <v>37</v>
      </c>
      <c r="VD2" s="13" t="s">
        <v>37</v>
      </c>
      <c r="VE2" s="12" t="s">
        <v>37</v>
      </c>
      <c r="VF2" s="12" t="s">
        <v>37</v>
      </c>
      <c r="VG2" s="13" t="s">
        <v>37</v>
      </c>
      <c r="VI2" s="12" t="s">
        <v>37</v>
      </c>
      <c r="VJ2" s="12" t="s">
        <v>37</v>
      </c>
      <c r="VK2" s="13" t="s">
        <v>37</v>
      </c>
      <c r="VL2" s="12" t="s">
        <v>37</v>
      </c>
      <c r="VM2" s="12" t="s">
        <v>37</v>
      </c>
      <c r="VN2" s="13" t="s">
        <v>37</v>
      </c>
      <c r="VO2" s="12" t="s">
        <v>37</v>
      </c>
      <c r="VQ2" s="12" t="s">
        <v>37</v>
      </c>
      <c r="VR2" s="12" t="s">
        <v>37</v>
      </c>
      <c r="VS2" s="12" t="s">
        <v>37</v>
      </c>
      <c r="VT2" s="12" t="s">
        <v>37</v>
      </c>
      <c r="VU2" s="12" t="s">
        <v>37</v>
      </c>
      <c r="VV2" s="12" t="s">
        <v>37</v>
      </c>
      <c r="VW2" s="12"/>
      <c r="VX2" s="12"/>
      <c r="WA2" s="13" t="s">
        <v>37</v>
      </c>
      <c r="WB2" s="13" t="s">
        <v>37</v>
      </c>
      <c r="WC2" s="13" t="s">
        <v>37</v>
      </c>
      <c r="WD2" s="13" t="s">
        <v>37</v>
      </c>
      <c r="WE2" s="13" t="s">
        <v>37</v>
      </c>
      <c r="WF2" s="13" t="s">
        <v>37</v>
      </c>
    </row>
    <row r="3" spans="1:606" ht="18" customHeight="1" x14ac:dyDescent="0.3">
      <c r="A3" s="11">
        <v>1</v>
      </c>
      <c r="B3" s="12" t="s">
        <v>931</v>
      </c>
      <c r="C3" s="12" t="s">
        <v>26</v>
      </c>
      <c r="D3" s="12" t="s">
        <v>54</v>
      </c>
      <c r="E3" s="39" t="s">
        <v>37</v>
      </c>
      <c r="F3" s="14">
        <v>0</v>
      </c>
      <c r="G3" s="14">
        <v>0</v>
      </c>
      <c r="H3" s="12" t="s">
        <v>79</v>
      </c>
      <c r="I3" s="29">
        <v>48.064999999999998</v>
      </c>
      <c r="J3" s="29">
        <v>128.51</v>
      </c>
      <c r="K3" s="12" t="s">
        <v>688</v>
      </c>
      <c r="L3" s="12" t="s">
        <v>689</v>
      </c>
      <c r="M3" s="13" t="s">
        <v>48</v>
      </c>
      <c r="N3" s="14">
        <v>0.4</v>
      </c>
      <c r="O3" s="14">
        <v>630</v>
      </c>
      <c r="P3" s="14" t="s">
        <v>16</v>
      </c>
      <c r="Q3" s="75">
        <v>30</v>
      </c>
      <c r="R3" s="11" t="s">
        <v>37</v>
      </c>
      <c r="S3" s="12" t="s">
        <v>51</v>
      </c>
      <c r="T3" s="12" t="s">
        <v>876</v>
      </c>
      <c r="U3" s="12" t="s">
        <v>158</v>
      </c>
      <c r="V3" s="12" t="s">
        <v>275</v>
      </c>
      <c r="W3" s="23" t="s">
        <v>38</v>
      </c>
      <c r="X3" s="12" t="s">
        <v>280</v>
      </c>
      <c r="Y3" s="12" t="s">
        <v>68</v>
      </c>
      <c r="Z3" s="12" t="s">
        <v>37</v>
      </c>
      <c r="AB3" s="12" t="s">
        <v>37</v>
      </c>
      <c r="AE3" s="12" t="s">
        <v>37</v>
      </c>
      <c r="AH3" s="12" t="s">
        <v>37</v>
      </c>
      <c r="AK3" s="12" t="s">
        <v>37</v>
      </c>
      <c r="AL3" s="32" t="s">
        <v>55</v>
      </c>
      <c r="AM3" s="12" t="s">
        <v>344</v>
      </c>
      <c r="AO3" s="12" t="s">
        <v>37</v>
      </c>
      <c r="AP3" s="12" t="s">
        <v>602</v>
      </c>
      <c r="AQ3" s="12" t="s">
        <v>975</v>
      </c>
      <c r="AT3" s="12" t="s">
        <v>326</v>
      </c>
      <c r="AU3" s="12" t="s">
        <v>326</v>
      </c>
      <c r="AV3" s="13" t="s">
        <v>326</v>
      </c>
      <c r="AX3" s="12" t="s">
        <v>326</v>
      </c>
      <c r="AY3" s="12" t="s">
        <v>326</v>
      </c>
      <c r="AZ3" s="13" t="s">
        <v>326</v>
      </c>
      <c r="BE3" s="12" t="s">
        <v>326</v>
      </c>
      <c r="BF3" s="12" t="s">
        <v>326</v>
      </c>
      <c r="BG3" s="12" t="s">
        <v>326</v>
      </c>
      <c r="BI3" s="12" t="s">
        <v>326</v>
      </c>
      <c r="BJ3" s="12" t="s">
        <v>326</v>
      </c>
      <c r="BK3" s="12" t="s">
        <v>326</v>
      </c>
      <c r="BP3" s="12" t="s">
        <v>37</v>
      </c>
      <c r="BQ3" s="12" t="s">
        <v>37</v>
      </c>
      <c r="BR3" s="13" t="s">
        <v>37</v>
      </c>
      <c r="BT3" s="12" t="s">
        <v>37</v>
      </c>
      <c r="BU3" s="12" t="s">
        <v>37</v>
      </c>
      <c r="BV3" s="12" t="s">
        <v>37</v>
      </c>
      <c r="CA3" s="12" t="s">
        <v>37</v>
      </c>
      <c r="CB3" s="12" t="s">
        <v>37</v>
      </c>
      <c r="CC3" s="13" t="s">
        <v>37</v>
      </c>
      <c r="CE3" s="12" t="s">
        <v>37</v>
      </c>
      <c r="CF3" s="12" t="s">
        <v>37</v>
      </c>
      <c r="CG3" s="13" t="s">
        <v>37</v>
      </c>
      <c r="CN3" s="12" t="s">
        <v>37</v>
      </c>
      <c r="CO3" s="12" t="s">
        <v>37</v>
      </c>
      <c r="CP3" s="13" t="s">
        <v>37</v>
      </c>
      <c r="CR3" s="12" t="s">
        <v>37</v>
      </c>
      <c r="CS3" s="12" t="s">
        <v>37</v>
      </c>
      <c r="CT3" s="13" t="s">
        <v>37</v>
      </c>
      <c r="CX3" s="72"/>
      <c r="CY3" s="72"/>
      <c r="CZ3" s="12" t="s">
        <v>47</v>
      </c>
      <c r="DA3" s="12">
        <f>-2.08*10^3</f>
        <v>-2080</v>
      </c>
      <c r="DB3" s="15">
        <f>0.2*10^3</f>
        <v>200</v>
      </c>
      <c r="DC3" s="13">
        <v>4</v>
      </c>
      <c r="DD3" s="19">
        <f>DB3/ABS(DA3)</f>
        <v>9.6153846153846159E-2</v>
      </c>
      <c r="DE3" s="12">
        <f>-1.2*10^3</f>
        <v>-1200</v>
      </c>
      <c r="DF3" s="15">
        <f>0.8*10^3</f>
        <v>800</v>
      </c>
      <c r="DG3" s="13">
        <v>4</v>
      </c>
      <c r="DH3" s="19">
        <f>DF3/ABS(DE3)</f>
        <v>0.66666666666666663</v>
      </c>
      <c r="DI3" s="19">
        <f t="shared" si="0"/>
        <v>880</v>
      </c>
      <c r="DJ3" s="12">
        <f>SQRT(((DC3-1)*DB3^2+(DG3-1)*DF3^2)/(DC3+DG3-2))</f>
        <v>583.09518948453001</v>
      </c>
      <c r="DK3" s="72">
        <f>(((DC3+DG3)/(DC3*DG3))*(((DC3-1)*DB3^2)+(DG3-1)*DF3^2)/(DC3+DG3-2))</f>
        <v>170000</v>
      </c>
      <c r="DL3" s="72">
        <f>(DB3^2/DC3)+(DF3^2/DG3)</f>
        <v>170000</v>
      </c>
      <c r="DM3" s="15" t="s">
        <v>47</v>
      </c>
      <c r="DN3" s="19">
        <v>155.93</v>
      </c>
      <c r="DO3" s="12">
        <v>91.89</v>
      </c>
      <c r="DP3" s="13">
        <v>3</v>
      </c>
      <c r="DQ3" s="19">
        <f t="shared" si="1"/>
        <v>0.58930289232347843</v>
      </c>
      <c r="DR3" s="52">
        <f>-0.96*0.65+(0.35*0.35)</f>
        <v>-0.50150000000000006</v>
      </c>
      <c r="DS3" s="15">
        <f>SQRT(0.26^2*0.65^2+1.93^2*0.35^2)</f>
        <v>0.69631979003903077</v>
      </c>
      <c r="DT3" s="18">
        <v>3</v>
      </c>
      <c r="DU3" s="19">
        <f t="shared" si="2"/>
        <v>1.3884741576052457</v>
      </c>
      <c r="DV3" s="19">
        <f t="shared" si="3"/>
        <v>-156.4315</v>
      </c>
      <c r="DW3" s="12">
        <f t="shared" ref="DW3:DW34" si="4">SQRT(((DP3-1)*DO3^2+(DT3-1)*DS3^2)/(DP3+DT3-2))</f>
        <v>64.977907635018539</v>
      </c>
      <c r="DX3" s="72">
        <f t="shared" ref="DX3:DX18" si="5">(((DP3+DT3)/(DP3*DT3))*(((DP3-1)*DO3^2)+(DT3-1)*DS3^2)/(DP3+DT3-2))</f>
        <v>2814.7523204166669</v>
      </c>
      <c r="DY3" s="72">
        <f t="shared" ref="DY3:DY18" si="6">(DO3^2/DP3)+(DS3^2/DT3)</f>
        <v>2814.7523204166669</v>
      </c>
      <c r="DZ3" s="15"/>
      <c r="EA3" s="19" t="s">
        <v>37</v>
      </c>
      <c r="EB3" s="19" t="s">
        <v>37</v>
      </c>
      <c r="EC3" s="72" t="s">
        <v>37</v>
      </c>
      <c r="EE3" s="19" t="s">
        <v>37</v>
      </c>
      <c r="EF3" s="19" t="s">
        <v>37</v>
      </c>
      <c r="EG3" s="11" t="s">
        <v>37</v>
      </c>
      <c r="EN3" s="11" t="s">
        <v>37</v>
      </c>
      <c r="EO3" s="11" t="s">
        <v>37</v>
      </c>
      <c r="EP3" s="13" t="s">
        <v>37</v>
      </c>
      <c r="ER3" s="11" t="s">
        <v>37</v>
      </c>
      <c r="ES3" s="11" t="s">
        <v>37</v>
      </c>
      <c r="ET3" s="13" t="s">
        <v>37</v>
      </c>
      <c r="FB3" s="11" t="s">
        <v>37</v>
      </c>
      <c r="FC3" s="11" t="s">
        <v>37</v>
      </c>
      <c r="FD3" s="11" t="s">
        <v>37</v>
      </c>
      <c r="FE3" s="12" t="s">
        <v>37</v>
      </c>
      <c r="FF3" s="20" t="s">
        <v>37</v>
      </c>
      <c r="FG3" s="11" t="s">
        <v>37</v>
      </c>
      <c r="FI3" s="11" t="s">
        <v>37</v>
      </c>
      <c r="FJ3" s="11" t="s">
        <v>37</v>
      </c>
      <c r="FK3" s="11" t="s">
        <v>37</v>
      </c>
      <c r="FL3" s="13" t="s">
        <v>37</v>
      </c>
      <c r="FM3" s="11" t="s">
        <v>37</v>
      </c>
      <c r="FN3" s="11" t="s">
        <v>37</v>
      </c>
      <c r="FP3" s="11" t="s">
        <v>37</v>
      </c>
      <c r="FQ3" s="11" t="s">
        <v>37</v>
      </c>
      <c r="FR3" s="11" t="s">
        <v>37</v>
      </c>
      <c r="FS3" s="13" t="s">
        <v>37</v>
      </c>
      <c r="FT3" s="11" t="s">
        <v>37</v>
      </c>
      <c r="FU3" s="11" t="s">
        <v>37</v>
      </c>
      <c r="FW3" s="11" t="s">
        <v>37</v>
      </c>
      <c r="FX3" s="11" t="s">
        <v>37</v>
      </c>
      <c r="FY3" s="11" t="s">
        <v>37</v>
      </c>
      <c r="FZ3" s="13" t="s">
        <v>37</v>
      </c>
      <c r="GA3" s="11" t="s">
        <v>37</v>
      </c>
      <c r="GB3" s="11" t="s">
        <v>37</v>
      </c>
      <c r="GE3" s="11"/>
      <c r="GF3" s="11"/>
      <c r="GI3" s="11"/>
      <c r="GJ3" s="11"/>
      <c r="GQ3" s="11"/>
      <c r="GR3" s="11"/>
      <c r="GU3" s="11"/>
      <c r="GV3" s="11"/>
      <c r="HD3" s="11"/>
      <c r="HG3" s="11"/>
      <c r="HH3" s="11"/>
      <c r="HX3" s="32"/>
      <c r="IK3" s="12" t="s">
        <v>37</v>
      </c>
      <c r="IL3" s="12" t="s">
        <v>37</v>
      </c>
      <c r="IM3" s="13" t="s">
        <v>37</v>
      </c>
      <c r="IO3" s="12" t="s">
        <v>37</v>
      </c>
      <c r="IP3" s="12" t="s">
        <v>37</v>
      </c>
      <c r="IQ3" s="13" t="s">
        <v>37</v>
      </c>
      <c r="IW3" s="12" t="s">
        <v>37</v>
      </c>
      <c r="IX3" s="11" t="s">
        <v>37</v>
      </c>
      <c r="IY3" s="13" t="s">
        <v>37</v>
      </c>
      <c r="JA3" s="11" t="s">
        <v>37</v>
      </c>
      <c r="JB3" s="11" t="s">
        <v>37</v>
      </c>
      <c r="JC3" s="13" t="s">
        <v>37</v>
      </c>
      <c r="JH3" s="12" t="s">
        <v>37</v>
      </c>
      <c r="JI3" s="12" t="s">
        <v>37</v>
      </c>
      <c r="JJ3" s="13" t="s">
        <v>37</v>
      </c>
      <c r="JL3" s="12" t="s">
        <v>37</v>
      </c>
      <c r="JM3" s="12" t="s">
        <v>37</v>
      </c>
      <c r="JN3" s="12" t="s">
        <v>37</v>
      </c>
      <c r="JS3" s="12" t="s">
        <v>37</v>
      </c>
      <c r="JT3" s="12" t="s">
        <v>37</v>
      </c>
      <c r="JU3" s="13" t="s">
        <v>37</v>
      </c>
      <c r="JW3" s="12" t="s">
        <v>37</v>
      </c>
      <c r="JX3" s="12" t="s">
        <v>37</v>
      </c>
      <c r="JY3" s="12" t="s">
        <v>37</v>
      </c>
      <c r="KE3" s="11" t="s">
        <v>37</v>
      </c>
      <c r="KF3" s="11" t="s">
        <v>37</v>
      </c>
      <c r="KG3" s="13" t="s">
        <v>37</v>
      </c>
      <c r="KH3" s="11" t="s">
        <v>37</v>
      </c>
      <c r="KI3" s="11" t="s">
        <v>37</v>
      </c>
      <c r="KJ3" s="11" t="s">
        <v>37</v>
      </c>
      <c r="KM3" s="12" t="s">
        <v>37</v>
      </c>
      <c r="KN3" s="11" t="s">
        <v>37</v>
      </c>
      <c r="KO3" s="11" t="s">
        <v>37</v>
      </c>
      <c r="KQ3" s="11" t="s">
        <v>37</v>
      </c>
      <c r="KR3" s="11" t="s">
        <v>37</v>
      </c>
      <c r="KS3" s="13" t="s">
        <v>37</v>
      </c>
      <c r="KX3" s="16" t="s">
        <v>37</v>
      </c>
      <c r="KY3" s="16" t="s">
        <v>37</v>
      </c>
      <c r="KZ3" s="13" t="s">
        <v>37</v>
      </c>
      <c r="LB3" s="16" t="s">
        <v>37</v>
      </c>
      <c r="LC3" s="16" t="s">
        <v>37</v>
      </c>
      <c r="LD3" s="13" t="s">
        <v>37</v>
      </c>
      <c r="LI3" s="12" t="s">
        <v>37</v>
      </c>
      <c r="LJ3" s="12" t="s">
        <v>37</v>
      </c>
      <c r="LK3" s="12" t="s">
        <v>37</v>
      </c>
      <c r="LM3" s="12" t="s">
        <v>37</v>
      </c>
      <c r="LN3" s="12" t="s">
        <v>37</v>
      </c>
      <c r="LO3" s="12" t="s">
        <v>37</v>
      </c>
      <c r="LU3" s="12" t="s">
        <v>37</v>
      </c>
      <c r="LV3" s="12" t="s">
        <v>37</v>
      </c>
      <c r="LW3" s="13" t="s">
        <v>37</v>
      </c>
      <c r="LY3" s="12" t="s">
        <v>37</v>
      </c>
      <c r="LZ3" s="12" t="s">
        <v>37</v>
      </c>
      <c r="MA3" s="11" t="s">
        <v>37</v>
      </c>
      <c r="MF3" s="12" t="s">
        <v>37</v>
      </c>
      <c r="MG3" s="12" t="s">
        <v>37</v>
      </c>
      <c r="MH3" s="12" t="s">
        <v>37</v>
      </c>
      <c r="MJ3" s="12" t="s">
        <v>37</v>
      </c>
      <c r="MK3" s="12" t="s">
        <v>37</v>
      </c>
      <c r="ML3" s="12" t="s">
        <v>37</v>
      </c>
      <c r="MQ3" s="12" t="s">
        <v>37</v>
      </c>
      <c r="MR3" s="12" t="s">
        <v>37</v>
      </c>
      <c r="MS3" s="12" t="s">
        <v>37</v>
      </c>
      <c r="MU3" s="12" t="s">
        <v>37</v>
      </c>
      <c r="MV3" s="12" t="s">
        <v>37</v>
      </c>
      <c r="MW3" s="12" t="s">
        <v>37</v>
      </c>
      <c r="NC3" s="11" t="s">
        <v>37</v>
      </c>
      <c r="ND3" s="11" t="s">
        <v>37</v>
      </c>
      <c r="NE3" s="13" t="s">
        <v>37</v>
      </c>
      <c r="NG3" s="11" t="s">
        <v>37</v>
      </c>
      <c r="NH3" s="11" t="s">
        <v>37</v>
      </c>
      <c r="NI3" s="13" t="s">
        <v>37</v>
      </c>
      <c r="NO3" s="11" t="s">
        <v>37</v>
      </c>
      <c r="NP3" s="11" t="s">
        <v>37</v>
      </c>
      <c r="NQ3" s="13" t="s">
        <v>37</v>
      </c>
      <c r="NS3" s="11" t="s">
        <v>37</v>
      </c>
      <c r="NT3" s="11" t="s">
        <v>37</v>
      </c>
      <c r="NU3" s="13" t="s">
        <v>37</v>
      </c>
      <c r="OA3" s="11" t="s">
        <v>37</v>
      </c>
      <c r="OB3" s="11" t="s">
        <v>37</v>
      </c>
      <c r="OC3" s="13" t="s">
        <v>37</v>
      </c>
      <c r="OE3" s="11" t="s">
        <v>37</v>
      </c>
      <c r="OF3" s="11" t="s">
        <v>37</v>
      </c>
      <c r="OG3" s="13" t="s">
        <v>37</v>
      </c>
      <c r="OM3" s="11" t="s">
        <v>37</v>
      </c>
      <c r="ON3" s="11" t="s">
        <v>37</v>
      </c>
      <c r="OO3" s="11" t="s">
        <v>37</v>
      </c>
      <c r="OP3" s="11" t="s">
        <v>37</v>
      </c>
      <c r="OQ3" s="11" t="s">
        <v>37</v>
      </c>
      <c r="OR3" s="11" t="s">
        <v>37</v>
      </c>
      <c r="OW3" s="11" t="s">
        <v>37</v>
      </c>
      <c r="OX3" s="11" t="s">
        <v>37</v>
      </c>
      <c r="OY3" s="13" t="s">
        <v>37</v>
      </c>
      <c r="OZ3" s="11" t="s">
        <v>37</v>
      </c>
      <c r="PA3" s="11" t="s">
        <v>37</v>
      </c>
      <c r="PB3" s="13" t="s">
        <v>37</v>
      </c>
      <c r="PG3" s="11" t="s">
        <v>37</v>
      </c>
      <c r="PH3" s="11" t="s">
        <v>37</v>
      </c>
      <c r="PI3" s="13" t="s">
        <v>37</v>
      </c>
      <c r="PJ3" s="11" t="s">
        <v>37</v>
      </c>
      <c r="PK3" s="11" t="s">
        <v>37</v>
      </c>
      <c r="PL3" s="13" t="s">
        <v>37</v>
      </c>
      <c r="PQ3" s="11" t="s">
        <v>37</v>
      </c>
      <c r="PR3" s="11" t="s">
        <v>37</v>
      </c>
      <c r="PS3" s="13" t="s">
        <v>37</v>
      </c>
      <c r="PT3" s="11" t="s">
        <v>37</v>
      </c>
      <c r="PU3" s="11" t="s">
        <v>37</v>
      </c>
      <c r="PV3" s="13" t="s">
        <v>37</v>
      </c>
      <c r="PZ3" s="11" t="s">
        <v>37</v>
      </c>
      <c r="QA3" s="11" t="s">
        <v>37</v>
      </c>
      <c r="QB3" s="11" t="s">
        <v>37</v>
      </c>
      <c r="QD3" s="11" t="s">
        <v>37</v>
      </c>
      <c r="QE3" s="11" t="s">
        <v>37</v>
      </c>
      <c r="QF3" s="13" t="s">
        <v>37</v>
      </c>
      <c r="QK3" s="11" t="s">
        <v>37</v>
      </c>
      <c r="QL3" s="11" t="s">
        <v>37</v>
      </c>
      <c r="QM3" s="13" t="s">
        <v>37</v>
      </c>
      <c r="QN3" s="11" t="s">
        <v>37</v>
      </c>
      <c r="QO3" s="11" t="s">
        <v>37</v>
      </c>
      <c r="QP3" s="13" t="s">
        <v>37</v>
      </c>
      <c r="QU3" s="11" t="s">
        <v>37</v>
      </c>
      <c r="QV3" s="11" t="s">
        <v>37</v>
      </c>
      <c r="QW3" s="13" t="s">
        <v>37</v>
      </c>
      <c r="QX3" s="11" t="s">
        <v>37</v>
      </c>
      <c r="QY3" s="11" t="s">
        <v>37</v>
      </c>
      <c r="QZ3" s="13" t="s">
        <v>37</v>
      </c>
      <c r="RC3" s="12" t="s">
        <v>37</v>
      </c>
      <c r="RD3" s="12" t="s">
        <v>37</v>
      </c>
      <c r="RE3" s="13" t="s">
        <v>37</v>
      </c>
      <c r="RF3" s="12" t="s">
        <v>37</v>
      </c>
      <c r="RG3" s="12" t="s">
        <v>37</v>
      </c>
      <c r="RH3" s="13" t="s">
        <v>37</v>
      </c>
      <c r="RK3" s="11" t="s">
        <v>37</v>
      </c>
      <c r="RL3" s="11" t="s">
        <v>37</v>
      </c>
      <c r="RM3" s="11" t="s">
        <v>37</v>
      </c>
      <c r="RN3" s="11" t="s">
        <v>37</v>
      </c>
      <c r="RO3" s="11" t="s">
        <v>37</v>
      </c>
      <c r="RP3" s="11" t="s">
        <v>37</v>
      </c>
      <c r="RS3" s="11" t="s">
        <v>37</v>
      </c>
      <c r="RT3" s="11" t="s">
        <v>37</v>
      </c>
      <c r="RU3" s="11" t="s">
        <v>37</v>
      </c>
      <c r="RV3" s="11" t="s">
        <v>37</v>
      </c>
      <c r="RW3" s="11" t="s">
        <v>37</v>
      </c>
      <c r="RX3" s="11" t="s">
        <v>37</v>
      </c>
      <c r="SA3" s="11" t="s">
        <v>37</v>
      </c>
      <c r="SB3" s="11" t="s">
        <v>37</v>
      </c>
      <c r="SC3" s="13" t="s">
        <v>37</v>
      </c>
      <c r="SD3" s="11" t="s">
        <v>37</v>
      </c>
      <c r="SE3" s="11" t="s">
        <v>37</v>
      </c>
      <c r="SF3" s="13" t="s">
        <v>37</v>
      </c>
      <c r="SI3" s="12" t="s">
        <v>37</v>
      </c>
      <c r="SJ3" s="11" t="s">
        <v>37</v>
      </c>
      <c r="SK3" s="13" t="s">
        <v>37</v>
      </c>
      <c r="SM3" s="11" t="s">
        <v>37</v>
      </c>
      <c r="SN3" s="11" t="s">
        <v>37</v>
      </c>
      <c r="SO3" s="13" t="s">
        <v>37</v>
      </c>
      <c r="SU3" s="12" t="s">
        <v>37</v>
      </c>
      <c r="SV3" s="12" t="s">
        <v>37</v>
      </c>
      <c r="SW3" s="11" t="s">
        <v>37</v>
      </c>
      <c r="SX3" s="12" t="s">
        <v>37</v>
      </c>
      <c r="SY3" s="12" t="s">
        <v>37</v>
      </c>
      <c r="SZ3" s="11" t="s">
        <v>37</v>
      </c>
      <c r="TE3" s="12" t="s">
        <v>37</v>
      </c>
      <c r="TF3" s="12" t="s">
        <v>37</v>
      </c>
      <c r="TG3" s="11" t="s">
        <v>37</v>
      </c>
      <c r="TH3" s="12" t="s">
        <v>37</v>
      </c>
      <c r="TI3" s="12" t="s">
        <v>37</v>
      </c>
      <c r="TJ3" s="11" t="s">
        <v>37</v>
      </c>
      <c r="TO3" s="12" t="s">
        <v>37</v>
      </c>
      <c r="TP3" s="12" t="s">
        <v>37</v>
      </c>
      <c r="TQ3" s="11" t="s">
        <v>37</v>
      </c>
      <c r="TR3" s="12" t="s">
        <v>37</v>
      </c>
      <c r="TS3" s="12" t="s">
        <v>37</v>
      </c>
      <c r="TT3" s="11" t="s">
        <v>37</v>
      </c>
      <c r="TY3" s="12" t="s">
        <v>37</v>
      </c>
      <c r="TZ3" s="12" t="s">
        <v>37</v>
      </c>
      <c r="UA3" s="11" t="s">
        <v>37</v>
      </c>
      <c r="UB3" s="12" t="s">
        <v>37</v>
      </c>
      <c r="UC3" s="12" t="s">
        <v>37</v>
      </c>
      <c r="UD3" s="11" t="s">
        <v>37</v>
      </c>
      <c r="UI3" s="12" t="s">
        <v>37</v>
      </c>
      <c r="UJ3" s="12" t="s">
        <v>37</v>
      </c>
      <c r="UK3" s="13" t="s">
        <v>37</v>
      </c>
      <c r="UL3" s="12" t="s">
        <v>37</v>
      </c>
      <c r="UM3" s="12" t="s">
        <v>37</v>
      </c>
      <c r="UN3" s="13" t="s">
        <v>37</v>
      </c>
      <c r="UR3" s="12" t="s">
        <v>37</v>
      </c>
      <c r="US3" s="12" t="s">
        <v>37</v>
      </c>
      <c r="UT3" s="13" t="s">
        <v>37</v>
      </c>
      <c r="UU3" s="12" t="s">
        <v>37</v>
      </c>
      <c r="UV3" s="12" t="s">
        <v>37</v>
      </c>
      <c r="UW3" s="13" t="s">
        <v>37</v>
      </c>
      <c r="VB3" s="12" t="s">
        <v>37</v>
      </c>
      <c r="VC3" s="12" t="s">
        <v>37</v>
      </c>
      <c r="VD3" s="13" t="s">
        <v>37</v>
      </c>
      <c r="VE3" s="12" t="s">
        <v>37</v>
      </c>
      <c r="VF3" s="12" t="s">
        <v>37</v>
      </c>
      <c r="VG3" s="13" t="s">
        <v>37</v>
      </c>
      <c r="VI3" s="12" t="s">
        <v>37</v>
      </c>
      <c r="VJ3" s="12" t="s">
        <v>37</v>
      </c>
      <c r="VK3" s="13" t="s">
        <v>37</v>
      </c>
      <c r="VL3" s="12" t="s">
        <v>37</v>
      </c>
      <c r="VM3" s="12" t="s">
        <v>37</v>
      </c>
      <c r="VN3" s="13" t="s">
        <v>37</v>
      </c>
      <c r="VO3" s="12" t="s">
        <v>37</v>
      </c>
      <c r="VQ3" s="12" t="s">
        <v>37</v>
      </c>
      <c r="VR3" s="12" t="s">
        <v>37</v>
      </c>
      <c r="VS3" s="12" t="s">
        <v>37</v>
      </c>
      <c r="VT3" s="12" t="s">
        <v>37</v>
      </c>
      <c r="VU3" s="12" t="s">
        <v>37</v>
      </c>
      <c r="VV3" s="12" t="s">
        <v>37</v>
      </c>
      <c r="VW3" s="12"/>
      <c r="VX3" s="12"/>
      <c r="WA3" s="13" t="s">
        <v>37</v>
      </c>
      <c r="WB3" s="13" t="s">
        <v>37</v>
      </c>
      <c r="WC3" s="13" t="s">
        <v>37</v>
      </c>
      <c r="WD3" s="13" t="s">
        <v>37</v>
      </c>
      <c r="WE3" s="13" t="s">
        <v>37</v>
      </c>
      <c r="WF3" s="13" t="s">
        <v>37</v>
      </c>
    </row>
    <row r="4" spans="1:606" ht="18" customHeight="1" x14ac:dyDescent="0.3">
      <c r="A4" s="11">
        <v>1</v>
      </c>
      <c r="B4" s="12" t="s">
        <v>931</v>
      </c>
      <c r="C4" s="12" t="s">
        <v>26</v>
      </c>
      <c r="D4" s="12" t="s">
        <v>54</v>
      </c>
      <c r="E4" s="39" t="s">
        <v>37</v>
      </c>
      <c r="F4" s="14">
        <v>0</v>
      </c>
      <c r="G4" s="14">
        <v>0</v>
      </c>
      <c r="H4" s="12" t="s">
        <v>79</v>
      </c>
      <c r="I4" s="29">
        <v>48.064999999999998</v>
      </c>
      <c r="J4" s="29">
        <v>128.51</v>
      </c>
      <c r="K4" s="12" t="s">
        <v>688</v>
      </c>
      <c r="L4" s="12" t="s">
        <v>689</v>
      </c>
      <c r="M4" s="13" t="s">
        <v>48</v>
      </c>
      <c r="N4" s="14">
        <v>0.4</v>
      </c>
      <c r="O4" s="14">
        <v>630</v>
      </c>
      <c r="P4" s="14" t="s">
        <v>16</v>
      </c>
      <c r="Q4" s="75">
        <v>10</v>
      </c>
      <c r="R4" s="11" t="s">
        <v>37</v>
      </c>
      <c r="S4" s="12" t="s">
        <v>51</v>
      </c>
      <c r="T4" s="12" t="s">
        <v>876</v>
      </c>
      <c r="U4" s="12" t="s">
        <v>163</v>
      </c>
      <c r="V4" s="12" t="s">
        <v>275</v>
      </c>
      <c r="W4" s="23" t="s">
        <v>38</v>
      </c>
      <c r="X4" s="12" t="s">
        <v>280</v>
      </c>
      <c r="Y4" s="12" t="s">
        <v>68</v>
      </c>
      <c r="Z4" s="12" t="s">
        <v>37</v>
      </c>
      <c r="AB4" s="12" t="s">
        <v>37</v>
      </c>
      <c r="AE4" s="12" t="s">
        <v>37</v>
      </c>
      <c r="AH4" s="12" t="s">
        <v>37</v>
      </c>
      <c r="AK4" s="12" t="s">
        <v>37</v>
      </c>
      <c r="AL4" s="32" t="s">
        <v>55</v>
      </c>
      <c r="AM4" s="12" t="s">
        <v>344</v>
      </c>
      <c r="AO4" s="12" t="s">
        <v>37</v>
      </c>
      <c r="AP4" s="12" t="s">
        <v>602</v>
      </c>
      <c r="AQ4" s="12" t="s">
        <v>975</v>
      </c>
      <c r="AT4" s="12" t="s">
        <v>326</v>
      </c>
      <c r="AU4" s="12" t="s">
        <v>326</v>
      </c>
      <c r="AV4" s="13" t="s">
        <v>326</v>
      </c>
      <c r="AX4" s="12" t="s">
        <v>326</v>
      </c>
      <c r="AY4" s="12" t="s">
        <v>326</v>
      </c>
      <c r="AZ4" s="13" t="s">
        <v>326</v>
      </c>
      <c r="BE4" s="12" t="s">
        <v>326</v>
      </c>
      <c r="BF4" s="12" t="s">
        <v>326</v>
      </c>
      <c r="BG4" s="12" t="s">
        <v>326</v>
      </c>
      <c r="BI4" s="12" t="s">
        <v>326</v>
      </c>
      <c r="BJ4" s="12" t="s">
        <v>326</v>
      </c>
      <c r="BK4" s="12" t="s">
        <v>326</v>
      </c>
      <c r="BP4" s="12" t="s">
        <v>37</v>
      </c>
      <c r="BQ4" s="12" t="s">
        <v>37</v>
      </c>
      <c r="BR4" s="13" t="s">
        <v>37</v>
      </c>
      <c r="BT4" s="12" t="s">
        <v>37</v>
      </c>
      <c r="BU4" s="12" t="s">
        <v>37</v>
      </c>
      <c r="BV4" s="12" t="s">
        <v>37</v>
      </c>
      <c r="CA4" s="12" t="s">
        <v>37</v>
      </c>
      <c r="CB4" s="12" t="s">
        <v>37</v>
      </c>
      <c r="CC4" s="13" t="s">
        <v>37</v>
      </c>
      <c r="CE4" s="12" t="s">
        <v>37</v>
      </c>
      <c r="CF4" s="12" t="s">
        <v>37</v>
      </c>
      <c r="CG4" s="13" t="s">
        <v>37</v>
      </c>
      <c r="CJ4" s="12"/>
      <c r="CN4" s="12" t="s">
        <v>37</v>
      </c>
      <c r="CO4" s="12" t="s">
        <v>37</v>
      </c>
      <c r="CP4" s="13" t="s">
        <v>37</v>
      </c>
      <c r="CR4" s="12" t="s">
        <v>37</v>
      </c>
      <c r="CS4" s="12" t="s">
        <v>37</v>
      </c>
      <c r="CT4" s="13" t="s">
        <v>37</v>
      </c>
      <c r="CX4" s="72"/>
      <c r="CY4" s="72"/>
      <c r="DA4" s="12" t="s">
        <v>37</v>
      </c>
      <c r="DB4" s="12" t="s">
        <v>37</v>
      </c>
      <c r="DC4" s="13" t="s">
        <v>37</v>
      </c>
      <c r="DE4" s="12" t="s">
        <v>37</v>
      </c>
      <c r="DF4" s="12" t="s">
        <v>37</v>
      </c>
      <c r="DG4" s="13" t="s">
        <v>37</v>
      </c>
      <c r="DM4" s="15" t="s">
        <v>47</v>
      </c>
      <c r="DN4" s="19">
        <v>155.93</v>
      </c>
      <c r="DO4" s="12">
        <v>91.89</v>
      </c>
      <c r="DP4" s="13">
        <v>3</v>
      </c>
      <c r="DQ4" s="19">
        <f t="shared" ref="DQ4:DQ17" si="7">DO4/ABS(DN4)</f>
        <v>0.58930289232347843</v>
      </c>
      <c r="DR4" s="52">
        <v>-0.61299999999999999</v>
      </c>
      <c r="DS4" s="15">
        <v>0.52600000000000002</v>
      </c>
      <c r="DT4" s="18">
        <v>3</v>
      </c>
      <c r="DU4" s="19">
        <f t="shared" ref="DU4:DU17" si="8">DS4/ABS(DR4)</f>
        <v>0.85807504078303432</v>
      </c>
      <c r="DV4" s="19">
        <f t="shared" si="3"/>
        <v>-156.54300000000001</v>
      </c>
      <c r="DW4" s="12">
        <f t="shared" si="4"/>
        <v>64.977106645340868</v>
      </c>
      <c r="DX4" s="72">
        <f t="shared" si="5"/>
        <v>2814.6829253333331</v>
      </c>
      <c r="DY4" s="72">
        <f t="shared" si="6"/>
        <v>2814.6829253333335</v>
      </c>
      <c r="DZ4" s="15"/>
      <c r="EA4" s="19" t="s">
        <v>37</v>
      </c>
      <c r="EB4" s="19" t="s">
        <v>37</v>
      </c>
      <c r="EC4" s="72" t="s">
        <v>37</v>
      </c>
      <c r="EE4" s="19" t="s">
        <v>37</v>
      </c>
      <c r="EF4" s="19" t="s">
        <v>37</v>
      </c>
      <c r="EG4" s="11" t="s">
        <v>37</v>
      </c>
      <c r="EN4" s="11" t="s">
        <v>37</v>
      </c>
      <c r="EO4" s="11" t="s">
        <v>37</v>
      </c>
      <c r="EP4" s="13" t="s">
        <v>37</v>
      </c>
      <c r="ER4" s="11" t="s">
        <v>37</v>
      </c>
      <c r="ES4" s="11" t="s">
        <v>37</v>
      </c>
      <c r="ET4" s="13" t="s">
        <v>37</v>
      </c>
      <c r="FB4" s="11" t="s">
        <v>37</v>
      </c>
      <c r="FC4" s="11" t="s">
        <v>37</v>
      </c>
      <c r="FD4" s="11" t="s">
        <v>37</v>
      </c>
      <c r="FE4" s="12" t="s">
        <v>37</v>
      </c>
      <c r="FF4" s="20" t="s">
        <v>37</v>
      </c>
      <c r="FG4" s="11" t="s">
        <v>37</v>
      </c>
      <c r="FI4" s="11" t="s">
        <v>37</v>
      </c>
      <c r="FJ4" s="11" t="s">
        <v>37</v>
      </c>
      <c r="FK4" s="11" t="s">
        <v>37</v>
      </c>
      <c r="FL4" s="13" t="s">
        <v>37</v>
      </c>
      <c r="FM4" s="11" t="s">
        <v>37</v>
      </c>
      <c r="FN4" s="11" t="s">
        <v>37</v>
      </c>
      <c r="FP4" s="11" t="s">
        <v>37</v>
      </c>
      <c r="FQ4" s="11" t="s">
        <v>37</v>
      </c>
      <c r="FR4" s="11" t="s">
        <v>37</v>
      </c>
      <c r="FS4" s="13" t="s">
        <v>37</v>
      </c>
      <c r="FT4" s="11" t="s">
        <v>37</v>
      </c>
      <c r="FU4" s="11" t="s">
        <v>37</v>
      </c>
      <c r="FW4" s="11" t="s">
        <v>37</v>
      </c>
      <c r="FX4" s="11" t="s">
        <v>37</v>
      </c>
      <c r="FY4" s="11" t="s">
        <v>37</v>
      </c>
      <c r="FZ4" s="13" t="s">
        <v>37</v>
      </c>
      <c r="GA4" s="11" t="s">
        <v>37</v>
      </c>
      <c r="GB4" s="11" t="s">
        <v>37</v>
      </c>
      <c r="GE4" s="11"/>
      <c r="GF4" s="11"/>
      <c r="GI4" s="11"/>
      <c r="GJ4" s="11"/>
      <c r="GQ4" s="11"/>
      <c r="GR4" s="11"/>
      <c r="GU4" s="11"/>
      <c r="GV4" s="11"/>
      <c r="HD4" s="11"/>
      <c r="HG4" s="11"/>
      <c r="HH4" s="11"/>
      <c r="HX4" s="32"/>
      <c r="IK4" s="12" t="s">
        <v>37</v>
      </c>
      <c r="IL4" s="12" t="s">
        <v>37</v>
      </c>
      <c r="IM4" s="13" t="s">
        <v>37</v>
      </c>
      <c r="IO4" s="12" t="s">
        <v>37</v>
      </c>
      <c r="IP4" s="12" t="s">
        <v>37</v>
      </c>
      <c r="IQ4" s="13" t="s">
        <v>37</v>
      </c>
      <c r="IW4" s="12" t="s">
        <v>37</v>
      </c>
      <c r="IX4" s="11" t="s">
        <v>37</v>
      </c>
      <c r="IY4" s="13" t="s">
        <v>37</v>
      </c>
      <c r="JA4" s="11" t="s">
        <v>37</v>
      </c>
      <c r="JB4" s="11" t="s">
        <v>37</v>
      </c>
      <c r="JC4" s="13" t="s">
        <v>37</v>
      </c>
      <c r="JH4" s="12" t="s">
        <v>37</v>
      </c>
      <c r="JI4" s="12" t="s">
        <v>37</v>
      </c>
      <c r="JJ4" s="13" t="s">
        <v>37</v>
      </c>
      <c r="JL4" s="12" t="s">
        <v>37</v>
      </c>
      <c r="JM4" s="12" t="s">
        <v>37</v>
      </c>
      <c r="JN4" s="12" t="s">
        <v>37</v>
      </c>
      <c r="JS4" s="12" t="s">
        <v>37</v>
      </c>
      <c r="JT4" s="12" t="s">
        <v>37</v>
      </c>
      <c r="JU4" s="13" t="s">
        <v>37</v>
      </c>
      <c r="JW4" s="12" t="s">
        <v>37</v>
      </c>
      <c r="JX4" s="12" t="s">
        <v>37</v>
      </c>
      <c r="JY4" s="12" t="s">
        <v>37</v>
      </c>
      <c r="KE4" s="11" t="s">
        <v>37</v>
      </c>
      <c r="KF4" s="11" t="s">
        <v>37</v>
      </c>
      <c r="KG4" s="13" t="s">
        <v>37</v>
      </c>
      <c r="KH4" s="11" t="s">
        <v>37</v>
      </c>
      <c r="KI4" s="11" t="s">
        <v>37</v>
      </c>
      <c r="KJ4" s="11" t="s">
        <v>37</v>
      </c>
      <c r="KM4" s="12" t="s">
        <v>37</v>
      </c>
      <c r="KN4" s="11" t="s">
        <v>37</v>
      </c>
      <c r="KO4" s="11" t="s">
        <v>37</v>
      </c>
      <c r="KQ4" s="11" t="s">
        <v>37</v>
      </c>
      <c r="KR4" s="11" t="s">
        <v>37</v>
      </c>
      <c r="KS4" s="13" t="s">
        <v>37</v>
      </c>
      <c r="KX4" s="16" t="s">
        <v>37</v>
      </c>
      <c r="KY4" s="16" t="s">
        <v>37</v>
      </c>
      <c r="KZ4" s="13" t="s">
        <v>37</v>
      </c>
      <c r="LB4" s="16" t="s">
        <v>37</v>
      </c>
      <c r="LC4" s="16" t="s">
        <v>37</v>
      </c>
      <c r="LD4" s="13" t="s">
        <v>37</v>
      </c>
      <c r="LI4" s="12" t="s">
        <v>37</v>
      </c>
      <c r="LJ4" s="12" t="s">
        <v>37</v>
      </c>
      <c r="LK4" s="12" t="s">
        <v>37</v>
      </c>
      <c r="LM4" s="12" t="s">
        <v>37</v>
      </c>
      <c r="LN4" s="12" t="s">
        <v>37</v>
      </c>
      <c r="LO4" s="12" t="s">
        <v>37</v>
      </c>
      <c r="LU4" s="12" t="s">
        <v>37</v>
      </c>
      <c r="LV4" s="12" t="s">
        <v>37</v>
      </c>
      <c r="LW4" s="13" t="s">
        <v>37</v>
      </c>
      <c r="LY4" s="12" t="s">
        <v>37</v>
      </c>
      <c r="LZ4" s="12" t="s">
        <v>37</v>
      </c>
      <c r="MA4" s="11" t="s">
        <v>37</v>
      </c>
      <c r="MF4" s="12" t="s">
        <v>37</v>
      </c>
      <c r="MG4" s="12" t="s">
        <v>37</v>
      </c>
      <c r="MH4" s="12" t="s">
        <v>37</v>
      </c>
      <c r="MJ4" s="12" t="s">
        <v>37</v>
      </c>
      <c r="MK4" s="12" t="s">
        <v>37</v>
      </c>
      <c r="ML4" s="12" t="s">
        <v>37</v>
      </c>
      <c r="MQ4" s="12" t="s">
        <v>37</v>
      </c>
      <c r="MR4" s="12" t="s">
        <v>37</v>
      </c>
      <c r="MS4" s="12" t="s">
        <v>37</v>
      </c>
      <c r="MU4" s="12" t="s">
        <v>37</v>
      </c>
      <c r="MV4" s="12" t="s">
        <v>37</v>
      </c>
      <c r="MW4" s="12" t="s">
        <v>37</v>
      </c>
      <c r="NC4" s="11" t="s">
        <v>37</v>
      </c>
      <c r="ND4" s="11" t="s">
        <v>37</v>
      </c>
      <c r="NE4" s="13" t="s">
        <v>37</v>
      </c>
      <c r="NG4" s="11" t="s">
        <v>37</v>
      </c>
      <c r="NH4" s="11" t="s">
        <v>37</v>
      </c>
      <c r="NI4" s="13" t="s">
        <v>37</v>
      </c>
      <c r="NO4" s="11" t="s">
        <v>37</v>
      </c>
      <c r="NP4" s="11" t="s">
        <v>37</v>
      </c>
      <c r="NQ4" s="13" t="s">
        <v>37</v>
      </c>
      <c r="NS4" s="11" t="s">
        <v>37</v>
      </c>
      <c r="NT4" s="11" t="s">
        <v>37</v>
      </c>
      <c r="NU4" s="13" t="s">
        <v>37</v>
      </c>
      <c r="OA4" s="11" t="s">
        <v>37</v>
      </c>
      <c r="OB4" s="11" t="s">
        <v>37</v>
      </c>
      <c r="OC4" s="13" t="s">
        <v>37</v>
      </c>
      <c r="OE4" s="11" t="s">
        <v>37</v>
      </c>
      <c r="OF4" s="11" t="s">
        <v>37</v>
      </c>
      <c r="OG4" s="13" t="s">
        <v>37</v>
      </c>
      <c r="OM4" s="11" t="s">
        <v>37</v>
      </c>
      <c r="ON4" s="11" t="s">
        <v>37</v>
      </c>
      <c r="OO4" s="11" t="s">
        <v>37</v>
      </c>
      <c r="OP4" s="11" t="s">
        <v>37</v>
      </c>
      <c r="OQ4" s="11" t="s">
        <v>37</v>
      </c>
      <c r="OR4" s="11" t="s">
        <v>37</v>
      </c>
      <c r="OW4" s="11" t="s">
        <v>37</v>
      </c>
      <c r="OX4" s="11" t="s">
        <v>37</v>
      </c>
      <c r="OY4" s="13" t="s">
        <v>37</v>
      </c>
      <c r="OZ4" s="11" t="s">
        <v>37</v>
      </c>
      <c r="PA4" s="11" t="s">
        <v>37</v>
      </c>
      <c r="PB4" s="13" t="s">
        <v>37</v>
      </c>
      <c r="PG4" s="11" t="s">
        <v>37</v>
      </c>
      <c r="PH4" s="11" t="s">
        <v>37</v>
      </c>
      <c r="PI4" s="13" t="s">
        <v>37</v>
      </c>
      <c r="PJ4" s="11" t="s">
        <v>37</v>
      </c>
      <c r="PK4" s="11" t="s">
        <v>37</v>
      </c>
      <c r="PL4" s="13" t="s">
        <v>37</v>
      </c>
      <c r="PQ4" s="11" t="s">
        <v>37</v>
      </c>
      <c r="PR4" s="11" t="s">
        <v>37</v>
      </c>
      <c r="PS4" s="13" t="s">
        <v>37</v>
      </c>
      <c r="PT4" s="11" t="s">
        <v>37</v>
      </c>
      <c r="PU4" s="11" t="s">
        <v>37</v>
      </c>
      <c r="PV4" s="13" t="s">
        <v>37</v>
      </c>
      <c r="PZ4" s="11" t="s">
        <v>37</v>
      </c>
      <c r="QA4" s="11" t="s">
        <v>37</v>
      </c>
      <c r="QB4" s="11" t="s">
        <v>37</v>
      </c>
      <c r="QD4" s="11" t="s">
        <v>37</v>
      </c>
      <c r="QE4" s="11" t="s">
        <v>37</v>
      </c>
      <c r="QF4" s="13" t="s">
        <v>37</v>
      </c>
      <c r="QK4" s="11" t="s">
        <v>37</v>
      </c>
      <c r="QL4" s="11" t="s">
        <v>37</v>
      </c>
      <c r="QM4" s="13" t="s">
        <v>37</v>
      </c>
      <c r="QN4" s="11" t="s">
        <v>37</v>
      </c>
      <c r="QO4" s="11" t="s">
        <v>37</v>
      </c>
      <c r="QP4" s="13" t="s">
        <v>37</v>
      </c>
      <c r="QU4" s="11" t="s">
        <v>37</v>
      </c>
      <c r="QV4" s="11" t="s">
        <v>37</v>
      </c>
      <c r="QW4" s="13" t="s">
        <v>37</v>
      </c>
      <c r="QX4" s="11" t="s">
        <v>37</v>
      </c>
      <c r="QY4" s="11" t="s">
        <v>37</v>
      </c>
      <c r="QZ4" s="13" t="s">
        <v>37</v>
      </c>
      <c r="RC4" s="12" t="s">
        <v>37</v>
      </c>
      <c r="RD4" s="12" t="s">
        <v>37</v>
      </c>
      <c r="RE4" s="13" t="s">
        <v>37</v>
      </c>
      <c r="RF4" s="12" t="s">
        <v>37</v>
      </c>
      <c r="RG4" s="12" t="s">
        <v>37</v>
      </c>
      <c r="RH4" s="13" t="s">
        <v>37</v>
      </c>
      <c r="RK4" s="11" t="s">
        <v>37</v>
      </c>
      <c r="RL4" s="11" t="s">
        <v>37</v>
      </c>
      <c r="RM4" s="11" t="s">
        <v>37</v>
      </c>
      <c r="RN4" s="11" t="s">
        <v>37</v>
      </c>
      <c r="RO4" s="11" t="s">
        <v>37</v>
      </c>
      <c r="RP4" s="11" t="s">
        <v>37</v>
      </c>
      <c r="RS4" s="11" t="s">
        <v>37</v>
      </c>
      <c r="RT4" s="11" t="s">
        <v>37</v>
      </c>
      <c r="RU4" s="11" t="s">
        <v>37</v>
      </c>
      <c r="RV4" s="11" t="s">
        <v>37</v>
      </c>
      <c r="RW4" s="11" t="s">
        <v>37</v>
      </c>
      <c r="RX4" s="11" t="s">
        <v>37</v>
      </c>
      <c r="SA4" s="11" t="s">
        <v>37</v>
      </c>
      <c r="SB4" s="11" t="s">
        <v>37</v>
      </c>
      <c r="SC4" s="13" t="s">
        <v>37</v>
      </c>
      <c r="SD4" s="11" t="s">
        <v>37</v>
      </c>
      <c r="SE4" s="11" t="s">
        <v>37</v>
      </c>
      <c r="SF4" s="13" t="s">
        <v>37</v>
      </c>
      <c r="SI4" s="12" t="s">
        <v>37</v>
      </c>
      <c r="SJ4" s="11" t="s">
        <v>37</v>
      </c>
      <c r="SK4" s="13" t="s">
        <v>37</v>
      </c>
      <c r="SM4" s="11" t="s">
        <v>37</v>
      </c>
      <c r="SN4" s="11" t="s">
        <v>37</v>
      </c>
      <c r="SO4" s="13" t="s">
        <v>37</v>
      </c>
      <c r="SU4" s="12" t="s">
        <v>37</v>
      </c>
      <c r="SV4" s="12" t="s">
        <v>37</v>
      </c>
      <c r="SW4" s="11" t="s">
        <v>37</v>
      </c>
      <c r="SX4" s="12" t="s">
        <v>37</v>
      </c>
      <c r="SY4" s="12" t="s">
        <v>37</v>
      </c>
      <c r="SZ4" s="11" t="s">
        <v>37</v>
      </c>
      <c r="TE4" s="12" t="s">
        <v>37</v>
      </c>
      <c r="TF4" s="12" t="s">
        <v>37</v>
      </c>
      <c r="TG4" s="11" t="s">
        <v>37</v>
      </c>
      <c r="TH4" s="12" t="s">
        <v>37</v>
      </c>
      <c r="TI4" s="12" t="s">
        <v>37</v>
      </c>
      <c r="TJ4" s="11" t="s">
        <v>37</v>
      </c>
      <c r="TO4" s="12" t="s">
        <v>37</v>
      </c>
      <c r="TP4" s="12" t="s">
        <v>37</v>
      </c>
      <c r="TQ4" s="11" t="s">
        <v>37</v>
      </c>
      <c r="TR4" s="12" t="s">
        <v>37</v>
      </c>
      <c r="TS4" s="12" t="s">
        <v>37</v>
      </c>
      <c r="TT4" s="11" t="s">
        <v>37</v>
      </c>
      <c r="TY4" s="12" t="s">
        <v>37</v>
      </c>
      <c r="TZ4" s="12" t="s">
        <v>37</v>
      </c>
      <c r="UA4" s="11" t="s">
        <v>37</v>
      </c>
      <c r="UB4" s="12" t="s">
        <v>37</v>
      </c>
      <c r="UC4" s="12" t="s">
        <v>37</v>
      </c>
      <c r="UD4" s="11" t="s">
        <v>37</v>
      </c>
      <c r="UI4" s="12" t="s">
        <v>37</v>
      </c>
      <c r="UJ4" s="12" t="s">
        <v>37</v>
      </c>
      <c r="UK4" s="13" t="s">
        <v>37</v>
      </c>
      <c r="UL4" s="12" t="s">
        <v>37</v>
      </c>
      <c r="UM4" s="12" t="s">
        <v>37</v>
      </c>
      <c r="UN4" s="13" t="s">
        <v>37</v>
      </c>
      <c r="UR4" s="12" t="s">
        <v>37</v>
      </c>
      <c r="US4" s="12" t="s">
        <v>37</v>
      </c>
      <c r="UT4" s="13" t="s">
        <v>37</v>
      </c>
      <c r="UU4" s="12" t="s">
        <v>37</v>
      </c>
      <c r="UV4" s="12" t="s">
        <v>37</v>
      </c>
      <c r="UW4" s="13" t="s">
        <v>37</v>
      </c>
      <c r="VB4" s="12" t="s">
        <v>37</v>
      </c>
      <c r="VC4" s="12" t="s">
        <v>37</v>
      </c>
      <c r="VD4" s="13" t="s">
        <v>37</v>
      </c>
      <c r="VE4" s="12" t="s">
        <v>37</v>
      </c>
      <c r="VF4" s="12" t="s">
        <v>37</v>
      </c>
      <c r="VG4" s="13" t="s">
        <v>37</v>
      </c>
      <c r="VI4" s="12" t="s">
        <v>37</v>
      </c>
      <c r="VJ4" s="12" t="s">
        <v>37</v>
      </c>
      <c r="VK4" s="13" t="s">
        <v>37</v>
      </c>
      <c r="VL4" s="12" t="s">
        <v>37</v>
      </c>
      <c r="VM4" s="12" t="s">
        <v>37</v>
      </c>
      <c r="VN4" s="13" t="s">
        <v>37</v>
      </c>
      <c r="VO4" s="12" t="s">
        <v>37</v>
      </c>
      <c r="VQ4" s="12" t="s">
        <v>37</v>
      </c>
      <c r="VR4" s="12" t="s">
        <v>37</v>
      </c>
      <c r="VS4" s="12" t="s">
        <v>37</v>
      </c>
      <c r="VT4" s="12" t="s">
        <v>37</v>
      </c>
      <c r="VU4" s="12" t="s">
        <v>37</v>
      </c>
      <c r="VV4" s="12" t="s">
        <v>37</v>
      </c>
      <c r="VW4" s="12"/>
      <c r="VX4" s="12"/>
      <c r="WA4" s="13" t="s">
        <v>37</v>
      </c>
      <c r="WB4" s="13" t="s">
        <v>37</v>
      </c>
      <c r="WC4" s="13" t="s">
        <v>37</v>
      </c>
      <c r="WD4" s="13" t="s">
        <v>37</v>
      </c>
      <c r="WE4" s="13" t="s">
        <v>37</v>
      </c>
      <c r="WF4" s="13" t="s">
        <v>37</v>
      </c>
    </row>
    <row r="5" spans="1:606" ht="18" customHeight="1" x14ac:dyDescent="0.3">
      <c r="A5" s="11">
        <v>1</v>
      </c>
      <c r="B5" s="12" t="s">
        <v>931</v>
      </c>
      <c r="C5" s="12" t="s">
        <v>26</v>
      </c>
      <c r="D5" s="12" t="s">
        <v>54</v>
      </c>
      <c r="E5" s="39" t="s">
        <v>37</v>
      </c>
      <c r="F5" s="14">
        <v>0</v>
      </c>
      <c r="G5" s="14">
        <v>0</v>
      </c>
      <c r="H5" s="12" t="s">
        <v>79</v>
      </c>
      <c r="I5" s="29">
        <v>48.064999999999998</v>
      </c>
      <c r="J5" s="29">
        <v>128.51</v>
      </c>
      <c r="K5" s="12" t="s">
        <v>688</v>
      </c>
      <c r="L5" s="12" t="s">
        <v>689</v>
      </c>
      <c r="M5" s="13" t="s">
        <v>48</v>
      </c>
      <c r="N5" s="14">
        <v>0.4</v>
      </c>
      <c r="O5" s="14">
        <v>630</v>
      </c>
      <c r="P5" s="14" t="s">
        <v>16</v>
      </c>
      <c r="Q5" s="75">
        <v>10</v>
      </c>
      <c r="R5" s="11" t="s">
        <v>37</v>
      </c>
      <c r="S5" s="12" t="s">
        <v>51</v>
      </c>
      <c r="T5" s="12" t="s">
        <v>876</v>
      </c>
      <c r="U5" s="12" t="s">
        <v>334</v>
      </c>
      <c r="V5" s="12" t="s">
        <v>275</v>
      </c>
      <c r="W5" s="23" t="s">
        <v>38</v>
      </c>
      <c r="X5" s="12" t="s">
        <v>280</v>
      </c>
      <c r="Y5" s="12" t="s">
        <v>68</v>
      </c>
      <c r="Z5" s="12" t="s">
        <v>37</v>
      </c>
      <c r="AB5" s="12" t="s">
        <v>37</v>
      </c>
      <c r="AE5" s="12" t="s">
        <v>37</v>
      </c>
      <c r="AH5" s="12" t="s">
        <v>37</v>
      </c>
      <c r="AK5" s="12" t="s">
        <v>37</v>
      </c>
      <c r="AL5" s="32" t="s">
        <v>55</v>
      </c>
      <c r="AM5" s="12" t="s">
        <v>344</v>
      </c>
      <c r="AO5" s="12" t="s">
        <v>37</v>
      </c>
      <c r="AP5" s="12" t="s">
        <v>602</v>
      </c>
      <c r="AQ5" s="12" t="s">
        <v>975</v>
      </c>
      <c r="AT5" s="12" t="s">
        <v>326</v>
      </c>
      <c r="AU5" s="12" t="s">
        <v>326</v>
      </c>
      <c r="AV5" s="13" t="s">
        <v>326</v>
      </c>
      <c r="AX5" s="12" t="s">
        <v>326</v>
      </c>
      <c r="AY5" s="12" t="s">
        <v>326</v>
      </c>
      <c r="AZ5" s="13" t="s">
        <v>326</v>
      </c>
      <c r="BE5" s="12" t="s">
        <v>326</v>
      </c>
      <c r="BF5" s="12" t="s">
        <v>326</v>
      </c>
      <c r="BG5" s="12" t="s">
        <v>326</v>
      </c>
      <c r="BI5" s="12" t="s">
        <v>326</v>
      </c>
      <c r="BJ5" s="12" t="s">
        <v>326</v>
      </c>
      <c r="BK5" s="12" t="s">
        <v>326</v>
      </c>
      <c r="BP5" s="12" t="s">
        <v>37</v>
      </c>
      <c r="BQ5" s="12" t="s">
        <v>37</v>
      </c>
      <c r="BR5" s="13" t="s">
        <v>37</v>
      </c>
      <c r="BT5" s="12" t="s">
        <v>37</v>
      </c>
      <c r="BU5" s="12" t="s">
        <v>37</v>
      </c>
      <c r="BV5" s="12" t="s">
        <v>37</v>
      </c>
      <c r="CA5" s="12" t="s">
        <v>37</v>
      </c>
      <c r="CB5" s="12" t="s">
        <v>37</v>
      </c>
      <c r="CC5" s="13" t="s">
        <v>37</v>
      </c>
      <c r="CE5" s="12" t="s">
        <v>37</v>
      </c>
      <c r="CF5" s="12" t="s">
        <v>37</v>
      </c>
      <c r="CG5" s="13" t="s">
        <v>37</v>
      </c>
      <c r="CJ5" s="12"/>
      <c r="CN5" s="12" t="s">
        <v>37</v>
      </c>
      <c r="CO5" s="12" t="s">
        <v>37</v>
      </c>
      <c r="CP5" s="13" t="s">
        <v>37</v>
      </c>
      <c r="CR5" s="12" t="s">
        <v>37</v>
      </c>
      <c r="CS5" s="12" t="s">
        <v>37</v>
      </c>
      <c r="CT5" s="13" t="s">
        <v>37</v>
      </c>
      <c r="CX5" s="72"/>
      <c r="CY5" s="72"/>
      <c r="DA5" s="12" t="s">
        <v>37</v>
      </c>
      <c r="DB5" s="12" t="s">
        <v>37</v>
      </c>
      <c r="DC5" s="13" t="s">
        <v>37</v>
      </c>
      <c r="DE5" s="12" t="s">
        <v>37</v>
      </c>
      <c r="DF5" s="12" t="s">
        <v>37</v>
      </c>
      <c r="DG5" s="13" t="s">
        <v>37</v>
      </c>
      <c r="DM5" s="15" t="s">
        <v>47</v>
      </c>
      <c r="DN5" s="19">
        <v>155.93</v>
      </c>
      <c r="DO5" s="12">
        <v>91.89</v>
      </c>
      <c r="DP5" s="13">
        <v>3</v>
      </c>
      <c r="DQ5" s="19">
        <f t="shared" si="7"/>
        <v>0.58930289232347843</v>
      </c>
      <c r="DR5" s="52">
        <v>-0.35</v>
      </c>
      <c r="DS5" s="15">
        <v>0.70099999999999996</v>
      </c>
      <c r="DT5" s="18">
        <v>3</v>
      </c>
      <c r="DU5" s="19">
        <f t="shared" si="8"/>
        <v>2.0028571428571427</v>
      </c>
      <c r="DV5" s="19">
        <f t="shared" si="3"/>
        <v>-156.28</v>
      </c>
      <c r="DW5" s="12">
        <f t="shared" si="4"/>
        <v>64.977932796450204</v>
      </c>
      <c r="DX5" s="72">
        <f t="shared" si="5"/>
        <v>2814.754500333333</v>
      </c>
      <c r="DY5" s="72">
        <f t="shared" si="6"/>
        <v>2814.7545003333335</v>
      </c>
      <c r="DZ5" s="15"/>
      <c r="EA5" s="19" t="s">
        <v>37</v>
      </c>
      <c r="EB5" s="19" t="s">
        <v>37</v>
      </c>
      <c r="EC5" s="72" t="s">
        <v>37</v>
      </c>
      <c r="EE5" s="19" t="s">
        <v>37</v>
      </c>
      <c r="EF5" s="19" t="s">
        <v>37</v>
      </c>
      <c r="EG5" s="11" t="s">
        <v>37</v>
      </c>
      <c r="EN5" s="11" t="s">
        <v>37</v>
      </c>
      <c r="EO5" s="11" t="s">
        <v>37</v>
      </c>
      <c r="EP5" s="13" t="s">
        <v>37</v>
      </c>
      <c r="ER5" s="11" t="s">
        <v>37</v>
      </c>
      <c r="ES5" s="11" t="s">
        <v>37</v>
      </c>
      <c r="ET5" s="13" t="s">
        <v>37</v>
      </c>
      <c r="FB5" s="11" t="s">
        <v>37</v>
      </c>
      <c r="FC5" s="11" t="s">
        <v>37</v>
      </c>
      <c r="FD5" s="11" t="s">
        <v>37</v>
      </c>
      <c r="FE5" s="12" t="s">
        <v>37</v>
      </c>
      <c r="FF5" s="20" t="s">
        <v>37</v>
      </c>
      <c r="FG5" s="11" t="s">
        <v>37</v>
      </c>
      <c r="FI5" s="11" t="s">
        <v>37</v>
      </c>
      <c r="FJ5" s="11" t="s">
        <v>37</v>
      </c>
      <c r="FK5" s="11" t="s">
        <v>37</v>
      </c>
      <c r="FL5" s="13" t="s">
        <v>37</v>
      </c>
      <c r="FM5" s="11" t="s">
        <v>37</v>
      </c>
      <c r="FN5" s="11" t="s">
        <v>37</v>
      </c>
      <c r="FP5" s="11" t="s">
        <v>37</v>
      </c>
      <c r="FQ5" s="11" t="s">
        <v>37</v>
      </c>
      <c r="FR5" s="11" t="s">
        <v>37</v>
      </c>
      <c r="FS5" s="13" t="s">
        <v>37</v>
      </c>
      <c r="FT5" s="11" t="s">
        <v>37</v>
      </c>
      <c r="FU5" s="11" t="s">
        <v>37</v>
      </c>
      <c r="FW5" s="11" t="s">
        <v>37</v>
      </c>
      <c r="FX5" s="11" t="s">
        <v>37</v>
      </c>
      <c r="FY5" s="11" t="s">
        <v>37</v>
      </c>
      <c r="FZ5" s="13" t="s">
        <v>37</v>
      </c>
      <c r="GA5" s="11" t="s">
        <v>37</v>
      </c>
      <c r="GB5" s="11" t="s">
        <v>37</v>
      </c>
      <c r="GE5" s="11"/>
      <c r="GF5" s="11"/>
      <c r="GI5" s="11"/>
      <c r="GJ5" s="11"/>
      <c r="GQ5" s="11"/>
      <c r="GR5" s="11"/>
      <c r="GU5" s="11"/>
      <c r="GV5" s="11"/>
      <c r="HD5" s="11"/>
      <c r="HG5" s="11"/>
      <c r="HH5" s="11"/>
      <c r="HX5" s="32"/>
      <c r="IK5" s="12" t="s">
        <v>37</v>
      </c>
      <c r="IL5" s="12" t="s">
        <v>37</v>
      </c>
      <c r="IM5" s="13" t="s">
        <v>37</v>
      </c>
      <c r="IO5" s="12" t="s">
        <v>37</v>
      </c>
      <c r="IP5" s="12" t="s">
        <v>37</v>
      </c>
      <c r="IQ5" s="13" t="s">
        <v>37</v>
      </c>
      <c r="IW5" s="12" t="s">
        <v>37</v>
      </c>
      <c r="IX5" s="11" t="s">
        <v>37</v>
      </c>
      <c r="IY5" s="13" t="s">
        <v>37</v>
      </c>
      <c r="JA5" s="11" t="s">
        <v>37</v>
      </c>
      <c r="JB5" s="11" t="s">
        <v>37</v>
      </c>
      <c r="JC5" s="13" t="s">
        <v>37</v>
      </c>
      <c r="JH5" s="12" t="s">
        <v>37</v>
      </c>
      <c r="JI5" s="12" t="s">
        <v>37</v>
      </c>
      <c r="JJ5" s="13" t="s">
        <v>37</v>
      </c>
      <c r="JL5" s="12" t="s">
        <v>37</v>
      </c>
      <c r="JM5" s="12" t="s">
        <v>37</v>
      </c>
      <c r="JN5" s="12" t="s">
        <v>37</v>
      </c>
      <c r="JS5" s="12" t="s">
        <v>37</v>
      </c>
      <c r="JT5" s="12" t="s">
        <v>37</v>
      </c>
      <c r="JU5" s="13" t="s">
        <v>37</v>
      </c>
      <c r="JW5" s="12" t="s">
        <v>37</v>
      </c>
      <c r="JX5" s="12" t="s">
        <v>37</v>
      </c>
      <c r="JY5" s="12" t="s">
        <v>37</v>
      </c>
      <c r="KE5" s="11" t="s">
        <v>37</v>
      </c>
      <c r="KF5" s="11" t="s">
        <v>37</v>
      </c>
      <c r="KG5" s="13" t="s">
        <v>37</v>
      </c>
      <c r="KH5" s="11" t="s">
        <v>37</v>
      </c>
      <c r="KI5" s="11" t="s">
        <v>37</v>
      </c>
      <c r="KJ5" s="11" t="s">
        <v>37</v>
      </c>
      <c r="KM5" s="12" t="s">
        <v>37</v>
      </c>
      <c r="KN5" s="11" t="s">
        <v>37</v>
      </c>
      <c r="KO5" s="11" t="s">
        <v>37</v>
      </c>
      <c r="KQ5" s="11" t="s">
        <v>37</v>
      </c>
      <c r="KR5" s="11" t="s">
        <v>37</v>
      </c>
      <c r="KS5" s="13" t="s">
        <v>37</v>
      </c>
      <c r="KX5" s="16" t="s">
        <v>37</v>
      </c>
      <c r="KY5" s="16" t="s">
        <v>37</v>
      </c>
      <c r="KZ5" s="13" t="s">
        <v>37</v>
      </c>
      <c r="LB5" s="16" t="s">
        <v>37</v>
      </c>
      <c r="LC5" s="16" t="s">
        <v>37</v>
      </c>
      <c r="LD5" s="13" t="s">
        <v>37</v>
      </c>
      <c r="LI5" s="12" t="s">
        <v>37</v>
      </c>
      <c r="LJ5" s="12" t="s">
        <v>37</v>
      </c>
      <c r="LK5" s="12" t="s">
        <v>37</v>
      </c>
      <c r="LM5" s="12" t="s">
        <v>37</v>
      </c>
      <c r="LN5" s="12" t="s">
        <v>37</v>
      </c>
      <c r="LO5" s="12" t="s">
        <v>37</v>
      </c>
      <c r="LU5" s="12" t="s">
        <v>37</v>
      </c>
      <c r="LV5" s="12" t="s">
        <v>37</v>
      </c>
      <c r="LW5" s="13" t="s">
        <v>37</v>
      </c>
      <c r="LY5" s="12" t="s">
        <v>37</v>
      </c>
      <c r="LZ5" s="12" t="s">
        <v>37</v>
      </c>
      <c r="MA5" s="11" t="s">
        <v>37</v>
      </c>
      <c r="MF5" s="12" t="s">
        <v>37</v>
      </c>
      <c r="MG5" s="12" t="s">
        <v>37</v>
      </c>
      <c r="MH5" s="12" t="s">
        <v>37</v>
      </c>
      <c r="MJ5" s="12" t="s">
        <v>37</v>
      </c>
      <c r="MK5" s="12" t="s">
        <v>37</v>
      </c>
      <c r="ML5" s="12" t="s">
        <v>37</v>
      </c>
      <c r="MQ5" s="12" t="s">
        <v>37</v>
      </c>
      <c r="MR5" s="12" t="s">
        <v>37</v>
      </c>
      <c r="MS5" s="12" t="s">
        <v>37</v>
      </c>
      <c r="MU5" s="12" t="s">
        <v>37</v>
      </c>
      <c r="MV5" s="12" t="s">
        <v>37</v>
      </c>
      <c r="MW5" s="12" t="s">
        <v>37</v>
      </c>
      <c r="NC5" s="11" t="s">
        <v>37</v>
      </c>
      <c r="ND5" s="11" t="s">
        <v>37</v>
      </c>
      <c r="NE5" s="13" t="s">
        <v>37</v>
      </c>
      <c r="NG5" s="11" t="s">
        <v>37</v>
      </c>
      <c r="NH5" s="11" t="s">
        <v>37</v>
      </c>
      <c r="NI5" s="13" t="s">
        <v>37</v>
      </c>
      <c r="NO5" s="11" t="s">
        <v>37</v>
      </c>
      <c r="NP5" s="11" t="s">
        <v>37</v>
      </c>
      <c r="NQ5" s="13" t="s">
        <v>37</v>
      </c>
      <c r="NS5" s="11" t="s">
        <v>37</v>
      </c>
      <c r="NT5" s="11" t="s">
        <v>37</v>
      </c>
      <c r="NU5" s="13" t="s">
        <v>37</v>
      </c>
      <c r="OA5" s="11" t="s">
        <v>37</v>
      </c>
      <c r="OB5" s="11" t="s">
        <v>37</v>
      </c>
      <c r="OC5" s="13" t="s">
        <v>37</v>
      </c>
      <c r="OE5" s="11" t="s">
        <v>37</v>
      </c>
      <c r="OF5" s="11" t="s">
        <v>37</v>
      </c>
      <c r="OG5" s="13" t="s">
        <v>37</v>
      </c>
      <c r="OM5" s="11" t="s">
        <v>37</v>
      </c>
      <c r="ON5" s="11" t="s">
        <v>37</v>
      </c>
      <c r="OO5" s="11" t="s">
        <v>37</v>
      </c>
      <c r="OP5" s="11" t="s">
        <v>37</v>
      </c>
      <c r="OQ5" s="11" t="s">
        <v>37</v>
      </c>
      <c r="OR5" s="11" t="s">
        <v>37</v>
      </c>
      <c r="OW5" s="11" t="s">
        <v>37</v>
      </c>
      <c r="OX5" s="11" t="s">
        <v>37</v>
      </c>
      <c r="OY5" s="13" t="s">
        <v>37</v>
      </c>
      <c r="OZ5" s="11" t="s">
        <v>37</v>
      </c>
      <c r="PA5" s="11" t="s">
        <v>37</v>
      </c>
      <c r="PB5" s="13" t="s">
        <v>37</v>
      </c>
      <c r="PG5" s="11" t="s">
        <v>37</v>
      </c>
      <c r="PH5" s="11" t="s">
        <v>37</v>
      </c>
      <c r="PI5" s="13" t="s">
        <v>37</v>
      </c>
      <c r="PJ5" s="11" t="s">
        <v>37</v>
      </c>
      <c r="PK5" s="11" t="s">
        <v>37</v>
      </c>
      <c r="PL5" s="13" t="s">
        <v>37</v>
      </c>
      <c r="PQ5" s="11" t="s">
        <v>37</v>
      </c>
      <c r="PR5" s="11" t="s">
        <v>37</v>
      </c>
      <c r="PS5" s="13" t="s">
        <v>37</v>
      </c>
      <c r="PT5" s="11" t="s">
        <v>37</v>
      </c>
      <c r="PU5" s="11" t="s">
        <v>37</v>
      </c>
      <c r="PV5" s="13" t="s">
        <v>37</v>
      </c>
      <c r="PZ5" s="11" t="s">
        <v>37</v>
      </c>
      <c r="QA5" s="11" t="s">
        <v>37</v>
      </c>
      <c r="QB5" s="11" t="s">
        <v>37</v>
      </c>
      <c r="QD5" s="11" t="s">
        <v>37</v>
      </c>
      <c r="QE5" s="11" t="s">
        <v>37</v>
      </c>
      <c r="QF5" s="13" t="s">
        <v>37</v>
      </c>
      <c r="QK5" s="11" t="s">
        <v>37</v>
      </c>
      <c r="QL5" s="11" t="s">
        <v>37</v>
      </c>
      <c r="QM5" s="13" t="s">
        <v>37</v>
      </c>
      <c r="QN5" s="11" t="s">
        <v>37</v>
      </c>
      <c r="QO5" s="11" t="s">
        <v>37</v>
      </c>
      <c r="QP5" s="13" t="s">
        <v>37</v>
      </c>
      <c r="QU5" s="11" t="s">
        <v>37</v>
      </c>
      <c r="QV5" s="11" t="s">
        <v>37</v>
      </c>
      <c r="QW5" s="13" t="s">
        <v>37</v>
      </c>
      <c r="QX5" s="11" t="s">
        <v>37</v>
      </c>
      <c r="QY5" s="11" t="s">
        <v>37</v>
      </c>
      <c r="QZ5" s="13" t="s">
        <v>37</v>
      </c>
      <c r="RC5" s="12" t="s">
        <v>37</v>
      </c>
      <c r="RD5" s="12" t="s">
        <v>37</v>
      </c>
      <c r="RE5" s="13" t="s">
        <v>37</v>
      </c>
      <c r="RF5" s="12" t="s">
        <v>37</v>
      </c>
      <c r="RG5" s="12" t="s">
        <v>37</v>
      </c>
      <c r="RH5" s="13" t="s">
        <v>37</v>
      </c>
      <c r="RK5" s="11" t="s">
        <v>37</v>
      </c>
      <c r="RL5" s="11" t="s">
        <v>37</v>
      </c>
      <c r="RM5" s="11" t="s">
        <v>37</v>
      </c>
      <c r="RN5" s="11" t="s">
        <v>37</v>
      </c>
      <c r="RO5" s="11" t="s">
        <v>37</v>
      </c>
      <c r="RP5" s="11" t="s">
        <v>37</v>
      </c>
      <c r="RS5" s="11" t="s">
        <v>37</v>
      </c>
      <c r="RT5" s="11" t="s">
        <v>37</v>
      </c>
      <c r="RU5" s="11" t="s">
        <v>37</v>
      </c>
      <c r="RV5" s="11" t="s">
        <v>37</v>
      </c>
      <c r="RW5" s="11" t="s">
        <v>37</v>
      </c>
      <c r="RX5" s="11" t="s">
        <v>37</v>
      </c>
      <c r="SA5" s="11" t="s">
        <v>37</v>
      </c>
      <c r="SB5" s="11" t="s">
        <v>37</v>
      </c>
      <c r="SC5" s="13" t="s">
        <v>37</v>
      </c>
      <c r="SD5" s="11" t="s">
        <v>37</v>
      </c>
      <c r="SE5" s="11" t="s">
        <v>37</v>
      </c>
      <c r="SF5" s="13" t="s">
        <v>37</v>
      </c>
      <c r="SI5" s="12" t="s">
        <v>37</v>
      </c>
      <c r="SJ5" s="11" t="s">
        <v>37</v>
      </c>
      <c r="SK5" s="13" t="s">
        <v>37</v>
      </c>
      <c r="SM5" s="11" t="s">
        <v>37</v>
      </c>
      <c r="SN5" s="11" t="s">
        <v>37</v>
      </c>
      <c r="SO5" s="13" t="s">
        <v>37</v>
      </c>
      <c r="SU5" s="12" t="s">
        <v>37</v>
      </c>
      <c r="SV5" s="12" t="s">
        <v>37</v>
      </c>
      <c r="SW5" s="11" t="s">
        <v>37</v>
      </c>
      <c r="SX5" s="12" t="s">
        <v>37</v>
      </c>
      <c r="SY5" s="12" t="s">
        <v>37</v>
      </c>
      <c r="SZ5" s="11" t="s">
        <v>37</v>
      </c>
      <c r="TE5" s="12" t="s">
        <v>37</v>
      </c>
      <c r="TF5" s="12" t="s">
        <v>37</v>
      </c>
      <c r="TG5" s="11" t="s">
        <v>37</v>
      </c>
      <c r="TH5" s="12" t="s">
        <v>37</v>
      </c>
      <c r="TI5" s="12" t="s">
        <v>37</v>
      </c>
      <c r="TJ5" s="11" t="s">
        <v>37</v>
      </c>
      <c r="TO5" s="12" t="s">
        <v>37</v>
      </c>
      <c r="TP5" s="12" t="s">
        <v>37</v>
      </c>
      <c r="TQ5" s="11" t="s">
        <v>37</v>
      </c>
      <c r="TR5" s="12" t="s">
        <v>37</v>
      </c>
      <c r="TS5" s="12" t="s">
        <v>37</v>
      </c>
      <c r="TT5" s="11" t="s">
        <v>37</v>
      </c>
      <c r="TY5" s="12" t="s">
        <v>37</v>
      </c>
      <c r="TZ5" s="12" t="s">
        <v>37</v>
      </c>
      <c r="UA5" s="11" t="s">
        <v>37</v>
      </c>
      <c r="UB5" s="12" t="s">
        <v>37</v>
      </c>
      <c r="UC5" s="12" t="s">
        <v>37</v>
      </c>
      <c r="UD5" s="11" t="s">
        <v>37</v>
      </c>
      <c r="UI5" s="12" t="s">
        <v>37</v>
      </c>
      <c r="UJ5" s="12" t="s">
        <v>37</v>
      </c>
      <c r="UK5" s="13" t="s">
        <v>37</v>
      </c>
      <c r="UL5" s="12" t="s">
        <v>37</v>
      </c>
      <c r="UM5" s="12" t="s">
        <v>37</v>
      </c>
      <c r="UN5" s="13" t="s">
        <v>37</v>
      </c>
      <c r="UR5" s="12" t="s">
        <v>37</v>
      </c>
      <c r="US5" s="12" t="s">
        <v>37</v>
      </c>
      <c r="UT5" s="13" t="s">
        <v>37</v>
      </c>
      <c r="UU5" s="12" t="s">
        <v>37</v>
      </c>
      <c r="UV5" s="12" t="s">
        <v>37</v>
      </c>
      <c r="UW5" s="13" t="s">
        <v>37</v>
      </c>
      <c r="VB5" s="12" t="s">
        <v>37</v>
      </c>
      <c r="VC5" s="12" t="s">
        <v>37</v>
      </c>
      <c r="VD5" s="13" t="s">
        <v>37</v>
      </c>
      <c r="VE5" s="12" t="s">
        <v>37</v>
      </c>
      <c r="VF5" s="12" t="s">
        <v>37</v>
      </c>
      <c r="VG5" s="13" t="s">
        <v>37</v>
      </c>
      <c r="VI5" s="12" t="s">
        <v>37</v>
      </c>
      <c r="VJ5" s="12" t="s">
        <v>37</v>
      </c>
      <c r="VK5" s="13" t="s">
        <v>37</v>
      </c>
      <c r="VL5" s="12" t="s">
        <v>37</v>
      </c>
      <c r="VM5" s="12" t="s">
        <v>37</v>
      </c>
      <c r="VN5" s="13" t="s">
        <v>37</v>
      </c>
      <c r="VO5" s="12" t="s">
        <v>37</v>
      </c>
      <c r="VQ5" s="12" t="s">
        <v>37</v>
      </c>
      <c r="VR5" s="12" t="s">
        <v>37</v>
      </c>
      <c r="VS5" s="12" t="s">
        <v>37</v>
      </c>
      <c r="VT5" s="12" t="s">
        <v>37</v>
      </c>
      <c r="VU5" s="12" t="s">
        <v>37</v>
      </c>
      <c r="VV5" s="12" t="s">
        <v>37</v>
      </c>
      <c r="VW5" s="12"/>
      <c r="VX5" s="12"/>
      <c r="WA5" s="13" t="s">
        <v>37</v>
      </c>
      <c r="WB5" s="13" t="s">
        <v>37</v>
      </c>
      <c r="WC5" s="13" t="s">
        <v>37</v>
      </c>
      <c r="WD5" s="13" t="s">
        <v>37</v>
      </c>
      <c r="WE5" s="13" t="s">
        <v>37</v>
      </c>
      <c r="WF5" s="13" t="s">
        <v>37</v>
      </c>
    </row>
    <row r="6" spans="1:606" ht="18" customHeight="1" x14ac:dyDescent="0.3">
      <c r="A6" s="11">
        <v>1</v>
      </c>
      <c r="B6" s="12" t="s">
        <v>931</v>
      </c>
      <c r="C6" s="12" t="s">
        <v>26</v>
      </c>
      <c r="D6" s="12" t="s">
        <v>54</v>
      </c>
      <c r="E6" s="39" t="s">
        <v>37</v>
      </c>
      <c r="F6" s="14">
        <v>0</v>
      </c>
      <c r="G6" s="14">
        <v>0</v>
      </c>
      <c r="H6" s="12" t="s">
        <v>79</v>
      </c>
      <c r="I6" s="29">
        <v>48.064999999999998</v>
      </c>
      <c r="J6" s="29">
        <v>128.51</v>
      </c>
      <c r="K6" s="12" t="s">
        <v>688</v>
      </c>
      <c r="L6" s="12" t="s">
        <v>689</v>
      </c>
      <c r="M6" s="13" t="s">
        <v>48</v>
      </c>
      <c r="N6" s="14">
        <v>0.4</v>
      </c>
      <c r="O6" s="14">
        <v>630</v>
      </c>
      <c r="P6" s="14" t="s">
        <v>16</v>
      </c>
      <c r="Q6" s="75">
        <v>30</v>
      </c>
      <c r="R6" s="11" t="s">
        <v>37</v>
      </c>
      <c r="S6" s="12" t="s">
        <v>51</v>
      </c>
      <c r="T6" s="12" t="s">
        <v>876</v>
      </c>
      <c r="U6" s="12" t="s">
        <v>163</v>
      </c>
      <c r="V6" s="12" t="s">
        <v>275</v>
      </c>
      <c r="W6" s="23" t="s">
        <v>38</v>
      </c>
      <c r="X6" s="12" t="s">
        <v>280</v>
      </c>
      <c r="Y6" s="12" t="s">
        <v>68</v>
      </c>
      <c r="Z6" s="12" t="s">
        <v>37</v>
      </c>
      <c r="AB6" s="12" t="s">
        <v>37</v>
      </c>
      <c r="AE6" s="12" t="s">
        <v>37</v>
      </c>
      <c r="AH6" s="12" t="s">
        <v>37</v>
      </c>
      <c r="AK6" s="12" t="s">
        <v>37</v>
      </c>
      <c r="AL6" s="32" t="s">
        <v>55</v>
      </c>
      <c r="AM6" s="12" t="s">
        <v>344</v>
      </c>
      <c r="AO6" s="12" t="s">
        <v>37</v>
      </c>
      <c r="AP6" s="12" t="s">
        <v>602</v>
      </c>
      <c r="AQ6" s="12" t="s">
        <v>975</v>
      </c>
      <c r="AT6" s="12" t="s">
        <v>326</v>
      </c>
      <c r="AU6" s="12" t="s">
        <v>326</v>
      </c>
      <c r="AV6" s="13" t="s">
        <v>326</v>
      </c>
      <c r="AX6" s="12" t="s">
        <v>326</v>
      </c>
      <c r="AY6" s="12" t="s">
        <v>326</v>
      </c>
      <c r="AZ6" s="13" t="s">
        <v>326</v>
      </c>
      <c r="BE6" s="12" t="s">
        <v>326</v>
      </c>
      <c r="BF6" s="12" t="s">
        <v>326</v>
      </c>
      <c r="BG6" s="12" t="s">
        <v>326</v>
      </c>
      <c r="BI6" s="12" t="s">
        <v>326</v>
      </c>
      <c r="BJ6" s="12" t="s">
        <v>326</v>
      </c>
      <c r="BK6" s="12" t="s">
        <v>326</v>
      </c>
      <c r="BP6" s="12" t="s">
        <v>37</v>
      </c>
      <c r="BQ6" s="12" t="s">
        <v>37</v>
      </c>
      <c r="BR6" s="13" t="s">
        <v>37</v>
      </c>
      <c r="BT6" s="12" t="s">
        <v>37</v>
      </c>
      <c r="BU6" s="12" t="s">
        <v>37</v>
      </c>
      <c r="BV6" s="12" t="s">
        <v>37</v>
      </c>
      <c r="CA6" s="12" t="s">
        <v>37</v>
      </c>
      <c r="CB6" s="12" t="s">
        <v>37</v>
      </c>
      <c r="CC6" s="13" t="s">
        <v>37</v>
      </c>
      <c r="CE6" s="12" t="s">
        <v>37</v>
      </c>
      <c r="CF6" s="12" t="s">
        <v>37</v>
      </c>
      <c r="CG6" s="13" t="s">
        <v>37</v>
      </c>
      <c r="CJ6" s="52"/>
      <c r="CN6" s="12" t="s">
        <v>37</v>
      </c>
      <c r="CO6" s="12" t="s">
        <v>37</v>
      </c>
      <c r="CP6" s="13" t="s">
        <v>37</v>
      </c>
      <c r="CR6" s="12" t="s">
        <v>37</v>
      </c>
      <c r="CS6" s="12" t="s">
        <v>37</v>
      </c>
      <c r="CT6" s="13" t="s">
        <v>37</v>
      </c>
      <c r="CX6" s="72"/>
      <c r="CY6" s="72"/>
      <c r="DA6" s="12" t="s">
        <v>37</v>
      </c>
      <c r="DB6" s="12" t="s">
        <v>37</v>
      </c>
      <c r="DC6" s="13" t="s">
        <v>37</v>
      </c>
      <c r="DE6" s="12" t="s">
        <v>37</v>
      </c>
      <c r="DF6" s="12" t="s">
        <v>37</v>
      </c>
      <c r="DG6" s="13" t="s">
        <v>37</v>
      </c>
      <c r="DM6" s="15" t="s">
        <v>47</v>
      </c>
      <c r="DN6" s="19">
        <v>155.93</v>
      </c>
      <c r="DO6" s="12">
        <v>91.89</v>
      </c>
      <c r="DP6" s="13">
        <v>3</v>
      </c>
      <c r="DQ6" s="19">
        <f t="shared" si="7"/>
        <v>0.58930289232347843</v>
      </c>
      <c r="DR6" s="52">
        <v>-0.96399999999999997</v>
      </c>
      <c r="DS6" s="15">
        <v>0.26300000000000001</v>
      </c>
      <c r="DT6" s="18">
        <v>3</v>
      </c>
      <c r="DU6" s="19">
        <f t="shared" si="8"/>
        <v>0.27282157676348551</v>
      </c>
      <c r="DV6" s="19">
        <f t="shared" si="3"/>
        <v>-156.89400000000001</v>
      </c>
      <c r="DW6" s="12">
        <f t="shared" si="4"/>
        <v>64.97630825539413</v>
      </c>
      <c r="DX6" s="72">
        <f t="shared" si="5"/>
        <v>2814.6137563333332</v>
      </c>
      <c r="DY6" s="72">
        <f t="shared" si="6"/>
        <v>2814.6137563333336</v>
      </c>
      <c r="DZ6" s="15"/>
      <c r="EA6" s="19" t="s">
        <v>37</v>
      </c>
      <c r="EB6" s="19" t="s">
        <v>37</v>
      </c>
      <c r="EC6" s="72" t="s">
        <v>37</v>
      </c>
      <c r="EE6" s="19" t="s">
        <v>37</v>
      </c>
      <c r="EF6" s="19" t="s">
        <v>37</v>
      </c>
      <c r="EG6" s="11" t="s">
        <v>37</v>
      </c>
      <c r="EN6" s="11" t="s">
        <v>37</v>
      </c>
      <c r="EO6" s="11" t="s">
        <v>37</v>
      </c>
      <c r="EP6" s="13" t="s">
        <v>37</v>
      </c>
      <c r="ER6" s="11" t="s">
        <v>37</v>
      </c>
      <c r="ES6" s="11" t="s">
        <v>37</v>
      </c>
      <c r="ET6" s="13" t="s">
        <v>37</v>
      </c>
      <c r="FB6" s="11" t="s">
        <v>37</v>
      </c>
      <c r="FC6" s="11" t="s">
        <v>37</v>
      </c>
      <c r="FD6" s="11" t="s">
        <v>37</v>
      </c>
      <c r="FE6" s="12" t="s">
        <v>37</v>
      </c>
      <c r="FF6" s="20" t="s">
        <v>37</v>
      </c>
      <c r="FG6" s="11" t="s">
        <v>37</v>
      </c>
      <c r="FI6" s="11" t="s">
        <v>37</v>
      </c>
      <c r="FJ6" s="11" t="s">
        <v>37</v>
      </c>
      <c r="FK6" s="11" t="s">
        <v>37</v>
      </c>
      <c r="FL6" s="13" t="s">
        <v>37</v>
      </c>
      <c r="FM6" s="11" t="s">
        <v>37</v>
      </c>
      <c r="FN6" s="11" t="s">
        <v>37</v>
      </c>
      <c r="FP6" s="11" t="s">
        <v>37</v>
      </c>
      <c r="FQ6" s="11" t="s">
        <v>37</v>
      </c>
      <c r="FR6" s="11" t="s">
        <v>37</v>
      </c>
      <c r="FS6" s="13" t="s">
        <v>37</v>
      </c>
      <c r="FT6" s="11" t="s">
        <v>37</v>
      </c>
      <c r="FU6" s="11" t="s">
        <v>37</v>
      </c>
      <c r="FW6" s="11" t="s">
        <v>37</v>
      </c>
      <c r="FX6" s="11" t="s">
        <v>37</v>
      </c>
      <c r="FY6" s="11" t="s">
        <v>37</v>
      </c>
      <c r="FZ6" s="13" t="s">
        <v>37</v>
      </c>
      <c r="GA6" s="11" t="s">
        <v>37</v>
      </c>
      <c r="GB6" s="11" t="s">
        <v>37</v>
      </c>
      <c r="GE6" s="11"/>
      <c r="GF6" s="11"/>
      <c r="GI6" s="11"/>
      <c r="GJ6" s="11"/>
      <c r="GQ6" s="11"/>
      <c r="GR6" s="11"/>
      <c r="GU6" s="11"/>
      <c r="GV6" s="11"/>
      <c r="HD6" s="11"/>
      <c r="HG6" s="11"/>
      <c r="HH6" s="11"/>
      <c r="HX6" s="32"/>
      <c r="IK6" s="12" t="s">
        <v>37</v>
      </c>
      <c r="IL6" s="12" t="s">
        <v>37</v>
      </c>
      <c r="IM6" s="13" t="s">
        <v>37</v>
      </c>
      <c r="IO6" s="12" t="s">
        <v>37</v>
      </c>
      <c r="IP6" s="12" t="s">
        <v>37</v>
      </c>
      <c r="IQ6" s="13" t="s">
        <v>37</v>
      </c>
      <c r="IW6" s="12" t="s">
        <v>37</v>
      </c>
      <c r="IX6" s="11" t="s">
        <v>37</v>
      </c>
      <c r="IY6" s="13" t="s">
        <v>37</v>
      </c>
      <c r="JA6" s="11" t="s">
        <v>37</v>
      </c>
      <c r="JB6" s="11" t="s">
        <v>37</v>
      </c>
      <c r="JC6" s="13" t="s">
        <v>37</v>
      </c>
      <c r="JH6" s="12" t="s">
        <v>37</v>
      </c>
      <c r="JI6" s="12" t="s">
        <v>37</v>
      </c>
      <c r="JJ6" s="13" t="s">
        <v>37</v>
      </c>
      <c r="JL6" s="12" t="s">
        <v>37</v>
      </c>
      <c r="JM6" s="12" t="s">
        <v>37</v>
      </c>
      <c r="JN6" s="12" t="s">
        <v>37</v>
      </c>
      <c r="JS6" s="12" t="s">
        <v>37</v>
      </c>
      <c r="JT6" s="12" t="s">
        <v>37</v>
      </c>
      <c r="JU6" s="13" t="s">
        <v>37</v>
      </c>
      <c r="JW6" s="12" t="s">
        <v>37</v>
      </c>
      <c r="JX6" s="12" t="s">
        <v>37</v>
      </c>
      <c r="JY6" s="12" t="s">
        <v>37</v>
      </c>
      <c r="KE6" s="11" t="s">
        <v>37</v>
      </c>
      <c r="KF6" s="11" t="s">
        <v>37</v>
      </c>
      <c r="KG6" s="13" t="s">
        <v>37</v>
      </c>
      <c r="KH6" s="11" t="s">
        <v>37</v>
      </c>
      <c r="KI6" s="11" t="s">
        <v>37</v>
      </c>
      <c r="KJ6" s="11" t="s">
        <v>37</v>
      </c>
      <c r="KM6" s="12" t="s">
        <v>37</v>
      </c>
      <c r="KN6" s="11" t="s">
        <v>37</v>
      </c>
      <c r="KO6" s="11" t="s">
        <v>37</v>
      </c>
      <c r="KQ6" s="11" t="s">
        <v>37</v>
      </c>
      <c r="KR6" s="11" t="s">
        <v>37</v>
      </c>
      <c r="KS6" s="13" t="s">
        <v>37</v>
      </c>
      <c r="KX6" s="16" t="s">
        <v>37</v>
      </c>
      <c r="KY6" s="16" t="s">
        <v>37</v>
      </c>
      <c r="KZ6" s="13" t="s">
        <v>37</v>
      </c>
      <c r="LB6" s="16" t="s">
        <v>37</v>
      </c>
      <c r="LC6" s="16" t="s">
        <v>37</v>
      </c>
      <c r="LD6" s="13" t="s">
        <v>37</v>
      </c>
      <c r="LI6" s="12" t="s">
        <v>37</v>
      </c>
      <c r="LJ6" s="12" t="s">
        <v>37</v>
      </c>
      <c r="LK6" s="12" t="s">
        <v>37</v>
      </c>
      <c r="LM6" s="12" t="s">
        <v>37</v>
      </c>
      <c r="LN6" s="12" t="s">
        <v>37</v>
      </c>
      <c r="LO6" s="12" t="s">
        <v>37</v>
      </c>
      <c r="LU6" s="12" t="s">
        <v>37</v>
      </c>
      <c r="LV6" s="12" t="s">
        <v>37</v>
      </c>
      <c r="LW6" s="13" t="s">
        <v>37</v>
      </c>
      <c r="LY6" s="12" t="s">
        <v>37</v>
      </c>
      <c r="LZ6" s="12" t="s">
        <v>37</v>
      </c>
      <c r="MA6" s="11" t="s">
        <v>37</v>
      </c>
      <c r="MF6" s="12" t="s">
        <v>37</v>
      </c>
      <c r="MG6" s="12" t="s">
        <v>37</v>
      </c>
      <c r="MH6" s="12" t="s">
        <v>37</v>
      </c>
      <c r="MJ6" s="12" t="s">
        <v>37</v>
      </c>
      <c r="MK6" s="12" t="s">
        <v>37</v>
      </c>
      <c r="ML6" s="12" t="s">
        <v>37</v>
      </c>
      <c r="MQ6" s="12" t="s">
        <v>37</v>
      </c>
      <c r="MR6" s="12" t="s">
        <v>37</v>
      </c>
      <c r="MS6" s="12" t="s">
        <v>37</v>
      </c>
      <c r="MU6" s="12" t="s">
        <v>37</v>
      </c>
      <c r="MV6" s="12" t="s">
        <v>37</v>
      </c>
      <c r="MW6" s="12" t="s">
        <v>37</v>
      </c>
      <c r="NC6" s="11" t="s">
        <v>37</v>
      </c>
      <c r="ND6" s="11" t="s">
        <v>37</v>
      </c>
      <c r="NE6" s="13" t="s">
        <v>37</v>
      </c>
      <c r="NG6" s="11" t="s">
        <v>37</v>
      </c>
      <c r="NH6" s="11" t="s">
        <v>37</v>
      </c>
      <c r="NI6" s="13" t="s">
        <v>37</v>
      </c>
      <c r="NO6" s="11" t="s">
        <v>37</v>
      </c>
      <c r="NP6" s="11" t="s">
        <v>37</v>
      </c>
      <c r="NQ6" s="13" t="s">
        <v>37</v>
      </c>
      <c r="NS6" s="11" t="s">
        <v>37</v>
      </c>
      <c r="NT6" s="11" t="s">
        <v>37</v>
      </c>
      <c r="NU6" s="13" t="s">
        <v>37</v>
      </c>
      <c r="OA6" s="11" t="s">
        <v>37</v>
      </c>
      <c r="OB6" s="11" t="s">
        <v>37</v>
      </c>
      <c r="OC6" s="13" t="s">
        <v>37</v>
      </c>
      <c r="OE6" s="11" t="s">
        <v>37</v>
      </c>
      <c r="OF6" s="11" t="s">
        <v>37</v>
      </c>
      <c r="OG6" s="13" t="s">
        <v>37</v>
      </c>
      <c r="OM6" s="11" t="s">
        <v>37</v>
      </c>
      <c r="ON6" s="11" t="s">
        <v>37</v>
      </c>
      <c r="OO6" s="11" t="s">
        <v>37</v>
      </c>
      <c r="OP6" s="11" t="s">
        <v>37</v>
      </c>
      <c r="OQ6" s="11" t="s">
        <v>37</v>
      </c>
      <c r="OR6" s="11" t="s">
        <v>37</v>
      </c>
      <c r="OW6" s="11" t="s">
        <v>37</v>
      </c>
      <c r="OX6" s="11" t="s">
        <v>37</v>
      </c>
      <c r="OY6" s="13" t="s">
        <v>37</v>
      </c>
      <c r="OZ6" s="11" t="s">
        <v>37</v>
      </c>
      <c r="PA6" s="11" t="s">
        <v>37</v>
      </c>
      <c r="PB6" s="13" t="s">
        <v>37</v>
      </c>
      <c r="PG6" s="11" t="s">
        <v>37</v>
      </c>
      <c r="PH6" s="11" t="s">
        <v>37</v>
      </c>
      <c r="PI6" s="13" t="s">
        <v>37</v>
      </c>
      <c r="PJ6" s="11" t="s">
        <v>37</v>
      </c>
      <c r="PK6" s="11" t="s">
        <v>37</v>
      </c>
      <c r="PL6" s="13" t="s">
        <v>37</v>
      </c>
      <c r="PQ6" s="11" t="s">
        <v>37</v>
      </c>
      <c r="PR6" s="11" t="s">
        <v>37</v>
      </c>
      <c r="PS6" s="13" t="s">
        <v>37</v>
      </c>
      <c r="PT6" s="11" t="s">
        <v>37</v>
      </c>
      <c r="PU6" s="11" t="s">
        <v>37</v>
      </c>
      <c r="PV6" s="13" t="s">
        <v>37</v>
      </c>
      <c r="PZ6" s="11" t="s">
        <v>37</v>
      </c>
      <c r="QA6" s="11" t="s">
        <v>37</v>
      </c>
      <c r="QB6" s="11" t="s">
        <v>37</v>
      </c>
      <c r="QD6" s="11" t="s">
        <v>37</v>
      </c>
      <c r="QE6" s="11" t="s">
        <v>37</v>
      </c>
      <c r="QF6" s="13" t="s">
        <v>37</v>
      </c>
      <c r="QK6" s="11" t="s">
        <v>37</v>
      </c>
      <c r="QL6" s="11" t="s">
        <v>37</v>
      </c>
      <c r="QM6" s="13" t="s">
        <v>37</v>
      </c>
      <c r="QN6" s="11" t="s">
        <v>37</v>
      </c>
      <c r="QO6" s="11" t="s">
        <v>37</v>
      </c>
      <c r="QP6" s="13" t="s">
        <v>37</v>
      </c>
      <c r="QU6" s="11" t="s">
        <v>37</v>
      </c>
      <c r="QV6" s="11" t="s">
        <v>37</v>
      </c>
      <c r="QW6" s="13" t="s">
        <v>37</v>
      </c>
      <c r="QX6" s="11" t="s">
        <v>37</v>
      </c>
      <c r="QY6" s="11" t="s">
        <v>37</v>
      </c>
      <c r="QZ6" s="13" t="s">
        <v>37</v>
      </c>
      <c r="RC6" s="12" t="s">
        <v>37</v>
      </c>
      <c r="RD6" s="12" t="s">
        <v>37</v>
      </c>
      <c r="RE6" s="13" t="s">
        <v>37</v>
      </c>
      <c r="RF6" s="12" t="s">
        <v>37</v>
      </c>
      <c r="RG6" s="12" t="s">
        <v>37</v>
      </c>
      <c r="RH6" s="13" t="s">
        <v>37</v>
      </c>
      <c r="RK6" s="11" t="s">
        <v>37</v>
      </c>
      <c r="RL6" s="11" t="s">
        <v>37</v>
      </c>
      <c r="RM6" s="11" t="s">
        <v>37</v>
      </c>
      <c r="RN6" s="11" t="s">
        <v>37</v>
      </c>
      <c r="RO6" s="11" t="s">
        <v>37</v>
      </c>
      <c r="RP6" s="11" t="s">
        <v>37</v>
      </c>
      <c r="RS6" s="11" t="s">
        <v>37</v>
      </c>
      <c r="RT6" s="11" t="s">
        <v>37</v>
      </c>
      <c r="RU6" s="11" t="s">
        <v>37</v>
      </c>
      <c r="RV6" s="11" t="s">
        <v>37</v>
      </c>
      <c r="RW6" s="11" t="s">
        <v>37</v>
      </c>
      <c r="RX6" s="11" t="s">
        <v>37</v>
      </c>
      <c r="SA6" s="11" t="s">
        <v>37</v>
      </c>
      <c r="SB6" s="11" t="s">
        <v>37</v>
      </c>
      <c r="SC6" s="13" t="s">
        <v>37</v>
      </c>
      <c r="SD6" s="11" t="s">
        <v>37</v>
      </c>
      <c r="SE6" s="11" t="s">
        <v>37</v>
      </c>
      <c r="SF6" s="13" t="s">
        <v>37</v>
      </c>
      <c r="SI6" s="12" t="s">
        <v>37</v>
      </c>
      <c r="SJ6" s="11" t="s">
        <v>37</v>
      </c>
      <c r="SK6" s="13" t="s">
        <v>37</v>
      </c>
      <c r="SM6" s="11" t="s">
        <v>37</v>
      </c>
      <c r="SN6" s="11" t="s">
        <v>37</v>
      </c>
      <c r="SO6" s="13" t="s">
        <v>37</v>
      </c>
      <c r="SU6" s="12" t="s">
        <v>37</v>
      </c>
      <c r="SV6" s="12" t="s">
        <v>37</v>
      </c>
      <c r="SW6" s="11" t="s">
        <v>37</v>
      </c>
      <c r="SX6" s="12" t="s">
        <v>37</v>
      </c>
      <c r="SY6" s="12" t="s">
        <v>37</v>
      </c>
      <c r="SZ6" s="11" t="s">
        <v>37</v>
      </c>
      <c r="TE6" s="12" t="s">
        <v>37</v>
      </c>
      <c r="TF6" s="12" t="s">
        <v>37</v>
      </c>
      <c r="TG6" s="11" t="s">
        <v>37</v>
      </c>
      <c r="TH6" s="12" t="s">
        <v>37</v>
      </c>
      <c r="TI6" s="12" t="s">
        <v>37</v>
      </c>
      <c r="TJ6" s="11" t="s">
        <v>37</v>
      </c>
      <c r="TO6" s="12" t="s">
        <v>37</v>
      </c>
      <c r="TP6" s="12" t="s">
        <v>37</v>
      </c>
      <c r="TQ6" s="11" t="s">
        <v>37</v>
      </c>
      <c r="TR6" s="12" t="s">
        <v>37</v>
      </c>
      <c r="TS6" s="12" t="s">
        <v>37</v>
      </c>
      <c r="TT6" s="11" t="s">
        <v>37</v>
      </c>
      <c r="TY6" s="12" t="s">
        <v>37</v>
      </c>
      <c r="TZ6" s="12" t="s">
        <v>37</v>
      </c>
      <c r="UA6" s="11" t="s">
        <v>37</v>
      </c>
      <c r="UB6" s="12" t="s">
        <v>37</v>
      </c>
      <c r="UC6" s="12" t="s">
        <v>37</v>
      </c>
      <c r="UD6" s="11" t="s">
        <v>37</v>
      </c>
      <c r="UI6" s="12" t="s">
        <v>37</v>
      </c>
      <c r="UJ6" s="12" t="s">
        <v>37</v>
      </c>
      <c r="UK6" s="13" t="s">
        <v>37</v>
      </c>
      <c r="UL6" s="12" t="s">
        <v>37</v>
      </c>
      <c r="UM6" s="12" t="s">
        <v>37</v>
      </c>
      <c r="UN6" s="13" t="s">
        <v>37</v>
      </c>
      <c r="UR6" s="12" t="s">
        <v>37</v>
      </c>
      <c r="US6" s="12" t="s">
        <v>37</v>
      </c>
      <c r="UT6" s="13" t="s">
        <v>37</v>
      </c>
      <c r="UU6" s="12" t="s">
        <v>37</v>
      </c>
      <c r="UV6" s="12" t="s">
        <v>37</v>
      </c>
      <c r="UW6" s="13" t="s">
        <v>37</v>
      </c>
      <c r="VB6" s="12" t="s">
        <v>37</v>
      </c>
      <c r="VC6" s="12" t="s">
        <v>37</v>
      </c>
      <c r="VD6" s="13" t="s">
        <v>37</v>
      </c>
      <c r="VE6" s="12" t="s">
        <v>37</v>
      </c>
      <c r="VF6" s="12" t="s">
        <v>37</v>
      </c>
      <c r="VG6" s="13" t="s">
        <v>37</v>
      </c>
      <c r="VI6" s="12" t="s">
        <v>37</v>
      </c>
      <c r="VJ6" s="12" t="s">
        <v>37</v>
      </c>
      <c r="VK6" s="13" t="s">
        <v>37</v>
      </c>
      <c r="VL6" s="12" t="s">
        <v>37</v>
      </c>
      <c r="VM6" s="12" t="s">
        <v>37</v>
      </c>
      <c r="VN6" s="13" t="s">
        <v>37</v>
      </c>
      <c r="VO6" s="12" t="s">
        <v>37</v>
      </c>
      <c r="VQ6" s="12" t="s">
        <v>37</v>
      </c>
      <c r="VR6" s="12" t="s">
        <v>37</v>
      </c>
      <c r="VS6" s="12" t="s">
        <v>37</v>
      </c>
      <c r="VT6" s="12" t="s">
        <v>37</v>
      </c>
      <c r="VU6" s="12" t="s">
        <v>37</v>
      </c>
      <c r="VV6" s="12" t="s">
        <v>37</v>
      </c>
      <c r="VW6" s="12"/>
      <c r="VX6" s="12"/>
      <c r="WA6" s="13" t="s">
        <v>37</v>
      </c>
      <c r="WB6" s="13" t="s">
        <v>37</v>
      </c>
      <c r="WC6" s="13" t="s">
        <v>37</v>
      </c>
      <c r="WD6" s="13" t="s">
        <v>37</v>
      </c>
      <c r="WE6" s="13" t="s">
        <v>37</v>
      </c>
      <c r="WF6" s="13" t="s">
        <v>37</v>
      </c>
    </row>
    <row r="7" spans="1:606" ht="18" customHeight="1" x14ac:dyDescent="0.3">
      <c r="A7" s="11">
        <v>1</v>
      </c>
      <c r="B7" s="12" t="s">
        <v>931</v>
      </c>
      <c r="C7" s="12" t="s">
        <v>26</v>
      </c>
      <c r="D7" s="12" t="s">
        <v>54</v>
      </c>
      <c r="E7" s="39" t="s">
        <v>37</v>
      </c>
      <c r="F7" s="14">
        <v>0</v>
      </c>
      <c r="G7" s="14">
        <v>0</v>
      </c>
      <c r="H7" s="12" t="s">
        <v>79</v>
      </c>
      <c r="I7" s="29">
        <v>48.064999999999998</v>
      </c>
      <c r="J7" s="29">
        <v>128.51</v>
      </c>
      <c r="K7" s="12" t="s">
        <v>688</v>
      </c>
      <c r="L7" s="12" t="s">
        <v>689</v>
      </c>
      <c r="M7" s="13" t="s">
        <v>48</v>
      </c>
      <c r="N7" s="14">
        <v>0.4</v>
      </c>
      <c r="O7" s="14">
        <v>630</v>
      </c>
      <c r="P7" s="14" t="s">
        <v>16</v>
      </c>
      <c r="Q7" s="75">
        <v>30</v>
      </c>
      <c r="R7" s="11" t="s">
        <v>37</v>
      </c>
      <c r="S7" s="12" t="s">
        <v>51</v>
      </c>
      <c r="T7" s="12" t="s">
        <v>876</v>
      </c>
      <c r="U7" s="12" t="s">
        <v>334</v>
      </c>
      <c r="V7" s="12" t="s">
        <v>275</v>
      </c>
      <c r="W7" s="23" t="s">
        <v>38</v>
      </c>
      <c r="X7" s="12" t="s">
        <v>280</v>
      </c>
      <c r="Y7" s="12" t="s">
        <v>68</v>
      </c>
      <c r="Z7" s="12" t="s">
        <v>37</v>
      </c>
      <c r="AB7" s="12" t="s">
        <v>37</v>
      </c>
      <c r="AE7" s="12" t="s">
        <v>37</v>
      </c>
      <c r="AH7" s="12" t="s">
        <v>37</v>
      </c>
      <c r="AK7" s="12" t="s">
        <v>37</v>
      </c>
      <c r="AL7" s="32" t="s">
        <v>55</v>
      </c>
      <c r="AM7" s="12" t="s">
        <v>344</v>
      </c>
      <c r="AO7" s="12" t="s">
        <v>37</v>
      </c>
      <c r="AP7" s="12" t="s">
        <v>602</v>
      </c>
      <c r="AQ7" s="12" t="s">
        <v>975</v>
      </c>
      <c r="AT7" s="12" t="s">
        <v>326</v>
      </c>
      <c r="AU7" s="12" t="s">
        <v>326</v>
      </c>
      <c r="AV7" s="13" t="s">
        <v>326</v>
      </c>
      <c r="AX7" s="12" t="s">
        <v>326</v>
      </c>
      <c r="AY7" s="12" t="s">
        <v>326</v>
      </c>
      <c r="AZ7" s="13" t="s">
        <v>326</v>
      </c>
      <c r="BE7" s="12" t="s">
        <v>326</v>
      </c>
      <c r="BF7" s="12" t="s">
        <v>326</v>
      </c>
      <c r="BG7" s="12" t="s">
        <v>326</v>
      </c>
      <c r="BI7" s="12" t="s">
        <v>326</v>
      </c>
      <c r="BJ7" s="12" t="s">
        <v>326</v>
      </c>
      <c r="BK7" s="12" t="s">
        <v>326</v>
      </c>
      <c r="BP7" s="12" t="s">
        <v>37</v>
      </c>
      <c r="BQ7" s="12" t="s">
        <v>37</v>
      </c>
      <c r="BR7" s="13" t="s">
        <v>37</v>
      </c>
      <c r="BT7" s="12" t="s">
        <v>37</v>
      </c>
      <c r="BU7" s="12" t="s">
        <v>37</v>
      </c>
      <c r="BV7" s="12" t="s">
        <v>37</v>
      </c>
      <c r="CA7" s="12" t="s">
        <v>37</v>
      </c>
      <c r="CB7" s="12" t="s">
        <v>37</v>
      </c>
      <c r="CC7" s="13" t="s">
        <v>37</v>
      </c>
      <c r="CE7" s="12" t="s">
        <v>37</v>
      </c>
      <c r="CF7" s="12" t="s">
        <v>37</v>
      </c>
      <c r="CG7" s="13" t="s">
        <v>37</v>
      </c>
      <c r="CJ7" s="12"/>
      <c r="CN7" s="12" t="s">
        <v>37</v>
      </c>
      <c r="CO7" s="12" t="s">
        <v>37</v>
      </c>
      <c r="CP7" s="13" t="s">
        <v>37</v>
      </c>
      <c r="CR7" s="12" t="s">
        <v>37</v>
      </c>
      <c r="CS7" s="12" t="s">
        <v>37</v>
      </c>
      <c r="CT7" s="13" t="s">
        <v>37</v>
      </c>
      <c r="CX7" s="72"/>
      <c r="CY7" s="72"/>
      <c r="DA7" s="12" t="s">
        <v>37</v>
      </c>
      <c r="DB7" s="12" t="s">
        <v>37</v>
      </c>
      <c r="DC7" s="13" t="s">
        <v>37</v>
      </c>
      <c r="DE7" s="12" t="s">
        <v>37</v>
      </c>
      <c r="DF7" s="12" t="s">
        <v>37</v>
      </c>
      <c r="DG7" s="13" t="s">
        <v>37</v>
      </c>
      <c r="DM7" s="15" t="s">
        <v>47</v>
      </c>
      <c r="DN7" s="19">
        <v>155.93</v>
      </c>
      <c r="DO7" s="12">
        <v>91.89</v>
      </c>
      <c r="DP7" s="13">
        <v>3</v>
      </c>
      <c r="DQ7" s="19">
        <f t="shared" si="7"/>
        <v>0.58930289232347843</v>
      </c>
      <c r="DR7" s="52">
        <v>0.35</v>
      </c>
      <c r="DS7" s="15">
        <v>1.927</v>
      </c>
      <c r="DT7" s="18">
        <v>3</v>
      </c>
      <c r="DU7" s="19">
        <f t="shared" si="8"/>
        <v>5.5057142857142862</v>
      </c>
      <c r="DV7" s="19">
        <f t="shared" si="3"/>
        <v>-155.58000000000001</v>
      </c>
      <c r="DW7" s="12">
        <f t="shared" si="4"/>
        <v>64.990327853458325</v>
      </c>
      <c r="DX7" s="72">
        <f t="shared" si="5"/>
        <v>2815.8284763333331</v>
      </c>
      <c r="DY7" s="72">
        <f t="shared" si="6"/>
        <v>2815.8284763333336</v>
      </c>
      <c r="DZ7" s="15"/>
      <c r="EA7" s="19" t="s">
        <v>37</v>
      </c>
      <c r="EB7" s="19" t="s">
        <v>37</v>
      </c>
      <c r="EC7" s="72" t="s">
        <v>37</v>
      </c>
      <c r="EE7" s="19" t="s">
        <v>37</v>
      </c>
      <c r="EF7" s="19" t="s">
        <v>37</v>
      </c>
      <c r="EG7" s="11" t="s">
        <v>37</v>
      </c>
      <c r="EN7" s="11" t="s">
        <v>37</v>
      </c>
      <c r="EO7" s="11" t="s">
        <v>37</v>
      </c>
      <c r="EP7" s="13" t="s">
        <v>37</v>
      </c>
      <c r="ER7" s="11" t="s">
        <v>37</v>
      </c>
      <c r="ES7" s="11" t="s">
        <v>37</v>
      </c>
      <c r="ET7" s="13" t="s">
        <v>37</v>
      </c>
      <c r="FB7" s="11" t="s">
        <v>37</v>
      </c>
      <c r="FC7" s="11" t="s">
        <v>37</v>
      </c>
      <c r="FD7" s="11" t="s">
        <v>37</v>
      </c>
      <c r="FE7" s="12" t="s">
        <v>37</v>
      </c>
      <c r="FF7" s="20" t="s">
        <v>37</v>
      </c>
      <c r="FG7" s="11" t="s">
        <v>37</v>
      </c>
      <c r="FI7" s="11" t="s">
        <v>37</v>
      </c>
      <c r="FJ7" s="11" t="s">
        <v>37</v>
      </c>
      <c r="FK7" s="11" t="s">
        <v>37</v>
      </c>
      <c r="FL7" s="13" t="s">
        <v>37</v>
      </c>
      <c r="FM7" s="11" t="s">
        <v>37</v>
      </c>
      <c r="FN7" s="11" t="s">
        <v>37</v>
      </c>
      <c r="FP7" s="11" t="s">
        <v>37</v>
      </c>
      <c r="FQ7" s="11" t="s">
        <v>37</v>
      </c>
      <c r="FR7" s="11" t="s">
        <v>37</v>
      </c>
      <c r="FS7" s="13" t="s">
        <v>37</v>
      </c>
      <c r="FT7" s="11" t="s">
        <v>37</v>
      </c>
      <c r="FU7" s="11" t="s">
        <v>37</v>
      </c>
      <c r="FW7" s="11" t="s">
        <v>37</v>
      </c>
      <c r="FX7" s="11" t="s">
        <v>37</v>
      </c>
      <c r="FY7" s="11" t="s">
        <v>37</v>
      </c>
      <c r="FZ7" s="13" t="s">
        <v>37</v>
      </c>
      <c r="GA7" s="11" t="s">
        <v>37</v>
      </c>
      <c r="GB7" s="11" t="s">
        <v>37</v>
      </c>
      <c r="GE7" s="11"/>
      <c r="GF7" s="11"/>
      <c r="GI7" s="11"/>
      <c r="GJ7" s="11"/>
      <c r="GQ7" s="11"/>
      <c r="GR7" s="11"/>
      <c r="GU7" s="11"/>
      <c r="GV7" s="11"/>
      <c r="HD7" s="11"/>
      <c r="HG7" s="11"/>
      <c r="HH7" s="11"/>
      <c r="HX7" s="32"/>
      <c r="IK7" s="12" t="s">
        <v>37</v>
      </c>
      <c r="IL7" s="12" t="s">
        <v>37</v>
      </c>
      <c r="IM7" s="13" t="s">
        <v>37</v>
      </c>
      <c r="IO7" s="12" t="s">
        <v>37</v>
      </c>
      <c r="IP7" s="12" t="s">
        <v>37</v>
      </c>
      <c r="IQ7" s="13" t="s">
        <v>37</v>
      </c>
      <c r="IW7" s="12" t="s">
        <v>37</v>
      </c>
      <c r="IX7" s="11" t="s">
        <v>37</v>
      </c>
      <c r="IY7" s="13" t="s">
        <v>37</v>
      </c>
      <c r="JA7" s="11" t="s">
        <v>37</v>
      </c>
      <c r="JB7" s="11" t="s">
        <v>37</v>
      </c>
      <c r="JC7" s="13" t="s">
        <v>37</v>
      </c>
      <c r="JH7" s="12" t="s">
        <v>37</v>
      </c>
      <c r="JI7" s="12" t="s">
        <v>37</v>
      </c>
      <c r="JJ7" s="13" t="s">
        <v>37</v>
      </c>
      <c r="JL7" s="12" t="s">
        <v>37</v>
      </c>
      <c r="JM7" s="12" t="s">
        <v>37</v>
      </c>
      <c r="JN7" s="12" t="s">
        <v>37</v>
      </c>
      <c r="JS7" s="12" t="s">
        <v>37</v>
      </c>
      <c r="JT7" s="12" t="s">
        <v>37</v>
      </c>
      <c r="JU7" s="13" t="s">
        <v>37</v>
      </c>
      <c r="JW7" s="12" t="s">
        <v>37</v>
      </c>
      <c r="JX7" s="12" t="s">
        <v>37</v>
      </c>
      <c r="JY7" s="12" t="s">
        <v>37</v>
      </c>
      <c r="KE7" s="11" t="s">
        <v>37</v>
      </c>
      <c r="KF7" s="11" t="s">
        <v>37</v>
      </c>
      <c r="KG7" s="13" t="s">
        <v>37</v>
      </c>
      <c r="KH7" s="11" t="s">
        <v>37</v>
      </c>
      <c r="KI7" s="11" t="s">
        <v>37</v>
      </c>
      <c r="KJ7" s="11" t="s">
        <v>37</v>
      </c>
      <c r="KM7" s="12" t="s">
        <v>37</v>
      </c>
      <c r="KN7" s="11" t="s">
        <v>37</v>
      </c>
      <c r="KO7" s="11" t="s">
        <v>37</v>
      </c>
      <c r="KQ7" s="11" t="s">
        <v>37</v>
      </c>
      <c r="KR7" s="11" t="s">
        <v>37</v>
      </c>
      <c r="KS7" s="13" t="s">
        <v>37</v>
      </c>
      <c r="KX7" s="16" t="s">
        <v>37</v>
      </c>
      <c r="KY7" s="16" t="s">
        <v>37</v>
      </c>
      <c r="KZ7" s="13" t="s">
        <v>37</v>
      </c>
      <c r="LB7" s="16" t="s">
        <v>37</v>
      </c>
      <c r="LC7" s="16" t="s">
        <v>37</v>
      </c>
      <c r="LD7" s="13" t="s">
        <v>37</v>
      </c>
      <c r="LI7" s="12" t="s">
        <v>37</v>
      </c>
      <c r="LJ7" s="12" t="s">
        <v>37</v>
      </c>
      <c r="LK7" s="12" t="s">
        <v>37</v>
      </c>
      <c r="LM7" s="12" t="s">
        <v>37</v>
      </c>
      <c r="LN7" s="12" t="s">
        <v>37</v>
      </c>
      <c r="LO7" s="12" t="s">
        <v>37</v>
      </c>
      <c r="LU7" s="12" t="s">
        <v>37</v>
      </c>
      <c r="LV7" s="12" t="s">
        <v>37</v>
      </c>
      <c r="LW7" s="13" t="s">
        <v>37</v>
      </c>
      <c r="LY7" s="12" t="s">
        <v>37</v>
      </c>
      <c r="LZ7" s="12" t="s">
        <v>37</v>
      </c>
      <c r="MA7" s="11" t="s">
        <v>37</v>
      </c>
      <c r="MF7" s="12" t="s">
        <v>37</v>
      </c>
      <c r="MG7" s="12" t="s">
        <v>37</v>
      </c>
      <c r="MH7" s="12" t="s">
        <v>37</v>
      </c>
      <c r="MJ7" s="12" t="s">
        <v>37</v>
      </c>
      <c r="MK7" s="12" t="s">
        <v>37</v>
      </c>
      <c r="ML7" s="12" t="s">
        <v>37</v>
      </c>
      <c r="MQ7" s="12" t="s">
        <v>37</v>
      </c>
      <c r="MR7" s="12" t="s">
        <v>37</v>
      </c>
      <c r="MS7" s="12" t="s">
        <v>37</v>
      </c>
      <c r="MU7" s="12" t="s">
        <v>37</v>
      </c>
      <c r="MV7" s="12" t="s">
        <v>37</v>
      </c>
      <c r="MW7" s="12" t="s">
        <v>37</v>
      </c>
      <c r="NC7" s="11" t="s">
        <v>37</v>
      </c>
      <c r="ND7" s="11" t="s">
        <v>37</v>
      </c>
      <c r="NE7" s="13" t="s">
        <v>37</v>
      </c>
      <c r="NG7" s="11" t="s">
        <v>37</v>
      </c>
      <c r="NH7" s="11" t="s">
        <v>37</v>
      </c>
      <c r="NI7" s="13" t="s">
        <v>37</v>
      </c>
      <c r="NO7" s="11" t="s">
        <v>37</v>
      </c>
      <c r="NP7" s="11" t="s">
        <v>37</v>
      </c>
      <c r="NQ7" s="13" t="s">
        <v>37</v>
      </c>
      <c r="NS7" s="11" t="s">
        <v>37</v>
      </c>
      <c r="NT7" s="11" t="s">
        <v>37</v>
      </c>
      <c r="NU7" s="13" t="s">
        <v>37</v>
      </c>
      <c r="OA7" s="11" t="s">
        <v>37</v>
      </c>
      <c r="OB7" s="11" t="s">
        <v>37</v>
      </c>
      <c r="OC7" s="13" t="s">
        <v>37</v>
      </c>
      <c r="OE7" s="11" t="s">
        <v>37</v>
      </c>
      <c r="OF7" s="11" t="s">
        <v>37</v>
      </c>
      <c r="OG7" s="13" t="s">
        <v>37</v>
      </c>
      <c r="OM7" s="11" t="s">
        <v>37</v>
      </c>
      <c r="ON7" s="11" t="s">
        <v>37</v>
      </c>
      <c r="OO7" s="11" t="s">
        <v>37</v>
      </c>
      <c r="OP7" s="11" t="s">
        <v>37</v>
      </c>
      <c r="OQ7" s="11" t="s">
        <v>37</v>
      </c>
      <c r="OR7" s="11" t="s">
        <v>37</v>
      </c>
      <c r="OW7" s="11" t="s">
        <v>37</v>
      </c>
      <c r="OX7" s="11" t="s">
        <v>37</v>
      </c>
      <c r="OY7" s="13" t="s">
        <v>37</v>
      </c>
      <c r="OZ7" s="11" t="s">
        <v>37</v>
      </c>
      <c r="PA7" s="11" t="s">
        <v>37</v>
      </c>
      <c r="PB7" s="13" t="s">
        <v>37</v>
      </c>
      <c r="PG7" s="11" t="s">
        <v>37</v>
      </c>
      <c r="PH7" s="11" t="s">
        <v>37</v>
      </c>
      <c r="PI7" s="13" t="s">
        <v>37</v>
      </c>
      <c r="PJ7" s="11" t="s">
        <v>37</v>
      </c>
      <c r="PK7" s="11" t="s">
        <v>37</v>
      </c>
      <c r="PL7" s="13" t="s">
        <v>37</v>
      </c>
      <c r="PQ7" s="11" t="s">
        <v>37</v>
      </c>
      <c r="PR7" s="11" t="s">
        <v>37</v>
      </c>
      <c r="PS7" s="13" t="s">
        <v>37</v>
      </c>
      <c r="PT7" s="11" t="s">
        <v>37</v>
      </c>
      <c r="PU7" s="11" t="s">
        <v>37</v>
      </c>
      <c r="PV7" s="13" t="s">
        <v>37</v>
      </c>
      <c r="PZ7" s="11" t="s">
        <v>37</v>
      </c>
      <c r="QA7" s="11" t="s">
        <v>37</v>
      </c>
      <c r="QB7" s="11" t="s">
        <v>37</v>
      </c>
      <c r="QD7" s="11" t="s">
        <v>37</v>
      </c>
      <c r="QE7" s="11" t="s">
        <v>37</v>
      </c>
      <c r="QF7" s="13" t="s">
        <v>37</v>
      </c>
      <c r="QK7" s="11" t="s">
        <v>37</v>
      </c>
      <c r="QL7" s="11" t="s">
        <v>37</v>
      </c>
      <c r="QM7" s="13" t="s">
        <v>37</v>
      </c>
      <c r="QN7" s="11" t="s">
        <v>37</v>
      </c>
      <c r="QO7" s="11" t="s">
        <v>37</v>
      </c>
      <c r="QP7" s="13" t="s">
        <v>37</v>
      </c>
      <c r="QU7" s="11" t="s">
        <v>37</v>
      </c>
      <c r="QV7" s="11" t="s">
        <v>37</v>
      </c>
      <c r="QW7" s="13" t="s">
        <v>37</v>
      </c>
      <c r="QX7" s="11" t="s">
        <v>37</v>
      </c>
      <c r="QY7" s="11" t="s">
        <v>37</v>
      </c>
      <c r="QZ7" s="13" t="s">
        <v>37</v>
      </c>
      <c r="RC7" s="12" t="s">
        <v>37</v>
      </c>
      <c r="RD7" s="12" t="s">
        <v>37</v>
      </c>
      <c r="RE7" s="13" t="s">
        <v>37</v>
      </c>
      <c r="RF7" s="12" t="s">
        <v>37</v>
      </c>
      <c r="RG7" s="12" t="s">
        <v>37</v>
      </c>
      <c r="RH7" s="13" t="s">
        <v>37</v>
      </c>
      <c r="RK7" s="11" t="s">
        <v>37</v>
      </c>
      <c r="RL7" s="11" t="s">
        <v>37</v>
      </c>
      <c r="RM7" s="11" t="s">
        <v>37</v>
      </c>
      <c r="RN7" s="11" t="s">
        <v>37</v>
      </c>
      <c r="RO7" s="11" t="s">
        <v>37</v>
      </c>
      <c r="RP7" s="11" t="s">
        <v>37</v>
      </c>
      <c r="RS7" s="11" t="s">
        <v>37</v>
      </c>
      <c r="RT7" s="11" t="s">
        <v>37</v>
      </c>
      <c r="RU7" s="11" t="s">
        <v>37</v>
      </c>
      <c r="RV7" s="11" t="s">
        <v>37</v>
      </c>
      <c r="RW7" s="11" t="s">
        <v>37</v>
      </c>
      <c r="RX7" s="11" t="s">
        <v>37</v>
      </c>
      <c r="SA7" s="11" t="s">
        <v>37</v>
      </c>
      <c r="SB7" s="11" t="s">
        <v>37</v>
      </c>
      <c r="SC7" s="13" t="s">
        <v>37</v>
      </c>
      <c r="SD7" s="11" t="s">
        <v>37</v>
      </c>
      <c r="SE7" s="11" t="s">
        <v>37</v>
      </c>
      <c r="SF7" s="13" t="s">
        <v>37</v>
      </c>
      <c r="SI7" s="12" t="s">
        <v>37</v>
      </c>
      <c r="SJ7" s="11" t="s">
        <v>37</v>
      </c>
      <c r="SK7" s="13" t="s">
        <v>37</v>
      </c>
      <c r="SM7" s="11" t="s">
        <v>37</v>
      </c>
      <c r="SN7" s="11" t="s">
        <v>37</v>
      </c>
      <c r="SO7" s="13" t="s">
        <v>37</v>
      </c>
      <c r="SU7" s="12" t="s">
        <v>37</v>
      </c>
      <c r="SV7" s="12" t="s">
        <v>37</v>
      </c>
      <c r="SW7" s="11" t="s">
        <v>37</v>
      </c>
      <c r="SX7" s="12" t="s">
        <v>37</v>
      </c>
      <c r="SY7" s="12" t="s">
        <v>37</v>
      </c>
      <c r="SZ7" s="11" t="s">
        <v>37</v>
      </c>
      <c r="TE7" s="12" t="s">
        <v>37</v>
      </c>
      <c r="TF7" s="12" t="s">
        <v>37</v>
      </c>
      <c r="TG7" s="11" t="s">
        <v>37</v>
      </c>
      <c r="TH7" s="12" t="s">
        <v>37</v>
      </c>
      <c r="TI7" s="12" t="s">
        <v>37</v>
      </c>
      <c r="TJ7" s="11" t="s">
        <v>37</v>
      </c>
      <c r="TO7" s="12" t="s">
        <v>37</v>
      </c>
      <c r="TP7" s="12" t="s">
        <v>37</v>
      </c>
      <c r="TQ7" s="11" t="s">
        <v>37</v>
      </c>
      <c r="TR7" s="12" t="s">
        <v>37</v>
      </c>
      <c r="TS7" s="12" t="s">
        <v>37</v>
      </c>
      <c r="TT7" s="11" t="s">
        <v>37</v>
      </c>
      <c r="TY7" s="12" t="s">
        <v>37</v>
      </c>
      <c r="TZ7" s="12" t="s">
        <v>37</v>
      </c>
      <c r="UA7" s="11" t="s">
        <v>37</v>
      </c>
      <c r="UB7" s="12" t="s">
        <v>37</v>
      </c>
      <c r="UC7" s="12" t="s">
        <v>37</v>
      </c>
      <c r="UD7" s="11" t="s">
        <v>37</v>
      </c>
      <c r="UI7" s="12" t="s">
        <v>37</v>
      </c>
      <c r="UJ7" s="12" t="s">
        <v>37</v>
      </c>
      <c r="UK7" s="13" t="s">
        <v>37</v>
      </c>
      <c r="UL7" s="12" t="s">
        <v>37</v>
      </c>
      <c r="UM7" s="12" t="s">
        <v>37</v>
      </c>
      <c r="UN7" s="13" t="s">
        <v>37</v>
      </c>
      <c r="UR7" s="12" t="s">
        <v>37</v>
      </c>
      <c r="US7" s="12" t="s">
        <v>37</v>
      </c>
      <c r="UT7" s="13" t="s">
        <v>37</v>
      </c>
      <c r="UU7" s="12" t="s">
        <v>37</v>
      </c>
      <c r="UV7" s="12" t="s">
        <v>37</v>
      </c>
      <c r="UW7" s="13" t="s">
        <v>37</v>
      </c>
      <c r="VB7" s="12" t="s">
        <v>37</v>
      </c>
      <c r="VC7" s="12" t="s">
        <v>37</v>
      </c>
      <c r="VD7" s="13" t="s">
        <v>37</v>
      </c>
      <c r="VE7" s="12" t="s">
        <v>37</v>
      </c>
      <c r="VF7" s="12" t="s">
        <v>37</v>
      </c>
      <c r="VG7" s="13" t="s">
        <v>37</v>
      </c>
      <c r="VI7" s="12" t="s">
        <v>37</v>
      </c>
      <c r="VJ7" s="12" t="s">
        <v>37</v>
      </c>
      <c r="VK7" s="13" t="s">
        <v>37</v>
      </c>
      <c r="VL7" s="12" t="s">
        <v>37</v>
      </c>
      <c r="VM7" s="12" t="s">
        <v>37</v>
      </c>
      <c r="VN7" s="13" t="s">
        <v>37</v>
      </c>
      <c r="VO7" s="12" t="s">
        <v>37</v>
      </c>
      <c r="VQ7" s="12" t="s">
        <v>37</v>
      </c>
      <c r="VR7" s="12" t="s">
        <v>37</v>
      </c>
      <c r="VS7" s="12" t="s">
        <v>37</v>
      </c>
      <c r="VT7" s="12" t="s">
        <v>37</v>
      </c>
      <c r="VU7" s="12" t="s">
        <v>37</v>
      </c>
      <c r="VV7" s="12" t="s">
        <v>37</v>
      </c>
      <c r="VW7" s="12"/>
      <c r="VX7" s="12"/>
      <c r="WA7" s="13" t="s">
        <v>37</v>
      </c>
      <c r="WB7" s="13" t="s">
        <v>37</v>
      </c>
      <c r="WC7" s="13" t="s">
        <v>37</v>
      </c>
      <c r="WD7" s="13" t="s">
        <v>37</v>
      </c>
      <c r="WE7" s="13" t="s">
        <v>37</v>
      </c>
      <c r="WF7" s="13" t="s">
        <v>37</v>
      </c>
    </row>
    <row r="8" spans="1:606" ht="18" customHeight="1" x14ac:dyDescent="0.3">
      <c r="A8" s="11">
        <v>2</v>
      </c>
      <c r="B8" s="12" t="s">
        <v>52</v>
      </c>
      <c r="C8" s="12" t="s">
        <v>26</v>
      </c>
      <c r="D8" s="12" t="s">
        <v>54</v>
      </c>
      <c r="E8" s="39" t="s">
        <v>37</v>
      </c>
      <c r="F8" s="14">
        <v>0</v>
      </c>
      <c r="G8" s="14">
        <v>0</v>
      </c>
      <c r="H8" s="12" t="s">
        <v>79</v>
      </c>
      <c r="I8" s="29">
        <v>48.064999999999998</v>
      </c>
      <c r="J8" s="29">
        <v>128.51</v>
      </c>
      <c r="K8" s="12" t="s">
        <v>688</v>
      </c>
      <c r="L8" s="12" t="s">
        <v>689</v>
      </c>
      <c r="M8" s="13" t="s">
        <v>48</v>
      </c>
      <c r="N8" s="14">
        <v>0.4</v>
      </c>
      <c r="O8" s="14">
        <v>630</v>
      </c>
      <c r="P8" s="14" t="s">
        <v>16</v>
      </c>
      <c r="Q8" s="75">
        <v>10</v>
      </c>
      <c r="R8" s="11" t="s">
        <v>37</v>
      </c>
      <c r="S8" s="12" t="s">
        <v>51</v>
      </c>
      <c r="T8" s="12" t="s">
        <v>876</v>
      </c>
      <c r="U8" s="12" t="s">
        <v>158</v>
      </c>
      <c r="V8" s="12" t="s">
        <v>275</v>
      </c>
      <c r="W8" s="23" t="s">
        <v>38</v>
      </c>
      <c r="X8" s="12" t="s">
        <v>280</v>
      </c>
      <c r="Y8" s="12" t="s">
        <v>68</v>
      </c>
      <c r="Z8" s="12" t="s">
        <v>37</v>
      </c>
      <c r="AB8" s="12" t="s">
        <v>37</v>
      </c>
      <c r="AE8" s="12" t="s">
        <v>37</v>
      </c>
      <c r="AH8" s="12" t="s">
        <v>37</v>
      </c>
      <c r="AK8" s="12" t="s">
        <v>37</v>
      </c>
      <c r="AL8" s="32" t="s">
        <v>485</v>
      </c>
      <c r="AM8" s="12" t="s">
        <v>317</v>
      </c>
      <c r="AN8" s="32" t="s">
        <v>878</v>
      </c>
      <c r="AO8" s="12" t="s">
        <v>37</v>
      </c>
      <c r="AP8" s="12" t="s">
        <v>602</v>
      </c>
      <c r="AQ8" s="12" t="s">
        <v>975</v>
      </c>
      <c r="AT8" s="12" t="s">
        <v>326</v>
      </c>
      <c r="AU8" s="12" t="s">
        <v>326</v>
      </c>
      <c r="AV8" s="13" t="s">
        <v>326</v>
      </c>
      <c r="AX8" s="12" t="s">
        <v>326</v>
      </c>
      <c r="AY8" s="12" t="s">
        <v>326</v>
      </c>
      <c r="AZ8" s="13" t="s">
        <v>326</v>
      </c>
      <c r="BE8" s="12" t="s">
        <v>326</v>
      </c>
      <c r="BF8" s="12" t="s">
        <v>326</v>
      </c>
      <c r="BG8" s="12" t="s">
        <v>326</v>
      </c>
      <c r="BI8" s="12" t="s">
        <v>326</v>
      </c>
      <c r="BJ8" s="12" t="s">
        <v>326</v>
      </c>
      <c r="BK8" s="12" t="s">
        <v>326</v>
      </c>
      <c r="BP8" s="12" t="s">
        <v>37</v>
      </c>
      <c r="BQ8" s="12" t="s">
        <v>37</v>
      </c>
      <c r="BR8" s="13" t="s">
        <v>37</v>
      </c>
      <c r="BT8" s="12" t="s">
        <v>37</v>
      </c>
      <c r="BU8" s="12" t="s">
        <v>37</v>
      </c>
      <c r="BV8" s="12" t="s">
        <v>37</v>
      </c>
      <c r="CA8" s="12" t="s">
        <v>37</v>
      </c>
      <c r="CB8" s="12" t="s">
        <v>37</v>
      </c>
      <c r="CC8" s="13" t="s">
        <v>37</v>
      </c>
      <c r="CE8" s="12" t="s">
        <v>37</v>
      </c>
      <c r="CF8" s="12" t="s">
        <v>37</v>
      </c>
      <c r="CG8" s="13" t="s">
        <v>37</v>
      </c>
      <c r="CI8" s="52"/>
      <c r="CJ8" s="12"/>
      <c r="CK8" s="73"/>
      <c r="CL8" s="73"/>
      <c r="CN8" s="12" t="s">
        <v>37</v>
      </c>
      <c r="CO8" s="12" t="s">
        <v>37</v>
      </c>
      <c r="CP8" s="13" t="s">
        <v>37</v>
      </c>
      <c r="CR8" s="12" t="s">
        <v>37</v>
      </c>
      <c r="CS8" s="12" t="s">
        <v>37</v>
      </c>
      <c r="CT8" s="13" t="s">
        <v>37</v>
      </c>
      <c r="CV8" s="52"/>
      <c r="CW8" s="52"/>
      <c r="CX8" s="73"/>
      <c r="CY8" s="73"/>
      <c r="DA8" s="12" t="s">
        <v>37</v>
      </c>
      <c r="DB8" s="12" t="s">
        <v>37</v>
      </c>
      <c r="DC8" s="13" t="s">
        <v>37</v>
      </c>
      <c r="DE8" s="12" t="s">
        <v>37</v>
      </c>
      <c r="DF8" s="12" t="s">
        <v>37</v>
      </c>
      <c r="DG8" s="13" t="s">
        <v>37</v>
      </c>
      <c r="DI8" s="52"/>
      <c r="DJ8" s="52"/>
      <c r="DK8" s="73"/>
      <c r="DL8" s="73"/>
      <c r="DM8" s="15" t="s">
        <v>47</v>
      </c>
      <c r="DN8" s="19">
        <f>67.54/'[1]classes-1'!$I$4</f>
        <v>77.679769199310513</v>
      </c>
      <c r="DO8" s="12">
        <f>SQRT((31.72)^2*(1/[2]Classes!$I$4)^2+(-DN8/([2]Classes!$I$4)^2)^2*([2]Classes!$J$4)^2)</f>
        <v>41.109363664076781</v>
      </c>
      <c r="DP8" s="13">
        <v>3</v>
      </c>
      <c r="DQ8" s="19">
        <f>DO8/ABS(DN8)</f>
        <v>0.52921583171286857</v>
      </c>
      <c r="DR8" s="52">
        <f>1.33/'[1]classes-1'!$I$5</f>
        <v>1.3178677201023323</v>
      </c>
      <c r="DS8" s="15">
        <f>SQRT((1/[2]Classes!$I$5)^2*(0.24)^2+(-DR8/([2]Classes!$I$5)^2)^2*([2]Classes!$J$5)^2)</f>
        <v>0.99682589896901586</v>
      </c>
      <c r="DT8" s="18">
        <v>3</v>
      </c>
      <c r="DU8" s="19">
        <f t="shared" si="8"/>
        <v>0.75639298524711751</v>
      </c>
      <c r="DV8" s="19">
        <f t="shared" si="3"/>
        <v>-76.361901479208186</v>
      </c>
      <c r="DW8" s="12">
        <f t="shared" si="4"/>
        <v>29.077254364349567</v>
      </c>
      <c r="DX8" s="72">
        <f t="shared" si="5"/>
        <v>563.65781424605723</v>
      </c>
      <c r="DY8" s="72">
        <f t="shared" si="6"/>
        <v>563.65781424605723</v>
      </c>
      <c r="DZ8" s="15" t="s">
        <v>47</v>
      </c>
      <c r="EA8" s="52">
        <f>0.133/'[3]classess-1'!$I$10</f>
        <v>9.3216878849518445E-2</v>
      </c>
      <c r="EB8" s="52">
        <f>SQRT((1/[4]Classess!$I$10)^2*(0.093)^2+(-EA8/([4]Classess!$I$10)^2)^2*([4]Classess!$J$10)^2)</f>
        <v>0.20553512952136199</v>
      </c>
      <c r="EC8" s="73">
        <v>3</v>
      </c>
      <c r="ED8" s="52">
        <f>EB8/ABS(EA8)</f>
        <v>2.2049132309306425</v>
      </c>
      <c r="EE8" s="52">
        <f>0.753/'[3]classess-1'!$I$11</f>
        <v>1.1634570510397673</v>
      </c>
      <c r="EF8" s="52">
        <f>SQRT((1/[5]Classess!$I$11)^2*(0.039)^2+(-EE8/([5]Classess!$I$11)^2)^2*([5]Classess!$J$11)^2)</f>
        <v>0.38922612585728023</v>
      </c>
      <c r="EG8" s="18">
        <v>3</v>
      </c>
      <c r="EH8" s="52">
        <f t="shared" ref="EH8:EH13" si="9">EF8/ABS(EE8)</f>
        <v>0.33454275386395538</v>
      </c>
      <c r="EI8" s="19">
        <f>EE8-EA8</f>
        <v>1.0702401721902488</v>
      </c>
      <c r="EJ8" s="12">
        <f>SQRT(((EC8-1)*EB8^2+(EG8-1)*EF8^2)/(EC8+EG8-2))</f>
        <v>0.31124079626330353</v>
      </c>
      <c r="EK8" s="19">
        <f>(((EC8+EG8)/(EC8*EG8))*(((EC8-1)*EB8^2)+(EG8-1)*EF8^2)/(EC8+EG8-2))</f>
        <v>6.4580555505743459E-2</v>
      </c>
      <c r="EL8" s="19">
        <f>(EB8^2/EC8)+(EF8^2/EG8)</f>
        <v>6.4580555505743459E-2</v>
      </c>
      <c r="EN8" s="11" t="s">
        <v>37</v>
      </c>
      <c r="EO8" s="11" t="s">
        <v>37</v>
      </c>
      <c r="EP8" s="13" t="s">
        <v>37</v>
      </c>
      <c r="ER8" s="11" t="s">
        <v>37</v>
      </c>
      <c r="ES8" s="11" t="s">
        <v>37</v>
      </c>
      <c r="ET8" s="13" t="s">
        <v>37</v>
      </c>
      <c r="FB8" s="11" t="s">
        <v>37</v>
      </c>
      <c r="FC8" s="11" t="s">
        <v>37</v>
      </c>
      <c r="FD8" s="11" t="s">
        <v>37</v>
      </c>
      <c r="FE8" s="12" t="s">
        <v>37</v>
      </c>
      <c r="FF8" s="20" t="s">
        <v>37</v>
      </c>
      <c r="FG8" s="11" t="s">
        <v>37</v>
      </c>
      <c r="FI8" s="11" t="s">
        <v>37</v>
      </c>
      <c r="FJ8" s="11" t="s">
        <v>37</v>
      </c>
      <c r="FK8" s="11" t="s">
        <v>37</v>
      </c>
      <c r="FL8" s="13" t="s">
        <v>37</v>
      </c>
      <c r="FM8" s="11" t="s">
        <v>37</v>
      </c>
      <c r="FN8" s="11" t="s">
        <v>37</v>
      </c>
      <c r="FP8" s="11" t="s">
        <v>37</v>
      </c>
      <c r="FQ8" s="11" t="s">
        <v>37</v>
      </c>
      <c r="FR8" s="11" t="s">
        <v>37</v>
      </c>
      <c r="FS8" s="13" t="s">
        <v>37</v>
      </c>
      <c r="FT8" s="11" t="s">
        <v>37</v>
      </c>
      <c r="FU8" s="11" t="s">
        <v>37</v>
      </c>
      <c r="FW8" s="11" t="s">
        <v>37</v>
      </c>
      <c r="FX8" s="11" t="s">
        <v>37</v>
      </c>
      <c r="FY8" s="11" t="s">
        <v>37</v>
      </c>
      <c r="FZ8" s="13" t="s">
        <v>37</v>
      </c>
      <c r="GA8" s="11" t="s">
        <v>37</v>
      </c>
      <c r="GB8" s="11" t="s">
        <v>37</v>
      </c>
      <c r="GE8" s="11"/>
      <c r="GF8" s="11"/>
      <c r="GI8" s="11"/>
      <c r="GJ8" s="11"/>
      <c r="GQ8" s="11"/>
      <c r="GR8" s="11"/>
      <c r="GU8" s="11"/>
      <c r="GV8" s="11"/>
      <c r="HD8" s="11"/>
      <c r="HG8" s="11"/>
      <c r="HH8" s="11"/>
      <c r="HX8" s="32"/>
      <c r="IK8" s="12" t="s">
        <v>37</v>
      </c>
      <c r="IL8" s="12" t="s">
        <v>37</v>
      </c>
      <c r="IM8" s="13" t="s">
        <v>37</v>
      </c>
      <c r="IO8" s="12" t="s">
        <v>37</v>
      </c>
      <c r="IP8" s="12" t="s">
        <v>37</v>
      </c>
      <c r="IQ8" s="13" t="s">
        <v>37</v>
      </c>
      <c r="IW8" s="12" t="s">
        <v>37</v>
      </c>
      <c r="IX8" s="11" t="s">
        <v>37</v>
      </c>
      <c r="IY8" s="13" t="s">
        <v>37</v>
      </c>
      <c r="JA8" s="11" t="s">
        <v>37</v>
      </c>
      <c r="JB8" s="11" t="s">
        <v>37</v>
      </c>
      <c r="JC8" s="13" t="s">
        <v>37</v>
      </c>
      <c r="JH8" s="12" t="s">
        <v>37</v>
      </c>
      <c r="JI8" s="12" t="s">
        <v>37</v>
      </c>
      <c r="JJ8" s="13" t="s">
        <v>37</v>
      </c>
      <c r="JL8" s="12" t="s">
        <v>37</v>
      </c>
      <c r="JM8" s="12" t="s">
        <v>37</v>
      </c>
      <c r="JN8" s="12" t="s">
        <v>37</v>
      </c>
      <c r="JS8" s="12" t="s">
        <v>37</v>
      </c>
      <c r="JT8" s="12" t="s">
        <v>37</v>
      </c>
      <c r="JU8" s="13" t="s">
        <v>37</v>
      </c>
      <c r="JW8" s="12" t="s">
        <v>37</v>
      </c>
      <c r="JX8" s="12" t="s">
        <v>37</v>
      </c>
      <c r="JY8" s="12" t="s">
        <v>37</v>
      </c>
      <c r="KE8" s="11" t="s">
        <v>37</v>
      </c>
      <c r="KF8" s="11" t="s">
        <v>37</v>
      </c>
      <c r="KG8" s="13" t="s">
        <v>37</v>
      </c>
      <c r="KH8" s="11" t="s">
        <v>37</v>
      </c>
      <c r="KI8" s="11" t="s">
        <v>37</v>
      </c>
      <c r="KJ8" s="11" t="s">
        <v>37</v>
      </c>
      <c r="KM8" s="12" t="s">
        <v>37</v>
      </c>
      <c r="KN8" s="11" t="s">
        <v>37</v>
      </c>
      <c r="KO8" s="11" t="s">
        <v>37</v>
      </c>
      <c r="KQ8" s="11" t="s">
        <v>37</v>
      </c>
      <c r="KR8" s="11" t="s">
        <v>37</v>
      </c>
      <c r="KS8" s="13" t="s">
        <v>37</v>
      </c>
      <c r="KX8" s="16" t="s">
        <v>37</v>
      </c>
      <c r="KY8" s="16" t="s">
        <v>37</v>
      </c>
      <c r="KZ8" s="13" t="s">
        <v>37</v>
      </c>
      <c r="LB8" s="16" t="s">
        <v>37</v>
      </c>
      <c r="LC8" s="16" t="s">
        <v>37</v>
      </c>
      <c r="LD8" s="13" t="s">
        <v>37</v>
      </c>
      <c r="LI8" s="12" t="s">
        <v>37</v>
      </c>
      <c r="LJ8" s="12" t="s">
        <v>37</v>
      </c>
      <c r="LK8" s="12" t="s">
        <v>37</v>
      </c>
      <c r="LM8" s="12" t="s">
        <v>37</v>
      </c>
      <c r="LN8" s="12" t="s">
        <v>37</v>
      </c>
      <c r="LO8" s="12" t="s">
        <v>37</v>
      </c>
      <c r="LU8" s="12" t="s">
        <v>37</v>
      </c>
      <c r="LV8" s="12" t="s">
        <v>37</v>
      </c>
      <c r="LW8" s="13" t="s">
        <v>37</v>
      </c>
      <c r="LY8" s="12" t="s">
        <v>37</v>
      </c>
      <c r="LZ8" s="12" t="s">
        <v>37</v>
      </c>
      <c r="MA8" s="11" t="s">
        <v>37</v>
      </c>
      <c r="MF8" s="12" t="s">
        <v>37</v>
      </c>
      <c r="MG8" s="12" t="s">
        <v>37</v>
      </c>
      <c r="MH8" s="12" t="s">
        <v>37</v>
      </c>
      <c r="MJ8" s="12" t="s">
        <v>37</v>
      </c>
      <c r="MK8" s="12" t="s">
        <v>37</v>
      </c>
      <c r="ML8" s="12" t="s">
        <v>37</v>
      </c>
      <c r="MQ8" s="12" t="s">
        <v>37</v>
      </c>
      <c r="MR8" s="12" t="s">
        <v>37</v>
      </c>
      <c r="MS8" s="12" t="s">
        <v>37</v>
      </c>
      <c r="MU8" s="12" t="s">
        <v>37</v>
      </c>
      <c r="MV8" s="12" t="s">
        <v>37</v>
      </c>
      <c r="MW8" s="12" t="s">
        <v>37</v>
      </c>
      <c r="NC8" s="11" t="s">
        <v>37</v>
      </c>
      <c r="ND8" s="11" t="s">
        <v>37</v>
      </c>
      <c r="NE8" s="13" t="s">
        <v>37</v>
      </c>
      <c r="NG8" s="11" t="s">
        <v>37</v>
      </c>
      <c r="NH8" s="11" t="s">
        <v>37</v>
      </c>
      <c r="NI8" s="13" t="s">
        <v>37</v>
      </c>
      <c r="NO8" s="11" t="s">
        <v>37</v>
      </c>
      <c r="NP8" s="11" t="s">
        <v>37</v>
      </c>
      <c r="NQ8" s="13" t="s">
        <v>37</v>
      </c>
      <c r="NS8" s="11" t="s">
        <v>37</v>
      </c>
      <c r="NT8" s="11" t="s">
        <v>37</v>
      </c>
      <c r="NU8" s="13" t="s">
        <v>37</v>
      </c>
      <c r="OA8" s="11" t="s">
        <v>37</v>
      </c>
      <c r="OB8" s="11" t="s">
        <v>37</v>
      </c>
      <c r="OC8" s="13" t="s">
        <v>37</v>
      </c>
      <c r="OE8" s="11" t="s">
        <v>37</v>
      </c>
      <c r="OF8" s="11" t="s">
        <v>37</v>
      </c>
      <c r="OG8" s="13" t="s">
        <v>37</v>
      </c>
      <c r="OM8" s="11" t="s">
        <v>37</v>
      </c>
      <c r="ON8" s="11" t="s">
        <v>37</v>
      </c>
      <c r="OO8" s="11" t="s">
        <v>37</v>
      </c>
      <c r="OP8" s="11" t="s">
        <v>37</v>
      </c>
      <c r="OQ8" s="11" t="s">
        <v>37</v>
      </c>
      <c r="OR8" s="11" t="s">
        <v>37</v>
      </c>
      <c r="OW8" s="11" t="s">
        <v>37</v>
      </c>
      <c r="OX8" s="11" t="s">
        <v>37</v>
      </c>
      <c r="OY8" s="13" t="s">
        <v>37</v>
      </c>
      <c r="OZ8" s="11" t="s">
        <v>37</v>
      </c>
      <c r="PA8" s="11" t="s">
        <v>37</v>
      </c>
      <c r="PB8" s="13" t="s">
        <v>37</v>
      </c>
      <c r="PG8" s="11" t="s">
        <v>37</v>
      </c>
      <c r="PH8" s="11" t="s">
        <v>37</v>
      </c>
      <c r="PI8" s="13" t="s">
        <v>37</v>
      </c>
      <c r="PJ8" s="11" t="s">
        <v>37</v>
      </c>
      <c r="PK8" s="11" t="s">
        <v>37</v>
      </c>
      <c r="PL8" s="13" t="s">
        <v>37</v>
      </c>
      <c r="PQ8" s="11" t="s">
        <v>37</v>
      </c>
      <c r="PR8" s="11" t="s">
        <v>37</v>
      </c>
      <c r="PS8" s="13" t="s">
        <v>37</v>
      </c>
      <c r="PT8" s="11" t="s">
        <v>37</v>
      </c>
      <c r="PU8" s="11" t="s">
        <v>37</v>
      </c>
      <c r="PV8" s="13" t="s">
        <v>37</v>
      </c>
      <c r="PZ8" s="11" t="s">
        <v>37</v>
      </c>
      <c r="QA8" s="11" t="s">
        <v>37</v>
      </c>
      <c r="QB8" s="11" t="s">
        <v>37</v>
      </c>
      <c r="QD8" s="11" t="s">
        <v>37</v>
      </c>
      <c r="QE8" s="11" t="s">
        <v>37</v>
      </c>
      <c r="QF8" s="13" t="s">
        <v>37</v>
      </c>
      <c r="QK8" s="11" t="s">
        <v>37</v>
      </c>
      <c r="QL8" s="11" t="s">
        <v>37</v>
      </c>
      <c r="QM8" s="13" t="s">
        <v>37</v>
      </c>
      <c r="QN8" s="11" t="s">
        <v>37</v>
      </c>
      <c r="QO8" s="11" t="s">
        <v>37</v>
      </c>
      <c r="QP8" s="13" t="s">
        <v>37</v>
      </c>
      <c r="QU8" s="11" t="s">
        <v>37</v>
      </c>
      <c r="QV8" s="11" t="s">
        <v>37</v>
      </c>
      <c r="QW8" s="13" t="s">
        <v>37</v>
      </c>
      <c r="QX8" s="11" t="s">
        <v>37</v>
      </c>
      <c r="QY8" s="11" t="s">
        <v>37</v>
      </c>
      <c r="QZ8" s="13" t="s">
        <v>37</v>
      </c>
      <c r="RC8" s="12" t="s">
        <v>37</v>
      </c>
      <c r="RD8" s="12" t="s">
        <v>37</v>
      </c>
      <c r="RE8" s="13" t="s">
        <v>37</v>
      </c>
      <c r="RF8" s="12" t="s">
        <v>37</v>
      </c>
      <c r="RG8" s="12" t="s">
        <v>37</v>
      </c>
      <c r="RH8" s="13" t="s">
        <v>37</v>
      </c>
      <c r="RK8" s="11" t="s">
        <v>37</v>
      </c>
      <c r="RL8" s="11" t="s">
        <v>37</v>
      </c>
      <c r="RM8" s="11" t="s">
        <v>37</v>
      </c>
      <c r="RN8" s="11" t="s">
        <v>37</v>
      </c>
      <c r="RO8" s="11" t="s">
        <v>37</v>
      </c>
      <c r="RP8" s="11" t="s">
        <v>37</v>
      </c>
      <c r="RS8" s="11" t="s">
        <v>37</v>
      </c>
      <c r="RT8" s="11" t="s">
        <v>37</v>
      </c>
      <c r="RU8" s="11" t="s">
        <v>37</v>
      </c>
      <c r="RV8" s="11" t="s">
        <v>37</v>
      </c>
      <c r="RW8" s="11" t="s">
        <v>37</v>
      </c>
      <c r="RX8" s="11" t="s">
        <v>37</v>
      </c>
      <c r="SA8" s="11" t="s">
        <v>37</v>
      </c>
      <c r="SB8" s="11" t="s">
        <v>37</v>
      </c>
      <c r="SC8" s="13" t="s">
        <v>37</v>
      </c>
      <c r="SD8" s="11" t="s">
        <v>37</v>
      </c>
      <c r="SE8" s="11" t="s">
        <v>37</v>
      </c>
      <c r="SF8" s="13" t="s">
        <v>37</v>
      </c>
      <c r="SI8" s="12" t="s">
        <v>37</v>
      </c>
      <c r="SJ8" s="11" t="s">
        <v>37</v>
      </c>
      <c r="SK8" s="13" t="s">
        <v>37</v>
      </c>
      <c r="SM8" s="11" t="s">
        <v>37</v>
      </c>
      <c r="SN8" s="11" t="s">
        <v>37</v>
      </c>
      <c r="SO8" s="13" t="s">
        <v>37</v>
      </c>
      <c r="SU8" s="12" t="s">
        <v>37</v>
      </c>
      <c r="SV8" s="12" t="s">
        <v>37</v>
      </c>
      <c r="SW8" s="11" t="s">
        <v>37</v>
      </c>
      <c r="SX8" s="12" t="s">
        <v>37</v>
      </c>
      <c r="SY8" s="12" t="s">
        <v>37</v>
      </c>
      <c r="SZ8" s="11" t="s">
        <v>37</v>
      </c>
      <c r="TE8" s="12" t="s">
        <v>37</v>
      </c>
      <c r="TF8" s="12" t="s">
        <v>37</v>
      </c>
      <c r="TG8" s="11" t="s">
        <v>37</v>
      </c>
      <c r="TH8" s="12" t="s">
        <v>37</v>
      </c>
      <c r="TI8" s="12" t="s">
        <v>37</v>
      </c>
      <c r="TJ8" s="11" t="s">
        <v>37</v>
      </c>
      <c r="TO8" s="12" t="s">
        <v>37</v>
      </c>
      <c r="TP8" s="12" t="s">
        <v>37</v>
      </c>
      <c r="TQ8" s="11" t="s">
        <v>37</v>
      </c>
      <c r="TR8" s="12" t="s">
        <v>37</v>
      </c>
      <c r="TS8" s="12" t="s">
        <v>37</v>
      </c>
      <c r="TT8" s="11" t="s">
        <v>37</v>
      </c>
      <c r="TY8" s="12" t="s">
        <v>37</v>
      </c>
      <c r="TZ8" s="12" t="s">
        <v>37</v>
      </c>
      <c r="UA8" s="11" t="s">
        <v>37</v>
      </c>
      <c r="UB8" s="12" t="s">
        <v>37</v>
      </c>
      <c r="UC8" s="12" t="s">
        <v>37</v>
      </c>
      <c r="UD8" s="11" t="s">
        <v>37</v>
      </c>
      <c r="UI8" s="12" t="s">
        <v>37</v>
      </c>
      <c r="UJ8" s="12" t="s">
        <v>37</v>
      </c>
      <c r="UK8" s="13" t="s">
        <v>37</v>
      </c>
      <c r="UL8" s="12" t="s">
        <v>37</v>
      </c>
      <c r="UM8" s="12" t="s">
        <v>37</v>
      </c>
      <c r="UN8" s="13" t="s">
        <v>37</v>
      </c>
      <c r="UR8" s="12" t="s">
        <v>37</v>
      </c>
      <c r="US8" s="12" t="s">
        <v>37</v>
      </c>
      <c r="UT8" s="13" t="s">
        <v>37</v>
      </c>
      <c r="UU8" s="12" t="s">
        <v>37</v>
      </c>
      <c r="UV8" s="12" t="s">
        <v>37</v>
      </c>
      <c r="UW8" s="13" t="s">
        <v>37</v>
      </c>
      <c r="VB8" s="12" t="s">
        <v>37</v>
      </c>
      <c r="VC8" s="12" t="s">
        <v>37</v>
      </c>
      <c r="VD8" s="13" t="s">
        <v>37</v>
      </c>
      <c r="VE8" s="12" t="s">
        <v>37</v>
      </c>
      <c r="VF8" s="12" t="s">
        <v>37</v>
      </c>
      <c r="VG8" s="13" t="s">
        <v>37</v>
      </c>
      <c r="VI8" s="12" t="s">
        <v>37</v>
      </c>
      <c r="VJ8" s="12" t="s">
        <v>37</v>
      </c>
      <c r="VK8" s="13" t="s">
        <v>37</v>
      </c>
      <c r="VL8" s="12" t="s">
        <v>37</v>
      </c>
      <c r="VM8" s="12" t="s">
        <v>37</v>
      </c>
      <c r="VN8" s="13" t="s">
        <v>37</v>
      </c>
      <c r="VO8" s="12" t="s">
        <v>37</v>
      </c>
      <c r="VQ8" s="12" t="s">
        <v>37</v>
      </c>
      <c r="VR8" s="12" t="s">
        <v>37</v>
      </c>
      <c r="VS8" s="12" t="s">
        <v>37</v>
      </c>
      <c r="VT8" s="12" t="s">
        <v>37</v>
      </c>
      <c r="VU8" s="12" t="s">
        <v>37</v>
      </c>
      <c r="VV8" s="12" t="s">
        <v>37</v>
      </c>
      <c r="VW8" s="12"/>
      <c r="VX8" s="12"/>
      <c r="WA8" s="13" t="s">
        <v>37</v>
      </c>
      <c r="WB8" s="13" t="s">
        <v>37</v>
      </c>
      <c r="WC8" s="13" t="s">
        <v>37</v>
      </c>
      <c r="WD8" s="13" t="s">
        <v>37</v>
      </c>
      <c r="WE8" s="13" t="s">
        <v>37</v>
      </c>
      <c r="WF8" s="13" t="s">
        <v>37</v>
      </c>
    </row>
    <row r="9" spans="1:606" ht="18" customHeight="1" x14ac:dyDescent="0.3">
      <c r="A9" s="11">
        <v>2</v>
      </c>
      <c r="B9" s="12" t="s">
        <v>52</v>
      </c>
      <c r="C9" s="12" t="s">
        <v>26</v>
      </c>
      <c r="D9" s="12" t="s">
        <v>54</v>
      </c>
      <c r="E9" s="39" t="s">
        <v>37</v>
      </c>
      <c r="F9" s="14">
        <v>0</v>
      </c>
      <c r="G9" s="14">
        <v>0</v>
      </c>
      <c r="H9" s="12" t="s">
        <v>79</v>
      </c>
      <c r="I9" s="29">
        <v>48.064999999999998</v>
      </c>
      <c r="J9" s="29">
        <v>128.51</v>
      </c>
      <c r="K9" s="12" t="s">
        <v>688</v>
      </c>
      <c r="L9" s="12" t="s">
        <v>689</v>
      </c>
      <c r="M9" s="13" t="s">
        <v>48</v>
      </c>
      <c r="N9" s="14">
        <v>0.4</v>
      </c>
      <c r="O9" s="14">
        <v>630</v>
      </c>
      <c r="P9" s="14" t="s">
        <v>16</v>
      </c>
      <c r="Q9" s="75">
        <v>20</v>
      </c>
      <c r="R9" s="11" t="s">
        <v>37</v>
      </c>
      <c r="S9" s="12" t="s">
        <v>51</v>
      </c>
      <c r="T9" s="12" t="s">
        <v>876</v>
      </c>
      <c r="U9" s="12" t="s">
        <v>158</v>
      </c>
      <c r="V9" s="12" t="s">
        <v>275</v>
      </c>
      <c r="W9" s="23" t="s">
        <v>38</v>
      </c>
      <c r="X9" s="12" t="s">
        <v>280</v>
      </c>
      <c r="Y9" s="12" t="s">
        <v>68</v>
      </c>
      <c r="Z9" s="12" t="s">
        <v>37</v>
      </c>
      <c r="AB9" s="12" t="s">
        <v>37</v>
      </c>
      <c r="AE9" s="12" t="s">
        <v>37</v>
      </c>
      <c r="AH9" s="12" t="s">
        <v>37</v>
      </c>
      <c r="AK9" s="12" t="s">
        <v>37</v>
      </c>
      <c r="AL9" s="32" t="s">
        <v>485</v>
      </c>
      <c r="AM9" s="12" t="s">
        <v>317</v>
      </c>
      <c r="AN9" s="32" t="s">
        <v>878</v>
      </c>
      <c r="AO9" s="12" t="s">
        <v>37</v>
      </c>
      <c r="AP9" s="12" t="s">
        <v>602</v>
      </c>
      <c r="AQ9" s="12" t="s">
        <v>975</v>
      </c>
      <c r="AT9" s="12" t="s">
        <v>326</v>
      </c>
      <c r="AU9" s="12" t="s">
        <v>326</v>
      </c>
      <c r="AV9" s="13" t="s">
        <v>326</v>
      </c>
      <c r="AX9" s="12" t="s">
        <v>326</v>
      </c>
      <c r="AY9" s="12" t="s">
        <v>326</v>
      </c>
      <c r="AZ9" s="13" t="s">
        <v>326</v>
      </c>
      <c r="BE9" s="12" t="s">
        <v>326</v>
      </c>
      <c r="BF9" s="12" t="s">
        <v>326</v>
      </c>
      <c r="BG9" s="12" t="s">
        <v>326</v>
      </c>
      <c r="BI9" s="12" t="s">
        <v>326</v>
      </c>
      <c r="BJ9" s="12" t="s">
        <v>326</v>
      </c>
      <c r="BK9" s="12" t="s">
        <v>326</v>
      </c>
      <c r="BP9" s="12" t="s">
        <v>37</v>
      </c>
      <c r="BQ9" s="12" t="s">
        <v>37</v>
      </c>
      <c r="BR9" s="13" t="s">
        <v>37</v>
      </c>
      <c r="BT9" s="12" t="s">
        <v>37</v>
      </c>
      <c r="BU9" s="12" t="s">
        <v>37</v>
      </c>
      <c r="BV9" s="12" t="s">
        <v>37</v>
      </c>
      <c r="CA9" s="12" t="s">
        <v>37</v>
      </c>
      <c r="CB9" s="12" t="s">
        <v>37</v>
      </c>
      <c r="CC9" s="13" t="s">
        <v>37</v>
      </c>
      <c r="CE9" s="12" t="s">
        <v>37</v>
      </c>
      <c r="CF9" s="12" t="s">
        <v>37</v>
      </c>
      <c r="CG9" s="13" t="s">
        <v>37</v>
      </c>
      <c r="CI9" s="52"/>
      <c r="CJ9" s="12"/>
      <c r="CK9" s="73"/>
      <c r="CL9" s="73"/>
      <c r="CN9" s="12" t="s">
        <v>37</v>
      </c>
      <c r="CO9" s="12" t="s">
        <v>37</v>
      </c>
      <c r="CP9" s="13" t="s">
        <v>37</v>
      </c>
      <c r="CR9" s="12" t="s">
        <v>37</v>
      </c>
      <c r="CS9" s="12" t="s">
        <v>37</v>
      </c>
      <c r="CT9" s="13" t="s">
        <v>37</v>
      </c>
      <c r="CV9" s="52"/>
      <c r="CW9" s="52"/>
      <c r="CX9" s="73"/>
      <c r="CY9" s="73"/>
      <c r="DA9" s="12" t="s">
        <v>37</v>
      </c>
      <c r="DB9" s="12" t="s">
        <v>37</v>
      </c>
      <c r="DC9" s="13" t="s">
        <v>37</v>
      </c>
      <c r="DE9" s="12" t="s">
        <v>37</v>
      </c>
      <c r="DF9" s="12" t="s">
        <v>37</v>
      </c>
      <c r="DG9" s="13" t="s">
        <v>37</v>
      </c>
      <c r="DI9" s="52"/>
      <c r="DJ9" s="52"/>
      <c r="DK9" s="73"/>
      <c r="DL9" s="73"/>
      <c r="DM9" s="15" t="s">
        <v>47</v>
      </c>
      <c r="DN9" s="19">
        <f>67.54/'[1]classes-1'!$I$4</f>
        <v>77.679769199310513</v>
      </c>
      <c r="DO9" s="12">
        <f>DO8</f>
        <v>41.109363664076781</v>
      </c>
      <c r="DP9" s="13">
        <v>3</v>
      </c>
      <c r="DQ9" s="19">
        <f t="shared" si="7"/>
        <v>0.52921583171286857</v>
      </c>
      <c r="DR9" s="52">
        <f>-1.11/'[1]classes-1'!$I$5</f>
        <v>-1.0998745633936757</v>
      </c>
      <c r="DS9" s="15">
        <f>SQRT((1/[2]Classes!$I$5)^2*(0.15)^2+(-DR9/([2]Classes!$I$5)^2)^2*([2]Classes!$J$5)^2)</f>
        <v>0.82147395233930254</v>
      </c>
      <c r="DT9" s="18">
        <v>3</v>
      </c>
      <c r="DU9" s="19">
        <f t="shared" si="8"/>
        <v>0.74687967126418042</v>
      </c>
      <c r="DV9" s="19">
        <f t="shared" si="3"/>
        <v>-78.779643762704183</v>
      </c>
      <c r="DW9" s="12">
        <f t="shared" si="4"/>
        <v>29.074512896346935</v>
      </c>
      <c r="DX9" s="72">
        <f t="shared" si="5"/>
        <v>563.55153343989605</v>
      </c>
      <c r="DY9" s="72">
        <f t="shared" si="6"/>
        <v>563.55153343989605</v>
      </c>
      <c r="DZ9" s="15" t="s">
        <v>47</v>
      </c>
      <c r="EA9" s="52">
        <f>0.133/'[3]classess-1'!$I$10</f>
        <v>9.3216878849518445E-2</v>
      </c>
      <c r="EB9" s="52">
        <f>EB8</f>
        <v>0.20553512952136199</v>
      </c>
      <c r="EC9" s="73">
        <v>3</v>
      </c>
      <c r="ED9" s="52">
        <f t="shared" ref="ED9:ED13" si="10">EB9/ABS(EA9)</f>
        <v>2.2049132309306425</v>
      </c>
      <c r="EE9" s="52">
        <f>1.047/'[3]classess-1'!$I$11</f>
        <v>1.6177151825214293</v>
      </c>
      <c r="EF9" s="52">
        <f>SQRT((1/[5]Classess!$I$11)^2*(0.043)^2+(-EE9/([5]Classess!$I$11)^2)^2*([5]Classess!$J$11)^2)</f>
        <v>0.53878192787841905</v>
      </c>
      <c r="EG9" s="18">
        <v>3</v>
      </c>
      <c r="EH9" s="52">
        <f t="shared" si="9"/>
        <v>0.33305116605177315</v>
      </c>
      <c r="EI9" s="19">
        <f t="shared" ref="EI9:EI12" si="11">EE9-EA9</f>
        <v>1.5244983036719109</v>
      </c>
      <c r="EJ9" s="12">
        <f t="shared" ref="EJ9:EJ13" si="12">SQRT(((EC9-1)*EB9^2+(EG9-1)*EF9^2)/(EC9+EG9-2))</f>
        <v>0.40775645627981721</v>
      </c>
      <c r="EK9" s="19">
        <f t="shared" ref="EK9:EK13" si="13">(((EC9+EG9)/(EC9*EG9))*(((EC9-1)*EB9^2)+(EG9-1)*EF9^2)/(EC9+EG9-2))</f>
        <v>0.11084355175858299</v>
      </c>
      <c r="EL9" s="19">
        <f t="shared" ref="EL9:EL13" si="14">(EB9^2/EC9)+(EF9^2/EG9)</f>
        <v>0.110843551758583</v>
      </c>
      <c r="EN9" s="11" t="s">
        <v>37</v>
      </c>
      <c r="EO9" s="11" t="s">
        <v>37</v>
      </c>
      <c r="EP9" s="13" t="s">
        <v>37</v>
      </c>
      <c r="ER9" s="11" t="s">
        <v>37</v>
      </c>
      <c r="ES9" s="11" t="s">
        <v>37</v>
      </c>
      <c r="ET9" s="13" t="s">
        <v>37</v>
      </c>
      <c r="FB9" s="11" t="s">
        <v>37</v>
      </c>
      <c r="FC9" s="11" t="s">
        <v>37</v>
      </c>
      <c r="FD9" s="11" t="s">
        <v>37</v>
      </c>
      <c r="FE9" s="12" t="s">
        <v>37</v>
      </c>
      <c r="FF9" s="20" t="s">
        <v>37</v>
      </c>
      <c r="FG9" s="11" t="s">
        <v>37</v>
      </c>
      <c r="FI9" s="11" t="s">
        <v>37</v>
      </c>
      <c r="FJ9" s="11" t="s">
        <v>37</v>
      </c>
      <c r="FK9" s="11" t="s">
        <v>37</v>
      </c>
      <c r="FL9" s="13" t="s">
        <v>37</v>
      </c>
      <c r="FM9" s="11" t="s">
        <v>37</v>
      </c>
      <c r="FN9" s="11" t="s">
        <v>37</v>
      </c>
      <c r="FP9" s="11" t="s">
        <v>37</v>
      </c>
      <c r="FQ9" s="11" t="s">
        <v>37</v>
      </c>
      <c r="FR9" s="11" t="s">
        <v>37</v>
      </c>
      <c r="FS9" s="13" t="s">
        <v>37</v>
      </c>
      <c r="FT9" s="11" t="s">
        <v>37</v>
      </c>
      <c r="FU9" s="11" t="s">
        <v>37</v>
      </c>
      <c r="FW9" s="11" t="s">
        <v>37</v>
      </c>
      <c r="FX9" s="11" t="s">
        <v>37</v>
      </c>
      <c r="FY9" s="11" t="s">
        <v>37</v>
      </c>
      <c r="FZ9" s="13" t="s">
        <v>37</v>
      </c>
      <c r="GA9" s="11" t="s">
        <v>37</v>
      </c>
      <c r="GB9" s="11" t="s">
        <v>37</v>
      </c>
      <c r="GE9" s="11"/>
      <c r="GF9" s="11"/>
      <c r="GI9" s="11"/>
      <c r="GJ9" s="11"/>
      <c r="GQ9" s="11"/>
      <c r="GR9" s="11"/>
      <c r="GU9" s="11"/>
      <c r="GV9" s="11"/>
      <c r="HD9" s="11"/>
      <c r="HG9" s="11"/>
      <c r="HH9" s="11"/>
      <c r="HX9" s="32"/>
      <c r="IK9" s="12" t="s">
        <v>37</v>
      </c>
      <c r="IL9" s="12" t="s">
        <v>37</v>
      </c>
      <c r="IM9" s="13" t="s">
        <v>37</v>
      </c>
      <c r="IO9" s="12" t="s">
        <v>37</v>
      </c>
      <c r="IP9" s="12" t="s">
        <v>37</v>
      </c>
      <c r="IQ9" s="13" t="s">
        <v>37</v>
      </c>
      <c r="IW9" s="12" t="s">
        <v>37</v>
      </c>
      <c r="IX9" s="11" t="s">
        <v>37</v>
      </c>
      <c r="IY9" s="13" t="s">
        <v>37</v>
      </c>
      <c r="JA9" s="11" t="s">
        <v>37</v>
      </c>
      <c r="JB9" s="11" t="s">
        <v>37</v>
      </c>
      <c r="JC9" s="13" t="s">
        <v>37</v>
      </c>
      <c r="JH9" s="12" t="s">
        <v>37</v>
      </c>
      <c r="JI9" s="12" t="s">
        <v>37</v>
      </c>
      <c r="JJ9" s="13" t="s">
        <v>37</v>
      </c>
      <c r="JL9" s="12" t="s">
        <v>37</v>
      </c>
      <c r="JM9" s="12" t="s">
        <v>37</v>
      </c>
      <c r="JN9" s="12" t="s">
        <v>37</v>
      </c>
      <c r="JS9" s="12" t="s">
        <v>37</v>
      </c>
      <c r="JT9" s="12" t="s">
        <v>37</v>
      </c>
      <c r="JU9" s="13" t="s">
        <v>37</v>
      </c>
      <c r="JW9" s="12" t="s">
        <v>37</v>
      </c>
      <c r="JX9" s="12" t="s">
        <v>37</v>
      </c>
      <c r="JY9" s="12" t="s">
        <v>37</v>
      </c>
      <c r="KE9" s="11" t="s">
        <v>37</v>
      </c>
      <c r="KF9" s="11" t="s">
        <v>37</v>
      </c>
      <c r="KG9" s="13" t="s">
        <v>37</v>
      </c>
      <c r="KH9" s="11" t="s">
        <v>37</v>
      </c>
      <c r="KI9" s="11" t="s">
        <v>37</v>
      </c>
      <c r="KJ9" s="11" t="s">
        <v>37</v>
      </c>
      <c r="KM9" s="12" t="s">
        <v>37</v>
      </c>
      <c r="KN9" s="11" t="s">
        <v>37</v>
      </c>
      <c r="KO9" s="11" t="s">
        <v>37</v>
      </c>
      <c r="KQ9" s="11" t="s">
        <v>37</v>
      </c>
      <c r="KR9" s="11" t="s">
        <v>37</v>
      </c>
      <c r="KS9" s="13" t="s">
        <v>37</v>
      </c>
      <c r="KX9" s="16" t="s">
        <v>37</v>
      </c>
      <c r="KY9" s="16" t="s">
        <v>37</v>
      </c>
      <c r="KZ9" s="13" t="s">
        <v>37</v>
      </c>
      <c r="LB9" s="16" t="s">
        <v>37</v>
      </c>
      <c r="LC9" s="16" t="s">
        <v>37</v>
      </c>
      <c r="LD9" s="13" t="s">
        <v>37</v>
      </c>
      <c r="LI9" s="12" t="s">
        <v>37</v>
      </c>
      <c r="LJ9" s="12" t="s">
        <v>37</v>
      </c>
      <c r="LK9" s="12" t="s">
        <v>37</v>
      </c>
      <c r="LM9" s="12" t="s">
        <v>37</v>
      </c>
      <c r="LN9" s="12" t="s">
        <v>37</v>
      </c>
      <c r="LO9" s="12" t="s">
        <v>37</v>
      </c>
      <c r="LU9" s="12" t="s">
        <v>37</v>
      </c>
      <c r="LV9" s="12" t="s">
        <v>37</v>
      </c>
      <c r="LW9" s="13" t="s">
        <v>37</v>
      </c>
      <c r="LY9" s="12" t="s">
        <v>37</v>
      </c>
      <c r="LZ9" s="12" t="s">
        <v>37</v>
      </c>
      <c r="MA9" s="11" t="s">
        <v>37</v>
      </c>
      <c r="MF9" s="12" t="s">
        <v>37</v>
      </c>
      <c r="MG9" s="12" t="s">
        <v>37</v>
      </c>
      <c r="MH9" s="12" t="s">
        <v>37</v>
      </c>
      <c r="MJ9" s="12" t="s">
        <v>37</v>
      </c>
      <c r="MK9" s="12" t="s">
        <v>37</v>
      </c>
      <c r="ML9" s="12" t="s">
        <v>37</v>
      </c>
      <c r="MQ9" s="12" t="s">
        <v>37</v>
      </c>
      <c r="MR9" s="12" t="s">
        <v>37</v>
      </c>
      <c r="MS9" s="12" t="s">
        <v>37</v>
      </c>
      <c r="MU9" s="12" t="s">
        <v>37</v>
      </c>
      <c r="MV9" s="12" t="s">
        <v>37</v>
      </c>
      <c r="MW9" s="12" t="s">
        <v>37</v>
      </c>
      <c r="NC9" s="11" t="s">
        <v>37</v>
      </c>
      <c r="ND9" s="11" t="s">
        <v>37</v>
      </c>
      <c r="NE9" s="13" t="s">
        <v>37</v>
      </c>
      <c r="NG9" s="11" t="s">
        <v>37</v>
      </c>
      <c r="NH9" s="11" t="s">
        <v>37</v>
      </c>
      <c r="NI9" s="13" t="s">
        <v>37</v>
      </c>
      <c r="NO9" s="11" t="s">
        <v>37</v>
      </c>
      <c r="NP9" s="11" t="s">
        <v>37</v>
      </c>
      <c r="NQ9" s="13" t="s">
        <v>37</v>
      </c>
      <c r="NS9" s="11" t="s">
        <v>37</v>
      </c>
      <c r="NT9" s="11" t="s">
        <v>37</v>
      </c>
      <c r="NU9" s="13" t="s">
        <v>37</v>
      </c>
      <c r="OA9" s="11" t="s">
        <v>37</v>
      </c>
      <c r="OB9" s="11" t="s">
        <v>37</v>
      </c>
      <c r="OC9" s="13" t="s">
        <v>37</v>
      </c>
      <c r="OE9" s="11" t="s">
        <v>37</v>
      </c>
      <c r="OF9" s="11" t="s">
        <v>37</v>
      </c>
      <c r="OG9" s="13" t="s">
        <v>37</v>
      </c>
      <c r="OM9" s="11" t="s">
        <v>37</v>
      </c>
      <c r="ON9" s="11" t="s">
        <v>37</v>
      </c>
      <c r="OO9" s="11" t="s">
        <v>37</v>
      </c>
      <c r="OP9" s="11" t="s">
        <v>37</v>
      </c>
      <c r="OQ9" s="11" t="s">
        <v>37</v>
      </c>
      <c r="OR9" s="11" t="s">
        <v>37</v>
      </c>
      <c r="OW9" s="11" t="s">
        <v>37</v>
      </c>
      <c r="OX9" s="11" t="s">
        <v>37</v>
      </c>
      <c r="OY9" s="13" t="s">
        <v>37</v>
      </c>
      <c r="OZ9" s="11" t="s">
        <v>37</v>
      </c>
      <c r="PA9" s="11" t="s">
        <v>37</v>
      </c>
      <c r="PB9" s="13" t="s">
        <v>37</v>
      </c>
      <c r="PG9" s="11" t="s">
        <v>37</v>
      </c>
      <c r="PH9" s="11" t="s">
        <v>37</v>
      </c>
      <c r="PI9" s="13" t="s">
        <v>37</v>
      </c>
      <c r="PJ9" s="11" t="s">
        <v>37</v>
      </c>
      <c r="PK9" s="11" t="s">
        <v>37</v>
      </c>
      <c r="PL9" s="13" t="s">
        <v>37</v>
      </c>
      <c r="PQ9" s="11" t="s">
        <v>37</v>
      </c>
      <c r="PR9" s="11" t="s">
        <v>37</v>
      </c>
      <c r="PS9" s="13" t="s">
        <v>37</v>
      </c>
      <c r="PT9" s="11" t="s">
        <v>37</v>
      </c>
      <c r="PU9" s="11" t="s">
        <v>37</v>
      </c>
      <c r="PV9" s="13" t="s">
        <v>37</v>
      </c>
      <c r="PZ9" s="11" t="s">
        <v>37</v>
      </c>
      <c r="QA9" s="11" t="s">
        <v>37</v>
      </c>
      <c r="QB9" s="11" t="s">
        <v>37</v>
      </c>
      <c r="QD9" s="11" t="s">
        <v>37</v>
      </c>
      <c r="QE9" s="11" t="s">
        <v>37</v>
      </c>
      <c r="QF9" s="13" t="s">
        <v>37</v>
      </c>
      <c r="QK9" s="11" t="s">
        <v>37</v>
      </c>
      <c r="QL9" s="11" t="s">
        <v>37</v>
      </c>
      <c r="QM9" s="13" t="s">
        <v>37</v>
      </c>
      <c r="QN9" s="11" t="s">
        <v>37</v>
      </c>
      <c r="QO9" s="11" t="s">
        <v>37</v>
      </c>
      <c r="QP9" s="13" t="s">
        <v>37</v>
      </c>
      <c r="QU9" s="11" t="s">
        <v>37</v>
      </c>
      <c r="QV9" s="11" t="s">
        <v>37</v>
      </c>
      <c r="QW9" s="13" t="s">
        <v>37</v>
      </c>
      <c r="QX9" s="11" t="s">
        <v>37</v>
      </c>
      <c r="QY9" s="11" t="s">
        <v>37</v>
      </c>
      <c r="QZ9" s="13" t="s">
        <v>37</v>
      </c>
      <c r="RC9" s="12" t="s">
        <v>37</v>
      </c>
      <c r="RD9" s="12" t="s">
        <v>37</v>
      </c>
      <c r="RE9" s="13" t="s">
        <v>37</v>
      </c>
      <c r="RF9" s="12" t="s">
        <v>37</v>
      </c>
      <c r="RG9" s="12" t="s">
        <v>37</v>
      </c>
      <c r="RH9" s="13" t="s">
        <v>37</v>
      </c>
      <c r="RK9" s="11" t="s">
        <v>37</v>
      </c>
      <c r="RL9" s="11" t="s">
        <v>37</v>
      </c>
      <c r="RM9" s="11" t="s">
        <v>37</v>
      </c>
      <c r="RN9" s="11" t="s">
        <v>37</v>
      </c>
      <c r="RO9" s="11" t="s">
        <v>37</v>
      </c>
      <c r="RP9" s="11" t="s">
        <v>37</v>
      </c>
      <c r="RS9" s="11" t="s">
        <v>37</v>
      </c>
      <c r="RT9" s="11" t="s">
        <v>37</v>
      </c>
      <c r="RU9" s="11" t="s">
        <v>37</v>
      </c>
      <c r="RV9" s="11" t="s">
        <v>37</v>
      </c>
      <c r="RW9" s="11" t="s">
        <v>37</v>
      </c>
      <c r="RX9" s="11" t="s">
        <v>37</v>
      </c>
      <c r="SA9" s="11" t="s">
        <v>37</v>
      </c>
      <c r="SB9" s="11" t="s">
        <v>37</v>
      </c>
      <c r="SC9" s="13" t="s">
        <v>37</v>
      </c>
      <c r="SD9" s="11" t="s">
        <v>37</v>
      </c>
      <c r="SE9" s="11" t="s">
        <v>37</v>
      </c>
      <c r="SF9" s="13" t="s">
        <v>37</v>
      </c>
      <c r="SI9" s="12" t="s">
        <v>37</v>
      </c>
      <c r="SJ9" s="11" t="s">
        <v>37</v>
      </c>
      <c r="SK9" s="13" t="s">
        <v>37</v>
      </c>
      <c r="SM9" s="11" t="s">
        <v>37</v>
      </c>
      <c r="SN9" s="11" t="s">
        <v>37</v>
      </c>
      <c r="SO9" s="13" t="s">
        <v>37</v>
      </c>
      <c r="SU9" s="12" t="s">
        <v>37</v>
      </c>
      <c r="SV9" s="12" t="s">
        <v>37</v>
      </c>
      <c r="SW9" s="11" t="s">
        <v>37</v>
      </c>
      <c r="SX9" s="12" t="s">
        <v>37</v>
      </c>
      <c r="SY9" s="12" t="s">
        <v>37</v>
      </c>
      <c r="SZ9" s="11" t="s">
        <v>37</v>
      </c>
      <c r="TE9" s="12" t="s">
        <v>37</v>
      </c>
      <c r="TF9" s="12" t="s">
        <v>37</v>
      </c>
      <c r="TG9" s="11" t="s">
        <v>37</v>
      </c>
      <c r="TH9" s="12" t="s">
        <v>37</v>
      </c>
      <c r="TI9" s="12" t="s">
        <v>37</v>
      </c>
      <c r="TJ9" s="11" t="s">
        <v>37</v>
      </c>
      <c r="TO9" s="12" t="s">
        <v>37</v>
      </c>
      <c r="TP9" s="12" t="s">
        <v>37</v>
      </c>
      <c r="TQ9" s="11" t="s">
        <v>37</v>
      </c>
      <c r="TR9" s="12" t="s">
        <v>37</v>
      </c>
      <c r="TS9" s="12" t="s">
        <v>37</v>
      </c>
      <c r="TT9" s="11" t="s">
        <v>37</v>
      </c>
      <c r="TY9" s="12" t="s">
        <v>37</v>
      </c>
      <c r="TZ9" s="12" t="s">
        <v>37</v>
      </c>
      <c r="UA9" s="11" t="s">
        <v>37</v>
      </c>
      <c r="UB9" s="12" t="s">
        <v>37</v>
      </c>
      <c r="UC9" s="12" t="s">
        <v>37</v>
      </c>
      <c r="UD9" s="11" t="s">
        <v>37</v>
      </c>
      <c r="UI9" s="12" t="s">
        <v>37</v>
      </c>
      <c r="UJ9" s="12" t="s">
        <v>37</v>
      </c>
      <c r="UK9" s="13" t="s">
        <v>37</v>
      </c>
      <c r="UL9" s="12" t="s">
        <v>37</v>
      </c>
      <c r="UM9" s="12" t="s">
        <v>37</v>
      </c>
      <c r="UN9" s="13" t="s">
        <v>37</v>
      </c>
      <c r="UR9" s="12" t="s">
        <v>37</v>
      </c>
      <c r="US9" s="12" t="s">
        <v>37</v>
      </c>
      <c r="UT9" s="13" t="s">
        <v>37</v>
      </c>
      <c r="UU9" s="12" t="s">
        <v>37</v>
      </c>
      <c r="UV9" s="12" t="s">
        <v>37</v>
      </c>
      <c r="UW9" s="13" t="s">
        <v>37</v>
      </c>
      <c r="VB9" s="12" t="s">
        <v>37</v>
      </c>
      <c r="VC9" s="12" t="s">
        <v>37</v>
      </c>
      <c r="VD9" s="13" t="s">
        <v>37</v>
      </c>
      <c r="VE9" s="12" t="s">
        <v>37</v>
      </c>
      <c r="VF9" s="12" t="s">
        <v>37</v>
      </c>
      <c r="VG9" s="13" t="s">
        <v>37</v>
      </c>
      <c r="VI9" s="12" t="s">
        <v>37</v>
      </c>
      <c r="VJ9" s="12" t="s">
        <v>37</v>
      </c>
      <c r="VK9" s="13" t="s">
        <v>37</v>
      </c>
      <c r="VL9" s="12" t="s">
        <v>37</v>
      </c>
      <c r="VM9" s="12" t="s">
        <v>37</v>
      </c>
      <c r="VN9" s="13" t="s">
        <v>37</v>
      </c>
      <c r="VO9" s="12" t="s">
        <v>37</v>
      </c>
      <c r="VQ9" s="12" t="s">
        <v>37</v>
      </c>
      <c r="VR9" s="12" t="s">
        <v>37</v>
      </c>
      <c r="VS9" s="12" t="s">
        <v>37</v>
      </c>
      <c r="VT9" s="12" t="s">
        <v>37</v>
      </c>
      <c r="VU9" s="12" t="s">
        <v>37</v>
      </c>
      <c r="VV9" s="12" t="s">
        <v>37</v>
      </c>
      <c r="VW9" s="12"/>
      <c r="VX9" s="12"/>
      <c r="WA9" s="13" t="s">
        <v>37</v>
      </c>
      <c r="WB9" s="13" t="s">
        <v>37</v>
      </c>
      <c r="WC9" s="13" t="s">
        <v>37</v>
      </c>
      <c r="WD9" s="13" t="s">
        <v>37</v>
      </c>
      <c r="WE9" s="13" t="s">
        <v>37</v>
      </c>
      <c r="WF9" s="13" t="s">
        <v>37</v>
      </c>
    </row>
    <row r="10" spans="1:606" ht="18" customHeight="1" x14ac:dyDescent="0.3">
      <c r="A10" s="11">
        <v>2</v>
      </c>
      <c r="B10" s="12" t="s">
        <v>52</v>
      </c>
      <c r="C10" s="12" t="s">
        <v>26</v>
      </c>
      <c r="D10" s="12" t="s">
        <v>54</v>
      </c>
      <c r="E10" s="39" t="s">
        <v>37</v>
      </c>
      <c r="F10" s="14">
        <v>0</v>
      </c>
      <c r="G10" s="14">
        <v>0</v>
      </c>
      <c r="H10" s="12" t="s">
        <v>79</v>
      </c>
      <c r="I10" s="29">
        <v>48.064999999999998</v>
      </c>
      <c r="J10" s="29">
        <v>128.51</v>
      </c>
      <c r="K10" s="12" t="s">
        <v>688</v>
      </c>
      <c r="L10" s="12" t="s">
        <v>689</v>
      </c>
      <c r="M10" s="13" t="s">
        <v>48</v>
      </c>
      <c r="N10" s="14">
        <v>0.4</v>
      </c>
      <c r="O10" s="14">
        <v>630</v>
      </c>
      <c r="P10" s="14" t="s">
        <v>16</v>
      </c>
      <c r="Q10" s="75">
        <v>10</v>
      </c>
      <c r="R10" s="11" t="s">
        <v>37</v>
      </c>
      <c r="S10" s="12" t="s">
        <v>51</v>
      </c>
      <c r="T10" s="12" t="s">
        <v>876</v>
      </c>
      <c r="U10" s="12" t="s">
        <v>163</v>
      </c>
      <c r="V10" s="12" t="s">
        <v>275</v>
      </c>
      <c r="W10" s="23" t="s">
        <v>38</v>
      </c>
      <c r="X10" s="12" t="s">
        <v>280</v>
      </c>
      <c r="Y10" s="12" t="s">
        <v>68</v>
      </c>
      <c r="Z10" s="12" t="s">
        <v>37</v>
      </c>
      <c r="AB10" s="12" t="s">
        <v>37</v>
      </c>
      <c r="AE10" s="12" t="s">
        <v>37</v>
      </c>
      <c r="AH10" s="12" t="s">
        <v>37</v>
      </c>
      <c r="AK10" s="12" t="s">
        <v>37</v>
      </c>
      <c r="AL10" s="32" t="s">
        <v>485</v>
      </c>
      <c r="AM10" s="12" t="s">
        <v>317</v>
      </c>
      <c r="AN10" s="32" t="s">
        <v>878</v>
      </c>
      <c r="AO10" s="12" t="s">
        <v>37</v>
      </c>
      <c r="AP10" s="12" t="s">
        <v>602</v>
      </c>
      <c r="AQ10" s="12" t="s">
        <v>975</v>
      </c>
      <c r="AT10" s="12" t="s">
        <v>326</v>
      </c>
      <c r="AU10" s="12" t="s">
        <v>326</v>
      </c>
      <c r="AV10" s="13" t="s">
        <v>326</v>
      </c>
      <c r="AX10" s="12" t="s">
        <v>326</v>
      </c>
      <c r="AY10" s="12" t="s">
        <v>326</v>
      </c>
      <c r="AZ10" s="13" t="s">
        <v>326</v>
      </c>
      <c r="BE10" s="12" t="s">
        <v>326</v>
      </c>
      <c r="BF10" s="12" t="s">
        <v>326</v>
      </c>
      <c r="BG10" s="12" t="s">
        <v>326</v>
      </c>
      <c r="BI10" s="12" t="s">
        <v>326</v>
      </c>
      <c r="BJ10" s="12" t="s">
        <v>326</v>
      </c>
      <c r="BK10" s="12" t="s">
        <v>326</v>
      </c>
      <c r="BP10" s="12" t="s">
        <v>37</v>
      </c>
      <c r="BQ10" s="12" t="s">
        <v>37</v>
      </c>
      <c r="BR10" s="13" t="s">
        <v>37</v>
      </c>
      <c r="BT10" s="12" t="s">
        <v>37</v>
      </c>
      <c r="BU10" s="12" t="s">
        <v>37</v>
      </c>
      <c r="BV10" s="12" t="s">
        <v>37</v>
      </c>
      <c r="CA10" s="12" t="s">
        <v>37</v>
      </c>
      <c r="CB10" s="12" t="s">
        <v>37</v>
      </c>
      <c r="CC10" s="13" t="s">
        <v>37</v>
      </c>
      <c r="CE10" s="12" t="s">
        <v>37</v>
      </c>
      <c r="CF10" s="12" t="s">
        <v>37</v>
      </c>
      <c r="CG10" s="13" t="s">
        <v>37</v>
      </c>
      <c r="CI10" s="52"/>
      <c r="CJ10" s="12"/>
      <c r="CK10" s="73"/>
      <c r="CL10" s="73"/>
      <c r="CN10" s="12" t="s">
        <v>37</v>
      </c>
      <c r="CO10" s="12" t="s">
        <v>37</v>
      </c>
      <c r="CP10" s="13" t="s">
        <v>37</v>
      </c>
      <c r="CR10" s="12" t="s">
        <v>37</v>
      </c>
      <c r="CS10" s="12" t="s">
        <v>37</v>
      </c>
      <c r="CT10" s="13" t="s">
        <v>37</v>
      </c>
      <c r="CV10" s="52"/>
      <c r="CW10" s="52"/>
      <c r="CX10" s="73"/>
      <c r="CY10" s="73"/>
      <c r="DA10" s="12" t="s">
        <v>37</v>
      </c>
      <c r="DB10" s="12" t="s">
        <v>37</v>
      </c>
      <c r="DC10" s="13" t="s">
        <v>37</v>
      </c>
      <c r="DE10" s="12" t="s">
        <v>37</v>
      </c>
      <c r="DF10" s="12" t="s">
        <v>37</v>
      </c>
      <c r="DG10" s="13" t="s">
        <v>37</v>
      </c>
      <c r="DI10" s="52"/>
      <c r="DJ10" s="52"/>
      <c r="DK10" s="73"/>
      <c r="DL10" s="73"/>
      <c r="DM10" s="15" t="s">
        <v>47</v>
      </c>
      <c r="DN10" s="19">
        <f>45.03*("2014/10/28"-"2014/5/8")*10^4/10^6/'[1]classes-1'!$I$6</f>
        <v>80.930473720608589</v>
      </c>
      <c r="DO10" s="12">
        <f>SQRT((21.15*("2014/10/28"-"2014/5/8")*10^4/10^6)^2*(1/'[1]classes-1'!$I$6)^2+(-DN10/('[1]classes-1'!$I$6)^2)^2*([2]Classes!$J$6)^2)</f>
        <v>80.92749494901247</v>
      </c>
      <c r="DP10" s="13">
        <v>3</v>
      </c>
      <c r="DQ10" s="19">
        <f t="shared" si="7"/>
        <v>0.99996319344915241</v>
      </c>
      <c r="DR10" s="52">
        <f>-0.09*("2014/10/28"-"2014/5/8")*10^4/10^6/'[1]classes-1'!$I$7</f>
        <v>-0.14922022827514225</v>
      </c>
      <c r="DS10" s="15">
        <f>SQRT((1/[2]Classes!$I$7)^2*(1.16*("2014/10/28"-"2014/5/8")*10^4/10^6)^2+(-DR10/([2]Classes!$I$7)^2)^2*([2]Classes!$J$7)^2)</f>
        <v>1.9242287674114169</v>
      </c>
      <c r="DT10" s="18">
        <v>3</v>
      </c>
      <c r="DU10" s="19">
        <f t="shared" si="8"/>
        <v>12.895227340514417</v>
      </c>
      <c r="DV10" s="19">
        <f t="shared" si="3"/>
        <v>-81.07969394888373</v>
      </c>
      <c r="DW10" s="12">
        <f t="shared" si="4"/>
        <v>57.24055422107552</v>
      </c>
      <c r="DX10" s="72">
        <f t="shared" si="5"/>
        <v>2184.3206983572572</v>
      </c>
      <c r="DY10" s="72">
        <f t="shared" si="6"/>
        <v>2184.3206983572577</v>
      </c>
      <c r="DZ10" s="15" t="s">
        <v>47</v>
      </c>
      <c r="EA10" s="52">
        <f>(0.09*("2014/10/28"-"2014/5/8")*10^4/10^6)/'[3]classess-1'!$I$12</f>
        <v>0.10912682734488738</v>
      </c>
      <c r="EB10" s="52">
        <f>SQRT((1/[5]Classess!$I$12)^2*(0.06*("2014/10/28"-"2014/5/8")*10^4/10^6)^2+(-EA10/([5]Classess!$I$12)^2)^2*([5]Classess!$J$12)^2)</f>
        <v>0.23951135746402341</v>
      </c>
      <c r="EC10" s="73">
        <v>3</v>
      </c>
      <c r="ED10" s="52">
        <f t="shared" si="10"/>
        <v>2.1947981380148187</v>
      </c>
      <c r="EE10" s="52">
        <f>(0.7*("2014/10/28"-"2014/5/8")*10^4/10^6)/'[3]classess-1'!$I$13</f>
        <v>1.8711108749125607</v>
      </c>
      <c r="EF10" s="52">
        <f>SQRT((1/[5]Classess!$I$13)^2*(0.36*("2014/10/28"-"2014/5/8")*10^4/10^6)^2+(-EE10/([5]Classess!$I$13)^2)^2*([5]Classess!$J$13)^2)</f>
        <v>1.1438689414400234</v>
      </c>
      <c r="EG10" s="18">
        <v>3</v>
      </c>
      <c r="EH10" s="52">
        <f t="shared" si="9"/>
        <v>0.61133145917581067</v>
      </c>
      <c r="EI10" s="19">
        <f t="shared" si="11"/>
        <v>1.7619840475676734</v>
      </c>
      <c r="EJ10" s="12">
        <f t="shared" si="12"/>
        <v>0.82637819596882478</v>
      </c>
      <c r="EK10" s="19">
        <f t="shared" si="13"/>
        <v>0.4552672818484596</v>
      </c>
      <c r="EL10" s="19">
        <f t="shared" si="14"/>
        <v>0.4552672818484596</v>
      </c>
      <c r="EN10" s="11" t="s">
        <v>37</v>
      </c>
      <c r="EO10" s="11" t="s">
        <v>37</v>
      </c>
      <c r="EP10" s="13" t="s">
        <v>37</v>
      </c>
      <c r="ER10" s="11" t="s">
        <v>37</v>
      </c>
      <c r="ES10" s="11" t="s">
        <v>37</v>
      </c>
      <c r="ET10" s="13" t="s">
        <v>37</v>
      </c>
      <c r="FB10" s="11" t="s">
        <v>37</v>
      </c>
      <c r="FC10" s="11" t="s">
        <v>37</v>
      </c>
      <c r="FD10" s="11" t="s">
        <v>37</v>
      </c>
      <c r="FE10" s="12" t="s">
        <v>37</v>
      </c>
      <c r="FF10" s="20" t="s">
        <v>37</v>
      </c>
      <c r="FG10" s="11" t="s">
        <v>37</v>
      </c>
      <c r="FI10" s="11" t="s">
        <v>37</v>
      </c>
      <c r="FJ10" s="11" t="s">
        <v>37</v>
      </c>
      <c r="FK10" s="11" t="s">
        <v>37</v>
      </c>
      <c r="FL10" s="13" t="s">
        <v>37</v>
      </c>
      <c r="FM10" s="11" t="s">
        <v>37</v>
      </c>
      <c r="FN10" s="11" t="s">
        <v>37</v>
      </c>
      <c r="FP10" s="11" t="s">
        <v>37</v>
      </c>
      <c r="FQ10" s="11" t="s">
        <v>37</v>
      </c>
      <c r="FR10" s="11" t="s">
        <v>37</v>
      </c>
      <c r="FS10" s="13" t="s">
        <v>37</v>
      </c>
      <c r="FT10" s="11" t="s">
        <v>37</v>
      </c>
      <c r="FU10" s="11" t="s">
        <v>37</v>
      </c>
      <c r="FW10" s="11" t="s">
        <v>37</v>
      </c>
      <c r="FX10" s="11" t="s">
        <v>37</v>
      </c>
      <c r="FY10" s="11" t="s">
        <v>37</v>
      </c>
      <c r="FZ10" s="13" t="s">
        <v>37</v>
      </c>
      <c r="GA10" s="11" t="s">
        <v>37</v>
      </c>
      <c r="GB10" s="11" t="s">
        <v>37</v>
      </c>
      <c r="GE10" s="11"/>
      <c r="GF10" s="11"/>
      <c r="GI10" s="11"/>
      <c r="GJ10" s="11"/>
      <c r="GQ10" s="11"/>
      <c r="GR10" s="11"/>
      <c r="GU10" s="11"/>
      <c r="GV10" s="11"/>
      <c r="HD10" s="11"/>
      <c r="HG10" s="11"/>
      <c r="HH10" s="11"/>
      <c r="HX10" s="32"/>
      <c r="IK10" s="12" t="s">
        <v>37</v>
      </c>
      <c r="IL10" s="12" t="s">
        <v>37</v>
      </c>
      <c r="IM10" s="13" t="s">
        <v>37</v>
      </c>
      <c r="IO10" s="12" t="s">
        <v>37</v>
      </c>
      <c r="IP10" s="12" t="s">
        <v>37</v>
      </c>
      <c r="IQ10" s="13" t="s">
        <v>37</v>
      </c>
      <c r="IW10" s="12" t="s">
        <v>37</v>
      </c>
      <c r="IX10" s="11" t="s">
        <v>37</v>
      </c>
      <c r="IY10" s="13" t="s">
        <v>37</v>
      </c>
      <c r="JA10" s="11" t="s">
        <v>37</v>
      </c>
      <c r="JB10" s="11" t="s">
        <v>37</v>
      </c>
      <c r="JC10" s="13" t="s">
        <v>37</v>
      </c>
      <c r="JH10" s="12" t="s">
        <v>37</v>
      </c>
      <c r="JI10" s="12" t="s">
        <v>37</v>
      </c>
      <c r="JJ10" s="13" t="s">
        <v>37</v>
      </c>
      <c r="JL10" s="12" t="s">
        <v>37</v>
      </c>
      <c r="JM10" s="12" t="s">
        <v>37</v>
      </c>
      <c r="JN10" s="12" t="s">
        <v>37</v>
      </c>
      <c r="JS10" s="12" t="s">
        <v>37</v>
      </c>
      <c r="JT10" s="12" t="s">
        <v>37</v>
      </c>
      <c r="JU10" s="13" t="s">
        <v>37</v>
      </c>
      <c r="JW10" s="12" t="s">
        <v>37</v>
      </c>
      <c r="JX10" s="12" t="s">
        <v>37</v>
      </c>
      <c r="JY10" s="12" t="s">
        <v>37</v>
      </c>
      <c r="KE10" s="11" t="s">
        <v>37</v>
      </c>
      <c r="KF10" s="11" t="s">
        <v>37</v>
      </c>
      <c r="KG10" s="13" t="s">
        <v>37</v>
      </c>
      <c r="KH10" s="11" t="s">
        <v>37</v>
      </c>
      <c r="KI10" s="11" t="s">
        <v>37</v>
      </c>
      <c r="KJ10" s="11" t="s">
        <v>37</v>
      </c>
      <c r="KM10" s="12" t="s">
        <v>37</v>
      </c>
      <c r="KN10" s="11" t="s">
        <v>37</v>
      </c>
      <c r="KO10" s="11" t="s">
        <v>37</v>
      </c>
      <c r="KQ10" s="11" t="s">
        <v>37</v>
      </c>
      <c r="KR10" s="11" t="s">
        <v>37</v>
      </c>
      <c r="KS10" s="13" t="s">
        <v>37</v>
      </c>
      <c r="KX10" s="16" t="s">
        <v>37</v>
      </c>
      <c r="KY10" s="16" t="s">
        <v>37</v>
      </c>
      <c r="KZ10" s="13" t="s">
        <v>37</v>
      </c>
      <c r="LB10" s="16" t="s">
        <v>37</v>
      </c>
      <c r="LC10" s="16" t="s">
        <v>37</v>
      </c>
      <c r="LD10" s="13" t="s">
        <v>37</v>
      </c>
      <c r="LI10" s="12" t="s">
        <v>37</v>
      </c>
      <c r="LJ10" s="12" t="s">
        <v>37</v>
      </c>
      <c r="LK10" s="12" t="s">
        <v>37</v>
      </c>
      <c r="LM10" s="12" t="s">
        <v>37</v>
      </c>
      <c r="LN10" s="12" t="s">
        <v>37</v>
      </c>
      <c r="LO10" s="12" t="s">
        <v>37</v>
      </c>
      <c r="LU10" s="12" t="s">
        <v>37</v>
      </c>
      <c r="LV10" s="12" t="s">
        <v>37</v>
      </c>
      <c r="LW10" s="13" t="s">
        <v>37</v>
      </c>
      <c r="LY10" s="12" t="s">
        <v>37</v>
      </c>
      <c r="LZ10" s="12" t="s">
        <v>37</v>
      </c>
      <c r="MA10" s="11" t="s">
        <v>37</v>
      </c>
      <c r="MF10" s="12" t="s">
        <v>37</v>
      </c>
      <c r="MG10" s="12" t="s">
        <v>37</v>
      </c>
      <c r="MH10" s="12" t="s">
        <v>37</v>
      </c>
      <c r="MJ10" s="12" t="s">
        <v>37</v>
      </c>
      <c r="MK10" s="12" t="s">
        <v>37</v>
      </c>
      <c r="ML10" s="12" t="s">
        <v>37</v>
      </c>
      <c r="MQ10" s="12" t="s">
        <v>37</v>
      </c>
      <c r="MR10" s="12" t="s">
        <v>37</v>
      </c>
      <c r="MS10" s="12" t="s">
        <v>37</v>
      </c>
      <c r="MU10" s="12" t="s">
        <v>37</v>
      </c>
      <c r="MV10" s="12" t="s">
        <v>37</v>
      </c>
      <c r="MW10" s="12" t="s">
        <v>37</v>
      </c>
      <c r="NC10" s="11" t="s">
        <v>37</v>
      </c>
      <c r="ND10" s="11" t="s">
        <v>37</v>
      </c>
      <c r="NE10" s="13" t="s">
        <v>37</v>
      </c>
      <c r="NG10" s="11" t="s">
        <v>37</v>
      </c>
      <c r="NH10" s="11" t="s">
        <v>37</v>
      </c>
      <c r="NI10" s="13" t="s">
        <v>37</v>
      </c>
      <c r="NO10" s="11" t="s">
        <v>37</v>
      </c>
      <c r="NP10" s="11" t="s">
        <v>37</v>
      </c>
      <c r="NQ10" s="13" t="s">
        <v>37</v>
      </c>
      <c r="NS10" s="11" t="s">
        <v>37</v>
      </c>
      <c r="NT10" s="11" t="s">
        <v>37</v>
      </c>
      <c r="NU10" s="13" t="s">
        <v>37</v>
      </c>
      <c r="OA10" s="11" t="s">
        <v>37</v>
      </c>
      <c r="OB10" s="11" t="s">
        <v>37</v>
      </c>
      <c r="OC10" s="13" t="s">
        <v>37</v>
      </c>
      <c r="OE10" s="11" t="s">
        <v>37</v>
      </c>
      <c r="OF10" s="11" t="s">
        <v>37</v>
      </c>
      <c r="OG10" s="13" t="s">
        <v>37</v>
      </c>
      <c r="OM10" s="11" t="s">
        <v>37</v>
      </c>
      <c r="ON10" s="11" t="s">
        <v>37</v>
      </c>
      <c r="OO10" s="11" t="s">
        <v>37</v>
      </c>
      <c r="OP10" s="11" t="s">
        <v>37</v>
      </c>
      <c r="OQ10" s="11" t="s">
        <v>37</v>
      </c>
      <c r="OR10" s="11" t="s">
        <v>37</v>
      </c>
      <c r="OW10" s="11" t="s">
        <v>37</v>
      </c>
      <c r="OX10" s="11" t="s">
        <v>37</v>
      </c>
      <c r="OY10" s="13" t="s">
        <v>37</v>
      </c>
      <c r="OZ10" s="11" t="s">
        <v>37</v>
      </c>
      <c r="PA10" s="11" t="s">
        <v>37</v>
      </c>
      <c r="PB10" s="13" t="s">
        <v>37</v>
      </c>
      <c r="PG10" s="11" t="s">
        <v>37</v>
      </c>
      <c r="PH10" s="11" t="s">
        <v>37</v>
      </c>
      <c r="PI10" s="13" t="s">
        <v>37</v>
      </c>
      <c r="PJ10" s="11" t="s">
        <v>37</v>
      </c>
      <c r="PK10" s="11" t="s">
        <v>37</v>
      </c>
      <c r="PL10" s="13" t="s">
        <v>37</v>
      </c>
      <c r="PQ10" s="11" t="s">
        <v>37</v>
      </c>
      <c r="PR10" s="11" t="s">
        <v>37</v>
      </c>
      <c r="PS10" s="13" t="s">
        <v>37</v>
      </c>
      <c r="PT10" s="11" t="s">
        <v>37</v>
      </c>
      <c r="PU10" s="11" t="s">
        <v>37</v>
      </c>
      <c r="PV10" s="13" t="s">
        <v>37</v>
      </c>
      <c r="PZ10" s="11" t="s">
        <v>37</v>
      </c>
      <c r="QA10" s="11" t="s">
        <v>37</v>
      </c>
      <c r="QB10" s="11" t="s">
        <v>37</v>
      </c>
      <c r="QD10" s="11" t="s">
        <v>37</v>
      </c>
      <c r="QE10" s="11" t="s">
        <v>37</v>
      </c>
      <c r="QF10" s="13" t="s">
        <v>37</v>
      </c>
      <c r="QK10" s="11" t="s">
        <v>37</v>
      </c>
      <c r="QL10" s="11" t="s">
        <v>37</v>
      </c>
      <c r="QM10" s="13" t="s">
        <v>37</v>
      </c>
      <c r="QN10" s="11" t="s">
        <v>37</v>
      </c>
      <c r="QO10" s="11" t="s">
        <v>37</v>
      </c>
      <c r="QP10" s="13" t="s">
        <v>37</v>
      </c>
      <c r="QU10" s="11" t="s">
        <v>37</v>
      </c>
      <c r="QV10" s="11" t="s">
        <v>37</v>
      </c>
      <c r="QW10" s="13" t="s">
        <v>37</v>
      </c>
      <c r="QX10" s="11" t="s">
        <v>37</v>
      </c>
      <c r="QY10" s="11" t="s">
        <v>37</v>
      </c>
      <c r="QZ10" s="13" t="s">
        <v>37</v>
      </c>
      <c r="RC10" s="12" t="s">
        <v>37</v>
      </c>
      <c r="RD10" s="12" t="s">
        <v>37</v>
      </c>
      <c r="RE10" s="13" t="s">
        <v>37</v>
      </c>
      <c r="RF10" s="12" t="s">
        <v>37</v>
      </c>
      <c r="RG10" s="12" t="s">
        <v>37</v>
      </c>
      <c r="RH10" s="13" t="s">
        <v>37</v>
      </c>
      <c r="RK10" s="11" t="s">
        <v>37</v>
      </c>
      <c r="RL10" s="11" t="s">
        <v>37</v>
      </c>
      <c r="RM10" s="11" t="s">
        <v>37</v>
      </c>
      <c r="RN10" s="11" t="s">
        <v>37</v>
      </c>
      <c r="RO10" s="11" t="s">
        <v>37</v>
      </c>
      <c r="RP10" s="11" t="s">
        <v>37</v>
      </c>
      <c r="RS10" s="11" t="s">
        <v>37</v>
      </c>
      <c r="RT10" s="11" t="s">
        <v>37</v>
      </c>
      <c r="RU10" s="11" t="s">
        <v>37</v>
      </c>
      <c r="RV10" s="11" t="s">
        <v>37</v>
      </c>
      <c r="RW10" s="11" t="s">
        <v>37</v>
      </c>
      <c r="RX10" s="11" t="s">
        <v>37</v>
      </c>
      <c r="SA10" s="11" t="s">
        <v>37</v>
      </c>
      <c r="SB10" s="11" t="s">
        <v>37</v>
      </c>
      <c r="SC10" s="13" t="s">
        <v>37</v>
      </c>
      <c r="SD10" s="11" t="s">
        <v>37</v>
      </c>
      <c r="SE10" s="11" t="s">
        <v>37</v>
      </c>
      <c r="SF10" s="13" t="s">
        <v>37</v>
      </c>
      <c r="SI10" s="12" t="s">
        <v>37</v>
      </c>
      <c r="SJ10" s="11" t="s">
        <v>37</v>
      </c>
      <c r="SK10" s="13" t="s">
        <v>37</v>
      </c>
      <c r="SM10" s="11" t="s">
        <v>37</v>
      </c>
      <c r="SN10" s="11" t="s">
        <v>37</v>
      </c>
      <c r="SO10" s="13" t="s">
        <v>37</v>
      </c>
      <c r="SU10" s="12" t="s">
        <v>37</v>
      </c>
      <c r="SV10" s="12" t="s">
        <v>37</v>
      </c>
      <c r="SW10" s="11" t="s">
        <v>37</v>
      </c>
      <c r="SX10" s="12" t="s">
        <v>37</v>
      </c>
      <c r="SY10" s="12" t="s">
        <v>37</v>
      </c>
      <c r="SZ10" s="11" t="s">
        <v>37</v>
      </c>
      <c r="TE10" s="12" t="s">
        <v>37</v>
      </c>
      <c r="TF10" s="12" t="s">
        <v>37</v>
      </c>
      <c r="TG10" s="11" t="s">
        <v>37</v>
      </c>
      <c r="TH10" s="12" t="s">
        <v>37</v>
      </c>
      <c r="TI10" s="12" t="s">
        <v>37</v>
      </c>
      <c r="TJ10" s="11" t="s">
        <v>37</v>
      </c>
      <c r="TO10" s="12" t="s">
        <v>37</v>
      </c>
      <c r="TP10" s="12" t="s">
        <v>37</v>
      </c>
      <c r="TQ10" s="11" t="s">
        <v>37</v>
      </c>
      <c r="TR10" s="12" t="s">
        <v>37</v>
      </c>
      <c r="TS10" s="12" t="s">
        <v>37</v>
      </c>
      <c r="TT10" s="11" t="s">
        <v>37</v>
      </c>
      <c r="TY10" s="12" t="s">
        <v>37</v>
      </c>
      <c r="TZ10" s="12" t="s">
        <v>37</v>
      </c>
      <c r="UA10" s="11" t="s">
        <v>37</v>
      </c>
      <c r="UB10" s="12" t="s">
        <v>37</v>
      </c>
      <c r="UC10" s="12" t="s">
        <v>37</v>
      </c>
      <c r="UD10" s="11" t="s">
        <v>37</v>
      </c>
      <c r="UI10" s="12" t="s">
        <v>37</v>
      </c>
      <c r="UJ10" s="12" t="s">
        <v>37</v>
      </c>
      <c r="UK10" s="13" t="s">
        <v>37</v>
      </c>
      <c r="UL10" s="12" t="s">
        <v>37</v>
      </c>
      <c r="UM10" s="12" t="s">
        <v>37</v>
      </c>
      <c r="UN10" s="13" t="s">
        <v>37</v>
      </c>
      <c r="UR10" s="12" t="s">
        <v>37</v>
      </c>
      <c r="US10" s="12" t="s">
        <v>37</v>
      </c>
      <c r="UT10" s="13" t="s">
        <v>37</v>
      </c>
      <c r="UU10" s="12" t="s">
        <v>37</v>
      </c>
      <c r="UV10" s="12" t="s">
        <v>37</v>
      </c>
      <c r="UW10" s="13" t="s">
        <v>37</v>
      </c>
      <c r="VB10" s="12" t="s">
        <v>37</v>
      </c>
      <c r="VC10" s="12" t="s">
        <v>37</v>
      </c>
      <c r="VD10" s="13" t="s">
        <v>37</v>
      </c>
      <c r="VE10" s="12" t="s">
        <v>37</v>
      </c>
      <c r="VF10" s="12" t="s">
        <v>37</v>
      </c>
      <c r="VG10" s="13" t="s">
        <v>37</v>
      </c>
      <c r="VI10" s="12" t="s">
        <v>37</v>
      </c>
      <c r="VJ10" s="12" t="s">
        <v>37</v>
      </c>
      <c r="VK10" s="13" t="s">
        <v>37</v>
      </c>
      <c r="VL10" s="12" t="s">
        <v>37</v>
      </c>
      <c r="VM10" s="12" t="s">
        <v>37</v>
      </c>
      <c r="VN10" s="13" t="s">
        <v>37</v>
      </c>
      <c r="VO10" s="12" t="s">
        <v>37</v>
      </c>
      <c r="VQ10" s="12" t="s">
        <v>37</v>
      </c>
      <c r="VR10" s="12" t="s">
        <v>37</v>
      </c>
      <c r="VS10" s="12" t="s">
        <v>37</v>
      </c>
      <c r="VT10" s="12" t="s">
        <v>37</v>
      </c>
      <c r="VU10" s="12" t="s">
        <v>37</v>
      </c>
      <c r="VV10" s="12" t="s">
        <v>37</v>
      </c>
      <c r="VW10" s="12"/>
      <c r="VX10" s="12"/>
      <c r="WA10" s="13" t="s">
        <v>37</v>
      </c>
      <c r="WB10" s="13" t="s">
        <v>37</v>
      </c>
      <c r="WC10" s="13" t="s">
        <v>37</v>
      </c>
      <c r="WD10" s="13" t="s">
        <v>37</v>
      </c>
      <c r="WE10" s="13" t="s">
        <v>37</v>
      </c>
      <c r="WF10" s="13" t="s">
        <v>37</v>
      </c>
    </row>
    <row r="11" spans="1:606" ht="18" customHeight="1" x14ac:dyDescent="0.3">
      <c r="A11" s="11">
        <v>2</v>
      </c>
      <c r="B11" s="12" t="s">
        <v>52</v>
      </c>
      <c r="C11" s="12" t="s">
        <v>26</v>
      </c>
      <c r="D11" s="12" t="s">
        <v>54</v>
      </c>
      <c r="E11" s="39" t="s">
        <v>37</v>
      </c>
      <c r="F11" s="14">
        <v>0</v>
      </c>
      <c r="G11" s="14">
        <v>0</v>
      </c>
      <c r="H11" s="12" t="s">
        <v>79</v>
      </c>
      <c r="I11" s="29">
        <v>48.064999999999998</v>
      </c>
      <c r="J11" s="29">
        <v>128.51</v>
      </c>
      <c r="K11" s="12" t="s">
        <v>688</v>
      </c>
      <c r="L11" s="12" t="s">
        <v>689</v>
      </c>
      <c r="M11" s="13" t="s">
        <v>48</v>
      </c>
      <c r="N11" s="14">
        <v>0.4</v>
      </c>
      <c r="O11" s="14">
        <v>630</v>
      </c>
      <c r="P11" s="14" t="s">
        <v>16</v>
      </c>
      <c r="Q11" s="75">
        <v>10</v>
      </c>
      <c r="R11" s="11" t="s">
        <v>37</v>
      </c>
      <c r="S11" s="12" t="s">
        <v>51</v>
      </c>
      <c r="T11" s="12" t="s">
        <v>876</v>
      </c>
      <c r="U11" s="12" t="s">
        <v>334</v>
      </c>
      <c r="V11" s="12" t="s">
        <v>275</v>
      </c>
      <c r="W11" s="23" t="s">
        <v>38</v>
      </c>
      <c r="X11" s="12" t="s">
        <v>280</v>
      </c>
      <c r="Y11" s="12" t="s">
        <v>68</v>
      </c>
      <c r="Z11" s="12" t="s">
        <v>37</v>
      </c>
      <c r="AB11" s="12" t="s">
        <v>37</v>
      </c>
      <c r="AE11" s="12" t="s">
        <v>37</v>
      </c>
      <c r="AH11" s="12" t="s">
        <v>37</v>
      </c>
      <c r="AK11" s="12" t="s">
        <v>37</v>
      </c>
      <c r="AL11" s="32" t="s">
        <v>485</v>
      </c>
      <c r="AM11" s="12" t="s">
        <v>317</v>
      </c>
      <c r="AN11" s="32" t="s">
        <v>878</v>
      </c>
      <c r="AO11" s="12" t="s">
        <v>37</v>
      </c>
      <c r="AP11" s="12" t="s">
        <v>602</v>
      </c>
      <c r="AQ11" s="12" t="s">
        <v>975</v>
      </c>
      <c r="AT11" s="12" t="s">
        <v>326</v>
      </c>
      <c r="AU11" s="12" t="s">
        <v>326</v>
      </c>
      <c r="AV11" s="13" t="s">
        <v>326</v>
      </c>
      <c r="AX11" s="12" t="s">
        <v>326</v>
      </c>
      <c r="AY11" s="12" t="s">
        <v>326</v>
      </c>
      <c r="AZ11" s="13" t="s">
        <v>326</v>
      </c>
      <c r="BE11" s="12" t="s">
        <v>326</v>
      </c>
      <c r="BF11" s="12" t="s">
        <v>326</v>
      </c>
      <c r="BG11" s="12" t="s">
        <v>326</v>
      </c>
      <c r="BI11" s="12" t="s">
        <v>326</v>
      </c>
      <c r="BJ11" s="12" t="s">
        <v>326</v>
      </c>
      <c r="BK11" s="12" t="s">
        <v>326</v>
      </c>
      <c r="BP11" s="12" t="s">
        <v>37</v>
      </c>
      <c r="BQ11" s="12" t="s">
        <v>37</v>
      </c>
      <c r="BR11" s="13" t="s">
        <v>37</v>
      </c>
      <c r="BT11" s="12" t="s">
        <v>37</v>
      </c>
      <c r="BU11" s="12" t="s">
        <v>37</v>
      </c>
      <c r="BV11" s="12" t="s">
        <v>37</v>
      </c>
      <c r="CA11" s="12" t="s">
        <v>37</v>
      </c>
      <c r="CB11" s="12" t="s">
        <v>37</v>
      </c>
      <c r="CC11" s="13" t="s">
        <v>37</v>
      </c>
      <c r="CE11" s="12" t="s">
        <v>37</v>
      </c>
      <c r="CF11" s="12" t="s">
        <v>37</v>
      </c>
      <c r="CG11" s="13" t="s">
        <v>37</v>
      </c>
      <c r="CI11" s="52"/>
      <c r="CJ11" s="12"/>
      <c r="CK11" s="73"/>
      <c r="CL11" s="73"/>
      <c r="CN11" s="12" t="s">
        <v>37</v>
      </c>
      <c r="CO11" s="12" t="s">
        <v>37</v>
      </c>
      <c r="CP11" s="13" t="s">
        <v>37</v>
      </c>
      <c r="CR11" s="12" t="s">
        <v>37</v>
      </c>
      <c r="CS11" s="12" t="s">
        <v>37</v>
      </c>
      <c r="CT11" s="13" t="s">
        <v>37</v>
      </c>
      <c r="CV11" s="52"/>
      <c r="CW11" s="52"/>
      <c r="CX11" s="73"/>
      <c r="CY11" s="73"/>
      <c r="DA11" s="12" t="s">
        <v>37</v>
      </c>
      <c r="DB11" s="12" t="s">
        <v>37</v>
      </c>
      <c r="DC11" s="13" t="s">
        <v>37</v>
      </c>
      <c r="DE11" s="12" t="s">
        <v>37</v>
      </c>
      <c r="DF11" s="12" t="s">
        <v>37</v>
      </c>
      <c r="DG11" s="13" t="s">
        <v>37</v>
      </c>
      <c r="DI11" s="52"/>
      <c r="DJ11" s="52"/>
      <c r="DK11" s="73"/>
      <c r="DL11" s="73"/>
      <c r="DM11" s="15" t="s">
        <v>47</v>
      </c>
      <c r="DN11" s="19">
        <f>45.03*("2014/10/28"-"2014/5/8")*10^4/10^6/'[1]classes-1'!$I$8</f>
        <v>80.930473720608589</v>
      </c>
      <c r="DO11" s="12">
        <f>DO10</f>
        <v>80.92749494901247</v>
      </c>
      <c r="DP11" s="13">
        <v>3</v>
      </c>
      <c r="DQ11" s="19">
        <f t="shared" si="7"/>
        <v>0.99996319344915241</v>
      </c>
      <c r="DR11" s="52">
        <f>2.83*("2014/10/28"-"2014/5/8")*10^4/10^6/'[1]classes-1'!$I$9</f>
        <v>2.5012626262626263</v>
      </c>
      <c r="DS11" s="15">
        <f>SQRT((1/[2]Classes!$I$9)^2*(2.69*("2014/10/28"-"2014/5/8")*10^4/10^6)^2+(-DR11/([2]Classes!$I$9)^2)^2*([2]Classes!$J$9)^2)</f>
        <v>2.3831947437160079</v>
      </c>
      <c r="DT11" s="18">
        <v>3</v>
      </c>
      <c r="DU11" s="19">
        <f t="shared" si="8"/>
        <v>0.95279668703840392</v>
      </c>
      <c r="DV11" s="19">
        <f t="shared" si="3"/>
        <v>-78.429211094345959</v>
      </c>
      <c r="DW11" s="12">
        <f t="shared" si="4"/>
        <v>57.24918801131119</v>
      </c>
      <c r="DX11" s="72">
        <f t="shared" si="5"/>
        <v>2184.9796853029711</v>
      </c>
      <c r="DY11" s="72">
        <f t="shared" si="6"/>
        <v>2184.9796853029716</v>
      </c>
      <c r="DZ11" s="15" t="s">
        <v>47</v>
      </c>
      <c r="EA11" s="52">
        <f>(0.09*("2014/10/28"-"2014/5/8")*10^4/10^6)/'[3]classess-1'!$I$14</f>
        <v>0.10912682734488738</v>
      </c>
      <c r="EB11" s="52">
        <f>EB10</f>
        <v>0.23951135746402341</v>
      </c>
      <c r="EC11" s="73">
        <v>3</v>
      </c>
      <c r="ED11" s="52">
        <f t="shared" si="10"/>
        <v>2.1947981380148187</v>
      </c>
      <c r="EE11" s="52">
        <f>(0.1*("2014/10/28"-"2014/5/8")*10^4/10^6)/'[3]classess-1'!$I$15</f>
        <v>0.2673015535589372</v>
      </c>
      <c r="EF11" s="52">
        <f>SQRT((1/[5]Classess!$I$15)^2*(0.05*("2014/10/28"-"2014/5/8")*10^4/10^6)^2+(-EE11/([5]Classess!$I$15)^2)^2*([5]Classess!$J$15)^2)</f>
        <v>0.16021073937933927</v>
      </c>
      <c r="EG11" s="18">
        <v>3</v>
      </c>
      <c r="EH11" s="52">
        <f t="shared" si="9"/>
        <v>0.59936329305326874</v>
      </c>
      <c r="EI11" s="19">
        <f t="shared" si="11"/>
        <v>0.15817472621404982</v>
      </c>
      <c r="EJ11" s="12">
        <f t="shared" si="12"/>
        <v>0.2037561917669421</v>
      </c>
      <c r="EK11" s="19">
        <f t="shared" si="13"/>
        <v>2.7677723788911257E-2</v>
      </c>
      <c r="EL11" s="19">
        <f t="shared" si="14"/>
        <v>2.7677723788911257E-2</v>
      </c>
      <c r="EN11" s="11" t="s">
        <v>37</v>
      </c>
      <c r="EO11" s="11" t="s">
        <v>37</v>
      </c>
      <c r="EP11" s="13" t="s">
        <v>37</v>
      </c>
      <c r="ER11" s="11" t="s">
        <v>37</v>
      </c>
      <c r="ES11" s="11" t="s">
        <v>37</v>
      </c>
      <c r="ET11" s="13" t="s">
        <v>37</v>
      </c>
      <c r="FB11" s="11" t="s">
        <v>37</v>
      </c>
      <c r="FC11" s="11" t="s">
        <v>37</v>
      </c>
      <c r="FD11" s="11" t="s">
        <v>37</v>
      </c>
      <c r="FE11" s="12" t="s">
        <v>37</v>
      </c>
      <c r="FF11" s="20" t="s">
        <v>37</v>
      </c>
      <c r="FG11" s="11" t="s">
        <v>37</v>
      </c>
      <c r="FI11" s="11" t="s">
        <v>37</v>
      </c>
      <c r="FJ11" s="11" t="s">
        <v>37</v>
      </c>
      <c r="FK11" s="11" t="s">
        <v>37</v>
      </c>
      <c r="FL11" s="13" t="s">
        <v>37</v>
      </c>
      <c r="FM11" s="11" t="s">
        <v>37</v>
      </c>
      <c r="FN11" s="11" t="s">
        <v>37</v>
      </c>
      <c r="FP11" s="11" t="s">
        <v>37</v>
      </c>
      <c r="FQ11" s="11" t="s">
        <v>37</v>
      </c>
      <c r="FR11" s="11" t="s">
        <v>37</v>
      </c>
      <c r="FS11" s="13" t="s">
        <v>37</v>
      </c>
      <c r="FT11" s="11" t="s">
        <v>37</v>
      </c>
      <c r="FU11" s="11" t="s">
        <v>37</v>
      </c>
      <c r="FW11" s="11" t="s">
        <v>37</v>
      </c>
      <c r="FX11" s="11" t="s">
        <v>37</v>
      </c>
      <c r="FY11" s="11" t="s">
        <v>37</v>
      </c>
      <c r="FZ11" s="13" t="s">
        <v>37</v>
      </c>
      <c r="GA11" s="11" t="s">
        <v>37</v>
      </c>
      <c r="GB11" s="11" t="s">
        <v>37</v>
      </c>
      <c r="GE11" s="11"/>
      <c r="GF11" s="11"/>
      <c r="GI11" s="11"/>
      <c r="GJ11" s="11"/>
      <c r="GQ11" s="11"/>
      <c r="GR11" s="11"/>
      <c r="GU11" s="11"/>
      <c r="GV11" s="11"/>
      <c r="HD11" s="11"/>
      <c r="HG11" s="11"/>
      <c r="HH11" s="11"/>
      <c r="HX11" s="32"/>
      <c r="IK11" s="12" t="s">
        <v>37</v>
      </c>
      <c r="IL11" s="12" t="s">
        <v>37</v>
      </c>
      <c r="IM11" s="13" t="s">
        <v>37</v>
      </c>
      <c r="IO11" s="12" t="s">
        <v>37</v>
      </c>
      <c r="IP11" s="12" t="s">
        <v>37</v>
      </c>
      <c r="IQ11" s="13" t="s">
        <v>37</v>
      </c>
      <c r="IW11" s="12" t="s">
        <v>37</v>
      </c>
      <c r="IX11" s="11" t="s">
        <v>37</v>
      </c>
      <c r="IY11" s="13" t="s">
        <v>37</v>
      </c>
      <c r="JA11" s="11" t="s">
        <v>37</v>
      </c>
      <c r="JB11" s="11" t="s">
        <v>37</v>
      </c>
      <c r="JC11" s="13" t="s">
        <v>37</v>
      </c>
      <c r="JH11" s="12" t="s">
        <v>37</v>
      </c>
      <c r="JI11" s="12" t="s">
        <v>37</v>
      </c>
      <c r="JJ11" s="13" t="s">
        <v>37</v>
      </c>
      <c r="JL11" s="12" t="s">
        <v>37</v>
      </c>
      <c r="JM11" s="12" t="s">
        <v>37</v>
      </c>
      <c r="JN11" s="12" t="s">
        <v>37</v>
      </c>
      <c r="JS11" s="12" t="s">
        <v>37</v>
      </c>
      <c r="JT11" s="12" t="s">
        <v>37</v>
      </c>
      <c r="JU11" s="13" t="s">
        <v>37</v>
      </c>
      <c r="JW11" s="12" t="s">
        <v>37</v>
      </c>
      <c r="JX11" s="12" t="s">
        <v>37</v>
      </c>
      <c r="JY11" s="12" t="s">
        <v>37</v>
      </c>
      <c r="KE11" s="11" t="s">
        <v>37</v>
      </c>
      <c r="KF11" s="11" t="s">
        <v>37</v>
      </c>
      <c r="KG11" s="13" t="s">
        <v>37</v>
      </c>
      <c r="KH11" s="11" t="s">
        <v>37</v>
      </c>
      <c r="KI11" s="11" t="s">
        <v>37</v>
      </c>
      <c r="KJ11" s="11" t="s">
        <v>37</v>
      </c>
      <c r="KM11" s="12" t="s">
        <v>37</v>
      </c>
      <c r="KN11" s="11" t="s">
        <v>37</v>
      </c>
      <c r="KO11" s="11" t="s">
        <v>37</v>
      </c>
      <c r="KQ11" s="11" t="s">
        <v>37</v>
      </c>
      <c r="KR11" s="11" t="s">
        <v>37</v>
      </c>
      <c r="KS11" s="13" t="s">
        <v>37</v>
      </c>
      <c r="KX11" s="16" t="s">
        <v>37</v>
      </c>
      <c r="KY11" s="16" t="s">
        <v>37</v>
      </c>
      <c r="KZ11" s="13" t="s">
        <v>37</v>
      </c>
      <c r="LB11" s="16" t="s">
        <v>37</v>
      </c>
      <c r="LC11" s="16" t="s">
        <v>37</v>
      </c>
      <c r="LD11" s="13" t="s">
        <v>37</v>
      </c>
      <c r="LI11" s="12" t="s">
        <v>37</v>
      </c>
      <c r="LJ11" s="12" t="s">
        <v>37</v>
      </c>
      <c r="LK11" s="12" t="s">
        <v>37</v>
      </c>
      <c r="LM11" s="12" t="s">
        <v>37</v>
      </c>
      <c r="LN11" s="12" t="s">
        <v>37</v>
      </c>
      <c r="LO11" s="12" t="s">
        <v>37</v>
      </c>
      <c r="LU11" s="12" t="s">
        <v>37</v>
      </c>
      <c r="LV11" s="12" t="s">
        <v>37</v>
      </c>
      <c r="LW11" s="13" t="s">
        <v>37</v>
      </c>
      <c r="LY11" s="12" t="s">
        <v>37</v>
      </c>
      <c r="LZ11" s="12" t="s">
        <v>37</v>
      </c>
      <c r="MA11" s="11" t="s">
        <v>37</v>
      </c>
      <c r="MF11" s="12" t="s">
        <v>37</v>
      </c>
      <c r="MG11" s="12" t="s">
        <v>37</v>
      </c>
      <c r="MH11" s="12" t="s">
        <v>37</v>
      </c>
      <c r="MJ11" s="12" t="s">
        <v>37</v>
      </c>
      <c r="MK11" s="12" t="s">
        <v>37</v>
      </c>
      <c r="ML11" s="12" t="s">
        <v>37</v>
      </c>
      <c r="MQ11" s="12" t="s">
        <v>37</v>
      </c>
      <c r="MR11" s="12" t="s">
        <v>37</v>
      </c>
      <c r="MS11" s="12" t="s">
        <v>37</v>
      </c>
      <c r="MU11" s="12" t="s">
        <v>37</v>
      </c>
      <c r="MV11" s="12" t="s">
        <v>37</v>
      </c>
      <c r="MW11" s="12" t="s">
        <v>37</v>
      </c>
      <c r="NC11" s="11" t="s">
        <v>37</v>
      </c>
      <c r="ND11" s="11" t="s">
        <v>37</v>
      </c>
      <c r="NE11" s="13" t="s">
        <v>37</v>
      </c>
      <c r="NG11" s="11" t="s">
        <v>37</v>
      </c>
      <c r="NH11" s="11" t="s">
        <v>37</v>
      </c>
      <c r="NI11" s="13" t="s">
        <v>37</v>
      </c>
      <c r="NO11" s="11" t="s">
        <v>37</v>
      </c>
      <c r="NP11" s="11" t="s">
        <v>37</v>
      </c>
      <c r="NQ11" s="13" t="s">
        <v>37</v>
      </c>
      <c r="NS11" s="11" t="s">
        <v>37</v>
      </c>
      <c r="NT11" s="11" t="s">
        <v>37</v>
      </c>
      <c r="NU11" s="13" t="s">
        <v>37</v>
      </c>
      <c r="OA11" s="11" t="s">
        <v>37</v>
      </c>
      <c r="OB11" s="11" t="s">
        <v>37</v>
      </c>
      <c r="OC11" s="13" t="s">
        <v>37</v>
      </c>
      <c r="OE11" s="11" t="s">
        <v>37</v>
      </c>
      <c r="OF11" s="11" t="s">
        <v>37</v>
      </c>
      <c r="OG11" s="13" t="s">
        <v>37</v>
      </c>
      <c r="OM11" s="11" t="s">
        <v>37</v>
      </c>
      <c r="ON11" s="11" t="s">
        <v>37</v>
      </c>
      <c r="OO11" s="11" t="s">
        <v>37</v>
      </c>
      <c r="OP11" s="11" t="s">
        <v>37</v>
      </c>
      <c r="OQ11" s="11" t="s">
        <v>37</v>
      </c>
      <c r="OR11" s="11" t="s">
        <v>37</v>
      </c>
      <c r="OW11" s="11" t="s">
        <v>37</v>
      </c>
      <c r="OX11" s="11" t="s">
        <v>37</v>
      </c>
      <c r="OY11" s="13" t="s">
        <v>37</v>
      </c>
      <c r="OZ11" s="11" t="s">
        <v>37</v>
      </c>
      <c r="PA11" s="11" t="s">
        <v>37</v>
      </c>
      <c r="PB11" s="13" t="s">
        <v>37</v>
      </c>
      <c r="PG11" s="11" t="s">
        <v>37</v>
      </c>
      <c r="PH11" s="11" t="s">
        <v>37</v>
      </c>
      <c r="PI11" s="13" t="s">
        <v>37</v>
      </c>
      <c r="PJ11" s="11" t="s">
        <v>37</v>
      </c>
      <c r="PK11" s="11" t="s">
        <v>37</v>
      </c>
      <c r="PL11" s="13" t="s">
        <v>37</v>
      </c>
      <c r="PQ11" s="11" t="s">
        <v>37</v>
      </c>
      <c r="PR11" s="11" t="s">
        <v>37</v>
      </c>
      <c r="PS11" s="13" t="s">
        <v>37</v>
      </c>
      <c r="PT11" s="11" t="s">
        <v>37</v>
      </c>
      <c r="PU11" s="11" t="s">
        <v>37</v>
      </c>
      <c r="PV11" s="13" t="s">
        <v>37</v>
      </c>
      <c r="PZ11" s="11" t="s">
        <v>37</v>
      </c>
      <c r="QA11" s="11" t="s">
        <v>37</v>
      </c>
      <c r="QB11" s="11" t="s">
        <v>37</v>
      </c>
      <c r="QD11" s="11" t="s">
        <v>37</v>
      </c>
      <c r="QE11" s="11" t="s">
        <v>37</v>
      </c>
      <c r="QF11" s="13" t="s">
        <v>37</v>
      </c>
      <c r="QK11" s="11" t="s">
        <v>37</v>
      </c>
      <c r="QL11" s="11" t="s">
        <v>37</v>
      </c>
      <c r="QM11" s="13" t="s">
        <v>37</v>
      </c>
      <c r="QN11" s="11" t="s">
        <v>37</v>
      </c>
      <c r="QO11" s="11" t="s">
        <v>37</v>
      </c>
      <c r="QP11" s="13" t="s">
        <v>37</v>
      </c>
      <c r="QU11" s="11" t="s">
        <v>37</v>
      </c>
      <c r="QV11" s="11" t="s">
        <v>37</v>
      </c>
      <c r="QW11" s="13" t="s">
        <v>37</v>
      </c>
      <c r="QX11" s="11" t="s">
        <v>37</v>
      </c>
      <c r="QY11" s="11" t="s">
        <v>37</v>
      </c>
      <c r="QZ11" s="13" t="s">
        <v>37</v>
      </c>
      <c r="RC11" s="12" t="s">
        <v>37</v>
      </c>
      <c r="RD11" s="12" t="s">
        <v>37</v>
      </c>
      <c r="RE11" s="13" t="s">
        <v>37</v>
      </c>
      <c r="RF11" s="12" t="s">
        <v>37</v>
      </c>
      <c r="RG11" s="12" t="s">
        <v>37</v>
      </c>
      <c r="RH11" s="13" t="s">
        <v>37</v>
      </c>
      <c r="RK11" s="11" t="s">
        <v>37</v>
      </c>
      <c r="RL11" s="11" t="s">
        <v>37</v>
      </c>
      <c r="RM11" s="11" t="s">
        <v>37</v>
      </c>
      <c r="RN11" s="11" t="s">
        <v>37</v>
      </c>
      <c r="RO11" s="11" t="s">
        <v>37</v>
      </c>
      <c r="RP11" s="11" t="s">
        <v>37</v>
      </c>
      <c r="RS11" s="11" t="s">
        <v>37</v>
      </c>
      <c r="RT11" s="11" t="s">
        <v>37</v>
      </c>
      <c r="RU11" s="11" t="s">
        <v>37</v>
      </c>
      <c r="RV11" s="11" t="s">
        <v>37</v>
      </c>
      <c r="RW11" s="11" t="s">
        <v>37</v>
      </c>
      <c r="RX11" s="11" t="s">
        <v>37</v>
      </c>
      <c r="SA11" s="11" t="s">
        <v>37</v>
      </c>
      <c r="SB11" s="11" t="s">
        <v>37</v>
      </c>
      <c r="SC11" s="13" t="s">
        <v>37</v>
      </c>
      <c r="SD11" s="11" t="s">
        <v>37</v>
      </c>
      <c r="SE11" s="11" t="s">
        <v>37</v>
      </c>
      <c r="SF11" s="13" t="s">
        <v>37</v>
      </c>
      <c r="SI11" s="12" t="s">
        <v>37</v>
      </c>
      <c r="SJ11" s="11" t="s">
        <v>37</v>
      </c>
      <c r="SK11" s="13" t="s">
        <v>37</v>
      </c>
      <c r="SM11" s="11" t="s">
        <v>37</v>
      </c>
      <c r="SN11" s="11" t="s">
        <v>37</v>
      </c>
      <c r="SO11" s="13" t="s">
        <v>37</v>
      </c>
      <c r="SU11" s="12" t="s">
        <v>37</v>
      </c>
      <c r="SV11" s="12" t="s">
        <v>37</v>
      </c>
      <c r="SW11" s="11" t="s">
        <v>37</v>
      </c>
      <c r="SX11" s="12" t="s">
        <v>37</v>
      </c>
      <c r="SY11" s="12" t="s">
        <v>37</v>
      </c>
      <c r="SZ11" s="11" t="s">
        <v>37</v>
      </c>
      <c r="TE11" s="12" t="s">
        <v>37</v>
      </c>
      <c r="TF11" s="12" t="s">
        <v>37</v>
      </c>
      <c r="TG11" s="11" t="s">
        <v>37</v>
      </c>
      <c r="TH11" s="12" t="s">
        <v>37</v>
      </c>
      <c r="TI11" s="12" t="s">
        <v>37</v>
      </c>
      <c r="TJ11" s="11" t="s">
        <v>37</v>
      </c>
      <c r="TO11" s="12" t="s">
        <v>37</v>
      </c>
      <c r="TP11" s="12" t="s">
        <v>37</v>
      </c>
      <c r="TQ11" s="11" t="s">
        <v>37</v>
      </c>
      <c r="TR11" s="12" t="s">
        <v>37</v>
      </c>
      <c r="TS11" s="12" t="s">
        <v>37</v>
      </c>
      <c r="TT11" s="11" t="s">
        <v>37</v>
      </c>
      <c r="TY11" s="12" t="s">
        <v>37</v>
      </c>
      <c r="TZ11" s="12" t="s">
        <v>37</v>
      </c>
      <c r="UA11" s="11" t="s">
        <v>37</v>
      </c>
      <c r="UB11" s="12" t="s">
        <v>37</v>
      </c>
      <c r="UC11" s="12" t="s">
        <v>37</v>
      </c>
      <c r="UD11" s="11" t="s">
        <v>37</v>
      </c>
      <c r="UI11" s="12" t="s">
        <v>37</v>
      </c>
      <c r="UJ11" s="12" t="s">
        <v>37</v>
      </c>
      <c r="UK11" s="13" t="s">
        <v>37</v>
      </c>
      <c r="UL11" s="12" t="s">
        <v>37</v>
      </c>
      <c r="UM11" s="12" t="s">
        <v>37</v>
      </c>
      <c r="UN11" s="13" t="s">
        <v>37</v>
      </c>
      <c r="UR11" s="12" t="s">
        <v>37</v>
      </c>
      <c r="US11" s="12" t="s">
        <v>37</v>
      </c>
      <c r="UT11" s="13" t="s">
        <v>37</v>
      </c>
      <c r="UU11" s="12" t="s">
        <v>37</v>
      </c>
      <c r="UV11" s="12" t="s">
        <v>37</v>
      </c>
      <c r="UW11" s="13" t="s">
        <v>37</v>
      </c>
      <c r="VB11" s="12" t="s">
        <v>37</v>
      </c>
      <c r="VC11" s="12" t="s">
        <v>37</v>
      </c>
      <c r="VD11" s="13" t="s">
        <v>37</v>
      </c>
      <c r="VE11" s="12" t="s">
        <v>37</v>
      </c>
      <c r="VF11" s="12" t="s">
        <v>37</v>
      </c>
      <c r="VG11" s="13" t="s">
        <v>37</v>
      </c>
      <c r="VI11" s="12" t="s">
        <v>37</v>
      </c>
      <c r="VJ11" s="12" t="s">
        <v>37</v>
      </c>
      <c r="VK11" s="13" t="s">
        <v>37</v>
      </c>
      <c r="VL11" s="12" t="s">
        <v>37</v>
      </c>
      <c r="VM11" s="12" t="s">
        <v>37</v>
      </c>
      <c r="VN11" s="13" t="s">
        <v>37</v>
      </c>
      <c r="VO11" s="12" t="s">
        <v>37</v>
      </c>
      <c r="VQ11" s="12" t="s">
        <v>37</v>
      </c>
      <c r="VR11" s="12" t="s">
        <v>37</v>
      </c>
      <c r="VS11" s="12" t="s">
        <v>37</v>
      </c>
      <c r="VT11" s="12" t="s">
        <v>37</v>
      </c>
      <c r="VU11" s="12" t="s">
        <v>37</v>
      </c>
      <c r="VV11" s="12" t="s">
        <v>37</v>
      </c>
      <c r="VW11" s="12"/>
      <c r="VX11" s="12"/>
      <c r="WA11" s="13" t="s">
        <v>37</v>
      </c>
      <c r="WB11" s="13" t="s">
        <v>37</v>
      </c>
      <c r="WC11" s="13" t="s">
        <v>37</v>
      </c>
      <c r="WD11" s="13" t="s">
        <v>37</v>
      </c>
      <c r="WE11" s="13" t="s">
        <v>37</v>
      </c>
      <c r="WF11" s="13" t="s">
        <v>37</v>
      </c>
    </row>
    <row r="12" spans="1:606" ht="18" customHeight="1" x14ac:dyDescent="0.3">
      <c r="A12" s="11">
        <v>2</v>
      </c>
      <c r="B12" s="12" t="s">
        <v>52</v>
      </c>
      <c r="C12" s="12" t="s">
        <v>26</v>
      </c>
      <c r="D12" s="12" t="s">
        <v>54</v>
      </c>
      <c r="E12" s="39" t="s">
        <v>37</v>
      </c>
      <c r="F12" s="14">
        <v>0</v>
      </c>
      <c r="G12" s="14">
        <v>0</v>
      </c>
      <c r="H12" s="12" t="s">
        <v>79</v>
      </c>
      <c r="I12" s="29">
        <v>48.064999999999998</v>
      </c>
      <c r="J12" s="29">
        <v>128.51</v>
      </c>
      <c r="K12" s="12" t="s">
        <v>688</v>
      </c>
      <c r="L12" s="12" t="s">
        <v>689</v>
      </c>
      <c r="M12" s="13" t="s">
        <v>48</v>
      </c>
      <c r="N12" s="14">
        <v>0.4</v>
      </c>
      <c r="O12" s="14">
        <v>630</v>
      </c>
      <c r="P12" s="14" t="s">
        <v>16</v>
      </c>
      <c r="Q12" s="75">
        <v>20</v>
      </c>
      <c r="R12" s="11" t="s">
        <v>37</v>
      </c>
      <c r="S12" s="12" t="s">
        <v>51</v>
      </c>
      <c r="T12" s="12" t="s">
        <v>876</v>
      </c>
      <c r="U12" s="12" t="s">
        <v>163</v>
      </c>
      <c r="V12" s="12" t="s">
        <v>275</v>
      </c>
      <c r="W12" s="23" t="s">
        <v>38</v>
      </c>
      <c r="X12" s="12" t="s">
        <v>280</v>
      </c>
      <c r="Y12" s="12" t="s">
        <v>68</v>
      </c>
      <c r="Z12" s="12" t="s">
        <v>37</v>
      </c>
      <c r="AB12" s="12" t="s">
        <v>37</v>
      </c>
      <c r="AE12" s="12" t="s">
        <v>37</v>
      </c>
      <c r="AH12" s="12" t="s">
        <v>37</v>
      </c>
      <c r="AK12" s="12" t="s">
        <v>37</v>
      </c>
      <c r="AL12" s="32" t="s">
        <v>485</v>
      </c>
      <c r="AM12" s="12" t="s">
        <v>317</v>
      </c>
      <c r="AN12" s="32" t="s">
        <v>878</v>
      </c>
      <c r="AO12" s="12" t="s">
        <v>37</v>
      </c>
      <c r="AP12" s="12" t="s">
        <v>602</v>
      </c>
      <c r="AQ12" s="12" t="s">
        <v>975</v>
      </c>
      <c r="AT12" s="12" t="s">
        <v>326</v>
      </c>
      <c r="AU12" s="12" t="s">
        <v>326</v>
      </c>
      <c r="AV12" s="13" t="s">
        <v>326</v>
      </c>
      <c r="AX12" s="12" t="s">
        <v>326</v>
      </c>
      <c r="AY12" s="12" t="s">
        <v>326</v>
      </c>
      <c r="AZ12" s="13" t="s">
        <v>326</v>
      </c>
      <c r="BE12" s="12" t="s">
        <v>326</v>
      </c>
      <c r="BF12" s="12" t="s">
        <v>326</v>
      </c>
      <c r="BG12" s="12" t="s">
        <v>326</v>
      </c>
      <c r="BI12" s="12" t="s">
        <v>326</v>
      </c>
      <c r="BJ12" s="12" t="s">
        <v>326</v>
      </c>
      <c r="BK12" s="12" t="s">
        <v>326</v>
      </c>
      <c r="BP12" s="12" t="s">
        <v>37</v>
      </c>
      <c r="BQ12" s="12" t="s">
        <v>37</v>
      </c>
      <c r="BR12" s="13" t="s">
        <v>37</v>
      </c>
      <c r="BT12" s="12" t="s">
        <v>37</v>
      </c>
      <c r="BU12" s="12" t="s">
        <v>37</v>
      </c>
      <c r="BV12" s="12" t="s">
        <v>37</v>
      </c>
      <c r="CA12" s="12" t="s">
        <v>37</v>
      </c>
      <c r="CB12" s="12" t="s">
        <v>37</v>
      </c>
      <c r="CC12" s="13" t="s">
        <v>37</v>
      </c>
      <c r="CE12" s="12" t="s">
        <v>37</v>
      </c>
      <c r="CF12" s="12" t="s">
        <v>37</v>
      </c>
      <c r="CG12" s="13" t="s">
        <v>37</v>
      </c>
      <c r="CI12" s="52"/>
      <c r="CJ12" s="12"/>
      <c r="CK12" s="73"/>
      <c r="CL12" s="73"/>
      <c r="CN12" s="12" t="s">
        <v>37</v>
      </c>
      <c r="CO12" s="12" t="s">
        <v>37</v>
      </c>
      <c r="CP12" s="13" t="s">
        <v>37</v>
      </c>
      <c r="CR12" s="12" t="s">
        <v>37</v>
      </c>
      <c r="CS12" s="12" t="s">
        <v>37</v>
      </c>
      <c r="CT12" s="13" t="s">
        <v>37</v>
      </c>
      <c r="CV12" s="52"/>
      <c r="CW12" s="52"/>
      <c r="CX12" s="73"/>
      <c r="CY12" s="73"/>
      <c r="DA12" s="12" t="s">
        <v>37</v>
      </c>
      <c r="DB12" s="12" t="s">
        <v>37</v>
      </c>
      <c r="DC12" s="13" t="s">
        <v>37</v>
      </c>
      <c r="DE12" s="12" t="s">
        <v>37</v>
      </c>
      <c r="DF12" s="12" t="s">
        <v>37</v>
      </c>
      <c r="DG12" s="13" t="s">
        <v>37</v>
      </c>
      <c r="DI12" s="52"/>
      <c r="DJ12" s="52"/>
      <c r="DK12" s="73"/>
      <c r="DL12" s="73"/>
      <c r="DM12" s="15" t="s">
        <v>47</v>
      </c>
      <c r="DN12" s="19">
        <f>45.03*("2014/10/28"-"2014/5/8")*10^4/10^6/'[1]classes-1'!$I$6</f>
        <v>80.930473720608589</v>
      </c>
      <c r="DO12" s="12">
        <f t="shared" ref="DO12:DO13" si="15">DO11</f>
        <v>80.92749494901247</v>
      </c>
      <c r="DP12" s="13">
        <v>3</v>
      </c>
      <c r="DQ12" s="19">
        <f t="shared" si="7"/>
        <v>0.99996319344915241</v>
      </c>
      <c r="DR12" s="52">
        <f>-1.75*("2014/10/28"-"2014/5/8")*10^4/10^6/'[1]classes-1'!$I$7</f>
        <v>-2.9015044386833213</v>
      </c>
      <c r="DS12" s="15">
        <f>SQRT((1/[2]Classes!$I$7)^2*(1.15*("2014/10/28"-"2014/5/8")*10^4/10^6)^2+(-DR12/([2]Classes!$I$7)^2)^2*([2]Classes!$J$7)^2)</f>
        <v>2.2386157093008641</v>
      </c>
      <c r="DT12" s="18">
        <v>3</v>
      </c>
      <c r="DU12" s="19">
        <f t="shared" si="8"/>
        <v>0.77153620013648139</v>
      </c>
      <c r="DV12" s="19">
        <f t="shared" si="3"/>
        <v>-83.831978159291907</v>
      </c>
      <c r="DW12" s="12">
        <f t="shared" si="4"/>
        <v>57.24626991785739</v>
      </c>
      <c r="DX12" s="72">
        <f t="shared" si="5"/>
        <v>2184.756946338789</v>
      </c>
      <c r="DY12" s="72">
        <f t="shared" si="6"/>
        <v>2184.756946338789</v>
      </c>
      <c r="DZ12" s="15" t="s">
        <v>47</v>
      </c>
      <c r="EA12" s="52">
        <f>(0.09*("2014/10/28"-"2014/5/8")*10^4/10^6)/'[3]classess-1'!$I$12</f>
        <v>0.10912682734488738</v>
      </c>
      <c r="EB12" s="52">
        <f t="shared" ref="EB12:EB13" si="16">EB11</f>
        <v>0.23951135746402341</v>
      </c>
      <c r="EC12" s="73">
        <v>3</v>
      </c>
      <c r="ED12" s="52">
        <f>EB12/ABS(EA12)</f>
        <v>2.1947981380148187</v>
      </c>
      <c r="EE12" s="52">
        <f>(0.61*("2014/10/28"-"2014/5/8")*10^4/10^6)/'[3]classess-1'!$I$13</f>
        <v>1.6305394767095169</v>
      </c>
      <c r="EF12" s="52">
        <f>SQRT((1/[5]Classess!$I$13)^2*(0.3*("2014/10/28"-"2014/5/8")*10^4/10^6)^2+(-EE12/([5]Classess!$I$13)^2)^2*([5]Classess!$J$13)^2)</f>
        <v>0.96616422362470822</v>
      </c>
      <c r="EG12" s="18">
        <v>3</v>
      </c>
      <c r="EH12" s="52">
        <f t="shared" si="9"/>
        <v>0.59254267524663673</v>
      </c>
      <c r="EI12" s="19">
        <f t="shared" si="11"/>
        <v>1.5214126493646296</v>
      </c>
      <c r="EJ12" s="12">
        <f t="shared" si="12"/>
        <v>0.703860425569798</v>
      </c>
      <c r="EK12" s="19">
        <f t="shared" si="13"/>
        <v>0.33027966578886481</v>
      </c>
      <c r="EL12" s="19">
        <f t="shared" si="14"/>
        <v>0.33027966578886481</v>
      </c>
      <c r="EN12" s="11" t="s">
        <v>37</v>
      </c>
      <c r="EO12" s="11" t="s">
        <v>37</v>
      </c>
      <c r="EP12" s="13" t="s">
        <v>37</v>
      </c>
      <c r="ER12" s="11" t="s">
        <v>37</v>
      </c>
      <c r="ES12" s="11" t="s">
        <v>37</v>
      </c>
      <c r="ET12" s="13" t="s">
        <v>37</v>
      </c>
      <c r="FB12" s="11" t="s">
        <v>37</v>
      </c>
      <c r="FC12" s="11" t="s">
        <v>37</v>
      </c>
      <c r="FD12" s="11" t="s">
        <v>37</v>
      </c>
      <c r="FE12" s="12" t="s">
        <v>37</v>
      </c>
      <c r="FF12" s="20" t="s">
        <v>37</v>
      </c>
      <c r="FG12" s="11" t="s">
        <v>37</v>
      </c>
      <c r="FI12" s="11" t="s">
        <v>37</v>
      </c>
      <c r="FJ12" s="11" t="s">
        <v>37</v>
      </c>
      <c r="FK12" s="11" t="s">
        <v>37</v>
      </c>
      <c r="FL12" s="13" t="s">
        <v>37</v>
      </c>
      <c r="FM12" s="11" t="s">
        <v>37</v>
      </c>
      <c r="FN12" s="11" t="s">
        <v>37</v>
      </c>
      <c r="FP12" s="11" t="s">
        <v>37</v>
      </c>
      <c r="FQ12" s="11" t="s">
        <v>37</v>
      </c>
      <c r="FR12" s="11" t="s">
        <v>37</v>
      </c>
      <c r="FS12" s="13" t="s">
        <v>37</v>
      </c>
      <c r="FT12" s="11" t="s">
        <v>37</v>
      </c>
      <c r="FU12" s="11" t="s">
        <v>37</v>
      </c>
      <c r="FW12" s="11" t="s">
        <v>37</v>
      </c>
      <c r="FX12" s="11" t="s">
        <v>37</v>
      </c>
      <c r="FY12" s="11" t="s">
        <v>37</v>
      </c>
      <c r="FZ12" s="13" t="s">
        <v>37</v>
      </c>
      <c r="GA12" s="11" t="s">
        <v>37</v>
      </c>
      <c r="GB12" s="11" t="s">
        <v>37</v>
      </c>
      <c r="GE12" s="11"/>
      <c r="GF12" s="11"/>
      <c r="GI12" s="11"/>
      <c r="GJ12" s="11"/>
      <c r="GQ12" s="11"/>
      <c r="GR12" s="11"/>
      <c r="GU12" s="11"/>
      <c r="GV12" s="11"/>
      <c r="HD12" s="11"/>
      <c r="HG12" s="11"/>
      <c r="HH12" s="11"/>
      <c r="HX12" s="32"/>
      <c r="IK12" s="12" t="s">
        <v>37</v>
      </c>
      <c r="IL12" s="12" t="s">
        <v>37</v>
      </c>
      <c r="IM12" s="13" t="s">
        <v>37</v>
      </c>
      <c r="IO12" s="12" t="s">
        <v>37</v>
      </c>
      <c r="IP12" s="12" t="s">
        <v>37</v>
      </c>
      <c r="IQ12" s="13" t="s">
        <v>37</v>
      </c>
      <c r="IW12" s="12" t="s">
        <v>37</v>
      </c>
      <c r="IX12" s="11" t="s">
        <v>37</v>
      </c>
      <c r="IY12" s="13" t="s">
        <v>37</v>
      </c>
      <c r="JA12" s="11" t="s">
        <v>37</v>
      </c>
      <c r="JB12" s="11" t="s">
        <v>37</v>
      </c>
      <c r="JC12" s="13" t="s">
        <v>37</v>
      </c>
      <c r="JH12" s="12" t="s">
        <v>37</v>
      </c>
      <c r="JI12" s="12" t="s">
        <v>37</v>
      </c>
      <c r="JJ12" s="13" t="s">
        <v>37</v>
      </c>
      <c r="JL12" s="12" t="s">
        <v>37</v>
      </c>
      <c r="JM12" s="12" t="s">
        <v>37</v>
      </c>
      <c r="JN12" s="12" t="s">
        <v>37</v>
      </c>
      <c r="JS12" s="12" t="s">
        <v>37</v>
      </c>
      <c r="JT12" s="12" t="s">
        <v>37</v>
      </c>
      <c r="JU12" s="13" t="s">
        <v>37</v>
      </c>
      <c r="JW12" s="12" t="s">
        <v>37</v>
      </c>
      <c r="JX12" s="12" t="s">
        <v>37</v>
      </c>
      <c r="JY12" s="12" t="s">
        <v>37</v>
      </c>
      <c r="KE12" s="11" t="s">
        <v>37</v>
      </c>
      <c r="KF12" s="11" t="s">
        <v>37</v>
      </c>
      <c r="KG12" s="13" t="s">
        <v>37</v>
      </c>
      <c r="KH12" s="11" t="s">
        <v>37</v>
      </c>
      <c r="KI12" s="11" t="s">
        <v>37</v>
      </c>
      <c r="KJ12" s="11" t="s">
        <v>37</v>
      </c>
      <c r="KM12" s="12" t="s">
        <v>37</v>
      </c>
      <c r="KN12" s="11" t="s">
        <v>37</v>
      </c>
      <c r="KO12" s="11" t="s">
        <v>37</v>
      </c>
      <c r="KQ12" s="11" t="s">
        <v>37</v>
      </c>
      <c r="KR12" s="11" t="s">
        <v>37</v>
      </c>
      <c r="KS12" s="13" t="s">
        <v>37</v>
      </c>
      <c r="KX12" s="16" t="s">
        <v>37</v>
      </c>
      <c r="KY12" s="16" t="s">
        <v>37</v>
      </c>
      <c r="KZ12" s="13" t="s">
        <v>37</v>
      </c>
      <c r="LB12" s="16" t="s">
        <v>37</v>
      </c>
      <c r="LC12" s="16" t="s">
        <v>37</v>
      </c>
      <c r="LD12" s="13" t="s">
        <v>37</v>
      </c>
      <c r="LI12" s="12" t="s">
        <v>37</v>
      </c>
      <c r="LJ12" s="12" t="s">
        <v>37</v>
      </c>
      <c r="LK12" s="12" t="s">
        <v>37</v>
      </c>
      <c r="LM12" s="12" t="s">
        <v>37</v>
      </c>
      <c r="LN12" s="12" t="s">
        <v>37</v>
      </c>
      <c r="LO12" s="12" t="s">
        <v>37</v>
      </c>
      <c r="LU12" s="12" t="s">
        <v>37</v>
      </c>
      <c r="LV12" s="12" t="s">
        <v>37</v>
      </c>
      <c r="LW12" s="13" t="s">
        <v>37</v>
      </c>
      <c r="LY12" s="12" t="s">
        <v>37</v>
      </c>
      <c r="LZ12" s="12" t="s">
        <v>37</v>
      </c>
      <c r="MA12" s="11" t="s">
        <v>37</v>
      </c>
      <c r="MF12" s="12" t="s">
        <v>37</v>
      </c>
      <c r="MG12" s="12" t="s">
        <v>37</v>
      </c>
      <c r="MH12" s="12" t="s">
        <v>37</v>
      </c>
      <c r="MJ12" s="12" t="s">
        <v>37</v>
      </c>
      <c r="MK12" s="12" t="s">
        <v>37</v>
      </c>
      <c r="ML12" s="12" t="s">
        <v>37</v>
      </c>
      <c r="MQ12" s="12" t="s">
        <v>37</v>
      </c>
      <c r="MR12" s="12" t="s">
        <v>37</v>
      </c>
      <c r="MS12" s="12" t="s">
        <v>37</v>
      </c>
      <c r="MU12" s="12" t="s">
        <v>37</v>
      </c>
      <c r="MV12" s="12" t="s">
        <v>37</v>
      </c>
      <c r="MW12" s="12" t="s">
        <v>37</v>
      </c>
      <c r="NC12" s="11" t="s">
        <v>37</v>
      </c>
      <c r="ND12" s="11" t="s">
        <v>37</v>
      </c>
      <c r="NE12" s="13" t="s">
        <v>37</v>
      </c>
      <c r="NG12" s="11" t="s">
        <v>37</v>
      </c>
      <c r="NH12" s="11" t="s">
        <v>37</v>
      </c>
      <c r="NI12" s="13" t="s">
        <v>37</v>
      </c>
      <c r="NO12" s="11" t="s">
        <v>37</v>
      </c>
      <c r="NP12" s="11" t="s">
        <v>37</v>
      </c>
      <c r="NQ12" s="13" t="s">
        <v>37</v>
      </c>
      <c r="NS12" s="11" t="s">
        <v>37</v>
      </c>
      <c r="NT12" s="11" t="s">
        <v>37</v>
      </c>
      <c r="NU12" s="13" t="s">
        <v>37</v>
      </c>
      <c r="OA12" s="11" t="s">
        <v>37</v>
      </c>
      <c r="OB12" s="11" t="s">
        <v>37</v>
      </c>
      <c r="OC12" s="13" t="s">
        <v>37</v>
      </c>
      <c r="OE12" s="11" t="s">
        <v>37</v>
      </c>
      <c r="OF12" s="11" t="s">
        <v>37</v>
      </c>
      <c r="OG12" s="13" t="s">
        <v>37</v>
      </c>
      <c r="OM12" s="11" t="s">
        <v>37</v>
      </c>
      <c r="ON12" s="11" t="s">
        <v>37</v>
      </c>
      <c r="OO12" s="11" t="s">
        <v>37</v>
      </c>
      <c r="OP12" s="11" t="s">
        <v>37</v>
      </c>
      <c r="OQ12" s="11" t="s">
        <v>37</v>
      </c>
      <c r="OR12" s="11" t="s">
        <v>37</v>
      </c>
      <c r="OW12" s="11" t="s">
        <v>37</v>
      </c>
      <c r="OX12" s="11" t="s">
        <v>37</v>
      </c>
      <c r="OY12" s="13" t="s">
        <v>37</v>
      </c>
      <c r="OZ12" s="11" t="s">
        <v>37</v>
      </c>
      <c r="PA12" s="11" t="s">
        <v>37</v>
      </c>
      <c r="PB12" s="13" t="s">
        <v>37</v>
      </c>
      <c r="PG12" s="11" t="s">
        <v>37</v>
      </c>
      <c r="PH12" s="11" t="s">
        <v>37</v>
      </c>
      <c r="PI12" s="13" t="s">
        <v>37</v>
      </c>
      <c r="PJ12" s="11" t="s">
        <v>37</v>
      </c>
      <c r="PK12" s="11" t="s">
        <v>37</v>
      </c>
      <c r="PL12" s="13" t="s">
        <v>37</v>
      </c>
      <c r="PQ12" s="11" t="s">
        <v>37</v>
      </c>
      <c r="PR12" s="11" t="s">
        <v>37</v>
      </c>
      <c r="PS12" s="13" t="s">
        <v>37</v>
      </c>
      <c r="PT12" s="11" t="s">
        <v>37</v>
      </c>
      <c r="PU12" s="11" t="s">
        <v>37</v>
      </c>
      <c r="PV12" s="13" t="s">
        <v>37</v>
      </c>
      <c r="PZ12" s="11" t="s">
        <v>37</v>
      </c>
      <c r="QA12" s="11" t="s">
        <v>37</v>
      </c>
      <c r="QB12" s="11" t="s">
        <v>37</v>
      </c>
      <c r="QD12" s="11" t="s">
        <v>37</v>
      </c>
      <c r="QE12" s="11" t="s">
        <v>37</v>
      </c>
      <c r="QF12" s="13" t="s">
        <v>37</v>
      </c>
      <c r="QK12" s="11" t="s">
        <v>37</v>
      </c>
      <c r="QL12" s="11" t="s">
        <v>37</v>
      </c>
      <c r="QM12" s="13" t="s">
        <v>37</v>
      </c>
      <c r="QN12" s="11" t="s">
        <v>37</v>
      </c>
      <c r="QO12" s="11" t="s">
        <v>37</v>
      </c>
      <c r="QP12" s="13" t="s">
        <v>37</v>
      </c>
      <c r="QU12" s="11" t="s">
        <v>37</v>
      </c>
      <c r="QV12" s="11" t="s">
        <v>37</v>
      </c>
      <c r="QW12" s="13" t="s">
        <v>37</v>
      </c>
      <c r="QX12" s="11" t="s">
        <v>37</v>
      </c>
      <c r="QY12" s="11" t="s">
        <v>37</v>
      </c>
      <c r="QZ12" s="13" t="s">
        <v>37</v>
      </c>
      <c r="RC12" s="12" t="s">
        <v>37</v>
      </c>
      <c r="RD12" s="12" t="s">
        <v>37</v>
      </c>
      <c r="RE12" s="13" t="s">
        <v>37</v>
      </c>
      <c r="RF12" s="12" t="s">
        <v>37</v>
      </c>
      <c r="RG12" s="12" t="s">
        <v>37</v>
      </c>
      <c r="RH12" s="13" t="s">
        <v>37</v>
      </c>
      <c r="RK12" s="11" t="s">
        <v>37</v>
      </c>
      <c r="RL12" s="11" t="s">
        <v>37</v>
      </c>
      <c r="RM12" s="11" t="s">
        <v>37</v>
      </c>
      <c r="RN12" s="11" t="s">
        <v>37</v>
      </c>
      <c r="RO12" s="11" t="s">
        <v>37</v>
      </c>
      <c r="RP12" s="11" t="s">
        <v>37</v>
      </c>
      <c r="RS12" s="11" t="s">
        <v>37</v>
      </c>
      <c r="RT12" s="11" t="s">
        <v>37</v>
      </c>
      <c r="RU12" s="11" t="s">
        <v>37</v>
      </c>
      <c r="RV12" s="11" t="s">
        <v>37</v>
      </c>
      <c r="RW12" s="11" t="s">
        <v>37</v>
      </c>
      <c r="RX12" s="11" t="s">
        <v>37</v>
      </c>
      <c r="SA12" s="11" t="s">
        <v>37</v>
      </c>
      <c r="SB12" s="11" t="s">
        <v>37</v>
      </c>
      <c r="SC12" s="13" t="s">
        <v>37</v>
      </c>
      <c r="SD12" s="11" t="s">
        <v>37</v>
      </c>
      <c r="SE12" s="11" t="s">
        <v>37</v>
      </c>
      <c r="SF12" s="13" t="s">
        <v>37</v>
      </c>
      <c r="SI12" s="12" t="s">
        <v>37</v>
      </c>
      <c r="SJ12" s="11" t="s">
        <v>37</v>
      </c>
      <c r="SK12" s="13" t="s">
        <v>37</v>
      </c>
      <c r="SM12" s="11" t="s">
        <v>37</v>
      </c>
      <c r="SN12" s="11" t="s">
        <v>37</v>
      </c>
      <c r="SO12" s="13" t="s">
        <v>37</v>
      </c>
      <c r="SU12" s="12" t="s">
        <v>37</v>
      </c>
      <c r="SV12" s="12" t="s">
        <v>37</v>
      </c>
      <c r="SW12" s="11" t="s">
        <v>37</v>
      </c>
      <c r="SX12" s="12" t="s">
        <v>37</v>
      </c>
      <c r="SY12" s="12" t="s">
        <v>37</v>
      </c>
      <c r="SZ12" s="11" t="s">
        <v>37</v>
      </c>
      <c r="TE12" s="12" t="s">
        <v>37</v>
      </c>
      <c r="TF12" s="12" t="s">
        <v>37</v>
      </c>
      <c r="TG12" s="11" t="s">
        <v>37</v>
      </c>
      <c r="TH12" s="12" t="s">
        <v>37</v>
      </c>
      <c r="TI12" s="12" t="s">
        <v>37</v>
      </c>
      <c r="TJ12" s="11" t="s">
        <v>37</v>
      </c>
      <c r="TO12" s="12" t="s">
        <v>37</v>
      </c>
      <c r="TP12" s="12" t="s">
        <v>37</v>
      </c>
      <c r="TQ12" s="11" t="s">
        <v>37</v>
      </c>
      <c r="TR12" s="12" t="s">
        <v>37</v>
      </c>
      <c r="TS12" s="12" t="s">
        <v>37</v>
      </c>
      <c r="TT12" s="11" t="s">
        <v>37</v>
      </c>
      <c r="TY12" s="12" t="s">
        <v>37</v>
      </c>
      <c r="TZ12" s="12" t="s">
        <v>37</v>
      </c>
      <c r="UA12" s="11" t="s">
        <v>37</v>
      </c>
      <c r="UB12" s="12" t="s">
        <v>37</v>
      </c>
      <c r="UC12" s="12" t="s">
        <v>37</v>
      </c>
      <c r="UD12" s="11" t="s">
        <v>37</v>
      </c>
      <c r="UI12" s="12" t="s">
        <v>37</v>
      </c>
      <c r="UJ12" s="12" t="s">
        <v>37</v>
      </c>
      <c r="UK12" s="13" t="s">
        <v>37</v>
      </c>
      <c r="UL12" s="12" t="s">
        <v>37</v>
      </c>
      <c r="UM12" s="12" t="s">
        <v>37</v>
      </c>
      <c r="UN12" s="13" t="s">
        <v>37</v>
      </c>
      <c r="UR12" s="12" t="s">
        <v>37</v>
      </c>
      <c r="US12" s="12" t="s">
        <v>37</v>
      </c>
      <c r="UT12" s="13" t="s">
        <v>37</v>
      </c>
      <c r="UU12" s="12" t="s">
        <v>37</v>
      </c>
      <c r="UV12" s="12" t="s">
        <v>37</v>
      </c>
      <c r="UW12" s="13" t="s">
        <v>37</v>
      </c>
      <c r="VB12" s="12" t="s">
        <v>37</v>
      </c>
      <c r="VC12" s="12" t="s">
        <v>37</v>
      </c>
      <c r="VD12" s="13" t="s">
        <v>37</v>
      </c>
      <c r="VE12" s="12" t="s">
        <v>37</v>
      </c>
      <c r="VF12" s="12" t="s">
        <v>37</v>
      </c>
      <c r="VG12" s="13" t="s">
        <v>37</v>
      </c>
      <c r="VI12" s="12" t="s">
        <v>37</v>
      </c>
      <c r="VJ12" s="12" t="s">
        <v>37</v>
      </c>
      <c r="VK12" s="13" t="s">
        <v>37</v>
      </c>
      <c r="VL12" s="12" t="s">
        <v>37</v>
      </c>
      <c r="VM12" s="12" t="s">
        <v>37</v>
      </c>
      <c r="VN12" s="13" t="s">
        <v>37</v>
      </c>
      <c r="VO12" s="12" t="s">
        <v>37</v>
      </c>
      <c r="VQ12" s="12" t="s">
        <v>37</v>
      </c>
      <c r="VR12" s="12" t="s">
        <v>37</v>
      </c>
      <c r="VS12" s="12" t="s">
        <v>37</v>
      </c>
      <c r="VT12" s="12" t="s">
        <v>37</v>
      </c>
      <c r="VU12" s="12" t="s">
        <v>37</v>
      </c>
      <c r="VV12" s="12" t="s">
        <v>37</v>
      </c>
      <c r="VW12" s="12"/>
      <c r="VX12" s="12"/>
      <c r="WA12" s="13" t="s">
        <v>37</v>
      </c>
      <c r="WB12" s="13" t="s">
        <v>37</v>
      </c>
      <c r="WC12" s="13" t="s">
        <v>37</v>
      </c>
      <c r="WD12" s="13" t="s">
        <v>37</v>
      </c>
      <c r="WE12" s="13" t="s">
        <v>37</v>
      </c>
      <c r="WF12" s="13" t="s">
        <v>37</v>
      </c>
    </row>
    <row r="13" spans="1:606" ht="18" customHeight="1" x14ac:dyDescent="0.3">
      <c r="A13" s="11">
        <v>2</v>
      </c>
      <c r="B13" s="12" t="s">
        <v>52</v>
      </c>
      <c r="C13" s="12" t="s">
        <v>26</v>
      </c>
      <c r="D13" s="12" t="s">
        <v>54</v>
      </c>
      <c r="E13" s="39" t="s">
        <v>37</v>
      </c>
      <c r="F13" s="14">
        <v>0</v>
      </c>
      <c r="G13" s="14">
        <v>0</v>
      </c>
      <c r="H13" s="12" t="s">
        <v>79</v>
      </c>
      <c r="I13" s="29">
        <v>48.064999999999998</v>
      </c>
      <c r="J13" s="29">
        <v>128.51</v>
      </c>
      <c r="K13" s="12" t="s">
        <v>688</v>
      </c>
      <c r="L13" s="12" t="s">
        <v>689</v>
      </c>
      <c r="M13" s="13" t="s">
        <v>48</v>
      </c>
      <c r="N13" s="14">
        <v>0.4</v>
      </c>
      <c r="O13" s="14">
        <v>630</v>
      </c>
      <c r="P13" s="14" t="s">
        <v>16</v>
      </c>
      <c r="Q13" s="75">
        <v>20</v>
      </c>
      <c r="R13" s="11" t="s">
        <v>37</v>
      </c>
      <c r="S13" s="12" t="s">
        <v>51</v>
      </c>
      <c r="T13" s="12" t="s">
        <v>876</v>
      </c>
      <c r="U13" s="12" t="s">
        <v>334</v>
      </c>
      <c r="V13" s="12" t="s">
        <v>275</v>
      </c>
      <c r="W13" s="23" t="s">
        <v>38</v>
      </c>
      <c r="X13" s="12" t="s">
        <v>280</v>
      </c>
      <c r="Y13" s="12" t="s">
        <v>68</v>
      </c>
      <c r="Z13" s="12" t="s">
        <v>37</v>
      </c>
      <c r="AB13" s="12" t="s">
        <v>37</v>
      </c>
      <c r="AE13" s="12" t="s">
        <v>37</v>
      </c>
      <c r="AH13" s="12" t="s">
        <v>37</v>
      </c>
      <c r="AK13" s="12" t="s">
        <v>37</v>
      </c>
      <c r="AL13" s="32" t="s">
        <v>485</v>
      </c>
      <c r="AM13" s="12" t="s">
        <v>317</v>
      </c>
      <c r="AN13" s="32" t="s">
        <v>878</v>
      </c>
      <c r="AO13" s="12" t="s">
        <v>37</v>
      </c>
      <c r="AP13" s="12" t="s">
        <v>602</v>
      </c>
      <c r="AQ13" s="12" t="s">
        <v>975</v>
      </c>
      <c r="AT13" s="12" t="s">
        <v>326</v>
      </c>
      <c r="AU13" s="12" t="s">
        <v>326</v>
      </c>
      <c r="AV13" s="13" t="s">
        <v>326</v>
      </c>
      <c r="AX13" s="12" t="s">
        <v>326</v>
      </c>
      <c r="AY13" s="12" t="s">
        <v>326</v>
      </c>
      <c r="AZ13" s="13" t="s">
        <v>326</v>
      </c>
      <c r="BE13" s="12" t="s">
        <v>326</v>
      </c>
      <c r="BF13" s="12" t="s">
        <v>326</v>
      </c>
      <c r="BG13" s="12" t="s">
        <v>326</v>
      </c>
      <c r="BI13" s="12" t="s">
        <v>326</v>
      </c>
      <c r="BJ13" s="12" t="s">
        <v>326</v>
      </c>
      <c r="BK13" s="12" t="s">
        <v>326</v>
      </c>
      <c r="BP13" s="12" t="s">
        <v>37</v>
      </c>
      <c r="BQ13" s="12" t="s">
        <v>37</v>
      </c>
      <c r="BR13" s="13" t="s">
        <v>37</v>
      </c>
      <c r="BT13" s="12" t="s">
        <v>37</v>
      </c>
      <c r="BU13" s="12" t="s">
        <v>37</v>
      </c>
      <c r="BV13" s="12" t="s">
        <v>37</v>
      </c>
      <c r="CA13" s="12" t="s">
        <v>37</v>
      </c>
      <c r="CB13" s="12" t="s">
        <v>37</v>
      </c>
      <c r="CC13" s="13" t="s">
        <v>37</v>
      </c>
      <c r="CE13" s="12" t="s">
        <v>37</v>
      </c>
      <c r="CF13" s="12" t="s">
        <v>37</v>
      </c>
      <c r="CG13" s="13" t="s">
        <v>37</v>
      </c>
      <c r="CI13" s="52"/>
      <c r="CJ13" s="12"/>
      <c r="CK13" s="73"/>
      <c r="CL13" s="73"/>
      <c r="CN13" s="12" t="s">
        <v>37</v>
      </c>
      <c r="CO13" s="12" t="s">
        <v>37</v>
      </c>
      <c r="CP13" s="13" t="s">
        <v>37</v>
      </c>
      <c r="CR13" s="12" t="s">
        <v>37</v>
      </c>
      <c r="CS13" s="12" t="s">
        <v>37</v>
      </c>
      <c r="CT13" s="13" t="s">
        <v>37</v>
      </c>
      <c r="CV13" s="52"/>
      <c r="CW13" s="52"/>
      <c r="CX13" s="73"/>
      <c r="CY13" s="73"/>
      <c r="DA13" s="12" t="s">
        <v>37</v>
      </c>
      <c r="DB13" s="12" t="s">
        <v>37</v>
      </c>
      <c r="DC13" s="13" t="s">
        <v>37</v>
      </c>
      <c r="DE13" s="12" t="s">
        <v>37</v>
      </c>
      <c r="DF13" s="12" t="s">
        <v>37</v>
      </c>
      <c r="DG13" s="13" t="s">
        <v>37</v>
      </c>
      <c r="DI13" s="52"/>
      <c r="DJ13" s="52"/>
      <c r="DK13" s="73"/>
      <c r="DL13" s="73"/>
      <c r="DM13" s="15" t="s">
        <v>47</v>
      </c>
      <c r="DN13" s="19">
        <f>45.03*("2014/10/28"-"2014/5/8")*10^4/10^6/'[1]classes-1'!$I$8</f>
        <v>80.930473720608589</v>
      </c>
      <c r="DO13" s="12">
        <f t="shared" si="15"/>
        <v>80.92749494901247</v>
      </c>
      <c r="DP13" s="13">
        <v>3</v>
      </c>
      <c r="DQ13" s="19">
        <f t="shared" si="7"/>
        <v>0.99996319344915241</v>
      </c>
      <c r="DR13" s="52">
        <f>1.29*("2014/10/28"-"2014/5/8")*10^4/10^6/'[1]classes-1'!$I$9</f>
        <v>1.1401515151515151</v>
      </c>
      <c r="DS13" s="15">
        <f>SQRT((1/[2]Classes!$I$9)^2*(0.68*("2014/10/28"-"2014/5/8")*10^4/10^6)^2+(-DR13/([2]Classes!$I$9)^2)^2*([2]Classes!$J$9)^2)</f>
        <v>0.60565777356465134</v>
      </c>
      <c r="DT13" s="18">
        <v>3</v>
      </c>
      <c r="DU13" s="19">
        <f t="shared" si="8"/>
        <v>0.53120814691384699</v>
      </c>
      <c r="DV13" s="19">
        <f t="shared" si="3"/>
        <v>-79.790322205457073</v>
      </c>
      <c r="DW13" s="12">
        <f t="shared" si="4"/>
        <v>57.225982997503493</v>
      </c>
      <c r="DX13" s="72">
        <f t="shared" si="5"/>
        <v>2183.208753353706</v>
      </c>
      <c r="DY13" s="72">
        <f t="shared" si="6"/>
        <v>2183.208753353706</v>
      </c>
      <c r="DZ13" s="15" t="s">
        <v>47</v>
      </c>
      <c r="EA13" s="52">
        <f>(0.09*("2014/10/28"-"2014/5/8")*10^4/10^6)/'[3]classess-1'!$I$14</f>
        <v>0.10912682734488738</v>
      </c>
      <c r="EB13" s="52">
        <f t="shared" si="16"/>
        <v>0.23951135746402341</v>
      </c>
      <c r="EC13" s="73">
        <v>3</v>
      </c>
      <c r="ED13" s="52">
        <f t="shared" si="10"/>
        <v>2.1947981380148187</v>
      </c>
      <c r="EE13" s="52">
        <f>(0.79*("2014/10/28"-"2014/5/8")*10^4/10^6)/'[3]classess-1'!$I$15</f>
        <v>2.1116822731156044</v>
      </c>
      <c r="EF13" s="52">
        <f>SQRT((1/[5]Classess!$I$15)^2*(0.26*("2014/10/28"-"2014/5/8")*10^4/10^6)^2+(-EE13/([5]Classess!$I$15)^2)^2*([5]Classess!$J$15)^2)</f>
        <v>0.9849415206790767</v>
      </c>
      <c r="EG13" s="18">
        <v>3</v>
      </c>
      <c r="EH13" s="52">
        <f t="shared" si="9"/>
        <v>0.46642505514140664</v>
      </c>
      <c r="EI13" s="19">
        <f>EE13-EA13</f>
        <v>2.0025554457707169</v>
      </c>
      <c r="EJ13" s="12">
        <f t="shared" si="12"/>
        <v>0.71675501027613031</v>
      </c>
      <c r="EK13" s="19">
        <f t="shared" si="13"/>
        <v>0.34249182983729043</v>
      </c>
      <c r="EL13" s="19">
        <f t="shared" si="14"/>
        <v>0.34249182983729043</v>
      </c>
      <c r="EN13" s="11" t="s">
        <v>37</v>
      </c>
      <c r="EO13" s="11" t="s">
        <v>37</v>
      </c>
      <c r="EP13" s="13" t="s">
        <v>37</v>
      </c>
      <c r="ER13" s="11" t="s">
        <v>37</v>
      </c>
      <c r="ES13" s="11" t="s">
        <v>37</v>
      </c>
      <c r="ET13" s="13" t="s">
        <v>37</v>
      </c>
      <c r="FB13" s="11" t="s">
        <v>37</v>
      </c>
      <c r="FC13" s="11" t="s">
        <v>37</v>
      </c>
      <c r="FD13" s="11" t="s">
        <v>37</v>
      </c>
      <c r="FE13" s="12" t="s">
        <v>37</v>
      </c>
      <c r="FF13" s="20" t="s">
        <v>37</v>
      </c>
      <c r="FG13" s="11" t="s">
        <v>37</v>
      </c>
      <c r="FI13" s="11" t="s">
        <v>37</v>
      </c>
      <c r="FJ13" s="11" t="s">
        <v>37</v>
      </c>
      <c r="FK13" s="11" t="s">
        <v>37</v>
      </c>
      <c r="FL13" s="13" t="s">
        <v>37</v>
      </c>
      <c r="FM13" s="11" t="s">
        <v>37</v>
      </c>
      <c r="FN13" s="11" t="s">
        <v>37</v>
      </c>
      <c r="FP13" s="11" t="s">
        <v>37</v>
      </c>
      <c r="FQ13" s="11" t="s">
        <v>37</v>
      </c>
      <c r="FR13" s="11" t="s">
        <v>37</v>
      </c>
      <c r="FS13" s="13" t="s">
        <v>37</v>
      </c>
      <c r="FT13" s="11" t="s">
        <v>37</v>
      </c>
      <c r="FU13" s="11" t="s">
        <v>37</v>
      </c>
      <c r="FW13" s="11" t="s">
        <v>37</v>
      </c>
      <c r="FX13" s="11" t="s">
        <v>37</v>
      </c>
      <c r="FY13" s="11" t="s">
        <v>37</v>
      </c>
      <c r="FZ13" s="13" t="s">
        <v>37</v>
      </c>
      <c r="GA13" s="11" t="s">
        <v>37</v>
      </c>
      <c r="GB13" s="11" t="s">
        <v>37</v>
      </c>
      <c r="GE13" s="11"/>
      <c r="GF13" s="11"/>
      <c r="GI13" s="11"/>
      <c r="GJ13" s="11"/>
      <c r="GQ13" s="11"/>
      <c r="GR13" s="11"/>
      <c r="GU13" s="11"/>
      <c r="GV13" s="11"/>
      <c r="HD13" s="11"/>
      <c r="HG13" s="11"/>
      <c r="HH13" s="11"/>
      <c r="HX13" s="32"/>
      <c r="IK13" s="12" t="s">
        <v>37</v>
      </c>
      <c r="IL13" s="12" t="s">
        <v>37</v>
      </c>
      <c r="IM13" s="13" t="s">
        <v>37</v>
      </c>
      <c r="IO13" s="12" t="s">
        <v>37</v>
      </c>
      <c r="IP13" s="12" t="s">
        <v>37</v>
      </c>
      <c r="IQ13" s="13" t="s">
        <v>37</v>
      </c>
      <c r="IW13" s="12" t="s">
        <v>37</v>
      </c>
      <c r="IX13" s="11" t="s">
        <v>37</v>
      </c>
      <c r="IY13" s="13" t="s">
        <v>37</v>
      </c>
      <c r="JA13" s="11" t="s">
        <v>37</v>
      </c>
      <c r="JB13" s="11" t="s">
        <v>37</v>
      </c>
      <c r="JC13" s="13" t="s">
        <v>37</v>
      </c>
      <c r="JH13" s="12" t="s">
        <v>37</v>
      </c>
      <c r="JI13" s="12" t="s">
        <v>37</v>
      </c>
      <c r="JJ13" s="13" t="s">
        <v>37</v>
      </c>
      <c r="JL13" s="12" t="s">
        <v>37</v>
      </c>
      <c r="JM13" s="12" t="s">
        <v>37</v>
      </c>
      <c r="JN13" s="12" t="s">
        <v>37</v>
      </c>
      <c r="JS13" s="12" t="s">
        <v>37</v>
      </c>
      <c r="JT13" s="12" t="s">
        <v>37</v>
      </c>
      <c r="JU13" s="13" t="s">
        <v>37</v>
      </c>
      <c r="JW13" s="12" t="s">
        <v>37</v>
      </c>
      <c r="JX13" s="12" t="s">
        <v>37</v>
      </c>
      <c r="JY13" s="12" t="s">
        <v>37</v>
      </c>
      <c r="KE13" s="11" t="s">
        <v>37</v>
      </c>
      <c r="KF13" s="11" t="s">
        <v>37</v>
      </c>
      <c r="KG13" s="13" t="s">
        <v>37</v>
      </c>
      <c r="KH13" s="11" t="s">
        <v>37</v>
      </c>
      <c r="KI13" s="11" t="s">
        <v>37</v>
      </c>
      <c r="KJ13" s="11" t="s">
        <v>37</v>
      </c>
      <c r="KM13" s="12" t="s">
        <v>37</v>
      </c>
      <c r="KN13" s="11" t="s">
        <v>37</v>
      </c>
      <c r="KO13" s="11" t="s">
        <v>37</v>
      </c>
      <c r="KQ13" s="11" t="s">
        <v>37</v>
      </c>
      <c r="KR13" s="11" t="s">
        <v>37</v>
      </c>
      <c r="KS13" s="13" t="s">
        <v>37</v>
      </c>
      <c r="KX13" s="16" t="s">
        <v>37</v>
      </c>
      <c r="KY13" s="16" t="s">
        <v>37</v>
      </c>
      <c r="KZ13" s="13" t="s">
        <v>37</v>
      </c>
      <c r="LB13" s="16" t="s">
        <v>37</v>
      </c>
      <c r="LC13" s="16" t="s">
        <v>37</v>
      </c>
      <c r="LD13" s="13" t="s">
        <v>37</v>
      </c>
      <c r="LI13" s="12" t="s">
        <v>37</v>
      </c>
      <c r="LJ13" s="12" t="s">
        <v>37</v>
      </c>
      <c r="LK13" s="12" t="s">
        <v>37</v>
      </c>
      <c r="LM13" s="12" t="s">
        <v>37</v>
      </c>
      <c r="LN13" s="12" t="s">
        <v>37</v>
      </c>
      <c r="LO13" s="12" t="s">
        <v>37</v>
      </c>
      <c r="LU13" s="12" t="s">
        <v>37</v>
      </c>
      <c r="LV13" s="12" t="s">
        <v>37</v>
      </c>
      <c r="LW13" s="13" t="s">
        <v>37</v>
      </c>
      <c r="LY13" s="12" t="s">
        <v>37</v>
      </c>
      <c r="LZ13" s="12" t="s">
        <v>37</v>
      </c>
      <c r="MA13" s="11" t="s">
        <v>37</v>
      </c>
      <c r="MF13" s="12" t="s">
        <v>37</v>
      </c>
      <c r="MG13" s="12" t="s">
        <v>37</v>
      </c>
      <c r="MH13" s="12" t="s">
        <v>37</v>
      </c>
      <c r="MJ13" s="12" t="s">
        <v>37</v>
      </c>
      <c r="MK13" s="12" t="s">
        <v>37</v>
      </c>
      <c r="ML13" s="12" t="s">
        <v>37</v>
      </c>
      <c r="MQ13" s="12" t="s">
        <v>37</v>
      </c>
      <c r="MR13" s="12" t="s">
        <v>37</v>
      </c>
      <c r="MS13" s="12" t="s">
        <v>37</v>
      </c>
      <c r="MU13" s="12" t="s">
        <v>37</v>
      </c>
      <c r="MV13" s="12" t="s">
        <v>37</v>
      </c>
      <c r="MW13" s="12" t="s">
        <v>37</v>
      </c>
      <c r="NC13" s="11" t="s">
        <v>37</v>
      </c>
      <c r="ND13" s="11" t="s">
        <v>37</v>
      </c>
      <c r="NE13" s="13" t="s">
        <v>37</v>
      </c>
      <c r="NG13" s="11" t="s">
        <v>37</v>
      </c>
      <c r="NH13" s="11" t="s">
        <v>37</v>
      </c>
      <c r="NI13" s="13" t="s">
        <v>37</v>
      </c>
      <c r="NO13" s="11" t="s">
        <v>37</v>
      </c>
      <c r="NP13" s="11" t="s">
        <v>37</v>
      </c>
      <c r="NQ13" s="13" t="s">
        <v>37</v>
      </c>
      <c r="NS13" s="11" t="s">
        <v>37</v>
      </c>
      <c r="NT13" s="11" t="s">
        <v>37</v>
      </c>
      <c r="NU13" s="13" t="s">
        <v>37</v>
      </c>
      <c r="OA13" s="11" t="s">
        <v>37</v>
      </c>
      <c r="OB13" s="11" t="s">
        <v>37</v>
      </c>
      <c r="OC13" s="13" t="s">
        <v>37</v>
      </c>
      <c r="OE13" s="11" t="s">
        <v>37</v>
      </c>
      <c r="OF13" s="11" t="s">
        <v>37</v>
      </c>
      <c r="OG13" s="13" t="s">
        <v>37</v>
      </c>
      <c r="OM13" s="11" t="s">
        <v>37</v>
      </c>
      <c r="ON13" s="11" t="s">
        <v>37</v>
      </c>
      <c r="OO13" s="11" t="s">
        <v>37</v>
      </c>
      <c r="OP13" s="11" t="s">
        <v>37</v>
      </c>
      <c r="OQ13" s="11" t="s">
        <v>37</v>
      </c>
      <c r="OR13" s="11" t="s">
        <v>37</v>
      </c>
      <c r="OW13" s="11" t="s">
        <v>37</v>
      </c>
      <c r="OX13" s="11" t="s">
        <v>37</v>
      </c>
      <c r="OY13" s="13" t="s">
        <v>37</v>
      </c>
      <c r="OZ13" s="11" t="s">
        <v>37</v>
      </c>
      <c r="PA13" s="11" t="s">
        <v>37</v>
      </c>
      <c r="PB13" s="13" t="s">
        <v>37</v>
      </c>
      <c r="PG13" s="11" t="s">
        <v>37</v>
      </c>
      <c r="PH13" s="11" t="s">
        <v>37</v>
      </c>
      <c r="PI13" s="13" t="s">
        <v>37</v>
      </c>
      <c r="PJ13" s="11" t="s">
        <v>37</v>
      </c>
      <c r="PK13" s="11" t="s">
        <v>37</v>
      </c>
      <c r="PL13" s="13" t="s">
        <v>37</v>
      </c>
      <c r="PQ13" s="11" t="s">
        <v>37</v>
      </c>
      <c r="PR13" s="11" t="s">
        <v>37</v>
      </c>
      <c r="PS13" s="13" t="s">
        <v>37</v>
      </c>
      <c r="PT13" s="11" t="s">
        <v>37</v>
      </c>
      <c r="PU13" s="11" t="s">
        <v>37</v>
      </c>
      <c r="PV13" s="13" t="s">
        <v>37</v>
      </c>
      <c r="PZ13" s="11" t="s">
        <v>37</v>
      </c>
      <c r="QA13" s="11" t="s">
        <v>37</v>
      </c>
      <c r="QB13" s="11" t="s">
        <v>37</v>
      </c>
      <c r="QD13" s="11" t="s">
        <v>37</v>
      </c>
      <c r="QE13" s="11" t="s">
        <v>37</v>
      </c>
      <c r="QF13" s="13" t="s">
        <v>37</v>
      </c>
      <c r="QK13" s="11" t="s">
        <v>37</v>
      </c>
      <c r="QL13" s="11" t="s">
        <v>37</v>
      </c>
      <c r="QM13" s="13" t="s">
        <v>37</v>
      </c>
      <c r="QN13" s="11" t="s">
        <v>37</v>
      </c>
      <c r="QO13" s="11" t="s">
        <v>37</v>
      </c>
      <c r="QP13" s="13" t="s">
        <v>37</v>
      </c>
      <c r="QU13" s="11" t="s">
        <v>37</v>
      </c>
      <c r="QV13" s="11" t="s">
        <v>37</v>
      </c>
      <c r="QW13" s="13" t="s">
        <v>37</v>
      </c>
      <c r="QX13" s="11" t="s">
        <v>37</v>
      </c>
      <c r="QY13" s="11" t="s">
        <v>37</v>
      </c>
      <c r="QZ13" s="13" t="s">
        <v>37</v>
      </c>
      <c r="RC13" s="12" t="s">
        <v>37</v>
      </c>
      <c r="RD13" s="12" t="s">
        <v>37</v>
      </c>
      <c r="RE13" s="13" t="s">
        <v>37</v>
      </c>
      <c r="RF13" s="12" t="s">
        <v>37</v>
      </c>
      <c r="RG13" s="12" t="s">
        <v>37</v>
      </c>
      <c r="RH13" s="13" t="s">
        <v>37</v>
      </c>
      <c r="RK13" s="11" t="s">
        <v>37</v>
      </c>
      <c r="RL13" s="11" t="s">
        <v>37</v>
      </c>
      <c r="RM13" s="11" t="s">
        <v>37</v>
      </c>
      <c r="RN13" s="11" t="s">
        <v>37</v>
      </c>
      <c r="RO13" s="11" t="s">
        <v>37</v>
      </c>
      <c r="RP13" s="11" t="s">
        <v>37</v>
      </c>
      <c r="RS13" s="11" t="s">
        <v>37</v>
      </c>
      <c r="RT13" s="11" t="s">
        <v>37</v>
      </c>
      <c r="RU13" s="11" t="s">
        <v>37</v>
      </c>
      <c r="RV13" s="11" t="s">
        <v>37</v>
      </c>
      <c r="RW13" s="11" t="s">
        <v>37</v>
      </c>
      <c r="RX13" s="11" t="s">
        <v>37</v>
      </c>
      <c r="SA13" s="11" t="s">
        <v>37</v>
      </c>
      <c r="SB13" s="11" t="s">
        <v>37</v>
      </c>
      <c r="SC13" s="13" t="s">
        <v>37</v>
      </c>
      <c r="SD13" s="11" t="s">
        <v>37</v>
      </c>
      <c r="SE13" s="11" t="s">
        <v>37</v>
      </c>
      <c r="SF13" s="13" t="s">
        <v>37</v>
      </c>
      <c r="SI13" s="12" t="s">
        <v>37</v>
      </c>
      <c r="SJ13" s="11" t="s">
        <v>37</v>
      </c>
      <c r="SK13" s="13" t="s">
        <v>37</v>
      </c>
      <c r="SM13" s="11" t="s">
        <v>37</v>
      </c>
      <c r="SN13" s="11" t="s">
        <v>37</v>
      </c>
      <c r="SO13" s="13" t="s">
        <v>37</v>
      </c>
      <c r="SU13" s="12" t="s">
        <v>37</v>
      </c>
      <c r="SV13" s="12" t="s">
        <v>37</v>
      </c>
      <c r="SW13" s="11" t="s">
        <v>37</v>
      </c>
      <c r="SX13" s="12" t="s">
        <v>37</v>
      </c>
      <c r="SY13" s="12" t="s">
        <v>37</v>
      </c>
      <c r="SZ13" s="11" t="s">
        <v>37</v>
      </c>
      <c r="TE13" s="12" t="s">
        <v>37</v>
      </c>
      <c r="TF13" s="12" t="s">
        <v>37</v>
      </c>
      <c r="TG13" s="11" t="s">
        <v>37</v>
      </c>
      <c r="TH13" s="12" t="s">
        <v>37</v>
      </c>
      <c r="TI13" s="12" t="s">
        <v>37</v>
      </c>
      <c r="TJ13" s="11" t="s">
        <v>37</v>
      </c>
      <c r="TO13" s="12" t="s">
        <v>37</v>
      </c>
      <c r="TP13" s="12" t="s">
        <v>37</v>
      </c>
      <c r="TQ13" s="11" t="s">
        <v>37</v>
      </c>
      <c r="TR13" s="12" t="s">
        <v>37</v>
      </c>
      <c r="TS13" s="12" t="s">
        <v>37</v>
      </c>
      <c r="TT13" s="11" t="s">
        <v>37</v>
      </c>
      <c r="TY13" s="12" t="s">
        <v>37</v>
      </c>
      <c r="TZ13" s="12" t="s">
        <v>37</v>
      </c>
      <c r="UA13" s="11" t="s">
        <v>37</v>
      </c>
      <c r="UB13" s="12" t="s">
        <v>37</v>
      </c>
      <c r="UC13" s="12" t="s">
        <v>37</v>
      </c>
      <c r="UD13" s="11" t="s">
        <v>37</v>
      </c>
      <c r="UI13" s="12" t="s">
        <v>37</v>
      </c>
      <c r="UJ13" s="12" t="s">
        <v>37</v>
      </c>
      <c r="UK13" s="13" t="s">
        <v>37</v>
      </c>
      <c r="UL13" s="12" t="s">
        <v>37</v>
      </c>
      <c r="UM13" s="12" t="s">
        <v>37</v>
      </c>
      <c r="UN13" s="13" t="s">
        <v>37</v>
      </c>
      <c r="UR13" s="12" t="s">
        <v>37</v>
      </c>
      <c r="US13" s="12" t="s">
        <v>37</v>
      </c>
      <c r="UT13" s="13" t="s">
        <v>37</v>
      </c>
      <c r="UU13" s="12" t="s">
        <v>37</v>
      </c>
      <c r="UV13" s="12" t="s">
        <v>37</v>
      </c>
      <c r="UW13" s="13" t="s">
        <v>37</v>
      </c>
      <c r="VB13" s="12" t="s">
        <v>37</v>
      </c>
      <c r="VC13" s="12" t="s">
        <v>37</v>
      </c>
      <c r="VD13" s="13" t="s">
        <v>37</v>
      </c>
      <c r="VE13" s="12" t="s">
        <v>37</v>
      </c>
      <c r="VF13" s="12" t="s">
        <v>37</v>
      </c>
      <c r="VG13" s="13" t="s">
        <v>37</v>
      </c>
      <c r="VI13" s="12" t="s">
        <v>37</v>
      </c>
      <c r="VJ13" s="12" t="s">
        <v>37</v>
      </c>
      <c r="VK13" s="13" t="s">
        <v>37</v>
      </c>
      <c r="VL13" s="12" t="s">
        <v>37</v>
      </c>
      <c r="VM13" s="12" t="s">
        <v>37</v>
      </c>
      <c r="VN13" s="13" t="s">
        <v>37</v>
      </c>
      <c r="VO13" s="12" t="s">
        <v>37</v>
      </c>
      <c r="VQ13" s="12" t="s">
        <v>37</v>
      </c>
      <c r="VR13" s="12" t="s">
        <v>37</v>
      </c>
      <c r="VS13" s="12" t="s">
        <v>37</v>
      </c>
      <c r="VT13" s="12" t="s">
        <v>37</v>
      </c>
      <c r="VU13" s="12" t="s">
        <v>37</v>
      </c>
      <c r="VV13" s="12" t="s">
        <v>37</v>
      </c>
      <c r="VW13" s="12"/>
      <c r="VX13" s="12"/>
      <c r="WA13" s="13" t="s">
        <v>37</v>
      </c>
      <c r="WB13" s="13" t="s">
        <v>37</v>
      </c>
      <c r="WC13" s="13" t="s">
        <v>37</v>
      </c>
      <c r="WD13" s="13" t="s">
        <v>37</v>
      </c>
      <c r="WE13" s="13" t="s">
        <v>37</v>
      </c>
      <c r="WF13" s="13" t="s">
        <v>37</v>
      </c>
    </row>
    <row r="14" spans="1:606" ht="18" customHeight="1" x14ac:dyDescent="0.3">
      <c r="A14" s="11">
        <v>3</v>
      </c>
      <c r="B14" s="12" t="s">
        <v>57</v>
      </c>
      <c r="C14" s="12" t="s">
        <v>26</v>
      </c>
      <c r="D14" s="12" t="s">
        <v>1039</v>
      </c>
      <c r="E14" s="39" t="s">
        <v>37</v>
      </c>
      <c r="F14" s="14">
        <v>0</v>
      </c>
      <c r="G14" s="14">
        <v>0</v>
      </c>
      <c r="H14" s="12" t="s">
        <v>79</v>
      </c>
      <c r="I14" s="29">
        <v>33.92</v>
      </c>
      <c r="J14" s="29">
        <v>102.735</v>
      </c>
      <c r="K14" s="12" t="s">
        <v>59</v>
      </c>
      <c r="L14" s="12" t="s">
        <v>60</v>
      </c>
      <c r="M14" s="13">
        <v>3432</v>
      </c>
      <c r="N14" s="14">
        <v>0.9</v>
      </c>
      <c r="O14" s="14">
        <v>656.8</v>
      </c>
      <c r="P14" s="14" t="s">
        <v>16</v>
      </c>
      <c r="Q14" s="75">
        <v>40</v>
      </c>
      <c r="R14" s="11" t="s">
        <v>999</v>
      </c>
      <c r="S14" s="12" t="s">
        <v>85</v>
      </c>
      <c r="T14" s="12" t="s">
        <v>876</v>
      </c>
      <c r="U14" s="12" t="s">
        <v>158</v>
      </c>
      <c r="V14" s="12" t="s">
        <v>274</v>
      </c>
      <c r="W14" s="23" t="s">
        <v>924</v>
      </c>
      <c r="X14" s="12" t="s">
        <v>280</v>
      </c>
      <c r="Y14" s="12" t="s">
        <v>69</v>
      </c>
      <c r="Z14" s="12" t="s">
        <v>37</v>
      </c>
      <c r="AA14" s="32" t="s">
        <v>345</v>
      </c>
      <c r="AB14" s="12">
        <v>7.6</v>
      </c>
      <c r="AC14" s="12" t="s">
        <v>42</v>
      </c>
      <c r="AD14" s="32" t="s">
        <v>345</v>
      </c>
      <c r="AE14" s="15">
        <v>206.37</v>
      </c>
      <c r="AF14" s="12" t="s">
        <v>42</v>
      </c>
      <c r="AG14" s="32" t="s">
        <v>345</v>
      </c>
      <c r="AH14" s="12">
        <v>13.7</v>
      </c>
      <c r="AJ14" s="12" t="str">
        <f>AD14</f>
        <v>0-10</v>
      </c>
      <c r="AK14" s="19">
        <f>AE14/AH14</f>
        <v>15.063503649635038</v>
      </c>
      <c r="AL14" s="32" t="s">
        <v>486</v>
      </c>
      <c r="AM14" s="12" t="s">
        <v>317</v>
      </c>
      <c r="AN14" s="32" t="s">
        <v>880</v>
      </c>
      <c r="AO14" s="12" t="s">
        <v>37</v>
      </c>
      <c r="AP14" s="12" t="s">
        <v>108</v>
      </c>
      <c r="AQ14" s="12" t="s">
        <v>975</v>
      </c>
      <c r="AR14" s="12" t="s">
        <v>42</v>
      </c>
      <c r="AS14" s="32" t="s">
        <v>345</v>
      </c>
      <c r="AT14" s="15">
        <v>206.37</v>
      </c>
      <c r="AU14" s="15">
        <v>34.79</v>
      </c>
      <c r="AV14" s="18">
        <v>4</v>
      </c>
      <c r="AW14" s="52">
        <f>AU14/AT14</f>
        <v>0.16858070455977128</v>
      </c>
      <c r="AX14" s="15">
        <v>148.26</v>
      </c>
      <c r="AY14" s="15">
        <v>21.28</v>
      </c>
      <c r="AZ14" s="18">
        <v>4</v>
      </c>
      <c r="BA14" s="52">
        <f>AY14/AX14</f>
        <v>0.14353163361661947</v>
      </c>
      <c r="BB14" s="52">
        <f>LN(AX14/AT14)</f>
        <v>-0.33070318497745876</v>
      </c>
      <c r="BC14" s="19">
        <f>AY14^2/(AZ14*AX14^2)+AU14^2/(AV14*AT14^2)</f>
        <v>1.2255195949631096E-2</v>
      </c>
      <c r="BE14" s="12" t="s">
        <v>326</v>
      </c>
      <c r="BF14" s="12" t="s">
        <v>326</v>
      </c>
      <c r="BG14" s="12" t="s">
        <v>326</v>
      </c>
      <c r="BI14" s="12" t="s">
        <v>326</v>
      </c>
      <c r="BJ14" s="12" t="s">
        <v>326</v>
      </c>
      <c r="BK14" s="12" t="s">
        <v>326</v>
      </c>
      <c r="BP14" s="12" t="s">
        <v>37</v>
      </c>
      <c r="BQ14" s="12" t="s">
        <v>37</v>
      </c>
      <c r="BR14" s="13" t="s">
        <v>37</v>
      </c>
      <c r="BT14" s="12" t="s">
        <v>37</v>
      </c>
      <c r="BU14" s="12" t="s">
        <v>37</v>
      </c>
      <c r="BV14" s="12" t="s">
        <v>37</v>
      </c>
      <c r="CA14" s="12" t="s">
        <v>37</v>
      </c>
      <c r="CB14" s="12" t="s">
        <v>37</v>
      </c>
      <c r="CC14" s="13" t="s">
        <v>37</v>
      </c>
      <c r="CE14" s="12" t="s">
        <v>37</v>
      </c>
      <c r="CF14" s="12" t="s">
        <v>37</v>
      </c>
      <c r="CG14" s="13" t="s">
        <v>37</v>
      </c>
      <c r="CI14" s="52"/>
      <c r="CJ14" s="12"/>
      <c r="CK14" s="73"/>
      <c r="CL14" s="73"/>
      <c r="CN14" s="12" t="s">
        <v>37</v>
      </c>
      <c r="CO14" s="12" t="s">
        <v>37</v>
      </c>
      <c r="CP14" s="13" t="s">
        <v>37</v>
      </c>
      <c r="CR14" s="12" t="s">
        <v>37</v>
      </c>
      <c r="CS14" s="12" t="s">
        <v>37</v>
      </c>
      <c r="CT14" s="13" t="s">
        <v>37</v>
      </c>
      <c r="CV14" s="52"/>
      <c r="CW14" s="52"/>
      <c r="CX14" s="73"/>
      <c r="CY14" s="73"/>
      <c r="DA14" s="12" t="s">
        <v>37</v>
      </c>
      <c r="DB14" s="12" t="s">
        <v>37</v>
      </c>
      <c r="DC14" s="13" t="s">
        <v>37</v>
      </c>
      <c r="DE14" s="12" t="s">
        <v>37</v>
      </c>
      <c r="DF14" s="12" t="s">
        <v>37</v>
      </c>
      <c r="DG14" s="13" t="s">
        <v>37</v>
      </c>
      <c r="DI14" s="52"/>
      <c r="DJ14" s="52"/>
      <c r="DK14" s="73"/>
      <c r="DL14" s="73"/>
      <c r="DM14" s="15" t="s">
        <v>47</v>
      </c>
      <c r="DN14" s="52">
        <f>(33.7*0.55+23.02*0.45)*("2013/09/30"-"2013/05/01")*24*10^4/10^6/'[1]classes-1'!$I$10</f>
        <v>1212.2979432249506</v>
      </c>
      <c r="DO14" s="15">
        <f>SQRT((1/[2]Classes!$I$10)^2*(SQRT(0.55^2*5.36^2+0.45^2*2.74^2)*("2013/09/30"-"2013/05/01")*24*10^4/10^6)^2+(-DN14/([2]Classes!$I$10)^2)^2*([2]Classes!$J$10)^2)</f>
        <v>324.6860048502561</v>
      </c>
      <c r="DP14" s="18">
        <v>9</v>
      </c>
      <c r="DQ14" s="19">
        <f t="shared" si="7"/>
        <v>0.26782690399236969</v>
      </c>
      <c r="DR14" s="52">
        <f>0.13*("2013/09/30"-"2013/05/01")*24*10^4/10^6/'[1]classes-1'!$I$11</f>
        <v>4.8030530526021593</v>
      </c>
      <c r="DS14" s="15">
        <f>SQRT((1/[2]Classes!$I$11)^2*(0.02*("2013/09/30"-"2013/05/01")*24*10^4/10^6)^2+(-DR14/([2]Classes!$I$11)^2)^2*([2]Classes!$J$11)^2)</f>
        <v>10.100613157809143</v>
      </c>
      <c r="DT14" s="18">
        <v>9</v>
      </c>
      <c r="DU14" s="19">
        <f t="shared" si="8"/>
        <v>2.1029568166724526</v>
      </c>
      <c r="DV14" s="19">
        <f t="shared" si="3"/>
        <v>-1207.4948901723485</v>
      </c>
      <c r="DW14" s="12">
        <f t="shared" si="4"/>
        <v>229.69874197716476</v>
      </c>
      <c r="DX14" s="72">
        <f t="shared" si="5"/>
        <v>11724.780459087136</v>
      </c>
      <c r="DY14" s="72">
        <f t="shared" si="6"/>
        <v>11724.780459087138</v>
      </c>
      <c r="DZ14" s="15"/>
      <c r="EA14" s="52" t="s">
        <v>37</v>
      </c>
      <c r="EB14" s="52" t="s">
        <v>37</v>
      </c>
      <c r="EC14" s="73" t="s">
        <v>37</v>
      </c>
      <c r="ED14" s="52"/>
      <c r="EE14" s="52" t="s">
        <v>37</v>
      </c>
      <c r="EF14" s="52" t="s">
        <v>37</v>
      </c>
      <c r="EG14" s="15" t="s">
        <v>37</v>
      </c>
      <c r="EH14" s="52"/>
      <c r="EI14" s="52"/>
      <c r="EJ14" s="52"/>
      <c r="EK14" s="52"/>
      <c r="EL14" s="52"/>
      <c r="EM14" s="12" t="s">
        <v>39</v>
      </c>
      <c r="EN14" s="12">
        <f>3.4*0.55+21.2*0.45</f>
        <v>11.41</v>
      </c>
      <c r="EO14" s="12">
        <f>SQRT(4.86^2*0.45^2+0.55^2*4.05^2)</f>
        <v>3.1216542489519883</v>
      </c>
      <c r="EP14" s="13">
        <v>4</v>
      </c>
      <c r="EQ14" s="19">
        <f>EO14/ABS(EN14)</f>
        <v>0.27358932944364489</v>
      </c>
      <c r="ER14" s="12">
        <v>-91.8</v>
      </c>
      <c r="ES14" s="12">
        <v>9.6999999999999993</v>
      </c>
      <c r="ET14" s="13">
        <v>4</v>
      </c>
      <c r="EU14" s="19">
        <f>ES14/ABS(ER14)</f>
        <v>0.10566448801742918</v>
      </c>
      <c r="EV14" s="19">
        <f>ER14-EN14</f>
        <v>-103.21</v>
      </c>
      <c r="EW14" s="12">
        <f>SQRT(((EP14-1)*EO14^2+(ET14-1)*ES14^2)/(EP14+ET14-2))</f>
        <v>7.2053704016518125</v>
      </c>
      <c r="EX14" s="19">
        <f>(((EP14+ET14)/(EP14*ET14))*(((EP14-1)*EO14^2)+(ET14-1)*ES14^2)/(EP14+ET14-2))</f>
        <v>25.958681312500001</v>
      </c>
      <c r="EY14" s="19">
        <f>(EO14^2/EP14)+(ES14^2/ET14)</f>
        <v>25.958681312499998</v>
      </c>
      <c r="FB14" s="11" t="s">
        <v>37</v>
      </c>
      <c r="FC14" s="11" t="s">
        <v>37</v>
      </c>
      <c r="FD14" s="11" t="s">
        <v>37</v>
      </c>
      <c r="FE14" s="12" t="s">
        <v>37</v>
      </c>
      <c r="FF14" s="20" t="s">
        <v>37</v>
      </c>
      <c r="FG14" s="11" t="s">
        <v>37</v>
      </c>
      <c r="FI14" s="11" t="s">
        <v>37</v>
      </c>
      <c r="FJ14" s="11" t="s">
        <v>37</v>
      </c>
      <c r="FK14" s="11" t="s">
        <v>37</v>
      </c>
      <c r="FL14" s="13" t="s">
        <v>37</v>
      </c>
      <c r="FM14" s="11" t="s">
        <v>37</v>
      </c>
      <c r="FN14" s="11" t="s">
        <v>37</v>
      </c>
      <c r="FP14" s="11" t="s">
        <v>37</v>
      </c>
      <c r="FQ14" s="11" t="s">
        <v>37</v>
      </c>
      <c r="FR14" s="11" t="s">
        <v>37</v>
      </c>
      <c r="FS14" s="13" t="s">
        <v>37</v>
      </c>
      <c r="FT14" s="11" t="s">
        <v>37</v>
      </c>
      <c r="FU14" s="11" t="s">
        <v>37</v>
      </c>
      <c r="FW14" s="11" t="s">
        <v>37</v>
      </c>
      <c r="FX14" s="11" t="s">
        <v>37</v>
      </c>
      <c r="FY14" s="11" t="s">
        <v>37</v>
      </c>
      <c r="FZ14" s="13" t="s">
        <v>37</v>
      </c>
      <c r="GA14" s="11" t="s">
        <v>37</v>
      </c>
      <c r="GB14" s="11" t="s">
        <v>37</v>
      </c>
      <c r="GE14" s="11"/>
      <c r="GF14" s="11"/>
      <c r="GI14" s="11"/>
      <c r="GJ14" s="11"/>
      <c r="GO14" s="12" t="s">
        <v>660</v>
      </c>
      <c r="GP14" s="12" t="s">
        <v>330</v>
      </c>
      <c r="GQ14" s="12">
        <f>10.39*0.45+11.15*0.55</f>
        <v>10.808</v>
      </c>
      <c r="GR14" s="12">
        <f>SQRT(1.85^2*0.45^2+2.94^2*0.55^2)</f>
        <v>1.8187207729610393</v>
      </c>
      <c r="GS14" s="13">
        <v>4</v>
      </c>
      <c r="GT14" s="19">
        <f>GR14/GQ14</f>
        <v>0.16827542310890445</v>
      </c>
      <c r="GU14" s="12">
        <v>11.01</v>
      </c>
      <c r="GV14" s="12">
        <v>2.5099999999999998</v>
      </c>
      <c r="GW14" s="13">
        <v>4</v>
      </c>
      <c r="GX14" s="19">
        <f t="shared" ref="GX14:GX15" si="17">GV14/GU14</f>
        <v>0.22797456857402359</v>
      </c>
      <c r="GY14" s="19">
        <f t="shared" ref="GY14:GY15" si="18">LN(GU14/GQ14)</f>
        <v>1.8517350076690958E-2</v>
      </c>
      <c r="GZ14" s="19">
        <f t="shared" ref="GZ14:GZ29" si="19">GV14^2/(GW14*GU14^2)+GR14^2/(GS14*GQ14^2)</f>
        <v>2.0072255484748253E-2</v>
      </c>
      <c r="HA14" s="17" t="s">
        <v>63</v>
      </c>
      <c r="HB14" s="34" t="s">
        <v>345</v>
      </c>
      <c r="HC14" s="12">
        <v>0.31</v>
      </c>
      <c r="HD14" s="12">
        <v>6.8000000000000005E-2</v>
      </c>
      <c r="HE14" s="13">
        <v>4</v>
      </c>
      <c r="HF14" s="19">
        <f>HD14/HC14</f>
        <v>0.21935483870967742</v>
      </c>
      <c r="HG14" s="12">
        <v>0.498</v>
      </c>
      <c r="HH14" s="12">
        <v>2.1999999999999999E-2</v>
      </c>
      <c r="HI14" s="13">
        <v>4</v>
      </c>
      <c r="HJ14" s="19">
        <f>HH14/HG14</f>
        <v>4.4176706827309231E-2</v>
      </c>
      <c r="HK14" s="19">
        <f t="shared" ref="HK14:HK17" si="20">LN(HG14/HC14)</f>
        <v>0.47402777954546099</v>
      </c>
      <c r="HL14" s="19">
        <f>HH14^2/(HI14*HG14^2)+HD14^2/(HE14*HC14^2)</f>
        <v>1.2517031672863659E-2</v>
      </c>
      <c r="HX14" s="32"/>
      <c r="IK14" s="12" t="s">
        <v>37</v>
      </c>
      <c r="IL14" s="12" t="s">
        <v>37</v>
      </c>
      <c r="IM14" s="13" t="s">
        <v>37</v>
      </c>
      <c r="IO14" s="12" t="s">
        <v>37</v>
      </c>
      <c r="IP14" s="12" t="s">
        <v>37</v>
      </c>
      <c r="IQ14" s="13" t="s">
        <v>37</v>
      </c>
      <c r="IV14" s="32" t="s">
        <v>345</v>
      </c>
      <c r="IW14" s="12">
        <v>7.6</v>
      </c>
      <c r="IX14" s="12">
        <v>0.1</v>
      </c>
      <c r="IY14" s="13">
        <v>4</v>
      </c>
      <c r="IZ14" s="19">
        <f>IX14/IW14</f>
        <v>1.3157894736842106E-2</v>
      </c>
      <c r="JA14" s="12">
        <v>7.7</v>
      </c>
      <c r="JB14" s="12">
        <v>0.2</v>
      </c>
      <c r="JC14" s="13">
        <v>4</v>
      </c>
      <c r="JD14" s="19">
        <f>JB14/JA14</f>
        <v>2.5974025974025976E-2</v>
      </c>
      <c r="JE14" s="19">
        <f>LN(JA14/IW14)</f>
        <v>1.3072081567352921E-2</v>
      </c>
      <c r="JF14" s="19">
        <f>JB14^2/(JC14*JA14^2)+IX14^2/(IY14*IW14^2)</f>
        <v>2.1194505480129832E-4</v>
      </c>
      <c r="JH14" s="12" t="s">
        <v>37</v>
      </c>
      <c r="JI14" s="12" t="s">
        <v>37</v>
      </c>
      <c r="JJ14" s="13" t="s">
        <v>37</v>
      </c>
      <c r="JL14" s="12" t="s">
        <v>37</v>
      </c>
      <c r="JM14" s="12" t="s">
        <v>37</v>
      </c>
      <c r="JN14" s="12" t="s">
        <v>37</v>
      </c>
      <c r="JS14" s="12" t="s">
        <v>37</v>
      </c>
      <c r="JT14" s="12" t="s">
        <v>37</v>
      </c>
      <c r="JU14" s="13" t="s">
        <v>37</v>
      </c>
      <c r="JW14" s="12" t="s">
        <v>37</v>
      </c>
      <c r="JX14" s="12" t="s">
        <v>37</v>
      </c>
      <c r="JY14" s="12" t="s">
        <v>37</v>
      </c>
      <c r="KE14" s="11" t="s">
        <v>37</v>
      </c>
      <c r="KF14" s="11" t="s">
        <v>37</v>
      </c>
      <c r="KG14" s="13" t="s">
        <v>37</v>
      </c>
      <c r="KH14" s="11" t="s">
        <v>37</v>
      </c>
      <c r="KI14" s="11" t="s">
        <v>37</v>
      </c>
      <c r="KJ14" s="11" t="s">
        <v>37</v>
      </c>
      <c r="KK14" s="12" t="s">
        <v>42</v>
      </c>
      <c r="KL14" s="32" t="s">
        <v>345</v>
      </c>
      <c r="KM14" s="12">
        <v>13.7</v>
      </c>
      <c r="KN14" s="12">
        <v>0.85</v>
      </c>
      <c r="KO14" s="11">
        <v>4</v>
      </c>
      <c r="KP14" s="19">
        <f>KN14/KM14</f>
        <v>6.2043795620437957E-2</v>
      </c>
      <c r="KQ14" s="12">
        <v>13.09</v>
      </c>
      <c r="KR14" s="12">
        <v>0.55000000000000004</v>
      </c>
      <c r="KS14" s="13">
        <v>4</v>
      </c>
      <c r="KT14" s="19">
        <f>KR14/KQ14</f>
        <v>4.2016806722689079E-2</v>
      </c>
      <c r="KU14" s="19">
        <f>LN(KQ14/KM14)</f>
        <v>-4.5547252912270575E-2</v>
      </c>
      <c r="KV14" s="19">
        <f>KR14^2/(KS14*KQ14^2)+KN14^2/(KO14*KM14^2)</f>
        <v>1.4037111555406218E-3</v>
      </c>
      <c r="KX14" s="16" t="s">
        <v>37</v>
      </c>
      <c r="KY14" s="16" t="s">
        <v>37</v>
      </c>
      <c r="KZ14" s="13" t="s">
        <v>37</v>
      </c>
      <c r="LB14" s="16" t="s">
        <v>37</v>
      </c>
      <c r="LC14" s="16" t="s">
        <v>37</v>
      </c>
      <c r="LD14" s="13" t="s">
        <v>37</v>
      </c>
      <c r="LI14" s="12" t="s">
        <v>37</v>
      </c>
      <c r="LJ14" s="12" t="s">
        <v>37</v>
      </c>
      <c r="LK14" s="12" t="s">
        <v>37</v>
      </c>
      <c r="LM14" s="12" t="s">
        <v>37</v>
      </c>
      <c r="LN14" s="12" t="s">
        <v>37</v>
      </c>
      <c r="LO14" s="12" t="s">
        <v>37</v>
      </c>
      <c r="LT14" s="12" t="s">
        <v>345</v>
      </c>
      <c r="LU14" s="12">
        <f>AT14/KM14</f>
        <v>15.063503649635038</v>
      </c>
      <c r="LV14" s="12">
        <f>SQRT((1/KM14)^2*AU14^2+AT14^2*(-1/KM14^2)^2*KN14^2)</f>
        <v>2.7059389056643339</v>
      </c>
      <c r="LW14" s="13">
        <f>KO14</f>
        <v>4</v>
      </c>
      <c r="LX14" s="19">
        <f>LV14/LU14</f>
        <v>0.17963542669768556</v>
      </c>
      <c r="LY14" s="12">
        <f>AX14/KQ14</f>
        <v>11.32620320855615</v>
      </c>
      <c r="LZ14" s="12">
        <f>SQRT((1/KQ14)^2*AY14^2+AX14^2*(-1/KQ14^2)^2*KR14^2)</f>
        <v>1.6938919820827929</v>
      </c>
      <c r="MA14" s="16">
        <f>KS14</f>
        <v>4</v>
      </c>
      <c r="MB14" s="19">
        <f>LZ14/LY14</f>
        <v>0.14955514667114367</v>
      </c>
      <c r="MC14" s="19">
        <f t="shared" ref="MC14" si="21">LN(LY14/LU14)</f>
        <v>-0.28515593206518819</v>
      </c>
      <c r="MD14" s="19">
        <f>LZ14^2/(MA14*LY14^2)+LV14^2/(LW14*LU14^2)</f>
        <v>1.3658907105171715E-2</v>
      </c>
      <c r="MF14" s="12" t="s">
        <v>37</v>
      </c>
      <c r="MG14" s="12" t="s">
        <v>37</v>
      </c>
      <c r="MH14" s="12" t="s">
        <v>37</v>
      </c>
      <c r="MJ14" s="12" t="s">
        <v>37</v>
      </c>
      <c r="MK14" s="12" t="s">
        <v>37</v>
      </c>
      <c r="ML14" s="12" t="s">
        <v>37</v>
      </c>
      <c r="MQ14" s="12" t="s">
        <v>37</v>
      </c>
      <c r="MR14" s="12" t="s">
        <v>37</v>
      </c>
      <c r="MS14" s="12" t="s">
        <v>37</v>
      </c>
      <c r="MU14" s="12" t="s">
        <v>37</v>
      </c>
      <c r="MV14" s="12" t="s">
        <v>37</v>
      </c>
      <c r="MW14" s="12" t="s">
        <v>37</v>
      </c>
      <c r="NC14" s="11" t="s">
        <v>37</v>
      </c>
      <c r="ND14" s="11" t="s">
        <v>37</v>
      </c>
      <c r="NE14" s="13" t="s">
        <v>37</v>
      </c>
      <c r="NG14" s="11" t="s">
        <v>37</v>
      </c>
      <c r="NH14" s="11" t="s">
        <v>37</v>
      </c>
      <c r="NI14" s="13" t="s">
        <v>37</v>
      </c>
      <c r="NO14" s="11" t="s">
        <v>37</v>
      </c>
      <c r="NP14" s="11" t="s">
        <v>37</v>
      </c>
      <c r="NQ14" s="13" t="s">
        <v>37</v>
      </c>
      <c r="NS14" s="11" t="s">
        <v>37</v>
      </c>
      <c r="NT14" s="11" t="s">
        <v>37</v>
      </c>
      <c r="NU14" s="13" t="s">
        <v>37</v>
      </c>
      <c r="OA14" s="11" t="s">
        <v>37</v>
      </c>
      <c r="OB14" s="11" t="s">
        <v>37</v>
      </c>
      <c r="OC14" s="13" t="s">
        <v>37</v>
      </c>
      <c r="OE14" s="11" t="s">
        <v>37</v>
      </c>
      <c r="OF14" s="11" t="s">
        <v>37</v>
      </c>
      <c r="OG14" s="13" t="s">
        <v>37</v>
      </c>
      <c r="OM14" s="11" t="s">
        <v>37</v>
      </c>
      <c r="ON14" s="11" t="s">
        <v>37</v>
      </c>
      <c r="OO14" s="11" t="s">
        <v>37</v>
      </c>
      <c r="OP14" s="11" t="s">
        <v>37</v>
      </c>
      <c r="OQ14" s="11" t="s">
        <v>37</v>
      </c>
      <c r="OR14" s="11" t="s">
        <v>37</v>
      </c>
      <c r="OW14" s="11" t="s">
        <v>37</v>
      </c>
      <c r="OX14" s="11" t="s">
        <v>37</v>
      </c>
      <c r="OY14" s="13" t="s">
        <v>37</v>
      </c>
      <c r="OZ14" s="11" t="s">
        <v>37</v>
      </c>
      <c r="PA14" s="11" t="s">
        <v>37</v>
      </c>
      <c r="PB14" s="13" t="s">
        <v>37</v>
      </c>
      <c r="PG14" s="11" t="s">
        <v>37</v>
      </c>
      <c r="PH14" s="11" t="s">
        <v>37</v>
      </c>
      <c r="PI14" s="13" t="s">
        <v>37</v>
      </c>
      <c r="PJ14" s="11" t="s">
        <v>37</v>
      </c>
      <c r="PK14" s="11" t="s">
        <v>37</v>
      </c>
      <c r="PL14" s="13" t="s">
        <v>37</v>
      </c>
      <c r="PQ14" s="11" t="s">
        <v>37</v>
      </c>
      <c r="PR14" s="11" t="s">
        <v>37</v>
      </c>
      <c r="PS14" s="13" t="s">
        <v>37</v>
      </c>
      <c r="PT14" s="11" t="s">
        <v>37</v>
      </c>
      <c r="PU14" s="11" t="s">
        <v>37</v>
      </c>
      <c r="PV14" s="13" t="s">
        <v>37</v>
      </c>
      <c r="PY14" s="12" t="s">
        <v>43</v>
      </c>
      <c r="PZ14" s="12">
        <v>967.11</v>
      </c>
      <c r="QA14" s="12">
        <v>254.55</v>
      </c>
      <c r="QB14" s="11">
        <v>4</v>
      </c>
      <c r="QC14" s="19">
        <f>QA14/PZ14</f>
        <v>0.26320687408877996</v>
      </c>
      <c r="QD14" s="12">
        <v>242.96</v>
      </c>
      <c r="QE14" s="12">
        <v>85.29</v>
      </c>
      <c r="QF14" s="13">
        <v>4</v>
      </c>
      <c r="QG14" s="19">
        <f>QE14/QD14</f>
        <v>0.35104543957853146</v>
      </c>
      <c r="QH14" s="19">
        <f>LN(QD14/PZ14)</f>
        <v>-1.3814154221242922</v>
      </c>
      <c r="QI14" s="19">
        <f>QE14^2/(QF14*QD14^2)+QA14^2/(QB14*PZ14^2)</f>
        <v>4.8127689804117815E-2</v>
      </c>
      <c r="QJ14" s="12" t="s">
        <v>43</v>
      </c>
      <c r="QK14" s="12">
        <v>2976.56</v>
      </c>
      <c r="QL14" s="12">
        <v>1287.6199999999999</v>
      </c>
      <c r="QM14" s="13">
        <v>4</v>
      </c>
      <c r="QN14" s="12">
        <v>4489.0600000000004</v>
      </c>
      <c r="QO14" s="12">
        <v>2738.29</v>
      </c>
      <c r="QP14" s="13">
        <v>4</v>
      </c>
      <c r="QQ14" s="19">
        <f t="shared" ref="QQ14:QQ17" si="22">LN(QN14/QK14)</f>
        <v>0.41087505440454486</v>
      </c>
      <c r="QR14" s="19">
        <f>QO14^2/(QP14*QN14^2)+QL14^2/(QM14*QK14^2)</f>
        <v>0.13980530710235822</v>
      </c>
      <c r="QU14" s="11" t="s">
        <v>37</v>
      </c>
      <c r="QV14" s="11" t="s">
        <v>37</v>
      </c>
      <c r="QW14" s="13" t="s">
        <v>37</v>
      </c>
      <c r="QX14" s="11" t="s">
        <v>37</v>
      </c>
      <c r="QY14" s="11" t="s">
        <v>37</v>
      </c>
      <c r="QZ14" s="13" t="s">
        <v>37</v>
      </c>
      <c r="RC14" s="12" t="s">
        <v>37</v>
      </c>
      <c r="RD14" s="12" t="s">
        <v>37</v>
      </c>
      <c r="RE14" s="13" t="s">
        <v>37</v>
      </c>
      <c r="RF14" s="12" t="s">
        <v>37</v>
      </c>
      <c r="RG14" s="12" t="s">
        <v>37</v>
      </c>
      <c r="RH14" s="13" t="s">
        <v>37</v>
      </c>
      <c r="RK14" s="11" t="s">
        <v>37</v>
      </c>
      <c r="RL14" s="11" t="s">
        <v>37</v>
      </c>
      <c r="RM14" s="11" t="s">
        <v>37</v>
      </c>
      <c r="RN14" s="11" t="s">
        <v>37</v>
      </c>
      <c r="RO14" s="11" t="s">
        <v>37</v>
      </c>
      <c r="RP14" s="11" t="s">
        <v>37</v>
      </c>
      <c r="RS14" s="11" t="s">
        <v>37</v>
      </c>
      <c r="RT14" s="11" t="s">
        <v>37</v>
      </c>
      <c r="RU14" s="11" t="s">
        <v>37</v>
      </c>
      <c r="RV14" s="11" t="s">
        <v>37</v>
      </c>
      <c r="RW14" s="11" t="s">
        <v>37</v>
      </c>
      <c r="RX14" s="11" t="s">
        <v>37</v>
      </c>
      <c r="SA14" s="11" t="s">
        <v>37</v>
      </c>
      <c r="SB14" s="11" t="s">
        <v>37</v>
      </c>
      <c r="SC14" s="13" t="s">
        <v>37</v>
      </c>
      <c r="SD14" s="11" t="s">
        <v>37</v>
      </c>
      <c r="SE14" s="11" t="s">
        <v>37</v>
      </c>
      <c r="SF14" s="13" t="s">
        <v>37</v>
      </c>
      <c r="SI14" s="12" t="s">
        <v>37</v>
      </c>
      <c r="SJ14" s="11" t="s">
        <v>37</v>
      </c>
      <c r="SK14" s="13" t="s">
        <v>37</v>
      </c>
      <c r="SM14" s="11" t="s">
        <v>37</v>
      </c>
      <c r="SN14" s="11" t="s">
        <v>37</v>
      </c>
      <c r="SO14" s="13" t="s">
        <v>37</v>
      </c>
      <c r="SU14" s="12" t="s">
        <v>37</v>
      </c>
      <c r="SV14" s="12" t="s">
        <v>37</v>
      </c>
      <c r="SW14" s="11" t="s">
        <v>37</v>
      </c>
      <c r="SX14" s="12" t="s">
        <v>37</v>
      </c>
      <c r="SY14" s="12" t="s">
        <v>37</v>
      </c>
      <c r="SZ14" s="11" t="s">
        <v>37</v>
      </c>
      <c r="TE14" s="12" t="s">
        <v>37</v>
      </c>
      <c r="TF14" s="12" t="s">
        <v>37</v>
      </c>
      <c r="TG14" s="11" t="s">
        <v>37</v>
      </c>
      <c r="TH14" s="12" t="s">
        <v>37</v>
      </c>
      <c r="TI14" s="12" t="s">
        <v>37</v>
      </c>
      <c r="TJ14" s="11" t="s">
        <v>37</v>
      </c>
      <c r="TO14" s="12" t="s">
        <v>37</v>
      </c>
      <c r="TP14" s="12" t="s">
        <v>37</v>
      </c>
      <c r="TQ14" s="11" t="s">
        <v>37</v>
      </c>
      <c r="TR14" s="12" t="s">
        <v>37</v>
      </c>
      <c r="TS14" s="12" t="s">
        <v>37</v>
      </c>
      <c r="TT14" s="11" t="s">
        <v>37</v>
      </c>
      <c r="TY14" s="12" t="s">
        <v>37</v>
      </c>
      <c r="TZ14" s="12" t="s">
        <v>37</v>
      </c>
      <c r="UA14" s="11" t="s">
        <v>37</v>
      </c>
      <c r="UB14" s="12" t="s">
        <v>37</v>
      </c>
      <c r="UC14" s="12" t="s">
        <v>37</v>
      </c>
      <c r="UD14" s="11" t="s">
        <v>37</v>
      </c>
      <c r="UI14" s="12" t="s">
        <v>37</v>
      </c>
      <c r="UJ14" s="12" t="s">
        <v>37</v>
      </c>
      <c r="UK14" s="13" t="s">
        <v>37</v>
      </c>
      <c r="UL14" s="12" t="s">
        <v>37</v>
      </c>
      <c r="UM14" s="12" t="s">
        <v>37</v>
      </c>
      <c r="UN14" s="13" t="s">
        <v>37</v>
      </c>
      <c r="UR14" s="12" t="s">
        <v>37</v>
      </c>
      <c r="US14" s="12" t="s">
        <v>37</v>
      </c>
      <c r="UT14" s="13" t="s">
        <v>37</v>
      </c>
      <c r="UU14" s="12" t="s">
        <v>37</v>
      </c>
      <c r="UV14" s="12" t="s">
        <v>37</v>
      </c>
      <c r="UW14" s="13" t="s">
        <v>37</v>
      </c>
      <c r="VB14" s="12" t="s">
        <v>37</v>
      </c>
      <c r="VC14" s="12" t="s">
        <v>37</v>
      </c>
      <c r="VD14" s="13" t="s">
        <v>37</v>
      </c>
      <c r="VE14" s="12" t="s">
        <v>37</v>
      </c>
      <c r="VF14" s="12" t="s">
        <v>37</v>
      </c>
      <c r="VG14" s="13" t="s">
        <v>37</v>
      </c>
      <c r="VI14" s="12" t="s">
        <v>37</v>
      </c>
      <c r="VJ14" s="12" t="s">
        <v>37</v>
      </c>
      <c r="VK14" s="13" t="s">
        <v>37</v>
      </c>
      <c r="VL14" s="12" t="s">
        <v>37</v>
      </c>
      <c r="VM14" s="12" t="s">
        <v>37</v>
      </c>
      <c r="VN14" s="13" t="s">
        <v>37</v>
      </c>
      <c r="VO14" s="12" t="s">
        <v>37</v>
      </c>
      <c r="VQ14" s="12" t="s">
        <v>37</v>
      </c>
      <c r="VR14" s="12" t="s">
        <v>37</v>
      </c>
      <c r="VS14" s="12" t="s">
        <v>37</v>
      </c>
      <c r="VT14" s="12" t="s">
        <v>37</v>
      </c>
      <c r="VU14" s="12" t="s">
        <v>37</v>
      </c>
      <c r="VV14" s="12" t="s">
        <v>37</v>
      </c>
      <c r="VW14" s="12"/>
      <c r="VX14" s="12"/>
      <c r="WA14" s="13" t="s">
        <v>37</v>
      </c>
      <c r="WB14" s="13" t="s">
        <v>37</v>
      </c>
      <c r="WC14" s="13" t="s">
        <v>37</v>
      </c>
      <c r="WD14" s="13" t="s">
        <v>37</v>
      </c>
      <c r="WE14" s="13" t="s">
        <v>37</v>
      </c>
      <c r="WF14" s="13" t="s">
        <v>37</v>
      </c>
    </row>
    <row r="15" spans="1:606" ht="18" customHeight="1" x14ac:dyDescent="0.3">
      <c r="A15" s="11">
        <v>3</v>
      </c>
      <c r="B15" s="12" t="s">
        <v>57</v>
      </c>
      <c r="C15" s="12" t="s">
        <v>26</v>
      </c>
      <c r="D15" s="12" t="s">
        <v>1039</v>
      </c>
      <c r="E15" s="39" t="s">
        <v>37</v>
      </c>
      <c r="F15" s="14">
        <v>0</v>
      </c>
      <c r="G15" s="14">
        <v>0</v>
      </c>
      <c r="H15" s="12" t="s">
        <v>79</v>
      </c>
      <c r="I15" s="29">
        <v>33.92</v>
      </c>
      <c r="J15" s="29">
        <v>102.735</v>
      </c>
      <c r="K15" s="12" t="s">
        <v>59</v>
      </c>
      <c r="L15" s="12" t="s">
        <v>60</v>
      </c>
      <c r="M15" s="13">
        <v>3432</v>
      </c>
      <c r="N15" s="14">
        <v>0.9</v>
      </c>
      <c r="O15" s="14">
        <v>657.8</v>
      </c>
      <c r="P15" s="14" t="s">
        <v>16</v>
      </c>
      <c r="Q15" s="75">
        <v>41</v>
      </c>
      <c r="R15" s="11" t="s">
        <v>999</v>
      </c>
      <c r="S15" s="12" t="s">
        <v>85</v>
      </c>
      <c r="T15" s="12" t="s">
        <v>876</v>
      </c>
      <c r="U15" s="12" t="s">
        <v>158</v>
      </c>
      <c r="V15" s="12" t="s">
        <v>274</v>
      </c>
      <c r="W15" s="23" t="s">
        <v>61</v>
      </c>
      <c r="X15" s="12" t="s">
        <v>280</v>
      </c>
      <c r="Y15" s="12" t="s">
        <v>69</v>
      </c>
      <c r="Z15" s="12" t="s">
        <v>37</v>
      </c>
      <c r="AA15" s="32" t="s">
        <v>345</v>
      </c>
      <c r="AB15" s="12">
        <v>7.6</v>
      </c>
      <c r="AC15" s="12" t="s">
        <v>42</v>
      </c>
      <c r="AD15" s="32" t="s">
        <v>345</v>
      </c>
      <c r="AE15" s="15">
        <v>206.37</v>
      </c>
      <c r="AF15" s="12" t="s">
        <v>42</v>
      </c>
      <c r="AG15" s="32" t="s">
        <v>345</v>
      </c>
      <c r="AH15" s="12">
        <v>13.7</v>
      </c>
      <c r="AJ15" s="12" t="str">
        <f t="shared" ref="AJ15:AJ17" si="23">AD15</f>
        <v>0-10</v>
      </c>
      <c r="AK15" s="19">
        <f t="shared" ref="AK15:AK17" si="24">AE15/AH15</f>
        <v>15.063503649635038</v>
      </c>
      <c r="AL15" s="32" t="s">
        <v>487</v>
      </c>
      <c r="AM15" s="12" t="s">
        <v>317</v>
      </c>
      <c r="AN15" s="32" t="s">
        <v>880</v>
      </c>
      <c r="AO15" s="12" t="s">
        <v>37</v>
      </c>
      <c r="AP15" s="12" t="s">
        <v>108</v>
      </c>
      <c r="AQ15" s="12" t="s">
        <v>975</v>
      </c>
      <c r="AR15" s="12" t="s">
        <v>42</v>
      </c>
      <c r="AS15" s="32" t="s">
        <v>345</v>
      </c>
      <c r="AT15" s="15">
        <v>206.37</v>
      </c>
      <c r="AU15" s="15">
        <v>34.79</v>
      </c>
      <c r="AV15" s="18">
        <v>4</v>
      </c>
      <c r="AW15" s="52">
        <f t="shared" ref="AW15:AW17" si="25">AU15/AT15</f>
        <v>0.16858070455977128</v>
      </c>
      <c r="AX15" s="15">
        <v>148.26</v>
      </c>
      <c r="AY15" s="15">
        <v>21.28</v>
      </c>
      <c r="AZ15" s="18">
        <v>4</v>
      </c>
      <c r="BA15" s="52">
        <f t="shared" ref="BA15:BA17" si="26">AY15/AX15</f>
        <v>0.14353163361661947</v>
      </c>
      <c r="BB15" s="52">
        <f t="shared" ref="BB15:BB17" si="27">LN(AX15/AT15)</f>
        <v>-0.33070318497745876</v>
      </c>
      <c r="BC15" s="19">
        <f t="shared" ref="BC15:BC17" si="28">AY15^2/(AZ15*AX15^2)+AU15^2/(AV15*AT15^2)</f>
        <v>1.2255195949631096E-2</v>
      </c>
      <c r="BE15" s="12" t="s">
        <v>326</v>
      </c>
      <c r="BF15" s="12" t="s">
        <v>326</v>
      </c>
      <c r="BG15" s="12" t="s">
        <v>326</v>
      </c>
      <c r="BI15" s="12" t="s">
        <v>326</v>
      </c>
      <c r="BJ15" s="12" t="s">
        <v>326</v>
      </c>
      <c r="BK15" s="12" t="s">
        <v>326</v>
      </c>
      <c r="BP15" s="12" t="s">
        <v>37</v>
      </c>
      <c r="BQ15" s="12" t="s">
        <v>37</v>
      </c>
      <c r="BR15" s="13" t="s">
        <v>37</v>
      </c>
      <c r="BT15" s="12" t="s">
        <v>37</v>
      </c>
      <c r="BU15" s="12" t="s">
        <v>37</v>
      </c>
      <c r="BV15" s="12" t="s">
        <v>37</v>
      </c>
      <c r="CA15" s="12" t="s">
        <v>37</v>
      </c>
      <c r="CB15" s="12" t="s">
        <v>37</v>
      </c>
      <c r="CC15" s="13" t="s">
        <v>37</v>
      </c>
      <c r="CE15" s="12" t="s">
        <v>37</v>
      </c>
      <c r="CF15" s="12" t="s">
        <v>37</v>
      </c>
      <c r="CG15" s="13" t="s">
        <v>37</v>
      </c>
      <c r="CI15" s="52"/>
      <c r="CJ15" s="12"/>
      <c r="CK15" s="73"/>
      <c r="CL15" s="73"/>
      <c r="CN15" s="12" t="s">
        <v>37</v>
      </c>
      <c r="CO15" s="12" t="s">
        <v>37</v>
      </c>
      <c r="CP15" s="13" t="s">
        <v>37</v>
      </c>
      <c r="CR15" s="12" t="s">
        <v>37</v>
      </c>
      <c r="CS15" s="12" t="s">
        <v>37</v>
      </c>
      <c r="CT15" s="13" t="s">
        <v>37</v>
      </c>
      <c r="CV15" s="52"/>
      <c r="CW15" s="52"/>
      <c r="CX15" s="73"/>
      <c r="CY15" s="73"/>
      <c r="DA15" s="12" t="s">
        <v>37</v>
      </c>
      <c r="DB15" s="12" t="s">
        <v>37</v>
      </c>
      <c r="DC15" s="13" t="s">
        <v>37</v>
      </c>
      <c r="DE15" s="12" t="s">
        <v>37</v>
      </c>
      <c r="DF15" s="12" t="s">
        <v>37</v>
      </c>
      <c r="DG15" s="13" t="s">
        <v>37</v>
      </c>
      <c r="DI15" s="52"/>
      <c r="DJ15" s="52"/>
      <c r="DK15" s="73"/>
      <c r="DL15" s="73"/>
      <c r="DM15" s="15" t="s">
        <v>47</v>
      </c>
      <c r="DN15" s="52">
        <f>(40.32*0.55+62.29*0.45)*("2013/09/30"-"2013/05/01")*24*10^4/10^6/'[1]classes-1'!$I$10</f>
        <v>2106.5008889916066</v>
      </c>
      <c r="DO15" s="15">
        <f>SQRT((1/[2]Classes!$I$10)^2*(SQRT(0.55^2*5.71^2+0.45^2*7.75^2)*("2013/09/30"-"2013/05/01")*24*10^4/10^6)^2+(-DN15/([2]Classes!$I$10)^2)^2*([2]Classes!$J$10)^2)</f>
        <v>550.27007995085796</v>
      </c>
      <c r="DP15" s="18">
        <v>12</v>
      </c>
      <c r="DQ15" s="19">
        <f t="shared" si="7"/>
        <v>0.26122470815299548</v>
      </c>
      <c r="DR15" s="52">
        <f>-0.01*("2013/09/30"-"2013/05/01")*24*10^4/10^6/'[1]classes-1'!$I$11</f>
        <v>-0.36946561943093542</v>
      </c>
      <c r="DS15" s="15">
        <f>SQRT((1/[2]Classes!$I$11)^2*(0.01*("2013/09/30"-"2013/05/01")*24*10^4/10^6)^2+(-DR15/([2]Classes!$I$11)^2)^2*([2]Classes!$J$11)^2)</f>
        <v>0.8584618328302922</v>
      </c>
      <c r="DT15" s="18">
        <v>12</v>
      </c>
      <c r="DU15" s="19">
        <f t="shared" si="8"/>
        <v>2.3235229143987115</v>
      </c>
      <c r="DV15" s="19">
        <f>DR15-DN15</f>
        <v>-2106.8703546110378</v>
      </c>
      <c r="DW15" s="12">
        <f t="shared" si="4"/>
        <v>389.10017851823329</v>
      </c>
      <c r="DX15" s="72">
        <f t="shared" si="5"/>
        <v>25233.158153820168</v>
      </c>
      <c r="DY15" s="72">
        <f t="shared" si="6"/>
        <v>25233.158153820172</v>
      </c>
      <c r="DZ15" s="15"/>
      <c r="EA15" s="52" t="s">
        <v>37</v>
      </c>
      <c r="EB15" s="52" t="s">
        <v>37</v>
      </c>
      <c r="EC15" s="73" t="s">
        <v>37</v>
      </c>
      <c r="ED15" s="52"/>
      <c r="EE15" s="52" t="s">
        <v>37</v>
      </c>
      <c r="EF15" s="52" t="s">
        <v>37</v>
      </c>
      <c r="EG15" s="15" t="s">
        <v>37</v>
      </c>
      <c r="EH15" s="52"/>
      <c r="EI15" s="52"/>
      <c r="EJ15" s="52"/>
      <c r="EK15" s="52"/>
      <c r="EL15" s="52"/>
      <c r="EM15" s="12" t="s">
        <v>39</v>
      </c>
      <c r="EN15" s="12">
        <f>7.5*0.55+3.4*0.45</f>
        <v>5.6550000000000002</v>
      </c>
      <c r="EO15" s="12">
        <f>SQRT(4.86^2*0.45^2+0.55^2*5.67^2)</f>
        <v>3.8089383363346805</v>
      </c>
      <c r="EP15" s="13">
        <v>4</v>
      </c>
      <c r="EQ15" s="19">
        <f t="shared" ref="EQ15:EQ33" si="29">EO15/ABS(EN15)</f>
        <v>0.67355231411753846</v>
      </c>
      <c r="ER15" s="12">
        <v>-105</v>
      </c>
      <c r="ES15" s="12">
        <v>8.1</v>
      </c>
      <c r="ET15" s="13">
        <v>4</v>
      </c>
      <c r="EU15" s="19">
        <f t="shared" ref="EU15:EU33" si="30">ES15/ABS(ER15)</f>
        <v>7.7142857142857138E-2</v>
      </c>
      <c r="EV15" s="19">
        <f t="shared" ref="EV15" si="31">ER15-EN15</f>
        <v>-110.655</v>
      </c>
      <c r="EW15" s="12">
        <f>SQRT(((EP15-1)*EO15^2+(ET15-1)*ES15^2)/(EP15+ET15-2))</f>
        <v>6.3292184055379224</v>
      </c>
      <c r="EX15" s="19">
        <f>(((EP15+ET15)/(EP15*ET15))*(((EP15-1)*EO15^2)+(ET15-1)*ES15^2)/(EP15+ET15-2))</f>
        <v>20.029502812499999</v>
      </c>
      <c r="EY15" s="19">
        <f>(EO15^2/EP15)+(ES15^2/ET15)</f>
        <v>20.029502812499999</v>
      </c>
      <c r="FB15" s="11" t="s">
        <v>37</v>
      </c>
      <c r="FC15" s="11" t="s">
        <v>37</v>
      </c>
      <c r="FD15" s="11" t="s">
        <v>37</v>
      </c>
      <c r="FE15" s="12" t="s">
        <v>37</v>
      </c>
      <c r="FF15" s="20" t="s">
        <v>37</v>
      </c>
      <c r="FG15" s="11" t="s">
        <v>37</v>
      </c>
      <c r="FI15" s="11" t="s">
        <v>37</v>
      </c>
      <c r="FJ15" s="11" t="s">
        <v>37</v>
      </c>
      <c r="FK15" s="11" t="s">
        <v>37</v>
      </c>
      <c r="FL15" s="13" t="s">
        <v>37</v>
      </c>
      <c r="FM15" s="11" t="s">
        <v>37</v>
      </c>
      <c r="FN15" s="11" t="s">
        <v>37</v>
      </c>
      <c r="FP15" s="11" t="s">
        <v>37</v>
      </c>
      <c r="FQ15" s="11" t="s">
        <v>37</v>
      </c>
      <c r="FR15" s="11" t="s">
        <v>37</v>
      </c>
      <c r="FS15" s="13" t="s">
        <v>37</v>
      </c>
      <c r="FT15" s="11" t="s">
        <v>37</v>
      </c>
      <c r="FU15" s="11" t="s">
        <v>37</v>
      </c>
      <c r="FW15" s="11" t="s">
        <v>37</v>
      </c>
      <c r="FX15" s="11" t="s">
        <v>37</v>
      </c>
      <c r="FY15" s="11" t="s">
        <v>37</v>
      </c>
      <c r="FZ15" s="13" t="s">
        <v>37</v>
      </c>
      <c r="GA15" s="11" t="s">
        <v>37</v>
      </c>
      <c r="GB15" s="11" t="s">
        <v>37</v>
      </c>
      <c r="GE15" s="11"/>
      <c r="GF15" s="11"/>
      <c r="GI15" s="11"/>
      <c r="GJ15" s="11"/>
      <c r="GO15" s="12" t="s">
        <v>660</v>
      </c>
      <c r="GP15" s="12" t="s">
        <v>330</v>
      </c>
      <c r="GQ15" s="12">
        <f>9.02*0.45+10.54*0.55</f>
        <v>9.8559999999999999</v>
      </c>
      <c r="GR15" s="12">
        <f>SQRT(2.8^2*0.45^2+3.46^2*0.55^2)</f>
        <v>2.2823253492874325</v>
      </c>
      <c r="GS15" s="13">
        <v>4</v>
      </c>
      <c r="GT15" s="19">
        <f t="shared" ref="GT15:GT17" si="32">GR15/GQ15</f>
        <v>0.23156710118581905</v>
      </c>
      <c r="GU15" s="12">
        <v>9.61</v>
      </c>
      <c r="GV15" s="12">
        <v>3</v>
      </c>
      <c r="GW15" s="13">
        <v>4</v>
      </c>
      <c r="GX15" s="19">
        <f t="shared" si="17"/>
        <v>0.31217481789802293</v>
      </c>
      <c r="GY15" s="19">
        <f t="shared" si="18"/>
        <v>-2.5276183808962866E-2</v>
      </c>
      <c r="GZ15" s="19">
        <f t="shared" si="19"/>
        <v>3.7769109820316775E-2</v>
      </c>
      <c r="HA15" s="17" t="s">
        <v>63</v>
      </c>
      <c r="HB15" s="34" t="s">
        <v>345</v>
      </c>
      <c r="HC15" s="12">
        <v>0.31</v>
      </c>
      <c r="HD15" s="12">
        <v>6.8000000000000005E-2</v>
      </c>
      <c r="HE15" s="13">
        <v>4</v>
      </c>
      <c r="HF15" s="19">
        <f t="shared" ref="HF15:HF17" si="33">HD15/HC15</f>
        <v>0.21935483870967742</v>
      </c>
      <c r="HG15" s="12">
        <v>0.498</v>
      </c>
      <c r="HH15" s="12">
        <v>2.1999999999999999E-2</v>
      </c>
      <c r="HI15" s="13">
        <v>4</v>
      </c>
      <c r="HJ15" s="19">
        <f t="shared" ref="HJ15:HJ17" si="34">HH15/HG15</f>
        <v>4.4176706827309231E-2</v>
      </c>
      <c r="HK15" s="19">
        <f t="shared" si="20"/>
        <v>0.47402777954546099</v>
      </c>
      <c r="HL15" s="19">
        <f t="shared" ref="HL15:HL17" si="35">HH15^2/(HI15*HG15^2)+HD15^2/(HE15*HC15^2)</f>
        <v>1.2517031672863659E-2</v>
      </c>
      <c r="HX15" s="32"/>
      <c r="IK15" s="12" t="s">
        <v>37</v>
      </c>
      <c r="IL15" s="12" t="s">
        <v>37</v>
      </c>
      <c r="IM15" s="13" t="s">
        <v>37</v>
      </c>
      <c r="IO15" s="12" t="s">
        <v>37</v>
      </c>
      <c r="IP15" s="12" t="s">
        <v>37</v>
      </c>
      <c r="IQ15" s="13" t="s">
        <v>37</v>
      </c>
      <c r="IV15" s="32" t="s">
        <v>345</v>
      </c>
      <c r="IW15" s="12">
        <v>7.6</v>
      </c>
      <c r="IX15" s="12">
        <v>0.1</v>
      </c>
      <c r="IY15" s="13">
        <v>4</v>
      </c>
      <c r="IZ15" s="19">
        <f t="shared" ref="IZ15:IZ17" si="36">IX15/IW15</f>
        <v>1.3157894736842106E-2</v>
      </c>
      <c r="JA15" s="12">
        <v>7.7</v>
      </c>
      <c r="JB15" s="12">
        <v>0.2</v>
      </c>
      <c r="JC15" s="13">
        <v>4</v>
      </c>
      <c r="JD15" s="19">
        <f t="shared" ref="JD15:JD17" si="37">JB15/JA15</f>
        <v>2.5974025974025976E-2</v>
      </c>
      <c r="JE15" s="19">
        <f t="shared" ref="JE15:JE17" si="38">LN(JA15/IW15)</f>
        <v>1.3072081567352921E-2</v>
      </c>
      <c r="JF15" s="19">
        <f t="shared" ref="JF15:JF17" si="39">JB15^2/(JC15*JA15^2)+IX15^2/(IY15*IW15^2)</f>
        <v>2.1194505480129832E-4</v>
      </c>
      <c r="JH15" s="12" t="s">
        <v>37</v>
      </c>
      <c r="JI15" s="12" t="s">
        <v>37</v>
      </c>
      <c r="JJ15" s="13" t="s">
        <v>37</v>
      </c>
      <c r="JL15" s="12" t="s">
        <v>37</v>
      </c>
      <c r="JM15" s="12" t="s">
        <v>37</v>
      </c>
      <c r="JN15" s="12" t="s">
        <v>37</v>
      </c>
      <c r="JS15" s="12" t="s">
        <v>37</v>
      </c>
      <c r="JT15" s="12" t="s">
        <v>37</v>
      </c>
      <c r="JU15" s="13" t="s">
        <v>37</v>
      </c>
      <c r="JW15" s="12" t="s">
        <v>37</v>
      </c>
      <c r="JX15" s="12" t="s">
        <v>37</v>
      </c>
      <c r="JY15" s="12" t="s">
        <v>37</v>
      </c>
      <c r="KE15" s="11" t="s">
        <v>37</v>
      </c>
      <c r="KF15" s="11" t="s">
        <v>37</v>
      </c>
      <c r="KG15" s="13" t="s">
        <v>37</v>
      </c>
      <c r="KH15" s="11" t="s">
        <v>37</v>
      </c>
      <c r="KI15" s="11" t="s">
        <v>37</v>
      </c>
      <c r="KJ15" s="11" t="s">
        <v>37</v>
      </c>
      <c r="KK15" s="12" t="s">
        <v>42</v>
      </c>
      <c r="KL15" s="32" t="s">
        <v>345</v>
      </c>
      <c r="KM15" s="12">
        <v>13.7</v>
      </c>
      <c r="KN15" s="12">
        <v>0.85</v>
      </c>
      <c r="KO15" s="11">
        <v>4</v>
      </c>
      <c r="KP15" s="19">
        <f t="shared" ref="KP15:KP17" si="40">KN15/KM15</f>
        <v>6.2043795620437957E-2</v>
      </c>
      <c r="KQ15" s="12">
        <v>13.09</v>
      </c>
      <c r="KR15" s="12">
        <v>0.55000000000000004</v>
      </c>
      <c r="KS15" s="13">
        <v>4</v>
      </c>
      <c r="KT15" s="19">
        <f t="shared" ref="KT15:KT17" si="41">KR15/KQ15</f>
        <v>4.2016806722689079E-2</v>
      </c>
      <c r="KU15" s="19">
        <f>LN(KQ15/KM15)</f>
        <v>-4.5547252912270575E-2</v>
      </c>
      <c r="KV15" s="19">
        <f t="shared" ref="KV15:KV17" si="42">KR15^2/(KS15*KQ15^2)+KN15^2/(KO15*KM15^2)</f>
        <v>1.4037111555406218E-3</v>
      </c>
      <c r="KX15" s="16" t="s">
        <v>37</v>
      </c>
      <c r="KY15" s="16" t="s">
        <v>37</v>
      </c>
      <c r="KZ15" s="13" t="s">
        <v>37</v>
      </c>
      <c r="LB15" s="16" t="s">
        <v>37</v>
      </c>
      <c r="LC15" s="16" t="s">
        <v>37</v>
      </c>
      <c r="LD15" s="13" t="s">
        <v>37</v>
      </c>
      <c r="LI15" s="12" t="s">
        <v>37</v>
      </c>
      <c r="LJ15" s="12" t="s">
        <v>37</v>
      </c>
      <c r="LK15" s="12" t="s">
        <v>37</v>
      </c>
      <c r="LM15" s="12" t="s">
        <v>37</v>
      </c>
      <c r="LN15" s="12" t="s">
        <v>37</v>
      </c>
      <c r="LO15" s="12" t="s">
        <v>37</v>
      </c>
      <c r="LT15" s="12" t="s">
        <v>345</v>
      </c>
      <c r="LU15" s="12">
        <f>AT15/KM15</f>
        <v>15.063503649635038</v>
      </c>
      <c r="LV15" s="12">
        <f>SQRT((1/KM15)^2*AU15^2+AT15^2*(-1/KM15^2)^2*KN15^2)</f>
        <v>2.7059389056643339</v>
      </c>
      <c r="LW15" s="13">
        <f t="shared" ref="LW15:LW17" si="43">KO15</f>
        <v>4</v>
      </c>
      <c r="LX15" s="19">
        <f t="shared" ref="LX15:LX17" si="44">LV15/LU15</f>
        <v>0.17963542669768556</v>
      </c>
      <c r="LY15" s="12">
        <f>AX15/KQ15</f>
        <v>11.32620320855615</v>
      </c>
      <c r="LZ15" s="12">
        <f>SQRT((1/KQ15)^2*AY15^2+AX15^2*(-1/KQ15^2)^2*KR15^2)</f>
        <v>1.6938919820827929</v>
      </c>
      <c r="MA15" s="16">
        <f t="shared" ref="MA15:MA17" si="45">KS15</f>
        <v>4</v>
      </c>
      <c r="MB15" s="19">
        <f t="shared" ref="MB15:MB17" si="46">LZ15/LY15</f>
        <v>0.14955514667114367</v>
      </c>
      <c r="MC15" s="19">
        <f t="shared" ref="MC15:MC16" si="47">LN(LY15/LU15)</f>
        <v>-0.28515593206518819</v>
      </c>
      <c r="MD15" s="19">
        <f t="shared" ref="MD15:MD17" si="48">LZ15^2/(MA15*LY15^2)+LV15^2/(LW15*LU15^2)</f>
        <v>1.3658907105171715E-2</v>
      </c>
      <c r="MF15" s="12" t="s">
        <v>37</v>
      </c>
      <c r="MG15" s="12" t="s">
        <v>37</v>
      </c>
      <c r="MH15" s="12" t="s">
        <v>37</v>
      </c>
      <c r="MJ15" s="12" t="s">
        <v>37</v>
      </c>
      <c r="MK15" s="12" t="s">
        <v>37</v>
      </c>
      <c r="ML15" s="12" t="s">
        <v>37</v>
      </c>
      <c r="MQ15" s="12" t="s">
        <v>37</v>
      </c>
      <c r="MR15" s="12" t="s">
        <v>37</v>
      </c>
      <c r="MS15" s="12" t="s">
        <v>37</v>
      </c>
      <c r="MU15" s="12" t="s">
        <v>37</v>
      </c>
      <c r="MV15" s="12" t="s">
        <v>37</v>
      </c>
      <c r="MW15" s="12" t="s">
        <v>37</v>
      </c>
      <c r="NC15" s="11" t="s">
        <v>37</v>
      </c>
      <c r="ND15" s="11" t="s">
        <v>37</v>
      </c>
      <c r="NE15" s="13" t="s">
        <v>37</v>
      </c>
      <c r="NG15" s="11" t="s">
        <v>37</v>
      </c>
      <c r="NH15" s="11" t="s">
        <v>37</v>
      </c>
      <c r="NI15" s="13" t="s">
        <v>37</v>
      </c>
      <c r="NO15" s="11" t="s">
        <v>37</v>
      </c>
      <c r="NP15" s="11" t="s">
        <v>37</v>
      </c>
      <c r="NQ15" s="13" t="s">
        <v>37</v>
      </c>
      <c r="NS15" s="11" t="s">
        <v>37</v>
      </c>
      <c r="NT15" s="11" t="s">
        <v>37</v>
      </c>
      <c r="NU15" s="13" t="s">
        <v>37</v>
      </c>
      <c r="OA15" s="11" t="s">
        <v>37</v>
      </c>
      <c r="OB15" s="11" t="s">
        <v>37</v>
      </c>
      <c r="OC15" s="13" t="s">
        <v>37</v>
      </c>
      <c r="OE15" s="11" t="s">
        <v>37</v>
      </c>
      <c r="OF15" s="11" t="s">
        <v>37</v>
      </c>
      <c r="OG15" s="13" t="s">
        <v>37</v>
      </c>
      <c r="OM15" s="11" t="s">
        <v>37</v>
      </c>
      <c r="ON15" s="11" t="s">
        <v>37</v>
      </c>
      <c r="OO15" s="11" t="s">
        <v>37</v>
      </c>
      <c r="OP15" s="11" t="s">
        <v>37</v>
      </c>
      <c r="OQ15" s="11" t="s">
        <v>37</v>
      </c>
      <c r="OR15" s="11" t="s">
        <v>37</v>
      </c>
      <c r="OW15" s="11" t="s">
        <v>37</v>
      </c>
      <c r="OX15" s="11" t="s">
        <v>37</v>
      </c>
      <c r="OY15" s="13" t="s">
        <v>37</v>
      </c>
      <c r="OZ15" s="11" t="s">
        <v>37</v>
      </c>
      <c r="PA15" s="11" t="s">
        <v>37</v>
      </c>
      <c r="PB15" s="13" t="s">
        <v>37</v>
      </c>
      <c r="PG15" s="11" t="s">
        <v>37</v>
      </c>
      <c r="PH15" s="11" t="s">
        <v>37</v>
      </c>
      <c r="PI15" s="13" t="s">
        <v>37</v>
      </c>
      <c r="PJ15" s="11" t="s">
        <v>37</v>
      </c>
      <c r="PK15" s="11" t="s">
        <v>37</v>
      </c>
      <c r="PL15" s="13" t="s">
        <v>37</v>
      </c>
      <c r="PQ15" s="11" t="s">
        <v>37</v>
      </c>
      <c r="PR15" s="11" t="s">
        <v>37</v>
      </c>
      <c r="PS15" s="13" t="s">
        <v>37</v>
      </c>
      <c r="PT15" s="11" t="s">
        <v>37</v>
      </c>
      <c r="PU15" s="11" t="s">
        <v>37</v>
      </c>
      <c r="PV15" s="13" t="s">
        <v>37</v>
      </c>
      <c r="PY15" s="12" t="s">
        <v>43</v>
      </c>
      <c r="PZ15" s="12">
        <v>967.11</v>
      </c>
      <c r="QA15" s="12">
        <v>254.55</v>
      </c>
      <c r="QB15" s="11">
        <v>4</v>
      </c>
      <c r="QC15" s="19">
        <f t="shared" ref="QC15:QC17" si="49">QA15/PZ15</f>
        <v>0.26320687408877996</v>
      </c>
      <c r="QD15" s="12">
        <v>242.96</v>
      </c>
      <c r="QE15" s="12">
        <v>85.29</v>
      </c>
      <c r="QF15" s="13">
        <v>4</v>
      </c>
      <c r="QG15" s="19">
        <f t="shared" ref="QG15:QG17" si="50">QE15/QD15</f>
        <v>0.35104543957853146</v>
      </c>
      <c r="QH15" s="19">
        <f t="shared" ref="QH15:QH17" si="51">LN(QD15/PZ15)</f>
        <v>-1.3814154221242922</v>
      </c>
      <c r="QI15" s="19">
        <f>QE15^2/(QF15*QD15^2)+QA15^2/(QB15*PZ15^2)</f>
        <v>4.8127689804117815E-2</v>
      </c>
      <c r="QJ15" s="12" t="s">
        <v>43</v>
      </c>
      <c r="QK15" s="12">
        <v>2976.56</v>
      </c>
      <c r="QL15" s="12">
        <v>1287.6199999999999</v>
      </c>
      <c r="QM15" s="13">
        <v>4</v>
      </c>
      <c r="QN15" s="12">
        <v>4489.0600000000004</v>
      </c>
      <c r="QO15" s="12">
        <v>2738.29</v>
      </c>
      <c r="QP15" s="13">
        <v>4</v>
      </c>
      <c r="QQ15" s="19">
        <f t="shared" si="22"/>
        <v>0.41087505440454486</v>
      </c>
      <c r="QR15" s="19">
        <f t="shared" ref="QR15:QR17" si="52">QO15^2/(QP15*QN15^2)+QL15^2/(QM15*QK15^2)</f>
        <v>0.13980530710235822</v>
      </c>
      <c r="QU15" s="11" t="s">
        <v>37</v>
      </c>
      <c r="QV15" s="11" t="s">
        <v>37</v>
      </c>
      <c r="QW15" s="13" t="s">
        <v>37</v>
      </c>
      <c r="QX15" s="11" t="s">
        <v>37</v>
      </c>
      <c r="QY15" s="11" t="s">
        <v>37</v>
      </c>
      <c r="QZ15" s="13" t="s">
        <v>37</v>
      </c>
      <c r="RC15" s="12" t="s">
        <v>37</v>
      </c>
      <c r="RD15" s="12" t="s">
        <v>37</v>
      </c>
      <c r="RE15" s="13" t="s">
        <v>37</v>
      </c>
      <c r="RF15" s="12" t="s">
        <v>37</v>
      </c>
      <c r="RG15" s="12" t="s">
        <v>37</v>
      </c>
      <c r="RH15" s="13" t="s">
        <v>37</v>
      </c>
      <c r="RK15" s="11" t="s">
        <v>37</v>
      </c>
      <c r="RL15" s="11" t="s">
        <v>37</v>
      </c>
      <c r="RM15" s="11" t="s">
        <v>37</v>
      </c>
      <c r="RN15" s="11" t="s">
        <v>37</v>
      </c>
      <c r="RO15" s="11" t="s">
        <v>37</v>
      </c>
      <c r="RP15" s="11" t="s">
        <v>37</v>
      </c>
      <c r="RS15" s="11" t="s">
        <v>37</v>
      </c>
      <c r="RT15" s="11" t="s">
        <v>37</v>
      </c>
      <c r="RU15" s="11" t="s">
        <v>37</v>
      </c>
      <c r="RV15" s="11" t="s">
        <v>37</v>
      </c>
      <c r="RW15" s="11" t="s">
        <v>37</v>
      </c>
      <c r="RX15" s="11" t="s">
        <v>37</v>
      </c>
      <c r="SA15" s="11" t="s">
        <v>37</v>
      </c>
      <c r="SB15" s="11" t="s">
        <v>37</v>
      </c>
      <c r="SC15" s="13" t="s">
        <v>37</v>
      </c>
      <c r="SD15" s="11" t="s">
        <v>37</v>
      </c>
      <c r="SE15" s="11" t="s">
        <v>37</v>
      </c>
      <c r="SF15" s="13" t="s">
        <v>37</v>
      </c>
      <c r="SI15" s="12" t="s">
        <v>37</v>
      </c>
      <c r="SJ15" s="11" t="s">
        <v>37</v>
      </c>
      <c r="SK15" s="13" t="s">
        <v>37</v>
      </c>
      <c r="SM15" s="11" t="s">
        <v>37</v>
      </c>
      <c r="SN15" s="11" t="s">
        <v>37</v>
      </c>
      <c r="SO15" s="13" t="s">
        <v>37</v>
      </c>
      <c r="SU15" s="12" t="s">
        <v>37</v>
      </c>
      <c r="SV15" s="12" t="s">
        <v>37</v>
      </c>
      <c r="SW15" s="11" t="s">
        <v>37</v>
      </c>
      <c r="SX15" s="12" t="s">
        <v>37</v>
      </c>
      <c r="SY15" s="12" t="s">
        <v>37</v>
      </c>
      <c r="SZ15" s="11" t="s">
        <v>37</v>
      </c>
      <c r="TE15" s="12" t="s">
        <v>37</v>
      </c>
      <c r="TF15" s="12" t="s">
        <v>37</v>
      </c>
      <c r="TG15" s="11" t="s">
        <v>37</v>
      </c>
      <c r="TH15" s="12" t="s">
        <v>37</v>
      </c>
      <c r="TI15" s="12" t="s">
        <v>37</v>
      </c>
      <c r="TJ15" s="11" t="s">
        <v>37</v>
      </c>
      <c r="TO15" s="12" t="s">
        <v>37</v>
      </c>
      <c r="TP15" s="12" t="s">
        <v>37</v>
      </c>
      <c r="TQ15" s="11" t="s">
        <v>37</v>
      </c>
      <c r="TR15" s="12" t="s">
        <v>37</v>
      </c>
      <c r="TS15" s="12" t="s">
        <v>37</v>
      </c>
      <c r="TT15" s="11" t="s">
        <v>37</v>
      </c>
      <c r="TY15" s="12" t="s">
        <v>37</v>
      </c>
      <c r="TZ15" s="12" t="s">
        <v>37</v>
      </c>
      <c r="UA15" s="11" t="s">
        <v>37</v>
      </c>
      <c r="UB15" s="12" t="s">
        <v>37</v>
      </c>
      <c r="UC15" s="12" t="s">
        <v>37</v>
      </c>
      <c r="UD15" s="11" t="s">
        <v>37</v>
      </c>
      <c r="UI15" s="12" t="s">
        <v>37</v>
      </c>
      <c r="UJ15" s="12" t="s">
        <v>37</v>
      </c>
      <c r="UK15" s="13" t="s">
        <v>37</v>
      </c>
      <c r="UL15" s="12" t="s">
        <v>37</v>
      </c>
      <c r="UM15" s="12" t="s">
        <v>37</v>
      </c>
      <c r="UN15" s="13" t="s">
        <v>37</v>
      </c>
      <c r="UR15" s="12" t="s">
        <v>37</v>
      </c>
      <c r="US15" s="12" t="s">
        <v>37</v>
      </c>
      <c r="UT15" s="13" t="s">
        <v>37</v>
      </c>
      <c r="UU15" s="12" t="s">
        <v>37</v>
      </c>
      <c r="UV15" s="12" t="s">
        <v>37</v>
      </c>
      <c r="UW15" s="13" t="s">
        <v>37</v>
      </c>
      <c r="VB15" s="12" t="s">
        <v>37</v>
      </c>
      <c r="VC15" s="12" t="s">
        <v>37</v>
      </c>
      <c r="VD15" s="13" t="s">
        <v>37</v>
      </c>
      <c r="VE15" s="12" t="s">
        <v>37</v>
      </c>
      <c r="VF15" s="12" t="s">
        <v>37</v>
      </c>
      <c r="VG15" s="13" t="s">
        <v>37</v>
      </c>
      <c r="VI15" s="12" t="s">
        <v>37</v>
      </c>
      <c r="VJ15" s="12" t="s">
        <v>37</v>
      </c>
      <c r="VK15" s="13" t="s">
        <v>37</v>
      </c>
      <c r="VL15" s="12" t="s">
        <v>37</v>
      </c>
      <c r="VM15" s="12" t="s">
        <v>37</v>
      </c>
      <c r="VN15" s="13" t="s">
        <v>37</v>
      </c>
      <c r="VO15" s="12" t="s">
        <v>37</v>
      </c>
      <c r="VQ15" s="12" t="s">
        <v>37</v>
      </c>
      <c r="VR15" s="12" t="s">
        <v>37</v>
      </c>
      <c r="VS15" s="12" t="s">
        <v>37</v>
      </c>
      <c r="VT15" s="12" t="s">
        <v>37</v>
      </c>
      <c r="VU15" s="12" t="s">
        <v>37</v>
      </c>
      <c r="VV15" s="12" t="s">
        <v>37</v>
      </c>
      <c r="VW15" s="12"/>
      <c r="VX15" s="12"/>
      <c r="WA15" s="13" t="s">
        <v>37</v>
      </c>
      <c r="WB15" s="13" t="s">
        <v>37</v>
      </c>
      <c r="WC15" s="13" t="s">
        <v>37</v>
      </c>
      <c r="WD15" s="13" t="s">
        <v>37</v>
      </c>
      <c r="WE15" s="13" t="s">
        <v>37</v>
      </c>
      <c r="WF15" s="13" t="s">
        <v>37</v>
      </c>
    </row>
    <row r="16" spans="1:606" ht="18" customHeight="1" x14ac:dyDescent="0.3">
      <c r="A16" s="11">
        <v>3</v>
      </c>
      <c r="B16" s="12" t="s">
        <v>56</v>
      </c>
      <c r="C16" s="12" t="s">
        <v>26</v>
      </c>
      <c r="D16" s="12" t="s">
        <v>1039</v>
      </c>
      <c r="E16" s="39" t="s">
        <v>37</v>
      </c>
      <c r="F16" s="14">
        <v>0</v>
      </c>
      <c r="G16" s="14">
        <v>0</v>
      </c>
      <c r="H16" s="12" t="s">
        <v>79</v>
      </c>
      <c r="I16" s="29">
        <v>33.917999999999999</v>
      </c>
      <c r="J16" s="29">
        <v>102.815</v>
      </c>
      <c r="K16" s="12" t="s">
        <v>58</v>
      </c>
      <c r="L16" s="12" t="s">
        <v>62</v>
      </c>
      <c r="M16" s="13">
        <v>3438</v>
      </c>
      <c r="N16" s="14">
        <v>0.9</v>
      </c>
      <c r="O16" s="14">
        <v>658.8</v>
      </c>
      <c r="P16" s="14" t="s">
        <v>16</v>
      </c>
      <c r="Q16" s="75">
        <v>20</v>
      </c>
      <c r="R16" s="11" t="s">
        <v>37</v>
      </c>
      <c r="S16" s="12" t="s">
        <v>85</v>
      </c>
      <c r="T16" s="12" t="s">
        <v>876</v>
      </c>
      <c r="U16" s="12" t="s">
        <v>158</v>
      </c>
      <c r="V16" s="12" t="s">
        <v>275</v>
      </c>
      <c r="W16" s="23" t="s">
        <v>925</v>
      </c>
      <c r="X16" s="12" t="s">
        <v>280</v>
      </c>
      <c r="Y16" s="12" t="s">
        <v>69</v>
      </c>
      <c r="Z16" s="12" t="s">
        <v>37</v>
      </c>
      <c r="AA16" s="32" t="s">
        <v>345</v>
      </c>
      <c r="AB16" s="12">
        <v>7.5</v>
      </c>
      <c r="AC16" s="12" t="s">
        <v>42</v>
      </c>
      <c r="AD16" s="32" t="s">
        <v>345</v>
      </c>
      <c r="AE16" s="15">
        <v>160.87</v>
      </c>
      <c r="AF16" s="12" t="s">
        <v>42</v>
      </c>
      <c r="AG16" s="32" t="s">
        <v>345</v>
      </c>
      <c r="AH16" s="12">
        <v>18.07</v>
      </c>
      <c r="AJ16" s="12" t="str">
        <f t="shared" si="23"/>
        <v>0-10</v>
      </c>
      <c r="AK16" s="19">
        <f t="shared" si="24"/>
        <v>8.9026009961261767</v>
      </c>
      <c r="AL16" s="32" t="s">
        <v>486</v>
      </c>
      <c r="AM16" s="12" t="s">
        <v>317</v>
      </c>
      <c r="AN16" s="32" t="s">
        <v>880</v>
      </c>
      <c r="AO16" s="12" t="s">
        <v>37</v>
      </c>
      <c r="AP16" s="12" t="s">
        <v>108</v>
      </c>
      <c r="AQ16" s="12" t="s">
        <v>975</v>
      </c>
      <c r="AR16" s="12" t="s">
        <v>42</v>
      </c>
      <c r="AS16" s="32" t="s">
        <v>345</v>
      </c>
      <c r="AT16" s="15">
        <v>160.87</v>
      </c>
      <c r="AU16" s="15">
        <v>69.680000000000007</v>
      </c>
      <c r="AV16" s="18">
        <v>4</v>
      </c>
      <c r="AW16" s="52">
        <f t="shared" si="25"/>
        <v>0.43314477528439116</v>
      </c>
      <c r="AX16" s="15">
        <v>28.9</v>
      </c>
      <c r="AY16" s="15">
        <v>5.17</v>
      </c>
      <c r="AZ16" s="18">
        <v>4</v>
      </c>
      <c r="BA16" s="52">
        <f t="shared" si="26"/>
        <v>0.17889273356401383</v>
      </c>
      <c r="BB16" s="52">
        <f t="shared" si="27"/>
        <v>-1.7167549902838302</v>
      </c>
      <c r="BC16" s="19">
        <f t="shared" si="28"/>
        <v>5.4904251619542745E-2</v>
      </c>
      <c r="BE16" s="12" t="s">
        <v>326</v>
      </c>
      <c r="BF16" s="12" t="s">
        <v>326</v>
      </c>
      <c r="BG16" s="12" t="s">
        <v>326</v>
      </c>
      <c r="BI16" s="12" t="s">
        <v>326</v>
      </c>
      <c r="BJ16" s="12" t="s">
        <v>326</v>
      </c>
      <c r="BK16" s="12" t="s">
        <v>326</v>
      </c>
      <c r="BP16" s="12" t="s">
        <v>37</v>
      </c>
      <c r="BQ16" s="12" t="s">
        <v>37</v>
      </c>
      <c r="BR16" s="13" t="s">
        <v>37</v>
      </c>
      <c r="BT16" s="12" t="s">
        <v>37</v>
      </c>
      <c r="BU16" s="12" t="s">
        <v>37</v>
      </c>
      <c r="BV16" s="12" t="s">
        <v>37</v>
      </c>
      <c r="CA16" s="12" t="s">
        <v>37</v>
      </c>
      <c r="CB16" s="12" t="s">
        <v>37</v>
      </c>
      <c r="CC16" s="13" t="s">
        <v>37</v>
      </c>
      <c r="CE16" s="12" t="s">
        <v>37</v>
      </c>
      <c r="CF16" s="12" t="s">
        <v>37</v>
      </c>
      <c r="CG16" s="13" t="s">
        <v>37</v>
      </c>
      <c r="CI16" s="52"/>
      <c r="CJ16" s="12"/>
      <c r="CK16" s="73"/>
      <c r="CL16" s="73"/>
      <c r="CN16" s="12" t="s">
        <v>37</v>
      </c>
      <c r="CO16" s="12" t="s">
        <v>37</v>
      </c>
      <c r="CP16" s="13" t="s">
        <v>37</v>
      </c>
      <c r="CR16" s="12" t="s">
        <v>37</v>
      </c>
      <c r="CS16" s="12" t="s">
        <v>37</v>
      </c>
      <c r="CT16" s="13" t="s">
        <v>37</v>
      </c>
      <c r="CV16" s="52"/>
      <c r="CW16" s="52"/>
      <c r="CX16" s="73"/>
      <c r="CY16" s="73"/>
      <c r="DA16" s="12" t="s">
        <v>37</v>
      </c>
      <c r="DB16" s="12" t="s">
        <v>37</v>
      </c>
      <c r="DC16" s="13" t="s">
        <v>37</v>
      </c>
      <c r="DE16" s="12" t="s">
        <v>37</v>
      </c>
      <c r="DF16" s="12" t="s">
        <v>37</v>
      </c>
      <c r="DG16" s="13" t="s">
        <v>37</v>
      </c>
      <c r="DI16" s="52"/>
      <c r="DJ16" s="52"/>
      <c r="DK16" s="73"/>
      <c r="DL16" s="73"/>
      <c r="DM16" s="15" t="s">
        <v>47</v>
      </c>
      <c r="DN16" s="52">
        <f>(7.91*0.55+10.57*0.45)*("2013/09/30"-"2013/05/01")*24*10^4/10^6/'[1]classes-1'!$I$10</f>
        <v>382.09999892536933</v>
      </c>
      <c r="DO16" s="15">
        <f>SQRT((1/[2]Classes!$I$10)^2*(SQRT(0.55^2*1.65^2+0.45^2*3.1^2)*("2013/09/30"-"2013/05/01")*24*10^4/10^6)^2+(-DN16/([2]Classes!$I$10)^2)^2*([2]Classes!$J$10)^2)</f>
        <v>116.45849359259256</v>
      </c>
      <c r="DP16" s="18">
        <v>9</v>
      </c>
      <c r="DQ16" s="19">
        <f t="shared" si="7"/>
        <v>0.30478538058132498</v>
      </c>
      <c r="DR16" s="52">
        <f>0.84*("2013/09/30"-"2013/05/01")*24*10^4/10^6/'[1]classes-1'!$I$11</f>
        <v>31.035112032198569</v>
      </c>
      <c r="DS16" s="15">
        <f>SQRT((1/[2]Classes!$I$11)^2*(0.16*("2013/09/30"-"2013/05/01")*24*10^4/10^6)^2+(-DR16/([2]Classes!$I$11)^2)^2*([2]Classes!$J$11)^2)</f>
        <v>65.358501102872523</v>
      </c>
      <c r="DT16" s="18">
        <v>9</v>
      </c>
      <c r="DU16" s="19">
        <f t="shared" si="8"/>
        <v>2.1059534450870947</v>
      </c>
      <c r="DV16" s="19">
        <f t="shared" si="3"/>
        <v>-351.06488689317075</v>
      </c>
      <c r="DW16" s="12">
        <f t="shared" si="4"/>
        <v>94.430700506429872</v>
      </c>
      <c r="DX16" s="72">
        <f t="shared" si="5"/>
        <v>1981.5904884744566</v>
      </c>
      <c r="DY16" s="72">
        <f t="shared" si="6"/>
        <v>1981.5904884744568</v>
      </c>
      <c r="DZ16" s="15"/>
      <c r="EA16" s="52" t="s">
        <v>37</v>
      </c>
      <c r="EB16" s="52" t="s">
        <v>37</v>
      </c>
      <c r="EC16" s="73" t="s">
        <v>37</v>
      </c>
      <c r="ED16" s="52"/>
      <c r="EE16" s="52" t="s">
        <v>37</v>
      </c>
      <c r="EF16" s="52" t="s">
        <v>37</v>
      </c>
      <c r="EG16" s="15" t="s">
        <v>37</v>
      </c>
      <c r="EH16" s="52"/>
      <c r="EI16" s="52"/>
      <c r="EJ16" s="52"/>
      <c r="EK16" s="52"/>
      <c r="EL16" s="52"/>
      <c r="EM16" s="12" t="s">
        <v>39</v>
      </c>
      <c r="EN16" s="12">
        <f>-29.8*0.55-15.4*0.45</f>
        <v>-23.32</v>
      </c>
      <c r="EO16" s="12">
        <f>SQRT(14.58^2*0.45^2+0.55^2*15.39^2)</f>
        <v>10.709550935963657</v>
      </c>
      <c r="EP16" s="13">
        <v>4</v>
      </c>
      <c r="EQ16" s="19">
        <f t="shared" si="29"/>
        <v>0.45924317907219797</v>
      </c>
      <c r="ER16" s="12" t="s">
        <v>37</v>
      </c>
      <c r="ES16" s="12" t="s">
        <v>37</v>
      </c>
      <c r="ET16" s="13" t="s">
        <v>37</v>
      </c>
      <c r="FB16" s="11" t="s">
        <v>37</v>
      </c>
      <c r="FC16" s="11" t="s">
        <v>37</v>
      </c>
      <c r="FD16" s="11" t="s">
        <v>37</v>
      </c>
      <c r="FE16" s="12" t="s">
        <v>37</v>
      </c>
      <c r="FF16" s="20" t="s">
        <v>37</v>
      </c>
      <c r="FG16" s="11" t="s">
        <v>37</v>
      </c>
      <c r="FI16" s="11" t="s">
        <v>37</v>
      </c>
      <c r="FJ16" s="11" t="s">
        <v>37</v>
      </c>
      <c r="FK16" s="11" t="s">
        <v>37</v>
      </c>
      <c r="FL16" s="13" t="s">
        <v>37</v>
      </c>
      <c r="FM16" s="11" t="s">
        <v>37</v>
      </c>
      <c r="FN16" s="11" t="s">
        <v>37</v>
      </c>
      <c r="FP16" s="11" t="s">
        <v>37</v>
      </c>
      <c r="FQ16" s="11" t="s">
        <v>37</v>
      </c>
      <c r="FR16" s="11" t="s">
        <v>37</v>
      </c>
      <c r="FS16" s="13" t="s">
        <v>37</v>
      </c>
      <c r="FT16" s="11" t="s">
        <v>37</v>
      </c>
      <c r="FU16" s="11" t="s">
        <v>37</v>
      </c>
      <c r="FW16" s="11" t="s">
        <v>37</v>
      </c>
      <c r="FX16" s="11" t="s">
        <v>37</v>
      </c>
      <c r="FY16" s="11" t="s">
        <v>37</v>
      </c>
      <c r="FZ16" s="13" t="s">
        <v>37</v>
      </c>
      <c r="GA16" s="11" t="s">
        <v>37</v>
      </c>
      <c r="GB16" s="11" t="s">
        <v>37</v>
      </c>
      <c r="GE16" s="11"/>
      <c r="GF16" s="11"/>
      <c r="GI16" s="11"/>
      <c r="GJ16" s="11"/>
      <c r="GO16" s="12" t="s">
        <v>660</v>
      </c>
      <c r="GP16" s="12" t="s">
        <v>330</v>
      </c>
      <c r="GQ16" s="12">
        <f>10.83*0.45+10.99*0.55</f>
        <v>10.917999999999999</v>
      </c>
      <c r="GR16" s="12">
        <f>SQRT(3.38^2*0.45^2+4.04^2*0.55^2)</f>
        <v>2.6927170293218707</v>
      </c>
      <c r="GS16" s="13">
        <v>4</v>
      </c>
      <c r="GT16" s="19">
        <f t="shared" si="32"/>
        <v>0.2466309790549433</v>
      </c>
      <c r="HA16" s="17" t="s">
        <v>63</v>
      </c>
      <c r="HB16" s="34" t="s">
        <v>345</v>
      </c>
      <c r="HC16" s="12">
        <v>0.35199999999999998</v>
      </c>
      <c r="HD16" s="12">
        <v>8.3000000000000004E-2</v>
      </c>
      <c r="HE16" s="13">
        <v>4</v>
      </c>
      <c r="HF16" s="19">
        <f t="shared" si="33"/>
        <v>0.23579545454545456</v>
      </c>
      <c r="HG16" s="12">
        <v>0.755</v>
      </c>
      <c r="HH16" s="12">
        <v>0.06</v>
      </c>
      <c r="HI16" s="13">
        <v>4</v>
      </c>
      <c r="HJ16" s="19">
        <f t="shared" si="34"/>
        <v>7.9470198675496692E-2</v>
      </c>
      <c r="HK16" s="19">
        <f t="shared" si="20"/>
        <v>0.76308657365092769</v>
      </c>
      <c r="HL16" s="19">
        <f t="shared" si="35"/>
        <v>1.5478752215455114E-2</v>
      </c>
      <c r="HX16" s="32"/>
      <c r="IK16" s="12" t="s">
        <v>37</v>
      </c>
      <c r="IL16" s="12" t="s">
        <v>37</v>
      </c>
      <c r="IM16" s="13" t="s">
        <v>37</v>
      </c>
      <c r="IO16" s="12" t="s">
        <v>37</v>
      </c>
      <c r="IP16" s="12" t="s">
        <v>37</v>
      </c>
      <c r="IQ16" s="13" t="s">
        <v>37</v>
      </c>
      <c r="IV16" s="32" t="s">
        <v>345</v>
      </c>
      <c r="IW16" s="12">
        <v>7.5</v>
      </c>
      <c r="IX16" s="12">
        <v>0.2</v>
      </c>
      <c r="IY16" s="13">
        <v>4</v>
      </c>
      <c r="IZ16" s="19">
        <f t="shared" si="36"/>
        <v>2.6666666666666668E-2</v>
      </c>
      <c r="JA16" s="12">
        <v>8.1</v>
      </c>
      <c r="JB16" s="12">
        <v>0.1</v>
      </c>
      <c r="JC16" s="13">
        <v>4</v>
      </c>
      <c r="JD16" s="19">
        <f t="shared" si="37"/>
        <v>1.234567901234568E-2</v>
      </c>
      <c r="JE16" s="19">
        <f t="shared" si="38"/>
        <v>7.6961041136128186E-2</v>
      </c>
      <c r="JF16" s="19">
        <f t="shared" si="39"/>
        <v>2.1588172534674595E-4</v>
      </c>
      <c r="JH16" s="12" t="s">
        <v>37</v>
      </c>
      <c r="JI16" s="12" t="s">
        <v>37</v>
      </c>
      <c r="JJ16" s="13" t="s">
        <v>37</v>
      </c>
      <c r="JL16" s="12" t="s">
        <v>37</v>
      </c>
      <c r="JM16" s="12" t="s">
        <v>37</v>
      </c>
      <c r="JN16" s="12" t="s">
        <v>37</v>
      </c>
      <c r="JS16" s="12" t="s">
        <v>37</v>
      </c>
      <c r="JT16" s="12" t="s">
        <v>37</v>
      </c>
      <c r="JU16" s="13" t="s">
        <v>37</v>
      </c>
      <c r="JW16" s="12" t="s">
        <v>37</v>
      </c>
      <c r="JX16" s="12" t="s">
        <v>37</v>
      </c>
      <c r="JY16" s="12" t="s">
        <v>37</v>
      </c>
      <c r="KE16" s="11" t="s">
        <v>37</v>
      </c>
      <c r="KF16" s="11" t="s">
        <v>37</v>
      </c>
      <c r="KG16" s="13" t="s">
        <v>37</v>
      </c>
      <c r="KH16" s="11" t="s">
        <v>37</v>
      </c>
      <c r="KI16" s="11" t="s">
        <v>37</v>
      </c>
      <c r="KJ16" s="11" t="s">
        <v>37</v>
      </c>
      <c r="KK16" s="12" t="s">
        <v>42</v>
      </c>
      <c r="KL16" s="32" t="s">
        <v>345</v>
      </c>
      <c r="KM16" s="12">
        <v>18.07</v>
      </c>
      <c r="KN16" s="12">
        <v>0.19</v>
      </c>
      <c r="KO16" s="11">
        <v>4</v>
      </c>
      <c r="KP16" s="19">
        <f t="shared" si="40"/>
        <v>1.0514665190924184E-2</v>
      </c>
      <c r="KQ16" s="12">
        <v>2.34</v>
      </c>
      <c r="KR16" s="12">
        <v>0.38</v>
      </c>
      <c r="KS16" s="13">
        <v>4</v>
      </c>
      <c r="KT16" s="19">
        <f t="shared" si="41"/>
        <v>0.1623931623931624</v>
      </c>
      <c r="KU16" s="19">
        <f t="shared" ref="KU16:KU17" si="53">LN(KQ16/KM16)</f>
        <v>-2.044102175234527</v>
      </c>
      <c r="KV16" s="19">
        <f t="shared" si="42"/>
        <v>6.6205243440323122E-3</v>
      </c>
      <c r="KX16" s="16" t="s">
        <v>37</v>
      </c>
      <c r="KY16" s="16" t="s">
        <v>37</v>
      </c>
      <c r="KZ16" s="13" t="s">
        <v>37</v>
      </c>
      <c r="LB16" s="16" t="s">
        <v>37</v>
      </c>
      <c r="LC16" s="16" t="s">
        <v>37</v>
      </c>
      <c r="LD16" s="13" t="s">
        <v>37</v>
      </c>
      <c r="LI16" s="12" t="s">
        <v>37</v>
      </c>
      <c r="LJ16" s="12" t="s">
        <v>37</v>
      </c>
      <c r="LK16" s="12" t="s">
        <v>37</v>
      </c>
      <c r="LM16" s="12" t="s">
        <v>37</v>
      </c>
      <c r="LN16" s="12" t="s">
        <v>37</v>
      </c>
      <c r="LO16" s="12" t="s">
        <v>37</v>
      </c>
      <c r="LT16" s="12" t="s">
        <v>345</v>
      </c>
      <c r="LU16" s="12">
        <f>AT16/KM16</f>
        <v>8.9026009961261767</v>
      </c>
      <c r="LV16" s="12">
        <f>SQRT((1/KM16)^2*AU16^2+AT16^2*(-1/KM16^2)^2*KN16^2)</f>
        <v>3.8572511142757904</v>
      </c>
      <c r="LW16" s="13">
        <f t="shared" si="43"/>
        <v>4</v>
      </c>
      <c r="LX16" s="19">
        <f t="shared" si="44"/>
        <v>0.43327237915685662</v>
      </c>
      <c r="LY16" s="12">
        <f>AX16/KQ16</f>
        <v>12.350427350427351</v>
      </c>
      <c r="LZ16" s="12">
        <f>SQRT((1/KQ16)^2*AY16^2+AX16^2*(-1/KQ16^2)^2*KR16^2)</f>
        <v>2.9839549880972012</v>
      </c>
      <c r="MA16" s="16">
        <f t="shared" si="45"/>
        <v>4</v>
      </c>
      <c r="MB16" s="19">
        <f t="shared" si="46"/>
        <v>0.2416074281019879</v>
      </c>
      <c r="MC16" s="19">
        <f t="shared" si="47"/>
        <v>0.32734718495069692</v>
      </c>
      <c r="MD16" s="19">
        <f t="shared" si="48"/>
        <v>6.1524775963575043E-2</v>
      </c>
      <c r="MF16" s="12" t="s">
        <v>37</v>
      </c>
      <c r="MG16" s="12" t="s">
        <v>37</v>
      </c>
      <c r="MH16" s="12" t="s">
        <v>37</v>
      </c>
      <c r="MJ16" s="12" t="s">
        <v>37</v>
      </c>
      <c r="MK16" s="12" t="s">
        <v>37</v>
      </c>
      <c r="ML16" s="12" t="s">
        <v>37</v>
      </c>
      <c r="MQ16" s="12" t="s">
        <v>37</v>
      </c>
      <c r="MR16" s="12" t="s">
        <v>37</v>
      </c>
      <c r="MS16" s="12" t="s">
        <v>37</v>
      </c>
      <c r="MU16" s="12" t="s">
        <v>37</v>
      </c>
      <c r="MV16" s="12" t="s">
        <v>37</v>
      </c>
      <c r="MW16" s="12" t="s">
        <v>37</v>
      </c>
      <c r="NC16" s="11" t="s">
        <v>37</v>
      </c>
      <c r="ND16" s="11" t="s">
        <v>37</v>
      </c>
      <c r="NE16" s="13" t="s">
        <v>37</v>
      </c>
      <c r="NG16" s="11" t="s">
        <v>37</v>
      </c>
      <c r="NH16" s="11" t="s">
        <v>37</v>
      </c>
      <c r="NI16" s="13" t="s">
        <v>37</v>
      </c>
      <c r="NO16" s="11" t="s">
        <v>37</v>
      </c>
      <c r="NP16" s="11" t="s">
        <v>37</v>
      </c>
      <c r="NQ16" s="13" t="s">
        <v>37</v>
      </c>
      <c r="NS16" s="11" t="s">
        <v>37</v>
      </c>
      <c r="NT16" s="11" t="s">
        <v>37</v>
      </c>
      <c r="NU16" s="13" t="s">
        <v>37</v>
      </c>
      <c r="OA16" s="11" t="s">
        <v>37</v>
      </c>
      <c r="OB16" s="11" t="s">
        <v>37</v>
      </c>
      <c r="OC16" s="13" t="s">
        <v>37</v>
      </c>
      <c r="OE16" s="11" t="s">
        <v>37</v>
      </c>
      <c r="OF16" s="11" t="s">
        <v>37</v>
      </c>
      <c r="OG16" s="13" t="s">
        <v>37</v>
      </c>
      <c r="OM16" s="11" t="s">
        <v>37</v>
      </c>
      <c r="ON16" s="11" t="s">
        <v>37</v>
      </c>
      <c r="OO16" s="11" t="s">
        <v>37</v>
      </c>
      <c r="OP16" s="11" t="s">
        <v>37</v>
      </c>
      <c r="OQ16" s="11" t="s">
        <v>37</v>
      </c>
      <c r="OR16" s="11" t="s">
        <v>37</v>
      </c>
      <c r="OW16" s="11" t="s">
        <v>37</v>
      </c>
      <c r="OX16" s="11" t="s">
        <v>37</v>
      </c>
      <c r="OY16" s="13" t="s">
        <v>37</v>
      </c>
      <c r="OZ16" s="11" t="s">
        <v>37</v>
      </c>
      <c r="PA16" s="11" t="s">
        <v>37</v>
      </c>
      <c r="PB16" s="13" t="s">
        <v>37</v>
      </c>
      <c r="PG16" s="11" t="s">
        <v>37</v>
      </c>
      <c r="PH16" s="11" t="s">
        <v>37</v>
      </c>
      <c r="PI16" s="13" t="s">
        <v>37</v>
      </c>
      <c r="PJ16" s="11" t="s">
        <v>37</v>
      </c>
      <c r="PK16" s="11" t="s">
        <v>37</v>
      </c>
      <c r="PL16" s="13" t="s">
        <v>37</v>
      </c>
      <c r="PQ16" s="11" t="s">
        <v>37</v>
      </c>
      <c r="PR16" s="11" t="s">
        <v>37</v>
      </c>
      <c r="PS16" s="13" t="s">
        <v>37</v>
      </c>
      <c r="PT16" s="11" t="s">
        <v>37</v>
      </c>
      <c r="PU16" s="11" t="s">
        <v>37</v>
      </c>
      <c r="PV16" s="13" t="s">
        <v>37</v>
      </c>
      <c r="PY16" s="12" t="s">
        <v>43</v>
      </c>
      <c r="PZ16" s="12">
        <v>464.46</v>
      </c>
      <c r="QA16" s="12">
        <v>137.91</v>
      </c>
      <c r="QB16" s="11">
        <v>4</v>
      </c>
      <c r="QC16" s="19">
        <f t="shared" si="49"/>
        <v>0.29692546182663737</v>
      </c>
      <c r="QD16" s="12">
        <v>680.69</v>
      </c>
      <c r="QE16" s="12">
        <v>79.510000000000005</v>
      </c>
      <c r="QF16" s="13">
        <v>4</v>
      </c>
      <c r="QG16" s="19">
        <f t="shared" si="50"/>
        <v>0.11680794487946054</v>
      </c>
      <c r="QH16" s="19">
        <f t="shared" si="51"/>
        <v>0.38223154914180624</v>
      </c>
      <c r="QI16" s="19">
        <f>QE16^2/(QF16*QD16^2)+QA16^2/(QB16*PZ16^2)</f>
        <v>2.5452206466981247E-2</v>
      </c>
      <c r="QJ16" s="12" t="s">
        <v>43</v>
      </c>
      <c r="QK16" s="12">
        <v>3027.87</v>
      </c>
      <c r="QL16" s="12">
        <v>1540.24</v>
      </c>
      <c r="QM16" s="13">
        <v>4</v>
      </c>
      <c r="QN16" s="12">
        <v>3742.23</v>
      </c>
      <c r="QO16" s="12">
        <v>551.09</v>
      </c>
      <c r="QP16" s="13">
        <v>4</v>
      </c>
      <c r="QQ16" s="19">
        <f t="shared" si="22"/>
        <v>0.21182228839577211</v>
      </c>
      <c r="QR16" s="19">
        <f t="shared" si="52"/>
        <v>7.0112333148099032E-2</v>
      </c>
      <c r="QU16" s="11" t="s">
        <v>37</v>
      </c>
      <c r="QV16" s="11" t="s">
        <v>37</v>
      </c>
      <c r="QW16" s="13" t="s">
        <v>37</v>
      </c>
      <c r="QX16" s="11" t="s">
        <v>37</v>
      </c>
      <c r="QY16" s="11" t="s">
        <v>37</v>
      </c>
      <c r="QZ16" s="13" t="s">
        <v>37</v>
      </c>
      <c r="RC16" s="12" t="s">
        <v>37</v>
      </c>
      <c r="RD16" s="12" t="s">
        <v>37</v>
      </c>
      <c r="RE16" s="13" t="s">
        <v>37</v>
      </c>
      <c r="RF16" s="12" t="s">
        <v>37</v>
      </c>
      <c r="RG16" s="12" t="s">
        <v>37</v>
      </c>
      <c r="RH16" s="13" t="s">
        <v>37</v>
      </c>
      <c r="RK16" s="11" t="s">
        <v>37</v>
      </c>
      <c r="RL16" s="11" t="s">
        <v>37</v>
      </c>
      <c r="RM16" s="11" t="s">
        <v>37</v>
      </c>
      <c r="RN16" s="11" t="s">
        <v>37</v>
      </c>
      <c r="RO16" s="11" t="s">
        <v>37</v>
      </c>
      <c r="RP16" s="11" t="s">
        <v>37</v>
      </c>
      <c r="RS16" s="11" t="s">
        <v>37</v>
      </c>
      <c r="RT16" s="11" t="s">
        <v>37</v>
      </c>
      <c r="RU16" s="11" t="s">
        <v>37</v>
      </c>
      <c r="RV16" s="11" t="s">
        <v>37</v>
      </c>
      <c r="RW16" s="11" t="s">
        <v>37</v>
      </c>
      <c r="RX16" s="11" t="s">
        <v>37</v>
      </c>
      <c r="SA16" s="11" t="s">
        <v>37</v>
      </c>
      <c r="SB16" s="11" t="s">
        <v>37</v>
      </c>
      <c r="SC16" s="13" t="s">
        <v>37</v>
      </c>
      <c r="SD16" s="11" t="s">
        <v>37</v>
      </c>
      <c r="SE16" s="11" t="s">
        <v>37</v>
      </c>
      <c r="SF16" s="13" t="s">
        <v>37</v>
      </c>
      <c r="SI16" s="12" t="s">
        <v>37</v>
      </c>
      <c r="SJ16" s="11" t="s">
        <v>37</v>
      </c>
      <c r="SK16" s="13" t="s">
        <v>37</v>
      </c>
      <c r="SM16" s="11" t="s">
        <v>37</v>
      </c>
      <c r="SN16" s="11" t="s">
        <v>37</v>
      </c>
      <c r="SO16" s="13" t="s">
        <v>37</v>
      </c>
      <c r="SU16" s="12" t="s">
        <v>37</v>
      </c>
      <c r="SV16" s="12" t="s">
        <v>37</v>
      </c>
      <c r="SW16" s="11" t="s">
        <v>37</v>
      </c>
      <c r="SX16" s="12" t="s">
        <v>37</v>
      </c>
      <c r="SY16" s="12" t="s">
        <v>37</v>
      </c>
      <c r="SZ16" s="11" t="s">
        <v>37</v>
      </c>
      <c r="TE16" s="12" t="s">
        <v>37</v>
      </c>
      <c r="TF16" s="12" t="s">
        <v>37</v>
      </c>
      <c r="TG16" s="11" t="s">
        <v>37</v>
      </c>
      <c r="TH16" s="12" t="s">
        <v>37</v>
      </c>
      <c r="TI16" s="12" t="s">
        <v>37</v>
      </c>
      <c r="TJ16" s="11" t="s">
        <v>37</v>
      </c>
      <c r="TO16" s="12" t="s">
        <v>37</v>
      </c>
      <c r="TP16" s="12" t="s">
        <v>37</v>
      </c>
      <c r="TQ16" s="11" t="s">
        <v>37</v>
      </c>
      <c r="TR16" s="12" t="s">
        <v>37</v>
      </c>
      <c r="TS16" s="12" t="s">
        <v>37</v>
      </c>
      <c r="TT16" s="11" t="s">
        <v>37</v>
      </c>
      <c r="TY16" s="12" t="s">
        <v>37</v>
      </c>
      <c r="TZ16" s="12" t="s">
        <v>37</v>
      </c>
      <c r="UA16" s="11" t="s">
        <v>37</v>
      </c>
      <c r="UB16" s="12" t="s">
        <v>37</v>
      </c>
      <c r="UC16" s="12" t="s">
        <v>37</v>
      </c>
      <c r="UD16" s="11" t="s">
        <v>37</v>
      </c>
      <c r="UI16" s="12" t="s">
        <v>37</v>
      </c>
      <c r="UJ16" s="12" t="s">
        <v>37</v>
      </c>
      <c r="UK16" s="13" t="s">
        <v>37</v>
      </c>
      <c r="UL16" s="12" t="s">
        <v>37</v>
      </c>
      <c r="UM16" s="12" t="s">
        <v>37</v>
      </c>
      <c r="UN16" s="13" t="s">
        <v>37</v>
      </c>
      <c r="UR16" s="12" t="s">
        <v>37</v>
      </c>
      <c r="US16" s="12" t="s">
        <v>37</v>
      </c>
      <c r="UT16" s="13" t="s">
        <v>37</v>
      </c>
      <c r="UU16" s="12" t="s">
        <v>37</v>
      </c>
      <c r="UV16" s="12" t="s">
        <v>37</v>
      </c>
      <c r="UW16" s="13" t="s">
        <v>37</v>
      </c>
      <c r="VB16" s="12" t="s">
        <v>37</v>
      </c>
      <c r="VC16" s="12" t="s">
        <v>37</v>
      </c>
      <c r="VD16" s="13" t="s">
        <v>37</v>
      </c>
      <c r="VE16" s="12" t="s">
        <v>37</v>
      </c>
      <c r="VF16" s="12" t="s">
        <v>37</v>
      </c>
      <c r="VG16" s="13" t="s">
        <v>37</v>
      </c>
      <c r="VI16" s="12" t="s">
        <v>37</v>
      </c>
      <c r="VJ16" s="12" t="s">
        <v>37</v>
      </c>
      <c r="VK16" s="13" t="s">
        <v>37</v>
      </c>
      <c r="VL16" s="12" t="s">
        <v>37</v>
      </c>
      <c r="VM16" s="12" t="s">
        <v>37</v>
      </c>
      <c r="VN16" s="13" t="s">
        <v>37</v>
      </c>
      <c r="VO16" s="12" t="s">
        <v>37</v>
      </c>
      <c r="VQ16" s="12" t="s">
        <v>37</v>
      </c>
      <c r="VR16" s="12" t="s">
        <v>37</v>
      </c>
      <c r="VS16" s="12" t="s">
        <v>37</v>
      </c>
      <c r="VT16" s="12" t="s">
        <v>37</v>
      </c>
      <c r="VU16" s="12" t="s">
        <v>37</v>
      </c>
      <c r="VV16" s="12" t="s">
        <v>37</v>
      </c>
      <c r="VW16" s="12"/>
      <c r="VX16" s="12"/>
      <c r="WA16" s="13" t="s">
        <v>37</v>
      </c>
      <c r="WB16" s="13" t="s">
        <v>37</v>
      </c>
      <c r="WC16" s="13" t="s">
        <v>37</v>
      </c>
      <c r="WD16" s="13" t="s">
        <v>37</v>
      </c>
      <c r="WE16" s="13" t="s">
        <v>37</v>
      </c>
      <c r="WF16" s="13" t="s">
        <v>37</v>
      </c>
    </row>
    <row r="17" spans="1:604" ht="18" customHeight="1" x14ac:dyDescent="0.3">
      <c r="A17" s="11">
        <v>3</v>
      </c>
      <c r="B17" s="12" t="s">
        <v>56</v>
      </c>
      <c r="C17" s="12" t="s">
        <v>26</v>
      </c>
      <c r="D17" s="12" t="s">
        <v>1039</v>
      </c>
      <c r="E17" s="39" t="s">
        <v>37</v>
      </c>
      <c r="F17" s="14">
        <v>0</v>
      </c>
      <c r="G17" s="14">
        <v>0</v>
      </c>
      <c r="H17" s="12" t="s">
        <v>79</v>
      </c>
      <c r="I17" s="29">
        <v>33.917999999999999</v>
      </c>
      <c r="J17" s="29">
        <v>102.815</v>
      </c>
      <c r="K17" s="12" t="s">
        <v>58</v>
      </c>
      <c r="L17" s="12" t="s">
        <v>62</v>
      </c>
      <c r="M17" s="13">
        <v>3438</v>
      </c>
      <c r="N17" s="14">
        <v>0.9</v>
      </c>
      <c r="O17" s="14">
        <v>659.8</v>
      </c>
      <c r="P17" s="14" t="s">
        <v>16</v>
      </c>
      <c r="Q17" s="75">
        <v>21</v>
      </c>
      <c r="R17" s="11" t="s">
        <v>1000</v>
      </c>
      <c r="S17" s="12" t="s">
        <v>85</v>
      </c>
      <c r="T17" s="12" t="s">
        <v>876</v>
      </c>
      <c r="U17" s="12" t="s">
        <v>158</v>
      </c>
      <c r="V17" s="12" t="s">
        <v>275</v>
      </c>
      <c r="W17" s="23" t="s">
        <v>294</v>
      </c>
      <c r="X17" s="12" t="s">
        <v>280</v>
      </c>
      <c r="Y17" s="12" t="s">
        <v>69</v>
      </c>
      <c r="Z17" s="12" t="s">
        <v>37</v>
      </c>
      <c r="AA17" s="32" t="s">
        <v>345</v>
      </c>
      <c r="AB17" s="12">
        <v>7.5</v>
      </c>
      <c r="AC17" s="12" t="s">
        <v>42</v>
      </c>
      <c r="AD17" s="32" t="s">
        <v>345</v>
      </c>
      <c r="AE17" s="15">
        <v>160.87</v>
      </c>
      <c r="AF17" s="12" t="s">
        <v>42</v>
      </c>
      <c r="AG17" s="32" t="s">
        <v>345</v>
      </c>
      <c r="AH17" s="12">
        <v>18.07</v>
      </c>
      <c r="AJ17" s="12" t="str">
        <f t="shared" si="23"/>
        <v>0-10</v>
      </c>
      <c r="AK17" s="19">
        <f t="shared" si="24"/>
        <v>8.9026009961261767</v>
      </c>
      <c r="AL17" s="32" t="s">
        <v>487</v>
      </c>
      <c r="AM17" s="12" t="s">
        <v>317</v>
      </c>
      <c r="AN17" s="32" t="s">
        <v>880</v>
      </c>
      <c r="AO17" s="12" t="s">
        <v>37</v>
      </c>
      <c r="AP17" s="12" t="s">
        <v>108</v>
      </c>
      <c r="AQ17" s="12" t="s">
        <v>975</v>
      </c>
      <c r="AR17" s="12" t="s">
        <v>42</v>
      </c>
      <c r="AS17" s="32" t="s">
        <v>345</v>
      </c>
      <c r="AT17" s="15">
        <v>160.87</v>
      </c>
      <c r="AU17" s="15">
        <v>69.680000000000007</v>
      </c>
      <c r="AV17" s="18">
        <v>4</v>
      </c>
      <c r="AW17" s="52">
        <f t="shared" si="25"/>
        <v>0.43314477528439116</v>
      </c>
      <c r="AX17" s="15">
        <v>28.9</v>
      </c>
      <c r="AY17" s="15">
        <v>5.17</v>
      </c>
      <c r="AZ17" s="18">
        <v>4</v>
      </c>
      <c r="BA17" s="52">
        <f t="shared" si="26"/>
        <v>0.17889273356401383</v>
      </c>
      <c r="BB17" s="52">
        <f t="shared" si="27"/>
        <v>-1.7167549902838302</v>
      </c>
      <c r="BC17" s="19">
        <f t="shared" si="28"/>
        <v>5.4904251619542745E-2</v>
      </c>
      <c r="BE17" s="12" t="s">
        <v>326</v>
      </c>
      <c r="BF17" s="12" t="s">
        <v>326</v>
      </c>
      <c r="BG17" s="12" t="s">
        <v>326</v>
      </c>
      <c r="BI17" s="12" t="s">
        <v>326</v>
      </c>
      <c r="BJ17" s="12" t="s">
        <v>326</v>
      </c>
      <c r="BK17" s="12" t="s">
        <v>326</v>
      </c>
      <c r="BP17" s="12" t="s">
        <v>37</v>
      </c>
      <c r="BQ17" s="12" t="s">
        <v>37</v>
      </c>
      <c r="BR17" s="13" t="s">
        <v>37</v>
      </c>
      <c r="BT17" s="12" t="s">
        <v>37</v>
      </c>
      <c r="BU17" s="12" t="s">
        <v>37</v>
      </c>
      <c r="BV17" s="12" t="s">
        <v>37</v>
      </c>
      <c r="CA17" s="12" t="s">
        <v>37</v>
      </c>
      <c r="CB17" s="12" t="s">
        <v>37</v>
      </c>
      <c r="CC17" s="13" t="s">
        <v>37</v>
      </c>
      <c r="CE17" s="12" t="s">
        <v>37</v>
      </c>
      <c r="CF17" s="12" t="s">
        <v>37</v>
      </c>
      <c r="CG17" s="13" t="s">
        <v>37</v>
      </c>
      <c r="CI17" s="52"/>
      <c r="CJ17" s="12"/>
      <c r="CK17" s="73"/>
      <c r="CL17" s="73"/>
      <c r="CN17" s="12" t="s">
        <v>37</v>
      </c>
      <c r="CO17" s="12" t="s">
        <v>37</v>
      </c>
      <c r="CP17" s="13" t="s">
        <v>37</v>
      </c>
      <c r="CR17" s="12" t="s">
        <v>37</v>
      </c>
      <c r="CS17" s="12" t="s">
        <v>37</v>
      </c>
      <c r="CT17" s="13" t="s">
        <v>37</v>
      </c>
      <c r="CV17" s="52"/>
      <c r="CW17" s="52"/>
      <c r="CX17" s="73"/>
      <c r="CY17" s="73"/>
      <c r="DA17" s="12" t="s">
        <v>37</v>
      </c>
      <c r="DB17" s="12" t="s">
        <v>37</v>
      </c>
      <c r="DC17" s="13" t="s">
        <v>37</v>
      </c>
      <c r="DE17" s="12" t="s">
        <v>37</v>
      </c>
      <c r="DF17" s="12" t="s">
        <v>37</v>
      </c>
      <c r="DG17" s="13" t="s">
        <v>37</v>
      </c>
      <c r="DI17" s="52"/>
      <c r="DJ17" s="52"/>
      <c r="DK17" s="73"/>
      <c r="DL17" s="73"/>
      <c r="DM17" s="15" t="s">
        <v>47</v>
      </c>
      <c r="DN17" s="52">
        <f>(0.62*0.55+2.47*0.45)*("2013/09/30"-"2013/05/01")*24*10^4/10^6/'[1]classes-1'!$I$10</f>
        <v>60.942159705621961</v>
      </c>
      <c r="DO17" s="15">
        <f>SQRT((1/[2]Classes!$I$11)^2*(SQRT(0.55^2*0.12^2+0.45^2*0.39^2)*("2013/09/30"-"2013/05/01")*24*10^4/10^6)^2+(-DN17/([2]Classes!$I$10)^2)^2*([2]Classes!$J$10)^2)</f>
        <v>16.400357502575496</v>
      </c>
      <c r="DP17" s="18">
        <v>12</v>
      </c>
      <c r="DQ17" s="19">
        <f t="shared" si="7"/>
        <v>0.26911349354529929</v>
      </c>
      <c r="DR17" s="52">
        <f>0.84*("2013/09/30"-"2013/05/01")*24*10^4/10^6/'[1]classes-1'!$I$11</f>
        <v>31.035112032198569</v>
      </c>
      <c r="DS17" s="15">
        <f>DS16</f>
        <v>65.358501102872523</v>
      </c>
      <c r="DT17" s="18">
        <v>12</v>
      </c>
      <c r="DU17" s="19">
        <f t="shared" si="8"/>
        <v>2.1059534450870947</v>
      </c>
      <c r="DV17" s="19">
        <f t="shared" si="3"/>
        <v>-29.907047673423392</v>
      </c>
      <c r="DW17" s="12">
        <f t="shared" si="4"/>
        <v>47.648218186131956</v>
      </c>
      <c r="DX17" s="72">
        <f t="shared" si="5"/>
        <v>378.39211605220606</v>
      </c>
      <c r="DY17" s="72">
        <f t="shared" si="6"/>
        <v>378.39211605220606</v>
      </c>
      <c r="DZ17" s="12"/>
      <c r="EA17" s="52" t="s">
        <v>37</v>
      </c>
      <c r="EB17" s="52" t="s">
        <v>37</v>
      </c>
      <c r="EC17" s="73" t="s">
        <v>37</v>
      </c>
      <c r="ED17" s="52"/>
      <c r="EE17" s="52" t="s">
        <v>37</v>
      </c>
      <c r="EF17" s="52" t="s">
        <v>37</v>
      </c>
      <c r="EG17" s="15" t="s">
        <v>37</v>
      </c>
      <c r="EH17" s="52"/>
      <c r="EI17" s="52"/>
      <c r="EJ17" s="52"/>
      <c r="EK17" s="52"/>
      <c r="EL17" s="52"/>
      <c r="EM17" s="12" t="s">
        <v>39</v>
      </c>
      <c r="EN17" s="12">
        <f>-39.7*0.55-21.2*0.45</f>
        <v>-31.375000000000004</v>
      </c>
      <c r="EO17" s="12">
        <f>SQRT(17.01^2*0.45^2+0.55^2*13.77^2)</f>
        <v>10.767974391685748</v>
      </c>
      <c r="EP17" s="13">
        <v>4</v>
      </c>
      <c r="EQ17" s="19">
        <f t="shared" si="29"/>
        <v>0.34320237104974488</v>
      </c>
      <c r="ER17" s="12">
        <v>-57.38</v>
      </c>
      <c r="ES17" s="12">
        <v>9.4499999999999993</v>
      </c>
      <c r="ET17" s="13">
        <v>4</v>
      </c>
      <c r="EU17" s="19">
        <f t="shared" si="30"/>
        <v>0.16469153014987797</v>
      </c>
      <c r="EV17" s="19">
        <f t="shared" ref="EV17" si="54">ER17-EN17</f>
        <v>-26.004999999999999</v>
      </c>
      <c r="EW17" s="12">
        <f t="shared" ref="EW17:EW29" si="55">SQRT(((EP17-1)*EO17^2+(ET17-1)*ES17^2)/(EP17+ET17-2))</f>
        <v>10.130443536686832</v>
      </c>
      <c r="EX17" s="19">
        <f t="shared" ref="EX17:EX29" si="56">(((EP17+ET17)/(EP17*ET17))*(((EP17-1)*EO17^2)+(ET17-1)*ES17^2)/(EP17+ET17-2))</f>
        <v>51.312943125000004</v>
      </c>
      <c r="EY17" s="19">
        <f t="shared" ref="EY17:EY29" si="57">(EO17^2/EP17)+(ES17^2/ET17)</f>
        <v>51.312943125000004</v>
      </c>
      <c r="FB17" s="11" t="s">
        <v>37</v>
      </c>
      <c r="FC17" s="11" t="s">
        <v>37</v>
      </c>
      <c r="FD17" s="11" t="s">
        <v>37</v>
      </c>
      <c r="FE17" s="12" t="s">
        <v>37</v>
      </c>
      <c r="FF17" s="20" t="s">
        <v>37</v>
      </c>
      <c r="FG17" s="11" t="s">
        <v>37</v>
      </c>
      <c r="FI17" s="11" t="s">
        <v>37</v>
      </c>
      <c r="FJ17" s="11" t="s">
        <v>37</v>
      </c>
      <c r="FK17" s="11" t="s">
        <v>37</v>
      </c>
      <c r="FL17" s="13" t="s">
        <v>37</v>
      </c>
      <c r="FM17" s="11" t="s">
        <v>37</v>
      </c>
      <c r="FN17" s="11" t="s">
        <v>37</v>
      </c>
      <c r="FP17" s="11" t="s">
        <v>37</v>
      </c>
      <c r="FQ17" s="11" t="s">
        <v>37</v>
      </c>
      <c r="FR17" s="11" t="s">
        <v>37</v>
      </c>
      <c r="FS17" s="13" t="s">
        <v>37</v>
      </c>
      <c r="FT17" s="11" t="s">
        <v>37</v>
      </c>
      <c r="FU17" s="11" t="s">
        <v>37</v>
      </c>
      <c r="FW17" s="11" t="s">
        <v>37</v>
      </c>
      <c r="FX17" s="11" t="s">
        <v>37</v>
      </c>
      <c r="FY17" s="11" t="s">
        <v>37</v>
      </c>
      <c r="FZ17" s="13" t="s">
        <v>37</v>
      </c>
      <c r="GA17" s="11" t="s">
        <v>37</v>
      </c>
      <c r="GB17" s="11" t="s">
        <v>37</v>
      </c>
      <c r="GE17" s="11"/>
      <c r="GF17" s="11"/>
      <c r="GI17" s="11"/>
      <c r="GJ17" s="11"/>
      <c r="GO17" s="12" t="s">
        <v>660</v>
      </c>
      <c r="GP17" s="12" t="s">
        <v>330</v>
      </c>
      <c r="GQ17" s="12">
        <f>9.76*0.45+10.37*0.55</f>
        <v>10.095500000000001</v>
      </c>
      <c r="GR17" s="12">
        <f>SQRT(3.88^2*0.45^2+3.64^2*0.55^2)</f>
        <v>2.6564111127609751</v>
      </c>
      <c r="GS17" s="13">
        <v>4</v>
      </c>
      <c r="GT17" s="19">
        <f t="shared" si="32"/>
        <v>0.26312823661641077</v>
      </c>
      <c r="GU17" s="12">
        <v>9.7799999999999994</v>
      </c>
      <c r="GV17" s="12">
        <v>4.0599999999999996</v>
      </c>
      <c r="GW17" s="13">
        <v>4</v>
      </c>
      <c r="GX17" s="19">
        <f t="shared" ref="GX17" si="58">GV17/GU17</f>
        <v>0.41513292433537829</v>
      </c>
      <c r="GY17" s="19">
        <f t="shared" ref="GY17:GY29" si="59">LN(GU17/GQ17)</f>
        <v>-3.1750295961566033E-2</v>
      </c>
      <c r="GZ17" s="19">
        <f t="shared" si="19"/>
        <v>6.0392953443026198E-2</v>
      </c>
      <c r="HA17" s="17" t="s">
        <v>63</v>
      </c>
      <c r="HB17" s="34" t="s">
        <v>345</v>
      </c>
      <c r="HC17" s="12">
        <v>0.35199999999999998</v>
      </c>
      <c r="HD17" s="12">
        <v>8.3000000000000004E-2</v>
      </c>
      <c r="HE17" s="13">
        <v>4</v>
      </c>
      <c r="HF17" s="19">
        <f t="shared" si="33"/>
        <v>0.23579545454545456</v>
      </c>
      <c r="HG17" s="12">
        <v>0.755</v>
      </c>
      <c r="HH17" s="12">
        <v>0.06</v>
      </c>
      <c r="HI17" s="13">
        <v>4</v>
      </c>
      <c r="HJ17" s="19">
        <f t="shared" si="34"/>
        <v>7.9470198675496692E-2</v>
      </c>
      <c r="HK17" s="19">
        <f t="shared" si="20"/>
        <v>0.76308657365092769</v>
      </c>
      <c r="HL17" s="19">
        <f t="shared" si="35"/>
        <v>1.5478752215455114E-2</v>
      </c>
      <c r="HX17" s="32"/>
      <c r="IK17" s="12" t="s">
        <v>37</v>
      </c>
      <c r="IL17" s="12" t="s">
        <v>37</v>
      </c>
      <c r="IM17" s="13" t="s">
        <v>37</v>
      </c>
      <c r="IO17" s="12" t="s">
        <v>37</v>
      </c>
      <c r="IP17" s="12" t="s">
        <v>37</v>
      </c>
      <c r="IQ17" s="13" t="s">
        <v>37</v>
      </c>
      <c r="IV17" s="32" t="s">
        <v>345</v>
      </c>
      <c r="IW17" s="12">
        <v>7.5</v>
      </c>
      <c r="IX17" s="12">
        <v>0.2</v>
      </c>
      <c r="IY17" s="13">
        <v>4</v>
      </c>
      <c r="IZ17" s="19">
        <f t="shared" si="36"/>
        <v>2.6666666666666668E-2</v>
      </c>
      <c r="JA17" s="12">
        <v>8.1</v>
      </c>
      <c r="JB17" s="12">
        <v>0.1</v>
      </c>
      <c r="JC17" s="13">
        <v>4</v>
      </c>
      <c r="JD17" s="19">
        <f t="shared" si="37"/>
        <v>1.234567901234568E-2</v>
      </c>
      <c r="JE17" s="19">
        <f t="shared" si="38"/>
        <v>7.6961041136128186E-2</v>
      </c>
      <c r="JF17" s="19">
        <f t="shared" si="39"/>
        <v>2.1588172534674595E-4</v>
      </c>
      <c r="JH17" s="12" t="s">
        <v>37</v>
      </c>
      <c r="JI17" s="12" t="s">
        <v>37</v>
      </c>
      <c r="JJ17" s="13" t="s">
        <v>37</v>
      </c>
      <c r="JL17" s="12" t="s">
        <v>37</v>
      </c>
      <c r="JM17" s="12" t="s">
        <v>37</v>
      </c>
      <c r="JN17" s="12" t="s">
        <v>37</v>
      </c>
      <c r="JS17" s="12" t="s">
        <v>37</v>
      </c>
      <c r="JT17" s="12" t="s">
        <v>37</v>
      </c>
      <c r="JU17" s="13" t="s">
        <v>37</v>
      </c>
      <c r="JW17" s="12" t="s">
        <v>37</v>
      </c>
      <c r="JX17" s="12" t="s">
        <v>37</v>
      </c>
      <c r="JY17" s="12" t="s">
        <v>37</v>
      </c>
      <c r="KE17" s="11" t="s">
        <v>37</v>
      </c>
      <c r="KF17" s="11" t="s">
        <v>37</v>
      </c>
      <c r="KG17" s="13" t="s">
        <v>37</v>
      </c>
      <c r="KH17" s="11" t="s">
        <v>37</v>
      </c>
      <c r="KI17" s="11" t="s">
        <v>37</v>
      </c>
      <c r="KJ17" s="11" t="s">
        <v>37</v>
      </c>
      <c r="KK17" s="12" t="s">
        <v>42</v>
      </c>
      <c r="KL17" s="32" t="s">
        <v>345</v>
      </c>
      <c r="KM17" s="12">
        <v>18.07</v>
      </c>
      <c r="KN17" s="12">
        <v>0.19</v>
      </c>
      <c r="KO17" s="11">
        <v>4</v>
      </c>
      <c r="KP17" s="19">
        <f t="shared" si="40"/>
        <v>1.0514665190924184E-2</v>
      </c>
      <c r="KQ17" s="12">
        <v>2.34</v>
      </c>
      <c r="KR17" s="12">
        <v>0.38</v>
      </c>
      <c r="KS17" s="13">
        <v>4</v>
      </c>
      <c r="KT17" s="19">
        <f t="shared" si="41"/>
        <v>0.1623931623931624</v>
      </c>
      <c r="KU17" s="19">
        <f t="shared" si="53"/>
        <v>-2.044102175234527</v>
      </c>
      <c r="KV17" s="19">
        <f t="shared" si="42"/>
        <v>6.6205243440323122E-3</v>
      </c>
      <c r="KX17" s="16" t="s">
        <v>37</v>
      </c>
      <c r="KY17" s="16" t="s">
        <v>37</v>
      </c>
      <c r="KZ17" s="13" t="s">
        <v>37</v>
      </c>
      <c r="LB17" s="16" t="s">
        <v>37</v>
      </c>
      <c r="LC17" s="16" t="s">
        <v>37</v>
      </c>
      <c r="LD17" s="13" t="s">
        <v>37</v>
      </c>
      <c r="LI17" s="12" t="s">
        <v>37</v>
      </c>
      <c r="LJ17" s="12" t="s">
        <v>37</v>
      </c>
      <c r="LK17" s="12" t="s">
        <v>37</v>
      </c>
      <c r="LM17" s="12" t="s">
        <v>37</v>
      </c>
      <c r="LN17" s="12" t="s">
        <v>37</v>
      </c>
      <c r="LO17" s="12" t="s">
        <v>37</v>
      </c>
      <c r="LT17" s="12" t="s">
        <v>345</v>
      </c>
      <c r="LU17" s="12">
        <f>AT17/KM17</f>
        <v>8.9026009961261767</v>
      </c>
      <c r="LV17" s="12">
        <f>SQRT((1/KM17)^2*AU17^2+AT17^2*(-1/KM17^2)^2*KN17^2)</f>
        <v>3.8572511142757904</v>
      </c>
      <c r="LW17" s="13">
        <f t="shared" si="43"/>
        <v>4</v>
      </c>
      <c r="LX17" s="19">
        <f t="shared" si="44"/>
        <v>0.43327237915685662</v>
      </c>
      <c r="LY17" s="12">
        <f>AX17/KQ17</f>
        <v>12.350427350427351</v>
      </c>
      <c r="LZ17" s="12">
        <f>SQRT((1/KQ17)^2*AY17^2+AX17^2*(-1/KQ17^2)^2*KR17^2)</f>
        <v>2.9839549880972012</v>
      </c>
      <c r="MA17" s="16">
        <f t="shared" si="45"/>
        <v>4</v>
      </c>
      <c r="MB17" s="19">
        <f t="shared" si="46"/>
        <v>0.2416074281019879</v>
      </c>
      <c r="MC17" s="19">
        <f>LN(LY17/LU17)</f>
        <v>0.32734718495069692</v>
      </c>
      <c r="MD17" s="19">
        <f t="shared" si="48"/>
        <v>6.1524775963575043E-2</v>
      </c>
      <c r="MF17" s="12" t="s">
        <v>37</v>
      </c>
      <c r="MG17" s="12" t="s">
        <v>37</v>
      </c>
      <c r="MH17" s="12" t="s">
        <v>37</v>
      </c>
      <c r="MJ17" s="12" t="s">
        <v>37</v>
      </c>
      <c r="MK17" s="12" t="s">
        <v>37</v>
      </c>
      <c r="ML17" s="12" t="s">
        <v>37</v>
      </c>
      <c r="MQ17" s="12" t="s">
        <v>37</v>
      </c>
      <c r="MR17" s="12" t="s">
        <v>37</v>
      </c>
      <c r="MS17" s="12" t="s">
        <v>37</v>
      </c>
      <c r="MU17" s="12" t="s">
        <v>37</v>
      </c>
      <c r="MV17" s="12" t="s">
        <v>37</v>
      </c>
      <c r="MW17" s="12" t="s">
        <v>37</v>
      </c>
      <c r="NC17" s="11" t="s">
        <v>37</v>
      </c>
      <c r="ND17" s="11" t="s">
        <v>37</v>
      </c>
      <c r="NE17" s="13" t="s">
        <v>37</v>
      </c>
      <c r="NG17" s="11" t="s">
        <v>37</v>
      </c>
      <c r="NH17" s="11" t="s">
        <v>37</v>
      </c>
      <c r="NI17" s="13" t="s">
        <v>37</v>
      </c>
      <c r="NO17" s="11" t="s">
        <v>37</v>
      </c>
      <c r="NP17" s="11" t="s">
        <v>37</v>
      </c>
      <c r="NQ17" s="13" t="s">
        <v>37</v>
      </c>
      <c r="NS17" s="11" t="s">
        <v>37</v>
      </c>
      <c r="NT17" s="11" t="s">
        <v>37</v>
      </c>
      <c r="NU17" s="13" t="s">
        <v>37</v>
      </c>
      <c r="OA17" s="11" t="s">
        <v>37</v>
      </c>
      <c r="OB17" s="11" t="s">
        <v>37</v>
      </c>
      <c r="OC17" s="13" t="s">
        <v>37</v>
      </c>
      <c r="OE17" s="11" t="s">
        <v>37</v>
      </c>
      <c r="OF17" s="11" t="s">
        <v>37</v>
      </c>
      <c r="OG17" s="13" t="s">
        <v>37</v>
      </c>
      <c r="OM17" s="11" t="s">
        <v>37</v>
      </c>
      <c r="ON17" s="11" t="s">
        <v>37</v>
      </c>
      <c r="OO17" s="11" t="s">
        <v>37</v>
      </c>
      <c r="OP17" s="11" t="s">
        <v>37</v>
      </c>
      <c r="OQ17" s="11" t="s">
        <v>37</v>
      </c>
      <c r="OR17" s="11" t="s">
        <v>37</v>
      </c>
      <c r="OW17" s="11" t="s">
        <v>37</v>
      </c>
      <c r="OX17" s="11" t="s">
        <v>37</v>
      </c>
      <c r="OY17" s="13" t="s">
        <v>37</v>
      </c>
      <c r="OZ17" s="11" t="s">
        <v>37</v>
      </c>
      <c r="PA17" s="11" t="s">
        <v>37</v>
      </c>
      <c r="PB17" s="13" t="s">
        <v>37</v>
      </c>
      <c r="PG17" s="11" t="s">
        <v>37</v>
      </c>
      <c r="PH17" s="11" t="s">
        <v>37</v>
      </c>
      <c r="PI17" s="13" t="s">
        <v>37</v>
      </c>
      <c r="PJ17" s="11" t="s">
        <v>37</v>
      </c>
      <c r="PK17" s="11" t="s">
        <v>37</v>
      </c>
      <c r="PL17" s="13" t="s">
        <v>37</v>
      </c>
      <c r="PQ17" s="11" t="s">
        <v>37</v>
      </c>
      <c r="PR17" s="11" t="s">
        <v>37</v>
      </c>
      <c r="PS17" s="13" t="s">
        <v>37</v>
      </c>
      <c r="PT17" s="11" t="s">
        <v>37</v>
      </c>
      <c r="PU17" s="11" t="s">
        <v>37</v>
      </c>
      <c r="PV17" s="13" t="s">
        <v>37</v>
      </c>
      <c r="PY17" s="12" t="s">
        <v>43</v>
      </c>
      <c r="PZ17" s="12">
        <v>464.46</v>
      </c>
      <c r="QA17" s="12">
        <v>137.91</v>
      </c>
      <c r="QB17" s="11">
        <v>4</v>
      </c>
      <c r="QC17" s="19">
        <f t="shared" si="49"/>
        <v>0.29692546182663737</v>
      </c>
      <c r="QD17" s="12">
        <v>680.69</v>
      </c>
      <c r="QE17" s="12">
        <v>79.510000000000005</v>
      </c>
      <c r="QF17" s="13">
        <v>4</v>
      </c>
      <c r="QG17" s="19">
        <f t="shared" si="50"/>
        <v>0.11680794487946054</v>
      </c>
      <c r="QH17" s="19">
        <f t="shared" si="51"/>
        <v>0.38223154914180624</v>
      </c>
      <c r="QI17" s="19">
        <f>QE17^2/(QF17*QD17^2)+QA17^2/(QB17*PZ17^2)</f>
        <v>2.5452206466981247E-2</v>
      </c>
      <c r="QJ17" s="12" t="s">
        <v>43</v>
      </c>
      <c r="QK17" s="12">
        <v>3027.87</v>
      </c>
      <c r="QL17" s="12">
        <v>1540.24</v>
      </c>
      <c r="QM17" s="13">
        <v>4</v>
      </c>
      <c r="QN17" s="12">
        <v>3742.23</v>
      </c>
      <c r="QO17" s="12">
        <v>551.09</v>
      </c>
      <c r="QP17" s="13">
        <v>4</v>
      </c>
      <c r="QQ17" s="19">
        <f t="shared" si="22"/>
        <v>0.21182228839577211</v>
      </c>
      <c r="QR17" s="19">
        <f t="shared" si="52"/>
        <v>7.0112333148099032E-2</v>
      </c>
      <c r="QU17" s="11" t="s">
        <v>37</v>
      </c>
      <c r="QV17" s="11" t="s">
        <v>37</v>
      </c>
      <c r="QW17" s="13" t="s">
        <v>37</v>
      </c>
      <c r="QX17" s="11" t="s">
        <v>37</v>
      </c>
      <c r="QY17" s="11" t="s">
        <v>37</v>
      </c>
      <c r="QZ17" s="13" t="s">
        <v>37</v>
      </c>
      <c r="RC17" s="12" t="s">
        <v>37</v>
      </c>
      <c r="RD17" s="12" t="s">
        <v>37</v>
      </c>
      <c r="RE17" s="13" t="s">
        <v>37</v>
      </c>
      <c r="RF17" s="12" t="s">
        <v>37</v>
      </c>
      <c r="RG17" s="12" t="s">
        <v>37</v>
      </c>
      <c r="RH17" s="13" t="s">
        <v>37</v>
      </c>
      <c r="RK17" s="11" t="s">
        <v>37</v>
      </c>
      <c r="RL17" s="11" t="s">
        <v>37</v>
      </c>
      <c r="RM17" s="11" t="s">
        <v>37</v>
      </c>
      <c r="RN17" s="11" t="s">
        <v>37</v>
      </c>
      <c r="RO17" s="11" t="s">
        <v>37</v>
      </c>
      <c r="RP17" s="11" t="s">
        <v>37</v>
      </c>
      <c r="RS17" s="11" t="s">
        <v>37</v>
      </c>
      <c r="RT17" s="11" t="s">
        <v>37</v>
      </c>
      <c r="RU17" s="11" t="s">
        <v>37</v>
      </c>
      <c r="RV17" s="11" t="s">
        <v>37</v>
      </c>
      <c r="RW17" s="11" t="s">
        <v>37</v>
      </c>
      <c r="RX17" s="11" t="s">
        <v>37</v>
      </c>
      <c r="SA17" s="11" t="s">
        <v>37</v>
      </c>
      <c r="SB17" s="11" t="s">
        <v>37</v>
      </c>
      <c r="SC17" s="13" t="s">
        <v>37</v>
      </c>
      <c r="SD17" s="11" t="s">
        <v>37</v>
      </c>
      <c r="SE17" s="11" t="s">
        <v>37</v>
      </c>
      <c r="SF17" s="13" t="s">
        <v>37</v>
      </c>
      <c r="SI17" s="12" t="s">
        <v>37</v>
      </c>
      <c r="SJ17" s="11" t="s">
        <v>37</v>
      </c>
      <c r="SK17" s="13" t="s">
        <v>37</v>
      </c>
      <c r="SM17" s="11" t="s">
        <v>37</v>
      </c>
      <c r="SN17" s="11" t="s">
        <v>37</v>
      </c>
      <c r="SO17" s="13" t="s">
        <v>37</v>
      </c>
      <c r="SU17" s="12" t="s">
        <v>37</v>
      </c>
      <c r="SV17" s="12" t="s">
        <v>37</v>
      </c>
      <c r="SW17" s="11" t="s">
        <v>37</v>
      </c>
      <c r="SX17" s="12" t="s">
        <v>37</v>
      </c>
      <c r="SY17" s="12" t="s">
        <v>37</v>
      </c>
      <c r="SZ17" s="11" t="s">
        <v>37</v>
      </c>
      <c r="TE17" s="12" t="s">
        <v>37</v>
      </c>
      <c r="TF17" s="12" t="s">
        <v>37</v>
      </c>
      <c r="TG17" s="11" t="s">
        <v>37</v>
      </c>
      <c r="TH17" s="12" t="s">
        <v>37</v>
      </c>
      <c r="TI17" s="12" t="s">
        <v>37</v>
      </c>
      <c r="TJ17" s="11" t="s">
        <v>37</v>
      </c>
      <c r="TO17" s="12" t="s">
        <v>37</v>
      </c>
      <c r="TP17" s="12" t="s">
        <v>37</v>
      </c>
      <c r="TQ17" s="11" t="s">
        <v>37</v>
      </c>
      <c r="TR17" s="12" t="s">
        <v>37</v>
      </c>
      <c r="TS17" s="12" t="s">
        <v>37</v>
      </c>
      <c r="TT17" s="11" t="s">
        <v>37</v>
      </c>
      <c r="TY17" s="12" t="s">
        <v>37</v>
      </c>
      <c r="TZ17" s="12" t="s">
        <v>37</v>
      </c>
      <c r="UA17" s="11" t="s">
        <v>37</v>
      </c>
      <c r="UB17" s="12" t="s">
        <v>37</v>
      </c>
      <c r="UC17" s="12" t="s">
        <v>37</v>
      </c>
      <c r="UD17" s="11" t="s">
        <v>37</v>
      </c>
      <c r="UI17" s="12" t="s">
        <v>37</v>
      </c>
      <c r="UJ17" s="12" t="s">
        <v>37</v>
      </c>
      <c r="UK17" s="13" t="s">
        <v>37</v>
      </c>
      <c r="UL17" s="12" t="s">
        <v>37</v>
      </c>
      <c r="UM17" s="12" t="s">
        <v>37</v>
      </c>
      <c r="UN17" s="13" t="s">
        <v>37</v>
      </c>
      <c r="UR17" s="12" t="s">
        <v>37</v>
      </c>
      <c r="US17" s="12" t="s">
        <v>37</v>
      </c>
      <c r="UT17" s="13" t="s">
        <v>37</v>
      </c>
      <c r="UU17" s="12" t="s">
        <v>37</v>
      </c>
      <c r="UV17" s="12" t="s">
        <v>37</v>
      </c>
      <c r="UW17" s="13" t="s">
        <v>37</v>
      </c>
      <c r="VB17" s="12" t="s">
        <v>37</v>
      </c>
      <c r="VC17" s="12" t="s">
        <v>37</v>
      </c>
      <c r="VD17" s="13" t="s">
        <v>37</v>
      </c>
      <c r="VE17" s="12" t="s">
        <v>37</v>
      </c>
      <c r="VF17" s="12" t="s">
        <v>37</v>
      </c>
      <c r="VG17" s="13" t="s">
        <v>37</v>
      </c>
      <c r="VI17" s="12" t="s">
        <v>37</v>
      </c>
      <c r="VJ17" s="12" t="s">
        <v>37</v>
      </c>
      <c r="VK17" s="13" t="s">
        <v>37</v>
      </c>
      <c r="VL17" s="12" t="s">
        <v>37</v>
      </c>
      <c r="VM17" s="12" t="s">
        <v>37</v>
      </c>
      <c r="VN17" s="13" t="s">
        <v>37</v>
      </c>
      <c r="VO17" s="12" t="s">
        <v>37</v>
      </c>
      <c r="VQ17" s="12" t="s">
        <v>37</v>
      </c>
      <c r="VR17" s="12" t="s">
        <v>37</v>
      </c>
      <c r="VS17" s="12" t="s">
        <v>37</v>
      </c>
      <c r="VT17" s="12" t="s">
        <v>37</v>
      </c>
      <c r="VU17" s="12" t="s">
        <v>37</v>
      </c>
      <c r="VV17" s="12" t="s">
        <v>37</v>
      </c>
      <c r="VW17" s="12"/>
      <c r="VX17" s="12"/>
      <c r="WA17" s="13" t="s">
        <v>37</v>
      </c>
      <c r="WB17" s="13" t="s">
        <v>37</v>
      </c>
      <c r="WC17" s="13" t="s">
        <v>37</v>
      </c>
      <c r="WD17" s="13" t="s">
        <v>37</v>
      </c>
      <c r="WE17" s="13" t="s">
        <v>37</v>
      </c>
      <c r="WF17" s="13" t="s">
        <v>37</v>
      </c>
    </row>
    <row r="18" spans="1:604" ht="18" customHeight="1" x14ac:dyDescent="0.3">
      <c r="A18" s="11">
        <v>5</v>
      </c>
      <c r="B18" s="12" t="s">
        <v>77</v>
      </c>
      <c r="C18" s="12" t="s">
        <v>26</v>
      </c>
      <c r="D18" s="12" t="s">
        <v>54</v>
      </c>
      <c r="E18" s="39" t="s">
        <v>37</v>
      </c>
      <c r="F18" s="14">
        <v>0</v>
      </c>
      <c r="G18" s="14">
        <v>0</v>
      </c>
      <c r="H18" s="12" t="s">
        <v>79</v>
      </c>
      <c r="I18" s="29">
        <v>48.064999999999998</v>
      </c>
      <c r="J18" s="29">
        <v>128.51</v>
      </c>
      <c r="K18" s="12" t="s">
        <v>688</v>
      </c>
      <c r="L18" s="12" t="s">
        <v>689</v>
      </c>
      <c r="M18" s="13" t="s">
        <v>48</v>
      </c>
      <c r="N18" s="14">
        <v>0.4</v>
      </c>
      <c r="O18" s="14">
        <v>630</v>
      </c>
      <c r="P18" s="14" t="s">
        <v>16</v>
      </c>
      <c r="Q18" s="75">
        <v>10</v>
      </c>
      <c r="R18" s="11" t="s">
        <v>1000</v>
      </c>
      <c r="S18" s="12" t="s">
        <v>51</v>
      </c>
      <c r="T18" s="12" t="s">
        <v>876</v>
      </c>
      <c r="U18" s="12" t="s">
        <v>158</v>
      </c>
      <c r="V18" s="12" t="s">
        <v>275</v>
      </c>
      <c r="W18" s="23" t="s">
        <v>38</v>
      </c>
      <c r="X18" s="12" t="s">
        <v>280</v>
      </c>
      <c r="Y18" s="12" t="s">
        <v>68</v>
      </c>
      <c r="Z18" s="12" t="s">
        <v>37</v>
      </c>
      <c r="AB18" s="12" t="s">
        <v>37</v>
      </c>
      <c r="AE18" s="12" t="s">
        <v>37</v>
      </c>
      <c r="AH18" s="12" t="s">
        <v>37</v>
      </c>
      <c r="AK18" s="12" t="s">
        <v>37</v>
      </c>
      <c r="AL18" s="32" t="s">
        <v>485</v>
      </c>
      <c r="AM18" s="12" t="s">
        <v>317</v>
      </c>
      <c r="AN18" s="32" t="s">
        <v>878</v>
      </c>
      <c r="AO18" s="12" t="s">
        <v>37</v>
      </c>
      <c r="AP18" s="12" t="s">
        <v>602</v>
      </c>
      <c r="AQ18" s="12" t="s">
        <v>975</v>
      </c>
      <c r="AT18" s="12" t="s">
        <v>326</v>
      </c>
      <c r="AU18" s="12" t="s">
        <v>326</v>
      </c>
      <c r="AV18" s="13" t="s">
        <v>326</v>
      </c>
      <c r="AX18" s="12" t="s">
        <v>326</v>
      </c>
      <c r="AY18" s="12" t="s">
        <v>326</v>
      </c>
      <c r="AZ18" s="13" t="s">
        <v>326</v>
      </c>
      <c r="BE18" s="12" t="s">
        <v>326</v>
      </c>
      <c r="BF18" s="12" t="s">
        <v>326</v>
      </c>
      <c r="BG18" s="12" t="s">
        <v>326</v>
      </c>
      <c r="BI18" s="12" t="s">
        <v>326</v>
      </c>
      <c r="BJ18" s="12" t="s">
        <v>326</v>
      </c>
      <c r="BK18" s="12" t="s">
        <v>326</v>
      </c>
      <c r="BP18" s="12" t="s">
        <v>37</v>
      </c>
      <c r="BQ18" s="12" t="s">
        <v>37</v>
      </c>
      <c r="BR18" s="13" t="s">
        <v>37</v>
      </c>
      <c r="BT18" s="12" t="s">
        <v>37</v>
      </c>
      <c r="BU18" s="12" t="s">
        <v>37</v>
      </c>
      <c r="BV18" s="12" t="s">
        <v>37</v>
      </c>
      <c r="CA18" s="12" t="s">
        <v>37</v>
      </c>
      <c r="CB18" s="12" t="s">
        <v>37</v>
      </c>
      <c r="CC18" s="13" t="s">
        <v>37</v>
      </c>
      <c r="CE18" s="12" t="s">
        <v>37</v>
      </c>
      <c r="CF18" s="12" t="s">
        <v>37</v>
      </c>
      <c r="CG18" s="13" t="s">
        <v>37</v>
      </c>
      <c r="CI18" s="52"/>
      <c r="CJ18" s="12"/>
      <c r="CK18" s="73"/>
      <c r="CL18" s="73"/>
      <c r="CN18" s="12" t="s">
        <v>37</v>
      </c>
      <c r="CO18" s="12" t="s">
        <v>37</v>
      </c>
      <c r="CP18" s="13" t="s">
        <v>37</v>
      </c>
      <c r="CR18" s="12" t="s">
        <v>37</v>
      </c>
      <c r="CS18" s="12" t="s">
        <v>37</v>
      </c>
      <c r="CT18" s="13" t="s">
        <v>37</v>
      </c>
      <c r="CV18" s="52"/>
      <c r="CW18" s="52"/>
      <c r="CX18" s="73"/>
      <c r="CY18" s="73"/>
      <c r="DA18" s="12" t="s">
        <v>37</v>
      </c>
      <c r="DB18" s="12" t="s">
        <v>37</v>
      </c>
      <c r="DC18" s="13" t="s">
        <v>37</v>
      </c>
      <c r="DE18" s="12" t="s">
        <v>37</v>
      </c>
      <c r="DF18" s="12" t="s">
        <v>37</v>
      </c>
      <c r="DG18" s="13" t="s">
        <v>37</v>
      </c>
      <c r="DI18" s="52"/>
      <c r="DJ18" s="52"/>
      <c r="DK18" s="73"/>
      <c r="DL18" s="73"/>
      <c r="DM18" s="15" t="s">
        <v>47</v>
      </c>
      <c r="DN18" s="19">
        <f>6.66*10^4/10^3/'[1]classes-1'!$I$4</f>
        <v>76.598647152414557</v>
      </c>
      <c r="DO18" s="12">
        <f>SQRT((1/[2]Classes!$I$4)^2*(8.31*10^4/10^3)^2+(-DN18/([2]Classes!$I$4)^2)^2*([2]Classes!$J$4)^2)</f>
        <v>97.385019539931207</v>
      </c>
      <c r="DP18" s="13">
        <v>3</v>
      </c>
      <c r="DQ18" s="19">
        <f t="shared" ref="DQ18:DQ33" si="60">DO18/ABS(DN18)</f>
        <v>1.2713673564776713</v>
      </c>
      <c r="DR18" s="52">
        <f>0.13*10^4/10^3/'[1]classes-1'!$I$5</f>
        <v>1.2881413805511519</v>
      </c>
      <c r="DS18" s="15">
        <f>SQRT((1/[2]Classes!$I$5)^2*(0.5*10^4/10^3)^2+(-DR18/([2]Classes!$I$5)^2)^2*([2]Classes!$J$5)^2)</f>
        <v>5.0439358355151063</v>
      </c>
      <c r="DT18" s="18">
        <v>3</v>
      </c>
      <c r="DU18" s="19">
        <f t="shared" ref="DU18:DU33" si="61">DS18/ABS(DR18)</f>
        <v>3.9156694378973973</v>
      </c>
      <c r="DV18" s="19">
        <f t="shared" ref="DV18:DV34" si="62">DR18-DN18</f>
        <v>-75.310505771863404</v>
      </c>
      <c r="DW18" s="12">
        <f t="shared" si="4"/>
        <v>68.95390967706463</v>
      </c>
      <c r="DX18" s="72">
        <f t="shared" si="5"/>
        <v>3169.7611065018582</v>
      </c>
      <c r="DY18" s="72">
        <f t="shared" si="6"/>
        <v>3169.7611065018586</v>
      </c>
      <c r="DZ18" s="15"/>
      <c r="EA18" s="52" t="s">
        <v>37</v>
      </c>
      <c r="EB18" s="52" t="s">
        <v>37</v>
      </c>
      <c r="EC18" s="73" t="s">
        <v>37</v>
      </c>
      <c r="ED18" s="52"/>
      <c r="EE18" s="52" t="s">
        <v>37</v>
      </c>
      <c r="EF18" s="52" t="s">
        <v>37</v>
      </c>
      <c r="EG18" s="15" t="s">
        <v>37</v>
      </c>
      <c r="EH18" s="52"/>
      <c r="EI18" s="52"/>
      <c r="EJ18" s="52"/>
      <c r="EK18" s="52"/>
      <c r="EL18" s="52"/>
      <c r="EM18" s="12" t="s">
        <v>39</v>
      </c>
      <c r="EN18" s="12">
        <v>-6.17</v>
      </c>
      <c r="EO18" s="20">
        <v>1.6</v>
      </c>
      <c r="EP18" s="13">
        <v>3</v>
      </c>
      <c r="EQ18" s="19">
        <f t="shared" si="29"/>
        <v>0.2593192868719611</v>
      </c>
      <c r="ER18" s="12">
        <v>-32.340000000000003</v>
      </c>
      <c r="ES18" s="20">
        <v>1.06</v>
      </c>
      <c r="ET18" s="13">
        <v>3</v>
      </c>
      <c r="EU18" s="19">
        <f t="shared" si="30"/>
        <v>3.2776747062461344E-2</v>
      </c>
      <c r="EV18" s="19">
        <f t="shared" ref="EV18:EV29" si="63">ER18-EN18</f>
        <v>-26.17</v>
      </c>
      <c r="EW18" s="12">
        <f t="shared" si="55"/>
        <v>1.3571293232407884</v>
      </c>
      <c r="EX18" s="19">
        <f t="shared" si="56"/>
        <v>1.2278666666666669</v>
      </c>
      <c r="EY18" s="19">
        <f t="shared" si="57"/>
        <v>1.2278666666666669</v>
      </c>
      <c r="FB18" s="11" t="s">
        <v>37</v>
      </c>
      <c r="FC18" s="11" t="s">
        <v>37</v>
      </c>
      <c r="FD18" s="11" t="s">
        <v>37</v>
      </c>
      <c r="FE18" s="12" t="s">
        <v>37</v>
      </c>
      <c r="FF18" s="20" t="s">
        <v>37</v>
      </c>
      <c r="FG18" s="11" t="s">
        <v>37</v>
      </c>
      <c r="FI18" s="11" t="s">
        <v>37</v>
      </c>
      <c r="FJ18" s="11" t="s">
        <v>37</v>
      </c>
      <c r="FK18" s="11" t="s">
        <v>37</v>
      </c>
      <c r="FL18" s="13" t="s">
        <v>37</v>
      </c>
      <c r="FM18" s="11" t="s">
        <v>37</v>
      </c>
      <c r="FN18" s="11" t="s">
        <v>37</v>
      </c>
      <c r="FP18" s="11" t="s">
        <v>37</v>
      </c>
      <c r="FQ18" s="11" t="s">
        <v>37</v>
      </c>
      <c r="FR18" s="11" t="s">
        <v>37</v>
      </c>
      <c r="FS18" s="13" t="s">
        <v>37</v>
      </c>
      <c r="FT18" s="11" t="s">
        <v>37</v>
      </c>
      <c r="FU18" s="11" t="s">
        <v>37</v>
      </c>
      <c r="FW18" s="11" t="s">
        <v>37</v>
      </c>
      <c r="FX18" s="11" t="s">
        <v>37</v>
      </c>
      <c r="FY18" s="11" t="s">
        <v>37</v>
      </c>
      <c r="FZ18" s="13" t="s">
        <v>37</v>
      </c>
      <c r="GA18" s="11" t="s">
        <v>37</v>
      </c>
      <c r="GB18" s="11" t="s">
        <v>37</v>
      </c>
      <c r="GE18" s="11"/>
      <c r="GF18" s="11"/>
      <c r="GI18" s="11"/>
      <c r="GJ18" s="11"/>
      <c r="GO18" s="12" t="s">
        <v>660</v>
      </c>
      <c r="GP18" s="12" t="s">
        <v>330</v>
      </c>
      <c r="GQ18" s="20">
        <v>9.59</v>
      </c>
      <c r="GR18" s="20">
        <v>1.2</v>
      </c>
      <c r="GS18" s="13">
        <v>3</v>
      </c>
      <c r="GT18" s="19">
        <f>GR18/GQ18</f>
        <v>0.12513034410844628</v>
      </c>
      <c r="GU18" s="20">
        <v>9.43</v>
      </c>
      <c r="GV18" s="20">
        <v>1.1399999999999999</v>
      </c>
      <c r="GW18" s="13">
        <v>3</v>
      </c>
      <c r="GX18" s="19">
        <f t="shared" ref="GX18:GX29" si="64">GV18/GU18</f>
        <v>0.12089077412513255</v>
      </c>
      <c r="GY18" s="19">
        <f t="shared" si="59"/>
        <v>-1.6824792249980704E-2</v>
      </c>
      <c r="GZ18" s="19">
        <f t="shared" si="19"/>
        <v>1.0090727428423998E-2</v>
      </c>
      <c r="HD18" s="11"/>
      <c r="HG18" s="11"/>
      <c r="HH18" s="11"/>
      <c r="IK18" s="12" t="s">
        <v>37</v>
      </c>
      <c r="IL18" s="12" t="s">
        <v>37</v>
      </c>
      <c r="IM18" s="13" t="s">
        <v>37</v>
      </c>
      <c r="IO18" s="12" t="s">
        <v>37</v>
      </c>
      <c r="IP18" s="12" t="s">
        <v>37</v>
      </c>
      <c r="IQ18" s="13" t="s">
        <v>37</v>
      </c>
      <c r="IW18" s="12" t="s">
        <v>37</v>
      </c>
      <c r="IX18" s="11" t="s">
        <v>37</v>
      </c>
      <c r="IY18" s="13" t="s">
        <v>37</v>
      </c>
      <c r="JA18" s="11" t="s">
        <v>37</v>
      </c>
      <c r="JB18" s="11" t="s">
        <v>37</v>
      </c>
      <c r="JC18" s="13" t="s">
        <v>37</v>
      </c>
      <c r="JH18" s="12" t="s">
        <v>37</v>
      </c>
      <c r="JI18" s="12" t="s">
        <v>37</v>
      </c>
      <c r="JJ18" s="13" t="s">
        <v>37</v>
      </c>
      <c r="JL18" s="12" t="s">
        <v>37</v>
      </c>
      <c r="JM18" s="12" t="s">
        <v>37</v>
      </c>
      <c r="JN18" s="12" t="s">
        <v>37</v>
      </c>
      <c r="JS18" s="12" t="s">
        <v>37</v>
      </c>
      <c r="JT18" s="12" t="s">
        <v>37</v>
      </c>
      <c r="JU18" s="13" t="s">
        <v>37</v>
      </c>
      <c r="JW18" s="12" t="s">
        <v>37</v>
      </c>
      <c r="JX18" s="12" t="s">
        <v>37</v>
      </c>
      <c r="JY18" s="12" t="s">
        <v>37</v>
      </c>
      <c r="KE18" s="11" t="s">
        <v>37</v>
      </c>
      <c r="KF18" s="11" t="s">
        <v>37</v>
      </c>
      <c r="KG18" s="13" t="s">
        <v>37</v>
      </c>
      <c r="KH18" s="11" t="s">
        <v>37</v>
      </c>
      <c r="KI18" s="11" t="s">
        <v>37</v>
      </c>
      <c r="KJ18" s="11" t="s">
        <v>37</v>
      </c>
      <c r="KM18" s="12" t="s">
        <v>37</v>
      </c>
      <c r="KN18" s="11" t="s">
        <v>37</v>
      </c>
      <c r="KO18" s="11" t="s">
        <v>37</v>
      </c>
      <c r="KQ18" s="11" t="s">
        <v>37</v>
      </c>
      <c r="KR18" s="11" t="s">
        <v>37</v>
      </c>
      <c r="KS18" s="13" t="s">
        <v>37</v>
      </c>
      <c r="KX18" s="11" t="s">
        <v>37</v>
      </c>
      <c r="KY18" s="11" t="s">
        <v>37</v>
      </c>
      <c r="KZ18" s="13" t="s">
        <v>37</v>
      </c>
      <c r="LB18" s="11" t="s">
        <v>37</v>
      </c>
      <c r="LC18" s="11" t="s">
        <v>37</v>
      </c>
      <c r="LD18" s="13" t="s">
        <v>37</v>
      </c>
      <c r="LI18" s="12" t="s">
        <v>37</v>
      </c>
      <c r="LJ18" s="12" t="s">
        <v>37</v>
      </c>
      <c r="LK18" s="12" t="s">
        <v>37</v>
      </c>
      <c r="LM18" s="12" t="s">
        <v>37</v>
      </c>
      <c r="LN18" s="12" t="s">
        <v>37</v>
      </c>
      <c r="LO18" s="12" t="s">
        <v>37</v>
      </c>
      <c r="LU18" s="12" t="s">
        <v>37</v>
      </c>
      <c r="LV18" s="12" t="s">
        <v>37</v>
      </c>
      <c r="LW18" s="13" t="s">
        <v>37</v>
      </c>
      <c r="LY18" s="12" t="s">
        <v>37</v>
      </c>
      <c r="LZ18" s="12" t="s">
        <v>37</v>
      </c>
      <c r="MA18" s="11" t="s">
        <v>37</v>
      </c>
      <c r="MF18" s="12" t="s">
        <v>37</v>
      </c>
      <c r="MG18" s="12" t="s">
        <v>37</v>
      </c>
      <c r="MH18" s="12" t="s">
        <v>37</v>
      </c>
      <c r="MJ18" s="12" t="s">
        <v>37</v>
      </c>
      <c r="MK18" s="12" t="s">
        <v>37</v>
      </c>
      <c r="ML18" s="12" t="s">
        <v>37</v>
      </c>
      <c r="MQ18" s="12" t="s">
        <v>37</v>
      </c>
      <c r="MR18" s="12" t="s">
        <v>37</v>
      </c>
      <c r="MS18" s="12" t="s">
        <v>37</v>
      </c>
      <c r="MU18" s="12" t="s">
        <v>37</v>
      </c>
      <c r="MV18" s="12" t="s">
        <v>37</v>
      </c>
      <c r="MW18" s="12" t="s">
        <v>37</v>
      </c>
      <c r="NC18" s="11" t="s">
        <v>37</v>
      </c>
      <c r="ND18" s="11" t="s">
        <v>37</v>
      </c>
      <c r="NE18" s="13" t="s">
        <v>37</v>
      </c>
      <c r="NG18" s="11" t="s">
        <v>37</v>
      </c>
      <c r="NH18" s="11" t="s">
        <v>37</v>
      </c>
      <c r="NI18" s="13" t="s">
        <v>37</v>
      </c>
      <c r="NO18" s="11" t="s">
        <v>37</v>
      </c>
      <c r="NP18" s="11" t="s">
        <v>37</v>
      </c>
      <c r="NQ18" s="13" t="s">
        <v>37</v>
      </c>
      <c r="NS18" s="11" t="s">
        <v>37</v>
      </c>
      <c r="NT18" s="11" t="s">
        <v>37</v>
      </c>
      <c r="NU18" s="13" t="s">
        <v>37</v>
      </c>
      <c r="OA18" s="11" t="s">
        <v>37</v>
      </c>
      <c r="OB18" s="11" t="s">
        <v>37</v>
      </c>
      <c r="OC18" s="13" t="s">
        <v>37</v>
      </c>
      <c r="OE18" s="11" t="s">
        <v>37</v>
      </c>
      <c r="OF18" s="11" t="s">
        <v>37</v>
      </c>
      <c r="OG18" s="13" t="s">
        <v>37</v>
      </c>
      <c r="OM18" s="11" t="s">
        <v>37</v>
      </c>
      <c r="ON18" s="11" t="s">
        <v>37</v>
      </c>
      <c r="OO18" s="11" t="s">
        <v>37</v>
      </c>
      <c r="OP18" s="11" t="s">
        <v>37</v>
      </c>
      <c r="OQ18" s="11" t="s">
        <v>37</v>
      </c>
      <c r="OR18" s="11" t="s">
        <v>37</v>
      </c>
      <c r="OW18" s="11" t="s">
        <v>37</v>
      </c>
      <c r="OX18" s="11" t="s">
        <v>37</v>
      </c>
      <c r="OY18" s="13" t="s">
        <v>37</v>
      </c>
      <c r="OZ18" s="11" t="s">
        <v>37</v>
      </c>
      <c r="PA18" s="11" t="s">
        <v>37</v>
      </c>
      <c r="PB18" s="13" t="s">
        <v>37</v>
      </c>
      <c r="PG18" s="11" t="s">
        <v>37</v>
      </c>
      <c r="PH18" s="11" t="s">
        <v>37</v>
      </c>
      <c r="PI18" s="13" t="s">
        <v>37</v>
      </c>
      <c r="PJ18" s="11" t="s">
        <v>37</v>
      </c>
      <c r="PK18" s="11" t="s">
        <v>37</v>
      </c>
      <c r="PL18" s="13" t="s">
        <v>37</v>
      </c>
      <c r="PQ18" s="11" t="s">
        <v>37</v>
      </c>
      <c r="PR18" s="11" t="s">
        <v>37</v>
      </c>
      <c r="PS18" s="13" t="s">
        <v>37</v>
      </c>
      <c r="PT18" s="11" t="s">
        <v>37</v>
      </c>
      <c r="PU18" s="11" t="s">
        <v>37</v>
      </c>
      <c r="PV18" s="13" t="s">
        <v>37</v>
      </c>
      <c r="PZ18" s="11" t="s">
        <v>37</v>
      </c>
      <c r="QA18" s="11" t="s">
        <v>37</v>
      </c>
      <c r="QB18" s="11" t="s">
        <v>37</v>
      </c>
      <c r="QD18" s="11" t="s">
        <v>37</v>
      </c>
      <c r="QE18" s="11" t="s">
        <v>37</v>
      </c>
      <c r="QF18" s="13" t="s">
        <v>37</v>
      </c>
      <c r="QK18" s="11" t="s">
        <v>37</v>
      </c>
      <c r="QL18" s="11" t="s">
        <v>37</v>
      </c>
      <c r="QM18" s="13" t="s">
        <v>37</v>
      </c>
      <c r="QN18" s="11" t="s">
        <v>37</v>
      </c>
      <c r="QO18" s="11" t="s">
        <v>37</v>
      </c>
      <c r="QP18" s="13" t="s">
        <v>37</v>
      </c>
      <c r="QU18" s="11" t="s">
        <v>37</v>
      </c>
      <c r="QV18" s="11" t="s">
        <v>37</v>
      </c>
      <c r="QW18" s="13" t="s">
        <v>37</v>
      </c>
      <c r="QX18" s="11" t="s">
        <v>37</v>
      </c>
      <c r="QY18" s="11" t="s">
        <v>37</v>
      </c>
      <c r="QZ18" s="13" t="s">
        <v>37</v>
      </c>
      <c r="RC18" s="12" t="s">
        <v>37</v>
      </c>
      <c r="RD18" s="12" t="s">
        <v>37</v>
      </c>
      <c r="RE18" s="13" t="s">
        <v>37</v>
      </c>
      <c r="RF18" s="12" t="s">
        <v>37</v>
      </c>
      <c r="RG18" s="12" t="s">
        <v>37</v>
      </c>
      <c r="RH18" s="13" t="s">
        <v>37</v>
      </c>
      <c r="RK18" s="11" t="s">
        <v>37</v>
      </c>
      <c r="RL18" s="11" t="s">
        <v>37</v>
      </c>
      <c r="RM18" s="11" t="s">
        <v>37</v>
      </c>
      <c r="RN18" s="11" t="s">
        <v>37</v>
      </c>
      <c r="RO18" s="11" t="s">
        <v>37</v>
      </c>
      <c r="RP18" s="11" t="s">
        <v>37</v>
      </c>
      <c r="RS18" s="11" t="s">
        <v>37</v>
      </c>
      <c r="RT18" s="11" t="s">
        <v>37</v>
      </c>
      <c r="RU18" s="11" t="s">
        <v>37</v>
      </c>
      <c r="RV18" s="11" t="s">
        <v>37</v>
      </c>
      <c r="RW18" s="11" t="s">
        <v>37</v>
      </c>
      <c r="RX18" s="11" t="s">
        <v>37</v>
      </c>
      <c r="SA18" s="11" t="s">
        <v>37</v>
      </c>
      <c r="SB18" s="11" t="s">
        <v>37</v>
      </c>
      <c r="SC18" s="13" t="s">
        <v>37</v>
      </c>
      <c r="SD18" s="11" t="s">
        <v>37</v>
      </c>
      <c r="SE18" s="11" t="s">
        <v>37</v>
      </c>
      <c r="SF18" s="13" t="s">
        <v>37</v>
      </c>
      <c r="SI18" s="12" t="s">
        <v>37</v>
      </c>
      <c r="SJ18" s="11" t="s">
        <v>37</v>
      </c>
      <c r="SK18" s="13" t="s">
        <v>37</v>
      </c>
      <c r="SM18" s="11" t="s">
        <v>37</v>
      </c>
      <c r="SN18" s="11" t="s">
        <v>37</v>
      </c>
      <c r="SO18" s="13" t="s">
        <v>37</v>
      </c>
      <c r="SU18" s="12" t="s">
        <v>37</v>
      </c>
      <c r="SV18" s="12" t="s">
        <v>37</v>
      </c>
      <c r="SW18" s="11" t="s">
        <v>37</v>
      </c>
      <c r="SX18" s="12" t="s">
        <v>37</v>
      </c>
      <c r="SY18" s="12" t="s">
        <v>37</v>
      </c>
      <c r="SZ18" s="11" t="s">
        <v>37</v>
      </c>
      <c r="TE18" s="12" t="s">
        <v>37</v>
      </c>
      <c r="TF18" s="12" t="s">
        <v>37</v>
      </c>
      <c r="TG18" s="11" t="s">
        <v>37</v>
      </c>
      <c r="TH18" s="12" t="s">
        <v>37</v>
      </c>
      <c r="TI18" s="12" t="s">
        <v>37</v>
      </c>
      <c r="TJ18" s="11" t="s">
        <v>37</v>
      </c>
      <c r="TO18" s="12" t="s">
        <v>37</v>
      </c>
      <c r="TP18" s="12" t="s">
        <v>37</v>
      </c>
      <c r="TQ18" s="11" t="s">
        <v>37</v>
      </c>
      <c r="TR18" s="12" t="s">
        <v>37</v>
      </c>
      <c r="TS18" s="12" t="s">
        <v>37</v>
      </c>
      <c r="TT18" s="11" t="s">
        <v>37</v>
      </c>
      <c r="TY18" s="12" t="s">
        <v>37</v>
      </c>
      <c r="TZ18" s="12" t="s">
        <v>37</v>
      </c>
      <c r="UA18" s="11" t="s">
        <v>37</v>
      </c>
      <c r="UB18" s="12" t="s">
        <v>37</v>
      </c>
      <c r="UC18" s="12" t="s">
        <v>37</v>
      </c>
      <c r="UD18" s="11" t="s">
        <v>37</v>
      </c>
      <c r="UI18" s="12" t="s">
        <v>37</v>
      </c>
      <c r="UJ18" s="12" t="s">
        <v>37</v>
      </c>
      <c r="UK18" s="13" t="s">
        <v>37</v>
      </c>
      <c r="UL18" s="12" t="s">
        <v>37</v>
      </c>
      <c r="UM18" s="12" t="s">
        <v>37</v>
      </c>
      <c r="UN18" s="13" t="s">
        <v>37</v>
      </c>
      <c r="UR18" s="12" t="s">
        <v>37</v>
      </c>
      <c r="US18" s="12" t="s">
        <v>37</v>
      </c>
      <c r="UT18" s="13" t="s">
        <v>37</v>
      </c>
      <c r="UU18" s="12" t="s">
        <v>37</v>
      </c>
      <c r="UV18" s="12" t="s">
        <v>37</v>
      </c>
      <c r="UW18" s="13" t="s">
        <v>37</v>
      </c>
      <c r="VB18" s="12" t="s">
        <v>37</v>
      </c>
      <c r="VC18" s="12" t="s">
        <v>37</v>
      </c>
      <c r="VD18" s="13" t="s">
        <v>37</v>
      </c>
      <c r="VE18" s="12" t="s">
        <v>37</v>
      </c>
      <c r="VF18" s="12" t="s">
        <v>37</v>
      </c>
      <c r="VG18" s="13" t="s">
        <v>37</v>
      </c>
      <c r="VI18" s="12" t="s">
        <v>37</v>
      </c>
      <c r="VJ18" s="12" t="s">
        <v>37</v>
      </c>
      <c r="VK18" s="13" t="s">
        <v>37</v>
      </c>
      <c r="VL18" s="12" t="s">
        <v>37</v>
      </c>
      <c r="VM18" s="12" t="s">
        <v>37</v>
      </c>
      <c r="VN18" s="13" t="s">
        <v>37</v>
      </c>
      <c r="VO18" s="12" t="s">
        <v>37</v>
      </c>
      <c r="VQ18" s="12" t="s">
        <v>37</v>
      </c>
      <c r="VR18" s="12" t="s">
        <v>37</v>
      </c>
      <c r="VS18" s="12" t="s">
        <v>37</v>
      </c>
      <c r="VT18" s="12" t="s">
        <v>37</v>
      </c>
      <c r="VU18" s="12" t="s">
        <v>37</v>
      </c>
      <c r="VV18" s="12" t="s">
        <v>37</v>
      </c>
      <c r="VW18" s="12"/>
      <c r="VX18" s="12"/>
      <c r="WA18" s="13" t="s">
        <v>37</v>
      </c>
      <c r="WB18" s="13" t="s">
        <v>37</v>
      </c>
      <c r="WC18" s="13" t="s">
        <v>37</v>
      </c>
      <c r="WD18" s="13" t="s">
        <v>37</v>
      </c>
      <c r="WE18" s="13" t="s">
        <v>37</v>
      </c>
      <c r="WF18" s="13" t="s">
        <v>37</v>
      </c>
    </row>
    <row r="19" spans="1:604" ht="18" customHeight="1" x14ac:dyDescent="0.3">
      <c r="A19" s="11">
        <v>5</v>
      </c>
      <c r="B19" s="12" t="s">
        <v>77</v>
      </c>
      <c r="C19" s="12" t="s">
        <v>26</v>
      </c>
      <c r="D19" s="12" t="s">
        <v>54</v>
      </c>
      <c r="E19" s="39" t="s">
        <v>37</v>
      </c>
      <c r="F19" s="14">
        <v>0</v>
      </c>
      <c r="G19" s="14">
        <v>0</v>
      </c>
      <c r="H19" s="12" t="s">
        <v>79</v>
      </c>
      <c r="I19" s="29">
        <v>48.064999999999998</v>
      </c>
      <c r="J19" s="29">
        <v>128.51</v>
      </c>
      <c r="K19" s="12" t="s">
        <v>688</v>
      </c>
      <c r="L19" s="12" t="s">
        <v>689</v>
      </c>
      <c r="M19" s="13" t="s">
        <v>48</v>
      </c>
      <c r="N19" s="14">
        <v>0.4</v>
      </c>
      <c r="O19" s="14">
        <v>630</v>
      </c>
      <c r="P19" s="14" t="s">
        <v>16</v>
      </c>
      <c r="Q19" s="75">
        <v>20</v>
      </c>
      <c r="R19" s="11" t="s">
        <v>999</v>
      </c>
      <c r="S19" s="12" t="s">
        <v>51</v>
      </c>
      <c r="T19" s="12" t="s">
        <v>876</v>
      </c>
      <c r="U19" s="12" t="s">
        <v>158</v>
      </c>
      <c r="V19" s="12" t="s">
        <v>275</v>
      </c>
      <c r="W19" s="23" t="s">
        <v>38</v>
      </c>
      <c r="X19" s="12" t="s">
        <v>280</v>
      </c>
      <c r="Y19" s="12" t="s">
        <v>68</v>
      </c>
      <c r="Z19" s="12" t="s">
        <v>37</v>
      </c>
      <c r="AB19" s="12" t="s">
        <v>37</v>
      </c>
      <c r="AE19" s="12" t="s">
        <v>37</v>
      </c>
      <c r="AH19" s="12" t="s">
        <v>37</v>
      </c>
      <c r="AK19" s="12" t="s">
        <v>37</v>
      </c>
      <c r="AL19" s="32" t="s">
        <v>485</v>
      </c>
      <c r="AM19" s="12" t="s">
        <v>317</v>
      </c>
      <c r="AN19" s="32" t="s">
        <v>878</v>
      </c>
      <c r="AO19" s="12" t="s">
        <v>37</v>
      </c>
      <c r="AP19" s="12" t="s">
        <v>602</v>
      </c>
      <c r="AQ19" s="12" t="s">
        <v>975</v>
      </c>
      <c r="AT19" s="12" t="s">
        <v>326</v>
      </c>
      <c r="AU19" s="12" t="s">
        <v>326</v>
      </c>
      <c r="AV19" s="13" t="s">
        <v>326</v>
      </c>
      <c r="AX19" s="12" t="s">
        <v>326</v>
      </c>
      <c r="AY19" s="12" t="s">
        <v>326</v>
      </c>
      <c r="AZ19" s="13" t="s">
        <v>326</v>
      </c>
      <c r="BE19" s="12" t="s">
        <v>326</v>
      </c>
      <c r="BF19" s="12" t="s">
        <v>326</v>
      </c>
      <c r="BG19" s="12" t="s">
        <v>326</v>
      </c>
      <c r="BI19" s="12" t="s">
        <v>326</v>
      </c>
      <c r="BJ19" s="12" t="s">
        <v>326</v>
      </c>
      <c r="BK19" s="12" t="s">
        <v>326</v>
      </c>
      <c r="BP19" s="12" t="s">
        <v>37</v>
      </c>
      <c r="BQ19" s="12" t="s">
        <v>37</v>
      </c>
      <c r="BR19" s="13" t="s">
        <v>37</v>
      </c>
      <c r="BT19" s="12" t="s">
        <v>37</v>
      </c>
      <c r="BU19" s="12" t="s">
        <v>37</v>
      </c>
      <c r="BV19" s="12" t="s">
        <v>37</v>
      </c>
      <c r="CA19" s="12" t="s">
        <v>37</v>
      </c>
      <c r="CB19" s="12" t="s">
        <v>37</v>
      </c>
      <c r="CC19" s="13" t="s">
        <v>37</v>
      </c>
      <c r="CE19" s="12" t="s">
        <v>37</v>
      </c>
      <c r="CF19" s="12" t="s">
        <v>37</v>
      </c>
      <c r="CG19" s="13" t="s">
        <v>37</v>
      </c>
      <c r="CI19" s="52"/>
      <c r="CJ19" s="12"/>
      <c r="CK19" s="73"/>
      <c r="CL19" s="73"/>
      <c r="CN19" s="12" t="s">
        <v>37</v>
      </c>
      <c r="CO19" s="12" t="s">
        <v>37</v>
      </c>
      <c r="CP19" s="13" t="s">
        <v>37</v>
      </c>
      <c r="CR19" s="12" t="s">
        <v>37</v>
      </c>
      <c r="CS19" s="12" t="s">
        <v>37</v>
      </c>
      <c r="CT19" s="13" t="s">
        <v>37</v>
      </c>
      <c r="CV19" s="52"/>
      <c r="CW19" s="52"/>
      <c r="CX19" s="73"/>
      <c r="CY19" s="73"/>
      <c r="DA19" s="12" t="s">
        <v>37</v>
      </c>
      <c r="DB19" s="12" t="s">
        <v>37</v>
      </c>
      <c r="DC19" s="13" t="s">
        <v>37</v>
      </c>
      <c r="DE19" s="12" t="s">
        <v>37</v>
      </c>
      <c r="DF19" s="12" t="s">
        <v>37</v>
      </c>
      <c r="DG19" s="13" t="s">
        <v>37</v>
      </c>
      <c r="DI19" s="52"/>
      <c r="DJ19" s="52"/>
      <c r="DK19" s="73"/>
      <c r="DL19" s="73"/>
      <c r="DM19" s="15" t="s">
        <v>47</v>
      </c>
      <c r="DN19" s="19">
        <f>6.66*10^4/10^3/'[1]classes-1'!$I$4</f>
        <v>76.598647152414557</v>
      </c>
      <c r="DO19" s="12">
        <f>DO18</f>
        <v>97.385019539931207</v>
      </c>
      <c r="DP19" s="13">
        <v>3</v>
      </c>
      <c r="DQ19" s="19">
        <f t="shared" si="60"/>
        <v>1.2713673564776713</v>
      </c>
      <c r="DR19" s="52">
        <f>-0.1*10^4/10^3/'[1]classes-1'!$I$5</f>
        <v>-0.99087798503934754</v>
      </c>
      <c r="DS19" s="15">
        <f>SQRT((1/[2]Classes!$I$5)^2*(0.2*10^4/10^3)^2+(-DR19/([2]Classes!$I$5)^2)^2*([2]Classes!$J$5)^2)</f>
        <v>2.1111905341845492</v>
      </c>
      <c r="DT19" s="18">
        <v>3</v>
      </c>
      <c r="DU19" s="19">
        <f t="shared" si="61"/>
        <v>2.1306261376880973</v>
      </c>
      <c r="DV19" s="19">
        <f t="shared" si="62"/>
        <v>-77.589525137453904</v>
      </c>
      <c r="DW19" s="12">
        <f t="shared" si="4"/>
        <v>68.877787262166066</v>
      </c>
      <c r="DX19" s="72">
        <f>(((DP19+DT19)/(DP19*DT19))*(((DP19-1)*DO19^2)+(DT19-1)*DS19^2)/(DP19+DT19-2))</f>
        <v>3162.7663854214707</v>
      </c>
      <c r="DY19" s="72">
        <f>(DO19^2/DP19)+(DS19^2/DT19)</f>
        <v>3162.7663854214711</v>
      </c>
      <c r="DZ19" s="15"/>
      <c r="EA19" s="52" t="s">
        <v>37</v>
      </c>
      <c r="EB19" s="52" t="s">
        <v>37</v>
      </c>
      <c r="EC19" s="73" t="s">
        <v>37</v>
      </c>
      <c r="ED19" s="52"/>
      <c r="EE19" s="52" t="s">
        <v>37</v>
      </c>
      <c r="EF19" s="52" t="s">
        <v>37</v>
      </c>
      <c r="EG19" s="15" t="s">
        <v>37</v>
      </c>
      <c r="EH19" s="52"/>
      <c r="EI19" s="52"/>
      <c r="EJ19" s="52"/>
      <c r="EK19" s="52"/>
      <c r="EL19" s="52"/>
      <c r="EM19" s="12" t="s">
        <v>39</v>
      </c>
      <c r="EN19" s="12">
        <v>-6.17</v>
      </c>
      <c r="EO19" s="20">
        <v>1.6</v>
      </c>
      <c r="EP19" s="13">
        <v>3</v>
      </c>
      <c r="EQ19" s="19">
        <f t="shared" si="29"/>
        <v>0.2593192868719611</v>
      </c>
      <c r="ER19" s="12">
        <v>-37.89</v>
      </c>
      <c r="ES19" s="20">
        <v>1.4</v>
      </c>
      <c r="ET19" s="13">
        <v>3</v>
      </c>
      <c r="EU19" s="19">
        <f t="shared" si="30"/>
        <v>3.6949063077329106E-2</v>
      </c>
      <c r="EV19" s="19">
        <f t="shared" si="63"/>
        <v>-31.72</v>
      </c>
      <c r="EW19" s="12">
        <f t="shared" si="55"/>
        <v>1.5033296378372909</v>
      </c>
      <c r="EX19" s="19">
        <f t="shared" si="56"/>
        <v>1.5066666666666668</v>
      </c>
      <c r="EY19" s="19">
        <f t="shared" si="57"/>
        <v>1.5066666666666668</v>
      </c>
      <c r="FB19" s="11" t="s">
        <v>37</v>
      </c>
      <c r="FC19" s="11" t="s">
        <v>37</v>
      </c>
      <c r="FD19" s="11" t="s">
        <v>37</v>
      </c>
      <c r="FE19" s="12" t="s">
        <v>37</v>
      </c>
      <c r="FF19" s="20" t="s">
        <v>37</v>
      </c>
      <c r="FG19" s="11" t="s">
        <v>37</v>
      </c>
      <c r="FI19" s="11" t="s">
        <v>37</v>
      </c>
      <c r="FJ19" s="11" t="s">
        <v>37</v>
      </c>
      <c r="FK19" s="11" t="s">
        <v>37</v>
      </c>
      <c r="FL19" s="13" t="s">
        <v>37</v>
      </c>
      <c r="FM19" s="11" t="s">
        <v>37</v>
      </c>
      <c r="FN19" s="11" t="s">
        <v>37</v>
      </c>
      <c r="FP19" s="11" t="s">
        <v>37</v>
      </c>
      <c r="FQ19" s="11" t="s">
        <v>37</v>
      </c>
      <c r="FR19" s="11" t="s">
        <v>37</v>
      </c>
      <c r="FS19" s="13" t="s">
        <v>37</v>
      </c>
      <c r="FT19" s="11" t="s">
        <v>37</v>
      </c>
      <c r="FU19" s="11" t="s">
        <v>37</v>
      </c>
      <c r="FW19" s="11" t="s">
        <v>37</v>
      </c>
      <c r="FX19" s="11" t="s">
        <v>37</v>
      </c>
      <c r="FY19" s="11" t="s">
        <v>37</v>
      </c>
      <c r="FZ19" s="13" t="s">
        <v>37</v>
      </c>
      <c r="GA19" s="11" t="s">
        <v>37</v>
      </c>
      <c r="GB19" s="11" t="s">
        <v>37</v>
      </c>
      <c r="GE19" s="11"/>
      <c r="GF19" s="11"/>
      <c r="GI19" s="11"/>
      <c r="GJ19" s="11"/>
      <c r="GO19" s="12" t="s">
        <v>660</v>
      </c>
      <c r="GP19" s="12" t="s">
        <v>330</v>
      </c>
      <c r="GQ19" s="20">
        <v>9.59</v>
      </c>
      <c r="GR19" s="20">
        <v>1.2</v>
      </c>
      <c r="GS19" s="13">
        <v>3</v>
      </c>
      <c r="GT19" s="19">
        <f t="shared" ref="GT19:GT29" si="65">GR19/GQ19</f>
        <v>0.12513034410844628</v>
      </c>
      <c r="GU19" s="20">
        <v>9.32</v>
      </c>
      <c r="GV19" s="20">
        <v>0.97</v>
      </c>
      <c r="GW19" s="13">
        <v>3</v>
      </c>
      <c r="GX19" s="19">
        <f t="shared" si="64"/>
        <v>0.10407725321888411</v>
      </c>
      <c r="GY19" s="19">
        <f t="shared" si="59"/>
        <v>-2.8558260197847001E-2</v>
      </c>
      <c r="GZ19" s="19">
        <f t="shared" si="19"/>
        <v>8.8298925514286343E-3</v>
      </c>
      <c r="HD19" s="11"/>
      <c r="HG19" s="11"/>
      <c r="HH19" s="11"/>
      <c r="IK19" s="12" t="s">
        <v>37</v>
      </c>
      <c r="IL19" s="12" t="s">
        <v>37</v>
      </c>
      <c r="IM19" s="13" t="s">
        <v>37</v>
      </c>
      <c r="IO19" s="12" t="s">
        <v>37</v>
      </c>
      <c r="IP19" s="12" t="s">
        <v>37</v>
      </c>
      <c r="IQ19" s="13" t="s">
        <v>37</v>
      </c>
      <c r="IW19" s="12" t="s">
        <v>37</v>
      </c>
      <c r="IX19" s="11" t="s">
        <v>37</v>
      </c>
      <c r="IY19" s="13" t="s">
        <v>37</v>
      </c>
      <c r="JA19" s="11" t="s">
        <v>37</v>
      </c>
      <c r="JB19" s="11" t="s">
        <v>37</v>
      </c>
      <c r="JC19" s="13" t="s">
        <v>37</v>
      </c>
      <c r="JH19" s="12" t="s">
        <v>37</v>
      </c>
      <c r="JI19" s="12" t="s">
        <v>37</v>
      </c>
      <c r="JJ19" s="13" t="s">
        <v>37</v>
      </c>
      <c r="JL19" s="12" t="s">
        <v>37</v>
      </c>
      <c r="JM19" s="12" t="s">
        <v>37</v>
      </c>
      <c r="JN19" s="12" t="s">
        <v>37</v>
      </c>
      <c r="JS19" s="12" t="s">
        <v>37</v>
      </c>
      <c r="JT19" s="12" t="s">
        <v>37</v>
      </c>
      <c r="JU19" s="13" t="s">
        <v>37</v>
      </c>
      <c r="JW19" s="12" t="s">
        <v>37</v>
      </c>
      <c r="JX19" s="12" t="s">
        <v>37</v>
      </c>
      <c r="JY19" s="12" t="s">
        <v>37</v>
      </c>
      <c r="KE19" s="11" t="s">
        <v>37</v>
      </c>
      <c r="KF19" s="11" t="s">
        <v>37</v>
      </c>
      <c r="KG19" s="13" t="s">
        <v>37</v>
      </c>
      <c r="KH19" s="11" t="s">
        <v>37</v>
      </c>
      <c r="KI19" s="11" t="s">
        <v>37</v>
      </c>
      <c r="KJ19" s="11" t="s">
        <v>37</v>
      </c>
      <c r="KM19" s="12" t="s">
        <v>37</v>
      </c>
      <c r="KN19" s="11" t="s">
        <v>37</v>
      </c>
      <c r="KO19" s="11" t="s">
        <v>37</v>
      </c>
      <c r="KQ19" s="11" t="s">
        <v>37</v>
      </c>
      <c r="KR19" s="11" t="s">
        <v>37</v>
      </c>
      <c r="KS19" s="13" t="s">
        <v>37</v>
      </c>
      <c r="KX19" s="11" t="s">
        <v>37</v>
      </c>
      <c r="KY19" s="11" t="s">
        <v>37</v>
      </c>
      <c r="KZ19" s="13" t="s">
        <v>37</v>
      </c>
      <c r="LB19" s="11" t="s">
        <v>37</v>
      </c>
      <c r="LC19" s="11" t="s">
        <v>37</v>
      </c>
      <c r="LD19" s="13" t="s">
        <v>37</v>
      </c>
      <c r="LI19" s="12" t="s">
        <v>37</v>
      </c>
      <c r="LJ19" s="12" t="s">
        <v>37</v>
      </c>
      <c r="LK19" s="12" t="s">
        <v>37</v>
      </c>
      <c r="LM19" s="12" t="s">
        <v>37</v>
      </c>
      <c r="LN19" s="12" t="s">
        <v>37</v>
      </c>
      <c r="LO19" s="12" t="s">
        <v>37</v>
      </c>
      <c r="LU19" s="12" t="s">
        <v>37</v>
      </c>
      <c r="LV19" s="12" t="s">
        <v>37</v>
      </c>
      <c r="LW19" s="13" t="s">
        <v>37</v>
      </c>
      <c r="LY19" s="12" t="s">
        <v>37</v>
      </c>
      <c r="LZ19" s="12" t="s">
        <v>37</v>
      </c>
      <c r="MA19" s="11" t="s">
        <v>37</v>
      </c>
      <c r="MF19" s="12" t="s">
        <v>37</v>
      </c>
      <c r="MG19" s="12" t="s">
        <v>37</v>
      </c>
      <c r="MH19" s="12" t="s">
        <v>37</v>
      </c>
      <c r="MJ19" s="12" t="s">
        <v>37</v>
      </c>
      <c r="MK19" s="12" t="s">
        <v>37</v>
      </c>
      <c r="ML19" s="12" t="s">
        <v>37</v>
      </c>
      <c r="MQ19" s="12" t="s">
        <v>37</v>
      </c>
      <c r="MR19" s="12" t="s">
        <v>37</v>
      </c>
      <c r="MS19" s="12" t="s">
        <v>37</v>
      </c>
      <c r="MU19" s="12" t="s">
        <v>37</v>
      </c>
      <c r="MV19" s="12" t="s">
        <v>37</v>
      </c>
      <c r="MW19" s="12" t="s">
        <v>37</v>
      </c>
      <c r="NC19" s="11" t="s">
        <v>37</v>
      </c>
      <c r="ND19" s="11" t="s">
        <v>37</v>
      </c>
      <c r="NE19" s="13" t="s">
        <v>37</v>
      </c>
      <c r="NG19" s="11" t="s">
        <v>37</v>
      </c>
      <c r="NH19" s="11" t="s">
        <v>37</v>
      </c>
      <c r="NI19" s="13" t="s">
        <v>37</v>
      </c>
      <c r="NO19" s="11" t="s">
        <v>37</v>
      </c>
      <c r="NP19" s="11" t="s">
        <v>37</v>
      </c>
      <c r="NQ19" s="13" t="s">
        <v>37</v>
      </c>
      <c r="NS19" s="11" t="s">
        <v>37</v>
      </c>
      <c r="NT19" s="11" t="s">
        <v>37</v>
      </c>
      <c r="NU19" s="13" t="s">
        <v>37</v>
      </c>
      <c r="OA19" s="11" t="s">
        <v>37</v>
      </c>
      <c r="OB19" s="11" t="s">
        <v>37</v>
      </c>
      <c r="OC19" s="13" t="s">
        <v>37</v>
      </c>
      <c r="OE19" s="11" t="s">
        <v>37</v>
      </c>
      <c r="OF19" s="11" t="s">
        <v>37</v>
      </c>
      <c r="OG19" s="13" t="s">
        <v>37</v>
      </c>
      <c r="OM19" s="11" t="s">
        <v>37</v>
      </c>
      <c r="ON19" s="11" t="s">
        <v>37</v>
      </c>
      <c r="OO19" s="11" t="s">
        <v>37</v>
      </c>
      <c r="OP19" s="11" t="s">
        <v>37</v>
      </c>
      <c r="OQ19" s="11" t="s">
        <v>37</v>
      </c>
      <c r="OR19" s="11" t="s">
        <v>37</v>
      </c>
      <c r="OW19" s="11" t="s">
        <v>37</v>
      </c>
      <c r="OX19" s="11" t="s">
        <v>37</v>
      </c>
      <c r="OY19" s="13" t="s">
        <v>37</v>
      </c>
      <c r="OZ19" s="11" t="s">
        <v>37</v>
      </c>
      <c r="PA19" s="11" t="s">
        <v>37</v>
      </c>
      <c r="PB19" s="13" t="s">
        <v>37</v>
      </c>
      <c r="PG19" s="11" t="s">
        <v>37</v>
      </c>
      <c r="PH19" s="11" t="s">
        <v>37</v>
      </c>
      <c r="PI19" s="13" t="s">
        <v>37</v>
      </c>
      <c r="PJ19" s="11" t="s">
        <v>37</v>
      </c>
      <c r="PK19" s="11" t="s">
        <v>37</v>
      </c>
      <c r="PL19" s="13" t="s">
        <v>37</v>
      </c>
      <c r="PQ19" s="11" t="s">
        <v>37</v>
      </c>
      <c r="PR19" s="11" t="s">
        <v>37</v>
      </c>
      <c r="PS19" s="13" t="s">
        <v>37</v>
      </c>
      <c r="PT19" s="11" t="s">
        <v>37</v>
      </c>
      <c r="PU19" s="11" t="s">
        <v>37</v>
      </c>
      <c r="PV19" s="13" t="s">
        <v>37</v>
      </c>
      <c r="PZ19" s="11" t="s">
        <v>37</v>
      </c>
      <c r="QA19" s="11" t="s">
        <v>37</v>
      </c>
      <c r="QB19" s="11" t="s">
        <v>37</v>
      </c>
      <c r="QD19" s="11" t="s">
        <v>37</v>
      </c>
      <c r="QE19" s="11" t="s">
        <v>37</v>
      </c>
      <c r="QF19" s="13" t="s">
        <v>37</v>
      </c>
      <c r="QK19" s="11" t="s">
        <v>37</v>
      </c>
      <c r="QL19" s="11" t="s">
        <v>37</v>
      </c>
      <c r="QM19" s="13" t="s">
        <v>37</v>
      </c>
      <c r="QN19" s="11" t="s">
        <v>37</v>
      </c>
      <c r="QO19" s="11" t="s">
        <v>37</v>
      </c>
      <c r="QP19" s="13" t="s">
        <v>37</v>
      </c>
      <c r="QU19" s="11" t="s">
        <v>37</v>
      </c>
      <c r="QV19" s="11" t="s">
        <v>37</v>
      </c>
      <c r="QW19" s="13" t="s">
        <v>37</v>
      </c>
      <c r="QX19" s="11" t="s">
        <v>37</v>
      </c>
      <c r="QY19" s="11" t="s">
        <v>37</v>
      </c>
      <c r="QZ19" s="13" t="s">
        <v>37</v>
      </c>
      <c r="RC19" s="12" t="s">
        <v>37</v>
      </c>
      <c r="RD19" s="12" t="s">
        <v>37</v>
      </c>
      <c r="RE19" s="13" t="s">
        <v>37</v>
      </c>
      <c r="RF19" s="12" t="s">
        <v>37</v>
      </c>
      <c r="RG19" s="12" t="s">
        <v>37</v>
      </c>
      <c r="RH19" s="13" t="s">
        <v>37</v>
      </c>
      <c r="RK19" s="11" t="s">
        <v>37</v>
      </c>
      <c r="RL19" s="11" t="s">
        <v>37</v>
      </c>
      <c r="RM19" s="11" t="s">
        <v>37</v>
      </c>
      <c r="RN19" s="11" t="s">
        <v>37</v>
      </c>
      <c r="RO19" s="11" t="s">
        <v>37</v>
      </c>
      <c r="RP19" s="11" t="s">
        <v>37</v>
      </c>
      <c r="RS19" s="11" t="s">
        <v>37</v>
      </c>
      <c r="RT19" s="11" t="s">
        <v>37</v>
      </c>
      <c r="RU19" s="11" t="s">
        <v>37</v>
      </c>
      <c r="RV19" s="11" t="s">
        <v>37</v>
      </c>
      <c r="RW19" s="11" t="s">
        <v>37</v>
      </c>
      <c r="RX19" s="11" t="s">
        <v>37</v>
      </c>
      <c r="SA19" s="11" t="s">
        <v>37</v>
      </c>
      <c r="SB19" s="11" t="s">
        <v>37</v>
      </c>
      <c r="SC19" s="13" t="s">
        <v>37</v>
      </c>
      <c r="SD19" s="11" t="s">
        <v>37</v>
      </c>
      <c r="SE19" s="11" t="s">
        <v>37</v>
      </c>
      <c r="SF19" s="13" t="s">
        <v>37</v>
      </c>
      <c r="SI19" s="12" t="s">
        <v>37</v>
      </c>
      <c r="SJ19" s="11" t="s">
        <v>37</v>
      </c>
      <c r="SK19" s="13" t="s">
        <v>37</v>
      </c>
      <c r="SM19" s="11" t="s">
        <v>37</v>
      </c>
      <c r="SN19" s="11" t="s">
        <v>37</v>
      </c>
      <c r="SO19" s="13" t="s">
        <v>37</v>
      </c>
      <c r="SU19" s="12" t="s">
        <v>37</v>
      </c>
      <c r="SV19" s="12" t="s">
        <v>37</v>
      </c>
      <c r="SW19" s="11" t="s">
        <v>37</v>
      </c>
      <c r="SX19" s="12" t="s">
        <v>37</v>
      </c>
      <c r="SY19" s="12" t="s">
        <v>37</v>
      </c>
      <c r="SZ19" s="11" t="s">
        <v>37</v>
      </c>
      <c r="TE19" s="12" t="s">
        <v>37</v>
      </c>
      <c r="TF19" s="12" t="s">
        <v>37</v>
      </c>
      <c r="TG19" s="11" t="s">
        <v>37</v>
      </c>
      <c r="TH19" s="12" t="s">
        <v>37</v>
      </c>
      <c r="TI19" s="12" t="s">
        <v>37</v>
      </c>
      <c r="TJ19" s="11" t="s">
        <v>37</v>
      </c>
      <c r="TO19" s="12" t="s">
        <v>37</v>
      </c>
      <c r="TP19" s="12" t="s">
        <v>37</v>
      </c>
      <c r="TQ19" s="11" t="s">
        <v>37</v>
      </c>
      <c r="TR19" s="12" t="s">
        <v>37</v>
      </c>
      <c r="TS19" s="12" t="s">
        <v>37</v>
      </c>
      <c r="TT19" s="11" t="s">
        <v>37</v>
      </c>
      <c r="TY19" s="12" t="s">
        <v>37</v>
      </c>
      <c r="TZ19" s="12" t="s">
        <v>37</v>
      </c>
      <c r="UA19" s="11" t="s">
        <v>37</v>
      </c>
      <c r="UB19" s="12" t="s">
        <v>37</v>
      </c>
      <c r="UC19" s="12" t="s">
        <v>37</v>
      </c>
      <c r="UD19" s="11" t="s">
        <v>37</v>
      </c>
      <c r="UI19" s="12" t="s">
        <v>37</v>
      </c>
      <c r="UJ19" s="12" t="s">
        <v>37</v>
      </c>
      <c r="UK19" s="13" t="s">
        <v>37</v>
      </c>
      <c r="UL19" s="12" t="s">
        <v>37</v>
      </c>
      <c r="UM19" s="12" t="s">
        <v>37</v>
      </c>
      <c r="UN19" s="13" t="s">
        <v>37</v>
      </c>
      <c r="UR19" s="12" t="s">
        <v>37</v>
      </c>
      <c r="US19" s="12" t="s">
        <v>37</v>
      </c>
      <c r="UT19" s="13" t="s">
        <v>37</v>
      </c>
      <c r="UU19" s="12" t="s">
        <v>37</v>
      </c>
      <c r="UV19" s="12" t="s">
        <v>37</v>
      </c>
      <c r="UW19" s="13" t="s">
        <v>37</v>
      </c>
      <c r="VB19" s="12" t="s">
        <v>37</v>
      </c>
      <c r="VC19" s="12" t="s">
        <v>37</v>
      </c>
      <c r="VD19" s="13" t="s">
        <v>37</v>
      </c>
      <c r="VE19" s="12" t="s">
        <v>37</v>
      </c>
      <c r="VF19" s="12" t="s">
        <v>37</v>
      </c>
      <c r="VG19" s="13" t="s">
        <v>37</v>
      </c>
      <c r="VI19" s="12" t="s">
        <v>37</v>
      </c>
      <c r="VJ19" s="12" t="s">
        <v>37</v>
      </c>
      <c r="VK19" s="13" t="s">
        <v>37</v>
      </c>
      <c r="VL19" s="12" t="s">
        <v>37</v>
      </c>
      <c r="VM19" s="12" t="s">
        <v>37</v>
      </c>
      <c r="VN19" s="13" t="s">
        <v>37</v>
      </c>
      <c r="VO19" s="12" t="s">
        <v>37</v>
      </c>
      <c r="VQ19" s="12" t="s">
        <v>37</v>
      </c>
      <c r="VR19" s="12" t="s">
        <v>37</v>
      </c>
      <c r="VS19" s="12" t="s">
        <v>37</v>
      </c>
      <c r="VT19" s="12" t="s">
        <v>37</v>
      </c>
      <c r="VU19" s="12" t="s">
        <v>37</v>
      </c>
      <c r="VV19" s="12" t="s">
        <v>37</v>
      </c>
      <c r="VW19" s="12"/>
      <c r="VX19" s="12"/>
      <c r="WA19" s="13" t="s">
        <v>37</v>
      </c>
      <c r="WB19" s="13" t="s">
        <v>37</v>
      </c>
      <c r="WC19" s="13" t="s">
        <v>37</v>
      </c>
      <c r="WD19" s="13" t="s">
        <v>37</v>
      </c>
      <c r="WE19" s="13" t="s">
        <v>37</v>
      </c>
      <c r="WF19" s="13" t="s">
        <v>37</v>
      </c>
    </row>
    <row r="20" spans="1:604" ht="18" customHeight="1" x14ac:dyDescent="0.3">
      <c r="A20" s="11">
        <v>5</v>
      </c>
      <c r="B20" s="12" t="s">
        <v>77</v>
      </c>
      <c r="C20" s="12" t="s">
        <v>26</v>
      </c>
      <c r="D20" s="12" t="s">
        <v>54</v>
      </c>
      <c r="E20" s="39" t="s">
        <v>37</v>
      </c>
      <c r="F20" s="14">
        <v>0</v>
      </c>
      <c r="G20" s="14">
        <v>0</v>
      </c>
      <c r="H20" s="12" t="s">
        <v>79</v>
      </c>
      <c r="I20" s="29">
        <v>48.064999999999998</v>
      </c>
      <c r="J20" s="29">
        <v>128.51</v>
      </c>
      <c r="K20" s="12" t="s">
        <v>688</v>
      </c>
      <c r="L20" s="12" t="s">
        <v>689</v>
      </c>
      <c r="M20" s="13" t="s">
        <v>48</v>
      </c>
      <c r="N20" s="14">
        <v>0.4</v>
      </c>
      <c r="O20" s="14">
        <v>630</v>
      </c>
      <c r="P20" s="14" t="s">
        <v>16</v>
      </c>
      <c r="Q20" s="75">
        <v>10</v>
      </c>
      <c r="R20" s="11" t="s">
        <v>1000</v>
      </c>
      <c r="S20" s="12" t="s">
        <v>51</v>
      </c>
      <c r="T20" s="12" t="s">
        <v>876</v>
      </c>
      <c r="U20" s="12" t="s">
        <v>158</v>
      </c>
      <c r="V20" s="12" t="s">
        <v>275</v>
      </c>
      <c r="W20" s="23" t="s">
        <v>490</v>
      </c>
      <c r="X20" s="12" t="s">
        <v>282</v>
      </c>
      <c r="Y20" s="12" t="s">
        <v>68</v>
      </c>
      <c r="Z20" s="12" t="s">
        <v>37</v>
      </c>
      <c r="AB20" s="12" t="s">
        <v>37</v>
      </c>
      <c r="AE20" s="12" t="s">
        <v>37</v>
      </c>
      <c r="AH20" s="12" t="s">
        <v>37</v>
      </c>
      <c r="AK20" s="12" t="s">
        <v>37</v>
      </c>
      <c r="AL20" s="32" t="s">
        <v>485</v>
      </c>
      <c r="AM20" s="12" t="s">
        <v>317</v>
      </c>
      <c r="AN20" s="32" t="s">
        <v>878</v>
      </c>
      <c r="AO20" s="12" t="s">
        <v>37</v>
      </c>
      <c r="AP20" s="12" t="s">
        <v>602</v>
      </c>
      <c r="AQ20" s="12" t="s">
        <v>975</v>
      </c>
      <c r="AT20" s="12" t="s">
        <v>326</v>
      </c>
      <c r="AU20" s="12" t="s">
        <v>326</v>
      </c>
      <c r="AV20" s="13" t="s">
        <v>326</v>
      </c>
      <c r="AX20" s="12" t="s">
        <v>326</v>
      </c>
      <c r="AY20" s="12" t="s">
        <v>326</v>
      </c>
      <c r="AZ20" s="13" t="s">
        <v>326</v>
      </c>
      <c r="BE20" s="12" t="s">
        <v>326</v>
      </c>
      <c r="BF20" s="12" t="s">
        <v>326</v>
      </c>
      <c r="BG20" s="12" t="s">
        <v>326</v>
      </c>
      <c r="BI20" s="12" t="s">
        <v>326</v>
      </c>
      <c r="BJ20" s="12" t="s">
        <v>326</v>
      </c>
      <c r="BK20" s="12" t="s">
        <v>326</v>
      </c>
      <c r="BP20" s="12" t="s">
        <v>37</v>
      </c>
      <c r="BQ20" s="12" t="s">
        <v>37</v>
      </c>
      <c r="BR20" s="13" t="s">
        <v>37</v>
      </c>
      <c r="BT20" s="12" t="s">
        <v>37</v>
      </c>
      <c r="BU20" s="12" t="s">
        <v>37</v>
      </c>
      <c r="BV20" s="12" t="s">
        <v>37</v>
      </c>
      <c r="CA20" s="12" t="s">
        <v>37</v>
      </c>
      <c r="CB20" s="12" t="s">
        <v>37</v>
      </c>
      <c r="CC20" s="13" t="s">
        <v>37</v>
      </c>
      <c r="CE20" s="12" t="s">
        <v>37</v>
      </c>
      <c r="CF20" s="12" t="s">
        <v>37</v>
      </c>
      <c r="CG20" s="13" t="s">
        <v>37</v>
      </c>
      <c r="CI20" s="52"/>
      <c r="CJ20" s="12"/>
      <c r="CK20" s="73"/>
      <c r="CL20" s="73"/>
      <c r="CN20" s="12" t="s">
        <v>37</v>
      </c>
      <c r="CO20" s="12" t="s">
        <v>37</v>
      </c>
      <c r="CP20" s="13" t="s">
        <v>37</v>
      </c>
      <c r="CR20" s="12" t="s">
        <v>37</v>
      </c>
      <c r="CS20" s="12" t="s">
        <v>37</v>
      </c>
      <c r="CT20" s="13" t="s">
        <v>37</v>
      </c>
      <c r="CV20" s="52"/>
      <c r="CW20" s="52"/>
      <c r="CX20" s="73"/>
      <c r="CY20" s="73"/>
      <c r="DA20" s="12" t="s">
        <v>37</v>
      </c>
      <c r="DB20" s="12" t="s">
        <v>37</v>
      </c>
      <c r="DC20" s="13" t="s">
        <v>37</v>
      </c>
      <c r="DE20" s="12" t="s">
        <v>37</v>
      </c>
      <c r="DF20" s="12" t="s">
        <v>37</v>
      </c>
      <c r="DG20" s="13" t="s">
        <v>37</v>
      </c>
      <c r="DI20" s="52"/>
      <c r="DJ20" s="52"/>
      <c r="DK20" s="73"/>
      <c r="DL20" s="73"/>
      <c r="DM20" s="15" t="s">
        <v>47</v>
      </c>
      <c r="DN20" s="19">
        <f>0.32*10^4/10^3/'[1]classes-1'!$I$14</f>
        <v>3.3104450261339187</v>
      </c>
      <c r="DO20" s="12">
        <f>SQRT((1/[2]Classes!$I$14)^2*(0.31*10^4/10^3)^2+(-DN20/([2]Classes!$I$14)^2)^2*([2]Classes!$J$14)^2)</f>
        <v>3.2225601192052182</v>
      </c>
      <c r="DP20" s="13">
        <v>3</v>
      </c>
      <c r="DQ20" s="19">
        <f t="shared" si="60"/>
        <v>0.97345223792121505</v>
      </c>
      <c r="DR20" s="52">
        <f>0.13*10^4/10^3/'[1]classes-1'!$I$15</f>
        <v>0.97256818109938847</v>
      </c>
      <c r="DS20" s="15">
        <f>SQRT((1/[2]Classes!$I$5)^2*(0.5*10^4/10^3)^2+(-DR20/([2]Classes!$I$5)^2)^2*([2]Classes!$J$5)^2)</f>
        <v>5.0056318929545522</v>
      </c>
      <c r="DT20" s="18">
        <v>3</v>
      </c>
      <c r="DU20" s="19">
        <f t="shared" si="61"/>
        <v>5.1468184855648875</v>
      </c>
      <c r="DV20" s="19">
        <f t="shared" si="62"/>
        <v>-2.33787684503453</v>
      </c>
      <c r="DW20" s="12">
        <f t="shared" si="4"/>
        <v>4.2095869375543087</v>
      </c>
      <c r="DX20" s="72">
        <f t="shared" ref="DX20:DX33" si="66">(((DP20+DT20)/(DP20*DT20))*(((DP20-1)*DO20^2)+(DT20-1)*DS20^2)/(DP20+DT20-2))</f>
        <v>11.813748123218575</v>
      </c>
      <c r="DY20" s="72">
        <f t="shared" ref="DY20:DY33" si="67">(DO20^2/DP20)+(DS20^2/DT20)</f>
        <v>11.813748123218575</v>
      </c>
      <c r="DZ20" s="15"/>
      <c r="EA20" s="52" t="s">
        <v>37</v>
      </c>
      <c r="EB20" s="52" t="s">
        <v>37</v>
      </c>
      <c r="EC20" s="73" t="s">
        <v>37</v>
      </c>
      <c r="ED20" s="52"/>
      <c r="EE20" s="52" t="s">
        <v>37</v>
      </c>
      <c r="EF20" s="52" t="s">
        <v>37</v>
      </c>
      <c r="EG20" s="15" t="s">
        <v>37</v>
      </c>
      <c r="EH20" s="52"/>
      <c r="EI20" s="52"/>
      <c r="EJ20" s="52"/>
      <c r="EK20" s="52"/>
      <c r="EL20" s="52"/>
      <c r="EM20" s="12" t="s">
        <v>39</v>
      </c>
      <c r="EN20" s="12">
        <v>-20.329999999999998</v>
      </c>
      <c r="EO20" s="12">
        <v>2.57</v>
      </c>
      <c r="EP20" s="13">
        <v>3</v>
      </c>
      <c r="EQ20" s="19">
        <f t="shared" si="29"/>
        <v>0.12641416625676341</v>
      </c>
      <c r="ER20" s="12">
        <v>-32.340000000000003</v>
      </c>
      <c r="ES20" s="20">
        <v>1.06</v>
      </c>
      <c r="ET20" s="13">
        <v>3</v>
      </c>
      <c r="EU20" s="19">
        <f t="shared" si="30"/>
        <v>3.2776747062461344E-2</v>
      </c>
      <c r="EV20" s="19">
        <f t="shared" si="63"/>
        <v>-12.010000000000005</v>
      </c>
      <c r="EW20" s="12">
        <f t="shared" si="55"/>
        <v>1.9657695694053257</v>
      </c>
      <c r="EX20" s="19">
        <f t="shared" si="56"/>
        <v>2.576166666666666</v>
      </c>
      <c r="EY20" s="19">
        <f t="shared" si="57"/>
        <v>2.5761666666666665</v>
      </c>
      <c r="FB20" s="11" t="s">
        <v>37</v>
      </c>
      <c r="FC20" s="11" t="s">
        <v>37</v>
      </c>
      <c r="FD20" s="11" t="s">
        <v>37</v>
      </c>
      <c r="FE20" s="12" t="s">
        <v>37</v>
      </c>
      <c r="FF20" s="20" t="s">
        <v>37</v>
      </c>
      <c r="FG20" s="11" t="s">
        <v>37</v>
      </c>
      <c r="FI20" s="11" t="s">
        <v>37</v>
      </c>
      <c r="FJ20" s="11" t="s">
        <v>37</v>
      </c>
      <c r="FK20" s="11" t="s">
        <v>37</v>
      </c>
      <c r="FL20" s="13" t="s">
        <v>37</v>
      </c>
      <c r="FM20" s="11" t="s">
        <v>37</v>
      </c>
      <c r="FN20" s="11" t="s">
        <v>37</v>
      </c>
      <c r="FP20" s="11" t="s">
        <v>37</v>
      </c>
      <c r="FQ20" s="11" t="s">
        <v>37</v>
      </c>
      <c r="FR20" s="11" t="s">
        <v>37</v>
      </c>
      <c r="FS20" s="13" t="s">
        <v>37</v>
      </c>
      <c r="FT20" s="11" t="s">
        <v>37</v>
      </c>
      <c r="FU20" s="11" t="s">
        <v>37</v>
      </c>
      <c r="FW20" s="11" t="s">
        <v>37</v>
      </c>
      <c r="FX20" s="11" t="s">
        <v>37</v>
      </c>
      <c r="FY20" s="11" t="s">
        <v>37</v>
      </c>
      <c r="FZ20" s="13" t="s">
        <v>37</v>
      </c>
      <c r="GA20" s="11" t="s">
        <v>37</v>
      </c>
      <c r="GB20" s="11" t="s">
        <v>37</v>
      </c>
      <c r="GE20" s="11"/>
      <c r="GF20" s="11"/>
      <c r="GI20" s="11"/>
      <c r="GJ20" s="11"/>
      <c r="GO20" s="12" t="s">
        <v>660</v>
      </c>
      <c r="GP20" s="12" t="s">
        <v>330</v>
      </c>
      <c r="GQ20" s="20">
        <v>8.74</v>
      </c>
      <c r="GR20" s="20">
        <v>1.19</v>
      </c>
      <c r="GS20" s="13">
        <v>3</v>
      </c>
      <c r="GT20" s="19">
        <f t="shared" si="65"/>
        <v>0.13615560640732263</v>
      </c>
      <c r="GU20" s="20">
        <v>9.43</v>
      </c>
      <c r="GV20" s="20">
        <v>1.1399999999999999</v>
      </c>
      <c r="GW20" s="13">
        <v>3</v>
      </c>
      <c r="GX20" s="19">
        <f t="shared" si="64"/>
        <v>0.12089077412513255</v>
      </c>
      <c r="GY20" s="19">
        <f t="shared" si="59"/>
        <v>7.5985906977922055E-2</v>
      </c>
      <c r="GZ20" s="19">
        <f t="shared" si="19"/>
        <v>1.1050976141573191E-2</v>
      </c>
      <c r="HD20" s="11"/>
      <c r="HG20" s="11"/>
      <c r="HH20" s="11"/>
      <c r="IK20" s="12" t="s">
        <v>37</v>
      </c>
      <c r="IL20" s="12" t="s">
        <v>37</v>
      </c>
      <c r="IM20" s="13" t="s">
        <v>37</v>
      </c>
      <c r="IO20" s="12" t="s">
        <v>37</v>
      </c>
      <c r="IP20" s="12" t="s">
        <v>37</v>
      </c>
      <c r="IQ20" s="13" t="s">
        <v>37</v>
      </c>
      <c r="IW20" s="12" t="s">
        <v>37</v>
      </c>
      <c r="IX20" s="11" t="s">
        <v>37</v>
      </c>
      <c r="IY20" s="13" t="s">
        <v>37</v>
      </c>
      <c r="JA20" s="11" t="s">
        <v>37</v>
      </c>
      <c r="JB20" s="11" t="s">
        <v>37</v>
      </c>
      <c r="JC20" s="13" t="s">
        <v>37</v>
      </c>
      <c r="JH20" s="12" t="s">
        <v>37</v>
      </c>
      <c r="JI20" s="12" t="s">
        <v>37</v>
      </c>
      <c r="JJ20" s="13" t="s">
        <v>37</v>
      </c>
      <c r="JL20" s="12" t="s">
        <v>37</v>
      </c>
      <c r="JM20" s="12" t="s">
        <v>37</v>
      </c>
      <c r="JN20" s="12" t="s">
        <v>37</v>
      </c>
      <c r="JS20" s="12" t="s">
        <v>37</v>
      </c>
      <c r="JT20" s="12" t="s">
        <v>37</v>
      </c>
      <c r="JU20" s="13" t="s">
        <v>37</v>
      </c>
      <c r="JW20" s="12" t="s">
        <v>37</v>
      </c>
      <c r="JX20" s="12" t="s">
        <v>37</v>
      </c>
      <c r="JY20" s="12" t="s">
        <v>37</v>
      </c>
      <c r="KE20" s="11" t="s">
        <v>37</v>
      </c>
      <c r="KF20" s="11" t="s">
        <v>37</v>
      </c>
      <c r="KG20" s="13" t="s">
        <v>37</v>
      </c>
      <c r="KH20" s="11" t="s">
        <v>37</v>
      </c>
      <c r="KI20" s="11" t="s">
        <v>37</v>
      </c>
      <c r="KJ20" s="11" t="s">
        <v>37</v>
      </c>
      <c r="KM20" s="12" t="s">
        <v>37</v>
      </c>
      <c r="KN20" s="11" t="s">
        <v>37</v>
      </c>
      <c r="KO20" s="11" t="s">
        <v>37</v>
      </c>
      <c r="KQ20" s="11" t="s">
        <v>37</v>
      </c>
      <c r="KR20" s="11" t="s">
        <v>37</v>
      </c>
      <c r="KS20" s="13" t="s">
        <v>37</v>
      </c>
      <c r="KX20" s="11" t="s">
        <v>37</v>
      </c>
      <c r="KY20" s="11" t="s">
        <v>37</v>
      </c>
      <c r="KZ20" s="13" t="s">
        <v>37</v>
      </c>
      <c r="LB20" s="11" t="s">
        <v>37</v>
      </c>
      <c r="LC20" s="11" t="s">
        <v>37</v>
      </c>
      <c r="LD20" s="13" t="s">
        <v>37</v>
      </c>
      <c r="LI20" s="12" t="s">
        <v>37</v>
      </c>
      <c r="LJ20" s="12" t="s">
        <v>37</v>
      </c>
      <c r="LK20" s="12" t="s">
        <v>37</v>
      </c>
      <c r="LM20" s="12" t="s">
        <v>37</v>
      </c>
      <c r="LN20" s="12" t="s">
        <v>37</v>
      </c>
      <c r="LO20" s="12" t="s">
        <v>37</v>
      </c>
      <c r="LU20" s="12" t="s">
        <v>37</v>
      </c>
      <c r="LV20" s="12" t="s">
        <v>37</v>
      </c>
      <c r="LW20" s="13" t="s">
        <v>37</v>
      </c>
      <c r="LY20" s="12" t="s">
        <v>37</v>
      </c>
      <c r="LZ20" s="12" t="s">
        <v>37</v>
      </c>
      <c r="MA20" s="11" t="s">
        <v>37</v>
      </c>
      <c r="MF20" s="12" t="s">
        <v>37</v>
      </c>
      <c r="MG20" s="12" t="s">
        <v>37</v>
      </c>
      <c r="MH20" s="12" t="s">
        <v>37</v>
      </c>
      <c r="MJ20" s="12" t="s">
        <v>37</v>
      </c>
      <c r="MK20" s="12" t="s">
        <v>37</v>
      </c>
      <c r="ML20" s="12" t="s">
        <v>37</v>
      </c>
      <c r="MQ20" s="12" t="s">
        <v>37</v>
      </c>
      <c r="MR20" s="12" t="s">
        <v>37</v>
      </c>
      <c r="MS20" s="12" t="s">
        <v>37</v>
      </c>
      <c r="MU20" s="12" t="s">
        <v>37</v>
      </c>
      <c r="MV20" s="12" t="s">
        <v>37</v>
      </c>
      <c r="MW20" s="12" t="s">
        <v>37</v>
      </c>
      <c r="NC20" s="11" t="s">
        <v>37</v>
      </c>
      <c r="ND20" s="11" t="s">
        <v>37</v>
      </c>
      <c r="NE20" s="13" t="s">
        <v>37</v>
      </c>
      <c r="NG20" s="11" t="s">
        <v>37</v>
      </c>
      <c r="NH20" s="11" t="s">
        <v>37</v>
      </c>
      <c r="NI20" s="13" t="s">
        <v>37</v>
      </c>
      <c r="NO20" s="11" t="s">
        <v>37</v>
      </c>
      <c r="NP20" s="11" t="s">
        <v>37</v>
      </c>
      <c r="NQ20" s="13" t="s">
        <v>37</v>
      </c>
      <c r="NS20" s="11" t="s">
        <v>37</v>
      </c>
      <c r="NT20" s="11" t="s">
        <v>37</v>
      </c>
      <c r="NU20" s="13" t="s">
        <v>37</v>
      </c>
      <c r="OA20" s="11" t="s">
        <v>37</v>
      </c>
      <c r="OB20" s="11" t="s">
        <v>37</v>
      </c>
      <c r="OC20" s="13" t="s">
        <v>37</v>
      </c>
      <c r="OE20" s="11" t="s">
        <v>37</v>
      </c>
      <c r="OF20" s="11" t="s">
        <v>37</v>
      </c>
      <c r="OG20" s="13" t="s">
        <v>37</v>
      </c>
      <c r="OM20" s="11" t="s">
        <v>37</v>
      </c>
      <c r="ON20" s="11" t="s">
        <v>37</v>
      </c>
      <c r="OO20" s="11" t="s">
        <v>37</v>
      </c>
      <c r="OP20" s="11" t="s">
        <v>37</v>
      </c>
      <c r="OQ20" s="11" t="s">
        <v>37</v>
      </c>
      <c r="OR20" s="11" t="s">
        <v>37</v>
      </c>
      <c r="OW20" s="11" t="s">
        <v>37</v>
      </c>
      <c r="OX20" s="11" t="s">
        <v>37</v>
      </c>
      <c r="OY20" s="13" t="s">
        <v>37</v>
      </c>
      <c r="OZ20" s="11" t="s">
        <v>37</v>
      </c>
      <c r="PA20" s="11" t="s">
        <v>37</v>
      </c>
      <c r="PB20" s="13" t="s">
        <v>37</v>
      </c>
      <c r="PG20" s="11" t="s">
        <v>37</v>
      </c>
      <c r="PH20" s="11" t="s">
        <v>37</v>
      </c>
      <c r="PI20" s="13" t="s">
        <v>37</v>
      </c>
      <c r="PJ20" s="11" t="s">
        <v>37</v>
      </c>
      <c r="PK20" s="11" t="s">
        <v>37</v>
      </c>
      <c r="PL20" s="13" t="s">
        <v>37</v>
      </c>
      <c r="PQ20" s="11" t="s">
        <v>37</v>
      </c>
      <c r="PR20" s="11" t="s">
        <v>37</v>
      </c>
      <c r="PS20" s="13" t="s">
        <v>37</v>
      </c>
      <c r="PT20" s="11" t="s">
        <v>37</v>
      </c>
      <c r="PU20" s="11" t="s">
        <v>37</v>
      </c>
      <c r="PV20" s="13" t="s">
        <v>37</v>
      </c>
      <c r="PZ20" s="11" t="s">
        <v>37</v>
      </c>
      <c r="QA20" s="11" t="s">
        <v>37</v>
      </c>
      <c r="QB20" s="11" t="s">
        <v>37</v>
      </c>
      <c r="QD20" s="11" t="s">
        <v>37</v>
      </c>
      <c r="QE20" s="11" t="s">
        <v>37</v>
      </c>
      <c r="QF20" s="13" t="s">
        <v>37</v>
      </c>
      <c r="QK20" s="11" t="s">
        <v>37</v>
      </c>
      <c r="QL20" s="11" t="s">
        <v>37</v>
      </c>
      <c r="QM20" s="13" t="s">
        <v>37</v>
      </c>
      <c r="QN20" s="11" t="s">
        <v>37</v>
      </c>
      <c r="QO20" s="11" t="s">
        <v>37</v>
      </c>
      <c r="QP20" s="13" t="s">
        <v>37</v>
      </c>
      <c r="QU20" s="11" t="s">
        <v>37</v>
      </c>
      <c r="QV20" s="11" t="s">
        <v>37</v>
      </c>
      <c r="QW20" s="13" t="s">
        <v>37</v>
      </c>
      <c r="QX20" s="11" t="s">
        <v>37</v>
      </c>
      <c r="QY20" s="11" t="s">
        <v>37</v>
      </c>
      <c r="QZ20" s="13" t="s">
        <v>37</v>
      </c>
      <c r="RC20" s="12" t="s">
        <v>37</v>
      </c>
      <c r="RD20" s="12" t="s">
        <v>37</v>
      </c>
      <c r="RE20" s="13" t="s">
        <v>37</v>
      </c>
      <c r="RF20" s="12" t="s">
        <v>37</v>
      </c>
      <c r="RG20" s="12" t="s">
        <v>37</v>
      </c>
      <c r="RH20" s="13" t="s">
        <v>37</v>
      </c>
      <c r="RK20" s="11" t="s">
        <v>37</v>
      </c>
      <c r="RL20" s="11" t="s">
        <v>37</v>
      </c>
      <c r="RM20" s="11" t="s">
        <v>37</v>
      </c>
      <c r="RN20" s="11" t="s">
        <v>37</v>
      </c>
      <c r="RO20" s="11" t="s">
        <v>37</v>
      </c>
      <c r="RP20" s="11" t="s">
        <v>37</v>
      </c>
      <c r="RS20" s="11" t="s">
        <v>37</v>
      </c>
      <c r="RT20" s="11" t="s">
        <v>37</v>
      </c>
      <c r="RU20" s="11" t="s">
        <v>37</v>
      </c>
      <c r="RV20" s="11" t="s">
        <v>37</v>
      </c>
      <c r="RW20" s="11" t="s">
        <v>37</v>
      </c>
      <c r="RX20" s="11" t="s">
        <v>37</v>
      </c>
      <c r="SA20" s="11" t="s">
        <v>37</v>
      </c>
      <c r="SB20" s="11" t="s">
        <v>37</v>
      </c>
      <c r="SC20" s="13" t="s">
        <v>37</v>
      </c>
      <c r="SD20" s="11" t="s">
        <v>37</v>
      </c>
      <c r="SE20" s="11" t="s">
        <v>37</v>
      </c>
      <c r="SF20" s="13" t="s">
        <v>37</v>
      </c>
      <c r="SI20" s="12" t="s">
        <v>37</v>
      </c>
      <c r="SJ20" s="11" t="s">
        <v>37</v>
      </c>
      <c r="SK20" s="13" t="s">
        <v>37</v>
      </c>
      <c r="SM20" s="11" t="s">
        <v>37</v>
      </c>
      <c r="SN20" s="11" t="s">
        <v>37</v>
      </c>
      <c r="SO20" s="13" t="s">
        <v>37</v>
      </c>
      <c r="SU20" s="12" t="s">
        <v>37</v>
      </c>
      <c r="SV20" s="12" t="s">
        <v>37</v>
      </c>
      <c r="SW20" s="11" t="s">
        <v>37</v>
      </c>
      <c r="SX20" s="12" t="s">
        <v>37</v>
      </c>
      <c r="SY20" s="12" t="s">
        <v>37</v>
      </c>
      <c r="SZ20" s="11" t="s">
        <v>37</v>
      </c>
      <c r="TE20" s="12" t="s">
        <v>37</v>
      </c>
      <c r="TF20" s="12" t="s">
        <v>37</v>
      </c>
      <c r="TG20" s="11" t="s">
        <v>37</v>
      </c>
      <c r="TH20" s="12" t="s">
        <v>37</v>
      </c>
      <c r="TI20" s="12" t="s">
        <v>37</v>
      </c>
      <c r="TJ20" s="11" t="s">
        <v>37</v>
      </c>
      <c r="TO20" s="12" t="s">
        <v>37</v>
      </c>
      <c r="TP20" s="12" t="s">
        <v>37</v>
      </c>
      <c r="TQ20" s="11" t="s">
        <v>37</v>
      </c>
      <c r="TR20" s="12" t="s">
        <v>37</v>
      </c>
      <c r="TS20" s="12" t="s">
        <v>37</v>
      </c>
      <c r="TT20" s="11" t="s">
        <v>37</v>
      </c>
      <c r="TY20" s="12" t="s">
        <v>37</v>
      </c>
      <c r="TZ20" s="12" t="s">
        <v>37</v>
      </c>
      <c r="UA20" s="11" t="s">
        <v>37</v>
      </c>
      <c r="UB20" s="12" t="s">
        <v>37</v>
      </c>
      <c r="UC20" s="12" t="s">
        <v>37</v>
      </c>
      <c r="UD20" s="11" t="s">
        <v>37</v>
      </c>
      <c r="UI20" s="12" t="s">
        <v>37</v>
      </c>
      <c r="UJ20" s="12" t="s">
        <v>37</v>
      </c>
      <c r="UK20" s="13" t="s">
        <v>37</v>
      </c>
      <c r="UL20" s="12" t="s">
        <v>37</v>
      </c>
      <c r="UM20" s="12" t="s">
        <v>37</v>
      </c>
      <c r="UN20" s="13" t="s">
        <v>37</v>
      </c>
      <c r="UR20" s="12" t="s">
        <v>37</v>
      </c>
      <c r="US20" s="12" t="s">
        <v>37</v>
      </c>
      <c r="UT20" s="13" t="s">
        <v>37</v>
      </c>
      <c r="UU20" s="12" t="s">
        <v>37</v>
      </c>
      <c r="UV20" s="12" t="s">
        <v>37</v>
      </c>
      <c r="UW20" s="13" t="s">
        <v>37</v>
      </c>
      <c r="VB20" s="12" t="s">
        <v>37</v>
      </c>
      <c r="VC20" s="12" t="s">
        <v>37</v>
      </c>
      <c r="VD20" s="13" t="s">
        <v>37</v>
      </c>
      <c r="VE20" s="12" t="s">
        <v>37</v>
      </c>
      <c r="VF20" s="12" t="s">
        <v>37</v>
      </c>
      <c r="VG20" s="13" t="s">
        <v>37</v>
      </c>
      <c r="VI20" s="12" t="s">
        <v>37</v>
      </c>
      <c r="VJ20" s="12" t="s">
        <v>37</v>
      </c>
      <c r="VK20" s="13" t="s">
        <v>37</v>
      </c>
      <c r="VL20" s="12" t="s">
        <v>37</v>
      </c>
      <c r="VM20" s="12" t="s">
        <v>37</v>
      </c>
      <c r="VN20" s="13" t="s">
        <v>37</v>
      </c>
      <c r="VO20" s="12" t="s">
        <v>37</v>
      </c>
      <c r="VQ20" s="12" t="s">
        <v>37</v>
      </c>
      <c r="VR20" s="12" t="s">
        <v>37</v>
      </c>
      <c r="VS20" s="12" t="s">
        <v>37</v>
      </c>
      <c r="VT20" s="12" t="s">
        <v>37</v>
      </c>
      <c r="VU20" s="12" t="s">
        <v>37</v>
      </c>
      <c r="VV20" s="12" t="s">
        <v>37</v>
      </c>
      <c r="VW20" s="12"/>
      <c r="VX20" s="12"/>
      <c r="WA20" s="13" t="s">
        <v>37</v>
      </c>
      <c r="WB20" s="13" t="s">
        <v>37</v>
      </c>
      <c r="WC20" s="13" t="s">
        <v>37</v>
      </c>
      <c r="WD20" s="13" t="s">
        <v>37</v>
      </c>
      <c r="WE20" s="13" t="s">
        <v>37</v>
      </c>
      <c r="WF20" s="13" t="s">
        <v>37</v>
      </c>
    </row>
    <row r="21" spans="1:604" ht="18" customHeight="1" x14ac:dyDescent="0.3">
      <c r="A21" s="11">
        <v>5</v>
      </c>
      <c r="B21" s="12" t="s">
        <v>77</v>
      </c>
      <c r="C21" s="12" t="s">
        <v>26</v>
      </c>
      <c r="D21" s="12" t="s">
        <v>54</v>
      </c>
      <c r="E21" s="39" t="s">
        <v>37</v>
      </c>
      <c r="F21" s="14">
        <v>0</v>
      </c>
      <c r="G21" s="14">
        <v>0</v>
      </c>
      <c r="H21" s="12" t="s">
        <v>79</v>
      </c>
      <c r="I21" s="29">
        <v>48.064999999999998</v>
      </c>
      <c r="J21" s="29">
        <v>128.51</v>
      </c>
      <c r="K21" s="12" t="s">
        <v>688</v>
      </c>
      <c r="L21" s="12" t="s">
        <v>689</v>
      </c>
      <c r="M21" s="13" t="s">
        <v>48</v>
      </c>
      <c r="N21" s="14">
        <v>0.4</v>
      </c>
      <c r="O21" s="14">
        <v>630</v>
      </c>
      <c r="P21" s="14" t="s">
        <v>16</v>
      </c>
      <c r="Q21" s="75">
        <v>20</v>
      </c>
      <c r="R21" s="11" t="s">
        <v>1000</v>
      </c>
      <c r="S21" s="12" t="s">
        <v>51</v>
      </c>
      <c r="T21" s="12" t="s">
        <v>876</v>
      </c>
      <c r="U21" s="12" t="s">
        <v>158</v>
      </c>
      <c r="V21" s="12" t="s">
        <v>275</v>
      </c>
      <c r="W21" s="23" t="s">
        <v>490</v>
      </c>
      <c r="X21" s="12" t="s">
        <v>282</v>
      </c>
      <c r="Y21" s="12" t="s">
        <v>68</v>
      </c>
      <c r="Z21" s="12" t="s">
        <v>37</v>
      </c>
      <c r="AB21" s="12" t="s">
        <v>37</v>
      </c>
      <c r="AE21" s="12" t="s">
        <v>37</v>
      </c>
      <c r="AH21" s="12" t="s">
        <v>37</v>
      </c>
      <c r="AK21" s="12" t="s">
        <v>37</v>
      </c>
      <c r="AL21" s="32" t="s">
        <v>485</v>
      </c>
      <c r="AM21" s="12" t="s">
        <v>317</v>
      </c>
      <c r="AN21" s="32" t="s">
        <v>878</v>
      </c>
      <c r="AO21" s="12" t="s">
        <v>37</v>
      </c>
      <c r="AP21" s="12" t="s">
        <v>602</v>
      </c>
      <c r="AQ21" s="12" t="s">
        <v>975</v>
      </c>
      <c r="AT21" s="12" t="s">
        <v>326</v>
      </c>
      <c r="AU21" s="12" t="s">
        <v>326</v>
      </c>
      <c r="AV21" s="13" t="s">
        <v>326</v>
      </c>
      <c r="AX21" s="12" t="s">
        <v>326</v>
      </c>
      <c r="AY21" s="12" t="s">
        <v>326</v>
      </c>
      <c r="AZ21" s="13" t="s">
        <v>326</v>
      </c>
      <c r="BE21" s="12" t="s">
        <v>326</v>
      </c>
      <c r="BF21" s="12" t="s">
        <v>326</v>
      </c>
      <c r="BG21" s="12" t="s">
        <v>326</v>
      </c>
      <c r="BI21" s="12" t="s">
        <v>326</v>
      </c>
      <c r="BJ21" s="12" t="s">
        <v>326</v>
      </c>
      <c r="BK21" s="12" t="s">
        <v>326</v>
      </c>
      <c r="BP21" s="12" t="s">
        <v>37</v>
      </c>
      <c r="BQ21" s="12" t="s">
        <v>37</v>
      </c>
      <c r="BR21" s="13" t="s">
        <v>37</v>
      </c>
      <c r="BT21" s="12" t="s">
        <v>37</v>
      </c>
      <c r="BU21" s="12" t="s">
        <v>37</v>
      </c>
      <c r="BV21" s="12" t="s">
        <v>37</v>
      </c>
      <c r="CA21" s="12" t="s">
        <v>37</v>
      </c>
      <c r="CB21" s="12" t="s">
        <v>37</v>
      </c>
      <c r="CC21" s="13" t="s">
        <v>37</v>
      </c>
      <c r="CE21" s="12" t="s">
        <v>37</v>
      </c>
      <c r="CF21" s="12" t="s">
        <v>37</v>
      </c>
      <c r="CG21" s="13" t="s">
        <v>37</v>
      </c>
      <c r="CI21" s="52"/>
      <c r="CJ21" s="12"/>
      <c r="CK21" s="73"/>
      <c r="CL21" s="73"/>
      <c r="CN21" s="12" t="s">
        <v>37</v>
      </c>
      <c r="CO21" s="12" t="s">
        <v>37</v>
      </c>
      <c r="CP21" s="13" t="s">
        <v>37</v>
      </c>
      <c r="CR21" s="12" t="s">
        <v>37</v>
      </c>
      <c r="CS21" s="12" t="s">
        <v>37</v>
      </c>
      <c r="CT21" s="13" t="s">
        <v>37</v>
      </c>
      <c r="CV21" s="52"/>
      <c r="CW21" s="52"/>
      <c r="CX21" s="73"/>
      <c r="CY21" s="73"/>
      <c r="DA21" s="12" t="s">
        <v>37</v>
      </c>
      <c r="DB21" s="12" t="s">
        <v>37</v>
      </c>
      <c r="DC21" s="13" t="s">
        <v>37</v>
      </c>
      <c r="DE21" s="12" t="s">
        <v>37</v>
      </c>
      <c r="DF21" s="12" t="s">
        <v>37</v>
      </c>
      <c r="DG21" s="13" t="s">
        <v>37</v>
      </c>
      <c r="DI21" s="52"/>
      <c r="DJ21" s="52"/>
      <c r="DK21" s="73"/>
      <c r="DL21" s="73"/>
      <c r="DM21" s="15" t="s">
        <v>47</v>
      </c>
      <c r="DN21" s="19">
        <f>0.32*10^4/10^3/'[1]classes-1'!$I$14</f>
        <v>3.3104450261339187</v>
      </c>
      <c r="DO21" s="12">
        <f>DO20</f>
        <v>3.2225601192052182</v>
      </c>
      <c r="DP21" s="13">
        <v>3</v>
      </c>
      <c r="DQ21" s="19">
        <f t="shared" si="60"/>
        <v>0.97345223792121505</v>
      </c>
      <c r="DR21" s="52">
        <f>-0.1*10^4/10^3/'[1]classes-1'!$I$15</f>
        <v>-0.74812937007645264</v>
      </c>
      <c r="DS21" s="15">
        <f>SQRT((1/[2]Classes!$I$5)^2*(0.2*10^4/10^3)^2+(-DR21/([2]Classes!$I$5)^2)^2*([2]Classes!$J$5)^2)</f>
        <v>2.0565387107113464</v>
      </c>
      <c r="DT21" s="18">
        <v>3</v>
      </c>
      <c r="DU21" s="19">
        <f t="shared" si="61"/>
        <v>2.7489078666984899</v>
      </c>
      <c r="DV21" s="19">
        <f t="shared" si="62"/>
        <v>-4.0585743962103713</v>
      </c>
      <c r="DW21" s="12">
        <f t="shared" si="4"/>
        <v>2.7031689912532513</v>
      </c>
      <c r="DX21" s="72">
        <f t="shared" si="66"/>
        <v>4.8714150635154123</v>
      </c>
      <c r="DY21" s="72">
        <f t="shared" si="67"/>
        <v>4.8714150635154123</v>
      </c>
      <c r="DZ21" s="15"/>
      <c r="EA21" s="52" t="s">
        <v>37</v>
      </c>
      <c r="EB21" s="52" t="s">
        <v>37</v>
      </c>
      <c r="EC21" s="73" t="s">
        <v>37</v>
      </c>
      <c r="ED21" s="52"/>
      <c r="EE21" s="52" t="s">
        <v>37</v>
      </c>
      <c r="EF21" s="52" t="s">
        <v>37</v>
      </c>
      <c r="EG21" s="15" t="s">
        <v>37</v>
      </c>
      <c r="EH21" s="52"/>
      <c r="EI21" s="52"/>
      <c r="EJ21" s="52"/>
      <c r="EK21" s="52"/>
      <c r="EL21" s="52"/>
      <c r="EM21" s="12" t="s">
        <v>39</v>
      </c>
      <c r="EN21" s="12">
        <v>-20.329999999999998</v>
      </c>
      <c r="EO21" s="12">
        <v>2.57</v>
      </c>
      <c r="EP21" s="13">
        <v>3</v>
      </c>
      <c r="EQ21" s="19">
        <f t="shared" si="29"/>
        <v>0.12641416625676341</v>
      </c>
      <c r="ER21" s="12">
        <v>-37.89</v>
      </c>
      <c r="ES21" s="20">
        <v>1.4</v>
      </c>
      <c r="ET21" s="13">
        <v>3</v>
      </c>
      <c r="EU21" s="19">
        <f t="shared" si="30"/>
        <v>3.6949063077329106E-2</v>
      </c>
      <c r="EV21" s="19">
        <f t="shared" si="63"/>
        <v>-17.560000000000002</v>
      </c>
      <c r="EW21" s="12">
        <f t="shared" si="55"/>
        <v>2.069408127943833</v>
      </c>
      <c r="EX21" s="19">
        <f t="shared" si="56"/>
        <v>2.854966666666666</v>
      </c>
      <c r="EY21" s="19">
        <f t="shared" si="57"/>
        <v>2.8549666666666664</v>
      </c>
      <c r="FB21" s="11" t="s">
        <v>37</v>
      </c>
      <c r="FC21" s="11" t="s">
        <v>37</v>
      </c>
      <c r="FD21" s="11" t="s">
        <v>37</v>
      </c>
      <c r="FE21" s="12" t="s">
        <v>37</v>
      </c>
      <c r="FF21" s="20" t="s">
        <v>37</v>
      </c>
      <c r="FG21" s="11" t="s">
        <v>37</v>
      </c>
      <c r="FI21" s="11" t="s">
        <v>37</v>
      </c>
      <c r="FJ21" s="11" t="s">
        <v>37</v>
      </c>
      <c r="FK21" s="11" t="s">
        <v>37</v>
      </c>
      <c r="FL21" s="13" t="s">
        <v>37</v>
      </c>
      <c r="FM21" s="11" t="s">
        <v>37</v>
      </c>
      <c r="FN21" s="11" t="s">
        <v>37</v>
      </c>
      <c r="FP21" s="11" t="s">
        <v>37</v>
      </c>
      <c r="FQ21" s="11" t="s">
        <v>37</v>
      </c>
      <c r="FR21" s="11" t="s">
        <v>37</v>
      </c>
      <c r="FS21" s="13" t="s">
        <v>37</v>
      </c>
      <c r="FT21" s="11" t="s">
        <v>37</v>
      </c>
      <c r="FU21" s="11" t="s">
        <v>37</v>
      </c>
      <c r="FW21" s="11" t="s">
        <v>37</v>
      </c>
      <c r="FX21" s="11" t="s">
        <v>37</v>
      </c>
      <c r="FY21" s="11" t="s">
        <v>37</v>
      </c>
      <c r="FZ21" s="13" t="s">
        <v>37</v>
      </c>
      <c r="GA21" s="11" t="s">
        <v>37</v>
      </c>
      <c r="GB21" s="11" t="s">
        <v>37</v>
      </c>
      <c r="GE21" s="11"/>
      <c r="GF21" s="11"/>
      <c r="GI21" s="11"/>
      <c r="GJ21" s="11"/>
      <c r="GO21" s="12" t="s">
        <v>660</v>
      </c>
      <c r="GP21" s="12" t="s">
        <v>330</v>
      </c>
      <c r="GQ21" s="20">
        <v>8.74</v>
      </c>
      <c r="GR21" s="20">
        <v>1.19</v>
      </c>
      <c r="GS21" s="13">
        <v>3</v>
      </c>
      <c r="GT21" s="19">
        <f t="shared" si="65"/>
        <v>0.13615560640732263</v>
      </c>
      <c r="GU21" s="20">
        <v>9.32</v>
      </c>
      <c r="GV21" s="20">
        <v>0.97</v>
      </c>
      <c r="GW21" s="13">
        <v>3</v>
      </c>
      <c r="GX21" s="19">
        <f t="shared" si="64"/>
        <v>0.10407725321888411</v>
      </c>
      <c r="GY21" s="19">
        <f t="shared" si="59"/>
        <v>6.4252439030055633E-2</v>
      </c>
      <c r="GZ21" s="19">
        <f t="shared" si="19"/>
        <v>9.7901412645778271E-3</v>
      </c>
      <c r="HD21" s="11"/>
      <c r="HG21" s="11"/>
      <c r="HH21" s="11"/>
      <c r="IK21" s="12" t="s">
        <v>37</v>
      </c>
      <c r="IL21" s="12" t="s">
        <v>37</v>
      </c>
      <c r="IM21" s="13" t="s">
        <v>37</v>
      </c>
      <c r="IO21" s="12" t="s">
        <v>37</v>
      </c>
      <c r="IP21" s="12" t="s">
        <v>37</v>
      </c>
      <c r="IQ21" s="13" t="s">
        <v>37</v>
      </c>
      <c r="IW21" s="12" t="s">
        <v>37</v>
      </c>
      <c r="IX21" s="11" t="s">
        <v>37</v>
      </c>
      <c r="IY21" s="13" t="s">
        <v>37</v>
      </c>
      <c r="JA21" s="11" t="s">
        <v>37</v>
      </c>
      <c r="JB21" s="11" t="s">
        <v>37</v>
      </c>
      <c r="JC21" s="13" t="s">
        <v>37</v>
      </c>
      <c r="JH21" s="12" t="s">
        <v>37</v>
      </c>
      <c r="JI21" s="12" t="s">
        <v>37</v>
      </c>
      <c r="JJ21" s="13" t="s">
        <v>37</v>
      </c>
      <c r="JL21" s="12" t="s">
        <v>37</v>
      </c>
      <c r="JM21" s="12" t="s">
        <v>37</v>
      </c>
      <c r="JN21" s="12" t="s">
        <v>37</v>
      </c>
      <c r="JS21" s="12" t="s">
        <v>37</v>
      </c>
      <c r="JT21" s="12" t="s">
        <v>37</v>
      </c>
      <c r="JU21" s="13" t="s">
        <v>37</v>
      </c>
      <c r="JW21" s="12" t="s">
        <v>37</v>
      </c>
      <c r="JX21" s="12" t="s">
        <v>37</v>
      </c>
      <c r="JY21" s="12" t="s">
        <v>37</v>
      </c>
      <c r="KE21" s="11" t="s">
        <v>37</v>
      </c>
      <c r="KF21" s="11" t="s">
        <v>37</v>
      </c>
      <c r="KG21" s="13" t="s">
        <v>37</v>
      </c>
      <c r="KH21" s="11" t="s">
        <v>37</v>
      </c>
      <c r="KI21" s="11" t="s">
        <v>37</v>
      </c>
      <c r="KJ21" s="11" t="s">
        <v>37</v>
      </c>
      <c r="KM21" s="12" t="s">
        <v>37</v>
      </c>
      <c r="KN21" s="11" t="s">
        <v>37</v>
      </c>
      <c r="KO21" s="11" t="s">
        <v>37</v>
      </c>
      <c r="KQ21" s="11" t="s">
        <v>37</v>
      </c>
      <c r="KR21" s="11" t="s">
        <v>37</v>
      </c>
      <c r="KS21" s="13" t="s">
        <v>37</v>
      </c>
      <c r="KX21" s="11" t="s">
        <v>37</v>
      </c>
      <c r="KY21" s="11" t="s">
        <v>37</v>
      </c>
      <c r="KZ21" s="13" t="s">
        <v>37</v>
      </c>
      <c r="LB21" s="11" t="s">
        <v>37</v>
      </c>
      <c r="LC21" s="11" t="s">
        <v>37</v>
      </c>
      <c r="LD21" s="13" t="s">
        <v>37</v>
      </c>
      <c r="LI21" s="12" t="s">
        <v>37</v>
      </c>
      <c r="LJ21" s="12" t="s">
        <v>37</v>
      </c>
      <c r="LK21" s="12" t="s">
        <v>37</v>
      </c>
      <c r="LM21" s="12" t="s">
        <v>37</v>
      </c>
      <c r="LN21" s="12" t="s">
        <v>37</v>
      </c>
      <c r="LO21" s="12" t="s">
        <v>37</v>
      </c>
      <c r="LU21" s="12" t="s">
        <v>37</v>
      </c>
      <c r="LV21" s="12" t="s">
        <v>37</v>
      </c>
      <c r="LW21" s="13" t="s">
        <v>37</v>
      </c>
      <c r="LY21" s="12" t="s">
        <v>37</v>
      </c>
      <c r="LZ21" s="12" t="s">
        <v>37</v>
      </c>
      <c r="MA21" s="11" t="s">
        <v>37</v>
      </c>
      <c r="MF21" s="12" t="s">
        <v>37</v>
      </c>
      <c r="MG21" s="12" t="s">
        <v>37</v>
      </c>
      <c r="MH21" s="12" t="s">
        <v>37</v>
      </c>
      <c r="MJ21" s="12" t="s">
        <v>37</v>
      </c>
      <c r="MK21" s="12" t="s">
        <v>37</v>
      </c>
      <c r="ML21" s="12" t="s">
        <v>37</v>
      </c>
      <c r="MQ21" s="12" t="s">
        <v>37</v>
      </c>
      <c r="MR21" s="12" t="s">
        <v>37</v>
      </c>
      <c r="MS21" s="12" t="s">
        <v>37</v>
      </c>
      <c r="MU21" s="12" t="s">
        <v>37</v>
      </c>
      <c r="MV21" s="12" t="s">
        <v>37</v>
      </c>
      <c r="MW21" s="12" t="s">
        <v>37</v>
      </c>
      <c r="NC21" s="11" t="s">
        <v>37</v>
      </c>
      <c r="ND21" s="11" t="s">
        <v>37</v>
      </c>
      <c r="NE21" s="13" t="s">
        <v>37</v>
      </c>
      <c r="NG21" s="11" t="s">
        <v>37</v>
      </c>
      <c r="NH21" s="11" t="s">
        <v>37</v>
      </c>
      <c r="NI21" s="13" t="s">
        <v>37</v>
      </c>
      <c r="NO21" s="11" t="s">
        <v>37</v>
      </c>
      <c r="NP21" s="11" t="s">
        <v>37</v>
      </c>
      <c r="NQ21" s="13" t="s">
        <v>37</v>
      </c>
      <c r="NS21" s="11" t="s">
        <v>37</v>
      </c>
      <c r="NT21" s="11" t="s">
        <v>37</v>
      </c>
      <c r="NU21" s="13" t="s">
        <v>37</v>
      </c>
      <c r="OA21" s="11" t="s">
        <v>37</v>
      </c>
      <c r="OB21" s="11" t="s">
        <v>37</v>
      </c>
      <c r="OC21" s="13" t="s">
        <v>37</v>
      </c>
      <c r="OE21" s="11" t="s">
        <v>37</v>
      </c>
      <c r="OF21" s="11" t="s">
        <v>37</v>
      </c>
      <c r="OG21" s="13" t="s">
        <v>37</v>
      </c>
      <c r="OM21" s="11" t="s">
        <v>37</v>
      </c>
      <c r="ON21" s="11" t="s">
        <v>37</v>
      </c>
      <c r="OO21" s="11" t="s">
        <v>37</v>
      </c>
      <c r="OP21" s="11" t="s">
        <v>37</v>
      </c>
      <c r="OQ21" s="11" t="s">
        <v>37</v>
      </c>
      <c r="OR21" s="11" t="s">
        <v>37</v>
      </c>
      <c r="OW21" s="11" t="s">
        <v>37</v>
      </c>
      <c r="OX21" s="11" t="s">
        <v>37</v>
      </c>
      <c r="OY21" s="13" t="s">
        <v>37</v>
      </c>
      <c r="OZ21" s="11" t="s">
        <v>37</v>
      </c>
      <c r="PA21" s="11" t="s">
        <v>37</v>
      </c>
      <c r="PB21" s="13" t="s">
        <v>37</v>
      </c>
      <c r="PG21" s="11" t="s">
        <v>37</v>
      </c>
      <c r="PH21" s="11" t="s">
        <v>37</v>
      </c>
      <c r="PI21" s="13" t="s">
        <v>37</v>
      </c>
      <c r="PJ21" s="11" t="s">
        <v>37</v>
      </c>
      <c r="PK21" s="11" t="s">
        <v>37</v>
      </c>
      <c r="PL21" s="13" t="s">
        <v>37</v>
      </c>
      <c r="PQ21" s="11" t="s">
        <v>37</v>
      </c>
      <c r="PR21" s="11" t="s">
        <v>37</v>
      </c>
      <c r="PS21" s="13" t="s">
        <v>37</v>
      </c>
      <c r="PT21" s="11" t="s">
        <v>37</v>
      </c>
      <c r="PU21" s="11" t="s">
        <v>37</v>
      </c>
      <c r="PV21" s="13" t="s">
        <v>37</v>
      </c>
      <c r="PZ21" s="11" t="s">
        <v>37</v>
      </c>
      <c r="QA21" s="11" t="s">
        <v>37</v>
      </c>
      <c r="QB21" s="11" t="s">
        <v>37</v>
      </c>
      <c r="QD21" s="11" t="s">
        <v>37</v>
      </c>
      <c r="QE21" s="11" t="s">
        <v>37</v>
      </c>
      <c r="QF21" s="13" t="s">
        <v>37</v>
      </c>
      <c r="QK21" s="11" t="s">
        <v>37</v>
      </c>
      <c r="QL21" s="11" t="s">
        <v>37</v>
      </c>
      <c r="QM21" s="13" t="s">
        <v>37</v>
      </c>
      <c r="QN21" s="11" t="s">
        <v>37</v>
      </c>
      <c r="QO21" s="11" t="s">
        <v>37</v>
      </c>
      <c r="QP21" s="13" t="s">
        <v>37</v>
      </c>
      <c r="QU21" s="11" t="s">
        <v>37</v>
      </c>
      <c r="QV21" s="11" t="s">
        <v>37</v>
      </c>
      <c r="QW21" s="13" t="s">
        <v>37</v>
      </c>
      <c r="QX21" s="11" t="s">
        <v>37</v>
      </c>
      <c r="QY21" s="11" t="s">
        <v>37</v>
      </c>
      <c r="QZ21" s="13" t="s">
        <v>37</v>
      </c>
      <c r="RC21" s="12" t="s">
        <v>37</v>
      </c>
      <c r="RD21" s="12" t="s">
        <v>37</v>
      </c>
      <c r="RE21" s="13" t="s">
        <v>37</v>
      </c>
      <c r="RF21" s="12" t="s">
        <v>37</v>
      </c>
      <c r="RG21" s="12" t="s">
        <v>37</v>
      </c>
      <c r="RH21" s="13" t="s">
        <v>37</v>
      </c>
      <c r="RK21" s="11" t="s">
        <v>37</v>
      </c>
      <c r="RL21" s="11" t="s">
        <v>37</v>
      </c>
      <c r="RM21" s="11" t="s">
        <v>37</v>
      </c>
      <c r="RN21" s="11" t="s">
        <v>37</v>
      </c>
      <c r="RO21" s="11" t="s">
        <v>37</v>
      </c>
      <c r="RP21" s="11" t="s">
        <v>37</v>
      </c>
      <c r="RS21" s="11" t="s">
        <v>37</v>
      </c>
      <c r="RT21" s="11" t="s">
        <v>37</v>
      </c>
      <c r="RU21" s="11" t="s">
        <v>37</v>
      </c>
      <c r="RV21" s="11" t="s">
        <v>37</v>
      </c>
      <c r="RW21" s="11" t="s">
        <v>37</v>
      </c>
      <c r="RX21" s="11" t="s">
        <v>37</v>
      </c>
      <c r="SA21" s="11" t="s">
        <v>37</v>
      </c>
      <c r="SB21" s="11" t="s">
        <v>37</v>
      </c>
      <c r="SC21" s="13" t="s">
        <v>37</v>
      </c>
      <c r="SD21" s="11" t="s">
        <v>37</v>
      </c>
      <c r="SE21" s="11" t="s">
        <v>37</v>
      </c>
      <c r="SF21" s="13" t="s">
        <v>37</v>
      </c>
      <c r="SI21" s="12" t="s">
        <v>37</v>
      </c>
      <c r="SJ21" s="11" t="s">
        <v>37</v>
      </c>
      <c r="SK21" s="13" t="s">
        <v>37</v>
      </c>
      <c r="SM21" s="11" t="s">
        <v>37</v>
      </c>
      <c r="SN21" s="11" t="s">
        <v>37</v>
      </c>
      <c r="SO21" s="13" t="s">
        <v>37</v>
      </c>
      <c r="SU21" s="12" t="s">
        <v>37</v>
      </c>
      <c r="SV21" s="12" t="s">
        <v>37</v>
      </c>
      <c r="SW21" s="11" t="s">
        <v>37</v>
      </c>
      <c r="SX21" s="12" t="s">
        <v>37</v>
      </c>
      <c r="SY21" s="12" t="s">
        <v>37</v>
      </c>
      <c r="SZ21" s="11" t="s">
        <v>37</v>
      </c>
      <c r="TE21" s="12" t="s">
        <v>37</v>
      </c>
      <c r="TF21" s="12" t="s">
        <v>37</v>
      </c>
      <c r="TG21" s="11" t="s">
        <v>37</v>
      </c>
      <c r="TH21" s="12" t="s">
        <v>37</v>
      </c>
      <c r="TI21" s="12" t="s">
        <v>37</v>
      </c>
      <c r="TJ21" s="11" t="s">
        <v>37</v>
      </c>
      <c r="TO21" s="12" t="s">
        <v>37</v>
      </c>
      <c r="TP21" s="12" t="s">
        <v>37</v>
      </c>
      <c r="TQ21" s="11" t="s">
        <v>37</v>
      </c>
      <c r="TR21" s="12" t="s">
        <v>37</v>
      </c>
      <c r="TS21" s="12" t="s">
        <v>37</v>
      </c>
      <c r="TT21" s="11" t="s">
        <v>37</v>
      </c>
      <c r="TY21" s="12" t="s">
        <v>37</v>
      </c>
      <c r="TZ21" s="12" t="s">
        <v>37</v>
      </c>
      <c r="UA21" s="11" t="s">
        <v>37</v>
      </c>
      <c r="UB21" s="12" t="s">
        <v>37</v>
      </c>
      <c r="UC21" s="12" t="s">
        <v>37</v>
      </c>
      <c r="UD21" s="11" t="s">
        <v>37</v>
      </c>
      <c r="UI21" s="12" t="s">
        <v>37</v>
      </c>
      <c r="UJ21" s="12" t="s">
        <v>37</v>
      </c>
      <c r="UK21" s="13" t="s">
        <v>37</v>
      </c>
      <c r="UL21" s="12" t="s">
        <v>37</v>
      </c>
      <c r="UM21" s="12" t="s">
        <v>37</v>
      </c>
      <c r="UN21" s="13" t="s">
        <v>37</v>
      </c>
      <c r="UR21" s="12" t="s">
        <v>37</v>
      </c>
      <c r="US21" s="12" t="s">
        <v>37</v>
      </c>
      <c r="UT21" s="13" t="s">
        <v>37</v>
      </c>
      <c r="UU21" s="12" t="s">
        <v>37</v>
      </c>
      <c r="UV21" s="12" t="s">
        <v>37</v>
      </c>
      <c r="UW21" s="13" t="s">
        <v>37</v>
      </c>
      <c r="VB21" s="12" t="s">
        <v>37</v>
      </c>
      <c r="VC21" s="12" t="s">
        <v>37</v>
      </c>
      <c r="VD21" s="13" t="s">
        <v>37</v>
      </c>
      <c r="VE21" s="12" t="s">
        <v>37</v>
      </c>
      <c r="VF21" s="12" t="s">
        <v>37</v>
      </c>
      <c r="VG21" s="13" t="s">
        <v>37</v>
      </c>
      <c r="VI21" s="12" t="s">
        <v>37</v>
      </c>
      <c r="VJ21" s="12" t="s">
        <v>37</v>
      </c>
      <c r="VK21" s="13" t="s">
        <v>37</v>
      </c>
      <c r="VL21" s="12" t="s">
        <v>37</v>
      </c>
      <c r="VM21" s="12" t="s">
        <v>37</v>
      </c>
      <c r="VN21" s="13" t="s">
        <v>37</v>
      </c>
      <c r="VO21" s="12" t="s">
        <v>37</v>
      </c>
      <c r="VQ21" s="12" t="s">
        <v>37</v>
      </c>
      <c r="VR21" s="12" t="s">
        <v>37</v>
      </c>
      <c r="VS21" s="12" t="s">
        <v>37</v>
      </c>
      <c r="VT21" s="12" t="s">
        <v>37</v>
      </c>
      <c r="VU21" s="12" t="s">
        <v>37</v>
      </c>
      <c r="VV21" s="12" t="s">
        <v>37</v>
      </c>
      <c r="VW21" s="12"/>
      <c r="VX21" s="12"/>
      <c r="WA21" s="13" t="s">
        <v>37</v>
      </c>
      <c r="WB21" s="13" t="s">
        <v>37</v>
      </c>
      <c r="WC21" s="13" t="s">
        <v>37</v>
      </c>
      <c r="WD21" s="13" t="s">
        <v>37</v>
      </c>
      <c r="WE21" s="13" t="s">
        <v>37</v>
      </c>
      <c r="WF21" s="13" t="s">
        <v>37</v>
      </c>
    </row>
    <row r="22" spans="1:604" ht="18" customHeight="1" x14ac:dyDescent="0.3">
      <c r="A22" s="11">
        <v>5</v>
      </c>
      <c r="B22" s="12" t="s">
        <v>77</v>
      </c>
      <c r="C22" s="12" t="s">
        <v>26</v>
      </c>
      <c r="D22" s="12" t="s">
        <v>54</v>
      </c>
      <c r="E22" s="39" t="s">
        <v>37</v>
      </c>
      <c r="F22" s="14">
        <v>0</v>
      </c>
      <c r="G22" s="14">
        <v>0</v>
      </c>
      <c r="H22" s="12" t="s">
        <v>79</v>
      </c>
      <c r="I22" s="29">
        <v>48.064999999999998</v>
      </c>
      <c r="J22" s="29">
        <v>128.51</v>
      </c>
      <c r="K22" s="12" t="s">
        <v>688</v>
      </c>
      <c r="L22" s="12" t="s">
        <v>689</v>
      </c>
      <c r="M22" s="13" t="s">
        <v>48</v>
      </c>
      <c r="N22" s="14">
        <v>0.4</v>
      </c>
      <c r="O22" s="14">
        <v>630</v>
      </c>
      <c r="P22" s="14" t="s">
        <v>16</v>
      </c>
      <c r="Q22" s="75">
        <v>10</v>
      </c>
      <c r="R22" s="11" t="s">
        <v>999</v>
      </c>
      <c r="S22" s="12" t="s">
        <v>51</v>
      </c>
      <c r="T22" s="12" t="s">
        <v>876</v>
      </c>
      <c r="U22" s="12" t="s">
        <v>163</v>
      </c>
      <c r="V22" s="12" t="s">
        <v>275</v>
      </c>
      <c r="W22" s="23" t="s">
        <v>38</v>
      </c>
      <c r="X22" s="12" t="s">
        <v>280</v>
      </c>
      <c r="Y22" s="12" t="s">
        <v>68</v>
      </c>
      <c r="Z22" s="12" t="s">
        <v>37</v>
      </c>
      <c r="AB22" s="12" t="s">
        <v>37</v>
      </c>
      <c r="AE22" s="12" t="s">
        <v>37</v>
      </c>
      <c r="AH22" s="12" t="s">
        <v>37</v>
      </c>
      <c r="AK22" s="12" t="s">
        <v>37</v>
      </c>
      <c r="AL22" s="32" t="s">
        <v>485</v>
      </c>
      <c r="AM22" s="12" t="s">
        <v>317</v>
      </c>
      <c r="AN22" s="32" t="s">
        <v>878</v>
      </c>
      <c r="AO22" s="12" t="s">
        <v>37</v>
      </c>
      <c r="AP22" s="12" t="s">
        <v>602</v>
      </c>
      <c r="AQ22" s="12" t="s">
        <v>975</v>
      </c>
      <c r="AT22" s="12" t="s">
        <v>326</v>
      </c>
      <c r="AU22" s="12" t="s">
        <v>326</v>
      </c>
      <c r="AV22" s="13" t="s">
        <v>326</v>
      </c>
      <c r="AX22" s="12" t="s">
        <v>326</v>
      </c>
      <c r="AY22" s="12" t="s">
        <v>326</v>
      </c>
      <c r="AZ22" s="13" t="s">
        <v>326</v>
      </c>
      <c r="BE22" s="12" t="s">
        <v>326</v>
      </c>
      <c r="BF22" s="12" t="s">
        <v>326</v>
      </c>
      <c r="BG22" s="12" t="s">
        <v>326</v>
      </c>
      <c r="BI22" s="12" t="s">
        <v>326</v>
      </c>
      <c r="BJ22" s="12" t="s">
        <v>326</v>
      </c>
      <c r="BK22" s="12" t="s">
        <v>326</v>
      </c>
      <c r="BP22" s="12" t="s">
        <v>37</v>
      </c>
      <c r="BQ22" s="12" t="s">
        <v>37</v>
      </c>
      <c r="BR22" s="13" t="s">
        <v>37</v>
      </c>
      <c r="BT22" s="12" t="s">
        <v>37</v>
      </c>
      <c r="BU22" s="12" t="s">
        <v>37</v>
      </c>
      <c r="BV22" s="12" t="s">
        <v>37</v>
      </c>
      <c r="CA22" s="12" t="s">
        <v>37</v>
      </c>
      <c r="CB22" s="12" t="s">
        <v>37</v>
      </c>
      <c r="CC22" s="13" t="s">
        <v>37</v>
      </c>
      <c r="CE22" s="12" t="s">
        <v>37</v>
      </c>
      <c r="CF22" s="12" t="s">
        <v>37</v>
      </c>
      <c r="CG22" s="13" t="s">
        <v>37</v>
      </c>
      <c r="CI22" s="52"/>
      <c r="CJ22" s="12"/>
      <c r="CK22" s="73"/>
      <c r="CL22" s="73"/>
      <c r="CN22" s="12" t="s">
        <v>37</v>
      </c>
      <c r="CO22" s="12" t="s">
        <v>37</v>
      </c>
      <c r="CP22" s="13" t="s">
        <v>37</v>
      </c>
      <c r="CR22" s="12" t="s">
        <v>37</v>
      </c>
      <c r="CS22" s="12" t="s">
        <v>37</v>
      </c>
      <c r="CT22" s="13" t="s">
        <v>37</v>
      </c>
      <c r="CV22" s="52"/>
      <c r="CW22" s="52"/>
      <c r="CX22" s="73"/>
      <c r="CY22" s="73"/>
      <c r="DA22" s="12" t="s">
        <v>37</v>
      </c>
      <c r="DB22" s="12" t="s">
        <v>37</v>
      </c>
      <c r="DC22" s="13" t="s">
        <v>37</v>
      </c>
      <c r="DE22" s="12" t="s">
        <v>37</v>
      </c>
      <c r="DF22" s="12" t="s">
        <v>37</v>
      </c>
      <c r="DG22" s="13" t="s">
        <v>37</v>
      </c>
      <c r="DI22" s="52"/>
      <c r="DJ22" s="52"/>
      <c r="DK22" s="73"/>
      <c r="DL22" s="73"/>
      <c r="DM22" s="15" t="s">
        <v>47</v>
      </c>
      <c r="DN22" s="19">
        <f>44.4*150/1000*10^4/10^3/'[1]classes-1'!$I$6</f>
        <v>69.189192430383997</v>
      </c>
      <c r="DO22" s="12">
        <f>SQRT((1/[2]Classes!$I$6)^2*(55.39*150/1000*10^4/10^3)^2+(-DN22/([2]Classes!$I$6)^2)^2*([2]Classes!$J$6)^2)</f>
        <v>105.7403076411135</v>
      </c>
      <c r="DP22" s="13">
        <v>3</v>
      </c>
      <c r="DQ22" s="19">
        <f t="shared" si="60"/>
        <v>1.5282778122826928</v>
      </c>
      <c r="DR22" s="19">
        <f>0.14*150/1000*10^4/10^3/'[1]classes-1'!$I$7</f>
        <v>0.20126042349248477</v>
      </c>
      <c r="DS22" s="12">
        <f>SQRT((1/[2]Classes!$I$7)^2*(2.62*150/1000*10^4/10^3)^2+(-DR22/([2]Classes!$I$7)^2)^2*([2]Classes!$J$7)^2)</f>
        <v>3.7673237667559927</v>
      </c>
      <c r="DT22" s="13">
        <v>3</v>
      </c>
      <c r="DU22" s="19">
        <f t="shared" si="61"/>
        <v>18.718651692078286</v>
      </c>
      <c r="DV22" s="19">
        <f t="shared" si="62"/>
        <v>-68.987932006891512</v>
      </c>
      <c r="DW22" s="12">
        <f t="shared" si="4"/>
        <v>74.817128347728271</v>
      </c>
      <c r="DX22" s="72">
        <f t="shared" si="66"/>
        <v>3731.7351294669634</v>
      </c>
      <c r="DY22" s="72">
        <f t="shared" si="67"/>
        <v>3731.7351294669638</v>
      </c>
      <c r="DZ22" s="15"/>
      <c r="EA22" s="52" t="s">
        <v>37</v>
      </c>
      <c r="EB22" s="52" t="s">
        <v>37</v>
      </c>
      <c r="EC22" s="73" t="s">
        <v>37</v>
      </c>
      <c r="ED22" s="52"/>
      <c r="EE22" s="52" t="s">
        <v>37</v>
      </c>
      <c r="EF22" s="52" t="s">
        <v>37</v>
      </c>
      <c r="EG22" s="15" t="s">
        <v>37</v>
      </c>
      <c r="EH22" s="52"/>
      <c r="EI22" s="52"/>
      <c r="EJ22" s="52"/>
      <c r="EK22" s="52"/>
      <c r="EL22" s="52"/>
      <c r="EM22" s="12" t="s">
        <v>39</v>
      </c>
      <c r="EN22" s="12">
        <v>-6.17</v>
      </c>
      <c r="EO22" s="20">
        <v>1.6</v>
      </c>
      <c r="EP22" s="13">
        <v>3</v>
      </c>
      <c r="EQ22" s="19">
        <f t="shared" si="29"/>
        <v>0.2593192868719611</v>
      </c>
      <c r="ER22" s="12">
        <v>-40</v>
      </c>
      <c r="ES22" s="20">
        <v>0</v>
      </c>
      <c r="ET22" s="13">
        <v>3</v>
      </c>
      <c r="EU22" s="19">
        <f t="shared" si="30"/>
        <v>0</v>
      </c>
      <c r="EV22" s="19">
        <f t="shared" si="63"/>
        <v>-33.83</v>
      </c>
      <c r="EW22" s="12">
        <f t="shared" si="55"/>
        <v>1.1313708498984762</v>
      </c>
      <c r="EX22" s="19">
        <f t="shared" si="56"/>
        <v>0.8533333333333335</v>
      </c>
      <c r="EY22" s="19">
        <f t="shared" si="57"/>
        <v>0.8533333333333335</v>
      </c>
      <c r="FB22" s="11" t="s">
        <v>37</v>
      </c>
      <c r="FC22" s="11" t="s">
        <v>37</v>
      </c>
      <c r="FD22" s="11" t="s">
        <v>37</v>
      </c>
      <c r="FE22" s="12" t="s">
        <v>37</v>
      </c>
      <c r="FF22" s="20" t="s">
        <v>37</v>
      </c>
      <c r="FG22" s="11" t="s">
        <v>37</v>
      </c>
      <c r="FI22" s="11" t="s">
        <v>37</v>
      </c>
      <c r="FJ22" s="11" t="s">
        <v>37</v>
      </c>
      <c r="FK22" s="11" t="s">
        <v>37</v>
      </c>
      <c r="FL22" s="13" t="s">
        <v>37</v>
      </c>
      <c r="FM22" s="11" t="s">
        <v>37</v>
      </c>
      <c r="FN22" s="11" t="s">
        <v>37</v>
      </c>
      <c r="FP22" s="11" t="s">
        <v>37</v>
      </c>
      <c r="FQ22" s="11" t="s">
        <v>37</v>
      </c>
      <c r="FR22" s="11" t="s">
        <v>37</v>
      </c>
      <c r="FS22" s="13" t="s">
        <v>37</v>
      </c>
      <c r="FT22" s="11" t="s">
        <v>37</v>
      </c>
      <c r="FU22" s="11" t="s">
        <v>37</v>
      </c>
      <c r="FW22" s="11" t="s">
        <v>37</v>
      </c>
      <c r="FX22" s="11" t="s">
        <v>37</v>
      </c>
      <c r="FY22" s="11" t="s">
        <v>37</v>
      </c>
      <c r="FZ22" s="13" t="s">
        <v>37</v>
      </c>
      <c r="GA22" s="11" t="s">
        <v>37</v>
      </c>
      <c r="GB22" s="11" t="s">
        <v>37</v>
      </c>
      <c r="GE22" s="11"/>
      <c r="GF22" s="11"/>
      <c r="GI22" s="11"/>
      <c r="GJ22" s="11"/>
      <c r="GO22" s="12" t="s">
        <v>660</v>
      </c>
      <c r="GP22" s="12" t="s">
        <v>330</v>
      </c>
      <c r="GQ22" s="20">
        <v>9.59</v>
      </c>
      <c r="GR22" s="20">
        <v>1.2</v>
      </c>
      <c r="GS22" s="13">
        <v>3</v>
      </c>
      <c r="GT22" s="19">
        <f t="shared" si="65"/>
        <v>0.12513034410844628</v>
      </c>
      <c r="GU22" s="20">
        <v>10.98630136986303</v>
      </c>
      <c r="GV22" s="20">
        <v>1.5903985699138714</v>
      </c>
      <c r="GW22" s="13">
        <v>3</v>
      </c>
      <c r="GX22" s="19">
        <f t="shared" si="64"/>
        <v>0.14476196459315765</v>
      </c>
      <c r="GY22" s="19">
        <f t="shared" si="59"/>
        <v>0.13592827782277797</v>
      </c>
      <c r="GZ22" s="19">
        <f t="shared" si="19"/>
        <v>1.2204543136522937E-2</v>
      </c>
      <c r="HD22" s="11"/>
      <c r="HG22" s="11"/>
      <c r="HH22" s="11"/>
      <c r="IK22" s="12" t="s">
        <v>37</v>
      </c>
      <c r="IL22" s="12" t="s">
        <v>37</v>
      </c>
      <c r="IM22" s="13" t="s">
        <v>37</v>
      </c>
      <c r="IO22" s="12" t="s">
        <v>37</v>
      </c>
      <c r="IP22" s="12" t="s">
        <v>37</v>
      </c>
      <c r="IQ22" s="13" t="s">
        <v>37</v>
      </c>
      <c r="IW22" s="12" t="s">
        <v>37</v>
      </c>
      <c r="IX22" s="11" t="s">
        <v>37</v>
      </c>
      <c r="IY22" s="13" t="s">
        <v>37</v>
      </c>
      <c r="JA22" s="11" t="s">
        <v>37</v>
      </c>
      <c r="JB22" s="11" t="s">
        <v>37</v>
      </c>
      <c r="JC22" s="13" t="s">
        <v>37</v>
      </c>
      <c r="JH22" s="12" t="s">
        <v>37</v>
      </c>
      <c r="JI22" s="12" t="s">
        <v>37</v>
      </c>
      <c r="JJ22" s="13" t="s">
        <v>37</v>
      </c>
      <c r="JL22" s="12" t="s">
        <v>37</v>
      </c>
      <c r="JM22" s="12" t="s">
        <v>37</v>
      </c>
      <c r="JN22" s="12" t="s">
        <v>37</v>
      </c>
      <c r="JS22" s="12" t="s">
        <v>37</v>
      </c>
      <c r="JT22" s="12" t="s">
        <v>37</v>
      </c>
      <c r="JU22" s="13" t="s">
        <v>37</v>
      </c>
      <c r="JW22" s="12" t="s">
        <v>37</v>
      </c>
      <c r="JX22" s="12" t="s">
        <v>37</v>
      </c>
      <c r="JY22" s="12" t="s">
        <v>37</v>
      </c>
      <c r="KE22" s="11" t="s">
        <v>37</v>
      </c>
      <c r="KF22" s="11" t="s">
        <v>37</v>
      </c>
      <c r="KG22" s="13" t="s">
        <v>37</v>
      </c>
      <c r="KH22" s="11" t="s">
        <v>37</v>
      </c>
      <c r="KI22" s="11" t="s">
        <v>37</v>
      </c>
      <c r="KJ22" s="11" t="s">
        <v>37</v>
      </c>
      <c r="KM22" s="12" t="s">
        <v>37</v>
      </c>
      <c r="KN22" s="11" t="s">
        <v>37</v>
      </c>
      <c r="KO22" s="11" t="s">
        <v>37</v>
      </c>
      <c r="KQ22" s="11" t="s">
        <v>37</v>
      </c>
      <c r="KR22" s="11" t="s">
        <v>37</v>
      </c>
      <c r="KS22" s="13" t="s">
        <v>37</v>
      </c>
      <c r="KX22" s="11" t="s">
        <v>37</v>
      </c>
      <c r="KY22" s="11" t="s">
        <v>37</v>
      </c>
      <c r="KZ22" s="13" t="s">
        <v>37</v>
      </c>
      <c r="LB22" s="11" t="s">
        <v>37</v>
      </c>
      <c r="LC22" s="11" t="s">
        <v>37</v>
      </c>
      <c r="LD22" s="13" t="s">
        <v>37</v>
      </c>
      <c r="LI22" s="12" t="s">
        <v>37</v>
      </c>
      <c r="LJ22" s="12" t="s">
        <v>37</v>
      </c>
      <c r="LK22" s="12" t="s">
        <v>37</v>
      </c>
      <c r="LM22" s="12" t="s">
        <v>37</v>
      </c>
      <c r="LN22" s="12" t="s">
        <v>37</v>
      </c>
      <c r="LO22" s="12" t="s">
        <v>37</v>
      </c>
      <c r="LU22" s="12" t="s">
        <v>37</v>
      </c>
      <c r="LV22" s="12" t="s">
        <v>37</v>
      </c>
      <c r="LW22" s="13" t="s">
        <v>37</v>
      </c>
      <c r="LY22" s="12" t="s">
        <v>37</v>
      </c>
      <c r="LZ22" s="12" t="s">
        <v>37</v>
      </c>
      <c r="MA22" s="11" t="s">
        <v>37</v>
      </c>
      <c r="MF22" s="12" t="s">
        <v>37</v>
      </c>
      <c r="MG22" s="12" t="s">
        <v>37</v>
      </c>
      <c r="MH22" s="12" t="s">
        <v>37</v>
      </c>
      <c r="MJ22" s="12" t="s">
        <v>37</v>
      </c>
      <c r="MK22" s="12" t="s">
        <v>37</v>
      </c>
      <c r="ML22" s="12" t="s">
        <v>37</v>
      </c>
      <c r="MQ22" s="12" t="s">
        <v>37</v>
      </c>
      <c r="MR22" s="12" t="s">
        <v>37</v>
      </c>
      <c r="MS22" s="12" t="s">
        <v>37</v>
      </c>
      <c r="MU22" s="12" t="s">
        <v>37</v>
      </c>
      <c r="MV22" s="12" t="s">
        <v>37</v>
      </c>
      <c r="MW22" s="12" t="s">
        <v>37</v>
      </c>
      <c r="NC22" s="11" t="s">
        <v>37</v>
      </c>
      <c r="ND22" s="11" t="s">
        <v>37</v>
      </c>
      <c r="NE22" s="13" t="s">
        <v>37</v>
      </c>
      <c r="NG22" s="11" t="s">
        <v>37</v>
      </c>
      <c r="NH22" s="11" t="s">
        <v>37</v>
      </c>
      <c r="NI22" s="13" t="s">
        <v>37</v>
      </c>
      <c r="NO22" s="11" t="s">
        <v>37</v>
      </c>
      <c r="NP22" s="11" t="s">
        <v>37</v>
      </c>
      <c r="NQ22" s="13" t="s">
        <v>37</v>
      </c>
      <c r="NS22" s="11" t="s">
        <v>37</v>
      </c>
      <c r="NT22" s="11" t="s">
        <v>37</v>
      </c>
      <c r="NU22" s="13" t="s">
        <v>37</v>
      </c>
      <c r="OA22" s="11" t="s">
        <v>37</v>
      </c>
      <c r="OB22" s="11" t="s">
        <v>37</v>
      </c>
      <c r="OC22" s="13" t="s">
        <v>37</v>
      </c>
      <c r="OE22" s="11" t="s">
        <v>37</v>
      </c>
      <c r="OF22" s="11" t="s">
        <v>37</v>
      </c>
      <c r="OG22" s="13" t="s">
        <v>37</v>
      </c>
      <c r="OM22" s="11" t="s">
        <v>37</v>
      </c>
      <c r="ON22" s="11" t="s">
        <v>37</v>
      </c>
      <c r="OO22" s="11" t="s">
        <v>37</v>
      </c>
      <c r="OP22" s="11" t="s">
        <v>37</v>
      </c>
      <c r="OQ22" s="11" t="s">
        <v>37</v>
      </c>
      <c r="OR22" s="11" t="s">
        <v>37</v>
      </c>
      <c r="OW22" s="11" t="s">
        <v>37</v>
      </c>
      <c r="OX22" s="11" t="s">
        <v>37</v>
      </c>
      <c r="OY22" s="13" t="s">
        <v>37</v>
      </c>
      <c r="OZ22" s="11" t="s">
        <v>37</v>
      </c>
      <c r="PA22" s="11" t="s">
        <v>37</v>
      </c>
      <c r="PB22" s="13" t="s">
        <v>37</v>
      </c>
      <c r="PG22" s="11" t="s">
        <v>37</v>
      </c>
      <c r="PH22" s="11" t="s">
        <v>37</v>
      </c>
      <c r="PI22" s="13" t="s">
        <v>37</v>
      </c>
      <c r="PJ22" s="11" t="s">
        <v>37</v>
      </c>
      <c r="PK22" s="11" t="s">
        <v>37</v>
      </c>
      <c r="PL22" s="13" t="s">
        <v>37</v>
      </c>
      <c r="PQ22" s="11" t="s">
        <v>37</v>
      </c>
      <c r="PR22" s="11" t="s">
        <v>37</v>
      </c>
      <c r="PS22" s="13" t="s">
        <v>37</v>
      </c>
      <c r="PT22" s="11" t="s">
        <v>37</v>
      </c>
      <c r="PU22" s="11" t="s">
        <v>37</v>
      </c>
      <c r="PV22" s="13" t="s">
        <v>37</v>
      </c>
      <c r="PZ22" s="11" t="s">
        <v>37</v>
      </c>
      <c r="QA22" s="11" t="s">
        <v>37</v>
      </c>
      <c r="QB22" s="11" t="s">
        <v>37</v>
      </c>
      <c r="QD22" s="11" t="s">
        <v>37</v>
      </c>
      <c r="QE22" s="11" t="s">
        <v>37</v>
      </c>
      <c r="QF22" s="13" t="s">
        <v>37</v>
      </c>
      <c r="QK22" s="11" t="s">
        <v>37</v>
      </c>
      <c r="QL22" s="11" t="s">
        <v>37</v>
      </c>
      <c r="QM22" s="13" t="s">
        <v>37</v>
      </c>
      <c r="QN22" s="11" t="s">
        <v>37</v>
      </c>
      <c r="QO22" s="11" t="s">
        <v>37</v>
      </c>
      <c r="QP22" s="13" t="s">
        <v>37</v>
      </c>
      <c r="QU22" s="11" t="s">
        <v>37</v>
      </c>
      <c r="QV22" s="11" t="s">
        <v>37</v>
      </c>
      <c r="QW22" s="13" t="s">
        <v>37</v>
      </c>
      <c r="QX22" s="11" t="s">
        <v>37</v>
      </c>
      <c r="QY22" s="11" t="s">
        <v>37</v>
      </c>
      <c r="QZ22" s="13" t="s">
        <v>37</v>
      </c>
      <c r="RC22" s="12" t="s">
        <v>37</v>
      </c>
      <c r="RD22" s="12" t="s">
        <v>37</v>
      </c>
      <c r="RE22" s="13" t="s">
        <v>37</v>
      </c>
      <c r="RF22" s="12" t="s">
        <v>37</v>
      </c>
      <c r="RG22" s="12" t="s">
        <v>37</v>
      </c>
      <c r="RH22" s="13" t="s">
        <v>37</v>
      </c>
      <c r="RK22" s="11" t="s">
        <v>37</v>
      </c>
      <c r="RL22" s="11" t="s">
        <v>37</v>
      </c>
      <c r="RM22" s="11" t="s">
        <v>37</v>
      </c>
      <c r="RN22" s="11" t="s">
        <v>37</v>
      </c>
      <c r="RO22" s="11" t="s">
        <v>37</v>
      </c>
      <c r="RP22" s="11" t="s">
        <v>37</v>
      </c>
      <c r="RS22" s="11" t="s">
        <v>37</v>
      </c>
      <c r="RT22" s="11" t="s">
        <v>37</v>
      </c>
      <c r="RU22" s="11" t="s">
        <v>37</v>
      </c>
      <c r="RV22" s="11" t="s">
        <v>37</v>
      </c>
      <c r="RW22" s="11" t="s">
        <v>37</v>
      </c>
      <c r="RX22" s="11" t="s">
        <v>37</v>
      </c>
      <c r="SA22" s="11" t="s">
        <v>37</v>
      </c>
      <c r="SB22" s="11" t="s">
        <v>37</v>
      </c>
      <c r="SC22" s="13" t="s">
        <v>37</v>
      </c>
      <c r="SD22" s="11" t="s">
        <v>37</v>
      </c>
      <c r="SE22" s="11" t="s">
        <v>37</v>
      </c>
      <c r="SF22" s="13" t="s">
        <v>37</v>
      </c>
      <c r="SI22" s="12" t="s">
        <v>37</v>
      </c>
      <c r="SJ22" s="11" t="s">
        <v>37</v>
      </c>
      <c r="SK22" s="13" t="s">
        <v>37</v>
      </c>
      <c r="SM22" s="11" t="s">
        <v>37</v>
      </c>
      <c r="SN22" s="11" t="s">
        <v>37</v>
      </c>
      <c r="SO22" s="13" t="s">
        <v>37</v>
      </c>
      <c r="SU22" s="12" t="s">
        <v>37</v>
      </c>
      <c r="SV22" s="12" t="s">
        <v>37</v>
      </c>
      <c r="SW22" s="11" t="s">
        <v>37</v>
      </c>
      <c r="SX22" s="12" t="s">
        <v>37</v>
      </c>
      <c r="SY22" s="12" t="s">
        <v>37</v>
      </c>
      <c r="SZ22" s="11" t="s">
        <v>37</v>
      </c>
      <c r="TE22" s="12" t="s">
        <v>37</v>
      </c>
      <c r="TF22" s="12" t="s">
        <v>37</v>
      </c>
      <c r="TG22" s="11" t="s">
        <v>37</v>
      </c>
      <c r="TH22" s="12" t="s">
        <v>37</v>
      </c>
      <c r="TI22" s="12" t="s">
        <v>37</v>
      </c>
      <c r="TJ22" s="11" t="s">
        <v>37</v>
      </c>
      <c r="TO22" s="12" t="s">
        <v>37</v>
      </c>
      <c r="TP22" s="12" t="s">
        <v>37</v>
      </c>
      <c r="TQ22" s="11" t="s">
        <v>37</v>
      </c>
      <c r="TR22" s="12" t="s">
        <v>37</v>
      </c>
      <c r="TS22" s="12" t="s">
        <v>37</v>
      </c>
      <c r="TT22" s="11" t="s">
        <v>37</v>
      </c>
      <c r="TY22" s="12" t="s">
        <v>37</v>
      </c>
      <c r="TZ22" s="12" t="s">
        <v>37</v>
      </c>
      <c r="UA22" s="11" t="s">
        <v>37</v>
      </c>
      <c r="UB22" s="12" t="s">
        <v>37</v>
      </c>
      <c r="UC22" s="12" t="s">
        <v>37</v>
      </c>
      <c r="UD22" s="11" t="s">
        <v>37</v>
      </c>
      <c r="UI22" s="12" t="s">
        <v>37</v>
      </c>
      <c r="UJ22" s="12" t="s">
        <v>37</v>
      </c>
      <c r="UK22" s="13" t="s">
        <v>37</v>
      </c>
      <c r="UL22" s="12" t="s">
        <v>37</v>
      </c>
      <c r="UM22" s="12" t="s">
        <v>37</v>
      </c>
      <c r="UN22" s="13" t="s">
        <v>37</v>
      </c>
      <c r="UR22" s="12" t="s">
        <v>37</v>
      </c>
      <c r="US22" s="12" t="s">
        <v>37</v>
      </c>
      <c r="UT22" s="13" t="s">
        <v>37</v>
      </c>
      <c r="UU22" s="12" t="s">
        <v>37</v>
      </c>
      <c r="UV22" s="12" t="s">
        <v>37</v>
      </c>
      <c r="UW22" s="13" t="s">
        <v>37</v>
      </c>
      <c r="VB22" s="12" t="s">
        <v>37</v>
      </c>
      <c r="VC22" s="12" t="s">
        <v>37</v>
      </c>
      <c r="VD22" s="13" t="s">
        <v>37</v>
      </c>
      <c r="VE22" s="12" t="s">
        <v>37</v>
      </c>
      <c r="VF22" s="12" t="s">
        <v>37</v>
      </c>
      <c r="VG22" s="13" t="s">
        <v>37</v>
      </c>
      <c r="VI22" s="12" t="s">
        <v>37</v>
      </c>
      <c r="VJ22" s="12" t="s">
        <v>37</v>
      </c>
      <c r="VK22" s="13" t="s">
        <v>37</v>
      </c>
      <c r="VL22" s="12" t="s">
        <v>37</v>
      </c>
      <c r="VM22" s="12" t="s">
        <v>37</v>
      </c>
      <c r="VN22" s="13" t="s">
        <v>37</v>
      </c>
      <c r="VO22" s="12" t="s">
        <v>37</v>
      </c>
      <c r="VQ22" s="12" t="s">
        <v>37</v>
      </c>
      <c r="VR22" s="12" t="s">
        <v>37</v>
      </c>
      <c r="VS22" s="12" t="s">
        <v>37</v>
      </c>
      <c r="VT22" s="12" t="s">
        <v>37</v>
      </c>
      <c r="VU22" s="12" t="s">
        <v>37</v>
      </c>
      <c r="VV22" s="12" t="s">
        <v>37</v>
      </c>
      <c r="VW22" s="12"/>
      <c r="VX22" s="12"/>
      <c r="WA22" s="13" t="s">
        <v>37</v>
      </c>
      <c r="WB22" s="13" t="s">
        <v>37</v>
      </c>
      <c r="WC22" s="13" t="s">
        <v>37</v>
      </c>
      <c r="WD22" s="13" t="s">
        <v>37</v>
      </c>
      <c r="WE22" s="13" t="s">
        <v>37</v>
      </c>
      <c r="WF22" s="13" t="s">
        <v>37</v>
      </c>
    </row>
    <row r="23" spans="1:604" ht="18" customHeight="1" x14ac:dyDescent="0.3">
      <c r="A23" s="11">
        <v>5</v>
      </c>
      <c r="B23" s="12" t="s">
        <v>77</v>
      </c>
      <c r="C23" s="12" t="s">
        <v>26</v>
      </c>
      <c r="D23" s="12" t="s">
        <v>54</v>
      </c>
      <c r="E23" s="39" t="s">
        <v>37</v>
      </c>
      <c r="F23" s="14">
        <v>0</v>
      </c>
      <c r="G23" s="14">
        <v>0</v>
      </c>
      <c r="H23" s="12" t="s">
        <v>79</v>
      </c>
      <c r="I23" s="29">
        <v>48.064999999999998</v>
      </c>
      <c r="J23" s="29">
        <v>128.51</v>
      </c>
      <c r="K23" s="12" t="s">
        <v>688</v>
      </c>
      <c r="L23" s="12" t="s">
        <v>689</v>
      </c>
      <c r="M23" s="13" t="s">
        <v>48</v>
      </c>
      <c r="N23" s="14">
        <v>0.4</v>
      </c>
      <c r="O23" s="14">
        <v>630</v>
      </c>
      <c r="P23" s="14" t="s">
        <v>16</v>
      </c>
      <c r="Q23" s="75">
        <v>10</v>
      </c>
      <c r="R23" s="11" t="s">
        <v>1000</v>
      </c>
      <c r="S23" s="12" t="s">
        <v>51</v>
      </c>
      <c r="T23" s="12" t="s">
        <v>876</v>
      </c>
      <c r="U23" s="12" t="s">
        <v>334</v>
      </c>
      <c r="V23" s="12" t="s">
        <v>275</v>
      </c>
      <c r="W23" s="23" t="s">
        <v>38</v>
      </c>
      <c r="X23" s="12" t="s">
        <v>280</v>
      </c>
      <c r="Y23" s="12" t="s">
        <v>68</v>
      </c>
      <c r="Z23" s="12" t="s">
        <v>37</v>
      </c>
      <c r="AB23" s="12" t="s">
        <v>37</v>
      </c>
      <c r="AE23" s="12" t="s">
        <v>37</v>
      </c>
      <c r="AH23" s="12" t="s">
        <v>37</v>
      </c>
      <c r="AK23" s="12" t="s">
        <v>37</v>
      </c>
      <c r="AL23" s="32" t="s">
        <v>485</v>
      </c>
      <c r="AM23" s="12" t="s">
        <v>317</v>
      </c>
      <c r="AN23" s="32" t="s">
        <v>878</v>
      </c>
      <c r="AO23" s="12" t="s">
        <v>37</v>
      </c>
      <c r="AP23" s="12" t="s">
        <v>602</v>
      </c>
      <c r="AQ23" s="12" t="s">
        <v>975</v>
      </c>
      <c r="AT23" s="12" t="s">
        <v>326</v>
      </c>
      <c r="AU23" s="12" t="s">
        <v>326</v>
      </c>
      <c r="AV23" s="13" t="s">
        <v>326</v>
      </c>
      <c r="AX23" s="12" t="s">
        <v>326</v>
      </c>
      <c r="AY23" s="12" t="s">
        <v>326</v>
      </c>
      <c r="AZ23" s="13" t="s">
        <v>326</v>
      </c>
      <c r="BE23" s="12" t="s">
        <v>326</v>
      </c>
      <c r="BF23" s="12" t="s">
        <v>326</v>
      </c>
      <c r="BG23" s="12" t="s">
        <v>326</v>
      </c>
      <c r="BI23" s="12" t="s">
        <v>326</v>
      </c>
      <c r="BJ23" s="12" t="s">
        <v>326</v>
      </c>
      <c r="BK23" s="12" t="s">
        <v>326</v>
      </c>
      <c r="BP23" s="12" t="s">
        <v>37</v>
      </c>
      <c r="BQ23" s="12" t="s">
        <v>37</v>
      </c>
      <c r="BR23" s="13" t="s">
        <v>37</v>
      </c>
      <c r="BT23" s="12" t="s">
        <v>37</v>
      </c>
      <c r="BU23" s="12" t="s">
        <v>37</v>
      </c>
      <c r="BV23" s="12" t="s">
        <v>37</v>
      </c>
      <c r="CA23" s="12" t="s">
        <v>37</v>
      </c>
      <c r="CB23" s="12" t="s">
        <v>37</v>
      </c>
      <c r="CC23" s="13" t="s">
        <v>37</v>
      </c>
      <c r="CE23" s="12" t="s">
        <v>37</v>
      </c>
      <c r="CF23" s="12" t="s">
        <v>37</v>
      </c>
      <c r="CG23" s="13" t="s">
        <v>37</v>
      </c>
      <c r="CI23" s="52"/>
      <c r="CJ23" s="12"/>
      <c r="CK23" s="73"/>
      <c r="CL23" s="73"/>
      <c r="CN23" s="12" t="s">
        <v>37</v>
      </c>
      <c r="CO23" s="12" t="s">
        <v>37</v>
      </c>
      <c r="CP23" s="13" t="s">
        <v>37</v>
      </c>
      <c r="CR23" s="12" t="s">
        <v>37</v>
      </c>
      <c r="CS23" s="12" t="s">
        <v>37</v>
      </c>
      <c r="CT23" s="13" t="s">
        <v>37</v>
      </c>
      <c r="CV23" s="52"/>
      <c r="CW23" s="52"/>
      <c r="CX23" s="73"/>
      <c r="CY23" s="73"/>
      <c r="DA23" s="12" t="s">
        <v>37</v>
      </c>
      <c r="DB23" s="12" t="s">
        <v>37</v>
      </c>
      <c r="DC23" s="13" t="s">
        <v>37</v>
      </c>
      <c r="DE23" s="12" t="s">
        <v>37</v>
      </c>
      <c r="DF23" s="12" t="s">
        <v>37</v>
      </c>
      <c r="DG23" s="13" t="s">
        <v>37</v>
      </c>
      <c r="DI23" s="52"/>
      <c r="DJ23" s="52"/>
      <c r="DK23" s="73"/>
      <c r="DL23" s="73"/>
      <c r="DM23" s="15" t="s">
        <v>47</v>
      </c>
      <c r="DN23" s="19">
        <f>44.4*150/1000*10^4/10^3/'[1]classes-1'!$I$8</f>
        <v>69.189192430383997</v>
      </c>
      <c r="DO23" s="12">
        <f>DO22</f>
        <v>105.7403076411135</v>
      </c>
      <c r="DP23" s="13">
        <v>3</v>
      </c>
      <c r="DQ23" s="19">
        <f t="shared" si="60"/>
        <v>1.5282778122826928</v>
      </c>
      <c r="DR23" s="19">
        <f>2.51*150/1000*10^4/10^3/'[1]classes-1'!$I$7</f>
        <v>3.6083118783295469</v>
      </c>
      <c r="DS23" s="12">
        <f>SQRT((1/[2]Classes!$I$7)^2*(6.02*150/1000*10^4/10^3)^2+(-DR23/([2]Classes!$I$7)^2)^2*([2]Classes!$J$7)^2)</f>
        <v>8.7762753596190368</v>
      </c>
      <c r="DT23" s="13">
        <v>3</v>
      </c>
      <c r="DU23" s="19">
        <f t="shared" si="61"/>
        <v>2.4322385801312656</v>
      </c>
      <c r="DV23" s="19">
        <f t="shared" si="62"/>
        <v>-65.580880552054452</v>
      </c>
      <c r="DW23" s="12">
        <f t="shared" si="4"/>
        <v>75.026780782681797</v>
      </c>
      <c r="DX23" s="72">
        <f t="shared" si="66"/>
        <v>3752.6785564083939</v>
      </c>
      <c r="DY23" s="72">
        <f t="shared" si="67"/>
        <v>3752.6785564083943</v>
      </c>
      <c r="DZ23" s="15"/>
      <c r="EA23" s="52" t="s">
        <v>37</v>
      </c>
      <c r="EB23" s="52" t="s">
        <v>37</v>
      </c>
      <c r="EC23" s="73" t="s">
        <v>37</v>
      </c>
      <c r="ED23" s="52"/>
      <c r="EE23" s="52" t="s">
        <v>37</v>
      </c>
      <c r="EF23" s="52" t="s">
        <v>37</v>
      </c>
      <c r="EG23" s="15" t="s">
        <v>37</v>
      </c>
      <c r="EH23" s="52"/>
      <c r="EI23" s="52"/>
      <c r="EJ23" s="52"/>
      <c r="EK23" s="52"/>
      <c r="EL23" s="52"/>
      <c r="EM23" s="12" t="s">
        <v>39</v>
      </c>
      <c r="EN23" s="12">
        <v>-6.17</v>
      </c>
      <c r="EO23" s="20">
        <v>1.6</v>
      </c>
      <c r="EP23" s="13">
        <v>3</v>
      </c>
      <c r="EQ23" s="19">
        <f t="shared" si="29"/>
        <v>0.2593192868719611</v>
      </c>
      <c r="ER23" s="12">
        <v>-14.475524475524482</v>
      </c>
      <c r="ES23" s="20">
        <v>3.4828674393339902</v>
      </c>
      <c r="ET23" s="13">
        <v>3</v>
      </c>
      <c r="EU23" s="19">
        <f t="shared" si="30"/>
        <v>0.24060388590568135</v>
      </c>
      <c r="EV23" s="19">
        <f t="shared" si="63"/>
        <v>-8.3055244755244821</v>
      </c>
      <c r="EW23" s="12">
        <f t="shared" si="55"/>
        <v>2.7101997712320864</v>
      </c>
      <c r="EX23" s="19">
        <f t="shared" si="56"/>
        <v>4.896788533324302</v>
      </c>
      <c r="EY23" s="19">
        <f t="shared" si="57"/>
        <v>4.896788533324302</v>
      </c>
      <c r="FB23" s="11" t="s">
        <v>37</v>
      </c>
      <c r="FC23" s="11" t="s">
        <v>37</v>
      </c>
      <c r="FD23" s="11" t="s">
        <v>37</v>
      </c>
      <c r="FE23" s="12" t="s">
        <v>37</v>
      </c>
      <c r="FF23" s="20" t="s">
        <v>37</v>
      </c>
      <c r="FG23" s="11" t="s">
        <v>37</v>
      </c>
      <c r="FI23" s="11" t="s">
        <v>37</v>
      </c>
      <c r="FJ23" s="11" t="s">
        <v>37</v>
      </c>
      <c r="FK23" s="11" t="s">
        <v>37</v>
      </c>
      <c r="FL23" s="13" t="s">
        <v>37</v>
      </c>
      <c r="FM23" s="11" t="s">
        <v>37</v>
      </c>
      <c r="FN23" s="11" t="s">
        <v>37</v>
      </c>
      <c r="FP23" s="11" t="s">
        <v>37</v>
      </c>
      <c r="FQ23" s="11" t="s">
        <v>37</v>
      </c>
      <c r="FR23" s="11" t="s">
        <v>37</v>
      </c>
      <c r="FS23" s="13" t="s">
        <v>37</v>
      </c>
      <c r="FT23" s="11" t="s">
        <v>37</v>
      </c>
      <c r="FU23" s="11" t="s">
        <v>37</v>
      </c>
      <c r="FW23" s="11" t="s">
        <v>37</v>
      </c>
      <c r="FX23" s="11" t="s">
        <v>37</v>
      </c>
      <c r="FY23" s="11" t="s">
        <v>37</v>
      </c>
      <c r="FZ23" s="13" t="s">
        <v>37</v>
      </c>
      <c r="GA23" s="11" t="s">
        <v>37</v>
      </c>
      <c r="GB23" s="11" t="s">
        <v>37</v>
      </c>
      <c r="GE23" s="11"/>
      <c r="GF23" s="11"/>
      <c r="GI23" s="11"/>
      <c r="GJ23" s="11"/>
      <c r="GO23" s="12" t="s">
        <v>660</v>
      </c>
      <c r="GP23" s="12" t="s">
        <v>330</v>
      </c>
      <c r="GQ23" s="20">
        <v>9.59</v>
      </c>
      <c r="GR23" s="20">
        <v>1.2</v>
      </c>
      <c r="GS23" s="13">
        <v>3</v>
      </c>
      <c r="GT23" s="19">
        <f t="shared" si="65"/>
        <v>0.12513034410844628</v>
      </c>
      <c r="GU23" s="20">
        <v>5.8082191780821963</v>
      </c>
      <c r="GV23" s="20">
        <v>0.77347454663980719</v>
      </c>
      <c r="GW23" s="13">
        <v>3</v>
      </c>
      <c r="GX23" s="19">
        <f t="shared" si="64"/>
        <v>0.13316896675638179</v>
      </c>
      <c r="GY23" s="19">
        <f t="shared" si="59"/>
        <v>-0.50144687481177941</v>
      </c>
      <c r="GZ23" s="19">
        <f t="shared" si="19"/>
        <v>1.1130525574553501E-2</v>
      </c>
      <c r="HD23" s="11"/>
      <c r="HG23" s="11"/>
      <c r="HH23" s="11"/>
      <c r="IK23" s="12" t="s">
        <v>37</v>
      </c>
      <c r="IL23" s="12" t="s">
        <v>37</v>
      </c>
      <c r="IM23" s="13" t="s">
        <v>37</v>
      </c>
      <c r="IO23" s="12" t="s">
        <v>37</v>
      </c>
      <c r="IP23" s="12" t="s">
        <v>37</v>
      </c>
      <c r="IQ23" s="13" t="s">
        <v>37</v>
      </c>
      <c r="IW23" s="12" t="s">
        <v>37</v>
      </c>
      <c r="IX23" s="11" t="s">
        <v>37</v>
      </c>
      <c r="IY23" s="13" t="s">
        <v>37</v>
      </c>
      <c r="JA23" s="11" t="s">
        <v>37</v>
      </c>
      <c r="JB23" s="11" t="s">
        <v>37</v>
      </c>
      <c r="JC23" s="13" t="s">
        <v>37</v>
      </c>
      <c r="JH23" s="12" t="s">
        <v>37</v>
      </c>
      <c r="JI23" s="12" t="s">
        <v>37</v>
      </c>
      <c r="JJ23" s="13" t="s">
        <v>37</v>
      </c>
      <c r="JL23" s="12" t="s">
        <v>37</v>
      </c>
      <c r="JM23" s="12" t="s">
        <v>37</v>
      </c>
      <c r="JN23" s="12" t="s">
        <v>37</v>
      </c>
      <c r="JS23" s="12" t="s">
        <v>37</v>
      </c>
      <c r="JT23" s="12" t="s">
        <v>37</v>
      </c>
      <c r="JU23" s="13" t="s">
        <v>37</v>
      </c>
      <c r="JW23" s="12" t="s">
        <v>37</v>
      </c>
      <c r="JX23" s="12" t="s">
        <v>37</v>
      </c>
      <c r="JY23" s="12" t="s">
        <v>37</v>
      </c>
      <c r="KE23" s="11" t="s">
        <v>37</v>
      </c>
      <c r="KF23" s="11" t="s">
        <v>37</v>
      </c>
      <c r="KG23" s="13" t="s">
        <v>37</v>
      </c>
      <c r="KH23" s="11" t="s">
        <v>37</v>
      </c>
      <c r="KI23" s="11" t="s">
        <v>37</v>
      </c>
      <c r="KJ23" s="11" t="s">
        <v>37</v>
      </c>
      <c r="KM23" s="12" t="s">
        <v>37</v>
      </c>
      <c r="KN23" s="11" t="s">
        <v>37</v>
      </c>
      <c r="KO23" s="11" t="s">
        <v>37</v>
      </c>
      <c r="KQ23" s="11" t="s">
        <v>37</v>
      </c>
      <c r="KR23" s="11" t="s">
        <v>37</v>
      </c>
      <c r="KS23" s="13" t="s">
        <v>37</v>
      </c>
      <c r="KX23" s="11" t="s">
        <v>37</v>
      </c>
      <c r="KY23" s="11" t="s">
        <v>37</v>
      </c>
      <c r="KZ23" s="13" t="s">
        <v>37</v>
      </c>
      <c r="LB23" s="11" t="s">
        <v>37</v>
      </c>
      <c r="LC23" s="11" t="s">
        <v>37</v>
      </c>
      <c r="LD23" s="13" t="s">
        <v>37</v>
      </c>
      <c r="LI23" s="12" t="s">
        <v>37</v>
      </c>
      <c r="LJ23" s="12" t="s">
        <v>37</v>
      </c>
      <c r="LK23" s="12" t="s">
        <v>37</v>
      </c>
      <c r="LM23" s="12" t="s">
        <v>37</v>
      </c>
      <c r="LN23" s="12" t="s">
        <v>37</v>
      </c>
      <c r="LO23" s="12" t="s">
        <v>37</v>
      </c>
      <c r="LU23" s="12" t="s">
        <v>37</v>
      </c>
      <c r="LV23" s="12" t="s">
        <v>37</v>
      </c>
      <c r="LW23" s="13" t="s">
        <v>37</v>
      </c>
      <c r="LY23" s="12" t="s">
        <v>37</v>
      </c>
      <c r="LZ23" s="12" t="s">
        <v>37</v>
      </c>
      <c r="MA23" s="11" t="s">
        <v>37</v>
      </c>
      <c r="MF23" s="12" t="s">
        <v>37</v>
      </c>
      <c r="MG23" s="12" t="s">
        <v>37</v>
      </c>
      <c r="MH23" s="12" t="s">
        <v>37</v>
      </c>
      <c r="MJ23" s="12" t="s">
        <v>37</v>
      </c>
      <c r="MK23" s="12" t="s">
        <v>37</v>
      </c>
      <c r="ML23" s="12" t="s">
        <v>37</v>
      </c>
      <c r="MQ23" s="12" t="s">
        <v>37</v>
      </c>
      <c r="MR23" s="12" t="s">
        <v>37</v>
      </c>
      <c r="MS23" s="12" t="s">
        <v>37</v>
      </c>
      <c r="MU23" s="12" t="s">
        <v>37</v>
      </c>
      <c r="MV23" s="12" t="s">
        <v>37</v>
      </c>
      <c r="MW23" s="12" t="s">
        <v>37</v>
      </c>
      <c r="NC23" s="11" t="s">
        <v>37</v>
      </c>
      <c r="ND23" s="11" t="s">
        <v>37</v>
      </c>
      <c r="NE23" s="13" t="s">
        <v>37</v>
      </c>
      <c r="NG23" s="11" t="s">
        <v>37</v>
      </c>
      <c r="NH23" s="11" t="s">
        <v>37</v>
      </c>
      <c r="NI23" s="13" t="s">
        <v>37</v>
      </c>
      <c r="NO23" s="11" t="s">
        <v>37</v>
      </c>
      <c r="NP23" s="11" t="s">
        <v>37</v>
      </c>
      <c r="NQ23" s="13" t="s">
        <v>37</v>
      </c>
      <c r="NS23" s="11" t="s">
        <v>37</v>
      </c>
      <c r="NT23" s="11" t="s">
        <v>37</v>
      </c>
      <c r="NU23" s="13" t="s">
        <v>37</v>
      </c>
      <c r="OA23" s="11" t="s">
        <v>37</v>
      </c>
      <c r="OB23" s="11" t="s">
        <v>37</v>
      </c>
      <c r="OC23" s="13" t="s">
        <v>37</v>
      </c>
      <c r="OE23" s="11" t="s">
        <v>37</v>
      </c>
      <c r="OF23" s="11" t="s">
        <v>37</v>
      </c>
      <c r="OG23" s="13" t="s">
        <v>37</v>
      </c>
      <c r="OM23" s="11" t="s">
        <v>37</v>
      </c>
      <c r="ON23" s="11" t="s">
        <v>37</v>
      </c>
      <c r="OO23" s="11" t="s">
        <v>37</v>
      </c>
      <c r="OP23" s="11" t="s">
        <v>37</v>
      </c>
      <c r="OQ23" s="11" t="s">
        <v>37</v>
      </c>
      <c r="OR23" s="11" t="s">
        <v>37</v>
      </c>
      <c r="OW23" s="11" t="s">
        <v>37</v>
      </c>
      <c r="OX23" s="11" t="s">
        <v>37</v>
      </c>
      <c r="OY23" s="13" t="s">
        <v>37</v>
      </c>
      <c r="OZ23" s="11" t="s">
        <v>37</v>
      </c>
      <c r="PA23" s="11" t="s">
        <v>37</v>
      </c>
      <c r="PB23" s="13" t="s">
        <v>37</v>
      </c>
      <c r="PG23" s="11" t="s">
        <v>37</v>
      </c>
      <c r="PH23" s="11" t="s">
        <v>37</v>
      </c>
      <c r="PI23" s="13" t="s">
        <v>37</v>
      </c>
      <c r="PJ23" s="11" t="s">
        <v>37</v>
      </c>
      <c r="PK23" s="11" t="s">
        <v>37</v>
      </c>
      <c r="PL23" s="13" t="s">
        <v>37</v>
      </c>
      <c r="PQ23" s="11" t="s">
        <v>37</v>
      </c>
      <c r="PR23" s="11" t="s">
        <v>37</v>
      </c>
      <c r="PS23" s="13" t="s">
        <v>37</v>
      </c>
      <c r="PT23" s="11" t="s">
        <v>37</v>
      </c>
      <c r="PU23" s="11" t="s">
        <v>37</v>
      </c>
      <c r="PV23" s="13" t="s">
        <v>37</v>
      </c>
      <c r="PZ23" s="11" t="s">
        <v>37</v>
      </c>
      <c r="QA23" s="11" t="s">
        <v>37</v>
      </c>
      <c r="QB23" s="11" t="s">
        <v>37</v>
      </c>
      <c r="QD23" s="11" t="s">
        <v>37</v>
      </c>
      <c r="QE23" s="11" t="s">
        <v>37</v>
      </c>
      <c r="QF23" s="13" t="s">
        <v>37</v>
      </c>
      <c r="QK23" s="11" t="s">
        <v>37</v>
      </c>
      <c r="QL23" s="11" t="s">
        <v>37</v>
      </c>
      <c r="QM23" s="13" t="s">
        <v>37</v>
      </c>
      <c r="QN23" s="11" t="s">
        <v>37</v>
      </c>
      <c r="QO23" s="11" t="s">
        <v>37</v>
      </c>
      <c r="QP23" s="13" t="s">
        <v>37</v>
      </c>
      <c r="QU23" s="11" t="s">
        <v>37</v>
      </c>
      <c r="QV23" s="11" t="s">
        <v>37</v>
      </c>
      <c r="QW23" s="13" t="s">
        <v>37</v>
      </c>
      <c r="QX23" s="11" t="s">
        <v>37</v>
      </c>
      <c r="QY23" s="11" t="s">
        <v>37</v>
      </c>
      <c r="QZ23" s="13" t="s">
        <v>37</v>
      </c>
      <c r="RC23" s="12" t="s">
        <v>37</v>
      </c>
      <c r="RD23" s="12" t="s">
        <v>37</v>
      </c>
      <c r="RE23" s="13" t="s">
        <v>37</v>
      </c>
      <c r="RF23" s="12" t="s">
        <v>37</v>
      </c>
      <c r="RG23" s="12" t="s">
        <v>37</v>
      </c>
      <c r="RH23" s="13" t="s">
        <v>37</v>
      </c>
      <c r="RK23" s="11" t="s">
        <v>37</v>
      </c>
      <c r="RL23" s="11" t="s">
        <v>37</v>
      </c>
      <c r="RM23" s="11" t="s">
        <v>37</v>
      </c>
      <c r="RN23" s="11" t="s">
        <v>37</v>
      </c>
      <c r="RO23" s="11" t="s">
        <v>37</v>
      </c>
      <c r="RP23" s="11" t="s">
        <v>37</v>
      </c>
      <c r="RS23" s="11" t="s">
        <v>37</v>
      </c>
      <c r="RT23" s="11" t="s">
        <v>37</v>
      </c>
      <c r="RU23" s="11" t="s">
        <v>37</v>
      </c>
      <c r="RV23" s="11" t="s">
        <v>37</v>
      </c>
      <c r="RW23" s="11" t="s">
        <v>37</v>
      </c>
      <c r="RX23" s="11" t="s">
        <v>37</v>
      </c>
      <c r="SA23" s="11" t="s">
        <v>37</v>
      </c>
      <c r="SB23" s="11" t="s">
        <v>37</v>
      </c>
      <c r="SC23" s="13" t="s">
        <v>37</v>
      </c>
      <c r="SD23" s="11" t="s">
        <v>37</v>
      </c>
      <c r="SE23" s="11" t="s">
        <v>37</v>
      </c>
      <c r="SF23" s="13" t="s">
        <v>37</v>
      </c>
      <c r="SI23" s="12" t="s">
        <v>37</v>
      </c>
      <c r="SJ23" s="11" t="s">
        <v>37</v>
      </c>
      <c r="SK23" s="13" t="s">
        <v>37</v>
      </c>
      <c r="SM23" s="11" t="s">
        <v>37</v>
      </c>
      <c r="SN23" s="11" t="s">
        <v>37</v>
      </c>
      <c r="SO23" s="13" t="s">
        <v>37</v>
      </c>
      <c r="SU23" s="12" t="s">
        <v>37</v>
      </c>
      <c r="SV23" s="12" t="s">
        <v>37</v>
      </c>
      <c r="SW23" s="11" t="s">
        <v>37</v>
      </c>
      <c r="SX23" s="12" t="s">
        <v>37</v>
      </c>
      <c r="SY23" s="12" t="s">
        <v>37</v>
      </c>
      <c r="SZ23" s="11" t="s">
        <v>37</v>
      </c>
      <c r="TE23" s="12" t="s">
        <v>37</v>
      </c>
      <c r="TF23" s="12" t="s">
        <v>37</v>
      </c>
      <c r="TG23" s="11" t="s">
        <v>37</v>
      </c>
      <c r="TH23" s="12" t="s">
        <v>37</v>
      </c>
      <c r="TI23" s="12" t="s">
        <v>37</v>
      </c>
      <c r="TJ23" s="11" t="s">
        <v>37</v>
      </c>
      <c r="TO23" s="12" t="s">
        <v>37</v>
      </c>
      <c r="TP23" s="12" t="s">
        <v>37</v>
      </c>
      <c r="TQ23" s="11" t="s">
        <v>37</v>
      </c>
      <c r="TR23" s="12" t="s">
        <v>37</v>
      </c>
      <c r="TS23" s="12" t="s">
        <v>37</v>
      </c>
      <c r="TT23" s="11" t="s">
        <v>37</v>
      </c>
      <c r="TY23" s="12" t="s">
        <v>37</v>
      </c>
      <c r="TZ23" s="12" t="s">
        <v>37</v>
      </c>
      <c r="UA23" s="11" t="s">
        <v>37</v>
      </c>
      <c r="UB23" s="12" t="s">
        <v>37</v>
      </c>
      <c r="UC23" s="12" t="s">
        <v>37</v>
      </c>
      <c r="UD23" s="11" t="s">
        <v>37</v>
      </c>
      <c r="UI23" s="12" t="s">
        <v>37</v>
      </c>
      <c r="UJ23" s="12" t="s">
        <v>37</v>
      </c>
      <c r="UK23" s="13" t="s">
        <v>37</v>
      </c>
      <c r="UL23" s="12" t="s">
        <v>37</v>
      </c>
      <c r="UM23" s="12" t="s">
        <v>37</v>
      </c>
      <c r="UN23" s="13" t="s">
        <v>37</v>
      </c>
      <c r="UR23" s="12" t="s">
        <v>37</v>
      </c>
      <c r="US23" s="12" t="s">
        <v>37</v>
      </c>
      <c r="UT23" s="13" t="s">
        <v>37</v>
      </c>
      <c r="UU23" s="12" t="s">
        <v>37</v>
      </c>
      <c r="UV23" s="12" t="s">
        <v>37</v>
      </c>
      <c r="UW23" s="13" t="s">
        <v>37</v>
      </c>
      <c r="VB23" s="12" t="s">
        <v>37</v>
      </c>
      <c r="VC23" s="12" t="s">
        <v>37</v>
      </c>
      <c r="VD23" s="13" t="s">
        <v>37</v>
      </c>
      <c r="VE23" s="12" t="s">
        <v>37</v>
      </c>
      <c r="VF23" s="12" t="s">
        <v>37</v>
      </c>
      <c r="VG23" s="13" t="s">
        <v>37</v>
      </c>
      <c r="VI23" s="12" t="s">
        <v>37</v>
      </c>
      <c r="VJ23" s="12" t="s">
        <v>37</v>
      </c>
      <c r="VK23" s="13" t="s">
        <v>37</v>
      </c>
      <c r="VL23" s="12" t="s">
        <v>37</v>
      </c>
      <c r="VM23" s="12" t="s">
        <v>37</v>
      </c>
      <c r="VN23" s="13" t="s">
        <v>37</v>
      </c>
      <c r="VO23" s="12" t="s">
        <v>37</v>
      </c>
      <c r="VQ23" s="12" t="s">
        <v>37</v>
      </c>
      <c r="VR23" s="12" t="s">
        <v>37</v>
      </c>
      <c r="VS23" s="12" t="s">
        <v>37</v>
      </c>
      <c r="VT23" s="12" t="s">
        <v>37</v>
      </c>
      <c r="VU23" s="12" t="s">
        <v>37</v>
      </c>
      <c r="VV23" s="12" t="s">
        <v>37</v>
      </c>
      <c r="VW23" s="12"/>
      <c r="VX23" s="12"/>
      <c r="WA23" s="13" t="s">
        <v>37</v>
      </c>
      <c r="WB23" s="13" t="s">
        <v>37</v>
      </c>
      <c r="WC23" s="13" t="s">
        <v>37</v>
      </c>
      <c r="WD23" s="13" t="s">
        <v>37</v>
      </c>
      <c r="WE23" s="13" t="s">
        <v>37</v>
      </c>
      <c r="WF23" s="13" t="s">
        <v>37</v>
      </c>
    </row>
    <row r="24" spans="1:604" ht="18" customHeight="1" x14ac:dyDescent="0.3">
      <c r="A24" s="11">
        <v>5</v>
      </c>
      <c r="B24" s="12" t="s">
        <v>77</v>
      </c>
      <c r="C24" s="12" t="s">
        <v>26</v>
      </c>
      <c r="D24" s="12" t="s">
        <v>54</v>
      </c>
      <c r="E24" s="39" t="s">
        <v>37</v>
      </c>
      <c r="F24" s="14">
        <v>0</v>
      </c>
      <c r="G24" s="14">
        <v>0</v>
      </c>
      <c r="H24" s="12" t="s">
        <v>79</v>
      </c>
      <c r="I24" s="29">
        <v>48.064999999999998</v>
      </c>
      <c r="J24" s="29">
        <v>128.51</v>
      </c>
      <c r="K24" s="12" t="s">
        <v>688</v>
      </c>
      <c r="L24" s="12" t="s">
        <v>689</v>
      </c>
      <c r="M24" s="13" t="s">
        <v>48</v>
      </c>
      <c r="N24" s="14">
        <v>0.4</v>
      </c>
      <c r="O24" s="14">
        <v>630</v>
      </c>
      <c r="P24" s="14" t="s">
        <v>16</v>
      </c>
      <c r="Q24" s="75">
        <v>20</v>
      </c>
      <c r="R24" s="11" t="s">
        <v>999</v>
      </c>
      <c r="S24" s="12" t="s">
        <v>51</v>
      </c>
      <c r="T24" s="12" t="s">
        <v>876</v>
      </c>
      <c r="U24" s="12" t="s">
        <v>163</v>
      </c>
      <c r="V24" s="12" t="s">
        <v>275</v>
      </c>
      <c r="W24" s="23" t="s">
        <v>38</v>
      </c>
      <c r="X24" s="12" t="s">
        <v>280</v>
      </c>
      <c r="Y24" s="12" t="s">
        <v>68</v>
      </c>
      <c r="Z24" s="12" t="s">
        <v>37</v>
      </c>
      <c r="AB24" s="12" t="s">
        <v>37</v>
      </c>
      <c r="AE24" s="12" t="s">
        <v>37</v>
      </c>
      <c r="AH24" s="12" t="s">
        <v>37</v>
      </c>
      <c r="AK24" s="12" t="s">
        <v>37</v>
      </c>
      <c r="AL24" s="32" t="s">
        <v>485</v>
      </c>
      <c r="AM24" s="12" t="s">
        <v>317</v>
      </c>
      <c r="AN24" s="32" t="s">
        <v>878</v>
      </c>
      <c r="AO24" s="12" t="s">
        <v>37</v>
      </c>
      <c r="AP24" s="12" t="s">
        <v>602</v>
      </c>
      <c r="AQ24" s="12" t="s">
        <v>975</v>
      </c>
      <c r="AT24" s="12" t="s">
        <v>326</v>
      </c>
      <c r="AU24" s="12" t="s">
        <v>326</v>
      </c>
      <c r="AV24" s="13" t="s">
        <v>326</v>
      </c>
      <c r="AX24" s="12" t="s">
        <v>326</v>
      </c>
      <c r="AY24" s="12" t="s">
        <v>326</v>
      </c>
      <c r="AZ24" s="13" t="s">
        <v>326</v>
      </c>
      <c r="BE24" s="12" t="s">
        <v>326</v>
      </c>
      <c r="BF24" s="12" t="s">
        <v>326</v>
      </c>
      <c r="BG24" s="12" t="s">
        <v>326</v>
      </c>
      <c r="BI24" s="12" t="s">
        <v>326</v>
      </c>
      <c r="BJ24" s="12" t="s">
        <v>326</v>
      </c>
      <c r="BK24" s="12" t="s">
        <v>326</v>
      </c>
      <c r="BP24" s="12" t="s">
        <v>37</v>
      </c>
      <c r="BQ24" s="12" t="s">
        <v>37</v>
      </c>
      <c r="BR24" s="13" t="s">
        <v>37</v>
      </c>
      <c r="BT24" s="12" t="s">
        <v>37</v>
      </c>
      <c r="BU24" s="12" t="s">
        <v>37</v>
      </c>
      <c r="BV24" s="12" t="s">
        <v>37</v>
      </c>
      <c r="CA24" s="12" t="s">
        <v>37</v>
      </c>
      <c r="CB24" s="12" t="s">
        <v>37</v>
      </c>
      <c r="CC24" s="13" t="s">
        <v>37</v>
      </c>
      <c r="CE24" s="12" t="s">
        <v>37</v>
      </c>
      <c r="CF24" s="12" t="s">
        <v>37</v>
      </c>
      <c r="CG24" s="13" t="s">
        <v>37</v>
      </c>
      <c r="CI24" s="52"/>
      <c r="CJ24" s="12"/>
      <c r="CK24" s="73"/>
      <c r="CL24" s="73"/>
      <c r="CN24" s="12" t="s">
        <v>37</v>
      </c>
      <c r="CO24" s="12" t="s">
        <v>37</v>
      </c>
      <c r="CP24" s="13" t="s">
        <v>37</v>
      </c>
      <c r="CR24" s="12" t="s">
        <v>37</v>
      </c>
      <c r="CS24" s="12" t="s">
        <v>37</v>
      </c>
      <c r="CT24" s="13" t="s">
        <v>37</v>
      </c>
      <c r="CV24" s="52"/>
      <c r="CW24" s="52"/>
      <c r="CX24" s="73"/>
      <c r="CY24" s="73"/>
      <c r="DA24" s="12" t="s">
        <v>37</v>
      </c>
      <c r="DB24" s="12" t="s">
        <v>37</v>
      </c>
      <c r="DC24" s="13" t="s">
        <v>37</v>
      </c>
      <c r="DE24" s="12" t="s">
        <v>37</v>
      </c>
      <c r="DF24" s="12" t="s">
        <v>37</v>
      </c>
      <c r="DG24" s="13" t="s">
        <v>37</v>
      </c>
      <c r="DI24" s="52"/>
      <c r="DJ24" s="52"/>
      <c r="DK24" s="73"/>
      <c r="DL24" s="73"/>
      <c r="DM24" s="15" t="s">
        <v>47</v>
      </c>
      <c r="DN24" s="19">
        <f>44.4*150/1000*10^4/10^3/'[1]classes-1'!$I$6</f>
        <v>69.189192430383997</v>
      </c>
      <c r="DO24" s="12">
        <f t="shared" ref="DO24:DO25" si="68">DO23</f>
        <v>105.7403076411135</v>
      </c>
      <c r="DP24" s="13">
        <v>3</v>
      </c>
      <c r="DQ24" s="19">
        <f t="shared" si="60"/>
        <v>1.5282778122826928</v>
      </c>
      <c r="DR24" s="19">
        <f>-1.63*150/1000*10^4/10^3/'[1]classes-1'!$I$7</f>
        <v>-2.3432463592339285</v>
      </c>
      <c r="DS24" s="12">
        <f>SQRT((1/[2]Classes!$I$7)^2*(1.36*150/1000*10^4/10^3)^2+(-DR24/([2]Classes!$I$7)^2)^2*([2]Classes!$J$7)^2)</f>
        <v>2.1725078783546201</v>
      </c>
      <c r="DT24" s="13">
        <v>3</v>
      </c>
      <c r="DU24" s="19">
        <f t="shared" si="61"/>
        <v>0.92713592396869127</v>
      </c>
      <c r="DV24" s="19">
        <f t="shared" si="62"/>
        <v>-71.532438789617927</v>
      </c>
      <c r="DW24" s="12">
        <f t="shared" si="4"/>
        <v>74.785468008560457</v>
      </c>
      <c r="DX24" s="72">
        <f t="shared" si="66"/>
        <v>3728.5774835062793</v>
      </c>
      <c r="DY24" s="72">
        <f t="shared" si="67"/>
        <v>3728.5774835062798</v>
      </c>
      <c r="DZ24" s="15"/>
      <c r="EA24" s="52" t="s">
        <v>37</v>
      </c>
      <c r="EB24" s="52" t="s">
        <v>37</v>
      </c>
      <c r="EC24" s="73" t="s">
        <v>37</v>
      </c>
      <c r="ED24" s="52"/>
      <c r="EE24" s="52" t="s">
        <v>37</v>
      </c>
      <c r="EF24" s="52" t="s">
        <v>37</v>
      </c>
      <c r="EG24" s="15" t="s">
        <v>37</v>
      </c>
      <c r="EH24" s="52"/>
      <c r="EI24" s="52"/>
      <c r="EJ24" s="52"/>
      <c r="EK24" s="52"/>
      <c r="EL24" s="52"/>
      <c r="EM24" s="12" t="s">
        <v>39</v>
      </c>
      <c r="EN24" s="12">
        <v>-6.17</v>
      </c>
      <c r="EO24" s="20">
        <v>1.6</v>
      </c>
      <c r="EP24" s="13">
        <v>3</v>
      </c>
      <c r="EQ24" s="19">
        <f t="shared" si="29"/>
        <v>0.2593192868719611</v>
      </c>
      <c r="ER24" s="12">
        <v>-40</v>
      </c>
      <c r="ES24" s="20">
        <v>0</v>
      </c>
      <c r="ET24" s="13">
        <v>3</v>
      </c>
      <c r="EU24" s="19">
        <f t="shared" si="30"/>
        <v>0</v>
      </c>
      <c r="EV24" s="19">
        <f t="shared" si="63"/>
        <v>-33.83</v>
      </c>
      <c r="EW24" s="12">
        <f t="shared" si="55"/>
        <v>1.1313708498984762</v>
      </c>
      <c r="EX24" s="19">
        <f t="shared" si="56"/>
        <v>0.8533333333333335</v>
      </c>
      <c r="EY24" s="19">
        <f t="shared" si="57"/>
        <v>0.8533333333333335</v>
      </c>
      <c r="FB24" s="11" t="s">
        <v>37</v>
      </c>
      <c r="FC24" s="11" t="s">
        <v>37</v>
      </c>
      <c r="FD24" s="11" t="s">
        <v>37</v>
      </c>
      <c r="FE24" s="12" t="s">
        <v>37</v>
      </c>
      <c r="FF24" s="20" t="s">
        <v>37</v>
      </c>
      <c r="FG24" s="11" t="s">
        <v>37</v>
      </c>
      <c r="FI24" s="11" t="s">
        <v>37</v>
      </c>
      <c r="FJ24" s="11" t="s">
        <v>37</v>
      </c>
      <c r="FK24" s="11" t="s">
        <v>37</v>
      </c>
      <c r="FL24" s="13" t="s">
        <v>37</v>
      </c>
      <c r="FM24" s="11" t="s">
        <v>37</v>
      </c>
      <c r="FN24" s="11" t="s">
        <v>37</v>
      </c>
      <c r="FP24" s="11" t="s">
        <v>37</v>
      </c>
      <c r="FQ24" s="11" t="s">
        <v>37</v>
      </c>
      <c r="FR24" s="11" t="s">
        <v>37</v>
      </c>
      <c r="FS24" s="13" t="s">
        <v>37</v>
      </c>
      <c r="FT24" s="11" t="s">
        <v>37</v>
      </c>
      <c r="FU24" s="11" t="s">
        <v>37</v>
      </c>
      <c r="FW24" s="11" t="s">
        <v>37</v>
      </c>
      <c r="FX24" s="11" t="s">
        <v>37</v>
      </c>
      <c r="FY24" s="11" t="s">
        <v>37</v>
      </c>
      <c r="FZ24" s="13" t="s">
        <v>37</v>
      </c>
      <c r="GA24" s="11" t="s">
        <v>37</v>
      </c>
      <c r="GB24" s="11" t="s">
        <v>37</v>
      </c>
      <c r="GE24" s="11"/>
      <c r="GF24" s="11"/>
      <c r="GI24" s="11"/>
      <c r="GJ24" s="11"/>
      <c r="GO24" s="12" t="s">
        <v>660</v>
      </c>
      <c r="GP24" s="12" t="s">
        <v>330</v>
      </c>
      <c r="GQ24" s="20">
        <v>9.59</v>
      </c>
      <c r="GR24" s="20">
        <v>1.2</v>
      </c>
      <c r="GS24" s="13">
        <v>3</v>
      </c>
      <c r="GT24" s="19">
        <f t="shared" si="65"/>
        <v>0.12513034410844628</v>
      </c>
      <c r="GU24" s="20">
        <v>9.589041095890412</v>
      </c>
      <c r="GV24" s="20">
        <v>1.3120024848965537</v>
      </c>
      <c r="GW24" s="13">
        <v>3</v>
      </c>
      <c r="GX24" s="19">
        <f t="shared" si="64"/>
        <v>0.13682311628206917</v>
      </c>
      <c r="GY24" s="19">
        <f t="shared" si="59"/>
        <v>-9.9995000333213905E-5</v>
      </c>
      <c r="GZ24" s="19">
        <f t="shared" si="19"/>
        <v>1.14593893886116E-2</v>
      </c>
      <c r="HD24" s="11"/>
      <c r="HG24" s="11"/>
      <c r="HH24" s="11"/>
      <c r="IK24" s="12" t="s">
        <v>37</v>
      </c>
      <c r="IL24" s="12" t="s">
        <v>37</v>
      </c>
      <c r="IM24" s="13" t="s">
        <v>37</v>
      </c>
      <c r="IO24" s="12" t="s">
        <v>37</v>
      </c>
      <c r="IP24" s="12" t="s">
        <v>37</v>
      </c>
      <c r="IQ24" s="13" t="s">
        <v>37</v>
      </c>
      <c r="IW24" s="12" t="s">
        <v>37</v>
      </c>
      <c r="IX24" s="11" t="s">
        <v>37</v>
      </c>
      <c r="IY24" s="13" t="s">
        <v>37</v>
      </c>
      <c r="JA24" s="11" t="s">
        <v>37</v>
      </c>
      <c r="JB24" s="11" t="s">
        <v>37</v>
      </c>
      <c r="JC24" s="13" t="s">
        <v>37</v>
      </c>
      <c r="JH24" s="12" t="s">
        <v>37</v>
      </c>
      <c r="JI24" s="12" t="s">
        <v>37</v>
      </c>
      <c r="JJ24" s="13" t="s">
        <v>37</v>
      </c>
      <c r="JL24" s="12" t="s">
        <v>37</v>
      </c>
      <c r="JM24" s="12" t="s">
        <v>37</v>
      </c>
      <c r="JN24" s="12" t="s">
        <v>37</v>
      </c>
      <c r="JS24" s="12" t="s">
        <v>37</v>
      </c>
      <c r="JT24" s="12" t="s">
        <v>37</v>
      </c>
      <c r="JU24" s="13" t="s">
        <v>37</v>
      </c>
      <c r="JW24" s="12" t="s">
        <v>37</v>
      </c>
      <c r="JX24" s="12" t="s">
        <v>37</v>
      </c>
      <c r="JY24" s="12" t="s">
        <v>37</v>
      </c>
      <c r="KE24" s="11" t="s">
        <v>37</v>
      </c>
      <c r="KF24" s="11" t="s">
        <v>37</v>
      </c>
      <c r="KG24" s="13" t="s">
        <v>37</v>
      </c>
      <c r="KH24" s="11" t="s">
        <v>37</v>
      </c>
      <c r="KI24" s="11" t="s">
        <v>37</v>
      </c>
      <c r="KJ24" s="11" t="s">
        <v>37</v>
      </c>
      <c r="KM24" s="12" t="s">
        <v>37</v>
      </c>
      <c r="KN24" s="11" t="s">
        <v>37</v>
      </c>
      <c r="KO24" s="11" t="s">
        <v>37</v>
      </c>
      <c r="KQ24" s="11" t="s">
        <v>37</v>
      </c>
      <c r="KR24" s="11" t="s">
        <v>37</v>
      </c>
      <c r="KS24" s="13" t="s">
        <v>37</v>
      </c>
      <c r="KX24" s="11" t="s">
        <v>37</v>
      </c>
      <c r="KY24" s="11" t="s">
        <v>37</v>
      </c>
      <c r="KZ24" s="13" t="s">
        <v>37</v>
      </c>
      <c r="LB24" s="11" t="s">
        <v>37</v>
      </c>
      <c r="LC24" s="11" t="s">
        <v>37</v>
      </c>
      <c r="LD24" s="13" t="s">
        <v>37</v>
      </c>
      <c r="LI24" s="12" t="s">
        <v>37</v>
      </c>
      <c r="LJ24" s="12" t="s">
        <v>37</v>
      </c>
      <c r="LK24" s="12" t="s">
        <v>37</v>
      </c>
      <c r="LM24" s="12" t="s">
        <v>37</v>
      </c>
      <c r="LN24" s="12" t="s">
        <v>37</v>
      </c>
      <c r="LO24" s="12" t="s">
        <v>37</v>
      </c>
      <c r="LU24" s="12" t="s">
        <v>37</v>
      </c>
      <c r="LV24" s="12" t="s">
        <v>37</v>
      </c>
      <c r="LW24" s="13" t="s">
        <v>37</v>
      </c>
      <c r="LY24" s="12" t="s">
        <v>37</v>
      </c>
      <c r="LZ24" s="12" t="s">
        <v>37</v>
      </c>
      <c r="MA24" s="11" t="s">
        <v>37</v>
      </c>
      <c r="MF24" s="12" t="s">
        <v>37</v>
      </c>
      <c r="MG24" s="12" t="s">
        <v>37</v>
      </c>
      <c r="MH24" s="12" t="s">
        <v>37</v>
      </c>
      <c r="MJ24" s="12" t="s">
        <v>37</v>
      </c>
      <c r="MK24" s="12" t="s">
        <v>37</v>
      </c>
      <c r="ML24" s="12" t="s">
        <v>37</v>
      </c>
      <c r="MQ24" s="12" t="s">
        <v>37</v>
      </c>
      <c r="MR24" s="12" t="s">
        <v>37</v>
      </c>
      <c r="MS24" s="12" t="s">
        <v>37</v>
      </c>
      <c r="MU24" s="12" t="s">
        <v>37</v>
      </c>
      <c r="MV24" s="12" t="s">
        <v>37</v>
      </c>
      <c r="MW24" s="12" t="s">
        <v>37</v>
      </c>
      <c r="NC24" s="11" t="s">
        <v>37</v>
      </c>
      <c r="ND24" s="11" t="s">
        <v>37</v>
      </c>
      <c r="NE24" s="13" t="s">
        <v>37</v>
      </c>
      <c r="NG24" s="11" t="s">
        <v>37</v>
      </c>
      <c r="NH24" s="11" t="s">
        <v>37</v>
      </c>
      <c r="NI24" s="13" t="s">
        <v>37</v>
      </c>
      <c r="NO24" s="11" t="s">
        <v>37</v>
      </c>
      <c r="NP24" s="11" t="s">
        <v>37</v>
      </c>
      <c r="NQ24" s="13" t="s">
        <v>37</v>
      </c>
      <c r="NS24" s="11" t="s">
        <v>37</v>
      </c>
      <c r="NT24" s="11" t="s">
        <v>37</v>
      </c>
      <c r="NU24" s="13" t="s">
        <v>37</v>
      </c>
      <c r="OA24" s="11" t="s">
        <v>37</v>
      </c>
      <c r="OB24" s="11" t="s">
        <v>37</v>
      </c>
      <c r="OC24" s="13" t="s">
        <v>37</v>
      </c>
      <c r="OE24" s="11" t="s">
        <v>37</v>
      </c>
      <c r="OF24" s="11" t="s">
        <v>37</v>
      </c>
      <c r="OG24" s="13" t="s">
        <v>37</v>
      </c>
      <c r="OM24" s="11" t="s">
        <v>37</v>
      </c>
      <c r="ON24" s="11" t="s">
        <v>37</v>
      </c>
      <c r="OO24" s="11" t="s">
        <v>37</v>
      </c>
      <c r="OP24" s="11" t="s">
        <v>37</v>
      </c>
      <c r="OQ24" s="11" t="s">
        <v>37</v>
      </c>
      <c r="OR24" s="11" t="s">
        <v>37</v>
      </c>
      <c r="OW24" s="11" t="s">
        <v>37</v>
      </c>
      <c r="OX24" s="11" t="s">
        <v>37</v>
      </c>
      <c r="OY24" s="13" t="s">
        <v>37</v>
      </c>
      <c r="OZ24" s="11" t="s">
        <v>37</v>
      </c>
      <c r="PA24" s="11" t="s">
        <v>37</v>
      </c>
      <c r="PB24" s="13" t="s">
        <v>37</v>
      </c>
      <c r="PG24" s="11" t="s">
        <v>37</v>
      </c>
      <c r="PH24" s="11" t="s">
        <v>37</v>
      </c>
      <c r="PI24" s="13" t="s">
        <v>37</v>
      </c>
      <c r="PJ24" s="11" t="s">
        <v>37</v>
      </c>
      <c r="PK24" s="11" t="s">
        <v>37</v>
      </c>
      <c r="PL24" s="13" t="s">
        <v>37</v>
      </c>
      <c r="PQ24" s="11" t="s">
        <v>37</v>
      </c>
      <c r="PR24" s="11" t="s">
        <v>37</v>
      </c>
      <c r="PS24" s="13" t="s">
        <v>37</v>
      </c>
      <c r="PT24" s="11" t="s">
        <v>37</v>
      </c>
      <c r="PU24" s="11" t="s">
        <v>37</v>
      </c>
      <c r="PV24" s="13" t="s">
        <v>37</v>
      </c>
      <c r="PZ24" s="11" t="s">
        <v>37</v>
      </c>
      <c r="QA24" s="11" t="s">
        <v>37</v>
      </c>
      <c r="QB24" s="11" t="s">
        <v>37</v>
      </c>
      <c r="QD24" s="11" t="s">
        <v>37</v>
      </c>
      <c r="QE24" s="11" t="s">
        <v>37</v>
      </c>
      <c r="QF24" s="13" t="s">
        <v>37</v>
      </c>
      <c r="QK24" s="11" t="s">
        <v>37</v>
      </c>
      <c r="QL24" s="11" t="s">
        <v>37</v>
      </c>
      <c r="QM24" s="13" t="s">
        <v>37</v>
      </c>
      <c r="QN24" s="11" t="s">
        <v>37</v>
      </c>
      <c r="QO24" s="11" t="s">
        <v>37</v>
      </c>
      <c r="QP24" s="13" t="s">
        <v>37</v>
      </c>
      <c r="QU24" s="11" t="s">
        <v>37</v>
      </c>
      <c r="QV24" s="11" t="s">
        <v>37</v>
      </c>
      <c r="QW24" s="13" t="s">
        <v>37</v>
      </c>
      <c r="QX24" s="11" t="s">
        <v>37</v>
      </c>
      <c r="QY24" s="11" t="s">
        <v>37</v>
      </c>
      <c r="QZ24" s="13" t="s">
        <v>37</v>
      </c>
      <c r="RC24" s="12" t="s">
        <v>37</v>
      </c>
      <c r="RD24" s="12" t="s">
        <v>37</v>
      </c>
      <c r="RE24" s="13" t="s">
        <v>37</v>
      </c>
      <c r="RF24" s="12" t="s">
        <v>37</v>
      </c>
      <c r="RG24" s="12" t="s">
        <v>37</v>
      </c>
      <c r="RH24" s="13" t="s">
        <v>37</v>
      </c>
      <c r="RK24" s="11" t="s">
        <v>37</v>
      </c>
      <c r="RL24" s="11" t="s">
        <v>37</v>
      </c>
      <c r="RM24" s="11" t="s">
        <v>37</v>
      </c>
      <c r="RN24" s="11" t="s">
        <v>37</v>
      </c>
      <c r="RO24" s="11" t="s">
        <v>37</v>
      </c>
      <c r="RP24" s="11" t="s">
        <v>37</v>
      </c>
      <c r="RS24" s="11" t="s">
        <v>37</v>
      </c>
      <c r="RT24" s="11" t="s">
        <v>37</v>
      </c>
      <c r="RU24" s="11" t="s">
        <v>37</v>
      </c>
      <c r="RV24" s="11" t="s">
        <v>37</v>
      </c>
      <c r="RW24" s="11" t="s">
        <v>37</v>
      </c>
      <c r="RX24" s="11" t="s">
        <v>37</v>
      </c>
      <c r="SA24" s="11" t="s">
        <v>37</v>
      </c>
      <c r="SB24" s="11" t="s">
        <v>37</v>
      </c>
      <c r="SC24" s="13" t="s">
        <v>37</v>
      </c>
      <c r="SD24" s="11" t="s">
        <v>37</v>
      </c>
      <c r="SE24" s="11" t="s">
        <v>37</v>
      </c>
      <c r="SF24" s="13" t="s">
        <v>37</v>
      </c>
      <c r="SI24" s="12" t="s">
        <v>37</v>
      </c>
      <c r="SJ24" s="11" t="s">
        <v>37</v>
      </c>
      <c r="SK24" s="13" t="s">
        <v>37</v>
      </c>
      <c r="SM24" s="11" t="s">
        <v>37</v>
      </c>
      <c r="SN24" s="11" t="s">
        <v>37</v>
      </c>
      <c r="SO24" s="13" t="s">
        <v>37</v>
      </c>
      <c r="SU24" s="12" t="s">
        <v>37</v>
      </c>
      <c r="SV24" s="12" t="s">
        <v>37</v>
      </c>
      <c r="SW24" s="11" t="s">
        <v>37</v>
      </c>
      <c r="SX24" s="12" t="s">
        <v>37</v>
      </c>
      <c r="SY24" s="12" t="s">
        <v>37</v>
      </c>
      <c r="SZ24" s="11" t="s">
        <v>37</v>
      </c>
      <c r="TE24" s="12" t="s">
        <v>37</v>
      </c>
      <c r="TF24" s="12" t="s">
        <v>37</v>
      </c>
      <c r="TG24" s="11" t="s">
        <v>37</v>
      </c>
      <c r="TH24" s="12" t="s">
        <v>37</v>
      </c>
      <c r="TI24" s="12" t="s">
        <v>37</v>
      </c>
      <c r="TJ24" s="11" t="s">
        <v>37</v>
      </c>
      <c r="TO24" s="12" t="s">
        <v>37</v>
      </c>
      <c r="TP24" s="12" t="s">
        <v>37</v>
      </c>
      <c r="TQ24" s="11" t="s">
        <v>37</v>
      </c>
      <c r="TR24" s="12" t="s">
        <v>37</v>
      </c>
      <c r="TS24" s="12" t="s">
        <v>37</v>
      </c>
      <c r="TT24" s="11" t="s">
        <v>37</v>
      </c>
      <c r="TY24" s="12" t="s">
        <v>37</v>
      </c>
      <c r="TZ24" s="12" t="s">
        <v>37</v>
      </c>
      <c r="UA24" s="11" t="s">
        <v>37</v>
      </c>
      <c r="UB24" s="12" t="s">
        <v>37</v>
      </c>
      <c r="UC24" s="12" t="s">
        <v>37</v>
      </c>
      <c r="UD24" s="11" t="s">
        <v>37</v>
      </c>
      <c r="UI24" s="12" t="s">
        <v>37</v>
      </c>
      <c r="UJ24" s="12" t="s">
        <v>37</v>
      </c>
      <c r="UK24" s="13" t="s">
        <v>37</v>
      </c>
      <c r="UL24" s="12" t="s">
        <v>37</v>
      </c>
      <c r="UM24" s="12" t="s">
        <v>37</v>
      </c>
      <c r="UN24" s="13" t="s">
        <v>37</v>
      </c>
      <c r="UR24" s="12" t="s">
        <v>37</v>
      </c>
      <c r="US24" s="12" t="s">
        <v>37</v>
      </c>
      <c r="UT24" s="13" t="s">
        <v>37</v>
      </c>
      <c r="UU24" s="12" t="s">
        <v>37</v>
      </c>
      <c r="UV24" s="12" t="s">
        <v>37</v>
      </c>
      <c r="UW24" s="13" t="s">
        <v>37</v>
      </c>
      <c r="VB24" s="12" t="s">
        <v>37</v>
      </c>
      <c r="VC24" s="12" t="s">
        <v>37</v>
      </c>
      <c r="VD24" s="13" t="s">
        <v>37</v>
      </c>
      <c r="VE24" s="12" t="s">
        <v>37</v>
      </c>
      <c r="VF24" s="12" t="s">
        <v>37</v>
      </c>
      <c r="VG24" s="13" t="s">
        <v>37</v>
      </c>
      <c r="VI24" s="12" t="s">
        <v>37</v>
      </c>
      <c r="VJ24" s="12" t="s">
        <v>37</v>
      </c>
      <c r="VK24" s="13" t="s">
        <v>37</v>
      </c>
      <c r="VL24" s="12" t="s">
        <v>37</v>
      </c>
      <c r="VM24" s="12" t="s">
        <v>37</v>
      </c>
      <c r="VN24" s="13" t="s">
        <v>37</v>
      </c>
      <c r="VO24" s="12" t="s">
        <v>37</v>
      </c>
      <c r="VQ24" s="12" t="s">
        <v>37</v>
      </c>
      <c r="VR24" s="12" t="s">
        <v>37</v>
      </c>
      <c r="VS24" s="12" t="s">
        <v>37</v>
      </c>
      <c r="VT24" s="12" t="s">
        <v>37</v>
      </c>
      <c r="VU24" s="12" t="s">
        <v>37</v>
      </c>
      <c r="VV24" s="12" t="s">
        <v>37</v>
      </c>
      <c r="VW24" s="12"/>
      <c r="VX24" s="12"/>
      <c r="WA24" s="13" t="s">
        <v>37</v>
      </c>
      <c r="WB24" s="13" t="s">
        <v>37</v>
      </c>
      <c r="WC24" s="13" t="s">
        <v>37</v>
      </c>
      <c r="WD24" s="13" t="s">
        <v>37</v>
      </c>
      <c r="WE24" s="13" t="s">
        <v>37</v>
      </c>
      <c r="WF24" s="13" t="s">
        <v>37</v>
      </c>
    </row>
    <row r="25" spans="1:604" ht="18" customHeight="1" x14ac:dyDescent="0.3">
      <c r="A25" s="11">
        <v>5</v>
      </c>
      <c r="B25" s="12" t="s">
        <v>77</v>
      </c>
      <c r="C25" s="12" t="s">
        <v>26</v>
      </c>
      <c r="D25" s="12" t="s">
        <v>54</v>
      </c>
      <c r="E25" s="39" t="s">
        <v>37</v>
      </c>
      <c r="F25" s="14">
        <v>0</v>
      </c>
      <c r="G25" s="14">
        <v>0</v>
      </c>
      <c r="H25" s="12" t="s">
        <v>79</v>
      </c>
      <c r="I25" s="29">
        <v>48.064999999999998</v>
      </c>
      <c r="J25" s="29">
        <v>128.51</v>
      </c>
      <c r="K25" s="12" t="s">
        <v>688</v>
      </c>
      <c r="L25" s="12" t="s">
        <v>689</v>
      </c>
      <c r="M25" s="13" t="s">
        <v>48</v>
      </c>
      <c r="N25" s="14">
        <v>0.4</v>
      </c>
      <c r="O25" s="14">
        <v>630</v>
      </c>
      <c r="P25" s="14" t="s">
        <v>16</v>
      </c>
      <c r="Q25" s="75">
        <v>20</v>
      </c>
      <c r="R25" s="11" t="s">
        <v>1000</v>
      </c>
      <c r="S25" s="12" t="s">
        <v>51</v>
      </c>
      <c r="T25" s="12" t="s">
        <v>876</v>
      </c>
      <c r="U25" s="12" t="s">
        <v>334</v>
      </c>
      <c r="V25" s="12" t="s">
        <v>275</v>
      </c>
      <c r="W25" s="23" t="s">
        <v>38</v>
      </c>
      <c r="X25" s="12" t="s">
        <v>280</v>
      </c>
      <c r="Y25" s="12" t="s">
        <v>68</v>
      </c>
      <c r="Z25" s="12" t="s">
        <v>37</v>
      </c>
      <c r="AB25" s="12" t="s">
        <v>37</v>
      </c>
      <c r="AE25" s="12" t="s">
        <v>37</v>
      </c>
      <c r="AH25" s="12" t="s">
        <v>37</v>
      </c>
      <c r="AK25" s="12" t="s">
        <v>37</v>
      </c>
      <c r="AL25" s="32" t="s">
        <v>485</v>
      </c>
      <c r="AM25" s="12" t="s">
        <v>317</v>
      </c>
      <c r="AN25" s="32" t="s">
        <v>878</v>
      </c>
      <c r="AO25" s="12" t="s">
        <v>37</v>
      </c>
      <c r="AP25" s="12" t="s">
        <v>602</v>
      </c>
      <c r="AQ25" s="12" t="s">
        <v>975</v>
      </c>
      <c r="AT25" s="12" t="s">
        <v>326</v>
      </c>
      <c r="AU25" s="12" t="s">
        <v>326</v>
      </c>
      <c r="AV25" s="13" t="s">
        <v>326</v>
      </c>
      <c r="AX25" s="12" t="s">
        <v>326</v>
      </c>
      <c r="AY25" s="12" t="s">
        <v>326</v>
      </c>
      <c r="AZ25" s="13" t="s">
        <v>326</v>
      </c>
      <c r="BE25" s="12" t="s">
        <v>326</v>
      </c>
      <c r="BF25" s="12" t="s">
        <v>326</v>
      </c>
      <c r="BG25" s="12" t="s">
        <v>326</v>
      </c>
      <c r="BI25" s="12" t="s">
        <v>326</v>
      </c>
      <c r="BJ25" s="12" t="s">
        <v>326</v>
      </c>
      <c r="BK25" s="12" t="s">
        <v>326</v>
      </c>
      <c r="BP25" s="12" t="s">
        <v>37</v>
      </c>
      <c r="BQ25" s="12" t="s">
        <v>37</v>
      </c>
      <c r="BR25" s="13" t="s">
        <v>37</v>
      </c>
      <c r="BT25" s="12" t="s">
        <v>37</v>
      </c>
      <c r="BU25" s="12" t="s">
        <v>37</v>
      </c>
      <c r="BV25" s="12" t="s">
        <v>37</v>
      </c>
      <c r="CA25" s="12" t="s">
        <v>37</v>
      </c>
      <c r="CB25" s="12" t="s">
        <v>37</v>
      </c>
      <c r="CC25" s="13" t="s">
        <v>37</v>
      </c>
      <c r="CE25" s="12" t="s">
        <v>37</v>
      </c>
      <c r="CF25" s="12" t="s">
        <v>37</v>
      </c>
      <c r="CG25" s="13" t="s">
        <v>37</v>
      </c>
      <c r="CI25" s="52"/>
      <c r="CJ25" s="12"/>
      <c r="CK25" s="73"/>
      <c r="CL25" s="73"/>
      <c r="CN25" s="12" t="s">
        <v>37</v>
      </c>
      <c r="CO25" s="12" t="s">
        <v>37</v>
      </c>
      <c r="CP25" s="13" t="s">
        <v>37</v>
      </c>
      <c r="CR25" s="12" t="s">
        <v>37</v>
      </c>
      <c r="CS25" s="12" t="s">
        <v>37</v>
      </c>
      <c r="CT25" s="13" t="s">
        <v>37</v>
      </c>
      <c r="CV25" s="52"/>
      <c r="CW25" s="52"/>
      <c r="CX25" s="73"/>
      <c r="CY25" s="73"/>
      <c r="DA25" s="12" t="s">
        <v>37</v>
      </c>
      <c r="DB25" s="12" t="s">
        <v>37</v>
      </c>
      <c r="DC25" s="13" t="s">
        <v>37</v>
      </c>
      <c r="DE25" s="12" t="s">
        <v>37</v>
      </c>
      <c r="DF25" s="12" t="s">
        <v>37</v>
      </c>
      <c r="DG25" s="13" t="s">
        <v>37</v>
      </c>
      <c r="DI25" s="52"/>
      <c r="DJ25" s="52"/>
      <c r="DK25" s="73"/>
      <c r="DL25" s="73"/>
      <c r="DM25" s="15" t="s">
        <v>47</v>
      </c>
      <c r="DN25" s="19">
        <f>44.4*150/1000*10^4/10^3/'[1]classes-1'!$I$8</f>
        <v>69.189192430383997</v>
      </c>
      <c r="DO25" s="12">
        <f t="shared" si="68"/>
        <v>105.7403076411135</v>
      </c>
      <c r="DP25" s="13">
        <v>3</v>
      </c>
      <c r="DQ25" s="19">
        <f t="shared" si="60"/>
        <v>1.5282778122826928</v>
      </c>
      <c r="DR25" s="19">
        <f>1.37*150/1000*10^4/10^3/'[1]classes-1'!$I$7</f>
        <v>1.9694770013193148</v>
      </c>
      <c r="DS25" s="12">
        <f>SQRT((1/[2]Classes!$I$7)^2*(3.06*150/1000*10^4/10^3)^2+(-DR25/([2]Classes!$I$7)^2)^2*([2]Classes!$J$7)^2)</f>
        <v>4.4704507627185972</v>
      </c>
      <c r="DT25" s="13">
        <v>3</v>
      </c>
      <c r="DU25" s="19">
        <f t="shared" si="61"/>
        <v>2.2698669543863312</v>
      </c>
      <c r="DV25" s="19">
        <f t="shared" si="62"/>
        <v>-67.219715429064678</v>
      </c>
      <c r="DW25" s="12">
        <f t="shared" si="4"/>
        <v>74.836480375747286</v>
      </c>
      <c r="DX25" s="72">
        <f t="shared" si="66"/>
        <v>3733.6658633530724</v>
      </c>
      <c r="DY25" s="72">
        <f t="shared" si="67"/>
        <v>3733.6658633530724</v>
      </c>
      <c r="DZ25" s="15"/>
      <c r="EA25" s="52" t="s">
        <v>37</v>
      </c>
      <c r="EB25" s="52" t="s">
        <v>37</v>
      </c>
      <c r="EC25" s="73" t="s">
        <v>37</v>
      </c>
      <c r="ED25" s="52"/>
      <c r="EE25" s="52" t="s">
        <v>37</v>
      </c>
      <c r="EF25" s="52" t="s">
        <v>37</v>
      </c>
      <c r="EG25" s="15" t="s">
        <v>37</v>
      </c>
      <c r="EH25" s="52"/>
      <c r="EI25" s="52"/>
      <c r="EJ25" s="52"/>
      <c r="EK25" s="52"/>
      <c r="EL25" s="52"/>
      <c r="EM25" s="12" t="s">
        <v>39</v>
      </c>
      <c r="EN25" s="12">
        <v>-6.17</v>
      </c>
      <c r="EO25" s="20">
        <v>1.6</v>
      </c>
      <c r="EP25" s="13">
        <v>3</v>
      </c>
      <c r="EQ25" s="19">
        <f t="shared" si="29"/>
        <v>0.2593192868719611</v>
      </c>
      <c r="ER25" s="12">
        <v>-31.710108073744415</v>
      </c>
      <c r="ES25" s="20">
        <v>5.4726041682006299</v>
      </c>
      <c r="ET25" s="13">
        <v>3</v>
      </c>
      <c r="EU25" s="19">
        <f t="shared" si="30"/>
        <v>0.1725823247108981</v>
      </c>
      <c r="EV25" s="19">
        <f t="shared" si="63"/>
        <v>-25.540108073744413</v>
      </c>
      <c r="EW25" s="12">
        <f t="shared" si="55"/>
        <v>4.0317115708968387</v>
      </c>
      <c r="EX25" s="19">
        <f t="shared" si="56"/>
        <v>10.836465460602302</v>
      </c>
      <c r="EY25" s="19">
        <f t="shared" si="57"/>
        <v>10.836465460602303</v>
      </c>
      <c r="FB25" s="11" t="s">
        <v>37</v>
      </c>
      <c r="FC25" s="11" t="s">
        <v>37</v>
      </c>
      <c r="FD25" s="11" t="s">
        <v>37</v>
      </c>
      <c r="FE25" s="12" t="s">
        <v>37</v>
      </c>
      <c r="FF25" s="20" t="s">
        <v>37</v>
      </c>
      <c r="FG25" s="11" t="s">
        <v>37</v>
      </c>
      <c r="FI25" s="11" t="s">
        <v>37</v>
      </c>
      <c r="FJ25" s="11" t="s">
        <v>37</v>
      </c>
      <c r="FK25" s="11" t="s">
        <v>37</v>
      </c>
      <c r="FL25" s="13" t="s">
        <v>37</v>
      </c>
      <c r="FM25" s="11" t="s">
        <v>37</v>
      </c>
      <c r="FN25" s="11" t="s">
        <v>37</v>
      </c>
      <c r="FP25" s="11" t="s">
        <v>37</v>
      </c>
      <c r="FQ25" s="11" t="s">
        <v>37</v>
      </c>
      <c r="FR25" s="11" t="s">
        <v>37</v>
      </c>
      <c r="FS25" s="13" t="s">
        <v>37</v>
      </c>
      <c r="FT25" s="11" t="s">
        <v>37</v>
      </c>
      <c r="FU25" s="11" t="s">
        <v>37</v>
      </c>
      <c r="FW25" s="11" t="s">
        <v>37</v>
      </c>
      <c r="FX25" s="11" t="s">
        <v>37</v>
      </c>
      <c r="FY25" s="11" t="s">
        <v>37</v>
      </c>
      <c r="FZ25" s="13" t="s">
        <v>37</v>
      </c>
      <c r="GA25" s="11" t="s">
        <v>37</v>
      </c>
      <c r="GB25" s="11" t="s">
        <v>37</v>
      </c>
      <c r="GE25" s="11"/>
      <c r="GF25" s="11"/>
      <c r="GI25" s="11"/>
      <c r="GJ25" s="11"/>
      <c r="GO25" s="12" t="s">
        <v>660</v>
      </c>
      <c r="GP25" s="12" t="s">
        <v>330</v>
      </c>
      <c r="GQ25" s="20">
        <v>9.59</v>
      </c>
      <c r="GR25" s="20">
        <v>1.2</v>
      </c>
      <c r="GS25" s="13">
        <v>3</v>
      </c>
      <c r="GT25" s="19">
        <f t="shared" si="65"/>
        <v>0.12513034410844628</v>
      </c>
      <c r="GU25" s="20">
        <v>9.778714436248686</v>
      </c>
      <c r="GV25" s="20">
        <v>0.77285798394481986</v>
      </c>
      <c r="GW25" s="13">
        <v>3</v>
      </c>
      <c r="GX25" s="19">
        <f t="shared" si="64"/>
        <v>7.9034722711598476E-2</v>
      </c>
      <c r="GY25" s="19">
        <f t="shared" si="59"/>
        <v>1.9487138274971959E-2</v>
      </c>
      <c r="GZ25" s="19">
        <f t="shared" si="19"/>
        <v>7.3013634702658132E-3</v>
      </c>
      <c r="HD25" s="11"/>
      <c r="HG25" s="11"/>
      <c r="HH25" s="11"/>
      <c r="IK25" s="12" t="s">
        <v>37</v>
      </c>
      <c r="IL25" s="12" t="s">
        <v>37</v>
      </c>
      <c r="IM25" s="13" t="s">
        <v>37</v>
      </c>
      <c r="IO25" s="12" t="s">
        <v>37</v>
      </c>
      <c r="IP25" s="12" t="s">
        <v>37</v>
      </c>
      <c r="IQ25" s="13" t="s">
        <v>37</v>
      </c>
      <c r="IW25" s="12" t="s">
        <v>37</v>
      </c>
      <c r="IX25" s="11" t="s">
        <v>37</v>
      </c>
      <c r="IY25" s="13" t="s">
        <v>37</v>
      </c>
      <c r="JA25" s="11" t="s">
        <v>37</v>
      </c>
      <c r="JB25" s="11" t="s">
        <v>37</v>
      </c>
      <c r="JC25" s="13" t="s">
        <v>37</v>
      </c>
      <c r="JH25" s="12" t="s">
        <v>37</v>
      </c>
      <c r="JI25" s="12" t="s">
        <v>37</v>
      </c>
      <c r="JJ25" s="13" t="s">
        <v>37</v>
      </c>
      <c r="JL25" s="12" t="s">
        <v>37</v>
      </c>
      <c r="JM25" s="12" t="s">
        <v>37</v>
      </c>
      <c r="JN25" s="12" t="s">
        <v>37</v>
      </c>
      <c r="JS25" s="12" t="s">
        <v>37</v>
      </c>
      <c r="JT25" s="12" t="s">
        <v>37</v>
      </c>
      <c r="JU25" s="13" t="s">
        <v>37</v>
      </c>
      <c r="JW25" s="12" t="s">
        <v>37</v>
      </c>
      <c r="JX25" s="12" t="s">
        <v>37</v>
      </c>
      <c r="JY25" s="12" t="s">
        <v>37</v>
      </c>
      <c r="KE25" s="11" t="s">
        <v>37</v>
      </c>
      <c r="KF25" s="11" t="s">
        <v>37</v>
      </c>
      <c r="KG25" s="13" t="s">
        <v>37</v>
      </c>
      <c r="KH25" s="11" t="s">
        <v>37</v>
      </c>
      <c r="KI25" s="11" t="s">
        <v>37</v>
      </c>
      <c r="KJ25" s="11" t="s">
        <v>37</v>
      </c>
      <c r="KM25" s="12" t="s">
        <v>37</v>
      </c>
      <c r="KN25" s="11" t="s">
        <v>37</v>
      </c>
      <c r="KO25" s="11" t="s">
        <v>37</v>
      </c>
      <c r="KQ25" s="11" t="s">
        <v>37</v>
      </c>
      <c r="KR25" s="11" t="s">
        <v>37</v>
      </c>
      <c r="KS25" s="13" t="s">
        <v>37</v>
      </c>
      <c r="KX25" s="11" t="s">
        <v>37</v>
      </c>
      <c r="KY25" s="11" t="s">
        <v>37</v>
      </c>
      <c r="KZ25" s="13" t="s">
        <v>37</v>
      </c>
      <c r="LB25" s="11" t="s">
        <v>37</v>
      </c>
      <c r="LC25" s="11" t="s">
        <v>37</v>
      </c>
      <c r="LD25" s="13" t="s">
        <v>37</v>
      </c>
      <c r="LI25" s="12" t="s">
        <v>37</v>
      </c>
      <c r="LJ25" s="12" t="s">
        <v>37</v>
      </c>
      <c r="LK25" s="12" t="s">
        <v>37</v>
      </c>
      <c r="LM25" s="12" t="s">
        <v>37</v>
      </c>
      <c r="LN25" s="12" t="s">
        <v>37</v>
      </c>
      <c r="LO25" s="12" t="s">
        <v>37</v>
      </c>
      <c r="LU25" s="12" t="s">
        <v>37</v>
      </c>
      <c r="LV25" s="12" t="s">
        <v>37</v>
      </c>
      <c r="LW25" s="13" t="s">
        <v>37</v>
      </c>
      <c r="LY25" s="12" t="s">
        <v>37</v>
      </c>
      <c r="LZ25" s="12" t="s">
        <v>37</v>
      </c>
      <c r="MA25" s="11" t="s">
        <v>37</v>
      </c>
      <c r="MF25" s="12" t="s">
        <v>37</v>
      </c>
      <c r="MG25" s="12" t="s">
        <v>37</v>
      </c>
      <c r="MH25" s="12" t="s">
        <v>37</v>
      </c>
      <c r="MJ25" s="12" t="s">
        <v>37</v>
      </c>
      <c r="MK25" s="12" t="s">
        <v>37</v>
      </c>
      <c r="ML25" s="12" t="s">
        <v>37</v>
      </c>
      <c r="MQ25" s="12" t="s">
        <v>37</v>
      </c>
      <c r="MR25" s="12" t="s">
        <v>37</v>
      </c>
      <c r="MS25" s="12" t="s">
        <v>37</v>
      </c>
      <c r="MU25" s="12" t="s">
        <v>37</v>
      </c>
      <c r="MV25" s="12" t="s">
        <v>37</v>
      </c>
      <c r="MW25" s="12" t="s">
        <v>37</v>
      </c>
      <c r="NC25" s="11" t="s">
        <v>37</v>
      </c>
      <c r="ND25" s="11" t="s">
        <v>37</v>
      </c>
      <c r="NE25" s="13" t="s">
        <v>37</v>
      </c>
      <c r="NG25" s="11" t="s">
        <v>37</v>
      </c>
      <c r="NH25" s="11" t="s">
        <v>37</v>
      </c>
      <c r="NI25" s="13" t="s">
        <v>37</v>
      </c>
      <c r="NO25" s="11" t="s">
        <v>37</v>
      </c>
      <c r="NP25" s="11" t="s">
        <v>37</v>
      </c>
      <c r="NQ25" s="13" t="s">
        <v>37</v>
      </c>
      <c r="NS25" s="11" t="s">
        <v>37</v>
      </c>
      <c r="NT25" s="11" t="s">
        <v>37</v>
      </c>
      <c r="NU25" s="13" t="s">
        <v>37</v>
      </c>
      <c r="OA25" s="11" t="s">
        <v>37</v>
      </c>
      <c r="OB25" s="11" t="s">
        <v>37</v>
      </c>
      <c r="OC25" s="13" t="s">
        <v>37</v>
      </c>
      <c r="OE25" s="11" t="s">
        <v>37</v>
      </c>
      <c r="OF25" s="11" t="s">
        <v>37</v>
      </c>
      <c r="OG25" s="13" t="s">
        <v>37</v>
      </c>
      <c r="OM25" s="11" t="s">
        <v>37</v>
      </c>
      <c r="ON25" s="11" t="s">
        <v>37</v>
      </c>
      <c r="OO25" s="11" t="s">
        <v>37</v>
      </c>
      <c r="OP25" s="11" t="s">
        <v>37</v>
      </c>
      <c r="OQ25" s="11" t="s">
        <v>37</v>
      </c>
      <c r="OR25" s="11" t="s">
        <v>37</v>
      </c>
      <c r="OW25" s="11" t="s">
        <v>37</v>
      </c>
      <c r="OX25" s="11" t="s">
        <v>37</v>
      </c>
      <c r="OY25" s="13" t="s">
        <v>37</v>
      </c>
      <c r="OZ25" s="11" t="s">
        <v>37</v>
      </c>
      <c r="PA25" s="11" t="s">
        <v>37</v>
      </c>
      <c r="PB25" s="13" t="s">
        <v>37</v>
      </c>
      <c r="PG25" s="11" t="s">
        <v>37</v>
      </c>
      <c r="PH25" s="11" t="s">
        <v>37</v>
      </c>
      <c r="PI25" s="13" t="s">
        <v>37</v>
      </c>
      <c r="PJ25" s="11" t="s">
        <v>37</v>
      </c>
      <c r="PK25" s="11" t="s">
        <v>37</v>
      </c>
      <c r="PL25" s="13" t="s">
        <v>37</v>
      </c>
      <c r="PQ25" s="11" t="s">
        <v>37</v>
      </c>
      <c r="PR25" s="11" t="s">
        <v>37</v>
      </c>
      <c r="PS25" s="13" t="s">
        <v>37</v>
      </c>
      <c r="PT25" s="11" t="s">
        <v>37</v>
      </c>
      <c r="PU25" s="11" t="s">
        <v>37</v>
      </c>
      <c r="PV25" s="13" t="s">
        <v>37</v>
      </c>
      <c r="PZ25" s="11" t="s">
        <v>37</v>
      </c>
      <c r="QA25" s="11" t="s">
        <v>37</v>
      </c>
      <c r="QB25" s="11" t="s">
        <v>37</v>
      </c>
      <c r="QD25" s="11" t="s">
        <v>37</v>
      </c>
      <c r="QE25" s="11" t="s">
        <v>37</v>
      </c>
      <c r="QF25" s="13" t="s">
        <v>37</v>
      </c>
      <c r="QK25" s="11" t="s">
        <v>37</v>
      </c>
      <c r="QL25" s="11" t="s">
        <v>37</v>
      </c>
      <c r="QM25" s="13" t="s">
        <v>37</v>
      </c>
      <c r="QN25" s="11" t="s">
        <v>37</v>
      </c>
      <c r="QO25" s="11" t="s">
        <v>37</v>
      </c>
      <c r="QP25" s="13" t="s">
        <v>37</v>
      </c>
      <c r="QU25" s="11" t="s">
        <v>37</v>
      </c>
      <c r="QV25" s="11" t="s">
        <v>37</v>
      </c>
      <c r="QW25" s="13" t="s">
        <v>37</v>
      </c>
      <c r="QX25" s="11" t="s">
        <v>37</v>
      </c>
      <c r="QY25" s="11" t="s">
        <v>37</v>
      </c>
      <c r="QZ25" s="13" t="s">
        <v>37</v>
      </c>
      <c r="RC25" s="12" t="s">
        <v>37</v>
      </c>
      <c r="RD25" s="12" t="s">
        <v>37</v>
      </c>
      <c r="RE25" s="13" t="s">
        <v>37</v>
      </c>
      <c r="RF25" s="12" t="s">
        <v>37</v>
      </c>
      <c r="RG25" s="12" t="s">
        <v>37</v>
      </c>
      <c r="RH25" s="13" t="s">
        <v>37</v>
      </c>
      <c r="RK25" s="11" t="s">
        <v>37</v>
      </c>
      <c r="RL25" s="11" t="s">
        <v>37</v>
      </c>
      <c r="RM25" s="11" t="s">
        <v>37</v>
      </c>
      <c r="RN25" s="11" t="s">
        <v>37</v>
      </c>
      <c r="RO25" s="11" t="s">
        <v>37</v>
      </c>
      <c r="RP25" s="11" t="s">
        <v>37</v>
      </c>
      <c r="RS25" s="11" t="s">
        <v>37</v>
      </c>
      <c r="RT25" s="11" t="s">
        <v>37</v>
      </c>
      <c r="RU25" s="11" t="s">
        <v>37</v>
      </c>
      <c r="RV25" s="11" t="s">
        <v>37</v>
      </c>
      <c r="RW25" s="11" t="s">
        <v>37</v>
      </c>
      <c r="RX25" s="11" t="s">
        <v>37</v>
      </c>
      <c r="SA25" s="11" t="s">
        <v>37</v>
      </c>
      <c r="SB25" s="11" t="s">
        <v>37</v>
      </c>
      <c r="SC25" s="13" t="s">
        <v>37</v>
      </c>
      <c r="SD25" s="11" t="s">
        <v>37</v>
      </c>
      <c r="SE25" s="11" t="s">
        <v>37</v>
      </c>
      <c r="SF25" s="13" t="s">
        <v>37</v>
      </c>
      <c r="SI25" s="12" t="s">
        <v>37</v>
      </c>
      <c r="SJ25" s="11" t="s">
        <v>37</v>
      </c>
      <c r="SK25" s="13" t="s">
        <v>37</v>
      </c>
      <c r="SM25" s="11" t="s">
        <v>37</v>
      </c>
      <c r="SN25" s="11" t="s">
        <v>37</v>
      </c>
      <c r="SO25" s="13" t="s">
        <v>37</v>
      </c>
      <c r="SU25" s="12" t="s">
        <v>37</v>
      </c>
      <c r="SV25" s="12" t="s">
        <v>37</v>
      </c>
      <c r="SW25" s="11" t="s">
        <v>37</v>
      </c>
      <c r="SX25" s="12" t="s">
        <v>37</v>
      </c>
      <c r="SY25" s="12" t="s">
        <v>37</v>
      </c>
      <c r="SZ25" s="11" t="s">
        <v>37</v>
      </c>
      <c r="TE25" s="12" t="s">
        <v>37</v>
      </c>
      <c r="TF25" s="12" t="s">
        <v>37</v>
      </c>
      <c r="TG25" s="11" t="s">
        <v>37</v>
      </c>
      <c r="TH25" s="12" t="s">
        <v>37</v>
      </c>
      <c r="TI25" s="12" t="s">
        <v>37</v>
      </c>
      <c r="TJ25" s="11" t="s">
        <v>37</v>
      </c>
      <c r="TO25" s="12" t="s">
        <v>37</v>
      </c>
      <c r="TP25" s="12" t="s">
        <v>37</v>
      </c>
      <c r="TQ25" s="11" t="s">
        <v>37</v>
      </c>
      <c r="TR25" s="12" t="s">
        <v>37</v>
      </c>
      <c r="TS25" s="12" t="s">
        <v>37</v>
      </c>
      <c r="TT25" s="11" t="s">
        <v>37</v>
      </c>
      <c r="TY25" s="12" t="s">
        <v>37</v>
      </c>
      <c r="TZ25" s="12" t="s">
        <v>37</v>
      </c>
      <c r="UA25" s="11" t="s">
        <v>37</v>
      </c>
      <c r="UB25" s="12" t="s">
        <v>37</v>
      </c>
      <c r="UC25" s="12" t="s">
        <v>37</v>
      </c>
      <c r="UD25" s="11" t="s">
        <v>37</v>
      </c>
      <c r="UI25" s="12" t="s">
        <v>37</v>
      </c>
      <c r="UJ25" s="12" t="s">
        <v>37</v>
      </c>
      <c r="UK25" s="13" t="s">
        <v>37</v>
      </c>
      <c r="UL25" s="12" t="s">
        <v>37</v>
      </c>
      <c r="UM25" s="12" t="s">
        <v>37</v>
      </c>
      <c r="UN25" s="13" t="s">
        <v>37</v>
      </c>
      <c r="UR25" s="12" t="s">
        <v>37</v>
      </c>
      <c r="US25" s="12" t="s">
        <v>37</v>
      </c>
      <c r="UT25" s="13" t="s">
        <v>37</v>
      </c>
      <c r="UU25" s="12" t="s">
        <v>37</v>
      </c>
      <c r="UV25" s="12" t="s">
        <v>37</v>
      </c>
      <c r="UW25" s="13" t="s">
        <v>37</v>
      </c>
      <c r="VB25" s="12" t="s">
        <v>37</v>
      </c>
      <c r="VC25" s="12" t="s">
        <v>37</v>
      </c>
      <c r="VD25" s="13" t="s">
        <v>37</v>
      </c>
      <c r="VE25" s="12" t="s">
        <v>37</v>
      </c>
      <c r="VF25" s="12" t="s">
        <v>37</v>
      </c>
      <c r="VG25" s="13" t="s">
        <v>37</v>
      </c>
      <c r="VI25" s="12" t="s">
        <v>37</v>
      </c>
      <c r="VJ25" s="12" t="s">
        <v>37</v>
      </c>
      <c r="VK25" s="13" t="s">
        <v>37</v>
      </c>
      <c r="VL25" s="12" t="s">
        <v>37</v>
      </c>
      <c r="VM25" s="12" t="s">
        <v>37</v>
      </c>
      <c r="VN25" s="13" t="s">
        <v>37</v>
      </c>
      <c r="VO25" s="12" t="s">
        <v>37</v>
      </c>
      <c r="VQ25" s="12" t="s">
        <v>37</v>
      </c>
      <c r="VR25" s="12" t="s">
        <v>37</v>
      </c>
      <c r="VS25" s="12" t="s">
        <v>37</v>
      </c>
      <c r="VT25" s="12" t="s">
        <v>37</v>
      </c>
      <c r="VU25" s="12" t="s">
        <v>37</v>
      </c>
      <c r="VV25" s="12" t="s">
        <v>37</v>
      </c>
      <c r="VW25" s="12"/>
      <c r="VX25" s="12"/>
      <c r="WA25" s="13" t="s">
        <v>37</v>
      </c>
      <c r="WB25" s="13" t="s">
        <v>37</v>
      </c>
      <c r="WC25" s="13" t="s">
        <v>37</v>
      </c>
      <c r="WD25" s="13" t="s">
        <v>37</v>
      </c>
      <c r="WE25" s="13" t="s">
        <v>37</v>
      </c>
      <c r="WF25" s="13" t="s">
        <v>37</v>
      </c>
    </row>
    <row r="26" spans="1:604" ht="18" customHeight="1" x14ac:dyDescent="0.3">
      <c r="A26" s="11">
        <v>5</v>
      </c>
      <c r="B26" s="12" t="s">
        <v>77</v>
      </c>
      <c r="C26" s="12" t="s">
        <v>26</v>
      </c>
      <c r="D26" s="12" t="s">
        <v>54</v>
      </c>
      <c r="E26" s="39" t="s">
        <v>37</v>
      </c>
      <c r="F26" s="14">
        <v>0</v>
      </c>
      <c r="G26" s="14">
        <v>0</v>
      </c>
      <c r="H26" s="12" t="s">
        <v>79</v>
      </c>
      <c r="I26" s="29">
        <v>48.064999999999998</v>
      </c>
      <c r="J26" s="29">
        <v>128.51</v>
      </c>
      <c r="K26" s="12" t="s">
        <v>688</v>
      </c>
      <c r="L26" s="12" t="s">
        <v>689</v>
      </c>
      <c r="M26" s="13" t="s">
        <v>48</v>
      </c>
      <c r="N26" s="14">
        <v>0.4</v>
      </c>
      <c r="O26" s="14">
        <v>630</v>
      </c>
      <c r="P26" s="14" t="s">
        <v>16</v>
      </c>
      <c r="Q26" s="75">
        <v>10</v>
      </c>
      <c r="R26" s="11" t="s">
        <v>1000</v>
      </c>
      <c r="S26" s="12" t="s">
        <v>51</v>
      </c>
      <c r="T26" s="12" t="s">
        <v>876</v>
      </c>
      <c r="U26" s="12" t="s">
        <v>163</v>
      </c>
      <c r="V26" s="12" t="s">
        <v>275</v>
      </c>
      <c r="W26" s="23" t="s">
        <v>490</v>
      </c>
      <c r="X26" s="12" t="s">
        <v>282</v>
      </c>
      <c r="Y26" s="12" t="s">
        <v>68</v>
      </c>
      <c r="Z26" s="12" t="s">
        <v>37</v>
      </c>
      <c r="AB26" s="12" t="s">
        <v>37</v>
      </c>
      <c r="AE26" s="12" t="s">
        <v>37</v>
      </c>
      <c r="AH26" s="12" t="s">
        <v>37</v>
      </c>
      <c r="AK26" s="12" t="s">
        <v>37</v>
      </c>
      <c r="AL26" s="32" t="s">
        <v>485</v>
      </c>
      <c r="AM26" s="12" t="s">
        <v>317</v>
      </c>
      <c r="AN26" s="32" t="s">
        <v>878</v>
      </c>
      <c r="AO26" s="12" t="s">
        <v>37</v>
      </c>
      <c r="AP26" s="12" t="s">
        <v>602</v>
      </c>
      <c r="AQ26" s="12" t="s">
        <v>975</v>
      </c>
      <c r="AT26" s="12" t="s">
        <v>326</v>
      </c>
      <c r="AU26" s="12" t="s">
        <v>326</v>
      </c>
      <c r="AV26" s="13" t="s">
        <v>326</v>
      </c>
      <c r="AX26" s="12" t="s">
        <v>326</v>
      </c>
      <c r="AY26" s="12" t="s">
        <v>326</v>
      </c>
      <c r="AZ26" s="13" t="s">
        <v>326</v>
      </c>
      <c r="BE26" s="12" t="s">
        <v>326</v>
      </c>
      <c r="BF26" s="12" t="s">
        <v>326</v>
      </c>
      <c r="BG26" s="12" t="s">
        <v>326</v>
      </c>
      <c r="BI26" s="12" t="s">
        <v>326</v>
      </c>
      <c r="BJ26" s="12" t="s">
        <v>326</v>
      </c>
      <c r="BK26" s="12" t="s">
        <v>326</v>
      </c>
      <c r="BP26" s="12" t="s">
        <v>37</v>
      </c>
      <c r="BQ26" s="12" t="s">
        <v>37</v>
      </c>
      <c r="BR26" s="13" t="s">
        <v>37</v>
      </c>
      <c r="BT26" s="12" t="s">
        <v>37</v>
      </c>
      <c r="BU26" s="12" t="s">
        <v>37</v>
      </c>
      <c r="BV26" s="12" t="s">
        <v>37</v>
      </c>
      <c r="CA26" s="12" t="s">
        <v>37</v>
      </c>
      <c r="CB26" s="12" t="s">
        <v>37</v>
      </c>
      <c r="CC26" s="13" t="s">
        <v>37</v>
      </c>
      <c r="CE26" s="12" t="s">
        <v>37</v>
      </c>
      <c r="CF26" s="12" t="s">
        <v>37</v>
      </c>
      <c r="CG26" s="13" t="s">
        <v>37</v>
      </c>
      <c r="CI26" s="52"/>
      <c r="CJ26" s="12"/>
      <c r="CK26" s="73"/>
      <c r="CL26" s="73"/>
      <c r="CN26" s="12" t="s">
        <v>37</v>
      </c>
      <c r="CO26" s="12" t="s">
        <v>37</v>
      </c>
      <c r="CP26" s="13" t="s">
        <v>37</v>
      </c>
      <c r="CR26" s="12" t="s">
        <v>37</v>
      </c>
      <c r="CS26" s="12" t="s">
        <v>37</v>
      </c>
      <c r="CT26" s="13" t="s">
        <v>37</v>
      </c>
      <c r="CV26" s="52"/>
      <c r="CW26" s="52"/>
      <c r="CX26" s="73"/>
      <c r="CY26" s="73"/>
      <c r="DA26" s="12" t="s">
        <v>37</v>
      </c>
      <c r="DB26" s="12" t="s">
        <v>37</v>
      </c>
      <c r="DC26" s="13" t="s">
        <v>37</v>
      </c>
      <c r="DE26" s="12" t="s">
        <v>37</v>
      </c>
      <c r="DF26" s="12" t="s">
        <v>37</v>
      </c>
      <c r="DG26" s="13" t="s">
        <v>37</v>
      </c>
      <c r="DI26" s="52"/>
      <c r="DJ26" s="52"/>
      <c r="DK26" s="73"/>
      <c r="DL26" s="73"/>
      <c r="DM26" s="15" t="s">
        <v>47</v>
      </c>
      <c r="DN26" s="19">
        <f>2.16*150/1000*10^4/10^3/'[1]classes-1'!$I$14</f>
        <v>3.3518255889605926</v>
      </c>
      <c r="DO26" s="12">
        <f>SQRT((1/[2]Classes!$I$14)^2*(2.06*150/1000*10^4/10^3)^2+(-DN26/([2]Classes!$I$14)^2)^2*([2]Classes!$J$14)^2)</f>
        <v>3.2126569880661773</v>
      </c>
      <c r="DP26" s="13">
        <v>3</v>
      </c>
      <c r="DQ26" s="19">
        <f t="shared" si="60"/>
        <v>0.95847976059590512</v>
      </c>
      <c r="DR26" s="19">
        <f>0.14*150/1000*10^4/10^3/'[1]classes-1'!$I$16</f>
        <v>0.1571071677160551</v>
      </c>
      <c r="DS26" s="12">
        <f>SQRT((1/[2]Classes!$I$16)^2*(2.62*150/1000*10^4/10^3)^2+(-DR26/([2]Classes!$I$16)^2)^2*([2]Classes!$J$16)^2)</f>
        <v>2.9406674446616683</v>
      </c>
      <c r="DT26" s="13">
        <v>3</v>
      </c>
      <c r="DU26" s="19">
        <f t="shared" si="61"/>
        <v>18.717589320790459</v>
      </c>
      <c r="DV26" s="19">
        <f t="shared" si="62"/>
        <v>-3.1947184212445374</v>
      </c>
      <c r="DW26" s="12">
        <f t="shared" si="4"/>
        <v>3.079666373413152</v>
      </c>
      <c r="DX26" s="72">
        <f t="shared" si="66"/>
        <v>6.3228966476878101</v>
      </c>
      <c r="DY26" s="72">
        <f t="shared" si="67"/>
        <v>6.3228966476878092</v>
      </c>
      <c r="DZ26" s="15"/>
      <c r="EA26" s="52" t="s">
        <v>37</v>
      </c>
      <c r="EB26" s="52" t="s">
        <v>37</v>
      </c>
      <c r="EC26" s="73" t="s">
        <v>37</v>
      </c>
      <c r="ED26" s="52"/>
      <c r="EE26" s="52" t="s">
        <v>37</v>
      </c>
      <c r="EF26" s="52" t="s">
        <v>37</v>
      </c>
      <c r="EG26" s="15" t="s">
        <v>37</v>
      </c>
      <c r="EH26" s="52"/>
      <c r="EI26" s="52"/>
      <c r="EJ26" s="52"/>
      <c r="EK26" s="52"/>
      <c r="EL26" s="52"/>
      <c r="EM26" s="12" t="s">
        <v>39</v>
      </c>
      <c r="EN26" s="12">
        <v>-20.329999999999998</v>
      </c>
      <c r="EO26" s="12">
        <v>2.57</v>
      </c>
      <c r="EP26" s="13">
        <v>3</v>
      </c>
      <c r="EQ26" s="19">
        <f t="shared" si="29"/>
        <v>0.12641416625676341</v>
      </c>
      <c r="ER26" s="12">
        <v>-40</v>
      </c>
      <c r="ES26" s="20">
        <v>0</v>
      </c>
      <c r="ET26" s="13">
        <v>3</v>
      </c>
      <c r="EU26" s="19">
        <f t="shared" si="30"/>
        <v>0</v>
      </c>
      <c r="EV26" s="19">
        <f t="shared" si="63"/>
        <v>-19.670000000000002</v>
      </c>
      <c r="EW26" s="12">
        <f t="shared" si="55"/>
        <v>1.817264427649427</v>
      </c>
      <c r="EX26" s="19">
        <f t="shared" si="56"/>
        <v>2.2016333333333327</v>
      </c>
      <c r="EY26" s="19">
        <f t="shared" si="57"/>
        <v>2.2016333333333331</v>
      </c>
      <c r="FB26" s="11" t="s">
        <v>37</v>
      </c>
      <c r="FC26" s="11" t="s">
        <v>37</v>
      </c>
      <c r="FD26" s="11" t="s">
        <v>37</v>
      </c>
      <c r="FE26" s="12" t="s">
        <v>37</v>
      </c>
      <c r="FF26" s="20" t="s">
        <v>37</v>
      </c>
      <c r="FG26" s="11" t="s">
        <v>37</v>
      </c>
      <c r="FI26" s="11" t="s">
        <v>37</v>
      </c>
      <c r="FJ26" s="11" t="s">
        <v>37</v>
      </c>
      <c r="FK26" s="11" t="s">
        <v>37</v>
      </c>
      <c r="FL26" s="13" t="s">
        <v>37</v>
      </c>
      <c r="FM26" s="11" t="s">
        <v>37</v>
      </c>
      <c r="FN26" s="11" t="s">
        <v>37</v>
      </c>
      <c r="FP26" s="11" t="s">
        <v>37</v>
      </c>
      <c r="FQ26" s="11" t="s">
        <v>37</v>
      </c>
      <c r="FR26" s="11" t="s">
        <v>37</v>
      </c>
      <c r="FS26" s="13" t="s">
        <v>37</v>
      </c>
      <c r="FT26" s="11" t="s">
        <v>37</v>
      </c>
      <c r="FU26" s="11" t="s">
        <v>37</v>
      </c>
      <c r="FW26" s="11" t="s">
        <v>37</v>
      </c>
      <c r="FX26" s="11" t="s">
        <v>37</v>
      </c>
      <c r="FY26" s="11" t="s">
        <v>37</v>
      </c>
      <c r="FZ26" s="13" t="s">
        <v>37</v>
      </c>
      <c r="GA26" s="11" t="s">
        <v>37</v>
      </c>
      <c r="GB26" s="11" t="s">
        <v>37</v>
      </c>
      <c r="GE26" s="11"/>
      <c r="GF26" s="11"/>
      <c r="GI26" s="11"/>
      <c r="GJ26" s="11"/>
      <c r="GO26" s="12" t="s">
        <v>660</v>
      </c>
      <c r="GP26" s="12" t="s">
        <v>330</v>
      </c>
      <c r="GQ26" s="20">
        <v>8.74</v>
      </c>
      <c r="GR26" s="20">
        <v>1.19</v>
      </c>
      <c r="GS26" s="13">
        <v>3</v>
      </c>
      <c r="GT26" s="19">
        <f t="shared" si="65"/>
        <v>0.13615560640732263</v>
      </c>
      <c r="GU26" s="20">
        <v>10.98630136986303</v>
      </c>
      <c r="GV26" s="20">
        <v>1.5903985699138714</v>
      </c>
      <c r="GW26" s="13">
        <v>3</v>
      </c>
      <c r="GX26" s="19">
        <f t="shared" si="64"/>
        <v>0.14476196459315765</v>
      </c>
      <c r="GY26" s="19">
        <f t="shared" si="59"/>
        <v>0.22873897705068069</v>
      </c>
      <c r="GZ26" s="19">
        <f t="shared" si="19"/>
        <v>1.316479184967213E-2</v>
      </c>
      <c r="HD26" s="11"/>
      <c r="HG26" s="11"/>
      <c r="HH26" s="11"/>
      <c r="IK26" s="12" t="s">
        <v>37</v>
      </c>
      <c r="IL26" s="12" t="s">
        <v>37</v>
      </c>
      <c r="IM26" s="13" t="s">
        <v>37</v>
      </c>
      <c r="IO26" s="12" t="s">
        <v>37</v>
      </c>
      <c r="IP26" s="12" t="s">
        <v>37</v>
      </c>
      <c r="IQ26" s="13" t="s">
        <v>37</v>
      </c>
      <c r="IW26" s="12" t="s">
        <v>37</v>
      </c>
      <c r="IX26" s="11" t="s">
        <v>37</v>
      </c>
      <c r="IY26" s="13" t="s">
        <v>37</v>
      </c>
      <c r="JA26" s="11" t="s">
        <v>37</v>
      </c>
      <c r="JB26" s="11" t="s">
        <v>37</v>
      </c>
      <c r="JC26" s="13" t="s">
        <v>37</v>
      </c>
      <c r="JH26" s="12" t="s">
        <v>37</v>
      </c>
      <c r="JI26" s="12" t="s">
        <v>37</v>
      </c>
      <c r="JJ26" s="13" t="s">
        <v>37</v>
      </c>
      <c r="JL26" s="12" t="s">
        <v>37</v>
      </c>
      <c r="JM26" s="12" t="s">
        <v>37</v>
      </c>
      <c r="JN26" s="12" t="s">
        <v>37</v>
      </c>
      <c r="JS26" s="12" t="s">
        <v>37</v>
      </c>
      <c r="JT26" s="12" t="s">
        <v>37</v>
      </c>
      <c r="JU26" s="13" t="s">
        <v>37</v>
      </c>
      <c r="JW26" s="12" t="s">
        <v>37</v>
      </c>
      <c r="JX26" s="12" t="s">
        <v>37</v>
      </c>
      <c r="JY26" s="12" t="s">
        <v>37</v>
      </c>
      <c r="KE26" s="11" t="s">
        <v>37</v>
      </c>
      <c r="KF26" s="11" t="s">
        <v>37</v>
      </c>
      <c r="KG26" s="13" t="s">
        <v>37</v>
      </c>
      <c r="KH26" s="11" t="s">
        <v>37</v>
      </c>
      <c r="KI26" s="11" t="s">
        <v>37</v>
      </c>
      <c r="KJ26" s="11" t="s">
        <v>37</v>
      </c>
      <c r="KM26" s="12" t="s">
        <v>37</v>
      </c>
      <c r="KN26" s="11" t="s">
        <v>37</v>
      </c>
      <c r="KO26" s="11" t="s">
        <v>37</v>
      </c>
      <c r="KQ26" s="11" t="s">
        <v>37</v>
      </c>
      <c r="KR26" s="11" t="s">
        <v>37</v>
      </c>
      <c r="KS26" s="13" t="s">
        <v>37</v>
      </c>
      <c r="KX26" s="11" t="s">
        <v>37</v>
      </c>
      <c r="KY26" s="11" t="s">
        <v>37</v>
      </c>
      <c r="KZ26" s="13" t="s">
        <v>37</v>
      </c>
      <c r="LB26" s="11" t="s">
        <v>37</v>
      </c>
      <c r="LC26" s="11" t="s">
        <v>37</v>
      </c>
      <c r="LD26" s="13" t="s">
        <v>37</v>
      </c>
      <c r="LI26" s="12" t="s">
        <v>37</v>
      </c>
      <c r="LJ26" s="12" t="s">
        <v>37</v>
      </c>
      <c r="LK26" s="12" t="s">
        <v>37</v>
      </c>
      <c r="LM26" s="12" t="s">
        <v>37</v>
      </c>
      <c r="LN26" s="12" t="s">
        <v>37</v>
      </c>
      <c r="LO26" s="12" t="s">
        <v>37</v>
      </c>
      <c r="LU26" s="12" t="s">
        <v>37</v>
      </c>
      <c r="LV26" s="12" t="s">
        <v>37</v>
      </c>
      <c r="LW26" s="13" t="s">
        <v>37</v>
      </c>
      <c r="LY26" s="12" t="s">
        <v>37</v>
      </c>
      <c r="LZ26" s="12" t="s">
        <v>37</v>
      </c>
      <c r="MA26" s="11" t="s">
        <v>37</v>
      </c>
      <c r="MF26" s="12" t="s">
        <v>37</v>
      </c>
      <c r="MG26" s="12" t="s">
        <v>37</v>
      </c>
      <c r="MH26" s="12" t="s">
        <v>37</v>
      </c>
      <c r="MJ26" s="12" t="s">
        <v>37</v>
      </c>
      <c r="MK26" s="12" t="s">
        <v>37</v>
      </c>
      <c r="ML26" s="12" t="s">
        <v>37</v>
      </c>
      <c r="MQ26" s="12" t="s">
        <v>37</v>
      </c>
      <c r="MR26" s="12" t="s">
        <v>37</v>
      </c>
      <c r="MS26" s="12" t="s">
        <v>37</v>
      </c>
      <c r="MU26" s="12" t="s">
        <v>37</v>
      </c>
      <c r="MV26" s="12" t="s">
        <v>37</v>
      </c>
      <c r="MW26" s="12" t="s">
        <v>37</v>
      </c>
      <c r="NC26" s="11" t="s">
        <v>37</v>
      </c>
      <c r="ND26" s="11" t="s">
        <v>37</v>
      </c>
      <c r="NE26" s="13" t="s">
        <v>37</v>
      </c>
      <c r="NG26" s="11" t="s">
        <v>37</v>
      </c>
      <c r="NH26" s="11" t="s">
        <v>37</v>
      </c>
      <c r="NI26" s="13" t="s">
        <v>37</v>
      </c>
      <c r="NO26" s="11" t="s">
        <v>37</v>
      </c>
      <c r="NP26" s="11" t="s">
        <v>37</v>
      </c>
      <c r="NQ26" s="13" t="s">
        <v>37</v>
      </c>
      <c r="NS26" s="11" t="s">
        <v>37</v>
      </c>
      <c r="NT26" s="11" t="s">
        <v>37</v>
      </c>
      <c r="NU26" s="13" t="s">
        <v>37</v>
      </c>
      <c r="OA26" s="11" t="s">
        <v>37</v>
      </c>
      <c r="OB26" s="11" t="s">
        <v>37</v>
      </c>
      <c r="OC26" s="13" t="s">
        <v>37</v>
      </c>
      <c r="OE26" s="11" t="s">
        <v>37</v>
      </c>
      <c r="OF26" s="11" t="s">
        <v>37</v>
      </c>
      <c r="OG26" s="13" t="s">
        <v>37</v>
      </c>
      <c r="OM26" s="11" t="s">
        <v>37</v>
      </c>
      <c r="ON26" s="11" t="s">
        <v>37</v>
      </c>
      <c r="OO26" s="11" t="s">
        <v>37</v>
      </c>
      <c r="OP26" s="11" t="s">
        <v>37</v>
      </c>
      <c r="OQ26" s="11" t="s">
        <v>37</v>
      </c>
      <c r="OR26" s="11" t="s">
        <v>37</v>
      </c>
      <c r="OW26" s="11" t="s">
        <v>37</v>
      </c>
      <c r="OX26" s="11" t="s">
        <v>37</v>
      </c>
      <c r="OY26" s="13" t="s">
        <v>37</v>
      </c>
      <c r="OZ26" s="11" t="s">
        <v>37</v>
      </c>
      <c r="PA26" s="11" t="s">
        <v>37</v>
      </c>
      <c r="PB26" s="13" t="s">
        <v>37</v>
      </c>
      <c r="PG26" s="11" t="s">
        <v>37</v>
      </c>
      <c r="PH26" s="11" t="s">
        <v>37</v>
      </c>
      <c r="PI26" s="13" t="s">
        <v>37</v>
      </c>
      <c r="PJ26" s="11" t="s">
        <v>37</v>
      </c>
      <c r="PK26" s="11" t="s">
        <v>37</v>
      </c>
      <c r="PL26" s="13" t="s">
        <v>37</v>
      </c>
      <c r="PQ26" s="11" t="s">
        <v>37</v>
      </c>
      <c r="PR26" s="11" t="s">
        <v>37</v>
      </c>
      <c r="PS26" s="13" t="s">
        <v>37</v>
      </c>
      <c r="PT26" s="11" t="s">
        <v>37</v>
      </c>
      <c r="PU26" s="11" t="s">
        <v>37</v>
      </c>
      <c r="PV26" s="13" t="s">
        <v>37</v>
      </c>
      <c r="PZ26" s="11" t="s">
        <v>37</v>
      </c>
      <c r="QA26" s="11" t="s">
        <v>37</v>
      </c>
      <c r="QB26" s="11" t="s">
        <v>37</v>
      </c>
      <c r="QD26" s="11" t="s">
        <v>37</v>
      </c>
      <c r="QE26" s="11" t="s">
        <v>37</v>
      </c>
      <c r="QF26" s="13" t="s">
        <v>37</v>
      </c>
      <c r="QK26" s="11" t="s">
        <v>37</v>
      </c>
      <c r="QL26" s="11" t="s">
        <v>37</v>
      </c>
      <c r="QM26" s="13" t="s">
        <v>37</v>
      </c>
      <c r="QN26" s="11" t="s">
        <v>37</v>
      </c>
      <c r="QO26" s="11" t="s">
        <v>37</v>
      </c>
      <c r="QP26" s="13" t="s">
        <v>37</v>
      </c>
      <c r="QU26" s="11" t="s">
        <v>37</v>
      </c>
      <c r="QV26" s="11" t="s">
        <v>37</v>
      </c>
      <c r="QW26" s="13" t="s">
        <v>37</v>
      </c>
      <c r="QX26" s="11" t="s">
        <v>37</v>
      </c>
      <c r="QY26" s="11" t="s">
        <v>37</v>
      </c>
      <c r="QZ26" s="13" t="s">
        <v>37</v>
      </c>
      <c r="RC26" s="12" t="s">
        <v>37</v>
      </c>
      <c r="RD26" s="12" t="s">
        <v>37</v>
      </c>
      <c r="RE26" s="13" t="s">
        <v>37</v>
      </c>
      <c r="RF26" s="12" t="s">
        <v>37</v>
      </c>
      <c r="RG26" s="12" t="s">
        <v>37</v>
      </c>
      <c r="RH26" s="13" t="s">
        <v>37</v>
      </c>
      <c r="RK26" s="11" t="s">
        <v>37</v>
      </c>
      <c r="RL26" s="11" t="s">
        <v>37</v>
      </c>
      <c r="RM26" s="11" t="s">
        <v>37</v>
      </c>
      <c r="RN26" s="11" t="s">
        <v>37</v>
      </c>
      <c r="RO26" s="11" t="s">
        <v>37</v>
      </c>
      <c r="RP26" s="11" t="s">
        <v>37</v>
      </c>
      <c r="RS26" s="11" t="s">
        <v>37</v>
      </c>
      <c r="RT26" s="11" t="s">
        <v>37</v>
      </c>
      <c r="RU26" s="11" t="s">
        <v>37</v>
      </c>
      <c r="RV26" s="11" t="s">
        <v>37</v>
      </c>
      <c r="RW26" s="11" t="s">
        <v>37</v>
      </c>
      <c r="RX26" s="11" t="s">
        <v>37</v>
      </c>
      <c r="SA26" s="11" t="s">
        <v>37</v>
      </c>
      <c r="SB26" s="11" t="s">
        <v>37</v>
      </c>
      <c r="SC26" s="13" t="s">
        <v>37</v>
      </c>
      <c r="SD26" s="11" t="s">
        <v>37</v>
      </c>
      <c r="SE26" s="11" t="s">
        <v>37</v>
      </c>
      <c r="SF26" s="13" t="s">
        <v>37</v>
      </c>
      <c r="SI26" s="12" t="s">
        <v>37</v>
      </c>
      <c r="SJ26" s="11" t="s">
        <v>37</v>
      </c>
      <c r="SK26" s="13" t="s">
        <v>37</v>
      </c>
      <c r="SM26" s="11" t="s">
        <v>37</v>
      </c>
      <c r="SN26" s="11" t="s">
        <v>37</v>
      </c>
      <c r="SO26" s="13" t="s">
        <v>37</v>
      </c>
      <c r="SU26" s="12" t="s">
        <v>37</v>
      </c>
      <c r="SV26" s="12" t="s">
        <v>37</v>
      </c>
      <c r="SW26" s="11" t="s">
        <v>37</v>
      </c>
      <c r="SX26" s="12" t="s">
        <v>37</v>
      </c>
      <c r="SY26" s="12" t="s">
        <v>37</v>
      </c>
      <c r="SZ26" s="11" t="s">
        <v>37</v>
      </c>
      <c r="TE26" s="12" t="s">
        <v>37</v>
      </c>
      <c r="TF26" s="12" t="s">
        <v>37</v>
      </c>
      <c r="TG26" s="11" t="s">
        <v>37</v>
      </c>
      <c r="TH26" s="12" t="s">
        <v>37</v>
      </c>
      <c r="TI26" s="12" t="s">
        <v>37</v>
      </c>
      <c r="TJ26" s="11" t="s">
        <v>37</v>
      </c>
      <c r="TO26" s="12" t="s">
        <v>37</v>
      </c>
      <c r="TP26" s="12" t="s">
        <v>37</v>
      </c>
      <c r="TQ26" s="11" t="s">
        <v>37</v>
      </c>
      <c r="TR26" s="12" t="s">
        <v>37</v>
      </c>
      <c r="TS26" s="12" t="s">
        <v>37</v>
      </c>
      <c r="TT26" s="11" t="s">
        <v>37</v>
      </c>
      <c r="TY26" s="12" t="s">
        <v>37</v>
      </c>
      <c r="TZ26" s="12" t="s">
        <v>37</v>
      </c>
      <c r="UA26" s="11" t="s">
        <v>37</v>
      </c>
      <c r="UB26" s="12" t="s">
        <v>37</v>
      </c>
      <c r="UC26" s="12" t="s">
        <v>37</v>
      </c>
      <c r="UD26" s="11" t="s">
        <v>37</v>
      </c>
      <c r="UI26" s="12" t="s">
        <v>37</v>
      </c>
      <c r="UJ26" s="12" t="s">
        <v>37</v>
      </c>
      <c r="UK26" s="13" t="s">
        <v>37</v>
      </c>
      <c r="UL26" s="12" t="s">
        <v>37</v>
      </c>
      <c r="UM26" s="12" t="s">
        <v>37</v>
      </c>
      <c r="UN26" s="13" t="s">
        <v>37</v>
      </c>
      <c r="UR26" s="12" t="s">
        <v>37</v>
      </c>
      <c r="US26" s="12" t="s">
        <v>37</v>
      </c>
      <c r="UT26" s="13" t="s">
        <v>37</v>
      </c>
      <c r="UU26" s="12" t="s">
        <v>37</v>
      </c>
      <c r="UV26" s="12" t="s">
        <v>37</v>
      </c>
      <c r="UW26" s="13" t="s">
        <v>37</v>
      </c>
      <c r="VB26" s="12" t="s">
        <v>37</v>
      </c>
      <c r="VC26" s="12" t="s">
        <v>37</v>
      </c>
      <c r="VD26" s="13" t="s">
        <v>37</v>
      </c>
      <c r="VE26" s="12" t="s">
        <v>37</v>
      </c>
      <c r="VF26" s="12" t="s">
        <v>37</v>
      </c>
      <c r="VG26" s="13" t="s">
        <v>37</v>
      </c>
      <c r="VI26" s="12" t="s">
        <v>37</v>
      </c>
      <c r="VJ26" s="12" t="s">
        <v>37</v>
      </c>
      <c r="VK26" s="13" t="s">
        <v>37</v>
      </c>
      <c r="VL26" s="12" t="s">
        <v>37</v>
      </c>
      <c r="VM26" s="12" t="s">
        <v>37</v>
      </c>
      <c r="VN26" s="13" t="s">
        <v>37</v>
      </c>
      <c r="VO26" s="12" t="s">
        <v>37</v>
      </c>
      <c r="VQ26" s="12" t="s">
        <v>37</v>
      </c>
      <c r="VR26" s="12" t="s">
        <v>37</v>
      </c>
      <c r="VS26" s="12" t="s">
        <v>37</v>
      </c>
      <c r="VT26" s="12" t="s">
        <v>37</v>
      </c>
      <c r="VU26" s="12" t="s">
        <v>37</v>
      </c>
      <c r="VV26" s="12" t="s">
        <v>37</v>
      </c>
      <c r="VW26" s="12"/>
      <c r="VX26" s="12"/>
      <c r="WA26" s="13" t="s">
        <v>37</v>
      </c>
      <c r="WB26" s="13" t="s">
        <v>37</v>
      </c>
      <c r="WC26" s="13" t="s">
        <v>37</v>
      </c>
      <c r="WD26" s="13" t="s">
        <v>37</v>
      </c>
      <c r="WE26" s="13" t="s">
        <v>37</v>
      </c>
      <c r="WF26" s="13" t="s">
        <v>37</v>
      </c>
    </row>
    <row r="27" spans="1:604" ht="18" customHeight="1" x14ac:dyDescent="0.3">
      <c r="A27" s="11">
        <v>5</v>
      </c>
      <c r="B27" s="12" t="s">
        <v>77</v>
      </c>
      <c r="C27" s="12" t="s">
        <v>26</v>
      </c>
      <c r="D27" s="12" t="s">
        <v>54</v>
      </c>
      <c r="E27" s="39" t="s">
        <v>37</v>
      </c>
      <c r="F27" s="14">
        <v>0</v>
      </c>
      <c r="G27" s="14">
        <v>0</v>
      </c>
      <c r="H27" s="12" t="s">
        <v>79</v>
      </c>
      <c r="I27" s="29">
        <v>48.064999999999998</v>
      </c>
      <c r="J27" s="29">
        <v>128.51</v>
      </c>
      <c r="K27" s="12" t="s">
        <v>688</v>
      </c>
      <c r="L27" s="12" t="s">
        <v>689</v>
      </c>
      <c r="M27" s="13" t="s">
        <v>48</v>
      </c>
      <c r="N27" s="14">
        <v>0.4</v>
      </c>
      <c r="O27" s="14">
        <v>630</v>
      </c>
      <c r="P27" s="14" t="s">
        <v>16</v>
      </c>
      <c r="Q27" s="75">
        <v>10</v>
      </c>
      <c r="R27" s="11" t="s">
        <v>1000</v>
      </c>
      <c r="S27" s="12" t="s">
        <v>51</v>
      </c>
      <c r="T27" s="12" t="s">
        <v>876</v>
      </c>
      <c r="U27" s="12" t="s">
        <v>334</v>
      </c>
      <c r="V27" s="12" t="s">
        <v>275</v>
      </c>
      <c r="W27" s="23" t="s">
        <v>490</v>
      </c>
      <c r="X27" s="12" t="s">
        <v>282</v>
      </c>
      <c r="Y27" s="12" t="s">
        <v>68</v>
      </c>
      <c r="Z27" s="12" t="s">
        <v>37</v>
      </c>
      <c r="AB27" s="12" t="s">
        <v>37</v>
      </c>
      <c r="AE27" s="12" t="s">
        <v>37</v>
      </c>
      <c r="AH27" s="12" t="s">
        <v>37</v>
      </c>
      <c r="AK27" s="12" t="s">
        <v>37</v>
      </c>
      <c r="AL27" s="32" t="s">
        <v>485</v>
      </c>
      <c r="AM27" s="12" t="s">
        <v>317</v>
      </c>
      <c r="AN27" s="32" t="s">
        <v>878</v>
      </c>
      <c r="AO27" s="12" t="s">
        <v>37</v>
      </c>
      <c r="AP27" s="12" t="s">
        <v>602</v>
      </c>
      <c r="AQ27" s="12" t="s">
        <v>975</v>
      </c>
      <c r="AT27" s="12" t="s">
        <v>326</v>
      </c>
      <c r="AU27" s="12" t="s">
        <v>326</v>
      </c>
      <c r="AV27" s="13" t="s">
        <v>326</v>
      </c>
      <c r="AX27" s="12" t="s">
        <v>326</v>
      </c>
      <c r="AY27" s="12" t="s">
        <v>326</v>
      </c>
      <c r="AZ27" s="13" t="s">
        <v>326</v>
      </c>
      <c r="BE27" s="12" t="s">
        <v>326</v>
      </c>
      <c r="BF27" s="12" t="s">
        <v>326</v>
      </c>
      <c r="BG27" s="12" t="s">
        <v>326</v>
      </c>
      <c r="BI27" s="12" t="s">
        <v>326</v>
      </c>
      <c r="BJ27" s="12" t="s">
        <v>326</v>
      </c>
      <c r="BK27" s="12" t="s">
        <v>326</v>
      </c>
      <c r="BP27" s="12" t="s">
        <v>37</v>
      </c>
      <c r="BQ27" s="12" t="s">
        <v>37</v>
      </c>
      <c r="BR27" s="13" t="s">
        <v>37</v>
      </c>
      <c r="BT27" s="12" t="s">
        <v>37</v>
      </c>
      <c r="BU27" s="12" t="s">
        <v>37</v>
      </c>
      <c r="BV27" s="12" t="s">
        <v>37</v>
      </c>
      <c r="CA27" s="12" t="s">
        <v>37</v>
      </c>
      <c r="CB27" s="12" t="s">
        <v>37</v>
      </c>
      <c r="CC27" s="13" t="s">
        <v>37</v>
      </c>
      <c r="CE27" s="12" t="s">
        <v>37</v>
      </c>
      <c r="CF27" s="12" t="s">
        <v>37</v>
      </c>
      <c r="CG27" s="13" t="s">
        <v>37</v>
      </c>
      <c r="CI27" s="52"/>
      <c r="CJ27" s="12"/>
      <c r="CK27" s="73"/>
      <c r="CL27" s="73"/>
      <c r="CN27" s="12" t="s">
        <v>37</v>
      </c>
      <c r="CO27" s="12" t="s">
        <v>37</v>
      </c>
      <c r="CP27" s="13" t="s">
        <v>37</v>
      </c>
      <c r="CR27" s="12" t="s">
        <v>37</v>
      </c>
      <c r="CS27" s="12" t="s">
        <v>37</v>
      </c>
      <c r="CT27" s="13" t="s">
        <v>37</v>
      </c>
      <c r="CV27" s="52"/>
      <c r="CW27" s="52"/>
      <c r="CX27" s="73"/>
      <c r="CY27" s="73"/>
      <c r="DA27" s="12" t="s">
        <v>37</v>
      </c>
      <c r="DB27" s="12" t="s">
        <v>37</v>
      </c>
      <c r="DC27" s="13" t="s">
        <v>37</v>
      </c>
      <c r="DE27" s="12" t="s">
        <v>37</v>
      </c>
      <c r="DF27" s="12" t="s">
        <v>37</v>
      </c>
      <c r="DG27" s="13" t="s">
        <v>37</v>
      </c>
      <c r="DI27" s="52"/>
      <c r="DJ27" s="52"/>
      <c r="DK27" s="73"/>
      <c r="DL27" s="73"/>
      <c r="DM27" s="15" t="s">
        <v>47</v>
      </c>
      <c r="DN27" s="19">
        <f>2.16*150/1000*10^4/10^3/'[1]classes-1'!$I$14</f>
        <v>3.3518255889605926</v>
      </c>
      <c r="DO27" s="12">
        <f>DO26</f>
        <v>3.2126569880661773</v>
      </c>
      <c r="DP27" s="13">
        <v>3</v>
      </c>
      <c r="DQ27" s="19">
        <f t="shared" si="60"/>
        <v>0.95847976059590512</v>
      </c>
      <c r="DR27" s="19">
        <f>2.51*150/1000*10^4/10^3/'[1]classes-1'!$I$17</f>
        <v>2.8167070783378438</v>
      </c>
      <c r="DS27" s="12">
        <f>SQRT(([2]Classes!$I$17)^2*(6.02*150/1000*10^4/10^3)^2+(-DR27/([2]Classes!$I$17)^2)^2*([2]Classes!$J$17)^2)</f>
        <v>12.110678472354174</v>
      </c>
      <c r="DT27" s="13">
        <v>3</v>
      </c>
      <c r="DU27" s="19">
        <f t="shared" si="61"/>
        <v>4.2995874741440137</v>
      </c>
      <c r="DV27" s="19">
        <f t="shared" si="62"/>
        <v>-0.53511851062274873</v>
      </c>
      <c r="DW27" s="12">
        <f t="shared" si="4"/>
        <v>8.8597318803593961</v>
      </c>
      <c r="DX27" s="72">
        <f t="shared" si="66"/>
        <v>52.329899327904414</v>
      </c>
      <c r="DY27" s="72">
        <f t="shared" si="67"/>
        <v>52.329899327904414</v>
      </c>
      <c r="DZ27" s="15"/>
      <c r="EA27" s="52" t="s">
        <v>37</v>
      </c>
      <c r="EB27" s="52" t="s">
        <v>37</v>
      </c>
      <c r="EC27" s="73" t="s">
        <v>37</v>
      </c>
      <c r="ED27" s="52"/>
      <c r="EE27" s="52" t="s">
        <v>37</v>
      </c>
      <c r="EF27" s="52" t="s">
        <v>37</v>
      </c>
      <c r="EG27" s="15" t="s">
        <v>37</v>
      </c>
      <c r="EH27" s="52"/>
      <c r="EI27" s="52"/>
      <c r="EJ27" s="52"/>
      <c r="EK27" s="52"/>
      <c r="EL27" s="52"/>
      <c r="EM27" s="12" t="s">
        <v>39</v>
      </c>
      <c r="EN27" s="12">
        <v>-20.329999999999998</v>
      </c>
      <c r="EO27" s="12">
        <v>2.57</v>
      </c>
      <c r="EP27" s="13">
        <v>3</v>
      </c>
      <c r="EQ27" s="19">
        <f t="shared" si="29"/>
        <v>0.12641416625676341</v>
      </c>
      <c r="ER27" s="12">
        <v>-14.475524475524482</v>
      </c>
      <c r="ES27" s="20">
        <v>3.4828674393339902</v>
      </c>
      <c r="ET27" s="13">
        <v>3</v>
      </c>
      <c r="EU27" s="19">
        <f t="shared" si="30"/>
        <v>0.24060388590568135</v>
      </c>
      <c r="EV27" s="19">
        <f t="shared" si="63"/>
        <v>5.8544755244755162</v>
      </c>
      <c r="EW27" s="12">
        <f t="shared" si="55"/>
        <v>3.0606588833103325</v>
      </c>
      <c r="EX27" s="19">
        <f t="shared" si="56"/>
        <v>6.2450885333243011</v>
      </c>
      <c r="EY27" s="19">
        <f t="shared" si="57"/>
        <v>6.2450885333243011</v>
      </c>
      <c r="FB27" s="11" t="s">
        <v>37</v>
      </c>
      <c r="FC27" s="11" t="s">
        <v>37</v>
      </c>
      <c r="FD27" s="11" t="s">
        <v>37</v>
      </c>
      <c r="FE27" s="12" t="s">
        <v>37</v>
      </c>
      <c r="FF27" s="20" t="s">
        <v>37</v>
      </c>
      <c r="FG27" s="11" t="s">
        <v>37</v>
      </c>
      <c r="FI27" s="11" t="s">
        <v>37</v>
      </c>
      <c r="FJ27" s="11" t="s">
        <v>37</v>
      </c>
      <c r="FK27" s="11" t="s">
        <v>37</v>
      </c>
      <c r="FL27" s="13" t="s">
        <v>37</v>
      </c>
      <c r="FM27" s="11" t="s">
        <v>37</v>
      </c>
      <c r="FN27" s="11" t="s">
        <v>37</v>
      </c>
      <c r="FP27" s="11" t="s">
        <v>37</v>
      </c>
      <c r="FQ27" s="11" t="s">
        <v>37</v>
      </c>
      <c r="FR27" s="11" t="s">
        <v>37</v>
      </c>
      <c r="FS27" s="13" t="s">
        <v>37</v>
      </c>
      <c r="FT27" s="11" t="s">
        <v>37</v>
      </c>
      <c r="FU27" s="11" t="s">
        <v>37</v>
      </c>
      <c r="FW27" s="11" t="s">
        <v>37</v>
      </c>
      <c r="FX27" s="11" t="s">
        <v>37</v>
      </c>
      <c r="FY27" s="11" t="s">
        <v>37</v>
      </c>
      <c r="FZ27" s="13" t="s">
        <v>37</v>
      </c>
      <c r="GA27" s="11" t="s">
        <v>37</v>
      </c>
      <c r="GB27" s="11" t="s">
        <v>37</v>
      </c>
      <c r="GE27" s="11"/>
      <c r="GF27" s="11"/>
      <c r="GI27" s="11"/>
      <c r="GJ27" s="11"/>
      <c r="GO27" s="12" t="s">
        <v>660</v>
      </c>
      <c r="GP27" s="12" t="s">
        <v>330</v>
      </c>
      <c r="GQ27" s="20">
        <v>8.74</v>
      </c>
      <c r="GR27" s="20">
        <v>1.19</v>
      </c>
      <c r="GS27" s="13">
        <v>3</v>
      </c>
      <c r="GT27" s="19">
        <f t="shared" si="65"/>
        <v>0.13615560640732263</v>
      </c>
      <c r="GU27" s="20">
        <v>5.8082191780821963</v>
      </c>
      <c r="GV27" s="20">
        <v>0.77347454663980719</v>
      </c>
      <c r="GW27" s="13">
        <v>3</v>
      </c>
      <c r="GX27" s="19">
        <f t="shared" si="64"/>
        <v>0.13316896675638179</v>
      </c>
      <c r="GY27" s="19">
        <f t="shared" si="59"/>
        <v>-0.4086361755838766</v>
      </c>
      <c r="GZ27" s="19">
        <f t="shared" si="19"/>
        <v>1.2090774287702694E-2</v>
      </c>
      <c r="HD27" s="11"/>
      <c r="HG27" s="11"/>
      <c r="HH27" s="11"/>
      <c r="IK27" s="12" t="s">
        <v>37</v>
      </c>
      <c r="IL27" s="12" t="s">
        <v>37</v>
      </c>
      <c r="IM27" s="13" t="s">
        <v>37</v>
      </c>
      <c r="IO27" s="12" t="s">
        <v>37</v>
      </c>
      <c r="IP27" s="12" t="s">
        <v>37</v>
      </c>
      <c r="IQ27" s="13" t="s">
        <v>37</v>
      </c>
      <c r="IW27" s="12" t="s">
        <v>37</v>
      </c>
      <c r="IX27" s="11" t="s">
        <v>37</v>
      </c>
      <c r="IY27" s="13" t="s">
        <v>37</v>
      </c>
      <c r="JA27" s="11" t="s">
        <v>37</v>
      </c>
      <c r="JB27" s="11" t="s">
        <v>37</v>
      </c>
      <c r="JC27" s="13" t="s">
        <v>37</v>
      </c>
      <c r="JH27" s="12" t="s">
        <v>37</v>
      </c>
      <c r="JI27" s="12" t="s">
        <v>37</v>
      </c>
      <c r="JJ27" s="13" t="s">
        <v>37</v>
      </c>
      <c r="JL27" s="12" t="s">
        <v>37</v>
      </c>
      <c r="JM27" s="12" t="s">
        <v>37</v>
      </c>
      <c r="JN27" s="12" t="s">
        <v>37</v>
      </c>
      <c r="JS27" s="12" t="s">
        <v>37</v>
      </c>
      <c r="JT27" s="12" t="s">
        <v>37</v>
      </c>
      <c r="JU27" s="13" t="s">
        <v>37</v>
      </c>
      <c r="JW27" s="12" t="s">
        <v>37</v>
      </c>
      <c r="JX27" s="12" t="s">
        <v>37</v>
      </c>
      <c r="JY27" s="12" t="s">
        <v>37</v>
      </c>
      <c r="KE27" s="11" t="s">
        <v>37</v>
      </c>
      <c r="KF27" s="11" t="s">
        <v>37</v>
      </c>
      <c r="KG27" s="13" t="s">
        <v>37</v>
      </c>
      <c r="KH27" s="11" t="s">
        <v>37</v>
      </c>
      <c r="KI27" s="11" t="s">
        <v>37</v>
      </c>
      <c r="KJ27" s="11" t="s">
        <v>37</v>
      </c>
      <c r="KM27" s="12" t="s">
        <v>37</v>
      </c>
      <c r="KN27" s="11" t="s">
        <v>37</v>
      </c>
      <c r="KO27" s="11" t="s">
        <v>37</v>
      </c>
      <c r="KQ27" s="11" t="s">
        <v>37</v>
      </c>
      <c r="KR27" s="11" t="s">
        <v>37</v>
      </c>
      <c r="KS27" s="13" t="s">
        <v>37</v>
      </c>
      <c r="KX27" s="11" t="s">
        <v>37</v>
      </c>
      <c r="KY27" s="11" t="s">
        <v>37</v>
      </c>
      <c r="KZ27" s="13" t="s">
        <v>37</v>
      </c>
      <c r="LB27" s="11" t="s">
        <v>37</v>
      </c>
      <c r="LC27" s="11" t="s">
        <v>37</v>
      </c>
      <c r="LD27" s="13" t="s">
        <v>37</v>
      </c>
      <c r="LI27" s="12" t="s">
        <v>37</v>
      </c>
      <c r="LJ27" s="12" t="s">
        <v>37</v>
      </c>
      <c r="LK27" s="12" t="s">
        <v>37</v>
      </c>
      <c r="LM27" s="12" t="s">
        <v>37</v>
      </c>
      <c r="LN27" s="12" t="s">
        <v>37</v>
      </c>
      <c r="LO27" s="12" t="s">
        <v>37</v>
      </c>
      <c r="LU27" s="12" t="s">
        <v>37</v>
      </c>
      <c r="LV27" s="12" t="s">
        <v>37</v>
      </c>
      <c r="LW27" s="13" t="s">
        <v>37</v>
      </c>
      <c r="LY27" s="12" t="s">
        <v>37</v>
      </c>
      <c r="LZ27" s="12" t="s">
        <v>37</v>
      </c>
      <c r="MA27" s="11" t="s">
        <v>37</v>
      </c>
      <c r="MF27" s="12" t="s">
        <v>37</v>
      </c>
      <c r="MG27" s="12" t="s">
        <v>37</v>
      </c>
      <c r="MH27" s="12" t="s">
        <v>37</v>
      </c>
      <c r="MJ27" s="12" t="s">
        <v>37</v>
      </c>
      <c r="MK27" s="12" t="s">
        <v>37</v>
      </c>
      <c r="ML27" s="12" t="s">
        <v>37</v>
      </c>
      <c r="MQ27" s="12" t="s">
        <v>37</v>
      </c>
      <c r="MR27" s="12" t="s">
        <v>37</v>
      </c>
      <c r="MS27" s="12" t="s">
        <v>37</v>
      </c>
      <c r="MU27" s="12" t="s">
        <v>37</v>
      </c>
      <c r="MV27" s="12" t="s">
        <v>37</v>
      </c>
      <c r="MW27" s="12" t="s">
        <v>37</v>
      </c>
      <c r="NC27" s="11" t="s">
        <v>37</v>
      </c>
      <c r="ND27" s="11" t="s">
        <v>37</v>
      </c>
      <c r="NE27" s="13" t="s">
        <v>37</v>
      </c>
      <c r="NG27" s="11" t="s">
        <v>37</v>
      </c>
      <c r="NH27" s="11" t="s">
        <v>37</v>
      </c>
      <c r="NI27" s="13" t="s">
        <v>37</v>
      </c>
      <c r="NO27" s="11" t="s">
        <v>37</v>
      </c>
      <c r="NP27" s="11" t="s">
        <v>37</v>
      </c>
      <c r="NQ27" s="13" t="s">
        <v>37</v>
      </c>
      <c r="NS27" s="11" t="s">
        <v>37</v>
      </c>
      <c r="NT27" s="11" t="s">
        <v>37</v>
      </c>
      <c r="NU27" s="13" t="s">
        <v>37</v>
      </c>
      <c r="OA27" s="11" t="s">
        <v>37</v>
      </c>
      <c r="OB27" s="11" t="s">
        <v>37</v>
      </c>
      <c r="OC27" s="13" t="s">
        <v>37</v>
      </c>
      <c r="OE27" s="11" t="s">
        <v>37</v>
      </c>
      <c r="OF27" s="11" t="s">
        <v>37</v>
      </c>
      <c r="OG27" s="13" t="s">
        <v>37</v>
      </c>
      <c r="OM27" s="11" t="s">
        <v>37</v>
      </c>
      <c r="ON27" s="11" t="s">
        <v>37</v>
      </c>
      <c r="OO27" s="11" t="s">
        <v>37</v>
      </c>
      <c r="OP27" s="11" t="s">
        <v>37</v>
      </c>
      <c r="OQ27" s="11" t="s">
        <v>37</v>
      </c>
      <c r="OR27" s="11" t="s">
        <v>37</v>
      </c>
      <c r="OW27" s="11" t="s">
        <v>37</v>
      </c>
      <c r="OX27" s="11" t="s">
        <v>37</v>
      </c>
      <c r="OY27" s="13" t="s">
        <v>37</v>
      </c>
      <c r="OZ27" s="11" t="s">
        <v>37</v>
      </c>
      <c r="PA27" s="11" t="s">
        <v>37</v>
      </c>
      <c r="PB27" s="13" t="s">
        <v>37</v>
      </c>
      <c r="PG27" s="11" t="s">
        <v>37</v>
      </c>
      <c r="PH27" s="11" t="s">
        <v>37</v>
      </c>
      <c r="PI27" s="13" t="s">
        <v>37</v>
      </c>
      <c r="PJ27" s="11" t="s">
        <v>37</v>
      </c>
      <c r="PK27" s="11" t="s">
        <v>37</v>
      </c>
      <c r="PL27" s="13" t="s">
        <v>37</v>
      </c>
      <c r="PQ27" s="11" t="s">
        <v>37</v>
      </c>
      <c r="PR27" s="11" t="s">
        <v>37</v>
      </c>
      <c r="PS27" s="13" t="s">
        <v>37</v>
      </c>
      <c r="PT27" s="11" t="s">
        <v>37</v>
      </c>
      <c r="PU27" s="11" t="s">
        <v>37</v>
      </c>
      <c r="PV27" s="13" t="s">
        <v>37</v>
      </c>
      <c r="PZ27" s="11" t="s">
        <v>37</v>
      </c>
      <c r="QA27" s="11" t="s">
        <v>37</v>
      </c>
      <c r="QB27" s="11" t="s">
        <v>37</v>
      </c>
      <c r="QD27" s="11" t="s">
        <v>37</v>
      </c>
      <c r="QE27" s="11" t="s">
        <v>37</v>
      </c>
      <c r="QF27" s="13" t="s">
        <v>37</v>
      </c>
      <c r="QK27" s="11" t="s">
        <v>37</v>
      </c>
      <c r="QL27" s="11" t="s">
        <v>37</v>
      </c>
      <c r="QM27" s="13" t="s">
        <v>37</v>
      </c>
      <c r="QN27" s="11" t="s">
        <v>37</v>
      </c>
      <c r="QO27" s="11" t="s">
        <v>37</v>
      </c>
      <c r="QP27" s="13" t="s">
        <v>37</v>
      </c>
      <c r="QU27" s="11" t="s">
        <v>37</v>
      </c>
      <c r="QV27" s="11" t="s">
        <v>37</v>
      </c>
      <c r="QW27" s="13" t="s">
        <v>37</v>
      </c>
      <c r="QX27" s="11" t="s">
        <v>37</v>
      </c>
      <c r="QY27" s="11" t="s">
        <v>37</v>
      </c>
      <c r="QZ27" s="13" t="s">
        <v>37</v>
      </c>
      <c r="RC27" s="12" t="s">
        <v>37</v>
      </c>
      <c r="RD27" s="12" t="s">
        <v>37</v>
      </c>
      <c r="RE27" s="13" t="s">
        <v>37</v>
      </c>
      <c r="RF27" s="12" t="s">
        <v>37</v>
      </c>
      <c r="RG27" s="12" t="s">
        <v>37</v>
      </c>
      <c r="RH27" s="13" t="s">
        <v>37</v>
      </c>
      <c r="RK27" s="11" t="s">
        <v>37</v>
      </c>
      <c r="RL27" s="11" t="s">
        <v>37</v>
      </c>
      <c r="RM27" s="11" t="s">
        <v>37</v>
      </c>
      <c r="RN27" s="11" t="s">
        <v>37</v>
      </c>
      <c r="RO27" s="11" t="s">
        <v>37</v>
      </c>
      <c r="RP27" s="11" t="s">
        <v>37</v>
      </c>
      <c r="RS27" s="11" t="s">
        <v>37</v>
      </c>
      <c r="RT27" s="11" t="s">
        <v>37</v>
      </c>
      <c r="RU27" s="11" t="s">
        <v>37</v>
      </c>
      <c r="RV27" s="11" t="s">
        <v>37</v>
      </c>
      <c r="RW27" s="11" t="s">
        <v>37</v>
      </c>
      <c r="RX27" s="11" t="s">
        <v>37</v>
      </c>
      <c r="SA27" s="11" t="s">
        <v>37</v>
      </c>
      <c r="SB27" s="11" t="s">
        <v>37</v>
      </c>
      <c r="SC27" s="13" t="s">
        <v>37</v>
      </c>
      <c r="SD27" s="11" t="s">
        <v>37</v>
      </c>
      <c r="SE27" s="11" t="s">
        <v>37</v>
      </c>
      <c r="SF27" s="13" t="s">
        <v>37</v>
      </c>
      <c r="SI27" s="12" t="s">
        <v>37</v>
      </c>
      <c r="SJ27" s="11" t="s">
        <v>37</v>
      </c>
      <c r="SK27" s="13" t="s">
        <v>37</v>
      </c>
      <c r="SM27" s="11" t="s">
        <v>37</v>
      </c>
      <c r="SN27" s="11" t="s">
        <v>37</v>
      </c>
      <c r="SO27" s="13" t="s">
        <v>37</v>
      </c>
      <c r="SU27" s="12" t="s">
        <v>37</v>
      </c>
      <c r="SV27" s="12" t="s">
        <v>37</v>
      </c>
      <c r="SW27" s="11" t="s">
        <v>37</v>
      </c>
      <c r="SX27" s="12" t="s">
        <v>37</v>
      </c>
      <c r="SY27" s="12" t="s">
        <v>37</v>
      </c>
      <c r="SZ27" s="11" t="s">
        <v>37</v>
      </c>
      <c r="TE27" s="12" t="s">
        <v>37</v>
      </c>
      <c r="TF27" s="12" t="s">
        <v>37</v>
      </c>
      <c r="TG27" s="11" t="s">
        <v>37</v>
      </c>
      <c r="TH27" s="12" t="s">
        <v>37</v>
      </c>
      <c r="TI27" s="12" t="s">
        <v>37</v>
      </c>
      <c r="TJ27" s="11" t="s">
        <v>37</v>
      </c>
      <c r="TO27" s="12" t="s">
        <v>37</v>
      </c>
      <c r="TP27" s="12" t="s">
        <v>37</v>
      </c>
      <c r="TQ27" s="11" t="s">
        <v>37</v>
      </c>
      <c r="TR27" s="12" t="s">
        <v>37</v>
      </c>
      <c r="TS27" s="12" t="s">
        <v>37</v>
      </c>
      <c r="TT27" s="11" t="s">
        <v>37</v>
      </c>
      <c r="TY27" s="12" t="s">
        <v>37</v>
      </c>
      <c r="TZ27" s="12" t="s">
        <v>37</v>
      </c>
      <c r="UA27" s="11" t="s">
        <v>37</v>
      </c>
      <c r="UB27" s="12" t="s">
        <v>37</v>
      </c>
      <c r="UC27" s="12" t="s">
        <v>37</v>
      </c>
      <c r="UD27" s="11" t="s">
        <v>37</v>
      </c>
      <c r="UI27" s="12" t="s">
        <v>37</v>
      </c>
      <c r="UJ27" s="12" t="s">
        <v>37</v>
      </c>
      <c r="UK27" s="13" t="s">
        <v>37</v>
      </c>
      <c r="UL27" s="12" t="s">
        <v>37</v>
      </c>
      <c r="UM27" s="12" t="s">
        <v>37</v>
      </c>
      <c r="UN27" s="13" t="s">
        <v>37</v>
      </c>
      <c r="UR27" s="12" t="s">
        <v>37</v>
      </c>
      <c r="US27" s="12" t="s">
        <v>37</v>
      </c>
      <c r="UT27" s="13" t="s">
        <v>37</v>
      </c>
      <c r="UU27" s="12" t="s">
        <v>37</v>
      </c>
      <c r="UV27" s="12" t="s">
        <v>37</v>
      </c>
      <c r="UW27" s="13" t="s">
        <v>37</v>
      </c>
      <c r="VB27" s="12" t="s">
        <v>37</v>
      </c>
      <c r="VC27" s="12" t="s">
        <v>37</v>
      </c>
      <c r="VD27" s="13" t="s">
        <v>37</v>
      </c>
      <c r="VE27" s="12" t="s">
        <v>37</v>
      </c>
      <c r="VF27" s="12" t="s">
        <v>37</v>
      </c>
      <c r="VG27" s="13" t="s">
        <v>37</v>
      </c>
      <c r="VI27" s="12" t="s">
        <v>37</v>
      </c>
      <c r="VJ27" s="12" t="s">
        <v>37</v>
      </c>
      <c r="VK27" s="13" t="s">
        <v>37</v>
      </c>
      <c r="VL27" s="12" t="s">
        <v>37</v>
      </c>
      <c r="VM27" s="12" t="s">
        <v>37</v>
      </c>
      <c r="VN27" s="13" t="s">
        <v>37</v>
      </c>
      <c r="VO27" s="12" t="s">
        <v>37</v>
      </c>
      <c r="VQ27" s="12" t="s">
        <v>37</v>
      </c>
      <c r="VR27" s="12" t="s">
        <v>37</v>
      </c>
      <c r="VS27" s="12" t="s">
        <v>37</v>
      </c>
      <c r="VT27" s="12" t="s">
        <v>37</v>
      </c>
      <c r="VU27" s="12" t="s">
        <v>37</v>
      </c>
      <c r="VV27" s="12" t="s">
        <v>37</v>
      </c>
      <c r="VW27" s="12"/>
      <c r="VX27" s="12"/>
      <c r="WA27" s="13" t="s">
        <v>37</v>
      </c>
      <c r="WB27" s="13" t="s">
        <v>37</v>
      </c>
      <c r="WC27" s="13" t="s">
        <v>37</v>
      </c>
      <c r="WD27" s="13" t="s">
        <v>37</v>
      </c>
      <c r="WE27" s="13" t="s">
        <v>37</v>
      </c>
      <c r="WF27" s="13" t="s">
        <v>37</v>
      </c>
    </row>
    <row r="28" spans="1:604" ht="18" customHeight="1" x14ac:dyDescent="0.3">
      <c r="A28" s="11">
        <v>5</v>
      </c>
      <c r="B28" s="12" t="s">
        <v>77</v>
      </c>
      <c r="C28" s="12" t="s">
        <v>26</v>
      </c>
      <c r="D28" s="12" t="s">
        <v>54</v>
      </c>
      <c r="E28" s="39" t="s">
        <v>37</v>
      </c>
      <c r="F28" s="14">
        <v>0</v>
      </c>
      <c r="G28" s="14">
        <v>0</v>
      </c>
      <c r="H28" s="12" t="s">
        <v>79</v>
      </c>
      <c r="I28" s="29">
        <v>48.064999999999998</v>
      </c>
      <c r="J28" s="29">
        <v>128.51</v>
      </c>
      <c r="K28" s="12" t="s">
        <v>688</v>
      </c>
      <c r="L28" s="12" t="s">
        <v>689</v>
      </c>
      <c r="M28" s="13" t="s">
        <v>48</v>
      </c>
      <c r="N28" s="14">
        <v>0.4</v>
      </c>
      <c r="O28" s="14">
        <v>630</v>
      </c>
      <c r="P28" s="14" t="s">
        <v>16</v>
      </c>
      <c r="Q28" s="75">
        <v>20</v>
      </c>
      <c r="R28" s="11" t="s">
        <v>1000</v>
      </c>
      <c r="S28" s="12" t="s">
        <v>51</v>
      </c>
      <c r="T28" s="12" t="s">
        <v>876</v>
      </c>
      <c r="U28" s="12" t="s">
        <v>163</v>
      </c>
      <c r="V28" s="12" t="s">
        <v>275</v>
      </c>
      <c r="W28" s="23" t="s">
        <v>490</v>
      </c>
      <c r="X28" s="12" t="s">
        <v>282</v>
      </c>
      <c r="Y28" s="12" t="s">
        <v>68</v>
      </c>
      <c r="Z28" s="12" t="s">
        <v>37</v>
      </c>
      <c r="AB28" s="12" t="s">
        <v>37</v>
      </c>
      <c r="AE28" s="12" t="s">
        <v>37</v>
      </c>
      <c r="AH28" s="12" t="s">
        <v>37</v>
      </c>
      <c r="AK28" s="12" t="s">
        <v>37</v>
      </c>
      <c r="AL28" s="32" t="s">
        <v>485</v>
      </c>
      <c r="AM28" s="12" t="s">
        <v>317</v>
      </c>
      <c r="AN28" s="32" t="s">
        <v>878</v>
      </c>
      <c r="AO28" s="12" t="s">
        <v>37</v>
      </c>
      <c r="AP28" s="12" t="s">
        <v>602</v>
      </c>
      <c r="AQ28" s="12" t="s">
        <v>975</v>
      </c>
      <c r="AT28" s="12" t="s">
        <v>326</v>
      </c>
      <c r="AU28" s="12" t="s">
        <v>326</v>
      </c>
      <c r="AV28" s="13" t="s">
        <v>326</v>
      </c>
      <c r="AX28" s="12" t="s">
        <v>326</v>
      </c>
      <c r="AY28" s="12" t="s">
        <v>326</v>
      </c>
      <c r="AZ28" s="13" t="s">
        <v>326</v>
      </c>
      <c r="BE28" s="12" t="s">
        <v>326</v>
      </c>
      <c r="BF28" s="12" t="s">
        <v>326</v>
      </c>
      <c r="BG28" s="12" t="s">
        <v>326</v>
      </c>
      <c r="BI28" s="12" t="s">
        <v>326</v>
      </c>
      <c r="BJ28" s="12" t="s">
        <v>326</v>
      </c>
      <c r="BK28" s="12" t="s">
        <v>326</v>
      </c>
      <c r="BP28" s="12" t="s">
        <v>37</v>
      </c>
      <c r="BQ28" s="12" t="s">
        <v>37</v>
      </c>
      <c r="BR28" s="13" t="s">
        <v>37</v>
      </c>
      <c r="BT28" s="12" t="s">
        <v>37</v>
      </c>
      <c r="BU28" s="12" t="s">
        <v>37</v>
      </c>
      <c r="BV28" s="12" t="s">
        <v>37</v>
      </c>
      <c r="CA28" s="12" t="s">
        <v>37</v>
      </c>
      <c r="CB28" s="12" t="s">
        <v>37</v>
      </c>
      <c r="CC28" s="13" t="s">
        <v>37</v>
      </c>
      <c r="CE28" s="12" t="s">
        <v>37</v>
      </c>
      <c r="CF28" s="12" t="s">
        <v>37</v>
      </c>
      <c r="CG28" s="13" t="s">
        <v>37</v>
      </c>
      <c r="CI28" s="52"/>
      <c r="CJ28" s="12"/>
      <c r="CK28" s="73"/>
      <c r="CL28" s="73"/>
      <c r="CN28" s="12" t="s">
        <v>37</v>
      </c>
      <c r="CO28" s="12" t="s">
        <v>37</v>
      </c>
      <c r="CP28" s="13" t="s">
        <v>37</v>
      </c>
      <c r="CR28" s="12" t="s">
        <v>37</v>
      </c>
      <c r="CS28" s="12" t="s">
        <v>37</v>
      </c>
      <c r="CT28" s="13" t="s">
        <v>37</v>
      </c>
      <c r="CV28" s="52"/>
      <c r="CW28" s="52"/>
      <c r="CX28" s="73"/>
      <c r="CY28" s="73"/>
      <c r="DA28" s="12" t="s">
        <v>37</v>
      </c>
      <c r="DB28" s="12" t="s">
        <v>37</v>
      </c>
      <c r="DC28" s="13" t="s">
        <v>37</v>
      </c>
      <c r="DE28" s="12" t="s">
        <v>37</v>
      </c>
      <c r="DF28" s="12" t="s">
        <v>37</v>
      </c>
      <c r="DG28" s="13" t="s">
        <v>37</v>
      </c>
      <c r="DI28" s="52"/>
      <c r="DJ28" s="52"/>
      <c r="DK28" s="73"/>
      <c r="DL28" s="73"/>
      <c r="DM28" s="15" t="s">
        <v>47</v>
      </c>
      <c r="DN28" s="19">
        <f>2.16*150/1000*10^4/10^3/'[1]classes-1'!$I$14</f>
        <v>3.3518255889605926</v>
      </c>
      <c r="DO28" s="12">
        <f t="shared" ref="DO28:DO29" si="69">DO27</f>
        <v>3.2126569880661773</v>
      </c>
      <c r="DP28" s="13">
        <v>3</v>
      </c>
      <c r="DQ28" s="19">
        <f t="shared" si="60"/>
        <v>0.95847976059590512</v>
      </c>
      <c r="DR28" s="19">
        <f>-1.63*150/1000*10^4/10^3/'[1]classes-1'!$I$16</f>
        <v>-1.8291763098369263</v>
      </c>
      <c r="DS28" s="12">
        <f>SQRT((1/[2]Classes!$I$16)^2*(1.36*150/1000*10^4/10^3)^2+(-DR28/([2]Classes!$I$17)^2)^2*([2]Classes!$J$17)^2)</f>
        <v>1.6561975194588527</v>
      </c>
      <c r="DT28" s="13">
        <v>3</v>
      </c>
      <c r="DU28" s="19">
        <f t="shared" si="61"/>
        <v>0.90543350608258488</v>
      </c>
      <c r="DV28" s="19">
        <f t="shared" si="62"/>
        <v>-5.1810018987975184</v>
      </c>
      <c r="DW28" s="12">
        <f t="shared" si="4"/>
        <v>2.5557929441204839</v>
      </c>
      <c r="DX28" s="72">
        <f t="shared" si="66"/>
        <v>4.354718382144033</v>
      </c>
      <c r="DY28" s="72">
        <f t="shared" si="67"/>
        <v>4.354718382144033</v>
      </c>
      <c r="DZ28" s="15"/>
      <c r="EA28" s="52" t="s">
        <v>37</v>
      </c>
      <c r="EB28" s="52" t="s">
        <v>37</v>
      </c>
      <c r="EC28" s="73" t="s">
        <v>37</v>
      </c>
      <c r="ED28" s="52"/>
      <c r="EE28" s="52" t="s">
        <v>37</v>
      </c>
      <c r="EF28" s="52" t="s">
        <v>37</v>
      </c>
      <c r="EG28" s="15" t="s">
        <v>37</v>
      </c>
      <c r="EH28" s="52"/>
      <c r="EI28" s="52"/>
      <c r="EJ28" s="52"/>
      <c r="EK28" s="52"/>
      <c r="EL28" s="52"/>
      <c r="EM28" s="12" t="s">
        <v>39</v>
      </c>
      <c r="EN28" s="12">
        <v>-20.329999999999998</v>
      </c>
      <c r="EO28" s="12">
        <v>2.57</v>
      </c>
      <c r="EP28" s="13">
        <v>3</v>
      </c>
      <c r="EQ28" s="19">
        <f t="shared" si="29"/>
        <v>0.12641416625676341</v>
      </c>
      <c r="ER28" s="12">
        <v>-40</v>
      </c>
      <c r="ES28" s="20">
        <v>0</v>
      </c>
      <c r="ET28" s="13">
        <v>3</v>
      </c>
      <c r="EU28" s="19">
        <f t="shared" si="30"/>
        <v>0</v>
      </c>
      <c r="EV28" s="19">
        <f t="shared" si="63"/>
        <v>-19.670000000000002</v>
      </c>
      <c r="EW28" s="12">
        <f t="shared" si="55"/>
        <v>1.817264427649427</v>
      </c>
      <c r="EX28" s="19">
        <f t="shared" si="56"/>
        <v>2.2016333333333327</v>
      </c>
      <c r="EY28" s="19">
        <f t="shared" si="57"/>
        <v>2.2016333333333331</v>
      </c>
      <c r="FB28" s="11" t="s">
        <v>37</v>
      </c>
      <c r="FC28" s="11" t="s">
        <v>37</v>
      </c>
      <c r="FD28" s="11" t="s">
        <v>37</v>
      </c>
      <c r="FE28" s="12" t="s">
        <v>37</v>
      </c>
      <c r="FF28" s="20" t="s">
        <v>37</v>
      </c>
      <c r="FG28" s="11" t="s">
        <v>37</v>
      </c>
      <c r="FI28" s="11" t="s">
        <v>37</v>
      </c>
      <c r="FJ28" s="11" t="s">
        <v>37</v>
      </c>
      <c r="FK28" s="11" t="s">
        <v>37</v>
      </c>
      <c r="FL28" s="13" t="s">
        <v>37</v>
      </c>
      <c r="FM28" s="11" t="s">
        <v>37</v>
      </c>
      <c r="FN28" s="11" t="s">
        <v>37</v>
      </c>
      <c r="FP28" s="11" t="s">
        <v>37</v>
      </c>
      <c r="FQ28" s="11" t="s">
        <v>37</v>
      </c>
      <c r="FR28" s="11" t="s">
        <v>37</v>
      </c>
      <c r="FS28" s="13" t="s">
        <v>37</v>
      </c>
      <c r="FT28" s="11" t="s">
        <v>37</v>
      </c>
      <c r="FU28" s="11" t="s">
        <v>37</v>
      </c>
      <c r="FW28" s="11" t="s">
        <v>37</v>
      </c>
      <c r="FX28" s="11" t="s">
        <v>37</v>
      </c>
      <c r="FY28" s="11" t="s">
        <v>37</v>
      </c>
      <c r="FZ28" s="13" t="s">
        <v>37</v>
      </c>
      <c r="GA28" s="11" t="s">
        <v>37</v>
      </c>
      <c r="GB28" s="11" t="s">
        <v>37</v>
      </c>
      <c r="GE28" s="11"/>
      <c r="GF28" s="11"/>
      <c r="GI28" s="11"/>
      <c r="GJ28" s="11"/>
      <c r="GO28" s="12" t="s">
        <v>660</v>
      </c>
      <c r="GP28" s="12" t="s">
        <v>330</v>
      </c>
      <c r="GQ28" s="20">
        <v>8.74</v>
      </c>
      <c r="GR28" s="20">
        <v>1.19</v>
      </c>
      <c r="GS28" s="13">
        <v>3</v>
      </c>
      <c r="GT28" s="19">
        <f t="shared" si="65"/>
        <v>0.13615560640732263</v>
      </c>
      <c r="GU28" s="20">
        <v>9.589041095890412</v>
      </c>
      <c r="GV28" s="20">
        <v>1.3120024848965537</v>
      </c>
      <c r="GW28" s="13">
        <v>3</v>
      </c>
      <c r="GX28" s="19">
        <f t="shared" si="64"/>
        <v>0.13682311628206917</v>
      </c>
      <c r="GY28" s="19">
        <f t="shared" si="59"/>
        <v>9.2710704227569635E-2</v>
      </c>
      <c r="GZ28" s="19">
        <f t="shared" si="19"/>
        <v>1.2419638101760793E-2</v>
      </c>
      <c r="HD28" s="11"/>
      <c r="HG28" s="11"/>
      <c r="HH28" s="11"/>
      <c r="IK28" s="12" t="s">
        <v>37</v>
      </c>
      <c r="IL28" s="12" t="s">
        <v>37</v>
      </c>
      <c r="IM28" s="13" t="s">
        <v>37</v>
      </c>
      <c r="IO28" s="12" t="s">
        <v>37</v>
      </c>
      <c r="IP28" s="12" t="s">
        <v>37</v>
      </c>
      <c r="IQ28" s="13" t="s">
        <v>37</v>
      </c>
      <c r="IW28" s="12" t="s">
        <v>37</v>
      </c>
      <c r="IX28" s="11" t="s">
        <v>37</v>
      </c>
      <c r="IY28" s="13" t="s">
        <v>37</v>
      </c>
      <c r="JA28" s="11" t="s">
        <v>37</v>
      </c>
      <c r="JB28" s="11" t="s">
        <v>37</v>
      </c>
      <c r="JC28" s="13" t="s">
        <v>37</v>
      </c>
      <c r="JH28" s="12" t="s">
        <v>37</v>
      </c>
      <c r="JI28" s="12" t="s">
        <v>37</v>
      </c>
      <c r="JJ28" s="13" t="s">
        <v>37</v>
      </c>
      <c r="JL28" s="12" t="s">
        <v>37</v>
      </c>
      <c r="JM28" s="12" t="s">
        <v>37</v>
      </c>
      <c r="JN28" s="12" t="s">
        <v>37</v>
      </c>
      <c r="JS28" s="12" t="s">
        <v>37</v>
      </c>
      <c r="JT28" s="12" t="s">
        <v>37</v>
      </c>
      <c r="JU28" s="13" t="s">
        <v>37</v>
      </c>
      <c r="JW28" s="12" t="s">
        <v>37</v>
      </c>
      <c r="JX28" s="12" t="s">
        <v>37</v>
      </c>
      <c r="JY28" s="12" t="s">
        <v>37</v>
      </c>
      <c r="KE28" s="11" t="s">
        <v>37</v>
      </c>
      <c r="KF28" s="11" t="s">
        <v>37</v>
      </c>
      <c r="KG28" s="13" t="s">
        <v>37</v>
      </c>
      <c r="KH28" s="11" t="s">
        <v>37</v>
      </c>
      <c r="KI28" s="11" t="s">
        <v>37</v>
      </c>
      <c r="KJ28" s="11" t="s">
        <v>37</v>
      </c>
      <c r="KM28" s="12" t="s">
        <v>37</v>
      </c>
      <c r="KN28" s="11" t="s">
        <v>37</v>
      </c>
      <c r="KO28" s="11" t="s">
        <v>37</v>
      </c>
      <c r="KQ28" s="11" t="s">
        <v>37</v>
      </c>
      <c r="KR28" s="11" t="s">
        <v>37</v>
      </c>
      <c r="KS28" s="13" t="s">
        <v>37</v>
      </c>
      <c r="KX28" s="11" t="s">
        <v>37</v>
      </c>
      <c r="KY28" s="11" t="s">
        <v>37</v>
      </c>
      <c r="KZ28" s="13" t="s">
        <v>37</v>
      </c>
      <c r="LB28" s="11" t="s">
        <v>37</v>
      </c>
      <c r="LC28" s="11" t="s">
        <v>37</v>
      </c>
      <c r="LD28" s="13" t="s">
        <v>37</v>
      </c>
      <c r="LI28" s="12" t="s">
        <v>37</v>
      </c>
      <c r="LJ28" s="12" t="s">
        <v>37</v>
      </c>
      <c r="LK28" s="12" t="s">
        <v>37</v>
      </c>
      <c r="LM28" s="12" t="s">
        <v>37</v>
      </c>
      <c r="LN28" s="12" t="s">
        <v>37</v>
      </c>
      <c r="LO28" s="12" t="s">
        <v>37</v>
      </c>
      <c r="LU28" s="12" t="s">
        <v>37</v>
      </c>
      <c r="LV28" s="12" t="s">
        <v>37</v>
      </c>
      <c r="LW28" s="13" t="s">
        <v>37</v>
      </c>
      <c r="LY28" s="12" t="s">
        <v>37</v>
      </c>
      <c r="LZ28" s="12" t="s">
        <v>37</v>
      </c>
      <c r="MA28" s="11" t="s">
        <v>37</v>
      </c>
      <c r="MF28" s="12" t="s">
        <v>37</v>
      </c>
      <c r="MG28" s="12" t="s">
        <v>37</v>
      </c>
      <c r="MH28" s="12" t="s">
        <v>37</v>
      </c>
      <c r="MJ28" s="12" t="s">
        <v>37</v>
      </c>
      <c r="MK28" s="12" t="s">
        <v>37</v>
      </c>
      <c r="ML28" s="12" t="s">
        <v>37</v>
      </c>
      <c r="MQ28" s="12" t="s">
        <v>37</v>
      </c>
      <c r="MR28" s="12" t="s">
        <v>37</v>
      </c>
      <c r="MS28" s="12" t="s">
        <v>37</v>
      </c>
      <c r="MU28" s="12" t="s">
        <v>37</v>
      </c>
      <c r="MV28" s="12" t="s">
        <v>37</v>
      </c>
      <c r="MW28" s="12" t="s">
        <v>37</v>
      </c>
      <c r="NC28" s="11" t="s">
        <v>37</v>
      </c>
      <c r="ND28" s="11" t="s">
        <v>37</v>
      </c>
      <c r="NE28" s="13" t="s">
        <v>37</v>
      </c>
      <c r="NG28" s="11" t="s">
        <v>37</v>
      </c>
      <c r="NH28" s="11" t="s">
        <v>37</v>
      </c>
      <c r="NI28" s="13" t="s">
        <v>37</v>
      </c>
      <c r="NO28" s="11" t="s">
        <v>37</v>
      </c>
      <c r="NP28" s="11" t="s">
        <v>37</v>
      </c>
      <c r="NQ28" s="13" t="s">
        <v>37</v>
      </c>
      <c r="NS28" s="11" t="s">
        <v>37</v>
      </c>
      <c r="NT28" s="11" t="s">
        <v>37</v>
      </c>
      <c r="NU28" s="13" t="s">
        <v>37</v>
      </c>
      <c r="OA28" s="11" t="s">
        <v>37</v>
      </c>
      <c r="OB28" s="11" t="s">
        <v>37</v>
      </c>
      <c r="OC28" s="13" t="s">
        <v>37</v>
      </c>
      <c r="OE28" s="11" t="s">
        <v>37</v>
      </c>
      <c r="OF28" s="11" t="s">
        <v>37</v>
      </c>
      <c r="OG28" s="13" t="s">
        <v>37</v>
      </c>
      <c r="OM28" s="11" t="s">
        <v>37</v>
      </c>
      <c r="ON28" s="11" t="s">
        <v>37</v>
      </c>
      <c r="OO28" s="11" t="s">
        <v>37</v>
      </c>
      <c r="OP28" s="11" t="s">
        <v>37</v>
      </c>
      <c r="OQ28" s="11" t="s">
        <v>37</v>
      </c>
      <c r="OR28" s="11" t="s">
        <v>37</v>
      </c>
      <c r="OW28" s="11" t="s">
        <v>37</v>
      </c>
      <c r="OX28" s="11" t="s">
        <v>37</v>
      </c>
      <c r="OY28" s="13" t="s">
        <v>37</v>
      </c>
      <c r="OZ28" s="11" t="s">
        <v>37</v>
      </c>
      <c r="PA28" s="11" t="s">
        <v>37</v>
      </c>
      <c r="PB28" s="13" t="s">
        <v>37</v>
      </c>
      <c r="PG28" s="11" t="s">
        <v>37</v>
      </c>
      <c r="PH28" s="11" t="s">
        <v>37</v>
      </c>
      <c r="PI28" s="13" t="s">
        <v>37</v>
      </c>
      <c r="PJ28" s="11" t="s">
        <v>37</v>
      </c>
      <c r="PK28" s="11" t="s">
        <v>37</v>
      </c>
      <c r="PL28" s="13" t="s">
        <v>37</v>
      </c>
      <c r="PQ28" s="11" t="s">
        <v>37</v>
      </c>
      <c r="PR28" s="11" t="s">
        <v>37</v>
      </c>
      <c r="PS28" s="13" t="s">
        <v>37</v>
      </c>
      <c r="PT28" s="11" t="s">
        <v>37</v>
      </c>
      <c r="PU28" s="11" t="s">
        <v>37</v>
      </c>
      <c r="PV28" s="13" t="s">
        <v>37</v>
      </c>
      <c r="PZ28" s="11" t="s">
        <v>37</v>
      </c>
      <c r="QA28" s="11" t="s">
        <v>37</v>
      </c>
      <c r="QB28" s="11" t="s">
        <v>37</v>
      </c>
      <c r="QD28" s="11" t="s">
        <v>37</v>
      </c>
      <c r="QE28" s="11" t="s">
        <v>37</v>
      </c>
      <c r="QF28" s="13" t="s">
        <v>37</v>
      </c>
      <c r="QK28" s="11" t="s">
        <v>37</v>
      </c>
      <c r="QL28" s="11" t="s">
        <v>37</v>
      </c>
      <c r="QM28" s="13" t="s">
        <v>37</v>
      </c>
      <c r="QN28" s="11" t="s">
        <v>37</v>
      </c>
      <c r="QO28" s="11" t="s">
        <v>37</v>
      </c>
      <c r="QP28" s="13" t="s">
        <v>37</v>
      </c>
      <c r="QU28" s="11" t="s">
        <v>37</v>
      </c>
      <c r="QV28" s="11" t="s">
        <v>37</v>
      </c>
      <c r="QW28" s="13" t="s">
        <v>37</v>
      </c>
      <c r="QX28" s="11" t="s">
        <v>37</v>
      </c>
      <c r="QY28" s="11" t="s">
        <v>37</v>
      </c>
      <c r="QZ28" s="13" t="s">
        <v>37</v>
      </c>
      <c r="RC28" s="12" t="s">
        <v>37</v>
      </c>
      <c r="RD28" s="12" t="s">
        <v>37</v>
      </c>
      <c r="RE28" s="13" t="s">
        <v>37</v>
      </c>
      <c r="RF28" s="12" t="s">
        <v>37</v>
      </c>
      <c r="RG28" s="12" t="s">
        <v>37</v>
      </c>
      <c r="RH28" s="13" t="s">
        <v>37</v>
      </c>
      <c r="RK28" s="11" t="s">
        <v>37</v>
      </c>
      <c r="RL28" s="11" t="s">
        <v>37</v>
      </c>
      <c r="RM28" s="11" t="s">
        <v>37</v>
      </c>
      <c r="RN28" s="11" t="s">
        <v>37</v>
      </c>
      <c r="RO28" s="11" t="s">
        <v>37</v>
      </c>
      <c r="RP28" s="11" t="s">
        <v>37</v>
      </c>
      <c r="RS28" s="11" t="s">
        <v>37</v>
      </c>
      <c r="RT28" s="11" t="s">
        <v>37</v>
      </c>
      <c r="RU28" s="11" t="s">
        <v>37</v>
      </c>
      <c r="RV28" s="11" t="s">
        <v>37</v>
      </c>
      <c r="RW28" s="11" t="s">
        <v>37</v>
      </c>
      <c r="RX28" s="11" t="s">
        <v>37</v>
      </c>
      <c r="SA28" s="11" t="s">
        <v>37</v>
      </c>
      <c r="SB28" s="11" t="s">
        <v>37</v>
      </c>
      <c r="SC28" s="13" t="s">
        <v>37</v>
      </c>
      <c r="SD28" s="11" t="s">
        <v>37</v>
      </c>
      <c r="SE28" s="11" t="s">
        <v>37</v>
      </c>
      <c r="SF28" s="13" t="s">
        <v>37</v>
      </c>
      <c r="SI28" s="12" t="s">
        <v>37</v>
      </c>
      <c r="SJ28" s="11" t="s">
        <v>37</v>
      </c>
      <c r="SK28" s="13" t="s">
        <v>37</v>
      </c>
      <c r="SM28" s="11" t="s">
        <v>37</v>
      </c>
      <c r="SN28" s="11" t="s">
        <v>37</v>
      </c>
      <c r="SO28" s="13" t="s">
        <v>37</v>
      </c>
      <c r="SU28" s="12" t="s">
        <v>37</v>
      </c>
      <c r="SV28" s="12" t="s">
        <v>37</v>
      </c>
      <c r="SW28" s="11" t="s">
        <v>37</v>
      </c>
      <c r="SX28" s="12" t="s">
        <v>37</v>
      </c>
      <c r="SY28" s="12" t="s">
        <v>37</v>
      </c>
      <c r="SZ28" s="11" t="s">
        <v>37</v>
      </c>
      <c r="TE28" s="12" t="s">
        <v>37</v>
      </c>
      <c r="TF28" s="12" t="s">
        <v>37</v>
      </c>
      <c r="TG28" s="11" t="s">
        <v>37</v>
      </c>
      <c r="TH28" s="12" t="s">
        <v>37</v>
      </c>
      <c r="TI28" s="12" t="s">
        <v>37</v>
      </c>
      <c r="TJ28" s="11" t="s">
        <v>37</v>
      </c>
      <c r="TO28" s="12" t="s">
        <v>37</v>
      </c>
      <c r="TP28" s="12" t="s">
        <v>37</v>
      </c>
      <c r="TQ28" s="11" t="s">
        <v>37</v>
      </c>
      <c r="TR28" s="12" t="s">
        <v>37</v>
      </c>
      <c r="TS28" s="12" t="s">
        <v>37</v>
      </c>
      <c r="TT28" s="11" t="s">
        <v>37</v>
      </c>
      <c r="TY28" s="12" t="s">
        <v>37</v>
      </c>
      <c r="TZ28" s="12" t="s">
        <v>37</v>
      </c>
      <c r="UA28" s="11" t="s">
        <v>37</v>
      </c>
      <c r="UB28" s="12" t="s">
        <v>37</v>
      </c>
      <c r="UC28" s="12" t="s">
        <v>37</v>
      </c>
      <c r="UD28" s="11" t="s">
        <v>37</v>
      </c>
      <c r="UI28" s="12" t="s">
        <v>37</v>
      </c>
      <c r="UJ28" s="12" t="s">
        <v>37</v>
      </c>
      <c r="UK28" s="13" t="s">
        <v>37</v>
      </c>
      <c r="UL28" s="12" t="s">
        <v>37</v>
      </c>
      <c r="UM28" s="12" t="s">
        <v>37</v>
      </c>
      <c r="UN28" s="13" t="s">
        <v>37</v>
      </c>
      <c r="UR28" s="12" t="s">
        <v>37</v>
      </c>
      <c r="US28" s="12" t="s">
        <v>37</v>
      </c>
      <c r="UT28" s="13" t="s">
        <v>37</v>
      </c>
      <c r="UU28" s="12" t="s">
        <v>37</v>
      </c>
      <c r="UV28" s="12" t="s">
        <v>37</v>
      </c>
      <c r="UW28" s="13" t="s">
        <v>37</v>
      </c>
      <c r="VB28" s="12" t="s">
        <v>37</v>
      </c>
      <c r="VC28" s="12" t="s">
        <v>37</v>
      </c>
      <c r="VD28" s="13" t="s">
        <v>37</v>
      </c>
      <c r="VE28" s="12" t="s">
        <v>37</v>
      </c>
      <c r="VF28" s="12" t="s">
        <v>37</v>
      </c>
      <c r="VG28" s="13" t="s">
        <v>37</v>
      </c>
      <c r="VI28" s="12" t="s">
        <v>37</v>
      </c>
      <c r="VJ28" s="12" t="s">
        <v>37</v>
      </c>
      <c r="VK28" s="13" t="s">
        <v>37</v>
      </c>
      <c r="VL28" s="12" t="s">
        <v>37</v>
      </c>
      <c r="VM28" s="12" t="s">
        <v>37</v>
      </c>
      <c r="VN28" s="13" t="s">
        <v>37</v>
      </c>
      <c r="VO28" s="12" t="s">
        <v>37</v>
      </c>
      <c r="VQ28" s="12" t="s">
        <v>37</v>
      </c>
      <c r="VR28" s="12" t="s">
        <v>37</v>
      </c>
      <c r="VS28" s="12" t="s">
        <v>37</v>
      </c>
      <c r="VT28" s="12" t="s">
        <v>37</v>
      </c>
      <c r="VU28" s="12" t="s">
        <v>37</v>
      </c>
      <c r="VV28" s="12" t="s">
        <v>37</v>
      </c>
      <c r="VW28" s="12"/>
      <c r="VX28" s="12"/>
      <c r="WA28" s="13" t="s">
        <v>37</v>
      </c>
      <c r="WB28" s="13" t="s">
        <v>37</v>
      </c>
      <c r="WC28" s="13" t="s">
        <v>37</v>
      </c>
      <c r="WD28" s="13" t="s">
        <v>37</v>
      </c>
      <c r="WE28" s="13" t="s">
        <v>37</v>
      </c>
      <c r="WF28" s="13" t="s">
        <v>37</v>
      </c>
    </row>
    <row r="29" spans="1:604" ht="18" customHeight="1" x14ac:dyDescent="0.3">
      <c r="A29" s="11">
        <v>5</v>
      </c>
      <c r="B29" s="12" t="s">
        <v>77</v>
      </c>
      <c r="C29" s="12" t="s">
        <v>26</v>
      </c>
      <c r="D29" s="12" t="s">
        <v>54</v>
      </c>
      <c r="E29" s="39" t="s">
        <v>37</v>
      </c>
      <c r="F29" s="14">
        <v>0</v>
      </c>
      <c r="G29" s="14">
        <v>0</v>
      </c>
      <c r="H29" s="12" t="s">
        <v>79</v>
      </c>
      <c r="I29" s="29">
        <v>48.064999999999998</v>
      </c>
      <c r="J29" s="29">
        <v>128.51</v>
      </c>
      <c r="K29" s="12" t="s">
        <v>688</v>
      </c>
      <c r="L29" s="12" t="s">
        <v>689</v>
      </c>
      <c r="M29" s="13" t="s">
        <v>48</v>
      </c>
      <c r="N29" s="14">
        <v>0.4</v>
      </c>
      <c r="O29" s="14">
        <v>630</v>
      </c>
      <c r="P29" s="14" t="s">
        <v>16</v>
      </c>
      <c r="Q29" s="75">
        <v>20</v>
      </c>
      <c r="R29" s="11" t="s">
        <v>1000</v>
      </c>
      <c r="S29" s="12" t="s">
        <v>51</v>
      </c>
      <c r="T29" s="12" t="s">
        <v>876</v>
      </c>
      <c r="U29" s="12" t="s">
        <v>334</v>
      </c>
      <c r="V29" s="12" t="s">
        <v>275</v>
      </c>
      <c r="W29" s="23" t="s">
        <v>490</v>
      </c>
      <c r="X29" s="12" t="s">
        <v>282</v>
      </c>
      <c r="Y29" s="12" t="s">
        <v>68</v>
      </c>
      <c r="Z29" s="12" t="s">
        <v>37</v>
      </c>
      <c r="AB29" s="12" t="s">
        <v>37</v>
      </c>
      <c r="AE29" s="12" t="s">
        <v>37</v>
      </c>
      <c r="AH29" s="12" t="s">
        <v>37</v>
      </c>
      <c r="AK29" s="12" t="s">
        <v>37</v>
      </c>
      <c r="AL29" s="32" t="s">
        <v>485</v>
      </c>
      <c r="AM29" s="12" t="s">
        <v>317</v>
      </c>
      <c r="AN29" s="32" t="s">
        <v>878</v>
      </c>
      <c r="AO29" s="12" t="s">
        <v>37</v>
      </c>
      <c r="AP29" s="12" t="s">
        <v>602</v>
      </c>
      <c r="AQ29" s="12" t="s">
        <v>975</v>
      </c>
      <c r="AT29" s="12" t="s">
        <v>326</v>
      </c>
      <c r="AU29" s="12" t="s">
        <v>326</v>
      </c>
      <c r="AV29" s="13" t="s">
        <v>326</v>
      </c>
      <c r="AX29" s="12" t="s">
        <v>326</v>
      </c>
      <c r="AY29" s="12" t="s">
        <v>326</v>
      </c>
      <c r="AZ29" s="13" t="s">
        <v>326</v>
      </c>
      <c r="BE29" s="12" t="s">
        <v>326</v>
      </c>
      <c r="BF29" s="12" t="s">
        <v>326</v>
      </c>
      <c r="BG29" s="12" t="s">
        <v>326</v>
      </c>
      <c r="BI29" s="12" t="s">
        <v>326</v>
      </c>
      <c r="BJ29" s="12" t="s">
        <v>326</v>
      </c>
      <c r="BK29" s="12" t="s">
        <v>326</v>
      </c>
      <c r="BP29" s="12" t="s">
        <v>37</v>
      </c>
      <c r="BQ29" s="12" t="s">
        <v>37</v>
      </c>
      <c r="BR29" s="13" t="s">
        <v>37</v>
      </c>
      <c r="BT29" s="12" t="s">
        <v>37</v>
      </c>
      <c r="BU29" s="12" t="s">
        <v>37</v>
      </c>
      <c r="BV29" s="12" t="s">
        <v>37</v>
      </c>
      <c r="CA29" s="12" t="s">
        <v>37</v>
      </c>
      <c r="CB29" s="12" t="s">
        <v>37</v>
      </c>
      <c r="CC29" s="13" t="s">
        <v>37</v>
      </c>
      <c r="CE29" s="12" t="s">
        <v>37</v>
      </c>
      <c r="CF29" s="12" t="s">
        <v>37</v>
      </c>
      <c r="CG29" s="13" t="s">
        <v>37</v>
      </c>
      <c r="CI29" s="52"/>
      <c r="CJ29" s="12"/>
      <c r="CK29" s="73"/>
      <c r="CL29" s="73"/>
      <c r="CN29" s="12" t="s">
        <v>37</v>
      </c>
      <c r="CO29" s="12" t="s">
        <v>37</v>
      </c>
      <c r="CP29" s="13" t="s">
        <v>37</v>
      </c>
      <c r="CR29" s="12" t="s">
        <v>37</v>
      </c>
      <c r="CS29" s="12" t="s">
        <v>37</v>
      </c>
      <c r="CT29" s="13" t="s">
        <v>37</v>
      </c>
      <c r="CV29" s="52"/>
      <c r="CW29" s="52"/>
      <c r="CX29" s="73"/>
      <c r="CY29" s="73"/>
      <c r="DA29" s="12" t="s">
        <v>37</v>
      </c>
      <c r="DC29" s="13" t="s">
        <v>37</v>
      </c>
      <c r="DE29" s="12" t="s">
        <v>37</v>
      </c>
      <c r="DF29" s="12" t="s">
        <v>37</v>
      </c>
      <c r="DG29" s="13" t="s">
        <v>37</v>
      </c>
      <c r="DI29" s="52"/>
      <c r="DJ29" s="52"/>
      <c r="DK29" s="73"/>
      <c r="DL29" s="73"/>
      <c r="DM29" s="15" t="s">
        <v>47</v>
      </c>
      <c r="DN29" s="19">
        <f>2.16*150/1000*10^4/10^3/'[1]classes-1'!$I$14</f>
        <v>3.3518255889605926</v>
      </c>
      <c r="DO29" s="12">
        <f t="shared" si="69"/>
        <v>3.2126569880661773</v>
      </c>
      <c r="DP29" s="13">
        <v>3</v>
      </c>
      <c r="DQ29" s="19">
        <f t="shared" si="60"/>
        <v>0.95847976059590512</v>
      </c>
      <c r="DR29" s="19">
        <f>1.37*150/1000*10^4/10^3/'[1]classes-1'!$I$17</f>
        <v>1.5374058555071104</v>
      </c>
      <c r="DS29" s="12">
        <f>SQRT((1/[2]Classes!$I$17)^2*(3.06*150/1000*10^4/10^3)^2+(-DR29/([2]Classes!$I$17)^2)^2*([2]Classes!$J$17)^2)</f>
        <v>3.4762119230029214</v>
      </c>
      <c r="DT29" s="13">
        <v>3</v>
      </c>
      <c r="DU29" s="19">
        <f t="shared" si="61"/>
        <v>2.2610892956800268</v>
      </c>
      <c r="DV29" s="19">
        <f t="shared" si="62"/>
        <v>-1.8144197334534822</v>
      </c>
      <c r="DW29" s="12">
        <f t="shared" si="4"/>
        <v>3.3470295977626274</v>
      </c>
      <c r="DX29" s="72">
        <f t="shared" si="66"/>
        <v>7.4684047521993699</v>
      </c>
      <c r="DY29" s="72">
        <f t="shared" si="67"/>
        <v>7.4684047521993699</v>
      </c>
      <c r="DZ29" s="15"/>
      <c r="EA29" s="52" t="s">
        <v>37</v>
      </c>
      <c r="EB29" s="52" t="s">
        <v>37</v>
      </c>
      <c r="EC29" s="73" t="s">
        <v>37</v>
      </c>
      <c r="ED29" s="52"/>
      <c r="EE29" s="52" t="s">
        <v>37</v>
      </c>
      <c r="EF29" s="52" t="s">
        <v>37</v>
      </c>
      <c r="EG29" s="15" t="s">
        <v>37</v>
      </c>
      <c r="EH29" s="52"/>
      <c r="EI29" s="52"/>
      <c r="EJ29" s="52"/>
      <c r="EK29" s="52"/>
      <c r="EL29" s="52"/>
      <c r="EM29" s="12" t="s">
        <v>39</v>
      </c>
      <c r="EN29" s="12">
        <v>-20.329999999999998</v>
      </c>
      <c r="EO29" s="12">
        <v>2.57</v>
      </c>
      <c r="EP29" s="13">
        <v>3</v>
      </c>
      <c r="EQ29" s="19">
        <f t="shared" si="29"/>
        <v>0.12641416625676341</v>
      </c>
      <c r="ER29" s="12">
        <v>-31.710108073744415</v>
      </c>
      <c r="ES29" s="20">
        <v>5.4726041682006299</v>
      </c>
      <c r="ET29" s="13">
        <v>3</v>
      </c>
      <c r="EU29" s="19">
        <f t="shared" si="30"/>
        <v>0.1725823247108981</v>
      </c>
      <c r="EV29" s="19">
        <f t="shared" si="63"/>
        <v>-11.380108073744417</v>
      </c>
      <c r="EW29" s="12">
        <f t="shared" si="55"/>
        <v>4.2751781472709949</v>
      </c>
      <c r="EX29" s="19">
        <f t="shared" si="56"/>
        <v>12.184765460602302</v>
      </c>
      <c r="EY29" s="19">
        <f t="shared" si="57"/>
        <v>12.184765460602303</v>
      </c>
      <c r="FB29" s="11" t="s">
        <v>37</v>
      </c>
      <c r="FC29" s="11" t="s">
        <v>37</v>
      </c>
      <c r="FD29" s="11" t="s">
        <v>37</v>
      </c>
      <c r="FE29" s="12" t="s">
        <v>37</v>
      </c>
      <c r="FF29" s="20" t="s">
        <v>37</v>
      </c>
      <c r="FG29" s="11" t="s">
        <v>37</v>
      </c>
      <c r="FI29" s="11" t="s">
        <v>37</v>
      </c>
      <c r="FJ29" s="11" t="s">
        <v>37</v>
      </c>
      <c r="FK29" s="11" t="s">
        <v>37</v>
      </c>
      <c r="FL29" s="13" t="s">
        <v>37</v>
      </c>
      <c r="FM29" s="11" t="s">
        <v>37</v>
      </c>
      <c r="FN29" s="11" t="s">
        <v>37</v>
      </c>
      <c r="FP29" s="11" t="s">
        <v>37</v>
      </c>
      <c r="FQ29" s="11" t="s">
        <v>37</v>
      </c>
      <c r="FR29" s="11" t="s">
        <v>37</v>
      </c>
      <c r="FS29" s="13" t="s">
        <v>37</v>
      </c>
      <c r="FT29" s="11" t="s">
        <v>37</v>
      </c>
      <c r="FU29" s="11" t="s">
        <v>37</v>
      </c>
      <c r="FW29" s="11" t="s">
        <v>37</v>
      </c>
      <c r="FX29" s="11" t="s">
        <v>37</v>
      </c>
      <c r="FY29" s="11" t="s">
        <v>37</v>
      </c>
      <c r="FZ29" s="13" t="s">
        <v>37</v>
      </c>
      <c r="GA29" s="11" t="s">
        <v>37</v>
      </c>
      <c r="GB29" s="11" t="s">
        <v>37</v>
      </c>
      <c r="GE29" s="11"/>
      <c r="GF29" s="11"/>
      <c r="GI29" s="11"/>
      <c r="GJ29" s="11"/>
      <c r="GO29" s="12" t="s">
        <v>660</v>
      </c>
      <c r="GP29" s="12" t="s">
        <v>330</v>
      </c>
      <c r="GQ29" s="20">
        <v>8.74</v>
      </c>
      <c r="GR29" s="20">
        <v>1.19</v>
      </c>
      <c r="GS29" s="13">
        <v>3</v>
      </c>
      <c r="GT29" s="19">
        <f t="shared" si="65"/>
        <v>0.13615560640732263</v>
      </c>
      <c r="GU29" s="20">
        <v>9.778714436248686</v>
      </c>
      <c r="GV29" s="20">
        <v>0.77285798394481986</v>
      </c>
      <c r="GW29" s="13">
        <v>3</v>
      </c>
      <c r="GX29" s="19">
        <f t="shared" si="64"/>
        <v>7.9034722711598476E-2</v>
      </c>
      <c r="GY29" s="19">
        <f t="shared" si="59"/>
        <v>0.11229783750287467</v>
      </c>
      <c r="GZ29" s="19">
        <f t="shared" si="19"/>
        <v>8.2616121834150069E-3</v>
      </c>
      <c r="HD29" s="11"/>
      <c r="HG29" s="11"/>
      <c r="HH29" s="11"/>
      <c r="IK29" s="12" t="s">
        <v>37</v>
      </c>
      <c r="IL29" s="12" t="s">
        <v>37</v>
      </c>
      <c r="IM29" s="13" t="s">
        <v>37</v>
      </c>
      <c r="IO29" s="12" t="s">
        <v>37</v>
      </c>
      <c r="IP29" s="12" t="s">
        <v>37</v>
      </c>
      <c r="IQ29" s="13" t="s">
        <v>37</v>
      </c>
      <c r="IW29" s="12" t="s">
        <v>37</v>
      </c>
      <c r="IX29" s="11" t="s">
        <v>37</v>
      </c>
      <c r="IY29" s="13" t="s">
        <v>37</v>
      </c>
      <c r="JA29" s="11" t="s">
        <v>37</v>
      </c>
      <c r="JB29" s="11" t="s">
        <v>37</v>
      </c>
      <c r="JC29" s="13" t="s">
        <v>37</v>
      </c>
      <c r="JH29" s="12" t="s">
        <v>37</v>
      </c>
      <c r="JI29" s="12" t="s">
        <v>37</v>
      </c>
      <c r="JJ29" s="13" t="s">
        <v>37</v>
      </c>
      <c r="JL29" s="12" t="s">
        <v>37</v>
      </c>
      <c r="JM29" s="12" t="s">
        <v>37</v>
      </c>
      <c r="JN29" s="12" t="s">
        <v>37</v>
      </c>
      <c r="JS29" s="12" t="s">
        <v>37</v>
      </c>
      <c r="JT29" s="12" t="s">
        <v>37</v>
      </c>
      <c r="JU29" s="13" t="s">
        <v>37</v>
      </c>
      <c r="JW29" s="12" t="s">
        <v>37</v>
      </c>
      <c r="JX29" s="12" t="s">
        <v>37</v>
      </c>
      <c r="JY29" s="12" t="s">
        <v>37</v>
      </c>
      <c r="KE29" s="11" t="s">
        <v>37</v>
      </c>
      <c r="KF29" s="11" t="s">
        <v>37</v>
      </c>
      <c r="KG29" s="13" t="s">
        <v>37</v>
      </c>
      <c r="KH29" s="11" t="s">
        <v>37</v>
      </c>
      <c r="KI29" s="11" t="s">
        <v>37</v>
      </c>
      <c r="KJ29" s="11" t="s">
        <v>37</v>
      </c>
      <c r="KM29" s="12" t="s">
        <v>37</v>
      </c>
      <c r="KN29" s="11" t="s">
        <v>37</v>
      </c>
      <c r="KO29" s="11" t="s">
        <v>37</v>
      </c>
      <c r="KQ29" s="11" t="s">
        <v>37</v>
      </c>
      <c r="KR29" s="11" t="s">
        <v>37</v>
      </c>
      <c r="KS29" s="13" t="s">
        <v>37</v>
      </c>
      <c r="KX29" s="11" t="s">
        <v>37</v>
      </c>
      <c r="KY29" s="11" t="s">
        <v>37</v>
      </c>
      <c r="KZ29" s="13" t="s">
        <v>37</v>
      </c>
      <c r="LB29" s="11" t="s">
        <v>37</v>
      </c>
      <c r="LC29" s="11" t="s">
        <v>37</v>
      </c>
      <c r="LD29" s="13" t="s">
        <v>37</v>
      </c>
      <c r="LI29" s="12" t="s">
        <v>37</v>
      </c>
      <c r="LJ29" s="12" t="s">
        <v>37</v>
      </c>
      <c r="LK29" s="12" t="s">
        <v>37</v>
      </c>
      <c r="LM29" s="12" t="s">
        <v>37</v>
      </c>
      <c r="LN29" s="12" t="s">
        <v>37</v>
      </c>
      <c r="LO29" s="12" t="s">
        <v>37</v>
      </c>
      <c r="LU29" s="12" t="s">
        <v>37</v>
      </c>
      <c r="LV29" s="12" t="s">
        <v>37</v>
      </c>
      <c r="LW29" s="13" t="s">
        <v>37</v>
      </c>
      <c r="LY29" s="12" t="s">
        <v>37</v>
      </c>
      <c r="LZ29" s="12" t="s">
        <v>37</v>
      </c>
      <c r="MA29" s="11" t="s">
        <v>37</v>
      </c>
      <c r="MF29" s="12" t="s">
        <v>37</v>
      </c>
      <c r="MG29" s="12" t="s">
        <v>37</v>
      </c>
      <c r="MH29" s="12" t="s">
        <v>37</v>
      </c>
      <c r="MJ29" s="12" t="s">
        <v>37</v>
      </c>
      <c r="MK29" s="12" t="s">
        <v>37</v>
      </c>
      <c r="ML29" s="12" t="s">
        <v>37</v>
      </c>
      <c r="MQ29" s="12" t="s">
        <v>37</v>
      </c>
      <c r="MR29" s="12" t="s">
        <v>37</v>
      </c>
      <c r="MS29" s="12" t="s">
        <v>37</v>
      </c>
      <c r="MU29" s="12" t="s">
        <v>37</v>
      </c>
      <c r="MV29" s="12" t="s">
        <v>37</v>
      </c>
      <c r="MW29" s="12" t="s">
        <v>37</v>
      </c>
      <c r="NC29" s="11" t="s">
        <v>37</v>
      </c>
      <c r="ND29" s="11" t="s">
        <v>37</v>
      </c>
      <c r="NE29" s="13" t="s">
        <v>37</v>
      </c>
      <c r="NG29" s="11" t="s">
        <v>37</v>
      </c>
      <c r="NH29" s="11" t="s">
        <v>37</v>
      </c>
      <c r="NI29" s="13" t="s">
        <v>37</v>
      </c>
      <c r="NO29" s="11" t="s">
        <v>37</v>
      </c>
      <c r="NP29" s="11" t="s">
        <v>37</v>
      </c>
      <c r="NQ29" s="13" t="s">
        <v>37</v>
      </c>
      <c r="NS29" s="11" t="s">
        <v>37</v>
      </c>
      <c r="NT29" s="11" t="s">
        <v>37</v>
      </c>
      <c r="NU29" s="13" t="s">
        <v>37</v>
      </c>
      <c r="OA29" s="11" t="s">
        <v>37</v>
      </c>
      <c r="OB29" s="11" t="s">
        <v>37</v>
      </c>
      <c r="OC29" s="13" t="s">
        <v>37</v>
      </c>
      <c r="OE29" s="11" t="s">
        <v>37</v>
      </c>
      <c r="OF29" s="11" t="s">
        <v>37</v>
      </c>
      <c r="OG29" s="13" t="s">
        <v>37</v>
      </c>
      <c r="OM29" s="11" t="s">
        <v>37</v>
      </c>
      <c r="ON29" s="11" t="s">
        <v>37</v>
      </c>
      <c r="OO29" s="11" t="s">
        <v>37</v>
      </c>
      <c r="OP29" s="11" t="s">
        <v>37</v>
      </c>
      <c r="OQ29" s="11" t="s">
        <v>37</v>
      </c>
      <c r="OR29" s="11" t="s">
        <v>37</v>
      </c>
      <c r="OW29" s="11" t="s">
        <v>37</v>
      </c>
      <c r="OX29" s="11" t="s">
        <v>37</v>
      </c>
      <c r="OY29" s="13" t="s">
        <v>37</v>
      </c>
      <c r="OZ29" s="11" t="s">
        <v>37</v>
      </c>
      <c r="PA29" s="11" t="s">
        <v>37</v>
      </c>
      <c r="PB29" s="13" t="s">
        <v>37</v>
      </c>
      <c r="PG29" s="11" t="s">
        <v>37</v>
      </c>
      <c r="PH29" s="11" t="s">
        <v>37</v>
      </c>
      <c r="PI29" s="13" t="s">
        <v>37</v>
      </c>
      <c r="PJ29" s="11" t="s">
        <v>37</v>
      </c>
      <c r="PK29" s="11" t="s">
        <v>37</v>
      </c>
      <c r="PL29" s="13" t="s">
        <v>37</v>
      </c>
      <c r="PQ29" s="11" t="s">
        <v>37</v>
      </c>
      <c r="PR29" s="11" t="s">
        <v>37</v>
      </c>
      <c r="PS29" s="13" t="s">
        <v>37</v>
      </c>
      <c r="PT29" s="11" t="s">
        <v>37</v>
      </c>
      <c r="PU29" s="11" t="s">
        <v>37</v>
      </c>
      <c r="PV29" s="13" t="s">
        <v>37</v>
      </c>
      <c r="PZ29" s="11" t="s">
        <v>37</v>
      </c>
      <c r="QA29" s="11" t="s">
        <v>37</v>
      </c>
      <c r="QB29" s="11" t="s">
        <v>37</v>
      </c>
      <c r="QD29" s="11" t="s">
        <v>37</v>
      </c>
      <c r="QE29" s="11" t="s">
        <v>37</v>
      </c>
      <c r="QF29" s="13" t="s">
        <v>37</v>
      </c>
      <c r="QK29" s="11" t="s">
        <v>37</v>
      </c>
      <c r="QL29" s="11" t="s">
        <v>37</v>
      </c>
      <c r="QM29" s="13" t="s">
        <v>37</v>
      </c>
      <c r="QN29" s="11" t="s">
        <v>37</v>
      </c>
      <c r="QO29" s="11" t="s">
        <v>37</v>
      </c>
      <c r="QP29" s="13" t="s">
        <v>37</v>
      </c>
      <c r="QU29" s="11" t="s">
        <v>37</v>
      </c>
      <c r="QV29" s="11" t="s">
        <v>37</v>
      </c>
      <c r="QW29" s="13" t="s">
        <v>37</v>
      </c>
      <c r="QX29" s="11" t="s">
        <v>37</v>
      </c>
      <c r="QY29" s="11" t="s">
        <v>37</v>
      </c>
      <c r="QZ29" s="13" t="s">
        <v>37</v>
      </c>
      <c r="RC29" s="12" t="s">
        <v>37</v>
      </c>
      <c r="RD29" s="12" t="s">
        <v>37</v>
      </c>
      <c r="RE29" s="13" t="s">
        <v>37</v>
      </c>
      <c r="RF29" s="12" t="s">
        <v>37</v>
      </c>
      <c r="RG29" s="12" t="s">
        <v>37</v>
      </c>
      <c r="RH29" s="13" t="s">
        <v>37</v>
      </c>
      <c r="RK29" s="11" t="s">
        <v>37</v>
      </c>
      <c r="RL29" s="11" t="s">
        <v>37</v>
      </c>
      <c r="RM29" s="11" t="s">
        <v>37</v>
      </c>
      <c r="RN29" s="11" t="s">
        <v>37</v>
      </c>
      <c r="RO29" s="11" t="s">
        <v>37</v>
      </c>
      <c r="RP29" s="11" t="s">
        <v>37</v>
      </c>
      <c r="RS29" s="11" t="s">
        <v>37</v>
      </c>
      <c r="RT29" s="11" t="s">
        <v>37</v>
      </c>
      <c r="RU29" s="11" t="s">
        <v>37</v>
      </c>
      <c r="RV29" s="11" t="s">
        <v>37</v>
      </c>
      <c r="RW29" s="11" t="s">
        <v>37</v>
      </c>
      <c r="RX29" s="11" t="s">
        <v>37</v>
      </c>
      <c r="SA29" s="11" t="s">
        <v>37</v>
      </c>
      <c r="SB29" s="11" t="s">
        <v>37</v>
      </c>
      <c r="SC29" s="13" t="s">
        <v>37</v>
      </c>
      <c r="SD29" s="11" t="s">
        <v>37</v>
      </c>
      <c r="SE29" s="11" t="s">
        <v>37</v>
      </c>
      <c r="SF29" s="13" t="s">
        <v>37</v>
      </c>
      <c r="SI29" s="12" t="s">
        <v>37</v>
      </c>
      <c r="SJ29" s="11" t="s">
        <v>37</v>
      </c>
      <c r="SK29" s="13" t="s">
        <v>37</v>
      </c>
      <c r="SM29" s="11" t="s">
        <v>37</v>
      </c>
      <c r="SN29" s="11" t="s">
        <v>37</v>
      </c>
      <c r="SO29" s="13" t="s">
        <v>37</v>
      </c>
      <c r="SU29" s="12" t="s">
        <v>37</v>
      </c>
      <c r="SV29" s="12" t="s">
        <v>37</v>
      </c>
      <c r="SW29" s="11" t="s">
        <v>37</v>
      </c>
      <c r="SX29" s="12" t="s">
        <v>37</v>
      </c>
      <c r="SY29" s="12" t="s">
        <v>37</v>
      </c>
      <c r="SZ29" s="11" t="s">
        <v>37</v>
      </c>
      <c r="TE29" s="12" t="s">
        <v>37</v>
      </c>
      <c r="TF29" s="12" t="s">
        <v>37</v>
      </c>
      <c r="TG29" s="11" t="s">
        <v>37</v>
      </c>
      <c r="TH29" s="12" t="s">
        <v>37</v>
      </c>
      <c r="TI29" s="12" t="s">
        <v>37</v>
      </c>
      <c r="TJ29" s="11" t="s">
        <v>37</v>
      </c>
      <c r="TO29" s="12" t="s">
        <v>37</v>
      </c>
      <c r="TP29" s="12" t="s">
        <v>37</v>
      </c>
      <c r="TQ29" s="11" t="s">
        <v>37</v>
      </c>
      <c r="TR29" s="12" t="s">
        <v>37</v>
      </c>
      <c r="TS29" s="12" t="s">
        <v>37</v>
      </c>
      <c r="TT29" s="11" t="s">
        <v>37</v>
      </c>
      <c r="TY29" s="12" t="s">
        <v>37</v>
      </c>
      <c r="TZ29" s="12" t="s">
        <v>37</v>
      </c>
      <c r="UA29" s="11" t="s">
        <v>37</v>
      </c>
      <c r="UB29" s="12" t="s">
        <v>37</v>
      </c>
      <c r="UC29" s="12" t="s">
        <v>37</v>
      </c>
      <c r="UD29" s="11" t="s">
        <v>37</v>
      </c>
      <c r="UI29" s="12" t="s">
        <v>37</v>
      </c>
      <c r="UJ29" s="12" t="s">
        <v>37</v>
      </c>
      <c r="UK29" s="13" t="s">
        <v>37</v>
      </c>
      <c r="UL29" s="12" t="s">
        <v>37</v>
      </c>
      <c r="UM29" s="12" t="s">
        <v>37</v>
      </c>
      <c r="UN29" s="13" t="s">
        <v>37</v>
      </c>
      <c r="UR29" s="12" t="s">
        <v>37</v>
      </c>
      <c r="US29" s="12" t="s">
        <v>37</v>
      </c>
      <c r="UT29" s="13" t="s">
        <v>37</v>
      </c>
      <c r="UU29" s="12" t="s">
        <v>37</v>
      </c>
      <c r="UV29" s="12" t="s">
        <v>37</v>
      </c>
      <c r="UW29" s="13" t="s">
        <v>37</v>
      </c>
      <c r="VB29" s="12" t="s">
        <v>37</v>
      </c>
      <c r="VC29" s="12" t="s">
        <v>37</v>
      </c>
      <c r="VD29" s="13" t="s">
        <v>37</v>
      </c>
      <c r="VE29" s="12" t="s">
        <v>37</v>
      </c>
      <c r="VF29" s="12" t="s">
        <v>37</v>
      </c>
      <c r="VG29" s="13" t="s">
        <v>37</v>
      </c>
      <c r="VI29" s="12" t="s">
        <v>37</v>
      </c>
      <c r="VJ29" s="12" t="s">
        <v>37</v>
      </c>
      <c r="VK29" s="13" t="s">
        <v>37</v>
      </c>
      <c r="VL29" s="12" t="s">
        <v>37</v>
      </c>
      <c r="VM29" s="12" t="s">
        <v>37</v>
      </c>
      <c r="VN29" s="13" t="s">
        <v>37</v>
      </c>
      <c r="VO29" s="12" t="s">
        <v>37</v>
      </c>
      <c r="VQ29" s="12" t="s">
        <v>37</v>
      </c>
      <c r="VR29" s="12" t="s">
        <v>37</v>
      </c>
      <c r="VS29" s="12" t="s">
        <v>37</v>
      </c>
      <c r="VT29" s="12" t="s">
        <v>37</v>
      </c>
      <c r="VU29" s="12" t="s">
        <v>37</v>
      </c>
      <c r="VV29" s="12" t="s">
        <v>37</v>
      </c>
      <c r="VW29" s="12"/>
      <c r="VX29" s="12"/>
      <c r="WA29" s="13" t="s">
        <v>37</v>
      </c>
      <c r="WB29" s="13" t="s">
        <v>37</v>
      </c>
      <c r="WC29" s="13" t="s">
        <v>37</v>
      </c>
      <c r="WD29" s="13" t="s">
        <v>37</v>
      </c>
      <c r="WE29" s="13" t="s">
        <v>37</v>
      </c>
      <c r="WF29" s="13" t="s">
        <v>37</v>
      </c>
    </row>
    <row r="30" spans="1:604" ht="18" customHeight="1" x14ac:dyDescent="0.3">
      <c r="A30" s="11">
        <v>6</v>
      </c>
      <c r="B30" s="12" t="s">
        <v>1051</v>
      </c>
      <c r="C30" s="12" t="s">
        <v>26</v>
      </c>
      <c r="D30" s="12" t="s">
        <v>973</v>
      </c>
      <c r="E30" s="40">
        <v>1</v>
      </c>
      <c r="F30" s="14">
        <v>0</v>
      </c>
      <c r="G30" s="14">
        <v>0</v>
      </c>
      <c r="H30" s="12" t="s">
        <v>82</v>
      </c>
      <c r="I30" s="29">
        <v>64.819999999999993</v>
      </c>
      <c r="J30" s="29">
        <v>-147.87</v>
      </c>
      <c r="K30" s="12" t="s">
        <v>83</v>
      </c>
      <c r="L30" s="12" t="s">
        <v>290</v>
      </c>
      <c r="M30" s="13" t="s">
        <v>37</v>
      </c>
      <c r="N30" s="14">
        <v>-3.1</v>
      </c>
      <c r="O30" s="14">
        <v>287</v>
      </c>
      <c r="P30" s="14" t="s">
        <v>84</v>
      </c>
      <c r="Q30" s="75" t="s">
        <v>326</v>
      </c>
      <c r="R30" s="11" t="s">
        <v>37</v>
      </c>
      <c r="S30" s="12" t="s">
        <v>85</v>
      </c>
      <c r="T30" s="12" t="s">
        <v>138</v>
      </c>
      <c r="U30" s="12" t="s">
        <v>158</v>
      </c>
      <c r="V30" s="12" t="s">
        <v>275</v>
      </c>
      <c r="W30" s="23" t="s">
        <v>926</v>
      </c>
      <c r="X30" s="12" t="s">
        <v>280</v>
      </c>
      <c r="Y30" s="12" t="s">
        <v>69</v>
      </c>
      <c r="Z30" s="12" t="s">
        <v>37</v>
      </c>
      <c r="AA30" s="32" t="s">
        <v>345</v>
      </c>
      <c r="AB30" s="12">
        <v>5.3</v>
      </c>
      <c r="AE30" s="12" t="s">
        <v>37</v>
      </c>
      <c r="AH30" s="12" t="s">
        <v>37</v>
      </c>
      <c r="AK30" s="12" t="s">
        <v>37</v>
      </c>
      <c r="AL30" s="32" t="s">
        <v>87</v>
      </c>
      <c r="AM30" s="12" t="s">
        <v>317</v>
      </c>
      <c r="AN30" s="32" t="s">
        <v>880</v>
      </c>
      <c r="AO30" s="12" t="s">
        <v>318</v>
      </c>
      <c r="AP30" s="12" t="s">
        <v>600</v>
      </c>
      <c r="AQ30" s="12" t="s">
        <v>975</v>
      </c>
      <c r="AT30" s="12" t="s">
        <v>326</v>
      </c>
      <c r="AU30" s="12" t="s">
        <v>326</v>
      </c>
      <c r="AV30" s="13" t="s">
        <v>326</v>
      </c>
      <c r="AX30" s="12" t="s">
        <v>326</v>
      </c>
      <c r="AY30" s="12" t="s">
        <v>326</v>
      </c>
      <c r="AZ30" s="13" t="s">
        <v>326</v>
      </c>
      <c r="BE30" s="12" t="s">
        <v>326</v>
      </c>
      <c r="BF30" s="12" t="s">
        <v>326</v>
      </c>
      <c r="BG30" s="12" t="s">
        <v>326</v>
      </c>
      <c r="BI30" s="12" t="s">
        <v>326</v>
      </c>
      <c r="BJ30" s="12" t="s">
        <v>326</v>
      </c>
      <c r="BK30" s="12" t="s">
        <v>326</v>
      </c>
      <c r="BP30" s="12" t="s">
        <v>37</v>
      </c>
      <c r="BQ30" s="12" t="s">
        <v>37</v>
      </c>
      <c r="BR30" s="13" t="s">
        <v>37</v>
      </c>
      <c r="BT30" s="12" t="s">
        <v>37</v>
      </c>
      <c r="BU30" s="12" t="s">
        <v>37</v>
      </c>
      <c r="BV30" s="12" t="s">
        <v>37</v>
      </c>
      <c r="BZ30" s="12" t="s">
        <v>47</v>
      </c>
      <c r="CA30" s="12">
        <f>-6.32727272727273*44*10^4*24*3600*("2005/09/30"-"2005/5/1")/10^9/'[6]classess-1'!$T$90</f>
        <v>-40736.294508300089</v>
      </c>
      <c r="CB30" s="12">
        <f>1.60330237709443*44*10^4*24*3600*("2005/09/30"-"2005/5/1")/10^9</f>
        <v>9264.5737614785212</v>
      </c>
      <c r="CC30" s="13">
        <v>6</v>
      </c>
      <c r="CD30" s="19">
        <f>CB30/ABS(CA30)</f>
        <v>0.22742799445322276</v>
      </c>
      <c r="CE30" s="12">
        <f>-5.16363636363636*44*10^4*24*3600*("2005/09/30"-"2005/5/1")/10^9/'[6]classess-1'!$T$91</f>
        <v>-30951.137650990822</v>
      </c>
      <c r="CF30" s="12">
        <f>1.33608531424538*44*10^4*24*3600*("2005/09/30"-"2005/5/1")/10^9</f>
        <v>7720.4781345655592</v>
      </c>
      <c r="CG30" s="13">
        <v>6</v>
      </c>
      <c r="CH30" s="19">
        <f>CF30/ABS(CE30)</f>
        <v>0.24944085162951701</v>
      </c>
      <c r="CI30" s="75">
        <f>CE30-CA30</f>
        <v>9785.1568573092663</v>
      </c>
      <c r="CJ30" s="12">
        <f>SQRT(((CC30-1)*CB30^2+(CG30-1)*CF30^2)/(CC30+CG30-2))</f>
        <v>8527.546822157623</v>
      </c>
      <c r="CK30" s="72">
        <f t="shared" ref="CK30" si="70">(((CC30+CG30)/(CC30*CG30))*(((CC30-1)*CB30^2)+(CG30-1)*CF30^2)/(CC30+CG30-2))</f>
        <v>24239684.934696857</v>
      </c>
      <c r="CL30" s="72">
        <f t="shared" ref="CL30" si="71">(CB30^2/CC30)+(CF30^2/CG30)</f>
        <v>24239684.934696861</v>
      </c>
      <c r="CM30" s="12" t="s">
        <v>47</v>
      </c>
      <c r="CN30" s="12">
        <f>3*44*10^4*24*3600*("2005/09/30"-"2005/5/1")/10^9/'[6]classess-1'!$I$90</f>
        <v>23661.813178740125</v>
      </c>
      <c r="CO30" s="12">
        <f>SQRT((1/[7]Classess!$I$90)^2*(0.979795897113271*44*10^4*24*3600*("2005/09/30"-"2005/5/1")/10^9)^2+(-CN30/([7]Classess!$I$90)^2)^2*[7]Classess!$J$90^2)</f>
        <v>8127.2621692012581</v>
      </c>
      <c r="CP30" s="13">
        <v>6</v>
      </c>
      <c r="CQ30" s="19">
        <f t="shared" ref="CQ30:CQ31" si="72">CO30/ABS(CN30)</f>
        <v>0.34347588275709623</v>
      </c>
      <c r="CR30" s="12">
        <f>2.67272727272727*44*10^4*24*3600*("2005/09/30"-"2005/5/1")/10^9/'[6]classess-1'!$I$91</f>
        <v>17959.926513784052</v>
      </c>
      <c r="CS30" s="12">
        <f>SQRT((1/[7]Classess!$I$91)^2*(0.890723542830262*44*10^4*24*3600*("2005/09/30"-"2005/5/1")/10^9)^2+(-CR30/([7]Classess!$I$91)^2)^2*([7]Classess!$J$91)^2)</f>
        <v>6049.9193018093547</v>
      </c>
      <c r="CT30" s="13">
        <v>6</v>
      </c>
      <c r="CU30" s="19">
        <f t="shared" ref="CU30:CU31" si="73">CS30/ABS(CR30)</f>
        <v>0.33685657328085983</v>
      </c>
      <c r="CV30" s="75">
        <f t="shared" ref="CV30:CV31" si="74">CR30-CN30</f>
        <v>-5701.8866649560732</v>
      </c>
      <c r="CW30" s="12">
        <f>SQRT(((CP30-1)*CO30^2+(CT30-1)*CS30^2)/(CP30+CT30-2))</f>
        <v>7164.2834228321581</v>
      </c>
      <c r="CX30" s="72">
        <f t="shared" ref="CX30:CX31" si="75">(((CP30+CT30)/(CP30*CT30))*(((CP30-1)*CO30^2)+(CT30-1)*CS30^2)/(CP30+CT30-2))</f>
        <v>17108985.654222555</v>
      </c>
      <c r="CY30" s="72">
        <f t="shared" ref="CY30:CY31" si="76">(CO30^2/CP30)+(CS30^2/CT30)</f>
        <v>17108985.654222555</v>
      </c>
      <c r="CZ30" s="12" t="s">
        <v>47</v>
      </c>
      <c r="DA30" s="12">
        <f>CA30+CN30</f>
        <v>-17074.481329559963</v>
      </c>
      <c r="DB30" s="12">
        <f>SQRT((1/[7]Classess!$I$27)^2*(0.6*44*10^4*24*3600*("2005/09/30"-"2005/5/1")/10^9)^2+(-DA30/([7]Classess!$I$27)^2)^2*([7]Classess!$J$27)^2)</f>
        <v>1832.3959637482985</v>
      </c>
      <c r="DC30" s="13">
        <v>6</v>
      </c>
      <c r="DD30" s="19">
        <f>DB30/ABS(DA30)</f>
        <v>0.10731781120495812</v>
      </c>
      <c r="DE30" s="12">
        <f>CE30+CR30</f>
        <v>-12991.21113720677</v>
      </c>
      <c r="DF30" s="12">
        <f>SQRT((1/[7]Classess!$I$28)^2*(0.6*44*10^4*24*3600*("2005/09/30"-"2005/5/1")/10^9)^2+(-DE30/([7]Classess!$I$28)^2)^2*([7]Classess!$J$28)^2)</f>
        <v>15856.449105704574</v>
      </c>
      <c r="DG30" s="13">
        <v>6</v>
      </c>
      <c r="DH30" s="19">
        <f t="shared" ref="DH30:DH32" si="77">DF30/ABS(DE30)</f>
        <v>1.2205520284626716</v>
      </c>
      <c r="DI30" s="19">
        <f>DE30-DA30</f>
        <v>4083.2701923531931</v>
      </c>
      <c r="DJ30" s="12">
        <f t="shared" ref="DJ30:DJ32" si="78">SQRT(((DC30-1)*DB30^2+(DG30-1)*DF30^2)/(DC30+DG30-2))</f>
        <v>11286.820925525497</v>
      </c>
      <c r="DK30" s="72">
        <f>(((DC30+DG30)/(DC30*DG30))*(((DC30-1)*DB30^2)+(DG30-1)*DF30^2)/(DC30+DG30-2))</f>
        <v>42464108.868293412</v>
      </c>
      <c r="DL30" s="72">
        <f>(DB30^2/DC30)+(DF30^2/DG30)</f>
        <v>42464108.868293405</v>
      </c>
      <c r="DM30" s="11" t="s">
        <v>47</v>
      </c>
      <c r="DN30" s="52">
        <f>80.11*10^4*("2005/09/30"-"2005/5/1")/10^6/'[1]classes-1'!$I$80</f>
        <v>155.37117670145557</v>
      </c>
      <c r="DO30" s="15">
        <f>SQRT((1/[2]Classes!$I$80)^2*(13.22*10^4*("2005/09/30"-"2005/5/1")/10^6)^2+(-DN30/([2]Classes!$I$80)^2)^2*([2]Classes!$J$80)^2)</f>
        <v>42.709219724301029</v>
      </c>
      <c r="DP30" s="18">
        <v>6</v>
      </c>
      <c r="DQ30" s="19">
        <f t="shared" si="60"/>
        <v>0.27488508892718527</v>
      </c>
      <c r="DR30" s="52">
        <f>74.43*10^4*("2005/09/30"-"2005/5/1")/10^6/'[1]classes-1'!$I$81</f>
        <v>185.22204309442213</v>
      </c>
      <c r="DS30" s="15">
        <f>SQRT(([2]Classes!$I$81)^2*(16.01*10^4*("2005/09/30"-"2005/5/1")/10^6)^2+(-DR30/([2]Classes!$I$81)^2)^2*([2]Classes!$J$81)^2)</f>
        <v>44.646673389917268</v>
      </c>
      <c r="DT30" s="18">
        <v>6</v>
      </c>
      <c r="DU30" s="19">
        <f t="shared" si="61"/>
        <v>0.24104406065296113</v>
      </c>
      <c r="DV30" s="19">
        <f t="shared" si="62"/>
        <v>29.850866392966566</v>
      </c>
      <c r="DW30" s="12">
        <f t="shared" si="4"/>
        <v>43.68868786221767</v>
      </c>
      <c r="DX30" s="72">
        <f t="shared" si="66"/>
        <v>636.23381570742845</v>
      </c>
      <c r="DY30" s="72">
        <f t="shared" si="67"/>
        <v>636.23381570742845</v>
      </c>
      <c r="DZ30" s="15"/>
      <c r="EA30" s="52" t="s">
        <v>37</v>
      </c>
      <c r="EB30" s="52" t="s">
        <v>37</v>
      </c>
      <c r="EC30" s="73" t="s">
        <v>37</v>
      </c>
      <c r="ED30" s="52"/>
      <c r="EE30" s="52" t="s">
        <v>37</v>
      </c>
      <c r="EF30" s="52" t="s">
        <v>37</v>
      </c>
      <c r="EG30" s="18" t="s">
        <v>37</v>
      </c>
      <c r="EH30" s="52"/>
      <c r="EI30" s="52"/>
      <c r="EJ30" s="52"/>
      <c r="EK30" s="52"/>
      <c r="EL30" s="52"/>
      <c r="EN30" s="12" t="s">
        <v>37</v>
      </c>
      <c r="EO30" s="12" t="s">
        <v>37</v>
      </c>
      <c r="EP30" s="13" t="s">
        <v>37</v>
      </c>
      <c r="ER30" s="12" t="s">
        <v>37</v>
      </c>
      <c r="ES30" s="12" t="s">
        <v>37</v>
      </c>
      <c r="ET30" s="13" t="s">
        <v>37</v>
      </c>
      <c r="FB30" s="11" t="s">
        <v>37</v>
      </c>
      <c r="FC30" s="11" t="s">
        <v>37</v>
      </c>
      <c r="FD30" s="11" t="s">
        <v>37</v>
      </c>
      <c r="FE30" s="12" t="s">
        <v>37</v>
      </c>
      <c r="FF30" s="20" t="s">
        <v>37</v>
      </c>
      <c r="FG30" s="11" t="s">
        <v>37</v>
      </c>
      <c r="FI30" s="11" t="s">
        <v>37</v>
      </c>
      <c r="FJ30" s="11" t="s">
        <v>37</v>
      </c>
      <c r="FK30" s="11" t="s">
        <v>37</v>
      </c>
      <c r="FL30" s="13" t="s">
        <v>37</v>
      </c>
      <c r="FM30" s="11" t="s">
        <v>37</v>
      </c>
      <c r="FN30" s="11" t="s">
        <v>37</v>
      </c>
      <c r="FP30" s="11" t="s">
        <v>37</v>
      </c>
      <c r="FQ30" s="11" t="s">
        <v>37</v>
      </c>
      <c r="FR30" s="11" t="s">
        <v>37</v>
      </c>
      <c r="FS30" s="13" t="s">
        <v>37</v>
      </c>
      <c r="FT30" s="11" t="s">
        <v>37</v>
      </c>
      <c r="FU30" s="11" t="s">
        <v>37</v>
      </c>
      <c r="FW30" s="11" t="s">
        <v>37</v>
      </c>
      <c r="FX30" s="11" t="s">
        <v>37</v>
      </c>
      <c r="FY30" s="11" t="s">
        <v>37</v>
      </c>
      <c r="FZ30" s="13" t="s">
        <v>37</v>
      </c>
      <c r="GA30" s="11" t="s">
        <v>37</v>
      </c>
      <c r="GB30" s="11" t="s">
        <v>37</v>
      </c>
      <c r="GE30" s="11"/>
      <c r="GF30" s="11"/>
      <c r="GI30" s="11"/>
      <c r="GJ30" s="11"/>
      <c r="HD30" s="11"/>
      <c r="HG30" s="11"/>
      <c r="HH30" s="11"/>
      <c r="IK30" s="12" t="s">
        <v>37</v>
      </c>
      <c r="IL30" s="12" t="s">
        <v>37</v>
      </c>
      <c r="IM30" s="13" t="s">
        <v>37</v>
      </c>
      <c r="IO30" s="12" t="s">
        <v>37</v>
      </c>
      <c r="IP30" s="12" t="s">
        <v>37</v>
      </c>
      <c r="IQ30" s="13" t="s">
        <v>37</v>
      </c>
      <c r="IV30" s="32" t="s">
        <v>345</v>
      </c>
      <c r="IW30" s="12">
        <v>5.3</v>
      </c>
      <c r="IX30" s="50">
        <f>ABS(IW30)*IZ$474</f>
        <v>0.19404753592852261</v>
      </c>
      <c r="IY30" s="13">
        <v>6</v>
      </c>
      <c r="JA30" s="11"/>
      <c r="JB30" s="11"/>
      <c r="JH30" s="12" t="s">
        <v>37</v>
      </c>
      <c r="JI30" s="12" t="s">
        <v>37</v>
      </c>
      <c r="JJ30" s="13" t="s">
        <v>37</v>
      </c>
      <c r="JL30" s="12" t="s">
        <v>37</v>
      </c>
      <c r="JM30" s="12" t="s">
        <v>37</v>
      </c>
      <c r="JN30" s="12" t="s">
        <v>37</v>
      </c>
      <c r="JS30" s="12" t="s">
        <v>37</v>
      </c>
      <c r="JT30" s="12" t="s">
        <v>37</v>
      </c>
      <c r="JU30" s="13" t="s">
        <v>37</v>
      </c>
      <c r="JW30" s="12" t="s">
        <v>37</v>
      </c>
      <c r="JX30" s="12" t="s">
        <v>37</v>
      </c>
      <c r="JY30" s="12" t="s">
        <v>37</v>
      </c>
      <c r="KE30" s="11" t="s">
        <v>37</v>
      </c>
      <c r="KF30" s="11" t="s">
        <v>37</v>
      </c>
      <c r="KG30" s="13" t="s">
        <v>37</v>
      </c>
      <c r="KH30" s="11" t="s">
        <v>37</v>
      </c>
      <c r="KI30" s="11" t="s">
        <v>37</v>
      </c>
      <c r="KJ30" s="11" t="s">
        <v>37</v>
      </c>
      <c r="KM30" s="12" t="s">
        <v>37</v>
      </c>
      <c r="KN30" s="11" t="s">
        <v>37</v>
      </c>
      <c r="KO30" s="11" t="s">
        <v>37</v>
      </c>
      <c r="KQ30" s="11" t="s">
        <v>37</v>
      </c>
      <c r="KR30" s="11" t="s">
        <v>37</v>
      </c>
      <c r="KS30" s="13" t="s">
        <v>37</v>
      </c>
      <c r="KX30" s="11" t="s">
        <v>37</v>
      </c>
      <c r="KY30" s="11" t="s">
        <v>37</v>
      </c>
      <c r="KZ30" s="13" t="s">
        <v>37</v>
      </c>
      <c r="LB30" s="11" t="s">
        <v>37</v>
      </c>
      <c r="LC30" s="11" t="s">
        <v>37</v>
      </c>
      <c r="LD30" s="13" t="s">
        <v>37</v>
      </c>
      <c r="LI30" s="12" t="s">
        <v>37</v>
      </c>
      <c r="LJ30" s="12" t="s">
        <v>37</v>
      </c>
      <c r="LK30" s="12" t="s">
        <v>37</v>
      </c>
      <c r="LM30" s="12" t="s">
        <v>37</v>
      </c>
      <c r="LN30" s="12" t="s">
        <v>37</v>
      </c>
      <c r="LO30" s="12" t="s">
        <v>37</v>
      </c>
      <c r="LU30" s="12" t="s">
        <v>37</v>
      </c>
      <c r="LV30" s="12" t="s">
        <v>37</v>
      </c>
      <c r="LW30" s="13" t="s">
        <v>37</v>
      </c>
      <c r="LY30" s="12" t="s">
        <v>37</v>
      </c>
      <c r="LZ30" s="12" t="s">
        <v>37</v>
      </c>
      <c r="MA30" s="11" t="s">
        <v>37</v>
      </c>
      <c r="MF30" s="12" t="s">
        <v>37</v>
      </c>
      <c r="MG30" s="12" t="s">
        <v>37</v>
      </c>
      <c r="MH30" s="12" t="s">
        <v>37</v>
      </c>
      <c r="MJ30" s="12" t="s">
        <v>37</v>
      </c>
      <c r="MK30" s="12" t="s">
        <v>37</v>
      </c>
      <c r="ML30" s="12" t="s">
        <v>37</v>
      </c>
      <c r="MQ30" s="12" t="s">
        <v>37</v>
      </c>
      <c r="MR30" s="12" t="s">
        <v>37</v>
      </c>
      <c r="MS30" s="12" t="s">
        <v>37</v>
      </c>
      <c r="MU30" s="12" t="s">
        <v>37</v>
      </c>
      <c r="MV30" s="12" t="s">
        <v>37</v>
      </c>
      <c r="MW30" s="12" t="s">
        <v>37</v>
      </c>
      <c r="NC30" s="11" t="s">
        <v>37</v>
      </c>
      <c r="ND30" s="11" t="s">
        <v>37</v>
      </c>
      <c r="NE30" s="13" t="s">
        <v>37</v>
      </c>
      <c r="NG30" s="11" t="s">
        <v>37</v>
      </c>
      <c r="NH30" s="11" t="s">
        <v>37</v>
      </c>
      <c r="NI30" s="13" t="s">
        <v>37</v>
      </c>
      <c r="NO30" s="11" t="s">
        <v>37</v>
      </c>
      <c r="NP30" s="11" t="s">
        <v>37</v>
      </c>
      <c r="NQ30" s="13" t="s">
        <v>37</v>
      </c>
      <c r="NS30" s="11" t="s">
        <v>37</v>
      </c>
      <c r="NT30" s="11" t="s">
        <v>37</v>
      </c>
      <c r="NU30" s="13" t="s">
        <v>37</v>
      </c>
      <c r="OA30" s="11" t="s">
        <v>37</v>
      </c>
      <c r="OB30" s="11" t="s">
        <v>37</v>
      </c>
      <c r="OC30" s="13" t="s">
        <v>37</v>
      </c>
      <c r="OE30" s="11" t="s">
        <v>37</v>
      </c>
      <c r="OF30" s="11" t="s">
        <v>37</v>
      </c>
      <c r="OG30" s="13" t="s">
        <v>37</v>
      </c>
      <c r="OM30" s="11" t="s">
        <v>37</v>
      </c>
      <c r="ON30" s="11" t="s">
        <v>37</v>
      </c>
      <c r="OO30" s="11" t="s">
        <v>37</v>
      </c>
      <c r="OP30" s="11" t="s">
        <v>37</v>
      </c>
      <c r="OQ30" s="11" t="s">
        <v>37</v>
      </c>
      <c r="OR30" s="11" t="s">
        <v>37</v>
      </c>
      <c r="OW30" s="11" t="s">
        <v>37</v>
      </c>
      <c r="OX30" s="11" t="s">
        <v>37</v>
      </c>
      <c r="OY30" s="13" t="s">
        <v>37</v>
      </c>
      <c r="OZ30" s="11" t="s">
        <v>37</v>
      </c>
      <c r="PA30" s="11" t="s">
        <v>37</v>
      </c>
      <c r="PB30" s="13" t="s">
        <v>37</v>
      </c>
      <c r="PG30" s="11" t="s">
        <v>37</v>
      </c>
      <c r="PH30" s="11" t="s">
        <v>37</v>
      </c>
      <c r="PI30" s="13" t="s">
        <v>37</v>
      </c>
      <c r="PJ30" s="11" t="s">
        <v>37</v>
      </c>
      <c r="PK30" s="11" t="s">
        <v>37</v>
      </c>
      <c r="PL30" s="13" t="s">
        <v>37</v>
      </c>
      <c r="PQ30" s="11" t="s">
        <v>37</v>
      </c>
      <c r="PR30" s="11" t="s">
        <v>37</v>
      </c>
      <c r="PS30" s="13" t="s">
        <v>37</v>
      </c>
      <c r="PT30" s="11" t="s">
        <v>37</v>
      </c>
      <c r="PU30" s="11" t="s">
        <v>37</v>
      </c>
      <c r="PV30" s="13" t="s">
        <v>37</v>
      </c>
      <c r="PZ30" s="11" t="s">
        <v>37</v>
      </c>
      <c r="QA30" s="11" t="s">
        <v>37</v>
      </c>
      <c r="QB30" s="11" t="s">
        <v>37</v>
      </c>
      <c r="QD30" s="11" t="s">
        <v>37</v>
      </c>
      <c r="QE30" s="11" t="s">
        <v>37</v>
      </c>
      <c r="QF30" s="13" t="s">
        <v>37</v>
      </c>
      <c r="QK30" s="11" t="s">
        <v>37</v>
      </c>
      <c r="QL30" s="11" t="s">
        <v>37</v>
      </c>
      <c r="QM30" s="13" t="s">
        <v>37</v>
      </c>
      <c r="QN30" s="11" t="s">
        <v>37</v>
      </c>
      <c r="QO30" s="11" t="s">
        <v>37</v>
      </c>
      <c r="QP30" s="13" t="s">
        <v>37</v>
      </c>
      <c r="QU30" s="11" t="s">
        <v>37</v>
      </c>
      <c r="QV30" s="11" t="s">
        <v>37</v>
      </c>
      <c r="QW30" s="13" t="s">
        <v>37</v>
      </c>
      <c r="QX30" s="11" t="s">
        <v>37</v>
      </c>
      <c r="QY30" s="11" t="s">
        <v>37</v>
      </c>
      <c r="QZ30" s="13" t="s">
        <v>37</v>
      </c>
      <c r="RC30" s="12" t="s">
        <v>37</v>
      </c>
      <c r="RD30" s="12" t="s">
        <v>37</v>
      </c>
      <c r="RE30" s="13" t="s">
        <v>37</v>
      </c>
      <c r="RF30" s="12" t="s">
        <v>37</v>
      </c>
      <c r="RG30" s="12" t="s">
        <v>37</v>
      </c>
      <c r="RH30" s="13" t="s">
        <v>37</v>
      </c>
      <c r="RK30" s="11" t="s">
        <v>37</v>
      </c>
      <c r="RL30" s="11" t="s">
        <v>37</v>
      </c>
      <c r="RM30" s="11" t="s">
        <v>37</v>
      </c>
      <c r="RN30" s="11" t="s">
        <v>37</v>
      </c>
      <c r="RO30" s="11" t="s">
        <v>37</v>
      </c>
      <c r="RP30" s="11" t="s">
        <v>37</v>
      </c>
      <c r="RS30" s="11" t="s">
        <v>37</v>
      </c>
      <c r="RT30" s="11" t="s">
        <v>37</v>
      </c>
      <c r="RU30" s="11" t="s">
        <v>37</v>
      </c>
      <c r="RV30" s="11" t="s">
        <v>37</v>
      </c>
      <c r="RW30" s="11" t="s">
        <v>37</v>
      </c>
      <c r="RX30" s="11" t="s">
        <v>37</v>
      </c>
      <c r="SA30" s="11" t="s">
        <v>37</v>
      </c>
      <c r="SB30" s="11" t="s">
        <v>37</v>
      </c>
      <c r="SC30" s="13" t="s">
        <v>37</v>
      </c>
      <c r="SD30" s="11" t="s">
        <v>37</v>
      </c>
      <c r="SE30" s="11" t="s">
        <v>37</v>
      </c>
      <c r="SF30" s="13" t="s">
        <v>37</v>
      </c>
      <c r="SI30" s="12" t="s">
        <v>37</v>
      </c>
      <c r="SJ30" s="11" t="s">
        <v>37</v>
      </c>
      <c r="SK30" s="13" t="s">
        <v>37</v>
      </c>
      <c r="SM30" s="11" t="s">
        <v>37</v>
      </c>
      <c r="SN30" s="11" t="s">
        <v>37</v>
      </c>
      <c r="SO30" s="13" t="s">
        <v>37</v>
      </c>
      <c r="SU30" s="12" t="s">
        <v>37</v>
      </c>
      <c r="SV30" s="12" t="s">
        <v>37</v>
      </c>
      <c r="SW30" s="11" t="s">
        <v>37</v>
      </c>
      <c r="SX30" s="12" t="s">
        <v>37</v>
      </c>
      <c r="SY30" s="12" t="s">
        <v>37</v>
      </c>
      <c r="SZ30" s="11" t="s">
        <v>37</v>
      </c>
      <c r="TE30" s="12" t="s">
        <v>37</v>
      </c>
      <c r="TF30" s="12" t="s">
        <v>37</v>
      </c>
      <c r="TG30" s="11" t="s">
        <v>37</v>
      </c>
      <c r="TH30" s="12" t="s">
        <v>37</v>
      </c>
      <c r="TI30" s="12" t="s">
        <v>37</v>
      </c>
      <c r="TJ30" s="11" t="s">
        <v>37</v>
      </c>
      <c r="TO30" s="12" t="s">
        <v>37</v>
      </c>
      <c r="TP30" s="12" t="s">
        <v>37</v>
      </c>
      <c r="TQ30" s="11" t="s">
        <v>37</v>
      </c>
      <c r="TR30" s="12" t="s">
        <v>37</v>
      </c>
      <c r="TS30" s="12" t="s">
        <v>37</v>
      </c>
      <c r="TT30" s="11" t="s">
        <v>37</v>
      </c>
      <c r="TY30" s="12" t="s">
        <v>37</v>
      </c>
      <c r="TZ30" s="12" t="s">
        <v>37</v>
      </c>
      <c r="UA30" s="11" t="s">
        <v>37</v>
      </c>
      <c r="UB30" s="12" t="s">
        <v>37</v>
      </c>
      <c r="UC30" s="12" t="s">
        <v>37</v>
      </c>
      <c r="UD30" s="11" t="s">
        <v>37</v>
      </c>
      <c r="UI30" s="12" t="s">
        <v>37</v>
      </c>
      <c r="UJ30" s="12" t="s">
        <v>37</v>
      </c>
      <c r="UK30" s="13" t="s">
        <v>37</v>
      </c>
      <c r="UL30" s="12" t="s">
        <v>37</v>
      </c>
      <c r="UM30" s="12" t="s">
        <v>37</v>
      </c>
      <c r="UN30" s="13" t="s">
        <v>37</v>
      </c>
      <c r="UR30" s="12" t="s">
        <v>37</v>
      </c>
      <c r="US30" s="12" t="s">
        <v>37</v>
      </c>
      <c r="UT30" s="13" t="s">
        <v>37</v>
      </c>
      <c r="UU30" s="12" t="s">
        <v>37</v>
      </c>
      <c r="UV30" s="12" t="s">
        <v>37</v>
      </c>
      <c r="UW30" s="13" t="s">
        <v>37</v>
      </c>
      <c r="VB30" s="12" t="s">
        <v>37</v>
      </c>
      <c r="VC30" s="12" t="s">
        <v>37</v>
      </c>
      <c r="VD30" s="13" t="s">
        <v>37</v>
      </c>
      <c r="VE30" s="12" t="s">
        <v>37</v>
      </c>
      <c r="VF30" s="12" t="s">
        <v>37</v>
      </c>
      <c r="VG30" s="13" t="s">
        <v>37</v>
      </c>
      <c r="VI30" s="12" t="s">
        <v>37</v>
      </c>
      <c r="VJ30" s="12" t="s">
        <v>37</v>
      </c>
      <c r="VK30" s="13" t="s">
        <v>37</v>
      </c>
      <c r="VL30" s="12" t="s">
        <v>37</v>
      </c>
      <c r="VM30" s="12" t="s">
        <v>37</v>
      </c>
      <c r="VN30" s="13" t="s">
        <v>37</v>
      </c>
      <c r="VO30" s="12" t="s">
        <v>37</v>
      </c>
      <c r="VQ30" s="12" t="s">
        <v>37</v>
      </c>
      <c r="VR30" s="12" t="s">
        <v>37</v>
      </c>
      <c r="VS30" s="12" t="s">
        <v>37</v>
      </c>
      <c r="VT30" s="12" t="s">
        <v>37</v>
      </c>
      <c r="VU30" s="12" t="s">
        <v>37</v>
      </c>
      <c r="VV30" s="12" t="s">
        <v>37</v>
      </c>
      <c r="VW30" s="12"/>
      <c r="VX30" s="12"/>
      <c r="WA30" s="13" t="s">
        <v>37</v>
      </c>
      <c r="WB30" s="13" t="s">
        <v>37</v>
      </c>
      <c r="WC30" s="13" t="s">
        <v>37</v>
      </c>
      <c r="WD30" s="13" t="s">
        <v>37</v>
      </c>
      <c r="WE30" s="13" t="s">
        <v>37</v>
      </c>
      <c r="WF30" s="13" t="s">
        <v>37</v>
      </c>
    </row>
    <row r="31" spans="1:604" ht="18" customHeight="1" x14ac:dyDescent="0.3">
      <c r="A31" s="11">
        <v>6</v>
      </c>
      <c r="B31" s="12" t="s">
        <v>899</v>
      </c>
      <c r="C31" s="12" t="s">
        <v>26</v>
      </c>
      <c r="D31" s="12" t="s">
        <v>973</v>
      </c>
      <c r="E31" s="40">
        <v>1</v>
      </c>
      <c r="F31" s="14">
        <v>0</v>
      </c>
      <c r="G31" s="14">
        <v>0</v>
      </c>
      <c r="H31" s="12" t="s">
        <v>82</v>
      </c>
      <c r="I31" s="29">
        <v>64.819999999999993</v>
      </c>
      <c r="J31" s="29">
        <v>-147.87</v>
      </c>
      <c r="K31" s="12" t="s">
        <v>83</v>
      </c>
      <c r="L31" s="12" t="s">
        <v>290</v>
      </c>
      <c r="M31" s="13" t="s">
        <v>37</v>
      </c>
      <c r="N31" s="14">
        <v>-3.1</v>
      </c>
      <c r="O31" s="14">
        <v>287</v>
      </c>
      <c r="P31" s="14" t="s">
        <v>84</v>
      </c>
      <c r="Q31" s="75" t="s">
        <v>326</v>
      </c>
      <c r="R31" s="11" t="s">
        <v>37</v>
      </c>
      <c r="S31" s="12" t="s">
        <v>85</v>
      </c>
      <c r="T31" s="12" t="s">
        <v>138</v>
      </c>
      <c r="U31" s="12" t="s">
        <v>158</v>
      </c>
      <c r="V31" s="12" t="s">
        <v>275</v>
      </c>
      <c r="W31" s="23" t="s">
        <v>926</v>
      </c>
      <c r="X31" s="12" t="s">
        <v>280</v>
      </c>
      <c r="Y31" s="12" t="s">
        <v>69</v>
      </c>
      <c r="Z31" s="12" t="s">
        <v>37</v>
      </c>
      <c r="AA31" s="32" t="s">
        <v>345</v>
      </c>
      <c r="AB31" s="12">
        <v>5.3</v>
      </c>
      <c r="AE31" s="12" t="s">
        <v>37</v>
      </c>
      <c r="AH31" s="12" t="s">
        <v>37</v>
      </c>
      <c r="AK31" s="12" t="s">
        <v>37</v>
      </c>
      <c r="AL31" s="32" t="s">
        <v>87</v>
      </c>
      <c r="AM31" s="12" t="s">
        <v>317</v>
      </c>
      <c r="AN31" s="32" t="s">
        <v>880</v>
      </c>
      <c r="AO31" s="12" t="s">
        <v>29</v>
      </c>
      <c r="AP31" s="12" t="s">
        <v>600</v>
      </c>
      <c r="AQ31" s="12" t="s">
        <v>975</v>
      </c>
      <c r="AT31" s="12" t="s">
        <v>326</v>
      </c>
      <c r="AU31" s="12" t="s">
        <v>326</v>
      </c>
      <c r="AV31" s="13" t="s">
        <v>326</v>
      </c>
      <c r="AX31" s="12" t="s">
        <v>326</v>
      </c>
      <c r="AY31" s="12" t="s">
        <v>326</v>
      </c>
      <c r="AZ31" s="13" t="s">
        <v>326</v>
      </c>
      <c r="BE31" s="12" t="s">
        <v>326</v>
      </c>
      <c r="BF31" s="12" t="s">
        <v>326</v>
      </c>
      <c r="BG31" s="12" t="s">
        <v>326</v>
      </c>
      <c r="BI31" s="12" t="s">
        <v>326</v>
      </c>
      <c r="BJ31" s="12" t="s">
        <v>326</v>
      </c>
      <c r="BK31" s="12" t="s">
        <v>326</v>
      </c>
      <c r="BP31" s="12" t="s">
        <v>37</v>
      </c>
      <c r="BQ31" s="12" t="s">
        <v>37</v>
      </c>
      <c r="BR31" s="13" t="s">
        <v>37</v>
      </c>
      <c r="BT31" s="12" t="s">
        <v>37</v>
      </c>
      <c r="BU31" s="12" t="s">
        <v>37</v>
      </c>
      <c r="BV31" s="12" t="s">
        <v>37</v>
      </c>
      <c r="BZ31" s="12" t="s">
        <v>47</v>
      </c>
      <c r="CA31" s="12">
        <f>-4.58181818181818*44*10^4*24*3600*("2005/09/30"-"2005/5/1")/10^9/'[6]classess-1'!$T$90</f>
        <v>-29498.69602325177</v>
      </c>
      <c r="CB31" s="12">
        <f>0.97979589711327*44*10^4*24*3600*("2005/09/30"-"2005/5/1")/10^9</f>
        <v>5661.6839653480265</v>
      </c>
      <c r="CC31" s="13">
        <v>6</v>
      </c>
      <c r="CD31" s="19">
        <f>CB31/ABS(CA31)</f>
        <v>0.19192997415496993</v>
      </c>
      <c r="CE31" s="12">
        <f>-3.96363636363636*44*10^4*24*3600*("2005/09/30"-"2005/5/1")/10^9/'[6]classess-1'!$T$91</f>
        <v>-23758.267633507035</v>
      </c>
      <c r="CF31" s="12">
        <f>0.712578834264196*44*10^4*24*3600*("2005/09/30"-"2005/5/1")/10^9</f>
        <v>4117.5883384349272</v>
      </c>
      <c r="CG31" s="13">
        <v>6</v>
      </c>
      <c r="CH31" s="19">
        <f>CF31/ABS(CE31)</f>
        <v>0.17331180883861086</v>
      </c>
      <c r="CI31" s="75">
        <f t="shared" ref="CI31" si="79">CE31-CA31</f>
        <v>5740.4283897447349</v>
      </c>
      <c r="CJ31" s="12">
        <f>SQRT(((CC31-1)*CB31^2+(CG31-1)*CF31^2)/(CC31+CG31-2))</f>
        <v>4950.2120686034377</v>
      </c>
      <c r="CK31" s="72">
        <f t="shared" ref="CK31" si="80">(((CC31+CG31)/(CC31*CG31))*(((CC31-1)*CB31^2)+(CG31-1)*CF31^2)/(CC31+CG31-2))</f>
        <v>8168199.841382375</v>
      </c>
      <c r="CL31" s="72">
        <f t="shared" ref="CL31" si="81">(CB31^2/CC31)+(CF31^2/CG31)</f>
        <v>8168199.8413823768</v>
      </c>
      <c r="CM31" s="12" t="s">
        <v>47</v>
      </c>
      <c r="CN31" s="12">
        <f>3.14545454545455*44*10^4*24*3600*("2005/09/30"-"2005/5/1")/10^9/'[6]classess-1'!$I$90</f>
        <v>24809.052605588167</v>
      </c>
      <c r="CO31" s="12">
        <f>SQRT((1/[7]Classess!$I$90)^2*(0.757115011405688*44*10^4*24*3600*("2005/09/30"-"2005/5/1")/10^9)^2+(-CN31/([7]Classess!$I$90)^2)^2*([7]Classess!$J$90^2))</f>
        <v>6528.4178481847057</v>
      </c>
      <c r="CP31" s="13">
        <v>6</v>
      </c>
      <c r="CQ31" s="19">
        <f t="shared" si="72"/>
        <v>0.26314660023390812</v>
      </c>
      <c r="CR31" s="12">
        <f>3.21818181818182*44*10^4*24*3600*("2005/09/30"-"2005/5/1")/10^9/'[6]classess-1'!$I$91</f>
        <v>21625.217639046135</v>
      </c>
      <c r="CS31" s="12">
        <f>SQRT((1/[7]Classess!$I$91)^2*(0.712578834264195*44*10^4*24*3600*("2005/09/30"-"2005/5/1")/10^9)^2+(-CR31/([7]Classess!$I$64)^2)^2*([7]Classess!$J$91)^2)</f>
        <v>4944.4422331318983</v>
      </c>
      <c r="CT31" s="13">
        <v>6</v>
      </c>
      <c r="CU31" s="19">
        <f t="shared" si="73"/>
        <v>0.22864242643293889</v>
      </c>
      <c r="CV31" s="75">
        <f t="shared" si="74"/>
        <v>-3183.8349665420319</v>
      </c>
      <c r="CW31" s="12">
        <f>SQRT(((CP31-1)*CO31^2+(CT31-1)*CS31^2)/(CP31+CT31-2))</f>
        <v>5790.8440057246826</v>
      </c>
      <c r="CX31" s="72">
        <f t="shared" si="75"/>
        <v>11177958.099545827</v>
      </c>
      <c r="CY31" s="72">
        <f t="shared" si="76"/>
        <v>11177958.099545829</v>
      </c>
      <c r="CZ31" s="12" t="s">
        <v>47</v>
      </c>
      <c r="DA31" s="12">
        <f>CA31+CN31</f>
        <v>-4689.643417663603</v>
      </c>
      <c r="DB31" s="12">
        <f>SQRT((1/[7]Classess!$I$27)^2*(0.33*44*10^4*24*3600*("2005/09/30"-"2005/5/1")/10^9)^2+(-DA31/([7]Classess!$I$27)^2)^2*([7]Classess!$J$27)^2)</f>
        <v>822.55847950944644</v>
      </c>
      <c r="DC31" s="13">
        <v>6</v>
      </c>
      <c r="DD31" s="19">
        <f t="shared" ref="DD31" si="82">DB31/ABS(DA31)</f>
        <v>0.17539893894944533</v>
      </c>
      <c r="DE31" s="12">
        <f>CE31+CR31</f>
        <v>-2133.0499944609001</v>
      </c>
      <c r="DF31" s="12">
        <f>SQRT((1/[7]Classess!$I$28)^2*(0.31*44*10^4*24*3600*("2005/09/30"-"2005/5/1")/10^9)^2+(-DE31/([7]Classess!$I$28)^2)^2*([7]Classess!$J$28)^2)</f>
        <v>2649.3488808970865</v>
      </c>
      <c r="DG31" s="13">
        <v>6</v>
      </c>
      <c r="DH31" s="19">
        <f t="shared" si="77"/>
        <v>1.2420472505458899</v>
      </c>
      <c r="DI31" s="19">
        <f t="shared" ref="DI31" si="83">DE31-DA31</f>
        <v>2556.593423202703</v>
      </c>
      <c r="DJ31" s="12">
        <f t="shared" si="78"/>
        <v>1961.5876152906778</v>
      </c>
      <c r="DK31" s="72">
        <f t="shared" ref="DK31:DK32" si="84">(((DC31+DG31)/(DC31*DG31))*(((DC31-1)*DB31^2)+(DG31-1)*DF31^2)/(DC31+DG31-2))</f>
        <v>1282608.657487256</v>
      </c>
      <c r="DL31" s="72">
        <f t="shared" ref="DL31:DL32" si="85">(DB31^2/DC31)+(DF31^2/DG31)</f>
        <v>1282608.657487256</v>
      </c>
      <c r="DM31" s="11" t="s">
        <v>47</v>
      </c>
      <c r="DN31" s="52">
        <f>6.25*10^4*("2005/09/30"-"2005/5/1")/10^6/'[1]classes-1'!$I$80</f>
        <v>12.121705834279082</v>
      </c>
      <c r="DO31" s="15">
        <f>SQRT((1/[2]Classes!$I$80)^2*(10^4*("2005/09/30"-"2005/5/1")/10^6)^2+(-DN31/([2]Classes!$I$80)^2)^2*([2]Classes!$J$80)^2)</f>
        <v>3.2958824722656956</v>
      </c>
      <c r="DP31" s="18">
        <v>6</v>
      </c>
      <c r="DQ31" s="19">
        <f t="shared" si="60"/>
        <v>0.27189922914522802</v>
      </c>
      <c r="DR31" s="52">
        <f>7.39*10^4*("2005/09/30"-"2005/5/1")/10^6/'[1]classes-1'!$I$81</f>
        <v>18.390311681684526</v>
      </c>
      <c r="DS31" s="15">
        <f>SQRT(([2]Classes!$I$81)^2*(2.78*10^4*("2005/09/30"-"2005/5/1")/10^6)^2+(-DR31/([2]Classes!$I$81)^2)^2*([2]Classes!$J$81)^2)</f>
        <v>4.9126277024028253</v>
      </c>
      <c r="DT31" s="18">
        <v>6</v>
      </c>
      <c r="DU31" s="19">
        <f t="shared" si="61"/>
        <v>0.26713129105340078</v>
      </c>
      <c r="DV31" s="19">
        <f t="shared" si="62"/>
        <v>6.2686058474054445</v>
      </c>
      <c r="DW31" s="12">
        <f t="shared" si="4"/>
        <v>4.1831060357946876</v>
      </c>
      <c r="DX31" s="72">
        <f t="shared" si="66"/>
        <v>5.8327920355673157</v>
      </c>
      <c r="DY31" s="72">
        <f t="shared" si="67"/>
        <v>5.8327920355673157</v>
      </c>
      <c r="DZ31" s="15"/>
      <c r="EA31" s="52" t="s">
        <v>37</v>
      </c>
      <c r="EB31" s="52" t="s">
        <v>37</v>
      </c>
      <c r="EC31" s="73" t="s">
        <v>37</v>
      </c>
      <c r="ED31" s="52"/>
      <c r="EE31" s="52" t="s">
        <v>37</v>
      </c>
      <c r="EF31" s="52" t="s">
        <v>37</v>
      </c>
      <c r="EG31" s="18" t="s">
        <v>37</v>
      </c>
      <c r="EH31" s="52"/>
      <c r="EI31" s="52"/>
      <c r="EJ31" s="52"/>
      <c r="EK31" s="52"/>
      <c r="EL31" s="52"/>
      <c r="EN31" s="12" t="s">
        <v>37</v>
      </c>
      <c r="EO31" s="12" t="s">
        <v>37</v>
      </c>
      <c r="EP31" s="13" t="s">
        <v>37</v>
      </c>
      <c r="ER31" s="12" t="s">
        <v>37</v>
      </c>
      <c r="ES31" s="12" t="s">
        <v>37</v>
      </c>
      <c r="ET31" s="13" t="s">
        <v>37</v>
      </c>
      <c r="FB31" s="11" t="s">
        <v>37</v>
      </c>
      <c r="FC31" s="11" t="s">
        <v>37</v>
      </c>
      <c r="FD31" s="11" t="s">
        <v>37</v>
      </c>
      <c r="FE31" s="12" t="s">
        <v>37</v>
      </c>
      <c r="FF31" s="20" t="s">
        <v>37</v>
      </c>
      <c r="FG31" s="11" t="s">
        <v>37</v>
      </c>
      <c r="FI31" s="11" t="s">
        <v>37</v>
      </c>
      <c r="FJ31" s="11" t="s">
        <v>37</v>
      </c>
      <c r="FK31" s="11" t="s">
        <v>37</v>
      </c>
      <c r="FL31" s="13" t="s">
        <v>37</v>
      </c>
      <c r="FM31" s="11" t="s">
        <v>37</v>
      </c>
      <c r="FN31" s="11" t="s">
        <v>37</v>
      </c>
      <c r="FP31" s="11" t="s">
        <v>37</v>
      </c>
      <c r="FQ31" s="11" t="s">
        <v>37</v>
      </c>
      <c r="FR31" s="11" t="s">
        <v>37</v>
      </c>
      <c r="FS31" s="13" t="s">
        <v>37</v>
      </c>
      <c r="FT31" s="11" t="s">
        <v>37</v>
      </c>
      <c r="FU31" s="11" t="s">
        <v>37</v>
      </c>
      <c r="FW31" s="11" t="s">
        <v>37</v>
      </c>
      <c r="FX31" s="11" t="s">
        <v>37</v>
      </c>
      <c r="FY31" s="11" t="s">
        <v>37</v>
      </c>
      <c r="FZ31" s="13" t="s">
        <v>37</v>
      </c>
      <c r="GA31" s="11" t="s">
        <v>37</v>
      </c>
      <c r="GB31" s="11" t="s">
        <v>37</v>
      </c>
      <c r="GE31" s="11"/>
      <c r="GF31" s="11"/>
      <c r="GI31" s="11"/>
      <c r="GJ31" s="11"/>
      <c r="HA31" s="12"/>
      <c r="HB31" s="32"/>
      <c r="HD31" s="11"/>
      <c r="HG31" s="11"/>
      <c r="HH31" s="11"/>
      <c r="HM31" s="32"/>
      <c r="IK31" s="12" t="s">
        <v>37</v>
      </c>
      <c r="IL31" s="12" t="s">
        <v>37</v>
      </c>
      <c r="IM31" s="13" t="s">
        <v>37</v>
      </c>
      <c r="IO31" s="12" t="s">
        <v>37</v>
      </c>
      <c r="IP31" s="12" t="s">
        <v>37</v>
      </c>
      <c r="IQ31" s="13" t="s">
        <v>37</v>
      </c>
      <c r="IV31" s="32" t="s">
        <v>345</v>
      </c>
      <c r="IW31" s="12">
        <v>5.3</v>
      </c>
      <c r="IX31" s="50">
        <f>ABS(IW31)*IZ$474</f>
        <v>0.19404753592852261</v>
      </c>
      <c r="IY31" s="13">
        <v>6</v>
      </c>
      <c r="JA31" s="11"/>
      <c r="JB31" s="11"/>
      <c r="JH31" s="12" t="s">
        <v>37</v>
      </c>
      <c r="JI31" s="12" t="s">
        <v>37</v>
      </c>
      <c r="JJ31" s="13" t="s">
        <v>37</v>
      </c>
      <c r="JL31" s="12" t="s">
        <v>37</v>
      </c>
      <c r="JM31" s="12" t="s">
        <v>37</v>
      </c>
      <c r="JN31" s="12" t="s">
        <v>37</v>
      </c>
      <c r="JS31" s="12" t="s">
        <v>37</v>
      </c>
      <c r="JT31" s="12" t="s">
        <v>37</v>
      </c>
      <c r="JU31" s="13" t="s">
        <v>37</v>
      </c>
      <c r="JW31" s="12" t="s">
        <v>37</v>
      </c>
      <c r="JX31" s="12" t="s">
        <v>37</v>
      </c>
      <c r="JY31" s="12" t="s">
        <v>37</v>
      </c>
      <c r="KE31" s="11" t="s">
        <v>37</v>
      </c>
      <c r="KF31" s="11" t="s">
        <v>37</v>
      </c>
      <c r="KG31" s="13" t="s">
        <v>37</v>
      </c>
      <c r="KH31" s="11" t="s">
        <v>37</v>
      </c>
      <c r="KI31" s="11" t="s">
        <v>37</v>
      </c>
      <c r="KJ31" s="11" t="s">
        <v>37</v>
      </c>
      <c r="KM31" s="12" t="s">
        <v>37</v>
      </c>
      <c r="KN31" s="11" t="s">
        <v>37</v>
      </c>
      <c r="KO31" s="11" t="s">
        <v>37</v>
      </c>
      <c r="KQ31" s="11" t="s">
        <v>37</v>
      </c>
      <c r="KR31" s="11" t="s">
        <v>37</v>
      </c>
      <c r="KS31" s="13" t="s">
        <v>37</v>
      </c>
      <c r="KX31" s="11" t="s">
        <v>37</v>
      </c>
      <c r="KY31" s="11" t="s">
        <v>37</v>
      </c>
      <c r="KZ31" s="13" t="s">
        <v>37</v>
      </c>
      <c r="LB31" s="11" t="s">
        <v>37</v>
      </c>
      <c r="LC31" s="11" t="s">
        <v>37</v>
      </c>
      <c r="LD31" s="13" t="s">
        <v>37</v>
      </c>
      <c r="LI31" s="12" t="s">
        <v>37</v>
      </c>
      <c r="LJ31" s="12" t="s">
        <v>37</v>
      </c>
      <c r="LK31" s="12" t="s">
        <v>37</v>
      </c>
      <c r="LM31" s="12" t="s">
        <v>37</v>
      </c>
      <c r="LN31" s="12" t="s">
        <v>37</v>
      </c>
      <c r="LO31" s="12" t="s">
        <v>37</v>
      </c>
      <c r="LU31" s="12" t="s">
        <v>37</v>
      </c>
      <c r="LV31" s="12" t="s">
        <v>37</v>
      </c>
      <c r="LW31" s="13" t="s">
        <v>37</v>
      </c>
      <c r="LY31" s="12" t="s">
        <v>37</v>
      </c>
      <c r="LZ31" s="12" t="s">
        <v>37</v>
      </c>
      <c r="MA31" s="11" t="s">
        <v>37</v>
      </c>
      <c r="MF31" s="12" t="s">
        <v>37</v>
      </c>
      <c r="MG31" s="12" t="s">
        <v>37</v>
      </c>
      <c r="MH31" s="12" t="s">
        <v>37</v>
      </c>
      <c r="MJ31" s="12" t="s">
        <v>37</v>
      </c>
      <c r="MK31" s="12" t="s">
        <v>37</v>
      </c>
      <c r="ML31" s="12" t="s">
        <v>37</v>
      </c>
      <c r="MQ31" s="12" t="s">
        <v>37</v>
      </c>
      <c r="MR31" s="12" t="s">
        <v>37</v>
      </c>
      <c r="MS31" s="12" t="s">
        <v>37</v>
      </c>
      <c r="MU31" s="12" t="s">
        <v>37</v>
      </c>
      <c r="MV31" s="12" t="s">
        <v>37</v>
      </c>
      <c r="MW31" s="12" t="s">
        <v>37</v>
      </c>
      <c r="NC31" s="11" t="s">
        <v>37</v>
      </c>
      <c r="ND31" s="11" t="s">
        <v>37</v>
      </c>
      <c r="NE31" s="13" t="s">
        <v>37</v>
      </c>
      <c r="NG31" s="11" t="s">
        <v>37</v>
      </c>
      <c r="NH31" s="11" t="s">
        <v>37</v>
      </c>
      <c r="NI31" s="13" t="s">
        <v>37</v>
      </c>
      <c r="NO31" s="11" t="s">
        <v>37</v>
      </c>
      <c r="NP31" s="11" t="s">
        <v>37</v>
      </c>
      <c r="NQ31" s="13" t="s">
        <v>37</v>
      </c>
      <c r="NS31" s="11" t="s">
        <v>37</v>
      </c>
      <c r="NT31" s="11" t="s">
        <v>37</v>
      </c>
      <c r="NU31" s="13" t="s">
        <v>37</v>
      </c>
      <c r="OA31" s="11" t="s">
        <v>37</v>
      </c>
      <c r="OB31" s="11" t="s">
        <v>37</v>
      </c>
      <c r="OC31" s="13" t="s">
        <v>37</v>
      </c>
      <c r="OE31" s="11" t="s">
        <v>37</v>
      </c>
      <c r="OF31" s="11" t="s">
        <v>37</v>
      </c>
      <c r="OG31" s="13" t="s">
        <v>37</v>
      </c>
      <c r="OM31" s="11" t="s">
        <v>37</v>
      </c>
      <c r="ON31" s="11" t="s">
        <v>37</v>
      </c>
      <c r="OO31" s="11" t="s">
        <v>37</v>
      </c>
      <c r="OP31" s="11" t="s">
        <v>37</v>
      </c>
      <c r="OQ31" s="11" t="s">
        <v>37</v>
      </c>
      <c r="OR31" s="11" t="s">
        <v>37</v>
      </c>
      <c r="OW31" s="11" t="s">
        <v>37</v>
      </c>
      <c r="OX31" s="11" t="s">
        <v>37</v>
      </c>
      <c r="OY31" s="13" t="s">
        <v>37</v>
      </c>
      <c r="OZ31" s="11" t="s">
        <v>37</v>
      </c>
      <c r="PA31" s="11" t="s">
        <v>37</v>
      </c>
      <c r="PB31" s="13" t="s">
        <v>37</v>
      </c>
      <c r="PG31" s="11" t="s">
        <v>37</v>
      </c>
      <c r="PH31" s="11" t="s">
        <v>37</v>
      </c>
      <c r="PI31" s="13" t="s">
        <v>37</v>
      </c>
      <c r="PJ31" s="11" t="s">
        <v>37</v>
      </c>
      <c r="PK31" s="11" t="s">
        <v>37</v>
      </c>
      <c r="PL31" s="13" t="s">
        <v>37</v>
      </c>
      <c r="PQ31" s="11" t="s">
        <v>37</v>
      </c>
      <c r="PR31" s="11" t="s">
        <v>37</v>
      </c>
      <c r="PS31" s="13" t="s">
        <v>37</v>
      </c>
      <c r="PT31" s="11" t="s">
        <v>37</v>
      </c>
      <c r="PU31" s="11" t="s">
        <v>37</v>
      </c>
      <c r="PV31" s="13" t="s">
        <v>37</v>
      </c>
      <c r="PZ31" s="11" t="s">
        <v>37</v>
      </c>
      <c r="QA31" s="11" t="s">
        <v>37</v>
      </c>
      <c r="QB31" s="11" t="s">
        <v>37</v>
      </c>
      <c r="QD31" s="11" t="s">
        <v>37</v>
      </c>
      <c r="QE31" s="11" t="s">
        <v>37</v>
      </c>
      <c r="QF31" s="13" t="s">
        <v>37</v>
      </c>
      <c r="QK31" s="11" t="s">
        <v>37</v>
      </c>
      <c r="QL31" s="11" t="s">
        <v>37</v>
      </c>
      <c r="QM31" s="13" t="s">
        <v>37</v>
      </c>
      <c r="QN31" s="11" t="s">
        <v>37</v>
      </c>
      <c r="QO31" s="11" t="s">
        <v>37</v>
      </c>
      <c r="QP31" s="13" t="s">
        <v>37</v>
      </c>
      <c r="QU31" s="11" t="s">
        <v>37</v>
      </c>
      <c r="QV31" s="11" t="s">
        <v>37</v>
      </c>
      <c r="QW31" s="13" t="s">
        <v>37</v>
      </c>
      <c r="QX31" s="11" t="s">
        <v>37</v>
      </c>
      <c r="QY31" s="11" t="s">
        <v>37</v>
      </c>
      <c r="QZ31" s="13" t="s">
        <v>37</v>
      </c>
      <c r="RC31" s="12" t="s">
        <v>37</v>
      </c>
      <c r="RD31" s="12" t="s">
        <v>37</v>
      </c>
      <c r="RE31" s="13" t="s">
        <v>37</v>
      </c>
      <c r="RF31" s="12" t="s">
        <v>37</v>
      </c>
      <c r="RG31" s="12" t="s">
        <v>37</v>
      </c>
      <c r="RH31" s="13" t="s">
        <v>37</v>
      </c>
      <c r="RK31" s="11" t="s">
        <v>37</v>
      </c>
      <c r="RL31" s="11" t="s">
        <v>37</v>
      </c>
      <c r="RM31" s="11" t="s">
        <v>37</v>
      </c>
      <c r="RN31" s="11" t="s">
        <v>37</v>
      </c>
      <c r="RO31" s="11" t="s">
        <v>37</v>
      </c>
      <c r="RP31" s="11" t="s">
        <v>37</v>
      </c>
      <c r="RS31" s="11" t="s">
        <v>37</v>
      </c>
      <c r="RT31" s="11" t="s">
        <v>37</v>
      </c>
      <c r="RU31" s="11" t="s">
        <v>37</v>
      </c>
      <c r="RV31" s="11" t="s">
        <v>37</v>
      </c>
      <c r="RW31" s="11" t="s">
        <v>37</v>
      </c>
      <c r="RX31" s="11" t="s">
        <v>37</v>
      </c>
      <c r="SA31" s="11" t="s">
        <v>37</v>
      </c>
      <c r="SB31" s="11" t="s">
        <v>37</v>
      </c>
      <c r="SC31" s="13" t="s">
        <v>37</v>
      </c>
      <c r="SD31" s="11" t="s">
        <v>37</v>
      </c>
      <c r="SE31" s="11" t="s">
        <v>37</v>
      </c>
      <c r="SF31" s="13" t="s">
        <v>37</v>
      </c>
      <c r="SI31" s="12" t="s">
        <v>37</v>
      </c>
      <c r="SJ31" s="11" t="s">
        <v>37</v>
      </c>
      <c r="SK31" s="13" t="s">
        <v>37</v>
      </c>
      <c r="SM31" s="11" t="s">
        <v>37</v>
      </c>
      <c r="SN31" s="11" t="s">
        <v>37</v>
      </c>
      <c r="SO31" s="13" t="s">
        <v>37</v>
      </c>
      <c r="SU31" s="12" t="s">
        <v>37</v>
      </c>
      <c r="SV31" s="12" t="s">
        <v>37</v>
      </c>
      <c r="SW31" s="11" t="s">
        <v>37</v>
      </c>
      <c r="SX31" s="12" t="s">
        <v>37</v>
      </c>
      <c r="SY31" s="12" t="s">
        <v>37</v>
      </c>
      <c r="SZ31" s="11" t="s">
        <v>37</v>
      </c>
      <c r="TE31" s="12" t="s">
        <v>37</v>
      </c>
      <c r="TF31" s="12" t="s">
        <v>37</v>
      </c>
      <c r="TG31" s="11" t="s">
        <v>37</v>
      </c>
      <c r="TH31" s="12" t="s">
        <v>37</v>
      </c>
      <c r="TI31" s="12" t="s">
        <v>37</v>
      </c>
      <c r="TJ31" s="11" t="s">
        <v>37</v>
      </c>
      <c r="TO31" s="12" t="s">
        <v>37</v>
      </c>
      <c r="TP31" s="12" t="s">
        <v>37</v>
      </c>
      <c r="TQ31" s="11" t="s">
        <v>37</v>
      </c>
      <c r="TR31" s="12" t="s">
        <v>37</v>
      </c>
      <c r="TS31" s="12" t="s">
        <v>37</v>
      </c>
      <c r="TT31" s="11" t="s">
        <v>37</v>
      </c>
      <c r="TY31" s="12" t="s">
        <v>37</v>
      </c>
      <c r="TZ31" s="12" t="s">
        <v>37</v>
      </c>
      <c r="UA31" s="11" t="s">
        <v>37</v>
      </c>
      <c r="UB31" s="12" t="s">
        <v>37</v>
      </c>
      <c r="UC31" s="12" t="s">
        <v>37</v>
      </c>
      <c r="UD31" s="11" t="s">
        <v>37</v>
      </c>
      <c r="UI31" s="12" t="s">
        <v>37</v>
      </c>
      <c r="UJ31" s="12" t="s">
        <v>37</v>
      </c>
      <c r="UK31" s="13" t="s">
        <v>37</v>
      </c>
      <c r="UL31" s="12" t="s">
        <v>37</v>
      </c>
      <c r="UM31" s="12" t="s">
        <v>37</v>
      </c>
      <c r="UN31" s="13" t="s">
        <v>37</v>
      </c>
      <c r="UR31" s="12" t="s">
        <v>37</v>
      </c>
      <c r="US31" s="12" t="s">
        <v>37</v>
      </c>
      <c r="UT31" s="13" t="s">
        <v>37</v>
      </c>
      <c r="UU31" s="12" t="s">
        <v>37</v>
      </c>
      <c r="UV31" s="12" t="s">
        <v>37</v>
      </c>
      <c r="UW31" s="13" t="s">
        <v>37</v>
      </c>
      <c r="VB31" s="12" t="s">
        <v>37</v>
      </c>
      <c r="VC31" s="12" t="s">
        <v>37</v>
      </c>
      <c r="VD31" s="13" t="s">
        <v>37</v>
      </c>
      <c r="VE31" s="12" t="s">
        <v>37</v>
      </c>
      <c r="VF31" s="12" t="s">
        <v>37</v>
      </c>
      <c r="VG31" s="13" t="s">
        <v>37</v>
      </c>
      <c r="VI31" s="12" t="s">
        <v>37</v>
      </c>
      <c r="VJ31" s="12" t="s">
        <v>37</v>
      </c>
      <c r="VK31" s="13" t="s">
        <v>37</v>
      </c>
      <c r="VL31" s="12" t="s">
        <v>37</v>
      </c>
      <c r="VM31" s="12" t="s">
        <v>37</v>
      </c>
      <c r="VN31" s="13" t="s">
        <v>37</v>
      </c>
      <c r="VO31" s="12" t="s">
        <v>37</v>
      </c>
      <c r="VQ31" s="12" t="s">
        <v>37</v>
      </c>
      <c r="VR31" s="12" t="s">
        <v>37</v>
      </c>
      <c r="VS31" s="12" t="s">
        <v>37</v>
      </c>
      <c r="VT31" s="12" t="s">
        <v>37</v>
      </c>
      <c r="VU31" s="12" t="s">
        <v>37</v>
      </c>
      <c r="VV31" s="12" t="s">
        <v>37</v>
      </c>
      <c r="VW31" s="12"/>
      <c r="VX31" s="12"/>
      <c r="WA31" s="13" t="s">
        <v>37</v>
      </c>
      <c r="WB31" s="13" t="s">
        <v>37</v>
      </c>
      <c r="WC31" s="13" t="s">
        <v>37</v>
      </c>
      <c r="WD31" s="13" t="s">
        <v>37</v>
      </c>
      <c r="WE31" s="13" t="s">
        <v>37</v>
      </c>
      <c r="WF31" s="13" t="s">
        <v>37</v>
      </c>
    </row>
    <row r="32" spans="1:604" ht="18" customHeight="1" x14ac:dyDescent="0.4">
      <c r="A32" s="11">
        <v>7</v>
      </c>
      <c r="B32" s="12" t="s">
        <v>921</v>
      </c>
      <c r="C32" s="12" t="s">
        <v>26</v>
      </c>
      <c r="D32" s="12" t="s">
        <v>1050</v>
      </c>
      <c r="E32" s="40" t="s">
        <v>37</v>
      </c>
      <c r="F32" s="14">
        <v>0</v>
      </c>
      <c r="G32" s="14">
        <v>0</v>
      </c>
      <c r="H32" s="12" t="s">
        <v>91</v>
      </c>
      <c r="I32" s="29">
        <v>47.966999999999999</v>
      </c>
      <c r="J32" s="29">
        <v>-69.429000000000002</v>
      </c>
      <c r="K32" s="12" t="s">
        <v>692</v>
      </c>
      <c r="L32" s="12" t="s">
        <v>92</v>
      </c>
      <c r="M32" s="13" t="s">
        <v>37</v>
      </c>
      <c r="N32" s="14">
        <v>5.2</v>
      </c>
      <c r="O32" s="14">
        <v>886</v>
      </c>
      <c r="P32" s="14" t="s">
        <v>16</v>
      </c>
      <c r="Q32" s="75">
        <v>38</v>
      </c>
      <c r="R32" s="11" t="s">
        <v>999</v>
      </c>
      <c r="S32" s="12" t="s">
        <v>93</v>
      </c>
      <c r="T32" s="12" t="s">
        <v>141</v>
      </c>
      <c r="U32" s="12" t="s">
        <v>158</v>
      </c>
      <c r="V32" s="12" t="s">
        <v>275</v>
      </c>
      <c r="W32" s="23" t="s">
        <v>114</v>
      </c>
      <c r="X32" s="12" t="s">
        <v>281</v>
      </c>
      <c r="Y32" s="12" t="s">
        <v>69</v>
      </c>
      <c r="Z32" s="12" t="s">
        <v>37</v>
      </c>
      <c r="AB32" s="12" t="s">
        <v>37</v>
      </c>
      <c r="AE32" s="12" t="s">
        <v>37</v>
      </c>
      <c r="AH32" s="12" t="s">
        <v>37</v>
      </c>
      <c r="AK32" s="12" t="s">
        <v>37</v>
      </c>
      <c r="AL32" s="32" t="s">
        <v>94</v>
      </c>
      <c r="AM32" s="20" t="s">
        <v>344</v>
      </c>
      <c r="AO32" s="20" t="s">
        <v>37</v>
      </c>
      <c r="AP32" s="20" t="s">
        <v>95</v>
      </c>
      <c r="AQ32" s="12" t="s">
        <v>975</v>
      </c>
      <c r="AT32" s="12" t="s">
        <v>326</v>
      </c>
      <c r="AU32" s="12" t="s">
        <v>326</v>
      </c>
      <c r="AV32" s="13" t="s">
        <v>326</v>
      </c>
      <c r="AX32" s="12" t="s">
        <v>326</v>
      </c>
      <c r="AY32" s="12" t="s">
        <v>326</v>
      </c>
      <c r="AZ32" s="13" t="s">
        <v>326</v>
      </c>
      <c r="BE32" s="12" t="s">
        <v>326</v>
      </c>
      <c r="BF32" s="12" t="s">
        <v>326</v>
      </c>
      <c r="BG32" s="12" t="s">
        <v>326</v>
      </c>
      <c r="BI32" s="12" t="s">
        <v>326</v>
      </c>
      <c r="BJ32" s="12" t="s">
        <v>326</v>
      </c>
      <c r="BK32" s="12" t="s">
        <v>326</v>
      </c>
      <c r="BP32" s="12" t="s">
        <v>37</v>
      </c>
      <c r="BQ32" s="12" t="s">
        <v>37</v>
      </c>
      <c r="BR32" s="13" t="s">
        <v>37</v>
      </c>
      <c r="BT32" s="12" t="s">
        <v>37</v>
      </c>
      <c r="BU32" s="12" t="s">
        <v>37</v>
      </c>
      <c r="BV32" s="12" t="s">
        <v>37</v>
      </c>
      <c r="CA32" s="12" t="s">
        <v>37</v>
      </c>
      <c r="CB32" s="12" t="s">
        <v>37</v>
      </c>
      <c r="CC32" s="13" t="s">
        <v>37</v>
      </c>
      <c r="CE32" s="12" t="s">
        <v>37</v>
      </c>
      <c r="CF32" s="12" t="s">
        <v>37</v>
      </c>
      <c r="CG32" s="13" t="s">
        <v>37</v>
      </c>
      <c r="CI32" s="52"/>
      <c r="CJ32" s="12"/>
      <c r="CK32" s="73"/>
      <c r="CL32" s="73"/>
      <c r="CN32" s="12" t="s">
        <v>37</v>
      </c>
      <c r="CO32" s="12" t="s">
        <v>37</v>
      </c>
      <c r="CP32" s="13" t="s">
        <v>37</v>
      </c>
      <c r="CR32" s="12" t="s">
        <v>37</v>
      </c>
      <c r="CS32" s="12" t="s">
        <v>37</v>
      </c>
      <c r="CT32" s="13" t="s">
        <v>37</v>
      </c>
      <c r="CV32" s="52"/>
      <c r="CW32" s="52"/>
      <c r="CX32" s="73"/>
      <c r="CY32" s="73"/>
      <c r="CZ32" s="12" t="s">
        <v>47</v>
      </c>
      <c r="DA32" s="15">
        <v>8950.3333333333303</v>
      </c>
      <c r="DB32" s="15">
        <v>4633.1130043536723</v>
      </c>
      <c r="DC32" s="18">
        <v>6</v>
      </c>
      <c r="DD32" s="19">
        <v>0.51764697825261685</v>
      </c>
      <c r="DE32" s="15">
        <v>19004.333333333336</v>
      </c>
      <c r="DF32" s="15">
        <v>11808.648436162748</v>
      </c>
      <c r="DG32" s="13">
        <v>6</v>
      </c>
      <c r="DH32" s="19">
        <f t="shared" si="77"/>
        <v>0.62136609735478299</v>
      </c>
      <c r="DI32" s="19">
        <f>DE32-DA32</f>
        <v>10054.000000000005</v>
      </c>
      <c r="DJ32" s="12">
        <f t="shared" si="78"/>
        <v>8969.6687229796862</v>
      </c>
      <c r="DK32" s="72">
        <f t="shared" si="84"/>
        <v>26818319.000000007</v>
      </c>
      <c r="DL32" s="72">
        <f t="shared" si="85"/>
        <v>26818319.000000007</v>
      </c>
      <c r="DM32" s="15" t="s">
        <v>47</v>
      </c>
      <c r="DN32" s="52">
        <v>88</v>
      </c>
      <c r="DO32" s="15">
        <v>60.472215842392352</v>
      </c>
      <c r="DP32" s="18">
        <v>6</v>
      </c>
      <c r="DQ32" s="19">
        <v>0.68718427093627676</v>
      </c>
      <c r="DR32" s="52">
        <v>-2</v>
      </c>
      <c r="DS32" s="15">
        <v>5.9628479399994392</v>
      </c>
      <c r="DT32" s="18">
        <v>6</v>
      </c>
      <c r="DU32" s="19">
        <f t="shared" si="61"/>
        <v>2.9814239699997196</v>
      </c>
      <c r="DV32" s="19">
        <f t="shared" si="62"/>
        <v>-90</v>
      </c>
      <c r="DW32" s="12">
        <f t="shared" si="4"/>
        <v>42.967688118192051</v>
      </c>
      <c r="DX32" s="72">
        <f t="shared" si="66"/>
        <v>615.40740740740739</v>
      </c>
      <c r="DY32" s="72">
        <f t="shared" si="67"/>
        <v>615.40740740740739</v>
      </c>
      <c r="DZ32" s="15"/>
      <c r="EA32" s="52" t="s">
        <v>37</v>
      </c>
      <c r="EB32" s="52" t="s">
        <v>37</v>
      </c>
      <c r="EC32" s="73" t="s">
        <v>37</v>
      </c>
      <c r="ED32" s="52"/>
      <c r="EE32" s="52" t="s">
        <v>37</v>
      </c>
      <c r="EF32" s="52" t="s">
        <v>37</v>
      </c>
      <c r="EG32" s="15" t="s">
        <v>37</v>
      </c>
      <c r="EH32" s="52"/>
      <c r="EI32" s="52"/>
      <c r="EJ32" s="52"/>
      <c r="EK32" s="52"/>
      <c r="EL32" s="52"/>
      <c r="EM32" s="12" t="s">
        <v>39</v>
      </c>
      <c r="EN32" s="12">
        <v>-15.3</v>
      </c>
      <c r="EO32" s="12">
        <v>3.2</v>
      </c>
      <c r="EP32" s="13">
        <v>6</v>
      </c>
      <c r="EQ32" s="19">
        <f t="shared" si="29"/>
        <v>0.20915032679738563</v>
      </c>
      <c r="ER32" s="12">
        <v>-47.7</v>
      </c>
      <c r="ES32" s="12">
        <v>6.2</v>
      </c>
      <c r="ET32" s="13">
        <v>6</v>
      </c>
      <c r="EU32" s="19">
        <f t="shared" si="30"/>
        <v>0.12997903563941299</v>
      </c>
      <c r="EV32" s="19">
        <f t="shared" ref="EV32:EV33" si="86">ER32-EN32</f>
        <v>-32.400000000000006</v>
      </c>
      <c r="EW32" s="12">
        <f t="shared" ref="EW32:EW33" si="87">SQRT(((EP32-1)*EO32^2+(ET32-1)*ES32^2)/(EP32+ET32-2))</f>
        <v>4.9335585534176039</v>
      </c>
      <c r="EX32" s="19">
        <f t="shared" ref="EX32:EX33" si="88">(((EP32+ET32)/(EP32*ET32))*(((EP32-1)*EO32^2)+(ET32-1)*ES32^2)/(EP32+ET32-2))</f>
        <v>8.1133333333333333</v>
      </c>
      <c r="EY32" s="19">
        <f t="shared" ref="EY32:EY33" si="89">(EO32^2/EP32)+(ES32^2/ET32)</f>
        <v>8.1133333333333333</v>
      </c>
      <c r="FB32" s="11" t="s">
        <v>37</v>
      </c>
      <c r="FC32" s="11" t="s">
        <v>37</v>
      </c>
      <c r="FD32" s="11" t="s">
        <v>37</v>
      </c>
      <c r="FE32" s="12" t="s">
        <v>37</v>
      </c>
      <c r="FF32" s="20" t="s">
        <v>37</v>
      </c>
      <c r="FG32" s="11" t="s">
        <v>37</v>
      </c>
      <c r="FI32" s="11" t="s">
        <v>37</v>
      </c>
      <c r="FJ32" s="11" t="s">
        <v>37</v>
      </c>
      <c r="FK32" s="11" t="s">
        <v>37</v>
      </c>
      <c r="FL32" s="13" t="s">
        <v>37</v>
      </c>
      <c r="FM32" s="11" t="s">
        <v>37</v>
      </c>
      <c r="FN32" s="11" t="s">
        <v>37</v>
      </c>
      <c r="FP32" s="11" t="s">
        <v>37</v>
      </c>
      <c r="FQ32" s="11" t="s">
        <v>37</v>
      </c>
      <c r="FR32" s="11" t="s">
        <v>37</v>
      </c>
      <c r="FS32" s="13" t="s">
        <v>37</v>
      </c>
      <c r="FT32" s="11" t="s">
        <v>37</v>
      </c>
      <c r="FU32" s="11" t="s">
        <v>37</v>
      </c>
      <c r="FW32" s="11" t="s">
        <v>37</v>
      </c>
      <c r="FX32" s="11" t="s">
        <v>37</v>
      </c>
      <c r="FY32" s="11" t="s">
        <v>37</v>
      </c>
      <c r="FZ32" s="13" t="s">
        <v>37</v>
      </c>
      <c r="GA32" s="11" t="s">
        <v>37</v>
      </c>
      <c r="GB32" s="11" t="s">
        <v>37</v>
      </c>
      <c r="HA32" s="12"/>
      <c r="HB32" s="32"/>
      <c r="HD32" s="11"/>
      <c r="HG32" s="11"/>
      <c r="HH32" s="11"/>
      <c r="HM32" s="32"/>
      <c r="IK32" s="12" t="s">
        <v>37</v>
      </c>
      <c r="IL32" s="12" t="s">
        <v>37</v>
      </c>
      <c r="IM32" s="13" t="s">
        <v>37</v>
      </c>
      <c r="IO32" s="12" t="s">
        <v>37</v>
      </c>
      <c r="IP32" s="12" t="s">
        <v>37</v>
      </c>
      <c r="IQ32" s="13" t="s">
        <v>37</v>
      </c>
      <c r="IW32" s="12" t="s">
        <v>37</v>
      </c>
      <c r="IX32" s="11" t="s">
        <v>37</v>
      </c>
      <c r="IY32" s="13" t="s">
        <v>37</v>
      </c>
      <c r="JA32" s="11" t="s">
        <v>37</v>
      </c>
      <c r="JB32" s="11" t="s">
        <v>37</v>
      </c>
      <c r="JC32" s="13" t="s">
        <v>37</v>
      </c>
      <c r="JH32" s="12" t="s">
        <v>37</v>
      </c>
      <c r="JI32" s="12" t="s">
        <v>37</v>
      </c>
      <c r="JJ32" s="13" t="s">
        <v>37</v>
      </c>
      <c r="JL32" s="12" t="s">
        <v>37</v>
      </c>
      <c r="JM32" s="12" t="s">
        <v>37</v>
      </c>
      <c r="JN32" s="12" t="s">
        <v>37</v>
      </c>
      <c r="JS32" s="12" t="s">
        <v>37</v>
      </c>
      <c r="JT32" s="12" t="s">
        <v>37</v>
      </c>
      <c r="JU32" s="13" t="s">
        <v>37</v>
      </c>
      <c r="JW32" s="12" t="s">
        <v>37</v>
      </c>
      <c r="JX32" s="12" t="s">
        <v>37</v>
      </c>
      <c r="JY32" s="12" t="s">
        <v>37</v>
      </c>
      <c r="KE32" s="11" t="s">
        <v>37</v>
      </c>
      <c r="KF32" s="11" t="s">
        <v>37</v>
      </c>
      <c r="KG32" s="13" t="s">
        <v>37</v>
      </c>
      <c r="KH32" s="11" t="s">
        <v>37</v>
      </c>
      <c r="KI32" s="11" t="s">
        <v>37</v>
      </c>
      <c r="KJ32" s="11" t="s">
        <v>37</v>
      </c>
      <c r="KM32" s="12" t="s">
        <v>37</v>
      </c>
      <c r="KN32" s="11" t="s">
        <v>37</v>
      </c>
      <c r="KO32" s="11" t="s">
        <v>37</v>
      </c>
      <c r="KQ32" s="11" t="s">
        <v>37</v>
      </c>
      <c r="KR32" s="11" t="s">
        <v>37</v>
      </c>
      <c r="KS32" s="13" t="s">
        <v>37</v>
      </c>
      <c r="KX32" s="11" t="s">
        <v>37</v>
      </c>
      <c r="KY32" s="11" t="s">
        <v>37</v>
      </c>
      <c r="KZ32" s="13" t="s">
        <v>37</v>
      </c>
      <c r="LB32" s="11" t="s">
        <v>37</v>
      </c>
      <c r="LC32" s="11" t="s">
        <v>37</v>
      </c>
      <c r="LD32" s="13" t="s">
        <v>37</v>
      </c>
      <c r="LI32" s="12" t="s">
        <v>37</v>
      </c>
      <c r="LJ32" s="12" t="s">
        <v>37</v>
      </c>
      <c r="LK32" s="12" t="s">
        <v>37</v>
      </c>
      <c r="LM32" s="12" t="s">
        <v>37</v>
      </c>
      <c r="LN32" s="12" t="s">
        <v>37</v>
      </c>
      <c r="LO32" s="12" t="s">
        <v>37</v>
      </c>
      <c r="LU32" s="12" t="s">
        <v>37</v>
      </c>
      <c r="LV32" s="12" t="s">
        <v>37</v>
      </c>
      <c r="LW32" s="13" t="s">
        <v>37</v>
      </c>
      <c r="LY32" s="12" t="s">
        <v>37</v>
      </c>
      <c r="LZ32" s="12" t="s">
        <v>37</v>
      </c>
      <c r="MA32" s="11" t="s">
        <v>37</v>
      </c>
      <c r="MF32" s="12" t="s">
        <v>37</v>
      </c>
      <c r="MG32" s="12" t="s">
        <v>37</v>
      </c>
      <c r="MH32" s="12" t="s">
        <v>37</v>
      </c>
      <c r="MJ32" s="12" t="s">
        <v>37</v>
      </c>
      <c r="MK32" s="12" t="s">
        <v>37</v>
      </c>
      <c r="ML32" s="12" t="s">
        <v>37</v>
      </c>
      <c r="MQ32" s="12" t="s">
        <v>37</v>
      </c>
      <c r="MR32" s="12" t="s">
        <v>37</v>
      </c>
      <c r="MS32" s="12" t="s">
        <v>37</v>
      </c>
      <c r="MU32" s="12" t="s">
        <v>37</v>
      </c>
      <c r="MV32" s="12" t="s">
        <v>37</v>
      </c>
      <c r="MW32" s="12" t="s">
        <v>37</v>
      </c>
      <c r="NC32" s="11" t="s">
        <v>37</v>
      </c>
      <c r="ND32" s="11" t="s">
        <v>37</v>
      </c>
      <c r="NE32" s="13" t="s">
        <v>37</v>
      </c>
      <c r="NG32" s="11" t="s">
        <v>37</v>
      </c>
      <c r="NH32" s="11" t="s">
        <v>37</v>
      </c>
      <c r="NI32" s="13" t="s">
        <v>37</v>
      </c>
      <c r="NO32" s="11" t="s">
        <v>37</v>
      </c>
      <c r="NP32" s="11" t="s">
        <v>37</v>
      </c>
      <c r="NQ32" s="13" t="s">
        <v>37</v>
      </c>
      <c r="NS32" s="11" t="s">
        <v>37</v>
      </c>
      <c r="NT32" s="11" t="s">
        <v>37</v>
      </c>
      <c r="NU32" s="13" t="s">
        <v>37</v>
      </c>
      <c r="OA32" s="11" t="s">
        <v>37</v>
      </c>
      <c r="OB32" s="11" t="s">
        <v>37</v>
      </c>
      <c r="OC32" s="13" t="s">
        <v>37</v>
      </c>
      <c r="OE32" s="11" t="s">
        <v>37</v>
      </c>
      <c r="OF32" s="11" t="s">
        <v>37</v>
      </c>
      <c r="OG32" s="13" t="s">
        <v>37</v>
      </c>
      <c r="OM32" s="11" t="s">
        <v>37</v>
      </c>
      <c r="ON32" s="11" t="s">
        <v>37</v>
      </c>
      <c r="OO32" s="11" t="s">
        <v>37</v>
      </c>
      <c r="OP32" s="11" t="s">
        <v>37</v>
      </c>
      <c r="OQ32" s="11" t="s">
        <v>37</v>
      </c>
      <c r="OR32" s="11" t="s">
        <v>37</v>
      </c>
      <c r="OW32" s="11" t="s">
        <v>37</v>
      </c>
      <c r="OX32" s="11" t="s">
        <v>37</v>
      </c>
      <c r="OY32" s="13" t="s">
        <v>37</v>
      </c>
      <c r="OZ32" s="11" t="s">
        <v>37</v>
      </c>
      <c r="PA32" s="11" t="s">
        <v>37</v>
      </c>
      <c r="PB32" s="13" t="s">
        <v>37</v>
      </c>
      <c r="PG32" s="11" t="s">
        <v>37</v>
      </c>
      <c r="PH32" s="11" t="s">
        <v>37</v>
      </c>
      <c r="PI32" s="13" t="s">
        <v>37</v>
      </c>
      <c r="PJ32" s="11" t="s">
        <v>37</v>
      </c>
      <c r="PK32" s="11" t="s">
        <v>37</v>
      </c>
      <c r="PL32" s="13" t="s">
        <v>37</v>
      </c>
      <c r="PQ32" s="11" t="s">
        <v>37</v>
      </c>
      <c r="PR32" s="11" t="s">
        <v>37</v>
      </c>
      <c r="PS32" s="13" t="s">
        <v>37</v>
      </c>
      <c r="PT32" s="11" t="s">
        <v>37</v>
      </c>
      <c r="PU32" s="11" t="s">
        <v>37</v>
      </c>
      <c r="PV32" s="13" t="s">
        <v>37</v>
      </c>
      <c r="PZ32" s="11" t="s">
        <v>37</v>
      </c>
      <c r="QA32" s="11" t="s">
        <v>37</v>
      </c>
      <c r="QB32" s="11" t="s">
        <v>37</v>
      </c>
      <c r="QD32" s="11" t="s">
        <v>37</v>
      </c>
      <c r="QE32" s="11" t="s">
        <v>37</v>
      </c>
      <c r="QF32" s="13" t="s">
        <v>37</v>
      </c>
      <c r="QK32" s="11" t="s">
        <v>37</v>
      </c>
      <c r="QL32" s="11" t="s">
        <v>37</v>
      </c>
      <c r="QM32" s="13" t="s">
        <v>37</v>
      </c>
      <c r="QN32" s="11" t="s">
        <v>37</v>
      </c>
      <c r="QO32" s="11" t="s">
        <v>37</v>
      </c>
      <c r="QP32" s="13" t="s">
        <v>37</v>
      </c>
      <c r="QU32" s="11" t="s">
        <v>37</v>
      </c>
      <c r="QV32" s="11" t="s">
        <v>37</v>
      </c>
      <c r="QW32" s="13" t="s">
        <v>37</v>
      </c>
      <c r="QX32" s="11" t="s">
        <v>37</v>
      </c>
      <c r="QY32" s="11" t="s">
        <v>37</v>
      </c>
      <c r="QZ32" s="13" t="s">
        <v>37</v>
      </c>
      <c r="RC32" s="12" t="s">
        <v>37</v>
      </c>
      <c r="RD32" s="12" t="s">
        <v>37</v>
      </c>
      <c r="RE32" s="13" t="s">
        <v>37</v>
      </c>
      <c r="RF32" s="12" t="s">
        <v>37</v>
      </c>
      <c r="RG32" s="12" t="s">
        <v>37</v>
      </c>
      <c r="RH32" s="13" t="s">
        <v>37</v>
      </c>
      <c r="RK32" s="11" t="s">
        <v>37</v>
      </c>
      <c r="RL32" s="11" t="s">
        <v>37</v>
      </c>
      <c r="RM32" s="11" t="s">
        <v>37</v>
      </c>
      <c r="RN32" s="11" t="s">
        <v>37</v>
      </c>
      <c r="RO32" s="11" t="s">
        <v>37</v>
      </c>
      <c r="RP32" s="11" t="s">
        <v>37</v>
      </c>
      <c r="RS32" s="11" t="s">
        <v>37</v>
      </c>
      <c r="RT32" s="11" t="s">
        <v>37</v>
      </c>
      <c r="RU32" s="11" t="s">
        <v>37</v>
      </c>
      <c r="RV32" s="11" t="s">
        <v>37</v>
      </c>
      <c r="RW32" s="11" t="s">
        <v>37</v>
      </c>
      <c r="RX32" s="11" t="s">
        <v>37</v>
      </c>
      <c r="SA32" s="11" t="s">
        <v>37</v>
      </c>
      <c r="SB32" s="11" t="s">
        <v>37</v>
      </c>
      <c r="SC32" s="13" t="s">
        <v>37</v>
      </c>
      <c r="SD32" s="11" t="s">
        <v>37</v>
      </c>
      <c r="SE32" s="11" t="s">
        <v>37</v>
      </c>
      <c r="SF32" s="13" t="s">
        <v>37</v>
      </c>
      <c r="SI32" s="12" t="s">
        <v>37</v>
      </c>
      <c r="SJ32" s="11" t="s">
        <v>37</v>
      </c>
      <c r="SK32" s="13" t="s">
        <v>37</v>
      </c>
      <c r="SM32" s="11" t="s">
        <v>37</v>
      </c>
      <c r="SN32" s="11" t="s">
        <v>37</v>
      </c>
      <c r="SO32" s="13" t="s">
        <v>37</v>
      </c>
      <c r="SU32" s="12" t="s">
        <v>37</v>
      </c>
      <c r="SV32" s="12" t="s">
        <v>37</v>
      </c>
      <c r="SW32" s="11" t="s">
        <v>37</v>
      </c>
      <c r="SX32" s="12" t="s">
        <v>37</v>
      </c>
      <c r="SY32" s="12" t="s">
        <v>37</v>
      </c>
      <c r="SZ32" s="11" t="s">
        <v>37</v>
      </c>
      <c r="TE32" s="12" t="s">
        <v>37</v>
      </c>
      <c r="TF32" s="12" t="s">
        <v>37</v>
      </c>
      <c r="TG32" s="11" t="s">
        <v>37</v>
      </c>
      <c r="TH32" s="12" t="s">
        <v>37</v>
      </c>
      <c r="TI32" s="12" t="s">
        <v>37</v>
      </c>
      <c r="TJ32" s="11" t="s">
        <v>37</v>
      </c>
      <c r="TO32" s="12" t="s">
        <v>37</v>
      </c>
      <c r="TP32" s="12" t="s">
        <v>37</v>
      </c>
      <c r="TQ32" s="11" t="s">
        <v>37</v>
      </c>
      <c r="TR32" s="12" t="s">
        <v>37</v>
      </c>
      <c r="TS32" s="12" t="s">
        <v>37</v>
      </c>
      <c r="TT32" s="11" t="s">
        <v>37</v>
      </c>
      <c r="TY32" s="12" t="s">
        <v>37</v>
      </c>
      <c r="TZ32" s="12" t="s">
        <v>37</v>
      </c>
      <c r="UA32" s="11" t="s">
        <v>37</v>
      </c>
      <c r="UB32" s="12" t="s">
        <v>37</v>
      </c>
      <c r="UC32" s="12" t="s">
        <v>37</v>
      </c>
      <c r="UD32" s="11" t="s">
        <v>37</v>
      </c>
      <c r="UI32" s="12" t="s">
        <v>37</v>
      </c>
      <c r="UJ32" s="12" t="s">
        <v>37</v>
      </c>
      <c r="UK32" s="13" t="s">
        <v>37</v>
      </c>
      <c r="UL32" s="12" t="s">
        <v>37</v>
      </c>
      <c r="UM32" s="12" t="s">
        <v>37</v>
      </c>
      <c r="UN32" s="13" t="s">
        <v>37</v>
      </c>
      <c r="UR32" s="12" t="s">
        <v>37</v>
      </c>
      <c r="US32" s="12" t="s">
        <v>37</v>
      </c>
      <c r="UT32" s="13" t="s">
        <v>37</v>
      </c>
      <c r="UU32" s="12" t="s">
        <v>37</v>
      </c>
      <c r="UV32" s="12" t="s">
        <v>37</v>
      </c>
      <c r="UW32" s="13" t="s">
        <v>37</v>
      </c>
      <c r="VB32" s="12" t="s">
        <v>37</v>
      </c>
      <c r="VC32" s="12" t="s">
        <v>37</v>
      </c>
      <c r="VD32" s="13" t="s">
        <v>37</v>
      </c>
      <c r="VE32" s="12" t="s">
        <v>37</v>
      </c>
      <c r="VF32" s="12" t="s">
        <v>37</v>
      </c>
      <c r="VG32" s="13" t="s">
        <v>37</v>
      </c>
      <c r="VI32" s="12" t="s">
        <v>37</v>
      </c>
      <c r="VJ32" s="12" t="s">
        <v>37</v>
      </c>
      <c r="VK32" s="13" t="s">
        <v>37</v>
      </c>
      <c r="VL32" s="12" t="s">
        <v>37</v>
      </c>
      <c r="VM32" s="12" t="s">
        <v>37</v>
      </c>
      <c r="VN32" s="13" t="s">
        <v>37</v>
      </c>
      <c r="VO32" s="12" t="s">
        <v>37</v>
      </c>
      <c r="VQ32" s="12" t="s">
        <v>37</v>
      </c>
      <c r="VR32" s="12" t="s">
        <v>37</v>
      </c>
      <c r="VS32" s="12" t="s">
        <v>37</v>
      </c>
      <c r="VT32" s="12" t="s">
        <v>37</v>
      </c>
      <c r="VU32" s="12" t="s">
        <v>37</v>
      </c>
      <c r="VV32" s="12" t="s">
        <v>37</v>
      </c>
      <c r="VW32" s="12"/>
      <c r="VX32" s="12"/>
      <c r="WA32" s="13" t="s">
        <v>37</v>
      </c>
      <c r="WB32" s="13" t="s">
        <v>37</v>
      </c>
      <c r="WC32" s="13" t="s">
        <v>37</v>
      </c>
      <c r="WD32" s="13" t="s">
        <v>37</v>
      </c>
      <c r="WE32" s="13" t="s">
        <v>37</v>
      </c>
      <c r="WF32" s="13" t="s">
        <v>37</v>
      </c>
    </row>
    <row r="33" spans="1:604" ht="18" customHeight="1" x14ac:dyDescent="0.4">
      <c r="A33" s="11">
        <v>8</v>
      </c>
      <c r="B33" s="12" t="s">
        <v>932</v>
      </c>
      <c r="C33" s="12" t="s">
        <v>26</v>
      </c>
      <c r="D33" s="12" t="s">
        <v>1039</v>
      </c>
      <c r="E33" s="40">
        <v>4</v>
      </c>
      <c r="F33" s="14">
        <v>0</v>
      </c>
      <c r="G33" s="14">
        <v>0</v>
      </c>
      <c r="H33" s="12" t="s">
        <v>96</v>
      </c>
      <c r="I33" s="29">
        <v>57.23</v>
      </c>
      <c r="J33" s="29">
        <v>9.84</v>
      </c>
      <c r="K33" s="12" t="s">
        <v>693</v>
      </c>
      <c r="L33" s="12" t="s">
        <v>97</v>
      </c>
      <c r="M33" s="13" t="s">
        <v>37</v>
      </c>
      <c r="N33" s="14">
        <v>9.3000000000000007</v>
      </c>
      <c r="O33" s="14">
        <v>925</v>
      </c>
      <c r="P33" s="14" t="s">
        <v>16</v>
      </c>
      <c r="Q33" s="75">
        <v>94</v>
      </c>
      <c r="R33" s="11" t="s">
        <v>1000</v>
      </c>
      <c r="S33" s="12" t="s">
        <v>93</v>
      </c>
      <c r="T33" s="12" t="s">
        <v>37</v>
      </c>
      <c r="U33" s="12" t="s">
        <v>158</v>
      </c>
      <c r="V33" s="12" t="s">
        <v>275</v>
      </c>
      <c r="W33" s="23" t="s">
        <v>492</v>
      </c>
      <c r="X33" s="12" t="s">
        <v>280</v>
      </c>
      <c r="Y33" s="12" t="s">
        <v>69</v>
      </c>
      <c r="Z33" s="12" t="s">
        <v>37</v>
      </c>
      <c r="AA33" s="32" t="s">
        <v>493</v>
      </c>
      <c r="AB33" s="12">
        <v>3.4</v>
      </c>
      <c r="AC33" s="12" t="s">
        <v>42</v>
      </c>
      <c r="AD33" s="32" t="s">
        <v>493</v>
      </c>
      <c r="AE33" s="12">
        <v>410</v>
      </c>
      <c r="AF33" s="12" t="s">
        <v>42</v>
      </c>
      <c r="AG33" s="32" t="s">
        <v>493</v>
      </c>
      <c r="AH33" s="12">
        <v>13</v>
      </c>
      <c r="AJ33" s="12" t="str">
        <f t="shared" ref="AJ33:AJ34" si="90">AD33</f>
        <v>0-25</v>
      </c>
      <c r="AK33" s="19">
        <f>AE33/AH33</f>
        <v>31.53846153846154</v>
      </c>
      <c r="AL33" s="32" t="s">
        <v>98</v>
      </c>
      <c r="AM33" s="20" t="s">
        <v>344</v>
      </c>
      <c r="AO33" s="20" t="s">
        <v>37</v>
      </c>
      <c r="AP33" s="12" t="s">
        <v>600</v>
      </c>
      <c r="AQ33" s="12" t="s">
        <v>975</v>
      </c>
      <c r="AR33" s="12" t="s">
        <v>42</v>
      </c>
      <c r="AS33" s="32" t="s">
        <v>493</v>
      </c>
      <c r="AT33" s="12">
        <v>410</v>
      </c>
      <c r="AU33" s="15">
        <v>20</v>
      </c>
      <c r="AV33" s="18">
        <v>2</v>
      </c>
      <c r="AW33" s="52">
        <f t="shared" ref="AW33" si="91">AU33/AT33</f>
        <v>4.878048780487805E-2</v>
      </c>
      <c r="AX33" s="15">
        <v>390</v>
      </c>
      <c r="AY33" s="15">
        <v>20</v>
      </c>
      <c r="AZ33" s="13">
        <v>2</v>
      </c>
      <c r="BA33" s="52">
        <f t="shared" ref="BA33" si="92">AY33/AX33</f>
        <v>5.128205128205128E-2</v>
      </c>
      <c r="BB33" s="52">
        <f t="shared" ref="BB33:BB34" si="93">LN(AX33/AT33)</f>
        <v>-5.0010420574661422E-2</v>
      </c>
      <c r="BC33" s="19">
        <f t="shared" ref="BC33:BC34" si="94">AY33^2/(AZ33*AX33^2)+AU33^2/(AV33*AT33^2)</f>
        <v>2.5046923870883971E-3</v>
      </c>
      <c r="BE33" s="12" t="s">
        <v>326</v>
      </c>
      <c r="BF33" s="12" t="s">
        <v>326</v>
      </c>
      <c r="BG33" s="12" t="s">
        <v>326</v>
      </c>
      <c r="BI33" s="12" t="s">
        <v>326</v>
      </c>
      <c r="BJ33" s="12" t="s">
        <v>326</v>
      </c>
      <c r="BK33" s="12" t="s">
        <v>326</v>
      </c>
      <c r="BP33" s="12" t="s">
        <v>37</v>
      </c>
      <c r="BQ33" s="12" t="s">
        <v>37</v>
      </c>
      <c r="BR33" s="13" t="s">
        <v>37</v>
      </c>
      <c r="BT33" s="12" t="s">
        <v>37</v>
      </c>
      <c r="BU33" s="12" t="s">
        <v>37</v>
      </c>
      <c r="BV33" s="12" t="s">
        <v>37</v>
      </c>
      <c r="CA33" s="12" t="s">
        <v>37</v>
      </c>
      <c r="CB33" s="12" t="s">
        <v>37</v>
      </c>
      <c r="CC33" s="13" t="s">
        <v>37</v>
      </c>
      <c r="CE33" s="12" t="s">
        <v>37</v>
      </c>
      <c r="CF33" s="12" t="s">
        <v>37</v>
      </c>
      <c r="CG33" s="13" t="s">
        <v>37</v>
      </c>
      <c r="CI33" s="52"/>
      <c r="CJ33" s="12"/>
      <c r="CK33" s="73"/>
      <c r="CL33" s="73"/>
      <c r="CN33" s="12" t="s">
        <v>37</v>
      </c>
      <c r="CO33" s="12" t="s">
        <v>37</v>
      </c>
      <c r="CP33" s="13" t="s">
        <v>37</v>
      </c>
      <c r="CR33" s="12" t="s">
        <v>37</v>
      </c>
      <c r="CS33" s="12" t="s">
        <v>37</v>
      </c>
      <c r="CT33" s="13" t="s">
        <v>37</v>
      </c>
      <c r="CV33" s="52"/>
      <c r="CW33" s="52"/>
      <c r="CX33" s="73"/>
      <c r="CY33" s="73"/>
      <c r="DA33" s="12" t="s">
        <v>37</v>
      </c>
      <c r="DB33" s="12" t="s">
        <v>37</v>
      </c>
      <c r="DC33" s="13" t="s">
        <v>37</v>
      </c>
      <c r="DE33" s="12" t="s">
        <v>37</v>
      </c>
      <c r="DF33" s="12" t="s">
        <v>37</v>
      </c>
      <c r="DG33" s="13" t="s">
        <v>37</v>
      </c>
      <c r="DI33" s="52"/>
      <c r="DJ33" s="52"/>
      <c r="DK33" s="73"/>
      <c r="DL33" s="73"/>
      <c r="DM33" s="15" t="s">
        <v>47</v>
      </c>
      <c r="DN33" s="52">
        <v>172</v>
      </c>
      <c r="DO33" s="15">
        <f>44/2</f>
        <v>22</v>
      </c>
      <c r="DP33" s="18">
        <v>6</v>
      </c>
      <c r="DQ33" s="19">
        <f t="shared" si="60"/>
        <v>0.12790697674418605</v>
      </c>
      <c r="DR33" s="52">
        <v>-1.5</v>
      </c>
      <c r="DS33" s="15">
        <f>1.2/2</f>
        <v>0.6</v>
      </c>
      <c r="DT33" s="18">
        <v>6</v>
      </c>
      <c r="DU33" s="19">
        <f t="shared" si="61"/>
        <v>0.39999999999999997</v>
      </c>
      <c r="DV33" s="19">
        <f t="shared" si="62"/>
        <v>-173.5</v>
      </c>
      <c r="DW33" s="12">
        <f t="shared" si="4"/>
        <v>15.562133529821674</v>
      </c>
      <c r="DX33" s="72">
        <f t="shared" si="66"/>
        <v>80.726666666666659</v>
      </c>
      <c r="DY33" s="72">
        <f t="shared" si="67"/>
        <v>80.726666666666674</v>
      </c>
      <c r="DZ33" s="15" t="s">
        <v>47</v>
      </c>
      <c r="EA33" s="52">
        <v>0.3</v>
      </c>
      <c r="EB33" s="52">
        <f>0.7/2</f>
        <v>0.35</v>
      </c>
      <c r="EC33" s="73">
        <v>6</v>
      </c>
      <c r="ED33" s="52">
        <f>EB33/ABS(EA33)</f>
        <v>1.1666666666666667</v>
      </c>
      <c r="EE33" s="52">
        <v>3</v>
      </c>
      <c r="EF33" s="52">
        <f>1.9/2</f>
        <v>0.95</v>
      </c>
      <c r="EG33" s="18">
        <v>6</v>
      </c>
      <c r="EH33" s="52">
        <f>EF33/ABS(EE33)</f>
        <v>0.31666666666666665</v>
      </c>
      <c r="EI33" s="19">
        <f>EE33-EA33</f>
        <v>2.7</v>
      </c>
      <c r="EJ33" s="12">
        <f>SQRT(((EC33-1)*EB33^2+(EG33-1)*EF33^2)/(EC33+EG33-2))</f>
        <v>0.71589105316381763</v>
      </c>
      <c r="EK33" s="19">
        <f>(((EC33+EG33)/(EC33*EG33))*(((EC33-1)*EB33^2)+(EG33-1)*EF33^2)/(EC33+EG33-2))</f>
        <v>0.17083333333333334</v>
      </c>
      <c r="EL33" s="19">
        <f>(EB33^2/EC33)+(EF33^2/EG33)</f>
        <v>0.17083333333333334</v>
      </c>
      <c r="EM33" s="12" t="s">
        <v>39</v>
      </c>
      <c r="EN33" s="12">
        <v>-9</v>
      </c>
      <c r="EO33" s="12">
        <v>1.9</v>
      </c>
      <c r="EP33" s="13">
        <v>3</v>
      </c>
      <c r="EQ33" s="19">
        <f t="shared" si="29"/>
        <v>0.21111111111111111</v>
      </c>
      <c r="ER33" s="12">
        <v>-34.51</v>
      </c>
      <c r="ES33" s="12">
        <v>4.08</v>
      </c>
      <c r="ET33" s="13">
        <v>3</v>
      </c>
      <c r="EU33" s="19">
        <f t="shared" si="30"/>
        <v>0.11822660098522168</v>
      </c>
      <c r="EV33" s="19">
        <f t="shared" si="86"/>
        <v>-25.509999999999998</v>
      </c>
      <c r="EW33" s="12">
        <f t="shared" si="87"/>
        <v>3.1824833071046892</v>
      </c>
      <c r="EX33" s="19">
        <f t="shared" si="88"/>
        <v>6.7521333333333331</v>
      </c>
      <c r="EY33" s="19">
        <f t="shared" si="89"/>
        <v>6.7521333333333331</v>
      </c>
      <c r="FB33" s="11" t="s">
        <v>37</v>
      </c>
      <c r="FC33" s="11" t="s">
        <v>37</v>
      </c>
      <c r="FD33" s="11" t="s">
        <v>37</v>
      </c>
      <c r="FE33" s="12" t="s">
        <v>37</v>
      </c>
      <c r="FF33" s="20" t="s">
        <v>37</v>
      </c>
      <c r="FG33" s="11" t="s">
        <v>37</v>
      </c>
      <c r="FI33" s="11" t="s">
        <v>37</v>
      </c>
      <c r="FJ33" s="11" t="s">
        <v>37</v>
      </c>
      <c r="FK33" s="11" t="s">
        <v>37</v>
      </c>
      <c r="FL33" s="13" t="s">
        <v>37</v>
      </c>
      <c r="FM33" s="11" t="s">
        <v>37</v>
      </c>
      <c r="FN33" s="11" t="s">
        <v>37</v>
      </c>
      <c r="FP33" s="11" t="s">
        <v>37</v>
      </c>
      <c r="FQ33" s="11" t="s">
        <v>37</v>
      </c>
      <c r="FR33" s="11" t="s">
        <v>37</v>
      </c>
      <c r="FS33" s="13" t="s">
        <v>37</v>
      </c>
      <c r="FT33" s="11" t="s">
        <v>37</v>
      </c>
      <c r="FU33" s="11" t="s">
        <v>37</v>
      </c>
      <c r="FW33" s="11" t="s">
        <v>37</v>
      </c>
      <c r="FX33" s="11" t="s">
        <v>37</v>
      </c>
      <c r="FY33" s="11" t="s">
        <v>37</v>
      </c>
      <c r="FZ33" s="13" t="s">
        <v>37</v>
      </c>
      <c r="GA33" s="11" t="s">
        <v>37</v>
      </c>
      <c r="GB33" s="11" t="s">
        <v>37</v>
      </c>
      <c r="GC33" s="12" t="s">
        <v>101</v>
      </c>
      <c r="GD33" s="12" t="s">
        <v>372</v>
      </c>
      <c r="GE33" s="12">
        <v>87.11</v>
      </c>
      <c r="GF33" s="12">
        <v>1.71</v>
      </c>
      <c r="GG33" s="13">
        <v>3</v>
      </c>
      <c r="GH33" s="19">
        <f>GF33/GE33</f>
        <v>1.9630352427964643E-2</v>
      </c>
      <c r="GI33" s="12">
        <v>70.209999999999994</v>
      </c>
      <c r="GJ33" s="12">
        <v>4.82</v>
      </c>
      <c r="GK33" s="13">
        <v>3</v>
      </c>
      <c r="GL33" s="19">
        <f>GJ33/GI33</f>
        <v>6.8651189289275036E-2</v>
      </c>
      <c r="GM33" s="19">
        <f>LN(GI33/GE33)</f>
        <v>-0.2156809368016433</v>
      </c>
      <c r="GN33" s="19">
        <f>GJ33^2/(GK33*GI33^2)+GF33^2/(GG33*GE33^2)</f>
        <v>1.6994455090926567E-3</v>
      </c>
      <c r="HA33" s="17" t="s">
        <v>63</v>
      </c>
      <c r="HB33" s="34" t="s">
        <v>330</v>
      </c>
      <c r="HC33" s="12">
        <v>0.1</v>
      </c>
      <c r="HD33" s="12">
        <v>0.02</v>
      </c>
      <c r="HE33" s="13">
        <v>2</v>
      </c>
      <c r="HF33" s="19">
        <f t="shared" ref="HF33" si="95">HD33/HC33</f>
        <v>0.19999999999999998</v>
      </c>
      <c r="HG33" s="12">
        <v>0.21</v>
      </c>
      <c r="HH33" s="12">
        <f>0.09*SQRT(2)</f>
        <v>0.12727922061357855</v>
      </c>
      <c r="HI33" s="13">
        <v>2</v>
      </c>
      <c r="HJ33" s="19">
        <f t="shared" ref="HJ33" si="96">HH33/HG33</f>
        <v>0.60609152673132649</v>
      </c>
      <c r="HK33" s="19">
        <f t="shared" ref="HK33" si="97">LN(HG33/HC33)</f>
        <v>0.74193734472937711</v>
      </c>
      <c r="HL33" s="19">
        <f t="shared" ref="HL33" si="98">HH33^2/(HI33*HG33^2)+HD33^2/(HE33*HC33^2)</f>
        <v>0.2036734693877551</v>
      </c>
      <c r="IK33" s="12" t="s">
        <v>37</v>
      </c>
      <c r="IL33" s="12" t="s">
        <v>37</v>
      </c>
      <c r="IM33" s="13" t="s">
        <v>37</v>
      </c>
      <c r="IO33" s="12" t="s">
        <v>37</v>
      </c>
      <c r="IP33" s="12" t="s">
        <v>37</v>
      </c>
      <c r="IQ33" s="13" t="s">
        <v>37</v>
      </c>
      <c r="IV33" s="32" t="s">
        <v>493</v>
      </c>
      <c r="IW33" s="12">
        <v>3.4</v>
      </c>
      <c r="IX33" s="50">
        <f>ABS(IW33)*IZ$474</f>
        <v>0.12448332493527867</v>
      </c>
      <c r="IY33" s="13">
        <v>2</v>
      </c>
      <c r="JA33" s="12">
        <v>4.3</v>
      </c>
      <c r="JB33" s="50">
        <f>ABS(JA33)*JD$474</f>
        <v>0.12043787777852186</v>
      </c>
      <c r="JC33" s="13">
        <v>2</v>
      </c>
      <c r="JE33" s="19">
        <f t="shared" ref="JE33:JE34" si="99">LN(JA33/IW33)</f>
        <v>0.23483959107740099</v>
      </c>
      <c r="JF33" s="19">
        <f t="shared" ref="JF33:JF34" si="100">JB33^2/(JC33*JA33^2)+IX33^2/(IY33*IW33^2)</f>
        <v>1.0624931461699614E-3</v>
      </c>
      <c r="JH33" s="12" t="s">
        <v>37</v>
      </c>
      <c r="JI33" s="12" t="s">
        <v>37</v>
      </c>
      <c r="JJ33" s="13" t="s">
        <v>37</v>
      </c>
      <c r="JL33" s="12" t="s">
        <v>37</v>
      </c>
      <c r="JM33" s="12" t="s">
        <v>37</v>
      </c>
      <c r="JN33" s="12" t="s">
        <v>37</v>
      </c>
      <c r="JS33" s="12" t="s">
        <v>37</v>
      </c>
      <c r="JT33" s="12" t="s">
        <v>37</v>
      </c>
      <c r="JU33" s="13" t="s">
        <v>37</v>
      </c>
      <c r="JW33" s="12" t="s">
        <v>37</v>
      </c>
      <c r="JX33" s="12" t="s">
        <v>37</v>
      </c>
      <c r="JY33" s="12" t="s">
        <v>37</v>
      </c>
      <c r="KE33" s="11" t="s">
        <v>37</v>
      </c>
      <c r="KF33" s="11" t="s">
        <v>37</v>
      </c>
      <c r="KG33" s="13" t="s">
        <v>37</v>
      </c>
      <c r="KH33" s="11" t="s">
        <v>37</v>
      </c>
      <c r="KI33" s="11" t="s">
        <v>37</v>
      </c>
      <c r="KJ33" s="11" t="s">
        <v>37</v>
      </c>
      <c r="KK33" s="12" t="s">
        <v>42</v>
      </c>
      <c r="KL33" s="32" t="s">
        <v>493</v>
      </c>
      <c r="KM33" s="12">
        <v>13</v>
      </c>
      <c r="KN33" s="12">
        <f>0.5*SQRT(2)</f>
        <v>0.70710678118654757</v>
      </c>
      <c r="KO33" s="11">
        <v>2</v>
      </c>
      <c r="KP33" s="19">
        <f>KN33/KM33</f>
        <v>5.4392829322042119E-2</v>
      </c>
      <c r="KQ33" s="12">
        <v>18.600000000000001</v>
      </c>
      <c r="KR33" s="12">
        <f>0.1*SQRT(2)</f>
        <v>0.14142135623730953</v>
      </c>
      <c r="KS33" s="13">
        <v>2</v>
      </c>
      <c r="KT33" s="19">
        <f>KR33/KQ33</f>
        <v>7.6032987224359961E-3</v>
      </c>
      <c r="KU33" s="19">
        <f t="shared" ref="KU33:KU34" si="101">LN(KQ33/KM33)</f>
        <v>0.35821222325761887</v>
      </c>
      <c r="KV33" s="19">
        <f t="shared" ref="KV33:KV34" si="102">KR33^2/(KS33*KQ33^2)+KN33^2/(KO33*KM33^2)</f>
        <v>1.5081950165597012E-3</v>
      </c>
      <c r="KX33" s="11" t="s">
        <v>37</v>
      </c>
      <c r="KY33" s="11" t="s">
        <v>37</v>
      </c>
      <c r="KZ33" s="13" t="s">
        <v>37</v>
      </c>
      <c r="LB33" s="11" t="s">
        <v>37</v>
      </c>
      <c r="LC33" s="11" t="s">
        <v>37</v>
      </c>
      <c r="LD33" s="13" t="s">
        <v>37</v>
      </c>
      <c r="LI33" s="12" t="s">
        <v>37</v>
      </c>
      <c r="LJ33" s="12" t="s">
        <v>37</v>
      </c>
      <c r="LK33" s="12" t="s">
        <v>37</v>
      </c>
      <c r="LM33" s="12" t="s">
        <v>37</v>
      </c>
      <c r="LN33" s="12" t="s">
        <v>37</v>
      </c>
      <c r="LO33" s="12" t="s">
        <v>37</v>
      </c>
      <c r="LT33" s="12" t="str">
        <f t="shared" ref="LT33:LT34" si="103">KL33</f>
        <v>0-25</v>
      </c>
      <c r="LU33" s="12">
        <f>AT33/KM33</f>
        <v>31.53846153846154</v>
      </c>
      <c r="LV33" s="12">
        <f>SQRT((1/KM33)^2*AU33^2+AT33^2*(-1/KM33^2)^2*KN33^2)</f>
        <v>2.3042760329728704</v>
      </c>
      <c r="LW33" s="13">
        <f t="shared" ref="LW33:LW34" si="104">KO33</f>
        <v>2</v>
      </c>
      <c r="LX33" s="19">
        <f>LV33/LU33</f>
        <v>7.3062410801578812E-2</v>
      </c>
      <c r="LY33" s="12">
        <f>AX33/KQ33</f>
        <v>20.967741935483868</v>
      </c>
      <c r="LZ33" s="12">
        <f>SQRT((1/KQ33)^2*AY33^2+AX33^2*(-1/KQ33^2)^2*KR33^2)</f>
        <v>1.0870230185107272</v>
      </c>
      <c r="MA33" s="13">
        <f t="shared" ref="MA33:MA34" si="105">KS33</f>
        <v>2</v>
      </c>
      <c r="MB33" s="19">
        <f>LZ33/LY33</f>
        <v>5.184263626743469E-2</v>
      </c>
      <c r="MC33" s="19">
        <f t="shared" ref="MC33:MC34" si="106">LN(LY33/LU33)</f>
        <v>-0.40822264383228041</v>
      </c>
      <c r="MD33" s="19">
        <f t="shared" ref="MD33:MD34" si="107">LZ33^2/(MA33*LY33^2)+LV33^2/(LW33*LU33^2)</f>
        <v>4.0128874036480973E-3</v>
      </c>
      <c r="MF33" s="12" t="s">
        <v>37</v>
      </c>
      <c r="MG33" s="12" t="s">
        <v>37</v>
      </c>
      <c r="MH33" s="12" t="s">
        <v>37</v>
      </c>
      <c r="MJ33" s="12" t="s">
        <v>37</v>
      </c>
      <c r="MK33" s="12" t="s">
        <v>37</v>
      </c>
      <c r="ML33" s="12" t="s">
        <v>37</v>
      </c>
      <c r="MQ33" s="12" t="s">
        <v>37</v>
      </c>
      <c r="MR33" s="12" t="s">
        <v>37</v>
      </c>
      <c r="MS33" s="12" t="s">
        <v>37</v>
      </c>
      <c r="MU33" s="12" t="s">
        <v>37</v>
      </c>
      <c r="MV33" s="12" t="s">
        <v>37</v>
      </c>
      <c r="MW33" s="12" t="s">
        <v>37</v>
      </c>
      <c r="NA33" s="12" t="s">
        <v>102</v>
      </c>
      <c r="NB33" s="12" t="s">
        <v>372</v>
      </c>
      <c r="NC33" s="12">
        <v>15.42</v>
      </c>
      <c r="ND33" s="12">
        <v>1.66</v>
      </c>
      <c r="NE33" s="13">
        <v>3</v>
      </c>
      <c r="NF33" s="19">
        <f>ND33/NC33</f>
        <v>0.10765239948119325</v>
      </c>
      <c r="NG33" s="12">
        <v>23.38</v>
      </c>
      <c r="NH33" s="12">
        <v>2.72</v>
      </c>
      <c r="NI33" s="13">
        <v>3</v>
      </c>
      <c r="NJ33" s="19">
        <f>NH33/NG33</f>
        <v>0.11633875106929001</v>
      </c>
      <c r="NK33" s="19">
        <f t="shared" ref="NK33" si="108">LN(NG33/NC33)</f>
        <v>0.41621558790873886</v>
      </c>
      <c r="NL33" s="19">
        <f t="shared" ref="NL33" si="109">NH33^2/(NI33*NG33^2)+ND33^2/(NE33*NC33^2)</f>
        <v>8.3745813714735488E-3</v>
      </c>
      <c r="NM33" s="12" t="s">
        <v>102</v>
      </c>
      <c r="NN33" s="12" t="s">
        <v>372</v>
      </c>
      <c r="NO33" s="12">
        <v>3.89</v>
      </c>
      <c r="NP33" s="12">
        <v>1.34</v>
      </c>
      <c r="NQ33" s="13">
        <v>3</v>
      </c>
      <c r="NR33" s="19">
        <f>NP33/NO33</f>
        <v>0.34447300771208228</v>
      </c>
      <c r="NS33" s="12">
        <v>3.2</v>
      </c>
      <c r="NT33" s="12">
        <v>0.83</v>
      </c>
      <c r="NU33" s="13">
        <v>3</v>
      </c>
      <c r="NV33" s="19">
        <f>NT33/NS33</f>
        <v>0.25937499999999997</v>
      </c>
      <c r="NW33" s="19">
        <f t="shared" ref="NW33" si="110">LN(NS33/NO33)</f>
        <v>-0.19525834782467402</v>
      </c>
      <c r="NX33" s="19">
        <f t="shared" ref="NX33" si="111">NT33^2/(NU33*NS33^2)+NP33^2/(NQ33*NO33^2)</f>
        <v>6.1979014555736095E-2</v>
      </c>
      <c r="OA33" s="11" t="s">
        <v>37</v>
      </c>
      <c r="OB33" s="11" t="s">
        <v>37</v>
      </c>
      <c r="OC33" s="13" t="s">
        <v>37</v>
      </c>
      <c r="OE33" s="11" t="s">
        <v>37</v>
      </c>
      <c r="OF33" s="11" t="s">
        <v>37</v>
      </c>
      <c r="OG33" s="13" t="s">
        <v>37</v>
      </c>
      <c r="OM33" s="11" t="s">
        <v>37</v>
      </c>
      <c r="ON33" s="11" t="s">
        <v>37</v>
      </c>
      <c r="OO33" s="11" t="s">
        <v>37</v>
      </c>
      <c r="OP33" s="11" t="s">
        <v>37</v>
      </c>
      <c r="OQ33" s="11" t="s">
        <v>37</v>
      </c>
      <c r="OR33" s="11" t="s">
        <v>37</v>
      </c>
      <c r="OW33" s="11" t="s">
        <v>37</v>
      </c>
      <c r="OX33" s="11" t="s">
        <v>37</v>
      </c>
      <c r="OY33" s="13" t="s">
        <v>37</v>
      </c>
      <c r="OZ33" s="11" t="s">
        <v>37</v>
      </c>
      <c r="PA33" s="11" t="s">
        <v>37</v>
      </c>
      <c r="PB33" s="13" t="s">
        <v>37</v>
      </c>
      <c r="PG33" s="11" t="s">
        <v>37</v>
      </c>
      <c r="PH33" s="11" t="s">
        <v>37</v>
      </c>
      <c r="PI33" s="13" t="s">
        <v>37</v>
      </c>
      <c r="PJ33" s="11" t="s">
        <v>37</v>
      </c>
      <c r="PK33" s="11" t="s">
        <v>37</v>
      </c>
      <c r="PL33" s="13" t="s">
        <v>37</v>
      </c>
      <c r="PQ33" s="11" t="s">
        <v>37</v>
      </c>
      <c r="PR33" s="11" t="s">
        <v>37</v>
      </c>
      <c r="PS33" s="13" t="s">
        <v>37</v>
      </c>
      <c r="PT33" s="11" t="s">
        <v>37</v>
      </c>
      <c r="PU33" s="11" t="s">
        <v>37</v>
      </c>
      <c r="PV33" s="13" t="s">
        <v>37</v>
      </c>
      <c r="PZ33" s="12" t="s">
        <v>37</v>
      </c>
      <c r="QA33" s="12" t="s">
        <v>37</v>
      </c>
      <c r="QB33" s="11" t="s">
        <v>37</v>
      </c>
      <c r="QD33" s="12" t="s">
        <v>37</v>
      </c>
      <c r="QE33" s="12" t="s">
        <v>37</v>
      </c>
      <c r="QF33" s="12" t="s">
        <v>37</v>
      </c>
      <c r="QK33" s="11" t="s">
        <v>37</v>
      </c>
      <c r="QL33" s="11" t="s">
        <v>37</v>
      </c>
      <c r="QM33" s="13" t="s">
        <v>37</v>
      </c>
      <c r="QN33" s="11" t="s">
        <v>37</v>
      </c>
      <c r="QO33" s="11" t="s">
        <v>37</v>
      </c>
      <c r="QP33" s="13" t="s">
        <v>37</v>
      </c>
      <c r="QU33" s="11" t="s">
        <v>37</v>
      </c>
      <c r="QV33" s="11" t="s">
        <v>37</v>
      </c>
      <c r="QW33" s="13" t="s">
        <v>37</v>
      </c>
      <c r="QX33" s="11" t="s">
        <v>37</v>
      </c>
      <c r="QY33" s="11" t="s">
        <v>37</v>
      </c>
      <c r="QZ33" s="13" t="s">
        <v>37</v>
      </c>
      <c r="RC33" s="12" t="s">
        <v>37</v>
      </c>
      <c r="RD33" s="12" t="s">
        <v>37</v>
      </c>
      <c r="RE33" s="13" t="s">
        <v>37</v>
      </c>
      <c r="RF33" s="12" t="s">
        <v>37</v>
      </c>
      <c r="RG33" s="12" t="s">
        <v>37</v>
      </c>
      <c r="RH33" s="13" t="s">
        <v>37</v>
      </c>
      <c r="RK33" s="11" t="s">
        <v>37</v>
      </c>
      <c r="RL33" s="11" t="s">
        <v>37</v>
      </c>
      <c r="RM33" s="11" t="s">
        <v>37</v>
      </c>
      <c r="RN33" s="11" t="s">
        <v>37</v>
      </c>
      <c r="RO33" s="11" t="s">
        <v>37</v>
      </c>
      <c r="RP33" s="11" t="s">
        <v>37</v>
      </c>
      <c r="RS33" s="11" t="s">
        <v>37</v>
      </c>
      <c r="RT33" s="11" t="s">
        <v>37</v>
      </c>
      <c r="RU33" s="11" t="s">
        <v>37</v>
      </c>
      <c r="RV33" s="11" t="s">
        <v>37</v>
      </c>
      <c r="RW33" s="11" t="s">
        <v>37</v>
      </c>
      <c r="RX33" s="11" t="s">
        <v>37</v>
      </c>
      <c r="SA33" s="11" t="s">
        <v>37</v>
      </c>
      <c r="SB33" s="11" t="s">
        <v>37</v>
      </c>
      <c r="SC33" s="13" t="s">
        <v>37</v>
      </c>
      <c r="SD33" s="11" t="s">
        <v>37</v>
      </c>
      <c r="SE33" s="11" t="s">
        <v>37</v>
      </c>
      <c r="SF33" s="13" t="s">
        <v>37</v>
      </c>
      <c r="SI33" s="12" t="s">
        <v>37</v>
      </c>
      <c r="SJ33" s="11" t="s">
        <v>37</v>
      </c>
      <c r="SK33" s="13" t="s">
        <v>37</v>
      </c>
      <c r="SM33" s="11" t="s">
        <v>37</v>
      </c>
      <c r="SN33" s="11" t="s">
        <v>37</v>
      </c>
      <c r="SO33" s="13" t="s">
        <v>37</v>
      </c>
      <c r="SU33" s="12" t="s">
        <v>37</v>
      </c>
      <c r="SV33" s="12" t="s">
        <v>37</v>
      </c>
      <c r="SW33" s="11" t="s">
        <v>37</v>
      </c>
      <c r="SX33" s="12" t="s">
        <v>37</v>
      </c>
      <c r="SY33" s="12" t="s">
        <v>37</v>
      </c>
      <c r="SZ33" s="11" t="s">
        <v>37</v>
      </c>
      <c r="TE33" s="12" t="s">
        <v>37</v>
      </c>
      <c r="TF33" s="12" t="s">
        <v>37</v>
      </c>
      <c r="TG33" s="11" t="s">
        <v>37</v>
      </c>
      <c r="TH33" s="12" t="s">
        <v>37</v>
      </c>
      <c r="TI33" s="12" t="s">
        <v>37</v>
      </c>
      <c r="TJ33" s="11" t="s">
        <v>37</v>
      </c>
      <c r="TO33" s="12" t="s">
        <v>37</v>
      </c>
      <c r="TP33" s="12" t="s">
        <v>37</v>
      </c>
      <c r="TQ33" s="11" t="s">
        <v>37</v>
      </c>
      <c r="TR33" s="12" t="s">
        <v>37</v>
      </c>
      <c r="TS33" s="12" t="s">
        <v>37</v>
      </c>
      <c r="TT33" s="11" t="s">
        <v>37</v>
      </c>
      <c r="TY33" s="12" t="s">
        <v>37</v>
      </c>
      <c r="TZ33" s="12" t="s">
        <v>37</v>
      </c>
      <c r="UA33" s="11" t="s">
        <v>37</v>
      </c>
      <c r="UB33" s="12" t="s">
        <v>37</v>
      </c>
      <c r="UC33" s="12" t="s">
        <v>37</v>
      </c>
      <c r="UD33" s="11" t="s">
        <v>37</v>
      </c>
      <c r="UI33" s="12" t="s">
        <v>37</v>
      </c>
      <c r="UJ33" s="12" t="s">
        <v>37</v>
      </c>
      <c r="UK33" s="13" t="s">
        <v>37</v>
      </c>
      <c r="UL33" s="12" t="s">
        <v>37</v>
      </c>
      <c r="UM33" s="12" t="s">
        <v>37</v>
      </c>
      <c r="UN33" s="13" t="s">
        <v>37</v>
      </c>
      <c r="UR33" s="12" t="s">
        <v>37</v>
      </c>
      <c r="US33" s="12" t="s">
        <v>37</v>
      </c>
      <c r="UT33" s="13" t="s">
        <v>37</v>
      </c>
      <c r="UU33" s="12" t="s">
        <v>37</v>
      </c>
      <c r="UV33" s="12" t="s">
        <v>37</v>
      </c>
      <c r="UW33" s="13" t="s">
        <v>37</v>
      </c>
      <c r="VB33" s="12" t="s">
        <v>37</v>
      </c>
      <c r="VC33" s="12" t="s">
        <v>37</v>
      </c>
      <c r="VD33" s="13" t="s">
        <v>37</v>
      </c>
      <c r="VE33" s="12" t="s">
        <v>37</v>
      </c>
      <c r="VF33" s="12" t="s">
        <v>37</v>
      </c>
      <c r="VG33" s="13" t="s">
        <v>37</v>
      </c>
      <c r="VI33" s="12" t="s">
        <v>37</v>
      </c>
      <c r="VJ33" s="12" t="s">
        <v>37</v>
      </c>
      <c r="VK33" s="13" t="s">
        <v>37</v>
      </c>
      <c r="VL33" s="12" t="s">
        <v>37</v>
      </c>
      <c r="VM33" s="12" t="s">
        <v>37</v>
      </c>
      <c r="VN33" s="13" t="s">
        <v>37</v>
      </c>
      <c r="VO33" s="12" t="s">
        <v>37</v>
      </c>
      <c r="VQ33" s="12" t="s">
        <v>37</v>
      </c>
      <c r="VR33" s="12" t="s">
        <v>37</v>
      </c>
      <c r="VS33" s="12" t="s">
        <v>37</v>
      </c>
      <c r="VT33" s="12" t="s">
        <v>37</v>
      </c>
      <c r="VU33" s="12" t="s">
        <v>37</v>
      </c>
      <c r="VV33" s="12" t="s">
        <v>37</v>
      </c>
      <c r="VW33" s="12"/>
      <c r="VX33" s="12"/>
      <c r="WA33" s="13" t="s">
        <v>37</v>
      </c>
      <c r="WB33" s="13" t="s">
        <v>37</v>
      </c>
      <c r="WC33" s="13" t="s">
        <v>37</v>
      </c>
      <c r="WD33" s="13" t="s">
        <v>37</v>
      </c>
      <c r="WE33" s="13" t="s">
        <v>37</v>
      </c>
      <c r="WF33" s="13" t="s">
        <v>37</v>
      </c>
    </row>
    <row r="34" spans="1:604" ht="18" customHeight="1" x14ac:dyDescent="0.3">
      <c r="A34" s="11">
        <v>9</v>
      </c>
      <c r="B34" s="12" t="s">
        <v>103</v>
      </c>
      <c r="C34" s="12" t="s">
        <v>26</v>
      </c>
      <c r="D34" s="12" t="s">
        <v>54</v>
      </c>
      <c r="E34" s="40">
        <v>2</v>
      </c>
      <c r="F34" s="14">
        <v>0</v>
      </c>
      <c r="G34" s="14">
        <v>0</v>
      </c>
      <c r="H34" s="12" t="s">
        <v>104</v>
      </c>
      <c r="I34" s="29">
        <v>3.694</v>
      </c>
      <c r="J34" s="29">
        <v>101.185</v>
      </c>
      <c r="K34" s="12" t="s">
        <v>694</v>
      </c>
      <c r="L34" s="12" t="s">
        <v>695</v>
      </c>
      <c r="M34" s="13" t="s">
        <v>37</v>
      </c>
      <c r="N34" s="14" t="s">
        <v>37</v>
      </c>
      <c r="O34" s="14" t="s">
        <v>37</v>
      </c>
      <c r="P34" s="14" t="s">
        <v>89</v>
      </c>
      <c r="Q34" s="75">
        <v>27</v>
      </c>
      <c r="R34" s="11" t="s">
        <v>37</v>
      </c>
      <c r="S34" s="12" t="s">
        <v>105</v>
      </c>
      <c r="T34" s="12" t="s">
        <v>37</v>
      </c>
      <c r="U34" s="12" t="s">
        <v>158</v>
      </c>
      <c r="V34" s="12" t="s">
        <v>274</v>
      </c>
      <c r="W34" s="23" t="s">
        <v>494</v>
      </c>
      <c r="X34" s="12" t="s">
        <v>49</v>
      </c>
      <c r="Y34" s="12" t="s">
        <v>69</v>
      </c>
      <c r="Z34" s="12" t="s">
        <v>37</v>
      </c>
      <c r="AA34" s="32" t="s">
        <v>345</v>
      </c>
      <c r="AB34" s="12">
        <v>3.1</v>
      </c>
      <c r="AC34" s="12" t="s">
        <v>42</v>
      </c>
      <c r="AD34" s="32" t="s">
        <v>345</v>
      </c>
      <c r="AE34" s="12">
        <v>498.6</v>
      </c>
      <c r="AF34" s="12" t="s">
        <v>42</v>
      </c>
      <c r="AG34" s="32" t="s">
        <v>345</v>
      </c>
      <c r="AH34" s="12">
        <v>25</v>
      </c>
      <c r="AJ34" s="12" t="str">
        <f t="shared" si="90"/>
        <v>0-10</v>
      </c>
      <c r="AK34" s="19">
        <f t="shared" ref="AK34" si="112">AE34/AH34</f>
        <v>19.944000000000003</v>
      </c>
      <c r="AL34" s="32" t="s">
        <v>495</v>
      </c>
      <c r="AM34" s="20" t="s">
        <v>344</v>
      </c>
      <c r="AO34" s="20" t="s">
        <v>37</v>
      </c>
      <c r="AP34" s="12" t="s">
        <v>238</v>
      </c>
      <c r="AQ34" s="12" t="s">
        <v>975</v>
      </c>
      <c r="AR34" s="12" t="s">
        <v>42</v>
      </c>
      <c r="AS34" s="32" t="s">
        <v>345</v>
      </c>
      <c r="AT34" s="12">
        <v>498.6</v>
      </c>
      <c r="AU34" s="12">
        <v>3.6</v>
      </c>
      <c r="AV34" s="13">
        <v>3</v>
      </c>
      <c r="AW34" s="52">
        <f t="shared" ref="AW34" si="113">AU34/AT34</f>
        <v>7.2202166064981952E-3</v>
      </c>
      <c r="AX34" s="12">
        <v>502.3</v>
      </c>
      <c r="AY34" s="12">
        <v>3.65</v>
      </c>
      <c r="AZ34" s="13">
        <v>3</v>
      </c>
      <c r="BA34" s="52">
        <f t="shared" ref="BA34" si="114">AY34/AX34</f>
        <v>7.2665737607007759E-3</v>
      </c>
      <c r="BB34" s="52">
        <f t="shared" si="93"/>
        <v>7.3933796665414542E-3</v>
      </c>
      <c r="BC34" s="19">
        <f t="shared" si="94"/>
        <v>3.4978207354819109E-5</v>
      </c>
      <c r="BE34" s="12" t="s">
        <v>326</v>
      </c>
      <c r="BF34" s="12" t="s">
        <v>326</v>
      </c>
      <c r="BG34" s="12" t="s">
        <v>326</v>
      </c>
      <c r="BI34" s="12" t="s">
        <v>326</v>
      </c>
      <c r="BJ34" s="12" t="s">
        <v>326</v>
      </c>
      <c r="BK34" s="12" t="s">
        <v>326</v>
      </c>
      <c r="BP34" s="12" t="s">
        <v>37</v>
      </c>
      <c r="BQ34" s="12" t="s">
        <v>37</v>
      </c>
      <c r="BR34" s="13" t="s">
        <v>37</v>
      </c>
      <c r="BT34" s="12" t="s">
        <v>37</v>
      </c>
      <c r="BU34" s="12" t="s">
        <v>37</v>
      </c>
      <c r="BV34" s="12" t="s">
        <v>37</v>
      </c>
      <c r="CA34" s="12" t="s">
        <v>37</v>
      </c>
      <c r="CB34" s="12" t="s">
        <v>37</v>
      </c>
      <c r="CC34" s="13" t="s">
        <v>37</v>
      </c>
      <c r="CE34" s="12" t="s">
        <v>37</v>
      </c>
      <c r="CF34" s="12" t="s">
        <v>37</v>
      </c>
      <c r="CG34" s="13" t="s">
        <v>37</v>
      </c>
      <c r="CI34" s="52"/>
      <c r="CJ34" s="12"/>
      <c r="CK34" s="73"/>
      <c r="CL34" s="73"/>
      <c r="CN34" s="12" t="s">
        <v>37</v>
      </c>
      <c r="CO34" s="12" t="s">
        <v>37</v>
      </c>
      <c r="CP34" s="13" t="s">
        <v>37</v>
      </c>
      <c r="CR34" s="12" t="s">
        <v>37</v>
      </c>
      <c r="CS34" s="12" t="s">
        <v>37</v>
      </c>
      <c r="CT34" s="13" t="s">
        <v>37</v>
      </c>
      <c r="CV34" s="52"/>
      <c r="CW34" s="52"/>
      <c r="CX34" s="73"/>
      <c r="CY34" s="73"/>
      <c r="DA34" s="12" t="s">
        <v>37</v>
      </c>
      <c r="DB34" s="12" t="s">
        <v>37</v>
      </c>
      <c r="DC34" s="13" t="s">
        <v>37</v>
      </c>
      <c r="DE34" s="12" t="s">
        <v>37</v>
      </c>
      <c r="DF34" s="12" t="s">
        <v>37</v>
      </c>
      <c r="DG34" s="13" t="s">
        <v>37</v>
      </c>
      <c r="DI34" s="52"/>
      <c r="DJ34" s="52"/>
      <c r="DK34" s="73"/>
      <c r="DL34" s="73"/>
      <c r="DM34" s="15" t="s">
        <v>47</v>
      </c>
      <c r="DN34" s="52">
        <v>218.59000000000026</v>
      </c>
      <c r="DO34" s="18">
        <v>226.1967612500232</v>
      </c>
      <c r="DP34" s="18">
        <v>25</v>
      </c>
      <c r="DQ34" s="19">
        <v>1.0347992188573263</v>
      </c>
      <c r="DR34" s="52">
        <v>-1.3730769230769226</v>
      </c>
      <c r="DS34" s="15">
        <v>0.50491400638738226</v>
      </c>
      <c r="DT34" s="18">
        <v>75</v>
      </c>
      <c r="DU34" s="19">
        <f t="shared" ref="DU34" si="115">DS34/ABS(DR34)</f>
        <v>0.36772448644459227</v>
      </c>
      <c r="DV34" s="19">
        <f t="shared" si="62"/>
        <v>-219.96307692307718</v>
      </c>
      <c r="DW34" s="12">
        <f t="shared" si="4"/>
        <v>111.93922643347297</v>
      </c>
      <c r="DX34" s="72">
        <f>(((DP34+DT34)/(DP34*DT34))*(((DP34-1)*DO34^2)+(DT34-1)*DS34^2)/(DP34+DT34-2))</f>
        <v>668.28748877463113</v>
      </c>
      <c r="DY34" s="72">
        <f>(DO34^2/DP34)+(DS34^2/DT34)</f>
        <v>2046.6023911753846</v>
      </c>
      <c r="DZ34" s="15"/>
      <c r="EA34" s="52" t="s">
        <v>37</v>
      </c>
      <c r="EB34" s="52" t="s">
        <v>37</v>
      </c>
      <c r="EC34" s="73" t="s">
        <v>37</v>
      </c>
      <c r="ED34" s="52"/>
      <c r="EE34" s="52" t="s">
        <v>37</v>
      </c>
      <c r="EF34" s="52" t="s">
        <v>37</v>
      </c>
      <c r="EG34" s="15" t="s">
        <v>37</v>
      </c>
      <c r="EH34" s="52"/>
      <c r="EI34" s="52"/>
      <c r="EJ34" s="52"/>
      <c r="EK34" s="52"/>
      <c r="EL34" s="52"/>
      <c r="EN34" s="12" t="s">
        <v>37</v>
      </c>
      <c r="EO34" s="12" t="s">
        <v>37</v>
      </c>
      <c r="EP34" s="13" t="s">
        <v>37</v>
      </c>
      <c r="ER34" s="12" t="s">
        <v>37</v>
      </c>
      <c r="ES34" s="12" t="s">
        <v>37</v>
      </c>
      <c r="ET34" s="13" t="s">
        <v>37</v>
      </c>
      <c r="FB34" s="11" t="s">
        <v>37</v>
      </c>
      <c r="FC34" s="11" t="s">
        <v>37</v>
      </c>
      <c r="FD34" s="11" t="s">
        <v>37</v>
      </c>
      <c r="FE34" s="12" t="s">
        <v>37</v>
      </c>
      <c r="FF34" s="20" t="s">
        <v>37</v>
      </c>
      <c r="FG34" s="11" t="s">
        <v>37</v>
      </c>
      <c r="FI34" s="11" t="s">
        <v>37</v>
      </c>
      <c r="FJ34" s="11" t="s">
        <v>37</v>
      </c>
      <c r="FK34" s="11" t="s">
        <v>37</v>
      </c>
      <c r="FL34" s="13" t="s">
        <v>37</v>
      </c>
      <c r="FM34" s="11" t="s">
        <v>37</v>
      </c>
      <c r="FN34" s="11" t="s">
        <v>37</v>
      </c>
      <c r="FP34" s="11" t="s">
        <v>37</v>
      </c>
      <c r="FQ34" s="11" t="s">
        <v>37</v>
      </c>
      <c r="FR34" s="11" t="s">
        <v>37</v>
      </c>
      <c r="FS34" s="13" t="s">
        <v>37</v>
      </c>
      <c r="FT34" s="11" t="s">
        <v>37</v>
      </c>
      <c r="FU34" s="11" t="s">
        <v>37</v>
      </c>
      <c r="FW34" s="11" t="s">
        <v>37</v>
      </c>
      <c r="FX34" s="11" t="s">
        <v>37</v>
      </c>
      <c r="FY34" s="11" t="s">
        <v>37</v>
      </c>
      <c r="FZ34" s="13" t="s">
        <v>37</v>
      </c>
      <c r="GA34" s="11" t="s">
        <v>37</v>
      </c>
      <c r="GB34" s="11" t="s">
        <v>37</v>
      </c>
      <c r="GO34" s="12" t="s">
        <v>660</v>
      </c>
      <c r="GP34" s="12" t="s">
        <v>330</v>
      </c>
      <c r="GQ34" s="12">
        <f>(25.9+25.5)/2</f>
        <v>25.7</v>
      </c>
      <c r="GR34" s="12">
        <f>SQRT(0.16^2+0.04^2)/2*2</f>
        <v>0.16492422502470644</v>
      </c>
      <c r="GS34" s="13">
        <v>4</v>
      </c>
      <c r="GT34" s="19">
        <f t="shared" ref="GT34" si="116">GR34/GQ34</f>
        <v>6.4172850204165929E-3</v>
      </c>
      <c r="GU34" s="12">
        <f>(27.1+26.7)/2</f>
        <v>26.9</v>
      </c>
      <c r="GV34" s="12">
        <f>SQRT(0.05^2+0.04^2)/2*2</f>
        <v>6.4031242374328487E-2</v>
      </c>
      <c r="GW34" s="13">
        <v>4</v>
      </c>
      <c r="GX34" s="19">
        <f t="shared" ref="GX34" si="117">GV34/GU34</f>
        <v>2.3803435826887914E-3</v>
      </c>
      <c r="GY34" s="19">
        <f t="shared" ref="GY34:GY37" si="118">LN(GU34/GQ34)</f>
        <v>4.563529470661936E-2</v>
      </c>
      <c r="GZ34" s="19">
        <f t="shared" ref="GZ34:GZ40" si="119">GV34^2/(GW34*GU34^2)+GR34^2/(GS34*GQ34^2)</f>
        <v>1.1711895651227724E-5</v>
      </c>
      <c r="IK34" s="12" t="s">
        <v>37</v>
      </c>
      <c r="IL34" s="12" t="s">
        <v>37</v>
      </c>
      <c r="IM34" s="13" t="s">
        <v>37</v>
      </c>
      <c r="IO34" s="12" t="s">
        <v>37</v>
      </c>
      <c r="IP34" s="12" t="s">
        <v>37</v>
      </c>
      <c r="IQ34" s="13" t="s">
        <v>37</v>
      </c>
      <c r="IV34" s="32" t="s">
        <v>345</v>
      </c>
      <c r="IW34" s="12">
        <v>3.1</v>
      </c>
      <c r="IX34" s="12">
        <v>0.02</v>
      </c>
      <c r="IY34" s="13">
        <v>3</v>
      </c>
      <c r="IZ34" s="19">
        <f>IX34/IW34</f>
        <v>6.4516129032258064E-3</v>
      </c>
      <c r="JA34" s="12">
        <v>3</v>
      </c>
      <c r="JB34" s="12">
        <v>7.0000000000000007E-2</v>
      </c>
      <c r="JC34" s="13">
        <v>3</v>
      </c>
      <c r="JD34" s="19">
        <f>JB34/JA34</f>
        <v>2.3333333333333334E-2</v>
      </c>
      <c r="JE34" s="19">
        <f t="shared" si="99"/>
        <v>-3.2789822822990956E-2</v>
      </c>
      <c r="JF34" s="19">
        <f t="shared" si="100"/>
        <v>1.9535591783250474E-4</v>
      </c>
      <c r="JH34" s="12" t="s">
        <v>37</v>
      </c>
      <c r="JI34" s="12" t="s">
        <v>37</v>
      </c>
      <c r="JJ34" s="13" t="s">
        <v>37</v>
      </c>
      <c r="JL34" s="12" t="s">
        <v>37</v>
      </c>
      <c r="JM34" s="12" t="s">
        <v>37</v>
      </c>
      <c r="JN34" s="12" t="s">
        <v>37</v>
      </c>
      <c r="JS34" s="12" t="s">
        <v>37</v>
      </c>
      <c r="JT34" s="12" t="s">
        <v>37</v>
      </c>
      <c r="JU34" s="13" t="s">
        <v>37</v>
      </c>
      <c r="JW34" s="12" t="s">
        <v>37</v>
      </c>
      <c r="JX34" s="12" t="s">
        <v>37</v>
      </c>
      <c r="JY34" s="12" t="s">
        <v>37</v>
      </c>
      <c r="KE34" s="11" t="s">
        <v>37</v>
      </c>
      <c r="KF34" s="11" t="s">
        <v>37</v>
      </c>
      <c r="KG34" s="13" t="s">
        <v>37</v>
      </c>
      <c r="KH34" s="11" t="s">
        <v>37</v>
      </c>
      <c r="KI34" s="11" t="s">
        <v>37</v>
      </c>
      <c r="KJ34" s="11" t="s">
        <v>37</v>
      </c>
      <c r="KK34" s="12" t="s">
        <v>42</v>
      </c>
      <c r="KL34" s="32" t="s">
        <v>345</v>
      </c>
      <c r="KM34" s="12">
        <v>25</v>
      </c>
      <c r="KN34" s="12">
        <v>0.3</v>
      </c>
      <c r="KO34" s="11">
        <v>3</v>
      </c>
      <c r="KP34" s="19">
        <f>KN34/KM34</f>
        <v>1.2E-2</v>
      </c>
      <c r="KQ34" s="12">
        <v>26.3</v>
      </c>
      <c r="KR34" s="12">
        <v>0.6</v>
      </c>
      <c r="KS34" s="13">
        <v>3</v>
      </c>
      <c r="KT34" s="19">
        <f t="shared" ref="KT34" si="120">KR34/KQ34</f>
        <v>2.2813688212927754E-2</v>
      </c>
      <c r="KU34" s="19">
        <f t="shared" si="101"/>
        <v>5.0693114315518165E-2</v>
      </c>
      <c r="KV34" s="19">
        <f t="shared" si="102"/>
        <v>2.2148812329222627E-4</v>
      </c>
      <c r="KX34" s="11" t="s">
        <v>37</v>
      </c>
      <c r="KY34" s="11" t="s">
        <v>37</v>
      </c>
      <c r="KZ34" s="13" t="s">
        <v>37</v>
      </c>
      <c r="LB34" s="11" t="s">
        <v>37</v>
      </c>
      <c r="LC34" s="11" t="s">
        <v>37</v>
      </c>
      <c r="LD34" s="13" t="s">
        <v>37</v>
      </c>
      <c r="LI34" s="12" t="s">
        <v>37</v>
      </c>
      <c r="LJ34" s="12" t="s">
        <v>37</v>
      </c>
      <c r="LK34" s="12" t="s">
        <v>37</v>
      </c>
      <c r="LM34" s="12" t="s">
        <v>37</v>
      </c>
      <c r="LN34" s="12" t="s">
        <v>37</v>
      </c>
      <c r="LO34" s="12" t="s">
        <v>37</v>
      </c>
      <c r="LT34" s="12" t="str">
        <f t="shared" si="103"/>
        <v>0-10</v>
      </c>
      <c r="LU34" s="12">
        <f>AT34/KM34</f>
        <v>19.944000000000003</v>
      </c>
      <c r="LV34" s="12">
        <f>SQRT((1/KM34)^2*AU34^2+AT34^2*(-1/KM34^2)^2*KN34^2)</f>
        <v>0.27930966969297716</v>
      </c>
      <c r="LW34" s="13">
        <f t="shared" si="104"/>
        <v>3</v>
      </c>
      <c r="LX34" s="19">
        <f t="shared" ref="LX34" si="121">LV34/LU34</f>
        <v>1.4004696635227493E-2</v>
      </c>
      <c r="LY34" s="12">
        <f>AX34/KQ34</f>
        <v>19.098859315589355</v>
      </c>
      <c r="LZ34" s="12">
        <f>SQRT((1/KQ34)^2*AY34^2+AX34^2*(-1/KQ34^2)^2*KR34^2)</f>
        <v>0.45728407438222135</v>
      </c>
      <c r="MA34" s="13">
        <f t="shared" si="105"/>
        <v>3</v>
      </c>
      <c r="MB34" s="19">
        <f t="shared" ref="MB34" si="122">LZ34/LY34</f>
        <v>2.3943004491842366E-2</v>
      </c>
      <c r="MC34" s="19">
        <f t="shared" si="106"/>
        <v>-4.3299734648976705E-2</v>
      </c>
      <c r="MD34" s="19">
        <f t="shared" si="107"/>
        <v>2.5646633064704534E-4</v>
      </c>
      <c r="MF34" s="12" t="s">
        <v>37</v>
      </c>
      <c r="MG34" s="12" t="s">
        <v>37</v>
      </c>
      <c r="MH34" s="12" t="s">
        <v>37</v>
      </c>
      <c r="MJ34" s="12" t="s">
        <v>37</v>
      </c>
      <c r="MK34" s="12" t="s">
        <v>37</v>
      </c>
      <c r="ML34" s="12" t="s">
        <v>37</v>
      </c>
      <c r="MQ34" s="12" t="s">
        <v>37</v>
      </c>
      <c r="MR34" s="12" t="s">
        <v>37</v>
      </c>
      <c r="MS34" s="12" t="s">
        <v>37</v>
      </c>
      <c r="MU34" s="12" t="s">
        <v>37</v>
      </c>
      <c r="MV34" s="12" t="s">
        <v>37</v>
      </c>
      <c r="MW34" s="12" t="s">
        <v>37</v>
      </c>
      <c r="NC34" s="12" t="s">
        <v>37</v>
      </c>
      <c r="ND34" s="12" t="s">
        <v>37</v>
      </c>
      <c r="NE34" s="13" t="s">
        <v>37</v>
      </c>
      <c r="NG34" s="12" t="s">
        <v>37</v>
      </c>
      <c r="NH34" s="12" t="s">
        <v>37</v>
      </c>
      <c r="NI34" s="13" t="s">
        <v>37</v>
      </c>
      <c r="NO34" s="12" t="s">
        <v>37</v>
      </c>
      <c r="NP34" s="12" t="s">
        <v>37</v>
      </c>
      <c r="NQ34" s="13" t="s">
        <v>37</v>
      </c>
      <c r="NS34" s="12" t="s">
        <v>37</v>
      </c>
      <c r="NT34" s="12" t="s">
        <v>37</v>
      </c>
      <c r="NU34" s="13" t="s">
        <v>37</v>
      </c>
      <c r="OA34" s="11" t="s">
        <v>37</v>
      </c>
      <c r="OB34" s="11" t="s">
        <v>37</v>
      </c>
      <c r="OC34" s="13" t="s">
        <v>37</v>
      </c>
      <c r="OE34" s="11" t="s">
        <v>37</v>
      </c>
      <c r="OF34" s="11" t="s">
        <v>37</v>
      </c>
      <c r="OG34" s="13" t="s">
        <v>37</v>
      </c>
      <c r="OM34" s="11" t="s">
        <v>37</v>
      </c>
      <c r="ON34" s="11" t="s">
        <v>37</v>
      </c>
      <c r="OO34" s="11" t="s">
        <v>37</v>
      </c>
      <c r="OP34" s="11" t="s">
        <v>37</v>
      </c>
      <c r="OQ34" s="11" t="s">
        <v>37</v>
      </c>
      <c r="OR34" s="11" t="s">
        <v>37</v>
      </c>
      <c r="OW34" s="11" t="s">
        <v>37</v>
      </c>
      <c r="OX34" s="11" t="s">
        <v>37</v>
      </c>
      <c r="OY34" s="13" t="s">
        <v>37</v>
      </c>
      <c r="OZ34" s="11" t="s">
        <v>37</v>
      </c>
      <c r="PA34" s="11" t="s">
        <v>37</v>
      </c>
      <c r="PB34" s="13" t="s">
        <v>37</v>
      </c>
      <c r="PG34" s="11" t="s">
        <v>37</v>
      </c>
      <c r="PH34" s="11" t="s">
        <v>37</v>
      </c>
      <c r="PI34" s="13" t="s">
        <v>37</v>
      </c>
      <c r="PJ34" s="11" t="s">
        <v>37</v>
      </c>
      <c r="PK34" s="11" t="s">
        <v>37</v>
      </c>
      <c r="PL34" s="13" t="s">
        <v>37</v>
      </c>
      <c r="PQ34" s="11" t="s">
        <v>37</v>
      </c>
      <c r="PR34" s="11" t="s">
        <v>37</v>
      </c>
      <c r="PS34" s="13" t="s">
        <v>37</v>
      </c>
      <c r="PT34" s="11" t="s">
        <v>37</v>
      </c>
      <c r="PU34" s="11" t="s">
        <v>37</v>
      </c>
      <c r="PV34" s="13" t="s">
        <v>37</v>
      </c>
      <c r="PZ34" s="12" t="s">
        <v>37</v>
      </c>
      <c r="QA34" s="12" t="s">
        <v>37</v>
      </c>
      <c r="QB34" s="11" t="s">
        <v>37</v>
      </c>
      <c r="QD34" s="12" t="s">
        <v>37</v>
      </c>
      <c r="QE34" s="12" t="s">
        <v>37</v>
      </c>
      <c r="QF34" s="12" t="s">
        <v>37</v>
      </c>
      <c r="QK34" s="11" t="s">
        <v>37</v>
      </c>
      <c r="QL34" s="11" t="s">
        <v>37</v>
      </c>
      <c r="QM34" s="13" t="s">
        <v>37</v>
      </c>
      <c r="QN34" s="11" t="s">
        <v>37</v>
      </c>
      <c r="QO34" s="11" t="s">
        <v>37</v>
      </c>
      <c r="QP34" s="13" t="s">
        <v>37</v>
      </c>
      <c r="QU34" s="11" t="s">
        <v>37</v>
      </c>
      <c r="QV34" s="11" t="s">
        <v>37</v>
      </c>
      <c r="QW34" s="13" t="s">
        <v>37</v>
      </c>
      <c r="QX34" s="11" t="s">
        <v>37</v>
      </c>
      <c r="QY34" s="11" t="s">
        <v>37</v>
      </c>
      <c r="QZ34" s="13" t="s">
        <v>37</v>
      </c>
      <c r="RC34" s="12" t="s">
        <v>37</v>
      </c>
      <c r="RD34" s="12" t="s">
        <v>37</v>
      </c>
      <c r="RE34" s="13" t="s">
        <v>37</v>
      </c>
      <c r="RF34" s="12" t="s">
        <v>37</v>
      </c>
      <c r="RG34" s="12" t="s">
        <v>37</v>
      </c>
      <c r="RH34" s="13" t="s">
        <v>37</v>
      </c>
      <c r="RK34" s="11" t="s">
        <v>37</v>
      </c>
      <c r="RL34" s="11" t="s">
        <v>37</v>
      </c>
      <c r="RM34" s="11" t="s">
        <v>37</v>
      </c>
      <c r="RN34" s="11" t="s">
        <v>37</v>
      </c>
      <c r="RO34" s="11" t="s">
        <v>37</v>
      </c>
      <c r="RP34" s="11" t="s">
        <v>37</v>
      </c>
      <c r="RS34" s="11" t="s">
        <v>37</v>
      </c>
      <c r="RT34" s="11" t="s">
        <v>37</v>
      </c>
      <c r="RU34" s="11" t="s">
        <v>37</v>
      </c>
      <c r="RV34" s="11" t="s">
        <v>37</v>
      </c>
      <c r="RW34" s="11" t="s">
        <v>37</v>
      </c>
      <c r="RX34" s="11" t="s">
        <v>37</v>
      </c>
      <c r="SA34" s="11" t="s">
        <v>37</v>
      </c>
      <c r="SB34" s="11" t="s">
        <v>37</v>
      </c>
      <c r="SC34" s="13" t="s">
        <v>37</v>
      </c>
      <c r="SD34" s="11" t="s">
        <v>37</v>
      </c>
      <c r="SE34" s="11" t="s">
        <v>37</v>
      </c>
      <c r="SF34" s="13" t="s">
        <v>37</v>
      </c>
      <c r="SI34" s="12" t="s">
        <v>37</v>
      </c>
      <c r="SJ34" s="11" t="s">
        <v>37</v>
      </c>
      <c r="SK34" s="13" t="s">
        <v>37</v>
      </c>
      <c r="SM34" s="11" t="s">
        <v>37</v>
      </c>
      <c r="SN34" s="11" t="s">
        <v>37</v>
      </c>
      <c r="SO34" s="13" t="s">
        <v>37</v>
      </c>
      <c r="SU34" s="12" t="s">
        <v>37</v>
      </c>
      <c r="SV34" s="12" t="s">
        <v>37</v>
      </c>
      <c r="SW34" s="11" t="s">
        <v>37</v>
      </c>
      <c r="SX34" s="12" t="s">
        <v>37</v>
      </c>
      <c r="SY34" s="12" t="s">
        <v>37</v>
      </c>
      <c r="SZ34" s="11" t="s">
        <v>37</v>
      </c>
      <c r="TE34" s="12" t="s">
        <v>37</v>
      </c>
      <c r="TF34" s="12" t="s">
        <v>37</v>
      </c>
      <c r="TG34" s="11" t="s">
        <v>37</v>
      </c>
      <c r="TH34" s="12" t="s">
        <v>37</v>
      </c>
      <c r="TI34" s="12" t="s">
        <v>37</v>
      </c>
      <c r="TJ34" s="11" t="s">
        <v>37</v>
      </c>
      <c r="TO34" s="12" t="s">
        <v>37</v>
      </c>
      <c r="TP34" s="12" t="s">
        <v>37</v>
      </c>
      <c r="TQ34" s="11" t="s">
        <v>37</v>
      </c>
      <c r="TR34" s="12" t="s">
        <v>37</v>
      </c>
      <c r="TS34" s="12" t="s">
        <v>37</v>
      </c>
      <c r="TT34" s="11" t="s">
        <v>37</v>
      </c>
      <c r="TY34" s="12" t="s">
        <v>37</v>
      </c>
      <c r="TZ34" s="12" t="s">
        <v>37</v>
      </c>
      <c r="UA34" s="11" t="s">
        <v>37</v>
      </c>
      <c r="UB34" s="12" t="s">
        <v>37</v>
      </c>
      <c r="UC34" s="12" t="s">
        <v>37</v>
      </c>
      <c r="UD34" s="11" t="s">
        <v>37</v>
      </c>
      <c r="UI34" s="12" t="s">
        <v>37</v>
      </c>
      <c r="UJ34" s="12" t="s">
        <v>37</v>
      </c>
      <c r="UK34" s="13" t="s">
        <v>37</v>
      </c>
      <c r="UL34" s="12" t="s">
        <v>37</v>
      </c>
      <c r="UM34" s="12" t="s">
        <v>37</v>
      </c>
      <c r="UN34" s="13" t="s">
        <v>37</v>
      </c>
      <c r="UR34" s="12" t="s">
        <v>37</v>
      </c>
      <c r="US34" s="12" t="s">
        <v>37</v>
      </c>
      <c r="UT34" s="13" t="s">
        <v>37</v>
      </c>
      <c r="UU34" s="12" t="s">
        <v>37</v>
      </c>
      <c r="UV34" s="12" t="s">
        <v>37</v>
      </c>
      <c r="UW34" s="13" t="s">
        <v>37</v>
      </c>
      <c r="VB34" s="12" t="s">
        <v>37</v>
      </c>
      <c r="VC34" s="12" t="s">
        <v>37</v>
      </c>
      <c r="VD34" s="13" t="s">
        <v>37</v>
      </c>
      <c r="VE34" s="12" t="s">
        <v>37</v>
      </c>
      <c r="VF34" s="12" t="s">
        <v>37</v>
      </c>
      <c r="VG34" s="13" t="s">
        <v>37</v>
      </c>
      <c r="VI34" s="12" t="s">
        <v>37</v>
      </c>
      <c r="VJ34" s="12" t="s">
        <v>37</v>
      </c>
      <c r="VK34" s="13" t="s">
        <v>37</v>
      </c>
      <c r="VL34" s="12" t="s">
        <v>37</v>
      </c>
      <c r="VM34" s="12" t="s">
        <v>37</v>
      </c>
      <c r="VN34" s="13" t="s">
        <v>37</v>
      </c>
      <c r="VO34" s="12" t="s">
        <v>37</v>
      </c>
      <c r="VQ34" s="12" t="s">
        <v>37</v>
      </c>
      <c r="VR34" s="12" t="s">
        <v>37</v>
      </c>
      <c r="VS34" s="12" t="s">
        <v>37</v>
      </c>
      <c r="VT34" s="12" t="s">
        <v>37</v>
      </c>
      <c r="VU34" s="12" t="s">
        <v>37</v>
      </c>
      <c r="VV34" s="12" t="s">
        <v>37</v>
      </c>
      <c r="VW34" s="12"/>
      <c r="VX34" s="12"/>
      <c r="WA34" s="13" t="s">
        <v>37</v>
      </c>
      <c r="WB34" s="13" t="s">
        <v>37</v>
      </c>
      <c r="WC34" s="13" t="s">
        <v>37</v>
      </c>
      <c r="WD34" s="13" t="s">
        <v>37</v>
      </c>
      <c r="WE34" s="13" t="s">
        <v>37</v>
      </c>
      <c r="WF34" s="13" t="s">
        <v>37</v>
      </c>
    </row>
    <row r="35" spans="1:604" ht="18" customHeight="1" x14ac:dyDescent="0.4">
      <c r="A35" s="11">
        <v>11</v>
      </c>
      <c r="B35" s="12" t="s">
        <v>110</v>
      </c>
      <c r="C35" s="12" t="s">
        <v>26</v>
      </c>
      <c r="D35" s="12" t="s">
        <v>973</v>
      </c>
      <c r="E35" s="81">
        <v>4.5</v>
      </c>
      <c r="F35" s="14">
        <v>0</v>
      </c>
      <c r="G35" s="14">
        <v>0</v>
      </c>
      <c r="H35" s="12" t="s">
        <v>91</v>
      </c>
      <c r="I35" s="29">
        <v>55.35</v>
      </c>
      <c r="J35" s="29">
        <v>-112.517</v>
      </c>
      <c r="K35" s="12" t="s">
        <v>696</v>
      </c>
      <c r="L35" s="12" t="s">
        <v>697</v>
      </c>
      <c r="M35" s="13" t="s">
        <v>37</v>
      </c>
      <c r="N35" s="14">
        <v>2.1</v>
      </c>
      <c r="O35" s="14">
        <v>504</v>
      </c>
      <c r="P35" s="14" t="s">
        <v>84</v>
      </c>
      <c r="Q35" s="75">
        <v>1</v>
      </c>
      <c r="R35" s="11" t="s">
        <v>999</v>
      </c>
      <c r="S35" s="12" t="s">
        <v>93</v>
      </c>
      <c r="T35" s="12" t="s">
        <v>141</v>
      </c>
      <c r="U35" s="12" t="s">
        <v>163</v>
      </c>
      <c r="V35" s="12" t="s">
        <v>275</v>
      </c>
      <c r="W35" s="23" t="s">
        <v>499</v>
      </c>
      <c r="X35" s="12" t="s">
        <v>282</v>
      </c>
      <c r="Y35" s="12" t="s">
        <v>69</v>
      </c>
      <c r="Z35" s="12" t="s">
        <v>37</v>
      </c>
      <c r="AA35" s="32" t="s">
        <v>345</v>
      </c>
      <c r="AB35" s="12">
        <v>4.0999999999999996</v>
      </c>
      <c r="AE35" s="12" t="s">
        <v>37</v>
      </c>
      <c r="AH35" s="12" t="s">
        <v>37</v>
      </c>
      <c r="AK35" s="12" t="s">
        <v>37</v>
      </c>
      <c r="AL35" s="32" t="s">
        <v>496</v>
      </c>
      <c r="AM35" s="12" t="s">
        <v>317</v>
      </c>
      <c r="AN35" s="32" t="s">
        <v>879</v>
      </c>
      <c r="AO35" s="12" t="s">
        <v>318</v>
      </c>
      <c r="AP35" s="12" t="s">
        <v>108</v>
      </c>
      <c r="AQ35" s="12" t="s">
        <v>975</v>
      </c>
      <c r="AT35" s="12" t="s">
        <v>326</v>
      </c>
      <c r="AU35" s="12" t="s">
        <v>326</v>
      </c>
      <c r="AV35" s="13" t="s">
        <v>326</v>
      </c>
      <c r="AX35" s="12" t="s">
        <v>326</v>
      </c>
      <c r="AY35" s="12" t="s">
        <v>326</v>
      </c>
      <c r="AZ35" s="13" t="s">
        <v>326</v>
      </c>
      <c r="BE35" s="12" t="s">
        <v>326</v>
      </c>
      <c r="BF35" s="12" t="s">
        <v>326</v>
      </c>
      <c r="BG35" s="12" t="s">
        <v>326</v>
      </c>
      <c r="BI35" s="12" t="s">
        <v>326</v>
      </c>
      <c r="BJ35" s="12" t="s">
        <v>326</v>
      </c>
      <c r="BK35" s="12" t="s">
        <v>326</v>
      </c>
      <c r="BP35" s="12" t="s">
        <v>37</v>
      </c>
      <c r="BQ35" s="12" t="s">
        <v>37</v>
      </c>
      <c r="BR35" s="13" t="s">
        <v>37</v>
      </c>
      <c r="BT35" s="12" t="s">
        <v>37</v>
      </c>
      <c r="BU35" s="12" t="s">
        <v>37</v>
      </c>
      <c r="BV35" s="12" t="s">
        <v>37</v>
      </c>
      <c r="BZ35" s="12" t="s">
        <v>581</v>
      </c>
      <c r="CA35" s="12">
        <f>-190*10^4/10^3*44/12/'[6]classess-1'!$T$63</f>
        <v>-9117.2313953462108</v>
      </c>
      <c r="CB35" s="15">
        <f>SQRT((1/[7]Classess!$T$63)^2*(29*SQRT(3)*10^4/10^3*44/12)^2+(-CA35/([7]Classess!$T$63)^2)^2*([7]Classess!$U$63)^2)</f>
        <v>2424.3247606001519</v>
      </c>
      <c r="CC35" s="18">
        <v>3</v>
      </c>
      <c r="CD35" s="19">
        <f t="shared" ref="CD35:CD52" si="123">CB35/ABS(CA35)</f>
        <v>0.26590580577318917</v>
      </c>
      <c r="CE35" s="15">
        <f>-106*10^4/10^3*44/12/'[6]classess-1'!$T$64</f>
        <v>-4187.6052363562967</v>
      </c>
      <c r="CF35" s="15">
        <f>SQRT((1/[7]Classess!$T$64)^2*(44*SQRT(3)*10^4/10^3*44/12)^2+(-CE35/([7]Classess!$T$64)^2)^2*([7]Classess!$U$64)^2)</f>
        <v>3018.5350952743552</v>
      </c>
      <c r="CG35" s="18">
        <v>3</v>
      </c>
      <c r="CH35" s="19">
        <f t="shared" ref="CH35:CH52" si="124">CF35/ABS(CE35)</f>
        <v>0.72082608672560344</v>
      </c>
      <c r="CI35" s="75">
        <f t="shared" ref="CI35:CI51" si="125">CE35-CA35</f>
        <v>4929.6261589899141</v>
      </c>
      <c r="CJ35" s="12">
        <f>SQRT(((CC35-1)*CB35^2+(CG35-1)*CF35^2)/(CC35+CG35-2))</f>
        <v>2737.5997393941598</v>
      </c>
      <c r="CK35" s="72">
        <f t="shared" ref="CK35:CK52" si="126">(((CC35+CG35)/(CC35*CG35))*(((CC35-1)*CB35^2)+(CG35-1)*CF35^2)/(CC35+CG35-2))</f>
        <v>4996301.5554206483</v>
      </c>
      <c r="CL35" s="72">
        <f t="shared" ref="CL35:CL52" si="127">(CB35^2/CC35)+(CF35^2/CG35)</f>
        <v>4996301.5554206483</v>
      </c>
      <c r="CM35" s="12" t="s">
        <v>581</v>
      </c>
      <c r="CN35" s="12">
        <f>225*10^4/10^3*44/12/'[6]classess-1'!$I$63</f>
        <v>12663.516770662041</v>
      </c>
      <c r="CO35" s="15">
        <f>SQRT((1/[7]Classess!$I$63)^2*(18*SQRT(3)*10^4/10^3*44/12)^2+(-CN35/([7]Classess!$I$75)^2)^2*([7]Classess!$J$75)^2)</f>
        <v>2211.9149588307</v>
      </c>
      <c r="CP35" s="18">
        <v>3</v>
      </c>
      <c r="CQ35" s="19">
        <f t="shared" ref="CQ35:CQ52" si="128">CO35/ABS(CN35)</f>
        <v>0.17466830098532435</v>
      </c>
      <c r="CR35" s="15">
        <f>182*10^4/10^3*44/12/'[6]classess-1'!$I$64</f>
        <v>8364.4600190841793</v>
      </c>
      <c r="CS35" s="15">
        <f>SQRT((1/[7]Classess!$I$64)^2*(75*SQRT(3)*10^4/10^3*44/12)^2+(-CR35/([7]Classess!$I$64)^2)^2*([7]Classess!$J$64)^2)</f>
        <v>6024.8326143304821</v>
      </c>
      <c r="CT35" s="18">
        <v>3</v>
      </c>
      <c r="CU35" s="19">
        <f t="shared" ref="CU35:CU52" si="129">CS35/ABS(CR35)</f>
        <v>0.72028948677910454</v>
      </c>
      <c r="CV35" s="75">
        <f t="shared" ref="CV35:CV52" si="130">CR35-CN35</f>
        <v>-4299.0567515778621</v>
      </c>
      <c r="CW35" s="12">
        <f>SQRT(((CP35-1)*CO35^2+(CT35-1)*CS35^2)/(CP35+CT35-2))</f>
        <v>4538.2362111176681</v>
      </c>
      <c r="CX35" s="72">
        <f t="shared" ref="CX35:CX52" si="131">(((CP35+CT35)/(CP35*CT35))*(((CP35-1)*CO35^2)+(CT35-1)*CS35^2)/(CP35+CT35-2))</f>
        <v>13730391.938599762</v>
      </c>
      <c r="CY35" s="72">
        <f t="shared" ref="CY35:CY52" si="132">(CO35^2/CP35)+(CS35^2/CT35)</f>
        <v>13730391.938599763</v>
      </c>
      <c r="CZ35" s="12" t="s">
        <v>581</v>
      </c>
      <c r="DA35" s="12">
        <f>CA35+CN35</f>
        <v>3546.2853753158306</v>
      </c>
      <c r="DB35" s="15">
        <f>SQRT((1/[7]Classess!$I$17)^2*(30*SQRT(3)*10^4/10^3*44/12)^2+(-DA35/([7]Classess!$I$17)^2)^2*([7]Classess!$J$17)^2)</f>
        <v>5941.7227544878542</v>
      </c>
      <c r="DC35" s="18">
        <v>3</v>
      </c>
      <c r="DD35" s="19">
        <f t="shared" ref="DD35:DD51" si="133">DB35/ABS(DA35)</f>
        <v>1.6754778946572191</v>
      </c>
      <c r="DE35" s="12">
        <f>CE35+CR35</f>
        <v>4176.8547827278826</v>
      </c>
      <c r="DF35" s="15">
        <f>SQRT((1/[7]Classess!$I$18)^2*(12*SQRT(3)*10^4/10^3*44/12)^2+(-DE35/([7]Classess!$I$18)^2)^2*([7]Classess!$J$18)^2)</f>
        <v>748.67399248676202</v>
      </c>
      <c r="DG35" s="18">
        <v>3</v>
      </c>
      <c r="DH35" s="19">
        <f t="shared" ref="DH35:DH52" si="134">DF35/ABS(DE35)</f>
        <v>0.17924348138285212</v>
      </c>
      <c r="DI35" s="19">
        <f t="shared" ref="DI35:DI52" si="135">DE35-DA35</f>
        <v>630.56940741205199</v>
      </c>
      <c r="DJ35" s="12">
        <f t="shared" ref="DJ35:DJ52" si="136">SQRT(((DC35-1)*DB35^2+(DG35-1)*DF35^2)/(DC35+DG35-2))</f>
        <v>4234.6535890332752</v>
      </c>
      <c r="DK35" s="72">
        <f t="shared" ref="DK35:DK52" si="137">(((DC35+DG35)/(DC35*DG35))*(((DC35-1)*DB35^2)+(DG35-1)*DF35^2)/(DC35+DG35-2))</f>
        <v>11954860.679408267</v>
      </c>
      <c r="DL35" s="72">
        <f t="shared" ref="DL35:DL52" si="138">(DB35^2/DC35)+(DF35^2/DG35)</f>
        <v>11954860.679408267</v>
      </c>
      <c r="DM35" s="15"/>
      <c r="DN35" s="52" t="s">
        <v>37</v>
      </c>
      <c r="DO35" s="15" t="s">
        <v>37</v>
      </c>
      <c r="DP35" s="18" t="s">
        <v>37</v>
      </c>
      <c r="DQ35" s="52"/>
      <c r="DR35" s="52" t="s">
        <v>37</v>
      </c>
      <c r="DS35" s="15" t="s">
        <v>37</v>
      </c>
      <c r="DT35" s="18" t="s">
        <v>37</v>
      </c>
      <c r="DU35" s="52"/>
      <c r="DV35" s="52"/>
      <c r="DW35" s="52"/>
      <c r="DZ35" s="15"/>
      <c r="EA35" s="52" t="s">
        <v>37</v>
      </c>
      <c r="EB35" s="52" t="s">
        <v>37</v>
      </c>
      <c r="EC35" s="73" t="s">
        <v>37</v>
      </c>
      <c r="ED35" s="52"/>
      <c r="EE35" s="52" t="s">
        <v>37</v>
      </c>
      <c r="EF35" s="52" t="s">
        <v>37</v>
      </c>
      <c r="EG35" s="15" t="s">
        <v>37</v>
      </c>
      <c r="EH35" s="52"/>
      <c r="EI35" s="52"/>
      <c r="EJ35" s="52"/>
      <c r="EK35" s="52"/>
      <c r="EL35" s="52"/>
      <c r="EM35" s="12" t="s">
        <v>39</v>
      </c>
      <c r="EN35" s="12">
        <v>-38</v>
      </c>
      <c r="EO35" s="12">
        <v>7.6</v>
      </c>
      <c r="EP35" s="13">
        <v>3</v>
      </c>
      <c r="EQ35" s="19">
        <f t="shared" ref="EQ35:EQ87" si="139">EO35/ABS(EN35)</f>
        <v>0.19999999999999998</v>
      </c>
      <c r="ER35" s="12">
        <v>-73</v>
      </c>
      <c r="ES35" s="12">
        <v>10.3</v>
      </c>
      <c r="ET35" s="13">
        <v>3</v>
      </c>
      <c r="EU35" s="19">
        <f t="shared" ref="EU35:EU87" si="140">ES35/ABS(ER35)</f>
        <v>0.14109589041095891</v>
      </c>
      <c r="EV35" s="19">
        <f t="shared" ref="EV35:EV78" si="141">ER35-EN35</f>
        <v>-35</v>
      </c>
      <c r="EW35" s="12">
        <f t="shared" ref="EW35:EW78" si="142">SQRT(((EP35-1)*EO35^2+(ET35-1)*ES35^2)/(EP35+ET35-2))</f>
        <v>9.0512430085596538</v>
      </c>
      <c r="EX35" s="19">
        <f t="shared" ref="EX35:EX78" si="143">(((EP35+ET35)/(EP35*ET35))*(((EP35-1)*EO35^2)+(ET35-1)*ES35^2)/(EP35+ET35-2))</f>
        <v>54.616666666666674</v>
      </c>
      <c r="EY35" s="19">
        <f t="shared" ref="EY35:EY78" si="144">(EO35^2/EP35)+(ES35^2/ET35)</f>
        <v>54.616666666666674</v>
      </c>
      <c r="FB35" s="11" t="s">
        <v>37</v>
      </c>
      <c r="FC35" s="11" t="s">
        <v>37</v>
      </c>
      <c r="FD35" s="11" t="s">
        <v>37</v>
      </c>
      <c r="FE35" s="12" t="s">
        <v>37</v>
      </c>
      <c r="FF35" s="20" t="s">
        <v>37</v>
      </c>
      <c r="FG35" s="11" t="s">
        <v>37</v>
      </c>
      <c r="FI35" s="11" t="s">
        <v>37</v>
      </c>
      <c r="FJ35" s="11" t="s">
        <v>37</v>
      </c>
      <c r="FK35" s="11" t="s">
        <v>37</v>
      </c>
      <c r="FL35" s="13" t="s">
        <v>37</v>
      </c>
      <c r="FM35" s="11" t="s">
        <v>37</v>
      </c>
      <c r="FN35" s="11" t="s">
        <v>37</v>
      </c>
      <c r="FP35" s="11" t="s">
        <v>37</v>
      </c>
      <c r="FQ35" s="11" t="s">
        <v>37</v>
      </c>
      <c r="FR35" s="11" t="s">
        <v>37</v>
      </c>
      <c r="FS35" s="13" t="s">
        <v>37</v>
      </c>
      <c r="FT35" s="11" t="s">
        <v>37</v>
      </c>
      <c r="FU35" s="11" t="s">
        <v>37</v>
      </c>
      <c r="FW35" s="11" t="s">
        <v>37</v>
      </c>
      <c r="FX35" s="11" t="s">
        <v>37</v>
      </c>
      <c r="FY35" s="11" t="s">
        <v>37</v>
      </c>
      <c r="FZ35" s="13" t="s">
        <v>37</v>
      </c>
      <c r="GA35" s="11" t="s">
        <v>37</v>
      </c>
      <c r="GB35" s="11" t="s">
        <v>37</v>
      </c>
      <c r="GO35" s="12" t="s">
        <v>660</v>
      </c>
      <c r="GP35" s="12" t="s">
        <v>330</v>
      </c>
      <c r="GQ35" s="12">
        <v>12.3</v>
      </c>
      <c r="GR35" s="12">
        <v>0.2</v>
      </c>
      <c r="GS35" s="13">
        <v>3</v>
      </c>
      <c r="GT35" s="19">
        <f t="shared" ref="GT35:GT76" si="145">GR35/GQ35</f>
        <v>1.6260162601626015E-2</v>
      </c>
      <c r="GU35" s="12">
        <v>13.1</v>
      </c>
      <c r="GV35" s="12">
        <v>0.1</v>
      </c>
      <c r="GW35" s="13">
        <v>3</v>
      </c>
      <c r="GX35" s="19">
        <f t="shared" ref="GX35:GX58" si="146">GV35/GU35</f>
        <v>7.6335877862595426E-3</v>
      </c>
      <c r="GY35" s="19">
        <f t="shared" si="118"/>
        <v>6.301296782873396E-2</v>
      </c>
      <c r="GZ35" s="19">
        <f t="shared" si="119"/>
        <v>1.0755485010728274E-4</v>
      </c>
      <c r="IK35" s="12" t="s">
        <v>37</v>
      </c>
      <c r="IL35" s="12" t="s">
        <v>37</v>
      </c>
      <c r="IM35" s="13" t="s">
        <v>37</v>
      </c>
      <c r="IO35" s="12" t="s">
        <v>37</v>
      </c>
      <c r="IP35" s="12" t="s">
        <v>37</v>
      </c>
      <c r="IQ35" s="13" t="s">
        <v>37</v>
      </c>
      <c r="IV35" s="32" t="s">
        <v>345</v>
      </c>
      <c r="IW35" s="12">
        <v>4.0999999999999996</v>
      </c>
      <c r="IX35" s="12">
        <v>0.1</v>
      </c>
      <c r="IY35" s="13">
        <v>3</v>
      </c>
      <c r="IZ35" s="19">
        <f t="shared" ref="IZ35:IZ78" si="147">IX35/IW35</f>
        <v>2.4390243902439029E-2</v>
      </c>
      <c r="JH35" s="12" t="s">
        <v>37</v>
      </c>
      <c r="JI35" s="12" t="s">
        <v>37</v>
      </c>
      <c r="JJ35" s="13" t="s">
        <v>37</v>
      </c>
      <c r="JL35" s="12" t="s">
        <v>37</v>
      </c>
      <c r="JM35" s="12" t="s">
        <v>37</v>
      </c>
      <c r="JN35" s="12" t="s">
        <v>37</v>
      </c>
      <c r="JS35" s="12" t="s">
        <v>37</v>
      </c>
      <c r="JT35" s="12" t="s">
        <v>37</v>
      </c>
      <c r="JU35" s="13" t="s">
        <v>37</v>
      </c>
      <c r="JW35" s="12" t="s">
        <v>37</v>
      </c>
      <c r="JX35" s="12" t="s">
        <v>37</v>
      </c>
      <c r="JY35" s="12" t="s">
        <v>37</v>
      </c>
      <c r="KE35" s="11" t="s">
        <v>37</v>
      </c>
      <c r="KF35" s="11" t="s">
        <v>37</v>
      </c>
      <c r="KG35" s="13" t="s">
        <v>37</v>
      </c>
      <c r="KH35" s="11" t="s">
        <v>37</v>
      </c>
      <c r="KI35" s="11" t="s">
        <v>37</v>
      </c>
      <c r="KJ35" s="11" t="s">
        <v>37</v>
      </c>
      <c r="KM35" s="12" t="s">
        <v>37</v>
      </c>
      <c r="KN35" s="12" t="s">
        <v>37</v>
      </c>
      <c r="KO35" s="11" t="s">
        <v>37</v>
      </c>
      <c r="KQ35" s="12" t="s">
        <v>37</v>
      </c>
      <c r="KR35" s="12" t="s">
        <v>37</v>
      </c>
      <c r="KS35" s="13" t="s">
        <v>37</v>
      </c>
      <c r="KX35" s="12" t="s">
        <v>37</v>
      </c>
      <c r="KY35" s="12" t="s">
        <v>37</v>
      </c>
      <c r="KZ35" s="13" t="s">
        <v>37</v>
      </c>
      <c r="LB35" s="12" t="s">
        <v>37</v>
      </c>
      <c r="LC35" s="12" t="s">
        <v>37</v>
      </c>
      <c r="LD35" s="13" t="s">
        <v>37</v>
      </c>
      <c r="LI35" s="12" t="s">
        <v>37</v>
      </c>
      <c r="LJ35" s="12" t="s">
        <v>37</v>
      </c>
      <c r="LK35" s="12" t="s">
        <v>37</v>
      </c>
      <c r="LM35" s="12" t="s">
        <v>37</v>
      </c>
      <c r="LN35" s="12" t="s">
        <v>37</v>
      </c>
      <c r="LO35" s="12" t="s">
        <v>37</v>
      </c>
      <c r="LU35" s="12" t="s">
        <v>37</v>
      </c>
      <c r="LV35" s="12" t="s">
        <v>37</v>
      </c>
      <c r="LW35" s="13" t="s">
        <v>37</v>
      </c>
      <c r="LY35" s="12" t="s">
        <v>37</v>
      </c>
      <c r="LZ35" s="12" t="s">
        <v>37</v>
      </c>
      <c r="MA35" s="12" t="s">
        <v>37</v>
      </c>
      <c r="MF35" s="12" t="s">
        <v>37</v>
      </c>
      <c r="MG35" s="12" t="s">
        <v>37</v>
      </c>
      <c r="MH35" s="12" t="s">
        <v>37</v>
      </c>
      <c r="MJ35" s="12" t="s">
        <v>37</v>
      </c>
      <c r="MK35" s="12" t="s">
        <v>37</v>
      </c>
      <c r="ML35" s="12" t="s">
        <v>37</v>
      </c>
      <c r="MQ35" s="12" t="s">
        <v>37</v>
      </c>
      <c r="MR35" s="12" t="s">
        <v>37</v>
      </c>
      <c r="MS35" s="12" t="s">
        <v>37</v>
      </c>
      <c r="MU35" s="12" t="s">
        <v>37</v>
      </c>
      <c r="MV35" s="12" t="s">
        <v>37</v>
      </c>
      <c r="MW35" s="12" t="s">
        <v>37</v>
      </c>
      <c r="NC35" s="12" t="s">
        <v>37</v>
      </c>
      <c r="ND35" s="12" t="s">
        <v>37</v>
      </c>
      <c r="NE35" s="13" t="s">
        <v>37</v>
      </c>
      <c r="NG35" s="12" t="s">
        <v>37</v>
      </c>
      <c r="NH35" s="12" t="s">
        <v>37</v>
      </c>
      <c r="NI35" s="13" t="s">
        <v>37</v>
      </c>
      <c r="NO35" s="12" t="s">
        <v>37</v>
      </c>
      <c r="NP35" s="12" t="s">
        <v>37</v>
      </c>
      <c r="NQ35" s="13" t="s">
        <v>37</v>
      </c>
      <c r="NS35" s="12" t="s">
        <v>37</v>
      </c>
      <c r="NT35" s="12" t="s">
        <v>37</v>
      </c>
      <c r="NU35" s="13" t="s">
        <v>37</v>
      </c>
      <c r="OA35" s="11" t="s">
        <v>37</v>
      </c>
      <c r="OB35" s="11" t="s">
        <v>37</v>
      </c>
      <c r="OC35" s="13" t="s">
        <v>37</v>
      </c>
      <c r="OE35" s="11" t="s">
        <v>37</v>
      </c>
      <c r="OF35" s="11" t="s">
        <v>37</v>
      </c>
      <c r="OG35" s="13" t="s">
        <v>37</v>
      </c>
      <c r="OM35" s="11" t="s">
        <v>37</v>
      </c>
      <c r="ON35" s="11" t="s">
        <v>37</v>
      </c>
      <c r="OO35" s="11" t="s">
        <v>37</v>
      </c>
      <c r="OP35" s="11" t="s">
        <v>37</v>
      </c>
      <c r="OQ35" s="11" t="s">
        <v>37</v>
      </c>
      <c r="OR35" s="11" t="s">
        <v>37</v>
      </c>
      <c r="OW35" s="11" t="s">
        <v>37</v>
      </c>
      <c r="OX35" s="11" t="s">
        <v>37</v>
      </c>
      <c r="OY35" s="13" t="s">
        <v>37</v>
      </c>
      <c r="OZ35" s="11" t="s">
        <v>37</v>
      </c>
      <c r="PA35" s="11" t="s">
        <v>37</v>
      </c>
      <c r="PB35" s="13" t="s">
        <v>37</v>
      </c>
      <c r="PG35" s="11" t="s">
        <v>37</v>
      </c>
      <c r="PH35" s="11" t="s">
        <v>37</v>
      </c>
      <c r="PI35" s="13" t="s">
        <v>37</v>
      </c>
      <c r="PJ35" s="11" t="s">
        <v>37</v>
      </c>
      <c r="PK35" s="11" t="s">
        <v>37</v>
      </c>
      <c r="PL35" s="13" t="s">
        <v>37</v>
      </c>
      <c r="PQ35" s="11" t="s">
        <v>37</v>
      </c>
      <c r="PR35" s="11" t="s">
        <v>37</v>
      </c>
      <c r="PS35" s="13" t="s">
        <v>37</v>
      </c>
      <c r="PT35" s="11" t="s">
        <v>37</v>
      </c>
      <c r="PU35" s="11" t="s">
        <v>37</v>
      </c>
      <c r="PV35" s="13" t="s">
        <v>37</v>
      </c>
      <c r="PY35" s="12" t="s">
        <v>43</v>
      </c>
      <c r="PZ35" s="12">
        <v>399</v>
      </c>
      <c r="QA35" s="12">
        <f>24*SQRT(3)</f>
        <v>41.569219381653056</v>
      </c>
      <c r="QB35" s="11">
        <v>3</v>
      </c>
      <c r="QC35" s="19">
        <f>QA35/PZ35</f>
        <v>0.10418350722218811</v>
      </c>
      <c r="QD35" s="12">
        <v>251</v>
      </c>
      <c r="QE35" s="12">
        <f>78*SQRT(3)</f>
        <v>135.09996299037243</v>
      </c>
      <c r="QF35" s="13">
        <v>3</v>
      </c>
      <c r="QG35" s="19">
        <f>QE35/QD35</f>
        <v>0.53824686450347581</v>
      </c>
      <c r="QH35" s="19">
        <f t="shared" ref="QH35:QH75" si="148">LN(QD35/PZ35)</f>
        <v>-0.46350847775807952</v>
      </c>
      <c r="QI35" s="19">
        <f t="shared" ref="QI35:QI76" si="149">QE35^2/(QF35*QD35^2)+QA35^2/(QB35*PZ35^2)</f>
        <v>0.10018796344164625</v>
      </c>
      <c r="QJ35" s="12" t="s">
        <v>43</v>
      </c>
      <c r="QK35" s="12">
        <v>568</v>
      </c>
      <c r="QL35" s="12">
        <f>48*SQRT(3)</f>
        <v>83.138438763306112</v>
      </c>
      <c r="QM35" s="13">
        <v>3</v>
      </c>
      <c r="QN35" s="12">
        <v>441</v>
      </c>
      <c r="QO35" s="12">
        <f>96*SQRT(3)</f>
        <v>166.27687752661222</v>
      </c>
      <c r="QP35" s="13">
        <v>3</v>
      </c>
      <c r="QQ35" s="19">
        <f>LN(QN35/QK35)</f>
        <v>-0.25307654327430534</v>
      </c>
      <c r="QR35" s="19">
        <f t="shared" ref="QR35:QR76" si="150">QO35^2/(QP35*QN35^2)+QL35^2/(QM35*QK35^2)</f>
        <v>5.452910273845081E-2</v>
      </c>
      <c r="QU35" s="11" t="s">
        <v>37</v>
      </c>
      <c r="QV35" s="11" t="s">
        <v>37</v>
      </c>
      <c r="QW35" s="13" t="s">
        <v>37</v>
      </c>
      <c r="QX35" s="11" t="s">
        <v>37</v>
      </c>
      <c r="QY35" s="11" t="s">
        <v>37</v>
      </c>
      <c r="QZ35" s="13" t="s">
        <v>37</v>
      </c>
      <c r="RC35" s="12" t="s">
        <v>37</v>
      </c>
      <c r="RD35" s="12" t="s">
        <v>37</v>
      </c>
      <c r="RE35" s="13" t="s">
        <v>37</v>
      </c>
      <c r="RF35" s="12" t="s">
        <v>37</v>
      </c>
      <c r="RG35" s="12" t="s">
        <v>37</v>
      </c>
      <c r="RH35" s="13" t="s">
        <v>37</v>
      </c>
      <c r="RK35" s="11" t="s">
        <v>37</v>
      </c>
      <c r="RL35" s="11" t="s">
        <v>37</v>
      </c>
      <c r="RM35" s="11" t="s">
        <v>37</v>
      </c>
      <c r="RN35" s="11" t="s">
        <v>37</v>
      </c>
      <c r="RO35" s="11" t="s">
        <v>37</v>
      </c>
      <c r="RP35" s="11" t="s">
        <v>37</v>
      </c>
      <c r="RS35" s="11" t="s">
        <v>37</v>
      </c>
      <c r="RT35" s="11" t="s">
        <v>37</v>
      </c>
      <c r="RU35" s="11" t="s">
        <v>37</v>
      </c>
      <c r="RV35" s="11" t="s">
        <v>37</v>
      </c>
      <c r="RW35" s="11" t="s">
        <v>37</v>
      </c>
      <c r="RX35" s="11" t="s">
        <v>37</v>
      </c>
      <c r="SA35" s="11" t="s">
        <v>37</v>
      </c>
      <c r="SB35" s="11" t="s">
        <v>37</v>
      </c>
      <c r="SC35" s="13" t="s">
        <v>37</v>
      </c>
      <c r="SD35" s="11" t="s">
        <v>37</v>
      </c>
      <c r="SE35" s="11" t="s">
        <v>37</v>
      </c>
      <c r="SF35" s="13" t="s">
        <v>37</v>
      </c>
      <c r="SI35" s="12" t="s">
        <v>37</v>
      </c>
      <c r="SJ35" s="11" t="s">
        <v>37</v>
      </c>
      <c r="SK35" s="13" t="s">
        <v>37</v>
      </c>
      <c r="SM35" s="11" t="s">
        <v>37</v>
      </c>
      <c r="SN35" s="11" t="s">
        <v>37</v>
      </c>
      <c r="SO35" s="13" t="s">
        <v>37</v>
      </c>
      <c r="SU35" s="12" t="s">
        <v>37</v>
      </c>
      <c r="SV35" s="12" t="s">
        <v>37</v>
      </c>
      <c r="SW35" s="11" t="s">
        <v>37</v>
      </c>
      <c r="SX35" s="12" t="s">
        <v>37</v>
      </c>
      <c r="SY35" s="12" t="s">
        <v>37</v>
      </c>
      <c r="SZ35" s="11" t="s">
        <v>37</v>
      </c>
      <c r="TE35" s="12" t="s">
        <v>37</v>
      </c>
      <c r="TF35" s="12" t="s">
        <v>37</v>
      </c>
      <c r="TG35" s="11" t="s">
        <v>37</v>
      </c>
      <c r="TH35" s="12" t="s">
        <v>37</v>
      </c>
      <c r="TI35" s="12" t="s">
        <v>37</v>
      </c>
      <c r="TJ35" s="11" t="s">
        <v>37</v>
      </c>
      <c r="TO35" s="12" t="s">
        <v>37</v>
      </c>
      <c r="TP35" s="12" t="s">
        <v>37</v>
      </c>
      <c r="TQ35" s="11" t="s">
        <v>37</v>
      </c>
      <c r="TR35" s="12" t="s">
        <v>37</v>
      </c>
      <c r="TS35" s="12" t="s">
        <v>37</v>
      </c>
      <c r="TT35" s="11" t="s">
        <v>37</v>
      </c>
      <c r="TY35" s="12" t="s">
        <v>37</v>
      </c>
      <c r="TZ35" s="12" t="s">
        <v>37</v>
      </c>
      <c r="UA35" s="11" t="s">
        <v>37</v>
      </c>
      <c r="UB35" s="12" t="s">
        <v>37</v>
      </c>
      <c r="UC35" s="12" t="s">
        <v>37</v>
      </c>
      <c r="UD35" s="11" t="s">
        <v>37</v>
      </c>
      <c r="UI35" s="12" t="s">
        <v>37</v>
      </c>
      <c r="UJ35" s="12" t="s">
        <v>37</v>
      </c>
      <c r="UK35" s="13" t="s">
        <v>37</v>
      </c>
      <c r="UL35" s="12" t="s">
        <v>37</v>
      </c>
      <c r="UM35" s="12" t="s">
        <v>37</v>
      </c>
      <c r="UN35" s="13" t="s">
        <v>37</v>
      </c>
      <c r="UR35" s="12" t="s">
        <v>37</v>
      </c>
      <c r="US35" s="12" t="s">
        <v>37</v>
      </c>
      <c r="UT35" s="13" t="s">
        <v>37</v>
      </c>
      <c r="UU35" s="12" t="s">
        <v>37</v>
      </c>
      <c r="UV35" s="12" t="s">
        <v>37</v>
      </c>
      <c r="UW35" s="13" t="s">
        <v>37</v>
      </c>
      <c r="VB35" s="12" t="s">
        <v>37</v>
      </c>
      <c r="VC35" s="12" t="s">
        <v>37</v>
      </c>
      <c r="VD35" s="13" t="s">
        <v>37</v>
      </c>
      <c r="VE35" s="12" t="s">
        <v>37</v>
      </c>
      <c r="VF35" s="12" t="s">
        <v>37</v>
      </c>
      <c r="VG35" s="13" t="s">
        <v>37</v>
      </c>
      <c r="VI35" s="12" t="s">
        <v>37</v>
      </c>
      <c r="VJ35" s="12" t="s">
        <v>37</v>
      </c>
      <c r="VK35" s="13" t="s">
        <v>37</v>
      </c>
      <c r="VL35" s="12" t="s">
        <v>37</v>
      </c>
      <c r="VM35" s="12" t="s">
        <v>37</v>
      </c>
      <c r="VN35" s="13" t="s">
        <v>37</v>
      </c>
      <c r="VO35" s="12" t="s">
        <v>37</v>
      </c>
      <c r="VQ35" s="12" t="s">
        <v>37</v>
      </c>
      <c r="VR35" s="12" t="s">
        <v>37</v>
      </c>
      <c r="VS35" s="12" t="s">
        <v>37</v>
      </c>
      <c r="VT35" s="12" t="s">
        <v>37</v>
      </c>
      <c r="VU35" s="12" t="s">
        <v>37</v>
      </c>
      <c r="VV35" s="12" t="s">
        <v>37</v>
      </c>
      <c r="VW35" s="12"/>
      <c r="VX35" s="12"/>
      <c r="WA35" s="13" t="s">
        <v>37</v>
      </c>
      <c r="WB35" s="13" t="s">
        <v>37</v>
      </c>
      <c r="WC35" s="13" t="s">
        <v>37</v>
      </c>
      <c r="WD35" s="13" t="s">
        <v>37</v>
      </c>
      <c r="WE35" s="13" t="s">
        <v>37</v>
      </c>
      <c r="WF35" s="13" t="s">
        <v>37</v>
      </c>
    </row>
    <row r="36" spans="1:604" ht="18" customHeight="1" x14ac:dyDescent="0.4">
      <c r="A36" s="11">
        <v>11</v>
      </c>
      <c r="B36" s="12" t="s">
        <v>110</v>
      </c>
      <c r="C36" s="12" t="s">
        <v>26</v>
      </c>
      <c r="D36" s="12" t="s">
        <v>973</v>
      </c>
      <c r="E36" s="81">
        <v>4.5</v>
      </c>
      <c r="F36" s="14">
        <v>0</v>
      </c>
      <c r="G36" s="14">
        <v>0</v>
      </c>
      <c r="H36" s="12" t="s">
        <v>91</v>
      </c>
      <c r="I36" s="29">
        <v>55.35</v>
      </c>
      <c r="J36" s="29">
        <v>-112.517</v>
      </c>
      <c r="K36" s="12" t="s">
        <v>696</v>
      </c>
      <c r="L36" s="12" t="s">
        <v>697</v>
      </c>
      <c r="M36" s="13" t="s">
        <v>37</v>
      </c>
      <c r="N36" s="14">
        <v>2.1</v>
      </c>
      <c r="O36" s="14">
        <v>504</v>
      </c>
      <c r="P36" s="14" t="s">
        <v>84</v>
      </c>
      <c r="Q36" s="75">
        <v>11</v>
      </c>
      <c r="R36" s="11" t="s">
        <v>999</v>
      </c>
      <c r="S36" s="12" t="s">
        <v>93</v>
      </c>
      <c r="T36" s="12" t="s">
        <v>141</v>
      </c>
      <c r="U36" s="12" t="s">
        <v>163</v>
      </c>
      <c r="V36" s="12" t="s">
        <v>275</v>
      </c>
      <c r="W36" s="23" t="s">
        <v>499</v>
      </c>
      <c r="X36" s="12" t="s">
        <v>282</v>
      </c>
      <c r="Y36" s="12" t="s">
        <v>69</v>
      </c>
      <c r="Z36" s="12" t="s">
        <v>37</v>
      </c>
      <c r="AA36" s="32" t="s">
        <v>345</v>
      </c>
      <c r="AB36" s="12">
        <v>4.0999999999999996</v>
      </c>
      <c r="AE36" s="12" t="s">
        <v>37</v>
      </c>
      <c r="AH36" s="12" t="s">
        <v>37</v>
      </c>
      <c r="AK36" s="12" t="s">
        <v>37</v>
      </c>
      <c r="AL36" s="32" t="s">
        <v>496</v>
      </c>
      <c r="AM36" s="12" t="s">
        <v>317</v>
      </c>
      <c r="AN36" s="32" t="s">
        <v>879</v>
      </c>
      <c r="AO36" s="12" t="s">
        <v>318</v>
      </c>
      <c r="AP36" s="12" t="s">
        <v>108</v>
      </c>
      <c r="AQ36" s="12" t="s">
        <v>975</v>
      </c>
      <c r="AT36" s="12" t="s">
        <v>326</v>
      </c>
      <c r="AU36" s="12" t="s">
        <v>326</v>
      </c>
      <c r="AV36" s="13" t="s">
        <v>326</v>
      </c>
      <c r="AX36" s="12" t="s">
        <v>326</v>
      </c>
      <c r="AY36" s="12" t="s">
        <v>326</v>
      </c>
      <c r="AZ36" s="13" t="s">
        <v>326</v>
      </c>
      <c r="BE36" s="12" t="s">
        <v>326</v>
      </c>
      <c r="BF36" s="12" t="s">
        <v>326</v>
      </c>
      <c r="BG36" s="12" t="s">
        <v>326</v>
      </c>
      <c r="BI36" s="12" t="s">
        <v>326</v>
      </c>
      <c r="BJ36" s="12" t="s">
        <v>326</v>
      </c>
      <c r="BK36" s="12" t="s">
        <v>326</v>
      </c>
      <c r="BP36" s="12" t="s">
        <v>37</v>
      </c>
      <c r="BQ36" s="12" t="s">
        <v>37</v>
      </c>
      <c r="BR36" s="13" t="s">
        <v>37</v>
      </c>
      <c r="BT36" s="12" t="s">
        <v>37</v>
      </c>
      <c r="BU36" s="12" t="s">
        <v>37</v>
      </c>
      <c r="BV36" s="12" t="s">
        <v>37</v>
      </c>
      <c r="BZ36" s="12" t="s">
        <v>581</v>
      </c>
      <c r="CA36" s="12">
        <f>-190*10^4/10^3*44/12/'[6]classess-1'!$T$63</f>
        <v>-9117.2313953462108</v>
      </c>
      <c r="CB36" s="15">
        <f>CB35</f>
        <v>2424.3247606001519</v>
      </c>
      <c r="CC36" s="18">
        <v>3</v>
      </c>
      <c r="CD36" s="19">
        <f t="shared" si="123"/>
        <v>0.26590580577318917</v>
      </c>
      <c r="CE36" s="15">
        <f>-280*10^4/10^3*44/12/'[6]classess-1'!$T$64</f>
        <v>-11061.598737544933</v>
      </c>
      <c r="CF36" s="15">
        <f>SQRT((1/[7]Classess!$T$64)^2*(21*SQRT(3)*10^4/10^3*44/12)^2+(-CE36/([7]Classess!$T$64)^2)^2*([7]Classess!$U$64)^2)</f>
        <v>1546.857501085957</v>
      </c>
      <c r="CG36" s="18">
        <v>3</v>
      </c>
      <c r="CH36" s="19">
        <f t="shared" si="124"/>
        <v>0.13984031944999609</v>
      </c>
      <c r="CI36" s="75">
        <f t="shared" si="125"/>
        <v>-1944.3673421987223</v>
      </c>
      <c r="CJ36" s="12">
        <f t="shared" ref="CJ36:CJ52" si="151">SQRT(((CC36-1)*CB36^2+(CG36-1)*CF36^2)/(CC36+CG36-2))</f>
        <v>2033.4845307408752</v>
      </c>
      <c r="CK36" s="72">
        <f t="shared" si="126"/>
        <v>2756706.2245082916</v>
      </c>
      <c r="CL36" s="72">
        <f t="shared" si="127"/>
        <v>2756706.2245082916</v>
      </c>
      <c r="CM36" s="12" t="s">
        <v>581</v>
      </c>
      <c r="CN36" s="12">
        <f>225*10^4/10^3*44/12/'[6]classess-1'!$I$63</f>
        <v>12663.516770662041</v>
      </c>
      <c r="CO36" s="15">
        <f>CO35</f>
        <v>2211.9149588307</v>
      </c>
      <c r="CP36" s="18">
        <v>3</v>
      </c>
      <c r="CQ36" s="19">
        <f t="shared" si="128"/>
        <v>0.17466830098532435</v>
      </c>
      <c r="CR36" s="15">
        <f>295*10^4/10^3*44/12/'[6]classess-1'!$I$64</f>
        <v>13557.778602361719</v>
      </c>
      <c r="CS36" s="15">
        <f>SQRT((1/[7]Classess!$I$64)^2*(10*SQRT(3)*10^4/10^3*44/12)^2+(-CR36/([7]Classess!$I$64)^2)^2*([7]Classess!$J$64)^2)</f>
        <v>1534.7793518535277</v>
      </c>
      <c r="CT36" s="18">
        <v>3</v>
      </c>
      <c r="CU36" s="19">
        <f t="shared" si="129"/>
        <v>0.11320286286325507</v>
      </c>
      <c r="CV36" s="75">
        <f t="shared" si="130"/>
        <v>894.26183169967771</v>
      </c>
      <c r="CW36" s="12">
        <f t="shared" ref="CW36:CW52" si="152">SQRT(((CP36-1)*CO36^2+(CT36-1)*CS36^2)/(CP36+CT36-2))</f>
        <v>1903.6958060539705</v>
      </c>
      <c r="CX36" s="72">
        <f t="shared" si="131"/>
        <v>2416038.4813249838</v>
      </c>
      <c r="CY36" s="72">
        <f t="shared" si="132"/>
        <v>2416038.4813249838</v>
      </c>
      <c r="CZ36" s="12" t="s">
        <v>581</v>
      </c>
      <c r="DA36" s="12">
        <f t="shared" ref="DA36:DA46" si="153">CA36+CN36</f>
        <v>3546.2853753158306</v>
      </c>
      <c r="DB36" s="15">
        <f>DB35</f>
        <v>5941.7227544878542</v>
      </c>
      <c r="DC36" s="18">
        <v>3</v>
      </c>
      <c r="DD36" s="19">
        <f t="shared" si="133"/>
        <v>1.6754778946572191</v>
      </c>
      <c r="DE36" s="12">
        <f t="shared" ref="DE36:DE46" si="154">CE36+CR36</f>
        <v>2496.179864816786</v>
      </c>
      <c r="DF36" s="15">
        <f>SQRT((1/[7]Classess!$I$18)^2*(7*SQRT(3)*10^4/10^3*44/12)^2+(-DE36/([7]Classess!$I$18)^2)^2*([7]Classess!$J$18)^2)</f>
        <v>441.86562565211784</v>
      </c>
      <c r="DG36" s="18">
        <v>3</v>
      </c>
      <c r="DH36" s="19">
        <f t="shared" si="134"/>
        <v>0.17701674141360393</v>
      </c>
      <c r="DI36" s="19">
        <f t="shared" si="135"/>
        <v>-1050.1055104990446</v>
      </c>
      <c r="DJ36" s="12">
        <f t="shared" si="136"/>
        <v>4213.0342107756296</v>
      </c>
      <c r="DK36" s="72">
        <f t="shared" si="137"/>
        <v>11833104.840777222</v>
      </c>
      <c r="DL36" s="72">
        <f t="shared" si="138"/>
        <v>11833104.840777224</v>
      </c>
      <c r="DM36" s="15"/>
      <c r="DN36" s="52" t="s">
        <v>37</v>
      </c>
      <c r="DO36" s="15" t="s">
        <v>37</v>
      </c>
      <c r="DP36" s="18" t="s">
        <v>37</v>
      </c>
      <c r="DQ36" s="52"/>
      <c r="DR36" s="52" t="s">
        <v>37</v>
      </c>
      <c r="DS36" s="15" t="s">
        <v>37</v>
      </c>
      <c r="DT36" s="18" t="s">
        <v>37</v>
      </c>
      <c r="DU36" s="52"/>
      <c r="DV36" s="52"/>
      <c r="DW36" s="52"/>
      <c r="DZ36" s="15"/>
      <c r="EA36" s="52" t="s">
        <v>37</v>
      </c>
      <c r="EB36" s="52" t="s">
        <v>37</v>
      </c>
      <c r="EC36" s="73" t="s">
        <v>37</v>
      </c>
      <c r="ED36" s="52"/>
      <c r="EE36" s="52" t="s">
        <v>37</v>
      </c>
      <c r="EF36" s="52" t="s">
        <v>37</v>
      </c>
      <c r="EG36" s="15" t="s">
        <v>37</v>
      </c>
      <c r="EH36" s="52"/>
      <c r="EI36" s="52"/>
      <c r="EJ36" s="52"/>
      <c r="EK36" s="52"/>
      <c r="EL36" s="52"/>
      <c r="EM36" s="12" t="s">
        <v>39</v>
      </c>
      <c r="EN36" s="12">
        <v>-38</v>
      </c>
      <c r="EO36" s="12">
        <v>7.6</v>
      </c>
      <c r="EP36" s="13">
        <v>3</v>
      </c>
      <c r="EQ36" s="19">
        <f t="shared" si="139"/>
        <v>0.19999999999999998</v>
      </c>
      <c r="ER36" s="12">
        <v>-112</v>
      </c>
      <c r="ES36" s="12">
        <v>15.2</v>
      </c>
      <c r="ET36" s="13">
        <v>3</v>
      </c>
      <c r="EU36" s="19">
        <f t="shared" si="140"/>
        <v>0.1357142857142857</v>
      </c>
      <c r="EV36" s="19">
        <f t="shared" si="141"/>
        <v>-74</v>
      </c>
      <c r="EW36" s="12">
        <f t="shared" si="142"/>
        <v>12.016655108639842</v>
      </c>
      <c r="EX36" s="19">
        <f t="shared" si="143"/>
        <v>96.266666666666666</v>
      </c>
      <c r="EY36" s="19">
        <f t="shared" si="144"/>
        <v>96.266666666666666</v>
      </c>
      <c r="FB36" s="11" t="s">
        <v>37</v>
      </c>
      <c r="FC36" s="11" t="s">
        <v>37</v>
      </c>
      <c r="FD36" s="11" t="s">
        <v>37</v>
      </c>
      <c r="FE36" s="12" t="s">
        <v>37</v>
      </c>
      <c r="FF36" s="20" t="s">
        <v>37</v>
      </c>
      <c r="FG36" s="11" t="s">
        <v>37</v>
      </c>
      <c r="FI36" s="11" t="s">
        <v>37</v>
      </c>
      <c r="FJ36" s="11" t="s">
        <v>37</v>
      </c>
      <c r="FK36" s="11" t="s">
        <v>37</v>
      </c>
      <c r="FL36" s="13" t="s">
        <v>37</v>
      </c>
      <c r="FM36" s="11" t="s">
        <v>37</v>
      </c>
      <c r="FN36" s="11" t="s">
        <v>37</v>
      </c>
      <c r="FP36" s="11" t="s">
        <v>37</v>
      </c>
      <c r="FQ36" s="11" t="s">
        <v>37</v>
      </c>
      <c r="FR36" s="11" t="s">
        <v>37</v>
      </c>
      <c r="FS36" s="13" t="s">
        <v>37</v>
      </c>
      <c r="FT36" s="11" t="s">
        <v>37</v>
      </c>
      <c r="FU36" s="11" t="s">
        <v>37</v>
      </c>
      <c r="FW36" s="11" t="s">
        <v>37</v>
      </c>
      <c r="FX36" s="11" t="s">
        <v>37</v>
      </c>
      <c r="FY36" s="11" t="s">
        <v>37</v>
      </c>
      <c r="FZ36" s="13" t="s">
        <v>37</v>
      </c>
      <c r="GA36" s="11" t="s">
        <v>37</v>
      </c>
      <c r="GB36" s="11" t="s">
        <v>37</v>
      </c>
      <c r="GO36" s="12" t="s">
        <v>660</v>
      </c>
      <c r="GP36" s="12" t="s">
        <v>330</v>
      </c>
      <c r="GQ36" s="12">
        <v>12.3</v>
      </c>
      <c r="GR36" s="12">
        <v>0.2</v>
      </c>
      <c r="GS36" s="13">
        <v>3</v>
      </c>
      <c r="GT36" s="19">
        <f t="shared" si="145"/>
        <v>1.6260162601626015E-2</v>
      </c>
      <c r="GU36" s="12">
        <v>13.7</v>
      </c>
      <c r="GV36" s="12">
        <v>0.1</v>
      </c>
      <c r="GW36" s="13">
        <v>3</v>
      </c>
      <c r="GX36" s="19">
        <f t="shared" si="146"/>
        <v>7.2992700729927014E-3</v>
      </c>
      <c r="GY36" s="19">
        <f t="shared" si="118"/>
        <v>0.10779657045570738</v>
      </c>
      <c r="GZ36" s="19">
        <f t="shared" si="119"/>
        <v>1.0589074380993474E-4</v>
      </c>
      <c r="HA36" s="12"/>
      <c r="HB36" s="32"/>
      <c r="HM36" s="32"/>
      <c r="IK36" s="12" t="s">
        <v>37</v>
      </c>
      <c r="IL36" s="12" t="s">
        <v>37</v>
      </c>
      <c r="IM36" s="13" t="s">
        <v>37</v>
      </c>
      <c r="IO36" s="12" t="s">
        <v>37</v>
      </c>
      <c r="IP36" s="12" t="s">
        <v>37</v>
      </c>
      <c r="IQ36" s="13" t="s">
        <v>37</v>
      </c>
      <c r="IV36" s="32" t="s">
        <v>345</v>
      </c>
      <c r="IW36" s="12">
        <v>4.0999999999999996</v>
      </c>
      <c r="IX36" s="12">
        <v>0.1</v>
      </c>
      <c r="IY36" s="13">
        <v>3</v>
      </c>
      <c r="IZ36" s="19">
        <f t="shared" si="147"/>
        <v>2.4390243902439029E-2</v>
      </c>
      <c r="JH36" s="12" t="s">
        <v>37</v>
      </c>
      <c r="JI36" s="12" t="s">
        <v>37</v>
      </c>
      <c r="JJ36" s="13" t="s">
        <v>37</v>
      </c>
      <c r="JL36" s="12" t="s">
        <v>37</v>
      </c>
      <c r="JM36" s="12" t="s">
        <v>37</v>
      </c>
      <c r="JN36" s="12" t="s">
        <v>37</v>
      </c>
      <c r="JS36" s="12" t="s">
        <v>37</v>
      </c>
      <c r="JT36" s="12" t="s">
        <v>37</v>
      </c>
      <c r="JU36" s="13" t="s">
        <v>37</v>
      </c>
      <c r="JW36" s="12" t="s">
        <v>37</v>
      </c>
      <c r="JX36" s="12" t="s">
        <v>37</v>
      </c>
      <c r="JY36" s="12" t="s">
        <v>37</v>
      </c>
      <c r="KE36" s="11" t="s">
        <v>37</v>
      </c>
      <c r="KF36" s="11" t="s">
        <v>37</v>
      </c>
      <c r="KG36" s="13" t="s">
        <v>37</v>
      </c>
      <c r="KH36" s="11" t="s">
        <v>37</v>
      </c>
      <c r="KI36" s="11" t="s">
        <v>37</v>
      </c>
      <c r="KJ36" s="11" t="s">
        <v>37</v>
      </c>
      <c r="KM36" s="12" t="s">
        <v>37</v>
      </c>
      <c r="KN36" s="12" t="s">
        <v>37</v>
      </c>
      <c r="KO36" s="11" t="s">
        <v>37</v>
      </c>
      <c r="KQ36" s="12" t="s">
        <v>37</v>
      </c>
      <c r="KR36" s="12" t="s">
        <v>37</v>
      </c>
      <c r="KS36" s="13" t="s">
        <v>37</v>
      </c>
      <c r="KX36" s="12" t="s">
        <v>37</v>
      </c>
      <c r="KY36" s="12" t="s">
        <v>37</v>
      </c>
      <c r="KZ36" s="13" t="s">
        <v>37</v>
      </c>
      <c r="LB36" s="12" t="s">
        <v>37</v>
      </c>
      <c r="LC36" s="12" t="s">
        <v>37</v>
      </c>
      <c r="LD36" s="13" t="s">
        <v>37</v>
      </c>
      <c r="LI36" s="12" t="s">
        <v>37</v>
      </c>
      <c r="LJ36" s="12" t="s">
        <v>37</v>
      </c>
      <c r="LK36" s="12" t="s">
        <v>37</v>
      </c>
      <c r="LM36" s="12" t="s">
        <v>37</v>
      </c>
      <c r="LN36" s="12" t="s">
        <v>37</v>
      </c>
      <c r="LO36" s="12" t="s">
        <v>37</v>
      </c>
      <c r="LU36" s="12" t="s">
        <v>37</v>
      </c>
      <c r="LV36" s="12" t="s">
        <v>37</v>
      </c>
      <c r="LW36" s="13" t="s">
        <v>37</v>
      </c>
      <c r="LY36" s="12" t="s">
        <v>37</v>
      </c>
      <c r="LZ36" s="12" t="s">
        <v>37</v>
      </c>
      <c r="MA36" s="12" t="s">
        <v>37</v>
      </c>
      <c r="MF36" s="12" t="s">
        <v>37</v>
      </c>
      <c r="MG36" s="12" t="s">
        <v>37</v>
      </c>
      <c r="MH36" s="12" t="s">
        <v>37</v>
      </c>
      <c r="MJ36" s="12" t="s">
        <v>37</v>
      </c>
      <c r="MK36" s="12" t="s">
        <v>37</v>
      </c>
      <c r="ML36" s="12" t="s">
        <v>37</v>
      </c>
      <c r="MQ36" s="12" t="s">
        <v>37</v>
      </c>
      <c r="MR36" s="12" t="s">
        <v>37</v>
      </c>
      <c r="MS36" s="12" t="s">
        <v>37</v>
      </c>
      <c r="MU36" s="12" t="s">
        <v>37</v>
      </c>
      <c r="MV36" s="12" t="s">
        <v>37</v>
      </c>
      <c r="MW36" s="12" t="s">
        <v>37</v>
      </c>
      <c r="NC36" s="12" t="s">
        <v>37</v>
      </c>
      <c r="ND36" s="12" t="s">
        <v>37</v>
      </c>
      <c r="NE36" s="13" t="s">
        <v>37</v>
      </c>
      <c r="NG36" s="12" t="s">
        <v>37</v>
      </c>
      <c r="NH36" s="12" t="s">
        <v>37</v>
      </c>
      <c r="NI36" s="13" t="s">
        <v>37</v>
      </c>
      <c r="NO36" s="12" t="s">
        <v>37</v>
      </c>
      <c r="NP36" s="12" t="s">
        <v>37</v>
      </c>
      <c r="NQ36" s="13" t="s">
        <v>37</v>
      </c>
      <c r="NS36" s="12" t="s">
        <v>37</v>
      </c>
      <c r="NT36" s="12" t="s">
        <v>37</v>
      </c>
      <c r="NU36" s="13" t="s">
        <v>37</v>
      </c>
      <c r="OA36" s="11" t="s">
        <v>37</v>
      </c>
      <c r="OB36" s="11" t="s">
        <v>37</v>
      </c>
      <c r="OC36" s="13" t="s">
        <v>37</v>
      </c>
      <c r="OE36" s="11" t="s">
        <v>37</v>
      </c>
      <c r="OF36" s="11" t="s">
        <v>37</v>
      </c>
      <c r="OG36" s="13" t="s">
        <v>37</v>
      </c>
      <c r="OM36" s="11" t="s">
        <v>37</v>
      </c>
      <c r="ON36" s="11" t="s">
        <v>37</v>
      </c>
      <c r="OO36" s="11" t="s">
        <v>37</v>
      </c>
      <c r="OP36" s="11" t="s">
        <v>37</v>
      </c>
      <c r="OQ36" s="11" t="s">
        <v>37</v>
      </c>
      <c r="OR36" s="11" t="s">
        <v>37</v>
      </c>
      <c r="OW36" s="11" t="s">
        <v>37</v>
      </c>
      <c r="OX36" s="11" t="s">
        <v>37</v>
      </c>
      <c r="OY36" s="13" t="s">
        <v>37</v>
      </c>
      <c r="OZ36" s="11" t="s">
        <v>37</v>
      </c>
      <c r="PA36" s="11" t="s">
        <v>37</v>
      </c>
      <c r="PB36" s="13" t="s">
        <v>37</v>
      </c>
      <c r="PG36" s="11" t="s">
        <v>37</v>
      </c>
      <c r="PH36" s="11" t="s">
        <v>37</v>
      </c>
      <c r="PI36" s="13" t="s">
        <v>37</v>
      </c>
      <c r="PJ36" s="11" t="s">
        <v>37</v>
      </c>
      <c r="PK36" s="11" t="s">
        <v>37</v>
      </c>
      <c r="PL36" s="13" t="s">
        <v>37</v>
      </c>
      <c r="PQ36" s="11" t="s">
        <v>37</v>
      </c>
      <c r="PR36" s="11" t="s">
        <v>37</v>
      </c>
      <c r="PS36" s="13" t="s">
        <v>37</v>
      </c>
      <c r="PT36" s="11" t="s">
        <v>37</v>
      </c>
      <c r="PU36" s="11" t="s">
        <v>37</v>
      </c>
      <c r="PV36" s="13" t="s">
        <v>37</v>
      </c>
      <c r="PY36" s="12" t="s">
        <v>43</v>
      </c>
      <c r="PZ36" s="12">
        <v>399</v>
      </c>
      <c r="QA36" s="12">
        <f>24*SQRT(3)</f>
        <v>41.569219381653056</v>
      </c>
      <c r="QB36" s="11">
        <v>3</v>
      </c>
      <c r="QC36" s="19">
        <f t="shared" ref="QC36:QC76" si="155">QA36/PZ36</f>
        <v>0.10418350722218811</v>
      </c>
      <c r="QD36" s="12">
        <v>643</v>
      </c>
      <c r="QE36" s="12">
        <f>18*SQRT(3)</f>
        <v>31.176914536239789</v>
      </c>
      <c r="QF36" s="13">
        <v>3</v>
      </c>
      <c r="QG36" s="19">
        <f t="shared" ref="QG36:QG76" si="156">QE36/QD36</f>
        <v>4.848664780130605E-2</v>
      </c>
      <c r="QH36" s="19">
        <f t="shared" si="148"/>
        <v>0.47718330734775594</v>
      </c>
      <c r="QI36" s="19">
        <f t="shared" si="149"/>
        <v>4.4017193973745396E-3</v>
      </c>
      <c r="QJ36" s="12" t="s">
        <v>43</v>
      </c>
      <c r="QK36" s="12">
        <v>568</v>
      </c>
      <c r="QL36" s="12">
        <f t="shared" ref="QL36:QL40" si="157">48*SQRT(3)</f>
        <v>83.138438763306112</v>
      </c>
      <c r="QM36" s="13">
        <v>3</v>
      </c>
      <c r="QN36" s="12">
        <v>925</v>
      </c>
      <c r="QO36" s="12">
        <f>247*SQRT(3)</f>
        <v>427.81654946951267</v>
      </c>
      <c r="QP36" s="13">
        <v>3</v>
      </c>
      <c r="QQ36" s="19">
        <f t="shared" ref="QQ36:QQ75" si="158">LN(QN36/QK36)</f>
        <v>0.48767231879127393</v>
      </c>
      <c r="QR36" s="19">
        <f t="shared" si="150"/>
        <v>7.8444873353331016E-2</v>
      </c>
      <c r="QU36" s="11" t="s">
        <v>37</v>
      </c>
      <c r="QV36" s="11" t="s">
        <v>37</v>
      </c>
      <c r="QW36" s="13" t="s">
        <v>37</v>
      </c>
      <c r="QX36" s="11" t="s">
        <v>37</v>
      </c>
      <c r="QY36" s="11" t="s">
        <v>37</v>
      </c>
      <c r="QZ36" s="13" t="s">
        <v>37</v>
      </c>
      <c r="RC36" s="12" t="s">
        <v>37</v>
      </c>
      <c r="RD36" s="12" t="s">
        <v>37</v>
      </c>
      <c r="RE36" s="13" t="s">
        <v>37</v>
      </c>
      <c r="RF36" s="12" t="s">
        <v>37</v>
      </c>
      <c r="RG36" s="12" t="s">
        <v>37</v>
      </c>
      <c r="RH36" s="13" t="s">
        <v>37</v>
      </c>
      <c r="RK36" s="11" t="s">
        <v>37</v>
      </c>
      <c r="RL36" s="11" t="s">
        <v>37</v>
      </c>
      <c r="RM36" s="11" t="s">
        <v>37</v>
      </c>
      <c r="RN36" s="11" t="s">
        <v>37</v>
      </c>
      <c r="RO36" s="11" t="s">
        <v>37</v>
      </c>
      <c r="RP36" s="11" t="s">
        <v>37</v>
      </c>
      <c r="RS36" s="11" t="s">
        <v>37</v>
      </c>
      <c r="RT36" s="11" t="s">
        <v>37</v>
      </c>
      <c r="RU36" s="11" t="s">
        <v>37</v>
      </c>
      <c r="RV36" s="11" t="s">
        <v>37</v>
      </c>
      <c r="RW36" s="11" t="s">
        <v>37</v>
      </c>
      <c r="RX36" s="11" t="s">
        <v>37</v>
      </c>
      <c r="SA36" s="11" t="s">
        <v>37</v>
      </c>
      <c r="SB36" s="11" t="s">
        <v>37</v>
      </c>
      <c r="SC36" s="13" t="s">
        <v>37</v>
      </c>
      <c r="SD36" s="11" t="s">
        <v>37</v>
      </c>
      <c r="SE36" s="11" t="s">
        <v>37</v>
      </c>
      <c r="SF36" s="13" t="s">
        <v>37</v>
      </c>
      <c r="SI36" s="12" t="s">
        <v>37</v>
      </c>
      <c r="SJ36" s="11" t="s">
        <v>37</v>
      </c>
      <c r="SK36" s="13" t="s">
        <v>37</v>
      </c>
      <c r="SM36" s="11" t="s">
        <v>37</v>
      </c>
      <c r="SN36" s="11" t="s">
        <v>37</v>
      </c>
      <c r="SO36" s="13" t="s">
        <v>37</v>
      </c>
      <c r="SU36" s="12" t="s">
        <v>37</v>
      </c>
      <c r="SV36" s="12" t="s">
        <v>37</v>
      </c>
      <c r="SW36" s="11" t="s">
        <v>37</v>
      </c>
      <c r="SX36" s="12" t="s">
        <v>37</v>
      </c>
      <c r="SY36" s="12" t="s">
        <v>37</v>
      </c>
      <c r="SZ36" s="11" t="s">
        <v>37</v>
      </c>
      <c r="TE36" s="12" t="s">
        <v>37</v>
      </c>
      <c r="TF36" s="12" t="s">
        <v>37</v>
      </c>
      <c r="TG36" s="11" t="s">
        <v>37</v>
      </c>
      <c r="TH36" s="12" t="s">
        <v>37</v>
      </c>
      <c r="TI36" s="12" t="s">
        <v>37</v>
      </c>
      <c r="TJ36" s="11" t="s">
        <v>37</v>
      </c>
      <c r="TO36" s="12" t="s">
        <v>37</v>
      </c>
      <c r="TP36" s="12" t="s">
        <v>37</v>
      </c>
      <c r="TQ36" s="11" t="s">
        <v>37</v>
      </c>
      <c r="TR36" s="12" t="s">
        <v>37</v>
      </c>
      <c r="TS36" s="12" t="s">
        <v>37</v>
      </c>
      <c r="TT36" s="11" t="s">
        <v>37</v>
      </c>
      <c r="TY36" s="12" t="s">
        <v>37</v>
      </c>
      <c r="TZ36" s="12" t="s">
        <v>37</v>
      </c>
      <c r="UA36" s="11" t="s">
        <v>37</v>
      </c>
      <c r="UB36" s="12" t="s">
        <v>37</v>
      </c>
      <c r="UC36" s="12" t="s">
        <v>37</v>
      </c>
      <c r="UD36" s="11" t="s">
        <v>37</v>
      </c>
      <c r="UI36" s="12" t="s">
        <v>37</v>
      </c>
      <c r="UJ36" s="12" t="s">
        <v>37</v>
      </c>
      <c r="UK36" s="13" t="s">
        <v>37</v>
      </c>
      <c r="UL36" s="12" t="s">
        <v>37</v>
      </c>
      <c r="UM36" s="12" t="s">
        <v>37</v>
      </c>
      <c r="UN36" s="13" t="s">
        <v>37</v>
      </c>
      <c r="UR36" s="12" t="s">
        <v>37</v>
      </c>
      <c r="US36" s="12" t="s">
        <v>37</v>
      </c>
      <c r="UT36" s="13" t="s">
        <v>37</v>
      </c>
      <c r="UU36" s="12" t="s">
        <v>37</v>
      </c>
      <c r="UV36" s="12" t="s">
        <v>37</v>
      </c>
      <c r="UW36" s="13" t="s">
        <v>37</v>
      </c>
      <c r="VB36" s="12" t="s">
        <v>37</v>
      </c>
      <c r="VC36" s="12" t="s">
        <v>37</v>
      </c>
      <c r="VD36" s="13" t="s">
        <v>37</v>
      </c>
      <c r="VE36" s="12" t="s">
        <v>37</v>
      </c>
      <c r="VF36" s="12" t="s">
        <v>37</v>
      </c>
      <c r="VG36" s="13" t="s">
        <v>37</v>
      </c>
      <c r="VI36" s="12" t="s">
        <v>37</v>
      </c>
      <c r="VJ36" s="12" t="s">
        <v>37</v>
      </c>
      <c r="VK36" s="13" t="s">
        <v>37</v>
      </c>
      <c r="VL36" s="12" t="s">
        <v>37</v>
      </c>
      <c r="VM36" s="12" t="s">
        <v>37</v>
      </c>
      <c r="VN36" s="13" t="s">
        <v>37</v>
      </c>
      <c r="VO36" s="12" t="s">
        <v>37</v>
      </c>
      <c r="VQ36" s="12" t="s">
        <v>37</v>
      </c>
      <c r="VR36" s="12" t="s">
        <v>37</v>
      </c>
      <c r="VS36" s="12" t="s">
        <v>37</v>
      </c>
      <c r="VT36" s="12" t="s">
        <v>37</v>
      </c>
      <c r="VU36" s="12" t="s">
        <v>37</v>
      </c>
      <c r="VV36" s="12" t="s">
        <v>37</v>
      </c>
      <c r="VW36" s="12"/>
      <c r="VX36" s="12"/>
      <c r="WA36" s="13" t="s">
        <v>37</v>
      </c>
      <c r="WB36" s="13" t="s">
        <v>37</v>
      </c>
      <c r="WC36" s="13" t="s">
        <v>37</v>
      </c>
      <c r="WD36" s="13" t="s">
        <v>37</v>
      </c>
      <c r="WE36" s="13" t="s">
        <v>37</v>
      </c>
      <c r="WF36" s="13" t="s">
        <v>37</v>
      </c>
    </row>
    <row r="37" spans="1:604" ht="18" customHeight="1" x14ac:dyDescent="0.4">
      <c r="A37" s="11">
        <v>11</v>
      </c>
      <c r="B37" s="12" t="s">
        <v>109</v>
      </c>
      <c r="C37" s="12" t="s">
        <v>26</v>
      </c>
      <c r="D37" s="12" t="s">
        <v>973</v>
      </c>
      <c r="E37" s="81">
        <v>4.5</v>
      </c>
      <c r="F37" s="14">
        <v>0</v>
      </c>
      <c r="G37" s="14">
        <v>0</v>
      </c>
      <c r="H37" s="12" t="s">
        <v>91</v>
      </c>
      <c r="I37" s="29">
        <v>55.35</v>
      </c>
      <c r="J37" s="29">
        <v>-112.517</v>
      </c>
      <c r="K37" s="12" t="s">
        <v>696</v>
      </c>
      <c r="L37" s="12" t="s">
        <v>697</v>
      </c>
      <c r="M37" s="13" t="s">
        <v>37</v>
      </c>
      <c r="N37" s="14">
        <v>2.1</v>
      </c>
      <c r="O37" s="14">
        <v>504</v>
      </c>
      <c r="P37" s="14" t="s">
        <v>84</v>
      </c>
      <c r="Q37" s="75">
        <v>2</v>
      </c>
      <c r="R37" s="11" t="s">
        <v>999</v>
      </c>
      <c r="S37" s="12" t="s">
        <v>93</v>
      </c>
      <c r="T37" s="12" t="s">
        <v>141</v>
      </c>
      <c r="U37" s="12" t="s">
        <v>163</v>
      </c>
      <c r="V37" s="12" t="s">
        <v>275</v>
      </c>
      <c r="W37" s="23" t="s">
        <v>499</v>
      </c>
      <c r="X37" s="12" t="s">
        <v>282</v>
      </c>
      <c r="Y37" s="12" t="s">
        <v>69</v>
      </c>
      <c r="Z37" s="12" t="s">
        <v>37</v>
      </c>
      <c r="AA37" s="32" t="s">
        <v>345</v>
      </c>
      <c r="AB37" s="12">
        <v>4.0999999999999996</v>
      </c>
      <c r="AE37" s="12" t="s">
        <v>37</v>
      </c>
      <c r="AH37" s="12" t="s">
        <v>37</v>
      </c>
      <c r="AK37" s="12" t="s">
        <v>37</v>
      </c>
      <c r="AL37" s="32" t="s">
        <v>497</v>
      </c>
      <c r="AM37" s="12" t="s">
        <v>317</v>
      </c>
      <c r="AN37" s="32" t="s">
        <v>879</v>
      </c>
      <c r="AO37" s="12" t="s">
        <v>29</v>
      </c>
      <c r="AP37" s="12" t="s">
        <v>108</v>
      </c>
      <c r="AQ37" s="12" t="s">
        <v>975</v>
      </c>
      <c r="AT37" s="12" t="s">
        <v>326</v>
      </c>
      <c r="AU37" s="12" t="s">
        <v>326</v>
      </c>
      <c r="AV37" s="13" t="s">
        <v>326</v>
      </c>
      <c r="AX37" s="12" t="s">
        <v>326</v>
      </c>
      <c r="AY37" s="12" t="s">
        <v>326</v>
      </c>
      <c r="AZ37" s="13" t="s">
        <v>326</v>
      </c>
      <c r="BE37" s="12" t="s">
        <v>326</v>
      </c>
      <c r="BF37" s="12" t="s">
        <v>326</v>
      </c>
      <c r="BG37" s="12" t="s">
        <v>326</v>
      </c>
      <c r="BI37" s="12" t="s">
        <v>326</v>
      </c>
      <c r="BJ37" s="12" t="s">
        <v>326</v>
      </c>
      <c r="BK37" s="12" t="s">
        <v>326</v>
      </c>
      <c r="BP37" s="12" t="s">
        <v>37</v>
      </c>
      <c r="BQ37" s="12" t="s">
        <v>37</v>
      </c>
      <c r="BR37" s="13" t="s">
        <v>37</v>
      </c>
      <c r="BT37" s="12" t="s">
        <v>37</v>
      </c>
      <c r="BU37" s="12" t="s">
        <v>37</v>
      </c>
      <c r="BV37" s="12" t="s">
        <v>37</v>
      </c>
      <c r="BZ37" s="12" t="s">
        <v>581</v>
      </c>
      <c r="CA37" s="12">
        <f>-228*10^4/10^3*44/12/'[6]classess-1'!$T$63</f>
        <v>-10940.677674415452</v>
      </c>
      <c r="CB37" s="15">
        <f>SQRT((1/[7]Classess!$T$63)^2*(43*SQRT(3)*10^4/10^3*44/12)^2+(-CA37/([7]Classess!$T$63)^2)^2*([7]Classess!$U$63)^2)</f>
        <v>3587.5182834567399</v>
      </c>
      <c r="CC37" s="18">
        <v>3</v>
      </c>
      <c r="CD37" s="19">
        <f t="shared" si="123"/>
        <v>0.32790640490635026</v>
      </c>
      <c r="CE37" s="15">
        <f>-33*10^4/10^3*44/12/'[6]classess-1'!$T$64</f>
        <v>-1303.6884226392244</v>
      </c>
      <c r="CF37" s="15">
        <f>23*SQRT(3)*10^4/10^3*44/12</f>
        <v>1460.696181049753</v>
      </c>
      <c r="CG37" s="18">
        <v>3</v>
      </c>
      <c r="CH37" s="19">
        <f t="shared" si="124"/>
        <v>1.1204334990508527</v>
      </c>
      <c r="CI37" s="75">
        <f t="shared" si="125"/>
        <v>9636.9892517762273</v>
      </c>
      <c r="CJ37" s="12">
        <f t="shared" si="151"/>
        <v>2738.9706796048154</v>
      </c>
      <c r="CK37" s="72">
        <f t="shared" si="126"/>
        <v>5001306.9224899085</v>
      </c>
      <c r="CL37" s="72">
        <f t="shared" si="127"/>
        <v>5001306.9224899095</v>
      </c>
      <c r="CM37" s="12" t="s">
        <v>581</v>
      </c>
      <c r="CN37" s="12">
        <f>216*10^4/10^3*44/12/'[6]classess-1'!$I$63</f>
        <v>12156.97609983556</v>
      </c>
      <c r="CO37" s="15">
        <f>SQRT((1/[7]Classess!$I$63)^2*(33*SQRT(3)*10^4/10^3*44/12)^2+(-CN37/([7]Classess!$I$63)^2)^2*([7]Classess!$J$63)^2)</f>
        <v>3352.7816659818532</v>
      </c>
      <c r="CP37" s="18">
        <v>3</v>
      </c>
      <c r="CQ37" s="19">
        <f t="shared" si="128"/>
        <v>0.275790759021662</v>
      </c>
      <c r="CR37" s="15">
        <f>165*10^4/10^3*44/12/'[6]classess-1'!$I$64</f>
        <v>7583.1643030158775</v>
      </c>
      <c r="CS37" s="15">
        <f>SQRT((1/[7]Classess!$I$64)^2*(53*SQRT(3)*10^4/10^3*44/12)^2+(-CR37/([7]Classess!$I$64)^2)^2*([7]Classess!$J$64)^2)</f>
        <v>4282.3014654243434</v>
      </c>
      <c r="CT37" s="18">
        <v>3</v>
      </c>
      <c r="CU37" s="19">
        <f t="shared" si="129"/>
        <v>0.56471168160252605</v>
      </c>
      <c r="CV37" s="75">
        <f>CR37-CN37</f>
        <v>-4573.8117968196821</v>
      </c>
      <c r="CW37" s="12">
        <f t="shared" si="152"/>
        <v>3845.7281976577292</v>
      </c>
      <c r="CX37" s="72">
        <f t="shared" si="131"/>
        <v>9859750.2468398437</v>
      </c>
      <c r="CY37" s="72">
        <f t="shared" si="132"/>
        <v>9859750.2468398437</v>
      </c>
      <c r="CZ37" s="12" t="s">
        <v>581</v>
      </c>
      <c r="DA37" s="12">
        <f t="shared" si="153"/>
        <v>1216.2984254201074</v>
      </c>
      <c r="DB37" s="15">
        <f>SQRT((1/[7]Classess!$I$17)^2*(11*SQRT(3)*10^4/10^3*44/12)^2+(-DA37/([7]Classess!$I$17)^2)^2*([7]Classess!$J$17)^2)</f>
        <v>2060.9133169618808</v>
      </c>
      <c r="DC37" s="18">
        <v>3</v>
      </c>
      <c r="DD37" s="19">
        <f t="shared" si="133"/>
        <v>1.6944141946496765</v>
      </c>
      <c r="DE37" s="12">
        <f t="shared" si="154"/>
        <v>6279.4758803766526</v>
      </c>
      <c r="DF37" s="15">
        <f>SQRT((1/[7]Classess!$I$18)^2*(12*SQRT(3)*10^4/10^3*44/12)^2+(-DE37/([7]Classess!$I$18)^2)^2*([7]Classess!$J$18)^2)</f>
        <v>947.48073610146616</v>
      </c>
      <c r="DG37" s="18">
        <v>3</v>
      </c>
      <c r="DH37" s="19">
        <f t="shared" si="134"/>
        <v>0.15088532134701579</v>
      </c>
      <c r="DI37" s="19">
        <f t="shared" si="135"/>
        <v>5063.1774549565453</v>
      </c>
      <c r="DJ37" s="12">
        <f t="shared" si="136"/>
        <v>1603.9144997963883</v>
      </c>
      <c r="DK37" s="72">
        <f t="shared" si="137"/>
        <v>1715027.8151047325</v>
      </c>
      <c r="DL37" s="72">
        <f t="shared" si="138"/>
        <v>1715027.8151047325</v>
      </c>
      <c r="DM37" s="15"/>
      <c r="DN37" s="52" t="s">
        <v>37</v>
      </c>
      <c r="DO37" s="15" t="s">
        <v>37</v>
      </c>
      <c r="DP37" s="18" t="s">
        <v>37</v>
      </c>
      <c r="DQ37" s="52"/>
      <c r="DR37" s="52" t="s">
        <v>37</v>
      </c>
      <c r="DS37" s="15" t="s">
        <v>37</v>
      </c>
      <c r="DT37" s="18" t="s">
        <v>37</v>
      </c>
      <c r="DU37" s="52"/>
      <c r="DV37" s="52"/>
      <c r="DW37" s="52"/>
      <c r="DZ37" s="15"/>
      <c r="EA37" s="52" t="s">
        <v>37</v>
      </c>
      <c r="EB37" s="52" t="s">
        <v>37</v>
      </c>
      <c r="EC37" s="73" t="s">
        <v>37</v>
      </c>
      <c r="ED37" s="52"/>
      <c r="EE37" s="52" t="s">
        <v>37</v>
      </c>
      <c r="EF37" s="52" t="s">
        <v>37</v>
      </c>
      <c r="EG37" s="15" t="s">
        <v>37</v>
      </c>
      <c r="EH37" s="52"/>
      <c r="EI37" s="52"/>
      <c r="EJ37" s="52"/>
      <c r="EK37" s="52"/>
      <c r="EL37" s="52"/>
      <c r="EM37" s="12" t="s">
        <v>39</v>
      </c>
      <c r="EN37" s="12">
        <f>EN35-9</f>
        <v>-47</v>
      </c>
      <c r="EO37" s="12">
        <v>6.8</v>
      </c>
      <c r="EP37" s="13">
        <v>3</v>
      </c>
      <c r="EQ37" s="19">
        <f t="shared" si="139"/>
        <v>0.14468085106382977</v>
      </c>
      <c r="ER37" s="12">
        <f>ER35-9</f>
        <v>-82</v>
      </c>
      <c r="ES37" s="12">
        <v>12.3</v>
      </c>
      <c r="ET37" s="13">
        <v>3</v>
      </c>
      <c r="EU37" s="19">
        <f t="shared" si="140"/>
        <v>0.15000000000000002</v>
      </c>
      <c r="EV37" s="19">
        <f t="shared" si="141"/>
        <v>-35</v>
      </c>
      <c r="EW37" s="12">
        <f t="shared" si="142"/>
        <v>9.9380581604255074</v>
      </c>
      <c r="EX37" s="19">
        <f t="shared" si="143"/>
        <v>65.843333333333334</v>
      </c>
      <c r="EY37" s="19">
        <f t="shared" si="144"/>
        <v>65.843333333333334</v>
      </c>
      <c r="FB37" s="11" t="s">
        <v>37</v>
      </c>
      <c r="FC37" s="11" t="s">
        <v>37</v>
      </c>
      <c r="FD37" s="11" t="s">
        <v>37</v>
      </c>
      <c r="FE37" s="12" t="s">
        <v>37</v>
      </c>
      <c r="FF37" s="20" t="s">
        <v>37</v>
      </c>
      <c r="FG37" s="11" t="s">
        <v>37</v>
      </c>
      <c r="FI37" s="11" t="s">
        <v>37</v>
      </c>
      <c r="FJ37" s="11" t="s">
        <v>37</v>
      </c>
      <c r="FK37" s="11" t="s">
        <v>37</v>
      </c>
      <c r="FL37" s="13" t="s">
        <v>37</v>
      </c>
      <c r="FM37" s="11" t="s">
        <v>37</v>
      </c>
      <c r="FN37" s="11" t="s">
        <v>37</v>
      </c>
      <c r="FP37" s="11" t="s">
        <v>37</v>
      </c>
      <c r="FQ37" s="11" t="s">
        <v>37</v>
      </c>
      <c r="FR37" s="11" t="s">
        <v>37</v>
      </c>
      <c r="FS37" s="13" t="s">
        <v>37</v>
      </c>
      <c r="FT37" s="11" t="s">
        <v>37</v>
      </c>
      <c r="FU37" s="11" t="s">
        <v>37</v>
      </c>
      <c r="FW37" s="11" t="s">
        <v>37</v>
      </c>
      <c r="FX37" s="11" t="s">
        <v>37</v>
      </c>
      <c r="FY37" s="11" t="s">
        <v>37</v>
      </c>
      <c r="FZ37" s="13" t="s">
        <v>37</v>
      </c>
      <c r="GA37" s="11" t="s">
        <v>37</v>
      </c>
      <c r="GB37" s="11" t="s">
        <v>37</v>
      </c>
      <c r="GO37" s="12" t="s">
        <v>660</v>
      </c>
      <c r="GP37" s="12" t="s">
        <v>330</v>
      </c>
      <c r="GQ37" s="12">
        <v>12.3</v>
      </c>
      <c r="GR37" s="12">
        <v>0.2</v>
      </c>
      <c r="GS37" s="13">
        <v>3</v>
      </c>
      <c r="GT37" s="19">
        <f t="shared" si="145"/>
        <v>1.6260162601626015E-2</v>
      </c>
      <c r="GU37" s="12">
        <v>13.1</v>
      </c>
      <c r="GV37" s="12">
        <v>0.1</v>
      </c>
      <c r="GW37" s="13">
        <v>3</v>
      </c>
      <c r="GX37" s="19">
        <f t="shared" si="146"/>
        <v>7.6335877862595426E-3</v>
      </c>
      <c r="GY37" s="19">
        <f t="shared" si="118"/>
        <v>6.301296782873396E-2</v>
      </c>
      <c r="GZ37" s="19">
        <f t="shared" si="119"/>
        <v>1.0755485010728274E-4</v>
      </c>
      <c r="IK37" s="12" t="s">
        <v>37</v>
      </c>
      <c r="IL37" s="12" t="s">
        <v>37</v>
      </c>
      <c r="IM37" s="13" t="s">
        <v>37</v>
      </c>
      <c r="IO37" s="12" t="s">
        <v>37</v>
      </c>
      <c r="IP37" s="12" t="s">
        <v>37</v>
      </c>
      <c r="IQ37" s="13" t="s">
        <v>37</v>
      </c>
      <c r="IV37" s="32" t="s">
        <v>345</v>
      </c>
      <c r="IW37" s="12">
        <v>4.0999999999999996</v>
      </c>
      <c r="IX37" s="12">
        <v>0.1</v>
      </c>
      <c r="IY37" s="13">
        <v>3</v>
      </c>
      <c r="IZ37" s="19">
        <f t="shared" si="147"/>
        <v>2.4390243902439029E-2</v>
      </c>
      <c r="JH37" s="12" t="s">
        <v>37</v>
      </c>
      <c r="JI37" s="12" t="s">
        <v>37</v>
      </c>
      <c r="JJ37" s="13" t="s">
        <v>37</v>
      </c>
      <c r="JL37" s="12" t="s">
        <v>37</v>
      </c>
      <c r="JM37" s="12" t="s">
        <v>37</v>
      </c>
      <c r="JN37" s="12" t="s">
        <v>37</v>
      </c>
      <c r="JS37" s="12" t="s">
        <v>37</v>
      </c>
      <c r="JT37" s="12" t="s">
        <v>37</v>
      </c>
      <c r="JU37" s="13" t="s">
        <v>37</v>
      </c>
      <c r="JW37" s="12" t="s">
        <v>37</v>
      </c>
      <c r="JX37" s="12" t="s">
        <v>37</v>
      </c>
      <c r="JY37" s="12" t="s">
        <v>37</v>
      </c>
      <c r="KE37" s="11" t="s">
        <v>37</v>
      </c>
      <c r="KF37" s="11" t="s">
        <v>37</v>
      </c>
      <c r="KG37" s="13" t="s">
        <v>37</v>
      </c>
      <c r="KH37" s="11" t="s">
        <v>37</v>
      </c>
      <c r="KI37" s="11" t="s">
        <v>37</v>
      </c>
      <c r="KJ37" s="11" t="s">
        <v>37</v>
      </c>
      <c r="KM37" s="12" t="s">
        <v>37</v>
      </c>
      <c r="KN37" s="12" t="s">
        <v>37</v>
      </c>
      <c r="KO37" s="11" t="s">
        <v>37</v>
      </c>
      <c r="KQ37" s="12" t="s">
        <v>37</v>
      </c>
      <c r="KR37" s="12" t="s">
        <v>37</v>
      </c>
      <c r="KS37" s="13" t="s">
        <v>37</v>
      </c>
      <c r="KX37" s="12" t="s">
        <v>37</v>
      </c>
      <c r="KY37" s="12" t="s">
        <v>37</v>
      </c>
      <c r="KZ37" s="13" t="s">
        <v>37</v>
      </c>
      <c r="LB37" s="12" t="s">
        <v>37</v>
      </c>
      <c r="LC37" s="12" t="s">
        <v>37</v>
      </c>
      <c r="LD37" s="13" t="s">
        <v>37</v>
      </c>
      <c r="LI37" s="12" t="s">
        <v>37</v>
      </c>
      <c r="LJ37" s="12" t="s">
        <v>37</v>
      </c>
      <c r="LK37" s="12" t="s">
        <v>37</v>
      </c>
      <c r="LM37" s="12" t="s">
        <v>37</v>
      </c>
      <c r="LN37" s="12" t="s">
        <v>37</v>
      </c>
      <c r="LO37" s="12" t="s">
        <v>37</v>
      </c>
      <c r="LU37" s="12" t="s">
        <v>37</v>
      </c>
      <c r="LV37" s="12" t="s">
        <v>37</v>
      </c>
      <c r="LW37" s="13" t="s">
        <v>37</v>
      </c>
      <c r="LY37" s="12" t="s">
        <v>37</v>
      </c>
      <c r="LZ37" s="12" t="s">
        <v>37</v>
      </c>
      <c r="MA37" s="12" t="s">
        <v>37</v>
      </c>
      <c r="MF37" s="12" t="s">
        <v>37</v>
      </c>
      <c r="MG37" s="12" t="s">
        <v>37</v>
      </c>
      <c r="MH37" s="12" t="s">
        <v>37</v>
      </c>
      <c r="MJ37" s="12" t="s">
        <v>37</v>
      </c>
      <c r="MK37" s="12" t="s">
        <v>37</v>
      </c>
      <c r="ML37" s="12" t="s">
        <v>37</v>
      </c>
      <c r="MQ37" s="12" t="s">
        <v>37</v>
      </c>
      <c r="MR37" s="12" t="s">
        <v>37</v>
      </c>
      <c r="MS37" s="12" t="s">
        <v>37</v>
      </c>
      <c r="MU37" s="12" t="s">
        <v>37</v>
      </c>
      <c r="MV37" s="12" t="s">
        <v>37</v>
      </c>
      <c r="MW37" s="12" t="s">
        <v>37</v>
      </c>
      <c r="NC37" s="12" t="s">
        <v>37</v>
      </c>
      <c r="ND37" s="12" t="s">
        <v>37</v>
      </c>
      <c r="NE37" s="13" t="s">
        <v>37</v>
      </c>
      <c r="NG37" s="12" t="s">
        <v>37</v>
      </c>
      <c r="NH37" s="12" t="s">
        <v>37</v>
      </c>
      <c r="NI37" s="13" t="s">
        <v>37</v>
      </c>
      <c r="NO37" s="12" t="s">
        <v>37</v>
      </c>
      <c r="NP37" s="12" t="s">
        <v>37</v>
      </c>
      <c r="NQ37" s="13" t="s">
        <v>37</v>
      </c>
      <c r="NS37" s="12" t="s">
        <v>37</v>
      </c>
      <c r="NT37" s="12" t="s">
        <v>37</v>
      </c>
      <c r="NU37" s="13" t="s">
        <v>37</v>
      </c>
      <c r="OA37" s="11" t="s">
        <v>37</v>
      </c>
      <c r="OB37" s="11" t="s">
        <v>37</v>
      </c>
      <c r="OC37" s="13" t="s">
        <v>37</v>
      </c>
      <c r="OE37" s="11" t="s">
        <v>37</v>
      </c>
      <c r="OF37" s="11" t="s">
        <v>37</v>
      </c>
      <c r="OG37" s="13" t="s">
        <v>37</v>
      </c>
      <c r="OM37" s="11" t="s">
        <v>37</v>
      </c>
      <c r="ON37" s="11" t="s">
        <v>37</v>
      </c>
      <c r="OO37" s="11" t="s">
        <v>37</v>
      </c>
      <c r="OP37" s="11" t="s">
        <v>37</v>
      </c>
      <c r="OQ37" s="11" t="s">
        <v>37</v>
      </c>
      <c r="OR37" s="11" t="s">
        <v>37</v>
      </c>
      <c r="OW37" s="11" t="s">
        <v>37</v>
      </c>
      <c r="OX37" s="11" t="s">
        <v>37</v>
      </c>
      <c r="OY37" s="13" t="s">
        <v>37</v>
      </c>
      <c r="OZ37" s="11" t="s">
        <v>37</v>
      </c>
      <c r="PA37" s="11" t="s">
        <v>37</v>
      </c>
      <c r="PB37" s="13" t="s">
        <v>37</v>
      </c>
      <c r="PG37" s="11" t="s">
        <v>37</v>
      </c>
      <c r="PH37" s="11" t="s">
        <v>37</v>
      </c>
      <c r="PI37" s="13" t="s">
        <v>37</v>
      </c>
      <c r="PJ37" s="11" t="s">
        <v>37</v>
      </c>
      <c r="PK37" s="11" t="s">
        <v>37</v>
      </c>
      <c r="PL37" s="13" t="s">
        <v>37</v>
      </c>
      <c r="PQ37" s="11" t="s">
        <v>37</v>
      </c>
      <c r="PR37" s="11" t="s">
        <v>37</v>
      </c>
      <c r="PS37" s="13" t="s">
        <v>37</v>
      </c>
      <c r="PT37" s="11" t="s">
        <v>37</v>
      </c>
      <c r="PU37" s="11" t="s">
        <v>37</v>
      </c>
      <c r="PV37" s="13" t="s">
        <v>37</v>
      </c>
      <c r="PY37" s="12" t="s">
        <v>43</v>
      </c>
      <c r="PZ37" s="12">
        <v>399</v>
      </c>
      <c r="QA37" s="12">
        <f t="shared" ref="QA37:QA40" si="159">24*SQRT(3)</f>
        <v>41.569219381653056</v>
      </c>
      <c r="QB37" s="11">
        <v>3</v>
      </c>
      <c r="QC37" s="19">
        <f t="shared" si="155"/>
        <v>0.10418350722218811</v>
      </c>
      <c r="QD37" s="12">
        <v>251</v>
      </c>
      <c r="QE37" s="12">
        <f t="shared" ref="QE37" si="160">78*SQRT(3)</f>
        <v>135.09996299037243</v>
      </c>
      <c r="QF37" s="13">
        <v>3</v>
      </c>
      <c r="QG37" s="19">
        <f t="shared" si="156"/>
        <v>0.53824686450347581</v>
      </c>
      <c r="QH37" s="19">
        <f t="shared" si="148"/>
        <v>-0.46350847775807952</v>
      </c>
      <c r="QI37" s="19">
        <f t="shared" si="149"/>
        <v>0.10018796344164625</v>
      </c>
      <c r="QJ37" s="12" t="s">
        <v>43</v>
      </c>
      <c r="QK37" s="12">
        <v>568</v>
      </c>
      <c r="QL37" s="12">
        <f t="shared" si="157"/>
        <v>83.138438763306112</v>
      </c>
      <c r="QM37" s="13">
        <v>3</v>
      </c>
      <c r="QN37" s="12">
        <v>441</v>
      </c>
      <c r="QO37" s="12">
        <f t="shared" ref="QO37" si="161">96*SQRT(3)</f>
        <v>166.27687752661222</v>
      </c>
      <c r="QP37" s="13">
        <v>3</v>
      </c>
      <c r="QQ37" s="19">
        <f t="shared" si="158"/>
        <v>-0.25307654327430534</v>
      </c>
      <c r="QR37" s="19">
        <f t="shared" si="150"/>
        <v>5.452910273845081E-2</v>
      </c>
      <c r="QU37" s="11" t="s">
        <v>37</v>
      </c>
      <c r="QV37" s="11" t="s">
        <v>37</v>
      </c>
      <c r="QW37" s="13" t="s">
        <v>37</v>
      </c>
      <c r="QX37" s="11" t="s">
        <v>37</v>
      </c>
      <c r="QY37" s="11" t="s">
        <v>37</v>
      </c>
      <c r="QZ37" s="13" t="s">
        <v>37</v>
      </c>
      <c r="RC37" s="12" t="s">
        <v>37</v>
      </c>
      <c r="RD37" s="12" t="s">
        <v>37</v>
      </c>
      <c r="RE37" s="13" t="s">
        <v>37</v>
      </c>
      <c r="RF37" s="12" t="s">
        <v>37</v>
      </c>
      <c r="RG37" s="12" t="s">
        <v>37</v>
      </c>
      <c r="RH37" s="13" t="s">
        <v>37</v>
      </c>
      <c r="RK37" s="11" t="s">
        <v>37</v>
      </c>
      <c r="RL37" s="11" t="s">
        <v>37</v>
      </c>
      <c r="RM37" s="11" t="s">
        <v>37</v>
      </c>
      <c r="RN37" s="11" t="s">
        <v>37</v>
      </c>
      <c r="RO37" s="11" t="s">
        <v>37</v>
      </c>
      <c r="RP37" s="11" t="s">
        <v>37</v>
      </c>
      <c r="RS37" s="11" t="s">
        <v>37</v>
      </c>
      <c r="RT37" s="11" t="s">
        <v>37</v>
      </c>
      <c r="RU37" s="11" t="s">
        <v>37</v>
      </c>
      <c r="RV37" s="11" t="s">
        <v>37</v>
      </c>
      <c r="RW37" s="11" t="s">
        <v>37</v>
      </c>
      <c r="RX37" s="11" t="s">
        <v>37</v>
      </c>
      <c r="SA37" s="11" t="s">
        <v>37</v>
      </c>
      <c r="SB37" s="11" t="s">
        <v>37</v>
      </c>
      <c r="SC37" s="13" t="s">
        <v>37</v>
      </c>
      <c r="SD37" s="11" t="s">
        <v>37</v>
      </c>
      <c r="SE37" s="11" t="s">
        <v>37</v>
      </c>
      <c r="SF37" s="13" t="s">
        <v>37</v>
      </c>
      <c r="SI37" s="12" t="s">
        <v>37</v>
      </c>
      <c r="SJ37" s="11" t="s">
        <v>37</v>
      </c>
      <c r="SK37" s="13" t="s">
        <v>37</v>
      </c>
      <c r="SM37" s="11" t="s">
        <v>37</v>
      </c>
      <c r="SN37" s="11" t="s">
        <v>37</v>
      </c>
      <c r="SO37" s="13" t="s">
        <v>37</v>
      </c>
      <c r="SU37" s="12" t="s">
        <v>37</v>
      </c>
      <c r="SV37" s="12" t="s">
        <v>37</v>
      </c>
      <c r="SW37" s="11" t="s">
        <v>37</v>
      </c>
      <c r="SX37" s="12" t="s">
        <v>37</v>
      </c>
      <c r="SY37" s="12" t="s">
        <v>37</v>
      </c>
      <c r="SZ37" s="11" t="s">
        <v>37</v>
      </c>
      <c r="TE37" s="12" t="s">
        <v>37</v>
      </c>
      <c r="TF37" s="12" t="s">
        <v>37</v>
      </c>
      <c r="TG37" s="11" t="s">
        <v>37</v>
      </c>
      <c r="TH37" s="12" t="s">
        <v>37</v>
      </c>
      <c r="TI37" s="12" t="s">
        <v>37</v>
      </c>
      <c r="TJ37" s="11" t="s">
        <v>37</v>
      </c>
      <c r="TO37" s="12" t="s">
        <v>37</v>
      </c>
      <c r="TP37" s="12" t="s">
        <v>37</v>
      </c>
      <c r="TQ37" s="11" t="s">
        <v>37</v>
      </c>
      <c r="TR37" s="12" t="s">
        <v>37</v>
      </c>
      <c r="TS37" s="12" t="s">
        <v>37</v>
      </c>
      <c r="TT37" s="11" t="s">
        <v>37</v>
      </c>
      <c r="TY37" s="12" t="s">
        <v>37</v>
      </c>
      <c r="TZ37" s="12" t="s">
        <v>37</v>
      </c>
      <c r="UA37" s="11" t="s">
        <v>37</v>
      </c>
      <c r="UB37" s="12" t="s">
        <v>37</v>
      </c>
      <c r="UC37" s="12" t="s">
        <v>37</v>
      </c>
      <c r="UD37" s="11" t="s">
        <v>37</v>
      </c>
      <c r="UI37" s="12" t="s">
        <v>37</v>
      </c>
      <c r="UJ37" s="12" t="s">
        <v>37</v>
      </c>
      <c r="UK37" s="13" t="s">
        <v>37</v>
      </c>
      <c r="UL37" s="12" t="s">
        <v>37</v>
      </c>
      <c r="UM37" s="12" t="s">
        <v>37</v>
      </c>
      <c r="UN37" s="13" t="s">
        <v>37</v>
      </c>
      <c r="UR37" s="12" t="s">
        <v>37</v>
      </c>
      <c r="US37" s="12" t="s">
        <v>37</v>
      </c>
      <c r="UT37" s="13" t="s">
        <v>37</v>
      </c>
      <c r="UU37" s="12" t="s">
        <v>37</v>
      </c>
      <c r="UV37" s="12" t="s">
        <v>37</v>
      </c>
      <c r="UW37" s="13" t="s">
        <v>37</v>
      </c>
      <c r="VB37" s="12" t="s">
        <v>37</v>
      </c>
      <c r="VC37" s="12" t="s">
        <v>37</v>
      </c>
      <c r="VD37" s="13" t="s">
        <v>37</v>
      </c>
      <c r="VE37" s="12" t="s">
        <v>37</v>
      </c>
      <c r="VF37" s="12" t="s">
        <v>37</v>
      </c>
      <c r="VG37" s="13" t="s">
        <v>37</v>
      </c>
      <c r="VI37" s="12" t="s">
        <v>37</v>
      </c>
      <c r="VJ37" s="12" t="s">
        <v>37</v>
      </c>
      <c r="VK37" s="13" t="s">
        <v>37</v>
      </c>
      <c r="VL37" s="12" t="s">
        <v>37</v>
      </c>
      <c r="VM37" s="12" t="s">
        <v>37</v>
      </c>
      <c r="VN37" s="13" t="s">
        <v>37</v>
      </c>
      <c r="VO37" s="12" t="s">
        <v>37</v>
      </c>
      <c r="VQ37" s="12" t="s">
        <v>37</v>
      </c>
      <c r="VR37" s="12" t="s">
        <v>37</v>
      </c>
      <c r="VS37" s="12" t="s">
        <v>37</v>
      </c>
      <c r="VT37" s="12" t="s">
        <v>37</v>
      </c>
      <c r="VU37" s="12" t="s">
        <v>37</v>
      </c>
      <c r="VV37" s="12" t="s">
        <v>37</v>
      </c>
      <c r="VW37" s="12"/>
      <c r="VX37" s="12"/>
      <c r="WA37" s="13" t="s">
        <v>37</v>
      </c>
      <c r="WB37" s="13" t="s">
        <v>37</v>
      </c>
      <c r="WC37" s="13" t="s">
        <v>37</v>
      </c>
      <c r="WD37" s="13" t="s">
        <v>37</v>
      </c>
      <c r="WE37" s="13" t="s">
        <v>37</v>
      </c>
      <c r="WF37" s="13" t="s">
        <v>37</v>
      </c>
    </row>
    <row r="38" spans="1:604" ht="18" customHeight="1" x14ac:dyDescent="0.4">
      <c r="A38" s="11">
        <v>11</v>
      </c>
      <c r="B38" s="12" t="s">
        <v>109</v>
      </c>
      <c r="C38" s="12" t="s">
        <v>26</v>
      </c>
      <c r="D38" s="12" t="s">
        <v>973</v>
      </c>
      <c r="E38" s="81">
        <v>4.5</v>
      </c>
      <c r="F38" s="14">
        <v>0</v>
      </c>
      <c r="G38" s="14">
        <v>0</v>
      </c>
      <c r="H38" s="12" t="s">
        <v>91</v>
      </c>
      <c r="I38" s="29">
        <v>55.35</v>
      </c>
      <c r="J38" s="29">
        <v>-112.517</v>
      </c>
      <c r="K38" s="12" t="s">
        <v>696</v>
      </c>
      <c r="L38" s="12" t="s">
        <v>697</v>
      </c>
      <c r="M38" s="13" t="s">
        <v>37</v>
      </c>
      <c r="N38" s="14">
        <v>2.1</v>
      </c>
      <c r="O38" s="14">
        <v>504</v>
      </c>
      <c r="P38" s="14" t="s">
        <v>84</v>
      </c>
      <c r="Q38" s="75">
        <v>12</v>
      </c>
      <c r="R38" s="11" t="s">
        <v>999</v>
      </c>
      <c r="S38" s="12" t="s">
        <v>93</v>
      </c>
      <c r="T38" s="12" t="s">
        <v>141</v>
      </c>
      <c r="U38" s="12" t="s">
        <v>163</v>
      </c>
      <c r="V38" s="12" t="s">
        <v>275</v>
      </c>
      <c r="W38" s="23" t="s">
        <v>499</v>
      </c>
      <c r="X38" s="12" t="s">
        <v>282</v>
      </c>
      <c r="Y38" s="12" t="s">
        <v>69</v>
      </c>
      <c r="Z38" s="12" t="s">
        <v>37</v>
      </c>
      <c r="AA38" s="32" t="s">
        <v>345</v>
      </c>
      <c r="AB38" s="12">
        <v>4.0999999999999996</v>
      </c>
      <c r="AE38" s="12" t="s">
        <v>37</v>
      </c>
      <c r="AH38" s="12" t="s">
        <v>37</v>
      </c>
      <c r="AK38" s="12" t="s">
        <v>37</v>
      </c>
      <c r="AL38" s="32" t="s">
        <v>497</v>
      </c>
      <c r="AM38" s="12" t="s">
        <v>317</v>
      </c>
      <c r="AN38" s="32" t="s">
        <v>879</v>
      </c>
      <c r="AO38" s="12" t="s">
        <v>29</v>
      </c>
      <c r="AP38" s="12" t="s">
        <v>108</v>
      </c>
      <c r="AQ38" s="12" t="s">
        <v>975</v>
      </c>
      <c r="AT38" s="12" t="s">
        <v>326</v>
      </c>
      <c r="AU38" s="12" t="s">
        <v>326</v>
      </c>
      <c r="AV38" s="13" t="s">
        <v>326</v>
      </c>
      <c r="AX38" s="12" t="s">
        <v>326</v>
      </c>
      <c r="AY38" s="12" t="s">
        <v>326</v>
      </c>
      <c r="AZ38" s="13" t="s">
        <v>326</v>
      </c>
      <c r="BE38" s="12" t="s">
        <v>326</v>
      </c>
      <c r="BF38" s="12" t="s">
        <v>326</v>
      </c>
      <c r="BG38" s="12" t="s">
        <v>326</v>
      </c>
      <c r="BI38" s="12" t="s">
        <v>326</v>
      </c>
      <c r="BJ38" s="12" t="s">
        <v>326</v>
      </c>
      <c r="BK38" s="12" t="s">
        <v>326</v>
      </c>
      <c r="BP38" s="12" t="s">
        <v>37</v>
      </c>
      <c r="BQ38" s="12" t="s">
        <v>37</v>
      </c>
      <c r="BR38" s="13" t="s">
        <v>37</v>
      </c>
      <c r="BT38" s="12" t="s">
        <v>37</v>
      </c>
      <c r="BU38" s="12" t="s">
        <v>37</v>
      </c>
      <c r="BV38" s="12" t="s">
        <v>37</v>
      </c>
      <c r="BZ38" s="12" t="s">
        <v>581</v>
      </c>
      <c r="CA38" s="12">
        <f>-228*10^4/10^3*44/12/'[6]classess-1'!$T$63</f>
        <v>-10940.677674415452</v>
      </c>
      <c r="CB38" s="15">
        <f>CB37</f>
        <v>3587.5182834567399</v>
      </c>
      <c r="CC38" s="18">
        <v>3</v>
      </c>
      <c r="CD38" s="19">
        <f t="shared" si="123"/>
        <v>0.32790640490635026</v>
      </c>
      <c r="CE38" s="15">
        <f>-333*10^4/10^3*44/12/'[6]classess-1'!$T$64</f>
        <v>-13155.401355723083</v>
      </c>
      <c r="CF38" s="15">
        <f>75*SQRT(3)*10^4/10^3*44/12</f>
        <v>4763.1397208144126</v>
      </c>
      <c r="CG38" s="18">
        <v>3</v>
      </c>
      <c r="CH38" s="19">
        <f t="shared" si="124"/>
        <v>0.3620672294230135</v>
      </c>
      <c r="CI38" s="75">
        <f t="shared" si="125"/>
        <v>-2214.7236813076306</v>
      </c>
      <c r="CJ38" s="12">
        <f t="shared" si="151"/>
        <v>4216.5025456020057</v>
      </c>
      <c r="CK38" s="72">
        <f t="shared" si="126"/>
        <v>11852595.811378796</v>
      </c>
      <c r="CL38" s="72">
        <f t="shared" si="127"/>
        <v>11852595.811378799</v>
      </c>
      <c r="CM38" s="12" t="s">
        <v>581</v>
      </c>
      <c r="CN38" s="12">
        <f>216*10^4/10^3*44/12/'[6]classess-1'!$I$63</f>
        <v>12156.97609983556</v>
      </c>
      <c r="CO38" s="15">
        <f>CO37</f>
        <v>3352.7816659818532</v>
      </c>
      <c r="CP38" s="18">
        <v>3</v>
      </c>
      <c r="CQ38" s="19">
        <f t="shared" si="128"/>
        <v>0.275790759021662</v>
      </c>
      <c r="CR38" s="15">
        <f>351*10^4/10^3*44/12/'[6]classess-1'!$I$64</f>
        <v>16131.458608233776</v>
      </c>
      <c r="CS38" s="15">
        <f>SQRT((1/[7]Classess!$I$64)^2*(96*SQRT(3)*10^4/10^3*44/12)^2+(-CR38/([7]Classess!$I$64)^2)^2*([7]Classess!$J$64)^2)</f>
        <v>7799.7123045882036</v>
      </c>
      <c r="CT38" s="18">
        <v>3</v>
      </c>
      <c r="CU38" s="19">
        <f t="shared" si="129"/>
        <v>0.48350942676734115</v>
      </c>
      <c r="CV38" s="75">
        <f t="shared" si="130"/>
        <v>3974.4825083982159</v>
      </c>
      <c r="CW38" s="12">
        <f t="shared" si="152"/>
        <v>6003.1931892155808</v>
      </c>
      <c r="CX38" s="72">
        <f t="shared" si="131"/>
        <v>24025552.311362892</v>
      </c>
      <c r="CY38" s="72">
        <f t="shared" si="132"/>
        <v>24025552.311362892</v>
      </c>
      <c r="CZ38" s="12" t="s">
        <v>581</v>
      </c>
      <c r="DA38" s="12">
        <f t="shared" si="153"/>
        <v>1216.2984254201074</v>
      </c>
      <c r="DB38" s="15">
        <f>DB37</f>
        <v>2060.9133169618808</v>
      </c>
      <c r="DC38" s="18">
        <v>3</v>
      </c>
      <c r="DD38" s="19">
        <f t="shared" si="133"/>
        <v>1.6944141946496765</v>
      </c>
      <c r="DE38" s="12">
        <f t="shared" si="154"/>
        <v>2976.0572525106927</v>
      </c>
      <c r="DF38" s="15">
        <f>SQRT((1/[7]Classess!$I$18)^2*(13*SQRT(3)*10^4/10^3*44/12)^2+(-DE38/([7]Classess!$I$18)^2)^2*([7]Classess!$J$18)^2)</f>
        <v>692.55442504565758</v>
      </c>
      <c r="DG38" s="18">
        <v>3</v>
      </c>
      <c r="DH38" s="19">
        <f t="shared" si="134"/>
        <v>0.23270870359143714</v>
      </c>
      <c r="DI38" s="19">
        <f t="shared" si="135"/>
        <v>1759.7588270905853</v>
      </c>
      <c r="DJ38" s="12">
        <f t="shared" si="136"/>
        <v>1537.3671213605978</v>
      </c>
      <c r="DK38" s="72">
        <f t="shared" si="137"/>
        <v>1575665.1105603809</v>
      </c>
      <c r="DL38" s="72">
        <f t="shared" si="138"/>
        <v>1575665.1105603809</v>
      </c>
      <c r="DM38" s="15"/>
      <c r="DN38" s="52" t="s">
        <v>37</v>
      </c>
      <c r="DO38" s="15" t="s">
        <v>37</v>
      </c>
      <c r="DP38" s="18" t="s">
        <v>37</v>
      </c>
      <c r="DQ38" s="52"/>
      <c r="DR38" s="52" t="s">
        <v>37</v>
      </c>
      <c r="DS38" s="15" t="s">
        <v>37</v>
      </c>
      <c r="DT38" s="18" t="s">
        <v>37</v>
      </c>
      <c r="DU38" s="52"/>
      <c r="DV38" s="52"/>
      <c r="DW38" s="52"/>
      <c r="DZ38" s="15"/>
      <c r="EA38" s="52" t="s">
        <v>37</v>
      </c>
      <c r="EB38" s="52" t="s">
        <v>37</v>
      </c>
      <c r="EC38" s="73" t="s">
        <v>37</v>
      </c>
      <c r="ED38" s="52"/>
      <c r="EE38" s="52" t="s">
        <v>37</v>
      </c>
      <c r="EF38" s="52" t="s">
        <v>37</v>
      </c>
      <c r="EG38" s="15" t="s">
        <v>37</v>
      </c>
      <c r="EH38" s="52"/>
      <c r="EI38" s="52"/>
      <c r="EJ38" s="52"/>
      <c r="EK38" s="52"/>
      <c r="EL38" s="52"/>
      <c r="EM38" s="12" t="s">
        <v>39</v>
      </c>
      <c r="EN38" s="12">
        <f>EN36-9</f>
        <v>-47</v>
      </c>
      <c r="EO38" s="12">
        <v>6.8</v>
      </c>
      <c r="EP38" s="13">
        <v>3</v>
      </c>
      <c r="EQ38" s="19">
        <f t="shared" si="139"/>
        <v>0.14468085106382977</v>
      </c>
      <c r="ER38" s="12">
        <f>ER36-8</f>
        <v>-120</v>
      </c>
      <c r="ES38" s="12">
        <v>11.8</v>
      </c>
      <c r="ET38" s="13">
        <v>3</v>
      </c>
      <c r="EU38" s="19">
        <f t="shared" si="140"/>
        <v>9.8333333333333342E-2</v>
      </c>
      <c r="EV38" s="19">
        <f t="shared" si="141"/>
        <v>-73</v>
      </c>
      <c r="EW38" s="12">
        <f t="shared" si="142"/>
        <v>9.630160954002795</v>
      </c>
      <c r="EX38" s="19">
        <f t="shared" si="143"/>
        <v>61.826666666666668</v>
      </c>
      <c r="EY38" s="19">
        <f t="shared" si="144"/>
        <v>61.826666666666668</v>
      </c>
      <c r="FB38" s="11" t="s">
        <v>37</v>
      </c>
      <c r="FC38" s="11" t="s">
        <v>37</v>
      </c>
      <c r="FD38" s="11" t="s">
        <v>37</v>
      </c>
      <c r="FE38" s="12" t="s">
        <v>37</v>
      </c>
      <c r="FF38" s="20" t="s">
        <v>37</v>
      </c>
      <c r="FG38" s="11" t="s">
        <v>37</v>
      </c>
      <c r="FI38" s="11" t="s">
        <v>37</v>
      </c>
      <c r="FJ38" s="11" t="s">
        <v>37</v>
      </c>
      <c r="FK38" s="11" t="s">
        <v>37</v>
      </c>
      <c r="FL38" s="13" t="s">
        <v>37</v>
      </c>
      <c r="FM38" s="11" t="s">
        <v>37</v>
      </c>
      <c r="FN38" s="11" t="s">
        <v>37</v>
      </c>
      <c r="FP38" s="11" t="s">
        <v>37</v>
      </c>
      <c r="FQ38" s="11" t="s">
        <v>37</v>
      </c>
      <c r="FR38" s="11" t="s">
        <v>37</v>
      </c>
      <c r="FS38" s="13" t="s">
        <v>37</v>
      </c>
      <c r="FT38" s="11" t="s">
        <v>37</v>
      </c>
      <c r="FU38" s="11" t="s">
        <v>37</v>
      </c>
      <c r="FW38" s="11" t="s">
        <v>37</v>
      </c>
      <c r="FX38" s="11" t="s">
        <v>37</v>
      </c>
      <c r="FY38" s="11" t="s">
        <v>37</v>
      </c>
      <c r="FZ38" s="13" t="s">
        <v>37</v>
      </c>
      <c r="GA38" s="11" t="s">
        <v>37</v>
      </c>
      <c r="GB38" s="11" t="s">
        <v>37</v>
      </c>
      <c r="GO38" s="12" t="s">
        <v>660</v>
      </c>
      <c r="GP38" s="12" t="s">
        <v>330</v>
      </c>
      <c r="GQ38" s="12">
        <v>12.3</v>
      </c>
      <c r="GR38" s="12">
        <v>0.2</v>
      </c>
      <c r="GS38" s="13">
        <v>3</v>
      </c>
      <c r="GT38" s="19">
        <f t="shared" si="145"/>
        <v>1.6260162601626015E-2</v>
      </c>
      <c r="GU38" s="12">
        <v>13.7</v>
      </c>
      <c r="GV38" s="12">
        <v>0.1</v>
      </c>
      <c r="GW38" s="13">
        <v>3</v>
      </c>
      <c r="GX38" s="19">
        <f t="shared" si="146"/>
        <v>7.2992700729927014E-3</v>
      </c>
      <c r="GY38" s="19">
        <f t="shared" ref="GY38:GY55" si="162">LN(GU38/GQ38)</f>
        <v>0.10779657045570738</v>
      </c>
      <c r="GZ38" s="19">
        <f t="shared" si="119"/>
        <v>1.0589074380993474E-4</v>
      </c>
      <c r="HA38" s="12"/>
      <c r="HB38" s="32"/>
      <c r="HM38" s="32"/>
      <c r="IK38" s="12" t="s">
        <v>37</v>
      </c>
      <c r="IL38" s="12" t="s">
        <v>37</v>
      </c>
      <c r="IM38" s="13" t="s">
        <v>37</v>
      </c>
      <c r="IO38" s="12" t="s">
        <v>37</v>
      </c>
      <c r="IP38" s="12" t="s">
        <v>37</v>
      </c>
      <c r="IQ38" s="13" t="s">
        <v>37</v>
      </c>
      <c r="IV38" s="32" t="s">
        <v>345</v>
      </c>
      <c r="IW38" s="12">
        <v>4.0999999999999996</v>
      </c>
      <c r="IX38" s="12">
        <v>0.1</v>
      </c>
      <c r="IY38" s="13">
        <v>3</v>
      </c>
      <c r="IZ38" s="19">
        <f t="shared" si="147"/>
        <v>2.4390243902439029E-2</v>
      </c>
      <c r="JH38" s="12" t="s">
        <v>37</v>
      </c>
      <c r="JI38" s="12" t="s">
        <v>37</v>
      </c>
      <c r="JJ38" s="13" t="s">
        <v>37</v>
      </c>
      <c r="JL38" s="12" t="s">
        <v>37</v>
      </c>
      <c r="JM38" s="12" t="s">
        <v>37</v>
      </c>
      <c r="JN38" s="12" t="s">
        <v>37</v>
      </c>
      <c r="JS38" s="12" t="s">
        <v>37</v>
      </c>
      <c r="JT38" s="12" t="s">
        <v>37</v>
      </c>
      <c r="JU38" s="13" t="s">
        <v>37</v>
      </c>
      <c r="JW38" s="12" t="s">
        <v>37</v>
      </c>
      <c r="JX38" s="12" t="s">
        <v>37</v>
      </c>
      <c r="JY38" s="12" t="s">
        <v>37</v>
      </c>
      <c r="KE38" s="11" t="s">
        <v>37</v>
      </c>
      <c r="KF38" s="11" t="s">
        <v>37</v>
      </c>
      <c r="KG38" s="13" t="s">
        <v>37</v>
      </c>
      <c r="KH38" s="11" t="s">
        <v>37</v>
      </c>
      <c r="KI38" s="11" t="s">
        <v>37</v>
      </c>
      <c r="KJ38" s="11" t="s">
        <v>37</v>
      </c>
      <c r="KM38" s="12" t="s">
        <v>37</v>
      </c>
      <c r="KN38" s="12" t="s">
        <v>37</v>
      </c>
      <c r="KO38" s="11" t="s">
        <v>37</v>
      </c>
      <c r="KQ38" s="12" t="s">
        <v>37</v>
      </c>
      <c r="KR38" s="12" t="s">
        <v>37</v>
      </c>
      <c r="KS38" s="13" t="s">
        <v>37</v>
      </c>
      <c r="KX38" s="12" t="s">
        <v>37</v>
      </c>
      <c r="KY38" s="12" t="s">
        <v>37</v>
      </c>
      <c r="KZ38" s="13" t="s">
        <v>37</v>
      </c>
      <c r="LB38" s="12" t="s">
        <v>37</v>
      </c>
      <c r="LC38" s="12" t="s">
        <v>37</v>
      </c>
      <c r="LD38" s="13" t="s">
        <v>37</v>
      </c>
      <c r="LI38" s="12" t="s">
        <v>37</v>
      </c>
      <c r="LJ38" s="12" t="s">
        <v>37</v>
      </c>
      <c r="LK38" s="12" t="s">
        <v>37</v>
      </c>
      <c r="LM38" s="12" t="s">
        <v>37</v>
      </c>
      <c r="LN38" s="12" t="s">
        <v>37</v>
      </c>
      <c r="LO38" s="12" t="s">
        <v>37</v>
      </c>
      <c r="LU38" s="12" t="s">
        <v>37</v>
      </c>
      <c r="LV38" s="12" t="s">
        <v>37</v>
      </c>
      <c r="LW38" s="13" t="s">
        <v>37</v>
      </c>
      <c r="LY38" s="12" t="s">
        <v>37</v>
      </c>
      <c r="LZ38" s="12" t="s">
        <v>37</v>
      </c>
      <c r="MA38" s="12" t="s">
        <v>37</v>
      </c>
      <c r="MF38" s="12" t="s">
        <v>37</v>
      </c>
      <c r="MG38" s="12" t="s">
        <v>37</v>
      </c>
      <c r="MH38" s="12" t="s">
        <v>37</v>
      </c>
      <c r="MJ38" s="12" t="s">
        <v>37</v>
      </c>
      <c r="MK38" s="12" t="s">
        <v>37</v>
      </c>
      <c r="ML38" s="12" t="s">
        <v>37</v>
      </c>
      <c r="MQ38" s="12" t="s">
        <v>37</v>
      </c>
      <c r="MR38" s="12" t="s">
        <v>37</v>
      </c>
      <c r="MS38" s="12" t="s">
        <v>37</v>
      </c>
      <c r="MU38" s="12" t="s">
        <v>37</v>
      </c>
      <c r="MV38" s="12" t="s">
        <v>37</v>
      </c>
      <c r="MW38" s="12" t="s">
        <v>37</v>
      </c>
      <c r="NC38" s="12" t="s">
        <v>37</v>
      </c>
      <c r="ND38" s="12" t="s">
        <v>37</v>
      </c>
      <c r="NE38" s="13" t="s">
        <v>37</v>
      </c>
      <c r="NG38" s="12" t="s">
        <v>37</v>
      </c>
      <c r="NH38" s="12" t="s">
        <v>37</v>
      </c>
      <c r="NI38" s="13" t="s">
        <v>37</v>
      </c>
      <c r="NO38" s="12" t="s">
        <v>37</v>
      </c>
      <c r="NP38" s="12" t="s">
        <v>37</v>
      </c>
      <c r="NQ38" s="13" t="s">
        <v>37</v>
      </c>
      <c r="NS38" s="12" t="s">
        <v>37</v>
      </c>
      <c r="NT38" s="12" t="s">
        <v>37</v>
      </c>
      <c r="NU38" s="13" t="s">
        <v>37</v>
      </c>
      <c r="OA38" s="11" t="s">
        <v>37</v>
      </c>
      <c r="OB38" s="11" t="s">
        <v>37</v>
      </c>
      <c r="OC38" s="13" t="s">
        <v>37</v>
      </c>
      <c r="OE38" s="11" t="s">
        <v>37</v>
      </c>
      <c r="OF38" s="11" t="s">
        <v>37</v>
      </c>
      <c r="OG38" s="13" t="s">
        <v>37</v>
      </c>
      <c r="OM38" s="11" t="s">
        <v>37</v>
      </c>
      <c r="ON38" s="11" t="s">
        <v>37</v>
      </c>
      <c r="OO38" s="11" t="s">
        <v>37</v>
      </c>
      <c r="OP38" s="11" t="s">
        <v>37</v>
      </c>
      <c r="OQ38" s="11" t="s">
        <v>37</v>
      </c>
      <c r="OR38" s="11" t="s">
        <v>37</v>
      </c>
      <c r="OW38" s="11" t="s">
        <v>37</v>
      </c>
      <c r="OX38" s="11" t="s">
        <v>37</v>
      </c>
      <c r="OY38" s="13" t="s">
        <v>37</v>
      </c>
      <c r="OZ38" s="11" t="s">
        <v>37</v>
      </c>
      <c r="PA38" s="11" t="s">
        <v>37</v>
      </c>
      <c r="PB38" s="13" t="s">
        <v>37</v>
      </c>
      <c r="PG38" s="11" t="s">
        <v>37</v>
      </c>
      <c r="PH38" s="11" t="s">
        <v>37</v>
      </c>
      <c r="PI38" s="13" t="s">
        <v>37</v>
      </c>
      <c r="PJ38" s="11" t="s">
        <v>37</v>
      </c>
      <c r="PK38" s="11" t="s">
        <v>37</v>
      </c>
      <c r="PL38" s="13" t="s">
        <v>37</v>
      </c>
      <c r="PQ38" s="11" t="s">
        <v>37</v>
      </c>
      <c r="PR38" s="11" t="s">
        <v>37</v>
      </c>
      <c r="PS38" s="13" t="s">
        <v>37</v>
      </c>
      <c r="PT38" s="11" t="s">
        <v>37</v>
      </c>
      <c r="PU38" s="11" t="s">
        <v>37</v>
      </c>
      <c r="PV38" s="13" t="s">
        <v>37</v>
      </c>
      <c r="PY38" s="12" t="s">
        <v>43</v>
      </c>
      <c r="PZ38" s="12">
        <v>399</v>
      </c>
      <c r="QA38" s="12">
        <f t="shared" si="159"/>
        <v>41.569219381653056</v>
      </c>
      <c r="QB38" s="11">
        <v>3</v>
      </c>
      <c r="QC38" s="19">
        <f t="shared" si="155"/>
        <v>0.10418350722218811</v>
      </c>
      <c r="QD38" s="12">
        <v>643</v>
      </c>
      <c r="QE38" s="12">
        <f t="shared" ref="QE38" si="163">18*SQRT(3)</f>
        <v>31.176914536239789</v>
      </c>
      <c r="QF38" s="13">
        <v>3</v>
      </c>
      <c r="QG38" s="19">
        <f t="shared" si="156"/>
        <v>4.848664780130605E-2</v>
      </c>
      <c r="QH38" s="19">
        <f t="shared" si="148"/>
        <v>0.47718330734775594</v>
      </c>
      <c r="QI38" s="19">
        <f t="shared" si="149"/>
        <v>4.4017193973745396E-3</v>
      </c>
      <c r="QJ38" s="12" t="s">
        <v>43</v>
      </c>
      <c r="QK38" s="12">
        <v>568</v>
      </c>
      <c r="QL38" s="12">
        <f t="shared" si="157"/>
        <v>83.138438763306112</v>
      </c>
      <c r="QM38" s="13">
        <v>3</v>
      </c>
      <c r="QN38" s="12">
        <v>925</v>
      </c>
      <c r="QO38" s="12">
        <f t="shared" ref="QO38" si="164">247*SQRT(3)</f>
        <v>427.81654946951267</v>
      </c>
      <c r="QP38" s="13">
        <v>3</v>
      </c>
      <c r="QQ38" s="19">
        <f t="shared" si="158"/>
        <v>0.48767231879127393</v>
      </c>
      <c r="QR38" s="19">
        <f t="shared" si="150"/>
        <v>7.8444873353331016E-2</v>
      </c>
      <c r="QU38" s="11" t="s">
        <v>37</v>
      </c>
      <c r="QV38" s="11" t="s">
        <v>37</v>
      </c>
      <c r="QW38" s="13" t="s">
        <v>37</v>
      </c>
      <c r="QX38" s="11" t="s">
        <v>37</v>
      </c>
      <c r="QY38" s="11" t="s">
        <v>37</v>
      </c>
      <c r="QZ38" s="13" t="s">
        <v>37</v>
      </c>
      <c r="RC38" s="12" t="s">
        <v>37</v>
      </c>
      <c r="RD38" s="12" t="s">
        <v>37</v>
      </c>
      <c r="RE38" s="13" t="s">
        <v>37</v>
      </c>
      <c r="RF38" s="12" t="s">
        <v>37</v>
      </c>
      <c r="RG38" s="12" t="s">
        <v>37</v>
      </c>
      <c r="RH38" s="13" t="s">
        <v>37</v>
      </c>
      <c r="RK38" s="11" t="s">
        <v>37</v>
      </c>
      <c r="RL38" s="11" t="s">
        <v>37</v>
      </c>
      <c r="RM38" s="11" t="s">
        <v>37</v>
      </c>
      <c r="RN38" s="11" t="s">
        <v>37</v>
      </c>
      <c r="RO38" s="11" t="s">
        <v>37</v>
      </c>
      <c r="RP38" s="11" t="s">
        <v>37</v>
      </c>
      <c r="RS38" s="11" t="s">
        <v>37</v>
      </c>
      <c r="RT38" s="11" t="s">
        <v>37</v>
      </c>
      <c r="RU38" s="11" t="s">
        <v>37</v>
      </c>
      <c r="RV38" s="11" t="s">
        <v>37</v>
      </c>
      <c r="RW38" s="11" t="s">
        <v>37</v>
      </c>
      <c r="RX38" s="11" t="s">
        <v>37</v>
      </c>
      <c r="SA38" s="11" t="s">
        <v>37</v>
      </c>
      <c r="SB38" s="11" t="s">
        <v>37</v>
      </c>
      <c r="SC38" s="13" t="s">
        <v>37</v>
      </c>
      <c r="SD38" s="11" t="s">
        <v>37</v>
      </c>
      <c r="SE38" s="11" t="s">
        <v>37</v>
      </c>
      <c r="SF38" s="13" t="s">
        <v>37</v>
      </c>
      <c r="SI38" s="12" t="s">
        <v>37</v>
      </c>
      <c r="SJ38" s="11" t="s">
        <v>37</v>
      </c>
      <c r="SK38" s="13" t="s">
        <v>37</v>
      </c>
      <c r="SM38" s="11" t="s">
        <v>37</v>
      </c>
      <c r="SN38" s="11" t="s">
        <v>37</v>
      </c>
      <c r="SO38" s="13" t="s">
        <v>37</v>
      </c>
      <c r="SU38" s="12" t="s">
        <v>37</v>
      </c>
      <c r="SV38" s="12" t="s">
        <v>37</v>
      </c>
      <c r="SW38" s="11" t="s">
        <v>37</v>
      </c>
      <c r="SX38" s="12" t="s">
        <v>37</v>
      </c>
      <c r="SY38" s="12" t="s">
        <v>37</v>
      </c>
      <c r="SZ38" s="11" t="s">
        <v>37</v>
      </c>
      <c r="TE38" s="12" t="s">
        <v>37</v>
      </c>
      <c r="TF38" s="12" t="s">
        <v>37</v>
      </c>
      <c r="TG38" s="11" t="s">
        <v>37</v>
      </c>
      <c r="TH38" s="12" t="s">
        <v>37</v>
      </c>
      <c r="TI38" s="12" t="s">
        <v>37</v>
      </c>
      <c r="TJ38" s="11" t="s">
        <v>37</v>
      </c>
      <c r="TO38" s="12" t="s">
        <v>37</v>
      </c>
      <c r="TP38" s="12" t="s">
        <v>37</v>
      </c>
      <c r="TQ38" s="11" t="s">
        <v>37</v>
      </c>
      <c r="TR38" s="12" t="s">
        <v>37</v>
      </c>
      <c r="TS38" s="12" t="s">
        <v>37</v>
      </c>
      <c r="TT38" s="11" t="s">
        <v>37</v>
      </c>
      <c r="TY38" s="12" t="s">
        <v>37</v>
      </c>
      <c r="TZ38" s="12" t="s">
        <v>37</v>
      </c>
      <c r="UA38" s="11" t="s">
        <v>37</v>
      </c>
      <c r="UB38" s="12" t="s">
        <v>37</v>
      </c>
      <c r="UC38" s="12" t="s">
        <v>37</v>
      </c>
      <c r="UD38" s="11" t="s">
        <v>37</v>
      </c>
      <c r="UI38" s="12" t="s">
        <v>37</v>
      </c>
      <c r="UJ38" s="12" t="s">
        <v>37</v>
      </c>
      <c r="UK38" s="13" t="s">
        <v>37</v>
      </c>
      <c r="UL38" s="12" t="s">
        <v>37</v>
      </c>
      <c r="UM38" s="12" t="s">
        <v>37</v>
      </c>
      <c r="UN38" s="13" t="s">
        <v>37</v>
      </c>
      <c r="UR38" s="12" t="s">
        <v>37</v>
      </c>
      <c r="US38" s="12" t="s">
        <v>37</v>
      </c>
      <c r="UT38" s="13" t="s">
        <v>37</v>
      </c>
      <c r="UU38" s="12" t="s">
        <v>37</v>
      </c>
      <c r="UV38" s="12" t="s">
        <v>37</v>
      </c>
      <c r="UW38" s="13" t="s">
        <v>37</v>
      </c>
      <c r="VB38" s="12" t="s">
        <v>37</v>
      </c>
      <c r="VC38" s="12" t="s">
        <v>37</v>
      </c>
      <c r="VD38" s="13" t="s">
        <v>37</v>
      </c>
      <c r="VE38" s="12" t="s">
        <v>37</v>
      </c>
      <c r="VF38" s="12" t="s">
        <v>37</v>
      </c>
      <c r="VG38" s="13" t="s">
        <v>37</v>
      </c>
      <c r="VI38" s="12" t="s">
        <v>37</v>
      </c>
      <c r="VJ38" s="12" t="s">
        <v>37</v>
      </c>
      <c r="VK38" s="13" t="s">
        <v>37</v>
      </c>
      <c r="VL38" s="12" t="s">
        <v>37</v>
      </c>
      <c r="VM38" s="12" t="s">
        <v>37</v>
      </c>
      <c r="VN38" s="13" t="s">
        <v>37</v>
      </c>
      <c r="VO38" s="12" t="s">
        <v>37</v>
      </c>
      <c r="VQ38" s="12" t="s">
        <v>37</v>
      </c>
      <c r="VR38" s="12" t="s">
        <v>37</v>
      </c>
      <c r="VS38" s="12" t="s">
        <v>37</v>
      </c>
      <c r="VT38" s="12" t="s">
        <v>37</v>
      </c>
      <c r="VU38" s="12" t="s">
        <v>37</v>
      </c>
      <c r="VV38" s="12" t="s">
        <v>37</v>
      </c>
      <c r="VW38" s="12"/>
      <c r="VX38" s="12"/>
      <c r="WA38" s="13" t="s">
        <v>37</v>
      </c>
      <c r="WB38" s="13" t="s">
        <v>37</v>
      </c>
      <c r="WC38" s="13" t="s">
        <v>37</v>
      </c>
      <c r="WD38" s="13" t="s">
        <v>37</v>
      </c>
      <c r="WE38" s="13" t="s">
        <v>37</v>
      </c>
      <c r="WF38" s="13" t="s">
        <v>37</v>
      </c>
    </row>
    <row r="39" spans="1:604" ht="18" customHeight="1" x14ac:dyDescent="0.4">
      <c r="A39" s="11">
        <v>11</v>
      </c>
      <c r="B39" s="12" t="s">
        <v>109</v>
      </c>
      <c r="C39" s="12" t="s">
        <v>26</v>
      </c>
      <c r="D39" s="12" t="s">
        <v>973</v>
      </c>
      <c r="E39" s="81">
        <v>4.5</v>
      </c>
      <c r="F39" s="14">
        <v>0</v>
      </c>
      <c r="G39" s="14">
        <v>0</v>
      </c>
      <c r="H39" s="12" t="s">
        <v>91</v>
      </c>
      <c r="I39" s="29">
        <v>55.35</v>
      </c>
      <c r="J39" s="29">
        <v>-112.517</v>
      </c>
      <c r="K39" s="12" t="s">
        <v>696</v>
      </c>
      <c r="L39" s="12" t="s">
        <v>697</v>
      </c>
      <c r="M39" s="13" t="s">
        <v>37</v>
      </c>
      <c r="N39" s="14">
        <v>2.1</v>
      </c>
      <c r="O39" s="14">
        <v>504</v>
      </c>
      <c r="P39" s="14" t="s">
        <v>84</v>
      </c>
      <c r="Q39" s="75">
        <v>3</v>
      </c>
      <c r="R39" s="11" t="s">
        <v>999</v>
      </c>
      <c r="S39" s="12" t="s">
        <v>93</v>
      </c>
      <c r="T39" s="12" t="s">
        <v>141</v>
      </c>
      <c r="U39" s="12" t="s">
        <v>163</v>
      </c>
      <c r="V39" s="12" t="s">
        <v>275</v>
      </c>
      <c r="W39" s="23" t="s">
        <v>499</v>
      </c>
      <c r="X39" s="12" t="s">
        <v>282</v>
      </c>
      <c r="Y39" s="12" t="s">
        <v>69</v>
      </c>
      <c r="Z39" s="12" t="s">
        <v>37</v>
      </c>
      <c r="AA39" s="32" t="s">
        <v>345</v>
      </c>
      <c r="AB39" s="12">
        <v>4.0999999999999996</v>
      </c>
      <c r="AE39" s="12" t="s">
        <v>37</v>
      </c>
      <c r="AH39" s="12" t="s">
        <v>37</v>
      </c>
      <c r="AK39" s="12" t="s">
        <v>37</v>
      </c>
      <c r="AL39" s="32" t="s">
        <v>498</v>
      </c>
      <c r="AM39" s="12" t="s">
        <v>317</v>
      </c>
      <c r="AN39" s="32" t="s">
        <v>879</v>
      </c>
      <c r="AO39" s="12" t="s">
        <v>29</v>
      </c>
      <c r="AP39" s="12" t="s">
        <v>108</v>
      </c>
      <c r="AQ39" s="12" t="s">
        <v>975</v>
      </c>
      <c r="AT39" s="12" t="s">
        <v>326</v>
      </c>
      <c r="AU39" s="12" t="s">
        <v>326</v>
      </c>
      <c r="AV39" s="13" t="s">
        <v>326</v>
      </c>
      <c r="AX39" s="12" t="s">
        <v>326</v>
      </c>
      <c r="AY39" s="12" t="s">
        <v>326</v>
      </c>
      <c r="AZ39" s="13" t="s">
        <v>326</v>
      </c>
      <c r="BE39" s="12" t="s">
        <v>326</v>
      </c>
      <c r="BF39" s="12" t="s">
        <v>326</v>
      </c>
      <c r="BG39" s="12" t="s">
        <v>326</v>
      </c>
      <c r="BI39" s="12" t="s">
        <v>326</v>
      </c>
      <c r="BJ39" s="12" t="s">
        <v>326</v>
      </c>
      <c r="BK39" s="12" t="s">
        <v>326</v>
      </c>
      <c r="BP39" s="12" t="s">
        <v>37</v>
      </c>
      <c r="BQ39" s="12" t="s">
        <v>37</v>
      </c>
      <c r="BR39" s="13" t="s">
        <v>37</v>
      </c>
      <c r="BT39" s="12" t="s">
        <v>37</v>
      </c>
      <c r="BU39" s="12" t="s">
        <v>37</v>
      </c>
      <c r="BV39" s="12" t="s">
        <v>37</v>
      </c>
      <c r="BZ39" s="12" t="s">
        <v>581</v>
      </c>
      <c r="CA39" s="12">
        <f>-233*10^4/10^3*44/12/'[6]classess-1'!$T$63</f>
        <v>-11180.604816398249</v>
      </c>
      <c r="CB39" s="15">
        <f>SQRT((1/[7]Classess!$T$63)^2*(82*SQRT(3)*10^4/10^3*44/12)^2+(-CA39/([7]Classess!$T$63)^2)^2*([7]Classess!$U$63)^2)</f>
        <v>6822.7682537892761</v>
      </c>
      <c r="CC39" s="18">
        <v>3</v>
      </c>
      <c r="CD39" s="19">
        <f t="shared" si="123"/>
        <v>0.61023248436278976</v>
      </c>
      <c r="CE39" s="15">
        <f>-51*10^4/10^3*44/12/'[6]classess-1'!$T$64</f>
        <v>-2014.7911986242559</v>
      </c>
      <c r="CF39" s="15">
        <f>18*SQRT(3)*10^4/10^3*44/12</f>
        <v>1143.1535329954588</v>
      </c>
      <c r="CG39" s="18">
        <v>3</v>
      </c>
      <c r="CH39" s="19">
        <f t="shared" si="124"/>
        <v>0.5673806465781811</v>
      </c>
      <c r="CI39" s="75">
        <f t="shared" si="125"/>
        <v>9165.8136177739925</v>
      </c>
      <c r="CJ39" s="12">
        <f t="shared" si="151"/>
        <v>4891.6748995060361</v>
      </c>
      <c r="CK39" s="72">
        <f t="shared" si="126"/>
        <v>15952322.214971589</v>
      </c>
      <c r="CL39" s="72">
        <f t="shared" si="127"/>
        <v>15952322.214971589</v>
      </c>
      <c r="CM39" s="12" t="s">
        <v>581</v>
      </c>
      <c r="CN39" s="12">
        <f>217*10^4/10^3*44/12/'[6]classess-1'!$I$63</f>
        <v>12213.258396594058</v>
      </c>
      <c r="CO39" s="15">
        <f>SQRT((1/[7]Classess!$I$63)^2*(59*SQRT(3)*10^4/10^3*44/12)^2+(-CN39/([7]Classess!$I$63)^2)^2*([7]Classess!$J$63)^2)</f>
        <v>5829.3069078214994</v>
      </c>
      <c r="CP39" s="18">
        <v>3</v>
      </c>
      <c r="CQ39" s="19">
        <f t="shared" si="128"/>
        <v>0.47729334126322365</v>
      </c>
      <c r="CR39" s="15">
        <f>288*10^4/10^3*44/12/'[6]classess-1'!$I$64</f>
        <v>13236.068601627712</v>
      </c>
      <c r="CS39" s="15">
        <f>SQRT((1/[7]Classess!$I$64)^2*(22*SQRT(3)*10^4/10^3*44/12)^2+(-CR39/([7]Classess!$I$64)^2)^2*([7]Classess!$J$64)^2)</f>
        <v>2169.8026552469478</v>
      </c>
      <c r="CT39" s="18">
        <v>3</v>
      </c>
      <c r="CU39" s="19">
        <f t="shared" si="129"/>
        <v>0.16393105238062269</v>
      </c>
      <c r="CV39" s="75">
        <f t="shared" si="130"/>
        <v>1022.8102050336547</v>
      </c>
      <c r="CW39" s="12">
        <f t="shared" si="152"/>
        <v>4398.2304730591459</v>
      </c>
      <c r="CX39" s="72">
        <f t="shared" si="131"/>
        <v>12896287.529430719</v>
      </c>
      <c r="CY39" s="72">
        <f t="shared" si="132"/>
        <v>12896287.529430719</v>
      </c>
      <c r="CZ39" s="12" t="s">
        <v>581</v>
      </c>
      <c r="DA39" s="12">
        <f t="shared" si="153"/>
        <v>1032.6535801958089</v>
      </c>
      <c r="DB39" s="15">
        <f>SQRT((1/[7]Classess!$I$17)^2*(1*SQRT(3)*10^4/10^3*44/12)^2+(-DA39/([7]Classess!$I$17)^2)^2*([7]Classess!$J$17)^2)</f>
        <v>1588.5865996086475</v>
      </c>
      <c r="DC39" s="18">
        <v>3</v>
      </c>
      <c r="DD39" s="19">
        <f t="shared" si="133"/>
        <v>1.5383538391523555</v>
      </c>
      <c r="DE39" s="12">
        <f t="shared" si="154"/>
        <v>11221.277403003456</v>
      </c>
      <c r="DF39" s="15">
        <f>SQRT((1/[7]Classess!$I$18)^2*(15*SQRT(3)*10^4/10^3*44/12)^2+(-DE39/([7]Classess!$I$18)^2)^2*([7]Classess!$J$18)^2)</f>
        <v>1545.6282146126041</v>
      </c>
      <c r="DG39" s="18">
        <v>3</v>
      </c>
      <c r="DH39" s="19">
        <f t="shared" si="134"/>
        <v>0.13774084349780941</v>
      </c>
      <c r="DI39" s="19">
        <f t="shared" si="135"/>
        <v>10188.623822807647</v>
      </c>
      <c r="DJ39" s="12">
        <f t="shared" si="136"/>
        <v>1567.2545999713498</v>
      </c>
      <c r="DK39" s="72">
        <f t="shared" si="137"/>
        <v>1637524.6540875705</v>
      </c>
      <c r="DL39" s="72">
        <f t="shared" si="138"/>
        <v>1637524.6540875705</v>
      </c>
      <c r="DM39" s="15"/>
      <c r="DN39" s="52" t="s">
        <v>37</v>
      </c>
      <c r="DO39" s="15" t="s">
        <v>37</v>
      </c>
      <c r="DP39" s="18" t="s">
        <v>37</v>
      </c>
      <c r="DQ39" s="52"/>
      <c r="DR39" s="52" t="s">
        <v>37</v>
      </c>
      <c r="DS39" s="15" t="s">
        <v>37</v>
      </c>
      <c r="DT39" s="18" t="s">
        <v>37</v>
      </c>
      <c r="DU39" s="52"/>
      <c r="DV39" s="52"/>
      <c r="DW39" s="52"/>
      <c r="DZ39" s="15"/>
      <c r="EA39" s="52" t="s">
        <v>37</v>
      </c>
      <c r="EB39" s="52" t="s">
        <v>37</v>
      </c>
      <c r="EC39" s="73" t="s">
        <v>37</v>
      </c>
      <c r="ED39" s="52"/>
      <c r="EE39" s="52" t="s">
        <v>37</v>
      </c>
      <c r="EF39" s="52" t="s">
        <v>37</v>
      </c>
      <c r="EG39" s="15" t="s">
        <v>37</v>
      </c>
      <c r="EH39" s="52"/>
      <c r="EI39" s="52"/>
      <c r="EJ39" s="52"/>
      <c r="EK39" s="52"/>
      <c r="EL39" s="52"/>
      <c r="EM39" s="12" t="s">
        <v>39</v>
      </c>
      <c r="EN39" s="12">
        <f>EN37-9</f>
        <v>-56</v>
      </c>
      <c r="EO39" s="12">
        <v>10.1</v>
      </c>
      <c r="EP39" s="13">
        <v>3</v>
      </c>
      <c r="EQ39" s="19">
        <f t="shared" si="139"/>
        <v>0.18035714285714285</v>
      </c>
      <c r="ER39" s="12">
        <f>ER37-9</f>
        <v>-91</v>
      </c>
      <c r="ES39" s="12">
        <v>11.3</v>
      </c>
      <c r="ET39" s="13">
        <v>3</v>
      </c>
      <c r="EU39" s="19">
        <f t="shared" si="140"/>
        <v>0.12417582417582418</v>
      </c>
      <c r="EV39" s="19">
        <f t="shared" si="141"/>
        <v>-35</v>
      </c>
      <c r="EW39" s="12">
        <f t="shared" si="142"/>
        <v>10.716809226630843</v>
      </c>
      <c r="EX39" s="19">
        <f t="shared" si="143"/>
        <v>76.566666666666663</v>
      </c>
      <c r="EY39" s="19">
        <f t="shared" si="144"/>
        <v>76.566666666666663</v>
      </c>
      <c r="FB39" s="11" t="s">
        <v>37</v>
      </c>
      <c r="FC39" s="11" t="s">
        <v>37</v>
      </c>
      <c r="FD39" s="11" t="s">
        <v>37</v>
      </c>
      <c r="FE39" s="12" t="s">
        <v>37</v>
      </c>
      <c r="FF39" s="20" t="s">
        <v>37</v>
      </c>
      <c r="FG39" s="11" t="s">
        <v>37</v>
      </c>
      <c r="FI39" s="11" t="s">
        <v>37</v>
      </c>
      <c r="FJ39" s="11" t="s">
        <v>37</v>
      </c>
      <c r="FK39" s="11" t="s">
        <v>37</v>
      </c>
      <c r="FL39" s="13" t="s">
        <v>37</v>
      </c>
      <c r="FM39" s="11" t="s">
        <v>37</v>
      </c>
      <c r="FN39" s="11" t="s">
        <v>37</v>
      </c>
      <c r="FP39" s="11" t="s">
        <v>37</v>
      </c>
      <c r="FQ39" s="11" t="s">
        <v>37</v>
      </c>
      <c r="FR39" s="11" t="s">
        <v>37</v>
      </c>
      <c r="FS39" s="13" t="s">
        <v>37</v>
      </c>
      <c r="FT39" s="11" t="s">
        <v>37</v>
      </c>
      <c r="FU39" s="11" t="s">
        <v>37</v>
      </c>
      <c r="FW39" s="11" t="s">
        <v>37</v>
      </c>
      <c r="FX39" s="11" t="s">
        <v>37</v>
      </c>
      <c r="FY39" s="11" t="s">
        <v>37</v>
      </c>
      <c r="FZ39" s="13" t="s">
        <v>37</v>
      </c>
      <c r="GA39" s="11" t="s">
        <v>37</v>
      </c>
      <c r="GB39" s="11" t="s">
        <v>37</v>
      </c>
      <c r="GO39" s="12" t="s">
        <v>660</v>
      </c>
      <c r="GP39" s="12" t="s">
        <v>330</v>
      </c>
      <c r="GQ39" s="12">
        <v>12.3</v>
      </c>
      <c r="GR39" s="12">
        <v>0.2</v>
      </c>
      <c r="GS39" s="13">
        <v>3</v>
      </c>
      <c r="GT39" s="19">
        <f t="shared" si="145"/>
        <v>1.6260162601626015E-2</v>
      </c>
      <c r="GU39" s="12">
        <v>13.1</v>
      </c>
      <c r="GV39" s="12">
        <v>0.1</v>
      </c>
      <c r="GW39" s="13">
        <v>3</v>
      </c>
      <c r="GX39" s="19">
        <f t="shared" si="146"/>
        <v>7.6335877862595426E-3</v>
      </c>
      <c r="GY39" s="19">
        <f t="shared" si="162"/>
        <v>6.301296782873396E-2</v>
      </c>
      <c r="GZ39" s="19">
        <f t="shared" si="119"/>
        <v>1.0755485010728274E-4</v>
      </c>
      <c r="IK39" s="12" t="s">
        <v>37</v>
      </c>
      <c r="IL39" s="12" t="s">
        <v>37</v>
      </c>
      <c r="IM39" s="13" t="s">
        <v>37</v>
      </c>
      <c r="IO39" s="12" t="s">
        <v>37</v>
      </c>
      <c r="IP39" s="12" t="s">
        <v>37</v>
      </c>
      <c r="IQ39" s="13" t="s">
        <v>37</v>
      </c>
      <c r="IV39" s="32" t="s">
        <v>345</v>
      </c>
      <c r="IW39" s="12">
        <v>4.0999999999999996</v>
      </c>
      <c r="IX39" s="12">
        <v>0.1</v>
      </c>
      <c r="IY39" s="13">
        <v>3</v>
      </c>
      <c r="IZ39" s="19">
        <f t="shared" si="147"/>
        <v>2.4390243902439029E-2</v>
      </c>
      <c r="JH39" s="12" t="s">
        <v>37</v>
      </c>
      <c r="JI39" s="12" t="s">
        <v>37</v>
      </c>
      <c r="JJ39" s="13" t="s">
        <v>37</v>
      </c>
      <c r="JL39" s="12" t="s">
        <v>37</v>
      </c>
      <c r="JM39" s="12" t="s">
        <v>37</v>
      </c>
      <c r="JN39" s="12" t="s">
        <v>37</v>
      </c>
      <c r="JS39" s="12" t="s">
        <v>37</v>
      </c>
      <c r="JT39" s="12" t="s">
        <v>37</v>
      </c>
      <c r="JU39" s="13" t="s">
        <v>37</v>
      </c>
      <c r="JW39" s="12" t="s">
        <v>37</v>
      </c>
      <c r="JX39" s="12" t="s">
        <v>37</v>
      </c>
      <c r="JY39" s="12" t="s">
        <v>37</v>
      </c>
      <c r="KE39" s="11" t="s">
        <v>37</v>
      </c>
      <c r="KF39" s="11" t="s">
        <v>37</v>
      </c>
      <c r="KG39" s="13" t="s">
        <v>37</v>
      </c>
      <c r="KH39" s="11" t="s">
        <v>37</v>
      </c>
      <c r="KI39" s="11" t="s">
        <v>37</v>
      </c>
      <c r="KJ39" s="11" t="s">
        <v>37</v>
      </c>
      <c r="KM39" s="12" t="s">
        <v>37</v>
      </c>
      <c r="KN39" s="12" t="s">
        <v>37</v>
      </c>
      <c r="KO39" s="11" t="s">
        <v>37</v>
      </c>
      <c r="KQ39" s="12" t="s">
        <v>37</v>
      </c>
      <c r="KR39" s="12" t="s">
        <v>37</v>
      </c>
      <c r="KS39" s="13" t="s">
        <v>37</v>
      </c>
      <c r="KX39" s="12" t="s">
        <v>37</v>
      </c>
      <c r="KY39" s="12" t="s">
        <v>37</v>
      </c>
      <c r="KZ39" s="13" t="s">
        <v>37</v>
      </c>
      <c r="LB39" s="12" t="s">
        <v>37</v>
      </c>
      <c r="LC39" s="12" t="s">
        <v>37</v>
      </c>
      <c r="LD39" s="13" t="s">
        <v>37</v>
      </c>
      <c r="LI39" s="12" t="s">
        <v>37</v>
      </c>
      <c r="LJ39" s="12" t="s">
        <v>37</v>
      </c>
      <c r="LK39" s="12" t="s">
        <v>37</v>
      </c>
      <c r="LM39" s="12" t="s">
        <v>37</v>
      </c>
      <c r="LN39" s="12" t="s">
        <v>37</v>
      </c>
      <c r="LO39" s="12" t="s">
        <v>37</v>
      </c>
      <c r="LU39" s="12" t="s">
        <v>37</v>
      </c>
      <c r="LV39" s="12" t="s">
        <v>37</v>
      </c>
      <c r="LW39" s="13" t="s">
        <v>37</v>
      </c>
      <c r="LY39" s="12" t="s">
        <v>37</v>
      </c>
      <c r="LZ39" s="12" t="s">
        <v>37</v>
      </c>
      <c r="MA39" s="12" t="s">
        <v>37</v>
      </c>
      <c r="MF39" s="12" t="s">
        <v>37</v>
      </c>
      <c r="MG39" s="12" t="s">
        <v>37</v>
      </c>
      <c r="MH39" s="12" t="s">
        <v>37</v>
      </c>
      <c r="MJ39" s="12" t="s">
        <v>37</v>
      </c>
      <c r="MK39" s="12" t="s">
        <v>37</v>
      </c>
      <c r="ML39" s="12" t="s">
        <v>37</v>
      </c>
      <c r="MQ39" s="12" t="s">
        <v>37</v>
      </c>
      <c r="MR39" s="12" t="s">
        <v>37</v>
      </c>
      <c r="MS39" s="12" t="s">
        <v>37</v>
      </c>
      <c r="MU39" s="12" t="s">
        <v>37</v>
      </c>
      <c r="MV39" s="12" t="s">
        <v>37</v>
      </c>
      <c r="MW39" s="12" t="s">
        <v>37</v>
      </c>
      <c r="NC39" s="12" t="s">
        <v>37</v>
      </c>
      <c r="ND39" s="12" t="s">
        <v>37</v>
      </c>
      <c r="NE39" s="13" t="s">
        <v>37</v>
      </c>
      <c r="NG39" s="12" t="s">
        <v>37</v>
      </c>
      <c r="NH39" s="12" t="s">
        <v>37</v>
      </c>
      <c r="NI39" s="13" t="s">
        <v>37</v>
      </c>
      <c r="NO39" s="12" t="s">
        <v>37</v>
      </c>
      <c r="NP39" s="12" t="s">
        <v>37</v>
      </c>
      <c r="NQ39" s="13" t="s">
        <v>37</v>
      </c>
      <c r="NS39" s="12" t="s">
        <v>37</v>
      </c>
      <c r="NT39" s="12" t="s">
        <v>37</v>
      </c>
      <c r="NU39" s="13" t="s">
        <v>37</v>
      </c>
      <c r="OA39" s="11" t="s">
        <v>37</v>
      </c>
      <c r="OB39" s="11" t="s">
        <v>37</v>
      </c>
      <c r="OC39" s="13" t="s">
        <v>37</v>
      </c>
      <c r="OE39" s="11" t="s">
        <v>37</v>
      </c>
      <c r="OF39" s="11" t="s">
        <v>37</v>
      </c>
      <c r="OG39" s="13" t="s">
        <v>37</v>
      </c>
      <c r="OM39" s="11" t="s">
        <v>37</v>
      </c>
      <c r="ON39" s="11" t="s">
        <v>37</v>
      </c>
      <c r="OO39" s="11" t="s">
        <v>37</v>
      </c>
      <c r="OP39" s="11" t="s">
        <v>37</v>
      </c>
      <c r="OQ39" s="11" t="s">
        <v>37</v>
      </c>
      <c r="OR39" s="11" t="s">
        <v>37</v>
      </c>
      <c r="OW39" s="11" t="s">
        <v>37</v>
      </c>
      <c r="OX39" s="11" t="s">
        <v>37</v>
      </c>
      <c r="OY39" s="13" t="s">
        <v>37</v>
      </c>
      <c r="OZ39" s="11" t="s">
        <v>37</v>
      </c>
      <c r="PA39" s="11" t="s">
        <v>37</v>
      </c>
      <c r="PB39" s="13" t="s">
        <v>37</v>
      </c>
      <c r="PG39" s="11" t="s">
        <v>37</v>
      </c>
      <c r="PH39" s="11" t="s">
        <v>37</v>
      </c>
      <c r="PI39" s="13" t="s">
        <v>37</v>
      </c>
      <c r="PJ39" s="11" t="s">
        <v>37</v>
      </c>
      <c r="PK39" s="11" t="s">
        <v>37</v>
      </c>
      <c r="PL39" s="13" t="s">
        <v>37</v>
      </c>
      <c r="PQ39" s="11" t="s">
        <v>37</v>
      </c>
      <c r="PR39" s="11" t="s">
        <v>37</v>
      </c>
      <c r="PS39" s="13" t="s">
        <v>37</v>
      </c>
      <c r="PT39" s="11" t="s">
        <v>37</v>
      </c>
      <c r="PU39" s="11" t="s">
        <v>37</v>
      </c>
      <c r="PV39" s="13" t="s">
        <v>37</v>
      </c>
      <c r="PY39" s="12" t="s">
        <v>43</v>
      </c>
      <c r="PZ39" s="12">
        <v>399</v>
      </c>
      <c r="QA39" s="12">
        <f t="shared" si="159"/>
        <v>41.569219381653056</v>
      </c>
      <c r="QB39" s="11">
        <v>3</v>
      </c>
      <c r="QC39" s="19">
        <f t="shared" si="155"/>
        <v>0.10418350722218811</v>
      </c>
      <c r="QD39" s="12">
        <v>251</v>
      </c>
      <c r="QE39" s="12">
        <f t="shared" ref="QE39" si="165">78*SQRT(3)</f>
        <v>135.09996299037243</v>
      </c>
      <c r="QF39" s="13">
        <v>3</v>
      </c>
      <c r="QG39" s="19">
        <f t="shared" si="156"/>
        <v>0.53824686450347581</v>
      </c>
      <c r="QH39" s="19">
        <f t="shared" si="148"/>
        <v>-0.46350847775807952</v>
      </c>
      <c r="QI39" s="19">
        <f t="shared" si="149"/>
        <v>0.10018796344164625</v>
      </c>
      <c r="QJ39" s="12" t="s">
        <v>43</v>
      </c>
      <c r="QK39" s="12">
        <v>568</v>
      </c>
      <c r="QL39" s="12">
        <f t="shared" si="157"/>
        <v>83.138438763306112</v>
      </c>
      <c r="QM39" s="13">
        <v>3</v>
      </c>
      <c r="QN39" s="12">
        <v>441</v>
      </c>
      <c r="QO39" s="12">
        <f t="shared" ref="QO39" si="166">96*SQRT(3)</f>
        <v>166.27687752661222</v>
      </c>
      <c r="QP39" s="13">
        <v>3</v>
      </c>
      <c r="QQ39" s="19">
        <f t="shared" si="158"/>
        <v>-0.25307654327430534</v>
      </c>
      <c r="QR39" s="19">
        <f t="shared" si="150"/>
        <v>5.452910273845081E-2</v>
      </c>
      <c r="QU39" s="11" t="s">
        <v>37</v>
      </c>
      <c r="QV39" s="11" t="s">
        <v>37</v>
      </c>
      <c r="QW39" s="13" t="s">
        <v>37</v>
      </c>
      <c r="QX39" s="11" t="s">
        <v>37</v>
      </c>
      <c r="QY39" s="11" t="s">
        <v>37</v>
      </c>
      <c r="QZ39" s="13" t="s">
        <v>37</v>
      </c>
      <c r="RC39" s="12" t="s">
        <v>37</v>
      </c>
      <c r="RD39" s="12" t="s">
        <v>37</v>
      </c>
      <c r="RE39" s="13" t="s">
        <v>37</v>
      </c>
      <c r="RF39" s="12" t="s">
        <v>37</v>
      </c>
      <c r="RG39" s="12" t="s">
        <v>37</v>
      </c>
      <c r="RH39" s="13" t="s">
        <v>37</v>
      </c>
      <c r="RK39" s="11" t="s">
        <v>37</v>
      </c>
      <c r="RL39" s="11" t="s">
        <v>37</v>
      </c>
      <c r="RM39" s="11" t="s">
        <v>37</v>
      </c>
      <c r="RN39" s="11" t="s">
        <v>37</v>
      </c>
      <c r="RO39" s="11" t="s">
        <v>37</v>
      </c>
      <c r="RP39" s="11" t="s">
        <v>37</v>
      </c>
      <c r="RS39" s="11" t="s">
        <v>37</v>
      </c>
      <c r="RT39" s="11" t="s">
        <v>37</v>
      </c>
      <c r="RU39" s="11" t="s">
        <v>37</v>
      </c>
      <c r="RV39" s="11" t="s">
        <v>37</v>
      </c>
      <c r="RW39" s="11" t="s">
        <v>37</v>
      </c>
      <c r="RX39" s="11" t="s">
        <v>37</v>
      </c>
      <c r="SA39" s="11" t="s">
        <v>37</v>
      </c>
      <c r="SB39" s="11" t="s">
        <v>37</v>
      </c>
      <c r="SC39" s="13" t="s">
        <v>37</v>
      </c>
      <c r="SD39" s="11" t="s">
        <v>37</v>
      </c>
      <c r="SE39" s="11" t="s">
        <v>37</v>
      </c>
      <c r="SF39" s="13" t="s">
        <v>37</v>
      </c>
      <c r="SI39" s="12" t="s">
        <v>37</v>
      </c>
      <c r="SJ39" s="11" t="s">
        <v>37</v>
      </c>
      <c r="SK39" s="13" t="s">
        <v>37</v>
      </c>
      <c r="SM39" s="11" t="s">
        <v>37</v>
      </c>
      <c r="SN39" s="11" t="s">
        <v>37</v>
      </c>
      <c r="SO39" s="13" t="s">
        <v>37</v>
      </c>
      <c r="SU39" s="12" t="s">
        <v>37</v>
      </c>
      <c r="SV39" s="12" t="s">
        <v>37</v>
      </c>
      <c r="SW39" s="11" t="s">
        <v>37</v>
      </c>
      <c r="SX39" s="12" t="s">
        <v>37</v>
      </c>
      <c r="SY39" s="12" t="s">
        <v>37</v>
      </c>
      <c r="SZ39" s="11" t="s">
        <v>37</v>
      </c>
      <c r="TE39" s="12" t="s">
        <v>37</v>
      </c>
      <c r="TF39" s="12" t="s">
        <v>37</v>
      </c>
      <c r="TG39" s="11" t="s">
        <v>37</v>
      </c>
      <c r="TH39" s="12" t="s">
        <v>37</v>
      </c>
      <c r="TI39" s="12" t="s">
        <v>37</v>
      </c>
      <c r="TJ39" s="11" t="s">
        <v>37</v>
      </c>
      <c r="TO39" s="12" t="s">
        <v>37</v>
      </c>
      <c r="TP39" s="12" t="s">
        <v>37</v>
      </c>
      <c r="TQ39" s="11" t="s">
        <v>37</v>
      </c>
      <c r="TR39" s="12" t="s">
        <v>37</v>
      </c>
      <c r="TS39" s="12" t="s">
        <v>37</v>
      </c>
      <c r="TT39" s="11" t="s">
        <v>37</v>
      </c>
      <c r="TY39" s="12" t="s">
        <v>37</v>
      </c>
      <c r="TZ39" s="12" t="s">
        <v>37</v>
      </c>
      <c r="UA39" s="11" t="s">
        <v>37</v>
      </c>
      <c r="UB39" s="12" t="s">
        <v>37</v>
      </c>
      <c r="UC39" s="12" t="s">
        <v>37</v>
      </c>
      <c r="UD39" s="11" t="s">
        <v>37</v>
      </c>
      <c r="UI39" s="12" t="s">
        <v>37</v>
      </c>
      <c r="UJ39" s="12" t="s">
        <v>37</v>
      </c>
      <c r="UK39" s="13" t="s">
        <v>37</v>
      </c>
      <c r="UL39" s="12" t="s">
        <v>37</v>
      </c>
      <c r="UM39" s="12" t="s">
        <v>37</v>
      </c>
      <c r="UN39" s="13" t="s">
        <v>37</v>
      </c>
      <c r="UR39" s="12" t="s">
        <v>37</v>
      </c>
      <c r="US39" s="12" t="s">
        <v>37</v>
      </c>
      <c r="UT39" s="13" t="s">
        <v>37</v>
      </c>
      <c r="UU39" s="12" t="s">
        <v>37</v>
      </c>
      <c r="UV39" s="12" t="s">
        <v>37</v>
      </c>
      <c r="UW39" s="13" t="s">
        <v>37</v>
      </c>
      <c r="VB39" s="12" t="s">
        <v>37</v>
      </c>
      <c r="VC39" s="12" t="s">
        <v>37</v>
      </c>
      <c r="VD39" s="13" t="s">
        <v>37</v>
      </c>
      <c r="VE39" s="12" t="s">
        <v>37</v>
      </c>
      <c r="VF39" s="12" t="s">
        <v>37</v>
      </c>
      <c r="VG39" s="13" t="s">
        <v>37</v>
      </c>
      <c r="VI39" s="12" t="s">
        <v>37</v>
      </c>
      <c r="VJ39" s="12" t="s">
        <v>37</v>
      </c>
      <c r="VK39" s="13" t="s">
        <v>37</v>
      </c>
      <c r="VL39" s="12" t="s">
        <v>37</v>
      </c>
      <c r="VM39" s="12" t="s">
        <v>37</v>
      </c>
      <c r="VN39" s="13" t="s">
        <v>37</v>
      </c>
      <c r="VO39" s="12" t="s">
        <v>37</v>
      </c>
      <c r="VQ39" s="12" t="s">
        <v>37</v>
      </c>
      <c r="VR39" s="12" t="s">
        <v>37</v>
      </c>
      <c r="VS39" s="12" t="s">
        <v>37</v>
      </c>
      <c r="VT39" s="12" t="s">
        <v>37</v>
      </c>
      <c r="VU39" s="12" t="s">
        <v>37</v>
      </c>
      <c r="VV39" s="12" t="s">
        <v>37</v>
      </c>
      <c r="VW39" s="12"/>
      <c r="VX39" s="12"/>
      <c r="WA39" s="13" t="s">
        <v>37</v>
      </c>
      <c r="WB39" s="13" t="s">
        <v>37</v>
      </c>
      <c r="WC39" s="13" t="s">
        <v>37</v>
      </c>
      <c r="WD39" s="13" t="s">
        <v>37</v>
      </c>
      <c r="WE39" s="13" t="s">
        <v>37</v>
      </c>
      <c r="WF39" s="13" t="s">
        <v>37</v>
      </c>
    </row>
    <row r="40" spans="1:604" ht="18" customHeight="1" x14ac:dyDescent="0.4">
      <c r="A40" s="11">
        <v>11</v>
      </c>
      <c r="B40" s="12" t="s">
        <v>109</v>
      </c>
      <c r="C40" s="12" t="s">
        <v>26</v>
      </c>
      <c r="D40" s="12" t="s">
        <v>973</v>
      </c>
      <c r="E40" s="81">
        <v>4.5</v>
      </c>
      <c r="F40" s="14">
        <v>0</v>
      </c>
      <c r="G40" s="14">
        <v>0</v>
      </c>
      <c r="H40" s="12" t="s">
        <v>91</v>
      </c>
      <c r="I40" s="29">
        <v>55.35</v>
      </c>
      <c r="J40" s="29">
        <v>-112.517</v>
      </c>
      <c r="K40" s="12" t="s">
        <v>696</v>
      </c>
      <c r="L40" s="12" t="s">
        <v>697</v>
      </c>
      <c r="M40" s="13" t="s">
        <v>37</v>
      </c>
      <c r="N40" s="14">
        <v>2.1</v>
      </c>
      <c r="O40" s="14">
        <v>504</v>
      </c>
      <c r="P40" s="14" t="s">
        <v>84</v>
      </c>
      <c r="Q40" s="75">
        <v>13</v>
      </c>
      <c r="R40" s="11" t="s">
        <v>999</v>
      </c>
      <c r="S40" s="12" t="s">
        <v>93</v>
      </c>
      <c r="T40" s="12" t="s">
        <v>141</v>
      </c>
      <c r="U40" s="12" t="s">
        <v>163</v>
      </c>
      <c r="V40" s="12" t="s">
        <v>275</v>
      </c>
      <c r="W40" s="23" t="s">
        <v>499</v>
      </c>
      <c r="X40" s="12" t="s">
        <v>282</v>
      </c>
      <c r="Y40" s="12" t="s">
        <v>69</v>
      </c>
      <c r="Z40" s="12" t="s">
        <v>37</v>
      </c>
      <c r="AA40" s="32" t="s">
        <v>345</v>
      </c>
      <c r="AB40" s="12">
        <v>4.0999999999999996</v>
      </c>
      <c r="AE40" s="12" t="s">
        <v>37</v>
      </c>
      <c r="AH40" s="12" t="s">
        <v>37</v>
      </c>
      <c r="AK40" s="12" t="s">
        <v>37</v>
      </c>
      <c r="AL40" s="32" t="s">
        <v>498</v>
      </c>
      <c r="AM40" s="12" t="s">
        <v>317</v>
      </c>
      <c r="AN40" s="32" t="s">
        <v>879</v>
      </c>
      <c r="AO40" s="12" t="s">
        <v>29</v>
      </c>
      <c r="AP40" s="12" t="s">
        <v>108</v>
      </c>
      <c r="AQ40" s="12" t="s">
        <v>975</v>
      </c>
      <c r="AT40" s="12" t="s">
        <v>326</v>
      </c>
      <c r="AU40" s="12" t="s">
        <v>326</v>
      </c>
      <c r="AV40" s="13" t="s">
        <v>326</v>
      </c>
      <c r="AX40" s="12" t="s">
        <v>326</v>
      </c>
      <c r="AY40" s="12" t="s">
        <v>326</v>
      </c>
      <c r="AZ40" s="13" t="s">
        <v>326</v>
      </c>
      <c r="BE40" s="12" t="s">
        <v>326</v>
      </c>
      <c r="BF40" s="12" t="s">
        <v>326</v>
      </c>
      <c r="BG40" s="12" t="s">
        <v>326</v>
      </c>
      <c r="BI40" s="12" t="s">
        <v>326</v>
      </c>
      <c r="BJ40" s="12" t="s">
        <v>326</v>
      </c>
      <c r="BK40" s="12" t="s">
        <v>326</v>
      </c>
      <c r="BP40" s="12" t="s">
        <v>37</v>
      </c>
      <c r="BQ40" s="12" t="s">
        <v>37</v>
      </c>
      <c r="BR40" s="13" t="s">
        <v>37</v>
      </c>
      <c r="BT40" s="12" t="s">
        <v>37</v>
      </c>
      <c r="BU40" s="12" t="s">
        <v>37</v>
      </c>
      <c r="BV40" s="12" t="s">
        <v>37</v>
      </c>
      <c r="BZ40" s="12" t="s">
        <v>581</v>
      </c>
      <c r="CA40" s="12">
        <f>-233*10^4/10^3*44/12/'[6]classess-1'!$T$63</f>
        <v>-11180.604816398249</v>
      </c>
      <c r="CB40" s="15">
        <f>CB39</f>
        <v>6822.7682537892761</v>
      </c>
      <c r="CC40" s="18">
        <v>3</v>
      </c>
      <c r="CD40" s="19">
        <f t="shared" si="123"/>
        <v>0.61023248436278976</v>
      </c>
      <c r="CE40" s="15">
        <f>-347*10^4/10^3*44/12/'[6]classess-1'!$T$64</f>
        <v>-13708.481292600329</v>
      </c>
      <c r="CF40" s="15">
        <f>65*SQRT(3)*10^4/10^3*44/12</f>
        <v>4128.0544247058242</v>
      </c>
      <c r="CG40" s="18">
        <v>3</v>
      </c>
      <c r="CH40" s="19">
        <f t="shared" si="124"/>
        <v>0.30113141905326141</v>
      </c>
      <c r="CI40" s="75">
        <f t="shared" si="125"/>
        <v>-2527.8764762020801</v>
      </c>
      <c r="CJ40" s="12">
        <f t="shared" si="151"/>
        <v>5638.7498604853945</v>
      </c>
      <c r="CK40" s="72">
        <f t="shared" si="126"/>
        <v>21196999.992749367</v>
      </c>
      <c r="CL40" s="72">
        <f t="shared" si="127"/>
        <v>21196999.992749367</v>
      </c>
      <c r="CM40" s="12" t="s">
        <v>581</v>
      </c>
      <c r="CN40" s="12">
        <f>217*10^4/10^3*44/12/'[6]classess-1'!$I$63</f>
        <v>12213.258396594058</v>
      </c>
      <c r="CO40" s="15">
        <f>CO39</f>
        <v>5829.3069078214994</v>
      </c>
      <c r="CP40" s="18">
        <v>3</v>
      </c>
      <c r="CQ40" s="19">
        <f t="shared" si="128"/>
        <v>0.47729334126322365</v>
      </c>
      <c r="CR40" s="15">
        <f>365*10^4/10^3*44/12/'[6]classess-1'!$I$64</f>
        <v>16774.878609701791</v>
      </c>
      <c r="CS40" s="15">
        <f>SQRT((1/[7]Classess!$I$64)^2*(84*SQRT(3)*10^4/10^3*44/12)^2+(-CR40/([7]Classess!$I$64)^2)^2*([7]Classess!$J$64)^2)</f>
        <v>6880.9051275668298</v>
      </c>
      <c r="CT40" s="18">
        <v>3</v>
      </c>
      <c r="CU40" s="19">
        <f t="shared" si="129"/>
        <v>0.41019105339976897</v>
      </c>
      <c r="CV40" s="75">
        <f t="shared" si="130"/>
        <v>4561.6202131077334</v>
      </c>
      <c r="CW40" s="12">
        <f t="shared" si="152"/>
        <v>6376.8203048286905</v>
      </c>
      <c r="CX40" s="72">
        <f t="shared" si="131"/>
        <v>27109224.800050311</v>
      </c>
      <c r="CY40" s="72">
        <f t="shared" si="132"/>
        <v>27109224.800050315</v>
      </c>
      <c r="CZ40" s="12" t="s">
        <v>581</v>
      </c>
      <c r="DA40" s="12">
        <f t="shared" si="153"/>
        <v>1032.6535801958089</v>
      </c>
      <c r="DB40" s="15">
        <f>DB39</f>
        <v>1588.5865996086475</v>
      </c>
      <c r="DC40" s="18">
        <v>3</v>
      </c>
      <c r="DD40" s="19">
        <f t="shared" si="133"/>
        <v>1.5383538391523555</v>
      </c>
      <c r="DE40" s="12">
        <f t="shared" si="154"/>
        <v>3066.3973171014622</v>
      </c>
      <c r="DF40" s="15">
        <f>SQRT((1/[7]Classess!$I$18)^2*(18*SQRT(3)*10^4/10^3*44/12)^2+(-DE40/([7]Classess!$I$18)^2)^2*([7]Classess!$J$18)^2)</f>
        <v>896.27712667386777</v>
      </c>
      <c r="DG40" s="18">
        <v>3</v>
      </c>
      <c r="DH40" s="19">
        <f t="shared" si="134"/>
        <v>0.2922899526670214</v>
      </c>
      <c r="DI40" s="19">
        <f t="shared" si="135"/>
        <v>2033.7437369056533</v>
      </c>
      <c r="DJ40" s="12">
        <f t="shared" si="136"/>
        <v>1289.7519281348118</v>
      </c>
      <c r="DK40" s="72">
        <f t="shared" si="137"/>
        <v>1108973.3574183099</v>
      </c>
      <c r="DL40" s="72">
        <f t="shared" si="138"/>
        <v>1108973.3574183099</v>
      </c>
      <c r="DM40" s="15"/>
      <c r="DN40" s="52" t="s">
        <v>37</v>
      </c>
      <c r="DO40" s="15" t="s">
        <v>37</v>
      </c>
      <c r="DP40" s="18" t="s">
        <v>37</v>
      </c>
      <c r="DQ40" s="52"/>
      <c r="DR40" s="52" t="s">
        <v>37</v>
      </c>
      <c r="DS40" s="15" t="s">
        <v>37</v>
      </c>
      <c r="DT40" s="18" t="s">
        <v>37</v>
      </c>
      <c r="DU40" s="52"/>
      <c r="DV40" s="52"/>
      <c r="DW40" s="52"/>
      <c r="DZ40" s="15"/>
      <c r="EA40" s="52" t="s">
        <v>37</v>
      </c>
      <c r="EB40" s="52" t="s">
        <v>37</v>
      </c>
      <c r="EC40" s="73" t="s">
        <v>37</v>
      </c>
      <c r="ED40" s="52"/>
      <c r="EE40" s="52" t="s">
        <v>37</v>
      </c>
      <c r="EF40" s="52" t="s">
        <v>37</v>
      </c>
      <c r="EG40" s="15" t="s">
        <v>37</v>
      </c>
      <c r="EH40" s="52"/>
      <c r="EI40" s="52"/>
      <c r="EJ40" s="52"/>
      <c r="EK40" s="52"/>
      <c r="EL40" s="52"/>
      <c r="EM40" s="12" t="s">
        <v>39</v>
      </c>
      <c r="EN40" s="12">
        <f>EN38-9</f>
        <v>-56</v>
      </c>
      <c r="EO40" s="12">
        <v>10.1</v>
      </c>
      <c r="EP40" s="13">
        <v>3</v>
      </c>
      <c r="EQ40" s="19">
        <f t="shared" si="139"/>
        <v>0.18035714285714285</v>
      </c>
      <c r="ER40" s="12">
        <f>ER38-8</f>
        <v>-128</v>
      </c>
      <c r="ES40" s="12">
        <v>14.2</v>
      </c>
      <c r="ET40" s="13">
        <v>3</v>
      </c>
      <c r="EU40" s="19">
        <f t="shared" si="140"/>
        <v>0.11093749999999999</v>
      </c>
      <c r="EV40" s="19">
        <f t="shared" si="141"/>
        <v>-72</v>
      </c>
      <c r="EW40" s="12">
        <f t="shared" si="142"/>
        <v>12.321728774810781</v>
      </c>
      <c r="EX40" s="19">
        <f t="shared" si="143"/>
        <v>101.21666666666665</v>
      </c>
      <c r="EY40" s="19">
        <f t="shared" si="144"/>
        <v>101.21666666666665</v>
      </c>
      <c r="FB40" s="11" t="s">
        <v>37</v>
      </c>
      <c r="FC40" s="11" t="s">
        <v>37</v>
      </c>
      <c r="FD40" s="11" t="s">
        <v>37</v>
      </c>
      <c r="FE40" s="12" t="s">
        <v>37</v>
      </c>
      <c r="FF40" s="20" t="s">
        <v>37</v>
      </c>
      <c r="FG40" s="11" t="s">
        <v>37</v>
      </c>
      <c r="FI40" s="11" t="s">
        <v>37</v>
      </c>
      <c r="FJ40" s="11" t="s">
        <v>37</v>
      </c>
      <c r="FK40" s="11" t="s">
        <v>37</v>
      </c>
      <c r="FL40" s="13" t="s">
        <v>37</v>
      </c>
      <c r="FM40" s="11" t="s">
        <v>37</v>
      </c>
      <c r="FN40" s="11" t="s">
        <v>37</v>
      </c>
      <c r="FP40" s="11" t="s">
        <v>37</v>
      </c>
      <c r="FQ40" s="11" t="s">
        <v>37</v>
      </c>
      <c r="FR40" s="11" t="s">
        <v>37</v>
      </c>
      <c r="FS40" s="13" t="s">
        <v>37</v>
      </c>
      <c r="FT40" s="11" t="s">
        <v>37</v>
      </c>
      <c r="FU40" s="11" t="s">
        <v>37</v>
      </c>
      <c r="FW40" s="11" t="s">
        <v>37</v>
      </c>
      <c r="FX40" s="11" t="s">
        <v>37</v>
      </c>
      <c r="FY40" s="11" t="s">
        <v>37</v>
      </c>
      <c r="FZ40" s="13" t="s">
        <v>37</v>
      </c>
      <c r="GA40" s="11" t="s">
        <v>37</v>
      </c>
      <c r="GB40" s="11" t="s">
        <v>37</v>
      </c>
      <c r="GO40" s="12" t="s">
        <v>660</v>
      </c>
      <c r="GP40" s="12" t="s">
        <v>330</v>
      </c>
      <c r="GQ40" s="12">
        <v>12.3</v>
      </c>
      <c r="GR40" s="12">
        <v>0.2</v>
      </c>
      <c r="GS40" s="13">
        <v>3</v>
      </c>
      <c r="GT40" s="19">
        <f t="shared" si="145"/>
        <v>1.6260162601626015E-2</v>
      </c>
      <c r="GU40" s="12">
        <v>13.7</v>
      </c>
      <c r="GV40" s="12">
        <v>0.1</v>
      </c>
      <c r="GW40" s="13">
        <v>3</v>
      </c>
      <c r="GX40" s="19">
        <f t="shared" si="146"/>
        <v>7.2992700729927014E-3</v>
      </c>
      <c r="GY40" s="19">
        <f t="shared" si="162"/>
        <v>0.10779657045570738</v>
      </c>
      <c r="GZ40" s="19">
        <f t="shared" si="119"/>
        <v>1.0589074380993474E-4</v>
      </c>
      <c r="HA40" s="12"/>
      <c r="HB40" s="32"/>
      <c r="HM40" s="32"/>
      <c r="IK40" s="12" t="s">
        <v>37</v>
      </c>
      <c r="IL40" s="12" t="s">
        <v>37</v>
      </c>
      <c r="IM40" s="13" t="s">
        <v>37</v>
      </c>
      <c r="IO40" s="12" t="s">
        <v>37</v>
      </c>
      <c r="IP40" s="12" t="s">
        <v>37</v>
      </c>
      <c r="IQ40" s="13" t="s">
        <v>37</v>
      </c>
      <c r="IV40" s="32" t="s">
        <v>345</v>
      </c>
      <c r="IW40" s="12">
        <v>4.0999999999999996</v>
      </c>
      <c r="IX40" s="12">
        <v>0.1</v>
      </c>
      <c r="IY40" s="13">
        <v>3</v>
      </c>
      <c r="IZ40" s="19">
        <f t="shared" si="147"/>
        <v>2.4390243902439029E-2</v>
      </c>
      <c r="JH40" s="12" t="s">
        <v>37</v>
      </c>
      <c r="JI40" s="12" t="s">
        <v>37</v>
      </c>
      <c r="JJ40" s="13" t="s">
        <v>37</v>
      </c>
      <c r="JL40" s="12" t="s">
        <v>37</v>
      </c>
      <c r="JM40" s="12" t="s">
        <v>37</v>
      </c>
      <c r="JN40" s="12" t="s">
        <v>37</v>
      </c>
      <c r="JS40" s="12" t="s">
        <v>37</v>
      </c>
      <c r="JT40" s="12" t="s">
        <v>37</v>
      </c>
      <c r="JU40" s="13" t="s">
        <v>37</v>
      </c>
      <c r="JW40" s="12" t="s">
        <v>37</v>
      </c>
      <c r="JX40" s="12" t="s">
        <v>37</v>
      </c>
      <c r="JY40" s="12" t="s">
        <v>37</v>
      </c>
      <c r="KE40" s="11" t="s">
        <v>37</v>
      </c>
      <c r="KF40" s="11" t="s">
        <v>37</v>
      </c>
      <c r="KG40" s="13" t="s">
        <v>37</v>
      </c>
      <c r="KH40" s="11" t="s">
        <v>37</v>
      </c>
      <c r="KI40" s="11" t="s">
        <v>37</v>
      </c>
      <c r="KJ40" s="11" t="s">
        <v>37</v>
      </c>
      <c r="KM40" s="12" t="s">
        <v>37</v>
      </c>
      <c r="KN40" s="12" t="s">
        <v>37</v>
      </c>
      <c r="KO40" s="11" t="s">
        <v>37</v>
      </c>
      <c r="KQ40" s="12" t="s">
        <v>37</v>
      </c>
      <c r="KR40" s="12" t="s">
        <v>37</v>
      </c>
      <c r="KS40" s="13" t="s">
        <v>37</v>
      </c>
      <c r="KX40" s="12" t="s">
        <v>37</v>
      </c>
      <c r="KY40" s="12" t="s">
        <v>37</v>
      </c>
      <c r="KZ40" s="13" t="s">
        <v>37</v>
      </c>
      <c r="LB40" s="12" t="s">
        <v>37</v>
      </c>
      <c r="LC40" s="12" t="s">
        <v>37</v>
      </c>
      <c r="LD40" s="13" t="s">
        <v>37</v>
      </c>
      <c r="LI40" s="12" t="s">
        <v>37</v>
      </c>
      <c r="LJ40" s="12" t="s">
        <v>37</v>
      </c>
      <c r="LK40" s="12" t="s">
        <v>37</v>
      </c>
      <c r="LM40" s="12" t="s">
        <v>37</v>
      </c>
      <c r="LN40" s="12" t="s">
        <v>37</v>
      </c>
      <c r="LO40" s="12" t="s">
        <v>37</v>
      </c>
      <c r="LU40" s="12" t="s">
        <v>37</v>
      </c>
      <c r="LV40" s="12" t="s">
        <v>37</v>
      </c>
      <c r="LW40" s="13" t="s">
        <v>37</v>
      </c>
      <c r="LY40" s="12" t="s">
        <v>37</v>
      </c>
      <c r="LZ40" s="12" t="s">
        <v>37</v>
      </c>
      <c r="MA40" s="12" t="s">
        <v>37</v>
      </c>
      <c r="MF40" s="12" t="s">
        <v>37</v>
      </c>
      <c r="MG40" s="12" t="s">
        <v>37</v>
      </c>
      <c r="MH40" s="12" t="s">
        <v>37</v>
      </c>
      <c r="MJ40" s="12" t="s">
        <v>37</v>
      </c>
      <c r="MK40" s="12" t="s">
        <v>37</v>
      </c>
      <c r="ML40" s="12" t="s">
        <v>37</v>
      </c>
      <c r="MQ40" s="12" t="s">
        <v>37</v>
      </c>
      <c r="MR40" s="12" t="s">
        <v>37</v>
      </c>
      <c r="MS40" s="12" t="s">
        <v>37</v>
      </c>
      <c r="MU40" s="12" t="s">
        <v>37</v>
      </c>
      <c r="MV40" s="12" t="s">
        <v>37</v>
      </c>
      <c r="MW40" s="12" t="s">
        <v>37</v>
      </c>
      <c r="NC40" s="12" t="s">
        <v>37</v>
      </c>
      <c r="ND40" s="12" t="s">
        <v>37</v>
      </c>
      <c r="NE40" s="13" t="s">
        <v>37</v>
      </c>
      <c r="NG40" s="12" t="s">
        <v>37</v>
      </c>
      <c r="NH40" s="12" t="s">
        <v>37</v>
      </c>
      <c r="NI40" s="13" t="s">
        <v>37</v>
      </c>
      <c r="NO40" s="12" t="s">
        <v>37</v>
      </c>
      <c r="NP40" s="12" t="s">
        <v>37</v>
      </c>
      <c r="NQ40" s="13" t="s">
        <v>37</v>
      </c>
      <c r="NS40" s="12" t="s">
        <v>37</v>
      </c>
      <c r="NT40" s="12" t="s">
        <v>37</v>
      </c>
      <c r="NU40" s="13" t="s">
        <v>37</v>
      </c>
      <c r="OA40" s="11" t="s">
        <v>37</v>
      </c>
      <c r="OB40" s="11" t="s">
        <v>37</v>
      </c>
      <c r="OC40" s="13" t="s">
        <v>37</v>
      </c>
      <c r="OE40" s="11" t="s">
        <v>37</v>
      </c>
      <c r="OF40" s="11" t="s">
        <v>37</v>
      </c>
      <c r="OG40" s="13" t="s">
        <v>37</v>
      </c>
      <c r="OM40" s="11" t="s">
        <v>37</v>
      </c>
      <c r="ON40" s="11" t="s">
        <v>37</v>
      </c>
      <c r="OO40" s="11" t="s">
        <v>37</v>
      </c>
      <c r="OP40" s="11" t="s">
        <v>37</v>
      </c>
      <c r="OQ40" s="11" t="s">
        <v>37</v>
      </c>
      <c r="OR40" s="11" t="s">
        <v>37</v>
      </c>
      <c r="OW40" s="11" t="s">
        <v>37</v>
      </c>
      <c r="OX40" s="11" t="s">
        <v>37</v>
      </c>
      <c r="OY40" s="13" t="s">
        <v>37</v>
      </c>
      <c r="OZ40" s="11" t="s">
        <v>37</v>
      </c>
      <c r="PA40" s="11" t="s">
        <v>37</v>
      </c>
      <c r="PB40" s="13" t="s">
        <v>37</v>
      </c>
      <c r="PG40" s="11" t="s">
        <v>37</v>
      </c>
      <c r="PH40" s="11" t="s">
        <v>37</v>
      </c>
      <c r="PI40" s="13" t="s">
        <v>37</v>
      </c>
      <c r="PJ40" s="11" t="s">
        <v>37</v>
      </c>
      <c r="PK40" s="11" t="s">
        <v>37</v>
      </c>
      <c r="PL40" s="13" t="s">
        <v>37</v>
      </c>
      <c r="PQ40" s="11" t="s">
        <v>37</v>
      </c>
      <c r="PR40" s="11" t="s">
        <v>37</v>
      </c>
      <c r="PS40" s="13" t="s">
        <v>37</v>
      </c>
      <c r="PT40" s="11" t="s">
        <v>37</v>
      </c>
      <c r="PU40" s="11" t="s">
        <v>37</v>
      </c>
      <c r="PV40" s="13" t="s">
        <v>37</v>
      </c>
      <c r="PY40" s="12" t="s">
        <v>43</v>
      </c>
      <c r="PZ40" s="12">
        <v>399</v>
      </c>
      <c r="QA40" s="12">
        <f t="shared" si="159"/>
        <v>41.569219381653056</v>
      </c>
      <c r="QB40" s="11">
        <v>3</v>
      </c>
      <c r="QC40" s="19">
        <f t="shared" si="155"/>
        <v>0.10418350722218811</v>
      </c>
      <c r="QD40" s="12">
        <v>643</v>
      </c>
      <c r="QE40" s="12">
        <f t="shared" ref="QE40" si="167">18*SQRT(3)</f>
        <v>31.176914536239789</v>
      </c>
      <c r="QF40" s="13">
        <v>3</v>
      </c>
      <c r="QG40" s="19">
        <f t="shared" si="156"/>
        <v>4.848664780130605E-2</v>
      </c>
      <c r="QH40" s="19">
        <f t="shared" si="148"/>
        <v>0.47718330734775594</v>
      </c>
      <c r="QI40" s="19">
        <f t="shared" si="149"/>
        <v>4.4017193973745396E-3</v>
      </c>
      <c r="QJ40" s="12" t="s">
        <v>43</v>
      </c>
      <c r="QK40" s="12">
        <v>568</v>
      </c>
      <c r="QL40" s="12">
        <f t="shared" si="157"/>
        <v>83.138438763306112</v>
      </c>
      <c r="QM40" s="13">
        <v>3</v>
      </c>
      <c r="QN40" s="12">
        <v>925</v>
      </c>
      <c r="QO40" s="12">
        <f t="shared" ref="QO40" si="168">247*SQRT(3)</f>
        <v>427.81654946951267</v>
      </c>
      <c r="QP40" s="13">
        <v>3</v>
      </c>
      <c r="QQ40" s="19">
        <f t="shared" si="158"/>
        <v>0.48767231879127393</v>
      </c>
      <c r="QR40" s="19">
        <f t="shared" si="150"/>
        <v>7.8444873353331016E-2</v>
      </c>
      <c r="QU40" s="11" t="s">
        <v>37</v>
      </c>
      <c r="QV40" s="11" t="s">
        <v>37</v>
      </c>
      <c r="QW40" s="13" t="s">
        <v>37</v>
      </c>
      <c r="QX40" s="11" t="s">
        <v>37</v>
      </c>
      <c r="QY40" s="11" t="s">
        <v>37</v>
      </c>
      <c r="QZ40" s="13" t="s">
        <v>37</v>
      </c>
      <c r="RC40" s="12" t="s">
        <v>37</v>
      </c>
      <c r="RD40" s="12" t="s">
        <v>37</v>
      </c>
      <c r="RE40" s="13" t="s">
        <v>37</v>
      </c>
      <c r="RF40" s="12" t="s">
        <v>37</v>
      </c>
      <c r="RG40" s="12" t="s">
        <v>37</v>
      </c>
      <c r="RH40" s="13" t="s">
        <v>37</v>
      </c>
      <c r="RK40" s="11" t="s">
        <v>37</v>
      </c>
      <c r="RL40" s="11" t="s">
        <v>37</v>
      </c>
      <c r="RM40" s="11" t="s">
        <v>37</v>
      </c>
      <c r="RN40" s="11" t="s">
        <v>37</v>
      </c>
      <c r="RO40" s="11" t="s">
        <v>37</v>
      </c>
      <c r="RP40" s="11" t="s">
        <v>37</v>
      </c>
      <c r="RS40" s="11" t="s">
        <v>37</v>
      </c>
      <c r="RT40" s="11" t="s">
        <v>37</v>
      </c>
      <c r="RU40" s="11" t="s">
        <v>37</v>
      </c>
      <c r="RV40" s="11" t="s">
        <v>37</v>
      </c>
      <c r="RW40" s="11" t="s">
        <v>37</v>
      </c>
      <c r="RX40" s="11" t="s">
        <v>37</v>
      </c>
      <c r="SA40" s="11" t="s">
        <v>37</v>
      </c>
      <c r="SB40" s="11" t="s">
        <v>37</v>
      </c>
      <c r="SC40" s="13" t="s">
        <v>37</v>
      </c>
      <c r="SD40" s="11" t="s">
        <v>37</v>
      </c>
      <c r="SE40" s="11" t="s">
        <v>37</v>
      </c>
      <c r="SF40" s="13" t="s">
        <v>37</v>
      </c>
      <c r="SI40" s="12" t="s">
        <v>37</v>
      </c>
      <c r="SJ40" s="11" t="s">
        <v>37</v>
      </c>
      <c r="SK40" s="13" t="s">
        <v>37</v>
      </c>
      <c r="SM40" s="11" t="s">
        <v>37</v>
      </c>
      <c r="SN40" s="11" t="s">
        <v>37</v>
      </c>
      <c r="SO40" s="13" t="s">
        <v>37</v>
      </c>
      <c r="SU40" s="12" t="s">
        <v>37</v>
      </c>
      <c r="SV40" s="12" t="s">
        <v>37</v>
      </c>
      <c r="SW40" s="11" t="s">
        <v>37</v>
      </c>
      <c r="SX40" s="12" t="s">
        <v>37</v>
      </c>
      <c r="SY40" s="12" t="s">
        <v>37</v>
      </c>
      <c r="SZ40" s="11" t="s">
        <v>37</v>
      </c>
      <c r="TE40" s="12" t="s">
        <v>37</v>
      </c>
      <c r="TF40" s="12" t="s">
        <v>37</v>
      </c>
      <c r="TG40" s="11" t="s">
        <v>37</v>
      </c>
      <c r="TH40" s="12" t="s">
        <v>37</v>
      </c>
      <c r="TI40" s="12" t="s">
        <v>37</v>
      </c>
      <c r="TJ40" s="11" t="s">
        <v>37</v>
      </c>
      <c r="TO40" s="12" t="s">
        <v>37</v>
      </c>
      <c r="TP40" s="12" t="s">
        <v>37</v>
      </c>
      <c r="TQ40" s="11" t="s">
        <v>37</v>
      </c>
      <c r="TR40" s="12" t="s">
        <v>37</v>
      </c>
      <c r="TS40" s="12" t="s">
        <v>37</v>
      </c>
      <c r="TT40" s="11" t="s">
        <v>37</v>
      </c>
      <c r="TY40" s="12" t="s">
        <v>37</v>
      </c>
      <c r="TZ40" s="12" t="s">
        <v>37</v>
      </c>
      <c r="UA40" s="11" t="s">
        <v>37</v>
      </c>
      <c r="UB40" s="12" t="s">
        <v>37</v>
      </c>
      <c r="UC40" s="12" t="s">
        <v>37</v>
      </c>
      <c r="UD40" s="11" t="s">
        <v>37</v>
      </c>
      <c r="UI40" s="12" t="s">
        <v>37</v>
      </c>
      <c r="UJ40" s="12" t="s">
        <v>37</v>
      </c>
      <c r="UK40" s="13" t="s">
        <v>37</v>
      </c>
      <c r="UL40" s="12" t="s">
        <v>37</v>
      </c>
      <c r="UM40" s="12" t="s">
        <v>37</v>
      </c>
      <c r="UN40" s="13" t="s">
        <v>37</v>
      </c>
      <c r="UR40" s="12" t="s">
        <v>37</v>
      </c>
      <c r="US40" s="12" t="s">
        <v>37</v>
      </c>
      <c r="UT40" s="13" t="s">
        <v>37</v>
      </c>
      <c r="UU40" s="12" t="s">
        <v>37</v>
      </c>
      <c r="UV40" s="12" t="s">
        <v>37</v>
      </c>
      <c r="UW40" s="13" t="s">
        <v>37</v>
      </c>
      <c r="VB40" s="12" t="s">
        <v>37</v>
      </c>
      <c r="VC40" s="12" t="s">
        <v>37</v>
      </c>
      <c r="VD40" s="13" t="s">
        <v>37</v>
      </c>
      <c r="VE40" s="12" t="s">
        <v>37</v>
      </c>
      <c r="VF40" s="12" t="s">
        <v>37</v>
      </c>
      <c r="VG40" s="13" t="s">
        <v>37</v>
      </c>
      <c r="VI40" s="12" t="s">
        <v>37</v>
      </c>
      <c r="VJ40" s="12" t="s">
        <v>37</v>
      </c>
      <c r="VK40" s="13" t="s">
        <v>37</v>
      </c>
      <c r="VL40" s="12" t="s">
        <v>37</v>
      </c>
      <c r="VM40" s="12" t="s">
        <v>37</v>
      </c>
      <c r="VN40" s="13" t="s">
        <v>37</v>
      </c>
      <c r="VO40" s="12" t="s">
        <v>37</v>
      </c>
      <c r="VQ40" s="12" t="s">
        <v>37</v>
      </c>
      <c r="VR40" s="12" t="s">
        <v>37</v>
      </c>
      <c r="VS40" s="12" t="s">
        <v>37</v>
      </c>
      <c r="VT40" s="12" t="s">
        <v>37</v>
      </c>
      <c r="VU40" s="12" t="s">
        <v>37</v>
      </c>
      <c r="VV40" s="12" t="s">
        <v>37</v>
      </c>
      <c r="VW40" s="12"/>
      <c r="VX40" s="12"/>
      <c r="WA40" s="13" t="s">
        <v>37</v>
      </c>
      <c r="WB40" s="13" t="s">
        <v>37</v>
      </c>
      <c r="WC40" s="13" t="s">
        <v>37</v>
      </c>
      <c r="WD40" s="13" t="s">
        <v>37</v>
      </c>
      <c r="WE40" s="13" t="s">
        <v>37</v>
      </c>
      <c r="WF40" s="13" t="s">
        <v>37</v>
      </c>
    </row>
    <row r="41" spans="1:604" ht="18" customHeight="1" x14ac:dyDescent="0.4">
      <c r="A41" s="11">
        <v>11</v>
      </c>
      <c r="B41" s="12" t="s">
        <v>110</v>
      </c>
      <c r="C41" s="12" t="s">
        <v>26</v>
      </c>
      <c r="D41" s="12" t="s">
        <v>973</v>
      </c>
      <c r="E41" s="81">
        <v>4.5</v>
      </c>
      <c r="F41" s="14">
        <v>0</v>
      </c>
      <c r="G41" s="14">
        <v>0</v>
      </c>
      <c r="H41" s="12" t="s">
        <v>91</v>
      </c>
      <c r="I41" s="29">
        <v>55.35</v>
      </c>
      <c r="J41" s="29">
        <v>-112.517</v>
      </c>
      <c r="K41" s="12" t="s">
        <v>696</v>
      </c>
      <c r="L41" s="12" t="s">
        <v>697</v>
      </c>
      <c r="M41" s="13" t="s">
        <v>37</v>
      </c>
      <c r="N41" s="14">
        <v>2.1</v>
      </c>
      <c r="O41" s="14">
        <v>504</v>
      </c>
      <c r="P41" s="14" t="s">
        <v>84</v>
      </c>
      <c r="Q41" s="75">
        <v>1</v>
      </c>
      <c r="R41" s="11" t="s">
        <v>999</v>
      </c>
      <c r="S41" s="12" t="s">
        <v>93</v>
      </c>
      <c r="T41" s="12" t="s">
        <v>141</v>
      </c>
      <c r="U41" s="12" t="s">
        <v>334</v>
      </c>
      <c r="V41" s="12" t="s">
        <v>275</v>
      </c>
      <c r="W41" s="23" t="s">
        <v>500</v>
      </c>
      <c r="X41" s="12" t="s">
        <v>281</v>
      </c>
      <c r="Y41" s="12" t="s">
        <v>69</v>
      </c>
      <c r="Z41" s="12" t="s">
        <v>37</v>
      </c>
      <c r="AA41" s="32" t="s">
        <v>345</v>
      </c>
      <c r="AB41" s="12">
        <v>4.0999999999999996</v>
      </c>
      <c r="AE41" s="12" t="s">
        <v>37</v>
      </c>
      <c r="AH41" s="12" t="s">
        <v>37</v>
      </c>
      <c r="AK41" s="12" t="s">
        <v>37</v>
      </c>
      <c r="AL41" s="32" t="s">
        <v>496</v>
      </c>
      <c r="AM41" s="12" t="s">
        <v>317</v>
      </c>
      <c r="AN41" s="32" t="s">
        <v>879</v>
      </c>
      <c r="AO41" s="12" t="s">
        <v>318</v>
      </c>
      <c r="AP41" s="12" t="s">
        <v>108</v>
      </c>
      <c r="AQ41" s="12" t="s">
        <v>975</v>
      </c>
      <c r="AT41" s="12" t="s">
        <v>326</v>
      </c>
      <c r="AU41" s="12" t="s">
        <v>326</v>
      </c>
      <c r="AV41" s="13" t="s">
        <v>326</v>
      </c>
      <c r="AX41" s="12" t="s">
        <v>326</v>
      </c>
      <c r="AY41" s="12" t="s">
        <v>326</v>
      </c>
      <c r="AZ41" s="13" t="s">
        <v>326</v>
      </c>
      <c r="BE41" s="12" t="s">
        <v>326</v>
      </c>
      <c r="BF41" s="12" t="s">
        <v>326</v>
      </c>
      <c r="BG41" s="12" t="s">
        <v>326</v>
      </c>
      <c r="BI41" s="12" t="s">
        <v>326</v>
      </c>
      <c r="BJ41" s="12" t="s">
        <v>326</v>
      </c>
      <c r="BK41" s="12" t="s">
        <v>326</v>
      </c>
      <c r="BP41" s="12" t="s">
        <v>37</v>
      </c>
      <c r="BQ41" s="12" t="s">
        <v>37</v>
      </c>
      <c r="BR41" s="13" t="s">
        <v>37</v>
      </c>
      <c r="BT41" s="12" t="s">
        <v>37</v>
      </c>
      <c r="BU41" s="12" t="s">
        <v>37</v>
      </c>
      <c r="BV41" s="12" t="s">
        <v>37</v>
      </c>
      <c r="BZ41" s="12" t="s">
        <v>581</v>
      </c>
      <c r="CA41" s="12">
        <f>-178*10^4/10^3*44/12/'[6]classess-1'!$T$65</f>
        <v>-7247.1260453614086</v>
      </c>
      <c r="CB41" s="15">
        <f>SQRT((1/[7]Classess!$T$65)^2*(29*SQRT(3)*10^4/10^3*44/12)^2+(-CA41/([7]Classess!$T$65)^2)^2*([7]Classess!$U$65)^2)</f>
        <v>2100.9616035887611</v>
      </c>
      <c r="CC41" s="18">
        <v>3</v>
      </c>
      <c r="CD41" s="19">
        <f t="shared" si="123"/>
        <v>0.28990272701735353</v>
      </c>
      <c r="CE41" s="15">
        <f>-102*10^4/10^3*44/12/'[6]classess-1'!$T$66</f>
        <v>-4029.5823972485118</v>
      </c>
      <c r="CF41" s="15">
        <f>52*SQRT(3)*10^4/10^3*44/12</f>
        <v>3302.4435397646589</v>
      </c>
      <c r="CG41" s="18">
        <v>3</v>
      </c>
      <c r="CH41" s="19">
        <f t="shared" si="124"/>
        <v>0.81954982283515054</v>
      </c>
      <c r="CI41" s="75">
        <f>CE41-CA41</f>
        <v>3217.5436481128968</v>
      </c>
      <c r="CJ41" s="12">
        <f t="shared" si="151"/>
        <v>2767.6861268113107</v>
      </c>
      <c r="CK41" s="72">
        <f t="shared" si="126"/>
        <v>5106724.3310291963</v>
      </c>
      <c r="CL41" s="72">
        <f t="shared" si="127"/>
        <v>5106724.3310291963</v>
      </c>
      <c r="CM41" s="12" t="s">
        <v>581</v>
      </c>
      <c r="CN41" s="12">
        <f>130*10^4/10^3*44/12/'[6]classess-1'!$I$65</f>
        <v>6440.2877983621229</v>
      </c>
      <c r="CO41" s="15">
        <f>SQRT((1/[7]Classess!$I$65)^2*(21*SQRT(3)*10^4/10^3*44/12)^2+(-CN41/([7]Classess!$I$65)^2)^2*([7]Classess!$J$65)^2)</f>
        <v>2181.3507268282779</v>
      </c>
      <c r="CP41" s="18">
        <v>3</v>
      </c>
      <c r="CQ41" s="19">
        <f t="shared" si="128"/>
        <v>0.33870392055818271</v>
      </c>
      <c r="CR41" s="15">
        <f>349*10^4/10^3*44/12/'[6]classess-1'!$I$66</f>
        <v>16039.541465166916</v>
      </c>
      <c r="CS41" s="15">
        <f>SQRT((1/[7]Classess!$I$66)^2*(89*SQRT(3)*10^4/10^3*44/12)^2+(-CR41/([7]Classess!$I$66)^2)^2*([7]Classess!$J$66)^2)</f>
        <v>7252.7203244742068</v>
      </c>
      <c r="CT41" s="18">
        <v>3</v>
      </c>
      <c r="CU41" s="19">
        <f t="shared" si="129"/>
        <v>0.45217753513870362</v>
      </c>
      <c r="CV41" s="75">
        <f t="shared" si="130"/>
        <v>9599.2536668047942</v>
      </c>
      <c r="CW41" s="12">
        <f t="shared" si="152"/>
        <v>5355.3824839349945</v>
      </c>
      <c r="CX41" s="72">
        <f t="shared" si="131"/>
        <v>19120081.032825164</v>
      </c>
      <c r="CY41" s="72">
        <f t="shared" si="132"/>
        <v>19120081.032825164</v>
      </c>
      <c r="CZ41" s="12" t="s">
        <v>581</v>
      </c>
      <c r="DA41" s="12">
        <f>CA41+CN41</f>
        <v>-806.83824699928573</v>
      </c>
      <c r="DB41" s="15">
        <f>SQRT((1/[7]Classess!$I$19)^2*(9*SQRT(3)*10^4/10^3*44/12)^2+(-DA41/([7]Classess!$I$19)^2)^2*([7]Classess!$J$19)^2)</f>
        <v>461.4050593199143</v>
      </c>
      <c r="DC41" s="18">
        <v>3</v>
      </c>
      <c r="DD41" s="19">
        <f t="shared" si="133"/>
        <v>0.5718681049589891</v>
      </c>
      <c r="DE41" s="12">
        <f>CE41+CR41</f>
        <v>12009.959067918404</v>
      </c>
      <c r="DF41" s="15">
        <f>SQRT((1/[7]Classess!$I$20)^2*(55*SQRT(3)*10^4/10^3*44/12)^2+(-DE41/([7]Classess!$I$20)^2)^2*([7]Classess!$J$20)^2)</f>
        <v>2892.3831674824651</v>
      </c>
      <c r="DG41" s="18">
        <v>3</v>
      </c>
      <c r="DH41" s="19">
        <f t="shared" si="134"/>
        <v>0.24083205872106109</v>
      </c>
      <c r="DI41" s="19">
        <f t="shared" si="135"/>
        <v>12816.797314917691</v>
      </c>
      <c r="DJ41" s="12">
        <f t="shared" si="136"/>
        <v>2071.0836555173128</v>
      </c>
      <c r="DK41" s="72">
        <f t="shared" si="137"/>
        <v>2859591.6721006371</v>
      </c>
      <c r="DL41" s="72">
        <f t="shared" si="138"/>
        <v>2859591.6721006376</v>
      </c>
      <c r="DM41" s="15"/>
      <c r="DN41" s="52" t="s">
        <v>37</v>
      </c>
      <c r="DO41" s="15" t="s">
        <v>37</v>
      </c>
      <c r="DP41" s="18" t="s">
        <v>37</v>
      </c>
      <c r="DQ41" s="52"/>
      <c r="DR41" s="52" t="s">
        <v>37</v>
      </c>
      <c r="DS41" s="15" t="s">
        <v>37</v>
      </c>
      <c r="DT41" s="18" t="s">
        <v>37</v>
      </c>
      <c r="DU41" s="52"/>
      <c r="DV41" s="52"/>
      <c r="DW41" s="52"/>
      <c r="DZ41" s="15"/>
      <c r="EA41" s="52" t="s">
        <v>37</v>
      </c>
      <c r="EB41" s="52" t="s">
        <v>37</v>
      </c>
      <c r="EC41" s="73" t="s">
        <v>37</v>
      </c>
      <c r="ED41" s="52"/>
      <c r="EE41" s="52" t="s">
        <v>37</v>
      </c>
      <c r="EF41" s="52" t="s">
        <v>37</v>
      </c>
      <c r="EG41" s="15" t="s">
        <v>37</v>
      </c>
      <c r="EH41" s="52"/>
      <c r="EI41" s="52"/>
      <c r="EJ41" s="52"/>
      <c r="EK41" s="52"/>
      <c r="EL41" s="52"/>
      <c r="EM41" s="12" t="s">
        <v>39</v>
      </c>
      <c r="EN41" s="12">
        <v>-38</v>
      </c>
      <c r="EO41" s="12">
        <v>7.6</v>
      </c>
      <c r="EP41" s="13">
        <v>3</v>
      </c>
      <c r="EQ41" s="19">
        <f t="shared" si="139"/>
        <v>0.19999999999999998</v>
      </c>
      <c r="ER41" s="12">
        <v>-73</v>
      </c>
      <c r="ES41" s="12">
        <v>10.3</v>
      </c>
      <c r="ET41" s="13">
        <v>3</v>
      </c>
      <c r="EU41" s="19">
        <f t="shared" si="140"/>
        <v>0.14109589041095891</v>
      </c>
      <c r="EV41" s="19">
        <f t="shared" si="141"/>
        <v>-35</v>
      </c>
      <c r="EW41" s="12">
        <f t="shared" si="142"/>
        <v>9.0512430085596538</v>
      </c>
      <c r="EX41" s="19">
        <f t="shared" si="143"/>
        <v>54.616666666666674</v>
      </c>
      <c r="EY41" s="19">
        <f t="shared" si="144"/>
        <v>54.616666666666674</v>
      </c>
      <c r="FB41" s="11" t="s">
        <v>37</v>
      </c>
      <c r="FC41" s="11" t="s">
        <v>37</v>
      </c>
      <c r="FD41" s="11" t="s">
        <v>37</v>
      </c>
      <c r="FE41" s="12" t="s">
        <v>37</v>
      </c>
      <c r="FF41" s="20" t="s">
        <v>37</v>
      </c>
      <c r="FG41" s="11" t="s">
        <v>37</v>
      </c>
      <c r="FI41" s="11" t="s">
        <v>37</v>
      </c>
      <c r="FJ41" s="11" t="s">
        <v>37</v>
      </c>
      <c r="FK41" s="11" t="s">
        <v>37</v>
      </c>
      <c r="FL41" s="13" t="s">
        <v>37</v>
      </c>
      <c r="FM41" s="11" t="s">
        <v>37</v>
      </c>
      <c r="FN41" s="11" t="s">
        <v>37</v>
      </c>
      <c r="FP41" s="11" t="s">
        <v>37</v>
      </c>
      <c r="FQ41" s="11" t="s">
        <v>37</v>
      </c>
      <c r="FR41" s="11" t="s">
        <v>37</v>
      </c>
      <c r="FS41" s="13" t="s">
        <v>37</v>
      </c>
      <c r="FT41" s="11" t="s">
        <v>37</v>
      </c>
      <c r="FU41" s="11" t="s">
        <v>37</v>
      </c>
      <c r="FW41" s="11" t="s">
        <v>37</v>
      </c>
      <c r="FX41" s="11" t="s">
        <v>37</v>
      </c>
      <c r="FY41" s="11" t="s">
        <v>37</v>
      </c>
      <c r="FZ41" s="13" t="s">
        <v>37</v>
      </c>
      <c r="GA41" s="11" t="s">
        <v>37</v>
      </c>
      <c r="GB41" s="11" t="s">
        <v>37</v>
      </c>
      <c r="GO41" s="12" t="s">
        <v>660</v>
      </c>
      <c r="GP41" s="12" t="s">
        <v>330</v>
      </c>
      <c r="GQ41" s="12">
        <v>12.3</v>
      </c>
      <c r="GR41" s="12">
        <v>5.0000000000000001E-3</v>
      </c>
      <c r="GS41" s="13">
        <v>3</v>
      </c>
      <c r="GT41" s="19">
        <f t="shared" si="145"/>
        <v>4.0650406504065041E-4</v>
      </c>
      <c r="GU41" s="12">
        <v>13.1</v>
      </c>
      <c r="GV41" s="12">
        <v>0.1</v>
      </c>
      <c r="GW41" s="13">
        <v>3</v>
      </c>
      <c r="GX41" s="19">
        <f t="shared" si="146"/>
        <v>7.6335877862595426E-3</v>
      </c>
      <c r="GY41" s="19">
        <f t="shared" si="162"/>
        <v>6.301296782873396E-2</v>
      </c>
      <c r="GZ41" s="19">
        <f t="shared" ref="GZ41:GZ55" si="169">GV41^2/(GW41*GU41^2)+GR41^2/(GS41*GQ41^2)</f>
        <v>1.9478969348475148E-5</v>
      </c>
      <c r="IK41" s="12" t="s">
        <v>37</v>
      </c>
      <c r="IL41" s="12" t="s">
        <v>37</v>
      </c>
      <c r="IM41" s="13" t="s">
        <v>37</v>
      </c>
      <c r="IO41" s="12" t="s">
        <v>37</v>
      </c>
      <c r="IP41" s="12" t="s">
        <v>37</v>
      </c>
      <c r="IQ41" s="13" t="s">
        <v>37</v>
      </c>
      <c r="IV41" s="32" t="s">
        <v>345</v>
      </c>
      <c r="IW41" s="12">
        <v>4.0999999999999996</v>
      </c>
      <c r="IX41" s="12">
        <v>0.1</v>
      </c>
      <c r="IY41" s="13">
        <v>3</v>
      </c>
      <c r="IZ41" s="19">
        <f t="shared" si="147"/>
        <v>2.4390243902439029E-2</v>
      </c>
      <c r="JH41" s="12" t="s">
        <v>37</v>
      </c>
      <c r="JI41" s="12" t="s">
        <v>37</v>
      </c>
      <c r="JJ41" s="13" t="s">
        <v>37</v>
      </c>
      <c r="JL41" s="12" t="s">
        <v>37</v>
      </c>
      <c r="JM41" s="12" t="s">
        <v>37</v>
      </c>
      <c r="JN41" s="12" t="s">
        <v>37</v>
      </c>
      <c r="JS41" s="12" t="s">
        <v>37</v>
      </c>
      <c r="JT41" s="12" t="s">
        <v>37</v>
      </c>
      <c r="JU41" s="13" t="s">
        <v>37</v>
      </c>
      <c r="JW41" s="12" t="s">
        <v>37</v>
      </c>
      <c r="JX41" s="12" t="s">
        <v>37</v>
      </c>
      <c r="JY41" s="12" t="s">
        <v>37</v>
      </c>
      <c r="KE41" s="11" t="s">
        <v>37</v>
      </c>
      <c r="KF41" s="11" t="s">
        <v>37</v>
      </c>
      <c r="KG41" s="13" t="s">
        <v>37</v>
      </c>
      <c r="KH41" s="11" t="s">
        <v>37</v>
      </c>
      <c r="KI41" s="11" t="s">
        <v>37</v>
      </c>
      <c r="KJ41" s="11" t="s">
        <v>37</v>
      </c>
      <c r="KM41" s="12" t="s">
        <v>37</v>
      </c>
      <c r="KN41" s="12" t="s">
        <v>37</v>
      </c>
      <c r="KO41" s="11" t="s">
        <v>37</v>
      </c>
      <c r="KQ41" s="12" t="s">
        <v>37</v>
      </c>
      <c r="KR41" s="12" t="s">
        <v>37</v>
      </c>
      <c r="KS41" s="13" t="s">
        <v>37</v>
      </c>
      <c r="KX41" s="12" t="s">
        <v>37</v>
      </c>
      <c r="KY41" s="12" t="s">
        <v>37</v>
      </c>
      <c r="KZ41" s="13" t="s">
        <v>37</v>
      </c>
      <c r="LB41" s="12" t="s">
        <v>37</v>
      </c>
      <c r="LC41" s="12" t="s">
        <v>37</v>
      </c>
      <c r="LD41" s="13" t="s">
        <v>37</v>
      </c>
      <c r="LI41" s="12" t="s">
        <v>37</v>
      </c>
      <c r="LJ41" s="12" t="s">
        <v>37</v>
      </c>
      <c r="LK41" s="12" t="s">
        <v>37</v>
      </c>
      <c r="LM41" s="12" t="s">
        <v>37</v>
      </c>
      <c r="LN41" s="12" t="s">
        <v>37</v>
      </c>
      <c r="LO41" s="12" t="s">
        <v>37</v>
      </c>
      <c r="LU41" s="12" t="s">
        <v>37</v>
      </c>
      <c r="LV41" s="12" t="s">
        <v>37</v>
      </c>
      <c r="LW41" s="13" t="s">
        <v>37</v>
      </c>
      <c r="LY41" s="12" t="s">
        <v>37</v>
      </c>
      <c r="LZ41" s="12" t="s">
        <v>37</v>
      </c>
      <c r="MA41" s="12" t="s">
        <v>37</v>
      </c>
      <c r="MF41" s="12" t="s">
        <v>37</v>
      </c>
      <c r="MG41" s="12" t="s">
        <v>37</v>
      </c>
      <c r="MH41" s="12" t="s">
        <v>37</v>
      </c>
      <c r="MJ41" s="12" t="s">
        <v>37</v>
      </c>
      <c r="MK41" s="12" t="s">
        <v>37</v>
      </c>
      <c r="ML41" s="12" t="s">
        <v>37</v>
      </c>
      <c r="MQ41" s="12" t="s">
        <v>37</v>
      </c>
      <c r="MR41" s="12" t="s">
        <v>37</v>
      </c>
      <c r="MS41" s="12" t="s">
        <v>37</v>
      </c>
      <c r="MU41" s="12" t="s">
        <v>37</v>
      </c>
      <c r="MV41" s="12" t="s">
        <v>37</v>
      </c>
      <c r="MW41" s="12" t="s">
        <v>37</v>
      </c>
      <c r="NC41" s="12" t="s">
        <v>37</v>
      </c>
      <c r="ND41" s="12" t="s">
        <v>37</v>
      </c>
      <c r="NE41" s="13" t="s">
        <v>37</v>
      </c>
      <c r="NG41" s="12" t="s">
        <v>37</v>
      </c>
      <c r="NH41" s="12" t="s">
        <v>37</v>
      </c>
      <c r="NI41" s="13" t="s">
        <v>37</v>
      </c>
      <c r="NO41" s="12" t="s">
        <v>37</v>
      </c>
      <c r="NP41" s="12" t="s">
        <v>37</v>
      </c>
      <c r="NQ41" s="13" t="s">
        <v>37</v>
      </c>
      <c r="NS41" s="12" t="s">
        <v>37</v>
      </c>
      <c r="NT41" s="12" t="s">
        <v>37</v>
      </c>
      <c r="NU41" s="13" t="s">
        <v>37</v>
      </c>
      <c r="OA41" s="11" t="s">
        <v>37</v>
      </c>
      <c r="OB41" s="11" t="s">
        <v>37</v>
      </c>
      <c r="OC41" s="13" t="s">
        <v>37</v>
      </c>
      <c r="OE41" s="11" t="s">
        <v>37</v>
      </c>
      <c r="OF41" s="11" t="s">
        <v>37</v>
      </c>
      <c r="OG41" s="13" t="s">
        <v>37</v>
      </c>
      <c r="OM41" s="11" t="s">
        <v>37</v>
      </c>
      <c r="ON41" s="11" t="s">
        <v>37</v>
      </c>
      <c r="OO41" s="11" t="s">
        <v>37</v>
      </c>
      <c r="OP41" s="11" t="s">
        <v>37</v>
      </c>
      <c r="OQ41" s="11" t="s">
        <v>37</v>
      </c>
      <c r="OR41" s="11" t="s">
        <v>37</v>
      </c>
      <c r="OW41" s="11" t="s">
        <v>37</v>
      </c>
      <c r="OX41" s="11" t="s">
        <v>37</v>
      </c>
      <c r="OY41" s="13" t="s">
        <v>37</v>
      </c>
      <c r="OZ41" s="11" t="s">
        <v>37</v>
      </c>
      <c r="PA41" s="11" t="s">
        <v>37</v>
      </c>
      <c r="PB41" s="13" t="s">
        <v>37</v>
      </c>
      <c r="PG41" s="11" t="s">
        <v>37</v>
      </c>
      <c r="PH41" s="11" t="s">
        <v>37</v>
      </c>
      <c r="PI41" s="13" t="s">
        <v>37</v>
      </c>
      <c r="PJ41" s="11" t="s">
        <v>37</v>
      </c>
      <c r="PK41" s="11" t="s">
        <v>37</v>
      </c>
      <c r="PL41" s="13" t="s">
        <v>37</v>
      </c>
      <c r="PQ41" s="11" t="s">
        <v>37</v>
      </c>
      <c r="PR41" s="11" t="s">
        <v>37</v>
      </c>
      <c r="PS41" s="13" t="s">
        <v>37</v>
      </c>
      <c r="PT41" s="11" t="s">
        <v>37</v>
      </c>
      <c r="PU41" s="11" t="s">
        <v>37</v>
      </c>
      <c r="PV41" s="13" t="s">
        <v>37</v>
      </c>
      <c r="PY41" s="12" t="s">
        <v>43</v>
      </c>
      <c r="PZ41" s="12">
        <v>350</v>
      </c>
      <c r="QA41" s="12">
        <f>82*SQRT(3)</f>
        <v>142.02816622064793</v>
      </c>
      <c r="QB41" s="11">
        <v>3</v>
      </c>
      <c r="QC41" s="19">
        <f t="shared" si="155"/>
        <v>0.40579476063042269</v>
      </c>
      <c r="QD41" s="12">
        <v>327</v>
      </c>
      <c r="QE41" s="12">
        <f>51*SQRT(3)</f>
        <v>88.33459118601273</v>
      </c>
      <c r="QF41" s="13">
        <v>3</v>
      </c>
      <c r="QG41" s="19">
        <f t="shared" si="156"/>
        <v>0.27013636448321937</v>
      </c>
      <c r="QH41" s="19">
        <f t="shared" si="148"/>
        <v>-6.7972983586205987E-2</v>
      </c>
      <c r="QI41" s="19">
        <f t="shared" si="149"/>
        <v>7.9214347723770923E-2</v>
      </c>
      <c r="QJ41" s="12" t="s">
        <v>43</v>
      </c>
      <c r="QK41" s="12">
        <v>751</v>
      </c>
      <c r="QL41" s="12">
        <f>332*SQRT(3)</f>
        <v>575.0408681128672</v>
      </c>
      <c r="QM41" s="13">
        <v>3</v>
      </c>
      <c r="QN41" s="12">
        <v>715</v>
      </c>
      <c r="QO41" s="12">
        <f>116*SQRT(3)</f>
        <v>200.91789367798975</v>
      </c>
      <c r="QP41" s="13">
        <v>3</v>
      </c>
      <c r="QQ41" s="19">
        <f t="shared" si="158"/>
        <v>-4.9123109070127076E-2</v>
      </c>
      <c r="QR41" s="19">
        <f t="shared" si="150"/>
        <v>0.22175336909826129</v>
      </c>
      <c r="QU41" s="11" t="s">
        <v>37</v>
      </c>
      <c r="QV41" s="11" t="s">
        <v>37</v>
      </c>
      <c r="QW41" s="13" t="s">
        <v>37</v>
      </c>
      <c r="QX41" s="11" t="s">
        <v>37</v>
      </c>
      <c r="QY41" s="11" t="s">
        <v>37</v>
      </c>
      <c r="QZ41" s="13" t="s">
        <v>37</v>
      </c>
      <c r="RC41" s="12" t="s">
        <v>37</v>
      </c>
      <c r="RD41" s="12" t="s">
        <v>37</v>
      </c>
      <c r="RE41" s="13" t="s">
        <v>37</v>
      </c>
      <c r="RF41" s="12" t="s">
        <v>37</v>
      </c>
      <c r="RG41" s="12" t="s">
        <v>37</v>
      </c>
      <c r="RH41" s="13" t="s">
        <v>37</v>
      </c>
      <c r="RK41" s="11" t="s">
        <v>37</v>
      </c>
      <c r="RL41" s="11" t="s">
        <v>37</v>
      </c>
      <c r="RM41" s="11" t="s">
        <v>37</v>
      </c>
      <c r="RN41" s="11" t="s">
        <v>37</v>
      </c>
      <c r="RO41" s="11" t="s">
        <v>37</v>
      </c>
      <c r="RP41" s="11" t="s">
        <v>37</v>
      </c>
      <c r="RS41" s="11" t="s">
        <v>37</v>
      </c>
      <c r="RT41" s="11" t="s">
        <v>37</v>
      </c>
      <c r="RU41" s="11" t="s">
        <v>37</v>
      </c>
      <c r="RV41" s="11" t="s">
        <v>37</v>
      </c>
      <c r="RW41" s="11" t="s">
        <v>37</v>
      </c>
      <c r="RX41" s="11" t="s">
        <v>37</v>
      </c>
      <c r="SA41" s="11" t="s">
        <v>37</v>
      </c>
      <c r="SB41" s="11" t="s">
        <v>37</v>
      </c>
      <c r="SC41" s="13" t="s">
        <v>37</v>
      </c>
      <c r="SD41" s="11" t="s">
        <v>37</v>
      </c>
      <c r="SE41" s="11" t="s">
        <v>37</v>
      </c>
      <c r="SF41" s="13" t="s">
        <v>37</v>
      </c>
      <c r="SI41" s="12" t="s">
        <v>37</v>
      </c>
      <c r="SJ41" s="11" t="s">
        <v>37</v>
      </c>
      <c r="SK41" s="13" t="s">
        <v>37</v>
      </c>
      <c r="SM41" s="11" t="s">
        <v>37</v>
      </c>
      <c r="SN41" s="11" t="s">
        <v>37</v>
      </c>
      <c r="SO41" s="13" t="s">
        <v>37</v>
      </c>
      <c r="SU41" s="12" t="s">
        <v>37</v>
      </c>
      <c r="SV41" s="12" t="s">
        <v>37</v>
      </c>
      <c r="SW41" s="11" t="s">
        <v>37</v>
      </c>
      <c r="SX41" s="12" t="s">
        <v>37</v>
      </c>
      <c r="SY41" s="12" t="s">
        <v>37</v>
      </c>
      <c r="SZ41" s="11" t="s">
        <v>37</v>
      </c>
      <c r="TE41" s="12" t="s">
        <v>37</v>
      </c>
      <c r="TF41" s="12" t="s">
        <v>37</v>
      </c>
      <c r="TG41" s="11" t="s">
        <v>37</v>
      </c>
      <c r="TH41" s="12" t="s">
        <v>37</v>
      </c>
      <c r="TI41" s="12" t="s">
        <v>37</v>
      </c>
      <c r="TJ41" s="11" t="s">
        <v>37</v>
      </c>
      <c r="TO41" s="12" t="s">
        <v>37</v>
      </c>
      <c r="TP41" s="12" t="s">
        <v>37</v>
      </c>
      <c r="TQ41" s="11" t="s">
        <v>37</v>
      </c>
      <c r="TR41" s="12" t="s">
        <v>37</v>
      </c>
      <c r="TS41" s="12" t="s">
        <v>37</v>
      </c>
      <c r="TT41" s="11" t="s">
        <v>37</v>
      </c>
      <c r="TY41" s="12" t="s">
        <v>37</v>
      </c>
      <c r="TZ41" s="12" t="s">
        <v>37</v>
      </c>
      <c r="UA41" s="11" t="s">
        <v>37</v>
      </c>
      <c r="UB41" s="12" t="s">
        <v>37</v>
      </c>
      <c r="UC41" s="12" t="s">
        <v>37</v>
      </c>
      <c r="UD41" s="11" t="s">
        <v>37</v>
      </c>
      <c r="UI41" s="12" t="s">
        <v>37</v>
      </c>
      <c r="UJ41" s="12" t="s">
        <v>37</v>
      </c>
      <c r="UK41" s="13" t="s">
        <v>37</v>
      </c>
      <c r="UL41" s="12" t="s">
        <v>37</v>
      </c>
      <c r="UM41" s="12" t="s">
        <v>37</v>
      </c>
      <c r="UN41" s="13" t="s">
        <v>37</v>
      </c>
      <c r="UR41" s="12" t="s">
        <v>37</v>
      </c>
      <c r="US41" s="12" t="s">
        <v>37</v>
      </c>
      <c r="UT41" s="13" t="s">
        <v>37</v>
      </c>
      <c r="UU41" s="12" t="s">
        <v>37</v>
      </c>
      <c r="UV41" s="12" t="s">
        <v>37</v>
      </c>
      <c r="UW41" s="13" t="s">
        <v>37</v>
      </c>
      <c r="VB41" s="12" t="s">
        <v>37</v>
      </c>
      <c r="VC41" s="12" t="s">
        <v>37</v>
      </c>
      <c r="VD41" s="13" t="s">
        <v>37</v>
      </c>
      <c r="VE41" s="12" t="s">
        <v>37</v>
      </c>
      <c r="VF41" s="12" t="s">
        <v>37</v>
      </c>
      <c r="VG41" s="13" t="s">
        <v>37</v>
      </c>
      <c r="VI41" s="12" t="s">
        <v>37</v>
      </c>
      <c r="VJ41" s="12" t="s">
        <v>37</v>
      </c>
      <c r="VK41" s="13" t="s">
        <v>37</v>
      </c>
      <c r="VL41" s="12" t="s">
        <v>37</v>
      </c>
      <c r="VM41" s="12" t="s">
        <v>37</v>
      </c>
      <c r="VN41" s="13" t="s">
        <v>37</v>
      </c>
      <c r="VO41" s="12" t="s">
        <v>37</v>
      </c>
      <c r="VQ41" s="12" t="s">
        <v>37</v>
      </c>
      <c r="VR41" s="12" t="s">
        <v>37</v>
      </c>
      <c r="VS41" s="12" t="s">
        <v>37</v>
      </c>
      <c r="VT41" s="12" t="s">
        <v>37</v>
      </c>
      <c r="VU41" s="12" t="s">
        <v>37</v>
      </c>
      <c r="VV41" s="12" t="s">
        <v>37</v>
      </c>
      <c r="VW41" s="12"/>
      <c r="VX41" s="12"/>
      <c r="WA41" s="13" t="s">
        <v>37</v>
      </c>
      <c r="WB41" s="13" t="s">
        <v>37</v>
      </c>
      <c r="WC41" s="13" t="s">
        <v>37</v>
      </c>
      <c r="WD41" s="13" t="s">
        <v>37</v>
      </c>
      <c r="WE41" s="13" t="s">
        <v>37</v>
      </c>
      <c r="WF41" s="13" t="s">
        <v>37</v>
      </c>
    </row>
    <row r="42" spans="1:604" ht="18" customHeight="1" x14ac:dyDescent="0.4">
      <c r="A42" s="11">
        <v>11</v>
      </c>
      <c r="B42" s="12" t="s">
        <v>110</v>
      </c>
      <c r="C42" s="12" t="s">
        <v>26</v>
      </c>
      <c r="D42" s="12" t="s">
        <v>973</v>
      </c>
      <c r="E42" s="81">
        <v>4.5</v>
      </c>
      <c r="F42" s="14">
        <v>0</v>
      </c>
      <c r="G42" s="14">
        <v>0</v>
      </c>
      <c r="H42" s="12" t="s">
        <v>91</v>
      </c>
      <c r="I42" s="29">
        <v>55.35</v>
      </c>
      <c r="J42" s="29">
        <v>-112.517</v>
      </c>
      <c r="K42" s="12" t="s">
        <v>696</v>
      </c>
      <c r="L42" s="12" t="s">
        <v>697</v>
      </c>
      <c r="M42" s="13" t="s">
        <v>37</v>
      </c>
      <c r="N42" s="14">
        <v>2.1</v>
      </c>
      <c r="O42" s="14">
        <v>504</v>
      </c>
      <c r="P42" s="14" t="s">
        <v>84</v>
      </c>
      <c r="Q42" s="75">
        <v>11</v>
      </c>
      <c r="R42" s="11" t="s">
        <v>999</v>
      </c>
      <c r="S42" s="12" t="s">
        <v>93</v>
      </c>
      <c r="T42" s="12" t="s">
        <v>141</v>
      </c>
      <c r="U42" s="12" t="s">
        <v>334</v>
      </c>
      <c r="V42" s="12" t="s">
        <v>275</v>
      </c>
      <c r="W42" s="23" t="s">
        <v>500</v>
      </c>
      <c r="X42" s="12" t="s">
        <v>281</v>
      </c>
      <c r="Y42" s="12" t="s">
        <v>69</v>
      </c>
      <c r="Z42" s="12" t="s">
        <v>37</v>
      </c>
      <c r="AA42" s="32" t="s">
        <v>345</v>
      </c>
      <c r="AB42" s="12">
        <v>4.0999999999999996</v>
      </c>
      <c r="AE42" s="12" t="s">
        <v>37</v>
      </c>
      <c r="AH42" s="12" t="s">
        <v>37</v>
      </c>
      <c r="AK42" s="12" t="s">
        <v>37</v>
      </c>
      <c r="AL42" s="32" t="s">
        <v>496</v>
      </c>
      <c r="AM42" s="12" t="s">
        <v>317</v>
      </c>
      <c r="AN42" s="32" t="s">
        <v>879</v>
      </c>
      <c r="AO42" s="12" t="s">
        <v>318</v>
      </c>
      <c r="AP42" s="12" t="s">
        <v>108</v>
      </c>
      <c r="AQ42" s="12" t="s">
        <v>975</v>
      </c>
      <c r="AT42" s="12" t="s">
        <v>326</v>
      </c>
      <c r="AU42" s="12" t="s">
        <v>326</v>
      </c>
      <c r="AV42" s="13" t="s">
        <v>326</v>
      </c>
      <c r="AX42" s="12" t="s">
        <v>326</v>
      </c>
      <c r="AY42" s="12" t="s">
        <v>326</v>
      </c>
      <c r="AZ42" s="13" t="s">
        <v>326</v>
      </c>
      <c r="BE42" s="12" t="s">
        <v>326</v>
      </c>
      <c r="BF42" s="12" t="s">
        <v>326</v>
      </c>
      <c r="BG42" s="12" t="s">
        <v>326</v>
      </c>
      <c r="BI42" s="12" t="s">
        <v>326</v>
      </c>
      <c r="BJ42" s="12" t="s">
        <v>326</v>
      </c>
      <c r="BK42" s="12" t="s">
        <v>326</v>
      </c>
      <c r="BP42" s="12" t="s">
        <v>37</v>
      </c>
      <c r="BQ42" s="12" t="s">
        <v>37</v>
      </c>
      <c r="BR42" s="13" t="s">
        <v>37</v>
      </c>
      <c r="BT42" s="12" t="s">
        <v>37</v>
      </c>
      <c r="BU42" s="12" t="s">
        <v>37</v>
      </c>
      <c r="BV42" s="12" t="s">
        <v>37</v>
      </c>
      <c r="BZ42" s="12" t="s">
        <v>581</v>
      </c>
      <c r="CA42" s="12">
        <f>-178*10^4/10^3*44/12/'[6]classess-1'!$T$65</f>
        <v>-7247.1260453614086</v>
      </c>
      <c r="CB42" s="15">
        <f>CB41</f>
        <v>2100.9616035887611</v>
      </c>
      <c r="CC42" s="18">
        <v>3</v>
      </c>
      <c r="CD42" s="19">
        <f t="shared" si="123"/>
        <v>0.28990272701735353</v>
      </c>
      <c r="CE42" s="15">
        <f>-116*10^4/10^3*44/12/'[6]classess-1'!$T$66</f>
        <v>-4582.6623341257582</v>
      </c>
      <c r="CF42" s="15">
        <f>19*SQRT(3)*10^4/10^3*44/12</f>
        <v>1206.6620626063177</v>
      </c>
      <c r="CG42" s="18">
        <v>3</v>
      </c>
      <c r="CH42" s="19">
        <f t="shared" si="124"/>
        <v>0.26331027132866741</v>
      </c>
      <c r="CI42" s="75">
        <f t="shared" si="125"/>
        <v>2664.4637112356504</v>
      </c>
      <c r="CJ42" s="12">
        <f t="shared" si="151"/>
        <v>1713.1948215377595</v>
      </c>
      <c r="CK42" s="72">
        <f t="shared" si="126"/>
        <v>1956690.9976958637</v>
      </c>
      <c r="CL42" s="72">
        <f t="shared" si="127"/>
        <v>1956690.9976958637</v>
      </c>
      <c r="CM42" s="12" t="s">
        <v>581</v>
      </c>
      <c r="CN42" s="12">
        <f>130*10^4/10^3*44/12/'[6]classess-1'!$I$65</f>
        <v>6440.2877983621229</v>
      </c>
      <c r="CO42" s="15">
        <f>CO41</f>
        <v>2181.3507268282779</v>
      </c>
      <c r="CP42" s="18">
        <v>3</v>
      </c>
      <c r="CQ42" s="19">
        <f t="shared" si="128"/>
        <v>0.33870392055818271</v>
      </c>
      <c r="CR42" s="15">
        <f>536*10^4/10^3*44/12/'[6]classess-1'!$I$66</f>
        <v>24633.794341918241</v>
      </c>
      <c r="CS42" s="15">
        <f>SQRT((1/[7]Classess!$I$66)^2*(9*SQRT(3)*10^4/10^3*44/12)^2+(-CR42/([7]Classess!$I$66)^2)^2*([7]Classess!$J$66)^2)</f>
        <v>2489.5274353362884</v>
      </c>
      <c r="CT42" s="18">
        <v>3</v>
      </c>
      <c r="CU42" s="19">
        <f t="shared" si="129"/>
        <v>0.10106146867922695</v>
      </c>
      <c r="CV42" s="75">
        <f t="shared" si="130"/>
        <v>18193.506543556119</v>
      </c>
      <c r="CW42" s="12">
        <f t="shared" si="152"/>
        <v>2340.5168066824826</v>
      </c>
      <c r="CX42" s="72">
        <f t="shared" si="131"/>
        <v>3652012.6149087776</v>
      </c>
      <c r="CY42" s="72">
        <f t="shared" si="132"/>
        <v>3652012.6149087781</v>
      </c>
      <c r="CZ42" s="12" t="s">
        <v>581</v>
      </c>
      <c r="DA42" s="12">
        <f t="shared" si="153"/>
        <v>-806.83824699928573</v>
      </c>
      <c r="DB42" s="15">
        <f>DB41</f>
        <v>461.4050593199143</v>
      </c>
      <c r="DC42" s="18">
        <v>3</v>
      </c>
      <c r="DD42" s="19">
        <f t="shared" si="133"/>
        <v>0.5718681049589891</v>
      </c>
      <c r="DE42" s="12">
        <f t="shared" si="154"/>
        <v>20051.132007792483</v>
      </c>
      <c r="DF42" s="15">
        <f>SQRT((1/[7]Classess!$I$20)^2*(23*SQRT(3)*10^4/10^3*44/12)^2+(-DE42/([7]Classess!$I$20)^2)^2*([7]Classess!$J$20)^2)</f>
        <v>2691.1988636577989</v>
      </c>
      <c r="DG42" s="18">
        <v>3</v>
      </c>
      <c r="DH42" s="19">
        <f t="shared" si="134"/>
        <v>0.13421680444834322</v>
      </c>
      <c r="DI42" s="19">
        <f t="shared" si="135"/>
        <v>20857.97025479177</v>
      </c>
      <c r="DJ42" s="12">
        <f t="shared" si="136"/>
        <v>1930.7312024876794</v>
      </c>
      <c r="DK42" s="72">
        <f t="shared" si="137"/>
        <v>2485148.6508396803</v>
      </c>
      <c r="DL42" s="72">
        <f t="shared" si="138"/>
        <v>2485148.6508396808</v>
      </c>
      <c r="DM42" s="15"/>
      <c r="DN42" s="52" t="s">
        <v>37</v>
      </c>
      <c r="DO42" s="15" t="s">
        <v>37</v>
      </c>
      <c r="DP42" s="18" t="s">
        <v>37</v>
      </c>
      <c r="DQ42" s="52"/>
      <c r="DR42" s="52" t="s">
        <v>37</v>
      </c>
      <c r="DS42" s="15" t="s">
        <v>37</v>
      </c>
      <c r="DT42" s="18" t="s">
        <v>37</v>
      </c>
      <c r="DU42" s="52"/>
      <c r="DV42" s="52"/>
      <c r="DW42" s="52"/>
      <c r="DZ42" s="15"/>
      <c r="EA42" s="52" t="s">
        <v>37</v>
      </c>
      <c r="EB42" s="52" t="s">
        <v>37</v>
      </c>
      <c r="EC42" s="73" t="s">
        <v>37</v>
      </c>
      <c r="ED42" s="52"/>
      <c r="EE42" s="52" t="s">
        <v>37</v>
      </c>
      <c r="EF42" s="52" t="s">
        <v>37</v>
      </c>
      <c r="EG42" s="15" t="s">
        <v>37</v>
      </c>
      <c r="EH42" s="52"/>
      <c r="EI42" s="52"/>
      <c r="EJ42" s="52"/>
      <c r="EK42" s="52"/>
      <c r="EL42" s="52"/>
      <c r="EM42" s="12" t="s">
        <v>39</v>
      </c>
      <c r="EN42" s="12">
        <v>-38</v>
      </c>
      <c r="EO42" s="12">
        <v>7.6</v>
      </c>
      <c r="EP42" s="13">
        <v>3</v>
      </c>
      <c r="EQ42" s="19">
        <f t="shared" si="139"/>
        <v>0.19999999999999998</v>
      </c>
      <c r="ER42" s="12">
        <v>-112</v>
      </c>
      <c r="ES42" s="12">
        <v>15.2</v>
      </c>
      <c r="ET42" s="13">
        <v>3</v>
      </c>
      <c r="EU42" s="19">
        <f t="shared" si="140"/>
        <v>0.1357142857142857</v>
      </c>
      <c r="EV42" s="19">
        <f t="shared" si="141"/>
        <v>-74</v>
      </c>
      <c r="EW42" s="12">
        <f t="shared" si="142"/>
        <v>12.016655108639842</v>
      </c>
      <c r="EX42" s="19">
        <f t="shared" si="143"/>
        <v>96.266666666666666</v>
      </c>
      <c r="EY42" s="19">
        <f t="shared" si="144"/>
        <v>96.266666666666666</v>
      </c>
      <c r="FB42" s="11" t="s">
        <v>37</v>
      </c>
      <c r="FC42" s="11" t="s">
        <v>37</v>
      </c>
      <c r="FD42" s="11" t="s">
        <v>37</v>
      </c>
      <c r="FE42" s="12" t="s">
        <v>37</v>
      </c>
      <c r="FF42" s="20" t="s">
        <v>37</v>
      </c>
      <c r="FG42" s="11" t="s">
        <v>37</v>
      </c>
      <c r="FI42" s="11" t="s">
        <v>37</v>
      </c>
      <c r="FJ42" s="11" t="s">
        <v>37</v>
      </c>
      <c r="FK42" s="11" t="s">
        <v>37</v>
      </c>
      <c r="FL42" s="13" t="s">
        <v>37</v>
      </c>
      <c r="FM42" s="11" t="s">
        <v>37</v>
      </c>
      <c r="FN42" s="11" t="s">
        <v>37</v>
      </c>
      <c r="FP42" s="11" t="s">
        <v>37</v>
      </c>
      <c r="FQ42" s="11" t="s">
        <v>37</v>
      </c>
      <c r="FR42" s="11" t="s">
        <v>37</v>
      </c>
      <c r="FS42" s="13" t="s">
        <v>37</v>
      </c>
      <c r="FT42" s="11" t="s">
        <v>37</v>
      </c>
      <c r="FU42" s="11" t="s">
        <v>37</v>
      </c>
      <c r="FW42" s="11" t="s">
        <v>37</v>
      </c>
      <c r="FX42" s="11" t="s">
        <v>37</v>
      </c>
      <c r="FY42" s="11" t="s">
        <v>37</v>
      </c>
      <c r="FZ42" s="13" t="s">
        <v>37</v>
      </c>
      <c r="GA42" s="11" t="s">
        <v>37</v>
      </c>
      <c r="GB42" s="11" t="s">
        <v>37</v>
      </c>
      <c r="GO42" s="12" t="s">
        <v>660</v>
      </c>
      <c r="GP42" s="12" t="s">
        <v>330</v>
      </c>
      <c r="GQ42" s="12">
        <v>12.3</v>
      </c>
      <c r="GR42" s="12">
        <v>5.0000000000000001E-3</v>
      </c>
      <c r="GS42" s="13">
        <v>3</v>
      </c>
      <c r="GT42" s="19">
        <f t="shared" si="145"/>
        <v>4.0650406504065041E-4</v>
      </c>
      <c r="GU42" s="12">
        <v>13.1</v>
      </c>
      <c r="GV42" s="12">
        <v>0.1</v>
      </c>
      <c r="GW42" s="13">
        <v>3</v>
      </c>
      <c r="GX42" s="19">
        <f t="shared" si="146"/>
        <v>7.6335877862595426E-3</v>
      </c>
      <c r="GY42" s="19">
        <f t="shared" si="162"/>
        <v>6.301296782873396E-2</v>
      </c>
      <c r="GZ42" s="19">
        <f t="shared" si="169"/>
        <v>1.9478969348475148E-5</v>
      </c>
      <c r="HA42" s="12"/>
      <c r="HB42" s="32"/>
      <c r="HM42" s="32"/>
      <c r="IK42" s="12" t="s">
        <v>37</v>
      </c>
      <c r="IL42" s="12" t="s">
        <v>37</v>
      </c>
      <c r="IM42" s="13" t="s">
        <v>37</v>
      </c>
      <c r="IO42" s="12" t="s">
        <v>37</v>
      </c>
      <c r="IP42" s="12" t="s">
        <v>37</v>
      </c>
      <c r="IQ42" s="13" t="s">
        <v>37</v>
      </c>
      <c r="IV42" s="32" t="s">
        <v>345</v>
      </c>
      <c r="IW42" s="12">
        <v>4.0999999999999996</v>
      </c>
      <c r="IX42" s="12">
        <v>0.1</v>
      </c>
      <c r="IY42" s="13">
        <v>3</v>
      </c>
      <c r="IZ42" s="19">
        <f t="shared" si="147"/>
        <v>2.4390243902439029E-2</v>
      </c>
      <c r="JH42" s="12" t="s">
        <v>37</v>
      </c>
      <c r="JI42" s="12" t="s">
        <v>37</v>
      </c>
      <c r="JJ42" s="13" t="s">
        <v>37</v>
      </c>
      <c r="JL42" s="12" t="s">
        <v>37</v>
      </c>
      <c r="JM42" s="12" t="s">
        <v>37</v>
      </c>
      <c r="JN42" s="12" t="s">
        <v>37</v>
      </c>
      <c r="JS42" s="12" t="s">
        <v>37</v>
      </c>
      <c r="JT42" s="12" t="s">
        <v>37</v>
      </c>
      <c r="JU42" s="13" t="s">
        <v>37</v>
      </c>
      <c r="JW42" s="12" t="s">
        <v>37</v>
      </c>
      <c r="JX42" s="12" t="s">
        <v>37</v>
      </c>
      <c r="JY42" s="12" t="s">
        <v>37</v>
      </c>
      <c r="KE42" s="11" t="s">
        <v>37</v>
      </c>
      <c r="KF42" s="11" t="s">
        <v>37</v>
      </c>
      <c r="KG42" s="13" t="s">
        <v>37</v>
      </c>
      <c r="KH42" s="11" t="s">
        <v>37</v>
      </c>
      <c r="KI42" s="11" t="s">
        <v>37</v>
      </c>
      <c r="KJ42" s="11" t="s">
        <v>37</v>
      </c>
      <c r="KM42" s="12" t="s">
        <v>37</v>
      </c>
      <c r="KN42" s="12" t="s">
        <v>37</v>
      </c>
      <c r="KO42" s="11" t="s">
        <v>37</v>
      </c>
      <c r="KQ42" s="12" t="s">
        <v>37</v>
      </c>
      <c r="KR42" s="12" t="s">
        <v>37</v>
      </c>
      <c r="KS42" s="13" t="s">
        <v>37</v>
      </c>
      <c r="KX42" s="12" t="s">
        <v>37</v>
      </c>
      <c r="KY42" s="12" t="s">
        <v>37</v>
      </c>
      <c r="KZ42" s="13" t="s">
        <v>37</v>
      </c>
      <c r="LB42" s="12" t="s">
        <v>37</v>
      </c>
      <c r="LC42" s="12" t="s">
        <v>37</v>
      </c>
      <c r="LD42" s="13" t="s">
        <v>37</v>
      </c>
      <c r="LI42" s="12" t="s">
        <v>37</v>
      </c>
      <c r="LJ42" s="12" t="s">
        <v>37</v>
      </c>
      <c r="LK42" s="12" t="s">
        <v>37</v>
      </c>
      <c r="LM42" s="12" t="s">
        <v>37</v>
      </c>
      <c r="LN42" s="12" t="s">
        <v>37</v>
      </c>
      <c r="LO42" s="12" t="s">
        <v>37</v>
      </c>
      <c r="LU42" s="12" t="s">
        <v>37</v>
      </c>
      <c r="LV42" s="12" t="s">
        <v>37</v>
      </c>
      <c r="LW42" s="13" t="s">
        <v>37</v>
      </c>
      <c r="LY42" s="12" t="s">
        <v>37</v>
      </c>
      <c r="LZ42" s="12" t="s">
        <v>37</v>
      </c>
      <c r="MA42" s="12" t="s">
        <v>37</v>
      </c>
      <c r="MF42" s="12" t="s">
        <v>37</v>
      </c>
      <c r="MG42" s="12" t="s">
        <v>37</v>
      </c>
      <c r="MH42" s="12" t="s">
        <v>37</v>
      </c>
      <c r="MJ42" s="12" t="s">
        <v>37</v>
      </c>
      <c r="MK42" s="12" t="s">
        <v>37</v>
      </c>
      <c r="ML42" s="12" t="s">
        <v>37</v>
      </c>
      <c r="MQ42" s="12" t="s">
        <v>37</v>
      </c>
      <c r="MR42" s="12" t="s">
        <v>37</v>
      </c>
      <c r="MS42" s="12" t="s">
        <v>37</v>
      </c>
      <c r="MU42" s="12" t="s">
        <v>37</v>
      </c>
      <c r="MV42" s="12" t="s">
        <v>37</v>
      </c>
      <c r="MW42" s="12" t="s">
        <v>37</v>
      </c>
      <c r="NC42" s="12" t="s">
        <v>37</v>
      </c>
      <c r="ND42" s="12" t="s">
        <v>37</v>
      </c>
      <c r="NE42" s="13" t="s">
        <v>37</v>
      </c>
      <c r="NG42" s="12" t="s">
        <v>37</v>
      </c>
      <c r="NH42" s="12" t="s">
        <v>37</v>
      </c>
      <c r="NI42" s="13" t="s">
        <v>37</v>
      </c>
      <c r="NO42" s="12" t="s">
        <v>37</v>
      </c>
      <c r="NP42" s="12" t="s">
        <v>37</v>
      </c>
      <c r="NQ42" s="13" t="s">
        <v>37</v>
      </c>
      <c r="NS42" s="12" t="s">
        <v>37</v>
      </c>
      <c r="NT42" s="12" t="s">
        <v>37</v>
      </c>
      <c r="NU42" s="13" t="s">
        <v>37</v>
      </c>
      <c r="OA42" s="11" t="s">
        <v>37</v>
      </c>
      <c r="OB42" s="11" t="s">
        <v>37</v>
      </c>
      <c r="OC42" s="13" t="s">
        <v>37</v>
      </c>
      <c r="OE42" s="11" t="s">
        <v>37</v>
      </c>
      <c r="OF42" s="11" t="s">
        <v>37</v>
      </c>
      <c r="OG42" s="13" t="s">
        <v>37</v>
      </c>
      <c r="OM42" s="11" t="s">
        <v>37</v>
      </c>
      <c r="ON42" s="11" t="s">
        <v>37</v>
      </c>
      <c r="OO42" s="11" t="s">
        <v>37</v>
      </c>
      <c r="OP42" s="11" t="s">
        <v>37</v>
      </c>
      <c r="OQ42" s="11" t="s">
        <v>37</v>
      </c>
      <c r="OR42" s="11" t="s">
        <v>37</v>
      </c>
      <c r="OW42" s="11" t="s">
        <v>37</v>
      </c>
      <c r="OX42" s="11" t="s">
        <v>37</v>
      </c>
      <c r="OY42" s="13" t="s">
        <v>37</v>
      </c>
      <c r="OZ42" s="11" t="s">
        <v>37</v>
      </c>
      <c r="PA42" s="11" t="s">
        <v>37</v>
      </c>
      <c r="PB42" s="13" t="s">
        <v>37</v>
      </c>
      <c r="PG42" s="11" t="s">
        <v>37</v>
      </c>
      <c r="PH42" s="11" t="s">
        <v>37</v>
      </c>
      <c r="PI42" s="13" t="s">
        <v>37</v>
      </c>
      <c r="PJ42" s="11" t="s">
        <v>37</v>
      </c>
      <c r="PK42" s="11" t="s">
        <v>37</v>
      </c>
      <c r="PL42" s="13" t="s">
        <v>37</v>
      </c>
      <c r="PQ42" s="11" t="s">
        <v>37</v>
      </c>
      <c r="PR42" s="11" t="s">
        <v>37</v>
      </c>
      <c r="PS42" s="13" t="s">
        <v>37</v>
      </c>
      <c r="PT42" s="11" t="s">
        <v>37</v>
      </c>
      <c r="PU42" s="11" t="s">
        <v>37</v>
      </c>
      <c r="PV42" s="13" t="s">
        <v>37</v>
      </c>
      <c r="PY42" s="12" t="s">
        <v>43</v>
      </c>
      <c r="PZ42" s="12">
        <v>350</v>
      </c>
      <c r="QA42" s="12">
        <f t="shared" ref="QA42:QA46" si="170">82*SQRT(3)</f>
        <v>142.02816622064793</v>
      </c>
      <c r="QB42" s="11">
        <v>3</v>
      </c>
      <c r="QC42" s="19">
        <f t="shared" si="155"/>
        <v>0.40579476063042269</v>
      </c>
      <c r="QD42" s="12">
        <v>378</v>
      </c>
      <c r="QE42" s="12">
        <f>6*SQRT(3)</f>
        <v>10.392304845413264</v>
      </c>
      <c r="QF42" s="13">
        <v>3</v>
      </c>
      <c r="QG42" s="19">
        <f t="shared" si="156"/>
        <v>2.7492869961410753E-2</v>
      </c>
      <c r="QH42" s="19">
        <f t="shared" si="148"/>
        <v>7.6961041136128394E-2</v>
      </c>
      <c r="QI42" s="19">
        <f t="shared" si="149"/>
        <v>5.5141748551272358E-2</v>
      </c>
      <c r="QJ42" s="12" t="s">
        <v>43</v>
      </c>
      <c r="QK42" s="12">
        <v>751</v>
      </c>
      <c r="QL42" s="12">
        <f t="shared" ref="QL42:QL46" si="171">332*SQRT(3)</f>
        <v>575.0408681128672</v>
      </c>
      <c r="QM42" s="13">
        <v>3</v>
      </c>
      <c r="QN42" s="12">
        <v>975</v>
      </c>
      <c r="QO42" s="12">
        <f>301*SQRT(3)</f>
        <v>521.34729307823204</v>
      </c>
      <c r="QP42" s="13">
        <v>3</v>
      </c>
      <c r="QQ42" s="19">
        <f t="shared" si="158"/>
        <v>0.26103181923371244</v>
      </c>
      <c r="QR42" s="19">
        <f t="shared" si="150"/>
        <v>0.29073904946296264</v>
      </c>
      <c r="QU42" s="11" t="s">
        <v>37</v>
      </c>
      <c r="QV42" s="11" t="s">
        <v>37</v>
      </c>
      <c r="QW42" s="13" t="s">
        <v>37</v>
      </c>
      <c r="QX42" s="11" t="s">
        <v>37</v>
      </c>
      <c r="QY42" s="11" t="s">
        <v>37</v>
      </c>
      <c r="QZ42" s="13" t="s">
        <v>37</v>
      </c>
      <c r="RC42" s="12" t="s">
        <v>37</v>
      </c>
      <c r="RD42" s="12" t="s">
        <v>37</v>
      </c>
      <c r="RE42" s="13" t="s">
        <v>37</v>
      </c>
      <c r="RF42" s="12" t="s">
        <v>37</v>
      </c>
      <c r="RG42" s="12" t="s">
        <v>37</v>
      </c>
      <c r="RH42" s="13" t="s">
        <v>37</v>
      </c>
      <c r="RK42" s="11" t="s">
        <v>37</v>
      </c>
      <c r="RL42" s="11" t="s">
        <v>37</v>
      </c>
      <c r="RM42" s="11" t="s">
        <v>37</v>
      </c>
      <c r="RN42" s="11" t="s">
        <v>37</v>
      </c>
      <c r="RO42" s="11" t="s">
        <v>37</v>
      </c>
      <c r="RP42" s="11" t="s">
        <v>37</v>
      </c>
      <c r="RS42" s="11" t="s">
        <v>37</v>
      </c>
      <c r="RT42" s="11" t="s">
        <v>37</v>
      </c>
      <c r="RU42" s="11" t="s">
        <v>37</v>
      </c>
      <c r="RV42" s="11" t="s">
        <v>37</v>
      </c>
      <c r="RW42" s="11" t="s">
        <v>37</v>
      </c>
      <c r="RX42" s="11" t="s">
        <v>37</v>
      </c>
      <c r="SA42" s="11" t="s">
        <v>37</v>
      </c>
      <c r="SB42" s="11" t="s">
        <v>37</v>
      </c>
      <c r="SC42" s="13" t="s">
        <v>37</v>
      </c>
      <c r="SD42" s="11" t="s">
        <v>37</v>
      </c>
      <c r="SE42" s="11" t="s">
        <v>37</v>
      </c>
      <c r="SF42" s="13" t="s">
        <v>37</v>
      </c>
      <c r="SI42" s="12" t="s">
        <v>37</v>
      </c>
      <c r="SJ42" s="11" t="s">
        <v>37</v>
      </c>
      <c r="SK42" s="13" t="s">
        <v>37</v>
      </c>
      <c r="SM42" s="11" t="s">
        <v>37</v>
      </c>
      <c r="SN42" s="11" t="s">
        <v>37</v>
      </c>
      <c r="SO42" s="13" t="s">
        <v>37</v>
      </c>
      <c r="SU42" s="12" t="s">
        <v>37</v>
      </c>
      <c r="SV42" s="12" t="s">
        <v>37</v>
      </c>
      <c r="SW42" s="11" t="s">
        <v>37</v>
      </c>
      <c r="SX42" s="12" t="s">
        <v>37</v>
      </c>
      <c r="SY42" s="12" t="s">
        <v>37</v>
      </c>
      <c r="SZ42" s="11" t="s">
        <v>37</v>
      </c>
      <c r="TE42" s="12" t="s">
        <v>37</v>
      </c>
      <c r="TF42" s="12" t="s">
        <v>37</v>
      </c>
      <c r="TG42" s="11" t="s">
        <v>37</v>
      </c>
      <c r="TH42" s="12" t="s">
        <v>37</v>
      </c>
      <c r="TI42" s="12" t="s">
        <v>37</v>
      </c>
      <c r="TJ42" s="11" t="s">
        <v>37</v>
      </c>
      <c r="TO42" s="12" t="s">
        <v>37</v>
      </c>
      <c r="TP42" s="12" t="s">
        <v>37</v>
      </c>
      <c r="TQ42" s="11" t="s">
        <v>37</v>
      </c>
      <c r="TR42" s="12" t="s">
        <v>37</v>
      </c>
      <c r="TS42" s="12" t="s">
        <v>37</v>
      </c>
      <c r="TT42" s="11" t="s">
        <v>37</v>
      </c>
      <c r="TY42" s="12" t="s">
        <v>37</v>
      </c>
      <c r="TZ42" s="12" t="s">
        <v>37</v>
      </c>
      <c r="UA42" s="11" t="s">
        <v>37</v>
      </c>
      <c r="UB42" s="12" t="s">
        <v>37</v>
      </c>
      <c r="UC42" s="12" t="s">
        <v>37</v>
      </c>
      <c r="UD42" s="11" t="s">
        <v>37</v>
      </c>
      <c r="UI42" s="12" t="s">
        <v>37</v>
      </c>
      <c r="UJ42" s="12" t="s">
        <v>37</v>
      </c>
      <c r="UK42" s="13" t="s">
        <v>37</v>
      </c>
      <c r="UL42" s="12" t="s">
        <v>37</v>
      </c>
      <c r="UM42" s="12" t="s">
        <v>37</v>
      </c>
      <c r="UN42" s="13" t="s">
        <v>37</v>
      </c>
      <c r="UR42" s="12" t="s">
        <v>37</v>
      </c>
      <c r="US42" s="12" t="s">
        <v>37</v>
      </c>
      <c r="UT42" s="13" t="s">
        <v>37</v>
      </c>
      <c r="UU42" s="12" t="s">
        <v>37</v>
      </c>
      <c r="UV42" s="12" t="s">
        <v>37</v>
      </c>
      <c r="UW42" s="13" t="s">
        <v>37</v>
      </c>
      <c r="VB42" s="12" t="s">
        <v>37</v>
      </c>
      <c r="VC42" s="12" t="s">
        <v>37</v>
      </c>
      <c r="VD42" s="13" t="s">
        <v>37</v>
      </c>
      <c r="VE42" s="12" t="s">
        <v>37</v>
      </c>
      <c r="VF42" s="12" t="s">
        <v>37</v>
      </c>
      <c r="VG42" s="13" t="s">
        <v>37</v>
      </c>
      <c r="VI42" s="12" t="s">
        <v>37</v>
      </c>
      <c r="VJ42" s="12" t="s">
        <v>37</v>
      </c>
      <c r="VK42" s="13" t="s">
        <v>37</v>
      </c>
      <c r="VL42" s="12" t="s">
        <v>37</v>
      </c>
      <c r="VM42" s="12" t="s">
        <v>37</v>
      </c>
      <c r="VN42" s="13" t="s">
        <v>37</v>
      </c>
      <c r="VO42" s="12" t="s">
        <v>37</v>
      </c>
      <c r="VQ42" s="12" t="s">
        <v>37</v>
      </c>
      <c r="VR42" s="12" t="s">
        <v>37</v>
      </c>
      <c r="VS42" s="12" t="s">
        <v>37</v>
      </c>
      <c r="VT42" s="12" t="s">
        <v>37</v>
      </c>
      <c r="VU42" s="12" t="s">
        <v>37</v>
      </c>
      <c r="VV42" s="12" t="s">
        <v>37</v>
      </c>
      <c r="VW42" s="12"/>
      <c r="VX42" s="12"/>
      <c r="WA42" s="13" t="s">
        <v>37</v>
      </c>
      <c r="WB42" s="13" t="s">
        <v>37</v>
      </c>
      <c r="WC42" s="13" t="s">
        <v>37</v>
      </c>
      <c r="WD42" s="13" t="s">
        <v>37</v>
      </c>
      <c r="WE42" s="13" t="s">
        <v>37</v>
      </c>
      <c r="WF42" s="13" t="s">
        <v>37</v>
      </c>
    </row>
    <row r="43" spans="1:604" ht="18" customHeight="1" x14ac:dyDescent="0.4">
      <c r="A43" s="11">
        <v>11</v>
      </c>
      <c r="B43" s="12" t="s">
        <v>109</v>
      </c>
      <c r="C43" s="12" t="s">
        <v>26</v>
      </c>
      <c r="D43" s="12" t="s">
        <v>973</v>
      </c>
      <c r="E43" s="81">
        <v>4.5</v>
      </c>
      <c r="F43" s="14">
        <v>0</v>
      </c>
      <c r="G43" s="14">
        <v>0</v>
      </c>
      <c r="H43" s="12" t="s">
        <v>91</v>
      </c>
      <c r="I43" s="29">
        <v>55.35</v>
      </c>
      <c r="J43" s="29">
        <v>-112.517</v>
      </c>
      <c r="K43" s="12" t="s">
        <v>696</v>
      </c>
      <c r="L43" s="12" t="s">
        <v>697</v>
      </c>
      <c r="M43" s="13" t="s">
        <v>37</v>
      </c>
      <c r="N43" s="14">
        <v>2.1</v>
      </c>
      <c r="O43" s="14">
        <v>504</v>
      </c>
      <c r="P43" s="14" t="s">
        <v>84</v>
      </c>
      <c r="Q43" s="75">
        <v>2</v>
      </c>
      <c r="R43" s="11" t="s">
        <v>999</v>
      </c>
      <c r="S43" s="12" t="s">
        <v>93</v>
      </c>
      <c r="T43" s="12" t="s">
        <v>141</v>
      </c>
      <c r="U43" s="12" t="s">
        <v>334</v>
      </c>
      <c r="V43" s="12" t="s">
        <v>275</v>
      </c>
      <c r="W43" s="23" t="s">
        <v>500</v>
      </c>
      <c r="X43" s="12" t="s">
        <v>281</v>
      </c>
      <c r="Y43" s="12" t="s">
        <v>69</v>
      </c>
      <c r="Z43" s="12" t="s">
        <v>37</v>
      </c>
      <c r="AA43" s="32" t="s">
        <v>345</v>
      </c>
      <c r="AB43" s="12">
        <v>4.0999999999999996</v>
      </c>
      <c r="AE43" s="12" t="s">
        <v>37</v>
      </c>
      <c r="AH43" s="12" t="s">
        <v>37</v>
      </c>
      <c r="AK43" s="12" t="s">
        <v>37</v>
      </c>
      <c r="AL43" s="32" t="s">
        <v>497</v>
      </c>
      <c r="AM43" s="12" t="s">
        <v>317</v>
      </c>
      <c r="AN43" s="32" t="s">
        <v>879</v>
      </c>
      <c r="AO43" s="12" t="s">
        <v>29</v>
      </c>
      <c r="AP43" s="12" t="s">
        <v>108</v>
      </c>
      <c r="AQ43" s="12" t="s">
        <v>975</v>
      </c>
      <c r="AT43" s="12" t="s">
        <v>326</v>
      </c>
      <c r="AU43" s="12" t="s">
        <v>326</v>
      </c>
      <c r="AV43" s="13" t="s">
        <v>326</v>
      </c>
      <c r="AX43" s="12" t="s">
        <v>326</v>
      </c>
      <c r="AY43" s="12" t="s">
        <v>326</v>
      </c>
      <c r="AZ43" s="13" t="s">
        <v>326</v>
      </c>
      <c r="BE43" s="12" t="s">
        <v>326</v>
      </c>
      <c r="BF43" s="12" t="s">
        <v>326</v>
      </c>
      <c r="BG43" s="12" t="s">
        <v>326</v>
      </c>
      <c r="BI43" s="12" t="s">
        <v>326</v>
      </c>
      <c r="BJ43" s="12" t="s">
        <v>326</v>
      </c>
      <c r="BK43" s="12" t="s">
        <v>326</v>
      </c>
      <c r="BP43" s="12" t="s">
        <v>37</v>
      </c>
      <c r="BQ43" s="12" t="s">
        <v>37</v>
      </c>
      <c r="BR43" s="13" t="s">
        <v>37</v>
      </c>
      <c r="BT43" s="12" t="s">
        <v>37</v>
      </c>
      <c r="BU43" s="12" t="s">
        <v>37</v>
      </c>
      <c r="BV43" s="12" t="s">
        <v>37</v>
      </c>
      <c r="BZ43" s="12" t="s">
        <v>581</v>
      </c>
      <c r="CA43" s="12">
        <f>-181*10^4/10^3*44/12/'[6]classess-1'!$T$65</f>
        <v>-7369.2686191596349</v>
      </c>
      <c r="CB43" s="15">
        <f>SQRT((1/[7]Classess!$T$65)^2*(8*SQRT(3)*10^4/10^3*44/12)^2+(-CA43/([7]Classess!$T$65)^2)^2*([7]Classess!$U$65)^2)</f>
        <v>746.95892899118678</v>
      </c>
      <c r="CC43" s="18">
        <v>3</v>
      </c>
      <c r="CD43" s="19">
        <f t="shared" si="123"/>
        <v>0.10136133822685477</v>
      </c>
      <c r="CE43" s="15">
        <f>-89*10^4/10^3*44/12/'[6]classess-1'!$T$66</f>
        <v>-3516.0081701482113</v>
      </c>
      <c r="CF43" s="15">
        <f>77*SQRT(3)*10^4/10^3*44/12</f>
        <v>4890.1567800361299</v>
      </c>
      <c r="CG43" s="18">
        <v>3</v>
      </c>
      <c r="CH43" s="19">
        <f t="shared" si="124"/>
        <v>1.3908263415184254</v>
      </c>
      <c r="CI43" s="75">
        <f t="shared" si="125"/>
        <v>3853.2604490114236</v>
      </c>
      <c r="CJ43" s="12">
        <f t="shared" si="151"/>
        <v>3497.969480636802</v>
      </c>
      <c r="CK43" s="72">
        <f t="shared" si="126"/>
        <v>8157193.6583109982</v>
      </c>
      <c r="CL43" s="72">
        <f t="shared" si="127"/>
        <v>8157193.6583109982</v>
      </c>
      <c r="CM43" s="12" t="s">
        <v>581</v>
      </c>
      <c r="CN43" s="12">
        <f>241*10^4/10^3*44/12/'[6]classess-1'!$I$65</f>
        <v>11939.302764655935</v>
      </c>
      <c r="CO43" s="15">
        <f>SQRT((1/[7]Classess!$I$65)^2*(45*SQRT(3)*10^4/10^3*44/12)^2+(-CN43/([7]Classess!$I$65)^2)^2*([7]Classess!$J$65)^2)</f>
        <v>4483.7070147716358</v>
      </c>
      <c r="CP43" s="18">
        <v>3</v>
      </c>
      <c r="CQ43" s="19">
        <f t="shared" si="128"/>
        <v>0.37554178021557583</v>
      </c>
      <c r="CR43" s="15">
        <f>351*10^4/10^3*44/12/'[6]classess-1'!$I$66</f>
        <v>16131.458608233776</v>
      </c>
      <c r="CS43" s="15">
        <f>SQRT((1/[7]Classess!$I$66)^2*(96*SQRT(3)*10^4/10^3*44/12)^2+(-CR43/([7]Classess!$I$66)^2)^2*([7]Classess!$J$66)^2)</f>
        <v>7799.7123045882036</v>
      </c>
      <c r="CT43" s="18">
        <v>3</v>
      </c>
      <c r="CU43" s="19">
        <f t="shared" si="129"/>
        <v>0.48350942676734115</v>
      </c>
      <c r="CV43" s="75">
        <f t="shared" si="130"/>
        <v>4192.1558435778406</v>
      </c>
      <c r="CW43" s="12">
        <f t="shared" si="152"/>
        <v>6361.5697995328555</v>
      </c>
      <c r="CX43" s="72">
        <f t="shared" si="131"/>
        <v>26979713.542885665</v>
      </c>
      <c r="CY43" s="72">
        <f t="shared" si="132"/>
        <v>26979713.542885665</v>
      </c>
      <c r="CZ43" s="12" t="s">
        <v>581</v>
      </c>
      <c r="DA43" s="12">
        <f t="shared" si="153"/>
        <v>4570.0341454963</v>
      </c>
      <c r="DB43" s="15">
        <f>SQRT((1/[7]Classess!$I$19)^2*(33*SQRT(3)*10^4/10^3*44/12)^2+(-DA43/([7]Classess!$I$19)^2)^2*([7]Classess!$J$19)^2)</f>
        <v>2072.5073882436504</v>
      </c>
      <c r="DC43" s="18">
        <v>3</v>
      </c>
      <c r="DD43" s="19">
        <f t="shared" si="133"/>
        <v>0.45349932238166651</v>
      </c>
      <c r="DE43" s="12">
        <f t="shared" si="154"/>
        <v>12615.450438085565</v>
      </c>
      <c r="DF43" s="15">
        <f>SQRT((1/[7]Classess!$I$20)^2*(67*SQRT(3)*10^4/10^3*44/12)^2+(-DE43/([7]Classess!$I$20)^2)^2*([7]Classess!$J$20)^2)</f>
        <v>3401.8688612922183</v>
      </c>
      <c r="DG43" s="18">
        <v>3</v>
      </c>
      <c r="DH43" s="19">
        <f t="shared" si="134"/>
        <v>0.26965892957909021</v>
      </c>
      <c r="DI43" s="19">
        <f t="shared" si="135"/>
        <v>8045.4162925892651</v>
      </c>
      <c r="DJ43" s="12">
        <f t="shared" si="136"/>
        <v>2816.7355772022806</v>
      </c>
      <c r="DK43" s="72">
        <f t="shared" si="137"/>
        <v>5289332.8745847102</v>
      </c>
      <c r="DL43" s="72">
        <f t="shared" si="138"/>
        <v>5289332.8745847102</v>
      </c>
      <c r="DM43" s="15"/>
      <c r="DN43" s="52" t="s">
        <v>37</v>
      </c>
      <c r="DO43" s="15" t="s">
        <v>37</v>
      </c>
      <c r="DP43" s="18" t="s">
        <v>37</v>
      </c>
      <c r="DQ43" s="52"/>
      <c r="DR43" s="52" t="s">
        <v>37</v>
      </c>
      <c r="DS43" s="15" t="s">
        <v>37</v>
      </c>
      <c r="DT43" s="18" t="s">
        <v>37</v>
      </c>
      <c r="DU43" s="52"/>
      <c r="DV43" s="52"/>
      <c r="DW43" s="52"/>
      <c r="DZ43" s="15"/>
      <c r="EA43" s="52" t="s">
        <v>37</v>
      </c>
      <c r="EB43" s="52" t="s">
        <v>37</v>
      </c>
      <c r="EC43" s="73" t="s">
        <v>37</v>
      </c>
      <c r="ED43" s="52"/>
      <c r="EE43" s="52" t="s">
        <v>37</v>
      </c>
      <c r="EF43" s="52" t="s">
        <v>37</v>
      </c>
      <c r="EG43" s="15" t="s">
        <v>37</v>
      </c>
      <c r="EH43" s="52"/>
      <c r="EI43" s="52"/>
      <c r="EJ43" s="52"/>
      <c r="EK43" s="52"/>
      <c r="EL43" s="52"/>
      <c r="EM43" s="12" t="s">
        <v>39</v>
      </c>
      <c r="EN43" s="12">
        <f>EN41-6</f>
        <v>-44</v>
      </c>
      <c r="EO43" s="12">
        <v>6.8</v>
      </c>
      <c r="EP43" s="13">
        <v>3</v>
      </c>
      <c r="EQ43" s="19">
        <f t="shared" si="139"/>
        <v>0.15454545454545454</v>
      </c>
      <c r="ER43" s="12">
        <f>ER41-6</f>
        <v>-79</v>
      </c>
      <c r="ES43" s="12">
        <v>12.3</v>
      </c>
      <c r="ET43" s="13">
        <v>3</v>
      </c>
      <c r="EU43" s="19">
        <f t="shared" si="140"/>
        <v>0.15569620253164557</v>
      </c>
      <c r="EV43" s="19">
        <f t="shared" si="141"/>
        <v>-35</v>
      </c>
      <c r="EW43" s="12">
        <f t="shared" si="142"/>
        <v>9.9380581604255074</v>
      </c>
      <c r="EX43" s="19">
        <f t="shared" si="143"/>
        <v>65.843333333333334</v>
      </c>
      <c r="EY43" s="19">
        <f t="shared" si="144"/>
        <v>65.843333333333334</v>
      </c>
      <c r="FB43" s="11" t="s">
        <v>37</v>
      </c>
      <c r="FC43" s="11" t="s">
        <v>37</v>
      </c>
      <c r="FD43" s="11" t="s">
        <v>37</v>
      </c>
      <c r="FE43" s="12" t="s">
        <v>37</v>
      </c>
      <c r="FF43" s="20" t="s">
        <v>37</v>
      </c>
      <c r="FG43" s="11" t="s">
        <v>37</v>
      </c>
      <c r="FI43" s="11" t="s">
        <v>37</v>
      </c>
      <c r="FJ43" s="11" t="s">
        <v>37</v>
      </c>
      <c r="FK43" s="11" t="s">
        <v>37</v>
      </c>
      <c r="FL43" s="13" t="s">
        <v>37</v>
      </c>
      <c r="FM43" s="11" t="s">
        <v>37</v>
      </c>
      <c r="FN43" s="11" t="s">
        <v>37</v>
      </c>
      <c r="FP43" s="11" t="s">
        <v>37</v>
      </c>
      <c r="FQ43" s="11" t="s">
        <v>37</v>
      </c>
      <c r="FR43" s="11" t="s">
        <v>37</v>
      </c>
      <c r="FS43" s="13" t="s">
        <v>37</v>
      </c>
      <c r="FT43" s="11" t="s">
        <v>37</v>
      </c>
      <c r="FU43" s="11" t="s">
        <v>37</v>
      </c>
      <c r="FW43" s="11" t="s">
        <v>37</v>
      </c>
      <c r="FX43" s="11" t="s">
        <v>37</v>
      </c>
      <c r="FY43" s="11" t="s">
        <v>37</v>
      </c>
      <c r="FZ43" s="13" t="s">
        <v>37</v>
      </c>
      <c r="GA43" s="11" t="s">
        <v>37</v>
      </c>
      <c r="GB43" s="11" t="s">
        <v>37</v>
      </c>
      <c r="GO43" s="12" t="s">
        <v>660</v>
      </c>
      <c r="GP43" s="12" t="s">
        <v>330</v>
      </c>
      <c r="GQ43" s="12">
        <v>12.3</v>
      </c>
      <c r="GR43" s="12">
        <v>5.0000000000000001E-3</v>
      </c>
      <c r="GS43" s="13">
        <v>3</v>
      </c>
      <c r="GT43" s="19">
        <f t="shared" si="145"/>
        <v>4.0650406504065041E-4</v>
      </c>
      <c r="GU43" s="12">
        <v>13.1</v>
      </c>
      <c r="GV43" s="12">
        <v>0.1</v>
      </c>
      <c r="GW43" s="13">
        <v>3</v>
      </c>
      <c r="GX43" s="19">
        <f t="shared" si="146"/>
        <v>7.6335877862595426E-3</v>
      </c>
      <c r="GY43" s="19">
        <f t="shared" si="162"/>
        <v>6.301296782873396E-2</v>
      </c>
      <c r="GZ43" s="19">
        <f t="shared" si="169"/>
        <v>1.9478969348475148E-5</v>
      </c>
      <c r="IK43" s="12" t="s">
        <v>37</v>
      </c>
      <c r="IL43" s="12" t="s">
        <v>37</v>
      </c>
      <c r="IM43" s="13" t="s">
        <v>37</v>
      </c>
      <c r="IO43" s="12" t="s">
        <v>37</v>
      </c>
      <c r="IP43" s="12" t="s">
        <v>37</v>
      </c>
      <c r="IQ43" s="13" t="s">
        <v>37</v>
      </c>
      <c r="IV43" s="32" t="s">
        <v>345</v>
      </c>
      <c r="IW43" s="12">
        <v>4.0999999999999996</v>
      </c>
      <c r="IX43" s="12">
        <v>0.1</v>
      </c>
      <c r="IY43" s="13">
        <v>3</v>
      </c>
      <c r="IZ43" s="19">
        <f t="shared" si="147"/>
        <v>2.4390243902439029E-2</v>
      </c>
      <c r="JH43" s="12" t="s">
        <v>37</v>
      </c>
      <c r="JI43" s="12" t="s">
        <v>37</v>
      </c>
      <c r="JJ43" s="13" t="s">
        <v>37</v>
      </c>
      <c r="JL43" s="12" t="s">
        <v>37</v>
      </c>
      <c r="JM43" s="12" t="s">
        <v>37</v>
      </c>
      <c r="JN43" s="12" t="s">
        <v>37</v>
      </c>
      <c r="JS43" s="12" t="s">
        <v>37</v>
      </c>
      <c r="JT43" s="12" t="s">
        <v>37</v>
      </c>
      <c r="JU43" s="13" t="s">
        <v>37</v>
      </c>
      <c r="JW43" s="12" t="s">
        <v>37</v>
      </c>
      <c r="JX43" s="12" t="s">
        <v>37</v>
      </c>
      <c r="JY43" s="12" t="s">
        <v>37</v>
      </c>
      <c r="KE43" s="11" t="s">
        <v>37</v>
      </c>
      <c r="KF43" s="11" t="s">
        <v>37</v>
      </c>
      <c r="KG43" s="13" t="s">
        <v>37</v>
      </c>
      <c r="KH43" s="11" t="s">
        <v>37</v>
      </c>
      <c r="KI43" s="11" t="s">
        <v>37</v>
      </c>
      <c r="KJ43" s="11" t="s">
        <v>37</v>
      </c>
      <c r="KM43" s="12" t="s">
        <v>37</v>
      </c>
      <c r="KN43" s="12" t="s">
        <v>37</v>
      </c>
      <c r="KO43" s="11" t="s">
        <v>37</v>
      </c>
      <c r="KQ43" s="12" t="s">
        <v>37</v>
      </c>
      <c r="KR43" s="12" t="s">
        <v>37</v>
      </c>
      <c r="KS43" s="13" t="s">
        <v>37</v>
      </c>
      <c r="KX43" s="12" t="s">
        <v>37</v>
      </c>
      <c r="KY43" s="12" t="s">
        <v>37</v>
      </c>
      <c r="KZ43" s="13" t="s">
        <v>37</v>
      </c>
      <c r="LB43" s="12" t="s">
        <v>37</v>
      </c>
      <c r="LC43" s="12" t="s">
        <v>37</v>
      </c>
      <c r="LD43" s="13" t="s">
        <v>37</v>
      </c>
      <c r="LI43" s="12" t="s">
        <v>37</v>
      </c>
      <c r="LJ43" s="12" t="s">
        <v>37</v>
      </c>
      <c r="LK43" s="12" t="s">
        <v>37</v>
      </c>
      <c r="LM43" s="12" t="s">
        <v>37</v>
      </c>
      <c r="LN43" s="12" t="s">
        <v>37</v>
      </c>
      <c r="LO43" s="12" t="s">
        <v>37</v>
      </c>
      <c r="LU43" s="12" t="s">
        <v>37</v>
      </c>
      <c r="LV43" s="12" t="s">
        <v>37</v>
      </c>
      <c r="LW43" s="13" t="s">
        <v>37</v>
      </c>
      <c r="LY43" s="12" t="s">
        <v>37</v>
      </c>
      <c r="LZ43" s="12" t="s">
        <v>37</v>
      </c>
      <c r="MA43" s="12" t="s">
        <v>37</v>
      </c>
      <c r="MF43" s="12" t="s">
        <v>37</v>
      </c>
      <c r="MG43" s="12" t="s">
        <v>37</v>
      </c>
      <c r="MH43" s="12" t="s">
        <v>37</v>
      </c>
      <c r="MJ43" s="12" t="s">
        <v>37</v>
      </c>
      <c r="MK43" s="12" t="s">
        <v>37</v>
      </c>
      <c r="ML43" s="12" t="s">
        <v>37</v>
      </c>
      <c r="MQ43" s="12" t="s">
        <v>37</v>
      </c>
      <c r="MR43" s="12" t="s">
        <v>37</v>
      </c>
      <c r="MS43" s="12" t="s">
        <v>37</v>
      </c>
      <c r="MU43" s="12" t="s">
        <v>37</v>
      </c>
      <c r="MV43" s="12" t="s">
        <v>37</v>
      </c>
      <c r="MW43" s="12" t="s">
        <v>37</v>
      </c>
      <c r="NC43" s="12" t="s">
        <v>37</v>
      </c>
      <c r="ND43" s="12" t="s">
        <v>37</v>
      </c>
      <c r="NE43" s="13" t="s">
        <v>37</v>
      </c>
      <c r="NG43" s="12" t="s">
        <v>37</v>
      </c>
      <c r="NH43" s="12" t="s">
        <v>37</v>
      </c>
      <c r="NI43" s="13" t="s">
        <v>37</v>
      </c>
      <c r="NO43" s="12" t="s">
        <v>37</v>
      </c>
      <c r="NP43" s="12" t="s">
        <v>37</v>
      </c>
      <c r="NQ43" s="13" t="s">
        <v>37</v>
      </c>
      <c r="NS43" s="12" t="s">
        <v>37</v>
      </c>
      <c r="NT43" s="12" t="s">
        <v>37</v>
      </c>
      <c r="NU43" s="13" t="s">
        <v>37</v>
      </c>
      <c r="OA43" s="11" t="s">
        <v>37</v>
      </c>
      <c r="OB43" s="11" t="s">
        <v>37</v>
      </c>
      <c r="OC43" s="13" t="s">
        <v>37</v>
      </c>
      <c r="OE43" s="11" t="s">
        <v>37</v>
      </c>
      <c r="OF43" s="11" t="s">
        <v>37</v>
      </c>
      <c r="OG43" s="13" t="s">
        <v>37</v>
      </c>
      <c r="OM43" s="11" t="s">
        <v>37</v>
      </c>
      <c r="ON43" s="11" t="s">
        <v>37</v>
      </c>
      <c r="OO43" s="11" t="s">
        <v>37</v>
      </c>
      <c r="OP43" s="11" t="s">
        <v>37</v>
      </c>
      <c r="OQ43" s="11" t="s">
        <v>37</v>
      </c>
      <c r="OR43" s="11" t="s">
        <v>37</v>
      </c>
      <c r="OW43" s="11" t="s">
        <v>37</v>
      </c>
      <c r="OX43" s="11" t="s">
        <v>37</v>
      </c>
      <c r="OY43" s="13" t="s">
        <v>37</v>
      </c>
      <c r="OZ43" s="11" t="s">
        <v>37</v>
      </c>
      <c r="PA43" s="11" t="s">
        <v>37</v>
      </c>
      <c r="PB43" s="13" t="s">
        <v>37</v>
      </c>
      <c r="PG43" s="11" t="s">
        <v>37</v>
      </c>
      <c r="PH43" s="11" t="s">
        <v>37</v>
      </c>
      <c r="PI43" s="13" t="s">
        <v>37</v>
      </c>
      <c r="PJ43" s="11" t="s">
        <v>37</v>
      </c>
      <c r="PK43" s="11" t="s">
        <v>37</v>
      </c>
      <c r="PL43" s="13" t="s">
        <v>37</v>
      </c>
      <c r="PQ43" s="11" t="s">
        <v>37</v>
      </c>
      <c r="PR43" s="11" t="s">
        <v>37</v>
      </c>
      <c r="PS43" s="13" t="s">
        <v>37</v>
      </c>
      <c r="PT43" s="11" t="s">
        <v>37</v>
      </c>
      <c r="PU43" s="11" t="s">
        <v>37</v>
      </c>
      <c r="PV43" s="13" t="s">
        <v>37</v>
      </c>
      <c r="PY43" s="12" t="s">
        <v>43</v>
      </c>
      <c r="PZ43" s="12">
        <v>350</v>
      </c>
      <c r="QA43" s="12">
        <f t="shared" si="170"/>
        <v>142.02816622064793</v>
      </c>
      <c r="QB43" s="11">
        <v>3</v>
      </c>
      <c r="QC43" s="19">
        <f t="shared" si="155"/>
        <v>0.40579476063042269</v>
      </c>
      <c r="QD43" s="12">
        <v>327</v>
      </c>
      <c r="QE43" s="12">
        <f t="shared" ref="QE43" si="172">51*SQRT(3)</f>
        <v>88.33459118601273</v>
      </c>
      <c r="QF43" s="13">
        <v>3</v>
      </c>
      <c r="QG43" s="19">
        <f t="shared" si="156"/>
        <v>0.27013636448321937</v>
      </c>
      <c r="QH43" s="19">
        <f t="shared" si="148"/>
        <v>-6.7972983586205987E-2</v>
      </c>
      <c r="QI43" s="19">
        <f t="shared" si="149"/>
        <v>7.9214347723770923E-2</v>
      </c>
      <c r="QJ43" s="12" t="s">
        <v>43</v>
      </c>
      <c r="QK43" s="12">
        <v>751</v>
      </c>
      <c r="QL43" s="12">
        <f t="shared" si="171"/>
        <v>575.0408681128672</v>
      </c>
      <c r="QM43" s="13">
        <v>3</v>
      </c>
      <c r="QN43" s="12">
        <v>715</v>
      </c>
      <c r="QO43" s="12">
        <f t="shared" ref="QO43" si="173">116*SQRT(3)</f>
        <v>200.91789367798975</v>
      </c>
      <c r="QP43" s="13">
        <v>3</v>
      </c>
      <c r="QQ43" s="19">
        <f t="shared" si="158"/>
        <v>-4.9123109070127076E-2</v>
      </c>
      <c r="QR43" s="19">
        <f t="shared" si="150"/>
        <v>0.22175336909826129</v>
      </c>
      <c r="QU43" s="11" t="s">
        <v>37</v>
      </c>
      <c r="QV43" s="11" t="s">
        <v>37</v>
      </c>
      <c r="QW43" s="13" t="s">
        <v>37</v>
      </c>
      <c r="QX43" s="11" t="s">
        <v>37</v>
      </c>
      <c r="QY43" s="11" t="s">
        <v>37</v>
      </c>
      <c r="QZ43" s="13" t="s">
        <v>37</v>
      </c>
      <c r="RC43" s="12" t="s">
        <v>37</v>
      </c>
      <c r="RD43" s="12" t="s">
        <v>37</v>
      </c>
      <c r="RE43" s="13" t="s">
        <v>37</v>
      </c>
      <c r="RF43" s="12" t="s">
        <v>37</v>
      </c>
      <c r="RG43" s="12" t="s">
        <v>37</v>
      </c>
      <c r="RH43" s="13" t="s">
        <v>37</v>
      </c>
      <c r="RK43" s="11" t="s">
        <v>37</v>
      </c>
      <c r="RL43" s="11" t="s">
        <v>37</v>
      </c>
      <c r="RM43" s="11" t="s">
        <v>37</v>
      </c>
      <c r="RN43" s="11" t="s">
        <v>37</v>
      </c>
      <c r="RO43" s="11" t="s">
        <v>37</v>
      </c>
      <c r="RP43" s="11" t="s">
        <v>37</v>
      </c>
      <c r="RS43" s="11" t="s">
        <v>37</v>
      </c>
      <c r="RT43" s="11" t="s">
        <v>37</v>
      </c>
      <c r="RU43" s="11" t="s">
        <v>37</v>
      </c>
      <c r="RV43" s="11" t="s">
        <v>37</v>
      </c>
      <c r="RW43" s="11" t="s">
        <v>37</v>
      </c>
      <c r="RX43" s="11" t="s">
        <v>37</v>
      </c>
      <c r="SA43" s="11" t="s">
        <v>37</v>
      </c>
      <c r="SB43" s="11" t="s">
        <v>37</v>
      </c>
      <c r="SC43" s="13" t="s">
        <v>37</v>
      </c>
      <c r="SD43" s="11" t="s">
        <v>37</v>
      </c>
      <c r="SE43" s="11" t="s">
        <v>37</v>
      </c>
      <c r="SF43" s="13" t="s">
        <v>37</v>
      </c>
      <c r="SI43" s="12" t="s">
        <v>37</v>
      </c>
      <c r="SJ43" s="11" t="s">
        <v>37</v>
      </c>
      <c r="SK43" s="13" t="s">
        <v>37</v>
      </c>
      <c r="SM43" s="11" t="s">
        <v>37</v>
      </c>
      <c r="SN43" s="11" t="s">
        <v>37</v>
      </c>
      <c r="SO43" s="13" t="s">
        <v>37</v>
      </c>
      <c r="SU43" s="12" t="s">
        <v>37</v>
      </c>
      <c r="SV43" s="12" t="s">
        <v>37</v>
      </c>
      <c r="SW43" s="11" t="s">
        <v>37</v>
      </c>
      <c r="SX43" s="12" t="s">
        <v>37</v>
      </c>
      <c r="SY43" s="12" t="s">
        <v>37</v>
      </c>
      <c r="SZ43" s="11" t="s">
        <v>37</v>
      </c>
      <c r="TE43" s="12" t="s">
        <v>37</v>
      </c>
      <c r="TF43" s="12" t="s">
        <v>37</v>
      </c>
      <c r="TG43" s="11" t="s">
        <v>37</v>
      </c>
      <c r="TH43" s="12" t="s">
        <v>37</v>
      </c>
      <c r="TI43" s="12" t="s">
        <v>37</v>
      </c>
      <c r="TJ43" s="11" t="s">
        <v>37</v>
      </c>
      <c r="TO43" s="12" t="s">
        <v>37</v>
      </c>
      <c r="TP43" s="12" t="s">
        <v>37</v>
      </c>
      <c r="TQ43" s="11" t="s">
        <v>37</v>
      </c>
      <c r="TR43" s="12" t="s">
        <v>37</v>
      </c>
      <c r="TS43" s="12" t="s">
        <v>37</v>
      </c>
      <c r="TT43" s="11" t="s">
        <v>37</v>
      </c>
      <c r="TY43" s="12" t="s">
        <v>37</v>
      </c>
      <c r="TZ43" s="12" t="s">
        <v>37</v>
      </c>
      <c r="UA43" s="11" t="s">
        <v>37</v>
      </c>
      <c r="UB43" s="12" t="s">
        <v>37</v>
      </c>
      <c r="UC43" s="12" t="s">
        <v>37</v>
      </c>
      <c r="UD43" s="11" t="s">
        <v>37</v>
      </c>
      <c r="UI43" s="12" t="s">
        <v>37</v>
      </c>
      <c r="UJ43" s="12" t="s">
        <v>37</v>
      </c>
      <c r="UK43" s="13" t="s">
        <v>37</v>
      </c>
      <c r="UL43" s="12" t="s">
        <v>37</v>
      </c>
      <c r="UM43" s="12" t="s">
        <v>37</v>
      </c>
      <c r="UN43" s="13" t="s">
        <v>37</v>
      </c>
      <c r="UR43" s="12" t="s">
        <v>37</v>
      </c>
      <c r="US43" s="12" t="s">
        <v>37</v>
      </c>
      <c r="UT43" s="13" t="s">
        <v>37</v>
      </c>
      <c r="UU43" s="12" t="s">
        <v>37</v>
      </c>
      <c r="UV43" s="12" t="s">
        <v>37</v>
      </c>
      <c r="UW43" s="13" t="s">
        <v>37</v>
      </c>
      <c r="VB43" s="12" t="s">
        <v>37</v>
      </c>
      <c r="VC43" s="12" t="s">
        <v>37</v>
      </c>
      <c r="VD43" s="13" t="s">
        <v>37</v>
      </c>
      <c r="VE43" s="12" t="s">
        <v>37</v>
      </c>
      <c r="VF43" s="12" t="s">
        <v>37</v>
      </c>
      <c r="VG43" s="13" t="s">
        <v>37</v>
      </c>
      <c r="VI43" s="12" t="s">
        <v>37</v>
      </c>
      <c r="VJ43" s="12" t="s">
        <v>37</v>
      </c>
      <c r="VK43" s="13" t="s">
        <v>37</v>
      </c>
      <c r="VL43" s="12" t="s">
        <v>37</v>
      </c>
      <c r="VM43" s="12" t="s">
        <v>37</v>
      </c>
      <c r="VN43" s="13" t="s">
        <v>37</v>
      </c>
      <c r="VO43" s="12" t="s">
        <v>37</v>
      </c>
      <c r="VQ43" s="12" t="s">
        <v>37</v>
      </c>
      <c r="VR43" s="12" t="s">
        <v>37</v>
      </c>
      <c r="VS43" s="12" t="s">
        <v>37</v>
      </c>
      <c r="VT43" s="12" t="s">
        <v>37</v>
      </c>
      <c r="VU43" s="12" t="s">
        <v>37</v>
      </c>
      <c r="VV43" s="12" t="s">
        <v>37</v>
      </c>
      <c r="VW43" s="12"/>
      <c r="VX43" s="12"/>
      <c r="WA43" s="13" t="s">
        <v>37</v>
      </c>
      <c r="WB43" s="13" t="s">
        <v>37</v>
      </c>
      <c r="WC43" s="13" t="s">
        <v>37</v>
      </c>
      <c r="WD43" s="13" t="s">
        <v>37</v>
      </c>
      <c r="WE43" s="13" t="s">
        <v>37</v>
      </c>
      <c r="WF43" s="13" t="s">
        <v>37</v>
      </c>
    </row>
    <row r="44" spans="1:604" ht="18" customHeight="1" x14ac:dyDescent="0.4">
      <c r="A44" s="11">
        <v>11</v>
      </c>
      <c r="B44" s="12" t="s">
        <v>109</v>
      </c>
      <c r="C44" s="12" t="s">
        <v>26</v>
      </c>
      <c r="D44" s="12" t="s">
        <v>973</v>
      </c>
      <c r="E44" s="81">
        <v>4.5</v>
      </c>
      <c r="F44" s="14">
        <v>0</v>
      </c>
      <c r="G44" s="14">
        <v>0</v>
      </c>
      <c r="H44" s="12" t="s">
        <v>91</v>
      </c>
      <c r="I44" s="29">
        <v>55.35</v>
      </c>
      <c r="J44" s="29">
        <v>-112.517</v>
      </c>
      <c r="K44" s="12" t="s">
        <v>696</v>
      </c>
      <c r="L44" s="12" t="s">
        <v>697</v>
      </c>
      <c r="M44" s="13" t="s">
        <v>37</v>
      </c>
      <c r="N44" s="14">
        <v>2.1</v>
      </c>
      <c r="O44" s="14">
        <v>504</v>
      </c>
      <c r="P44" s="14" t="s">
        <v>84</v>
      </c>
      <c r="Q44" s="75">
        <v>12</v>
      </c>
      <c r="R44" s="11" t="s">
        <v>999</v>
      </c>
      <c r="S44" s="12" t="s">
        <v>93</v>
      </c>
      <c r="T44" s="12" t="s">
        <v>141</v>
      </c>
      <c r="U44" s="12" t="s">
        <v>334</v>
      </c>
      <c r="V44" s="12" t="s">
        <v>275</v>
      </c>
      <c r="W44" s="23" t="s">
        <v>500</v>
      </c>
      <c r="X44" s="12" t="s">
        <v>281</v>
      </c>
      <c r="Y44" s="12" t="s">
        <v>69</v>
      </c>
      <c r="Z44" s="12" t="s">
        <v>37</v>
      </c>
      <c r="AA44" s="32" t="s">
        <v>345</v>
      </c>
      <c r="AB44" s="12">
        <v>4.0999999999999996</v>
      </c>
      <c r="AE44" s="12" t="s">
        <v>37</v>
      </c>
      <c r="AH44" s="12" t="s">
        <v>37</v>
      </c>
      <c r="AK44" s="12" t="s">
        <v>37</v>
      </c>
      <c r="AL44" s="32" t="s">
        <v>497</v>
      </c>
      <c r="AM44" s="12" t="s">
        <v>317</v>
      </c>
      <c r="AN44" s="32" t="s">
        <v>879</v>
      </c>
      <c r="AO44" s="12" t="s">
        <v>29</v>
      </c>
      <c r="AP44" s="12" t="s">
        <v>108</v>
      </c>
      <c r="AQ44" s="12" t="s">
        <v>975</v>
      </c>
      <c r="AT44" s="12" t="s">
        <v>326</v>
      </c>
      <c r="AU44" s="12" t="s">
        <v>326</v>
      </c>
      <c r="AV44" s="13" t="s">
        <v>326</v>
      </c>
      <c r="AX44" s="12" t="s">
        <v>326</v>
      </c>
      <c r="AY44" s="12" t="s">
        <v>326</v>
      </c>
      <c r="AZ44" s="13" t="s">
        <v>326</v>
      </c>
      <c r="BE44" s="12" t="s">
        <v>326</v>
      </c>
      <c r="BF44" s="12" t="s">
        <v>326</v>
      </c>
      <c r="BG44" s="12" t="s">
        <v>326</v>
      </c>
      <c r="BI44" s="12" t="s">
        <v>326</v>
      </c>
      <c r="BJ44" s="12" t="s">
        <v>326</v>
      </c>
      <c r="BK44" s="12" t="s">
        <v>326</v>
      </c>
      <c r="BP44" s="12" t="s">
        <v>37</v>
      </c>
      <c r="BQ44" s="12" t="s">
        <v>37</v>
      </c>
      <c r="BR44" s="13" t="s">
        <v>37</v>
      </c>
      <c r="BT44" s="12" t="s">
        <v>37</v>
      </c>
      <c r="BU44" s="12" t="s">
        <v>37</v>
      </c>
      <c r="BV44" s="12" t="s">
        <v>37</v>
      </c>
      <c r="BZ44" s="12" t="s">
        <v>581</v>
      </c>
      <c r="CA44" s="12">
        <f>-181*10^4/10^3*44/12/'[6]classess-1'!$T$65</f>
        <v>-7369.2686191596349</v>
      </c>
      <c r="CB44" s="15">
        <f>CB43</f>
        <v>746.95892899118678</v>
      </c>
      <c r="CC44" s="18">
        <v>3</v>
      </c>
      <c r="CD44" s="19">
        <f t="shared" si="123"/>
        <v>0.10136133822685477</v>
      </c>
      <c r="CE44" s="15">
        <f>-118*10^4/10^3*44/12/'[6]classess-1'!$T$66</f>
        <v>-4661.6737536796509</v>
      </c>
      <c r="CF44" s="15">
        <f>20*SQRT(3)*10^4/10^3*44/12</f>
        <v>1270.1705922171766</v>
      </c>
      <c r="CG44" s="18">
        <v>3</v>
      </c>
      <c r="CH44" s="19">
        <f t="shared" si="124"/>
        <v>0.27247093197257288</v>
      </c>
      <c r="CI44" s="75">
        <f t="shared" si="125"/>
        <v>2707.594865479984</v>
      </c>
      <c r="CJ44" s="12">
        <f t="shared" si="151"/>
        <v>1041.9407312637782</v>
      </c>
      <c r="CK44" s="72">
        <f t="shared" si="126"/>
        <v>723760.32497766451</v>
      </c>
      <c r="CL44" s="72">
        <f t="shared" si="127"/>
        <v>723760.32497766463</v>
      </c>
      <c r="CM44" s="12" t="s">
        <v>581</v>
      </c>
      <c r="CN44" s="12">
        <f>241*10^4/10^3*44/12/'[6]classess-1'!$I$65</f>
        <v>11939.302764655935</v>
      </c>
      <c r="CO44" s="15">
        <f>CO43</f>
        <v>4483.7070147716358</v>
      </c>
      <c r="CP44" s="18">
        <v>3</v>
      </c>
      <c r="CQ44" s="19">
        <f t="shared" si="128"/>
        <v>0.37554178021557583</v>
      </c>
      <c r="CR44" s="15">
        <f>507*10^4/10^3*44/12/'[6]classess-1'!$I$66</f>
        <v>23300.995767448785</v>
      </c>
      <c r="CS44" s="15">
        <f>SQRT((1/[7]Classess!$I$66)^2*(35*SQRT(3)*10^4/10^3*44/12)^2+(-CR44/([7]Classess!$I$66)^2)^2*([7]Classess!$J$66)^2)</f>
        <v>3584.4542083747219</v>
      </c>
      <c r="CT44" s="18">
        <v>3</v>
      </c>
      <c r="CU44" s="19">
        <f t="shared" si="129"/>
        <v>0.15383266209516083</v>
      </c>
      <c r="CV44" s="75">
        <f t="shared" si="130"/>
        <v>11361.69300279285</v>
      </c>
      <c r="CW44" s="12">
        <f t="shared" si="152"/>
        <v>4059.0602709400378</v>
      </c>
      <c r="CX44" s="72">
        <f t="shared" si="131"/>
        <v>10983980.188749209</v>
      </c>
      <c r="CY44" s="72">
        <f t="shared" si="132"/>
        <v>10983980.188749209</v>
      </c>
      <c r="CZ44" s="12" t="s">
        <v>581</v>
      </c>
      <c r="DA44" s="12">
        <f t="shared" si="153"/>
        <v>4570.0341454963</v>
      </c>
      <c r="DB44" s="15">
        <f>DB43</f>
        <v>2072.5073882436504</v>
      </c>
      <c r="DC44" s="18">
        <v>3</v>
      </c>
      <c r="DD44" s="19">
        <f t="shared" si="133"/>
        <v>0.45349932238166651</v>
      </c>
      <c r="DE44" s="12">
        <f t="shared" si="154"/>
        <v>18639.322013769135</v>
      </c>
      <c r="DF44" s="15">
        <f>SQRT((1/[7]Classess!$I$20)^2*(47*SQRT(3)*10^4/10^3*44/12)^2+(-DE44/([7]Classess!$I$20)^2)^2*([7]Classess!$J$20)^2)</f>
        <v>3134.054571327079</v>
      </c>
      <c r="DG44" s="18">
        <v>3</v>
      </c>
      <c r="DH44" s="19">
        <f t="shared" si="134"/>
        <v>0.16814209063033023</v>
      </c>
      <c r="DI44" s="19">
        <f t="shared" si="135"/>
        <v>14069.287868272835</v>
      </c>
      <c r="DJ44" s="12">
        <f t="shared" si="136"/>
        <v>2656.8388105397621</v>
      </c>
      <c r="DK44" s="72">
        <f t="shared" si="137"/>
        <v>4705861.6434602253</v>
      </c>
      <c r="DL44" s="72">
        <f t="shared" si="138"/>
        <v>4705861.6434602253</v>
      </c>
      <c r="DM44" s="15"/>
      <c r="DN44" s="52" t="s">
        <v>37</v>
      </c>
      <c r="DO44" s="15" t="s">
        <v>37</v>
      </c>
      <c r="DP44" s="18" t="s">
        <v>37</v>
      </c>
      <c r="DQ44" s="52"/>
      <c r="DR44" s="52" t="s">
        <v>37</v>
      </c>
      <c r="DS44" s="15" t="s">
        <v>37</v>
      </c>
      <c r="DT44" s="18" t="s">
        <v>37</v>
      </c>
      <c r="DU44" s="52"/>
      <c r="DV44" s="52"/>
      <c r="DW44" s="52"/>
      <c r="DZ44" s="15"/>
      <c r="EA44" s="52" t="s">
        <v>37</v>
      </c>
      <c r="EB44" s="52" t="s">
        <v>37</v>
      </c>
      <c r="EC44" s="73" t="s">
        <v>37</v>
      </c>
      <c r="ED44" s="52"/>
      <c r="EE44" s="52" t="s">
        <v>37</v>
      </c>
      <c r="EF44" s="52" t="s">
        <v>37</v>
      </c>
      <c r="EG44" s="15" t="s">
        <v>37</v>
      </c>
      <c r="EH44" s="52"/>
      <c r="EI44" s="52"/>
      <c r="EJ44" s="52"/>
      <c r="EK44" s="52"/>
      <c r="EL44" s="52"/>
      <c r="EM44" s="12" t="s">
        <v>39</v>
      </c>
      <c r="EN44" s="12">
        <f>EN42-6</f>
        <v>-44</v>
      </c>
      <c r="EO44" s="12">
        <v>6.8</v>
      </c>
      <c r="EP44" s="13">
        <v>3</v>
      </c>
      <c r="EQ44" s="19">
        <f t="shared" si="139"/>
        <v>0.15454545454545454</v>
      </c>
      <c r="ER44" s="12">
        <f>ER42-4</f>
        <v>-116</v>
      </c>
      <c r="ES44" s="12">
        <v>11.8</v>
      </c>
      <c r="ET44" s="13">
        <v>3</v>
      </c>
      <c r="EU44" s="19">
        <f t="shared" si="140"/>
        <v>0.10172413793103449</v>
      </c>
      <c r="EV44" s="19">
        <f t="shared" si="141"/>
        <v>-72</v>
      </c>
      <c r="EW44" s="12">
        <f t="shared" si="142"/>
        <v>9.630160954002795</v>
      </c>
      <c r="EX44" s="19">
        <f t="shared" si="143"/>
        <v>61.826666666666668</v>
      </c>
      <c r="EY44" s="19">
        <f t="shared" si="144"/>
        <v>61.826666666666668</v>
      </c>
      <c r="FB44" s="11" t="s">
        <v>37</v>
      </c>
      <c r="FC44" s="11" t="s">
        <v>37</v>
      </c>
      <c r="FD44" s="11" t="s">
        <v>37</v>
      </c>
      <c r="FE44" s="12" t="s">
        <v>37</v>
      </c>
      <c r="FF44" s="20" t="s">
        <v>37</v>
      </c>
      <c r="FG44" s="11" t="s">
        <v>37</v>
      </c>
      <c r="FI44" s="11" t="s">
        <v>37</v>
      </c>
      <c r="FJ44" s="11" t="s">
        <v>37</v>
      </c>
      <c r="FK44" s="11" t="s">
        <v>37</v>
      </c>
      <c r="FL44" s="13" t="s">
        <v>37</v>
      </c>
      <c r="FM44" s="11" t="s">
        <v>37</v>
      </c>
      <c r="FN44" s="11" t="s">
        <v>37</v>
      </c>
      <c r="FP44" s="11" t="s">
        <v>37</v>
      </c>
      <c r="FQ44" s="11" t="s">
        <v>37</v>
      </c>
      <c r="FR44" s="11" t="s">
        <v>37</v>
      </c>
      <c r="FS44" s="13" t="s">
        <v>37</v>
      </c>
      <c r="FT44" s="11" t="s">
        <v>37</v>
      </c>
      <c r="FU44" s="11" t="s">
        <v>37</v>
      </c>
      <c r="FW44" s="11" t="s">
        <v>37</v>
      </c>
      <c r="FX44" s="11" t="s">
        <v>37</v>
      </c>
      <c r="FY44" s="11" t="s">
        <v>37</v>
      </c>
      <c r="FZ44" s="13" t="s">
        <v>37</v>
      </c>
      <c r="GA44" s="11" t="s">
        <v>37</v>
      </c>
      <c r="GB44" s="11" t="s">
        <v>37</v>
      </c>
      <c r="GO44" s="12" t="s">
        <v>660</v>
      </c>
      <c r="GP44" s="12" t="s">
        <v>330</v>
      </c>
      <c r="GQ44" s="12">
        <v>12.3</v>
      </c>
      <c r="GR44" s="12">
        <v>5.0000000000000001E-3</v>
      </c>
      <c r="GS44" s="13">
        <v>3</v>
      </c>
      <c r="GT44" s="19">
        <f t="shared" si="145"/>
        <v>4.0650406504065041E-4</v>
      </c>
      <c r="GU44" s="12">
        <v>13.1</v>
      </c>
      <c r="GV44" s="12">
        <v>0.1</v>
      </c>
      <c r="GW44" s="13">
        <v>3</v>
      </c>
      <c r="GX44" s="19">
        <f t="shared" si="146"/>
        <v>7.6335877862595426E-3</v>
      </c>
      <c r="GY44" s="19">
        <f t="shared" si="162"/>
        <v>6.301296782873396E-2</v>
      </c>
      <c r="GZ44" s="19">
        <f t="shared" si="169"/>
        <v>1.9478969348475148E-5</v>
      </c>
      <c r="HA44" s="12"/>
      <c r="HB44" s="32"/>
      <c r="HM44" s="32"/>
      <c r="IK44" s="12" t="s">
        <v>37</v>
      </c>
      <c r="IL44" s="12" t="s">
        <v>37</v>
      </c>
      <c r="IM44" s="13" t="s">
        <v>37</v>
      </c>
      <c r="IO44" s="12" t="s">
        <v>37</v>
      </c>
      <c r="IP44" s="12" t="s">
        <v>37</v>
      </c>
      <c r="IQ44" s="13" t="s">
        <v>37</v>
      </c>
      <c r="IV44" s="32" t="s">
        <v>345</v>
      </c>
      <c r="IW44" s="12">
        <v>4.0999999999999996</v>
      </c>
      <c r="IX44" s="12">
        <v>0.1</v>
      </c>
      <c r="IY44" s="13">
        <v>3</v>
      </c>
      <c r="IZ44" s="19">
        <f t="shared" si="147"/>
        <v>2.4390243902439029E-2</v>
      </c>
      <c r="JH44" s="12" t="s">
        <v>37</v>
      </c>
      <c r="JI44" s="12" t="s">
        <v>37</v>
      </c>
      <c r="JJ44" s="13" t="s">
        <v>37</v>
      </c>
      <c r="JL44" s="12" t="s">
        <v>37</v>
      </c>
      <c r="JM44" s="12" t="s">
        <v>37</v>
      </c>
      <c r="JN44" s="12" t="s">
        <v>37</v>
      </c>
      <c r="JS44" s="12" t="s">
        <v>37</v>
      </c>
      <c r="JT44" s="12" t="s">
        <v>37</v>
      </c>
      <c r="JU44" s="13" t="s">
        <v>37</v>
      </c>
      <c r="JW44" s="12" t="s">
        <v>37</v>
      </c>
      <c r="JX44" s="12" t="s">
        <v>37</v>
      </c>
      <c r="JY44" s="12" t="s">
        <v>37</v>
      </c>
      <c r="KE44" s="11" t="s">
        <v>37</v>
      </c>
      <c r="KF44" s="11" t="s">
        <v>37</v>
      </c>
      <c r="KG44" s="13" t="s">
        <v>37</v>
      </c>
      <c r="KH44" s="11" t="s">
        <v>37</v>
      </c>
      <c r="KI44" s="11" t="s">
        <v>37</v>
      </c>
      <c r="KJ44" s="11" t="s">
        <v>37</v>
      </c>
      <c r="KM44" s="12" t="s">
        <v>37</v>
      </c>
      <c r="KN44" s="12" t="s">
        <v>37</v>
      </c>
      <c r="KO44" s="11" t="s">
        <v>37</v>
      </c>
      <c r="KQ44" s="12" t="s">
        <v>37</v>
      </c>
      <c r="KR44" s="12" t="s">
        <v>37</v>
      </c>
      <c r="KS44" s="13" t="s">
        <v>37</v>
      </c>
      <c r="KX44" s="12" t="s">
        <v>37</v>
      </c>
      <c r="KY44" s="12" t="s">
        <v>37</v>
      </c>
      <c r="KZ44" s="13" t="s">
        <v>37</v>
      </c>
      <c r="LB44" s="12" t="s">
        <v>37</v>
      </c>
      <c r="LC44" s="12" t="s">
        <v>37</v>
      </c>
      <c r="LD44" s="13" t="s">
        <v>37</v>
      </c>
      <c r="LI44" s="12" t="s">
        <v>37</v>
      </c>
      <c r="LJ44" s="12" t="s">
        <v>37</v>
      </c>
      <c r="LK44" s="12" t="s">
        <v>37</v>
      </c>
      <c r="LM44" s="12" t="s">
        <v>37</v>
      </c>
      <c r="LN44" s="12" t="s">
        <v>37</v>
      </c>
      <c r="LO44" s="12" t="s">
        <v>37</v>
      </c>
      <c r="LU44" s="12" t="s">
        <v>37</v>
      </c>
      <c r="LV44" s="12" t="s">
        <v>37</v>
      </c>
      <c r="LW44" s="13" t="s">
        <v>37</v>
      </c>
      <c r="LY44" s="12" t="s">
        <v>37</v>
      </c>
      <c r="LZ44" s="12" t="s">
        <v>37</v>
      </c>
      <c r="MA44" s="12" t="s">
        <v>37</v>
      </c>
      <c r="MF44" s="12" t="s">
        <v>37</v>
      </c>
      <c r="MG44" s="12" t="s">
        <v>37</v>
      </c>
      <c r="MH44" s="12" t="s">
        <v>37</v>
      </c>
      <c r="MJ44" s="12" t="s">
        <v>37</v>
      </c>
      <c r="MK44" s="12" t="s">
        <v>37</v>
      </c>
      <c r="ML44" s="12" t="s">
        <v>37</v>
      </c>
      <c r="MQ44" s="12" t="s">
        <v>37</v>
      </c>
      <c r="MR44" s="12" t="s">
        <v>37</v>
      </c>
      <c r="MS44" s="12" t="s">
        <v>37</v>
      </c>
      <c r="MU44" s="12" t="s">
        <v>37</v>
      </c>
      <c r="MV44" s="12" t="s">
        <v>37</v>
      </c>
      <c r="MW44" s="12" t="s">
        <v>37</v>
      </c>
      <c r="NC44" s="12" t="s">
        <v>37</v>
      </c>
      <c r="ND44" s="12" t="s">
        <v>37</v>
      </c>
      <c r="NE44" s="13" t="s">
        <v>37</v>
      </c>
      <c r="NG44" s="12" t="s">
        <v>37</v>
      </c>
      <c r="NH44" s="12" t="s">
        <v>37</v>
      </c>
      <c r="NI44" s="13" t="s">
        <v>37</v>
      </c>
      <c r="NO44" s="12" t="s">
        <v>37</v>
      </c>
      <c r="NP44" s="12" t="s">
        <v>37</v>
      </c>
      <c r="NQ44" s="13" t="s">
        <v>37</v>
      </c>
      <c r="NS44" s="12" t="s">
        <v>37</v>
      </c>
      <c r="NT44" s="12" t="s">
        <v>37</v>
      </c>
      <c r="NU44" s="13" t="s">
        <v>37</v>
      </c>
      <c r="OA44" s="11" t="s">
        <v>37</v>
      </c>
      <c r="OB44" s="11" t="s">
        <v>37</v>
      </c>
      <c r="OC44" s="13" t="s">
        <v>37</v>
      </c>
      <c r="OE44" s="11" t="s">
        <v>37</v>
      </c>
      <c r="OF44" s="11" t="s">
        <v>37</v>
      </c>
      <c r="OG44" s="13" t="s">
        <v>37</v>
      </c>
      <c r="OM44" s="11" t="s">
        <v>37</v>
      </c>
      <c r="ON44" s="11" t="s">
        <v>37</v>
      </c>
      <c r="OO44" s="11" t="s">
        <v>37</v>
      </c>
      <c r="OP44" s="11" t="s">
        <v>37</v>
      </c>
      <c r="OQ44" s="11" t="s">
        <v>37</v>
      </c>
      <c r="OR44" s="11" t="s">
        <v>37</v>
      </c>
      <c r="OW44" s="11" t="s">
        <v>37</v>
      </c>
      <c r="OX44" s="11" t="s">
        <v>37</v>
      </c>
      <c r="OY44" s="13" t="s">
        <v>37</v>
      </c>
      <c r="OZ44" s="11" t="s">
        <v>37</v>
      </c>
      <c r="PA44" s="11" t="s">
        <v>37</v>
      </c>
      <c r="PB44" s="13" t="s">
        <v>37</v>
      </c>
      <c r="PG44" s="11" t="s">
        <v>37</v>
      </c>
      <c r="PH44" s="11" t="s">
        <v>37</v>
      </c>
      <c r="PI44" s="13" t="s">
        <v>37</v>
      </c>
      <c r="PJ44" s="11" t="s">
        <v>37</v>
      </c>
      <c r="PK44" s="11" t="s">
        <v>37</v>
      </c>
      <c r="PL44" s="13" t="s">
        <v>37</v>
      </c>
      <c r="PQ44" s="11" t="s">
        <v>37</v>
      </c>
      <c r="PR44" s="11" t="s">
        <v>37</v>
      </c>
      <c r="PS44" s="13" t="s">
        <v>37</v>
      </c>
      <c r="PT44" s="11" t="s">
        <v>37</v>
      </c>
      <c r="PU44" s="11" t="s">
        <v>37</v>
      </c>
      <c r="PV44" s="13" t="s">
        <v>37</v>
      </c>
      <c r="PY44" s="12" t="s">
        <v>43</v>
      </c>
      <c r="PZ44" s="12">
        <v>350</v>
      </c>
      <c r="QA44" s="12">
        <f t="shared" si="170"/>
        <v>142.02816622064793</v>
      </c>
      <c r="QB44" s="11">
        <v>3</v>
      </c>
      <c r="QC44" s="19">
        <f t="shared" si="155"/>
        <v>0.40579476063042269</v>
      </c>
      <c r="QD44" s="12">
        <v>378</v>
      </c>
      <c r="QE44" s="12">
        <f t="shared" ref="QE44" si="174">6*SQRT(3)</f>
        <v>10.392304845413264</v>
      </c>
      <c r="QF44" s="13">
        <v>3</v>
      </c>
      <c r="QG44" s="19">
        <f t="shared" si="156"/>
        <v>2.7492869961410753E-2</v>
      </c>
      <c r="QH44" s="19">
        <f t="shared" si="148"/>
        <v>7.6961041136128394E-2</v>
      </c>
      <c r="QI44" s="19">
        <f t="shared" si="149"/>
        <v>5.5141748551272358E-2</v>
      </c>
      <c r="QJ44" s="12" t="s">
        <v>43</v>
      </c>
      <c r="QK44" s="12">
        <v>751</v>
      </c>
      <c r="QL44" s="12">
        <f t="shared" si="171"/>
        <v>575.0408681128672</v>
      </c>
      <c r="QM44" s="13">
        <v>3</v>
      </c>
      <c r="QN44" s="12">
        <v>975</v>
      </c>
      <c r="QO44" s="12">
        <f t="shared" ref="QO44" si="175">301*SQRT(3)</f>
        <v>521.34729307823204</v>
      </c>
      <c r="QP44" s="13">
        <v>3</v>
      </c>
      <c r="QQ44" s="19">
        <f t="shared" si="158"/>
        <v>0.26103181923371244</v>
      </c>
      <c r="QR44" s="19">
        <f t="shared" si="150"/>
        <v>0.29073904946296264</v>
      </c>
      <c r="QU44" s="11" t="s">
        <v>37</v>
      </c>
      <c r="QV44" s="11" t="s">
        <v>37</v>
      </c>
      <c r="QW44" s="13" t="s">
        <v>37</v>
      </c>
      <c r="QX44" s="11" t="s">
        <v>37</v>
      </c>
      <c r="QY44" s="11" t="s">
        <v>37</v>
      </c>
      <c r="QZ44" s="13" t="s">
        <v>37</v>
      </c>
      <c r="RC44" s="12" t="s">
        <v>37</v>
      </c>
      <c r="RD44" s="12" t="s">
        <v>37</v>
      </c>
      <c r="RE44" s="13" t="s">
        <v>37</v>
      </c>
      <c r="RF44" s="12" t="s">
        <v>37</v>
      </c>
      <c r="RG44" s="12" t="s">
        <v>37</v>
      </c>
      <c r="RH44" s="13" t="s">
        <v>37</v>
      </c>
      <c r="RK44" s="11" t="s">
        <v>37</v>
      </c>
      <c r="RL44" s="11" t="s">
        <v>37</v>
      </c>
      <c r="RM44" s="11" t="s">
        <v>37</v>
      </c>
      <c r="RN44" s="11" t="s">
        <v>37</v>
      </c>
      <c r="RO44" s="11" t="s">
        <v>37</v>
      </c>
      <c r="RP44" s="11" t="s">
        <v>37</v>
      </c>
      <c r="RS44" s="11" t="s">
        <v>37</v>
      </c>
      <c r="RT44" s="11" t="s">
        <v>37</v>
      </c>
      <c r="RU44" s="11" t="s">
        <v>37</v>
      </c>
      <c r="RV44" s="11" t="s">
        <v>37</v>
      </c>
      <c r="RW44" s="11" t="s">
        <v>37</v>
      </c>
      <c r="RX44" s="11" t="s">
        <v>37</v>
      </c>
      <c r="SA44" s="11" t="s">
        <v>37</v>
      </c>
      <c r="SB44" s="11" t="s">
        <v>37</v>
      </c>
      <c r="SC44" s="13" t="s">
        <v>37</v>
      </c>
      <c r="SD44" s="11" t="s">
        <v>37</v>
      </c>
      <c r="SE44" s="11" t="s">
        <v>37</v>
      </c>
      <c r="SF44" s="13" t="s">
        <v>37</v>
      </c>
      <c r="SI44" s="12" t="s">
        <v>37</v>
      </c>
      <c r="SJ44" s="11" t="s">
        <v>37</v>
      </c>
      <c r="SK44" s="13" t="s">
        <v>37</v>
      </c>
      <c r="SM44" s="11" t="s">
        <v>37</v>
      </c>
      <c r="SN44" s="11" t="s">
        <v>37</v>
      </c>
      <c r="SO44" s="13" t="s">
        <v>37</v>
      </c>
      <c r="SU44" s="12" t="s">
        <v>37</v>
      </c>
      <c r="SV44" s="12" t="s">
        <v>37</v>
      </c>
      <c r="SW44" s="11" t="s">
        <v>37</v>
      </c>
      <c r="SX44" s="12" t="s">
        <v>37</v>
      </c>
      <c r="SY44" s="12" t="s">
        <v>37</v>
      </c>
      <c r="SZ44" s="11" t="s">
        <v>37</v>
      </c>
      <c r="TE44" s="12" t="s">
        <v>37</v>
      </c>
      <c r="TF44" s="12" t="s">
        <v>37</v>
      </c>
      <c r="TG44" s="11" t="s">
        <v>37</v>
      </c>
      <c r="TH44" s="12" t="s">
        <v>37</v>
      </c>
      <c r="TI44" s="12" t="s">
        <v>37</v>
      </c>
      <c r="TJ44" s="11" t="s">
        <v>37</v>
      </c>
      <c r="TO44" s="12" t="s">
        <v>37</v>
      </c>
      <c r="TP44" s="12" t="s">
        <v>37</v>
      </c>
      <c r="TQ44" s="11" t="s">
        <v>37</v>
      </c>
      <c r="TR44" s="12" t="s">
        <v>37</v>
      </c>
      <c r="TS44" s="12" t="s">
        <v>37</v>
      </c>
      <c r="TT44" s="11" t="s">
        <v>37</v>
      </c>
      <c r="TY44" s="12" t="s">
        <v>37</v>
      </c>
      <c r="TZ44" s="12" t="s">
        <v>37</v>
      </c>
      <c r="UA44" s="11" t="s">
        <v>37</v>
      </c>
      <c r="UB44" s="12" t="s">
        <v>37</v>
      </c>
      <c r="UC44" s="12" t="s">
        <v>37</v>
      </c>
      <c r="UD44" s="11" t="s">
        <v>37</v>
      </c>
      <c r="UI44" s="12" t="s">
        <v>37</v>
      </c>
      <c r="UJ44" s="12" t="s">
        <v>37</v>
      </c>
      <c r="UK44" s="13" t="s">
        <v>37</v>
      </c>
      <c r="UL44" s="12" t="s">
        <v>37</v>
      </c>
      <c r="UM44" s="12" t="s">
        <v>37</v>
      </c>
      <c r="UN44" s="13" t="s">
        <v>37</v>
      </c>
      <c r="UR44" s="12" t="s">
        <v>37</v>
      </c>
      <c r="US44" s="12" t="s">
        <v>37</v>
      </c>
      <c r="UT44" s="13" t="s">
        <v>37</v>
      </c>
      <c r="UU44" s="12" t="s">
        <v>37</v>
      </c>
      <c r="UV44" s="12" t="s">
        <v>37</v>
      </c>
      <c r="UW44" s="13" t="s">
        <v>37</v>
      </c>
      <c r="VB44" s="12" t="s">
        <v>37</v>
      </c>
      <c r="VC44" s="12" t="s">
        <v>37</v>
      </c>
      <c r="VD44" s="13" t="s">
        <v>37</v>
      </c>
      <c r="VE44" s="12" t="s">
        <v>37</v>
      </c>
      <c r="VF44" s="12" t="s">
        <v>37</v>
      </c>
      <c r="VG44" s="13" t="s">
        <v>37</v>
      </c>
      <c r="VI44" s="12" t="s">
        <v>37</v>
      </c>
      <c r="VJ44" s="12" t="s">
        <v>37</v>
      </c>
      <c r="VK44" s="13" t="s">
        <v>37</v>
      </c>
      <c r="VL44" s="12" t="s">
        <v>37</v>
      </c>
      <c r="VM44" s="12" t="s">
        <v>37</v>
      </c>
      <c r="VN44" s="13" t="s">
        <v>37</v>
      </c>
      <c r="VO44" s="12" t="s">
        <v>37</v>
      </c>
      <c r="VQ44" s="12" t="s">
        <v>37</v>
      </c>
      <c r="VR44" s="12" t="s">
        <v>37</v>
      </c>
      <c r="VS44" s="12" t="s">
        <v>37</v>
      </c>
      <c r="VT44" s="12" t="s">
        <v>37</v>
      </c>
      <c r="VU44" s="12" t="s">
        <v>37</v>
      </c>
      <c r="VV44" s="12" t="s">
        <v>37</v>
      </c>
      <c r="VW44" s="12"/>
      <c r="VX44" s="12"/>
      <c r="WA44" s="13" t="s">
        <v>37</v>
      </c>
      <c r="WB44" s="13" t="s">
        <v>37</v>
      </c>
      <c r="WC44" s="13" t="s">
        <v>37</v>
      </c>
      <c r="WD44" s="13" t="s">
        <v>37</v>
      </c>
      <c r="WE44" s="13" t="s">
        <v>37</v>
      </c>
      <c r="WF44" s="13" t="s">
        <v>37</v>
      </c>
    </row>
    <row r="45" spans="1:604" ht="18" customHeight="1" x14ac:dyDescent="0.4">
      <c r="A45" s="11">
        <v>11</v>
      </c>
      <c r="B45" s="12" t="s">
        <v>109</v>
      </c>
      <c r="C45" s="12" t="s">
        <v>26</v>
      </c>
      <c r="D45" s="12" t="s">
        <v>973</v>
      </c>
      <c r="E45" s="81">
        <v>4.5</v>
      </c>
      <c r="F45" s="14">
        <v>0</v>
      </c>
      <c r="G45" s="14">
        <v>0</v>
      </c>
      <c r="H45" s="12" t="s">
        <v>91</v>
      </c>
      <c r="I45" s="29">
        <v>55.35</v>
      </c>
      <c r="J45" s="29">
        <v>-112.517</v>
      </c>
      <c r="K45" s="12" t="s">
        <v>696</v>
      </c>
      <c r="L45" s="12" t="s">
        <v>697</v>
      </c>
      <c r="M45" s="13" t="s">
        <v>37</v>
      </c>
      <c r="N45" s="14">
        <v>2.1</v>
      </c>
      <c r="O45" s="14">
        <v>504</v>
      </c>
      <c r="P45" s="14" t="s">
        <v>84</v>
      </c>
      <c r="Q45" s="75">
        <v>3</v>
      </c>
      <c r="R45" s="11" t="s">
        <v>999</v>
      </c>
      <c r="S45" s="12" t="s">
        <v>93</v>
      </c>
      <c r="T45" s="12" t="s">
        <v>141</v>
      </c>
      <c r="U45" s="12" t="s">
        <v>334</v>
      </c>
      <c r="V45" s="12" t="s">
        <v>275</v>
      </c>
      <c r="W45" s="23" t="s">
        <v>500</v>
      </c>
      <c r="X45" s="12" t="s">
        <v>281</v>
      </c>
      <c r="Y45" s="12" t="s">
        <v>69</v>
      </c>
      <c r="Z45" s="12" t="s">
        <v>37</v>
      </c>
      <c r="AA45" s="32" t="s">
        <v>345</v>
      </c>
      <c r="AB45" s="12">
        <v>4.0999999999999996</v>
      </c>
      <c r="AE45" s="12" t="s">
        <v>37</v>
      </c>
      <c r="AH45" s="12" t="s">
        <v>37</v>
      </c>
      <c r="AK45" s="12" t="s">
        <v>37</v>
      </c>
      <c r="AL45" s="32" t="s">
        <v>498</v>
      </c>
      <c r="AM45" s="12" t="s">
        <v>317</v>
      </c>
      <c r="AN45" s="32" t="s">
        <v>879</v>
      </c>
      <c r="AO45" s="12" t="s">
        <v>29</v>
      </c>
      <c r="AP45" s="12" t="s">
        <v>108</v>
      </c>
      <c r="AQ45" s="12" t="s">
        <v>975</v>
      </c>
      <c r="AT45" s="12" t="s">
        <v>326</v>
      </c>
      <c r="AU45" s="12" t="s">
        <v>326</v>
      </c>
      <c r="AV45" s="13" t="s">
        <v>326</v>
      </c>
      <c r="AX45" s="12" t="s">
        <v>326</v>
      </c>
      <c r="AY45" s="12" t="s">
        <v>326</v>
      </c>
      <c r="AZ45" s="13" t="s">
        <v>326</v>
      </c>
      <c r="BE45" s="12" t="s">
        <v>326</v>
      </c>
      <c r="BF45" s="12" t="s">
        <v>326</v>
      </c>
      <c r="BG45" s="12" t="s">
        <v>326</v>
      </c>
      <c r="BI45" s="12" t="s">
        <v>326</v>
      </c>
      <c r="BJ45" s="12" t="s">
        <v>326</v>
      </c>
      <c r="BK45" s="12" t="s">
        <v>326</v>
      </c>
      <c r="BP45" s="12" t="s">
        <v>37</v>
      </c>
      <c r="BQ45" s="12" t="s">
        <v>37</v>
      </c>
      <c r="BR45" s="13" t="s">
        <v>37</v>
      </c>
      <c r="BT45" s="12" t="s">
        <v>37</v>
      </c>
      <c r="BU45" s="12" t="s">
        <v>37</v>
      </c>
      <c r="BV45" s="12" t="s">
        <v>37</v>
      </c>
      <c r="BZ45" s="12" t="s">
        <v>581</v>
      </c>
      <c r="CA45" s="12">
        <f>-195*10^4/10^3*44/12/'[6]classess-1'!$T$65</f>
        <v>-7939.2672968846891</v>
      </c>
      <c r="CB45" s="15">
        <f>SQRT((1/[7]Classess!$T$65)^2*(29*SQRT(3)*10^4/10^3*44/12)^2+(-CA45/([7]Classess!$T$65)^2)^2*([7]Classess!$U$65)^2)</f>
        <v>2111.9731212798092</v>
      </c>
      <c r="CC45" s="18">
        <v>3</v>
      </c>
      <c r="CD45" s="19">
        <f t="shared" si="123"/>
        <v>0.26601612495255478</v>
      </c>
      <c r="CE45" s="15">
        <f>-93*10^4/10^3*44/12/'[6]classess-1'!$T$66</f>
        <v>-3674.0310092559957</v>
      </c>
      <c r="CF45" s="15">
        <f>55*SQRT(3)*10^4/10^3*44/12</f>
        <v>3492.9691285972353</v>
      </c>
      <c r="CG45" s="18">
        <v>3</v>
      </c>
      <c r="CH45" s="19">
        <f t="shared" si="124"/>
        <v>0.95071846693655804</v>
      </c>
      <c r="CI45" s="75">
        <f t="shared" si="125"/>
        <v>4265.2362876286934</v>
      </c>
      <c r="CJ45" s="12">
        <f t="shared" si="151"/>
        <v>2886.2834058995063</v>
      </c>
      <c r="CK45" s="72">
        <f t="shared" si="126"/>
        <v>5553754.5994472364</v>
      </c>
      <c r="CL45" s="72">
        <f t="shared" si="127"/>
        <v>5553754.5994472373</v>
      </c>
      <c r="CM45" s="12" t="s">
        <v>581</v>
      </c>
      <c r="CN45" s="12">
        <f>248*10^4/10^3*44/12/'[6]classess-1'!$I$65</f>
        <v>12286.087492260051</v>
      </c>
      <c r="CO45" s="15">
        <f>SQRT((1/[7]Classess!$I$65)^2*(41*SQRT(3)*10^4/10^3*44/12)^2+(-CN45/([7]Classess!$I$65)^2)^2*([7]Classess!$J$65)^2)</f>
        <v>4228.1100433523952</v>
      </c>
      <c r="CP45" s="18">
        <v>3</v>
      </c>
      <c r="CQ45" s="19">
        <f t="shared" si="128"/>
        <v>0.34413803792427866</v>
      </c>
      <c r="CR45" s="15">
        <f>486*10^4/10^3*44/12/'[6]classess-1'!$I$66</f>
        <v>22335.865765246766</v>
      </c>
      <c r="CS45" s="15">
        <f>SQRT((1/[7]Classess!$I$66)^2*(58*SQRT(3)*10^4/10^3*44/12)^2+(-CR45/([7]Classess!$I$66)^2)^2*([7]Classess!$J$66)^2)</f>
        <v>5098.0031695624621</v>
      </c>
      <c r="CT45" s="18">
        <v>3</v>
      </c>
      <c r="CU45" s="19">
        <f t="shared" si="129"/>
        <v>0.22824291760808491</v>
      </c>
      <c r="CV45" s="75">
        <f t="shared" si="130"/>
        <v>10049.778272986716</v>
      </c>
      <c r="CW45" s="12">
        <f t="shared" si="152"/>
        <v>4683.2974951184933</v>
      </c>
      <c r="CX45" s="72">
        <f t="shared" si="131"/>
        <v>14622183.6185221</v>
      </c>
      <c r="CY45" s="72">
        <f t="shared" si="132"/>
        <v>14622183.6185221</v>
      </c>
      <c r="CZ45" s="12" t="s">
        <v>581</v>
      </c>
      <c r="DA45" s="12">
        <f t="shared" si="153"/>
        <v>4346.8201953753614</v>
      </c>
      <c r="DB45" s="15">
        <f>SQRT((1/[7]Classess!$I$19)^2*(14*SQRT(3)*10^4/10^3*44/12)^2+(-DA45/([7]Classess!$I$19)^2)^2*([7]Classess!$J$19)^2)</f>
        <v>1600.2428388061255</v>
      </c>
      <c r="DC45" s="18">
        <v>3</v>
      </c>
      <c r="DD45" s="19">
        <f t="shared" si="133"/>
        <v>0.36814102421550465</v>
      </c>
      <c r="DE45" s="12">
        <f t="shared" si="154"/>
        <v>18661.834755990771</v>
      </c>
      <c r="DF45" s="15">
        <f>SQRT((1/[7]Classess!$I$20)^2*(67*SQRT(3)*10^4/10^3*44/12)^2+(-DE45/([7]Classess!$I$20)^2)^2*([7]Classess!$J$20)^2)</f>
        <v>3804.3746385120953</v>
      </c>
      <c r="DG45" s="18">
        <v>3</v>
      </c>
      <c r="DH45" s="19">
        <f t="shared" si="134"/>
        <v>0.20385855347319617</v>
      </c>
      <c r="DI45" s="19">
        <f t="shared" si="135"/>
        <v>14315.014560615409</v>
      </c>
      <c r="DJ45" s="12">
        <f t="shared" si="136"/>
        <v>2918.3936963083238</v>
      </c>
      <c r="DK45" s="72">
        <f t="shared" si="137"/>
        <v>5678014.5111014405</v>
      </c>
      <c r="DL45" s="72">
        <f t="shared" si="138"/>
        <v>5678014.5111014415</v>
      </c>
      <c r="DM45" s="15"/>
      <c r="DN45" s="52" t="s">
        <v>37</v>
      </c>
      <c r="DO45" s="15" t="s">
        <v>37</v>
      </c>
      <c r="DP45" s="18" t="s">
        <v>37</v>
      </c>
      <c r="DQ45" s="52"/>
      <c r="DR45" s="52" t="s">
        <v>37</v>
      </c>
      <c r="DS45" s="15" t="s">
        <v>37</v>
      </c>
      <c r="DT45" s="18" t="s">
        <v>37</v>
      </c>
      <c r="DU45" s="52"/>
      <c r="DV45" s="52"/>
      <c r="DW45" s="52"/>
      <c r="DZ45" s="15"/>
      <c r="EA45" s="52" t="s">
        <v>37</v>
      </c>
      <c r="EB45" s="52" t="s">
        <v>37</v>
      </c>
      <c r="EC45" s="73" t="s">
        <v>37</v>
      </c>
      <c r="ED45" s="52"/>
      <c r="EE45" s="52" t="s">
        <v>37</v>
      </c>
      <c r="EF45" s="52" t="s">
        <v>37</v>
      </c>
      <c r="EG45" s="15" t="s">
        <v>37</v>
      </c>
      <c r="EH45" s="52"/>
      <c r="EI45" s="52"/>
      <c r="EJ45" s="52"/>
      <c r="EK45" s="52"/>
      <c r="EL45" s="52"/>
      <c r="EM45" s="12" t="s">
        <v>39</v>
      </c>
      <c r="EN45" s="12">
        <f>EN43-6</f>
        <v>-50</v>
      </c>
      <c r="EO45" s="12">
        <v>6.8</v>
      </c>
      <c r="EP45" s="13">
        <v>3</v>
      </c>
      <c r="EQ45" s="19">
        <f t="shared" si="139"/>
        <v>0.13600000000000001</v>
      </c>
      <c r="ER45" s="12">
        <f>ER43-6</f>
        <v>-85</v>
      </c>
      <c r="ES45" s="12">
        <v>12.3</v>
      </c>
      <c r="ET45" s="13">
        <v>3</v>
      </c>
      <c r="EU45" s="19">
        <f t="shared" si="140"/>
        <v>0.14470588235294118</v>
      </c>
      <c r="EV45" s="19">
        <f t="shared" si="141"/>
        <v>-35</v>
      </c>
      <c r="EW45" s="12">
        <f t="shared" si="142"/>
        <v>9.9380581604255074</v>
      </c>
      <c r="EX45" s="19">
        <f t="shared" si="143"/>
        <v>65.843333333333334</v>
      </c>
      <c r="EY45" s="19">
        <f t="shared" si="144"/>
        <v>65.843333333333334</v>
      </c>
      <c r="FB45" s="11" t="s">
        <v>37</v>
      </c>
      <c r="FC45" s="11" t="s">
        <v>37</v>
      </c>
      <c r="FD45" s="11" t="s">
        <v>37</v>
      </c>
      <c r="FE45" s="12" t="s">
        <v>37</v>
      </c>
      <c r="FF45" s="20" t="s">
        <v>37</v>
      </c>
      <c r="FG45" s="11" t="s">
        <v>37</v>
      </c>
      <c r="FI45" s="11" t="s">
        <v>37</v>
      </c>
      <c r="FJ45" s="11" t="s">
        <v>37</v>
      </c>
      <c r="FK45" s="11" t="s">
        <v>37</v>
      </c>
      <c r="FL45" s="13" t="s">
        <v>37</v>
      </c>
      <c r="FM45" s="11" t="s">
        <v>37</v>
      </c>
      <c r="FN45" s="11" t="s">
        <v>37</v>
      </c>
      <c r="FP45" s="11" t="s">
        <v>37</v>
      </c>
      <c r="FQ45" s="11" t="s">
        <v>37</v>
      </c>
      <c r="FR45" s="11" t="s">
        <v>37</v>
      </c>
      <c r="FS45" s="13" t="s">
        <v>37</v>
      </c>
      <c r="FT45" s="11" t="s">
        <v>37</v>
      </c>
      <c r="FU45" s="11" t="s">
        <v>37</v>
      </c>
      <c r="FW45" s="11" t="s">
        <v>37</v>
      </c>
      <c r="FX45" s="11" t="s">
        <v>37</v>
      </c>
      <c r="FY45" s="11" t="s">
        <v>37</v>
      </c>
      <c r="FZ45" s="13" t="s">
        <v>37</v>
      </c>
      <c r="GA45" s="11" t="s">
        <v>37</v>
      </c>
      <c r="GB45" s="11" t="s">
        <v>37</v>
      </c>
      <c r="GO45" s="12" t="s">
        <v>660</v>
      </c>
      <c r="GP45" s="12" t="s">
        <v>330</v>
      </c>
      <c r="GQ45" s="12">
        <v>12.3</v>
      </c>
      <c r="GR45" s="12">
        <v>5.0000000000000001E-3</v>
      </c>
      <c r="GS45" s="13">
        <v>3</v>
      </c>
      <c r="GT45" s="19">
        <f t="shared" si="145"/>
        <v>4.0650406504065041E-4</v>
      </c>
      <c r="GU45" s="12">
        <v>13.1</v>
      </c>
      <c r="GV45" s="12">
        <v>0.1</v>
      </c>
      <c r="GW45" s="13">
        <v>3</v>
      </c>
      <c r="GX45" s="19">
        <f t="shared" si="146"/>
        <v>7.6335877862595426E-3</v>
      </c>
      <c r="GY45" s="19">
        <f t="shared" si="162"/>
        <v>6.301296782873396E-2</v>
      </c>
      <c r="GZ45" s="19">
        <f t="shared" si="169"/>
        <v>1.9478969348475148E-5</v>
      </c>
      <c r="IK45" s="12" t="s">
        <v>37</v>
      </c>
      <c r="IL45" s="12" t="s">
        <v>37</v>
      </c>
      <c r="IM45" s="13" t="s">
        <v>37</v>
      </c>
      <c r="IO45" s="12" t="s">
        <v>37</v>
      </c>
      <c r="IP45" s="12" t="s">
        <v>37</v>
      </c>
      <c r="IQ45" s="13" t="s">
        <v>37</v>
      </c>
      <c r="IV45" s="32" t="s">
        <v>345</v>
      </c>
      <c r="IW45" s="12">
        <v>4.0999999999999996</v>
      </c>
      <c r="IX45" s="12">
        <v>0.1</v>
      </c>
      <c r="IY45" s="13">
        <v>3</v>
      </c>
      <c r="IZ45" s="19">
        <f t="shared" si="147"/>
        <v>2.4390243902439029E-2</v>
      </c>
      <c r="JH45" s="12" t="s">
        <v>37</v>
      </c>
      <c r="JI45" s="12" t="s">
        <v>37</v>
      </c>
      <c r="JJ45" s="13" t="s">
        <v>37</v>
      </c>
      <c r="JL45" s="12" t="s">
        <v>37</v>
      </c>
      <c r="JM45" s="12" t="s">
        <v>37</v>
      </c>
      <c r="JN45" s="12" t="s">
        <v>37</v>
      </c>
      <c r="JS45" s="12" t="s">
        <v>37</v>
      </c>
      <c r="JT45" s="12" t="s">
        <v>37</v>
      </c>
      <c r="JU45" s="13" t="s">
        <v>37</v>
      </c>
      <c r="JW45" s="12" t="s">
        <v>37</v>
      </c>
      <c r="JX45" s="12" t="s">
        <v>37</v>
      </c>
      <c r="JY45" s="12" t="s">
        <v>37</v>
      </c>
      <c r="KE45" s="11" t="s">
        <v>37</v>
      </c>
      <c r="KF45" s="11" t="s">
        <v>37</v>
      </c>
      <c r="KG45" s="13" t="s">
        <v>37</v>
      </c>
      <c r="KH45" s="11" t="s">
        <v>37</v>
      </c>
      <c r="KI45" s="11" t="s">
        <v>37</v>
      </c>
      <c r="KJ45" s="11" t="s">
        <v>37</v>
      </c>
      <c r="KM45" s="12" t="s">
        <v>37</v>
      </c>
      <c r="KN45" s="12" t="s">
        <v>37</v>
      </c>
      <c r="KO45" s="11" t="s">
        <v>37</v>
      </c>
      <c r="KQ45" s="12" t="s">
        <v>37</v>
      </c>
      <c r="KR45" s="12" t="s">
        <v>37</v>
      </c>
      <c r="KS45" s="13" t="s">
        <v>37</v>
      </c>
      <c r="KX45" s="12" t="s">
        <v>37</v>
      </c>
      <c r="KY45" s="12" t="s">
        <v>37</v>
      </c>
      <c r="KZ45" s="13" t="s">
        <v>37</v>
      </c>
      <c r="LB45" s="12" t="s">
        <v>37</v>
      </c>
      <c r="LC45" s="12" t="s">
        <v>37</v>
      </c>
      <c r="LD45" s="13" t="s">
        <v>37</v>
      </c>
      <c r="LI45" s="12" t="s">
        <v>37</v>
      </c>
      <c r="LJ45" s="12" t="s">
        <v>37</v>
      </c>
      <c r="LK45" s="12" t="s">
        <v>37</v>
      </c>
      <c r="LM45" s="12" t="s">
        <v>37</v>
      </c>
      <c r="LN45" s="12" t="s">
        <v>37</v>
      </c>
      <c r="LO45" s="12" t="s">
        <v>37</v>
      </c>
      <c r="LU45" s="12" t="s">
        <v>37</v>
      </c>
      <c r="LV45" s="12" t="s">
        <v>37</v>
      </c>
      <c r="LW45" s="13" t="s">
        <v>37</v>
      </c>
      <c r="LY45" s="12" t="s">
        <v>37</v>
      </c>
      <c r="LZ45" s="12" t="s">
        <v>37</v>
      </c>
      <c r="MA45" s="12" t="s">
        <v>37</v>
      </c>
      <c r="MF45" s="12" t="s">
        <v>37</v>
      </c>
      <c r="MG45" s="12" t="s">
        <v>37</v>
      </c>
      <c r="MH45" s="12" t="s">
        <v>37</v>
      </c>
      <c r="MJ45" s="12" t="s">
        <v>37</v>
      </c>
      <c r="MK45" s="12" t="s">
        <v>37</v>
      </c>
      <c r="ML45" s="12" t="s">
        <v>37</v>
      </c>
      <c r="MQ45" s="12" t="s">
        <v>37</v>
      </c>
      <c r="MR45" s="12" t="s">
        <v>37</v>
      </c>
      <c r="MS45" s="12" t="s">
        <v>37</v>
      </c>
      <c r="MU45" s="12" t="s">
        <v>37</v>
      </c>
      <c r="MV45" s="12" t="s">
        <v>37</v>
      </c>
      <c r="MW45" s="12" t="s">
        <v>37</v>
      </c>
      <c r="NC45" s="12" t="s">
        <v>37</v>
      </c>
      <c r="ND45" s="12" t="s">
        <v>37</v>
      </c>
      <c r="NE45" s="13" t="s">
        <v>37</v>
      </c>
      <c r="NG45" s="12" t="s">
        <v>37</v>
      </c>
      <c r="NH45" s="12" t="s">
        <v>37</v>
      </c>
      <c r="NI45" s="13" t="s">
        <v>37</v>
      </c>
      <c r="NO45" s="12" t="s">
        <v>37</v>
      </c>
      <c r="NP45" s="12" t="s">
        <v>37</v>
      </c>
      <c r="NQ45" s="13" t="s">
        <v>37</v>
      </c>
      <c r="NS45" s="12" t="s">
        <v>37</v>
      </c>
      <c r="NT45" s="12" t="s">
        <v>37</v>
      </c>
      <c r="NU45" s="13" t="s">
        <v>37</v>
      </c>
      <c r="OA45" s="11" t="s">
        <v>37</v>
      </c>
      <c r="OB45" s="11" t="s">
        <v>37</v>
      </c>
      <c r="OC45" s="13" t="s">
        <v>37</v>
      </c>
      <c r="OE45" s="11" t="s">
        <v>37</v>
      </c>
      <c r="OF45" s="11" t="s">
        <v>37</v>
      </c>
      <c r="OG45" s="13" t="s">
        <v>37</v>
      </c>
      <c r="OM45" s="11" t="s">
        <v>37</v>
      </c>
      <c r="ON45" s="11" t="s">
        <v>37</v>
      </c>
      <c r="OO45" s="11" t="s">
        <v>37</v>
      </c>
      <c r="OP45" s="11" t="s">
        <v>37</v>
      </c>
      <c r="OQ45" s="11" t="s">
        <v>37</v>
      </c>
      <c r="OR45" s="11" t="s">
        <v>37</v>
      </c>
      <c r="OW45" s="11" t="s">
        <v>37</v>
      </c>
      <c r="OX45" s="11" t="s">
        <v>37</v>
      </c>
      <c r="OY45" s="13" t="s">
        <v>37</v>
      </c>
      <c r="OZ45" s="11" t="s">
        <v>37</v>
      </c>
      <c r="PA45" s="11" t="s">
        <v>37</v>
      </c>
      <c r="PB45" s="13" t="s">
        <v>37</v>
      </c>
      <c r="PG45" s="11" t="s">
        <v>37</v>
      </c>
      <c r="PH45" s="11" t="s">
        <v>37</v>
      </c>
      <c r="PI45" s="13" t="s">
        <v>37</v>
      </c>
      <c r="PJ45" s="11" t="s">
        <v>37</v>
      </c>
      <c r="PK45" s="11" t="s">
        <v>37</v>
      </c>
      <c r="PL45" s="13" t="s">
        <v>37</v>
      </c>
      <c r="PQ45" s="11" t="s">
        <v>37</v>
      </c>
      <c r="PR45" s="11" t="s">
        <v>37</v>
      </c>
      <c r="PS45" s="13" t="s">
        <v>37</v>
      </c>
      <c r="PT45" s="11" t="s">
        <v>37</v>
      </c>
      <c r="PU45" s="11" t="s">
        <v>37</v>
      </c>
      <c r="PV45" s="13" t="s">
        <v>37</v>
      </c>
      <c r="PY45" s="12" t="s">
        <v>43</v>
      </c>
      <c r="PZ45" s="12">
        <v>350</v>
      </c>
      <c r="QA45" s="12">
        <f t="shared" si="170"/>
        <v>142.02816622064793</v>
      </c>
      <c r="QB45" s="11">
        <v>3</v>
      </c>
      <c r="QC45" s="19">
        <f t="shared" si="155"/>
        <v>0.40579476063042269</v>
      </c>
      <c r="QD45" s="12">
        <v>327</v>
      </c>
      <c r="QE45" s="12">
        <f t="shared" ref="QE45" si="176">51*SQRT(3)</f>
        <v>88.33459118601273</v>
      </c>
      <c r="QF45" s="13">
        <v>3</v>
      </c>
      <c r="QG45" s="19">
        <f t="shared" si="156"/>
        <v>0.27013636448321937</v>
      </c>
      <c r="QH45" s="19">
        <f t="shared" si="148"/>
        <v>-6.7972983586205987E-2</v>
      </c>
      <c r="QI45" s="19">
        <f t="shared" si="149"/>
        <v>7.9214347723770923E-2</v>
      </c>
      <c r="QJ45" s="12" t="s">
        <v>43</v>
      </c>
      <c r="QK45" s="12">
        <v>751</v>
      </c>
      <c r="QL45" s="12">
        <f t="shared" si="171"/>
        <v>575.0408681128672</v>
      </c>
      <c r="QM45" s="13">
        <v>3</v>
      </c>
      <c r="QN45" s="12">
        <v>715</v>
      </c>
      <c r="QO45" s="12">
        <f t="shared" ref="QO45" si="177">116*SQRT(3)</f>
        <v>200.91789367798975</v>
      </c>
      <c r="QP45" s="13">
        <v>3</v>
      </c>
      <c r="QQ45" s="19">
        <f t="shared" si="158"/>
        <v>-4.9123109070127076E-2</v>
      </c>
      <c r="QR45" s="19">
        <f t="shared" si="150"/>
        <v>0.22175336909826129</v>
      </c>
      <c r="QU45" s="11" t="s">
        <v>37</v>
      </c>
      <c r="QV45" s="11" t="s">
        <v>37</v>
      </c>
      <c r="QW45" s="13" t="s">
        <v>37</v>
      </c>
      <c r="QX45" s="11" t="s">
        <v>37</v>
      </c>
      <c r="QY45" s="11" t="s">
        <v>37</v>
      </c>
      <c r="QZ45" s="13" t="s">
        <v>37</v>
      </c>
      <c r="RC45" s="12" t="s">
        <v>37</v>
      </c>
      <c r="RD45" s="12" t="s">
        <v>37</v>
      </c>
      <c r="RE45" s="13" t="s">
        <v>37</v>
      </c>
      <c r="RF45" s="12" t="s">
        <v>37</v>
      </c>
      <c r="RG45" s="12" t="s">
        <v>37</v>
      </c>
      <c r="RH45" s="13" t="s">
        <v>37</v>
      </c>
      <c r="RK45" s="11" t="s">
        <v>37</v>
      </c>
      <c r="RL45" s="11" t="s">
        <v>37</v>
      </c>
      <c r="RM45" s="11" t="s">
        <v>37</v>
      </c>
      <c r="RN45" s="11" t="s">
        <v>37</v>
      </c>
      <c r="RO45" s="11" t="s">
        <v>37</v>
      </c>
      <c r="RP45" s="11" t="s">
        <v>37</v>
      </c>
      <c r="RS45" s="11" t="s">
        <v>37</v>
      </c>
      <c r="RT45" s="11" t="s">
        <v>37</v>
      </c>
      <c r="RU45" s="11" t="s">
        <v>37</v>
      </c>
      <c r="RV45" s="11" t="s">
        <v>37</v>
      </c>
      <c r="RW45" s="11" t="s">
        <v>37</v>
      </c>
      <c r="RX45" s="11" t="s">
        <v>37</v>
      </c>
      <c r="SA45" s="11" t="s">
        <v>37</v>
      </c>
      <c r="SB45" s="11" t="s">
        <v>37</v>
      </c>
      <c r="SC45" s="13" t="s">
        <v>37</v>
      </c>
      <c r="SD45" s="11" t="s">
        <v>37</v>
      </c>
      <c r="SE45" s="11" t="s">
        <v>37</v>
      </c>
      <c r="SF45" s="13" t="s">
        <v>37</v>
      </c>
      <c r="SI45" s="12" t="s">
        <v>37</v>
      </c>
      <c r="SJ45" s="11" t="s">
        <v>37</v>
      </c>
      <c r="SK45" s="13" t="s">
        <v>37</v>
      </c>
      <c r="SM45" s="11" t="s">
        <v>37</v>
      </c>
      <c r="SN45" s="11" t="s">
        <v>37</v>
      </c>
      <c r="SO45" s="13" t="s">
        <v>37</v>
      </c>
      <c r="SU45" s="12" t="s">
        <v>37</v>
      </c>
      <c r="SV45" s="12" t="s">
        <v>37</v>
      </c>
      <c r="SW45" s="11" t="s">
        <v>37</v>
      </c>
      <c r="SX45" s="12" t="s">
        <v>37</v>
      </c>
      <c r="SY45" s="12" t="s">
        <v>37</v>
      </c>
      <c r="SZ45" s="11" t="s">
        <v>37</v>
      </c>
      <c r="TE45" s="12" t="s">
        <v>37</v>
      </c>
      <c r="TF45" s="12" t="s">
        <v>37</v>
      </c>
      <c r="TG45" s="11" t="s">
        <v>37</v>
      </c>
      <c r="TH45" s="12" t="s">
        <v>37</v>
      </c>
      <c r="TI45" s="12" t="s">
        <v>37</v>
      </c>
      <c r="TJ45" s="11" t="s">
        <v>37</v>
      </c>
      <c r="TO45" s="12" t="s">
        <v>37</v>
      </c>
      <c r="TP45" s="12" t="s">
        <v>37</v>
      </c>
      <c r="TQ45" s="11" t="s">
        <v>37</v>
      </c>
      <c r="TR45" s="12" t="s">
        <v>37</v>
      </c>
      <c r="TS45" s="12" t="s">
        <v>37</v>
      </c>
      <c r="TT45" s="11" t="s">
        <v>37</v>
      </c>
      <c r="TY45" s="12" t="s">
        <v>37</v>
      </c>
      <c r="TZ45" s="12" t="s">
        <v>37</v>
      </c>
      <c r="UA45" s="11" t="s">
        <v>37</v>
      </c>
      <c r="UB45" s="12" t="s">
        <v>37</v>
      </c>
      <c r="UC45" s="12" t="s">
        <v>37</v>
      </c>
      <c r="UD45" s="11" t="s">
        <v>37</v>
      </c>
      <c r="UI45" s="12" t="s">
        <v>37</v>
      </c>
      <c r="UJ45" s="12" t="s">
        <v>37</v>
      </c>
      <c r="UK45" s="13" t="s">
        <v>37</v>
      </c>
      <c r="UL45" s="12" t="s">
        <v>37</v>
      </c>
      <c r="UM45" s="12" t="s">
        <v>37</v>
      </c>
      <c r="UN45" s="13" t="s">
        <v>37</v>
      </c>
      <c r="UR45" s="12" t="s">
        <v>37</v>
      </c>
      <c r="US45" s="12" t="s">
        <v>37</v>
      </c>
      <c r="UT45" s="13" t="s">
        <v>37</v>
      </c>
      <c r="UU45" s="12" t="s">
        <v>37</v>
      </c>
      <c r="UV45" s="12" t="s">
        <v>37</v>
      </c>
      <c r="UW45" s="13" t="s">
        <v>37</v>
      </c>
      <c r="VB45" s="12" t="s">
        <v>37</v>
      </c>
      <c r="VC45" s="12" t="s">
        <v>37</v>
      </c>
      <c r="VD45" s="13" t="s">
        <v>37</v>
      </c>
      <c r="VE45" s="12" t="s">
        <v>37</v>
      </c>
      <c r="VF45" s="12" t="s">
        <v>37</v>
      </c>
      <c r="VG45" s="13" t="s">
        <v>37</v>
      </c>
      <c r="VI45" s="12" t="s">
        <v>37</v>
      </c>
      <c r="VJ45" s="12" t="s">
        <v>37</v>
      </c>
      <c r="VK45" s="13" t="s">
        <v>37</v>
      </c>
      <c r="VL45" s="12" t="s">
        <v>37</v>
      </c>
      <c r="VM45" s="12" t="s">
        <v>37</v>
      </c>
      <c r="VN45" s="13" t="s">
        <v>37</v>
      </c>
      <c r="VO45" s="12" t="s">
        <v>37</v>
      </c>
      <c r="VQ45" s="12" t="s">
        <v>37</v>
      </c>
      <c r="VR45" s="12" t="s">
        <v>37</v>
      </c>
      <c r="VS45" s="12" t="s">
        <v>37</v>
      </c>
      <c r="VT45" s="12" t="s">
        <v>37</v>
      </c>
      <c r="VU45" s="12" t="s">
        <v>37</v>
      </c>
      <c r="VV45" s="12" t="s">
        <v>37</v>
      </c>
      <c r="VW45" s="12"/>
      <c r="VX45" s="12"/>
      <c r="WA45" s="13" t="s">
        <v>37</v>
      </c>
      <c r="WB45" s="13" t="s">
        <v>37</v>
      </c>
      <c r="WC45" s="13" t="s">
        <v>37</v>
      </c>
      <c r="WD45" s="13" t="s">
        <v>37</v>
      </c>
      <c r="WE45" s="13" t="s">
        <v>37</v>
      </c>
      <c r="WF45" s="13" t="s">
        <v>37</v>
      </c>
    </row>
    <row r="46" spans="1:604" ht="18" customHeight="1" x14ac:dyDescent="0.4">
      <c r="A46" s="11">
        <v>11</v>
      </c>
      <c r="B46" s="12" t="s">
        <v>109</v>
      </c>
      <c r="C46" s="12" t="s">
        <v>26</v>
      </c>
      <c r="D46" s="12" t="s">
        <v>973</v>
      </c>
      <c r="E46" s="81">
        <v>4.5</v>
      </c>
      <c r="F46" s="14">
        <v>0</v>
      </c>
      <c r="G46" s="14">
        <v>0</v>
      </c>
      <c r="H46" s="12" t="s">
        <v>91</v>
      </c>
      <c r="I46" s="29">
        <v>55.35</v>
      </c>
      <c r="J46" s="29">
        <v>-112.517</v>
      </c>
      <c r="K46" s="12" t="s">
        <v>696</v>
      </c>
      <c r="L46" s="12" t="s">
        <v>697</v>
      </c>
      <c r="M46" s="13" t="s">
        <v>37</v>
      </c>
      <c r="N46" s="14">
        <v>2.1</v>
      </c>
      <c r="O46" s="14">
        <v>504</v>
      </c>
      <c r="P46" s="14" t="s">
        <v>84</v>
      </c>
      <c r="Q46" s="75">
        <v>13</v>
      </c>
      <c r="R46" s="11" t="s">
        <v>999</v>
      </c>
      <c r="S46" s="12" t="s">
        <v>93</v>
      </c>
      <c r="T46" s="12" t="s">
        <v>141</v>
      </c>
      <c r="U46" s="12" t="s">
        <v>334</v>
      </c>
      <c r="V46" s="12" t="s">
        <v>275</v>
      </c>
      <c r="W46" s="23" t="s">
        <v>500</v>
      </c>
      <c r="X46" s="12" t="s">
        <v>281</v>
      </c>
      <c r="Y46" s="12" t="s">
        <v>69</v>
      </c>
      <c r="Z46" s="12" t="s">
        <v>37</v>
      </c>
      <c r="AA46" s="32" t="s">
        <v>345</v>
      </c>
      <c r="AB46" s="12">
        <v>4.0999999999999996</v>
      </c>
      <c r="AE46" s="12" t="s">
        <v>37</v>
      </c>
      <c r="AH46" s="12" t="s">
        <v>37</v>
      </c>
      <c r="AK46" s="12" t="s">
        <v>37</v>
      </c>
      <c r="AL46" s="32" t="s">
        <v>498</v>
      </c>
      <c r="AM46" s="12" t="s">
        <v>317</v>
      </c>
      <c r="AN46" s="32" t="s">
        <v>879</v>
      </c>
      <c r="AO46" s="12" t="s">
        <v>29</v>
      </c>
      <c r="AP46" s="12" t="s">
        <v>108</v>
      </c>
      <c r="AQ46" s="12" t="s">
        <v>975</v>
      </c>
      <c r="AT46" s="12" t="s">
        <v>326</v>
      </c>
      <c r="AU46" s="12" t="s">
        <v>326</v>
      </c>
      <c r="AV46" s="13" t="s">
        <v>326</v>
      </c>
      <c r="AX46" s="12" t="s">
        <v>326</v>
      </c>
      <c r="AY46" s="12" t="s">
        <v>326</v>
      </c>
      <c r="AZ46" s="13" t="s">
        <v>326</v>
      </c>
      <c r="BE46" s="12" t="s">
        <v>326</v>
      </c>
      <c r="BF46" s="12" t="s">
        <v>326</v>
      </c>
      <c r="BG46" s="12" t="s">
        <v>326</v>
      </c>
      <c r="BI46" s="12" t="s">
        <v>326</v>
      </c>
      <c r="BJ46" s="12" t="s">
        <v>326</v>
      </c>
      <c r="BK46" s="12" t="s">
        <v>326</v>
      </c>
      <c r="BP46" s="12" t="s">
        <v>37</v>
      </c>
      <c r="BQ46" s="12" t="s">
        <v>37</v>
      </c>
      <c r="BR46" s="13" t="s">
        <v>37</v>
      </c>
      <c r="BT46" s="12" t="s">
        <v>37</v>
      </c>
      <c r="BU46" s="12" t="s">
        <v>37</v>
      </c>
      <c r="BV46" s="12" t="s">
        <v>37</v>
      </c>
      <c r="BZ46" s="12" t="s">
        <v>581</v>
      </c>
      <c r="CA46" s="12">
        <f>-195*10^4/10^3*44/12/'[6]classess-1'!$T$65</f>
        <v>-7939.2672968846891</v>
      </c>
      <c r="CB46" s="15">
        <f>CB45</f>
        <v>2111.9731212798092</v>
      </c>
      <c r="CC46" s="18">
        <v>3</v>
      </c>
      <c r="CD46" s="19">
        <f t="shared" si="123"/>
        <v>0.26601612495255478</v>
      </c>
      <c r="CE46" s="15">
        <f>-123*10^4/10^3*44/12/'[6]classess-1'!$T$66</f>
        <v>-4859.2023025643821</v>
      </c>
      <c r="CF46" s="15">
        <f>22*SQRT(3)*10^4/10^3*44/12</f>
        <v>1397.1876514388941</v>
      </c>
      <c r="CG46" s="18">
        <v>3</v>
      </c>
      <c r="CH46" s="19">
        <f t="shared" si="124"/>
        <v>0.28753436561008094</v>
      </c>
      <c r="CI46" s="75">
        <f t="shared" si="125"/>
        <v>3080.0649943203071</v>
      </c>
      <c r="CJ46" s="12">
        <f t="shared" si="151"/>
        <v>1790.6093653197663</v>
      </c>
      <c r="CK46" s="72">
        <f t="shared" si="126"/>
        <v>2137521.2661139043</v>
      </c>
      <c r="CL46" s="72">
        <f t="shared" si="127"/>
        <v>2137521.2661139043</v>
      </c>
      <c r="CM46" s="12" t="s">
        <v>581</v>
      </c>
      <c r="CN46" s="12">
        <f>248*10^4/10^3*44/12/'[6]classess-1'!$I$65</f>
        <v>12286.087492260051</v>
      </c>
      <c r="CO46" s="15">
        <f>41*SQRT(3)*10^4/10^3*44/12</f>
        <v>2603.8497140452123</v>
      </c>
      <c r="CP46" s="18">
        <v>3</v>
      </c>
      <c r="CQ46" s="19">
        <f t="shared" si="128"/>
        <v>0.2119348177917158</v>
      </c>
      <c r="CR46" s="15">
        <f>502*10^4/10^3*44/12/'[6]classess-1'!$I$66</f>
        <v>23071.202909781641</v>
      </c>
      <c r="CS46" s="15">
        <f>SQRT((1/[7]Classess!$I$66)^2*(33*SQRT(3)*10^4/10^3*44/12)^2+(-CR46/([7]Classess!$I$66)^2)^2*([7]Classess!$J$66)^2)</f>
        <v>3447.7118721915385</v>
      </c>
      <c r="CT46" s="18">
        <v>3</v>
      </c>
      <c r="CU46" s="19">
        <f t="shared" si="129"/>
        <v>0.14943788954887094</v>
      </c>
      <c r="CV46" s="75">
        <f t="shared" si="130"/>
        <v>10785.115417521591</v>
      </c>
      <c r="CW46" s="12">
        <f t="shared" si="152"/>
        <v>3055.0573224559812</v>
      </c>
      <c r="CX46" s="72">
        <f t="shared" si="131"/>
        <v>6222250.1623279387</v>
      </c>
      <c r="CY46" s="72">
        <f t="shared" si="132"/>
        <v>6222250.1623279396</v>
      </c>
      <c r="CZ46" s="12" t="s">
        <v>581</v>
      </c>
      <c r="DA46" s="12">
        <f t="shared" si="153"/>
        <v>4346.8201953753614</v>
      </c>
      <c r="DB46" s="15">
        <f>DB45</f>
        <v>1600.2428388061255</v>
      </c>
      <c r="DC46" s="18">
        <v>3</v>
      </c>
      <c r="DD46" s="19">
        <f t="shared" si="133"/>
        <v>0.36814102421550465</v>
      </c>
      <c r="DE46" s="12">
        <f t="shared" si="154"/>
        <v>18212.000607217258</v>
      </c>
      <c r="DF46" s="15">
        <f>SQRT((1/[7]Classess!$I$20)^2*(74*SQRT(3)*10^4/10^3*44/12)^2+(-DE46/([7]Classess!$I$20)^2)^2*([7]Classess!$J$20)^2)</f>
        <v>4028.2334522837918</v>
      </c>
      <c r="DG46" s="18">
        <v>3</v>
      </c>
      <c r="DH46" s="19">
        <f t="shared" si="134"/>
        <v>0.22118566428596745</v>
      </c>
      <c r="DI46" s="19">
        <f t="shared" si="135"/>
        <v>13865.180411841897</v>
      </c>
      <c r="DJ46" s="12">
        <f t="shared" si="136"/>
        <v>3064.9177712663422</v>
      </c>
      <c r="DK46" s="72">
        <f t="shared" si="137"/>
        <v>6262480.6297494937</v>
      </c>
      <c r="DL46" s="72">
        <f t="shared" si="138"/>
        <v>6262480.6297494946</v>
      </c>
      <c r="DM46" s="15"/>
      <c r="DN46" s="52" t="s">
        <v>37</v>
      </c>
      <c r="DO46" s="15" t="s">
        <v>37</v>
      </c>
      <c r="DP46" s="18" t="s">
        <v>37</v>
      </c>
      <c r="DQ46" s="52"/>
      <c r="DR46" s="52" t="s">
        <v>37</v>
      </c>
      <c r="DS46" s="15" t="s">
        <v>37</v>
      </c>
      <c r="DT46" s="18" t="s">
        <v>37</v>
      </c>
      <c r="DU46" s="52"/>
      <c r="DV46" s="52"/>
      <c r="DW46" s="52"/>
      <c r="DZ46" s="15"/>
      <c r="EA46" s="52" t="s">
        <v>37</v>
      </c>
      <c r="EB46" s="52" t="s">
        <v>37</v>
      </c>
      <c r="EC46" s="73" t="s">
        <v>37</v>
      </c>
      <c r="ED46" s="52"/>
      <c r="EE46" s="52" t="s">
        <v>37</v>
      </c>
      <c r="EF46" s="52" t="s">
        <v>37</v>
      </c>
      <c r="EG46" s="15" t="s">
        <v>37</v>
      </c>
      <c r="EH46" s="52"/>
      <c r="EI46" s="52"/>
      <c r="EJ46" s="52"/>
      <c r="EK46" s="52"/>
      <c r="EL46" s="52"/>
      <c r="EM46" s="12" t="s">
        <v>39</v>
      </c>
      <c r="EN46" s="12">
        <f>EN44-6</f>
        <v>-50</v>
      </c>
      <c r="EO46" s="12">
        <v>6.8</v>
      </c>
      <c r="EP46" s="13">
        <v>3</v>
      </c>
      <c r="EQ46" s="19">
        <f t="shared" si="139"/>
        <v>0.13600000000000001</v>
      </c>
      <c r="ER46" s="12">
        <f>ER44-4</f>
        <v>-120</v>
      </c>
      <c r="ES46" s="12">
        <v>11.8</v>
      </c>
      <c r="ET46" s="13">
        <v>3</v>
      </c>
      <c r="EU46" s="19">
        <f t="shared" si="140"/>
        <v>9.8333333333333342E-2</v>
      </c>
      <c r="EV46" s="19">
        <f t="shared" si="141"/>
        <v>-70</v>
      </c>
      <c r="EW46" s="12">
        <f t="shared" si="142"/>
        <v>9.630160954002795</v>
      </c>
      <c r="EX46" s="19">
        <f t="shared" si="143"/>
        <v>61.826666666666668</v>
      </c>
      <c r="EY46" s="19">
        <f t="shared" si="144"/>
        <v>61.826666666666668</v>
      </c>
      <c r="FB46" s="11" t="s">
        <v>37</v>
      </c>
      <c r="FC46" s="11" t="s">
        <v>37</v>
      </c>
      <c r="FD46" s="11" t="s">
        <v>37</v>
      </c>
      <c r="FE46" s="12" t="s">
        <v>37</v>
      </c>
      <c r="FF46" s="20" t="s">
        <v>37</v>
      </c>
      <c r="FG46" s="11" t="s">
        <v>37</v>
      </c>
      <c r="FI46" s="11" t="s">
        <v>37</v>
      </c>
      <c r="FJ46" s="11" t="s">
        <v>37</v>
      </c>
      <c r="FK46" s="11" t="s">
        <v>37</v>
      </c>
      <c r="FL46" s="13" t="s">
        <v>37</v>
      </c>
      <c r="FM46" s="11" t="s">
        <v>37</v>
      </c>
      <c r="FN46" s="11" t="s">
        <v>37</v>
      </c>
      <c r="FP46" s="11" t="s">
        <v>37</v>
      </c>
      <c r="FQ46" s="11" t="s">
        <v>37</v>
      </c>
      <c r="FR46" s="11" t="s">
        <v>37</v>
      </c>
      <c r="FS46" s="13" t="s">
        <v>37</v>
      </c>
      <c r="FT46" s="11" t="s">
        <v>37</v>
      </c>
      <c r="FU46" s="11" t="s">
        <v>37</v>
      </c>
      <c r="FW46" s="11" t="s">
        <v>37</v>
      </c>
      <c r="FX46" s="11" t="s">
        <v>37</v>
      </c>
      <c r="FY46" s="11" t="s">
        <v>37</v>
      </c>
      <c r="FZ46" s="13" t="s">
        <v>37</v>
      </c>
      <c r="GA46" s="11" t="s">
        <v>37</v>
      </c>
      <c r="GB46" s="11" t="s">
        <v>37</v>
      </c>
      <c r="GO46" s="12" t="s">
        <v>660</v>
      </c>
      <c r="GP46" s="12" t="s">
        <v>330</v>
      </c>
      <c r="GQ46" s="12">
        <v>12.3</v>
      </c>
      <c r="GR46" s="12">
        <v>5.0000000000000001E-3</v>
      </c>
      <c r="GS46" s="13">
        <v>3</v>
      </c>
      <c r="GT46" s="19">
        <f t="shared" si="145"/>
        <v>4.0650406504065041E-4</v>
      </c>
      <c r="GU46" s="12">
        <v>13.1</v>
      </c>
      <c r="GV46" s="12">
        <v>0.1</v>
      </c>
      <c r="GW46" s="13">
        <v>3</v>
      </c>
      <c r="GX46" s="19">
        <f t="shared" si="146"/>
        <v>7.6335877862595426E-3</v>
      </c>
      <c r="GY46" s="19">
        <f t="shared" si="162"/>
        <v>6.301296782873396E-2</v>
      </c>
      <c r="GZ46" s="19">
        <f t="shared" si="169"/>
        <v>1.9478969348475148E-5</v>
      </c>
      <c r="HA46" s="12"/>
      <c r="HB46" s="32"/>
      <c r="HM46" s="32"/>
      <c r="IK46" s="12" t="s">
        <v>37</v>
      </c>
      <c r="IL46" s="12" t="s">
        <v>37</v>
      </c>
      <c r="IM46" s="13" t="s">
        <v>37</v>
      </c>
      <c r="IO46" s="12" t="s">
        <v>37</v>
      </c>
      <c r="IP46" s="12" t="s">
        <v>37</v>
      </c>
      <c r="IQ46" s="13" t="s">
        <v>37</v>
      </c>
      <c r="IV46" s="32" t="s">
        <v>345</v>
      </c>
      <c r="IW46" s="12">
        <v>4.0999999999999996</v>
      </c>
      <c r="IX46" s="12">
        <v>0.1</v>
      </c>
      <c r="IY46" s="13">
        <v>3</v>
      </c>
      <c r="IZ46" s="19">
        <f t="shared" si="147"/>
        <v>2.4390243902439029E-2</v>
      </c>
      <c r="JH46" s="12" t="s">
        <v>37</v>
      </c>
      <c r="JI46" s="12" t="s">
        <v>37</v>
      </c>
      <c r="JJ46" s="13" t="s">
        <v>37</v>
      </c>
      <c r="JL46" s="12" t="s">
        <v>37</v>
      </c>
      <c r="JM46" s="12" t="s">
        <v>37</v>
      </c>
      <c r="JN46" s="12" t="s">
        <v>37</v>
      </c>
      <c r="JS46" s="12" t="s">
        <v>37</v>
      </c>
      <c r="JT46" s="12" t="s">
        <v>37</v>
      </c>
      <c r="JU46" s="13" t="s">
        <v>37</v>
      </c>
      <c r="JW46" s="12" t="s">
        <v>37</v>
      </c>
      <c r="JX46" s="12" t="s">
        <v>37</v>
      </c>
      <c r="JY46" s="12" t="s">
        <v>37</v>
      </c>
      <c r="KE46" s="11" t="s">
        <v>37</v>
      </c>
      <c r="KF46" s="11" t="s">
        <v>37</v>
      </c>
      <c r="KG46" s="13" t="s">
        <v>37</v>
      </c>
      <c r="KH46" s="11" t="s">
        <v>37</v>
      </c>
      <c r="KI46" s="11" t="s">
        <v>37</v>
      </c>
      <c r="KJ46" s="11" t="s">
        <v>37</v>
      </c>
      <c r="KM46" s="12" t="s">
        <v>37</v>
      </c>
      <c r="KN46" s="12" t="s">
        <v>37</v>
      </c>
      <c r="KO46" s="11" t="s">
        <v>37</v>
      </c>
      <c r="KQ46" s="12" t="s">
        <v>37</v>
      </c>
      <c r="KR46" s="12" t="s">
        <v>37</v>
      </c>
      <c r="KS46" s="13" t="s">
        <v>37</v>
      </c>
      <c r="KX46" s="12" t="s">
        <v>37</v>
      </c>
      <c r="KY46" s="12" t="s">
        <v>37</v>
      </c>
      <c r="KZ46" s="13" t="s">
        <v>37</v>
      </c>
      <c r="LB46" s="12" t="s">
        <v>37</v>
      </c>
      <c r="LC46" s="12" t="s">
        <v>37</v>
      </c>
      <c r="LD46" s="13" t="s">
        <v>37</v>
      </c>
      <c r="LI46" s="12" t="s">
        <v>37</v>
      </c>
      <c r="LJ46" s="12" t="s">
        <v>37</v>
      </c>
      <c r="LK46" s="12" t="s">
        <v>37</v>
      </c>
      <c r="LM46" s="12" t="s">
        <v>37</v>
      </c>
      <c r="LN46" s="12" t="s">
        <v>37</v>
      </c>
      <c r="LO46" s="12" t="s">
        <v>37</v>
      </c>
      <c r="LU46" s="12" t="s">
        <v>37</v>
      </c>
      <c r="LV46" s="12" t="s">
        <v>37</v>
      </c>
      <c r="LW46" s="13" t="s">
        <v>37</v>
      </c>
      <c r="LY46" s="12" t="s">
        <v>37</v>
      </c>
      <c r="LZ46" s="12" t="s">
        <v>37</v>
      </c>
      <c r="MA46" s="12" t="s">
        <v>37</v>
      </c>
      <c r="MF46" s="12" t="s">
        <v>37</v>
      </c>
      <c r="MG46" s="12" t="s">
        <v>37</v>
      </c>
      <c r="MH46" s="12" t="s">
        <v>37</v>
      </c>
      <c r="MJ46" s="12" t="s">
        <v>37</v>
      </c>
      <c r="MK46" s="12" t="s">
        <v>37</v>
      </c>
      <c r="ML46" s="12" t="s">
        <v>37</v>
      </c>
      <c r="MQ46" s="12" t="s">
        <v>37</v>
      </c>
      <c r="MR46" s="12" t="s">
        <v>37</v>
      </c>
      <c r="MS46" s="12" t="s">
        <v>37</v>
      </c>
      <c r="MU46" s="12" t="s">
        <v>37</v>
      </c>
      <c r="MV46" s="12" t="s">
        <v>37</v>
      </c>
      <c r="MW46" s="12" t="s">
        <v>37</v>
      </c>
      <c r="NC46" s="12" t="s">
        <v>37</v>
      </c>
      <c r="ND46" s="12" t="s">
        <v>37</v>
      </c>
      <c r="NE46" s="13" t="s">
        <v>37</v>
      </c>
      <c r="NG46" s="12" t="s">
        <v>37</v>
      </c>
      <c r="NH46" s="12" t="s">
        <v>37</v>
      </c>
      <c r="NI46" s="13" t="s">
        <v>37</v>
      </c>
      <c r="NO46" s="12" t="s">
        <v>37</v>
      </c>
      <c r="NP46" s="12" t="s">
        <v>37</v>
      </c>
      <c r="NQ46" s="13" t="s">
        <v>37</v>
      </c>
      <c r="NS46" s="12" t="s">
        <v>37</v>
      </c>
      <c r="NT46" s="12" t="s">
        <v>37</v>
      </c>
      <c r="NU46" s="13" t="s">
        <v>37</v>
      </c>
      <c r="OA46" s="11" t="s">
        <v>37</v>
      </c>
      <c r="OB46" s="11" t="s">
        <v>37</v>
      </c>
      <c r="OC46" s="13" t="s">
        <v>37</v>
      </c>
      <c r="OE46" s="11" t="s">
        <v>37</v>
      </c>
      <c r="OF46" s="11" t="s">
        <v>37</v>
      </c>
      <c r="OG46" s="13" t="s">
        <v>37</v>
      </c>
      <c r="OM46" s="11" t="s">
        <v>37</v>
      </c>
      <c r="ON46" s="11" t="s">
        <v>37</v>
      </c>
      <c r="OO46" s="11" t="s">
        <v>37</v>
      </c>
      <c r="OP46" s="11" t="s">
        <v>37</v>
      </c>
      <c r="OQ46" s="11" t="s">
        <v>37</v>
      </c>
      <c r="OR46" s="11" t="s">
        <v>37</v>
      </c>
      <c r="OW46" s="11" t="s">
        <v>37</v>
      </c>
      <c r="OX46" s="11" t="s">
        <v>37</v>
      </c>
      <c r="OY46" s="13" t="s">
        <v>37</v>
      </c>
      <c r="OZ46" s="11" t="s">
        <v>37</v>
      </c>
      <c r="PA46" s="11" t="s">
        <v>37</v>
      </c>
      <c r="PB46" s="13" t="s">
        <v>37</v>
      </c>
      <c r="PG46" s="11" t="s">
        <v>37</v>
      </c>
      <c r="PH46" s="11" t="s">
        <v>37</v>
      </c>
      <c r="PI46" s="13" t="s">
        <v>37</v>
      </c>
      <c r="PJ46" s="11" t="s">
        <v>37</v>
      </c>
      <c r="PK46" s="11" t="s">
        <v>37</v>
      </c>
      <c r="PL46" s="13" t="s">
        <v>37</v>
      </c>
      <c r="PQ46" s="11" t="s">
        <v>37</v>
      </c>
      <c r="PR46" s="11" t="s">
        <v>37</v>
      </c>
      <c r="PS46" s="13" t="s">
        <v>37</v>
      </c>
      <c r="PT46" s="11" t="s">
        <v>37</v>
      </c>
      <c r="PU46" s="11" t="s">
        <v>37</v>
      </c>
      <c r="PV46" s="13" t="s">
        <v>37</v>
      </c>
      <c r="PY46" s="12" t="s">
        <v>43</v>
      </c>
      <c r="PZ46" s="12">
        <v>350</v>
      </c>
      <c r="QA46" s="12">
        <f t="shared" si="170"/>
        <v>142.02816622064793</v>
      </c>
      <c r="QB46" s="11">
        <v>3</v>
      </c>
      <c r="QC46" s="19">
        <f t="shared" si="155"/>
        <v>0.40579476063042269</v>
      </c>
      <c r="QD46" s="12">
        <v>378</v>
      </c>
      <c r="QE46" s="12">
        <f t="shared" ref="QE46" si="178">6*SQRT(3)</f>
        <v>10.392304845413264</v>
      </c>
      <c r="QF46" s="13">
        <v>3</v>
      </c>
      <c r="QG46" s="19">
        <f t="shared" si="156"/>
        <v>2.7492869961410753E-2</v>
      </c>
      <c r="QH46" s="19">
        <f t="shared" si="148"/>
        <v>7.6961041136128394E-2</v>
      </c>
      <c r="QI46" s="19">
        <f t="shared" si="149"/>
        <v>5.5141748551272358E-2</v>
      </c>
      <c r="QJ46" s="12" t="s">
        <v>43</v>
      </c>
      <c r="QK46" s="12">
        <v>751</v>
      </c>
      <c r="QL46" s="12">
        <f t="shared" si="171"/>
        <v>575.0408681128672</v>
      </c>
      <c r="QM46" s="13">
        <v>3</v>
      </c>
      <c r="QN46" s="12">
        <v>975</v>
      </c>
      <c r="QO46" s="12">
        <f t="shared" ref="QO46" si="179">301*SQRT(3)</f>
        <v>521.34729307823204</v>
      </c>
      <c r="QP46" s="13">
        <v>3</v>
      </c>
      <c r="QQ46" s="19">
        <f t="shared" si="158"/>
        <v>0.26103181923371244</v>
      </c>
      <c r="QR46" s="19">
        <f t="shared" si="150"/>
        <v>0.29073904946296264</v>
      </c>
      <c r="QU46" s="11" t="s">
        <v>37</v>
      </c>
      <c r="QV46" s="11" t="s">
        <v>37</v>
      </c>
      <c r="QW46" s="13" t="s">
        <v>37</v>
      </c>
      <c r="QX46" s="11" t="s">
        <v>37</v>
      </c>
      <c r="QY46" s="11" t="s">
        <v>37</v>
      </c>
      <c r="QZ46" s="13" t="s">
        <v>37</v>
      </c>
      <c r="RC46" s="12" t="s">
        <v>37</v>
      </c>
      <c r="RD46" s="12" t="s">
        <v>37</v>
      </c>
      <c r="RE46" s="13" t="s">
        <v>37</v>
      </c>
      <c r="RF46" s="12" t="s">
        <v>37</v>
      </c>
      <c r="RG46" s="12" t="s">
        <v>37</v>
      </c>
      <c r="RH46" s="13" t="s">
        <v>37</v>
      </c>
      <c r="RK46" s="11" t="s">
        <v>37</v>
      </c>
      <c r="RL46" s="11" t="s">
        <v>37</v>
      </c>
      <c r="RM46" s="11" t="s">
        <v>37</v>
      </c>
      <c r="RN46" s="11" t="s">
        <v>37</v>
      </c>
      <c r="RO46" s="11" t="s">
        <v>37</v>
      </c>
      <c r="RP46" s="11" t="s">
        <v>37</v>
      </c>
      <c r="RS46" s="11" t="s">
        <v>37</v>
      </c>
      <c r="RT46" s="11" t="s">
        <v>37</v>
      </c>
      <c r="RU46" s="11" t="s">
        <v>37</v>
      </c>
      <c r="RV46" s="11" t="s">
        <v>37</v>
      </c>
      <c r="RW46" s="11" t="s">
        <v>37</v>
      </c>
      <c r="RX46" s="11" t="s">
        <v>37</v>
      </c>
      <c r="SA46" s="11" t="s">
        <v>37</v>
      </c>
      <c r="SB46" s="11" t="s">
        <v>37</v>
      </c>
      <c r="SC46" s="13" t="s">
        <v>37</v>
      </c>
      <c r="SD46" s="11" t="s">
        <v>37</v>
      </c>
      <c r="SE46" s="11" t="s">
        <v>37</v>
      </c>
      <c r="SF46" s="13" t="s">
        <v>37</v>
      </c>
      <c r="SI46" s="12" t="s">
        <v>37</v>
      </c>
      <c r="SJ46" s="11" t="s">
        <v>37</v>
      </c>
      <c r="SK46" s="13" t="s">
        <v>37</v>
      </c>
      <c r="SM46" s="11" t="s">
        <v>37</v>
      </c>
      <c r="SN46" s="11" t="s">
        <v>37</v>
      </c>
      <c r="SO46" s="13" t="s">
        <v>37</v>
      </c>
      <c r="SU46" s="12" t="s">
        <v>37</v>
      </c>
      <c r="SV46" s="12" t="s">
        <v>37</v>
      </c>
      <c r="SW46" s="11" t="s">
        <v>37</v>
      </c>
      <c r="SX46" s="12" t="s">
        <v>37</v>
      </c>
      <c r="SY46" s="12" t="s">
        <v>37</v>
      </c>
      <c r="SZ46" s="11" t="s">
        <v>37</v>
      </c>
      <c r="TE46" s="12" t="s">
        <v>37</v>
      </c>
      <c r="TF46" s="12" t="s">
        <v>37</v>
      </c>
      <c r="TG46" s="11" t="s">
        <v>37</v>
      </c>
      <c r="TH46" s="12" t="s">
        <v>37</v>
      </c>
      <c r="TI46" s="12" t="s">
        <v>37</v>
      </c>
      <c r="TJ46" s="11" t="s">
        <v>37</v>
      </c>
      <c r="TO46" s="12" t="s">
        <v>37</v>
      </c>
      <c r="TP46" s="12" t="s">
        <v>37</v>
      </c>
      <c r="TQ46" s="11" t="s">
        <v>37</v>
      </c>
      <c r="TR46" s="12" t="s">
        <v>37</v>
      </c>
      <c r="TS46" s="12" t="s">
        <v>37</v>
      </c>
      <c r="TT46" s="11" t="s">
        <v>37</v>
      </c>
      <c r="TY46" s="12" t="s">
        <v>37</v>
      </c>
      <c r="TZ46" s="12" t="s">
        <v>37</v>
      </c>
      <c r="UA46" s="11" t="s">
        <v>37</v>
      </c>
      <c r="UB46" s="12" t="s">
        <v>37</v>
      </c>
      <c r="UC46" s="12" t="s">
        <v>37</v>
      </c>
      <c r="UD46" s="11" t="s">
        <v>37</v>
      </c>
      <c r="UI46" s="12" t="s">
        <v>37</v>
      </c>
      <c r="UJ46" s="12" t="s">
        <v>37</v>
      </c>
      <c r="UK46" s="13" t="s">
        <v>37</v>
      </c>
      <c r="UL46" s="12" t="s">
        <v>37</v>
      </c>
      <c r="UM46" s="12" t="s">
        <v>37</v>
      </c>
      <c r="UN46" s="13" t="s">
        <v>37</v>
      </c>
      <c r="UR46" s="12" t="s">
        <v>37</v>
      </c>
      <c r="US46" s="12" t="s">
        <v>37</v>
      </c>
      <c r="UT46" s="13" t="s">
        <v>37</v>
      </c>
      <c r="UU46" s="12" t="s">
        <v>37</v>
      </c>
      <c r="UV46" s="12" t="s">
        <v>37</v>
      </c>
      <c r="UW46" s="13" t="s">
        <v>37</v>
      </c>
      <c r="VB46" s="12" t="s">
        <v>37</v>
      </c>
      <c r="VC46" s="12" t="s">
        <v>37</v>
      </c>
      <c r="VD46" s="13" t="s">
        <v>37</v>
      </c>
      <c r="VE46" s="12" t="s">
        <v>37</v>
      </c>
      <c r="VF46" s="12" t="s">
        <v>37</v>
      </c>
      <c r="VG46" s="13" t="s">
        <v>37</v>
      </c>
      <c r="VI46" s="12" t="s">
        <v>37</v>
      </c>
      <c r="VJ46" s="12" t="s">
        <v>37</v>
      </c>
      <c r="VK46" s="13" t="s">
        <v>37</v>
      </c>
      <c r="VL46" s="12" t="s">
        <v>37</v>
      </c>
      <c r="VM46" s="12" t="s">
        <v>37</v>
      </c>
      <c r="VN46" s="13" t="s">
        <v>37</v>
      </c>
      <c r="VO46" s="12" t="s">
        <v>37</v>
      </c>
      <c r="VQ46" s="12" t="s">
        <v>37</v>
      </c>
      <c r="VR46" s="12" t="s">
        <v>37</v>
      </c>
      <c r="VS46" s="12" t="s">
        <v>37</v>
      </c>
      <c r="VT46" s="12" t="s">
        <v>37</v>
      </c>
      <c r="VU46" s="12" t="s">
        <v>37</v>
      </c>
      <c r="VV46" s="12" t="s">
        <v>37</v>
      </c>
      <c r="VW46" s="12"/>
      <c r="VX46" s="12"/>
      <c r="WA46" s="13" t="s">
        <v>37</v>
      </c>
      <c r="WB46" s="13" t="s">
        <v>37</v>
      </c>
      <c r="WC46" s="13" t="s">
        <v>37</v>
      </c>
      <c r="WD46" s="13" t="s">
        <v>37</v>
      </c>
      <c r="WE46" s="13" t="s">
        <v>37</v>
      </c>
      <c r="WF46" s="13" t="s">
        <v>37</v>
      </c>
    </row>
    <row r="47" spans="1:604" ht="18" customHeight="1" x14ac:dyDescent="0.4">
      <c r="A47" s="11">
        <v>11</v>
      </c>
      <c r="B47" s="12" t="s">
        <v>110</v>
      </c>
      <c r="C47" s="12" t="s">
        <v>26</v>
      </c>
      <c r="D47" s="12" t="s">
        <v>973</v>
      </c>
      <c r="E47" s="81">
        <v>4.5</v>
      </c>
      <c r="F47" s="14">
        <v>0</v>
      </c>
      <c r="G47" s="14">
        <v>0</v>
      </c>
      <c r="H47" s="12" t="s">
        <v>91</v>
      </c>
      <c r="I47" s="29">
        <v>55.35</v>
      </c>
      <c r="J47" s="29">
        <v>-112.517</v>
      </c>
      <c r="K47" s="12" t="s">
        <v>696</v>
      </c>
      <c r="L47" s="12" t="s">
        <v>697</v>
      </c>
      <c r="M47" s="13" t="s">
        <v>37</v>
      </c>
      <c r="N47" s="14">
        <v>2.1</v>
      </c>
      <c r="O47" s="14">
        <v>504</v>
      </c>
      <c r="P47" s="14" t="s">
        <v>84</v>
      </c>
      <c r="Q47" s="75">
        <v>1</v>
      </c>
      <c r="R47" s="11" t="s">
        <v>999</v>
      </c>
      <c r="S47" s="12" t="s">
        <v>93</v>
      </c>
      <c r="T47" s="12" t="s">
        <v>141</v>
      </c>
      <c r="U47" s="12" t="s">
        <v>158</v>
      </c>
      <c r="V47" s="12" t="s">
        <v>275</v>
      </c>
      <c r="W47" s="23" t="s">
        <v>502</v>
      </c>
      <c r="X47" s="12" t="s">
        <v>857</v>
      </c>
      <c r="Y47" s="12" t="s">
        <v>69</v>
      </c>
      <c r="Z47" s="12" t="s">
        <v>37</v>
      </c>
      <c r="AA47" s="32" t="s">
        <v>345</v>
      </c>
      <c r="AB47" s="12">
        <v>4.0999999999999996</v>
      </c>
      <c r="AE47" s="12" t="s">
        <v>37</v>
      </c>
      <c r="AH47" s="12" t="s">
        <v>37</v>
      </c>
      <c r="AK47" s="12" t="s">
        <v>37</v>
      </c>
      <c r="AL47" s="32" t="s">
        <v>496</v>
      </c>
      <c r="AM47" s="12" t="s">
        <v>317</v>
      </c>
      <c r="AN47" s="32" t="s">
        <v>879</v>
      </c>
      <c r="AO47" s="12" t="s">
        <v>318</v>
      </c>
      <c r="AP47" s="12" t="s">
        <v>108</v>
      </c>
      <c r="AQ47" s="12" t="s">
        <v>975</v>
      </c>
      <c r="AT47" s="12" t="s">
        <v>326</v>
      </c>
      <c r="AU47" s="12" t="s">
        <v>326</v>
      </c>
      <c r="AV47" s="13" t="s">
        <v>326</v>
      </c>
      <c r="AX47" s="12" t="s">
        <v>326</v>
      </c>
      <c r="AY47" s="12" t="s">
        <v>326</v>
      </c>
      <c r="AZ47" s="13" t="s">
        <v>326</v>
      </c>
      <c r="BE47" s="12" t="s">
        <v>326</v>
      </c>
      <c r="BF47" s="12" t="s">
        <v>326</v>
      </c>
      <c r="BG47" s="12" t="s">
        <v>326</v>
      </c>
      <c r="BI47" s="12" t="s">
        <v>326</v>
      </c>
      <c r="BJ47" s="12" t="s">
        <v>326</v>
      </c>
      <c r="BK47" s="12" t="s">
        <v>326</v>
      </c>
      <c r="BP47" s="12" t="s">
        <v>37</v>
      </c>
      <c r="BQ47" s="12" t="s">
        <v>37</v>
      </c>
      <c r="BR47" s="13" t="s">
        <v>37</v>
      </c>
      <c r="BT47" s="12" t="s">
        <v>37</v>
      </c>
      <c r="BU47" s="12" t="s">
        <v>37</v>
      </c>
      <c r="BV47" s="12" t="s">
        <v>37</v>
      </c>
      <c r="BZ47" s="12" t="s">
        <v>581</v>
      </c>
      <c r="CA47" s="12">
        <f>0.56*CA35+0.44*CA41</f>
        <v>-8294.385041352898</v>
      </c>
      <c r="CB47" s="15">
        <f t="shared" ref="CB47:CB52" si="180">SQRT(0.56^2*CB35^2+0.44^2*CB41^2)</f>
        <v>1642.4661972156998</v>
      </c>
      <c r="CC47" s="18">
        <v>3</v>
      </c>
      <c r="CD47" s="19">
        <f t="shared" si="123"/>
        <v>0.19802145536130031</v>
      </c>
      <c r="CE47" s="12">
        <f>0.55*CE35+0.45*CE41</f>
        <v>-4116.4949587577939</v>
      </c>
      <c r="CF47" s="15">
        <f>SQRT(0.55^2*CF35^2+0.45^2*CF41^2)</f>
        <v>2228.1690065442513</v>
      </c>
      <c r="CG47" s="18">
        <v>3</v>
      </c>
      <c r="CH47" s="19">
        <f t="shared" si="124"/>
        <v>0.54127820606310917</v>
      </c>
      <c r="CI47" s="75">
        <f t="shared" si="125"/>
        <v>4177.8900825951041</v>
      </c>
      <c r="CJ47" s="12">
        <f t="shared" si="151"/>
        <v>1957.3492701509097</v>
      </c>
      <c r="CK47" s="72">
        <f t="shared" si="126"/>
        <v>2554144.1102401991</v>
      </c>
      <c r="CL47" s="72">
        <f t="shared" si="127"/>
        <v>2554144.1102401996</v>
      </c>
      <c r="CM47" s="12" t="s">
        <v>581</v>
      </c>
      <c r="CN47" s="12">
        <f>0.56*CN35+0.44*CN41</f>
        <v>9925.2960228500779</v>
      </c>
      <c r="CO47" s="15">
        <f>SQRT(0.56^2*CO35^2+0.44^2*CO41^2)</f>
        <v>1567.0081026388868</v>
      </c>
      <c r="CP47" s="18">
        <v>3</v>
      </c>
      <c r="CQ47" s="19">
        <f t="shared" si="128"/>
        <v>0.15788023843634599</v>
      </c>
      <c r="CR47" s="12">
        <f>0.55*CR35+0.45*CR41</f>
        <v>11818.246669821412</v>
      </c>
      <c r="CS47" s="15">
        <f>SQRT(0.55^2*CS35^2+0.45^2*CS41^2)</f>
        <v>4651.0454986548657</v>
      </c>
      <c r="CT47" s="18">
        <v>3</v>
      </c>
      <c r="CU47" s="19">
        <f t="shared" si="129"/>
        <v>0.39354784415962346</v>
      </c>
      <c r="CV47" s="75">
        <f t="shared" si="130"/>
        <v>1892.9506469713342</v>
      </c>
      <c r="CW47" s="12">
        <f t="shared" si="152"/>
        <v>3470.4278284019688</v>
      </c>
      <c r="CX47" s="72">
        <f t="shared" si="131"/>
        <v>8029246.2080978695</v>
      </c>
      <c r="CY47" s="72">
        <f t="shared" si="132"/>
        <v>8029246.2080978705</v>
      </c>
      <c r="CZ47" s="12" t="s">
        <v>581</v>
      </c>
      <c r="DA47" s="12">
        <f>0.55*DA35+0.45*DA41</f>
        <v>1587.3797452740284</v>
      </c>
      <c r="DB47" s="15">
        <f>SQRT(0.56^2*DB35^2+0.44^2*DB41^2)</f>
        <v>3333.5525389363561</v>
      </c>
      <c r="DC47" s="18">
        <v>3</v>
      </c>
      <c r="DD47" s="19">
        <f t="shared" si="133"/>
        <v>2.1000346948240081</v>
      </c>
      <c r="DE47" s="12">
        <f>0.55*DE35+0.45*DE41</f>
        <v>7701.7517110636172</v>
      </c>
      <c r="DF47" s="15">
        <f>SQRT(0.55^2*DF35^2+0.45^2*DF41^2)</f>
        <v>1365.154161423319</v>
      </c>
      <c r="DG47" s="18">
        <v>3</v>
      </c>
      <c r="DH47" s="19">
        <f t="shared" si="134"/>
        <v>0.17725242420659523</v>
      </c>
      <c r="DI47" s="19">
        <f t="shared" si="135"/>
        <v>6114.371965789589</v>
      </c>
      <c r="DJ47" s="12">
        <f t="shared" si="136"/>
        <v>2547.1767129805139</v>
      </c>
      <c r="DK47" s="72">
        <f t="shared" si="137"/>
        <v>4325406.1381001435</v>
      </c>
      <c r="DL47" s="72">
        <f t="shared" si="138"/>
        <v>4325406.1381001435</v>
      </c>
      <c r="DM47" s="15"/>
      <c r="DN47" s="52" t="s">
        <v>37</v>
      </c>
      <c r="DO47" s="15" t="s">
        <v>37</v>
      </c>
      <c r="DP47" s="18" t="s">
        <v>37</v>
      </c>
      <c r="DQ47" s="52"/>
      <c r="DR47" s="52" t="s">
        <v>37</v>
      </c>
      <c r="DS47" s="15" t="s">
        <v>37</v>
      </c>
      <c r="DT47" s="18" t="s">
        <v>37</v>
      </c>
      <c r="DU47" s="52"/>
      <c r="DV47" s="52"/>
      <c r="DW47" s="52"/>
      <c r="DZ47" s="15"/>
      <c r="EA47" s="52" t="s">
        <v>37</v>
      </c>
      <c r="EB47" s="52" t="s">
        <v>37</v>
      </c>
      <c r="EC47" s="73" t="s">
        <v>37</v>
      </c>
      <c r="ED47" s="52"/>
      <c r="EE47" s="52" t="s">
        <v>37</v>
      </c>
      <c r="EF47" s="52" t="s">
        <v>37</v>
      </c>
      <c r="EG47" s="15" t="s">
        <v>37</v>
      </c>
      <c r="EH47" s="52"/>
      <c r="EI47" s="52"/>
      <c r="EJ47" s="52"/>
      <c r="EK47" s="52"/>
      <c r="EL47" s="52"/>
      <c r="EM47" s="12" t="s">
        <v>39</v>
      </c>
      <c r="EN47" s="12">
        <f t="shared" ref="EN47:EN52" si="181">0.56*EN35+0.44*EN41</f>
        <v>-38</v>
      </c>
      <c r="EO47" s="15">
        <f t="shared" ref="EO47:EO52" si="182">SQRT(0.56^2*EO35^2+0.44^2*EO41^2)</f>
        <v>5.412566119688516</v>
      </c>
      <c r="EP47" s="18">
        <v>3</v>
      </c>
      <c r="EQ47" s="19">
        <f t="shared" si="139"/>
        <v>0.14243595051811883</v>
      </c>
      <c r="ER47" s="12">
        <f>0.55*ER35+0.45*ER41</f>
        <v>-73</v>
      </c>
      <c r="ES47" s="15">
        <f>SQRT(0.55^2*ES35^2+0.45^2*ES41^2)</f>
        <v>7.3195252578292278</v>
      </c>
      <c r="ET47" s="18">
        <v>3</v>
      </c>
      <c r="EU47" s="19">
        <f t="shared" si="140"/>
        <v>0.10026746928533188</v>
      </c>
      <c r="EV47" s="19">
        <f t="shared" si="141"/>
        <v>-35</v>
      </c>
      <c r="EW47" s="12">
        <f t="shared" si="142"/>
        <v>6.437053751523286</v>
      </c>
      <c r="EX47" s="19">
        <f t="shared" si="143"/>
        <v>27.623774000000004</v>
      </c>
      <c r="EY47" s="19">
        <f t="shared" si="144"/>
        <v>27.623774000000012</v>
      </c>
      <c r="FB47" s="11" t="s">
        <v>37</v>
      </c>
      <c r="FC47" s="11" t="s">
        <v>37</v>
      </c>
      <c r="FD47" s="11" t="s">
        <v>37</v>
      </c>
      <c r="FE47" s="12" t="s">
        <v>37</v>
      </c>
      <c r="FF47" s="20" t="s">
        <v>37</v>
      </c>
      <c r="FG47" s="11" t="s">
        <v>37</v>
      </c>
      <c r="FI47" s="11" t="s">
        <v>37</v>
      </c>
      <c r="FJ47" s="11" t="s">
        <v>37</v>
      </c>
      <c r="FK47" s="11" t="s">
        <v>37</v>
      </c>
      <c r="FL47" s="13" t="s">
        <v>37</v>
      </c>
      <c r="FM47" s="11" t="s">
        <v>37</v>
      </c>
      <c r="FN47" s="11" t="s">
        <v>37</v>
      </c>
      <c r="FP47" s="11" t="s">
        <v>37</v>
      </c>
      <c r="FQ47" s="11" t="s">
        <v>37</v>
      </c>
      <c r="FR47" s="11" t="s">
        <v>37</v>
      </c>
      <c r="FS47" s="13" t="s">
        <v>37</v>
      </c>
      <c r="FT47" s="11" t="s">
        <v>37</v>
      </c>
      <c r="FU47" s="11" t="s">
        <v>37</v>
      </c>
      <c r="FW47" s="11" t="s">
        <v>37</v>
      </c>
      <c r="FX47" s="11" t="s">
        <v>37</v>
      </c>
      <c r="FY47" s="11" t="s">
        <v>37</v>
      </c>
      <c r="FZ47" s="13" t="s">
        <v>37</v>
      </c>
      <c r="GA47" s="11" t="s">
        <v>37</v>
      </c>
      <c r="GB47" s="11" t="s">
        <v>37</v>
      </c>
      <c r="GO47" s="12" t="s">
        <v>660</v>
      </c>
      <c r="GP47" s="12" t="s">
        <v>330</v>
      </c>
      <c r="GQ47" s="12">
        <f t="shared" ref="GQ47:GQ52" si="183">0.56*GQ35+0.44*GQ41</f>
        <v>12.3</v>
      </c>
      <c r="GR47" s="15">
        <f t="shared" ref="GR47:GR52" si="184">SQRT(0.56^2*GR35^2+0.44^2*GR41^2)</f>
        <v>0.11202160505902424</v>
      </c>
      <c r="GS47" s="18">
        <v>3</v>
      </c>
      <c r="GT47" s="19">
        <f t="shared" si="145"/>
        <v>9.1074475657743278E-3</v>
      </c>
      <c r="GU47" s="12">
        <f>0.55*GU35+0.45*GU41</f>
        <v>13.1</v>
      </c>
      <c r="GV47" s="15">
        <f>SQRT(0.55^2*GV35^2+0.45^2*GV41^2)</f>
        <v>7.1063352017759485E-2</v>
      </c>
      <c r="GW47" s="18">
        <v>3</v>
      </c>
      <c r="GX47" s="19">
        <f t="shared" si="146"/>
        <v>5.4246833601343117E-3</v>
      </c>
      <c r="GY47" s="19">
        <f t="shared" si="162"/>
        <v>6.301296782873396E-2</v>
      </c>
      <c r="GZ47" s="19">
        <f t="shared" si="169"/>
        <v>3.7457596907015607E-5</v>
      </c>
      <c r="IK47" s="12" t="s">
        <v>37</v>
      </c>
      <c r="IL47" s="12" t="s">
        <v>37</v>
      </c>
      <c r="IM47" s="13" t="s">
        <v>37</v>
      </c>
      <c r="IO47" s="12" t="s">
        <v>37</v>
      </c>
      <c r="IP47" s="12" t="s">
        <v>37</v>
      </c>
      <c r="IQ47" s="13" t="s">
        <v>37</v>
      </c>
      <c r="IV47" s="32" t="s">
        <v>345</v>
      </c>
      <c r="IW47" s="12">
        <v>4.0999999999999996</v>
      </c>
      <c r="IX47" s="12">
        <v>0.1</v>
      </c>
      <c r="IY47" s="13">
        <v>3</v>
      </c>
      <c r="IZ47" s="19">
        <f t="shared" si="147"/>
        <v>2.4390243902439029E-2</v>
      </c>
      <c r="JH47" s="12" t="s">
        <v>37</v>
      </c>
      <c r="JI47" s="12" t="s">
        <v>37</v>
      </c>
      <c r="JJ47" s="13" t="s">
        <v>37</v>
      </c>
      <c r="JL47" s="12" t="s">
        <v>37</v>
      </c>
      <c r="JM47" s="12" t="s">
        <v>37</v>
      </c>
      <c r="JN47" s="12" t="s">
        <v>37</v>
      </c>
      <c r="JS47" s="12" t="s">
        <v>37</v>
      </c>
      <c r="JT47" s="12" t="s">
        <v>37</v>
      </c>
      <c r="JU47" s="13" t="s">
        <v>37</v>
      </c>
      <c r="JW47" s="12" t="s">
        <v>37</v>
      </c>
      <c r="JX47" s="12" t="s">
        <v>37</v>
      </c>
      <c r="JY47" s="12" t="s">
        <v>37</v>
      </c>
      <c r="KE47" s="11" t="s">
        <v>37</v>
      </c>
      <c r="KF47" s="11" t="s">
        <v>37</v>
      </c>
      <c r="KG47" s="13" t="s">
        <v>37</v>
      </c>
      <c r="KH47" s="11" t="s">
        <v>37</v>
      </c>
      <c r="KI47" s="11" t="s">
        <v>37</v>
      </c>
      <c r="KJ47" s="11" t="s">
        <v>37</v>
      </c>
      <c r="KM47" s="12" t="s">
        <v>37</v>
      </c>
      <c r="KN47" s="12" t="s">
        <v>37</v>
      </c>
      <c r="KO47" s="11" t="s">
        <v>37</v>
      </c>
      <c r="KQ47" s="12" t="s">
        <v>37</v>
      </c>
      <c r="KR47" s="12" t="s">
        <v>37</v>
      </c>
      <c r="KS47" s="13" t="s">
        <v>37</v>
      </c>
      <c r="KX47" s="12" t="s">
        <v>37</v>
      </c>
      <c r="KY47" s="12" t="s">
        <v>37</v>
      </c>
      <c r="KZ47" s="13" t="s">
        <v>37</v>
      </c>
      <c r="LB47" s="12" t="s">
        <v>37</v>
      </c>
      <c r="LC47" s="12" t="s">
        <v>37</v>
      </c>
      <c r="LD47" s="13" t="s">
        <v>37</v>
      </c>
      <c r="LI47" s="12" t="s">
        <v>37</v>
      </c>
      <c r="LJ47" s="12" t="s">
        <v>37</v>
      </c>
      <c r="LK47" s="12" t="s">
        <v>37</v>
      </c>
      <c r="LM47" s="12" t="s">
        <v>37</v>
      </c>
      <c r="LN47" s="12" t="s">
        <v>37</v>
      </c>
      <c r="LO47" s="12" t="s">
        <v>37</v>
      </c>
      <c r="LU47" s="12" t="s">
        <v>37</v>
      </c>
      <c r="LV47" s="12" t="s">
        <v>37</v>
      </c>
      <c r="LW47" s="13" t="s">
        <v>37</v>
      </c>
      <c r="LY47" s="12" t="s">
        <v>37</v>
      </c>
      <c r="LZ47" s="12" t="s">
        <v>37</v>
      </c>
      <c r="MA47" s="12" t="s">
        <v>37</v>
      </c>
      <c r="MF47" s="12" t="s">
        <v>37</v>
      </c>
      <c r="MG47" s="12" t="s">
        <v>37</v>
      </c>
      <c r="MH47" s="12" t="s">
        <v>37</v>
      </c>
      <c r="MJ47" s="12" t="s">
        <v>37</v>
      </c>
      <c r="MK47" s="12" t="s">
        <v>37</v>
      </c>
      <c r="ML47" s="12" t="s">
        <v>37</v>
      </c>
      <c r="MQ47" s="12" t="s">
        <v>37</v>
      </c>
      <c r="MR47" s="12" t="s">
        <v>37</v>
      </c>
      <c r="MS47" s="12" t="s">
        <v>37</v>
      </c>
      <c r="MU47" s="12" t="s">
        <v>37</v>
      </c>
      <c r="MV47" s="12" t="s">
        <v>37</v>
      </c>
      <c r="MW47" s="12" t="s">
        <v>37</v>
      </c>
      <c r="NC47" s="12" t="s">
        <v>37</v>
      </c>
      <c r="ND47" s="12" t="s">
        <v>37</v>
      </c>
      <c r="NE47" s="13" t="s">
        <v>37</v>
      </c>
      <c r="NG47" s="12" t="s">
        <v>37</v>
      </c>
      <c r="NH47" s="12" t="s">
        <v>37</v>
      </c>
      <c r="NI47" s="13" t="s">
        <v>37</v>
      </c>
      <c r="NO47" s="12" t="s">
        <v>37</v>
      </c>
      <c r="NP47" s="12" t="s">
        <v>37</v>
      </c>
      <c r="NQ47" s="13" t="s">
        <v>37</v>
      </c>
      <c r="NS47" s="12" t="s">
        <v>37</v>
      </c>
      <c r="NT47" s="12" t="s">
        <v>37</v>
      </c>
      <c r="NU47" s="13" t="s">
        <v>37</v>
      </c>
      <c r="OA47" s="11" t="s">
        <v>37</v>
      </c>
      <c r="OB47" s="11" t="s">
        <v>37</v>
      </c>
      <c r="OC47" s="13" t="s">
        <v>37</v>
      </c>
      <c r="OE47" s="11" t="s">
        <v>37</v>
      </c>
      <c r="OF47" s="11" t="s">
        <v>37</v>
      </c>
      <c r="OG47" s="13" t="s">
        <v>37</v>
      </c>
      <c r="OM47" s="11" t="s">
        <v>37</v>
      </c>
      <c r="ON47" s="11" t="s">
        <v>37</v>
      </c>
      <c r="OO47" s="11" t="s">
        <v>37</v>
      </c>
      <c r="OP47" s="11" t="s">
        <v>37</v>
      </c>
      <c r="OQ47" s="11" t="s">
        <v>37</v>
      </c>
      <c r="OR47" s="11" t="s">
        <v>37</v>
      </c>
      <c r="OW47" s="11" t="s">
        <v>37</v>
      </c>
      <c r="OX47" s="11" t="s">
        <v>37</v>
      </c>
      <c r="OY47" s="13" t="s">
        <v>37</v>
      </c>
      <c r="OZ47" s="11" t="s">
        <v>37</v>
      </c>
      <c r="PA47" s="11" t="s">
        <v>37</v>
      </c>
      <c r="PB47" s="13" t="s">
        <v>37</v>
      </c>
      <c r="PG47" s="11" t="s">
        <v>37</v>
      </c>
      <c r="PH47" s="11" t="s">
        <v>37</v>
      </c>
      <c r="PI47" s="13" t="s">
        <v>37</v>
      </c>
      <c r="PJ47" s="11" t="s">
        <v>37</v>
      </c>
      <c r="PK47" s="11" t="s">
        <v>37</v>
      </c>
      <c r="PL47" s="13" t="s">
        <v>37</v>
      </c>
      <c r="PQ47" s="11" t="s">
        <v>37</v>
      </c>
      <c r="PR47" s="11" t="s">
        <v>37</v>
      </c>
      <c r="PS47" s="13" t="s">
        <v>37</v>
      </c>
      <c r="PT47" s="11" t="s">
        <v>37</v>
      </c>
      <c r="PU47" s="11" t="s">
        <v>37</v>
      </c>
      <c r="PV47" s="13" t="s">
        <v>37</v>
      </c>
      <c r="PY47" s="12" t="s">
        <v>43</v>
      </c>
      <c r="PZ47" s="12">
        <f>399*0.56+350*0.44</f>
        <v>377.44000000000005</v>
      </c>
      <c r="QA47" s="12">
        <f>SQRT(0.56^2*((24*SQRT(3))^2)+0.44^2*((82*SQRT(3))^2))/2</f>
        <v>33.343665065496324</v>
      </c>
      <c r="QB47" s="11">
        <v>3</v>
      </c>
      <c r="QC47" s="19">
        <f t="shared" si="155"/>
        <v>8.834163063134888E-2</v>
      </c>
      <c r="QD47" s="12">
        <f>251*0.55+327*0.45</f>
        <v>285.20000000000005</v>
      </c>
      <c r="QE47" s="12">
        <f>SQRT(0.55^2*((78*SQRT(3))^2)+0.45^2*((51*SQRT(3))^2))/2</f>
        <v>42.134716980181558</v>
      </c>
      <c r="QF47" s="13">
        <v>3</v>
      </c>
      <c r="QG47" s="19">
        <f t="shared" si="156"/>
        <v>0.14773743681690585</v>
      </c>
      <c r="QH47" s="19">
        <f t="shared" si="148"/>
        <v>-0.28022092711922397</v>
      </c>
      <c r="QI47" s="19">
        <f t="shared" si="149"/>
        <v>9.8768646466116435E-3</v>
      </c>
      <c r="QJ47" s="12" t="s">
        <v>43</v>
      </c>
      <c r="QK47" s="12">
        <f>568*0.56+751*0.44</f>
        <v>648.52</v>
      </c>
      <c r="QL47" s="12">
        <f>SQRT(0.56^2*((48*SQRT(3))^2)+0.44^2*((332*SQRT(3))^2))/2</f>
        <v>128.63291025239224</v>
      </c>
      <c r="QM47" s="13">
        <v>3</v>
      </c>
      <c r="QN47" s="12">
        <f>441*0.55+715*0.45</f>
        <v>564.29999999999995</v>
      </c>
      <c r="QO47" s="12">
        <f>SQRT(0.55^2*((78*SQRT(3))^2)+0.45^2*((51*SQRT(3))^2))/2</f>
        <v>42.134716980181558</v>
      </c>
      <c r="QP47" s="13">
        <v>3</v>
      </c>
      <c r="QQ47" s="19">
        <f t="shared" si="158"/>
        <v>-0.13910681870677402</v>
      </c>
      <c r="QR47" s="19">
        <f t="shared" si="150"/>
        <v>1.4972428792460963E-2</v>
      </c>
      <c r="QU47" s="11" t="s">
        <v>37</v>
      </c>
      <c r="QV47" s="11" t="s">
        <v>37</v>
      </c>
      <c r="QW47" s="13" t="s">
        <v>37</v>
      </c>
      <c r="QX47" s="11" t="s">
        <v>37</v>
      </c>
      <c r="QY47" s="11" t="s">
        <v>37</v>
      </c>
      <c r="QZ47" s="13" t="s">
        <v>37</v>
      </c>
      <c r="RC47" s="12" t="s">
        <v>37</v>
      </c>
      <c r="RD47" s="12" t="s">
        <v>37</v>
      </c>
      <c r="RE47" s="13" t="s">
        <v>37</v>
      </c>
      <c r="RF47" s="12" t="s">
        <v>37</v>
      </c>
      <c r="RG47" s="12" t="s">
        <v>37</v>
      </c>
      <c r="RH47" s="13" t="s">
        <v>37</v>
      </c>
      <c r="RK47" s="11" t="s">
        <v>37</v>
      </c>
      <c r="RL47" s="11" t="s">
        <v>37</v>
      </c>
      <c r="RM47" s="11" t="s">
        <v>37</v>
      </c>
      <c r="RN47" s="11" t="s">
        <v>37</v>
      </c>
      <c r="RO47" s="11" t="s">
        <v>37</v>
      </c>
      <c r="RP47" s="11" t="s">
        <v>37</v>
      </c>
      <c r="RS47" s="11" t="s">
        <v>37</v>
      </c>
      <c r="RT47" s="11" t="s">
        <v>37</v>
      </c>
      <c r="RU47" s="11" t="s">
        <v>37</v>
      </c>
      <c r="RV47" s="11" t="s">
        <v>37</v>
      </c>
      <c r="RW47" s="11" t="s">
        <v>37</v>
      </c>
      <c r="RX47" s="11" t="s">
        <v>37</v>
      </c>
      <c r="SA47" s="11" t="s">
        <v>37</v>
      </c>
      <c r="SB47" s="11" t="s">
        <v>37</v>
      </c>
      <c r="SC47" s="13" t="s">
        <v>37</v>
      </c>
      <c r="SD47" s="11" t="s">
        <v>37</v>
      </c>
      <c r="SE47" s="11" t="s">
        <v>37</v>
      </c>
      <c r="SF47" s="13" t="s">
        <v>37</v>
      </c>
      <c r="SI47" s="12" t="s">
        <v>37</v>
      </c>
      <c r="SJ47" s="11" t="s">
        <v>37</v>
      </c>
      <c r="SK47" s="13" t="s">
        <v>37</v>
      </c>
      <c r="SM47" s="11" t="s">
        <v>37</v>
      </c>
      <c r="SN47" s="11" t="s">
        <v>37</v>
      </c>
      <c r="SO47" s="13" t="s">
        <v>37</v>
      </c>
      <c r="SU47" s="12" t="s">
        <v>37</v>
      </c>
      <c r="SV47" s="12" t="s">
        <v>37</v>
      </c>
      <c r="SW47" s="11" t="s">
        <v>37</v>
      </c>
      <c r="SX47" s="12" t="s">
        <v>37</v>
      </c>
      <c r="SY47" s="12" t="s">
        <v>37</v>
      </c>
      <c r="SZ47" s="11" t="s">
        <v>37</v>
      </c>
      <c r="TE47" s="12" t="s">
        <v>37</v>
      </c>
      <c r="TF47" s="12" t="s">
        <v>37</v>
      </c>
      <c r="TG47" s="11" t="s">
        <v>37</v>
      </c>
      <c r="TH47" s="12" t="s">
        <v>37</v>
      </c>
      <c r="TI47" s="12" t="s">
        <v>37</v>
      </c>
      <c r="TJ47" s="11" t="s">
        <v>37</v>
      </c>
      <c r="TO47" s="12" t="s">
        <v>37</v>
      </c>
      <c r="TP47" s="12" t="s">
        <v>37</v>
      </c>
      <c r="TQ47" s="11" t="s">
        <v>37</v>
      </c>
      <c r="TR47" s="12" t="s">
        <v>37</v>
      </c>
      <c r="TS47" s="12" t="s">
        <v>37</v>
      </c>
      <c r="TT47" s="11" t="s">
        <v>37</v>
      </c>
      <c r="TY47" s="12" t="s">
        <v>37</v>
      </c>
      <c r="TZ47" s="12" t="s">
        <v>37</v>
      </c>
      <c r="UA47" s="11" t="s">
        <v>37</v>
      </c>
      <c r="UB47" s="12" t="s">
        <v>37</v>
      </c>
      <c r="UC47" s="12" t="s">
        <v>37</v>
      </c>
      <c r="UD47" s="11" t="s">
        <v>37</v>
      </c>
      <c r="UI47" s="12" t="s">
        <v>37</v>
      </c>
      <c r="UJ47" s="12" t="s">
        <v>37</v>
      </c>
      <c r="UK47" s="13" t="s">
        <v>37</v>
      </c>
      <c r="UL47" s="12" t="s">
        <v>37</v>
      </c>
      <c r="UM47" s="12" t="s">
        <v>37</v>
      </c>
      <c r="UN47" s="13" t="s">
        <v>37</v>
      </c>
      <c r="UR47" s="12" t="s">
        <v>37</v>
      </c>
      <c r="US47" s="12" t="s">
        <v>37</v>
      </c>
      <c r="UT47" s="13" t="s">
        <v>37</v>
      </c>
      <c r="UU47" s="12" t="s">
        <v>37</v>
      </c>
      <c r="UV47" s="12" t="s">
        <v>37</v>
      </c>
      <c r="UW47" s="13" t="s">
        <v>37</v>
      </c>
      <c r="VB47" s="12" t="s">
        <v>37</v>
      </c>
      <c r="VC47" s="12" t="s">
        <v>37</v>
      </c>
      <c r="VD47" s="13" t="s">
        <v>37</v>
      </c>
      <c r="VE47" s="12" t="s">
        <v>37</v>
      </c>
      <c r="VF47" s="12" t="s">
        <v>37</v>
      </c>
      <c r="VG47" s="13" t="s">
        <v>37</v>
      </c>
      <c r="VI47" s="12" t="s">
        <v>37</v>
      </c>
      <c r="VJ47" s="12" t="s">
        <v>37</v>
      </c>
      <c r="VK47" s="13" t="s">
        <v>37</v>
      </c>
      <c r="VL47" s="12" t="s">
        <v>37</v>
      </c>
      <c r="VM47" s="12" t="s">
        <v>37</v>
      </c>
      <c r="VN47" s="13" t="s">
        <v>37</v>
      </c>
      <c r="VO47" s="12" t="s">
        <v>37</v>
      </c>
      <c r="VQ47" s="12" t="s">
        <v>37</v>
      </c>
      <c r="VR47" s="12" t="s">
        <v>37</v>
      </c>
      <c r="VS47" s="12" t="s">
        <v>37</v>
      </c>
      <c r="VT47" s="12" t="s">
        <v>37</v>
      </c>
      <c r="VU47" s="12" t="s">
        <v>37</v>
      </c>
      <c r="VV47" s="12" t="s">
        <v>37</v>
      </c>
      <c r="VW47" s="12"/>
      <c r="VX47" s="12"/>
      <c r="WA47" s="13" t="s">
        <v>37</v>
      </c>
      <c r="WB47" s="13" t="s">
        <v>37</v>
      </c>
      <c r="WC47" s="13" t="s">
        <v>37</v>
      </c>
      <c r="WD47" s="13" t="s">
        <v>37</v>
      </c>
      <c r="WE47" s="13" t="s">
        <v>37</v>
      </c>
      <c r="WF47" s="13" t="s">
        <v>37</v>
      </c>
    </row>
    <row r="48" spans="1:604" ht="18" customHeight="1" x14ac:dyDescent="0.4">
      <c r="A48" s="11">
        <v>11</v>
      </c>
      <c r="B48" s="12" t="s">
        <v>110</v>
      </c>
      <c r="C48" s="12" t="s">
        <v>26</v>
      </c>
      <c r="D48" s="12" t="s">
        <v>973</v>
      </c>
      <c r="E48" s="81">
        <v>4.5</v>
      </c>
      <c r="F48" s="14">
        <v>0</v>
      </c>
      <c r="G48" s="14">
        <v>0</v>
      </c>
      <c r="H48" s="12" t="s">
        <v>91</v>
      </c>
      <c r="I48" s="29">
        <v>55.35</v>
      </c>
      <c r="J48" s="29">
        <v>-112.517</v>
      </c>
      <c r="K48" s="12" t="s">
        <v>696</v>
      </c>
      <c r="L48" s="12" t="s">
        <v>697</v>
      </c>
      <c r="M48" s="13" t="s">
        <v>37</v>
      </c>
      <c r="N48" s="14">
        <v>2.1</v>
      </c>
      <c r="O48" s="14">
        <v>504</v>
      </c>
      <c r="P48" s="14" t="s">
        <v>84</v>
      </c>
      <c r="Q48" s="75">
        <v>11</v>
      </c>
      <c r="R48" s="11" t="s">
        <v>999</v>
      </c>
      <c r="S48" s="12" t="s">
        <v>93</v>
      </c>
      <c r="T48" s="12" t="s">
        <v>141</v>
      </c>
      <c r="U48" s="12" t="s">
        <v>158</v>
      </c>
      <c r="V48" s="12" t="s">
        <v>275</v>
      </c>
      <c r="W48" s="23" t="s">
        <v>502</v>
      </c>
      <c r="X48" s="12" t="s">
        <v>857</v>
      </c>
      <c r="Y48" s="12" t="s">
        <v>69</v>
      </c>
      <c r="Z48" s="12" t="s">
        <v>37</v>
      </c>
      <c r="AA48" s="32" t="s">
        <v>345</v>
      </c>
      <c r="AB48" s="12">
        <v>4.0999999999999996</v>
      </c>
      <c r="AE48" s="12" t="s">
        <v>37</v>
      </c>
      <c r="AH48" s="12" t="s">
        <v>37</v>
      </c>
      <c r="AK48" s="12" t="s">
        <v>37</v>
      </c>
      <c r="AL48" s="32" t="s">
        <v>496</v>
      </c>
      <c r="AM48" s="12" t="s">
        <v>317</v>
      </c>
      <c r="AN48" s="32" t="s">
        <v>879</v>
      </c>
      <c r="AO48" s="12" t="s">
        <v>318</v>
      </c>
      <c r="AP48" s="12" t="s">
        <v>108</v>
      </c>
      <c r="AQ48" s="12" t="s">
        <v>975</v>
      </c>
      <c r="AT48" s="12" t="s">
        <v>326</v>
      </c>
      <c r="AU48" s="12" t="s">
        <v>326</v>
      </c>
      <c r="AV48" s="13" t="s">
        <v>326</v>
      </c>
      <c r="AX48" s="12" t="s">
        <v>326</v>
      </c>
      <c r="AY48" s="12" t="s">
        <v>326</v>
      </c>
      <c r="AZ48" s="13" t="s">
        <v>326</v>
      </c>
      <c r="BE48" s="12" t="s">
        <v>326</v>
      </c>
      <c r="BF48" s="12" t="s">
        <v>326</v>
      </c>
      <c r="BG48" s="12" t="s">
        <v>326</v>
      </c>
      <c r="BI48" s="12" t="s">
        <v>326</v>
      </c>
      <c r="BJ48" s="12" t="s">
        <v>326</v>
      </c>
      <c r="BK48" s="12" t="s">
        <v>326</v>
      </c>
      <c r="BP48" s="12" t="s">
        <v>37</v>
      </c>
      <c r="BQ48" s="12" t="s">
        <v>37</v>
      </c>
      <c r="BR48" s="13" t="s">
        <v>37</v>
      </c>
      <c r="BT48" s="12" t="s">
        <v>37</v>
      </c>
      <c r="BU48" s="12" t="s">
        <v>37</v>
      </c>
      <c r="BV48" s="12" t="s">
        <v>37</v>
      </c>
      <c r="BZ48" s="12" t="s">
        <v>581</v>
      </c>
      <c r="CA48" s="12">
        <f t="shared" ref="CA48:CA51" si="185">0.56*CA36+0.44*CA42</f>
        <v>-8294.385041352898</v>
      </c>
      <c r="CB48" s="15">
        <f t="shared" si="180"/>
        <v>1642.4661972156998</v>
      </c>
      <c r="CC48" s="18">
        <v>3</v>
      </c>
      <c r="CD48" s="19">
        <f t="shared" si="123"/>
        <v>0.19802145536130031</v>
      </c>
      <c r="CE48" s="12">
        <f>0.52*CE36+0.48*CE42</f>
        <v>-7951.7092639037292</v>
      </c>
      <c r="CF48" s="15">
        <f>SQRT(0.52^2*CF36^2+0.48^2*CF42^2)</f>
        <v>991.198558307697</v>
      </c>
      <c r="CG48" s="18">
        <v>3</v>
      </c>
      <c r="CH48" s="19">
        <f t="shared" si="124"/>
        <v>0.12465226348342222</v>
      </c>
      <c r="CI48" s="75">
        <f t="shared" si="125"/>
        <v>342.67577744916889</v>
      </c>
      <c r="CJ48" s="12">
        <f t="shared" si="151"/>
        <v>1356.4972891582679</v>
      </c>
      <c r="CK48" s="72">
        <f t="shared" si="126"/>
        <v>1226723.2636624863</v>
      </c>
      <c r="CL48" s="72">
        <f t="shared" si="127"/>
        <v>1226723.2636624863</v>
      </c>
      <c r="CM48" s="12" t="s">
        <v>581</v>
      </c>
      <c r="CN48" s="12">
        <f>0.56*CN36+0.44*CN42</f>
        <v>9925.2960228500779</v>
      </c>
      <c r="CO48" s="15">
        <f t="shared" ref="CO48:CO52" si="186">SQRT(0.56^2*CO36^2+0.44^2*CO42^2)</f>
        <v>1567.0081026388868</v>
      </c>
      <c r="CP48" s="18">
        <v>3</v>
      </c>
      <c r="CQ48" s="19">
        <f t="shared" si="128"/>
        <v>0.15788023843634599</v>
      </c>
      <c r="CR48" s="12">
        <f>0.52*CR36+0.48*CR42</f>
        <v>18874.266157348848</v>
      </c>
      <c r="CS48" s="15">
        <f>SQRT(0.52^2*CS36^2+0.48^2*CS42^2)</f>
        <v>1436.9763260046241</v>
      </c>
      <c r="CT48" s="18">
        <v>3</v>
      </c>
      <c r="CU48" s="19">
        <f t="shared" si="129"/>
        <v>7.6134156105726297E-2</v>
      </c>
      <c r="CV48" s="75">
        <f t="shared" si="130"/>
        <v>8948.9701344987698</v>
      </c>
      <c r="CW48" s="12">
        <f t="shared" si="152"/>
        <v>1503.3987087984465</v>
      </c>
      <c r="CX48" s="72">
        <f t="shared" si="131"/>
        <v>1506805.1184112239</v>
      </c>
      <c r="CY48" s="72">
        <f t="shared" si="132"/>
        <v>1506805.1184112239</v>
      </c>
      <c r="CZ48" s="12" t="s">
        <v>581</v>
      </c>
      <c r="DA48" s="12">
        <f>0.52*DA36+0.48*DA42</f>
        <v>1456.7860366045747</v>
      </c>
      <c r="DB48" s="15">
        <f t="shared" ref="DB48:DB50" si="187">SQRT(0.56^2*DB36^2+0.44^2*DB42^2)</f>
        <v>3333.5525389363561</v>
      </c>
      <c r="DC48" s="18">
        <v>3</v>
      </c>
      <c r="DD48" s="19">
        <f t="shared" si="133"/>
        <v>2.2882924843967354</v>
      </c>
      <c r="DE48" s="12">
        <f>0.52*DE36+0.48*DE42</f>
        <v>10922.55689344512</v>
      </c>
      <c r="DF48" s="15">
        <f>SQRT(0.52^2*DF36^2+0.48^2*DF42^2)</f>
        <v>1312.0511177126614</v>
      </c>
      <c r="DG48" s="18">
        <v>3</v>
      </c>
      <c r="DH48" s="19">
        <f t="shared" si="134"/>
        <v>0.12012307470790595</v>
      </c>
      <c r="DI48" s="19">
        <f t="shared" si="135"/>
        <v>9465.7708568405451</v>
      </c>
      <c r="DJ48" s="12">
        <f t="shared" si="136"/>
        <v>2533.1848200772943</v>
      </c>
      <c r="DK48" s="72">
        <f t="shared" si="137"/>
        <v>4278016.8884466896</v>
      </c>
      <c r="DL48" s="72">
        <f t="shared" si="138"/>
        <v>4278016.8884466905</v>
      </c>
      <c r="DM48" s="15"/>
      <c r="DN48" s="52" t="s">
        <v>37</v>
      </c>
      <c r="DO48" s="15" t="s">
        <v>37</v>
      </c>
      <c r="DP48" s="18" t="s">
        <v>37</v>
      </c>
      <c r="DQ48" s="52"/>
      <c r="DR48" s="52" t="s">
        <v>37</v>
      </c>
      <c r="DS48" s="15" t="s">
        <v>37</v>
      </c>
      <c r="DT48" s="18" t="s">
        <v>37</v>
      </c>
      <c r="DU48" s="52"/>
      <c r="DV48" s="52"/>
      <c r="DW48" s="52"/>
      <c r="DZ48" s="15"/>
      <c r="EA48" s="52" t="s">
        <v>37</v>
      </c>
      <c r="EB48" s="52" t="s">
        <v>37</v>
      </c>
      <c r="EC48" s="73" t="s">
        <v>37</v>
      </c>
      <c r="ED48" s="52"/>
      <c r="EE48" s="52" t="s">
        <v>37</v>
      </c>
      <c r="EF48" s="52" t="s">
        <v>37</v>
      </c>
      <c r="EG48" s="15" t="s">
        <v>37</v>
      </c>
      <c r="EH48" s="52"/>
      <c r="EI48" s="52"/>
      <c r="EJ48" s="52"/>
      <c r="EK48" s="52"/>
      <c r="EL48" s="52"/>
      <c r="EM48" s="12" t="s">
        <v>39</v>
      </c>
      <c r="EN48" s="12">
        <f t="shared" si="181"/>
        <v>-38</v>
      </c>
      <c r="EO48" s="15">
        <f t="shared" si="182"/>
        <v>5.412566119688516</v>
      </c>
      <c r="EP48" s="18">
        <v>3</v>
      </c>
      <c r="EQ48" s="19">
        <f t="shared" si="139"/>
        <v>0.14243595051811883</v>
      </c>
      <c r="ER48" s="12">
        <f>0.52*ER36+0.48*ER42</f>
        <v>-112</v>
      </c>
      <c r="ES48" s="15">
        <f>SQRT(0.52^2*ES36^2+0.48^2*ES42^2)</f>
        <v>10.756618055876112</v>
      </c>
      <c r="ET48" s="18">
        <v>3</v>
      </c>
      <c r="EU48" s="19">
        <f t="shared" si="140"/>
        <v>9.6041232641751004E-2</v>
      </c>
      <c r="EV48" s="19">
        <f t="shared" si="141"/>
        <v>-74</v>
      </c>
      <c r="EW48" s="12">
        <f t="shared" si="142"/>
        <v>8.5147138530898374</v>
      </c>
      <c r="EX48" s="19">
        <f t="shared" si="143"/>
        <v>48.333567999999993</v>
      </c>
      <c r="EY48" s="19">
        <f t="shared" si="144"/>
        <v>48.333568</v>
      </c>
      <c r="FB48" s="11" t="s">
        <v>37</v>
      </c>
      <c r="FC48" s="11" t="s">
        <v>37</v>
      </c>
      <c r="FD48" s="11" t="s">
        <v>37</v>
      </c>
      <c r="FE48" s="12" t="s">
        <v>37</v>
      </c>
      <c r="FF48" s="20" t="s">
        <v>37</v>
      </c>
      <c r="FG48" s="11" t="s">
        <v>37</v>
      </c>
      <c r="FI48" s="11" t="s">
        <v>37</v>
      </c>
      <c r="FJ48" s="11" t="s">
        <v>37</v>
      </c>
      <c r="FK48" s="11" t="s">
        <v>37</v>
      </c>
      <c r="FL48" s="13" t="s">
        <v>37</v>
      </c>
      <c r="FM48" s="11" t="s">
        <v>37</v>
      </c>
      <c r="FN48" s="11" t="s">
        <v>37</v>
      </c>
      <c r="FP48" s="11" t="s">
        <v>37</v>
      </c>
      <c r="FQ48" s="11" t="s">
        <v>37</v>
      </c>
      <c r="FR48" s="11" t="s">
        <v>37</v>
      </c>
      <c r="FS48" s="13" t="s">
        <v>37</v>
      </c>
      <c r="FT48" s="11" t="s">
        <v>37</v>
      </c>
      <c r="FU48" s="11" t="s">
        <v>37</v>
      </c>
      <c r="FW48" s="11" t="s">
        <v>37</v>
      </c>
      <c r="FX48" s="11" t="s">
        <v>37</v>
      </c>
      <c r="FY48" s="11" t="s">
        <v>37</v>
      </c>
      <c r="FZ48" s="13" t="s">
        <v>37</v>
      </c>
      <c r="GA48" s="11" t="s">
        <v>37</v>
      </c>
      <c r="GB48" s="11" t="s">
        <v>37</v>
      </c>
      <c r="GO48" s="12" t="s">
        <v>660</v>
      </c>
      <c r="GP48" s="12" t="s">
        <v>330</v>
      </c>
      <c r="GQ48" s="12">
        <f t="shared" si="183"/>
        <v>12.3</v>
      </c>
      <c r="GR48" s="15">
        <f t="shared" si="184"/>
        <v>0.11202160505902424</v>
      </c>
      <c r="GS48" s="18">
        <v>3</v>
      </c>
      <c r="GT48" s="19">
        <f t="shared" si="145"/>
        <v>9.1074475657743278E-3</v>
      </c>
      <c r="GU48" s="12">
        <f>0.52*GU36+0.48*GU42</f>
        <v>13.411999999999999</v>
      </c>
      <c r="GV48" s="15">
        <f>SQRT(0.52^2*GV36^2+0.48^2*GV42^2)</f>
        <v>7.0767224051816541E-2</v>
      </c>
      <c r="GW48" s="18">
        <v>3</v>
      </c>
      <c r="GX48" s="19">
        <f t="shared" si="146"/>
        <v>5.2764109791094953E-3</v>
      </c>
      <c r="GY48" s="19">
        <f t="shared" si="162"/>
        <v>8.6550566225610234E-2</v>
      </c>
      <c r="GZ48" s="19">
        <f t="shared" si="169"/>
        <v>3.6928704661265315E-5</v>
      </c>
      <c r="HA48" s="12"/>
      <c r="HB48" s="32"/>
      <c r="HM48" s="32"/>
      <c r="IK48" s="12" t="s">
        <v>37</v>
      </c>
      <c r="IL48" s="12" t="s">
        <v>37</v>
      </c>
      <c r="IM48" s="13" t="s">
        <v>37</v>
      </c>
      <c r="IO48" s="12" t="s">
        <v>37</v>
      </c>
      <c r="IP48" s="12" t="s">
        <v>37</v>
      </c>
      <c r="IQ48" s="13" t="s">
        <v>37</v>
      </c>
      <c r="IV48" s="32" t="s">
        <v>345</v>
      </c>
      <c r="IW48" s="12">
        <v>4.0999999999999996</v>
      </c>
      <c r="IX48" s="12">
        <v>0.1</v>
      </c>
      <c r="IY48" s="13">
        <v>3</v>
      </c>
      <c r="IZ48" s="19">
        <f t="shared" si="147"/>
        <v>2.4390243902439029E-2</v>
      </c>
      <c r="JH48" s="12" t="s">
        <v>37</v>
      </c>
      <c r="JI48" s="12" t="s">
        <v>37</v>
      </c>
      <c r="JJ48" s="13" t="s">
        <v>37</v>
      </c>
      <c r="JL48" s="12" t="s">
        <v>37</v>
      </c>
      <c r="JM48" s="12" t="s">
        <v>37</v>
      </c>
      <c r="JN48" s="12" t="s">
        <v>37</v>
      </c>
      <c r="JS48" s="12" t="s">
        <v>37</v>
      </c>
      <c r="JT48" s="12" t="s">
        <v>37</v>
      </c>
      <c r="JU48" s="13" t="s">
        <v>37</v>
      </c>
      <c r="JW48" s="12" t="s">
        <v>37</v>
      </c>
      <c r="JX48" s="12" t="s">
        <v>37</v>
      </c>
      <c r="JY48" s="12" t="s">
        <v>37</v>
      </c>
      <c r="KE48" s="11" t="s">
        <v>37</v>
      </c>
      <c r="KF48" s="11" t="s">
        <v>37</v>
      </c>
      <c r="KG48" s="13" t="s">
        <v>37</v>
      </c>
      <c r="KH48" s="11" t="s">
        <v>37</v>
      </c>
      <c r="KI48" s="11" t="s">
        <v>37</v>
      </c>
      <c r="KJ48" s="11" t="s">
        <v>37</v>
      </c>
      <c r="KM48" s="12" t="s">
        <v>37</v>
      </c>
      <c r="KN48" s="12" t="s">
        <v>37</v>
      </c>
      <c r="KO48" s="11" t="s">
        <v>37</v>
      </c>
      <c r="KQ48" s="12" t="s">
        <v>37</v>
      </c>
      <c r="KR48" s="12" t="s">
        <v>37</v>
      </c>
      <c r="KS48" s="13" t="s">
        <v>37</v>
      </c>
      <c r="KX48" s="12" t="s">
        <v>37</v>
      </c>
      <c r="KY48" s="12" t="s">
        <v>37</v>
      </c>
      <c r="KZ48" s="13" t="s">
        <v>37</v>
      </c>
      <c r="LB48" s="12" t="s">
        <v>37</v>
      </c>
      <c r="LC48" s="12" t="s">
        <v>37</v>
      </c>
      <c r="LD48" s="13" t="s">
        <v>37</v>
      </c>
      <c r="LI48" s="12" t="s">
        <v>37</v>
      </c>
      <c r="LJ48" s="12" t="s">
        <v>37</v>
      </c>
      <c r="LK48" s="12" t="s">
        <v>37</v>
      </c>
      <c r="LM48" s="12" t="s">
        <v>37</v>
      </c>
      <c r="LN48" s="12" t="s">
        <v>37</v>
      </c>
      <c r="LO48" s="12" t="s">
        <v>37</v>
      </c>
      <c r="LU48" s="12" t="s">
        <v>37</v>
      </c>
      <c r="LV48" s="12" t="s">
        <v>37</v>
      </c>
      <c r="LW48" s="13" t="s">
        <v>37</v>
      </c>
      <c r="LY48" s="12" t="s">
        <v>37</v>
      </c>
      <c r="LZ48" s="12" t="s">
        <v>37</v>
      </c>
      <c r="MA48" s="12" t="s">
        <v>37</v>
      </c>
      <c r="MF48" s="12" t="s">
        <v>37</v>
      </c>
      <c r="MG48" s="12" t="s">
        <v>37</v>
      </c>
      <c r="MH48" s="12" t="s">
        <v>37</v>
      </c>
      <c r="MJ48" s="12" t="s">
        <v>37</v>
      </c>
      <c r="MK48" s="12" t="s">
        <v>37</v>
      </c>
      <c r="ML48" s="12" t="s">
        <v>37</v>
      </c>
      <c r="MQ48" s="12" t="s">
        <v>37</v>
      </c>
      <c r="MR48" s="12" t="s">
        <v>37</v>
      </c>
      <c r="MS48" s="12" t="s">
        <v>37</v>
      </c>
      <c r="MU48" s="12" t="s">
        <v>37</v>
      </c>
      <c r="MV48" s="12" t="s">
        <v>37</v>
      </c>
      <c r="MW48" s="12" t="s">
        <v>37</v>
      </c>
      <c r="NC48" s="12" t="s">
        <v>37</v>
      </c>
      <c r="ND48" s="12" t="s">
        <v>37</v>
      </c>
      <c r="NE48" s="13" t="s">
        <v>37</v>
      </c>
      <c r="NG48" s="12" t="s">
        <v>37</v>
      </c>
      <c r="NH48" s="12" t="s">
        <v>37</v>
      </c>
      <c r="NI48" s="13" t="s">
        <v>37</v>
      </c>
      <c r="NO48" s="12" t="s">
        <v>37</v>
      </c>
      <c r="NP48" s="12" t="s">
        <v>37</v>
      </c>
      <c r="NQ48" s="13" t="s">
        <v>37</v>
      </c>
      <c r="NS48" s="12" t="s">
        <v>37</v>
      </c>
      <c r="NT48" s="12" t="s">
        <v>37</v>
      </c>
      <c r="NU48" s="13" t="s">
        <v>37</v>
      </c>
      <c r="OA48" s="11" t="s">
        <v>37</v>
      </c>
      <c r="OB48" s="11" t="s">
        <v>37</v>
      </c>
      <c r="OC48" s="13" t="s">
        <v>37</v>
      </c>
      <c r="OE48" s="11" t="s">
        <v>37</v>
      </c>
      <c r="OF48" s="11" t="s">
        <v>37</v>
      </c>
      <c r="OG48" s="13" t="s">
        <v>37</v>
      </c>
      <c r="OM48" s="11" t="s">
        <v>37</v>
      </c>
      <c r="ON48" s="11" t="s">
        <v>37</v>
      </c>
      <c r="OO48" s="11" t="s">
        <v>37</v>
      </c>
      <c r="OP48" s="11" t="s">
        <v>37</v>
      </c>
      <c r="OQ48" s="11" t="s">
        <v>37</v>
      </c>
      <c r="OR48" s="11" t="s">
        <v>37</v>
      </c>
      <c r="OW48" s="11" t="s">
        <v>37</v>
      </c>
      <c r="OX48" s="11" t="s">
        <v>37</v>
      </c>
      <c r="OY48" s="13" t="s">
        <v>37</v>
      </c>
      <c r="OZ48" s="11" t="s">
        <v>37</v>
      </c>
      <c r="PA48" s="11" t="s">
        <v>37</v>
      </c>
      <c r="PB48" s="13" t="s">
        <v>37</v>
      </c>
      <c r="PG48" s="11" t="s">
        <v>37</v>
      </c>
      <c r="PH48" s="11" t="s">
        <v>37</v>
      </c>
      <c r="PI48" s="13" t="s">
        <v>37</v>
      </c>
      <c r="PJ48" s="11" t="s">
        <v>37</v>
      </c>
      <c r="PK48" s="11" t="s">
        <v>37</v>
      </c>
      <c r="PL48" s="13" t="s">
        <v>37</v>
      </c>
      <c r="PQ48" s="11" t="s">
        <v>37</v>
      </c>
      <c r="PR48" s="11" t="s">
        <v>37</v>
      </c>
      <c r="PS48" s="13" t="s">
        <v>37</v>
      </c>
      <c r="PT48" s="11" t="s">
        <v>37</v>
      </c>
      <c r="PU48" s="11" t="s">
        <v>37</v>
      </c>
      <c r="PV48" s="13" t="s">
        <v>37</v>
      </c>
      <c r="PY48" s="12" t="s">
        <v>43</v>
      </c>
      <c r="PZ48" s="12">
        <f t="shared" ref="PZ48:PZ70" si="188">399*0.56+350*0.44</f>
        <v>377.44000000000005</v>
      </c>
      <c r="QA48" s="12">
        <f t="shared" ref="QA48:QA70" si="189">SQRT(0.56^2*((24*SQRT(3))^2)+0.44^2*((82*SQRT(3))^2))/2</f>
        <v>33.343665065496324</v>
      </c>
      <c r="QB48" s="11">
        <v>3</v>
      </c>
      <c r="QC48" s="19">
        <f t="shared" si="155"/>
        <v>8.834163063134888E-2</v>
      </c>
      <c r="QD48" s="12">
        <f>643*0.52+378*0.48</f>
        <v>515.79999999999995</v>
      </c>
      <c r="QE48" s="12">
        <f>SQRT(0.52^2*((18*SQRT(3))^2)+0.48^2*((6*SQRT(3))^2))/2</f>
        <v>8.4810376723606176</v>
      </c>
      <c r="QF48" s="13">
        <v>3</v>
      </c>
      <c r="QG48" s="19">
        <f t="shared" si="156"/>
        <v>1.6442492579217951E-2</v>
      </c>
      <c r="QH48" s="19">
        <f t="shared" si="148"/>
        <v>0.31230747778787926</v>
      </c>
      <c r="QI48" s="19">
        <f t="shared" si="149"/>
        <v>2.691533088274438E-3</v>
      </c>
      <c r="QJ48" s="12" t="s">
        <v>43</v>
      </c>
      <c r="QK48" s="12">
        <f t="shared" ref="QK48:QK70" si="190">568*0.56+751*0.44</f>
        <v>648.52</v>
      </c>
      <c r="QL48" s="12">
        <f t="shared" ref="QL48:QL70" si="191">SQRT(0.56^2*((48*SQRT(3))^2)+0.44^2*((332*SQRT(3))^2))/2</f>
        <v>128.63291025239224</v>
      </c>
      <c r="QM48" s="13">
        <v>3</v>
      </c>
      <c r="QN48" s="12">
        <f>925*0.52+975*0.48</f>
        <v>949</v>
      </c>
      <c r="QO48" s="12">
        <f>SQRT(0.52^2*((247*SQRT(3))^2)+0.48^2*((301*SQRT(3))^2))/2</f>
        <v>167.4170779819072</v>
      </c>
      <c r="QP48" s="13">
        <v>3</v>
      </c>
      <c r="QQ48" s="19">
        <f t="shared" si="158"/>
        <v>0.38071595492805954</v>
      </c>
      <c r="QR48" s="19">
        <f t="shared" si="150"/>
        <v>2.3488020718289072E-2</v>
      </c>
      <c r="QU48" s="11" t="s">
        <v>37</v>
      </c>
      <c r="QV48" s="11" t="s">
        <v>37</v>
      </c>
      <c r="QW48" s="13" t="s">
        <v>37</v>
      </c>
      <c r="QX48" s="11" t="s">
        <v>37</v>
      </c>
      <c r="QY48" s="11" t="s">
        <v>37</v>
      </c>
      <c r="QZ48" s="13" t="s">
        <v>37</v>
      </c>
      <c r="RC48" s="12" t="s">
        <v>37</v>
      </c>
      <c r="RD48" s="12" t="s">
        <v>37</v>
      </c>
      <c r="RE48" s="13" t="s">
        <v>37</v>
      </c>
      <c r="RF48" s="12" t="s">
        <v>37</v>
      </c>
      <c r="RG48" s="12" t="s">
        <v>37</v>
      </c>
      <c r="RH48" s="13" t="s">
        <v>37</v>
      </c>
      <c r="RK48" s="11" t="s">
        <v>37</v>
      </c>
      <c r="RL48" s="11" t="s">
        <v>37</v>
      </c>
      <c r="RM48" s="11" t="s">
        <v>37</v>
      </c>
      <c r="RN48" s="11" t="s">
        <v>37</v>
      </c>
      <c r="RO48" s="11" t="s">
        <v>37</v>
      </c>
      <c r="RP48" s="11" t="s">
        <v>37</v>
      </c>
      <c r="RS48" s="11" t="s">
        <v>37</v>
      </c>
      <c r="RT48" s="11" t="s">
        <v>37</v>
      </c>
      <c r="RU48" s="11" t="s">
        <v>37</v>
      </c>
      <c r="RV48" s="11" t="s">
        <v>37</v>
      </c>
      <c r="RW48" s="11" t="s">
        <v>37</v>
      </c>
      <c r="RX48" s="11" t="s">
        <v>37</v>
      </c>
      <c r="SA48" s="11" t="s">
        <v>37</v>
      </c>
      <c r="SB48" s="11" t="s">
        <v>37</v>
      </c>
      <c r="SC48" s="13" t="s">
        <v>37</v>
      </c>
      <c r="SD48" s="11" t="s">
        <v>37</v>
      </c>
      <c r="SE48" s="11" t="s">
        <v>37</v>
      </c>
      <c r="SF48" s="13" t="s">
        <v>37</v>
      </c>
      <c r="SI48" s="12" t="s">
        <v>37</v>
      </c>
      <c r="SJ48" s="11" t="s">
        <v>37</v>
      </c>
      <c r="SK48" s="13" t="s">
        <v>37</v>
      </c>
      <c r="SM48" s="11" t="s">
        <v>37</v>
      </c>
      <c r="SN48" s="11" t="s">
        <v>37</v>
      </c>
      <c r="SO48" s="13" t="s">
        <v>37</v>
      </c>
      <c r="SU48" s="12" t="s">
        <v>37</v>
      </c>
      <c r="SV48" s="12" t="s">
        <v>37</v>
      </c>
      <c r="SW48" s="11" t="s">
        <v>37</v>
      </c>
      <c r="SX48" s="12" t="s">
        <v>37</v>
      </c>
      <c r="SY48" s="12" t="s">
        <v>37</v>
      </c>
      <c r="SZ48" s="11" t="s">
        <v>37</v>
      </c>
      <c r="TE48" s="12" t="s">
        <v>37</v>
      </c>
      <c r="TF48" s="12" t="s">
        <v>37</v>
      </c>
      <c r="TG48" s="11" t="s">
        <v>37</v>
      </c>
      <c r="TH48" s="12" t="s">
        <v>37</v>
      </c>
      <c r="TI48" s="12" t="s">
        <v>37</v>
      </c>
      <c r="TJ48" s="11" t="s">
        <v>37</v>
      </c>
      <c r="TO48" s="12" t="s">
        <v>37</v>
      </c>
      <c r="TP48" s="12" t="s">
        <v>37</v>
      </c>
      <c r="TQ48" s="11" t="s">
        <v>37</v>
      </c>
      <c r="TR48" s="12" t="s">
        <v>37</v>
      </c>
      <c r="TS48" s="12" t="s">
        <v>37</v>
      </c>
      <c r="TT48" s="11" t="s">
        <v>37</v>
      </c>
      <c r="TY48" s="12" t="s">
        <v>37</v>
      </c>
      <c r="TZ48" s="12" t="s">
        <v>37</v>
      </c>
      <c r="UA48" s="11" t="s">
        <v>37</v>
      </c>
      <c r="UB48" s="12" t="s">
        <v>37</v>
      </c>
      <c r="UC48" s="12" t="s">
        <v>37</v>
      </c>
      <c r="UD48" s="11" t="s">
        <v>37</v>
      </c>
      <c r="UI48" s="12" t="s">
        <v>37</v>
      </c>
      <c r="UJ48" s="12" t="s">
        <v>37</v>
      </c>
      <c r="UK48" s="13" t="s">
        <v>37</v>
      </c>
      <c r="UL48" s="12" t="s">
        <v>37</v>
      </c>
      <c r="UM48" s="12" t="s">
        <v>37</v>
      </c>
      <c r="UN48" s="13" t="s">
        <v>37</v>
      </c>
      <c r="UR48" s="12" t="s">
        <v>37</v>
      </c>
      <c r="US48" s="12" t="s">
        <v>37</v>
      </c>
      <c r="UT48" s="13" t="s">
        <v>37</v>
      </c>
      <c r="UU48" s="12" t="s">
        <v>37</v>
      </c>
      <c r="UV48" s="12" t="s">
        <v>37</v>
      </c>
      <c r="UW48" s="13" t="s">
        <v>37</v>
      </c>
      <c r="VB48" s="12" t="s">
        <v>37</v>
      </c>
      <c r="VC48" s="12" t="s">
        <v>37</v>
      </c>
      <c r="VD48" s="13" t="s">
        <v>37</v>
      </c>
      <c r="VE48" s="12" t="s">
        <v>37</v>
      </c>
      <c r="VF48" s="12" t="s">
        <v>37</v>
      </c>
      <c r="VG48" s="13" t="s">
        <v>37</v>
      </c>
      <c r="VI48" s="12" t="s">
        <v>37</v>
      </c>
      <c r="VJ48" s="12" t="s">
        <v>37</v>
      </c>
      <c r="VK48" s="13" t="s">
        <v>37</v>
      </c>
      <c r="VL48" s="12" t="s">
        <v>37</v>
      </c>
      <c r="VM48" s="12" t="s">
        <v>37</v>
      </c>
      <c r="VN48" s="13" t="s">
        <v>37</v>
      </c>
      <c r="VO48" s="12" t="s">
        <v>37</v>
      </c>
      <c r="VQ48" s="12" t="s">
        <v>37</v>
      </c>
      <c r="VR48" s="12" t="s">
        <v>37</v>
      </c>
      <c r="VS48" s="12" t="s">
        <v>37</v>
      </c>
      <c r="VT48" s="12" t="s">
        <v>37</v>
      </c>
      <c r="VU48" s="12" t="s">
        <v>37</v>
      </c>
      <c r="VV48" s="12" t="s">
        <v>37</v>
      </c>
      <c r="VW48" s="12"/>
      <c r="VX48" s="12"/>
      <c r="WA48" s="13" t="s">
        <v>37</v>
      </c>
      <c r="WB48" s="13" t="s">
        <v>37</v>
      </c>
      <c r="WC48" s="13" t="s">
        <v>37</v>
      </c>
      <c r="WD48" s="13" t="s">
        <v>37</v>
      </c>
      <c r="WE48" s="13" t="s">
        <v>37</v>
      </c>
      <c r="WF48" s="13" t="s">
        <v>37</v>
      </c>
    </row>
    <row r="49" spans="1:604" ht="18" customHeight="1" x14ac:dyDescent="0.4">
      <c r="A49" s="11">
        <v>11</v>
      </c>
      <c r="B49" s="12" t="s">
        <v>109</v>
      </c>
      <c r="C49" s="12" t="s">
        <v>26</v>
      </c>
      <c r="D49" s="12" t="s">
        <v>973</v>
      </c>
      <c r="E49" s="81">
        <v>4.5</v>
      </c>
      <c r="F49" s="14">
        <v>0</v>
      </c>
      <c r="G49" s="14">
        <v>0</v>
      </c>
      <c r="H49" s="12" t="s">
        <v>91</v>
      </c>
      <c r="I49" s="29">
        <v>55.35</v>
      </c>
      <c r="J49" s="29">
        <v>-112.517</v>
      </c>
      <c r="K49" s="12" t="s">
        <v>696</v>
      </c>
      <c r="L49" s="12" t="s">
        <v>697</v>
      </c>
      <c r="M49" s="13" t="s">
        <v>37</v>
      </c>
      <c r="N49" s="14">
        <v>2.1</v>
      </c>
      <c r="O49" s="14">
        <v>504</v>
      </c>
      <c r="P49" s="14" t="s">
        <v>84</v>
      </c>
      <c r="Q49" s="75">
        <v>2</v>
      </c>
      <c r="R49" s="11" t="s">
        <v>999</v>
      </c>
      <c r="S49" s="12" t="s">
        <v>93</v>
      </c>
      <c r="T49" s="12" t="s">
        <v>141</v>
      </c>
      <c r="U49" s="12" t="s">
        <v>158</v>
      </c>
      <c r="V49" s="12" t="s">
        <v>275</v>
      </c>
      <c r="W49" s="23" t="s">
        <v>502</v>
      </c>
      <c r="X49" s="12" t="s">
        <v>857</v>
      </c>
      <c r="Y49" s="12" t="s">
        <v>69</v>
      </c>
      <c r="Z49" s="12" t="s">
        <v>37</v>
      </c>
      <c r="AA49" s="32" t="s">
        <v>345</v>
      </c>
      <c r="AB49" s="12">
        <v>4.0999999999999996</v>
      </c>
      <c r="AE49" s="12" t="s">
        <v>37</v>
      </c>
      <c r="AH49" s="12" t="s">
        <v>37</v>
      </c>
      <c r="AK49" s="12" t="s">
        <v>37</v>
      </c>
      <c r="AL49" s="32" t="s">
        <v>497</v>
      </c>
      <c r="AM49" s="12" t="s">
        <v>317</v>
      </c>
      <c r="AN49" s="32" t="s">
        <v>879</v>
      </c>
      <c r="AO49" s="12" t="s">
        <v>29</v>
      </c>
      <c r="AP49" s="12" t="s">
        <v>108</v>
      </c>
      <c r="AQ49" s="12" t="s">
        <v>975</v>
      </c>
      <c r="AT49" s="12" t="s">
        <v>326</v>
      </c>
      <c r="AU49" s="12" t="s">
        <v>326</v>
      </c>
      <c r="AV49" s="13" t="s">
        <v>326</v>
      </c>
      <c r="AX49" s="12" t="s">
        <v>326</v>
      </c>
      <c r="AY49" s="12" t="s">
        <v>326</v>
      </c>
      <c r="AZ49" s="13" t="s">
        <v>326</v>
      </c>
      <c r="BE49" s="12" t="s">
        <v>326</v>
      </c>
      <c r="BF49" s="12" t="s">
        <v>326</v>
      </c>
      <c r="BG49" s="12" t="s">
        <v>326</v>
      </c>
      <c r="BI49" s="12" t="s">
        <v>326</v>
      </c>
      <c r="BJ49" s="12" t="s">
        <v>326</v>
      </c>
      <c r="BK49" s="12" t="s">
        <v>326</v>
      </c>
      <c r="BP49" s="12" t="s">
        <v>37</v>
      </c>
      <c r="BQ49" s="12" t="s">
        <v>37</v>
      </c>
      <c r="BR49" s="13" t="s">
        <v>37</v>
      </c>
      <c r="BT49" s="12" t="s">
        <v>37</v>
      </c>
      <c r="BU49" s="12" t="s">
        <v>37</v>
      </c>
      <c r="BV49" s="12" t="s">
        <v>37</v>
      </c>
      <c r="BZ49" s="12" t="s">
        <v>581</v>
      </c>
      <c r="CA49" s="12">
        <f t="shared" si="185"/>
        <v>-9369.2576901028933</v>
      </c>
      <c r="CB49" s="15">
        <f t="shared" si="180"/>
        <v>2035.7162873934246</v>
      </c>
      <c r="CC49" s="18">
        <v>3</v>
      </c>
      <c r="CD49" s="19">
        <f t="shared" si="123"/>
        <v>0.21727615513701048</v>
      </c>
      <c r="CE49" s="12">
        <f>0.55*CE37+0.45*CE43</f>
        <v>-2299.2323090182686</v>
      </c>
      <c r="CF49" s="15">
        <f>SQRT(0.55^2*CF37^2+0.45^2*CF43^2)</f>
        <v>2342.6341654926264</v>
      </c>
      <c r="CG49" s="18">
        <v>3</v>
      </c>
      <c r="CH49" s="19">
        <f t="shared" si="124"/>
        <v>1.0188766730113017</v>
      </c>
      <c r="CI49" s="75">
        <f t="shared" si="125"/>
        <v>7070.0253810846243</v>
      </c>
      <c r="CJ49" s="12">
        <f t="shared" si="151"/>
        <v>2194.5472922783188</v>
      </c>
      <c r="CK49" s="72">
        <f t="shared" si="126"/>
        <v>3210691.8786974009</v>
      </c>
      <c r="CL49" s="72">
        <f t="shared" si="127"/>
        <v>3210691.8786974009</v>
      </c>
      <c r="CM49" s="12" t="s">
        <v>581</v>
      </c>
      <c r="CN49" s="12">
        <f t="shared" ref="CN49:CN52" si="192">0.56*CN37+0.44*CN43</f>
        <v>12061.199832356524</v>
      </c>
      <c r="CO49" s="15">
        <f t="shared" si="186"/>
        <v>2723.4693933324475</v>
      </c>
      <c r="CP49" s="18">
        <v>3</v>
      </c>
      <c r="CQ49" s="19">
        <f t="shared" si="128"/>
        <v>0.22580418459084053</v>
      </c>
      <c r="CR49" s="12">
        <f>0.55*CR37+0.45*CR43</f>
        <v>11429.896740363933</v>
      </c>
      <c r="CS49" s="15">
        <f>SQRT(0.55^2*CS37^2+0.45^2*CS43^2)</f>
        <v>4226.8745195225956</v>
      </c>
      <c r="CT49" s="18">
        <v>3</v>
      </c>
      <c r="CU49" s="19">
        <f t="shared" si="129"/>
        <v>0.36980863568046635</v>
      </c>
      <c r="CV49" s="75">
        <f t="shared" si="130"/>
        <v>-631.30309199259136</v>
      </c>
      <c r="CW49" s="12">
        <f t="shared" si="152"/>
        <v>3555.5417126092038</v>
      </c>
      <c r="CX49" s="72">
        <f t="shared" si="131"/>
        <v>8427917.9134026598</v>
      </c>
      <c r="CY49" s="72">
        <f t="shared" si="132"/>
        <v>8427917.9134026617</v>
      </c>
      <c r="CZ49" s="12" t="s">
        <v>581</v>
      </c>
      <c r="DA49" s="12">
        <f>0.56*DA37+0.44*DA43</f>
        <v>2691.9421422536325</v>
      </c>
      <c r="DB49" s="15">
        <f t="shared" si="187"/>
        <v>1470.8979553996573</v>
      </c>
      <c r="DC49" s="18">
        <v>3</v>
      </c>
      <c r="DD49" s="19">
        <f t="shared" si="133"/>
        <v>0.54640771520009535</v>
      </c>
      <c r="DE49" s="12">
        <f>0.55*DE37+0.45*DE43</f>
        <v>9130.6644313456636</v>
      </c>
      <c r="DF49" s="15">
        <f>SQRT(0.55^2*DF37^2+0.45^2*DF43^2)</f>
        <v>1617.1067844170707</v>
      </c>
      <c r="DG49" s="18">
        <v>3</v>
      </c>
      <c r="DH49" s="19">
        <f t="shared" si="134"/>
        <v>0.17710724083403248</v>
      </c>
      <c r="DI49" s="19">
        <f t="shared" si="135"/>
        <v>6438.7222890920311</v>
      </c>
      <c r="DJ49" s="12">
        <f t="shared" si="136"/>
        <v>1545.7320510694294</v>
      </c>
      <c r="DK49" s="72">
        <f t="shared" si="137"/>
        <v>1592858.3824688701</v>
      </c>
      <c r="DL49" s="72">
        <f t="shared" si="138"/>
        <v>1592858.3824688701</v>
      </c>
      <c r="DM49" s="15"/>
      <c r="DN49" s="52" t="s">
        <v>37</v>
      </c>
      <c r="DO49" s="15" t="s">
        <v>37</v>
      </c>
      <c r="DP49" s="18" t="s">
        <v>37</v>
      </c>
      <c r="DQ49" s="52"/>
      <c r="DR49" s="52" t="s">
        <v>37</v>
      </c>
      <c r="DS49" s="15" t="s">
        <v>37</v>
      </c>
      <c r="DT49" s="18" t="s">
        <v>37</v>
      </c>
      <c r="DU49" s="52"/>
      <c r="DV49" s="52"/>
      <c r="DW49" s="52"/>
      <c r="DZ49" s="15"/>
      <c r="EA49" s="52" t="s">
        <v>37</v>
      </c>
      <c r="EB49" s="52" t="s">
        <v>37</v>
      </c>
      <c r="EC49" s="73" t="s">
        <v>37</v>
      </c>
      <c r="ED49" s="52"/>
      <c r="EE49" s="52" t="s">
        <v>37</v>
      </c>
      <c r="EF49" s="52" t="s">
        <v>37</v>
      </c>
      <c r="EG49" s="15" t="s">
        <v>37</v>
      </c>
      <c r="EH49" s="52"/>
      <c r="EI49" s="52"/>
      <c r="EJ49" s="52"/>
      <c r="EK49" s="52"/>
      <c r="EL49" s="52"/>
      <c r="EM49" s="12" t="s">
        <v>39</v>
      </c>
      <c r="EN49" s="12">
        <f t="shared" si="181"/>
        <v>-45.680000000000007</v>
      </c>
      <c r="EO49" s="15">
        <f t="shared" si="182"/>
        <v>4.842822317616041</v>
      </c>
      <c r="EP49" s="18">
        <v>3</v>
      </c>
      <c r="EQ49" s="19">
        <f t="shared" si="139"/>
        <v>0.10601625038564011</v>
      </c>
      <c r="ER49" s="12">
        <f>0.55*ER37+0.45*ER43</f>
        <v>-80.650000000000006</v>
      </c>
      <c r="ES49" s="15">
        <f>SQRT(0.55^2*ES37^2+0.45^2*ES43^2)</f>
        <v>8.7407922981844166</v>
      </c>
      <c r="ET49" s="18">
        <v>3</v>
      </c>
      <c r="EU49" s="19">
        <f t="shared" si="140"/>
        <v>0.10837932173818247</v>
      </c>
      <c r="EV49" s="19">
        <f t="shared" si="141"/>
        <v>-34.97</v>
      </c>
      <c r="EW49" s="12">
        <f t="shared" si="142"/>
        <v>7.0659174209723119</v>
      </c>
      <c r="EX49" s="19">
        <f t="shared" si="143"/>
        <v>33.284792666666668</v>
      </c>
      <c r="EY49" s="19">
        <f t="shared" si="144"/>
        <v>33.284792666666675</v>
      </c>
      <c r="FB49" s="11" t="s">
        <v>37</v>
      </c>
      <c r="FC49" s="11" t="s">
        <v>37</v>
      </c>
      <c r="FD49" s="11" t="s">
        <v>37</v>
      </c>
      <c r="FE49" s="12" t="s">
        <v>37</v>
      </c>
      <c r="FF49" s="20" t="s">
        <v>37</v>
      </c>
      <c r="FG49" s="11" t="s">
        <v>37</v>
      </c>
      <c r="FI49" s="11" t="s">
        <v>37</v>
      </c>
      <c r="FJ49" s="11" t="s">
        <v>37</v>
      </c>
      <c r="FK49" s="11" t="s">
        <v>37</v>
      </c>
      <c r="FL49" s="13" t="s">
        <v>37</v>
      </c>
      <c r="FM49" s="11" t="s">
        <v>37</v>
      </c>
      <c r="FN49" s="11" t="s">
        <v>37</v>
      </c>
      <c r="FP49" s="11" t="s">
        <v>37</v>
      </c>
      <c r="FQ49" s="11" t="s">
        <v>37</v>
      </c>
      <c r="FR49" s="11" t="s">
        <v>37</v>
      </c>
      <c r="FS49" s="13" t="s">
        <v>37</v>
      </c>
      <c r="FT49" s="11" t="s">
        <v>37</v>
      </c>
      <c r="FU49" s="11" t="s">
        <v>37</v>
      </c>
      <c r="FW49" s="11" t="s">
        <v>37</v>
      </c>
      <c r="FX49" s="11" t="s">
        <v>37</v>
      </c>
      <c r="FY49" s="11" t="s">
        <v>37</v>
      </c>
      <c r="FZ49" s="13" t="s">
        <v>37</v>
      </c>
      <c r="GA49" s="11" t="s">
        <v>37</v>
      </c>
      <c r="GB49" s="11" t="s">
        <v>37</v>
      </c>
      <c r="GO49" s="12" t="s">
        <v>660</v>
      </c>
      <c r="GP49" s="12" t="s">
        <v>330</v>
      </c>
      <c r="GQ49" s="12">
        <f t="shared" si="183"/>
        <v>12.3</v>
      </c>
      <c r="GR49" s="15">
        <f t="shared" si="184"/>
        <v>0.11202160505902424</v>
      </c>
      <c r="GS49" s="18">
        <v>3</v>
      </c>
      <c r="GT49" s="19">
        <f t="shared" si="145"/>
        <v>9.1074475657743278E-3</v>
      </c>
      <c r="GU49" s="12">
        <f>0.55*GU37+0.45*GU43</f>
        <v>13.1</v>
      </c>
      <c r="GV49" s="15">
        <f>SQRT(0.55^2*GV37^2+0.45^2*GV43^2)</f>
        <v>7.1063352017759485E-2</v>
      </c>
      <c r="GW49" s="18">
        <v>3</v>
      </c>
      <c r="GX49" s="19">
        <f t="shared" si="146"/>
        <v>5.4246833601343117E-3</v>
      </c>
      <c r="GY49" s="19">
        <f t="shared" si="162"/>
        <v>6.301296782873396E-2</v>
      </c>
      <c r="GZ49" s="19">
        <f t="shared" si="169"/>
        <v>3.7457596907015607E-5</v>
      </c>
      <c r="IK49" s="12" t="s">
        <v>37</v>
      </c>
      <c r="IL49" s="12" t="s">
        <v>37</v>
      </c>
      <c r="IM49" s="13" t="s">
        <v>37</v>
      </c>
      <c r="IO49" s="12" t="s">
        <v>37</v>
      </c>
      <c r="IP49" s="12" t="s">
        <v>37</v>
      </c>
      <c r="IQ49" s="13" t="s">
        <v>37</v>
      </c>
      <c r="IV49" s="32" t="s">
        <v>345</v>
      </c>
      <c r="IW49" s="12">
        <v>4.0999999999999996</v>
      </c>
      <c r="IX49" s="12">
        <v>0.1</v>
      </c>
      <c r="IY49" s="13">
        <v>3</v>
      </c>
      <c r="IZ49" s="19">
        <f t="shared" si="147"/>
        <v>2.4390243902439029E-2</v>
      </c>
      <c r="JH49" s="12" t="s">
        <v>37</v>
      </c>
      <c r="JI49" s="12" t="s">
        <v>37</v>
      </c>
      <c r="JJ49" s="13" t="s">
        <v>37</v>
      </c>
      <c r="JL49" s="12" t="s">
        <v>37</v>
      </c>
      <c r="JM49" s="12" t="s">
        <v>37</v>
      </c>
      <c r="JN49" s="12" t="s">
        <v>37</v>
      </c>
      <c r="JS49" s="12" t="s">
        <v>37</v>
      </c>
      <c r="JT49" s="12" t="s">
        <v>37</v>
      </c>
      <c r="JU49" s="13" t="s">
        <v>37</v>
      </c>
      <c r="JW49" s="12" t="s">
        <v>37</v>
      </c>
      <c r="JX49" s="12" t="s">
        <v>37</v>
      </c>
      <c r="JY49" s="12" t="s">
        <v>37</v>
      </c>
      <c r="KE49" s="11" t="s">
        <v>37</v>
      </c>
      <c r="KF49" s="11" t="s">
        <v>37</v>
      </c>
      <c r="KG49" s="13" t="s">
        <v>37</v>
      </c>
      <c r="KH49" s="11" t="s">
        <v>37</v>
      </c>
      <c r="KI49" s="11" t="s">
        <v>37</v>
      </c>
      <c r="KJ49" s="11" t="s">
        <v>37</v>
      </c>
      <c r="KM49" s="12" t="s">
        <v>37</v>
      </c>
      <c r="KN49" s="12" t="s">
        <v>37</v>
      </c>
      <c r="KO49" s="11" t="s">
        <v>37</v>
      </c>
      <c r="KQ49" s="12" t="s">
        <v>37</v>
      </c>
      <c r="KR49" s="12" t="s">
        <v>37</v>
      </c>
      <c r="KS49" s="13" t="s">
        <v>37</v>
      </c>
      <c r="KX49" s="12" t="s">
        <v>37</v>
      </c>
      <c r="KY49" s="12" t="s">
        <v>37</v>
      </c>
      <c r="KZ49" s="13" t="s">
        <v>37</v>
      </c>
      <c r="LB49" s="12" t="s">
        <v>37</v>
      </c>
      <c r="LC49" s="12" t="s">
        <v>37</v>
      </c>
      <c r="LD49" s="13" t="s">
        <v>37</v>
      </c>
      <c r="LI49" s="12" t="s">
        <v>37</v>
      </c>
      <c r="LJ49" s="12" t="s">
        <v>37</v>
      </c>
      <c r="LK49" s="12" t="s">
        <v>37</v>
      </c>
      <c r="LM49" s="12" t="s">
        <v>37</v>
      </c>
      <c r="LN49" s="12" t="s">
        <v>37</v>
      </c>
      <c r="LO49" s="12" t="s">
        <v>37</v>
      </c>
      <c r="LU49" s="12" t="s">
        <v>37</v>
      </c>
      <c r="LV49" s="12" t="s">
        <v>37</v>
      </c>
      <c r="LW49" s="13" t="s">
        <v>37</v>
      </c>
      <c r="LY49" s="12" t="s">
        <v>37</v>
      </c>
      <c r="LZ49" s="12" t="s">
        <v>37</v>
      </c>
      <c r="MA49" s="12" t="s">
        <v>37</v>
      </c>
      <c r="MF49" s="12" t="s">
        <v>37</v>
      </c>
      <c r="MG49" s="12" t="s">
        <v>37</v>
      </c>
      <c r="MH49" s="12" t="s">
        <v>37</v>
      </c>
      <c r="MJ49" s="12" t="s">
        <v>37</v>
      </c>
      <c r="MK49" s="12" t="s">
        <v>37</v>
      </c>
      <c r="ML49" s="12" t="s">
        <v>37</v>
      </c>
      <c r="MQ49" s="12" t="s">
        <v>37</v>
      </c>
      <c r="MR49" s="12" t="s">
        <v>37</v>
      </c>
      <c r="MS49" s="12" t="s">
        <v>37</v>
      </c>
      <c r="MU49" s="12" t="s">
        <v>37</v>
      </c>
      <c r="MV49" s="12" t="s">
        <v>37</v>
      </c>
      <c r="MW49" s="12" t="s">
        <v>37</v>
      </c>
      <c r="NC49" s="12" t="s">
        <v>37</v>
      </c>
      <c r="ND49" s="12" t="s">
        <v>37</v>
      </c>
      <c r="NE49" s="13" t="s">
        <v>37</v>
      </c>
      <c r="NG49" s="12" t="s">
        <v>37</v>
      </c>
      <c r="NH49" s="12" t="s">
        <v>37</v>
      </c>
      <c r="NI49" s="13" t="s">
        <v>37</v>
      </c>
      <c r="NO49" s="12" t="s">
        <v>37</v>
      </c>
      <c r="NP49" s="12" t="s">
        <v>37</v>
      </c>
      <c r="NQ49" s="13" t="s">
        <v>37</v>
      </c>
      <c r="NS49" s="12" t="s">
        <v>37</v>
      </c>
      <c r="NT49" s="12" t="s">
        <v>37</v>
      </c>
      <c r="NU49" s="13" t="s">
        <v>37</v>
      </c>
      <c r="OA49" s="11" t="s">
        <v>37</v>
      </c>
      <c r="OB49" s="11" t="s">
        <v>37</v>
      </c>
      <c r="OC49" s="13" t="s">
        <v>37</v>
      </c>
      <c r="OE49" s="11" t="s">
        <v>37</v>
      </c>
      <c r="OF49" s="11" t="s">
        <v>37</v>
      </c>
      <c r="OG49" s="13" t="s">
        <v>37</v>
      </c>
      <c r="OM49" s="11" t="s">
        <v>37</v>
      </c>
      <c r="ON49" s="11" t="s">
        <v>37</v>
      </c>
      <c r="OO49" s="11" t="s">
        <v>37</v>
      </c>
      <c r="OP49" s="11" t="s">
        <v>37</v>
      </c>
      <c r="OQ49" s="11" t="s">
        <v>37</v>
      </c>
      <c r="OR49" s="11" t="s">
        <v>37</v>
      </c>
      <c r="OW49" s="11" t="s">
        <v>37</v>
      </c>
      <c r="OX49" s="11" t="s">
        <v>37</v>
      </c>
      <c r="OY49" s="13" t="s">
        <v>37</v>
      </c>
      <c r="OZ49" s="11" t="s">
        <v>37</v>
      </c>
      <c r="PA49" s="11" t="s">
        <v>37</v>
      </c>
      <c r="PB49" s="13" t="s">
        <v>37</v>
      </c>
      <c r="PG49" s="11" t="s">
        <v>37</v>
      </c>
      <c r="PH49" s="11" t="s">
        <v>37</v>
      </c>
      <c r="PI49" s="13" t="s">
        <v>37</v>
      </c>
      <c r="PJ49" s="11" t="s">
        <v>37</v>
      </c>
      <c r="PK49" s="11" t="s">
        <v>37</v>
      </c>
      <c r="PL49" s="13" t="s">
        <v>37</v>
      </c>
      <c r="PQ49" s="11" t="s">
        <v>37</v>
      </c>
      <c r="PR49" s="11" t="s">
        <v>37</v>
      </c>
      <c r="PS49" s="13" t="s">
        <v>37</v>
      </c>
      <c r="PT49" s="11" t="s">
        <v>37</v>
      </c>
      <c r="PU49" s="11" t="s">
        <v>37</v>
      </c>
      <c r="PV49" s="13" t="s">
        <v>37</v>
      </c>
      <c r="PY49" s="12" t="s">
        <v>43</v>
      </c>
      <c r="PZ49" s="12">
        <f t="shared" si="188"/>
        <v>377.44000000000005</v>
      </c>
      <c r="QA49" s="12">
        <f t="shared" si="189"/>
        <v>33.343665065496324</v>
      </c>
      <c r="QB49" s="11">
        <v>3</v>
      </c>
      <c r="QC49" s="19">
        <f t="shared" si="155"/>
        <v>8.834163063134888E-2</v>
      </c>
      <c r="QD49" s="12">
        <f>251*0.55+327*0.45</f>
        <v>285.20000000000005</v>
      </c>
      <c r="QE49" s="12">
        <f>SQRT(0.55^2*((78*SQRT(3))^2)+0.45^2*((51*SQRT(3))^2))/2</f>
        <v>42.134716980181558</v>
      </c>
      <c r="QF49" s="13">
        <v>3</v>
      </c>
      <c r="QG49" s="19">
        <f t="shared" si="156"/>
        <v>0.14773743681690585</v>
      </c>
      <c r="QH49" s="19">
        <f t="shared" si="148"/>
        <v>-0.28022092711922397</v>
      </c>
      <c r="QI49" s="19">
        <f t="shared" si="149"/>
        <v>9.8768646466116435E-3</v>
      </c>
      <c r="QJ49" s="12" t="s">
        <v>43</v>
      </c>
      <c r="QK49" s="12">
        <f t="shared" si="190"/>
        <v>648.52</v>
      </c>
      <c r="QL49" s="12">
        <f t="shared" si="191"/>
        <v>128.63291025239224</v>
      </c>
      <c r="QM49" s="13">
        <v>3</v>
      </c>
      <c r="QN49" s="12">
        <f>441*0.55+715*0.45</f>
        <v>564.29999999999995</v>
      </c>
      <c r="QO49" s="12">
        <f>SQRT(0.55^2*((78*SQRT(3))^2)+0.45^2*((51*SQRT(3))^2))/2</f>
        <v>42.134716980181558</v>
      </c>
      <c r="QP49" s="13">
        <v>3</v>
      </c>
      <c r="QQ49" s="19">
        <f t="shared" si="158"/>
        <v>-0.13910681870677402</v>
      </c>
      <c r="QR49" s="19">
        <f t="shared" si="150"/>
        <v>1.4972428792460963E-2</v>
      </c>
      <c r="QU49" s="11" t="s">
        <v>37</v>
      </c>
      <c r="QV49" s="11" t="s">
        <v>37</v>
      </c>
      <c r="QW49" s="13" t="s">
        <v>37</v>
      </c>
      <c r="QX49" s="11" t="s">
        <v>37</v>
      </c>
      <c r="QY49" s="11" t="s">
        <v>37</v>
      </c>
      <c r="QZ49" s="13" t="s">
        <v>37</v>
      </c>
      <c r="RC49" s="12" t="s">
        <v>37</v>
      </c>
      <c r="RD49" s="12" t="s">
        <v>37</v>
      </c>
      <c r="RE49" s="13" t="s">
        <v>37</v>
      </c>
      <c r="RF49" s="12" t="s">
        <v>37</v>
      </c>
      <c r="RG49" s="12" t="s">
        <v>37</v>
      </c>
      <c r="RH49" s="13" t="s">
        <v>37</v>
      </c>
      <c r="RK49" s="11" t="s">
        <v>37</v>
      </c>
      <c r="RL49" s="11" t="s">
        <v>37</v>
      </c>
      <c r="RM49" s="11" t="s">
        <v>37</v>
      </c>
      <c r="RN49" s="11" t="s">
        <v>37</v>
      </c>
      <c r="RO49" s="11" t="s">
        <v>37</v>
      </c>
      <c r="RP49" s="11" t="s">
        <v>37</v>
      </c>
      <c r="RS49" s="11" t="s">
        <v>37</v>
      </c>
      <c r="RT49" s="11" t="s">
        <v>37</v>
      </c>
      <c r="RU49" s="11" t="s">
        <v>37</v>
      </c>
      <c r="RV49" s="11" t="s">
        <v>37</v>
      </c>
      <c r="RW49" s="11" t="s">
        <v>37</v>
      </c>
      <c r="RX49" s="11" t="s">
        <v>37</v>
      </c>
      <c r="SA49" s="11" t="s">
        <v>37</v>
      </c>
      <c r="SB49" s="11" t="s">
        <v>37</v>
      </c>
      <c r="SC49" s="13" t="s">
        <v>37</v>
      </c>
      <c r="SD49" s="11" t="s">
        <v>37</v>
      </c>
      <c r="SE49" s="11" t="s">
        <v>37</v>
      </c>
      <c r="SF49" s="13" t="s">
        <v>37</v>
      </c>
      <c r="SI49" s="12" t="s">
        <v>37</v>
      </c>
      <c r="SJ49" s="11" t="s">
        <v>37</v>
      </c>
      <c r="SK49" s="13" t="s">
        <v>37</v>
      </c>
      <c r="SM49" s="11" t="s">
        <v>37</v>
      </c>
      <c r="SN49" s="11" t="s">
        <v>37</v>
      </c>
      <c r="SO49" s="13" t="s">
        <v>37</v>
      </c>
      <c r="SU49" s="12" t="s">
        <v>37</v>
      </c>
      <c r="SV49" s="12" t="s">
        <v>37</v>
      </c>
      <c r="SW49" s="11" t="s">
        <v>37</v>
      </c>
      <c r="SX49" s="12" t="s">
        <v>37</v>
      </c>
      <c r="SY49" s="12" t="s">
        <v>37</v>
      </c>
      <c r="SZ49" s="11" t="s">
        <v>37</v>
      </c>
      <c r="TE49" s="12" t="s">
        <v>37</v>
      </c>
      <c r="TF49" s="12" t="s">
        <v>37</v>
      </c>
      <c r="TG49" s="11" t="s">
        <v>37</v>
      </c>
      <c r="TH49" s="12" t="s">
        <v>37</v>
      </c>
      <c r="TI49" s="12" t="s">
        <v>37</v>
      </c>
      <c r="TJ49" s="11" t="s">
        <v>37</v>
      </c>
      <c r="TO49" s="12" t="s">
        <v>37</v>
      </c>
      <c r="TP49" s="12" t="s">
        <v>37</v>
      </c>
      <c r="TQ49" s="11" t="s">
        <v>37</v>
      </c>
      <c r="TR49" s="12" t="s">
        <v>37</v>
      </c>
      <c r="TS49" s="12" t="s">
        <v>37</v>
      </c>
      <c r="TT49" s="11" t="s">
        <v>37</v>
      </c>
      <c r="TY49" s="12" t="s">
        <v>37</v>
      </c>
      <c r="TZ49" s="12" t="s">
        <v>37</v>
      </c>
      <c r="UA49" s="11" t="s">
        <v>37</v>
      </c>
      <c r="UB49" s="12" t="s">
        <v>37</v>
      </c>
      <c r="UC49" s="12" t="s">
        <v>37</v>
      </c>
      <c r="UD49" s="11" t="s">
        <v>37</v>
      </c>
      <c r="UI49" s="12" t="s">
        <v>37</v>
      </c>
      <c r="UJ49" s="12" t="s">
        <v>37</v>
      </c>
      <c r="UK49" s="13" t="s">
        <v>37</v>
      </c>
      <c r="UL49" s="12" t="s">
        <v>37</v>
      </c>
      <c r="UM49" s="12" t="s">
        <v>37</v>
      </c>
      <c r="UN49" s="13" t="s">
        <v>37</v>
      </c>
      <c r="UR49" s="12" t="s">
        <v>37</v>
      </c>
      <c r="US49" s="12" t="s">
        <v>37</v>
      </c>
      <c r="UT49" s="13" t="s">
        <v>37</v>
      </c>
      <c r="UU49" s="12" t="s">
        <v>37</v>
      </c>
      <c r="UV49" s="12" t="s">
        <v>37</v>
      </c>
      <c r="UW49" s="13" t="s">
        <v>37</v>
      </c>
      <c r="VB49" s="12" t="s">
        <v>37</v>
      </c>
      <c r="VC49" s="12" t="s">
        <v>37</v>
      </c>
      <c r="VD49" s="13" t="s">
        <v>37</v>
      </c>
      <c r="VE49" s="12" t="s">
        <v>37</v>
      </c>
      <c r="VF49" s="12" t="s">
        <v>37</v>
      </c>
      <c r="VG49" s="13" t="s">
        <v>37</v>
      </c>
      <c r="VI49" s="12" t="s">
        <v>37</v>
      </c>
      <c r="VJ49" s="12" t="s">
        <v>37</v>
      </c>
      <c r="VK49" s="13" t="s">
        <v>37</v>
      </c>
      <c r="VL49" s="12" t="s">
        <v>37</v>
      </c>
      <c r="VM49" s="12" t="s">
        <v>37</v>
      </c>
      <c r="VN49" s="13" t="s">
        <v>37</v>
      </c>
      <c r="VO49" s="12" t="s">
        <v>37</v>
      </c>
      <c r="VQ49" s="12" t="s">
        <v>37</v>
      </c>
      <c r="VR49" s="12" t="s">
        <v>37</v>
      </c>
      <c r="VS49" s="12" t="s">
        <v>37</v>
      </c>
      <c r="VT49" s="12" t="s">
        <v>37</v>
      </c>
      <c r="VU49" s="12" t="s">
        <v>37</v>
      </c>
      <c r="VV49" s="12" t="s">
        <v>37</v>
      </c>
      <c r="VW49" s="12"/>
      <c r="VX49" s="12"/>
      <c r="WA49" s="13" t="s">
        <v>37</v>
      </c>
      <c r="WB49" s="13" t="s">
        <v>37</v>
      </c>
      <c r="WC49" s="13" t="s">
        <v>37</v>
      </c>
      <c r="WD49" s="13" t="s">
        <v>37</v>
      </c>
      <c r="WE49" s="13" t="s">
        <v>37</v>
      </c>
      <c r="WF49" s="13" t="s">
        <v>37</v>
      </c>
    </row>
    <row r="50" spans="1:604" ht="18" customHeight="1" x14ac:dyDescent="0.4">
      <c r="A50" s="11">
        <v>11</v>
      </c>
      <c r="B50" s="12" t="s">
        <v>109</v>
      </c>
      <c r="C50" s="12" t="s">
        <v>26</v>
      </c>
      <c r="D50" s="12" t="s">
        <v>973</v>
      </c>
      <c r="E50" s="81">
        <v>4.5</v>
      </c>
      <c r="F50" s="14">
        <v>0</v>
      </c>
      <c r="G50" s="14">
        <v>0</v>
      </c>
      <c r="H50" s="12" t="s">
        <v>91</v>
      </c>
      <c r="I50" s="29">
        <v>55.35</v>
      </c>
      <c r="J50" s="29">
        <v>-112.517</v>
      </c>
      <c r="K50" s="12" t="s">
        <v>696</v>
      </c>
      <c r="L50" s="12" t="s">
        <v>697</v>
      </c>
      <c r="M50" s="13" t="s">
        <v>37</v>
      </c>
      <c r="N50" s="14">
        <v>2.1</v>
      </c>
      <c r="O50" s="14">
        <v>504</v>
      </c>
      <c r="P50" s="14" t="s">
        <v>84</v>
      </c>
      <c r="Q50" s="75">
        <v>12</v>
      </c>
      <c r="R50" s="11" t="s">
        <v>999</v>
      </c>
      <c r="S50" s="12" t="s">
        <v>93</v>
      </c>
      <c r="T50" s="12" t="s">
        <v>141</v>
      </c>
      <c r="U50" s="12" t="s">
        <v>158</v>
      </c>
      <c r="V50" s="12" t="s">
        <v>275</v>
      </c>
      <c r="W50" s="23" t="s">
        <v>502</v>
      </c>
      <c r="X50" s="12" t="s">
        <v>857</v>
      </c>
      <c r="Y50" s="12" t="s">
        <v>69</v>
      </c>
      <c r="Z50" s="12" t="s">
        <v>37</v>
      </c>
      <c r="AA50" s="32" t="s">
        <v>501</v>
      </c>
      <c r="AB50" s="12">
        <v>4.0999999999999996</v>
      </c>
      <c r="AE50" s="12" t="s">
        <v>37</v>
      </c>
      <c r="AH50" s="12" t="s">
        <v>37</v>
      </c>
      <c r="AK50" s="12" t="s">
        <v>37</v>
      </c>
      <c r="AL50" s="32" t="s">
        <v>497</v>
      </c>
      <c r="AM50" s="12" t="s">
        <v>317</v>
      </c>
      <c r="AN50" s="32" t="s">
        <v>879</v>
      </c>
      <c r="AO50" s="12" t="s">
        <v>29</v>
      </c>
      <c r="AP50" s="12" t="s">
        <v>108</v>
      </c>
      <c r="AQ50" s="12" t="s">
        <v>975</v>
      </c>
      <c r="AT50" s="12" t="s">
        <v>326</v>
      </c>
      <c r="AU50" s="12" t="s">
        <v>326</v>
      </c>
      <c r="AV50" s="13" t="s">
        <v>326</v>
      </c>
      <c r="AX50" s="12" t="s">
        <v>326</v>
      </c>
      <c r="AY50" s="12" t="s">
        <v>326</v>
      </c>
      <c r="AZ50" s="13" t="s">
        <v>326</v>
      </c>
      <c r="BE50" s="12" t="s">
        <v>326</v>
      </c>
      <c r="BF50" s="12" t="s">
        <v>326</v>
      </c>
      <c r="BG50" s="12" t="s">
        <v>326</v>
      </c>
      <c r="BI50" s="12" t="s">
        <v>326</v>
      </c>
      <c r="BJ50" s="12" t="s">
        <v>326</v>
      </c>
      <c r="BK50" s="12" t="s">
        <v>326</v>
      </c>
      <c r="BP50" s="12" t="s">
        <v>37</v>
      </c>
      <c r="BQ50" s="12" t="s">
        <v>37</v>
      </c>
      <c r="BR50" s="13" t="s">
        <v>37</v>
      </c>
      <c r="BT50" s="12" t="s">
        <v>37</v>
      </c>
      <c r="BU50" s="12" t="s">
        <v>37</v>
      </c>
      <c r="BV50" s="12" t="s">
        <v>37</v>
      </c>
      <c r="BZ50" s="12" t="s">
        <v>581</v>
      </c>
      <c r="CA50" s="12">
        <f t="shared" si="185"/>
        <v>-9369.2576901028933</v>
      </c>
      <c r="CB50" s="15">
        <f t="shared" si="180"/>
        <v>2035.7162873934246</v>
      </c>
      <c r="CC50" s="18">
        <v>3</v>
      </c>
      <c r="CD50" s="19">
        <f t="shared" si="123"/>
        <v>0.21727615513701048</v>
      </c>
      <c r="CE50" s="12">
        <f>0.52*CE38+0.48*CE44</f>
        <v>-9078.4121067422348</v>
      </c>
      <c r="CF50" s="15">
        <f>SQRT(0.52^2*CF38^2+0.48^2*CF44^2)</f>
        <v>2550.7669434897421</v>
      </c>
      <c r="CG50" s="18">
        <v>3</v>
      </c>
      <c r="CH50" s="19">
        <f t="shared" si="124"/>
        <v>0.28097060515631056</v>
      </c>
      <c r="CI50" s="75">
        <f t="shared" si="125"/>
        <v>290.84558336065857</v>
      </c>
      <c r="CJ50" s="12">
        <f t="shared" si="151"/>
        <v>2307.6560405267146</v>
      </c>
      <c r="CK50" s="72">
        <f t="shared" si="126"/>
        <v>3550184.2675862894</v>
      </c>
      <c r="CL50" s="72">
        <f t="shared" si="127"/>
        <v>3550184.2675862899</v>
      </c>
      <c r="CM50" s="12" t="s">
        <v>581</v>
      </c>
      <c r="CN50" s="12">
        <f t="shared" si="192"/>
        <v>12061.199832356524</v>
      </c>
      <c r="CO50" s="15">
        <f t="shared" si="186"/>
        <v>2723.4693933324475</v>
      </c>
      <c r="CP50" s="18">
        <v>3</v>
      </c>
      <c r="CQ50" s="19">
        <f t="shared" si="128"/>
        <v>0.22580418459084053</v>
      </c>
      <c r="CR50" s="12">
        <f>0.52*CR38+0.48*CR44</f>
        <v>19572.836444656983</v>
      </c>
      <c r="CS50" s="15">
        <f>SQRT(0.52^2*CS38^2+0.48^2*CS44^2)</f>
        <v>4405.6978485162454</v>
      </c>
      <c r="CT50" s="18">
        <v>3</v>
      </c>
      <c r="CU50" s="19">
        <f t="shared" si="129"/>
        <v>0.22509245713944123</v>
      </c>
      <c r="CV50" s="75">
        <f t="shared" si="130"/>
        <v>7511.6366123004591</v>
      </c>
      <c r="CW50" s="12">
        <f t="shared" si="152"/>
        <v>3662.475874926638</v>
      </c>
      <c r="CX50" s="72">
        <f t="shared" si="131"/>
        <v>8942486.3562797606</v>
      </c>
      <c r="CY50" s="72">
        <f t="shared" si="132"/>
        <v>8942486.3562797606</v>
      </c>
      <c r="CZ50" s="12" t="s">
        <v>581</v>
      </c>
      <c r="DA50" s="12">
        <f>0.56*DA38+0.44*DA44</f>
        <v>2691.9421422536325</v>
      </c>
      <c r="DB50" s="15">
        <f t="shared" si="187"/>
        <v>1470.8979553996573</v>
      </c>
      <c r="DC50" s="18">
        <v>3</v>
      </c>
      <c r="DD50" s="19">
        <f t="shared" si="133"/>
        <v>0.54640771520009535</v>
      </c>
      <c r="DE50" s="12">
        <f>0.52*DE38+0.48*DE44</f>
        <v>10494.424337914745</v>
      </c>
      <c r="DF50" s="15">
        <f>SQRT(0.52^2*DF38^2+0.48^2*DF44^2)</f>
        <v>1546.8515977021152</v>
      </c>
      <c r="DG50" s="18">
        <v>3</v>
      </c>
      <c r="DH50" s="19">
        <f t="shared" si="134"/>
        <v>0.14739747011311308</v>
      </c>
      <c r="DI50" s="19">
        <f t="shared" si="135"/>
        <v>7802.4821956611122</v>
      </c>
      <c r="DJ50" s="12">
        <f t="shared" si="136"/>
        <v>1509.3526195876957</v>
      </c>
      <c r="DK50" s="72">
        <f t="shared" si="137"/>
        <v>1518763.5535041597</v>
      </c>
      <c r="DL50" s="72">
        <f t="shared" si="138"/>
        <v>1518763.5535041594</v>
      </c>
      <c r="DM50" s="15"/>
      <c r="DN50" s="52" t="s">
        <v>37</v>
      </c>
      <c r="DO50" s="15" t="s">
        <v>37</v>
      </c>
      <c r="DP50" s="18" t="s">
        <v>37</v>
      </c>
      <c r="DQ50" s="52"/>
      <c r="DR50" s="52" t="s">
        <v>37</v>
      </c>
      <c r="DS50" s="15" t="s">
        <v>37</v>
      </c>
      <c r="DT50" s="18" t="s">
        <v>37</v>
      </c>
      <c r="DU50" s="52"/>
      <c r="DV50" s="52"/>
      <c r="DW50" s="52"/>
      <c r="DZ50" s="15"/>
      <c r="EA50" s="52" t="s">
        <v>37</v>
      </c>
      <c r="EB50" s="52" t="s">
        <v>37</v>
      </c>
      <c r="EC50" s="73" t="s">
        <v>37</v>
      </c>
      <c r="ED50" s="52"/>
      <c r="EE50" s="52" t="s">
        <v>37</v>
      </c>
      <c r="EF50" s="52" t="s">
        <v>37</v>
      </c>
      <c r="EG50" s="15" t="s">
        <v>37</v>
      </c>
      <c r="EH50" s="52"/>
      <c r="EI50" s="52"/>
      <c r="EJ50" s="52"/>
      <c r="EK50" s="52"/>
      <c r="EL50" s="52"/>
      <c r="EM50" s="12" t="s">
        <v>39</v>
      </c>
      <c r="EN50" s="12">
        <f t="shared" si="181"/>
        <v>-45.680000000000007</v>
      </c>
      <c r="EO50" s="15">
        <f t="shared" si="182"/>
        <v>4.842822317616041</v>
      </c>
      <c r="EP50" s="18">
        <v>3</v>
      </c>
      <c r="EQ50" s="19">
        <f t="shared" si="139"/>
        <v>0.10601625038564011</v>
      </c>
      <c r="ER50" s="12">
        <f>0.52*ER38+0.48*ER44</f>
        <v>-118.08000000000001</v>
      </c>
      <c r="ES50" s="15">
        <f>SQRT(0.52^2*ES38^2+0.48^2*ES44^2)</f>
        <v>8.3505324381143513</v>
      </c>
      <c r="ET50" s="18">
        <v>3</v>
      </c>
      <c r="EU50" s="19">
        <f t="shared" si="140"/>
        <v>7.0719278778068689E-2</v>
      </c>
      <c r="EV50" s="19">
        <f t="shared" si="141"/>
        <v>-72.400000000000006</v>
      </c>
      <c r="EW50" s="12">
        <f t="shared" si="142"/>
        <v>6.8258450026352051</v>
      </c>
      <c r="EX50" s="19">
        <f t="shared" si="143"/>
        <v>31.061440000000005</v>
      </c>
      <c r="EY50" s="19">
        <f t="shared" si="144"/>
        <v>31.061440000000005</v>
      </c>
      <c r="FB50" s="11" t="s">
        <v>37</v>
      </c>
      <c r="FC50" s="11" t="s">
        <v>37</v>
      </c>
      <c r="FD50" s="11" t="s">
        <v>37</v>
      </c>
      <c r="FE50" s="12" t="s">
        <v>37</v>
      </c>
      <c r="FF50" s="20" t="s">
        <v>37</v>
      </c>
      <c r="FG50" s="11" t="s">
        <v>37</v>
      </c>
      <c r="FI50" s="11" t="s">
        <v>37</v>
      </c>
      <c r="FJ50" s="11" t="s">
        <v>37</v>
      </c>
      <c r="FK50" s="11" t="s">
        <v>37</v>
      </c>
      <c r="FL50" s="13" t="s">
        <v>37</v>
      </c>
      <c r="FM50" s="11" t="s">
        <v>37</v>
      </c>
      <c r="FN50" s="11" t="s">
        <v>37</v>
      </c>
      <c r="FP50" s="11" t="s">
        <v>37</v>
      </c>
      <c r="FQ50" s="11" t="s">
        <v>37</v>
      </c>
      <c r="FR50" s="11" t="s">
        <v>37</v>
      </c>
      <c r="FS50" s="13" t="s">
        <v>37</v>
      </c>
      <c r="FT50" s="11" t="s">
        <v>37</v>
      </c>
      <c r="FU50" s="11" t="s">
        <v>37</v>
      </c>
      <c r="FW50" s="11" t="s">
        <v>37</v>
      </c>
      <c r="FX50" s="11" t="s">
        <v>37</v>
      </c>
      <c r="FY50" s="11" t="s">
        <v>37</v>
      </c>
      <c r="FZ50" s="13" t="s">
        <v>37</v>
      </c>
      <c r="GA50" s="11" t="s">
        <v>37</v>
      </c>
      <c r="GB50" s="11" t="s">
        <v>37</v>
      </c>
      <c r="GO50" s="12" t="s">
        <v>660</v>
      </c>
      <c r="GP50" s="12" t="s">
        <v>330</v>
      </c>
      <c r="GQ50" s="12">
        <f t="shared" si="183"/>
        <v>12.3</v>
      </c>
      <c r="GR50" s="15">
        <f t="shared" si="184"/>
        <v>0.11202160505902424</v>
      </c>
      <c r="GS50" s="18">
        <v>3</v>
      </c>
      <c r="GT50" s="19">
        <f t="shared" si="145"/>
        <v>9.1074475657743278E-3</v>
      </c>
      <c r="GU50" s="12">
        <f>0.52*GU38+0.48*GU44</f>
        <v>13.411999999999999</v>
      </c>
      <c r="GV50" s="15">
        <f>SQRT(0.52^2*GV38^2+0.48^2*GV44^2)</f>
        <v>7.0767224051816541E-2</v>
      </c>
      <c r="GW50" s="18">
        <v>3</v>
      </c>
      <c r="GX50" s="19">
        <f t="shared" si="146"/>
        <v>5.2764109791094953E-3</v>
      </c>
      <c r="GY50" s="19">
        <f t="shared" si="162"/>
        <v>8.6550566225610234E-2</v>
      </c>
      <c r="GZ50" s="19">
        <f t="shared" si="169"/>
        <v>3.6928704661265315E-5</v>
      </c>
      <c r="HA50" s="12"/>
      <c r="HB50" s="32"/>
      <c r="HM50" s="32"/>
      <c r="IK50" s="12" t="s">
        <v>37</v>
      </c>
      <c r="IL50" s="12" t="s">
        <v>37</v>
      </c>
      <c r="IM50" s="13" t="s">
        <v>37</v>
      </c>
      <c r="IO50" s="12" t="s">
        <v>37</v>
      </c>
      <c r="IP50" s="12" t="s">
        <v>37</v>
      </c>
      <c r="IQ50" s="13" t="s">
        <v>37</v>
      </c>
      <c r="IV50" s="32" t="s">
        <v>501</v>
      </c>
      <c r="IW50" s="12">
        <v>4.0999999999999996</v>
      </c>
      <c r="IX50" s="12">
        <v>0.1</v>
      </c>
      <c r="IY50" s="13">
        <v>3</v>
      </c>
      <c r="IZ50" s="19">
        <f t="shared" si="147"/>
        <v>2.4390243902439029E-2</v>
      </c>
      <c r="JH50" s="12" t="s">
        <v>37</v>
      </c>
      <c r="JI50" s="12" t="s">
        <v>37</v>
      </c>
      <c r="JJ50" s="13" t="s">
        <v>37</v>
      </c>
      <c r="JL50" s="12" t="s">
        <v>37</v>
      </c>
      <c r="JM50" s="12" t="s">
        <v>37</v>
      </c>
      <c r="JN50" s="12" t="s">
        <v>37</v>
      </c>
      <c r="JS50" s="12" t="s">
        <v>37</v>
      </c>
      <c r="JT50" s="12" t="s">
        <v>37</v>
      </c>
      <c r="JU50" s="13" t="s">
        <v>37</v>
      </c>
      <c r="JW50" s="12" t="s">
        <v>37</v>
      </c>
      <c r="JX50" s="12" t="s">
        <v>37</v>
      </c>
      <c r="JY50" s="12" t="s">
        <v>37</v>
      </c>
      <c r="KE50" s="11" t="s">
        <v>37</v>
      </c>
      <c r="KF50" s="11" t="s">
        <v>37</v>
      </c>
      <c r="KG50" s="13" t="s">
        <v>37</v>
      </c>
      <c r="KH50" s="11" t="s">
        <v>37</v>
      </c>
      <c r="KI50" s="11" t="s">
        <v>37</v>
      </c>
      <c r="KJ50" s="11" t="s">
        <v>37</v>
      </c>
      <c r="KM50" s="12" t="s">
        <v>37</v>
      </c>
      <c r="KN50" s="12" t="s">
        <v>37</v>
      </c>
      <c r="KO50" s="11" t="s">
        <v>37</v>
      </c>
      <c r="KQ50" s="12" t="s">
        <v>37</v>
      </c>
      <c r="KR50" s="12" t="s">
        <v>37</v>
      </c>
      <c r="KS50" s="13" t="s">
        <v>37</v>
      </c>
      <c r="KX50" s="12" t="s">
        <v>37</v>
      </c>
      <c r="KY50" s="12" t="s">
        <v>37</v>
      </c>
      <c r="KZ50" s="13" t="s">
        <v>37</v>
      </c>
      <c r="LB50" s="12" t="s">
        <v>37</v>
      </c>
      <c r="LC50" s="12" t="s">
        <v>37</v>
      </c>
      <c r="LD50" s="13" t="s">
        <v>37</v>
      </c>
      <c r="LI50" s="12" t="s">
        <v>37</v>
      </c>
      <c r="LJ50" s="12" t="s">
        <v>37</v>
      </c>
      <c r="LK50" s="12" t="s">
        <v>37</v>
      </c>
      <c r="LM50" s="12" t="s">
        <v>37</v>
      </c>
      <c r="LN50" s="12" t="s">
        <v>37</v>
      </c>
      <c r="LO50" s="12" t="s">
        <v>37</v>
      </c>
      <c r="LU50" s="12" t="s">
        <v>37</v>
      </c>
      <c r="LV50" s="12" t="s">
        <v>37</v>
      </c>
      <c r="LW50" s="13" t="s">
        <v>37</v>
      </c>
      <c r="LY50" s="12" t="s">
        <v>37</v>
      </c>
      <c r="LZ50" s="12" t="s">
        <v>37</v>
      </c>
      <c r="MA50" s="12" t="s">
        <v>37</v>
      </c>
      <c r="MF50" s="12" t="s">
        <v>37</v>
      </c>
      <c r="MG50" s="12" t="s">
        <v>37</v>
      </c>
      <c r="MH50" s="12" t="s">
        <v>37</v>
      </c>
      <c r="MJ50" s="12" t="s">
        <v>37</v>
      </c>
      <c r="MK50" s="12" t="s">
        <v>37</v>
      </c>
      <c r="ML50" s="12" t="s">
        <v>37</v>
      </c>
      <c r="MQ50" s="12" t="s">
        <v>37</v>
      </c>
      <c r="MR50" s="12" t="s">
        <v>37</v>
      </c>
      <c r="MS50" s="12" t="s">
        <v>37</v>
      </c>
      <c r="MU50" s="12" t="s">
        <v>37</v>
      </c>
      <c r="MV50" s="12" t="s">
        <v>37</v>
      </c>
      <c r="MW50" s="12" t="s">
        <v>37</v>
      </c>
      <c r="NC50" s="12" t="s">
        <v>37</v>
      </c>
      <c r="ND50" s="12" t="s">
        <v>37</v>
      </c>
      <c r="NE50" s="13" t="s">
        <v>37</v>
      </c>
      <c r="NG50" s="12" t="s">
        <v>37</v>
      </c>
      <c r="NH50" s="12" t="s">
        <v>37</v>
      </c>
      <c r="NI50" s="13" t="s">
        <v>37</v>
      </c>
      <c r="NO50" s="12" t="s">
        <v>37</v>
      </c>
      <c r="NP50" s="12" t="s">
        <v>37</v>
      </c>
      <c r="NQ50" s="13" t="s">
        <v>37</v>
      </c>
      <c r="NS50" s="12" t="s">
        <v>37</v>
      </c>
      <c r="NT50" s="12" t="s">
        <v>37</v>
      </c>
      <c r="NU50" s="13" t="s">
        <v>37</v>
      </c>
      <c r="OA50" s="11" t="s">
        <v>37</v>
      </c>
      <c r="OB50" s="11" t="s">
        <v>37</v>
      </c>
      <c r="OC50" s="13" t="s">
        <v>37</v>
      </c>
      <c r="OE50" s="11" t="s">
        <v>37</v>
      </c>
      <c r="OF50" s="11" t="s">
        <v>37</v>
      </c>
      <c r="OG50" s="13" t="s">
        <v>37</v>
      </c>
      <c r="OM50" s="11" t="s">
        <v>37</v>
      </c>
      <c r="ON50" s="11" t="s">
        <v>37</v>
      </c>
      <c r="OO50" s="11" t="s">
        <v>37</v>
      </c>
      <c r="OP50" s="11" t="s">
        <v>37</v>
      </c>
      <c r="OQ50" s="11" t="s">
        <v>37</v>
      </c>
      <c r="OR50" s="11" t="s">
        <v>37</v>
      </c>
      <c r="OW50" s="11" t="s">
        <v>37</v>
      </c>
      <c r="OX50" s="11" t="s">
        <v>37</v>
      </c>
      <c r="OY50" s="13" t="s">
        <v>37</v>
      </c>
      <c r="OZ50" s="11" t="s">
        <v>37</v>
      </c>
      <c r="PA50" s="11" t="s">
        <v>37</v>
      </c>
      <c r="PB50" s="13" t="s">
        <v>37</v>
      </c>
      <c r="PG50" s="11" t="s">
        <v>37</v>
      </c>
      <c r="PH50" s="11" t="s">
        <v>37</v>
      </c>
      <c r="PI50" s="13" t="s">
        <v>37</v>
      </c>
      <c r="PJ50" s="11" t="s">
        <v>37</v>
      </c>
      <c r="PK50" s="11" t="s">
        <v>37</v>
      </c>
      <c r="PL50" s="13" t="s">
        <v>37</v>
      </c>
      <c r="PQ50" s="11" t="s">
        <v>37</v>
      </c>
      <c r="PR50" s="11" t="s">
        <v>37</v>
      </c>
      <c r="PS50" s="13" t="s">
        <v>37</v>
      </c>
      <c r="PT50" s="11" t="s">
        <v>37</v>
      </c>
      <c r="PU50" s="11" t="s">
        <v>37</v>
      </c>
      <c r="PV50" s="13" t="s">
        <v>37</v>
      </c>
      <c r="PY50" s="12" t="s">
        <v>43</v>
      </c>
      <c r="PZ50" s="12">
        <f t="shared" si="188"/>
        <v>377.44000000000005</v>
      </c>
      <c r="QA50" s="12">
        <f t="shared" si="189"/>
        <v>33.343665065496324</v>
      </c>
      <c r="QB50" s="11">
        <v>3</v>
      </c>
      <c r="QC50" s="19">
        <f t="shared" si="155"/>
        <v>8.834163063134888E-2</v>
      </c>
      <c r="QD50" s="12">
        <f>643*0.52+378*0.48</f>
        <v>515.79999999999995</v>
      </c>
      <c r="QE50" s="12">
        <f>SQRT(0.52^2*((18*SQRT(3))^2)+0.48^2*((6*SQRT(3))^2))/2</f>
        <v>8.4810376723606176</v>
      </c>
      <c r="QF50" s="13">
        <v>3</v>
      </c>
      <c r="QG50" s="19">
        <f t="shared" si="156"/>
        <v>1.6442492579217951E-2</v>
      </c>
      <c r="QH50" s="19">
        <f t="shared" si="148"/>
        <v>0.31230747778787926</v>
      </c>
      <c r="QI50" s="19">
        <f t="shared" si="149"/>
        <v>2.691533088274438E-3</v>
      </c>
      <c r="QJ50" s="12" t="s">
        <v>43</v>
      </c>
      <c r="QK50" s="12">
        <f t="shared" si="190"/>
        <v>648.52</v>
      </c>
      <c r="QL50" s="12">
        <f t="shared" si="191"/>
        <v>128.63291025239224</v>
      </c>
      <c r="QM50" s="13">
        <v>3</v>
      </c>
      <c r="QN50" s="12">
        <f>925*0.52+975*0.48</f>
        <v>949</v>
      </c>
      <c r="QO50" s="12">
        <f>SQRT(0.52^2*((247*SQRT(3))^2)+0.48^2*((301*SQRT(3))^2))/2</f>
        <v>167.4170779819072</v>
      </c>
      <c r="QP50" s="13">
        <v>3</v>
      </c>
      <c r="QQ50" s="19">
        <f t="shared" si="158"/>
        <v>0.38071595492805954</v>
      </c>
      <c r="QR50" s="19">
        <f t="shared" si="150"/>
        <v>2.3488020718289072E-2</v>
      </c>
      <c r="QU50" s="11" t="s">
        <v>37</v>
      </c>
      <c r="QV50" s="11" t="s">
        <v>37</v>
      </c>
      <c r="QW50" s="13" t="s">
        <v>37</v>
      </c>
      <c r="QX50" s="11" t="s">
        <v>37</v>
      </c>
      <c r="QY50" s="11" t="s">
        <v>37</v>
      </c>
      <c r="QZ50" s="13" t="s">
        <v>37</v>
      </c>
      <c r="RC50" s="12" t="s">
        <v>37</v>
      </c>
      <c r="RD50" s="12" t="s">
        <v>37</v>
      </c>
      <c r="RE50" s="13" t="s">
        <v>37</v>
      </c>
      <c r="RF50" s="12" t="s">
        <v>37</v>
      </c>
      <c r="RG50" s="12" t="s">
        <v>37</v>
      </c>
      <c r="RH50" s="13" t="s">
        <v>37</v>
      </c>
      <c r="RK50" s="11" t="s">
        <v>37</v>
      </c>
      <c r="RL50" s="11" t="s">
        <v>37</v>
      </c>
      <c r="RM50" s="11" t="s">
        <v>37</v>
      </c>
      <c r="RN50" s="11" t="s">
        <v>37</v>
      </c>
      <c r="RO50" s="11" t="s">
        <v>37</v>
      </c>
      <c r="RP50" s="11" t="s">
        <v>37</v>
      </c>
      <c r="RS50" s="11" t="s">
        <v>37</v>
      </c>
      <c r="RT50" s="11" t="s">
        <v>37</v>
      </c>
      <c r="RU50" s="11" t="s">
        <v>37</v>
      </c>
      <c r="RV50" s="11" t="s">
        <v>37</v>
      </c>
      <c r="RW50" s="11" t="s">
        <v>37</v>
      </c>
      <c r="RX50" s="11" t="s">
        <v>37</v>
      </c>
      <c r="SA50" s="11" t="s">
        <v>37</v>
      </c>
      <c r="SB50" s="11" t="s">
        <v>37</v>
      </c>
      <c r="SC50" s="13" t="s">
        <v>37</v>
      </c>
      <c r="SD50" s="11" t="s">
        <v>37</v>
      </c>
      <c r="SE50" s="11" t="s">
        <v>37</v>
      </c>
      <c r="SF50" s="13" t="s">
        <v>37</v>
      </c>
      <c r="SI50" s="12" t="s">
        <v>37</v>
      </c>
      <c r="SJ50" s="11" t="s">
        <v>37</v>
      </c>
      <c r="SK50" s="13" t="s">
        <v>37</v>
      </c>
      <c r="SM50" s="11" t="s">
        <v>37</v>
      </c>
      <c r="SN50" s="11" t="s">
        <v>37</v>
      </c>
      <c r="SO50" s="13" t="s">
        <v>37</v>
      </c>
      <c r="SU50" s="12" t="s">
        <v>37</v>
      </c>
      <c r="SV50" s="12" t="s">
        <v>37</v>
      </c>
      <c r="SW50" s="11" t="s">
        <v>37</v>
      </c>
      <c r="SX50" s="12" t="s">
        <v>37</v>
      </c>
      <c r="SY50" s="12" t="s">
        <v>37</v>
      </c>
      <c r="SZ50" s="11" t="s">
        <v>37</v>
      </c>
      <c r="TE50" s="12" t="s">
        <v>37</v>
      </c>
      <c r="TF50" s="12" t="s">
        <v>37</v>
      </c>
      <c r="TG50" s="11" t="s">
        <v>37</v>
      </c>
      <c r="TH50" s="12" t="s">
        <v>37</v>
      </c>
      <c r="TI50" s="12" t="s">
        <v>37</v>
      </c>
      <c r="TJ50" s="11" t="s">
        <v>37</v>
      </c>
      <c r="TO50" s="12" t="s">
        <v>37</v>
      </c>
      <c r="TP50" s="12" t="s">
        <v>37</v>
      </c>
      <c r="TQ50" s="11" t="s">
        <v>37</v>
      </c>
      <c r="TR50" s="12" t="s">
        <v>37</v>
      </c>
      <c r="TS50" s="12" t="s">
        <v>37</v>
      </c>
      <c r="TT50" s="11" t="s">
        <v>37</v>
      </c>
      <c r="TY50" s="12" t="s">
        <v>37</v>
      </c>
      <c r="TZ50" s="12" t="s">
        <v>37</v>
      </c>
      <c r="UA50" s="11" t="s">
        <v>37</v>
      </c>
      <c r="UB50" s="12" t="s">
        <v>37</v>
      </c>
      <c r="UC50" s="12" t="s">
        <v>37</v>
      </c>
      <c r="UD50" s="11" t="s">
        <v>37</v>
      </c>
      <c r="UI50" s="12" t="s">
        <v>37</v>
      </c>
      <c r="UJ50" s="12" t="s">
        <v>37</v>
      </c>
      <c r="UK50" s="13" t="s">
        <v>37</v>
      </c>
      <c r="UL50" s="12" t="s">
        <v>37</v>
      </c>
      <c r="UM50" s="12" t="s">
        <v>37</v>
      </c>
      <c r="UN50" s="13" t="s">
        <v>37</v>
      </c>
      <c r="UR50" s="12" t="s">
        <v>37</v>
      </c>
      <c r="US50" s="12" t="s">
        <v>37</v>
      </c>
      <c r="UT50" s="13" t="s">
        <v>37</v>
      </c>
      <c r="UU50" s="12" t="s">
        <v>37</v>
      </c>
      <c r="UV50" s="12" t="s">
        <v>37</v>
      </c>
      <c r="UW50" s="13" t="s">
        <v>37</v>
      </c>
      <c r="VB50" s="12" t="s">
        <v>37</v>
      </c>
      <c r="VC50" s="12" t="s">
        <v>37</v>
      </c>
      <c r="VD50" s="13" t="s">
        <v>37</v>
      </c>
      <c r="VE50" s="12" t="s">
        <v>37</v>
      </c>
      <c r="VF50" s="12" t="s">
        <v>37</v>
      </c>
      <c r="VG50" s="13" t="s">
        <v>37</v>
      </c>
      <c r="VI50" s="12" t="s">
        <v>37</v>
      </c>
      <c r="VJ50" s="12" t="s">
        <v>37</v>
      </c>
      <c r="VK50" s="13" t="s">
        <v>37</v>
      </c>
      <c r="VL50" s="12" t="s">
        <v>37</v>
      </c>
      <c r="VM50" s="12" t="s">
        <v>37</v>
      </c>
      <c r="VN50" s="13" t="s">
        <v>37</v>
      </c>
      <c r="VO50" s="12" t="s">
        <v>37</v>
      </c>
      <c r="VQ50" s="12" t="s">
        <v>37</v>
      </c>
      <c r="VR50" s="12" t="s">
        <v>37</v>
      </c>
      <c r="VS50" s="12" t="s">
        <v>37</v>
      </c>
      <c r="VT50" s="12" t="s">
        <v>37</v>
      </c>
      <c r="VU50" s="12" t="s">
        <v>37</v>
      </c>
      <c r="VV50" s="12" t="s">
        <v>37</v>
      </c>
      <c r="VW50" s="12"/>
      <c r="VX50" s="12"/>
      <c r="WA50" s="13" t="s">
        <v>37</v>
      </c>
      <c r="WB50" s="13" t="s">
        <v>37</v>
      </c>
      <c r="WC50" s="13" t="s">
        <v>37</v>
      </c>
      <c r="WD50" s="13" t="s">
        <v>37</v>
      </c>
      <c r="WE50" s="13" t="s">
        <v>37</v>
      </c>
      <c r="WF50" s="13" t="s">
        <v>37</v>
      </c>
    </row>
    <row r="51" spans="1:604" ht="18" customHeight="1" x14ac:dyDescent="0.4">
      <c r="A51" s="11">
        <v>11</v>
      </c>
      <c r="B51" s="12" t="s">
        <v>109</v>
      </c>
      <c r="C51" s="12" t="s">
        <v>26</v>
      </c>
      <c r="D51" s="12" t="s">
        <v>973</v>
      </c>
      <c r="E51" s="81">
        <v>4.5</v>
      </c>
      <c r="F51" s="14">
        <v>0</v>
      </c>
      <c r="G51" s="14">
        <v>0</v>
      </c>
      <c r="H51" s="12" t="s">
        <v>91</v>
      </c>
      <c r="I51" s="29">
        <v>55.35</v>
      </c>
      <c r="J51" s="29">
        <v>-112.517</v>
      </c>
      <c r="K51" s="12" t="s">
        <v>696</v>
      </c>
      <c r="L51" s="12" t="s">
        <v>697</v>
      </c>
      <c r="M51" s="13" t="s">
        <v>37</v>
      </c>
      <c r="N51" s="14">
        <v>2.1</v>
      </c>
      <c r="O51" s="14">
        <v>504</v>
      </c>
      <c r="P51" s="14" t="s">
        <v>84</v>
      </c>
      <c r="Q51" s="75">
        <v>3</v>
      </c>
      <c r="R51" s="11" t="s">
        <v>999</v>
      </c>
      <c r="S51" s="12" t="s">
        <v>93</v>
      </c>
      <c r="T51" s="12" t="s">
        <v>141</v>
      </c>
      <c r="U51" s="12" t="s">
        <v>158</v>
      </c>
      <c r="V51" s="12" t="s">
        <v>275</v>
      </c>
      <c r="W51" s="23" t="s">
        <v>502</v>
      </c>
      <c r="X51" s="12" t="s">
        <v>857</v>
      </c>
      <c r="Y51" s="12" t="s">
        <v>69</v>
      </c>
      <c r="Z51" s="12" t="s">
        <v>37</v>
      </c>
      <c r="AA51" s="32" t="s">
        <v>501</v>
      </c>
      <c r="AB51" s="12">
        <v>4.0999999999999996</v>
      </c>
      <c r="AE51" s="12" t="s">
        <v>37</v>
      </c>
      <c r="AH51" s="12" t="s">
        <v>37</v>
      </c>
      <c r="AK51" s="12" t="s">
        <v>37</v>
      </c>
      <c r="AL51" s="32" t="s">
        <v>498</v>
      </c>
      <c r="AM51" s="12" t="s">
        <v>317</v>
      </c>
      <c r="AN51" s="32" t="s">
        <v>879</v>
      </c>
      <c r="AO51" s="12" t="s">
        <v>29</v>
      </c>
      <c r="AP51" s="12" t="s">
        <v>108</v>
      </c>
      <c r="AQ51" s="12" t="s">
        <v>975</v>
      </c>
      <c r="AT51" s="12" t="s">
        <v>326</v>
      </c>
      <c r="AU51" s="12" t="s">
        <v>326</v>
      </c>
      <c r="AV51" s="13" t="s">
        <v>326</v>
      </c>
      <c r="AX51" s="12" t="s">
        <v>326</v>
      </c>
      <c r="AY51" s="12" t="s">
        <v>326</v>
      </c>
      <c r="AZ51" s="13" t="s">
        <v>326</v>
      </c>
      <c r="BE51" s="12" t="s">
        <v>326</v>
      </c>
      <c r="BF51" s="12" t="s">
        <v>326</v>
      </c>
      <c r="BG51" s="12" t="s">
        <v>326</v>
      </c>
      <c r="BI51" s="12" t="s">
        <v>326</v>
      </c>
      <c r="BJ51" s="12" t="s">
        <v>326</v>
      </c>
      <c r="BK51" s="12" t="s">
        <v>326</v>
      </c>
      <c r="BP51" s="12" t="s">
        <v>37</v>
      </c>
      <c r="BQ51" s="12" t="s">
        <v>37</v>
      </c>
      <c r="BR51" s="13" t="s">
        <v>37</v>
      </c>
      <c r="BT51" s="12" t="s">
        <v>37</v>
      </c>
      <c r="BU51" s="12" t="s">
        <v>37</v>
      </c>
      <c r="BV51" s="12" t="s">
        <v>37</v>
      </c>
      <c r="BZ51" s="12" t="s">
        <v>581</v>
      </c>
      <c r="CA51" s="12">
        <f t="shared" si="185"/>
        <v>-9754.4163078122838</v>
      </c>
      <c r="CB51" s="15">
        <f t="shared" si="180"/>
        <v>3932.1332121217479</v>
      </c>
      <c r="CC51" s="18">
        <v>3</v>
      </c>
      <c r="CD51" s="19">
        <f t="shared" si="123"/>
        <v>0.4031131221016796</v>
      </c>
      <c r="CE51" s="12">
        <f>0.55*CE39+0.45*CE45</f>
        <v>-2761.4491134085392</v>
      </c>
      <c r="CF51" s="15">
        <f>SQRT(0.55^2*CF39^2+0.45^2*CF45^2)</f>
        <v>1692.9192981356198</v>
      </c>
      <c r="CG51" s="18">
        <v>3</v>
      </c>
      <c r="CH51" s="19">
        <f t="shared" si="124"/>
        <v>0.61305467839890737</v>
      </c>
      <c r="CI51" s="75">
        <f t="shared" si="125"/>
        <v>6992.9671944037445</v>
      </c>
      <c r="CJ51" s="12">
        <f t="shared" si="151"/>
        <v>3027.1808128910052</v>
      </c>
      <c r="CK51" s="72">
        <f t="shared" si="126"/>
        <v>6109215.7826236309</v>
      </c>
      <c r="CL51" s="72">
        <f t="shared" si="127"/>
        <v>6109215.7826236309</v>
      </c>
      <c r="CM51" s="12" t="s">
        <v>581</v>
      </c>
      <c r="CN51" s="12">
        <f t="shared" si="192"/>
        <v>12245.303198687096</v>
      </c>
      <c r="CO51" s="15">
        <f t="shared" si="186"/>
        <v>3757.3069479498581</v>
      </c>
      <c r="CP51" s="18">
        <v>3</v>
      </c>
      <c r="CQ51" s="19">
        <f t="shared" si="128"/>
        <v>0.3068365794611525</v>
      </c>
      <c r="CR51" s="12">
        <f>0.55*CR39+0.45*CR45</f>
        <v>17330.977325256288</v>
      </c>
      <c r="CS51" s="15">
        <f>SQRT(0.55^2*CS39^2+0.45^2*CS45^2)</f>
        <v>2585.939777312642</v>
      </c>
      <c r="CT51" s="18">
        <v>3</v>
      </c>
      <c r="CU51" s="19">
        <f t="shared" si="129"/>
        <v>0.14920911433795334</v>
      </c>
      <c r="CV51" s="75">
        <f t="shared" si="130"/>
        <v>5085.6741265691926</v>
      </c>
      <c r="CW51" s="12">
        <f t="shared" si="152"/>
        <v>3225.2472798996387</v>
      </c>
      <c r="CX51" s="72">
        <f t="shared" si="131"/>
        <v>6934813.3443333451</v>
      </c>
      <c r="CY51" s="72">
        <f t="shared" si="132"/>
        <v>6934813.3443333451</v>
      </c>
      <c r="CZ51" s="12" t="s">
        <v>581</v>
      </c>
      <c r="DA51" s="12">
        <f>0.56*DA39+0.44*DA45</f>
        <v>2490.8868908748118</v>
      </c>
      <c r="DB51" s="15">
        <f>SQRT(0.56^2*DB39^2+0.44^2*DB45^2)</f>
        <v>1134.5350284056235</v>
      </c>
      <c r="DC51" s="18">
        <v>3</v>
      </c>
      <c r="DD51" s="19">
        <f t="shared" si="133"/>
        <v>0.45547432625781303</v>
      </c>
      <c r="DE51" s="12">
        <f>0.55*DE39+0.45*DE45</f>
        <v>14569.528211847748</v>
      </c>
      <c r="DF51" s="15">
        <f>SQRT(0.55^2*DF39^2+0.45^2*DF45^2)</f>
        <v>1911.412784772738</v>
      </c>
      <c r="DG51" s="18">
        <v>3</v>
      </c>
      <c r="DH51" s="19">
        <f t="shared" si="134"/>
        <v>0.13119249690037335</v>
      </c>
      <c r="DI51" s="19">
        <f t="shared" si="135"/>
        <v>12078.641320972936</v>
      </c>
      <c r="DJ51" s="12">
        <f t="shared" si="136"/>
        <v>1571.7297102988193</v>
      </c>
      <c r="DK51" s="72">
        <f t="shared" si="137"/>
        <v>1646889.5214906738</v>
      </c>
      <c r="DL51" s="72">
        <f t="shared" si="138"/>
        <v>1646889.521490674</v>
      </c>
      <c r="DM51" s="15"/>
      <c r="DN51" s="52" t="s">
        <v>37</v>
      </c>
      <c r="DO51" s="15" t="s">
        <v>37</v>
      </c>
      <c r="DP51" s="18" t="s">
        <v>37</v>
      </c>
      <c r="DQ51" s="52"/>
      <c r="DR51" s="52" t="s">
        <v>37</v>
      </c>
      <c r="DS51" s="15" t="s">
        <v>37</v>
      </c>
      <c r="DT51" s="18" t="s">
        <v>37</v>
      </c>
      <c r="DU51" s="52"/>
      <c r="DV51" s="52"/>
      <c r="DW51" s="52"/>
      <c r="DZ51" s="15"/>
      <c r="EA51" s="52" t="s">
        <v>37</v>
      </c>
      <c r="EB51" s="52" t="s">
        <v>37</v>
      </c>
      <c r="EC51" s="73" t="s">
        <v>37</v>
      </c>
      <c r="ED51" s="52"/>
      <c r="EE51" s="52" t="s">
        <v>37</v>
      </c>
      <c r="EF51" s="52" t="s">
        <v>37</v>
      </c>
      <c r="EG51" s="15" t="s">
        <v>37</v>
      </c>
      <c r="EH51" s="52"/>
      <c r="EI51" s="52"/>
      <c r="EJ51" s="52"/>
      <c r="EK51" s="52"/>
      <c r="EL51" s="52"/>
      <c r="EM51" s="12" t="s">
        <v>39</v>
      </c>
      <c r="EN51" s="12">
        <f t="shared" si="181"/>
        <v>-53.36</v>
      </c>
      <c r="EO51" s="15">
        <f t="shared" si="182"/>
        <v>6.3986248522631799</v>
      </c>
      <c r="EP51" s="18">
        <v>3</v>
      </c>
      <c r="EQ51" s="19">
        <f t="shared" si="139"/>
        <v>0.11991425885050937</v>
      </c>
      <c r="ER51" s="12">
        <f>0.55*ER39+0.45*ER45</f>
        <v>-88.300000000000011</v>
      </c>
      <c r="ES51" s="15">
        <f>SQRT(0.55^2*ES39^2+0.45^2*ES45^2)</f>
        <v>8.3224065029293062</v>
      </c>
      <c r="ET51" s="18">
        <v>3</v>
      </c>
      <c r="EU51" s="19">
        <f t="shared" si="140"/>
        <v>9.4251489274397568E-2</v>
      </c>
      <c r="EV51" s="19">
        <f t="shared" si="141"/>
        <v>-34.940000000000012</v>
      </c>
      <c r="EW51" s="12">
        <f t="shared" si="142"/>
        <v>7.4231007671996476</v>
      </c>
      <c r="EX51" s="19">
        <f t="shared" si="143"/>
        <v>36.734949999999998</v>
      </c>
      <c r="EY51" s="19">
        <f t="shared" si="144"/>
        <v>36.734949999999998</v>
      </c>
      <c r="FB51" s="11" t="s">
        <v>37</v>
      </c>
      <c r="FC51" s="11" t="s">
        <v>37</v>
      </c>
      <c r="FD51" s="11" t="s">
        <v>37</v>
      </c>
      <c r="FE51" s="12" t="s">
        <v>37</v>
      </c>
      <c r="FF51" s="20" t="s">
        <v>37</v>
      </c>
      <c r="FG51" s="11" t="s">
        <v>37</v>
      </c>
      <c r="FI51" s="11" t="s">
        <v>37</v>
      </c>
      <c r="FJ51" s="11" t="s">
        <v>37</v>
      </c>
      <c r="FK51" s="11" t="s">
        <v>37</v>
      </c>
      <c r="FL51" s="13" t="s">
        <v>37</v>
      </c>
      <c r="FM51" s="11" t="s">
        <v>37</v>
      </c>
      <c r="FN51" s="11" t="s">
        <v>37</v>
      </c>
      <c r="FP51" s="11" t="s">
        <v>37</v>
      </c>
      <c r="FQ51" s="11" t="s">
        <v>37</v>
      </c>
      <c r="FR51" s="11" t="s">
        <v>37</v>
      </c>
      <c r="FS51" s="13" t="s">
        <v>37</v>
      </c>
      <c r="FT51" s="11" t="s">
        <v>37</v>
      </c>
      <c r="FU51" s="11" t="s">
        <v>37</v>
      </c>
      <c r="FW51" s="11" t="s">
        <v>37</v>
      </c>
      <c r="FX51" s="11" t="s">
        <v>37</v>
      </c>
      <c r="FY51" s="11" t="s">
        <v>37</v>
      </c>
      <c r="FZ51" s="13" t="s">
        <v>37</v>
      </c>
      <c r="GA51" s="11" t="s">
        <v>37</v>
      </c>
      <c r="GB51" s="11" t="s">
        <v>37</v>
      </c>
      <c r="GO51" s="12" t="s">
        <v>660</v>
      </c>
      <c r="GP51" s="12" t="s">
        <v>330</v>
      </c>
      <c r="GQ51" s="12">
        <f t="shared" si="183"/>
        <v>12.3</v>
      </c>
      <c r="GR51" s="15">
        <f t="shared" si="184"/>
        <v>0.11202160505902424</v>
      </c>
      <c r="GS51" s="18">
        <v>3</v>
      </c>
      <c r="GT51" s="19">
        <f t="shared" si="145"/>
        <v>9.1074475657743278E-3</v>
      </c>
      <c r="GU51" s="12">
        <f>0.55*GU39+0.45*GU45</f>
        <v>13.1</v>
      </c>
      <c r="GV51" s="15">
        <f>SQRT(0.55^2*GV39^2+0.45^2*GV45^2)</f>
        <v>7.1063352017759485E-2</v>
      </c>
      <c r="GW51" s="18">
        <v>3</v>
      </c>
      <c r="GX51" s="19">
        <f t="shared" si="146"/>
        <v>5.4246833601343117E-3</v>
      </c>
      <c r="GY51" s="19">
        <f t="shared" si="162"/>
        <v>6.301296782873396E-2</v>
      </c>
      <c r="GZ51" s="19">
        <f t="shared" si="169"/>
        <v>3.7457596907015607E-5</v>
      </c>
      <c r="IK51" s="12" t="s">
        <v>37</v>
      </c>
      <c r="IL51" s="12" t="s">
        <v>37</v>
      </c>
      <c r="IM51" s="13" t="s">
        <v>37</v>
      </c>
      <c r="IO51" s="12" t="s">
        <v>37</v>
      </c>
      <c r="IP51" s="12" t="s">
        <v>37</v>
      </c>
      <c r="IQ51" s="13" t="s">
        <v>37</v>
      </c>
      <c r="IV51" s="32" t="s">
        <v>501</v>
      </c>
      <c r="IW51" s="12">
        <v>4.0999999999999996</v>
      </c>
      <c r="IX51" s="12">
        <v>0.1</v>
      </c>
      <c r="IY51" s="13">
        <v>3</v>
      </c>
      <c r="IZ51" s="19">
        <f t="shared" si="147"/>
        <v>2.4390243902439029E-2</v>
      </c>
      <c r="JH51" s="12" t="s">
        <v>37</v>
      </c>
      <c r="JI51" s="12" t="s">
        <v>37</v>
      </c>
      <c r="JJ51" s="13" t="s">
        <v>37</v>
      </c>
      <c r="JL51" s="12" t="s">
        <v>37</v>
      </c>
      <c r="JM51" s="12" t="s">
        <v>37</v>
      </c>
      <c r="JN51" s="12" t="s">
        <v>37</v>
      </c>
      <c r="JS51" s="12" t="s">
        <v>37</v>
      </c>
      <c r="JT51" s="12" t="s">
        <v>37</v>
      </c>
      <c r="JU51" s="13" t="s">
        <v>37</v>
      </c>
      <c r="JW51" s="12" t="s">
        <v>37</v>
      </c>
      <c r="JX51" s="12" t="s">
        <v>37</v>
      </c>
      <c r="JY51" s="12" t="s">
        <v>37</v>
      </c>
      <c r="KE51" s="11" t="s">
        <v>37</v>
      </c>
      <c r="KF51" s="11" t="s">
        <v>37</v>
      </c>
      <c r="KG51" s="13" t="s">
        <v>37</v>
      </c>
      <c r="KH51" s="11" t="s">
        <v>37</v>
      </c>
      <c r="KI51" s="11" t="s">
        <v>37</v>
      </c>
      <c r="KJ51" s="11" t="s">
        <v>37</v>
      </c>
      <c r="KM51" s="12" t="s">
        <v>37</v>
      </c>
      <c r="KN51" s="12" t="s">
        <v>37</v>
      </c>
      <c r="KO51" s="11" t="s">
        <v>37</v>
      </c>
      <c r="KQ51" s="12" t="s">
        <v>37</v>
      </c>
      <c r="KR51" s="12" t="s">
        <v>37</v>
      </c>
      <c r="KS51" s="13" t="s">
        <v>37</v>
      </c>
      <c r="KX51" s="12" t="s">
        <v>37</v>
      </c>
      <c r="KY51" s="12" t="s">
        <v>37</v>
      </c>
      <c r="KZ51" s="13" t="s">
        <v>37</v>
      </c>
      <c r="LB51" s="12" t="s">
        <v>37</v>
      </c>
      <c r="LC51" s="12" t="s">
        <v>37</v>
      </c>
      <c r="LD51" s="13" t="s">
        <v>37</v>
      </c>
      <c r="LI51" s="12" t="s">
        <v>37</v>
      </c>
      <c r="LJ51" s="12" t="s">
        <v>37</v>
      </c>
      <c r="LK51" s="12" t="s">
        <v>37</v>
      </c>
      <c r="LM51" s="12" t="s">
        <v>37</v>
      </c>
      <c r="LN51" s="12" t="s">
        <v>37</v>
      </c>
      <c r="LO51" s="12" t="s">
        <v>37</v>
      </c>
      <c r="LU51" s="12" t="s">
        <v>37</v>
      </c>
      <c r="LV51" s="12" t="s">
        <v>37</v>
      </c>
      <c r="LW51" s="13" t="s">
        <v>37</v>
      </c>
      <c r="LY51" s="12" t="s">
        <v>37</v>
      </c>
      <c r="LZ51" s="12" t="s">
        <v>37</v>
      </c>
      <c r="MA51" s="12" t="s">
        <v>37</v>
      </c>
      <c r="MF51" s="12" t="s">
        <v>37</v>
      </c>
      <c r="MG51" s="12" t="s">
        <v>37</v>
      </c>
      <c r="MH51" s="12" t="s">
        <v>37</v>
      </c>
      <c r="MJ51" s="12" t="s">
        <v>37</v>
      </c>
      <c r="MK51" s="12" t="s">
        <v>37</v>
      </c>
      <c r="ML51" s="12" t="s">
        <v>37</v>
      </c>
      <c r="MQ51" s="12" t="s">
        <v>37</v>
      </c>
      <c r="MR51" s="12" t="s">
        <v>37</v>
      </c>
      <c r="MS51" s="12" t="s">
        <v>37</v>
      </c>
      <c r="MU51" s="12" t="s">
        <v>37</v>
      </c>
      <c r="MV51" s="12" t="s">
        <v>37</v>
      </c>
      <c r="MW51" s="12" t="s">
        <v>37</v>
      </c>
      <c r="NC51" s="12" t="s">
        <v>37</v>
      </c>
      <c r="ND51" s="12" t="s">
        <v>37</v>
      </c>
      <c r="NE51" s="13" t="s">
        <v>37</v>
      </c>
      <c r="NG51" s="12" t="s">
        <v>37</v>
      </c>
      <c r="NH51" s="12" t="s">
        <v>37</v>
      </c>
      <c r="NI51" s="13" t="s">
        <v>37</v>
      </c>
      <c r="NO51" s="12" t="s">
        <v>37</v>
      </c>
      <c r="NP51" s="12" t="s">
        <v>37</v>
      </c>
      <c r="NQ51" s="13" t="s">
        <v>37</v>
      </c>
      <c r="NS51" s="12" t="s">
        <v>37</v>
      </c>
      <c r="NT51" s="12" t="s">
        <v>37</v>
      </c>
      <c r="NU51" s="13" t="s">
        <v>37</v>
      </c>
      <c r="OA51" s="11" t="s">
        <v>37</v>
      </c>
      <c r="OB51" s="11" t="s">
        <v>37</v>
      </c>
      <c r="OC51" s="13" t="s">
        <v>37</v>
      </c>
      <c r="OE51" s="11" t="s">
        <v>37</v>
      </c>
      <c r="OF51" s="11" t="s">
        <v>37</v>
      </c>
      <c r="OG51" s="13" t="s">
        <v>37</v>
      </c>
      <c r="OM51" s="11" t="s">
        <v>37</v>
      </c>
      <c r="ON51" s="11" t="s">
        <v>37</v>
      </c>
      <c r="OO51" s="11" t="s">
        <v>37</v>
      </c>
      <c r="OP51" s="11" t="s">
        <v>37</v>
      </c>
      <c r="OQ51" s="11" t="s">
        <v>37</v>
      </c>
      <c r="OR51" s="11" t="s">
        <v>37</v>
      </c>
      <c r="OW51" s="11" t="s">
        <v>37</v>
      </c>
      <c r="OX51" s="11" t="s">
        <v>37</v>
      </c>
      <c r="OY51" s="13" t="s">
        <v>37</v>
      </c>
      <c r="OZ51" s="11" t="s">
        <v>37</v>
      </c>
      <c r="PA51" s="11" t="s">
        <v>37</v>
      </c>
      <c r="PB51" s="13" t="s">
        <v>37</v>
      </c>
      <c r="PG51" s="11" t="s">
        <v>37</v>
      </c>
      <c r="PH51" s="11" t="s">
        <v>37</v>
      </c>
      <c r="PI51" s="13" t="s">
        <v>37</v>
      </c>
      <c r="PJ51" s="11" t="s">
        <v>37</v>
      </c>
      <c r="PK51" s="11" t="s">
        <v>37</v>
      </c>
      <c r="PL51" s="13" t="s">
        <v>37</v>
      </c>
      <c r="PQ51" s="11" t="s">
        <v>37</v>
      </c>
      <c r="PR51" s="11" t="s">
        <v>37</v>
      </c>
      <c r="PS51" s="13" t="s">
        <v>37</v>
      </c>
      <c r="PT51" s="11" t="s">
        <v>37</v>
      </c>
      <c r="PU51" s="11" t="s">
        <v>37</v>
      </c>
      <c r="PV51" s="13" t="s">
        <v>37</v>
      </c>
      <c r="PY51" s="12" t="s">
        <v>43</v>
      </c>
      <c r="PZ51" s="12">
        <f t="shared" si="188"/>
        <v>377.44000000000005</v>
      </c>
      <c r="QA51" s="12">
        <f t="shared" si="189"/>
        <v>33.343665065496324</v>
      </c>
      <c r="QB51" s="11">
        <v>3</v>
      </c>
      <c r="QC51" s="19">
        <f t="shared" si="155"/>
        <v>8.834163063134888E-2</v>
      </c>
      <c r="QD51" s="12">
        <f>251*0.55+327*0.45</f>
        <v>285.20000000000005</v>
      </c>
      <c r="QE51" s="12">
        <f>SQRT(0.55^2*((78*SQRT(3))^2)+0.45^2*((51*SQRT(3))^2))/2</f>
        <v>42.134716980181558</v>
      </c>
      <c r="QF51" s="13">
        <v>3</v>
      </c>
      <c r="QG51" s="19">
        <f t="shared" si="156"/>
        <v>0.14773743681690585</v>
      </c>
      <c r="QH51" s="19">
        <f t="shared" si="148"/>
        <v>-0.28022092711922397</v>
      </c>
      <c r="QI51" s="19">
        <f t="shared" si="149"/>
        <v>9.8768646466116435E-3</v>
      </c>
      <c r="QJ51" s="12" t="s">
        <v>43</v>
      </c>
      <c r="QK51" s="12">
        <f t="shared" si="190"/>
        <v>648.52</v>
      </c>
      <c r="QL51" s="12">
        <f t="shared" si="191"/>
        <v>128.63291025239224</v>
      </c>
      <c r="QM51" s="13">
        <v>3</v>
      </c>
      <c r="QN51" s="12">
        <f>441*0.55+715*0.45</f>
        <v>564.29999999999995</v>
      </c>
      <c r="QO51" s="12">
        <f>SQRT(0.55^2*((78*SQRT(3))^2)+0.45^2*((51*SQRT(3))^2))/2</f>
        <v>42.134716980181558</v>
      </c>
      <c r="QP51" s="13">
        <v>3</v>
      </c>
      <c r="QQ51" s="19">
        <f t="shared" si="158"/>
        <v>-0.13910681870677402</v>
      </c>
      <c r="QR51" s="19">
        <f t="shared" si="150"/>
        <v>1.4972428792460963E-2</v>
      </c>
      <c r="QU51" s="11" t="s">
        <v>37</v>
      </c>
      <c r="QV51" s="11" t="s">
        <v>37</v>
      </c>
      <c r="QW51" s="13" t="s">
        <v>37</v>
      </c>
      <c r="QX51" s="11" t="s">
        <v>37</v>
      </c>
      <c r="QY51" s="11" t="s">
        <v>37</v>
      </c>
      <c r="QZ51" s="13" t="s">
        <v>37</v>
      </c>
      <c r="RC51" s="12" t="s">
        <v>37</v>
      </c>
      <c r="RD51" s="12" t="s">
        <v>37</v>
      </c>
      <c r="RE51" s="13" t="s">
        <v>37</v>
      </c>
      <c r="RF51" s="12" t="s">
        <v>37</v>
      </c>
      <c r="RG51" s="12" t="s">
        <v>37</v>
      </c>
      <c r="RH51" s="13" t="s">
        <v>37</v>
      </c>
      <c r="RK51" s="11" t="s">
        <v>37</v>
      </c>
      <c r="RL51" s="11" t="s">
        <v>37</v>
      </c>
      <c r="RM51" s="11" t="s">
        <v>37</v>
      </c>
      <c r="RN51" s="11" t="s">
        <v>37</v>
      </c>
      <c r="RO51" s="11" t="s">
        <v>37</v>
      </c>
      <c r="RP51" s="11" t="s">
        <v>37</v>
      </c>
      <c r="RS51" s="11" t="s">
        <v>37</v>
      </c>
      <c r="RT51" s="11" t="s">
        <v>37</v>
      </c>
      <c r="RU51" s="11" t="s">
        <v>37</v>
      </c>
      <c r="RV51" s="11" t="s">
        <v>37</v>
      </c>
      <c r="RW51" s="11" t="s">
        <v>37</v>
      </c>
      <c r="RX51" s="11" t="s">
        <v>37</v>
      </c>
      <c r="SA51" s="11" t="s">
        <v>37</v>
      </c>
      <c r="SB51" s="11" t="s">
        <v>37</v>
      </c>
      <c r="SC51" s="13" t="s">
        <v>37</v>
      </c>
      <c r="SD51" s="11" t="s">
        <v>37</v>
      </c>
      <c r="SE51" s="11" t="s">
        <v>37</v>
      </c>
      <c r="SF51" s="13" t="s">
        <v>37</v>
      </c>
      <c r="SI51" s="12" t="s">
        <v>37</v>
      </c>
      <c r="SJ51" s="11" t="s">
        <v>37</v>
      </c>
      <c r="SK51" s="13" t="s">
        <v>37</v>
      </c>
      <c r="SM51" s="11" t="s">
        <v>37</v>
      </c>
      <c r="SN51" s="11" t="s">
        <v>37</v>
      </c>
      <c r="SO51" s="13" t="s">
        <v>37</v>
      </c>
      <c r="SU51" s="12" t="s">
        <v>37</v>
      </c>
      <c r="SV51" s="12" t="s">
        <v>37</v>
      </c>
      <c r="SW51" s="11" t="s">
        <v>37</v>
      </c>
      <c r="SX51" s="12" t="s">
        <v>37</v>
      </c>
      <c r="SY51" s="12" t="s">
        <v>37</v>
      </c>
      <c r="SZ51" s="11" t="s">
        <v>37</v>
      </c>
      <c r="TE51" s="12" t="s">
        <v>37</v>
      </c>
      <c r="TF51" s="12" t="s">
        <v>37</v>
      </c>
      <c r="TG51" s="11" t="s">
        <v>37</v>
      </c>
      <c r="TH51" s="12" t="s">
        <v>37</v>
      </c>
      <c r="TI51" s="12" t="s">
        <v>37</v>
      </c>
      <c r="TJ51" s="11" t="s">
        <v>37</v>
      </c>
      <c r="TO51" s="12" t="s">
        <v>37</v>
      </c>
      <c r="TP51" s="12" t="s">
        <v>37</v>
      </c>
      <c r="TQ51" s="11" t="s">
        <v>37</v>
      </c>
      <c r="TR51" s="12" t="s">
        <v>37</v>
      </c>
      <c r="TS51" s="12" t="s">
        <v>37</v>
      </c>
      <c r="TT51" s="11" t="s">
        <v>37</v>
      </c>
      <c r="TY51" s="12" t="s">
        <v>37</v>
      </c>
      <c r="TZ51" s="12" t="s">
        <v>37</v>
      </c>
      <c r="UA51" s="11" t="s">
        <v>37</v>
      </c>
      <c r="UB51" s="12" t="s">
        <v>37</v>
      </c>
      <c r="UC51" s="12" t="s">
        <v>37</v>
      </c>
      <c r="UD51" s="11" t="s">
        <v>37</v>
      </c>
      <c r="UI51" s="12" t="s">
        <v>37</v>
      </c>
      <c r="UJ51" s="12" t="s">
        <v>37</v>
      </c>
      <c r="UK51" s="13" t="s">
        <v>37</v>
      </c>
      <c r="UL51" s="12" t="s">
        <v>37</v>
      </c>
      <c r="UM51" s="12" t="s">
        <v>37</v>
      </c>
      <c r="UN51" s="13" t="s">
        <v>37</v>
      </c>
      <c r="UR51" s="12" t="s">
        <v>37</v>
      </c>
      <c r="US51" s="12" t="s">
        <v>37</v>
      </c>
      <c r="UT51" s="13" t="s">
        <v>37</v>
      </c>
      <c r="UU51" s="12" t="s">
        <v>37</v>
      </c>
      <c r="UV51" s="12" t="s">
        <v>37</v>
      </c>
      <c r="UW51" s="13" t="s">
        <v>37</v>
      </c>
      <c r="VB51" s="12" t="s">
        <v>37</v>
      </c>
      <c r="VC51" s="12" t="s">
        <v>37</v>
      </c>
      <c r="VD51" s="13" t="s">
        <v>37</v>
      </c>
      <c r="VE51" s="12" t="s">
        <v>37</v>
      </c>
      <c r="VF51" s="12" t="s">
        <v>37</v>
      </c>
      <c r="VG51" s="13" t="s">
        <v>37</v>
      </c>
      <c r="VI51" s="12" t="s">
        <v>37</v>
      </c>
      <c r="VJ51" s="12" t="s">
        <v>37</v>
      </c>
      <c r="VK51" s="13" t="s">
        <v>37</v>
      </c>
      <c r="VL51" s="12" t="s">
        <v>37</v>
      </c>
      <c r="VM51" s="12" t="s">
        <v>37</v>
      </c>
      <c r="VN51" s="13" t="s">
        <v>37</v>
      </c>
      <c r="VO51" s="12" t="s">
        <v>37</v>
      </c>
      <c r="VQ51" s="12" t="s">
        <v>37</v>
      </c>
      <c r="VR51" s="12" t="s">
        <v>37</v>
      </c>
      <c r="VS51" s="12" t="s">
        <v>37</v>
      </c>
      <c r="VT51" s="12" t="s">
        <v>37</v>
      </c>
      <c r="VU51" s="12" t="s">
        <v>37</v>
      </c>
      <c r="VV51" s="12" t="s">
        <v>37</v>
      </c>
      <c r="VW51" s="12"/>
      <c r="VX51" s="12"/>
      <c r="WA51" s="13" t="s">
        <v>37</v>
      </c>
      <c r="WB51" s="13" t="s">
        <v>37</v>
      </c>
      <c r="WC51" s="13" t="s">
        <v>37</v>
      </c>
      <c r="WD51" s="13" t="s">
        <v>37</v>
      </c>
      <c r="WE51" s="13" t="s">
        <v>37</v>
      </c>
      <c r="WF51" s="13" t="s">
        <v>37</v>
      </c>
    </row>
    <row r="52" spans="1:604" ht="18" customHeight="1" x14ac:dyDescent="0.4">
      <c r="A52" s="11">
        <v>11</v>
      </c>
      <c r="B52" s="12" t="s">
        <v>109</v>
      </c>
      <c r="C52" s="12" t="s">
        <v>26</v>
      </c>
      <c r="D52" s="12" t="s">
        <v>973</v>
      </c>
      <c r="E52" s="81">
        <v>4.5</v>
      </c>
      <c r="F52" s="14">
        <v>0</v>
      </c>
      <c r="G52" s="14">
        <v>0</v>
      </c>
      <c r="H52" s="12" t="s">
        <v>91</v>
      </c>
      <c r="I52" s="29">
        <v>55.35</v>
      </c>
      <c r="J52" s="29">
        <v>-112.517</v>
      </c>
      <c r="K52" s="12" t="s">
        <v>696</v>
      </c>
      <c r="L52" s="12" t="s">
        <v>697</v>
      </c>
      <c r="M52" s="13" t="s">
        <v>37</v>
      </c>
      <c r="N52" s="14">
        <v>2.1</v>
      </c>
      <c r="O52" s="14">
        <v>504</v>
      </c>
      <c r="P52" s="14" t="s">
        <v>84</v>
      </c>
      <c r="Q52" s="75">
        <v>13</v>
      </c>
      <c r="R52" s="11" t="s">
        <v>999</v>
      </c>
      <c r="S52" s="12" t="s">
        <v>93</v>
      </c>
      <c r="T52" s="12" t="s">
        <v>141</v>
      </c>
      <c r="U52" s="12" t="s">
        <v>158</v>
      </c>
      <c r="V52" s="12" t="s">
        <v>275</v>
      </c>
      <c r="W52" s="23" t="s">
        <v>502</v>
      </c>
      <c r="X52" s="12" t="s">
        <v>857</v>
      </c>
      <c r="Y52" s="12" t="s">
        <v>69</v>
      </c>
      <c r="Z52" s="12" t="s">
        <v>37</v>
      </c>
      <c r="AA52" s="32" t="s">
        <v>501</v>
      </c>
      <c r="AB52" s="12">
        <v>4.0999999999999996</v>
      </c>
      <c r="AE52" s="12" t="s">
        <v>37</v>
      </c>
      <c r="AH52" s="12" t="s">
        <v>37</v>
      </c>
      <c r="AK52" s="12" t="s">
        <v>37</v>
      </c>
      <c r="AL52" s="32" t="s">
        <v>498</v>
      </c>
      <c r="AM52" s="12" t="s">
        <v>317</v>
      </c>
      <c r="AN52" s="32" t="s">
        <v>879</v>
      </c>
      <c r="AO52" s="12" t="s">
        <v>29</v>
      </c>
      <c r="AP52" s="12" t="s">
        <v>108</v>
      </c>
      <c r="AQ52" s="12" t="s">
        <v>975</v>
      </c>
      <c r="AT52" s="12" t="s">
        <v>326</v>
      </c>
      <c r="AU52" s="12" t="s">
        <v>326</v>
      </c>
      <c r="AV52" s="13" t="s">
        <v>326</v>
      </c>
      <c r="AX52" s="12" t="s">
        <v>326</v>
      </c>
      <c r="AY52" s="12" t="s">
        <v>326</v>
      </c>
      <c r="AZ52" s="13" t="s">
        <v>326</v>
      </c>
      <c r="BE52" s="12" t="s">
        <v>326</v>
      </c>
      <c r="BF52" s="12" t="s">
        <v>326</v>
      </c>
      <c r="BG52" s="12" t="s">
        <v>326</v>
      </c>
      <c r="BI52" s="12" t="s">
        <v>326</v>
      </c>
      <c r="BJ52" s="12" t="s">
        <v>326</v>
      </c>
      <c r="BK52" s="12" t="s">
        <v>326</v>
      </c>
      <c r="BP52" s="12" t="s">
        <v>37</v>
      </c>
      <c r="BQ52" s="12" t="s">
        <v>37</v>
      </c>
      <c r="BR52" s="13" t="s">
        <v>37</v>
      </c>
      <c r="BT52" s="12" t="s">
        <v>37</v>
      </c>
      <c r="BU52" s="12" t="s">
        <v>37</v>
      </c>
      <c r="BV52" s="12" t="s">
        <v>37</v>
      </c>
      <c r="BZ52" s="12" t="s">
        <v>581</v>
      </c>
      <c r="CA52" s="12">
        <f>0.56*CA40+0.44*CA46</f>
        <v>-9754.4163078122838</v>
      </c>
      <c r="CB52" s="15">
        <f t="shared" si="180"/>
        <v>3932.1332121217479</v>
      </c>
      <c r="CC52" s="18">
        <v>3</v>
      </c>
      <c r="CD52" s="19">
        <f t="shared" si="123"/>
        <v>0.4031131221016796</v>
      </c>
      <c r="CE52" s="12">
        <f>0.52*CE40+0.48*CE46</f>
        <v>-9460.8273773830751</v>
      </c>
      <c r="CF52" s="15">
        <f>SQRT(0.52^2*CF40^2+0.48^2*CF46^2)</f>
        <v>2248.9137051770867</v>
      </c>
      <c r="CG52" s="18">
        <v>3</v>
      </c>
      <c r="CH52" s="19">
        <f t="shared" si="124"/>
        <v>0.23770793139649807</v>
      </c>
      <c r="CI52" s="75">
        <f>CE52-CA52</f>
        <v>293.58893042920863</v>
      </c>
      <c r="CJ52" s="12">
        <f t="shared" si="151"/>
        <v>3203.0676273850531</v>
      </c>
      <c r="CK52" s="72">
        <f t="shared" si="126"/>
        <v>6839761.4837347418</v>
      </c>
      <c r="CL52" s="72">
        <f t="shared" si="127"/>
        <v>6839761.4837347418</v>
      </c>
      <c r="CM52" s="12" t="s">
        <v>581</v>
      </c>
      <c r="CN52" s="12">
        <f t="shared" si="192"/>
        <v>12245.303198687096</v>
      </c>
      <c r="CO52" s="15">
        <f t="shared" si="186"/>
        <v>3459.6241558518745</v>
      </c>
      <c r="CP52" s="18">
        <v>3</v>
      </c>
      <c r="CQ52" s="19">
        <f t="shared" si="128"/>
        <v>0.28252662263379524</v>
      </c>
      <c r="CR52" s="12">
        <f>0.52*CR40+0.48*CR46</f>
        <v>19797.114273740117</v>
      </c>
      <c r="CS52" s="15">
        <f>SQRT(0.52^2*CS40^2+0.48^2*CS46^2)</f>
        <v>3942.244199118858</v>
      </c>
      <c r="CT52" s="18">
        <v>3</v>
      </c>
      <c r="CU52" s="19">
        <f t="shared" si="129"/>
        <v>0.19913226466283765</v>
      </c>
      <c r="CV52" s="75">
        <f t="shared" si="130"/>
        <v>7551.8110750530213</v>
      </c>
      <c r="CW52" s="12">
        <f t="shared" si="152"/>
        <v>3708.7928376521704</v>
      </c>
      <c r="CX52" s="72">
        <f t="shared" si="131"/>
        <v>9170096.2084133588</v>
      </c>
      <c r="CY52" s="72">
        <f t="shared" si="132"/>
        <v>9170096.2084133606</v>
      </c>
      <c r="CZ52" s="12" t="s">
        <v>581</v>
      </c>
      <c r="DA52" s="12">
        <f>0.56*DA40+0.44*DA46</f>
        <v>2490.8868908748118</v>
      </c>
      <c r="DB52" s="15">
        <f>SQRT(0.56^2*DB40^2+0.44^2*DB46^2)</f>
        <v>1134.5350284056235</v>
      </c>
      <c r="DC52" s="18">
        <v>3</v>
      </c>
      <c r="DD52" s="19">
        <f>DB52/ABS(DA52)</f>
        <v>0.45547432625781303</v>
      </c>
      <c r="DE52" s="12">
        <f>0.52*DE40+0.48*DE46</f>
        <v>10336.286896357044</v>
      </c>
      <c r="DF52" s="15">
        <f>SQRT(0.52^2*DF40^2+0.48^2*DF46^2)</f>
        <v>1988.9291863416881</v>
      </c>
      <c r="DG52" s="18">
        <v>3</v>
      </c>
      <c r="DH52" s="19">
        <f t="shared" si="134"/>
        <v>0.19242201830162756</v>
      </c>
      <c r="DI52" s="19">
        <f t="shared" si="135"/>
        <v>7845.4000054822318</v>
      </c>
      <c r="DJ52" s="12">
        <f t="shared" si="136"/>
        <v>1619.1060865429972</v>
      </c>
      <c r="DK52" s="72">
        <f t="shared" si="137"/>
        <v>1747669.6796537195</v>
      </c>
      <c r="DL52" s="72">
        <f t="shared" si="138"/>
        <v>1747669.6796537195</v>
      </c>
      <c r="DM52" s="15"/>
      <c r="DN52" s="52" t="s">
        <v>37</v>
      </c>
      <c r="DO52" s="15" t="s">
        <v>37</v>
      </c>
      <c r="DP52" s="18" t="s">
        <v>37</v>
      </c>
      <c r="DQ52" s="52"/>
      <c r="DR52" s="52" t="s">
        <v>37</v>
      </c>
      <c r="DS52" s="15" t="s">
        <v>37</v>
      </c>
      <c r="DT52" s="18" t="s">
        <v>37</v>
      </c>
      <c r="DU52" s="52"/>
      <c r="DV52" s="52"/>
      <c r="DW52" s="52"/>
      <c r="DZ52" s="15"/>
      <c r="EA52" s="52" t="s">
        <v>37</v>
      </c>
      <c r="EB52" s="52" t="s">
        <v>37</v>
      </c>
      <c r="EC52" s="73" t="s">
        <v>37</v>
      </c>
      <c r="ED52" s="52"/>
      <c r="EE52" s="52" t="s">
        <v>37</v>
      </c>
      <c r="EF52" s="52" t="s">
        <v>37</v>
      </c>
      <c r="EG52" s="15" t="s">
        <v>37</v>
      </c>
      <c r="EH52" s="52"/>
      <c r="EI52" s="52"/>
      <c r="EJ52" s="52"/>
      <c r="EK52" s="52"/>
      <c r="EL52" s="52"/>
      <c r="EM52" s="12" t="s">
        <v>39</v>
      </c>
      <c r="EN52" s="12">
        <f t="shared" si="181"/>
        <v>-53.36</v>
      </c>
      <c r="EO52" s="15">
        <f t="shared" si="182"/>
        <v>6.3986248522631799</v>
      </c>
      <c r="EP52" s="18">
        <v>3</v>
      </c>
      <c r="EQ52" s="19">
        <f t="shared" si="139"/>
        <v>0.11991425885050937</v>
      </c>
      <c r="ER52" s="12">
        <f>0.52*ER40+0.48*ER46</f>
        <v>-124.16</v>
      </c>
      <c r="ES52" s="15">
        <f>SQRT(0.52^2*ES40^2+0.48^2*ES46^2)</f>
        <v>9.3061459262145689</v>
      </c>
      <c r="ET52" s="18">
        <v>3</v>
      </c>
      <c r="EU52" s="19">
        <f t="shared" si="140"/>
        <v>7.4952850565516829E-2</v>
      </c>
      <c r="EV52" s="19">
        <f t="shared" si="141"/>
        <v>-70.8</v>
      </c>
      <c r="EW52" s="12">
        <f t="shared" si="142"/>
        <v>7.9858234390700131</v>
      </c>
      <c r="EX52" s="19">
        <f t="shared" si="143"/>
        <v>42.515584000000004</v>
      </c>
      <c r="EY52" s="19">
        <f t="shared" si="144"/>
        <v>42.515584000000004</v>
      </c>
      <c r="FB52" s="11" t="s">
        <v>37</v>
      </c>
      <c r="FC52" s="11" t="s">
        <v>37</v>
      </c>
      <c r="FD52" s="11" t="s">
        <v>37</v>
      </c>
      <c r="FE52" s="12" t="s">
        <v>37</v>
      </c>
      <c r="FF52" s="20" t="s">
        <v>37</v>
      </c>
      <c r="FG52" s="11" t="s">
        <v>37</v>
      </c>
      <c r="FI52" s="11" t="s">
        <v>37</v>
      </c>
      <c r="FJ52" s="11" t="s">
        <v>37</v>
      </c>
      <c r="FK52" s="11" t="s">
        <v>37</v>
      </c>
      <c r="FL52" s="13" t="s">
        <v>37</v>
      </c>
      <c r="FM52" s="11" t="s">
        <v>37</v>
      </c>
      <c r="FN52" s="11" t="s">
        <v>37</v>
      </c>
      <c r="FP52" s="11" t="s">
        <v>37</v>
      </c>
      <c r="FQ52" s="11" t="s">
        <v>37</v>
      </c>
      <c r="FR52" s="11" t="s">
        <v>37</v>
      </c>
      <c r="FS52" s="13" t="s">
        <v>37</v>
      </c>
      <c r="FT52" s="11" t="s">
        <v>37</v>
      </c>
      <c r="FU52" s="11" t="s">
        <v>37</v>
      </c>
      <c r="FW52" s="11" t="s">
        <v>37</v>
      </c>
      <c r="FX52" s="11" t="s">
        <v>37</v>
      </c>
      <c r="FY52" s="11" t="s">
        <v>37</v>
      </c>
      <c r="FZ52" s="13" t="s">
        <v>37</v>
      </c>
      <c r="GA52" s="11" t="s">
        <v>37</v>
      </c>
      <c r="GB52" s="11" t="s">
        <v>37</v>
      </c>
      <c r="GO52" s="12" t="s">
        <v>660</v>
      </c>
      <c r="GP52" s="12" t="s">
        <v>330</v>
      </c>
      <c r="GQ52" s="12">
        <f t="shared" si="183"/>
        <v>12.3</v>
      </c>
      <c r="GR52" s="15">
        <f t="shared" si="184"/>
        <v>0.11202160505902424</v>
      </c>
      <c r="GS52" s="18">
        <v>3</v>
      </c>
      <c r="GT52" s="19">
        <f t="shared" si="145"/>
        <v>9.1074475657743278E-3</v>
      </c>
      <c r="GU52" s="12">
        <f>0.52*GU40+0.48*GU46</f>
        <v>13.411999999999999</v>
      </c>
      <c r="GV52" s="15">
        <f>SQRT(0.52^2*GV40^2+0.48^2*GV46^2)</f>
        <v>7.0767224051816541E-2</v>
      </c>
      <c r="GW52" s="18">
        <v>3</v>
      </c>
      <c r="GX52" s="19">
        <f t="shared" si="146"/>
        <v>5.2764109791094953E-3</v>
      </c>
      <c r="GY52" s="19">
        <f t="shared" si="162"/>
        <v>8.6550566225610234E-2</v>
      </c>
      <c r="GZ52" s="19">
        <f t="shared" si="169"/>
        <v>3.6928704661265315E-5</v>
      </c>
      <c r="HA52" s="12"/>
      <c r="HB52" s="32"/>
      <c r="HM52" s="32"/>
      <c r="IK52" s="12" t="s">
        <v>37</v>
      </c>
      <c r="IL52" s="12" t="s">
        <v>37</v>
      </c>
      <c r="IM52" s="13" t="s">
        <v>37</v>
      </c>
      <c r="IO52" s="12" t="s">
        <v>37</v>
      </c>
      <c r="IP52" s="12" t="s">
        <v>37</v>
      </c>
      <c r="IQ52" s="13" t="s">
        <v>37</v>
      </c>
      <c r="IV52" s="32" t="s">
        <v>501</v>
      </c>
      <c r="IW52" s="12">
        <v>4.0999999999999996</v>
      </c>
      <c r="IX52" s="12">
        <v>0.1</v>
      </c>
      <c r="IY52" s="13">
        <v>3</v>
      </c>
      <c r="IZ52" s="19">
        <f t="shared" si="147"/>
        <v>2.4390243902439029E-2</v>
      </c>
      <c r="JH52" s="12" t="s">
        <v>37</v>
      </c>
      <c r="JI52" s="12" t="s">
        <v>37</v>
      </c>
      <c r="JJ52" s="13" t="s">
        <v>37</v>
      </c>
      <c r="JL52" s="12" t="s">
        <v>37</v>
      </c>
      <c r="JM52" s="12" t="s">
        <v>37</v>
      </c>
      <c r="JN52" s="12" t="s">
        <v>37</v>
      </c>
      <c r="JS52" s="12" t="s">
        <v>37</v>
      </c>
      <c r="JT52" s="12" t="s">
        <v>37</v>
      </c>
      <c r="JU52" s="13" t="s">
        <v>37</v>
      </c>
      <c r="JW52" s="12" t="s">
        <v>37</v>
      </c>
      <c r="JX52" s="12" t="s">
        <v>37</v>
      </c>
      <c r="JY52" s="12" t="s">
        <v>37</v>
      </c>
      <c r="KE52" s="11" t="s">
        <v>37</v>
      </c>
      <c r="KF52" s="11" t="s">
        <v>37</v>
      </c>
      <c r="KG52" s="13" t="s">
        <v>37</v>
      </c>
      <c r="KH52" s="11" t="s">
        <v>37</v>
      </c>
      <c r="KI52" s="11" t="s">
        <v>37</v>
      </c>
      <c r="KJ52" s="11" t="s">
        <v>37</v>
      </c>
      <c r="KM52" s="12" t="s">
        <v>37</v>
      </c>
      <c r="KN52" s="12" t="s">
        <v>37</v>
      </c>
      <c r="KO52" s="11" t="s">
        <v>37</v>
      </c>
      <c r="KQ52" s="12" t="s">
        <v>37</v>
      </c>
      <c r="KR52" s="12" t="s">
        <v>37</v>
      </c>
      <c r="KS52" s="13" t="s">
        <v>37</v>
      </c>
      <c r="KX52" s="12" t="s">
        <v>37</v>
      </c>
      <c r="KY52" s="12" t="s">
        <v>37</v>
      </c>
      <c r="KZ52" s="13" t="s">
        <v>37</v>
      </c>
      <c r="LB52" s="12" t="s">
        <v>37</v>
      </c>
      <c r="LC52" s="12" t="s">
        <v>37</v>
      </c>
      <c r="LD52" s="13" t="s">
        <v>37</v>
      </c>
      <c r="LI52" s="12" t="s">
        <v>37</v>
      </c>
      <c r="LJ52" s="12" t="s">
        <v>37</v>
      </c>
      <c r="LK52" s="12" t="s">
        <v>37</v>
      </c>
      <c r="LM52" s="12" t="s">
        <v>37</v>
      </c>
      <c r="LN52" s="12" t="s">
        <v>37</v>
      </c>
      <c r="LO52" s="12" t="s">
        <v>37</v>
      </c>
      <c r="LU52" s="12" t="s">
        <v>37</v>
      </c>
      <c r="LV52" s="12" t="s">
        <v>37</v>
      </c>
      <c r="LW52" s="13" t="s">
        <v>37</v>
      </c>
      <c r="LY52" s="12" t="s">
        <v>37</v>
      </c>
      <c r="LZ52" s="12" t="s">
        <v>37</v>
      </c>
      <c r="MA52" s="12" t="s">
        <v>37</v>
      </c>
      <c r="MF52" s="12" t="s">
        <v>37</v>
      </c>
      <c r="MG52" s="12" t="s">
        <v>37</v>
      </c>
      <c r="MH52" s="12" t="s">
        <v>37</v>
      </c>
      <c r="MJ52" s="12" t="s">
        <v>37</v>
      </c>
      <c r="MK52" s="12" t="s">
        <v>37</v>
      </c>
      <c r="ML52" s="12" t="s">
        <v>37</v>
      </c>
      <c r="MQ52" s="12" t="s">
        <v>37</v>
      </c>
      <c r="MR52" s="12" t="s">
        <v>37</v>
      </c>
      <c r="MS52" s="12" t="s">
        <v>37</v>
      </c>
      <c r="MU52" s="12" t="s">
        <v>37</v>
      </c>
      <c r="MV52" s="12" t="s">
        <v>37</v>
      </c>
      <c r="MW52" s="12" t="s">
        <v>37</v>
      </c>
      <c r="NC52" s="12" t="s">
        <v>37</v>
      </c>
      <c r="ND52" s="12" t="s">
        <v>37</v>
      </c>
      <c r="NE52" s="13" t="s">
        <v>37</v>
      </c>
      <c r="NG52" s="12" t="s">
        <v>37</v>
      </c>
      <c r="NH52" s="12" t="s">
        <v>37</v>
      </c>
      <c r="NI52" s="13" t="s">
        <v>37</v>
      </c>
      <c r="NO52" s="12" t="s">
        <v>37</v>
      </c>
      <c r="NP52" s="12" t="s">
        <v>37</v>
      </c>
      <c r="NQ52" s="13" t="s">
        <v>37</v>
      </c>
      <c r="NS52" s="12" t="s">
        <v>37</v>
      </c>
      <c r="NT52" s="12" t="s">
        <v>37</v>
      </c>
      <c r="NU52" s="13" t="s">
        <v>37</v>
      </c>
      <c r="OA52" s="11" t="s">
        <v>37</v>
      </c>
      <c r="OB52" s="11" t="s">
        <v>37</v>
      </c>
      <c r="OC52" s="13" t="s">
        <v>37</v>
      </c>
      <c r="OE52" s="11" t="s">
        <v>37</v>
      </c>
      <c r="OF52" s="11" t="s">
        <v>37</v>
      </c>
      <c r="OG52" s="13" t="s">
        <v>37</v>
      </c>
      <c r="OM52" s="11" t="s">
        <v>37</v>
      </c>
      <c r="ON52" s="11" t="s">
        <v>37</v>
      </c>
      <c r="OO52" s="11" t="s">
        <v>37</v>
      </c>
      <c r="OP52" s="11" t="s">
        <v>37</v>
      </c>
      <c r="OQ52" s="11" t="s">
        <v>37</v>
      </c>
      <c r="OR52" s="11" t="s">
        <v>37</v>
      </c>
      <c r="OW52" s="11" t="s">
        <v>37</v>
      </c>
      <c r="OX52" s="11" t="s">
        <v>37</v>
      </c>
      <c r="OY52" s="13" t="s">
        <v>37</v>
      </c>
      <c r="OZ52" s="11" t="s">
        <v>37</v>
      </c>
      <c r="PA52" s="11" t="s">
        <v>37</v>
      </c>
      <c r="PB52" s="13" t="s">
        <v>37</v>
      </c>
      <c r="PG52" s="11" t="s">
        <v>37</v>
      </c>
      <c r="PH52" s="11" t="s">
        <v>37</v>
      </c>
      <c r="PI52" s="13" t="s">
        <v>37</v>
      </c>
      <c r="PJ52" s="11" t="s">
        <v>37</v>
      </c>
      <c r="PK52" s="11" t="s">
        <v>37</v>
      </c>
      <c r="PL52" s="13" t="s">
        <v>37</v>
      </c>
      <c r="PQ52" s="11" t="s">
        <v>37</v>
      </c>
      <c r="PR52" s="11" t="s">
        <v>37</v>
      </c>
      <c r="PS52" s="13" t="s">
        <v>37</v>
      </c>
      <c r="PT52" s="11" t="s">
        <v>37</v>
      </c>
      <c r="PU52" s="11" t="s">
        <v>37</v>
      </c>
      <c r="PV52" s="13" t="s">
        <v>37</v>
      </c>
      <c r="PY52" s="12" t="s">
        <v>43</v>
      </c>
      <c r="PZ52" s="12">
        <f t="shared" si="188"/>
        <v>377.44000000000005</v>
      </c>
      <c r="QA52" s="12">
        <f t="shared" si="189"/>
        <v>33.343665065496324</v>
      </c>
      <c r="QB52" s="11">
        <v>3</v>
      </c>
      <c r="QC52" s="19">
        <f t="shared" si="155"/>
        <v>8.834163063134888E-2</v>
      </c>
      <c r="QD52" s="12">
        <f>643*0.52+378*0.48</f>
        <v>515.79999999999995</v>
      </c>
      <c r="QE52" s="12">
        <f>SQRT(0.52^2*((18*SQRT(3))^2)+0.48^2*((6*SQRT(3))^2))/2</f>
        <v>8.4810376723606176</v>
      </c>
      <c r="QF52" s="13">
        <v>3</v>
      </c>
      <c r="QG52" s="19">
        <f t="shared" si="156"/>
        <v>1.6442492579217951E-2</v>
      </c>
      <c r="QH52" s="19">
        <f t="shared" si="148"/>
        <v>0.31230747778787926</v>
      </c>
      <c r="QI52" s="19">
        <f t="shared" si="149"/>
        <v>2.691533088274438E-3</v>
      </c>
      <c r="QJ52" s="12" t="s">
        <v>43</v>
      </c>
      <c r="QK52" s="12">
        <f t="shared" si="190"/>
        <v>648.52</v>
      </c>
      <c r="QL52" s="12">
        <f t="shared" si="191"/>
        <v>128.63291025239224</v>
      </c>
      <c r="QM52" s="13">
        <v>3</v>
      </c>
      <c r="QN52" s="12">
        <f>925*0.52+975*0.48</f>
        <v>949</v>
      </c>
      <c r="QO52" s="12">
        <f>SQRT(0.52^2*((247*SQRT(3))^2)+0.48^2*((301*SQRT(3))^2))/2</f>
        <v>167.4170779819072</v>
      </c>
      <c r="QP52" s="13">
        <v>3</v>
      </c>
      <c r="QQ52" s="19">
        <f t="shared" si="158"/>
        <v>0.38071595492805954</v>
      </c>
      <c r="QR52" s="19">
        <f t="shared" si="150"/>
        <v>2.3488020718289072E-2</v>
      </c>
      <c r="QU52" s="11" t="s">
        <v>37</v>
      </c>
      <c r="QV52" s="11" t="s">
        <v>37</v>
      </c>
      <c r="QW52" s="13" t="s">
        <v>37</v>
      </c>
      <c r="QX52" s="11" t="s">
        <v>37</v>
      </c>
      <c r="QY52" s="11" t="s">
        <v>37</v>
      </c>
      <c r="QZ52" s="13" t="s">
        <v>37</v>
      </c>
      <c r="RC52" s="12" t="s">
        <v>37</v>
      </c>
      <c r="RD52" s="12" t="s">
        <v>37</v>
      </c>
      <c r="RE52" s="13" t="s">
        <v>37</v>
      </c>
      <c r="RF52" s="12" t="s">
        <v>37</v>
      </c>
      <c r="RG52" s="12" t="s">
        <v>37</v>
      </c>
      <c r="RH52" s="13" t="s">
        <v>37</v>
      </c>
      <c r="RK52" s="11" t="s">
        <v>37</v>
      </c>
      <c r="RL52" s="11" t="s">
        <v>37</v>
      </c>
      <c r="RM52" s="11" t="s">
        <v>37</v>
      </c>
      <c r="RN52" s="11" t="s">
        <v>37</v>
      </c>
      <c r="RO52" s="11" t="s">
        <v>37</v>
      </c>
      <c r="RP52" s="11" t="s">
        <v>37</v>
      </c>
      <c r="RS52" s="11" t="s">
        <v>37</v>
      </c>
      <c r="RT52" s="11" t="s">
        <v>37</v>
      </c>
      <c r="RU52" s="11" t="s">
        <v>37</v>
      </c>
      <c r="RV52" s="11" t="s">
        <v>37</v>
      </c>
      <c r="RW52" s="11" t="s">
        <v>37</v>
      </c>
      <c r="RX52" s="11" t="s">
        <v>37</v>
      </c>
      <c r="SA52" s="11" t="s">
        <v>37</v>
      </c>
      <c r="SB52" s="11" t="s">
        <v>37</v>
      </c>
      <c r="SC52" s="13" t="s">
        <v>37</v>
      </c>
      <c r="SD52" s="11" t="s">
        <v>37</v>
      </c>
      <c r="SE52" s="11" t="s">
        <v>37</v>
      </c>
      <c r="SF52" s="13" t="s">
        <v>37</v>
      </c>
      <c r="SI52" s="12" t="s">
        <v>37</v>
      </c>
      <c r="SJ52" s="11" t="s">
        <v>37</v>
      </c>
      <c r="SK52" s="13" t="s">
        <v>37</v>
      </c>
      <c r="SM52" s="11" t="s">
        <v>37</v>
      </c>
      <c r="SN52" s="11" t="s">
        <v>37</v>
      </c>
      <c r="SO52" s="13" t="s">
        <v>37</v>
      </c>
      <c r="SU52" s="12" t="s">
        <v>37</v>
      </c>
      <c r="SV52" s="12" t="s">
        <v>37</v>
      </c>
      <c r="SW52" s="11" t="s">
        <v>37</v>
      </c>
      <c r="SX52" s="12" t="s">
        <v>37</v>
      </c>
      <c r="SY52" s="12" t="s">
        <v>37</v>
      </c>
      <c r="SZ52" s="11" t="s">
        <v>37</v>
      </c>
      <c r="TE52" s="12" t="s">
        <v>37</v>
      </c>
      <c r="TF52" s="12" t="s">
        <v>37</v>
      </c>
      <c r="TG52" s="11" t="s">
        <v>37</v>
      </c>
      <c r="TH52" s="12" t="s">
        <v>37</v>
      </c>
      <c r="TI52" s="12" t="s">
        <v>37</v>
      </c>
      <c r="TJ52" s="11" t="s">
        <v>37</v>
      </c>
      <c r="TO52" s="12" t="s">
        <v>37</v>
      </c>
      <c r="TP52" s="12" t="s">
        <v>37</v>
      </c>
      <c r="TQ52" s="11" t="s">
        <v>37</v>
      </c>
      <c r="TR52" s="12" t="s">
        <v>37</v>
      </c>
      <c r="TS52" s="12" t="s">
        <v>37</v>
      </c>
      <c r="TT52" s="11" t="s">
        <v>37</v>
      </c>
      <c r="TY52" s="12" t="s">
        <v>37</v>
      </c>
      <c r="TZ52" s="12" t="s">
        <v>37</v>
      </c>
      <c r="UA52" s="11" t="s">
        <v>37</v>
      </c>
      <c r="UB52" s="12" t="s">
        <v>37</v>
      </c>
      <c r="UC52" s="12" t="s">
        <v>37</v>
      </c>
      <c r="UD52" s="11" t="s">
        <v>37</v>
      </c>
      <c r="UI52" s="12" t="s">
        <v>37</v>
      </c>
      <c r="UJ52" s="12" t="s">
        <v>37</v>
      </c>
      <c r="UK52" s="13" t="s">
        <v>37</v>
      </c>
      <c r="UL52" s="12" t="s">
        <v>37</v>
      </c>
      <c r="UM52" s="12" t="s">
        <v>37</v>
      </c>
      <c r="UN52" s="13" t="s">
        <v>37</v>
      </c>
      <c r="UR52" s="12" t="s">
        <v>37</v>
      </c>
      <c r="US52" s="12" t="s">
        <v>37</v>
      </c>
      <c r="UT52" s="13" t="s">
        <v>37</v>
      </c>
      <c r="UU52" s="12" t="s">
        <v>37</v>
      </c>
      <c r="UV52" s="12" t="s">
        <v>37</v>
      </c>
      <c r="UW52" s="13" t="s">
        <v>37</v>
      </c>
      <c r="VB52" s="12" t="s">
        <v>37</v>
      </c>
      <c r="VC52" s="12" t="s">
        <v>37</v>
      </c>
      <c r="VD52" s="13" t="s">
        <v>37</v>
      </c>
      <c r="VE52" s="12" t="s">
        <v>37</v>
      </c>
      <c r="VF52" s="12" t="s">
        <v>37</v>
      </c>
      <c r="VG52" s="13" t="s">
        <v>37</v>
      </c>
      <c r="VI52" s="12" t="s">
        <v>37</v>
      </c>
      <c r="VJ52" s="12" t="s">
        <v>37</v>
      </c>
      <c r="VK52" s="13" t="s">
        <v>37</v>
      </c>
      <c r="VL52" s="12" t="s">
        <v>37</v>
      </c>
      <c r="VM52" s="12" t="s">
        <v>37</v>
      </c>
      <c r="VN52" s="13" t="s">
        <v>37</v>
      </c>
      <c r="VO52" s="12" t="s">
        <v>37</v>
      </c>
      <c r="VQ52" s="12" t="s">
        <v>37</v>
      </c>
      <c r="VR52" s="12" t="s">
        <v>37</v>
      </c>
      <c r="VS52" s="12" t="s">
        <v>37</v>
      </c>
      <c r="VT52" s="12" t="s">
        <v>37</v>
      </c>
      <c r="VU52" s="12" t="s">
        <v>37</v>
      </c>
      <c r="VV52" s="12" t="s">
        <v>37</v>
      </c>
      <c r="VW52" s="12"/>
      <c r="VX52" s="12"/>
      <c r="WA52" s="13" t="s">
        <v>37</v>
      </c>
      <c r="WB52" s="13" t="s">
        <v>37</v>
      </c>
      <c r="WC52" s="13" t="s">
        <v>37</v>
      </c>
      <c r="WD52" s="13" t="s">
        <v>37</v>
      </c>
      <c r="WE52" s="13" t="s">
        <v>37</v>
      </c>
      <c r="WF52" s="13" t="s">
        <v>37</v>
      </c>
    </row>
    <row r="53" spans="1:604" ht="18" customHeight="1" x14ac:dyDescent="0.4">
      <c r="A53" s="11">
        <v>12</v>
      </c>
      <c r="B53" s="12" t="s">
        <v>111</v>
      </c>
      <c r="C53" s="12" t="s">
        <v>26</v>
      </c>
      <c r="D53" s="12" t="s">
        <v>973</v>
      </c>
      <c r="E53" s="81">
        <v>4.5</v>
      </c>
      <c r="F53" s="14">
        <v>0</v>
      </c>
      <c r="G53" s="14">
        <v>0</v>
      </c>
      <c r="H53" s="12" t="s">
        <v>91</v>
      </c>
      <c r="I53" s="29">
        <v>55.35</v>
      </c>
      <c r="J53" s="29">
        <v>-112.517</v>
      </c>
      <c r="K53" s="12" t="s">
        <v>696</v>
      </c>
      <c r="L53" s="12" t="s">
        <v>697</v>
      </c>
      <c r="M53" s="13" t="s">
        <v>37</v>
      </c>
      <c r="N53" s="14">
        <v>2.1</v>
      </c>
      <c r="O53" s="14">
        <v>504</v>
      </c>
      <c r="P53" s="14" t="s">
        <v>84</v>
      </c>
      <c r="Q53" s="75">
        <v>1</v>
      </c>
      <c r="R53" s="11" t="s">
        <v>999</v>
      </c>
      <c r="S53" s="12" t="s">
        <v>93</v>
      </c>
      <c r="T53" s="12" t="s">
        <v>141</v>
      </c>
      <c r="U53" s="12" t="s">
        <v>163</v>
      </c>
      <c r="V53" s="12" t="s">
        <v>275</v>
      </c>
      <c r="W53" s="23" t="s">
        <v>499</v>
      </c>
      <c r="X53" s="12" t="s">
        <v>282</v>
      </c>
      <c r="Y53" s="12" t="s">
        <v>69</v>
      </c>
      <c r="Z53" s="12" t="s">
        <v>37</v>
      </c>
      <c r="AA53" s="32" t="s">
        <v>345</v>
      </c>
      <c r="AB53" s="12">
        <v>4.0999999999999996</v>
      </c>
      <c r="AE53" s="12" t="s">
        <v>37</v>
      </c>
      <c r="AH53" s="12" t="s">
        <v>37</v>
      </c>
      <c r="AK53" s="12" t="s">
        <v>37</v>
      </c>
      <c r="AL53" s="32" t="s">
        <v>496</v>
      </c>
      <c r="AM53" s="12" t="s">
        <v>317</v>
      </c>
      <c r="AN53" s="32" t="s">
        <v>879</v>
      </c>
      <c r="AO53" s="12" t="s">
        <v>318</v>
      </c>
      <c r="AP53" s="12" t="s">
        <v>108</v>
      </c>
      <c r="AQ53" s="12" t="s">
        <v>975</v>
      </c>
      <c r="AT53" s="12" t="s">
        <v>326</v>
      </c>
      <c r="AU53" s="12" t="s">
        <v>326</v>
      </c>
      <c r="AV53" s="13" t="s">
        <v>326</v>
      </c>
      <c r="AX53" s="12" t="s">
        <v>326</v>
      </c>
      <c r="AY53" s="12" t="s">
        <v>326</v>
      </c>
      <c r="AZ53" s="13" t="s">
        <v>326</v>
      </c>
      <c r="BE53" s="12" t="s">
        <v>326</v>
      </c>
      <c r="BF53" s="12" t="s">
        <v>326</v>
      </c>
      <c r="BG53" s="12" t="s">
        <v>326</v>
      </c>
      <c r="BI53" s="12" t="s">
        <v>326</v>
      </c>
      <c r="BJ53" s="12" t="s">
        <v>326</v>
      </c>
      <c r="BK53" s="12" t="s">
        <v>326</v>
      </c>
      <c r="BP53" s="12" t="s">
        <v>37</v>
      </c>
      <c r="BQ53" s="12" t="s">
        <v>37</v>
      </c>
      <c r="BR53" s="13" t="s">
        <v>37</v>
      </c>
      <c r="BT53" s="12" t="s">
        <v>37</v>
      </c>
      <c r="BU53" s="12" t="s">
        <v>37</v>
      </c>
      <c r="BV53" s="12" t="s">
        <v>37</v>
      </c>
      <c r="CA53" s="12" t="s">
        <v>37</v>
      </c>
      <c r="CB53" s="12" t="s">
        <v>37</v>
      </c>
      <c r="CC53" s="13" t="s">
        <v>37</v>
      </c>
      <c r="CE53" s="12" t="s">
        <v>37</v>
      </c>
      <c r="CF53" s="12" t="s">
        <v>37</v>
      </c>
      <c r="CG53" s="13" t="s">
        <v>37</v>
      </c>
      <c r="CI53" s="52"/>
      <c r="CK53" s="73"/>
      <c r="CL53" s="73"/>
      <c r="CN53" s="12" t="s">
        <v>37</v>
      </c>
      <c r="CO53" s="12" t="s">
        <v>37</v>
      </c>
      <c r="CP53" s="13" t="s">
        <v>37</v>
      </c>
      <c r="CR53" s="12" t="s">
        <v>37</v>
      </c>
      <c r="CS53" s="12" t="s">
        <v>37</v>
      </c>
      <c r="CT53" s="13" t="s">
        <v>37</v>
      </c>
      <c r="CV53" s="52"/>
      <c r="CW53" s="52"/>
      <c r="CX53" s="73"/>
      <c r="CY53" s="73"/>
      <c r="DA53" s="12" t="s">
        <v>37</v>
      </c>
      <c r="DB53" s="12" t="s">
        <v>37</v>
      </c>
      <c r="DC53" s="13" t="s">
        <v>37</v>
      </c>
      <c r="DE53" s="12" t="s">
        <v>37</v>
      </c>
      <c r="DF53" s="12" t="s">
        <v>37</v>
      </c>
      <c r="DG53" s="13" t="s">
        <v>37</v>
      </c>
      <c r="DI53" s="52"/>
      <c r="DJ53" s="52"/>
      <c r="DK53" s="73"/>
      <c r="DL53" s="73"/>
      <c r="DM53" s="15" t="s">
        <v>47</v>
      </c>
      <c r="DN53" s="52">
        <f>2.57*10^4/10^6*("2011/10/31"-"2011/05/01")/'[1]classes-1'!$I$61</f>
        <v>5.3866851938273443</v>
      </c>
      <c r="DO53" s="12">
        <f>SQRT((1/[2]Classes!$I$61)^2*(2.03*10^4/10^6*("2011/10/31"-"2011/05/01"))^2+(-DN53/([2]Classes!$I$61)^2)^2*([2]Classes!$J$61)^2)</f>
        <v>4.268024043852261</v>
      </c>
      <c r="DP53" s="18">
        <v>3</v>
      </c>
      <c r="DQ53" s="19">
        <f t="shared" ref="DQ53:DQ70" si="193">DO53/ABS(DN53)</f>
        <v>0.79232847108701132</v>
      </c>
      <c r="DR53" s="52">
        <f>1.87*10^4/10^6*("2011/10/31"-"2011/05/01")/'[1]classes-1'!$I$62</f>
        <v>3.9980588354062441</v>
      </c>
      <c r="DS53" s="12">
        <f>SQRT((1/[2]Classes!$I$62)^2*(2.03*10^4/10^6*("2011/10/31"-"2011/05/01"))^2+(-DR53/([2]Classes!$I$62)^2)^2*([2]Classes!$J$62)^2)</f>
        <v>4.3503115567651003</v>
      </c>
      <c r="DT53" s="18">
        <v>3</v>
      </c>
      <c r="DU53" s="19">
        <f t="shared" ref="DU53:DU70" si="194">DS53/ABS(DR53)</f>
        <v>1.0881059373712452</v>
      </c>
      <c r="DV53" s="19">
        <f>DR53-DN53</f>
        <v>-1.3886263584211003</v>
      </c>
      <c r="DW53" s="12">
        <f t="shared" ref="DW53:DW70" si="195">SQRT(((DP53-1)*DO53^2+(DT53-1)*DS53^2)/(DP53+DT53-2))</f>
        <v>4.3093642152772951</v>
      </c>
      <c r="DX53" s="72">
        <f t="shared" ref="DX53:DX98" si="196">(((DP53+DT53)/(DP53*DT53))*(((DP53-1)*DO53^2)+(DT53-1)*DS53^2)/(DP53+DT53-2))</f>
        <v>12.380413293274998</v>
      </c>
      <c r="DY53" s="72">
        <f t="shared" ref="DY53:DY98" si="197">(DO53^2/DP53)+(DS53^2/DT53)</f>
        <v>12.380413293274998</v>
      </c>
      <c r="DZ53" s="15"/>
      <c r="EA53" s="52" t="s">
        <v>37</v>
      </c>
      <c r="EB53" s="52" t="s">
        <v>37</v>
      </c>
      <c r="EC53" s="73" t="s">
        <v>37</v>
      </c>
      <c r="ED53" s="52"/>
      <c r="EE53" s="52" t="s">
        <v>37</v>
      </c>
      <c r="EF53" s="52" t="s">
        <v>37</v>
      </c>
      <c r="EG53" s="15" t="s">
        <v>37</v>
      </c>
      <c r="EH53" s="52"/>
      <c r="EI53" s="52"/>
      <c r="EJ53" s="52"/>
      <c r="EK53" s="52"/>
      <c r="EL53" s="52"/>
      <c r="EM53" s="12" t="s">
        <v>39</v>
      </c>
      <c r="EN53" s="12">
        <v>-38</v>
      </c>
      <c r="EO53" s="12">
        <v>7.6</v>
      </c>
      <c r="EP53" s="13">
        <v>3</v>
      </c>
      <c r="EQ53" s="19">
        <f t="shared" si="139"/>
        <v>0.19999999999999998</v>
      </c>
      <c r="ER53" s="12">
        <v>-73</v>
      </c>
      <c r="ES53" s="12">
        <v>10.3</v>
      </c>
      <c r="ET53" s="13">
        <v>3</v>
      </c>
      <c r="EU53" s="19">
        <f t="shared" si="140"/>
        <v>0.14109589041095891</v>
      </c>
      <c r="EV53" s="19">
        <f t="shared" si="141"/>
        <v>-35</v>
      </c>
      <c r="EW53" s="12">
        <f t="shared" si="142"/>
        <v>9.0512430085596538</v>
      </c>
      <c r="EX53" s="19">
        <f t="shared" si="143"/>
        <v>54.616666666666674</v>
      </c>
      <c r="EY53" s="19">
        <f t="shared" si="144"/>
        <v>54.616666666666674</v>
      </c>
      <c r="FB53" s="11" t="s">
        <v>37</v>
      </c>
      <c r="FC53" s="11" t="s">
        <v>37</v>
      </c>
      <c r="FD53" s="11" t="s">
        <v>37</v>
      </c>
      <c r="FE53" s="12" t="s">
        <v>37</v>
      </c>
      <c r="FF53" s="20" t="s">
        <v>37</v>
      </c>
      <c r="FG53" s="11" t="s">
        <v>37</v>
      </c>
      <c r="FI53" s="11" t="s">
        <v>37</v>
      </c>
      <c r="FJ53" s="11" t="s">
        <v>37</v>
      </c>
      <c r="FK53" s="11" t="s">
        <v>37</v>
      </c>
      <c r="FL53" s="13" t="s">
        <v>37</v>
      </c>
      <c r="FM53" s="11" t="s">
        <v>37</v>
      </c>
      <c r="FN53" s="11" t="s">
        <v>37</v>
      </c>
      <c r="FP53" s="11" t="s">
        <v>37</v>
      </c>
      <c r="FQ53" s="11" t="s">
        <v>37</v>
      </c>
      <c r="FR53" s="11" t="s">
        <v>37</v>
      </c>
      <c r="FS53" s="13" t="s">
        <v>37</v>
      </c>
      <c r="FT53" s="11" t="s">
        <v>37</v>
      </c>
      <c r="FU53" s="11" t="s">
        <v>37</v>
      </c>
      <c r="FW53" s="11" t="s">
        <v>37</v>
      </c>
      <c r="FX53" s="11" t="s">
        <v>37</v>
      </c>
      <c r="FY53" s="11" t="s">
        <v>37</v>
      </c>
      <c r="FZ53" s="13" t="s">
        <v>37</v>
      </c>
      <c r="GA53" s="11" t="s">
        <v>37</v>
      </c>
      <c r="GB53" s="11" t="s">
        <v>37</v>
      </c>
      <c r="GO53" s="12" t="s">
        <v>660</v>
      </c>
      <c r="GP53" s="12" t="s">
        <v>330</v>
      </c>
      <c r="GQ53" s="12">
        <v>12.3</v>
      </c>
      <c r="GR53" s="12">
        <v>0.2</v>
      </c>
      <c r="GS53" s="13">
        <v>3</v>
      </c>
      <c r="GT53" s="19">
        <f t="shared" si="145"/>
        <v>1.6260162601626015E-2</v>
      </c>
      <c r="GU53" s="12">
        <v>13.1</v>
      </c>
      <c r="GV53" s="12">
        <v>0.1</v>
      </c>
      <c r="GW53" s="13">
        <v>3</v>
      </c>
      <c r="GX53" s="19">
        <f t="shared" si="146"/>
        <v>7.6335877862595426E-3</v>
      </c>
      <c r="GY53" s="19">
        <f t="shared" si="162"/>
        <v>6.301296782873396E-2</v>
      </c>
      <c r="GZ53" s="19">
        <f t="shared" si="169"/>
        <v>1.0755485010728274E-4</v>
      </c>
      <c r="IK53" s="12" t="s">
        <v>37</v>
      </c>
      <c r="IL53" s="12" t="s">
        <v>37</v>
      </c>
      <c r="IM53" s="13" t="s">
        <v>37</v>
      </c>
      <c r="IO53" s="12" t="s">
        <v>37</v>
      </c>
      <c r="IP53" s="12" t="s">
        <v>37</v>
      </c>
      <c r="IQ53" s="13" t="s">
        <v>37</v>
      </c>
      <c r="IV53" s="32" t="s">
        <v>345</v>
      </c>
      <c r="IW53" s="12">
        <v>4.0999999999999996</v>
      </c>
      <c r="IX53" s="12">
        <v>0.1</v>
      </c>
      <c r="IY53" s="13">
        <v>3</v>
      </c>
      <c r="IZ53" s="19">
        <f t="shared" si="147"/>
        <v>2.4390243902439029E-2</v>
      </c>
      <c r="JH53" s="12" t="s">
        <v>37</v>
      </c>
      <c r="JI53" s="12" t="s">
        <v>37</v>
      </c>
      <c r="JJ53" s="13" t="s">
        <v>37</v>
      </c>
      <c r="JL53" s="12" t="s">
        <v>37</v>
      </c>
      <c r="JM53" s="12" t="s">
        <v>37</v>
      </c>
      <c r="JN53" s="12" t="s">
        <v>37</v>
      </c>
      <c r="JS53" s="12" t="s">
        <v>37</v>
      </c>
      <c r="JT53" s="12" t="s">
        <v>37</v>
      </c>
      <c r="JU53" s="13" t="s">
        <v>37</v>
      </c>
      <c r="JW53" s="12" t="s">
        <v>37</v>
      </c>
      <c r="JX53" s="12" t="s">
        <v>37</v>
      </c>
      <c r="JY53" s="12" t="s">
        <v>37</v>
      </c>
      <c r="KE53" s="11" t="s">
        <v>37</v>
      </c>
      <c r="KF53" s="11" t="s">
        <v>37</v>
      </c>
      <c r="KG53" s="13" t="s">
        <v>37</v>
      </c>
      <c r="KH53" s="11" t="s">
        <v>37</v>
      </c>
      <c r="KI53" s="11" t="s">
        <v>37</v>
      </c>
      <c r="KJ53" s="11" t="s">
        <v>37</v>
      </c>
      <c r="KM53" s="12" t="s">
        <v>37</v>
      </c>
      <c r="KN53" s="12" t="s">
        <v>37</v>
      </c>
      <c r="KO53" s="11" t="s">
        <v>37</v>
      </c>
      <c r="KQ53" s="12" t="s">
        <v>37</v>
      </c>
      <c r="KR53" s="12" t="s">
        <v>37</v>
      </c>
      <c r="KS53" s="13" t="s">
        <v>37</v>
      </c>
      <c r="KX53" s="12" t="s">
        <v>37</v>
      </c>
      <c r="KY53" s="12" t="s">
        <v>37</v>
      </c>
      <c r="KZ53" s="13" t="s">
        <v>37</v>
      </c>
      <c r="LB53" s="12" t="s">
        <v>37</v>
      </c>
      <c r="LC53" s="12" t="s">
        <v>37</v>
      </c>
      <c r="LD53" s="13" t="s">
        <v>37</v>
      </c>
      <c r="LI53" s="12" t="s">
        <v>37</v>
      </c>
      <c r="LJ53" s="12" t="s">
        <v>37</v>
      </c>
      <c r="LK53" s="12" t="s">
        <v>37</v>
      </c>
      <c r="LM53" s="12" t="s">
        <v>37</v>
      </c>
      <c r="LN53" s="12" t="s">
        <v>37</v>
      </c>
      <c r="LO53" s="12" t="s">
        <v>37</v>
      </c>
      <c r="LU53" s="12" t="s">
        <v>37</v>
      </c>
      <c r="LV53" s="12" t="s">
        <v>37</v>
      </c>
      <c r="LW53" s="13" t="s">
        <v>37</v>
      </c>
      <c r="LY53" s="12" t="s">
        <v>37</v>
      </c>
      <c r="LZ53" s="12" t="s">
        <v>37</v>
      </c>
      <c r="MA53" s="12" t="s">
        <v>37</v>
      </c>
      <c r="MF53" s="12" t="s">
        <v>37</v>
      </c>
      <c r="MG53" s="12" t="s">
        <v>37</v>
      </c>
      <c r="MH53" s="12" t="s">
        <v>37</v>
      </c>
      <c r="MJ53" s="12" t="s">
        <v>37</v>
      </c>
      <c r="MK53" s="12" t="s">
        <v>37</v>
      </c>
      <c r="ML53" s="12" t="s">
        <v>37</v>
      </c>
      <c r="MQ53" s="12" t="s">
        <v>37</v>
      </c>
      <c r="MR53" s="12" t="s">
        <v>37</v>
      </c>
      <c r="MS53" s="12" t="s">
        <v>37</v>
      </c>
      <c r="MU53" s="12" t="s">
        <v>37</v>
      </c>
      <c r="MV53" s="12" t="s">
        <v>37</v>
      </c>
      <c r="MW53" s="12" t="s">
        <v>37</v>
      </c>
      <c r="NC53" s="12" t="s">
        <v>37</v>
      </c>
      <c r="ND53" s="12" t="s">
        <v>37</v>
      </c>
      <c r="NE53" s="13" t="s">
        <v>37</v>
      </c>
      <c r="NG53" s="12" t="s">
        <v>37</v>
      </c>
      <c r="NH53" s="12" t="s">
        <v>37</v>
      </c>
      <c r="NI53" s="13" t="s">
        <v>37</v>
      </c>
      <c r="NO53" s="12" t="s">
        <v>37</v>
      </c>
      <c r="NP53" s="12" t="s">
        <v>37</v>
      </c>
      <c r="NQ53" s="13" t="s">
        <v>37</v>
      </c>
      <c r="NS53" s="12" t="s">
        <v>37</v>
      </c>
      <c r="NT53" s="12" t="s">
        <v>37</v>
      </c>
      <c r="NU53" s="13" t="s">
        <v>37</v>
      </c>
      <c r="OA53" s="11" t="s">
        <v>37</v>
      </c>
      <c r="OB53" s="11" t="s">
        <v>37</v>
      </c>
      <c r="OC53" s="13" t="s">
        <v>37</v>
      </c>
      <c r="OE53" s="11" t="s">
        <v>37</v>
      </c>
      <c r="OF53" s="11" t="s">
        <v>37</v>
      </c>
      <c r="OG53" s="13" t="s">
        <v>37</v>
      </c>
      <c r="OM53" s="11" t="s">
        <v>37</v>
      </c>
      <c r="ON53" s="11" t="s">
        <v>37</v>
      </c>
      <c r="OO53" s="11" t="s">
        <v>37</v>
      </c>
      <c r="OP53" s="11" t="s">
        <v>37</v>
      </c>
      <c r="OQ53" s="11" t="s">
        <v>37</v>
      </c>
      <c r="OR53" s="11" t="s">
        <v>37</v>
      </c>
      <c r="OW53" s="11" t="s">
        <v>37</v>
      </c>
      <c r="OX53" s="11" t="s">
        <v>37</v>
      </c>
      <c r="OY53" s="13" t="s">
        <v>37</v>
      </c>
      <c r="OZ53" s="11" t="s">
        <v>37</v>
      </c>
      <c r="PA53" s="11" t="s">
        <v>37</v>
      </c>
      <c r="PB53" s="13" t="s">
        <v>37</v>
      </c>
      <c r="PG53" s="11" t="s">
        <v>37</v>
      </c>
      <c r="PH53" s="11" t="s">
        <v>37</v>
      </c>
      <c r="PI53" s="13" t="s">
        <v>37</v>
      </c>
      <c r="PJ53" s="11" t="s">
        <v>37</v>
      </c>
      <c r="PK53" s="11" t="s">
        <v>37</v>
      </c>
      <c r="PL53" s="13" t="s">
        <v>37</v>
      </c>
      <c r="PQ53" s="11" t="s">
        <v>37</v>
      </c>
      <c r="PR53" s="11" t="s">
        <v>37</v>
      </c>
      <c r="PS53" s="13" t="s">
        <v>37</v>
      </c>
      <c r="PT53" s="11" t="s">
        <v>37</v>
      </c>
      <c r="PU53" s="11" t="s">
        <v>37</v>
      </c>
      <c r="PV53" s="13" t="s">
        <v>37</v>
      </c>
      <c r="PY53" s="12" t="s">
        <v>43</v>
      </c>
      <c r="PZ53" s="12">
        <v>399</v>
      </c>
      <c r="QA53" s="12">
        <f>24*SQRT(3)</f>
        <v>41.569219381653056</v>
      </c>
      <c r="QB53" s="11">
        <v>3</v>
      </c>
      <c r="QC53" s="19">
        <f t="shared" si="155"/>
        <v>0.10418350722218811</v>
      </c>
      <c r="QD53" s="12">
        <v>251</v>
      </c>
      <c r="QE53" s="12">
        <f>78*SQRT(3)</f>
        <v>135.09996299037243</v>
      </c>
      <c r="QF53" s="13">
        <v>3</v>
      </c>
      <c r="QG53" s="19">
        <f t="shared" si="156"/>
        <v>0.53824686450347581</v>
      </c>
      <c r="QH53" s="19">
        <f t="shared" si="148"/>
        <v>-0.46350847775807952</v>
      </c>
      <c r="QI53" s="19">
        <f t="shared" si="149"/>
        <v>0.10018796344164625</v>
      </c>
      <c r="QJ53" s="12" t="s">
        <v>43</v>
      </c>
      <c r="QK53" s="12">
        <v>568</v>
      </c>
      <c r="QL53" s="12">
        <f>48*SQRT(3)</f>
        <v>83.138438763306112</v>
      </c>
      <c r="QM53" s="13">
        <v>3</v>
      </c>
      <c r="QN53" s="12">
        <v>441</v>
      </c>
      <c r="QO53" s="12">
        <f>96*SQRT(3)</f>
        <v>166.27687752661222</v>
      </c>
      <c r="QP53" s="13">
        <v>3</v>
      </c>
      <c r="QQ53" s="19">
        <f t="shared" si="158"/>
        <v>-0.25307654327430534</v>
      </c>
      <c r="QR53" s="19">
        <f t="shared" si="150"/>
        <v>5.452910273845081E-2</v>
      </c>
      <c r="QU53" s="11" t="s">
        <v>37</v>
      </c>
      <c r="QV53" s="11" t="s">
        <v>37</v>
      </c>
      <c r="QW53" s="13" t="s">
        <v>37</v>
      </c>
      <c r="QX53" s="11" t="s">
        <v>37</v>
      </c>
      <c r="QY53" s="11" t="s">
        <v>37</v>
      </c>
      <c r="QZ53" s="13" t="s">
        <v>37</v>
      </c>
      <c r="RC53" s="12" t="s">
        <v>37</v>
      </c>
      <c r="RD53" s="12" t="s">
        <v>37</v>
      </c>
      <c r="RE53" s="13" t="s">
        <v>37</v>
      </c>
      <c r="RF53" s="12" t="s">
        <v>37</v>
      </c>
      <c r="RG53" s="12" t="s">
        <v>37</v>
      </c>
      <c r="RH53" s="13" t="s">
        <v>37</v>
      </c>
      <c r="RK53" s="11" t="s">
        <v>37</v>
      </c>
      <c r="RL53" s="11" t="s">
        <v>37</v>
      </c>
      <c r="RM53" s="11" t="s">
        <v>37</v>
      </c>
      <c r="RN53" s="11" t="s">
        <v>37</v>
      </c>
      <c r="RO53" s="11" t="s">
        <v>37</v>
      </c>
      <c r="RP53" s="11" t="s">
        <v>37</v>
      </c>
      <c r="RS53" s="11" t="s">
        <v>37</v>
      </c>
      <c r="RT53" s="11" t="s">
        <v>37</v>
      </c>
      <c r="RU53" s="11" t="s">
        <v>37</v>
      </c>
      <c r="RV53" s="11" t="s">
        <v>37</v>
      </c>
      <c r="RW53" s="11" t="s">
        <v>37</v>
      </c>
      <c r="RX53" s="11" t="s">
        <v>37</v>
      </c>
      <c r="SA53" s="11" t="s">
        <v>37</v>
      </c>
      <c r="SB53" s="11" t="s">
        <v>37</v>
      </c>
      <c r="SC53" s="13" t="s">
        <v>37</v>
      </c>
      <c r="SD53" s="11" t="s">
        <v>37</v>
      </c>
      <c r="SE53" s="11" t="s">
        <v>37</v>
      </c>
      <c r="SF53" s="13" t="s">
        <v>37</v>
      </c>
      <c r="SI53" s="12" t="s">
        <v>37</v>
      </c>
      <c r="SJ53" s="11" t="s">
        <v>37</v>
      </c>
      <c r="SK53" s="13" t="s">
        <v>37</v>
      </c>
      <c r="SM53" s="11" t="s">
        <v>37</v>
      </c>
      <c r="SN53" s="11" t="s">
        <v>37</v>
      </c>
      <c r="SO53" s="13" t="s">
        <v>37</v>
      </c>
      <c r="SU53" s="12" t="s">
        <v>37</v>
      </c>
      <c r="SV53" s="12" t="s">
        <v>37</v>
      </c>
      <c r="SW53" s="11" t="s">
        <v>37</v>
      </c>
      <c r="SX53" s="12" t="s">
        <v>37</v>
      </c>
      <c r="SY53" s="12" t="s">
        <v>37</v>
      </c>
      <c r="SZ53" s="11" t="s">
        <v>37</v>
      </c>
      <c r="TE53" s="12" t="s">
        <v>37</v>
      </c>
      <c r="TF53" s="12" t="s">
        <v>37</v>
      </c>
      <c r="TG53" s="11" t="s">
        <v>37</v>
      </c>
      <c r="TH53" s="12" t="s">
        <v>37</v>
      </c>
      <c r="TI53" s="12" t="s">
        <v>37</v>
      </c>
      <c r="TJ53" s="11" t="s">
        <v>37</v>
      </c>
      <c r="TO53" s="12" t="s">
        <v>37</v>
      </c>
      <c r="TP53" s="12" t="s">
        <v>37</v>
      </c>
      <c r="TQ53" s="11" t="s">
        <v>37</v>
      </c>
      <c r="TR53" s="12" t="s">
        <v>37</v>
      </c>
      <c r="TS53" s="12" t="s">
        <v>37</v>
      </c>
      <c r="TT53" s="11" t="s">
        <v>37</v>
      </c>
      <c r="TY53" s="12" t="s">
        <v>37</v>
      </c>
      <c r="TZ53" s="12" t="s">
        <v>37</v>
      </c>
      <c r="UA53" s="11" t="s">
        <v>37</v>
      </c>
      <c r="UB53" s="12" t="s">
        <v>37</v>
      </c>
      <c r="UC53" s="12" t="s">
        <v>37</v>
      </c>
      <c r="UD53" s="11" t="s">
        <v>37</v>
      </c>
      <c r="UI53" s="12" t="s">
        <v>37</v>
      </c>
      <c r="UJ53" s="12" t="s">
        <v>37</v>
      </c>
      <c r="UK53" s="13" t="s">
        <v>37</v>
      </c>
      <c r="UL53" s="12" t="s">
        <v>37</v>
      </c>
      <c r="UM53" s="12" t="s">
        <v>37</v>
      </c>
      <c r="UN53" s="13" t="s">
        <v>37</v>
      </c>
      <c r="UR53" s="12" t="s">
        <v>37</v>
      </c>
      <c r="US53" s="12" t="s">
        <v>37</v>
      </c>
      <c r="UT53" s="13" t="s">
        <v>37</v>
      </c>
      <c r="UU53" s="12" t="s">
        <v>37</v>
      </c>
      <c r="UV53" s="12" t="s">
        <v>37</v>
      </c>
      <c r="UW53" s="13" t="s">
        <v>37</v>
      </c>
      <c r="VB53" s="12" t="s">
        <v>37</v>
      </c>
      <c r="VC53" s="12" t="s">
        <v>37</v>
      </c>
      <c r="VD53" s="13" t="s">
        <v>37</v>
      </c>
      <c r="VE53" s="12" t="s">
        <v>37</v>
      </c>
      <c r="VF53" s="12" t="s">
        <v>37</v>
      </c>
      <c r="VG53" s="13" t="s">
        <v>37</v>
      </c>
      <c r="VI53" s="12" t="s">
        <v>37</v>
      </c>
      <c r="VJ53" s="12" t="s">
        <v>37</v>
      </c>
      <c r="VK53" s="13" t="s">
        <v>37</v>
      </c>
      <c r="VL53" s="12" t="s">
        <v>37</v>
      </c>
      <c r="VM53" s="12" t="s">
        <v>37</v>
      </c>
      <c r="VN53" s="13" t="s">
        <v>37</v>
      </c>
      <c r="VO53" s="12" t="s">
        <v>37</v>
      </c>
      <c r="VQ53" s="12" t="s">
        <v>37</v>
      </c>
      <c r="VR53" s="12" t="s">
        <v>37</v>
      </c>
      <c r="VS53" s="12" t="s">
        <v>37</v>
      </c>
      <c r="VT53" s="12" t="s">
        <v>37</v>
      </c>
      <c r="VU53" s="12" t="s">
        <v>37</v>
      </c>
      <c r="VV53" s="12" t="s">
        <v>37</v>
      </c>
      <c r="VW53" s="12"/>
      <c r="VX53" s="12"/>
      <c r="WA53" s="13" t="s">
        <v>37</v>
      </c>
      <c r="WB53" s="13" t="s">
        <v>37</v>
      </c>
      <c r="WC53" s="13" t="s">
        <v>37</v>
      </c>
      <c r="WD53" s="13" t="s">
        <v>37</v>
      </c>
      <c r="WE53" s="13" t="s">
        <v>37</v>
      </c>
      <c r="WF53" s="13" t="s">
        <v>37</v>
      </c>
    </row>
    <row r="54" spans="1:604" ht="18" customHeight="1" x14ac:dyDescent="0.4">
      <c r="A54" s="11">
        <v>12</v>
      </c>
      <c r="B54" s="12" t="s">
        <v>111</v>
      </c>
      <c r="C54" s="12" t="s">
        <v>26</v>
      </c>
      <c r="D54" s="12" t="s">
        <v>973</v>
      </c>
      <c r="E54" s="81">
        <v>4.5</v>
      </c>
      <c r="F54" s="14">
        <v>0</v>
      </c>
      <c r="G54" s="14">
        <v>0</v>
      </c>
      <c r="H54" s="12" t="s">
        <v>91</v>
      </c>
      <c r="I54" s="29">
        <v>55.35</v>
      </c>
      <c r="J54" s="29">
        <v>-112.517</v>
      </c>
      <c r="K54" s="12" t="s">
        <v>696</v>
      </c>
      <c r="L54" s="12" t="s">
        <v>697</v>
      </c>
      <c r="M54" s="13" t="s">
        <v>37</v>
      </c>
      <c r="N54" s="14">
        <v>2.1</v>
      </c>
      <c r="O54" s="14">
        <v>504</v>
      </c>
      <c r="P54" s="14" t="s">
        <v>84</v>
      </c>
      <c r="Q54" s="75">
        <v>11</v>
      </c>
      <c r="R54" s="11" t="s">
        <v>999</v>
      </c>
      <c r="S54" s="12" t="s">
        <v>93</v>
      </c>
      <c r="T54" s="12" t="s">
        <v>141</v>
      </c>
      <c r="U54" s="12" t="s">
        <v>163</v>
      </c>
      <c r="V54" s="12" t="s">
        <v>275</v>
      </c>
      <c r="W54" s="23" t="s">
        <v>499</v>
      </c>
      <c r="X54" s="12" t="s">
        <v>282</v>
      </c>
      <c r="Y54" s="12" t="s">
        <v>69</v>
      </c>
      <c r="Z54" s="12" t="s">
        <v>37</v>
      </c>
      <c r="AA54" s="32" t="s">
        <v>345</v>
      </c>
      <c r="AB54" s="12">
        <v>4.0999999999999996</v>
      </c>
      <c r="AE54" s="12" t="s">
        <v>37</v>
      </c>
      <c r="AH54" s="12" t="s">
        <v>37</v>
      </c>
      <c r="AK54" s="12" t="s">
        <v>37</v>
      </c>
      <c r="AL54" s="32" t="s">
        <v>496</v>
      </c>
      <c r="AM54" s="12" t="s">
        <v>317</v>
      </c>
      <c r="AN54" s="32" t="s">
        <v>879</v>
      </c>
      <c r="AO54" s="12" t="s">
        <v>318</v>
      </c>
      <c r="AP54" s="12" t="s">
        <v>108</v>
      </c>
      <c r="AQ54" s="12" t="s">
        <v>975</v>
      </c>
      <c r="AT54" s="12" t="s">
        <v>326</v>
      </c>
      <c r="AU54" s="12" t="s">
        <v>326</v>
      </c>
      <c r="AV54" s="13" t="s">
        <v>326</v>
      </c>
      <c r="AX54" s="12" t="s">
        <v>326</v>
      </c>
      <c r="AY54" s="12" t="s">
        <v>326</v>
      </c>
      <c r="AZ54" s="13" t="s">
        <v>326</v>
      </c>
      <c r="BE54" s="12" t="s">
        <v>326</v>
      </c>
      <c r="BF54" s="12" t="s">
        <v>326</v>
      </c>
      <c r="BG54" s="12" t="s">
        <v>326</v>
      </c>
      <c r="BI54" s="12" t="s">
        <v>326</v>
      </c>
      <c r="BJ54" s="12" t="s">
        <v>326</v>
      </c>
      <c r="BK54" s="12" t="s">
        <v>326</v>
      </c>
      <c r="BP54" s="12" t="s">
        <v>37</v>
      </c>
      <c r="BQ54" s="12" t="s">
        <v>37</v>
      </c>
      <c r="BR54" s="13" t="s">
        <v>37</v>
      </c>
      <c r="BT54" s="12" t="s">
        <v>37</v>
      </c>
      <c r="BU54" s="12" t="s">
        <v>37</v>
      </c>
      <c r="BV54" s="12" t="s">
        <v>37</v>
      </c>
      <c r="CA54" s="12" t="s">
        <v>37</v>
      </c>
      <c r="CB54" s="12" t="s">
        <v>37</v>
      </c>
      <c r="CC54" s="13" t="s">
        <v>37</v>
      </c>
      <c r="CE54" s="12" t="s">
        <v>37</v>
      </c>
      <c r="CF54" s="12" t="s">
        <v>37</v>
      </c>
      <c r="CG54" s="13" t="s">
        <v>37</v>
      </c>
      <c r="CI54" s="52"/>
      <c r="CJ54" s="12"/>
      <c r="CK54" s="73"/>
      <c r="CL54" s="73"/>
      <c r="CN54" s="12" t="s">
        <v>37</v>
      </c>
      <c r="CO54" s="12" t="s">
        <v>37</v>
      </c>
      <c r="CP54" s="13" t="s">
        <v>37</v>
      </c>
      <c r="CR54" s="12" t="s">
        <v>37</v>
      </c>
      <c r="CS54" s="12" t="s">
        <v>37</v>
      </c>
      <c r="CT54" s="13" t="s">
        <v>37</v>
      </c>
      <c r="CV54" s="52"/>
      <c r="CW54" s="52"/>
      <c r="CX54" s="73"/>
      <c r="CY54" s="73"/>
      <c r="DA54" s="12" t="s">
        <v>37</v>
      </c>
      <c r="DB54" s="12" t="s">
        <v>37</v>
      </c>
      <c r="DC54" s="13" t="s">
        <v>37</v>
      </c>
      <c r="DE54" s="12" t="s">
        <v>37</v>
      </c>
      <c r="DF54" s="12" t="s">
        <v>37</v>
      </c>
      <c r="DG54" s="13" t="s">
        <v>37</v>
      </c>
      <c r="DI54" s="52"/>
      <c r="DJ54" s="52"/>
      <c r="DK54" s="73"/>
      <c r="DL54" s="73"/>
      <c r="DM54" s="15" t="s">
        <v>47</v>
      </c>
      <c r="DN54" s="52">
        <f>2.57*10^4/10^6*("2011/10/31"-"2011/05/01")/'[1]classes-1'!$I$61</f>
        <v>5.3866851938273443</v>
      </c>
      <c r="DO54" s="12">
        <f>DO53</f>
        <v>4.268024043852261</v>
      </c>
      <c r="DP54" s="18">
        <v>3</v>
      </c>
      <c r="DQ54" s="19">
        <f t="shared" si="193"/>
        <v>0.79232847108701132</v>
      </c>
      <c r="DR54" s="52">
        <f>1.26*10^4/10^6*("2011/10/31"-"2011/05/01")/'[1]classes-1'!$I$62</f>
        <v>2.6938792153004636</v>
      </c>
      <c r="DS54" s="12">
        <f>SQRT((1/[2]Classes!$I$62)^2*(2.03*10^4/10^6*("2011/10/31"-"2011/05/01"))^2+(-DR54/([2]Classes!$I$62)^2)^2*([2]Classes!$J$62)^2)</f>
        <v>4.3447601701580973</v>
      </c>
      <c r="DT54" s="18">
        <v>3</v>
      </c>
      <c r="DU54" s="19">
        <f t="shared" si="194"/>
        <v>1.612826642516525</v>
      </c>
      <c r="DV54" s="19">
        <f t="shared" ref="DV54:DV70" si="198">DR54-DN54</f>
        <v>-2.6928059785268808</v>
      </c>
      <c r="DW54" s="12">
        <f t="shared" si="195"/>
        <v>4.3065630249128617</v>
      </c>
      <c r="DX54" s="72">
        <f t="shared" si="196"/>
        <v>12.364323391697742</v>
      </c>
      <c r="DY54" s="72">
        <f t="shared" si="197"/>
        <v>12.364323391697742</v>
      </c>
      <c r="DZ54" s="15"/>
      <c r="EA54" s="52" t="s">
        <v>37</v>
      </c>
      <c r="EB54" s="52" t="s">
        <v>37</v>
      </c>
      <c r="EC54" s="73" t="s">
        <v>37</v>
      </c>
      <c r="ED54" s="52"/>
      <c r="EE54" s="52" t="s">
        <v>37</v>
      </c>
      <c r="EF54" s="52" t="s">
        <v>37</v>
      </c>
      <c r="EG54" s="15" t="s">
        <v>37</v>
      </c>
      <c r="EH54" s="52"/>
      <c r="EI54" s="52"/>
      <c r="EJ54" s="52"/>
      <c r="EK54" s="52"/>
      <c r="EL54" s="52"/>
      <c r="EM54" s="12" t="s">
        <v>39</v>
      </c>
      <c r="EN54" s="12">
        <v>-38</v>
      </c>
      <c r="EO54" s="12">
        <v>7.6</v>
      </c>
      <c r="EP54" s="13">
        <v>3</v>
      </c>
      <c r="EQ54" s="19">
        <f t="shared" si="139"/>
        <v>0.19999999999999998</v>
      </c>
      <c r="ER54" s="12">
        <v>-112</v>
      </c>
      <c r="ES54" s="12">
        <v>15.2</v>
      </c>
      <c r="ET54" s="13">
        <v>3</v>
      </c>
      <c r="EU54" s="19">
        <f t="shared" si="140"/>
        <v>0.1357142857142857</v>
      </c>
      <c r="EV54" s="19">
        <f t="shared" si="141"/>
        <v>-74</v>
      </c>
      <c r="EW54" s="12">
        <f t="shared" si="142"/>
        <v>12.016655108639842</v>
      </c>
      <c r="EX54" s="19">
        <f t="shared" si="143"/>
        <v>96.266666666666666</v>
      </c>
      <c r="EY54" s="19">
        <f t="shared" si="144"/>
        <v>96.266666666666666</v>
      </c>
      <c r="FB54" s="11" t="s">
        <v>37</v>
      </c>
      <c r="FC54" s="11" t="s">
        <v>37</v>
      </c>
      <c r="FD54" s="11" t="s">
        <v>37</v>
      </c>
      <c r="FE54" s="12" t="s">
        <v>37</v>
      </c>
      <c r="FF54" s="20" t="s">
        <v>37</v>
      </c>
      <c r="FG54" s="11" t="s">
        <v>37</v>
      </c>
      <c r="FI54" s="11" t="s">
        <v>37</v>
      </c>
      <c r="FJ54" s="11" t="s">
        <v>37</v>
      </c>
      <c r="FK54" s="11" t="s">
        <v>37</v>
      </c>
      <c r="FL54" s="13" t="s">
        <v>37</v>
      </c>
      <c r="FM54" s="11" t="s">
        <v>37</v>
      </c>
      <c r="FN54" s="11" t="s">
        <v>37</v>
      </c>
      <c r="FP54" s="11" t="s">
        <v>37</v>
      </c>
      <c r="FQ54" s="11" t="s">
        <v>37</v>
      </c>
      <c r="FR54" s="11" t="s">
        <v>37</v>
      </c>
      <c r="FS54" s="13" t="s">
        <v>37</v>
      </c>
      <c r="FT54" s="11" t="s">
        <v>37</v>
      </c>
      <c r="FU54" s="11" t="s">
        <v>37</v>
      </c>
      <c r="FW54" s="11" t="s">
        <v>37</v>
      </c>
      <c r="FX54" s="11" t="s">
        <v>37</v>
      </c>
      <c r="FY54" s="11" t="s">
        <v>37</v>
      </c>
      <c r="FZ54" s="13" t="s">
        <v>37</v>
      </c>
      <c r="GA54" s="11" t="s">
        <v>37</v>
      </c>
      <c r="GB54" s="11" t="s">
        <v>37</v>
      </c>
      <c r="GO54" s="12" t="s">
        <v>660</v>
      </c>
      <c r="GP54" s="12" t="s">
        <v>330</v>
      </c>
      <c r="GQ54" s="12">
        <v>12.3</v>
      </c>
      <c r="GR54" s="12">
        <v>0.2</v>
      </c>
      <c r="GS54" s="13">
        <v>3</v>
      </c>
      <c r="GT54" s="19">
        <f t="shared" si="145"/>
        <v>1.6260162601626015E-2</v>
      </c>
      <c r="GU54" s="12">
        <v>13.7</v>
      </c>
      <c r="GV54" s="12">
        <v>0.1</v>
      </c>
      <c r="GW54" s="13">
        <v>3</v>
      </c>
      <c r="GX54" s="19">
        <f t="shared" si="146"/>
        <v>7.2992700729927014E-3</v>
      </c>
      <c r="GY54" s="19">
        <f t="shared" si="162"/>
        <v>0.10779657045570738</v>
      </c>
      <c r="GZ54" s="19">
        <f t="shared" si="169"/>
        <v>1.0589074380993474E-4</v>
      </c>
      <c r="HA54" s="12"/>
      <c r="HB54" s="32"/>
      <c r="HM54" s="32"/>
      <c r="IK54" s="12" t="s">
        <v>37</v>
      </c>
      <c r="IL54" s="12" t="s">
        <v>37</v>
      </c>
      <c r="IM54" s="13" t="s">
        <v>37</v>
      </c>
      <c r="IO54" s="12" t="s">
        <v>37</v>
      </c>
      <c r="IP54" s="12" t="s">
        <v>37</v>
      </c>
      <c r="IQ54" s="13" t="s">
        <v>37</v>
      </c>
      <c r="IV54" s="32" t="s">
        <v>345</v>
      </c>
      <c r="IW54" s="12">
        <v>4.0999999999999996</v>
      </c>
      <c r="IX54" s="12">
        <v>0.1</v>
      </c>
      <c r="IY54" s="13">
        <v>3</v>
      </c>
      <c r="IZ54" s="19">
        <f t="shared" si="147"/>
        <v>2.4390243902439029E-2</v>
      </c>
      <c r="JH54" s="12" t="s">
        <v>37</v>
      </c>
      <c r="JI54" s="12" t="s">
        <v>37</v>
      </c>
      <c r="JJ54" s="13" t="s">
        <v>37</v>
      </c>
      <c r="JL54" s="12" t="s">
        <v>37</v>
      </c>
      <c r="JM54" s="12" t="s">
        <v>37</v>
      </c>
      <c r="JN54" s="12" t="s">
        <v>37</v>
      </c>
      <c r="JS54" s="12" t="s">
        <v>37</v>
      </c>
      <c r="JT54" s="12" t="s">
        <v>37</v>
      </c>
      <c r="JU54" s="13" t="s">
        <v>37</v>
      </c>
      <c r="JW54" s="12" t="s">
        <v>37</v>
      </c>
      <c r="JX54" s="12" t="s">
        <v>37</v>
      </c>
      <c r="JY54" s="12" t="s">
        <v>37</v>
      </c>
      <c r="KE54" s="11" t="s">
        <v>37</v>
      </c>
      <c r="KF54" s="11" t="s">
        <v>37</v>
      </c>
      <c r="KG54" s="13" t="s">
        <v>37</v>
      </c>
      <c r="KH54" s="11" t="s">
        <v>37</v>
      </c>
      <c r="KI54" s="11" t="s">
        <v>37</v>
      </c>
      <c r="KJ54" s="11" t="s">
        <v>37</v>
      </c>
      <c r="KM54" s="12" t="s">
        <v>37</v>
      </c>
      <c r="KN54" s="12" t="s">
        <v>37</v>
      </c>
      <c r="KO54" s="11" t="s">
        <v>37</v>
      </c>
      <c r="KQ54" s="12" t="s">
        <v>37</v>
      </c>
      <c r="KR54" s="12" t="s">
        <v>37</v>
      </c>
      <c r="KS54" s="13" t="s">
        <v>37</v>
      </c>
      <c r="KX54" s="12" t="s">
        <v>37</v>
      </c>
      <c r="KY54" s="12" t="s">
        <v>37</v>
      </c>
      <c r="KZ54" s="13" t="s">
        <v>37</v>
      </c>
      <c r="LB54" s="12" t="s">
        <v>37</v>
      </c>
      <c r="LC54" s="12" t="s">
        <v>37</v>
      </c>
      <c r="LD54" s="13" t="s">
        <v>37</v>
      </c>
      <c r="LI54" s="12" t="s">
        <v>37</v>
      </c>
      <c r="LJ54" s="12" t="s">
        <v>37</v>
      </c>
      <c r="LK54" s="12" t="s">
        <v>37</v>
      </c>
      <c r="LM54" s="12" t="s">
        <v>37</v>
      </c>
      <c r="LN54" s="12" t="s">
        <v>37</v>
      </c>
      <c r="LO54" s="12" t="s">
        <v>37</v>
      </c>
      <c r="LU54" s="12" t="s">
        <v>37</v>
      </c>
      <c r="LV54" s="12" t="s">
        <v>37</v>
      </c>
      <c r="LW54" s="13" t="s">
        <v>37</v>
      </c>
      <c r="LY54" s="12" t="s">
        <v>37</v>
      </c>
      <c r="LZ54" s="12" t="s">
        <v>37</v>
      </c>
      <c r="MA54" s="12" t="s">
        <v>37</v>
      </c>
      <c r="MF54" s="12" t="s">
        <v>37</v>
      </c>
      <c r="MG54" s="12" t="s">
        <v>37</v>
      </c>
      <c r="MH54" s="12" t="s">
        <v>37</v>
      </c>
      <c r="MJ54" s="12" t="s">
        <v>37</v>
      </c>
      <c r="MK54" s="12" t="s">
        <v>37</v>
      </c>
      <c r="ML54" s="12" t="s">
        <v>37</v>
      </c>
      <c r="MQ54" s="12" t="s">
        <v>37</v>
      </c>
      <c r="MR54" s="12" t="s">
        <v>37</v>
      </c>
      <c r="MS54" s="12" t="s">
        <v>37</v>
      </c>
      <c r="MU54" s="12" t="s">
        <v>37</v>
      </c>
      <c r="MV54" s="12" t="s">
        <v>37</v>
      </c>
      <c r="MW54" s="12" t="s">
        <v>37</v>
      </c>
      <c r="NC54" s="12" t="s">
        <v>37</v>
      </c>
      <c r="ND54" s="12" t="s">
        <v>37</v>
      </c>
      <c r="NE54" s="13" t="s">
        <v>37</v>
      </c>
      <c r="NG54" s="12" t="s">
        <v>37</v>
      </c>
      <c r="NH54" s="12" t="s">
        <v>37</v>
      </c>
      <c r="NI54" s="13" t="s">
        <v>37</v>
      </c>
      <c r="NO54" s="12" t="s">
        <v>37</v>
      </c>
      <c r="NP54" s="12" t="s">
        <v>37</v>
      </c>
      <c r="NQ54" s="13" t="s">
        <v>37</v>
      </c>
      <c r="NS54" s="12" t="s">
        <v>37</v>
      </c>
      <c r="NT54" s="12" t="s">
        <v>37</v>
      </c>
      <c r="NU54" s="13" t="s">
        <v>37</v>
      </c>
      <c r="OA54" s="11" t="s">
        <v>37</v>
      </c>
      <c r="OB54" s="11" t="s">
        <v>37</v>
      </c>
      <c r="OC54" s="13" t="s">
        <v>37</v>
      </c>
      <c r="OE54" s="11" t="s">
        <v>37</v>
      </c>
      <c r="OF54" s="11" t="s">
        <v>37</v>
      </c>
      <c r="OG54" s="13" t="s">
        <v>37</v>
      </c>
      <c r="OM54" s="11" t="s">
        <v>37</v>
      </c>
      <c r="ON54" s="11" t="s">
        <v>37</v>
      </c>
      <c r="OO54" s="11" t="s">
        <v>37</v>
      </c>
      <c r="OP54" s="11" t="s">
        <v>37</v>
      </c>
      <c r="OQ54" s="11" t="s">
        <v>37</v>
      </c>
      <c r="OR54" s="11" t="s">
        <v>37</v>
      </c>
      <c r="OW54" s="11" t="s">
        <v>37</v>
      </c>
      <c r="OX54" s="11" t="s">
        <v>37</v>
      </c>
      <c r="OY54" s="13" t="s">
        <v>37</v>
      </c>
      <c r="OZ54" s="11" t="s">
        <v>37</v>
      </c>
      <c r="PA54" s="11" t="s">
        <v>37</v>
      </c>
      <c r="PB54" s="13" t="s">
        <v>37</v>
      </c>
      <c r="PG54" s="11" t="s">
        <v>37</v>
      </c>
      <c r="PH54" s="11" t="s">
        <v>37</v>
      </c>
      <c r="PI54" s="13" t="s">
        <v>37</v>
      </c>
      <c r="PJ54" s="11" t="s">
        <v>37</v>
      </c>
      <c r="PK54" s="11" t="s">
        <v>37</v>
      </c>
      <c r="PL54" s="13" t="s">
        <v>37</v>
      </c>
      <c r="PQ54" s="11" t="s">
        <v>37</v>
      </c>
      <c r="PR54" s="11" t="s">
        <v>37</v>
      </c>
      <c r="PS54" s="13" t="s">
        <v>37</v>
      </c>
      <c r="PT54" s="11" t="s">
        <v>37</v>
      </c>
      <c r="PU54" s="11" t="s">
        <v>37</v>
      </c>
      <c r="PV54" s="13" t="s">
        <v>37</v>
      </c>
      <c r="PY54" s="12" t="s">
        <v>43</v>
      </c>
      <c r="PZ54" s="12">
        <v>399</v>
      </c>
      <c r="QA54" s="12">
        <f>24*SQRT(3)</f>
        <v>41.569219381653056</v>
      </c>
      <c r="QB54" s="11">
        <v>3</v>
      </c>
      <c r="QC54" s="19">
        <f t="shared" si="155"/>
        <v>0.10418350722218811</v>
      </c>
      <c r="QD54" s="12">
        <v>643</v>
      </c>
      <c r="QE54" s="12">
        <f>18*SQRT(3)</f>
        <v>31.176914536239789</v>
      </c>
      <c r="QF54" s="13">
        <v>3</v>
      </c>
      <c r="QG54" s="19">
        <f t="shared" si="156"/>
        <v>4.848664780130605E-2</v>
      </c>
      <c r="QH54" s="19">
        <f t="shared" si="148"/>
        <v>0.47718330734775594</v>
      </c>
      <c r="QI54" s="19">
        <f t="shared" si="149"/>
        <v>4.4017193973745396E-3</v>
      </c>
      <c r="QJ54" s="12" t="s">
        <v>43</v>
      </c>
      <c r="QK54" s="12">
        <v>568</v>
      </c>
      <c r="QL54" s="12">
        <f t="shared" ref="QL54:QL58" si="199">48*SQRT(3)</f>
        <v>83.138438763306112</v>
      </c>
      <c r="QM54" s="13">
        <v>3</v>
      </c>
      <c r="QN54" s="12">
        <v>925</v>
      </c>
      <c r="QO54" s="12">
        <f>247*SQRT(3)</f>
        <v>427.81654946951267</v>
      </c>
      <c r="QP54" s="13">
        <v>3</v>
      </c>
      <c r="QQ54" s="19">
        <f t="shared" si="158"/>
        <v>0.48767231879127393</v>
      </c>
      <c r="QR54" s="19">
        <f t="shared" si="150"/>
        <v>7.8444873353331016E-2</v>
      </c>
      <c r="QU54" s="11" t="s">
        <v>37</v>
      </c>
      <c r="QV54" s="11" t="s">
        <v>37</v>
      </c>
      <c r="QW54" s="13" t="s">
        <v>37</v>
      </c>
      <c r="QX54" s="11" t="s">
        <v>37</v>
      </c>
      <c r="QY54" s="11" t="s">
        <v>37</v>
      </c>
      <c r="QZ54" s="13" t="s">
        <v>37</v>
      </c>
      <c r="RC54" s="12" t="s">
        <v>37</v>
      </c>
      <c r="RD54" s="12" t="s">
        <v>37</v>
      </c>
      <c r="RE54" s="13" t="s">
        <v>37</v>
      </c>
      <c r="RF54" s="12" t="s">
        <v>37</v>
      </c>
      <c r="RG54" s="12" t="s">
        <v>37</v>
      </c>
      <c r="RH54" s="13" t="s">
        <v>37</v>
      </c>
      <c r="RK54" s="11" t="s">
        <v>37</v>
      </c>
      <c r="RL54" s="11" t="s">
        <v>37</v>
      </c>
      <c r="RM54" s="11" t="s">
        <v>37</v>
      </c>
      <c r="RN54" s="11" t="s">
        <v>37</v>
      </c>
      <c r="RO54" s="11" t="s">
        <v>37</v>
      </c>
      <c r="RP54" s="11" t="s">
        <v>37</v>
      </c>
      <c r="RS54" s="11" t="s">
        <v>37</v>
      </c>
      <c r="RT54" s="11" t="s">
        <v>37</v>
      </c>
      <c r="RU54" s="11" t="s">
        <v>37</v>
      </c>
      <c r="RV54" s="11" t="s">
        <v>37</v>
      </c>
      <c r="RW54" s="11" t="s">
        <v>37</v>
      </c>
      <c r="RX54" s="11" t="s">
        <v>37</v>
      </c>
      <c r="SA54" s="11" t="s">
        <v>37</v>
      </c>
      <c r="SB54" s="11" t="s">
        <v>37</v>
      </c>
      <c r="SC54" s="13" t="s">
        <v>37</v>
      </c>
      <c r="SD54" s="11" t="s">
        <v>37</v>
      </c>
      <c r="SE54" s="11" t="s">
        <v>37</v>
      </c>
      <c r="SF54" s="13" t="s">
        <v>37</v>
      </c>
      <c r="SI54" s="12" t="s">
        <v>37</v>
      </c>
      <c r="SJ54" s="11" t="s">
        <v>37</v>
      </c>
      <c r="SK54" s="13" t="s">
        <v>37</v>
      </c>
      <c r="SM54" s="11" t="s">
        <v>37</v>
      </c>
      <c r="SN54" s="11" t="s">
        <v>37</v>
      </c>
      <c r="SO54" s="13" t="s">
        <v>37</v>
      </c>
      <c r="SU54" s="12" t="s">
        <v>37</v>
      </c>
      <c r="SV54" s="12" t="s">
        <v>37</v>
      </c>
      <c r="SW54" s="11" t="s">
        <v>37</v>
      </c>
      <c r="SX54" s="12" t="s">
        <v>37</v>
      </c>
      <c r="SY54" s="12" t="s">
        <v>37</v>
      </c>
      <c r="SZ54" s="11" t="s">
        <v>37</v>
      </c>
      <c r="TE54" s="12" t="s">
        <v>37</v>
      </c>
      <c r="TF54" s="12" t="s">
        <v>37</v>
      </c>
      <c r="TG54" s="11" t="s">
        <v>37</v>
      </c>
      <c r="TH54" s="12" t="s">
        <v>37</v>
      </c>
      <c r="TI54" s="12" t="s">
        <v>37</v>
      </c>
      <c r="TJ54" s="11" t="s">
        <v>37</v>
      </c>
      <c r="TO54" s="12" t="s">
        <v>37</v>
      </c>
      <c r="TP54" s="12" t="s">
        <v>37</v>
      </c>
      <c r="TQ54" s="11" t="s">
        <v>37</v>
      </c>
      <c r="TR54" s="12" t="s">
        <v>37</v>
      </c>
      <c r="TS54" s="12" t="s">
        <v>37</v>
      </c>
      <c r="TT54" s="11" t="s">
        <v>37</v>
      </c>
      <c r="TY54" s="12" t="s">
        <v>37</v>
      </c>
      <c r="TZ54" s="12" t="s">
        <v>37</v>
      </c>
      <c r="UA54" s="11" t="s">
        <v>37</v>
      </c>
      <c r="UB54" s="12" t="s">
        <v>37</v>
      </c>
      <c r="UC54" s="12" t="s">
        <v>37</v>
      </c>
      <c r="UD54" s="11" t="s">
        <v>37</v>
      </c>
      <c r="UI54" s="12" t="s">
        <v>37</v>
      </c>
      <c r="UJ54" s="12" t="s">
        <v>37</v>
      </c>
      <c r="UK54" s="13" t="s">
        <v>37</v>
      </c>
      <c r="UL54" s="12" t="s">
        <v>37</v>
      </c>
      <c r="UM54" s="12" t="s">
        <v>37</v>
      </c>
      <c r="UN54" s="13" t="s">
        <v>37</v>
      </c>
      <c r="UR54" s="12" t="s">
        <v>37</v>
      </c>
      <c r="US54" s="12" t="s">
        <v>37</v>
      </c>
      <c r="UT54" s="13" t="s">
        <v>37</v>
      </c>
      <c r="UU54" s="12" t="s">
        <v>37</v>
      </c>
      <c r="UV54" s="12" t="s">
        <v>37</v>
      </c>
      <c r="UW54" s="13" t="s">
        <v>37</v>
      </c>
      <c r="VB54" s="12" t="s">
        <v>37</v>
      </c>
      <c r="VC54" s="12" t="s">
        <v>37</v>
      </c>
      <c r="VD54" s="13" t="s">
        <v>37</v>
      </c>
      <c r="VE54" s="12" t="s">
        <v>37</v>
      </c>
      <c r="VF54" s="12" t="s">
        <v>37</v>
      </c>
      <c r="VG54" s="13" t="s">
        <v>37</v>
      </c>
      <c r="VI54" s="12" t="s">
        <v>37</v>
      </c>
      <c r="VJ54" s="12" t="s">
        <v>37</v>
      </c>
      <c r="VK54" s="13" t="s">
        <v>37</v>
      </c>
      <c r="VL54" s="12" t="s">
        <v>37</v>
      </c>
      <c r="VM54" s="12" t="s">
        <v>37</v>
      </c>
      <c r="VN54" s="13" t="s">
        <v>37</v>
      </c>
      <c r="VO54" s="12" t="s">
        <v>37</v>
      </c>
      <c r="VQ54" s="12" t="s">
        <v>37</v>
      </c>
      <c r="VR54" s="12" t="s">
        <v>37</v>
      </c>
      <c r="VS54" s="12" t="s">
        <v>37</v>
      </c>
      <c r="VT54" s="12" t="s">
        <v>37</v>
      </c>
      <c r="VU54" s="12" t="s">
        <v>37</v>
      </c>
      <c r="VV54" s="12" t="s">
        <v>37</v>
      </c>
      <c r="VW54" s="12"/>
      <c r="VX54" s="12"/>
      <c r="WA54" s="13" t="s">
        <v>37</v>
      </c>
      <c r="WB54" s="13" t="s">
        <v>37</v>
      </c>
      <c r="WC54" s="13" t="s">
        <v>37</v>
      </c>
      <c r="WD54" s="13" t="s">
        <v>37</v>
      </c>
      <c r="WE54" s="13" t="s">
        <v>37</v>
      </c>
      <c r="WF54" s="13" t="s">
        <v>37</v>
      </c>
    </row>
    <row r="55" spans="1:604" ht="18" customHeight="1" x14ac:dyDescent="0.4">
      <c r="A55" s="11">
        <v>12</v>
      </c>
      <c r="B55" s="12" t="s">
        <v>111</v>
      </c>
      <c r="C55" s="12" t="s">
        <v>26</v>
      </c>
      <c r="D55" s="12" t="s">
        <v>973</v>
      </c>
      <c r="E55" s="81">
        <v>4.5</v>
      </c>
      <c r="F55" s="14">
        <v>0</v>
      </c>
      <c r="G55" s="14">
        <v>0</v>
      </c>
      <c r="H55" s="12" t="s">
        <v>91</v>
      </c>
      <c r="I55" s="29">
        <v>55.35</v>
      </c>
      <c r="J55" s="29">
        <v>-112.517</v>
      </c>
      <c r="K55" s="12" t="s">
        <v>696</v>
      </c>
      <c r="L55" s="12" t="s">
        <v>697</v>
      </c>
      <c r="M55" s="13" t="s">
        <v>37</v>
      </c>
      <c r="N55" s="14">
        <v>2.1</v>
      </c>
      <c r="O55" s="14">
        <v>504</v>
      </c>
      <c r="P55" s="14" t="s">
        <v>84</v>
      </c>
      <c r="Q55" s="75">
        <v>2</v>
      </c>
      <c r="R55" s="11" t="s">
        <v>999</v>
      </c>
      <c r="S55" s="12" t="s">
        <v>93</v>
      </c>
      <c r="T55" s="12" t="s">
        <v>141</v>
      </c>
      <c r="U55" s="12" t="s">
        <v>163</v>
      </c>
      <c r="V55" s="12" t="s">
        <v>275</v>
      </c>
      <c r="W55" s="23" t="s">
        <v>499</v>
      </c>
      <c r="X55" s="12" t="s">
        <v>282</v>
      </c>
      <c r="Y55" s="12" t="s">
        <v>69</v>
      </c>
      <c r="Z55" s="12" t="s">
        <v>37</v>
      </c>
      <c r="AA55" s="32" t="s">
        <v>345</v>
      </c>
      <c r="AB55" s="12">
        <v>4.0999999999999996</v>
      </c>
      <c r="AE55" s="12" t="s">
        <v>37</v>
      </c>
      <c r="AH55" s="12" t="s">
        <v>37</v>
      </c>
      <c r="AK55" s="12" t="s">
        <v>37</v>
      </c>
      <c r="AL55" s="32" t="s">
        <v>497</v>
      </c>
      <c r="AM55" s="12" t="s">
        <v>317</v>
      </c>
      <c r="AN55" s="32" t="s">
        <v>879</v>
      </c>
      <c r="AO55" s="12" t="s">
        <v>29</v>
      </c>
      <c r="AP55" s="12" t="s">
        <v>108</v>
      </c>
      <c r="AQ55" s="12" t="s">
        <v>975</v>
      </c>
      <c r="AT55" s="12" t="s">
        <v>326</v>
      </c>
      <c r="AU55" s="12" t="s">
        <v>326</v>
      </c>
      <c r="AV55" s="13" t="s">
        <v>326</v>
      </c>
      <c r="AX55" s="12" t="s">
        <v>326</v>
      </c>
      <c r="AY55" s="12" t="s">
        <v>326</v>
      </c>
      <c r="AZ55" s="13" t="s">
        <v>326</v>
      </c>
      <c r="BE55" s="12" t="s">
        <v>326</v>
      </c>
      <c r="BF55" s="12" t="s">
        <v>326</v>
      </c>
      <c r="BG55" s="12" t="s">
        <v>326</v>
      </c>
      <c r="BI55" s="12" t="s">
        <v>326</v>
      </c>
      <c r="BJ55" s="12" t="s">
        <v>326</v>
      </c>
      <c r="BK55" s="12" t="s">
        <v>326</v>
      </c>
      <c r="BP55" s="12" t="s">
        <v>37</v>
      </c>
      <c r="BQ55" s="12" t="s">
        <v>37</v>
      </c>
      <c r="BR55" s="13" t="s">
        <v>37</v>
      </c>
      <c r="BT55" s="12" t="s">
        <v>37</v>
      </c>
      <c r="BU55" s="12" t="s">
        <v>37</v>
      </c>
      <c r="BV55" s="12" t="s">
        <v>37</v>
      </c>
      <c r="CA55" s="12" t="s">
        <v>37</v>
      </c>
      <c r="CB55" s="12" t="s">
        <v>37</v>
      </c>
      <c r="CC55" s="13" t="s">
        <v>37</v>
      </c>
      <c r="CE55" s="12" t="s">
        <v>37</v>
      </c>
      <c r="CF55" s="12" t="s">
        <v>37</v>
      </c>
      <c r="CG55" s="13" t="s">
        <v>37</v>
      </c>
      <c r="CI55" s="52"/>
      <c r="CJ55" s="12"/>
      <c r="CK55" s="73"/>
      <c r="CL55" s="73"/>
      <c r="CN55" s="12" t="s">
        <v>37</v>
      </c>
      <c r="CO55" s="12" t="s">
        <v>37</v>
      </c>
      <c r="CP55" s="13" t="s">
        <v>37</v>
      </c>
      <c r="CR55" s="12" t="s">
        <v>37</v>
      </c>
      <c r="CS55" s="12" t="s">
        <v>37</v>
      </c>
      <c r="CT55" s="13" t="s">
        <v>37</v>
      </c>
      <c r="CV55" s="52"/>
      <c r="CW55" s="52"/>
      <c r="CX55" s="73"/>
      <c r="CY55" s="73"/>
      <c r="DA55" s="12" t="s">
        <v>37</v>
      </c>
      <c r="DB55" s="12" t="s">
        <v>37</v>
      </c>
      <c r="DC55" s="13" t="s">
        <v>37</v>
      </c>
      <c r="DE55" s="12" t="s">
        <v>37</v>
      </c>
      <c r="DF55" s="12" t="s">
        <v>37</v>
      </c>
      <c r="DG55" s="13" t="s">
        <v>37</v>
      </c>
      <c r="DI55" s="52"/>
      <c r="DJ55" s="52"/>
      <c r="DK55" s="73"/>
      <c r="DL55" s="73"/>
      <c r="DM55" s="15" t="s">
        <v>47</v>
      </c>
      <c r="DN55" s="52">
        <f>2.35*10^4/10^6*("2011/10/31"-"2011/05/01")/'[1]classes-1'!$I$61</f>
        <v>4.9255681733440708</v>
      </c>
      <c r="DO55" s="12">
        <f>SQRT((1/[2]Classes!$I$61)^2*(3.09*10^4/10^6*("2011/10/31"-"2011/05/01"))^2+(-DN55/([2]Classes!$I$61)^2)^2*([2]Classes!$J$61)^2)</f>
        <v>6.4838403831872826</v>
      </c>
      <c r="DP55" s="18">
        <v>3</v>
      </c>
      <c r="DQ55" s="19">
        <f t="shared" si="193"/>
        <v>1.3163639513256942</v>
      </c>
      <c r="DR55" s="52">
        <f>2.04*10^4/10^6*("2011/10/31"-"2011/05/01")/'[1]classes-1'!$I$62</f>
        <v>4.361518729534084</v>
      </c>
      <c r="DS55" s="12">
        <f>SQRT((1/[2]Classes!$I$62)^2*(2.35*10^4/10^6*("2011/10/31"-"2011/05/01"))^2+(-DR55/([2]Classes!$I$62)^2)^2*([2]Classes!$J$62)^2)</f>
        <v>5.0347578591510027</v>
      </c>
      <c r="DT55" s="18">
        <v>3</v>
      </c>
      <c r="DU55" s="19">
        <f t="shared" si="194"/>
        <v>1.1543588762001802</v>
      </c>
      <c r="DV55" s="19">
        <f t="shared" si="198"/>
        <v>-0.56404944380998678</v>
      </c>
      <c r="DW55" s="12">
        <f t="shared" si="195"/>
        <v>5.804695203666296</v>
      </c>
      <c r="DX55" s="72">
        <f t="shared" si="196"/>
        <v>22.462990938310998</v>
      </c>
      <c r="DY55" s="72">
        <f t="shared" si="197"/>
        <v>22.462990938310998</v>
      </c>
      <c r="DZ55" s="15"/>
      <c r="EA55" s="52" t="s">
        <v>37</v>
      </c>
      <c r="EB55" s="52" t="s">
        <v>37</v>
      </c>
      <c r="EC55" s="73" t="s">
        <v>37</v>
      </c>
      <c r="ED55" s="52"/>
      <c r="EE55" s="52" t="s">
        <v>37</v>
      </c>
      <c r="EF55" s="52" t="s">
        <v>37</v>
      </c>
      <c r="EG55" s="15" t="s">
        <v>37</v>
      </c>
      <c r="EH55" s="52"/>
      <c r="EI55" s="52"/>
      <c r="EJ55" s="52"/>
      <c r="EK55" s="52"/>
      <c r="EL55" s="52"/>
      <c r="EM55" s="12" t="s">
        <v>39</v>
      </c>
      <c r="EN55" s="12">
        <f>EN53-9</f>
        <v>-47</v>
      </c>
      <c r="EO55" s="12">
        <v>6.8</v>
      </c>
      <c r="EP55" s="13">
        <v>3</v>
      </c>
      <c r="EQ55" s="19">
        <f t="shared" si="139"/>
        <v>0.14468085106382977</v>
      </c>
      <c r="ER55" s="12">
        <f>ER53-9</f>
        <v>-82</v>
      </c>
      <c r="ES55" s="12">
        <v>12.3</v>
      </c>
      <c r="ET55" s="13">
        <v>3</v>
      </c>
      <c r="EU55" s="19">
        <f t="shared" si="140"/>
        <v>0.15000000000000002</v>
      </c>
      <c r="EV55" s="19">
        <f t="shared" si="141"/>
        <v>-35</v>
      </c>
      <c r="EW55" s="12">
        <f t="shared" si="142"/>
        <v>9.9380581604255074</v>
      </c>
      <c r="EX55" s="19">
        <f t="shared" si="143"/>
        <v>65.843333333333334</v>
      </c>
      <c r="EY55" s="19">
        <f t="shared" si="144"/>
        <v>65.843333333333334</v>
      </c>
      <c r="FB55" s="11" t="s">
        <v>37</v>
      </c>
      <c r="FC55" s="11" t="s">
        <v>37</v>
      </c>
      <c r="FD55" s="11" t="s">
        <v>37</v>
      </c>
      <c r="FE55" s="12" t="s">
        <v>37</v>
      </c>
      <c r="FF55" s="20" t="s">
        <v>37</v>
      </c>
      <c r="FG55" s="11" t="s">
        <v>37</v>
      </c>
      <c r="FI55" s="11" t="s">
        <v>37</v>
      </c>
      <c r="FJ55" s="11" t="s">
        <v>37</v>
      </c>
      <c r="FK55" s="11" t="s">
        <v>37</v>
      </c>
      <c r="FL55" s="13" t="s">
        <v>37</v>
      </c>
      <c r="FM55" s="11" t="s">
        <v>37</v>
      </c>
      <c r="FN55" s="11" t="s">
        <v>37</v>
      </c>
      <c r="FP55" s="11" t="s">
        <v>37</v>
      </c>
      <c r="FQ55" s="11" t="s">
        <v>37</v>
      </c>
      <c r="FR55" s="11" t="s">
        <v>37</v>
      </c>
      <c r="FS55" s="13" t="s">
        <v>37</v>
      </c>
      <c r="FT55" s="11" t="s">
        <v>37</v>
      </c>
      <c r="FU55" s="11" t="s">
        <v>37</v>
      </c>
      <c r="FW55" s="11" t="s">
        <v>37</v>
      </c>
      <c r="FX55" s="11" t="s">
        <v>37</v>
      </c>
      <c r="FY55" s="11" t="s">
        <v>37</v>
      </c>
      <c r="FZ55" s="13" t="s">
        <v>37</v>
      </c>
      <c r="GA55" s="11" t="s">
        <v>37</v>
      </c>
      <c r="GB55" s="11" t="s">
        <v>37</v>
      </c>
      <c r="GO55" s="12" t="s">
        <v>660</v>
      </c>
      <c r="GP55" s="12" t="s">
        <v>330</v>
      </c>
      <c r="GQ55" s="12">
        <v>12.3</v>
      </c>
      <c r="GR55" s="12">
        <v>0.2</v>
      </c>
      <c r="GS55" s="13">
        <v>3</v>
      </c>
      <c r="GT55" s="19">
        <f t="shared" si="145"/>
        <v>1.6260162601626015E-2</v>
      </c>
      <c r="GU55" s="12">
        <v>13.1</v>
      </c>
      <c r="GV55" s="12">
        <v>0.1</v>
      </c>
      <c r="GW55" s="13">
        <v>3</v>
      </c>
      <c r="GX55" s="19">
        <f t="shared" si="146"/>
        <v>7.6335877862595426E-3</v>
      </c>
      <c r="GY55" s="19">
        <f t="shared" si="162"/>
        <v>6.301296782873396E-2</v>
      </c>
      <c r="GZ55" s="19">
        <f t="shared" si="169"/>
        <v>1.0755485010728274E-4</v>
      </c>
      <c r="IK55" s="12" t="s">
        <v>37</v>
      </c>
      <c r="IL55" s="12" t="s">
        <v>37</v>
      </c>
      <c r="IM55" s="13" t="s">
        <v>37</v>
      </c>
      <c r="IO55" s="12" t="s">
        <v>37</v>
      </c>
      <c r="IP55" s="12" t="s">
        <v>37</v>
      </c>
      <c r="IQ55" s="13" t="s">
        <v>37</v>
      </c>
      <c r="IV55" s="32" t="s">
        <v>345</v>
      </c>
      <c r="IW55" s="12">
        <v>4.0999999999999996</v>
      </c>
      <c r="IX55" s="12">
        <v>0.1</v>
      </c>
      <c r="IY55" s="13">
        <v>3</v>
      </c>
      <c r="IZ55" s="19">
        <f t="shared" si="147"/>
        <v>2.4390243902439029E-2</v>
      </c>
      <c r="JH55" s="12" t="s">
        <v>37</v>
      </c>
      <c r="JI55" s="12" t="s">
        <v>37</v>
      </c>
      <c r="JJ55" s="13" t="s">
        <v>37</v>
      </c>
      <c r="JL55" s="12" t="s">
        <v>37</v>
      </c>
      <c r="JM55" s="12" t="s">
        <v>37</v>
      </c>
      <c r="JN55" s="12" t="s">
        <v>37</v>
      </c>
      <c r="JS55" s="12" t="s">
        <v>37</v>
      </c>
      <c r="JT55" s="12" t="s">
        <v>37</v>
      </c>
      <c r="JU55" s="13" t="s">
        <v>37</v>
      </c>
      <c r="JW55" s="12" t="s">
        <v>37</v>
      </c>
      <c r="JX55" s="12" t="s">
        <v>37</v>
      </c>
      <c r="JY55" s="12" t="s">
        <v>37</v>
      </c>
      <c r="KE55" s="11" t="s">
        <v>37</v>
      </c>
      <c r="KF55" s="11" t="s">
        <v>37</v>
      </c>
      <c r="KG55" s="13" t="s">
        <v>37</v>
      </c>
      <c r="KH55" s="11" t="s">
        <v>37</v>
      </c>
      <c r="KI55" s="11" t="s">
        <v>37</v>
      </c>
      <c r="KJ55" s="11" t="s">
        <v>37</v>
      </c>
      <c r="KM55" s="12" t="s">
        <v>37</v>
      </c>
      <c r="KN55" s="12" t="s">
        <v>37</v>
      </c>
      <c r="KO55" s="11" t="s">
        <v>37</v>
      </c>
      <c r="KQ55" s="12" t="s">
        <v>37</v>
      </c>
      <c r="KR55" s="12" t="s">
        <v>37</v>
      </c>
      <c r="KS55" s="13" t="s">
        <v>37</v>
      </c>
      <c r="KX55" s="12" t="s">
        <v>37</v>
      </c>
      <c r="KY55" s="12" t="s">
        <v>37</v>
      </c>
      <c r="KZ55" s="13" t="s">
        <v>37</v>
      </c>
      <c r="LB55" s="12" t="s">
        <v>37</v>
      </c>
      <c r="LC55" s="12" t="s">
        <v>37</v>
      </c>
      <c r="LD55" s="13" t="s">
        <v>37</v>
      </c>
      <c r="LI55" s="12" t="s">
        <v>37</v>
      </c>
      <c r="LJ55" s="12" t="s">
        <v>37</v>
      </c>
      <c r="LK55" s="12" t="s">
        <v>37</v>
      </c>
      <c r="LM55" s="12" t="s">
        <v>37</v>
      </c>
      <c r="LN55" s="12" t="s">
        <v>37</v>
      </c>
      <c r="LO55" s="12" t="s">
        <v>37</v>
      </c>
      <c r="LU55" s="12" t="s">
        <v>37</v>
      </c>
      <c r="LV55" s="12" t="s">
        <v>37</v>
      </c>
      <c r="LW55" s="13" t="s">
        <v>37</v>
      </c>
      <c r="LY55" s="12" t="s">
        <v>37</v>
      </c>
      <c r="LZ55" s="12" t="s">
        <v>37</v>
      </c>
      <c r="MA55" s="12" t="s">
        <v>37</v>
      </c>
      <c r="MF55" s="12" t="s">
        <v>37</v>
      </c>
      <c r="MG55" s="12" t="s">
        <v>37</v>
      </c>
      <c r="MH55" s="12" t="s">
        <v>37</v>
      </c>
      <c r="MJ55" s="12" t="s">
        <v>37</v>
      </c>
      <c r="MK55" s="12" t="s">
        <v>37</v>
      </c>
      <c r="ML55" s="12" t="s">
        <v>37</v>
      </c>
      <c r="MQ55" s="12" t="s">
        <v>37</v>
      </c>
      <c r="MR55" s="12" t="s">
        <v>37</v>
      </c>
      <c r="MS55" s="12" t="s">
        <v>37</v>
      </c>
      <c r="MU55" s="12" t="s">
        <v>37</v>
      </c>
      <c r="MV55" s="12" t="s">
        <v>37</v>
      </c>
      <c r="MW55" s="12" t="s">
        <v>37</v>
      </c>
      <c r="NC55" s="12" t="s">
        <v>37</v>
      </c>
      <c r="ND55" s="12" t="s">
        <v>37</v>
      </c>
      <c r="NE55" s="13" t="s">
        <v>37</v>
      </c>
      <c r="NG55" s="12" t="s">
        <v>37</v>
      </c>
      <c r="NH55" s="12" t="s">
        <v>37</v>
      </c>
      <c r="NI55" s="13" t="s">
        <v>37</v>
      </c>
      <c r="NO55" s="12" t="s">
        <v>37</v>
      </c>
      <c r="NP55" s="12" t="s">
        <v>37</v>
      </c>
      <c r="NQ55" s="13" t="s">
        <v>37</v>
      </c>
      <c r="NS55" s="12" t="s">
        <v>37</v>
      </c>
      <c r="NT55" s="12" t="s">
        <v>37</v>
      </c>
      <c r="NU55" s="13" t="s">
        <v>37</v>
      </c>
      <c r="OA55" s="11" t="s">
        <v>37</v>
      </c>
      <c r="OB55" s="11" t="s">
        <v>37</v>
      </c>
      <c r="OC55" s="13" t="s">
        <v>37</v>
      </c>
      <c r="OE55" s="11" t="s">
        <v>37</v>
      </c>
      <c r="OF55" s="11" t="s">
        <v>37</v>
      </c>
      <c r="OG55" s="13" t="s">
        <v>37</v>
      </c>
      <c r="OM55" s="11" t="s">
        <v>37</v>
      </c>
      <c r="ON55" s="11" t="s">
        <v>37</v>
      </c>
      <c r="OO55" s="11" t="s">
        <v>37</v>
      </c>
      <c r="OP55" s="11" t="s">
        <v>37</v>
      </c>
      <c r="OQ55" s="11" t="s">
        <v>37</v>
      </c>
      <c r="OR55" s="11" t="s">
        <v>37</v>
      </c>
      <c r="OW55" s="11" t="s">
        <v>37</v>
      </c>
      <c r="OX55" s="11" t="s">
        <v>37</v>
      </c>
      <c r="OY55" s="13" t="s">
        <v>37</v>
      </c>
      <c r="OZ55" s="11" t="s">
        <v>37</v>
      </c>
      <c r="PA55" s="11" t="s">
        <v>37</v>
      </c>
      <c r="PB55" s="13" t="s">
        <v>37</v>
      </c>
      <c r="PG55" s="11" t="s">
        <v>37</v>
      </c>
      <c r="PH55" s="11" t="s">
        <v>37</v>
      </c>
      <c r="PI55" s="13" t="s">
        <v>37</v>
      </c>
      <c r="PJ55" s="11" t="s">
        <v>37</v>
      </c>
      <c r="PK55" s="11" t="s">
        <v>37</v>
      </c>
      <c r="PL55" s="13" t="s">
        <v>37</v>
      </c>
      <c r="PQ55" s="11" t="s">
        <v>37</v>
      </c>
      <c r="PR55" s="11" t="s">
        <v>37</v>
      </c>
      <c r="PS55" s="13" t="s">
        <v>37</v>
      </c>
      <c r="PT55" s="11" t="s">
        <v>37</v>
      </c>
      <c r="PU55" s="11" t="s">
        <v>37</v>
      </c>
      <c r="PV55" s="13" t="s">
        <v>37</v>
      </c>
      <c r="PY55" s="12" t="s">
        <v>43</v>
      </c>
      <c r="PZ55" s="12">
        <v>399</v>
      </c>
      <c r="QA55" s="12">
        <f t="shared" ref="QA55:QA58" si="200">24*SQRT(3)</f>
        <v>41.569219381653056</v>
      </c>
      <c r="QB55" s="11">
        <v>3</v>
      </c>
      <c r="QC55" s="19">
        <f t="shared" si="155"/>
        <v>0.10418350722218811</v>
      </c>
      <c r="QD55" s="12">
        <v>251</v>
      </c>
      <c r="QE55" s="12">
        <f t="shared" ref="QE55" si="201">78*SQRT(3)</f>
        <v>135.09996299037243</v>
      </c>
      <c r="QF55" s="13">
        <v>3</v>
      </c>
      <c r="QG55" s="19">
        <f t="shared" si="156"/>
        <v>0.53824686450347581</v>
      </c>
      <c r="QH55" s="19">
        <f t="shared" si="148"/>
        <v>-0.46350847775807952</v>
      </c>
      <c r="QI55" s="19">
        <f t="shared" si="149"/>
        <v>0.10018796344164625</v>
      </c>
      <c r="QJ55" s="12" t="s">
        <v>43</v>
      </c>
      <c r="QK55" s="12">
        <v>568</v>
      </c>
      <c r="QL55" s="12">
        <f t="shared" si="199"/>
        <v>83.138438763306112</v>
      </c>
      <c r="QM55" s="13">
        <v>3</v>
      </c>
      <c r="QN55" s="12">
        <v>441</v>
      </c>
      <c r="QO55" s="12">
        <f t="shared" ref="QO55" si="202">96*SQRT(3)</f>
        <v>166.27687752661222</v>
      </c>
      <c r="QP55" s="13">
        <v>3</v>
      </c>
      <c r="QQ55" s="19">
        <f t="shared" si="158"/>
        <v>-0.25307654327430534</v>
      </c>
      <c r="QR55" s="19">
        <f t="shared" si="150"/>
        <v>5.452910273845081E-2</v>
      </c>
      <c r="QU55" s="11" t="s">
        <v>37</v>
      </c>
      <c r="QV55" s="11" t="s">
        <v>37</v>
      </c>
      <c r="QW55" s="13" t="s">
        <v>37</v>
      </c>
      <c r="QX55" s="11" t="s">
        <v>37</v>
      </c>
      <c r="QY55" s="11" t="s">
        <v>37</v>
      </c>
      <c r="QZ55" s="13" t="s">
        <v>37</v>
      </c>
      <c r="RC55" s="12" t="s">
        <v>37</v>
      </c>
      <c r="RD55" s="12" t="s">
        <v>37</v>
      </c>
      <c r="RE55" s="13" t="s">
        <v>37</v>
      </c>
      <c r="RF55" s="12" t="s">
        <v>37</v>
      </c>
      <c r="RG55" s="12" t="s">
        <v>37</v>
      </c>
      <c r="RH55" s="13" t="s">
        <v>37</v>
      </c>
      <c r="RK55" s="11" t="s">
        <v>37</v>
      </c>
      <c r="RL55" s="11" t="s">
        <v>37</v>
      </c>
      <c r="RM55" s="11" t="s">
        <v>37</v>
      </c>
      <c r="RN55" s="11" t="s">
        <v>37</v>
      </c>
      <c r="RO55" s="11" t="s">
        <v>37</v>
      </c>
      <c r="RP55" s="11" t="s">
        <v>37</v>
      </c>
      <c r="RS55" s="11" t="s">
        <v>37</v>
      </c>
      <c r="RT55" s="11" t="s">
        <v>37</v>
      </c>
      <c r="RU55" s="11" t="s">
        <v>37</v>
      </c>
      <c r="RV55" s="11" t="s">
        <v>37</v>
      </c>
      <c r="RW55" s="11" t="s">
        <v>37</v>
      </c>
      <c r="RX55" s="11" t="s">
        <v>37</v>
      </c>
      <c r="SA55" s="11" t="s">
        <v>37</v>
      </c>
      <c r="SB55" s="11" t="s">
        <v>37</v>
      </c>
      <c r="SC55" s="13" t="s">
        <v>37</v>
      </c>
      <c r="SD55" s="11" t="s">
        <v>37</v>
      </c>
      <c r="SE55" s="11" t="s">
        <v>37</v>
      </c>
      <c r="SF55" s="13" t="s">
        <v>37</v>
      </c>
      <c r="SI55" s="12" t="s">
        <v>37</v>
      </c>
      <c r="SJ55" s="11" t="s">
        <v>37</v>
      </c>
      <c r="SK55" s="13" t="s">
        <v>37</v>
      </c>
      <c r="SM55" s="11" t="s">
        <v>37</v>
      </c>
      <c r="SN55" s="11" t="s">
        <v>37</v>
      </c>
      <c r="SO55" s="13" t="s">
        <v>37</v>
      </c>
      <c r="SU55" s="12" t="s">
        <v>37</v>
      </c>
      <c r="SV55" s="12" t="s">
        <v>37</v>
      </c>
      <c r="SW55" s="11" t="s">
        <v>37</v>
      </c>
      <c r="SX55" s="12" t="s">
        <v>37</v>
      </c>
      <c r="SY55" s="12" t="s">
        <v>37</v>
      </c>
      <c r="SZ55" s="11" t="s">
        <v>37</v>
      </c>
      <c r="TE55" s="12" t="s">
        <v>37</v>
      </c>
      <c r="TF55" s="12" t="s">
        <v>37</v>
      </c>
      <c r="TG55" s="11" t="s">
        <v>37</v>
      </c>
      <c r="TH55" s="12" t="s">
        <v>37</v>
      </c>
      <c r="TI55" s="12" t="s">
        <v>37</v>
      </c>
      <c r="TJ55" s="11" t="s">
        <v>37</v>
      </c>
      <c r="TO55" s="12" t="s">
        <v>37</v>
      </c>
      <c r="TP55" s="12" t="s">
        <v>37</v>
      </c>
      <c r="TQ55" s="11" t="s">
        <v>37</v>
      </c>
      <c r="TR55" s="12" t="s">
        <v>37</v>
      </c>
      <c r="TS55" s="12" t="s">
        <v>37</v>
      </c>
      <c r="TT55" s="11" t="s">
        <v>37</v>
      </c>
      <c r="TY55" s="12" t="s">
        <v>37</v>
      </c>
      <c r="TZ55" s="12" t="s">
        <v>37</v>
      </c>
      <c r="UA55" s="11" t="s">
        <v>37</v>
      </c>
      <c r="UB55" s="12" t="s">
        <v>37</v>
      </c>
      <c r="UC55" s="12" t="s">
        <v>37</v>
      </c>
      <c r="UD55" s="11" t="s">
        <v>37</v>
      </c>
      <c r="UI55" s="12" t="s">
        <v>37</v>
      </c>
      <c r="UJ55" s="12" t="s">
        <v>37</v>
      </c>
      <c r="UK55" s="13" t="s">
        <v>37</v>
      </c>
      <c r="UL55" s="12" t="s">
        <v>37</v>
      </c>
      <c r="UM55" s="12" t="s">
        <v>37</v>
      </c>
      <c r="UN55" s="13" t="s">
        <v>37</v>
      </c>
      <c r="UR55" s="12" t="s">
        <v>37</v>
      </c>
      <c r="US55" s="12" t="s">
        <v>37</v>
      </c>
      <c r="UT55" s="13" t="s">
        <v>37</v>
      </c>
      <c r="UU55" s="12" t="s">
        <v>37</v>
      </c>
      <c r="UV55" s="12" t="s">
        <v>37</v>
      </c>
      <c r="UW55" s="13" t="s">
        <v>37</v>
      </c>
      <c r="VB55" s="12" t="s">
        <v>37</v>
      </c>
      <c r="VC55" s="12" t="s">
        <v>37</v>
      </c>
      <c r="VD55" s="13" t="s">
        <v>37</v>
      </c>
      <c r="VE55" s="12" t="s">
        <v>37</v>
      </c>
      <c r="VF55" s="12" t="s">
        <v>37</v>
      </c>
      <c r="VG55" s="13" t="s">
        <v>37</v>
      </c>
      <c r="VI55" s="12" t="s">
        <v>37</v>
      </c>
      <c r="VJ55" s="12" t="s">
        <v>37</v>
      </c>
      <c r="VK55" s="13" t="s">
        <v>37</v>
      </c>
      <c r="VL55" s="12" t="s">
        <v>37</v>
      </c>
      <c r="VM55" s="12" t="s">
        <v>37</v>
      </c>
      <c r="VN55" s="13" t="s">
        <v>37</v>
      </c>
      <c r="VO55" s="12" t="s">
        <v>37</v>
      </c>
      <c r="VQ55" s="12" t="s">
        <v>37</v>
      </c>
      <c r="VR55" s="12" t="s">
        <v>37</v>
      </c>
      <c r="VS55" s="12" t="s">
        <v>37</v>
      </c>
      <c r="VT55" s="12" t="s">
        <v>37</v>
      </c>
      <c r="VU55" s="12" t="s">
        <v>37</v>
      </c>
      <c r="VV55" s="12" t="s">
        <v>37</v>
      </c>
      <c r="VW55" s="12"/>
      <c r="VX55" s="12"/>
      <c r="WA55" s="13" t="s">
        <v>37</v>
      </c>
      <c r="WB55" s="13" t="s">
        <v>37</v>
      </c>
      <c r="WC55" s="13" t="s">
        <v>37</v>
      </c>
      <c r="WD55" s="13" t="s">
        <v>37</v>
      </c>
      <c r="WE55" s="13" t="s">
        <v>37</v>
      </c>
      <c r="WF55" s="13" t="s">
        <v>37</v>
      </c>
    </row>
    <row r="56" spans="1:604" ht="18" customHeight="1" x14ac:dyDescent="0.4">
      <c r="A56" s="11">
        <v>12</v>
      </c>
      <c r="B56" s="12" t="s">
        <v>111</v>
      </c>
      <c r="C56" s="12" t="s">
        <v>26</v>
      </c>
      <c r="D56" s="12" t="s">
        <v>973</v>
      </c>
      <c r="E56" s="81">
        <v>4.5</v>
      </c>
      <c r="F56" s="14">
        <v>0</v>
      </c>
      <c r="G56" s="14">
        <v>0</v>
      </c>
      <c r="H56" s="12" t="s">
        <v>91</v>
      </c>
      <c r="I56" s="29">
        <v>55.35</v>
      </c>
      <c r="J56" s="29">
        <v>-112.517</v>
      </c>
      <c r="K56" s="12" t="s">
        <v>696</v>
      </c>
      <c r="L56" s="12" t="s">
        <v>697</v>
      </c>
      <c r="M56" s="13" t="s">
        <v>37</v>
      </c>
      <c r="N56" s="14">
        <v>2.1</v>
      </c>
      <c r="O56" s="14">
        <v>504</v>
      </c>
      <c r="P56" s="14" t="s">
        <v>84</v>
      </c>
      <c r="Q56" s="75">
        <v>12</v>
      </c>
      <c r="R56" s="11" t="s">
        <v>999</v>
      </c>
      <c r="S56" s="12" t="s">
        <v>93</v>
      </c>
      <c r="T56" s="12" t="s">
        <v>141</v>
      </c>
      <c r="U56" s="12" t="s">
        <v>163</v>
      </c>
      <c r="V56" s="12" t="s">
        <v>275</v>
      </c>
      <c r="W56" s="23" t="s">
        <v>499</v>
      </c>
      <c r="X56" s="12" t="s">
        <v>282</v>
      </c>
      <c r="Y56" s="12" t="s">
        <v>69</v>
      </c>
      <c r="Z56" s="12" t="s">
        <v>37</v>
      </c>
      <c r="AA56" s="32" t="s">
        <v>345</v>
      </c>
      <c r="AB56" s="12">
        <v>4.0999999999999996</v>
      </c>
      <c r="AE56" s="12" t="s">
        <v>37</v>
      </c>
      <c r="AH56" s="12" t="s">
        <v>37</v>
      </c>
      <c r="AK56" s="12" t="s">
        <v>37</v>
      </c>
      <c r="AL56" s="32" t="s">
        <v>497</v>
      </c>
      <c r="AM56" s="12" t="s">
        <v>317</v>
      </c>
      <c r="AN56" s="32" t="s">
        <v>879</v>
      </c>
      <c r="AO56" s="12" t="s">
        <v>29</v>
      </c>
      <c r="AP56" s="12" t="s">
        <v>108</v>
      </c>
      <c r="AQ56" s="12" t="s">
        <v>975</v>
      </c>
      <c r="AT56" s="12" t="s">
        <v>326</v>
      </c>
      <c r="AU56" s="12" t="s">
        <v>326</v>
      </c>
      <c r="AV56" s="13" t="s">
        <v>326</v>
      </c>
      <c r="AX56" s="12" t="s">
        <v>326</v>
      </c>
      <c r="AY56" s="12" t="s">
        <v>326</v>
      </c>
      <c r="AZ56" s="13" t="s">
        <v>326</v>
      </c>
      <c r="BE56" s="12" t="s">
        <v>326</v>
      </c>
      <c r="BF56" s="12" t="s">
        <v>326</v>
      </c>
      <c r="BG56" s="12" t="s">
        <v>326</v>
      </c>
      <c r="BI56" s="12" t="s">
        <v>326</v>
      </c>
      <c r="BJ56" s="12" t="s">
        <v>326</v>
      </c>
      <c r="BK56" s="12" t="s">
        <v>326</v>
      </c>
      <c r="BP56" s="12" t="s">
        <v>37</v>
      </c>
      <c r="BQ56" s="12" t="s">
        <v>37</v>
      </c>
      <c r="BR56" s="13" t="s">
        <v>37</v>
      </c>
      <c r="BT56" s="12" t="s">
        <v>37</v>
      </c>
      <c r="BU56" s="12" t="s">
        <v>37</v>
      </c>
      <c r="BV56" s="12" t="s">
        <v>37</v>
      </c>
      <c r="CA56" s="12" t="s">
        <v>37</v>
      </c>
      <c r="CB56" s="12" t="s">
        <v>37</v>
      </c>
      <c r="CC56" s="13" t="s">
        <v>37</v>
      </c>
      <c r="CE56" s="12" t="s">
        <v>37</v>
      </c>
      <c r="CF56" s="12" t="s">
        <v>37</v>
      </c>
      <c r="CG56" s="13" t="s">
        <v>37</v>
      </c>
      <c r="CI56" s="52"/>
      <c r="CK56" s="73"/>
      <c r="CL56" s="73"/>
      <c r="CN56" s="12" t="s">
        <v>37</v>
      </c>
      <c r="CO56" s="12" t="s">
        <v>37</v>
      </c>
      <c r="CP56" s="13" t="s">
        <v>37</v>
      </c>
      <c r="CR56" s="12" t="s">
        <v>37</v>
      </c>
      <c r="CS56" s="12" t="s">
        <v>37</v>
      </c>
      <c r="CT56" s="13" t="s">
        <v>37</v>
      </c>
      <c r="CV56" s="52"/>
      <c r="CW56" s="52"/>
      <c r="CX56" s="73"/>
      <c r="CY56" s="73"/>
      <c r="DA56" s="12" t="s">
        <v>37</v>
      </c>
      <c r="DB56" s="12" t="s">
        <v>37</v>
      </c>
      <c r="DC56" s="13" t="s">
        <v>37</v>
      </c>
      <c r="DE56" s="12" t="s">
        <v>37</v>
      </c>
      <c r="DF56" s="12" t="s">
        <v>37</v>
      </c>
      <c r="DG56" s="13" t="s">
        <v>37</v>
      </c>
      <c r="DI56" s="52"/>
      <c r="DJ56" s="52"/>
      <c r="DK56" s="73"/>
      <c r="DL56" s="73"/>
      <c r="DM56" s="15" t="s">
        <v>47</v>
      </c>
      <c r="DN56" s="52">
        <f>2.35*10^4/10^6*("2011/10/31"-"2011/05/01")/'[1]classes-1'!$I$61</f>
        <v>4.9255681733440708</v>
      </c>
      <c r="DO56" s="12">
        <f>DO55</f>
        <v>6.4838403831872826</v>
      </c>
      <c r="DP56" s="18">
        <v>3</v>
      </c>
      <c r="DQ56" s="19">
        <f t="shared" si="193"/>
        <v>1.3163639513256942</v>
      </c>
      <c r="DR56" s="52">
        <f>1.2*10^4/10^6*("2011/10/31"-"2011/05/01")/'[1]classes-1'!$I$62</f>
        <v>2.5655992526671083</v>
      </c>
      <c r="DS56" s="12">
        <f>SQRT((1/[2]Classes!$I$62)^2*(1.01*10^4/10^6*("2011/10/31"-"2011/05/01"))^2+(-DR56/([2]Classes!$I$62)^2)^2*([2]Classes!$J$62)^2)</f>
        <v>2.1677925245184233</v>
      </c>
      <c r="DT56" s="18">
        <v>3</v>
      </c>
      <c r="DU56" s="19">
        <f t="shared" si="194"/>
        <v>0.84494588243462465</v>
      </c>
      <c r="DV56" s="19">
        <f t="shared" si="198"/>
        <v>-2.3599689206769625</v>
      </c>
      <c r="DW56" s="12">
        <f t="shared" si="195"/>
        <v>4.8342274741683475</v>
      </c>
      <c r="DX56" s="72">
        <f t="shared" si="196"/>
        <v>15.579836848002723</v>
      </c>
      <c r="DY56" s="72">
        <f t="shared" si="197"/>
        <v>15.579836848002723</v>
      </c>
      <c r="DZ56" s="15"/>
      <c r="EA56" s="52" t="s">
        <v>37</v>
      </c>
      <c r="EB56" s="52" t="s">
        <v>37</v>
      </c>
      <c r="EC56" s="73" t="s">
        <v>37</v>
      </c>
      <c r="ED56" s="52"/>
      <c r="EE56" s="52" t="s">
        <v>37</v>
      </c>
      <c r="EF56" s="52" t="s">
        <v>37</v>
      </c>
      <c r="EG56" s="15" t="s">
        <v>37</v>
      </c>
      <c r="EH56" s="52"/>
      <c r="EI56" s="52"/>
      <c r="EJ56" s="52"/>
      <c r="EK56" s="52"/>
      <c r="EL56" s="52"/>
      <c r="EM56" s="12" t="s">
        <v>39</v>
      </c>
      <c r="EN56" s="12">
        <f>EN54-9</f>
        <v>-47</v>
      </c>
      <c r="EO56" s="12">
        <v>6.8</v>
      </c>
      <c r="EP56" s="13">
        <v>3</v>
      </c>
      <c r="EQ56" s="19">
        <f t="shared" si="139"/>
        <v>0.14468085106382977</v>
      </c>
      <c r="ER56" s="12">
        <f>ER54-8</f>
        <v>-120</v>
      </c>
      <c r="ES56" s="12">
        <v>11.8</v>
      </c>
      <c r="ET56" s="13">
        <v>3</v>
      </c>
      <c r="EU56" s="19">
        <f t="shared" si="140"/>
        <v>9.8333333333333342E-2</v>
      </c>
      <c r="EV56" s="19">
        <f t="shared" si="141"/>
        <v>-73</v>
      </c>
      <c r="EW56" s="12">
        <f t="shared" si="142"/>
        <v>9.630160954002795</v>
      </c>
      <c r="EX56" s="19">
        <f t="shared" si="143"/>
        <v>61.826666666666668</v>
      </c>
      <c r="EY56" s="19">
        <f t="shared" si="144"/>
        <v>61.826666666666668</v>
      </c>
      <c r="FB56" s="11" t="s">
        <v>37</v>
      </c>
      <c r="FC56" s="11" t="s">
        <v>37</v>
      </c>
      <c r="FD56" s="11" t="s">
        <v>37</v>
      </c>
      <c r="FE56" s="12" t="s">
        <v>37</v>
      </c>
      <c r="FF56" s="20" t="s">
        <v>37</v>
      </c>
      <c r="FG56" s="11" t="s">
        <v>37</v>
      </c>
      <c r="FI56" s="11" t="s">
        <v>37</v>
      </c>
      <c r="FJ56" s="11" t="s">
        <v>37</v>
      </c>
      <c r="FK56" s="11" t="s">
        <v>37</v>
      </c>
      <c r="FL56" s="13" t="s">
        <v>37</v>
      </c>
      <c r="FM56" s="11" t="s">
        <v>37</v>
      </c>
      <c r="FN56" s="11" t="s">
        <v>37</v>
      </c>
      <c r="FP56" s="11" t="s">
        <v>37</v>
      </c>
      <c r="FQ56" s="11" t="s">
        <v>37</v>
      </c>
      <c r="FR56" s="11" t="s">
        <v>37</v>
      </c>
      <c r="FS56" s="13" t="s">
        <v>37</v>
      </c>
      <c r="FT56" s="11" t="s">
        <v>37</v>
      </c>
      <c r="FU56" s="11" t="s">
        <v>37</v>
      </c>
      <c r="FW56" s="11" t="s">
        <v>37</v>
      </c>
      <c r="FX56" s="11" t="s">
        <v>37</v>
      </c>
      <c r="FY56" s="11" t="s">
        <v>37</v>
      </c>
      <c r="FZ56" s="13" t="s">
        <v>37</v>
      </c>
      <c r="GA56" s="11" t="s">
        <v>37</v>
      </c>
      <c r="GB56" s="11" t="s">
        <v>37</v>
      </c>
      <c r="GO56" s="12" t="s">
        <v>660</v>
      </c>
      <c r="GP56" s="12" t="s">
        <v>330</v>
      </c>
      <c r="GQ56" s="12">
        <v>12.3</v>
      </c>
      <c r="GR56" s="12">
        <v>0.2</v>
      </c>
      <c r="GS56" s="13">
        <v>3</v>
      </c>
      <c r="GT56" s="19">
        <f t="shared" si="145"/>
        <v>1.6260162601626015E-2</v>
      </c>
      <c r="GU56" s="12">
        <v>13.7</v>
      </c>
      <c r="GV56" s="12">
        <v>0.1</v>
      </c>
      <c r="GW56" s="13">
        <v>3</v>
      </c>
      <c r="GX56" s="19">
        <f t="shared" si="146"/>
        <v>7.2992700729927014E-3</v>
      </c>
      <c r="GY56" s="19">
        <f t="shared" ref="GY56:GY76" si="203">LN(GU56/GQ56)</f>
        <v>0.10779657045570738</v>
      </c>
      <c r="GZ56" s="19">
        <f t="shared" ref="GZ56:GZ76" si="204">GV56^2/(GW56*GU56^2)+GR56^2/(GS56*GQ56^2)</f>
        <v>1.0589074380993474E-4</v>
      </c>
      <c r="HA56" s="12"/>
      <c r="HB56" s="32"/>
      <c r="HM56" s="32"/>
      <c r="IK56" s="12" t="s">
        <v>37</v>
      </c>
      <c r="IL56" s="12" t="s">
        <v>37</v>
      </c>
      <c r="IM56" s="13" t="s">
        <v>37</v>
      </c>
      <c r="IO56" s="12" t="s">
        <v>37</v>
      </c>
      <c r="IP56" s="12" t="s">
        <v>37</v>
      </c>
      <c r="IQ56" s="13" t="s">
        <v>37</v>
      </c>
      <c r="IV56" s="32" t="s">
        <v>345</v>
      </c>
      <c r="IW56" s="12">
        <v>4.0999999999999996</v>
      </c>
      <c r="IX56" s="12">
        <v>0.1</v>
      </c>
      <c r="IY56" s="13">
        <v>3</v>
      </c>
      <c r="IZ56" s="19">
        <f t="shared" si="147"/>
        <v>2.4390243902439029E-2</v>
      </c>
      <c r="JH56" s="12" t="s">
        <v>37</v>
      </c>
      <c r="JI56" s="12" t="s">
        <v>37</v>
      </c>
      <c r="JJ56" s="13" t="s">
        <v>37</v>
      </c>
      <c r="JL56" s="12" t="s">
        <v>37</v>
      </c>
      <c r="JM56" s="12" t="s">
        <v>37</v>
      </c>
      <c r="JN56" s="12" t="s">
        <v>37</v>
      </c>
      <c r="JS56" s="12" t="s">
        <v>37</v>
      </c>
      <c r="JT56" s="12" t="s">
        <v>37</v>
      </c>
      <c r="JU56" s="13" t="s">
        <v>37</v>
      </c>
      <c r="JW56" s="12" t="s">
        <v>37</v>
      </c>
      <c r="JX56" s="12" t="s">
        <v>37</v>
      </c>
      <c r="JY56" s="12" t="s">
        <v>37</v>
      </c>
      <c r="KE56" s="11" t="s">
        <v>37</v>
      </c>
      <c r="KF56" s="11" t="s">
        <v>37</v>
      </c>
      <c r="KG56" s="13" t="s">
        <v>37</v>
      </c>
      <c r="KH56" s="11" t="s">
        <v>37</v>
      </c>
      <c r="KI56" s="11" t="s">
        <v>37</v>
      </c>
      <c r="KJ56" s="11" t="s">
        <v>37</v>
      </c>
      <c r="KM56" s="12" t="s">
        <v>37</v>
      </c>
      <c r="KN56" s="12" t="s">
        <v>37</v>
      </c>
      <c r="KO56" s="11" t="s">
        <v>37</v>
      </c>
      <c r="KQ56" s="12" t="s">
        <v>37</v>
      </c>
      <c r="KR56" s="12" t="s">
        <v>37</v>
      </c>
      <c r="KS56" s="13" t="s">
        <v>37</v>
      </c>
      <c r="KX56" s="12" t="s">
        <v>37</v>
      </c>
      <c r="KY56" s="12" t="s">
        <v>37</v>
      </c>
      <c r="KZ56" s="13" t="s">
        <v>37</v>
      </c>
      <c r="LB56" s="12" t="s">
        <v>37</v>
      </c>
      <c r="LC56" s="12" t="s">
        <v>37</v>
      </c>
      <c r="LD56" s="13" t="s">
        <v>37</v>
      </c>
      <c r="LI56" s="12" t="s">
        <v>37</v>
      </c>
      <c r="LJ56" s="12" t="s">
        <v>37</v>
      </c>
      <c r="LK56" s="12" t="s">
        <v>37</v>
      </c>
      <c r="LM56" s="12" t="s">
        <v>37</v>
      </c>
      <c r="LN56" s="12" t="s">
        <v>37</v>
      </c>
      <c r="LO56" s="12" t="s">
        <v>37</v>
      </c>
      <c r="LU56" s="12" t="s">
        <v>37</v>
      </c>
      <c r="LV56" s="12" t="s">
        <v>37</v>
      </c>
      <c r="LW56" s="13" t="s">
        <v>37</v>
      </c>
      <c r="LY56" s="12" t="s">
        <v>37</v>
      </c>
      <c r="LZ56" s="12" t="s">
        <v>37</v>
      </c>
      <c r="MA56" s="12" t="s">
        <v>37</v>
      </c>
      <c r="MF56" s="12" t="s">
        <v>37</v>
      </c>
      <c r="MG56" s="12" t="s">
        <v>37</v>
      </c>
      <c r="MH56" s="12" t="s">
        <v>37</v>
      </c>
      <c r="MJ56" s="12" t="s">
        <v>37</v>
      </c>
      <c r="MK56" s="12" t="s">
        <v>37</v>
      </c>
      <c r="ML56" s="12" t="s">
        <v>37</v>
      </c>
      <c r="MQ56" s="12" t="s">
        <v>37</v>
      </c>
      <c r="MR56" s="12" t="s">
        <v>37</v>
      </c>
      <c r="MS56" s="12" t="s">
        <v>37</v>
      </c>
      <c r="MU56" s="12" t="s">
        <v>37</v>
      </c>
      <c r="MV56" s="12" t="s">
        <v>37</v>
      </c>
      <c r="MW56" s="12" t="s">
        <v>37</v>
      </c>
      <c r="NC56" s="12" t="s">
        <v>37</v>
      </c>
      <c r="ND56" s="12" t="s">
        <v>37</v>
      </c>
      <c r="NE56" s="13" t="s">
        <v>37</v>
      </c>
      <c r="NG56" s="12" t="s">
        <v>37</v>
      </c>
      <c r="NH56" s="12" t="s">
        <v>37</v>
      </c>
      <c r="NI56" s="13" t="s">
        <v>37</v>
      </c>
      <c r="NO56" s="12" t="s">
        <v>37</v>
      </c>
      <c r="NP56" s="12" t="s">
        <v>37</v>
      </c>
      <c r="NQ56" s="13" t="s">
        <v>37</v>
      </c>
      <c r="NS56" s="12" t="s">
        <v>37</v>
      </c>
      <c r="NT56" s="12" t="s">
        <v>37</v>
      </c>
      <c r="NU56" s="13" t="s">
        <v>37</v>
      </c>
      <c r="OA56" s="11" t="s">
        <v>37</v>
      </c>
      <c r="OB56" s="11" t="s">
        <v>37</v>
      </c>
      <c r="OC56" s="13" t="s">
        <v>37</v>
      </c>
      <c r="OE56" s="11" t="s">
        <v>37</v>
      </c>
      <c r="OF56" s="11" t="s">
        <v>37</v>
      </c>
      <c r="OG56" s="13" t="s">
        <v>37</v>
      </c>
      <c r="OM56" s="11" t="s">
        <v>37</v>
      </c>
      <c r="ON56" s="11" t="s">
        <v>37</v>
      </c>
      <c r="OO56" s="11" t="s">
        <v>37</v>
      </c>
      <c r="OP56" s="11" t="s">
        <v>37</v>
      </c>
      <c r="OQ56" s="11" t="s">
        <v>37</v>
      </c>
      <c r="OR56" s="11" t="s">
        <v>37</v>
      </c>
      <c r="OW56" s="11" t="s">
        <v>37</v>
      </c>
      <c r="OX56" s="11" t="s">
        <v>37</v>
      </c>
      <c r="OY56" s="13" t="s">
        <v>37</v>
      </c>
      <c r="OZ56" s="11" t="s">
        <v>37</v>
      </c>
      <c r="PA56" s="11" t="s">
        <v>37</v>
      </c>
      <c r="PB56" s="13" t="s">
        <v>37</v>
      </c>
      <c r="PG56" s="11" t="s">
        <v>37</v>
      </c>
      <c r="PH56" s="11" t="s">
        <v>37</v>
      </c>
      <c r="PI56" s="13" t="s">
        <v>37</v>
      </c>
      <c r="PJ56" s="11" t="s">
        <v>37</v>
      </c>
      <c r="PK56" s="11" t="s">
        <v>37</v>
      </c>
      <c r="PL56" s="13" t="s">
        <v>37</v>
      </c>
      <c r="PQ56" s="11" t="s">
        <v>37</v>
      </c>
      <c r="PR56" s="11" t="s">
        <v>37</v>
      </c>
      <c r="PS56" s="13" t="s">
        <v>37</v>
      </c>
      <c r="PT56" s="11" t="s">
        <v>37</v>
      </c>
      <c r="PU56" s="11" t="s">
        <v>37</v>
      </c>
      <c r="PV56" s="13" t="s">
        <v>37</v>
      </c>
      <c r="PY56" s="12" t="s">
        <v>43</v>
      </c>
      <c r="PZ56" s="12">
        <v>399</v>
      </c>
      <c r="QA56" s="12">
        <f t="shared" si="200"/>
        <v>41.569219381653056</v>
      </c>
      <c r="QB56" s="11">
        <v>3</v>
      </c>
      <c r="QC56" s="19">
        <f t="shared" si="155"/>
        <v>0.10418350722218811</v>
      </c>
      <c r="QD56" s="12">
        <v>643</v>
      </c>
      <c r="QE56" s="12">
        <f t="shared" ref="QE56" si="205">18*SQRT(3)</f>
        <v>31.176914536239789</v>
      </c>
      <c r="QF56" s="13">
        <v>3</v>
      </c>
      <c r="QG56" s="19">
        <f t="shared" si="156"/>
        <v>4.848664780130605E-2</v>
      </c>
      <c r="QH56" s="19">
        <f t="shared" si="148"/>
        <v>0.47718330734775594</v>
      </c>
      <c r="QI56" s="19">
        <f t="shared" si="149"/>
        <v>4.4017193973745396E-3</v>
      </c>
      <c r="QJ56" s="12" t="s">
        <v>43</v>
      </c>
      <c r="QK56" s="12">
        <v>568</v>
      </c>
      <c r="QL56" s="12">
        <f t="shared" si="199"/>
        <v>83.138438763306112</v>
      </c>
      <c r="QM56" s="13">
        <v>3</v>
      </c>
      <c r="QN56" s="12">
        <v>925</v>
      </c>
      <c r="QO56" s="12">
        <f t="shared" ref="QO56" si="206">247*SQRT(3)</f>
        <v>427.81654946951267</v>
      </c>
      <c r="QP56" s="13">
        <v>3</v>
      </c>
      <c r="QQ56" s="19">
        <f t="shared" si="158"/>
        <v>0.48767231879127393</v>
      </c>
      <c r="QR56" s="19">
        <f t="shared" si="150"/>
        <v>7.8444873353331016E-2</v>
      </c>
      <c r="QU56" s="11" t="s">
        <v>37</v>
      </c>
      <c r="QV56" s="11" t="s">
        <v>37</v>
      </c>
      <c r="QW56" s="13" t="s">
        <v>37</v>
      </c>
      <c r="QX56" s="11" t="s">
        <v>37</v>
      </c>
      <c r="QY56" s="11" t="s">
        <v>37</v>
      </c>
      <c r="QZ56" s="13" t="s">
        <v>37</v>
      </c>
      <c r="RC56" s="12" t="s">
        <v>37</v>
      </c>
      <c r="RD56" s="12" t="s">
        <v>37</v>
      </c>
      <c r="RE56" s="13" t="s">
        <v>37</v>
      </c>
      <c r="RF56" s="12" t="s">
        <v>37</v>
      </c>
      <c r="RG56" s="12" t="s">
        <v>37</v>
      </c>
      <c r="RH56" s="13" t="s">
        <v>37</v>
      </c>
      <c r="RK56" s="11" t="s">
        <v>37</v>
      </c>
      <c r="RL56" s="11" t="s">
        <v>37</v>
      </c>
      <c r="RM56" s="11" t="s">
        <v>37</v>
      </c>
      <c r="RN56" s="11" t="s">
        <v>37</v>
      </c>
      <c r="RO56" s="11" t="s">
        <v>37</v>
      </c>
      <c r="RP56" s="11" t="s">
        <v>37</v>
      </c>
      <c r="RS56" s="11" t="s">
        <v>37</v>
      </c>
      <c r="RT56" s="11" t="s">
        <v>37</v>
      </c>
      <c r="RU56" s="11" t="s">
        <v>37</v>
      </c>
      <c r="RV56" s="11" t="s">
        <v>37</v>
      </c>
      <c r="RW56" s="11" t="s">
        <v>37</v>
      </c>
      <c r="RX56" s="11" t="s">
        <v>37</v>
      </c>
      <c r="SA56" s="11" t="s">
        <v>37</v>
      </c>
      <c r="SB56" s="11" t="s">
        <v>37</v>
      </c>
      <c r="SC56" s="13" t="s">
        <v>37</v>
      </c>
      <c r="SD56" s="11" t="s">
        <v>37</v>
      </c>
      <c r="SE56" s="11" t="s">
        <v>37</v>
      </c>
      <c r="SF56" s="13" t="s">
        <v>37</v>
      </c>
      <c r="SI56" s="12" t="s">
        <v>37</v>
      </c>
      <c r="SJ56" s="11" t="s">
        <v>37</v>
      </c>
      <c r="SK56" s="13" t="s">
        <v>37</v>
      </c>
      <c r="SM56" s="11" t="s">
        <v>37</v>
      </c>
      <c r="SN56" s="11" t="s">
        <v>37</v>
      </c>
      <c r="SO56" s="13" t="s">
        <v>37</v>
      </c>
      <c r="SU56" s="12" t="s">
        <v>37</v>
      </c>
      <c r="SV56" s="12" t="s">
        <v>37</v>
      </c>
      <c r="SW56" s="11" t="s">
        <v>37</v>
      </c>
      <c r="SX56" s="12" t="s">
        <v>37</v>
      </c>
      <c r="SY56" s="12" t="s">
        <v>37</v>
      </c>
      <c r="SZ56" s="11" t="s">
        <v>37</v>
      </c>
      <c r="TE56" s="12" t="s">
        <v>37</v>
      </c>
      <c r="TF56" s="12" t="s">
        <v>37</v>
      </c>
      <c r="TG56" s="11" t="s">
        <v>37</v>
      </c>
      <c r="TH56" s="12" t="s">
        <v>37</v>
      </c>
      <c r="TI56" s="12" t="s">
        <v>37</v>
      </c>
      <c r="TJ56" s="11" t="s">
        <v>37</v>
      </c>
      <c r="TO56" s="12" t="s">
        <v>37</v>
      </c>
      <c r="TP56" s="12" t="s">
        <v>37</v>
      </c>
      <c r="TQ56" s="11" t="s">
        <v>37</v>
      </c>
      <c r="TR56" s="12" t="s">
        <v>37</v>
      </c>
      <c r="TS56" s="12" t="s">
        <v>37</v>
      </c>
      <c r="TT56" s="11" t="s">
        <v>37</v>
      </c>
      <c r="TY56" s="12" t="s">
        <v>37</v>
      </c>
      <c r="TZ56" s="12" t="s">
        <v>37</v>
      </c>
      <c r="UA56" s="11" t="s">
        <v>37</v>
      </c>
      <c r="UB56" s="12" t="s">
        <v>37</v>
      </c>
      <c r="UC56" s="12" t="s">
        <v>37</v>
      </c>
      <c r="UD56" s="11" t="s">
        <v>37</v>
      </c>
      <c r="UI56" s="12" t="s">
        <v>37</v>
      </c>
      <c r="UJ56" s="12" t="s">
        <v>37</v>
      </c>
      <c r="UK56" s="13" t="s">
        <v>37</v>
      </c>
      <c r="UL56" s="12" t="s">
        <v>37</v>
      </c>
      <c r="UM56" s="12" t="s">
        <v>37</v>
      </c>
      <c r="UN56" s="13" t="s">
        <v>37</v>
      </c>
      <c r="UR56" s="12" t="s">
        <v>37</v>
      </c>
      <c r="US56" s="12" t="s">
        <v>37</v>
      </c>
      <c r="UT56" s="13" t="s">
        <v>37</v>
      </c>
      <c r="UU56" s="12" t="s">
        <v>37</v>
      </c>
      <c r="UV56" s="12" t="s">
        <v>37</v>
      </c>
      <c r="UW56" s="13" t="s">
        <v>37</v>
      </c>
      <c r="VB56" s="12" t="s">
        <v>37</v>
      </c>
      <c r="VC56" s="12" t="s">
        <v>37</v>
      </c>
      <c r="VD56" s="13" t="s">
        <v>37</v>
      </c>
      <c r="VE56" s="12" t="s">
        <v>37</v>
      </c>
      <c r="VF56" s="12" t="s">
        <v>37</v>
      </c>
      <c r="VG56" s="13" t="s">
        <v>37</v>
      </c>
      <c r="VI56" s="12" t="s">
        <v>37</v>
      </c>
      <c r="VJ56" s="12" t="s">
        <v>37</v>
      </c>
      <c r="VK56" s="13" t="s">
        <v>37</v>
      </c>
      <c r="VL56" s="12" t="s">
        <v>37</v>
      </c>
      <c r="VM56" s="12" t="s">
        <v>37</v>
      </c>
      <c r="VN56" s="13" t="s">
        <v>37</v>
      </c>
      <c r="VO56" s="12" t="s">
        <v>37</v>
      </c>
      <c r="VQ56" s="12" t="s">
        <v>37</v>
      </c>
      <c r="VR56" s="12" t="s">
        <v>37</v>
      </c>
      <c r="VS56" s="12" t="s">
        <v>37</v>
      </c>
      <c r="VT56" s="12" t="s">
        <v>37</v>
      </c>
      <c r="VU56" s="12" t="s">
        <v>37</v>
      </c>
      <c r="VV56" s="12" t="s">
        <v>37</v>
      </c>
      <c r="VW56" s="12"/>
      <c r="VX56" s="12"/>
      <c r="WA56" s="13" t="s">
        <v>37</v>
      </c>
      <c r="WB56" s="13" t="s">
        <v>37</v>
      </c>
      <c r="WC56" s="13" t="s">
        <v>37</v>
      </c>
      <c r="WD56" s="13" t="s">
        <v>37</v>
      </c>
      <c r="WE56" s="13" t="s">
        <v>37</v>
      </c>
      <c r="WF56" s="13" t="s">
        <v>37</v>
      </c>
    </row>
    <row r="57" spans="1:604" ht="18" customHeight="1" x14ac:dyDescent="0.4">
      <c r="A57" s="11">
        <v>12</v>
      </c>
      <c r="B57" s="12" t="s">
        <v>111</v>
      </c>
      <c r="C57" s="12" t="s">
        <v>26</v>
      </c>
      <c r="D57" s="12" t="s">
        <v>973</v>
      </c>
      <c r="E57" s="81">
        <v>4.5</v>
      </c>
      <c r="F57" s="14">
        <v>0</v>
      </c>
      <c r="G57" s="14">
        <v>0</v>
      </c>
      <c r="H57" s="12" t="s">
        <v>91</v>
      </c>
      <c r="I57" s="29">
        <v>55.35</v>
      </c>
      <c r="J57" s="29">
        <v>-112.517</v>
      </c>
      <c r="K57" s="12" t="s">
        <v>696</v>
      </c>
      <c r="L57" s="12" t="s">
        <v>697</v>
      </c>
      <c r="M57" s="13" t="s">
        <v>37</v>
      </c>
      <c r="N57" s="14">
        <v>2.1</v>
      </c>
      <c r="O57" s="14">
        <v>504</v>
      </c>
      <c r="P57" s="14" t="s">
        <v>84</v>
      </c>
      <c r="Q57" s="75">
        <v>3</v>
      </c>
      <c r="R57" s="11" t="s">
        <v>999</v>
      </c>
      <c r="S57" s="12" t="s">
        <v>93</v>
      </c>
      <c r="T57" s="12" t="s">
        <v>141</v>
      </c>
      <c r="U57" s="12" t="s">
        <v>163</v>
      </c>
      <c r="V57" s="12" t="s">
        <v>275</v>
      </c>
      <c r="W57" s="23" t="s">
        <v>499</v>
      </c>
      <c r="X57" s="12" t="s">
        <v>282</v>
      </c>
      <c r="Y57" s="12" t="s">
        <v>69</v>
      </c>
      <c r="Z57" s="12" t="s">
        <v>37</v>
      </c>
      <c r="AA57" s="32" t="s">
        <v>345</v>
      </c>
      <c r="AB57" s="12">
        <v>4.0999999999999996</v>
      </c>
      <c r="AE57" s="12" t="s">
        <v>37</v>
      </c>
      <c r="AH57" s="12" t="s">
        <v>37</v>
      </c>
      <c r="AK57" s="12" t="s">
        <v>37</v>
      </c>
      <c r="AL57" s="32" t="s">
        <v>498</v>
      </c>
      <c r="AM57" s="12" t="s">
        <v>317</v>
      </c>
      <c r="AN57" s="32" t="s">
        <v>879</v>
      </c>
      <c r="AO57" s="12" t="s">
        <v>29</v>
      </c>
      <c r="AP57" s="12" t="s">
        <v>108</v>
      </c>
      <c r="AQ57" s="12" t="s">
        <v>975</v>
      </c>
      <c r="AT57" s="12" t="s">
        <v>326</v>
      </c>
      <c r="AU57" s="12" t="s">
        <v>326</v>
      </c>
      <c r="AV57" s="13" t="s">
        <v>326</v>
      </c>
      <c r="AX57" s="12" t="s">
        <v>326</v>
      </c>
      <c r="AY57" s="12" t="s">
        <v>326</v>
      </c>
      <c r="AZ57" s="13" t="s">
        <v>326</v>
      </c>
      <c r="BE57" s="12" t="s">
        <v>326</v>
      </c>
      <c r="BF57" s="12" t="s">
        <v>326</v>
      </c>
      <c r="BG57" s="12" t="s">
        <v>326</v>
      </c>
      <c r="BI57" s="12" t="s">
        <v>326</v>
      </c>
      <c r="BJ57" s="12" t="s">
        <v>326</v>
      </c>
      <c r="BK57" s="12" t="s">
        <v>326</v>
      </c>
      <c r="BP57" s="12" t="s">
        <v>37</v>
      </c>
      <c r="BQ57" s="12" t="s">
        <v>37</v>
      </c>
      <c r="BR57" s="13" t="s">
        <v>37</v>
      </c>
      <c r="BT57" s="12" t="s">
        <v>37</v>
      </c>
      <c r="BU57" s="12" t="s">
        <v>37</v>
      </c>
      <c r="BV57" s="12" t="s">
        <v>37</v>
      </c>
      <c r="CA57" s="12" t="s">
        <v>37</v>
      </c>
      <c r="CB57" s="12" t="s">
        <v>37</v>
      </c>
      <c r="CC57" s="13" t="s">
        <v>37</v>
      </c>
      <c r="CE57" s="12" t="s">
        <v>37</v>
      </c>
      <c r="CF57" s="12" t="s">
        <v>37</v>
      </c>
      <c r="CG57" s="13" t="s">
        <v>37</v>
      </c>
      <c r="CI57" s="52"/>
      <c r="CK57" s="73"/>
      <c r="CL57" s="73"/>
      <c r="CN57" s="12" t="s">
        <v>37</v>
      </c>
      <c r="CO57" s="12" t="s">
        <v>37</v>
      </c>
      <c r="CP57" s="13" t="s">
        <v>37</v>
      </c>
      <c r="CR57" s="12" t="s">
        <v>37</v>
      </c>
      <c r="CS57" s="12" t="s">
        <v>37</v>
      </c>
      <c r="CT57" s="13" t="s">
        <v>37</v>
      </c>
      <c r="CV57" s="52"/>
      <c r="CW57" s="52"/>
      <c r="CX57" s="73"/>
      <c r="CY57" s="73"/>
      <c r="DA57" s="12" t="s">
        <v>37</v>
      </c>
      <c r="DB57" s="12" t="s">
        <v>37</v>
      </c>
      <c r="DC57" s="13" t="s">
        <v>37</v>
      </c>
      <c r="DE57" s="12" t="s">
        <v>37</v>
      </c>
      <c r="DF57" s="12" t="s">
        <v>37</v>
      </c>
      <c r="DG57" s="13" t="s">
        <v>37</v>
      </c>
      <c r="DI57" s="52"/>
      <c r="DJ57" s="52"/>
      <c r="DK57" s="73"/>
      <c r="DL57" s="73"/>
      <c r="DM57" s="15" t="s">
        <v>47</v>
      </c>
      <c r="DN57" s="52">
        <f>3.32*10^4/10^6*("2011/10/31"-"2011/05/01")/'[1]classes-1'!$I$61</f>
        <v>6.958675036383962</v>
      </c>
      <c r="DO57" s="12">
        <f>SQRT((1/[2]Classes!$I$61)^2*(0.51*10^4/10^6*("2011/10/31"-"2011/05/01"))^2+(-DN57/([2]Classes!$I$61)^2)^2*([2]Classes!$J$61)^2)</f>
        <v>1.1532569524351295</v>
      </c>
      <c r="DP57" s="18">
        <v>3</v>
      </c>
      <c r="DQ57" s="19">
        <f t="shared" si="193"/>
        <v>0.16572938762124079</v>
      </c>
      <c r="DR57" s="52">
        <f>0.55*10^4/10^6*("2011/10/31"-"2011/05/01")/'[1]classes-1'!$I$62</f>
        <v>1.1758996574724245</v>
      </c>
      <c r="DS57" s="12">
        <f>SQRT((1/[2]Classes!$I$62)^2*(0.68*10^4/10^6*("2011/10/31"-"2011/05/01"))^2+(-DR57/([2]Classes!$I$62)^2)^2*([2]Classes!$J$62)^2)</f>
        <v>1.4564673447344252</v>
      </c>
      <c r="DT57" s="18">
        <v>3</v>
      </c>
      <c r="DU57" s="19">
        <f t="shared" si="194"/>
        <v>1.2385983238272864</v>
      </c>
      <c r="DV57" s="19">
        <f t="shared" si="198"/>
        <v>-5.7827753789115377</v>
      </c>
      <c r="DW57" s="12">
        <f t="shared" si="195"/>
        <v>1.3136397384019922</v>
      </c>
      <c r="DX57" s="72">
        <f t="shared" si="196"/>
        <v>1.150432908205903</v>
      </c>
      <c r="DY57" s="72">
        <f t="shared" si="197"/>
        <v>1.1504329082059033</v>
      </c>
      <c r="DZ57" s="15"/>
      <c r="EA57" s="52" t="s">
        <v>37</v>
      </c>
      <c r="EB57" s="52" t="s">
        <v>37</v>
      </c>
      <c r="EC57" s="73" t="s">
        <v>37</v>
      </c>
      <c r="ED57" s="52"/>
      <c r="EE57" s="52" t="s">
        <v>37</v>
      </c>
      <c r="EF57" s="52" t="s">
        <v>37</v>
      </c>
      <c r="EG57" s="15" t="s">
        <v>37</v>
      </c>
      <c r="EH57" s="52"/>
      <c r="EI57" s="52"/>
      <c r="EJ57" s="52"/>
      <c r="EK57" s="52"/>
      <c r="EL57" s="52"/>
      <c r="EM57" s="12" t="s">
        <v>39</v>
      </c>
      <c r="EN57" s="12">
        <f>EN55-9</f>
        <v>-56</v>
      </c>
      <c r="EO57" s="12">
        <v>10.1</v>
      </c>
      <c r="EP57" s="13">
        <v>3</v>
      </c>
      <c r="EQ57" s="19">
        <f t="shared" si="139"/>
        <v>0.18035714285714285</v>
      </c>
      <c r="ER57" s="12">
        <f>ER55-9</f>
        <v>-91</v>
      </c>
      <c r="ES57" s="12">
        <v>11.3</v>
      </c>
      <c r="ET57" s="13">
        <v>3</v>
      </c>
      <c r="EU57" s="19">
        <f t="shared" si="140"/>
        <v>0.12417582417582418</v>
      </c>
      <c r="EV57" s="19">
        <f t="shared" si="141"/>
        <v>-35</v>
      </c>
      <c r="EW57" s="12">
        <f t="shared" si="142"/>
        <v>10.716809226630843</v>
      </c>
      <c r="EX57" s="19">
        <f t="shared" si="143"/>
        <v>76.566666666666663</v>
      </c>
      <c r="EY57" s="19">
        <f t="shared" si="144"/>
        <v>76.566666666666663</v>
      </c>
      <c r="FB57" s="11" t="s">
        <v>37</v>
      </c>
      <c r="FC57" s="11" t="s">
        <v>37</v>
      </c>
      <c r="FD57" s="11" t="s">
        <v>37</v>
      </c>
      <c r="FE57" s="12" t="s">
        <v>37</v>
      </c>
      <c r="FF57" s="20" t="s">
        <v>37</v>
      </c>
      <c r="FG57" s="11" t="s">
        <v>37</v>
      </c>
      <c r="FI57" s="11" t="s">
        <v>37</v>
      </c>
      <c r="FJ57" s="11" t="s">
        <v>37</v>
      </c>
      <c r="FK57" s="11" t="s">
        <v>37</v>
      </c>
      <c r="FL57" s="13" t="s">
        <v>37</v>
      </c>
      <c r="FM57" s="11" t="s">
        <v>37</v>
      </c>
      <c r="FN57" s="11" t="s">
        <v>37</v>
      </c>
      <c r="FP57" s="11" t="s">
        <v>37</v>
      </c>
      <c r="FQ57" s="11" t="s">
        <v>37</v>
      </c>
      <c r="FR57" s="11" t="s">
        <v>37</v>
      </c>
      <c r="FS57" s="13" t="s">
        <v>37</v>
      </c>
      <c r="FT57" s="11" t="s">
        <v>37</v>
      </c>
      <c r="FU57" s="11" t="s">
        <v>37</v>
      </c>
      <c r="FW57" s="11" t="s">
        <v>37</v>
      </c>
      <c r="FX57" s="11" t="s">
        <v>37</v>
      </c>
      <c r="FY57" s="11" t="s">
        <v>37</v>
      </c>
      <c r="FZ57" s="13" t="s">
        <v>37</v>
      </c>
      <c r="GA57" s="11" t="s">
        <v>37</v>
      </c>
      <c r="GB57" s="11" t="s">
        <v>37</v>
      </c>
      <c r="GO57" s="12" t="s">
        <v>660</v>
      </c>
      <c r="GP57" s="12" t="s">
        <v>330</v>
      </c>
      <c r="GQ57" s="12">
        <v>12.3</v>
      </c>
      <c r="GR57" s="12">
        <v>0.2</v>
      </c>
      <c r="GS57" s="13">
        <v>3</v>
      </c>
      <c r="GT57" s="19">
        <f t="shared" si="145"/>
        <v>1.6260162601626015E-2</v>
      </c>
      <c r="GU57" s="12">
        <v>13.1</v>
      </c>
      <c r="GV57" s="12">
        <v>0.1</v>
      </c>
      <c r="GW57" s="13">
        <v>3</v>
      </c>
      <c r="GX57" s="19">
        <f t="shared" si="146"/>
        <v>7.6335877862595426E-3</v>
      </c>
      <c r="GY57" s="19">
        <f t="shared" si="203"/>
        <v>6.301296782873396E-2</v>
      </c>
      <c r="GZ57" s="19">
        <f t="shared" si="204"/>
        <v>1.0755485010728274E-4</v>
      </c>
      <c r="IK57" s="12" t="s">
        <v>37</v>
      </c>
      <c r="IL57" s="12" t="s">
        <v>37</v>
      </c>
      <c r="IM57" s="13" t="s">
        <v>37</v>
      </c>
      <c r="IO57" s="12" t="s">
        <v>37</v>
      </c>
      <c r="IP57" s="12" t="s">
        <v>37</v>
      </c>
      <c r="IQ57" s="13" t="s">
        <v>37</v>
      </c>
      <c r="IV57" s="32" t="s">
        <v>345</v>
      </c>
      <c r="IW57" s="12">
        <v>4.0999999999999996</v>
      </c>
      <c r="IX57" s="12">
        <v>0.1</v>
      </c>
      <c r="IY57" s="13">
        <v>3</v>
      </c>
      <c r="IZ57" s="19">
        <f t="shared" si="147"/>
        <v>2.4390243902439029E-2</v>
      </c>
      <c r="JH57" s="12" t="s">
        <v>37</v>
      </c>
      <c r="JI57" s="12" t="s">
        <v>37</v>
      </c>
      <c r="JJ57" s="13" t="s">
        <v>37</v>
      </c>
      <c r="JL57" s="12" t="s">
        <v>37</v>
      </c>
      <c r="JM57" s="12" t="s">
        <v>37</v>
      </c>
      <c r="JN57" s="12" t="s">
        <v>37</v>
      </c>
      <c r="JS57" s="12" t="s">
        <v>37</v>
      </c>
      <c r="JT57" s="12" t="s">
        <v>37</v>
      </c>
      <c r="JU57" s="13" t="s">
        <v>37</v>
      </c>
      <c r="JW57" s="12" t="s">
        <v>37</v>
      </c>
      <c r="JX57" s="12" t="s">
        <v>37</v>
      </c>
      <c r="JY57" s="12" t="s">
        <v>37</v>
      </c>
      <c r="KE57" s="11" t="s">
        <v>37</v>
      </c>
      <c r="KF57" s="11" t="s">
        <v>37</v>
      </c>
      <c r="KG57" s="13" t="s">
        <v>37</v>
      </c>
      <c r="KH57" s="11" t="s">
        <v>37</v>
      </c>
      <c r="KI57" s="11" t="s">
        <v>37</v>
      </c>
      <c r="KJ57" s="11" t="s">
        <v>37</v>
      </c>
      <c r="KM57" s="12" t="s">
        <v>37</v>
      </c>
      <c r="KN57" s="12" t="s">
        <v>37</v>
      </c>
      <c r="KO57" s="11" t="s">
        <v>37</v>
      </c>
      <c r="KQ57" s="12" t="s">
        <v>37</v>
      </c>
      <c r="KR57" s="12" t="s">
        <v>37</v>
      </c>
      <c r="KS57" s="13" t="s">
        <v>37</v>
      </c>
      <c r="KX57" s="12" t="s">
        <v>37</v>
      </c>
      <c r="KY57" s="12" t="s">
        <v>37</v>
      </c>
      <c r="KZ57" s="13" t="s">
        <v>37</v>
      </c>
      <c r="LB57" s="12" t="s">
        <v>37</v>
      </c>
      <c r="LC57" s="12" t="s">
        <v>37</v>
      </c>
      <c r="LD57" s="13" t="s">
        <v>37</v>
      </c>
      <c r="LI57" s="12" t="s">
        <v>37</v>
      </c>
      <c r="LJ57" s="12" t="s">
        <v>37</v>
      </c>
      <c r="LK57" s="12" t="s">
        <v>37</v>
      </c>
      <c r="LM57" s="12" t="s">
        <v>37</v>
      </c>
      <c r="LN57" s="12" t="s">
        <v>37</v>
      </c>
      <c r="LO57" s="12" t="s">
        <v>37</v>
      </c>
      <c r="LU57" s="12" t="s">
        <v>37</v>
      </c>
      <c r="LV57" s="12" t="s">
        <v>37</v>
      </c>
      <c r="LW57" s="13" t="s">
        <v>37</v>
      </c>
      <c r="LY57" s="12" t="s">
        <v>37</v>
      </c>
      <c r="LZ57" s="12" t="s">
        <v>37</v>
      </c>
      <c r="MA57" s="12" t="s">
        <v>37</v>
      </c>
      <c r="MF57" s="12" t="s">
        <v>37</v>
      </c>
      <c r="MG57" s="12" t="s">
        <v>37</v>
      </c>
      <c r="MH57" s="12" t="s">
        <v>37</v>
      </c>
      <c r="MJ57" s="12" t="s">
        <v>37</v>
      </c>
      <c r="MK57" s="12" t="s">
        <v>37</v>
      </c>
      <c r="ML57" s="12" t="s">
        <v>37</v>
      </c>
      <c r="MQ57" s="12" t="s">
        <v>37</v>
      </c>
      <c r="MR57" s="12" t="s">
        <v>37</v>
      </c>
      <c r="MS57" s="12" t="s">
        <v>37</v>
      </c>
      <c r="MU57" s="12" t="s">
        <v>37</v>
      </c>
      <c r="MV57" s="12" t="s">
        <v>37</v>
      </c>
      <c r="MW57" s="12" t="s">
        <v>37</v>
      </c>
      <c r="NC57" s="12" t="s">
        <v>37</v>
      </c>
      <c r="ND57" s="12" t="s">
        <v>37</v>
      </c>
      <c r="NE57" s="13" t="s">
        <v>37</v>
      </c>
      <c r="NG57" s="12" t="s">
        <v>37</v>
      </c>
      <c r="NH57" s="12" t="s">
        <v>37</v>
      </c>
      <c r="NI57" s="13" t="s">
        <v>37</v>
      </c>
      <c r="NO57" s="12" t="s">
        <v>37</v>
      </c>
      <c r="NP57" s="12" t="s">
        <v>37</v>
      </c>
      <c r="NQ57" s="13" t="s">
        <v>37</v>
      </c>
      <c r="NS57" s="12" t="s">
        <v>37</v>
      </c>
      <c r="NT57" s="12" t="s">
        <v>37</v>
      </c>
      <c r="NU57" s="13" t="s">
        <v>37</v>
      </c>
      <c r="OA57" s="11" t="s">
        <v>37</v>
      </c>
      <c r="OB57" s="11" t="s">
        <v>37</v>
      </c>
      <c r="OC57" s="13" t="s">
        <v>37</v>
      </c>
      <c r="OE57" s="11" t="s">
        <v>37</v>
      </c>
      <c r="OF57" s="11" t="s">
        <v>37</v>
      </c>
      <c r="OG57" s="13" t="s">
        <v>37</v>
      </c>
      <c r="OM57" s="11" t="s">
        <v>37</v>
      </c>
      <c r="ON57" s="11" t="s">
        <v>37</v>
      </c>
      <c r="OO57" s="11" t="s">
        <v>37</v>
      </c>
      <c r="OP57" s="11" t="s">
        <v>37</v>
      </c>
      <c r="OQ57" s="11" t="s">
        <v>37</v>
      </c>
      <c r="OR57" s="11" t="s">
        <v>37</v>
      </c>
      <c r="OW57" s="11" t="s">
        <v>37</v>
      </c>
      <c r="OX57" s="11" t="s">
        <v>37</v>
      </c>
      <c r="OY57" s="13" t="s">
        <v>37</v>
      </c>
      <c r="OZ57" s="11" t="s">
        <v>37</v>
      </c>
      <c r="PA57" s="11" t="s">
        <v>37</v>
      </c>
      <c r="PB57" s="13" t="s">
        <v>37</v>
      </c>
      <c r="PG57" s="11" t="s">
        <v>37</v>
      </c>
      <c r="PH57" s="11" t="s">
        <v>37</v>
      </c>
      <c r="PI57" s="13" t="s">
        <v>37</v>
      </c>
      <c r="PJ57" s="11" t="s">
        <v>37</v>
      </c>
      <c r="PK57" s="11" t="s">
        <v>37</v>
      </c>
      <c r="PL57" s="13" t="s">
        <v>37</v>
      </c>
      <c r="PQ57" s="11" t="s">
        <v>37</v>
      </c>
      <c r="PR57" s="11" t="s">
        <v>37</v>
      </c>
      <c r="PS57" s="13" t="s">
        <v>37</v>
      </c>
      <c r="PT57" s="11" t="s">
        <v>37</v>
      </c>
      <c r="PU57" s="11" t="s">
        <v>37</v>
      </c>
      <c r="PV57" s="13" t="s">
        <v>37</v>
      </c>
      <c r="PY57" s="12" t="s">
        <v>43</v>
      </c>
      <c r="PZ57" s="12">
        <v>399</v>
      </c>
      <c r="QA57" s="12">
        <f t="shared" si="200"/>
        <v>41.569219381653056</v>
      </c>
      <c r="QB57" s="11">
        <v>3</v>
      </c>
      <c r="QC57" s="19">
        <f t="shared" si="155"/>
        <v>0.10418350722218811</v>
      </c>
      <c r="QD57" s="12">
        <v>251</v>
      </c>
      <c r="QE57" s="12">
        <f t="shared" ref="QE57" si="207">78*SQRT(3)</f>
        <v>135.09996299037243</v>
      </c>
      <c r="QF57" s="13">
        <v>3</v>
      </c>
      <c r="QG57" s="19">
        <f t="shared" si="156"/>
        <v>0.53824686450347581</v>
      </c>
      <c r="QH57" s="19">
        <f t="shared" si="148"/>
        <v>-0.46350847775807952</v>
      </c>
      <c r="QI57" s="19">
        <f t="shared" si="149"/>
        <v>0.10018796344164625</v>
      </c>
      <c r="QJ57" s="12" t="s">
        <v>43</v>
      </c>
      <c r="QK57" s="12">
        <v>568</v>
      </c>
      <c r="QL57" s="12">
        <f t="shared" si="199"/>
        <v>83.138438763306112</v>
      </c>
      <c r="QM57" s="13">
        <v>3</v>
      </c>
      <c r="QN57" s="12">
        <v>441</v>
      </c>
      <c r="QO57" s="12">
        <f t="shared" ref="QO57" si="208">96*SQRT(3)</f>
        <v>166.27687752661222</v>
      </c>
      <c r="QP57" s="13">
        <v>3</v>
      </c>
      <c r="QQ57" s="19">
        <f t="shared" si="158"/>
        <v>-0.25307654327430534</v>
      </c>
      <c r="QR57" s="19">
        <f t="shared" si="150"/>
        <v>5.452910273845081E-2</v>
      </c>
      <c r="QU57" s="11" t="s">
        <v>37</v>
      </c>
      <c r="QV57" s="11" t="s">
        <v>37</v>
      </c>
      <c r="QW57" s="13" t="s">
        <v>37</v>
      </c>
      <c r="QX57" s="11" t="s">
        <v>37</v>
      </c>
      <c r="QY57" s="11" t="s">
        <v>37</v>
      </c>
      <c r="QZ57" s="13" t="s">
        <v>37</v>
      </c>
      <c r="RC57" s="12" t="s">
        <v>37</v>
      </c>
      <c r="RD57" s="12" t="s">
        <v>37</v>
      </c>
      <c r="RE57" s="13" t="s">
        <v>37</v>
      </c>
      <c r="RF57" s="12" t="s">
        <v>37</v>
      </c>
      <c r="RG57" s="12" t="s">
        <v>37</v>
      </c>
      <c r="RH57" s="13" t="s">
        <v>37</v>
      </c>
      <c r="RK57" s="11" t="s">
        <v>37</v>
      </c>
      <c r="RL57" s="11" t="s">
        <v>37</v>
      </c>
      <c r="RM57" s="11" t="s">
        <v>37</v>
      </c>
      <c r="RN57" s="11" t="s">
        <v>37</v>
      </c>
      <c r="RO57" s="11" t="s">
        <v>37</v>
      </c>
      <c r="RP57" s="11" t="s">
        <v>37</v>
      </c>
      <c r="RS57" s="11" t="s">
        <v>37</v>
      </c>
      <c r="RT57" s="11" t="s">
        <v>37</v>
      </c>
      <c r="RU57" s="11" t="s">
        <v>37</v>
      </c>
      <c r="RV57" s="11" t="s">
        <v>37</v>
      </c>
      <c r="RW57" s="11" t="s">
        <v>37</v>
      </c>
      <c r="RX57" s="11" t="s">
        <v>37</v>
      </c>
      <c r="SA57" s="11" t="s">
        <v>37</v>
      </c>
      <c r="SB57" s="11" t="s">
        <v>37</v>
      </c>
      <c r="SC57" s="13" t="s">
        <v>37</v>
      </c>
      <c r="SD57" s="11" t="s">
        <v>37</v>
      </c>
      <c r="SE57" s="11" t="s">
        <v>37</v>
      </c>
      <c r="SF57" s="13" t="s">
        <v>37</v>
      </c>
      <c r="SI57" s="12" t="s">
        <v>37</v>
      </c>
      <c r="SJ57" s="11" t="s">
        <v>37</v>
      </c>
      <c r="SK57" s="13" t="s">
        <v>37</v>
      </c>
      <c r="SM57" s="11" t="s">
        <v>37</v>
      </c>
      <c r="SN57" s="11" t="s">
        <v>37</v>
      </c>
      <c r="SO57" s="13" t="s">
        <v>37</v>
      </c>
      <c r="SU57" s="12" t="s">
        <v>37</v>
      </c>
      <c r="SV57" s="12" t="s">
        <v>37</v>
      </c>
      <c r="SW57" s="11" t="s">
        <v>37</v>
      </c>
      <c r="SX57" s="12" t="s">
        <v>37</v>
      </c>
      <c r="SY57" s="12" t="s">
        <v>37</v>
      </c>
      <c r="SZ57" s="11" t="s">
        <v>37</v>
      </c>
      <c r="TE57" s="12" t="s">
        <v>37</v>
      </c>
      <c r="TF57" s="12" t="s">
        <v>37</v>
      </c>
      <c r="TG57" s="11" t="s">
        <v>37</v>
      </c>
      <c r="TH57" s="12" t="s">
        <v>37</v>
      </c>
      <c r="TI57" s="12" t="s">
        <v>37</v>
      </c>
      <c r="TJ57" s="11" t="s">
        <v>37</v>
      </c>
      <c r="TO57" s="12" t="s">
        <v>37</v>
      </c>
      <c r="TP57" s="12" t="s">
        <v>37</v>
      </c>
      <c r="TQ57" s="11" t="s">
        <v>37</v>
      </c>
      <c r="TR57" s="12" t="s">
        <v>37</v>
      </c>
      <c r="TS57" s="12" t="s">
        <v>37</v>
      </c>
      <c r="TT57" s="11" t="s">
        <v>37</v>
      </c>
      <c r="TY57" s="12" t="s">
        <v>37</v>
      </c>
      <c r="TZ57" s="12" t="s">
        <v>37</v>
      </c>
      <c r="UA57" s="11" t="s">
        <v>37</v>
      </c>
      <c r="UB57" s="12" t="s">
        <v>37</v>
      </c>
      <c r="UC57" s="12" t="s">
        <v>37</v>
      </c>
      <c r="UD57" s="11" t="s">
        <v>37</v>
      </c>
      <c r="UI57" s="12" t="s">
        <v>37</v>
      </c>
      <c r="UJ57" s="12" t="s">
        <v>37</v>
      </c>
      <c r="UK57" s="13" t="s">
        <v>37</v>
      </c>
      <c r="UL57" s="12" t="s">
        <v>37</v>
      </c>
      <c r="UM57" s="12" t="s">
        <v>37</v>
      </c>
      <c r="UN57" s="13" t="s">
        <v>37</v>
      </c>
      <c r="UR57" s="12" t="s">
        <v>37</v>
      </c>
      <c r="US57" s="12" t="s">
        <v>37</v>
      </c>
      <c r="UT57" s="13" t="s">
        <v>37</v>
      </c>
      <c r="UU57" s="12" t="s">
        <v>37</v>
      </c>
      <c r="UV57" s="12" t="s">
        <v>37</v>
      </c>
      <c r="UW57" s="13" t="s">
        <v>37</v>
      </c>
      <c r="VB57" s="12" t="s">
        <v>37</v>
      </c>
      <c r="VC57" s="12" t="s">
        <v>37</v>
      </c>
      <c r="VD57" s="13" t="s">
        <v>37</v>
      </c>
      <c r="VE57" s="12" t="s">
        <v>37</v>
      </c>
      <c r="VF57" s="12" t="s">
        <v>37</v>
      </c>
      <c r="VG57" s="13" t="s">
        <v>37</v>
      </c>
      <c r="VI57" s="12" t="s">
        <v>37</v>
      </c>
      <c r="VJ57" s="12" t="s">
        <v>37</v>
      </c>
      <c r="VK57" s="13" t="s">
        <v>37</v>
      </c>
      <c r="VL57" s="12" t="s">
        <v>37</v>
      </c>
      <c r="VM57" s="12" t="s">
        <v>37</v>
      </c>
      <c r="VN57" s="13" t="s">
        <v>37</v>
      </c>
      <c r="VO57" s="12" t="s">
        <v>37</v>
      </c>
      <c r="VQ57" s="12" t="s">
        <v>37</v>
      </c>
      <c r="VR57" s="12" t="s">
        <v>37</v>
      </c>
      <c r="VS57" s="12" t="s">
        <v>37</v>
      </c>
      <c r="VT57" s="12" t="s">
        <v>37</v>
      </c>
      <c r="VU57" s="12" t="s">
        <v>37</v>
      </c>
      <c r="VV57" s="12" t="s">
        <v>37</v>
      </c>
      <c r="VW57" s="12"/>
      <c r="VX57" s="12"/>
      <c r="WA57" s="13" t="s">
        <v>37</v>
      </c>
      <c r="WB57" s="13" t="s">
        <v>37</v>
      </c>
      <c r="WC57" s="13" t="s">
        <v>37</v>
      </c>
      <c r="WD57" s="13" t="s">
        <v>37</v>
      </c>
      <c r="WE57" s="13" t="s">
        <v>37</v>
      </c>
      <c r="WF57" s="13" t="s">
        <v>37</v>
      </c>
    </row>
    <row r="58" spans="1:604" ht="18" customHeight="1" x14ac:dyDescent="0.4">
      <c r="A58" s="11">
        <v>12</v>
      </c>
      <c r="B58" s="12" t="s">
        <v>111</v>
      </c>
      <c r="C58" s="12" t="s">
        <v>26</v>
      </c>
      <c r="D58" s="12" t="s">
        <v>973</v>
      </c>
      <c r="E58" s="81">
        <v>4.5</v>
      </c>
      <c r="F58" s="14">
        <v>0</v>
      </c>
      <c r="G58" s="14">
        <v>0</v>
      </c>
      <c r="H58" s="12" t="s">
        <v>91</v>
      </c>
      <c r="I58" s="29">
        <v>55.35</v>
      </c>
      <c r="J58" s="29">
        <v>-112.517</v>
      </c>
      <c r="K58" s="12" t="s">
        <v>696</v>
      </c>
      <c r="L58" s="12" t="s">
        <v>697</v>
      </c>
      <c r="M58" s="13" t="s">
        <v>37</v>
      </c>
      <c r="N58" s="14">
        <v>2.1</v>
      </c>
      <c r="O58" s="14">
        <v>504</v>
      </c>
      <c r="P58" s="14" t="s">
        <v>84</v>
      </c>
      <c r="Q58" s="75">
        <v>13</v>
      </c>
      <c r="R58" s="11" t="s">
        <v>999</v>
      </c>
      <c r="S58" s="12" t="s">
        <v>93</v>
      </c>
      <c r="T58" s="12" t="s">
        <v>141</v>
      </c>
      <c r="U58" s="12" t="s">
        <v>163</v>
      </c>
      <c r="V58" s="12" t="s">
        <v>275</v>
      </c>
      <c r="W58" s="23" t="s">
        <v>499</v>
      </c>
      <c r="X58" s="12" t="s">
        <v>282</v>
      </c>
      <c r="Y58" s="12" t="s">
        <v>69</v>
      </c>
      <c r="Z58" s="12" t="s">
        <v>37</v>
      </c>
      <c r="AA58" s="32" t="s">
        <v>345</v>
      </c>
      <c r="AB58" s="12">
        <v>4.0999999999999996</v>
      </c>
      <c r="AE58" s="12" t="s">
        <v>37</v>
      </c>
      <c r="AH58" s="12" t="s">
        <v>37</v>
      </c>
      <c r="AK58" s="12" t="s">
        <v>37</v>
      </c>
      <c r="AL58" s="32" t="s">
        <v>498</v>
      </c>
      <c r="AM58" s="12" t="s">
        <v>317</v>
      </c>
      <c r="AN58" s="32" t="s">
        <v>879</v>
      </c>
      <c r="AO58" s="12" t="s">
        <v>29</v>
      </c>
      <c r="AP58" s="12" t="s">
        <v>108</v>
      </c>
      <c r="AQ58" s="12" t="s">
        <v>975</v>
      </c>
      <c r="AT58" s="12" t="s">
        <v>326</v>
      </c>
      <c r="AU58" s="12" t="s">
        <v>326</v>
      </c>
      <c r="AV58" s="13" t="s">
        <v>326</v>
      </c>
      <c r="AX58" s="12" t="s">
        <v>326</v>
      </c>
      <c r="AY58" s="12" t="s">
        <v>326</v>
      </c>
      <c r="AZ58" s="13" t="s">
        <v>326</v>
      </c>
      <c r="BE58" s="12" t="s">
        <v>326</v>
      </c>
      <c r="BF58" s="12" t="s">
        <v>326</v>
      </c>
      <c r="BG58" s="12" t="s">
        <v>326</v>
      </c>
      <c r="BI58" s="12" t="s">
        <v>326</v>
      </c>
      <c r="BJ58" s="12" t="s">
        <v>326</v>
      </c>
      <c r="BK58" s="12" t="s">
        <v>326</v>
      </c>
      <c r="BP58" s="12" t="s">
        <v>37</v>
      </c>
      <c r="BQ58" s="12" t="s">
        <v>37</v>
      </c>
      <c r="BR58" s="13" t="s">
        <v>37</v>
      </c>
      <c r="BT58" s="12" t="s">
        <v>37</v>
      </c>
      <c r="BU58" s="12" t="s">
        <v>37</v>
      </c>
      <c r="BV58" s="12" t="s">
        <v>37</v>
      </c>
      <c r="CA58" s="12" t="s">
        <v>37</v>
      </c>
      <c r="CB58" s="12" t="s">
        <v>37</v>
      </c>
      <c r="CC58" s="13" t="s">
        <v>37</v>
      </c>
      <c r="CE58" s="12" t="s">
        <v>37</v>
      </c>
      <c r="CF58" s="12" t="s">
        <v>37</v>
      </c>
      <c r="CG58" s="13" t="s">
        <v>37</v>
      </c>
      <c r="CI58" s="52"/>
      <c r="CJ58" s="52"/>
      <c r="CK58" s="73"/>
      <c r="CL58" s="73"/>
      <c r="CN58" s="12" t="s">
        <v>37</v>
      </c>
      <c r="CO58" s="12" t="s">
        <v>37</v>
      </c>
      <c r="CP58" s="13" t="s">
        <v>37</v>
      </c>
      <c r="CR58" s="12" t="s">
        <v>37</v>
      </c>
      <c r="CS58" s="12" t="s">
        <v>37</v>
      </c>
      <c r="CT58" s="13" t="s">
        <v>37</v>
      </c>
      <c r="CV58" s="52"/>
      <c r="CW58" s="52"/>
      <c r="CX58" s="73"/>
      <c r="CY58" s="73"/>
      <c r="DA58" s="12" t="s">
        <v>37</v>
      </c>
      <c r="DB58" s="12" t="s">
        <v>37</v>
      </c>
      <c r="DC58" s="13" t="s">
        <v>37</v>
      </c>
      <c r="DE58" s="12" t="s">
        <v>37</v>
      </c>
      <c r="DF58" s="12" t="s">
        <v>37</v>
      </c>
      <c r="DG58" s="13" t="s">
        <v>37</v>
      </c>
      <c r="DI58" s="52"/>
      <c r="DJ58" s="52"/>
      <c r="DK58" s="73"/>
      <c r="DL58" s="73"/>
      <c r="DM58" s="15" t="s">
        <v>47</v>
      </c>
      <c r="DN58" s="52">
        <f>3.32*10^4/10^6*("2011/10/31"-"2011/05/01")/'[1]classes-1'!$I$61</f>
        <v>6.958675036383962</v>
      </c>
      <c r="DO58" s="12">
        <f>DO57</f>
        <v>1.1532569524351295</v>
      </c>
      <c r="DP58" s="18">
        <v>3</v>
      </c>
      <c r="DQ58" s="19">
        <f t="shared" si="193"/>
        <v>0.16572938762124079</v>
      </c>
      <c r="DR58" s="52">
        <f>0.51*10^4/10^6*("2011/10/31"-"2011/05/01")/'[1]classes-1'!$I$62</f>
        <v>1.090379682383521</v>
      </c>
      <c r="DS58" s="12">
        <f>SQRT((1/[2]Classes!$I$62)^2*(1.02*10^4/10^6*("2011/10/31"-"2011/05/01"))^2+(-DR58/([2]Classes!$I$62)^2)^2*([2]Classes!$J$62)^2)</f>
        <v>2.1822665028157022</v>
      </c>
      <c r="DT58" s="18">
        <v>3</v>
      </c>
      <c r="DU58" s="19">
        <f t="shared" si="194"/>
        <v>2.0013822139874851</v>
      </c>
      <c r="DV58" s="19">
        <f t="shared" si="198"/>
        <v>-5.8682953540004412</v>
      </c>
      <c r="DW58" s="12">
        <f t="shared" si="195"/>
        <v>1.7453206994205159</v>
      </c>
      <c r="DX58" s="72">
        <f t="shared" si="196"/>
        <v>2.0307628958838126</v>
      </c>
      <c r="DY58" s="72">
        <f t="shared" si="197"/>
        <v>2.0307628958838126</v>
      </c>
      <c r="DZ58" s="15"/>
      <c r="EA58" s="52" t="s">
        <v>37</v>
      </c>
      <c r="EB58" s="52" t="s">
        <v>37</v>
      </c>
      <c r="EC58" s="73" t="s">
        <v>37</v>
      </c>
      <c r="ED58" s="52"/>
      <c r="EE58" s="52" t="s">
        <v>37</v>
      </c>
      <c r="EF58" s="52" t="s">
        <v>37</v>
      </c>
      <c r="EG58" s="15" t="s">
        <v>37</v>
      </c>
      <c r="EH58" s="52"/>
      <c r="EI58" s="52"/>
      <c r="EJ58" s="52"/>
      <c r="EK58" s="52"/>
      <c r="EL58" s="52"/>
      <c r="EM58" s="12" t="s">
        <v>39</v>
      </c>
      <c r="EN58" s="12">
        <f>EN56-9</f>
        <v>-56</v>
      </c>
      <c r="EO58" s="12">
        <v>10.1</v>
      </c>
      <c r="EP58" s="13">
        <v>3</v>
      </c>
      <c r="EQ58" s="19">
        <f t="shared" si="139"/>
        <v>0.18035714285714285</v>
      </c>
      <c r="ER58" s="12">
        <f>ER56-8</f>
        <v>-128</v>
      </c>
      <c r="ES58" s="12">
        <v>14.2</v>
      </c>
      <c r="ET58" s="13">
        <v>3</v>
      </c>
      <c r="EU58" s="19">
        <f t="shared" si="140"/>
        <v>0.11093749999999999</v>
      </c>
      <c r="EV58" s="19">
        <f t="shared" si="141"/>
        <v>-72</v>
      </c>
      <c r="EW58" s="12">
        <f t="shared" si="142"/>
        <v>12.321728774810781</v>
      </c>
      <c r="EX58" s="19">
        <f t="shared" si="143"/>
        <v>101.21666666666665</v>
      </c>
      <c r="EY58" s="19">
        <f t="shared" si="144"/>
        <v>101.21666666666665</v>
      </c>
      <c r="FB58" s="11" t="s">
        <v>37</v>
      </c>
      <c r="FC58" s="11" t="s">
        <v>37</v>
      </c>
      <c r="FD58" s="11" t="s">
        <v>37</v>
      </c>
      <c r="FE58" s="12" t="s">
        <v>37</v>
      </c>
      <c r="FF58" s="20" t="s">
        <v>37</v>
      </c>
      <c r="FG58" s="11" t="s">
        <v>37</v>
      </c>
      <c r="FI58" s="11" t="s">
        <v>37</v>
      </c>
      <c r="FJ58" s="11" t="s">
        <v>37</v>
      </c>
      <c r="FK58" s="11" t="s">
        <v>37</v>
      </c>
      <c r="FL58" s="13" t="s">
        <v>37</v>
      </c>
      <c r="FM58" s="11" t="s">
        <v>37</v>
      </c>
      <c r="FN58" s="11" t="s">
        <v>37</v>
      </c>
      <c r="FP58" s="11" t="s">
        <v>37</v>
      </c>
      <c r="FQ58" s="11" t="s">
        <v>37</v>
      </c>
      <c r="FR58" s="11" t="s">
        <v>37</v>
      </c>
      <c r="FS58" s="13" t="s">
        <v>37</v>
      </c>
      <c r="FT58" s="11" t="s">
        <v>37</v>
      </c>
      <c r="FU58" s="11" t="s">
        <v>37</v>
      </c>
      <c r="FW58" s="11" t="s">
        <v>37</v>
      </c>
      <c r="FX58" s="11" t="s">
        <v>37</v>
      </c>
      <c r="FY58" s="11" t="s">
        <v>37</v>
      </c>
      <c r="FZ58" s="13" t="s">
        <v>37</v>
      </c>
      <c r="GA58" s="11" t="s">
        <v>37</v>
      </c>
      <c r="GB58" s="11" t="s">
        <v>37</v>
      </c>
      <c r="GO58" s="12" t="s">
        <v>660</v>
      </c>
      <c r="GP58" s="12" t="s">
        <v>330</v>
      </c>
      <c r="GQ58" s="12">
        <v>12.3</v>
      </c>
      <c r="GR58" s="12">
        <v>0.2</v>
      </c>
      <c r="GS58" s="13">
        <v>3</v>
      </c>
      <c r="GT58" s="19">
        <f t="shared" si="145"/>
        <v>1.6260162601626015E-2</v>
      </c>
      <c r="GU58" s="12">
        <v>13.7</v>
      </c>
      <c r="GV58" s="12">
        <v>0.1</v>
      </c>
      <c r="GW58" s="13">
        <v>3</v>
      </c>
      <c r="GX58" s="19">
        <f t="shared" si="146"/>
        <v>7.2992700729927014E-3</v>
      </c>
      <c r="GY58" s="19">
        <f t="shared" si="203"/>
        <v>0.10779657045570738</v>
      </c>
      <c r="GZ58" s="19">
        <f t="shared" si="204"/>
        <v>1.0589074380993474E-4</v>
      </c>
      <c r="HA58" s="12"/>
      <c r="HB58" s="32"/>
      <c r="HM58" s="32"/>
      <c r="IK58" s="12" t="s">
        <v>37</v>
      </c>
      <c r="IL58" s="12" t="s">
        <v>37</v>
      </c>
      <c r="IM58" s="13" t="s">
        <v>37</v>
      </c>
      <c r="IO58" s="12" t="s">
        <v>37</v>
      </c>
      <c r="IP58" s="12" t="s">
        <v>37</v>
      </c>
      <c r="IQ58" s="13" t="s">
        <v>37</v>
      </c>
      <c r="IV58" s="32" t="s">
        <v>345</v>
      </c>
      <c r="IW58" s="12">
        <v>4.0999999999999996</v>
      </c>
      <c r="IX58" s="12">
        <v>0.1</v>
      </c>
      <c r="IY58" s="13">
        <v>3</v>
      </c>
      <c r="IZ58" s="19">
        <f t="shared" si="147"/>
        <v>2.4390243902439029E-2</v>
      </c>
      <c r="JH58" s="12" t="s">
        <v>37</v>
      </c>
      <c r="JI58" s="12" t="s">
        <v>37</v>
      </c>
      <c r="JJ58" s="13" t="s">
        <v>37</v>
      </c>
      <c r="JL58" s="12" t="s">
        <v>37</v>
      </c>
      <c r="JM58" s="12" t="s">
        <v>37</v>
      </c>
      <c r="JN58" s="12" t="s">
        <v>37</v>
      </c>
      <c r="JS58" s="12" t="s">
        <v>37</v>
      </c>
      <c r="JT58" s="12" t="s">
        <v>37</v>
      </c>
      <c r="JU58" s="13" t="s">
        <v>37</v>
      </c>
      <c r="JW58" s="12" t="s">
        <v>37</v>
      </c>
      <c r="JX58" s="12" t="s">
        <v>37</v>
      </c>
      <c r="JY58" s="12" t="s">
        <v>37</v>
      </c>
      <c r="KE58" s="11" t="s">
        <v>37</v>
      </c>
      <c r="KF58" s="11" t="s">
        <v>37</v>
      </c>
      <c r="KG58" s="13" t="s">
        <v>37</v>
      </c>
      <c r="KH58" s="11" t="s">
        <v>37</v>
      </c>
      <c r="KI58" s="11" t="s">
        <v>37</v>
      </c>
      <c r="KJ58" s="11" t="s">
        <v>37</v>
      </c>
      <c r="KM58" s="12" t="s">
        <v>37</v>
      </c>
      <c r="KN58" s="12" t="s">
        <v>37</v>
      </c>
      <c r="KO58" s="11" t="s">
        <v>37</v>
      </c>
      <c r="KQ58" s="12" t="s">
        <v>37</v>
      </c>
      <c r="KR58" s="12" t="s">
        <v>37</v>
      </c>
      <c r="KS58" s="13" t="s">
        <v>37</v>
      </c>
      <c r="KX58" s="12" t="s">
        <v>37</v>
      </c>
      <c r="KY58" s="12" t="s">
        <v>37</v>
      </c>
      <c r="KZ58" s="13" t="s">
        <v>37</v>
      </c>
      <c r="LB58" s="12" t="s">
        <v>37</v>
      </c>
      <c r="LC58" s="12" t="s">
        <v>37</v>
      </c>
      <c r="LD58" s="13" t="s">
        <v>37</v>
      </c>
      <c r="LI58" s="12" t="s">
        <v>37</v>
      </c>
      <c r="LJ58" s="12" t="s">
        <v>37</v>
      </c>
      <c r="LK58" s="12" t="s">
        <v>37</v>
      </c>
      <c r="LM58" s="12" t="s">
        <v>37</v>
      </c>
      <c r="LN58" s="12" t="s">
        <v>37</v>
      </c>
      <c r="LO58" s="12" t="s">
        <v>37</v>
      </c>
      <c r="LU58" s="12" t="s">
        <v>37</v>
      </c>
      <c r="LV58" s="12" t="s">
        <v>37</v>
      </c>
      <c r="LW58" s="13" t="s">
        <v>37</v>
      </c>
      <c r="LY58" s="12" t="s">
        <v>37</v>
      </c>
      <c r="LZ58" s="12" t="s">
        <v>37</v>
      </c>
      <c r="MA58" s="12" t="s">
        <v>37</v>
      </c>
      <c r="MF58" s="12" t="s">
        <v>37</v>
      </c>
      <c r="MG58" s="12" t="s">
        <v>37</v>
      </c>
      <c r="MH58" s="12" t="s">
        <v>37</v>
      </c>
      <c r="MJ58" s="12" t="s">
        <v>37</v>
      </c>
      <c r="MK58" s="12" t="s">
        <v>37</v>
      </c>
      <c r="ML58" s="12" t="s">
        <v>37</v>
      </c>
      <c r="MQ58" s="12" t="s">
        <v>37</v>
      </c>
      <c r="MR58" s="12" t="s">
        <v>37</v>
      </c>
      <c r="MS58" s="12" t="s">
        <v>37</v>
      </c>
      <c r="MU58" s="12" t="s">
        <v>37</v>
      </c>
      <c r="MV58" s="12" t="s">
        <v>37</v>
      </c>
      <c r="MW58" s="12" t="s">
        <v>37</v>
      </c>
      <c r="NC58" s="12" t="s">
        <v>37</v>
      </c>
      <c r="ND58" s="12" t="s">
        <v>37</v>
      </c>
      <c r="NE58" s="13" t="s">
        <v>37</v>
      </c>
      <c r="NG58" s="12" t="s">
        <v>37</v>
      </c>
      <c r="NH58" s="12" t="s">
        <v>37</v>
      </c>
      <c r="NI58" s="13" t="s">
        <v>37</v>
      </c>
      <c r="NO58" s="12" t="s">
        <v>37</v>
      </c>
      <c r="NP58" s="12" t="s">
        <v>37</v>
      </c>
      <c r="NQ58" s="13" t="s">
        <v>37</v>
      </c>
      <c r="NS58" s="12" t="s">
        <v>37</v>
      </c>
      <c r="NT58" s="12" t="s">
        <v>37</v>
      </c>
      <c r="NU58" s="13" t="s">
        <v>37</v>
      </c>
      <c r="OA58" s="11" t="s">
        <v>37</v>
      </c>
      <c r="OB58" s="11" t="s">
        <v>37</v>
      </c>
      <c r="OC58" s="13" t="s">
        <v>37</v>
      </c>
      <c r="OE58" s="11" t="s">
        <v>37</v>
      </c>
      <c r="OF58" s="11" t="s">
        <v>37</v>
      </c>
      <c r="OG58" s="13" t="s">
        <v>37</v>
      </c>
      <c r="OM58" s="11" t="s">
        <v>37</v>
      </c>
      <c r="ON58" s="11" t="s">
        <v>37</v>
      </c>
      <c r="OO58" s="11" t="s">
        <v>37</v>
      </c>
      <c r="OP58" s="11" t="s">
        <v>37</v>
      </c>
      <c r="OQ58" s="11" t="s">
        <v>37</v>
      </c>
      <c r="OR58" s="11" t="s">
        <v>37</v>
      </c>
      <c r="OW58" s="11" t="s">
        <v>37</v>
      </c>
      <c r="OX58" s="11" t="s">
        <v>37</v>
      </c>
      <c r="OY58" s="13" t="s">
        <v>37</v>
      </c>
      <c r="OZ58" s="11" t="s">
        <v>37</v>
      </c>
      <c r="PA58" s="11" t="s">
        <v>37</v>
      </c>
      <c r="PB58" s="13" t="s">
        <v>37</v>
      </c>
      <c r="PG58" s="11" t="s">
        <v>37</v>
      </c>
      <c r="PH58" s="11" t="s">
        <v>37</v>
      </c>
      <c r="PI58" s="13" t="s">
        <v>37</v>
      </c>
      <c r="PJ58" s="11" t="s">
        <v>37</v>
      </c>
      <c r="PK58" s="11" t="s">
        <v>37</v>
      </c>
      <c r="PL58" s="13" t="s">
        <v>37</v>
      </c>
      <c r="PQ58" s="11" t="s">
        <v>37</v>
      </c>
      <c r="PR58" s="11" t="s">
        <v>37</v>
      </c>
      <c r="PS58" s="13" t="s">
        <v>37</v>
      </c>
      <c r="PT58" s="11" t="s">
        <v>37</v>
      </c>
      <c r="PU58" s="11" t="s">
        <v>37</v>
      </c>
      <c r="PV58" s="13" t="s">
        <v>37</v>
      </c>
      <c r="PY58" s="12" t="s">
        <v>43</v>
      </c>
      <c r="PZ58" s="12">
        <v>399</v>
      </c>
      <c r="QA58" s="12">
        <f t="shared" si="200"/>
        <v>41.569219381653056</v>
      </c>
      <c r="QB58" s="11">
        <v>3</v>
      </c>
      <c r="QC58" s="19">
        <f t="shared" si="155"/>
        <v>0.10418350722218811</v>
      </c>
      <c r="QD58" s="12">
        <v>643</v>
      </c>
      <c r="QE58" s="12">
        <f t="shared" ref="QE58" si="209">18*SQRT(3)</f>
        <v>31.176914536239789</v>
      </c>
      <c r="QF58" s="13">
        <v>3</v>
      </c>
      <c r="QG58" s="19">
        <f t="shared" si="156"/>
        <v>4.848664780130605E-2</v>
      </c>
      <c r="QH58" s="19">
        <f t="shared" si="148"/>
        <v>0.47718330734775594</v>
      </c>
      <c r="QI58" s="19">
        <f t="shared" si="149"/>
        <v>4.4017193973745396E-3</v>
      </c>
      <c r="QJ58" s="12" t="s">
        <v>43</v>
      </c>
      <c r="QK58" s="12">
        <v>568</v>
      </c>
      <c r="QL58" s="12">
        <f t="shared" si="199"/>
        <v>83.138438763306112</v>
      </c>
      <c r="QM58" s="13">
        <v>3</v>
      </c>
      <c r="QN58" s="12">
        <v>925</v>
      </c>
      <c r="QO58" s="12">
        <f t="shared" ref="QO58" si="210">247*SQRT(3)</f>
        <v>427.81654946951267</v>
      </c>
      <c r="QP58" s="13">
        <v>3</v>
      </c>
      <c r="QQ58" s="19">
        <f t="shared" si="158"/>
        <v>0.48767231879127393</v>
      </c>
      <c r="QR58" s="19">
        <f t="shared" si="150"/>
        <v>7.8444873353331016E-2</v>
      </c>
      <c r="QU58" s="11" t="s">
        <v>37</v>
      </c>
      <c r="QV58" s="11" t="s">
        <v>37</v>
      </c>
      <c r="QW58" s="13" t="s">
        <v>37</v>
      </c>
      <c r="QX58" s="11" t="s">
        <v>37</v>
      </c>
      <c r="QY58" s="11" t="s">
        <v>37</v>
      </c>
      <c r="QZ58" s="13" t="s">
        <v>37</v>
      </c>
      <c r="RC58" s="12" t="s">
        <v>37</v>
      </c>
      <c r="RD58" s="12" t="s">
        <v>37</v>
      </c>
      <c r="RE58" s="13" t="s">
        <v>37</v>
      </c>
      <c r="RF58" s="12" t="s">
        <v>37</v>
      </c>
      <c r="RG58" s="12" t="s">
        <v>37</v>
      </c>
      <c r="RH58" s="13" t="s">
        <v>37</v>
      </c>
      <c r="RK58" s="11" t="s">
        <v>37</v>
      </c>
      <c r="RL58" s="11" t="s">
        <v>37</v>
      </c>
      <c r="RM58" s="11" t="s">
        <v>37</v>
      </c>
      <c r="RN58" s="11" t="s">
        <v>37</v>
      </c>
      <c r="RO58" s="11" t="s">
        <v>37</v>
      </c>
      <c r="RP58" s="11" t="s">
        <v>37</v>
      </c>
      <c r="RS58" s="11" t="s">
        <v>37</v>
      </c>
      <c r="RT58" s="11" t="s">
        <v>37</v>
      </c>
      <c r="RU58" s="11" t="s">
        <v>37</v>
      </c>
      <c r="RV58" s="11" t="s">
        <v>37</v>
      </c>
      <c r="RW58" s="11" t="s">
        <v>37</v>
      </c>
      <c r="RX58" s="11" t="s">
        <v>37</v>
      </c>
      <c r="SA58" s="11" t="s">
        <v>37</v>
      </c>
      <c r="SB58" s="11" t="s">
        <v>37</v>
      </c>
      <c r="SC58" s="13" t="s">
        <v>37</v>
      </c>
      <c r="SD58" s="11" t="s">
        <v>37</v>
      </c>
      <c r="SE58" s="11" t="s">
        <v>37</v>
      </c>
      <c r="SF58" s="13" t="s">
        <v>37</v>
      </c>
      <c r="SI58" s="12" t="s">
        <v>37</v>
      </c>
      <c r="SJ58" s="11" t="s">
        <v>37</v>
      </c>
      <c r="SK58" s="13" t="s">
        <v>37</v>
      </c>
      <c r="SM58" s="11" t="s">
        <v>37</v>
      </c>
      <c r="SN58" s="11" t="s">
        <v>37</v>
      </c>
      <c r="SO58" s="13" t="s">
        <v>37</v>
      </c>
      <c r="SU58" s="12" t="s">
        <v>37</v>
      </c>
      <c r="SV58" s="12" t="s">
        <v>37</v>
      </c>
      <c r="SW58" s="11" t="s">
        <v>37</v>
      </c>
      <c r="SX58" s="12" t="s">
        <v>37</v>
      </c>
      <c r="SY58" s="12" t="s">
        <v>37</v>
      </c>
      <c r="SZ58" s="11" t="s">
        <v>37</v>
      </c>
      <c r="TE58" s="12" t="s">
        <v>37</v>
      </c>
      <c r="TF58" s="12" t="s">
        <v>37</v>
      </c>
      <c r="TG58" s="11" t="s">
        <v>37</v>
      </c>
      <c r="TH58" s="12" t="s">
        <v>37</v>
      </c>
      <c r="TI58" s="12" t="s">
        <v>37</v>
      </c>
      <c r="TJ58" s="11" t="s">
        <v>37</v>
      </c>
      <c r="TO58" s="12" t="s">
        <v>37</v>
      </c>
      <c r="TP58" s="12" t="s">
        <v>37</v>
      </c>
      <c r="TQ58" s="11" t="s">
        <v>37</v>
      </c>
      <c r="TR58" s="12" t="s">
        <v>37</v>
      </c>
      <c r="TS58" s="12" t="s">
        <v>37</v>
      </c>
      <c r="TT58" s="11" t="s">
        <v>37</v>
      </c>
      <c r="TY58" s="12" t="s">
        <v>37</v>
      </c>
      <c r="TZ58" s="12" t="s">
        <v>37</v>
      </c>
      <c r="UA58" s="11" t="s">
        <v>37</v>
      </c>
      <c r="UB58" s="12" t="s">
        <v>37</v>
      </c>
      <c r="UC58" s="12" t="s">
        <v>37</v>
      </c>
      <c r="UD58" s="11" t="s">
        <v>37</v>
      </c>
      <c r="UI58" s="12" t="s">
        <v>37</v>
      </c>
      <c r="UJ58" s="12" t="s">
        <v>37</v>
      </c>
      <c r="UK58" s="13" t="s">
        <v>37</v>
      </c>
      <c r="UL58" s="12" t="s">
        <v>37</v>
      </c>
      <c r="UM58" s="12" t="s">
        <v>37</v>
      </c>
      <c r="UN58" s="13" t="s">
        <v>37</v>
      </c>
      <c r="UR58" s="12" t="s">
        <v>37</v>
      </c>
      <c r="US58" s="12" t="s">
        <v>37</v>
      </c>
      <c r="UT58" s="13" t="s">
        <v>37</v>
      </c>
      <c r="UU58" s="12" t="s">
        <v>37</v>
      </c>
      <c r="UV58" s="12" t="s">
        <v>37</v>
      </c>
      <c r="UW58" s="13" t="s">
        <v>37</v>
      </c>
      <c r="VB58" s="12" t="s">
        <v>37</v>
      </c>
      <c r="VC58" s="12" t="s">
        <v>37</v>
      </c>
      <c r="VD58" s="13" t="s">
        <v>37</v>
      </c>
      <c r="VE58" s="12" t="s">
        <v>37</v>
      </c>
      <c r="VF58" s="12" t="s">
        <v>37</v>
      </c>
      <c r="VG58" s="13" t="s">
        <v>37</v>
      </c>
      <c r="VI58" s="12" t="s">
        <v>37</v>
      </c>
      <c r="VJ58" s="12" t="s">
        <v>37</v>
      </c>
      <c r="VK58" s="13" t="s">
        <v>37</v>
      </c>
      <c r="VL58" s="12" t="s">
        <v>37</v>
      </c>
      <c r="VM58" s="12" t="s">
        <v>37</v>
      </c>
      <c r="VN58" s="13" t="s">
        <v>37</v>
      </c>
      <c r="VO58" s="12" t="s">
        <v>37</v>
      </c>
      <c r="VQ58" s="12" t="s">
        <v>37</v>
      </c>
      <c r="VR58" s="12" t="s">
        <v>37</v>
      </c>
      <c r="VS58" s="12" t="s">
        <v>37</v>
      </c>
      <c r="VT58" s="12" t="s">
        <v>37</v>
      </c>
      <c r="VU58" s="12" t="s">
        <v>37</v>
      </c>
      <c r="VV58" s="12" t="s">
        <v>37</v>
      </c>
      <c r="VW58" s="12"/>
      <c r="VX58" s="12"/>
      <c r="WA58" s="13" t="s">
        <v>37</v>
      </c>
      <c r="WB58" s="13" t="s">
        <v>37</v>
      </c>
      <c r="WC58" s="13" t="s">
        <v>37</v>
      </c>
      <c r="WD58" s="13" t="s">
        <v>37</v>
      </c>
      <c r="WE58" s="13" t="s">
        <v>37</v>
      </c>
      <c r="WF58" s="13" t="s">
        <v>37</v>
      </c>
    </row>
    <row r="59" spans="1:604" ht="18" customHeight="1" x14ac:dyDescent="0.4">
      <c r="A59" s="11">
        <v>12</v>
      </c>
      <c r="B59" s="12" t="s">
        <v>111</v>
      </c>
      <c r="C59" s="12" t="s">
        <v>26</v>
      </c>
      <c r="D59" s="12" t="s">
        <v>973</v>
      </c>
      <c r="E59" s="81">
        <v>4.5</v>
      </c>
      <c r="F59" s="14">
        <v>0</v>
      </c>
      <c r="G59" s="14">
        <v>0</v>
      </c>
      <c r="H59" s="12" t="s">
        <v>91</v>
      </c>
      <c r="I59" s="29">
        <v>55.35</v>
      </c>
      <c r="J59" s="29">
        <v>-112.517</v>
      </c>
      <c r="K59" s="12" t="s">
        <v>696</v>
      </c>
      <c r="L59" s="12" t="s">
        <v>697</v>
      </c>
      <c r="M59" s="13" t="s">
        <v>37</v>
      </c>
      <c r="N59" s="14">
        <v>2.1</v>
      </c>
      <c r="O59" s="14">
        <v>504</v>
      </c>
      <c r="P59" s="14" t="s">
        <v>84</v>
      </c>
      <c r="Q59" s="75">
        <v>1</v>
      </c>
      <c r="R59" s="11" t="s">
        <v>999</v>
      </c>
      <c r="S59" s="12" t="s">
        <v>93</v>
      </c>
      <c r="T59" s="12" t="s">
        <v>141</v>
      </c>
      <c r="U59" s="12" t="s">
        <v>334</v>
      </c>
      <c r="V59" s="12" t="s">
        <v>275</v>
      </c>
      <c r="W59" s="23" t="s">
        <v>500</v>
      </c>
      <c r="X59" s="12" t="s">
        <v>281</v>
      </c>
      <c r="Y59" s="12" t="s">
        <v>69</v>
      </c>
      <c r="Z59" s="12" t="s">
        <v>37</v>
      </c>
      <c r="AA59" s="32" t="s">
        <v>345</v>
      </c>
      <c r="AB59" s="12">
        <v>4.0999999999999996</v>
      </c>
      <c r="AE59" s="12" t="s">
        <v>37</v>
      </c>
      <c r="AH59" s="12" t="s">
        <v>37</v>
      </c>
      <c r="AK59" s="12" t="s">
        <v>37</v>
      </c>
      <c r="AL59" s="32" t="s">
        <v>496</v>
      </c>
      <c r="AM59" s="12" t="s">
        <v>317</v>
      </c>
      <c r="AN59" s="32" t="s">
        <v>879</v>
      </c>
      <c r="AO59" s="12" t="s">
        <v>318</v>
      </c>
      <c r="AP59" s="12" t="s">
        <v>108</v>
      </c>
      <c r="AQ59" s="12" t="s">
        <v>975</v>
      </c>
      <c r="AT59" s="12" t="s">
        <v>326</v>
      </c>
      <c r="AU59" s="12" t="s">
        <v>326</v>
      </c>
      <c r="AV59" s="13" t="s">
        <v>326</v>
      </c>
      <c r="AX59" s="12" t="s">
        <v>326</v>
      </c>
      <c r="AY59" s="12" t="s">
        <v>326</v>
      </c>
      <c r="AZ59" s="13" t="s">
        <v>326</v>
      </c>
      <c r="BE59" s="12" t="s">
        <v>326</v>
      </c>
      <c r="BF59" s="12" t="s">
        <v>326</v>
      </c>
      <c r="BG59" s="12" t="s">
        <v>326</v>
      </c>
      <c r="BI59" s="12" t="s">
        <v>326</v>
      </c>
      <c r="BJ59" s="12" t="s">
        <v>326</v>
      </c>
      <c r="BK59" s="12" t="s">
        <v>326</v>
      </c>
      <c r="BP59" s="12" t="s">
        <v>37</v>
      </c>
      <c r="BQ59" s="12" t="s">
        <v>37</v>
      </c>
      <c r="BR59" s="13" t="s">
        <v>37</v>
      </c>
      <c r="BT59" s="12" t="s">
        <v>37</v>
      </c>
      <c r="BU59" s="12" t="s">
        <v>37</v>
      </c>
      <c r="BV59" s="12" t="s">
        <v>37</v>
      </c>
      <c r="CA59" s="12" t="s">
        <v>37</v>
      </c>
      <c r="CB59" s="12" t="s">
        <v>37</v>
      </c>
      <c r="CC59" s="13" t="s">
        <v>37</v>
      </c>
      <c r="CE59" s="12" t="s">
        <v>37</v>
      </c>
      <c r="CF59" s="12" t="s">
        <v>37</v>
      </c>
      <c r="CG59" s="13" t="s">
        <v>37</v>
      </c>
      <c r="CI59" s="52"/>
      <c r="CJ59" s="52"/>
      <c r="CK59" s="73"/>
      <c r="CL59" s="73"/>
      <c r="CN59" s="12" t="s">
        <v>37</v>
      </c>
      <c r="CO59" s="12" t="s">
        <v>37</v>
      </c>
      <c r="CP59" s="13" t="s">
        <v>37</v>
      </c>
      <c r="CR59" s="12" t="s">
        <v>37</v>
      </c>
      <c r="CS59" s="12" t="s">
        <v>37</v>
      </c>
      <c r="CT59" s="13" t="s">
        <v>37</v>
      </c>
      <c r="CV59" s="52"/>
      <c r="CW59" s="52"/>
      <c r="CX59" s="73"/>
      <c r="CY59" s="73"/>
      <c r="DA59" s="12" t="s">
        <v>37</v>
      </c>
      <c r="DB59" s="12" t="s">
        <v>37</v>
      </c>
      <c r="DC59" s="13" t="s">
        <v>37</v>
      </c>
      <c r="DE59" s="12" t="s">
        <v>37</v>
      </c>
      <c r="DF59" s="12" t="s">
        <v>37</v>
      </c>
      <c r="DG59" s="13" t="s">
        <v>37</v>
      </c>
      <c r="DI59" s="52"/>
      <c r="DJ59" s="52"/>
      <c r="DK59" s="73"/>
      <c r="DL59" s="73"/>
      <c r="DM59" s="15" t="s">
        <v>47</v>
      </c>
      <c r="DN59" s="52">
        <f>4.52*10^4/10^6*("2011/10/31"-"2011/05/01")/'[1]classes-1'!$I$63</f>
        <v>10.866266106411475</v>
      </c>
      <c r="DO59" s="12">
        <f>SQRT((1/[2]Classes!$I$63)^2*(1.86*10^4/10^6*("2011/10/31"-"2011/05/01"))^2+(-DN59/([2]Classes!$I$63)^2)^2*([2]Classes!$J$63)^2)</f>
        <v>5.3394122234557058</v>
      </c>
      <c r="DP59" s="18">
        <v>3</v>
      </c>
      <c r="DQ59" s="19">
        <f t="shared" si="193"/>
        <v>0.49137506583841778</v>
      </c>
      <c r="DR59" s="52">
        <f>3.48*10^4/10^6*("2011/10/31"-"2011/05/01")/'[1]classes-1'!$I$64</f>
        <v>1.8694061542190537</v>
      </c>
      <c r="DS59" s="12">
        <f>SQRT((1/[2]Classes!$I$64)^2*(1.86*10^4/10^6*("2011/10/31"-"2011/05/01"))^2+(-DR59/([2]Classes!$I$64)^2)^2*([2]Classes!$J$64)^2)</f>
        <v>2.1264618086738842</v>
      </c>
      <c r="DT59" s="18">
        <v>3</v>
      </c>
      <c r="DU59" s="19">
        <f t="shared" si="194"/>
        <v>1.1375065840425758</v>
      </c>
      <c r="DV59" s="19">
        <f t="shared" si="198"/>
        <v>-8.9968599521924215</v>
      </c>
      <c r="DW59" s="12">
        <f t="shared" si="195"/>
        <v>4.0639366823153642</v>
      </c>
      <c r="DX59" s="72">
        <f t="shared" si="196"/>
        <v>11.01038757191227</v>
      </c>
      <c r="DY59" s="72">
        <f t="shared" si="197"/>
        <v>11.01038757191227</v>
      </c>
      <c r="DZ59" s="15"/>
      <c r="EA59" s="52" t="s">
        <v>37</v>
      </c>
      <c r="EB59" s="52" t="s">
        <v>37</v>
      </c>
      <c r="EC59" s="73" t="s">
        <v>37</v>
      </c>
      <c r="ED59" s="52"/>
      <c r="EE59" s="52" t="s">
        <v>37</v>
      </c>
      <c r="EF59" s="52" t="s">
        <v>37</v>
      </c>
      <c r="EG59" s="15" t="s">
        <v>37</v>
      </c>
      <c r="EH59" s="52"/>
      <c r="EI59" s="52"/>
      <c r="EJ59" s="52"/>
      <c r="EK59" s="52"/>
      <c r="EL59" s="52"/>
      <c r="EM59" s="12" t="s">
        <v>39</v>
      </c>
      <c r="EN59" s="12">
        <v>-38</v>
      </c>
      <c r="EO59" s="12">
        <v>7.6</v>
      </c>
      <c r="EP59" s="13">
        <v>3</v>
      </c>
      <c r="EQ59" s="19">
        <f t="shared" si="139"/>
        <v>0.19999999999999998</v>
      </c>
      <c r="ER59" s="12">
        <v>-73</v>
      </c>
      <c r="ES59" s="12">
        <v>10.3</v>
      </c>
      <c r="ET59" s="13">
        <v>3</v>
      </c>
      <c r="EU59" s="19">
        <f t="shared" si="140"/>
        <v>0.14109589041095891</v>
      </c>
      <c r="EV59" s="19">
        <f t="shared" si="141"/>
        <v>-35</v>
      </c>
      <c r="EW59" s="12">
        <f t="shared" si="142"/>
        <v>9.0512430085596538</v>
      </c>
      <c r="EX59" s="19">
        <f t="shared" si="143"/>
        <v>54.616666666666674</v>
      </c>
      <c r="EY59" s="19">
        <f t="shared" si="144"/>
        <v>54.616666666666674</v>
      </c>
      <c r="FB59" s="11" t="s">
        <v>37</v>
      </c>
      <c r="FC59" s="11" t="s">
        <v>37</v>
      </c>
      <c r="FD59" s="11" t="s">
        <v>37</v>
      </c>
      <c r="FE59" s="12" t="s">
        <v>37</v>
      </c>
      <c r="FF59" s="20" t="s">
        <v>37</v>
      </c>
      <c r="FG59" s="11" t="s">
        <v>37</v>
      </c>
      <c r="FI59" s="11" t="s">
        <v>37</v>
      </c>
      <c r="FJ59" s="11" t="s">
        <v>37</v>
      </c>
      <c r="FK59" s="11" t="s">
        <v>37</v>
      </c>
      <c r="FL59" s="13" t="s">
        <v>37</v>
      </c>
      <c r="FM59" s="11" t="s">
        <v>37</v>
      </c>
      <c r="FN59" s="11" t="s">
        <v>37</v>
      </c>
      <c r="FP59" s="11" t="s">
        <v>37</v>
      </c>
      <c r="FQ59" s="11" t="s">
        <v>37</v>
      </c>
      <c r="FR59" s="11" t="s">
        <v>37</v>
      </c>
      <c r="FS59" s="13" t="s">
        <v>37</v>
      </c>
      <c r="FT59" s="11" t="s">
        <v>37</v>
      </c>
      <c r="FU59" s="11" t="s">
        <v>37</v>
      </c>
      <c r="FW59" s="11" t="s">
        <v>37</v>
      </c>
      <c r="FX59" s="11" t="s">
        <v>37</v>
      </c>
      <c r="FY59" s="11" t="s">
        <v>37</v>
      </c>
      <c r="FZ59" s="13" t="s">
        <v>37</v>
      </c>
      <c r="GA59" s="11" t="s">
        <v>37</v>
      </c>
      <c r="GB59" s="11" t="s">
        <v>37</v>
      </c>
      <c r="GO59" s="12" t="s">
        <v>660</v>
      </c>
      <c r="GP59" s="12" t="s">
        <v>330</v>
      </c>
      <c r="GQ59" s="12">
        <v>12.3</v>
      </c>
      <c r="GR59" s="12">
        <v>5.0000000000000001E-3</v>
      </c>
      <c r="GS59" s="13">
        <v>3</v>
      </c>
      <c r="GT59" s="19">
        <f t="shared" si="145"/>
        <v>4.0650406504065041E-4</v>
      </c>
      <c r="GU59" s="12">
        <v>13.1</v>
      </c>
      <c r="GV59" s="12">
        <v>0.1</v>
      </c>
      <c r="GW59" s="13">
        <v>3</v>
      </c>
      <c r="GX59" s="19">
        <f t="shared" ref="GX59:GX75" si="211">GV59/GU59</f>
        <v>7.6335877862595426E-3</v>
      </c>
      <c r="GY59" s="19">
        <f t="shared" si="203"/>
        <v>6.301296782873396E-2</v>
      </c>
      <c r="GZ59" s="19">
        <f t="shared" si="204"/>
        <v>1.9478969348475148E-5</v>
      </c>
      <c r="IK59" s="12" t="s">
        <v>37</v>
      </c>
      <c r="IL59" s="12" t="s">
        <v>37</v>
      </c>
      <c r="IM59" s="13" t="s">
        <v>37</v>
      </c>
      <c r="IO59" s="12" t="s">
        <v>37</v>
      </c>
      <c r="IP59" s="12" t="s">
        <v>37</v>
      </c>
      <c r="IQ59" s="13" t="s">
        <v>37</v>
      </c>
      <c r="IV59" s="32" t="s">
        <v>345</v>
      </c>
      <c r="IW59" s="12">
        <v>4.0999999999999996</v>
      </c>
      <c r="IX59" s="12">
        <v>0.1</v>
      </c>
      <c r="IY59" s="13">
        <v>3</v>
      </c>
      <c r="IZ59" s="19">
        <f t="shared" si="147"/>
        <v>2.4390243902439029E-2</v>
      </c>
      <c r="JH59" s="12" t="s">
        <v>37</v>
      </c>
      <c r="JI59" s="12" t="s">
        <v>37</v>
      </c>
      <c r="JJ59" s="13" t="s">
        <v>37</v>
      </c>
      <c r="JL59" s="12" t="s">
        <v>37</v>
      </c>
      <c r="JM59" s="12" t="s">
        <v>37</v>
      </c>
      <c r="JN59" s="12" t="s">
        <v>37</v>
      </c>
      <c r="JS59" s="12" t="s">
        <v>37</v>
      </c>
      <c r="JT59" s="12" t="s">
        <v>37</v>
      </c>
      <c r="JU59" s="13" t="s">
        <v>37</v>
      </c>
      <c r="JW59" s="12" t="s">
        <v>37</v>
      </c>
      <c r="JX59" s="12" t="s">
        <v>37</v>
      </c>
      <c r="JY59" s="12" t="s">
        <v>37</v>
      </c>
      <c r="KE59" s="11" t="s">
        <v>37</v>
      </c>
      <c r="KF59" s="11" t="s">
        <v>37</v>
      </c>
      <c r="KG59" s="13" t="s">
        <v>37</v>
      </c>
      <c r="KH59" s="11" t="s">
        <v>37</v>
      </c>
      <c r="KI59" s="11" t="s">
        <v>37</v>
      </c>
      <c r="KJ59" s="11" t="s">
        <v>37</v>
      </c>
      <c r="KM59" s="12" t="s">
        <v>37</v>
      </c>
      <c r="KN59" s="12" t="s">
        <v>37</v>
      </c>
      <c r="KO59" s="11" t="s">
        <v>37</v>
      </c>
      <c r="KQ59" s="12" t="s">
        <v>37</v>
      </c>
      <c r="KR59" s="12" t="s">
        <v>37</v>
      </c>
      <c r="KS59" s="13" t="s">
        <v>37</v>
      </c>
      <c r="KX59" s="12" t="s">
        <v>37</v>
      </c>
      <c r="KY59" s="12" t="s">
        <v>37</v>
      </c>
      <c r="KZ59" s="13" t="s">
        <v>37</v>
      </c>
      <c r="LB59" s="12" t="s">
        <v>37</v>
      </c>
      <c r="LC59" s="12" t="s">
        <v>37</v>
      </c>
      <c r="LD59" s="13" t="s">
        <v>37</v>
      </c>
      <c r="LI59" s="12" t="s">
        <v>37</v>
      </c>
      <c r="LJ59" s="12" t="s">
        <v>37</v>
      </c>
      <c r="LK59" s="12" t="s">
        <v>37</v>
      </c>
      <c r="LM59" s="12" t="s">
        <v>37</v>
      </c>
      <c r="LN59" s="12" t="s">
        <v>37</v>
      </c>
      <c r="LO59" s="12" t="s">
        <v>37</v>
      </c>
      <c r="LU59" s="12" t="s">
        <v>37</v>
      </c>
      <c r="LV59" s="12" t="s">
        <v>37</v>
      </c>
      <c r="LW59" s="13" t="s">
        <v>37</v>
      </c>
      <c r="LY59" s="12" t="s">
        <v>37</v>
      </c>
      <c r="LZ59" s="12" t="s">
        <v>37</v>
      </c>
      <c r="MA59" s="12" t="s">
        <v>37</v>
      </c>
      <c r="MF59" s="12" t="s">
        <v>37</v>
      </c>
      <c r="MG59" s="12" t="s">
        <v>37</v>
      </c>
      <c r="MH59" s="12" t="s">
        <v>37</v>
      </c>
      <c r="MJ59" s="12" t="s">
        <v>37</v>
      </c>
      <c r="MK59" s="12" t="s">
        <v>37</v>
      </c>
      <c r="ML59" s="12" t="s">
        <v>37</v>
      </c>
      <c r="MQ59" s="12" t="s">
        <v>37</v>
      </c>
      <c r="MR59" s="12" t="s">
        <v>37</v>
      </c>
      <c r="MS59" s="12" t="s">
        <v>37</v>
      </c>
      <c r="MU59" s="12" t="s">
        <v>37</v>
      </c>
      <c r="MV59" s="12" t="s">
        <v>37</v>
      </c>
      <c r="MW59" s="12" t="s">
        <v>37</v>
      </c>
      <c r="NC59" s="12" t="s">
        <v>37</v>
      </c>
      <c r="ND59" s="12" t="s">
        <v>37</v>
      </c>
      <c r="NE59" s="13" t="s">
        <v>37</v>
      </c>
      <c r="NG59" s="12" t="s">
        <v>37</v>
      </c>
      <c r="NH59" s="12" t="s">
        <v>37</v>
      </c>
      <c r="NI59" s="13" t="s">
        <v>37</v>
      </c>
      <c r="NO59" s="12" t="s">
        <v>37</v>
      </c>
      <c r="NP59" s="12" t="s">
        <v>37</v>
      </c>
      <c r="NQ59" s="13" t="s">
        <v>37</v>
      </c>
      <c r="NS59" s="12" t="s">
        <v>37</v>
      </c>
      <c r="NT59" s="12" t="s">
        <v>37</v>
      </c>
      <c r="NU59" s="13" t="s">
        <v>37</v>
      </c>
      <c r="OA59" s="11" t="s">
        <v>37</v>
      </c>
      <c r="OB59" s="11" t="s">
        <v>37</v>
      </c>
      <c r="OC59" s="13" t="s">
        <v>37</v>
      </c>
      <c r="OE59" s="11" t="s">
        <v>37</v>
      </c>
      <c r="OF59" s="11" t="s">
        <v>37</v>
      </c>
      <c r="OG59" s="13" t="s">
        <v>37</v>
      </c>
      <c r="OM59" s="11" t="s">
        <v>37</v>
      </c>
      <c r="ON59" s="11" t="s">
        <v>37</v>
      </c>
      <c r="OO59" s="11" t="s">
        <v>37</v>
      </c>
      <c r="OP59" s="11" t="s">
        <v>37</v>
      </c>
      <c r="OQ59" s="11" t="s">
        <v>37</v>
      </c>
      <c r="OR59" s="11" t="s">
        <v>37</v>
      </c>
      <c r="OW59" s="11" t="s">
        <v>37</v>
      </c>
      <c r="OX59" s="11" t="s">
        <v>37</v>
      </c>
      <c r="OY59" s="13" t="s">
        <v>37</v>
      </c>
      <c r="OZ59" s="11" t="s">
        <v>37</v>
      </c>
      <c r="PA59" s="11" t="s">
        <v>37</v>
      </c>
      <c r="PB59" s="13" t="s">
        <v>37</v>
      </c>
      <c r="PG59" s="11" t="s">
        <v>37</v>
      </c>
      <c r="PH59" s="11" t="s">
        <v>37</v>
      </c>
      <c r="PI59" s="13" t="s">
        <v>37</v>
      </c>
      <c r="PJ59" s="11" t="s">
        <v>37</v>
      </c>
      <c r="PK59" s="11" t="s">
        <v>37</v>
      </c>
      <c r="PL59" s="13" t="s">
        <v>37</v>
      </c>
      <c r="PQ59" s="11" t="s">
        <v>37</v>
      </c>
      <c r="PR59" s="11" t="s">
        <v>37</v>
      </c>
      <c r="PS59" s="13" t="s">
        <v>37</v>
      </c>
      <c r="PT59" s="11" t="s">
        <v>37</v>
      </c>
      <c r="PU59" s="11" t="s">
        <v>37</v>
      </c>
      <c r="PV59" s="13" t="s">
        <v>37</v>
      </c>
      <c r="PY59" s="12" t="s">
        <v>43</v>
      </c>
      <c r="PZ59" s="12">
        <v>350</v>
      </c>
      <c r="QA59" s="12">
        <f>82*SQRT(3)</f>
        <v>142.02816622064793</v>
      </c>
      <c r="QB59" s="11">
        <v>3</v>
      </c>
      <c r="QC59" s="19">
        <f t="shared" si="155"/>
        <v>0.40579476063042269</v>
      </c>
      <c r="QD59" s="12">
        <v>327</v>
      </c>
      <c r="QE59" s="12">
        <f>51*SQRT(3)</f>
        <v>88.33459118601273</v>
      </c>
      <c r="QF59" s="13">
        <v>3</v>
      </c>
      <c r="QG59" s="19">
        <f t="shared" si="156"/>
        <v>0.27013636448321937</v>
      </c>
      <c r="QH59" s="19">
        <f t="shared" si="148"/>
        <v>-6.7972983586205987E-2</v>
      </c>
      <c r="QI59" s="19">
        <f t="shared" si="149"/>
        <v>7.9214347723770923E-2</v>
      </c>
      <c r="QJ59" s="12" t="s">
        <v>43</v>
      </c>
      <c r="QK59" s="12">
        <v>751</v>
      </c>
      <c r="QL59" s="12">
        <f>332*SQRT(3)</f>
        <v>575.0408681128672</v>
      </c>
      <c r="QM59" s="13">
        <v>3</v>
      </c>
      <c r="QN59" s="12">
        <v>715</v>
      </c>
      <c r="QO59" s="12">
        <f>116*SQRT(3)</f>
        <v>200.91789367798975</v>
      </c>
      <c r="QP59" s="13">
        <v>3</v>
      </c>
      <c r="QQ59" s="19">
        <f t="shared" si="158"/>
        <v>-4.9123109070127076E-2</v>
      </c>
      <c r="QR59" s="19">
        <f t="shared" si="150"/>
        <v>0.22175336909826129</v>
      </c>
      <c r="QU59" s="11" t="s">
        <v>37</v>
      </c>
      <c r="QV59" s="11" t="s">
        <v>37</v>
      </c>
      <c r="QW59" s="13" t="s">
        <v>37</v>
      </c>
      <c r="QX59" s="11" t="s">
        <v>37</v>
      </c>
      <c r="QY59" s="11" t="s">
        <v>37</v>
      </c>
      <c r="QZ59" s="13" t="s">
        <v>37</v>
      </c>
      <c r="RC59" s="12" t="s">
        <v>37</v>
      </c>
      <c r="RD59" s="12" t="s">
        <v>37</v>
      </c>
      <c r="RE59" s="13" t="s">
        <v>37</v>
      </c>
      <c r="RF59" s="12" t="s">
        <v>37</v>
      </c>
      <c r="RG59" s="12" t="s">
        <v>37</v>
      </c>
      <c r="RH59" s="13" t="s">
        <v>37</v>
      </c>
      <c r="RK59" s="11" t="s">
        <v>37</v>
      </c>
      <c r="RL59" s="11" t="s">
        <v>37</v>
      </c>
      <c r="RM59" s="11" t="s">
        <v>37</v>
      </c>
      <c r="RN59" s="11" t="s">
        <v>37</v>
      </c>
      <c r="RO59" s="11" t="s">
        <v>37</v>
      </c>
      <c r="RP59" s="11" t="s">
        <v>37</v>
      </c>
      <c r="RS59" s="11" t="s">
        <v>37</v>
      </c>
      <c r="RT59" s="11" t="s">
        <v>37</v>
      </c>
      <c r="RU59" s="11" t="s">
        <v>37</v>
      </c>
      <c r="RV59" s="11" t="s">
        <v>37</v>
      </c>
      <c r="RW59" s="11" t="s">
        <v>37</v>
      </c>
      <c r="RX59" s="11" t="s">
        <v>37</v>
      </c>
      <c r="SA59" s="11" t="s">
        <v>37</v>
      </c>
      <c r="SB59" s="11" t="s">
        <v>37</v>
      </c>
      <c r="SC59" s="13" t="s">
        <v>37</v>
      </c>
      <c r="SD59" s="11" t="s">
        <v>37</v>
      </c>
      <c r="SE59" s="11" t="s">
        <v>37</v>
      </c>
      <c r="SF59" s="13" t="s">
        <v>37</v>
      </c>
      <c r="SI59" s="12" t="s">
        <v>37</v>
      </c>
      <c r="SJ59" s="11" t="s">
        <v>37</v>
      </c>
      <c r="SK59" s="13" t="s">
        <v>37</v>
      </c>
      <c r="SM59" s="11" t="s">
        <v>37</v>
      </c>
      <c r="SN59" s="11" t="s">
        <v>37</v>
      </c>
      <c r="SO59" s="13" t="s">
        <v>37</v>
      </c>
      <c r="SU59" s="12" t="s">
        <v>37</v>
      </c>
      <c r="SV59" s="12" t="s">
        <v>37</v>
      </c>
      <c r="SW59" s="11" t="s">
        <v>37</v>
      </c>
      <c r="SX59" s="12" t="s">
        <v>37</v>
      </c>
      <c r="SY59" s="12" t="s">
        <v>37</v>
      </c>
      <c r="SZ59" s="11" t="s">
        <v>37</v>
      </c>
      <c r="TE59" s="12" t="s">
        <v>37</v>
      </c>
      <c r="TF59" s="12" t="s">
        <v>37</v>
      </c>
      <c r="TG59" s="11" t="s">
        <v>37</v>
      </c>
      <c r="TH59" s="12" t="s">
        <v>37</v>
      </c>
      <c r="TI59" s="12" t="s">
        <v>37</v>
      </c>
      <c r="TJ59" s="11" t="s">
        <v>37</v>
      </c>
      <c r="TO59" s="12" t="s">
        <v>37</v>
      </c>
      <c r="TP59" s="12" t="s">
        <v>37</v>
      </c>
      <c r="TQ59" s="11" t="s">
        <v>37</v>
      </c>
      <c r="TR59" s="12" t="s">
        <v>37</v>
      </c>
      <c r="TS59" s="12" t="s">
        <v>37</v>
      </c>
      <c r="TT59" s="11" t="s">
        <v>37</v>
      </c>
      <c r="TY59" s="12" t="s">
        <v>37</v>
      </c>
      <c r="TZ59" s="12" t="s">
        <v>37</v>
      </c>
      <c r="UA59" s="11" t="s">
        <v>37</v>
      </c>
      <c r="UB59" s="12" t="s">
        <v>37</v>
      </c>
      <c r="UC59" s="12" t="s">
        <v>37</v>
      </c>
      <c r="UD59" s="11" t="s">
        <v>37</v>
      </c>
      <c r="UI59" s="12" t="s">
        <v>37</v>
      </c>
      <c r="UJ59" s="12" t="s">
        <v>37</v>
      </c>
      <c r="UK59" s="13" t="s">
        <v>37</v>
      </c>
      <c r="UL59" s="12" t="s">
        <v>37</v>
      </c>
      <c r="UM59" s="12" t="s">
        <v>37</v>
      </c>
      <c r="UN59" s="13" t="s">
        <v>37</v>
      </c>
      <c r="UR59" s="12" t="s">
        <v>37</v>
      </c>
      <c r="US59" s="12" t="s">
        <v>37</v>
      </c>
      <c r="UT59" s="13" t="s">
        <v>37</v>
      </c>
      <c r="UU59" s="12" t="s">
        <v>37</v>
      </c>
      <c r="UV59" s="12" t="s">
        <v>37</v>
      </c>
      <c r="UW59" s="13" t="s">
        <v>37</v>
      </c>
      <c r="VB59" s="12" t="s">
        <v>37</v>
      </c>
      <c r="VC59" s="12" t="s">
        <v>37</v>
      </c>
      <c r="VD59" s="13" t="s">
        <v>37</v>
      </c>
      <c r="VE59" s="12" t="s">
        <v>37</v>
      </c>
      <c r="VF59" s="12" t="s">
        <v>37</v>
      </c>
      <c r="VG59" s="13" t="s">
        <v>37</v>
      </c>
      <c r="VI59" s="12" t="s">
        <v>37</v>
      </c>
      <c r="VJ59" s="12" t="s">
        <v>37</v>
      </c>
      <c r="VK59" s="13" t="s">
        <v>37</v>
      </c>
      <c r="VL59" s="12" t="s">
        <v>37</v>
      </c>
      <c r="VM59" s="12" t="s">
        <v>37</v>
      </c>
      <c r="VN59" s="13" t="s">
        <v>37</v>
      </c>
      <c r="VO59" s="12" t="s">
        <v>37</v>
      </c>
      <c r="VQ59" s="12" t="s">
        <v>37</v>
      </c>
      <c r="VR59" s="12" t="s">
        <v>37</v>
      </c>
      <c r="VS59" s="12" t="s">
        <v>37</v>
      </c>
      <c r="VT59" s="12" t="s">
        <v>37</v>
      </c>
      <c r="VU59" s="12" t="s">
        <v>37</v>
      </c>
      <c r="VV59" s="12" t="s">
        <v>37</v>
      </c>
      <c r="VW59" s="12"/>
      <c r="VX59" s="12"/>
      <c r="WA59" s="13" t="s">
        <v>37</v>
      </c>
      <c r="WB59" s="13" t="s">
        <v>37</v>
      </c>
      <c r="WC59" s="13" t="s">
        <v>37</v>
      </c>
      <c r="WD59" s="13" t="s">
        <v>37</v>
      </c>
      <c r="WE59" s="13" t="s">
        <v>37</v>
      </c>
      <c r="WF59" s="13" t="s">
        <v>37</v>
      </c>
    </row>
    <row r="60" spans="1:604" ht="18" customHeight="1" x14ac:dyDescent="0.4">
      <c r="A60" s="11">
        <v>12</v>
      </c>
      <c r="B60" s="12" t="s">
        <v>111</v>
      </c>
      <c r="C60" s="12" t="s">
        <v>26</v>
      </c>
      <c r="D60" s="12" t="s">
        <v>973</v>
      </c>
      <c r="E60" s="81">
        <v>4.5</v>
      </c>
      <c r="F60" s="14">
        <v>0</v>
      </c>
      <c r="G60" s="14">
        <v>0</v>
      </c>
      <c r="H60" s="12" t="s">
        <v>91</v>
      </c>
      <c r="I60" s="29">
        <v>55.35</v>
      </c>
      <c r="J60" s="29">
        <v>-112.517</v>
      </c>
      <c r="K60" s="12" t="s">
        <v>696</v>
      </c>
      <c r="L60" s="12" t="s">
        <v>697</v>
      </c>
      <c r="M60" s="13" t="s">
        <v>37</v>
      </c>
      <c r="N60" s="14">
        <v>2.1</v>
      </c>
      <c r="O60" s="14">
        <v>504</v>
      </c>
      <c r="P60" s="14" t="s">
        <v>84</v>
      </c>
      <c r="Q60" s="75">
        <v>11</v>
      </c>
      <c r="R60" s="11" t="s">
        <v>999</v>
      </c>
      <c r="S60" s="12" t="s">
        <v>93</v>
      </c>
      <c r="T60" s="12" t="s">
        <v>141</v>
      </c>
      <c r="U60" s="12" t="s">
        <v>334</v>
      </c>
      <c r="V60" s="12" t="s">
        <v>275</v>
      </c>
      <c r="W60" s="23" t="s">
        <v>500</v>
      </c>
      <c r="X60" s="12" t="s">
        <v>281</v>
      </c>
      <c r="Y60" s="12" t="s">
        <v>69</v>
      </c>
      <c r="Z60" s="12" t="s">
        <v>37</v>
      </c>
      <c r="AA60" s="32" t="s">
        <v>345</v>
      </c>
      <c r="AB60" s="12">
        <v>4.0999999999999996</v>
      </c>
      <c r="AE60" s="12" t="s">
        <v>37</v>
      </c>
      <c r="AH60" s="12" t="s">
        <v>37</v>
      </c>
      <c r="AK60" s="12" t="s">
        <v>37</v>
      </c>
      <c r="AL60" s="32" t="s">
        <v>496</v>
      </c>
      <c r="AM60" s="12" t="s">
        <v>317</v>
      </c>
      <c r="AN60" s="32" t="s">
        <v>879</v>
      </c>
      <c r="AO60" s="12" t="s">
        <v>318</v>
      </c>
      <c r="AP60" s="12" t="s">
        <v>108</v>
      </c>
      <c r="AQ60" s="12" t="s">
        <v>975</v>
      </c>
      <c r="AT60" s="12" t="s">
        <v>326</v>
      </c>
      <c r="AU60" s="12" t="s">
        <v>326</v>
      </c>
      <c r="AV60" s="13" t="s">
        <v>326</v>
      </c>
      <c r="AX60" s="12" t="s">
        <v>326</v>
      </c>
      <c r="AY60" s="12" t="s">
        <v>326</v>
      </c>
      <c r="AZ60" s="13" t="s">
        <v>326</v>
      </c>
      <c r="BE60" s="12" t="s">
        <v>326</v>
      </c>
      <c r="BF60" s="12" t="s">
        <v>326</v>
      </c>
      <c r="BG60" s="12" t="s">
        <v>326</v>
      </c>
      <c r="BI60" s="12" t="s">
        <v>326</v>
      </c>
      <c r="BJ60" s="12" t="s">
        <v>326</v>
      </c>
      <c r="BK60" s="12" t="s">
        <v>326</v>
      </c>
      <c r="BP60" s="12" t="s">
        <v>37</v>
      </c>
      <c r="BQ60" s="12" t="s">
        <v>37</v>
      </c>
      <c r="BR60" s="13" t="s">
        <v>37</v>
      </c>
      <c r="BT60" s="12" t="s">
        <v>37</v>
      </c>
      <c r="BU60" s="12" t="s">
        <v>37</v>
      </c>
      <c r="BV60" s="12" t="s">
        <v>37</v>
      </c>
      <c r="CA60" s="12" t="s">
        <v>37</v>
      </c>
      <c r="CB60" s="12" t="s">
        <v>37</v>
      </c>
      <c r="CC60" s="13" t="s">
        <v>37</v>
      </c>
      <c r="CE60" s="12" t="s">
        <v>37</v>
      </c>
      <c r="CF60" s="12" t="s">
        <v>37</v>
      </c>
      <c r="CG60" s="13" t="s">
        <v>37</v>
      </c>
      <c r="CI60" s="52"/>
      <c r="CJ60" s="12"/>
      <c r="CK60" s="73"/>
      <c r="CL60" s="73"/>
      <c r="CN60" s="12" t="s">
        <v>37</v>
      </c>
      <c r="CO60" s="12" t="s">
        <v>37</v>
      </c>
      <c r="CP60" s="13" t="s">
        <v>37</v>
      </c>
      <c r="CR60" s="12" t="s">
        <v>37</v>
      </c>
      <c r="CS60" s="12" t="s">
        <v>37</v>
      </c>
      <c r="CT60" s="13" t="s">
        <v>37</v>
      </c>
      <c r="CV60" s="52"/>
      <c r="CW60" s="52"/>
      <c r="CX60" s="73"/>
      <c r="CY60" s="73"/>
      <c r="DA60" s="12" t="s">
        <v>37</v>
      </c>
      <c r="DB60" s="12" t="s">
        <v>37</v>
      </c>
      <c r="DC60" s="13" t="s">
        <v>37</v>
      </c>
      <c r="DE60" s="12" t="s">
        <v>37</v>
      </c>
      <c r="DF60" s="12" t="s">
        <v>37</v>
      </c>
      <c r="DG60" s="13" t="s">
        <v>37</v>
      </c>
      <c r="DI60" s="52"/>
      <c r="DJ60" s="52"/>
      <c r="DK60" s="73"/>
      <c r="DL60" s="73"/>
      <c r="DM60" s="15" t="s">
        <v>47</v>
      </c>
      <c r="DN60" s="52">
        <f>4.52*10^4/10^6*("2011/10/31"-"2011/05/01")/'[1]classes-1'!$I$63</f>
        <v>10.866266106411475</v>
      </c>
      <c r="DO60" s="12">
        <f>DO59</f>
        <v>5.3394122234557058</v>
      </c>
      <c r="DP60" s="18">
        <v>3</v>
      </c>
      <c r="DQ60" s="19">
        <f t="shared" si="193"/>
        <v>0.49137506583841778</v>
      </c>
      <c r="DR60" s="52">
        <f>2.28*10^4/10^6*("2011/10/31"-"2011/05/01")/'[1]classes-1'!$I$64</f>
        <v>1.2247833424193799</v>
      </c>
      <c r="DS60" s="12">
        <f>1.86*10^4/10^6*("2011/10/31"-"2011/05/01")</f>
        <v>3.4037999999999999</v>
      </c>
      <c r="DT60" s="18">
        <v>3</v>
      </c>
      <c r="DU60" s="19">
        <f t="shared" si="194"/>
        <v>2.779103766447617</v>
      </c>
      <c r="DV60" s="19">
        <f t="shared" si="198"/>
        <v>-9.6414827639920944</v>
      </c>
      <c r="DW60" s="12">
        <f t="shared" si="195"/>
        <v>4.4774533683773976</v>
      </c>
      <c r="DX60" s="72">
        <f t="shared" si="196"/>
        <v>13.365059110662735</v>
      </c>
      <c r="DY60" s="72">
        <f t="shared" si="197"/>
        <v>13.365059110662735</v>
      </c>
      <c r="DZ60" s="15"/>
      <c r="EA60" s="52" t="s">
        <v>37</v>
      </c>
      <c r="EB60" s="52" t="s">
        <v>37</v>
      </c>
      <c r="EC60" s="73" t="s">
        <v>37</v>
      </c>
      <c r="ED60" s="52"/>
      <c r="EE60" s="52" t="s">
        <v>37</v>
      </c>
      <c r="EF60" s="52" t="s">
        <v>37</v>
      </c>
      <c r="EG60" s="15" t="s">
        <v>37</v>
      </c>
      <c r="EH60" s="52"/>
      <c r="EI60" s="52"/>
      <c r="EJ60" s="52"/>
      <c r="EK60" s="52"/>
      <c r="EL60" s="52"/>
      <c r="EM60" s="12" t="s">
        <v>39</v>
      </c>
      <c r="EN60" s="12">
        <v>-38</v>
      </c>
      <c r="EO60" s="12">
        <v>7.6</v>
      </c>
      <c r="EP60" s="13">
        <v>3</v>
      </c>
      <c r="EQ60" s="19">
        <f t="shared" si="139"/>
        <v>0.19999999999999998</v>
      </c>
      <c r="ER60" s="12">
        <v>-112</v>
      </c>
      <c r="ES60" s="12">
        <v>15.2</v>
      </c>
      <c r="ET60" s="13">
        <v>3</v>
      </c>
      <c r="EU60" s="19">
        <f t="shared" si="140"/>
        <v>0.1357142857142857</v>
      </c>
      <c r="EV60" s="19">
        <f t="shared" si="141"/>
        <v>-74</v>
      </c>
      <c r="EW60" s="12">
        <f t="shared" si="142"/>
        <v>12.016655108639842</v>
      </c>
      <c r="EX60" s="19">
        <f t="shared" si="143"/>
        <v>96.266666666666666</v>
      </c>
      <c r="EY60" s="19">
        <f t="shared" si="144"/>
        <v>96.266666666666666</v>
      </c>
      <c r="FB60" s="11" t="s">
        <v>37</v>
      </c>
      <c r="FC60" s="11" t="s">
        <v>37</v>
      </c>
      <c r="FD60" s="11" t="s">
        <v>37</v>
      </c>
      <c r="FE60" s="12" t="s">
        <v>37</v>
      </c>
      <c r="FF60" s="20" t="s">
        <v>37</v>
      </c>
      <c r="FG60" s="11" t="s">
        <v>37</v>
      </c>
      <c r="FI60" s="11" t="s">
        <v>37</v>
      </c>
      <c r="FJ60" s="11" t="s">
        <v>37</v>
      </c>
      <c r="FK60" s="11" t="s">
        <v>37</v>
      </c>
      <c r="FL60" s="13" t="s">
        <v>37</v>
      </c>
      <c r="FM60" s="11" t="s">
        <v>37</v>
      </c>
      <c r="FN60" s="11" t="s">
        <v>37</v>
      </c>
      <c r="FP60" s="11" t="s">
        <v>37</v>
      </c>
      <c r="FQ60" s="11" t="s">
        <v>37</v>
      </c>
      <c r="FR60" s="11" t="s">
        <v>37</v>
      </c>
      <c r="FS60" s="13" t="s">
        <v>37</v>
      </c>
      <c r="FT60" s="11" t="s">
        <v>37</v>
      </c>
      <c r="FU60" s="11" t="s">
        <v>37</v>
      </c>
      <c r="FW60" s="11" t="s">
        <v>37</v>
      </c>
      <c r="FX60" s="11" t="s">
        <v>37</v>
      </c>
      <c r="FY60" s="11" t="s">
        <v>37</v>
      </c>
      <c r="FZ60" s="13" t="s">
        <v>37</v>
      </c>
      <c r="GA60" s="11" t="s">
        <v>37</v>
      </c>
      <c r="GB60" s="11" t="s">
        <v>37</v>
      </c>
      <c r="GO60" s="12" t="s">
        <v>660</v>
      </c>
      <c r="GP60" s="12" t="s">
        <v>330</v>
      </c>
      <c r="GQ60" s="12">
        <v>12.3</v>
      </c>
      <c r="GR60" s="12">
        <v>5.0000000000000001E-3</v>
      </c>
      <c r="GS60" s="13">
        <v>3</v>
      </c>
      <c r="GT60" s="19">
        <f t="shared" si="145"/>
        <v>4.0650406504065041E-4</v>
      </c>
      <c r="GU60" s="12">
        <v>13.1</v>
      </c>
      <c r="GV60" s="12">
        <v>0.1</v>
      </c>
      <c r="GW60" s="13">
        <v>3</v>
      </c>
      <c r="GX60" s="19">
        <f t="shared" si="211"/>
        <v>7.6335877862595426E-3</v>
      </c>
      <c r="GY60" s="19">
        <f t="shared" si="203"/>
        <v>6.301296782873396E-2</v>
      </c>
      <c r="GZ60" s="19">
        <f t="shared" si="204"/>
        <v>1.9478969348475148E-5</v>
      </c>
      <c r="HA60" s="12"/>
      <c r="HB60" s="32"/>
      <c r="HM60" s="32"/>
      <c r="IK60" s="12" t="s">
        <v>37</v>
      </c>
      <c r="IL60" s="12" t="s">
        <v>37</v>
      </c>
      <c r="IM60" s="13" t="s">
        <v>37</v>
      </c>
      <c r="IO60" s="12" t="s">
        <v>37</v>
      </c>
      <c r="IP60" s="12" t="s">
        <v>37</v>
      </c>
      <c r="IQ60" s="13" t="s">
        <v>37</v>
      </c>
      <c r="IV60" s="32" t="s">
        <v>345</v>
      </c>
      <c r="IW60" s="12">
        <v>4.0999999999999996</v>
      </c>
      <c r="IX60" s="12">
        <v>0.1</v>
      </c>
      <c r="IY60" s="13">
        <v>3</v>
      </c>
      <c r="IZ60" s="19">
        <f t="shared" si="147"/>
        <v>2.4390243902439029E-2</v>
      </c>
      <c r="JH60" s="12" t="s">
        <v>37</v>
      </c>
      <c r="JI60" s="12" t="s">
        <v>37</v>
      </c>
      <c r="JJ60" s="13" t="s">
        <v>37</v>
      </c>
      <c r="JL60" s="12" t="s">
        <v>37</v>
      </c>
      <c r="JM60" s="12" t="s">
        <v>37</v>
      </c>
      <c r="JN60" s="12" t="s">
        <v>37</v>
      </c>
      <c r="JS60" s="12" t="s">
        <v>37</v>
      </c>
      <c r="JT60" s="12" t="s">
        <v>37</v>
      </c>
      <c r="JU60" s="13" t="s">
        <v>37</v>
      </c>
      <c r="JW60" s="12" t="s">
        <v>37</v>
      </c>
      <c r="JX60" s="12" t="s">
        <v>37</v>
      </c>
      <c r="JY60" s="12" t="s">
        <v>37</v>
      </c>
      <c r="KE60" s="11" t="s">
        <v>37</v>
      </c>
      <c r="KF60" s="11" t="s">
        <v>37</v>
      </c>
      <c r="KG60" s="13" t="s">
        <v>37</v>
      </c>
      <c r="KH60" s="11" t="s">
        <v>37</v>
      </c>
      <c r="KI60" s="11" t="s">
        <v>37</v>
      </c>
      <c r="KJ60" s="11" t="s">
        <v>37</v>
      </c>
      <c r="KM60" s="12" t="s">
        <v>37</v>
      </c>
      <c r="KN60" s="12" t="s">
        <v>37</v>
      </c>
      <c r="KO60" s="11" t="s">
        <v>37</v>
      </c>
      <c r="KQ60" s="12" t="s">
        <v>37</v>
      </c>
      <c r="KR60" s="12" t="s">
        <v>37</v>
      </c>
      <c r="KS60" s="13" t="s">
        <v>37</v>
      </c>
      <c r="KX60" s="12" t="s">
        <v>37</v>
      </c>
      <c r="KY60" s="12" t="s">
        <v>37</v>
      </c>
      <c r="KZ60" s="13" t="s">
        <v>37</v>
      </c>
      <c r="LB60" s="12" t="s">
        <v>37</v>
      </c>
      <c r="LC60" s="12" t="s">
        <v>37</v>
      </c>
      <c r="LD60" s="13" t="s">
        <v>37</v>
      </c>
      <c r="LI60" s="12" t="s">
        <v>37</v>
      </c>
      <c r="LJ60" s="12" t="s">
        <v>37</v>
      </c>
      <c r="LK60" s="12" t="s">
        <v>37</v>
      </c>
      <c r="LM60" s="12" t="s">
        <v>37</v>
      </c>
      <c r="LN60" s="12" t="s">
        <v>37</v>
      </c>
      <c r="LO60" s="12" t="s">
        <v>37</v>
      </c>
      <c r="LU60" s="12" t="s">
        <v>37</v>
      </c>
      <c r="LV60" s="12" t="s">
        <v>37</v>
      </c>
      <c r="LW60" s="13" t="s">
        <v>37</v>
      </c>
      <c r="LY60" s="12" t="s">
        <v>37</v>
      </c>
      <c r="LZ60" s="12" t="s">
        <v>37</v>
      </c>
      <c r="MA60" s="12" t="s">
        <v>37</v>
      </c>
      <c r="MF60" s="12" t="s">
        <v>37</v>
      </c>
      <c r="MG60" s="12" t="s">
        <v>37</v>
      </c>
      <c r="MH60" s="12" t="s">
        <v>37</v>
      </c>
      <c r="MJ60" s="12" t="s">
        <v>37</v>
      </c>
      <c r="MK60" s="12" t="s">
        <v>37</v>
      </c>
      <c r="ML60" s="12" t="s">
        <v>37</v>
      </c>
      <c r="MQ60" s="12" t="s">
        <v>37</v>
      </c>
      <c r="MR60" s="12" t="s">
        <v>37</v>
      </c>
      <c r="MS60" s="12" t="s">
        <v>37</v>
      </c>
      <c r="MU60" s="12" t="s">
        <v>37</v>
      </c>
      <c r="MV60" s="12" t="s">
        <v>37</v>
      </c>
      <c r="MW60" s="12" t="s">
        <v>37</v>
      </c>
      <c r="NC60" s="12" t="s">
        <v>37</v>
      </c>
      <c r="ND60" s="12" t="s">
        <v>37</v>
      </c>
      <c r="NE60" s="13" t="s">
        <v>37</v>
      </c>
      <c r="NG60" s="12" t="s">
        <v>37</v>
      </c>
      <c r="NH60" s="12" t="s">
        <v>37</v>
      </c>
      <c r="NI60" s="13" t="s">
        <v>37</v>
      </c>
      <c r="NO60" s="12" t="s">
        <v>37</v>
      </c>
      <c r="NP60" s="12" t="s">
        <v>37</v>
      </c>
      <c r="NQ60" s="13" t="s">
        <v>37</v>
      </c>
      <c r="NS60" s="12" t="s">
        <v>37</v>
      </c>
      <c r="NT60" s="12" t="s">
        <v>37</v>
      </c>
      <c r="NU60" s="13" t="s">
        <v>37</v>
      </c>
      <c r="OA60" s="11" t="s">
        <v>37</v>
      </c>
      <c r="OB60" s="11" t="s">
        <v>37</v>
      </c>
      <c r="OC60" s="13" t="s">
        <v>37</v>
      </c>
      <c r="OE60" s="11" t="s">
        <v>37</v>
      </c>
      <c r="OF60" s="11" t="s">
        <v>37</v>
      </c>
      <c r="OG60" s="13" t="s">
        <v>37</v>
      </c>
      <c r="OM60" s="11" t="s">
        <v>37</v>
      </c>
      <c r="ON60" s="11" t="s">
        <v>37</v>
      </c>
      <c r="OO60" s="11" t="s">
        <v>37</v>
      </c>
      <c r="OP60" s="11" t="s">
        <v>37</v>
      </c>
      <c r="OQ60" s="11" t="s">
        <v>37</v>
      </c>
      <c r="OR60" s="11" t="s">
        <v>37</v>
      </c>
      <c r="OW60" s="11" t="s">
        <v>37</v>
      </c>
      <c r="OX60" s="11" t="s">
        <v>37</v>
      </c>
      <c r="OY60" s="13" t="s">
        <v>37</v>
      </c>
      <c r="OZ60" s="11" t="s">
        <v>37</v>
      </c>
      <c r="PA60" s="11" t="s">
        <v>37</v>
      </c>
      <c r="PB60" s="13" t="s">
        <v>37</v>
      </c>
      <c r="PG60" s="11" t="s">
        <v>37</v>
      </c>
      <c r="PH60" s="11" t="s">
        <v>37</v>
      </c>
      <c r="PI60" s="13" t="s">
        <v>37</v>
      </c>
      <c r="PJ60" s="11" t="s">
        <v>37</v>
      </c>
      <c r="PK60" s="11" t="s">
        <v>37</v>
      </c>
      <c r="PL60" s="13" t="s">
        <v>37</v>
      </c>
      <c r="PQ60" s="11" t="s">
        <v>37</v>
      </c>
      <c r="PR60" s="11" t="s">
        <v>37</v>
      </c>
      <c r="PS60" s="13" t="s">
        <v>37</v>
      </c>
      <c r="PT60" s="11" t="s">
        <v>37</v>
      </c>
      <c r="PU60" s="11" t="s">
        <v>37</v>
      </c>
      <c r="PV60" s="13" t="s">
        <v>37</v>
      </c>
      <c r="PY60" s="12" t="s">
        <v>43</v>
      </c>
      <c r="PZ60" s="12">
        <v>350</v>
      </c>
      <c r="QA60" s="12">
        <f t="shared" ref="QA60:QA64" si="212">82*SQRT(3)</f>
        <v>142.02816622064793</v>
      </c>
      <c r="QB60" s="11">
        <v>3</v>
      </c>
      <c r="QC60" s="19">
        <f t="shared" si="155"/>
        <v>0.40579476063042269</v>
      </c>
      <c r="QD60" s="12">
        <v>378</v>
      </c>
      <c r="QE60" s="12">
        <f>6*SQRT(3)</f>
        <v>10.392304845413264</v>
      </c>
      <c r="QF60" s="13">
        <v>3</v>
      </c>
      <c r="QG60" s="19">
        <f t="shared" si="156"/>
        <v>2.7492869961410753E-2</v>
      </c>
      <c r="QH60" s="19">
        <f t="shared" si="148"/>
        <v>7.6961041136128394E-2</v>
      </c>
      <c r="QI60" s="19">
        <f t="shared" si="149"/>
        <v>5.5141748551272358E-2</v>
      </c>
      <c r="QJ60" s="12" t="s">
        <v>43</v>
      </c>
      <c r="QK60" s="12">
        <v>751</v>
      </c>
      <c r="QL60" s="12">
        <f t="shared" ref="QL60:QL64" si="213">332*SQRT(3)</f>
        <v>575.0408681128672</v>
      </c>
      <c r="QM60" s="13">
        <v>3</v>
      </c>
      <c r="QN60" s="12">
        <v>975</v>
      </c>
      <c r="QO60" s="12">
        <f>301*SQRT(3)</f>
        <v>521.34729307823204</v>
      </c>
      <c r="QP60" s="13">
        <v>3</v>
      </c>
      <c r="QQ60" s="19">
        <f t="shared" si="158"/>
        <v>0.26103181923371244</v>
      </c>
      <c r="QR60" s="19">
        <f t="shared" si="150"/>
        <v>0.29073904946296264</v>
      </c>
      <c r="QU60" s="11" t="s">
        <v>37</v>
      </c>
      <c r="QV60" s="11" t="s">
        <v>37</v>
      </c>
      <c r="QW60" s="13" t="s">
        <v>37</v>
      </c>
      <c r="QX60" s="11" t="s">
        <v>37</v>
      </c>
      <c r="QY60" s="11" t="s">
        <v>37</v>
      </c>
      <c r="QZ60" s="13" t="s">
        <v>37</v>
      </c>
      <c r="RC60" s="12" t="s">
        <v>37</v>
      </c>
      <c r="RD60" s="12" t="s">
        <v>37</v>
      </c>
      <c r="RE60" s="13" t="s">
        <v>37</v>
      </c>
      <c r="RF60" s="12" t="s">
        <v>37</v>
      </c>
      <c r="RG60" s="12" t="s">
        <v>37</v>
      </c>
      <c r="RH60" s="13" t="s">
        <v>37</v>
      </c>
      <c r="RK60" s="11" t="s">
        <v>37</v>
      </c>
      <c r="RL60" s="11" t="s">
        <v>37</v>
      </c>
      <c r="RM60" s="11" t="s">
        <v>37</v>
      </c>
      <c r="RN60" s="11" t="s">
        <v>37</v>
      </c>
      <c r="RO60" s="11" t="s">
        <v>37</v>
      </c>
      <c r="RP60" s="11" t="s">
        <v>37</v>
      </c>
      <c r="RS60" s="11" t="s">
        <v>37</v>
      </c>
      <c r="RT60" s="11" t="s">
        <v>37</v>
      </c>
      <c r="RU60" s="11" t="s">
        <v>37</v>
      </c>
      <c r="RV60" s="11" t="s">
        <v>37</v>
      </c>
      <c r="RW60" s="11" t="s">
        <v>37</v>
      </c>
      <c r="RX60" s="11" t="s">
        <v>37</v>
      </c>
      <c r="SA60" s="11" t="s">
        <v>37</v>
      </c>
      <c r="SB60" s="11" t="s">
        <v>37</v>
      </c>
      <c r="SC60" s="13" t="s">
        <v>37</v>
      </c>
      <c r="SD60" s="11" t="s">
        <v>37</v>
      </c>
      <c r="SE60" s="11" t="s">
        <v>37</v>
      </c>
      <c r="SF60" s="13" t="s">
        <v>37</v>
      </c>
      <c r="SI60" s="12" t="s">
        <v>37</v>
      </c>
      <c r="SJ60" s="11" t="s">
        <v>37</v>
      </c>
      <c r="SK60" s="13" t="s">
        <v>37</v>
      </c>
      <c r="SM60" s="11" t="s">
        <v>37</v>
      </c>
      <c r="SN60" s="11" t="s">
        <v>37</v>
      </c>
      <c r="SO60" s="13" t="s">
        <v>37</v>
      </c>
      <c r="SU60" s="12" t="s">
        <v>37</v>
      </c>
      <c r="SV60" s="12" t="s">
        <v>37</v>
      </c>
      <c r="SW60" s="11" t="s">
        <v>37</v>
      </c>
      <c r="SX60" s="12" t="s">
        <v>37</v>
      </c>
      <c r="SY60" s="12" t="s">
        <v>37</v>
      </c>
      <c r="SZ60" s="11" t="s">
        <v>37</v>
      </c>
      <c r="TE60" s="12" t="s">
        <v>37</v>
      </c>
      <c r="TF60" s="12" t="s">
        <v>37</v>
      </c>
      <c r="TG60" s="11" t="s">
        <v>37</v>
      </c>
      <c r="TH60" s="12" t="s">
        <v>37</v>
      </c>
      <c r="TI60" s="12" t="s">
        <v>37</v>
      </c>
      <c r="TJ60" s="11" t="s">
        <v>37</v>
      </c>
      <c r="TO60" s="12" t="s">
        <v>37</v>
      </c>
      <c r="TP60" s="12" t="s">
        <v>37</v>
      </c>
      <c r="TQ60" s="11" t="s">
        <v>37</v>
      </c>
      <c r="TR60" s="12" t="s">
        <v>37</v>
      </c>
      <c r="TS60" s="12" t="s">
        <v>37</v>
      </c>
      <c r="TT60" s="11" t="s">
        <v>37</v>
      </c>
      <c r="TY60" s="12" t="s">
        <v>37</v>
      </c>
      <c r="TZ60" s="12" t="s">
        <v>37</v>
      </c>
      <c r="UA60" s="11" t="s">
        <v>37</v>
      </c>
      <c r="UB60" s="12" t="s">
        <v>37</v>
      </c>
      <c r="UC60" s="12" t="s">
        <v>37</v>
      </c>
      <c r="UD60" s="11" t="s">
        <v>37</v>
      </c>
      <c r="UI60" s="12" t="s">
        <v>37</v>
      </c>
      <c r="UJ60" s="12" t="s">
        <v>37</v>
      </c>
      <c r="UK60" s="13" t="s">
        <v>37</v>
      </c>
      <c r="UL60" s="12" t="s">
        <v>37</v>
      </c>
      <c r="UM60" s="12" t="s">
        <v>37</v>
      </c>
      <c r="UN60" s="13" t="s">
        <v>37</v>
      </c>
      <c r="UR60" s="12" t="s">
        <v>37</v>
      </c>
      <c r="US60" s="12" t="s">
        <v>37</v>
      </c>
      <c r="UT60" s="13" t="s">
        <v>37</v>
      </c>
      <c r="UU60" s="12" t="s">
        <v>37</v>
      </c>
      <c r="UV60" s="12" t="s">
        <v>37</v>
      </c>
      <c r="UW60" s="13" t="s">
        <v>37</v>
      </c>
      <c r="VB60" s="12" t="s">
        <v>37</v>
      </c>
      <c r="VC60" s="12" t="s">
        <v>37</v>
      </c>
      <c r="VD60" s="13" t="s">
        <v>37</v>
      </c>
      <c r="VE60" s="12" t="s">
        <v>37</v>
      </c>
      <c r="VF60" s="12" t="s">
        <v>37</v>
      </c>
      <c r="VG60" s="13" t="s">
        <v>37</v>
      </c>
      <c r="VI60" s="12" t="s">
        <v>37</v>
      </c>
      <c r="VJ60" s="12" t="s">
        <v>37</v>
      </c>
      <c r="VK60" s="13" t="s">
        <v>37</v>
      </c>
      <c r="VL60" s="12" t="s">
        <v>37</v>
      </c>
      <c r="VM60" s="12" t="s">
        <v>37</v>
      </c>
      <c r="VN60" s="13" t="s">
        <v>37</v>
      </c>
      <c r="VO60" s="12" t="s">
        <v>37</v>
      </c>
      <c r="VQ60" s="12" t="s">
        <v>37</v>
      </c>
      <c r="VR60" s="12" t="s">
        <v>37</v>
      </c>
      <c r="VS60" s="12" t="s">
        <v>37</v>
      </c>
      <c r="VT60" s="12" t="s">
        <v>37</v>
      </c>
      <c r="VU60" s="12" t="s">
        <v>37</v>
      </c>
      <c r="VV60" s="12" t="s">
        <v>37</v>
      </c>
      <c r="VW60" s="12"/>
      <c r="VX60" s="12"/>
      <c r="WA60" s="13" t="s">
        <v>37</v>
      </c>
      <c r="WB60" s="13" t="s">
        <v>37</v>
      </c>
      <c r="WC60" s="13" t="s">
        <v>37</v>
      </c>
      <c r="WD60" s="13" t="s">
        <v>37</v>
      </c>
      <c r="WE60" s="13" t="s">
        <v>37</v>
      </c>
      <c r="WF60" s="13" t="s">
        <v>37</v>
      </c>
    </row>
    <row r="61" spans="1:604" ht="18" customHeight="1" x14ac:dyDescent="0.4">
      <c r="A61" s="11">
        <v>12</v>
      </c>
      <c r="B61" s="12" t="s">
        <v>111</v>
      </c>
      <c r="C61" s="12" t="s">
        <v>26</v>
      </c>
      <c r="D61" s="12" t="s">
        <v>973</v>
      </c>
      <c r="E61" s="81">
        <v>4.5</v>
      </c>
      <c r="F61" s="14">
        <v>0</v>
      </c>
      <c r="G61" s="14">
        <v>0</v>
      </c>
      <c r="H61" s="12" t="s">
        <v>91</v>
      </c>
      <c r="I61" s="29">
        <v>55.35</v>
      </c>
      <c r="J61" s="29">
        <v>-112.517</v>
      </c>
      <c r="K61" s="12" t="s">
        <v>696</v>
      </c>
      <c r="L61" s="12" t="s">
        <v>697</v>
      </c>
      <c r="M61" s="13" t="s">
        <v>37</v>
      </c>
      <c r="N61" s="14">
        <v>2.1</v>
      </c>
      <c r="O61" s="14">
        <v>504</v>
      </c>
      <c r="P61" s="14" t="s">
        <v>84</v>
      </c>
      <c r="Q61" s="75">
        <v>2</v>
      </c>
      <c r="R61" s="11" t="s">
        <v>999</v>
      </c>
      <c r="S61" s="12" t="s">
        <v>93</v>
      </c>
      <c r="T61" s="12" t="s">
        <v>141</v>
      </c>
      <c r="U61" s="12" t="s">
        <v>334</v>
      </c>
      <c r="V61" s="12" t="s">
        <v>275</v>
      </c>
      <c r="W61" s="23" t="s">
        <v>500</v>
      </c>
      <c r="X61" s="12" t="s">
        <v>281</v>
      </c>
      <c r="Y61" s="12" t="s">
        <v>69</v>
      </c>
      <c r="Z61" s="12" t="s">
        <v>37</v>
      </c>
      <c r="AA61" s="32" t="s">
        <v>345</v>
      </c>
      <c r="AB61" s="12">
        <v>4.0999999999999996</v>
      </c>
      <c r="AE61" s="12" t="s">
        <v>37</v>
      </c>
      <c r="AH61" s="12" t="s">
        <v>37</v>
      </c>
      <c r="AK61" s="12" t="s">
        <v>37</v>
      </c>
      <c r="AL61" s="32" t="s">
        <v>497</v>
      </c>
      <c r="AM61" s="12" t="s">
        <v>317</v>
      </c>
      <c r="AN61" s="32" t="s">
        <v>879</v>
      </c>
      <c r="AO61" s="12" t="s">
        <v>29</v>
      </c>
      <c r="AP61" s="12" t="s">
        <v>108</v>
      </c>
      <c r="AQ61" s="12" t="s">
        <v>975</v>
      </c>
      <c r="AT61" s="12" t="s">
        <v>326</v>
      </c>
      <c r="AU61" s="12" t="s">
        <v>326</v>
      </c>
      <c r="AV61" s="13" t="s">
        <v>326</v>
      </c>
      <c r="AX61" s="12" t="s">
        <v>326</v>
      </c>
      <c r="AY61" s="12" t="s">
        <v>326</v>
      </c>
      <c r="AZ61" s="13" t="s">
        <v>326</v>
      </c>
      <c r="BE61" s="12" t="s">
        <v>326</v>
      </c>
      <c r="BF61" s="12" t="s">
        <v>326</v>
      </c>
      <c r="BG61" s="12" t="s">
        <v>326</v>
      </c>
      <c r="BI61" s="12" t="s">
        <v>326</v>
      </c>
      <c r="BJ61" s="12" t="s">
        <v>326</v>
      </c>
      <c r="BK61" s="12" t="s">
        <v>326</v>
      </c>
      <c r="BP61" s="12" t="s">
        <v>37</v>
      </c>
      <c r="BQ61" s="12" t="s">
        <v>37</v>
      </c>
      <c r="BR61" s="13" t="s">
        <v>37</v>
      </c>
      <c r="BT61" s="12" t="s">
        <v>37</v>
      </c>
      <c r="BU61" s="12" t="s">
        <v>37</v>
      </c>
      <c r="BV61" s="12" t="s">
        <v>37</v>
      </c>
      <c r="CA61" s="12" t="s">
        <v>37</v>
      </c>
      <c r="CB61" s="12" t="s">
        <v>37</v>
      </c>
      <c r="CC61" s="13" t="s">
        <v>37</v>
      </c>
      <c r="CE61" s="12" t="s">
        <v>37</v>
      </c>
      <c r="CF61" s="12" t="s">
        <v>37</v>
      </c>
      <c r="CG61" s="13" t="s">
        <v>37</v>
      </c>
      <c r="CI61" s="52"/>
      <c r="CJ61" s="12"/>
      <c r="CK61" s="73"/>
      <c r="CL61" s="73"/>
      <c r="CN61" s="12" t="s">
        <v>37</v>
      </c>
      <c r="CO61" s="12" t="s">
        <v>37</v>
      </c>
      <c r="CP61" s="13" t="s">
        <v>37</v>
      </c>
      <c r="CR61" s="12" t="s">
        <v>37</v>
      </c>
      <c r="CS61" s="12" t="s">
        <v>37</v>
      </c>
      <c r="CT61" s="13" t="s">
        <v>37</v>
      </c>
      <c r="CV61" s="52"/>
      <c r="CW61" s="52"/>
      <c r="CX61" s="73"/>
      <c r="CY61" s="73"/>
      <c r="DA61" s="12" t="s">
        <v>37</v>
      </c>
      <c r="DB61" s="12" t="s">
        <v>37</v>
      </c>
      <c r="DC61" s="13" t="s">
        <v>37</v>
      </c>
      <c r="DE61" s="12" t="s">
        <v>37</v>
      </c>
      <c r="DF61" s="12" t="s">
        <v>37</v>
      </c>
      <c r="DG61" s="13" t="s">
        <v>37</v>
      </c>
      <c r="DI61" s="52"/>
      <c r="DJ61" s="52"/>
      <c r="DK61" s="73"/>
      <c r="DL61" s="73"/>
      <c r="DM61" s="15" t="s">
        <v>47</v>
      </c>
      <c r="DN61" s="52">
        <f>4.14*10^4/10^6*("2011/10/31"-"2011/05/01")/'[1]classes-1'!$I$63</f>
        <v>9.9527304602972393</v>
      </c>
      <c r="DO61" s="12">
        <f>SQRT((1/[2]Classes!$I$63)^2*(1.01*10^4/10^6*("2011/10/31"-"2011/05/01"))^2+(-DN61/([2]Classes!$I$63)^2)^2*([2]Classes!$J$63)^2)</f>
        <v>3.6109447780902064</v>
      </c>
      <c r="DP61" s="18">
        <v>3</v>
      </c>
      <c r="DQ61" s="19">
        <f t="shared" si="193"/>
        <v>0.36280946143319603</v>
      </c>
      <c r="DR61" s="52">
        <f>2.71*10^4/10^6*("2011/10/31"-"2011/05/01")/'[1]classes-1'!$I$64</f>
        <v>1.4557731833142631</v>
      </c>
      <c r="DS61" s="12">
        <f>SQRT((1/[2]Classes!$I$64)^2*(3.19*10^4/10^6*("2011/10/31"-"2011/05/01"))^2+(-DR61/([2]Classes!$I$64)^2)^2*([2]Classes!$J$64)^2)</f>
        <v>2.2523897859272677</v>
      </c>
      <c r="DT61" s="18">
        <v>3</v>
      </c>
      <c r="DU61" s="19">
        <f t="shared" si="194"/>
        <v>1.5472120325773553</v>
      </c>
      <c r="DV61" s="19">
        <f t="shared" si="198"/>
        <v>-8.4969572769829753</v>
      </c>
      <c r="DW61" s="12">
        <f t="shared" si="195"/>
        <v>3.0093339743343885</v>
      </c>
      <c r="DX61" s="72">
        <f t="shared" si="196"/>
        <v>6.0373939793888036</v>
      </c>
      <c r="DY61" s="72">
        <f t="shared" si="197"/>
        <v>6.0373939793888036</v>
      </c>
      <c r="DZ61" s="15"/>
      <c r="EA61" s="52" t="s">
        <v>37</v>
      </c>
      <c r="EB61" s="52" t="s">
        <v>37</v>
      </c>
      <c r="EC61" s="73" t="s">
        <v>37</v>
      </c>
      <c r="ED61" s="52"/>
      <c r="EE61" s="52" t="s">
        <v>37</v>
      </c>
      <c r="EF61" s="52" t="s">
        <v>37</v>
      </c>
      <c r="EG61" s="15" t="s">
        <v>37</v>
      </c>
      <c r="EH61" s="52"/>
      <c r="EI61" s="52"/>
      <c r="EJ61" s="52"/>
      <c r="EK61" s="52"/>
      <c r="EL61" s="52"/>
      <c r="EM61" s="12" t="s">
        <v>39</v>
      </c>
      <c r="EN61" s="12">
        <f>EN59-6</f>
        <v>-44</v>
      </c>
      <c r="EO61" s="12">
        <v>6.8</v>
      </c>
      <c r="EP61" s="13">
        <v>3</v>
      </c>
      <c r="EQ61" s="19">
        <f t="shared" si="139"/>
        <v>0.15454545454545454</v>
      </c>
      <c r="ER61" s="12">
        <f>ER59-6</f>
        <v>-79</v>
      </c>
      <c r="ES61" s="12">
        <v>12.3</v>
      </c>
      <c r="ET61" s="13">
        <v>3</v>
      </c>
      <c r="EU61" s="19">
        <f t="shared" si="140"/>
        <v>0.15569620253164557</v>
      </c>
      <c r="EV61" s="19">
        <f t="shared" si="141"/>
        <v>-35</v>
      </c>
      <c r="EW61" s="12">
        <f t="shared" si="142"/>
        <v>9.9380581604255074</v>
      </c>
      <c r="EX61" s="19">
        <f t="shared" si="143"/>
        <v>65.843333333333334</v>
      </c>
      <c r="EY61" s="19">
        <f t="shared" si="144"/>
        <v>65.843333333333334</v>
      </c>
      <c r="FB61" s="11" t="s">
        <v>37</v>
      </c>
      <c r="FC61" s="11" t="s">
        <v>37</v>
      </c>
      <c r="FD61" s="11" t="s">
        <v>37</v>
      </c>
      <c r="FE61" s="12" t="s">
        <v>37</v>
      </c>
      <c r="FF61" s="20" t="s">
        <v>37</v>
      </c>
      <c r="FG61" s="11" t="s">
        <v>37</v>
      </c>
      <c r="FI61" s="11" t="s">
        <v>37</v>
      </c>
      <c r="FJ61" s="11" t="s">
        <v>37</v>
      </c>
      <c r="FK61" s="11" t="s">
        <v>37</v>
      </c>
      <c r="FL61" s="13" t="s">
        <v>37</v>
      </c>
      <c r="FM61" s="11" t="s">
        <v>37</v>
      </c>
      <c r="FN61" s="11" t="s">
        <v>37</v>
      </c>
      <c r="FP61" s="11" t="s">
        <v>37</v>
      </c>
      <c r="FQ61" s="11" t="s">
        <v>37</v>
      </c>
      <c r="FR61" s="11" t="s">
        <v>37</v>
      </c>
      <c r="FS61" s="13" t="s">
        <v>37</v>
      </c>
      <c r="FT61" s="11" t="s">
        <v>37</v>
      </c>
      <c r="FU61" s="11" t="s">
        <v>37</v>
      </c>
      <c r="FW61" s="11" t="s">
        <v>37</v>
      </c>
      <c r="FX61" s="11" t="s">
        <v>37</v>
      </c>
      <c r="FY61" s="11" t="s">
        <v>37</v>
      </c>
      <c r="FZ61" s="13" t="s">
        <v>37</v>
      </c>
      <c r="GA61" s="11" t="s">
        <v>37</v>
      </c>
      <c r="GB61" s="11" t="s">
        <v>37</v>
      </c>
      <c r="GO61" s="12" t="s">
        <v>660</v>
      </c>
      <c r="GP61" s="12" t="s">
        <v>330</v>
      </c>
      <c r="GQ61" s="12">
        <v>12.3</v>
      </c>
      <c r="GR61" s="12">
        <v>5.0000000000000001E-3</v>
      </c>
      <c r="GS61" s="13">
        <v>3</v>
      </c>
      <c r="GT61" s="19">
        <f t="shared" si="145"/>
        <v>4.0650406504065041E-4</v>
      </c>
      <c r="GU61" s="12">
        <v>13.1</v>
      </c>
      <c r="GV61" s="12">
        <v>0.1</v>
      </c>
      <c r="GW61" s="13">
        <v>3</v>
      </c>
      <c r="GX61" s="19">
        <f t="shared" si="211"/>
        <v>7.6335877862595426E-3</v>
      </c>
      <c r="GY61" s="19">
        <f t="shared" si="203"/>
        <v>6.301296782873396E-2</v>
      </c>
      <c r="GZ61" s="19">
        <f t="shared" si="204"/>
        <v>1.9478969348475148E-5</v>
      </c>
      <c r="IK61" s="12" t="s">
        <v>37</v>
      </c>
      <c r="IL61" s="12" t="s">
        <v>37</v>
      </c>
      <c r="IM61" s="13" t="s">
        <v>37</v>
      </c>
      <c r="IO61" s="12" t="s">
        <v>37</v>
      </c>
      <c r="IP61" s="12" t="s">
        <v>37</v>
      </c>
      <c r="IQ61" s="13" t="s">
        <v>37</v>
      </c>
      <c r="IV61" s="32" t="s">
        <v>345</v>
      </c>
      <c r="IW61" s="12">
        <v>4.0999999999999996</v>
      </c>
      <c r="IX61" s="12">
        <v>0.1</v>
      </c>
      <c r="IY61" s="13">
        <v>3</v>
      </c>
      <c r="IZ61" s="19">
        <f t="shared" si="147"/>
        <v>2.4390243902439029E-2</v>
      </c>
      <c r="JH61" s="12" t="s">
        <v>37</v>
      </c>
      <c r="JI61" s="12" t="s">
        <v>37</v>
      </c>
      <c r="JJ61" s="13" t="s">
        <v>37</v>
      </c>
      <c r="JL61" s="12" t="s">
        <v>37</v>
      </c>
      <c r="JM61" s="12" t="s">
        <v>37</v>
      </c>
      <c r="JN61" s="12" t="s">
        <v>37</v>
      </c>
      <c r="JS61" s="12" t="s">
        <v>37</v>
      </c>
      <c r="JT61" s="12" t="s">
        <v>37</v>
      </c>
      <c r="JU61" s="13" t="s">
        <v>37</v>
      </c>
      <c r="JW61" s="12" t="s">
        <v>37</v>
      </c>
      <c r="JX61" s="12" t="s">
        <v>37</v>
      </c>
      <c r="JY61" s="12" t="s">
        <v>37</v>
      </c>
      <c r="KE61" s="11" t="s">
        <v>37</v>
      </c>
      <c r="KF61" s="11" t="s">
        <v>37</v>
      </c>
      <c r="KG61" s="13" t="s">
        <v>37</v>
      </c>
      <c r="KH61" s="11" t="s">
        <v>37</v>
      </c>
      <c r="KI61" s="11" t="s">
        <v>37</v>
      </c>
      <c r="KJ61" s="11" t="s">
        <v>37</v>
      </c>
      <c r="KM61" s="12" t="s">
        <v>37</v>
      </c>
      <c r="KN61" s="12" t="s">
        <v>37</v>
      </c>
      <c r="KO61" s="11" t="s">
        <v>37</v>
      </c>
      <c r="KQ61" s="12" t="s">
        <v>37</v>
      </c>
      <c r="KR61" s="12" t="s">
        <v>37</v>
      </c>
      <c r="KS61" s="13" t="s">
        <v>37</v>
      </c>
      <c r="KX61" s="12" t="s">
        <v>37</v>
      </c>
      <c r="KY61" s="12" t="s">
        <v>37</v>
      </c>
      <c r="KZ61" s="13" t="s">
        <v>37</v>
      </c>
      <c r="LB61" s="12" t="s">
        <v>37</v>
      </c>
      <c r="LC61" s="12" t="s">
        <v>37</v>
      </c>
      <c r="LD61" s="13" t="s">
        <v>37</v>
      </c>
      <c r="LI61" s="12" t="s">
        <v>37</v>
      </c>
      <c r="LJ61" s="12" t="s">
        <v>37</v>
      </c>
      <c r="LK61" s="12" t="s">
        <v>37</v>
      </c>
      <c r="LM61" s="12" t="s">
        <v>37</v>
      </c>
      <c r="LN61" s="12" t="s">
        <v>37</v>
      </c>
      <c r="LO61" s="12" t="s">
        <v>37</v>
      </c>
      <c r="LU61" s="12" t="s">
        <v>37</v>
      </c>
      <c r="LV61" s="12" t="s">
        <v>37</v>
      </c>
      <c r="LW61" s="13" t="s">
        <v>37</v>
      </c>
      <c r="LY61" s="12" t="s">
        <v>37</v>
      </c>
      <c r="LZ61" s="12" t="s">
        <v>37</v>
      </c>
      <c r="MA61" s="12" t="s">
        <v>37</v>
      </c>
      <c r="MF61" s="12" t="s">
        <v>37</v>
      </c>
      <c r="MG61" s="12" t="s">
        <v>37</v>
      </c>
      <c r="MH61" s="12" t="s">
        <v>37</v>
      </c>
      <c r="MJ61" s="12" t="s">
        <v>37</v>
      </c>
      <c r="MK61" s="12" t="s">
        <v>37</v>
      </c>
      <c r="ML61" s="12" t="s">
        <v>37</v>
      </c>
      <c r="MQ61" s="12" t="s">
        <v>37</v>
      </c>
      <c r="MR61" s="12" t="s">
        <v>37</v>
      </c>
      <c r="MS61" s="12" t="s">
        <v>37</v>
      </c>
      <c r="MU61" s="12" t="s">
        <v>37</v>
      </c>
      <c r="MV61" s="12" t="s">
        <v>37</v>
      </c>
      <c r="MW61" s="12" t="s">
        <v>37</v>
      </c>
      <c r="NC61" s="12" t="s">
        <v>37</v>
      </c>
      <c r="ND61" s="12" t="s">
        <v>37</v>
      </c>
      <c r="NE61" s="13" t="s">
        <v>37</v>
      </c>
      <c r="NG61" s="12" t="s">
        <v>37</v>
      </c>
      <c r="NH61" s="12" t="s">
        <v>37</v>
      </c>
      <c r="NI61" s="13" t="s">
        <v>37</v>
      </c>
      <c r="NO61" s="12" t="s">
        <v>37</v>
      </c>
      <c r="NP61" s="12" t="s">
        <v>37</v>
      </c>
      <c r="NQ61" s="13" t="s">
        <v>37</v>
      </c>
      <c r="NS61" s="12" t="s">
        <v>37</v>
      </c>
      <c r="NT61" s="12" t="s">
        <v>37</v>
      </c>
      <c r="NU61" s="13" t="s">
        <v>37</v>
      </c>
      <c r="OA61" s="11" t="s">
        <v>37</v>
      </c>
      <c r="OB61" s="11" t="s">
        <v>37</v>
      </c>
      <c r="OC61" s="13" t="s">
        <v>37</v>
      </c>
      <c r="OE61" s="11" t="s">
        <v>37</v>
      </c>
      <c r="OF61" s="11" t="s">
        <v>37</v>
      </c>
      <c r="OG61" s="13" t="s">
        <v>37</v>
      </c>
      <c r="OM61" s="11" t="s">
        <v>37</v>
      </c>
      <c r="ON61" s="11" t="s">
        <v>37</v>
      </c>
      <c r="OO61" s="11" t="s">
        <v>37</v>
      </c>
      <c r="OP61" s="11" t="s">
        <v>37</v>
      </c>
      <c r="OQ61" s="11" t="s">
        <v>37</v>
      </c>
      <c r="OR61" s="11" t="s">
        <v>37</v>
      </c>
      <c r="OW61" s="11" t="s">
        <v>37</v>
      </c>
      <c r="OX61" s="11" t="s">
        <v>37</v>
      </c>
      <c r="OY61" s="13" t="s">
        <v>37</v>
      </c>
      <c r="OZ61" s="11" t="s">
        <v>37</v>
      </c>
      <c r="PA61" s="11" t="s">
        <v>37</v>
      </c>
      <c r="PB61" s="13" t="s">
        <v>37</v>
      </c>
      <c r="PG61" s="11" t="s">
        <v>37</v>
      </c>
      <c r="PH61" s="11" t="s">
        <v>37</v>
      </c>
      <c r="PI61" s="13" t="s">
        <v>37</v>
      </c>
      <c r="PJ61" s="11" t="s">
        <v>37</v>
      </c>
      <c r="PK61" s="11" t="s">
        <v>37</v>
      </c>
      <c r="PL61" s="13" t="s">
        <v>37</v>
      </c>
      <c r="PQ61" s="11" t="s">
        <v>37</v>
      </c>
      <c r="PR61" s="11" t="s">
        <v>37</v>
      </c>
      <c r="PS61" s="13" t="s">
        <v>37</v>
      </c>
      <c r="PT61" s="11" t="s">
        <v>37</v>
      </c>
      <c r="PU61" s="11" t="s">
        <v>37</v>
      </c>
      <c r="PV61" s="13" t="s">
        <v>37</v>
      </c>
      <c r="PY61" s="12" t="s">
        <v>43</v>
      </c>
      <c r="PZ61" s="12">
        <v>350</v>
      </c>
      <c r="QA61" s="12">
        <f t="shared" si="212"/>
        <v>142.02816622064793</v>
      </c>
      <c r="QB61" s="11">
        <v>3</v>
      </c>
      <c r="QC61" s="19">
        <f t="shared" si="155"/>
        <v>0.40579476063042269</v>
      </c>
      <c r="QD61" s="12">
        <v>327</v>
      </c>
      <c r="QE61" s="12">
        <f t="shared" ref="QE61" si="214">51*SQRT(3)</f>
        <v>88.33459118601273</v>
      </c>
      <c r="QF61" s="13">
        <v>3</v>
      </c>
      <c r="QG61" s="19">
        <f t="shared" si="156"/>
        <v>0.27013636448321937</v>
      </c>
      <c r="QH61" s="19">
        <f t="shared" si="148"/>
        <v>-6.7972983586205987E-2</v>
      </c>
      <c r="QI61" s="19">
        <f t="shared" si="149"/>
        <v>7.9214347723770923E-2</v>
      </c>
      <c r="QJ61" s="12" t="s">
        <v>43</v>
      </c>
      <c r="QK61" s="12">
        <v>751</v>
      </c>
      <c r="QL61" s="12">
        <f t="shared" si="213"/>
        <v>575.0408681128672</v>
      </c>
      <c r="QM61" s="13">
        <v>3</v>
      </c>
      <c r="QN61" s="12">
        <v>715</v>
      </c>
      <c r="QO61" s="12">
        <f t="shared" ref="QO61" si="215">116*SQRT(3)</f>
        <v>200.91789367798975</v>
      </c>
      <c r="QP61" s="13">
        <v>3</v>
      </c>
      <c r="QQ61" s="19">
        <f t="shared" si="158"/>
        <v>-4.9123109070127076E-2</v>
      </c>
      <c r="QR61" s="19">
        <f t="shared" si="150"/>
        <v>0.22175336909826129</v>
      </c>
      <c r="QU61" s="11" t="s">
        <v>37</v>
      </c>
      <c r="QV61" s="11" t="s">
        <v>37</v>
      </c>
      <c r="QW61" s="13" t="s">
        <v>37</v>
      </c>
      <c r="QX61" s="11" t="s">
        <v>37</v>
      </c>
      <c r="QY61" s="11" t="s">
        <v>37</v>
      </c>
      <c r="QZ61" s="13" t="s">
        <v>37</v>
      </c>
      <c r="RC61" s="12" t="s">
        <v>37</v>
      </c>
      <c r="RD61" s="12" t="s">
        <v>37</v>
      </c>
      <c r="RE61" s="13" t="s">
        <v>37</v>
      </c>
      <c r="RF61" s="12" t="s">
        <v>37</v>
      </c>
      <c r="RG61" s="12" t="s">
        <v>37</v>
      </c>
      <c r="RH61" s="13" t="s">
        <v>37</v>
      </c>
      <c r="RK61" s="11" t="s">
        <v>37</v>
      </c>
      <c r="RL61" s="11" t="s">
        <v>37</v>
      </c>
      <c r="RM61" s="11" t="s">
        <v>37</v>
      </c>
      <c r="RN61" s="11" t="s">
        <v>37</v>
      </c>
      <c r="RO61" s="11" t="s">
        <v>37</v>
      </c>
      <c r="RP61" s="11" t="s">
        <v>37</v>
      </c>
      <c r="RS61" s="11" t="s">
        <v>37</v>
      </c>
      <c r="RT61" s="11" t="s">
        <v>37</v>
      </c>
      <c r="RU61" s="11" t="s">
        <v>37</v>
      </c>
      <c r="RV61" s="11" t="s">
        <v>37</v>
      </c>
      <c r="RW61" s="11" t="s">
        <v>37</v>
      </c>
      <c r="RX61" s="11" t="s">
        <v>37</v>
      </c>
      <c r="SA61" s="11" t="s">
        <v>37</v>
      </c>
      <c r="SB61" s="11" t="s">
        <v>37</v>
      </c>
      <c r="SC61" s="13" t="s">
        <v>37</v>
      </c>
      <c r="SD61" s="11" t="s">
        <v>37</v>
      </c>
      <c r="SE61" s="11" t="s">
        <v>37</v>
      </c>
      <c r="SF61" s="13" t="s">
        <v>37</v>
      </c>
      <c r="SI61" s="12" t="s">
        <v>37</v>
      </c>
      <c r="SJ61" s="11" t="s">
        <v>37</v>
      </c>
      <c r="SK61" s="13" t="s">
        <v>37</v>
      </c>
      <c r="SM61" s="11" t="s">
        <v>37</v>
      </c>
      <c r="SN61" s="11" t="s">
        <v>37</v>
      </c>
      <c r="SO61" s="13" t="s">
        <v>37</v>
      </c>
      <c r="SU61" s="12" t="s">
        <v>37</v>
      </c>
      <c r="SV61" s="12" t="s">
        <v>37</v>
      </c>
      <c r="SW61" s="11" t="s">
        <v>37</v>
      </c>
      <c r="SX61" s="12" t="s">
        <v>37</v>
      </c>
      <c r="SY61" s="12" t="s">
        <v>37</v>
      </c>
      <c r="SZ61" s="11" t="s">
        <v>37</v>
      </c>
      <c r="TE61" s="12" t="s">
        <v>37</v>
      </c>
      <c r="TF61" s="12" t="s">
        <v>37</v>
      </c>
      <c r="TG61" s="11" t="s">
        <v>37</v>
      </c>
      <c r="TH61" s="12" t="s">
        <v>37</v>
      </c>
      <c r="TI61" s="12" t="s">
        <v>37</v>
      </c>
      <c r="TJ61" s="11" t="s">
        <v>37</v>
      </c>
      <c r="TO61" s="12" t="s">
        <v>37</v>
      </c>
      <c r="TP61" s="12" t="s">
        <v>37</v>
      </c>
      <c r="TQ61" s="11" t="s">
        <v>37</v>
      </c>
      <c r="TR61" s="12" t="s">
        <v>37</v>
      </c>
      <c r="TS61" s="12" t="s">
        <v>37</v>
      </c>
      <c r="TT61" s="11" t="s">
        <v>37</v>
      </c>
      <c r="TY61" s="12" t="s">
        <v>37</v>
      </c>
      <c r="TZ61" s="12" t="s">
        <v>37</v>
      </c>
      <c r="UA61" s="11" t="s">
        <v>37</v>
      </c>
      <c r="UB61" s="12" t="s">
        <v>37</v>
      </c>
      <c r="UC61" s="12" t="s">
        <v>37</v>
      </c>
      <c r="UD61" s="11" t="s">
        <v>37</v>
      </c>
      <c r="UI61" s="12" t="s">
        <v>37</v>
      </c>
      <c r="UJ61" s="12" t="s">
        <v>37</v>
      </c>
      <c r="UK61" s="13" t="s">
        <v>37</v>
      </c>
      <c r="UL61" s="12" t="s">
        <v>37</v>
      </c>
      <c r="UM61" s="12" t="s">
        <v>37</v>
      </c>
      <c r="UN61" s="13" t="s">
        <v>37</v>
      </c>
      <c r="UR61" s="12" t="s">
        <v>37</v>
      </c>
      <c r="US61" s="12" t="s">
        <v>37</v>
      </c>
      <c r="UT61" s="13" t="s">
        <v>37</v>
      </c>
      <c r="UU61" s="12" t="s">
        <v>37</v>
      </c>
      <c r="UV61" s="12" t="s">
        <v>37</v>
      </c>
      <c r="UW61" s="13" t="s">
        <v>37</v>
      </c>
      <c r="VB61" s="12" t="s">
        <v>37</v>
      </c>
      <c r="VC61" s="12" t="s">
        <v>37</v>
      </c>
      <c r="VD61" s="13" t="s">
        <v>37</v>
      </c>
      <c r="VE61" s="12" t="s">
        <v>37</v>
      </c>
      <c r="VF61" s="12" t="s">
        <v>37</v>
      </c>
      <c r="VG61" s="13" t="s">
        <v>37</v>
      </c>
      <c r="VI61" s="12" t="s">
        <v>37</v>
      </c>
      <c r="VJ61" s="12" t="s">
        <v>37</v>
      </c>
      <c r="VK61" s="13" t="s">
        <v>37</v>
      </c>
      <c r="VL61" s="12" t="s">
        <v>37</v>
      </c>
      <c r="VM61" s="12" t="s">
        <v>37</v>
      </c>
      <c r="VN61" s="13" t="s">
        <v>37</v>
      </c>
      <c r="VO61" s="12" t="s">
        <v>37</v>
      </c>
      <c r="VQ61" s="12" t="s">
        <v>37</v>
      </c>
      <c r="VR61" s="12" t="s">
        <v>37</v>
      </c>
      <c r="VS61" s="12" t="s">
        <v>37</v>
      </c>
      <c r="VT61" s="12" t="s">
        <v>37</v>
      </c>
      <c r="VU61" s="12" t="s">
        <v>37</v>
      </c>
      <c r="VV61" s="12" t="s">
        <v>37</v>
      </c>
      <c r="VW61" s="12"/>
      <c r="VX61" s="12"/>
      <c r="WA61" s="13" t="s">
        <v>37</v>
      </c>
      <c r="WB61" s="13" t="s">
        <v>37</v>
      </c>
      <c r="WC61" s="13" t="s">
        <v>37</v>
      </c>
      <c r="WD61" s="13" t="s">
        <v>37</v>
      </c>
      <c r="WE61" s="13" t="s">
        <v>37</v>
      </c>
      <c r="WF61" s="13" t="s">
        <v>37</v>
      </c>
    </row>
    <row r="62" spans="1:604" ht="18" customHeight="1" x14ac:dyDescent="0.4">
      <c r="A62" s="11">
        <v>12</v>
      </c>
      <c r="B62" s="12" t="s">
        <v>111</v>
      </c>
      <c r="C62" s="12" t="s">
        <v>26</v>
      </c>
      <c r="D62" s="12" t="s">
        <v>973</v>
      </c>
      <c r="E62" s="81">
        <v>4.5</v>
      </c>
      <c r="F62" s="14">
        <v>0</v>
      </c>
      <c r="G62" s="14">
        <v>0</v>
      </c>
      <c r="H62" s="12" t="s">
        <v>91</v>
      </c>
      <c r="I62" s="29">
        <v>55.35</v>
      </c>
      <c r="J62" s="29">
        <v>-112.517</v>
      </c>
      <c r="K62" s="12" t="s">
        <v>696</v>
      </c>
      <c r="L62" s="12" t="s">
        <v>697</v>
      </c>
      <c r="M62" s="13" t="s">
        <v>37</v>
      </c>
      <c r="N62" s="14">
        <v>2.1</v>
      </c>
      <c r="O62" s="14">
        <v>504</v>
      </c>
      <c r="P62" s="14" t="s">
        <v>84</v>
      </c>
      <c r="Q62" s="75">
        <v>12</v>
      </c>
      <c r="R62" s="11" t="s">
        <v>999</v>
      </c>
      <c r="S62" s="12" t="s">
        <v>93</v>
      </c>
      <c r="T62" s="12" t="s">
        <v>141</v>
      </c>
      <c r="U62" s="12" t="s">
        <v>334</v>
      </c>
      <c r="V62" s="12" t="s">
        <v>275</v>
      </c>
      <c r="W62" s="23" t="s">
        <v>500</v>
      </c>
      <c r="X62" s="12" t="s">
        <v>281</v>
      </c>
      <c r="Y62" s="12" t="s">
        <v>69</v>
      </c>
      <c r="Z62" s="12" t="s">
        <v>37</v>
      </c>
      <c r="AA62" s="32" t="s">
        <v>345</v>
      </c>
      <c r="AB62" s="12">
        <v>4.0999999999999996</v>
      </c>
      <c r="AE62" s="12" t="s">
        <v>37</v>
      </c>
      <c r="AH62" s="12" t="s">
        <v>37</v>
      </c>
      <c r="AK62" s="12" t="s">
        <v>37</v>
      </c>
      <c r="AL62" s="32" t="s">
        <v>497</v>
      </c>
      <c r="AM62" s="12" t="s">
        <v>317</v>
      </c>
      <c r="AN62" s="32" t="s">
        <v>879</v>
      </c>
      <c r="AO62" s="12" t="s">
        <v>29</v>
      </c>
      <c r="AP62" s="12" t="s">
        <v>108</v>
      </c>
      <c r="AQ62" s="12" t="s">
        <v>975</v>
      </c>
      <c r="AT62" s="12" t="s">
        <v>326</v>
      </c>
      <c r="AU62" s="12" t="s">
        <v>326</v>
      </c>
      <c r="AV62" s="13" t="s">
        <v>326</v>
      </c>
      <c r="AX62" s="12" t="s">
        <v>326</v>
      </c>
      <c r="AY62" s="12" t="s">
        <v>326</v>
      </c>
      <c r="AZ62" s="13" t="s">
        <v>326</v>
      </c>
      <c r="BE62" s="12" t="s">
        <v>326</v>
      </c>
      <c r="BF62" s="12" t="s">
        <v>326</v>
      </c>
      <c r="BG62" s="12" t="s">
        <v>326</v>
      </c>
      <c r="BI62" s="12" t="s">
        <v>326</v>
      </c>
      <c r="BJ62" s="12" t="s">
        <v>326</v>
      </c>
      <c r="BK62" s="12" t="s">
        <v>326</v>
      </c>
      <c r="BP62" s="12" t="s">
        <v>37</v>
      </c>
      <c r="BQ62" s="12" t="s">
        <v>37</v>
      </c>
      <c r="BR62" s="13" t="s">
        <v>37</v>
      </c>
      <c r="BT62" s="12" t="s">
        <v>37</v>
      </c>
      <c r="BU62" s="12" t="s">
        <v>37</v>
      </c>
      <c r="BV62" s="12" t="s">
        <v>37</v>
      </c>
      <c r="CA62" s="12" t="s">
        <v>37</v>
      </c>
      <c r="CB62" s="12" t="s">
        <v>37</v>
      </c>
      <c r="CC62" s="13" t="s">
        <v>37</v>
      </c>
      <c r="CE62" s="12" t="s">
        <v>37</v>
      </c>
      <c r="CF62" s="12" t="s">
        <v>37</v>
      </c>
      <c r="CG62" s="13" t="s">
        <v>37</v>
      </c>
      <c r="CI62" s="52"/>
      <c r="CJ62" s="12"/>
      <c r="CK62" s="73"/>
      <c r="CL62" s="73"/>
      <c r="CN62" s="12" t="s">
        <v>37</v>
      </c>
      <c r="CO62" s="12" t="s">
        <v>37</v>
      </c>
      <c r="CP62" s="13" t="s">
        <v>37</v>
      </c>
      <c r="CR62" s="12" t="s">
        <v>37</v>
      </c>
      <c r="CS62" s="12" t="s">
        <v>37</v>
      </c>
      <c r="CT62" s="13" t="s">
        <v>37</v>
      </c>
      <c r="CV62" s="52"/>
      <c r="CW62" s="52"/>
      <c r="CX62" s="73"/>
      <c r="CY62" s="73"/>
      <c r="DA62" s="12" t="s">
        <v>37</v>
      </c>
      <c r="DB62" s="12" t="s">
        <v>37</v>
      </c>
      <c r="DC62" s="13" t="s">
        <v>37</v>
      </c>
      <c r="DE62" s="12" t="s">
        <v>37</v>
      </c>
      <c r="DF62" s="12" t="s">
        <v>37</v>
      </c>
      <c r="DG62" s="13" t="s">
        <v>37</v>
      </c>
      <c r="DI62" s="52"/>
      <c r="DJ62" s="52"/>
      <c r="DK62" s="73"/>
      <c r="DL62" s="73"/>
      <c r="DM62" s="15" t="s">
        <v>47</v>
      </c>
      <c r="DN62" s="52">
        <f>4.14*10^4/10^6*("2011/10/31"-"2011/05/01")/'[1]classes-1'!$I$63</f>
        <v>9.9527304602972393</v>
      </c>
      <c r="DO62" s="12">
        <f>DO61</f>
        <v>3.6109447780902064</v>
      </c>
      <c r="DP62" s="18">
        <v>3</v>
      </c>
      <c r="DQ62" s="19">
        <f t="shared" si="193"/>
        <v>0.36280946143319603</v>
      </c>
      <c r="DR62" s="52">
        <f>1.87*10^4/10^6*("2011/10/31"-"2011/05/01")/'[1]classes-1'!$I$64</f>
        <v>1.0045372150544916</v>
      </c>
      <c r="DS62" s="12">
        <f>SQRT((1/[2]Classes!$I$64)^2*(1.34*10^4/10^6*("2011/10/31"-"2011/05/01"))^2+(-DR62/([2]Classes!$I$64)^2)^2*([2]Classes!$J$64)^2)</f>
        <v>1.2391823776598332</v>
      </c>
      <c r="DT62" s="18">
        <v>3</v>
      </c>
      <c r="DU62" s="19">
        <f t="shared" si="194"/>
        <v>1.2335853357036783</v>
      </c>
      <c r="DV62" s="19">
        <f t="shared" si="198"/>
        <v>-8.9481932452427486</v>
      </c>
      <c r="DW62" s="12">
        <f t="shared" si="195"/>
        <v>2.6994902440571633</v>
      </c>
      <c r="DX62" s="72">
        <f t="shared" si="196"/>
        <v>4.8581650518398689</v>
      </c>
      <c r="DY62" s="72">
        <f t="shared" si="197"/>
        <v>4.8581650518398689</v>
      </c>
      <c r="DZ62" s="15"/>
      <c r="EA62" s="52" t="s">
        <v>37</v>
      </c>
      <c r="EB62" s="52" t="s">
        <v>37</v>
      </c>
      <c r="EC62" s="73" t="s">
        <v>37</v>
      </c>
      <c r="ED62" s="52"/>
      <c r="EE62" s="52" t="s">
        <v>37</v>
      </c>
      <c r="EF62" s="52" t="s">
        <v>37</v>
      </c>
      <c r="EG62" s="15" t="s">
        <v>37</v>
      </c>
      <c r="EH62" s="52"/>
      <c r="EI62" s="52"/>
      <c r="EJ62" s="52"/>
      <c r="EK62" s="52"/>
      <c r="EL62" s="52"/>
      <c r="EM62" s="12" t="s">
        <v>39</v>
      </c>
      <c r="EN62" s="12">
        <f>EN60-6</f>
        <v>-44</v>
      </c>
      <c r="EO62" s="12">
        <v>6.8</v>
      </c>
      <c r="EP62" s="13">
        <v>3</v>
      </c>
      <c r="EQ62" s="19">
        <f t="shared" si="139"/>
        <v>0.15454545454545454</v>
      </c>
      <c r="ER62" s="12">
        <f>ER60-4</f>
        <v>-116</v>
      </c>
      <c r="ES62" s="12">
        <v>11.8</v>
      </c>
      <c r="ET62" s="13">
        <v>3</v>
      </c>
      <c r="EU62" s="19">
        <f t="shared" si="140"/>
        <v>0.10172413793103449</v>
      </c>
      <c r="EV62" s="19">
        <f t="shared" si="141"/>
        <v>-72</v>
      </c>
      <c r="EW62" s="12">
        <f t="shared" si="142"/>
        <v>9.630160954002795</v>
      </c>
      <c r="EX62" s="19">
        <f t="shared" si="143"/>
        <v>61.826666666666668</v>
      </c>
      <c r="EY62" s="19">
        <f t="shared" si="144"/>
        <v>61.826666666666668</v>
      </c>
      <c r="FB62" s="11" t="s">
        <v>37</v>
      </c>
      <c r="FC62" s="11" t="s">
        <v>37</v>
      </c>
      <c r="FD62" s="11" t="s">
        <v>37</v>
      </c>
      <c r="FE62" s="12" t="s">
        <v>37</v>
      </c>
      <c r="FF62" s="20" t="s">
        <v>37</v>
      </c>
      <c r="FG62" s="11" t="s">
        <v>37</v>
      </c>
      <c r="FI62" s="11" t="s">
        <v>37</v>
      </c>
      <c r="FJ62" s="11" t="s">
        <v>37</v>
      </c>
      <c r="FK62" s="11" t="s">
        <v>37</v>
      </c>
      <c r="FL62" s="13" t="s">
        <v>37</v>
      </c>
      <c r="FM62" s="11" t="s">
        <v>37</v>
      </c>
      <c r="FN62" s="11" t="s">
        <v>37</v>
      </c>
      <c r="FP62" s="11" t="s">
        <v>37</v>
      </c>
      <c r="FQ62" s="11" t="s">
        <v>37</v>
      </c>
      <c r="FR62" s="11" t="s">
        <v>37</v>
      </c>
      <c r="FS62" s="13" t="s">
        <v>37</v>
      </c>
      <c r="FT62" s="11" t="s">
        <v>37</v>
      </c>
      <c r="FU62" s="11" t="s">
        <v>37</v>
      </c>
      <c r="FW62" s="11" t="s">
        <v>37</v>
      </c>
      <c r="FX62" s="11" t="s">
        <v>37</v>
      </c>
      <c r="FY62" s="11" t="s">
        <v>37</v>
      </c>
      <c r="FZ62" s="13" t="s">
        <v>37</v>
      </c>
      <c r="GA62" s="11" t="s">
        <v>37</v>
      </c>
      <c r="GB62" s="11" t="s">
        <v>37</v>
      </c>
      <c r="GO62" s="12" t="s">
        <v>660</v>
      </c>
      <c r="GP62" s="12" t="s">
        <v>330</v>
      </c>
      <c r="GQ62" s="12">
        <v>12.3</v>
      </c>
      <c r="GR62" s="12">
        <v>5.0000000000000001E-3</v>
      </c>
      <c r="GS62" s="13">
        <v>3</v>
      </c>
      <c r="GT62" s="19">
        <f t="shared" si="145"/>
        <v>4.0650406504065041E-4</v>
      </c>
      <c r="GU62" s="12">
        <v>13.1</v>
      </c>
      <c r="GV62" s="12">
        <v>0.1</v>
      </c>
      <c r="GW62" s="13">
        <v>3</v>
      </c>
      <c r="GX62" s="19">
        <f t="shared" si="211"/>
        <v>7.6335877862595426E-3</v>
      </c>
      <c r="GY62" s="19">
        <f t="shared" si="203"/>
        <v>6.301296782873396E-2</v>
      </c>
      <c r="GZ62" s="19">
        <f t="shared" si="204"/>
        <v>1.9478969348475148E-5</v>
      </c>
      <c r="HA62" s="12"/>
      <c r="HB62" s="32"/>
      <c r="HM62" s="32"/>
      <c r="IK62" s="12" t="s">
        <v>37</v>
      </c>
      <c r="IL62" s="12" t="s">
        <v>37</v>
      </c>
      <c r="IM62" s="13" t="s">
        <v>37</v>
      </c>
      <c r="IO62" s="12" t="s">
        <v>37</v>
      </c>
      <c r="IP62" s="12" t="s">
        <v>37</v>
      </c>
      <c r="IQ62" s="13" t="s">
        <v>37</v>
      </c>
      <c r="IV62" s="32" t="s">
        <v>345</v>
      </c>
      <c r="IW62" s="12">
        <v>4.0999999999999996</v>
      </c>
      <c r="IX62" s="12">
        <v>0.1</v>
      </c>
      <c r="IY62" s="13">
        <v>3</v>
      </c>
      <c r="IZ62" s="19">
        <f t="shared" si="147"/>
        <v>2.4390243902439029E-2</v>
      </c>
      <c r="JH62" s="12" t="s">
        <v>37</v>
      </c>
      <c r="JI62" s="12" t="s">
        <v>37</v>
      </c>
      <c r="JJ62" s="13" t="s">
        <v>37</v>
      </c>
      <c r="JL62" s="12" t="s">
        <v>37</v>
      </c>
      <c r="JM62" s="12" t="s">
        <v>37</v>
      </c>
      <c r="JN62" s="12" t="s">
        <v>37</v>
      </c>
      <c r="JS62" s="12" t="s">
        <v>37</v>
      </c>
      <c r="JT62" s="12" t="s">
        <v>37</v>
      </c>
      <c r="JU62" s="13" t="s">
        <v>37</v>
      </c>
      <c r="JW62" s="12" t="s">
        <v>37</v>
      </c>
      <c r="JX62" s="12" t="s">
        <v>37</v>
      </c>
      <c r="JY62" s="12" t="s">
        <v>37</v>
      </c>
      <c r="KE62" s="11" t="s">
        <v>37</v>
      </c>
      <c r="KF62" s="11" t="s">
        <v>37</v>
      </c>
      <c r="KG62" s="13" t="s">
        <v>37</v>
      </c>
      <c r="KH62" s="11" t="s">
        <v>37</v>
      </c>
      <c r="KI62" s="11" t="s">
        <v>37</v>
      </c>
      <c r="KJ62" s="11" t="s">
        <v>37</v>
      </c>
      <c r="KM62" s="12" t="s">
        <v>37</v>
      </c>
      <c r="KN62" s="12" t="s">
        <v>37</v>
      </c>
      <c r="KO62" s="11" t="s">
        <v>37</v>
      </c>
      <c r="KQ62" s="12" t="s">
        <v>37</v>
      </c>
      <c r="KR62" s="12" t="s">
        <v>37</v>
      </c>
      <c r="KS62" s="13" t="s">
        <v>37</v>
      </c>
      <c r="KX62" s="12" t="s">
        <v>37</v>
      </c>
      <c r="KY62" s="12" t="s">
        <v>37</v>
      </c>
      <c r="KZ62" s="13" t="s">
        <v>37</v>
      </c>
      <c r="LB62" s="12" t="s">
        <v>37</v>
      </c>
      <c r="LC62" s="12" t="s">
        <v>37</v>
      </c>
      <c r="LD62" s="13" t="s">
        <v>37</v>
      </c>
      <c r="LI62" s="12" t="s">
        <v>37</v>
      </c>
      <c r="LJ62" s="12" t="s">
        <v>37</v>
      </c>
      <c r="LK62" s="12" t="s">
        <v>37</v>
      </c>
      <c r="LM62" s="12" t="s">
        <v>37</v>
      </c>
      <c r="LN62" s="12" t="s">
        <v>37</v>
      </c>
      <c r="LO62" s="12" t="s">
        <v>37</v>
      </c>
      <c r="LU62" s="12" t="s">
        <v>37</v>
      </c>
      <c r="LV62" s="12" t="s">
        <v>37</v>
      </c>
      <c r="LW62" s="13" t="s">
        <v>37</v>
      </c>
      <c r="LY62" s="12" t="s">
        <v>37</v>
      </c>
      <c r="LZ62" s="12" t="s">
        <v>37</v>
      </c>
      <c r="MA62" s="12" t="s">
        <v>37</v>
      </c>
      <c r="MF62" s="12" t="s">
        <v>37</v>
      </c>
      <c r="MG62" s="12" t="s">
        <v>37</v>
      </c>
      <c r="MH62" s="12" t="s">
        <v>37</v>
      </c>
      <c r="MJ62" s="12" t="s">
        <v>37</v>
      </c>
      <c r="MK62" s="12" t="s">
        <v>37</v>
      </c>
      <c r="ML62" s="12" t="s">
        <v>37</v>
      </c>
      <c r="MQ62" s="12" t="s">
        <v>37</v>
      </c>
      <c r="MR62" s="12" t="s">
        <v>37</v>
      </c>
      <c r="MS62" s="12" t="s">
        <v>37</v>
      </c>
      <c r="MU62" s="12" t="s">
        <v>37</v>
      </c>
      <c r="MV62" s="12" t="s">
        <v>37</v>
      </c>
      <c r="MW62" s="12" t="s">
        <v>37</v>
      </c>
      <c r="NC62" s="12" t="s">
        <v>37</v>
      </c>
      <c r="ND62" s="12" t="s">
        <v>37</v>
      </c>
      <c r="NE62" s="13" t="s">
        <v>37</v>
      </c>
      <c r="NG62" s="12" t="s">
        <v>37</v>
      </c>
      <c r="NH62" s="12" t="s">
        <v>37</v>
      </c>
      <c r="NI62" s="13" t="s">
        <v>37</v>
      </c>
      <c r="NO62" s="12" t="s">
        <v>37</v>
      </c>
      <c r="NP62" s="12" t="s">
        <v>37</v>
      </c>
      <c r="NQ62" s="13" t="s">
        <v>37</v>
      </c>
      <c r="NS62" s="12" t="s">
        <v>37</v>
      </c>
      <c r="NT62" s="12" t="s">
        <v>37</v>
      </c>
      <c r="NU62" s="13" t="s">
        <v>37</v>
      </c>
      <c r="OA62" s="11" t="s">
        <v>37</v>
      </c>
      <c r="OB62" s="11" t="s">
        <v>37</v>
      </c>
      <c r="OC62" s="13" t="s">
        <v>37</v>
      </c>
      <c r="OE62" s="11" t="s">
        <v>37</v>
      </c>
      <c r="OF62" s="11" t="s">
        <v>37</v>
      </c>
      <c r="OG62" s="13" t="s">
        <v>37</v>
      </c>
      <c r="OM62" s="11" t="s">
        <v>37</v>
      </c>
      <c r="ON62" s="11" t="s">
        <v>37</v>
      </c>
      <c r="OO62" s="11" t="s">
        <v>37</v>
      </c>
      <c r="OP62" s="11" t="s">
        <v>37</v>
      </c>
      <c r="OQ62" s="11" t="s">
        <v>37</v>
      </c>
      <c r="OR62" s="11" t="s">
        <v>37</v>
      </c>
      <c r="OW62" s="11" t="s">
        <v>37</v>
      </c>
      <c r="OX62" s="11" t="s">
        <v>37</v>
      </c>
      <c r="OY62" s="13" t="s">
        <v>37</v>
      </c>
      <c r="OZ62" s="11" t="s">
        <v>37</v>
      </c>
      <c r="PA62" s="11" t="s">
        <v>37</v>
      </c>
      <c r="PB62" s="13" t="s">
        <v>37</v>
      </c>
      <c r="PG62" s="11" t="s">
        <v>37</v>
      </c>
      <c r="PH62" s="11" t="s">
        <v>37</v>
      </c>
      <c r="PI62" s="13" t="s">
        <v>37</v>
      </c>
      <c r="PJ62" s="11" t="s">
        <v>37</v>
      </c>
      <c r="PK62" s="11" t="s">
        <v>37</v>
      </c>
      <c r="PL62" s="13" t="s">
        <v>37</v>
      </c>
      <c r="PQ62" s="11" t="s">
        <v>37</v>
      </c>
      <c r="PR62" s="11" t="s">
        <v>37</v>
      </c>
      <c r="PS62" s="13" t="s">
        <v>37</v>
      </c>
      <c r="PT62" s="11" t="s">
        <v>37</v>
      </c>
      <c r="PU62" s="11" t="s">
        <v>37</v>
      </c>
      <c r="PV62" s="13" t="s">
        <v>37</v>
      </c>
      <c r="PY62" s="12" t="s">
        <v>43</v>
      </c>
      <c r="PZ62" s="12">
        <v>350</v>
      </c>
      <c r="QA62" s="12">
        <f t="shared" si="212"/>
        <v>142.02816622064793</v>
      </c>
      <c r="QB62" s="11">
        <v>3</v>
      </c>
      <c r="QC62" s="19">
        <f t="shared" si="155"/>
        <v>0.40579476063042269</v>
      </c>
      <c r="QD62" s="12">
        <v>378</v>
      </c>
      <c r="QE62" s="12">
        <f t="shared" ref="QE62" si="216">6*SQRT(3)</f>
        <v>10.392304845413264</v>
      </c>
      <c r="QF62" s="13">
        <v>3</v>
      </c>
      <c r="QG62" s="19">
        <f t="shared" si="156"/>
        <v>2.7492869961410753E-2</v>
      </c>
      <c r="QH62" s="19">
        <f t="shared" si="148"/>
        <v>7.6961041136128394E-2</v>
      </c>
      <c r="QI62" s="19">
        <f t="shared" si="149"/>
        <v>5.5141748551272358E-2</v>
      </c>
      <c r="QJ62" s="12" t="s">
        <v>43</v>
      </c>
      <c r="QK62" s="12">
        <v>751</v>
      </c>
      <c r="QL62" s="12">
        <f t="shared" si="213"/>
        <v>575.0408681128672</v>
      </c>
      <c r="QM62" s="13">
        <v>3</v>
      </c>
      <c r="QN62" s="12">
        <v>975</v>
      </c>
      <c r="QO62" s="12">
        <f t="shared" ref="QO62" si="217">301*SQRT(3)</f>
        <v>521.34729307823204</v>
      </c>
      <c r="QP62" s="13">
        <v>3</v>
      </c>
      <c r="QQ62" s="19">
        <f t="shared" si="158"/>
        <v>0.26103181923371244</v>
      </c>
      <c r="QR62" s="19">
        <f t="shared" si="150"/>
        <v>0.29073904946296264</v>
      </c>
      <c r="QU62" s="11" t="s">
        <v>37</v>
      </c>
      <c r="QV62" s="11" t="s">
        <v>37</v>
      </c>
      <c r="QW62" s="13" t="s">
        <v>37</v>
      </c>
      <c r="QX62" s="11" t="s">
        <v>37</v>
      </c>
      <c r="QY62" s="11" t="s">
        <v>37</v>
      </c>
      <c r="QZ62" s="13" t="s">
        <v>37</v>
      </c>
      <c r="RC62" s="12" t="s">
        <v>37</v>
      </c>
      <c r="RD62" s="12" t="s">
        <v>37</v>
      </c>
      <c r="RE62" s="13" t="s">
        <v>37</v>
      </c>
      <c r="RF62" s="12" t="s">
        <v>37</v>
      </c>
      <c r="RG62" s="12" t="s">
        <v>37</v>
      </c>
      <c r="RH62" s="13" t="s">
        <v>37</v>
      </c>
      <c r="RK62" s="11" t="s">
        <v>37</v>
      </c>
      <c r="RL62" s="11" t="s">
        <v>37</v>
      </c>
      <c r="RM62" s="11" t="s">
        <v>37</v>
      </c>
      <c r="RN62" s="11" t="s">
        <v>37</v>
      </c>
      <c r="RO62" s="11" t="s">
        <v>37</v>
      </c>
      <c r="RP62" s="11" t="s">
        <v>37</v>
      </c>
      <c r="RS62" s="11" t="s">
        <v>37</v>
      </c>
      <c r="RT62" s="11" t="s">
        <v>37</v>
      </c>
      <c r="RU62" s="11" t="s">
        <v>37</v>
      </c>
      <c r="RV62" s="11" t="s">
        <v>37</v>
      </c>
      <c r="RW62" s="11" t="s">
        <v>37</v>
      </c>
      <c r="RX62" s="11" t="s">
        <v>37</v>
      </c>
      <c r="SA62" s="11" t="s">
        <v>37</v>
      </c>
      <c r="SB62" s="11" t="s">
        <v>37</v>
      </c>
      <c r="SC62" s="13" t="s">
        <v>37</v>
      </c>
      <c r="SD62" s="11" t="s">
        <v>37</v>
      </c>
      <c r="SE62" s="11" t="s">
        <v>37</v>
      </c>
      <c r="SF62" s="13" t="s">
        <v>37</v>
      </c>
      <c r="SI62" s="12" t="s">
        <v>37</v>
      </c>
      <c r="SJ62" s="11" t="s">
        <v>37</v>
      </c>
      <c r="SK62" s="13" t="s">
        <v>37</v>
      </c>
      <c r="SM62" s="11" t="s">
        <v>37</v>
      </c>
      <c r="SN62" s="11" t="s">
        <v>37</v>
      </c>
      <c r="SO62" s="13" t="s">
        <v>37</v>
      </c>
      <c r="SU62" s="12" t="s">
        <v>37</v>
      </c>
      <c r="SV62" s="12" t="s">
        <v>37</v>
      </c>
      <c r="SW62" s="11" t="s">
        <v>37</v>
      </c>
      <c r="SX62" s="12" t="s">
        <v>37</v>
      </c>
      <c r="SY62" s="12" t="s">
        <v>37</v>
      </c>
      <c r="SZ62" s="11" t="s">
        <v>37</v>
      </c>
      <c r="TE62" s="12" t="s">
        <v>37</v>
      </c>
      <c r="TF62" s="12" t="s">
        <v>37</v>
      </c>
      <c r="TG62" s="11" t="s">
        <v>37</v>
      </c>
      <c r="TH62" s="12" t="s">
        <v>37</v>
      </c>
      <c r="TI62" s="12" t="s">
        <v>37</v>
      </c>
      <c r="TJ62" s="11" t="s">
        <v>37</v>
      </c>
      <c r="TO62" s="12" t="s">
        <v>37</v>
      </c>
      <c r="TP62" s="12" t="s">
        <v>37</v>
      </c>
      <c r="TQ62" s="11" t="s">
        <v>37</v>
      </c>
      <c r="TR62" s="12" t="s">
        <v>37</v>
      </c>
      <c r="TS62" s="12" t="s">
        <v>37</v>
      </c>
      <c r="TT62" s="11" t="s">
        <v>37</v>
      </c>
      <c r="TY62" s="12" t="s">
        <v>37</v>
      </c>
      <c r="TZ62" s="12" t="s">
        <v>37</v>
      </c>
      <c r="UA62" s="11" t="s">
        <v>37</v>
      </c>
      <c r="UB62" s="12" t="s">
        <v>37</v>
      </c>
      <c r="UC62" s="12" t="s">
        <v>37</v>
      </c>
      <c r="UD62" s="11" t="s">
        <v>37</v>
      </c>
      <c r="UI62" s="12" t="s">
        <v>37</v>
      </c>
      <c r="UJ62" s="12" t="s">
        <v>37</v>
      </c>
      <c r="UK62" s="13" t="s">
        <v>37</v>
      </c>
      <c r="UL62" s="12" t="s">
        <v>37</v>
      </c>
      <c r="UM62" s="12" t="s">
        <v>37</v>
      </c>
      <c r="UN62" s="13" t="s">
        <v>37</v>
      </c>
      <c r="UR62" s="12" t="s">
        <v>37</v>
      </c>
      <c r="US62" s="12" t="s">
        <v>37</v>
      </c>
      <c r="UT62" s="13" t="s">
        <v>37</v>
      </c>
      <c r="UU62" s="12" t="s">
        <v>37</v>
      </c>
      <c r="UV62" s="12" t="s">
        <v>37</v>
      </c>
      <c r="UW62" s="13" t="s">
        <v>37</v>
      </c>
      <c r="VB62" s="12" t="s">
        <v>37</v>
      </c>
      <c r="VC62" s="12" t="s">
        <v>37</v>
      </c>
      <c r="VD62" s="13" t="s">
        <v>37</v>
      </c>
      <c r="VE62" s="12" t="s">
        <v>37</v>
      </c>
      <c r="VF62" s="12" t="s">
        <v>37</v>
      </c>
      <c r="VG62" s="13" t="s">
        <v>37</v>
      </c>
      <c r="VI62" s="12" t="s">
        <v>37</v>
      </c>
      <c r="VJ62" s="12" t="s">
        <v>37</v>
      </c>
      <c r="VK62" s="13" t="s">
        <v>37</v>
      </c>
      <c r="VL62" s="12" t="s">
        <v>37</v>
      </c>
      <c r="VM62" s="12" t="s">
        <v>37</v>
      </c>
      <c r="VN62" s="13" t="s">
        <v>37</v>
      </c>
      <c r="VO62" s="12" t="s">
        <v>37</v>
      </c>
      <c r="VQ62" s="12" t="s">
        <v>37</v>
      </c>
      <c r="VR62" s="12" t="s">
        <v>37</v>
      </c>
      <c r="VS62" s="12" t="s">
        <v>37</v>
      </c>
      <c r="VT62" s="12" t="s">
        <v>37</v>
      </c>
      <c r="VU62" s="12" t="s">
        <v>37</v>
      </c>
      <c r="VV62" s="12" t="s">
        <v>37</v>
      </c>
      <c r="VW62" s="12"/>
      <c r="VX62" s="12"/>
      <c r="WA62" s="13" t="s">
        <v>37</v>
      </c>
      <c r="WB62" s="13" t="s">
        <v>37</v>
      </c>
      <c r="WC62" s="13" t="s">
        <v>37</v>
      </c>
      <c r="WD62" s="13" t="s">
        <v>37</v>
      </c>
      <c r="WE62" s="13" t="s">
        <v>37</v>
      </c>
      <c r="WF62" s="13" t="s">
        <v>37</v>
      </c>
    </row>
    <row r="63" spans="1:604" ht="18" customHeight="1" x14ac:dyDescent="0.4">
      <c r="A63" s="11">
        <v>12</v>
      </c>
      <c r="B63" s="12" t="s">
        <v>111</v>
      </c>
      <c r="C63" s="12" t="s">
        <v>26</v>
      </c>
      <c r="D63" s="12" t="s">
        <v>973</v>
      </c>
      <c r="E63" s="81">
        <v>4.5</v>
      </c>
      <c r="F63" s="14">
        <v>0</v>
      </c>
      <c r="G63" s="14">
        <v>0</v>
      </c>
      <c r="H63" s="12" t="s">
        <v>91</v>
      </c>
      <c r="I63" s="29">
        <v>55.35</v>
      </c>
      <c r="J63" s="29">
        <v>-112.517</v>
      </c>
      <c r="K63" s="12" t="s">
        <v>696</v>
      </c>
      <c r="L63" s="12" t="s">
        <v>697</v>
      </c>
      <c r="M63" s="13" t="s">
        <v>37</v>
      </c>
      <c r="N63" s="14">
        <v>2.1</v>
      </c>
      <c r="O63" s="14">
        <v>504</v>
      </c>
      <c r="P63" s="14" t="s">
        <v>84</v>
      </c>
      <c r="Q63" s="75">
        <v>3</v>
      </c>
      <c r="R63" s="11" t="s">
        <v>999</v>
      </c>
      <c r="S63" s="12" t="s">
        <v>93</v>
      </c>
      <c r="T63" s="12" t="s">
        <v>141</v>
      </c>
      <c r="U63" s="12" t="s">
        <v>334</v>
      </c>
      <c r="V63" s="12" t="s">
        <v>275</v>
      </c>
      <c r="W63" s="23" t="s">
        <v>500</v>
      </c>
      <c r="X63" s="12" t="s">
        <v>281</v>
      </c>
      <c r="Y63" s="12" t="s">
        <v>69</v>
      </c>
      <c r="Z63" s="12" t="s">
        <v>37</v>
      </c>
      <c r="AA63" s="32" t="s">
        <v>345</v>
      </c>
      <c r="AB63" s="12">
        <v>4.0999999999999996</v>
      </c>
      <c r="AE63" s="12" t="s">
        <v>37</v>
      </c>
      <c r="AH63" s="12" t="s">
        <v>37</v>
      </c>
      <c r="AK63" s="12" t="s">
        <v>37</v>
      </c>
      <c r="AL63" s="32" t="s">
        <v>498</v>
      </c>
      <c r="AM63" s="12" t="s">
        <v>317</v>
      </c>
      <c r="AN63" s="32" t="s">
        <v>879</v>
      </c>
      <c r="AO63" s="12" t="s">
        <v>29</v>
      </c>
      <c r="AP63" s="12" t="s">
        <v>108</v>
      </c>
      <c r="AQ63" s="12" t="s">
        <v>975</v>
      </c>
      <c r="AT63" s="12" t="s">
        <v>326</v>
      </c>
      <c r="AU63" s="12" t="s">
        <v>326</v>
      </c>
      <c r="AV63" s="13" t="s">
        <v>326</v>
      </c>
      <c r="AX63" s="12" t="s">
        <v>326</v>
      </c>
      <c r="AY63" s="12" t="s">
        <v>326</v>
      </c>
      <c r="AZ63" s="13" t="s">
        <v>326</v>
      </c>
      <c r="BE63" s="12" t="s">
        <v>326</v>
      </c>
      <c r="BF63" s="12" t="s">
        <v>326</v>
      </c>
      <c r="BG63" s="12" t="s">
        <v>326</v>
      </c>
      <c r="BI63" s="12" t="s">
        <v>326</v>
      </c>
      <c r="BJ63" s="12" t="s">
        <v>326</v>
      </c>
      <c r="BK63" s="12" t="s">
        <v>326</v>
      </c>
      <c r="BP63" s="12" t="s">
        <v>37</v>
      </c>
      <c r="BQ63" s="12" t="s">
        <v>37</v>
      </c>
      <c r="BR63" s="13" t="s">
        <v>37</v>
      </c>
      <c r="BT63" s="12" t="s">
        <v>37</v>
      </c>
      <c r="BU63" s="12" t="s">
        <v>37</v>
      </c>
      <c r="BV63" s="12" t="s">
        <v>37</v>
      </c>
      <c r="CA63" s="12" t="s">
        <v>37</v>
      </c>
      <c r="CB63" s="12" t="s">
        <v>37</v>
      </c>
      <c r="CC63" s="13" t="s">
        <v>37</v>
      </c>
      <c r="CE63" s="12" t="s">
        <v>37</v>
      </c>
      <c r="CF63" s="12" t="s">
        <v>37</v>
      </c>
      <c r="CG63" s="13" t="s">
        <v>37</v>
      </c>
      <c r="CI63" s="52"/>
      <c r="CJ63" s="12"/>
      <c r="CK63" s="73"/>
      <c r="CL63" s="73"/>
      <c r="CN63" s="12" t="s">
        <v>37</v>
      </c>
      <c r="CO63" s="12" t="s">
        <v>37</v>
      </c>
      <c r="CP63" s="13" t="s">
        <v>37</v>
      </c>
      <c r="CR63" s="12" t="s">
        <v>37</v>
      </c>
      <c r="CS63" s="12" t="s">
        <v>37</v>
      </c>
      <c r="CT63" s="13" t="s">
        <v>37</v>
      </c>
      <c r="CV63" s="52"/>
      <c r="CW63" s="52"/>
      <c r="CX63" s="73"/>
      <c r="CY63" s="73"/>
      <c r="DA63" s="12" t="s">
        <v>37</v>
      </c>
      <c r="DB63" s="12" t="s">
        <v>37</v>
      </c>
      <c r="DC63" s="13" t="s">
        <v>37</v>
      </c>
      <c r="DE63" s="12" t="s">
        <v>37</v>
      </c>
      <c r="DF63" s="12" t="s">
        <v>37</v>
      </c>
      <c r="DG63" s="13" t="s">
        <v>37</v>
      </c>
      <c r="DI63" s="52"/>
      <c r="DJ63" s="52"/>
      <c r="DK63" s="73"/>
      <c r="DL63" s="73"/>
      <c r="DM63" s="15" t="s">
        <v>47</v>
      </c>
      <c r="DN63" s="52">
        <f>4.26*10^4/10^6*("2011/10/31"-"2011/05/01")/'[1]classes-1'!$I$63</f>
        <v>10.24121540117542</v>
      </c>
      <c r="DO63" s="12">
        <f>SQRT((1/[2]Classes!$I$63)^2*(2.72*10^4/10^6*("2011/10/31"-"2011/05/01"))^2+(-DN63/([2]Classes!$I$63)^2)^2*([2]Classes!$J$63)^2)</f>
        <v>7.0937907088882888</v>
      </c>
      <c r="DP63" s="18">
        <v>3</v>
      </c>
      <c r="DQ63" s="19">
        <f t="shared" si="193"/>
        <v>0.69267078476585009</v>
      </c>
      <c r="DR63" s="52">
        <f>1.79*10^4/10^6*("2011/10/31"-"2011/05/01")/'[1]classes-1'!$I$64</f>
        <v>0.9615623609345133</v>
      </c>
      <c r="DS63" s="12">
        <f>SQRT((1/[2]Classes!$I$64)^2*(SQRT(2.89*10^4/10^6*("2011/10/31"-"2011/05/01")))^2+(-DR63/([2]Classes!$I$64)^2)^2*([2]Classes!$J$64)^2)</f>
        <v>1.1781116185620597</v>
      </c>
      <c r="DT63" s="18">
        <v>3</v>
      </c>
      <c r="DU63" s="19">
        <f t="shared" si="194"/>
        <v>1.225205630362953</v>
      </c>
      <c r="DV63" s="19">
        <f t="shared" si="198"/>
        <v>-9.2796530402409072</v>
      </c>
      <c r="DW63" s="12">
        <f t="shared" si="195"/>
        <v>5.0847720503135996</v>
      </c>
      <c r="DX63" s="72">
        <f t="shared" si="196"/>
        <v>17.236604535766908</v>
      </c>
      <c r="DY63" s="72">
        <f t="shared" si="197"/>
        <v>17.236604535766908</v>
      </c>
      <c r="DZ63" s="15"/>
      <c r="EA63" s="52" t="s">
        <v>37</v>
      </c>
      <c r="EB63" s="52" t="s">
        <v>37</v>
      </c>
      <c r="EC63" s="73" t="s">
        <v>37</v>
      </c>
      <c r="ED63" s="52"/>
      <c r="EE63" s="52" t="s">
        <v>37</v>
      </c>
      <c r="EF63" s="52" t="s">
        <v>37</v>
      </c>
      <c r="EG63" s="15" t="s">
        <v>37</v>
      </c>
      <c r="EH63" s="52"/>
      <c r="EI63" s="52"/>
      <c r="EJ63" s="52"/>
      <c r="EK63" s="52"/>
      <c r="EL63" s="52"/>
      <c r="EM63" s="12" t="s">
        <v>39</v>
      </c>
      <c r="EN63" s="12">
        <f>EN61-6</f>
        <v>-50</v>
      </c>
      <c r="EO63" s="12">
        <v>6.8</v>
      </c>
      <c r="EP63" s="13">
        <v>3</v>
      </c>
      <c r="EQ63" s="19">
        <f t="shared" si="139"/>
        <v>0.13600000000000001</v>
      </c>
      <c r="ER63" s="12">
        <f>ER61-6</f>
        <v>-85</v>
      </c>
      <c r="ES63" s="12">
        <v>12.3</v>
      </c>
      <c r="ET63" s="13">
        <v>3</v>
      </c>
      <c r="EU63" s="19">
        <f t="shared" si="140"/>
        <v>0.14470588235294118</v>
      </c>
      <c r="EV63" s="19">
        <f t="shared" si="141"/>
        <v>-35</v>
      </c>
      <c r="EW63" s="12">
        <f t="shared" si="142"/>
        <v>9.9380581604255074</v>
      </c>
      <c r="EX63" s="19">
        <f t="shared" si="143"/>
        <v>65.843333333333334</v>
      </c>
      <c r="EY63" s="19">
        <f t="shared" si="144"/>
        <v>65.843333333333334</v>
      </c>
      <c r="FB63" s="11" t="s">
        <v>37</v>
      </c>
      <c r="FC63" s="11" t="s">
        <v>37</v>
      </c>
      <c r="FD63" s="11" t="s">
        <v>37</v>
      </c>
      <c r="FE63" s="12" t="s">
        <v>37</v>
      </c>
      <c r="FF63" s="20" t="s">
        <v>37</v>
      </c>
      <c r="FG63" s="11" t="s">
        <v>37</v>
      </c>
      <c r="FI63" s="11" t="s">
        <v>37</v>
      </c>
      <c r="FJ63" s="11" t="s">
        <v>37</v>
      </c>
      <c r="FK63" s="11" t="s">
        <v>37</v>
      </c>
      <c r="FL63" s="13" t="s">
        <v>37</v>
      </c>
      <c r="FM63" s="11" t="s">
        <v>37</v>
      </c>
      <c r="FN63" s="11" t="s">
        <v>37</v>
      </c>
      <c r="FP63" s="11" t="s">
        <v>37</v>
      </c>
      <c r="FQ63" s="11" t="s">
        <v>37</v>
      </c>
      <c r="FR63" s="11" t="s">
        <v>37</v>
      </c>
      <c r="FS63" s="13" t="s">
        <v>37</v>
      </c>
      <c r="FT63" s="11" t="s">
        <v>37</v>
      </c>
      <c r="FU63" s="11" t="s">
        <v>37</v>
      </c>
      <c r="FW63" s="11" t="s">
        <v>37</v>
      </c>
      <c r="FX63" s="11" t="s">
        <v>37</v>
      </c>
      <c r="FY63" s="11" t="s">
        <v>37</v>
      </c>
      <c r="FZ63" s="13" t="s">
        <v>37</v>
      </c>
      <c r="GA63" s="11" t="s">
        <v>37</v>
      </c>
      <c r="GB63" s="11" t="s">
        <v>37</v>
      </c>
      <c r="GO63" s="12" t="s">
        <v>660</v>
      </c>
      <c r="GP63" s="12" t="s">
        <v>330</v>
      </c>
      <c r="GQ63" s="12">
        <v>12.3</v>
      </c>
      <c r="GR63" s="12">
        <v>5.0000000000000001E-3</v>
      </c>
      <c r="GS63" s="13">
        <v>3</v>
      </c>
      <c r="GT63" s="19">
        <f t="shared" si="145"/>
        <v>4.0650406504065041E-4</v>
      </c>
      <c r="GU63" s="12">
        <v>13.1</v>
      </c>
      <c r="GV63" s="12">
        <v>0.1</v>
      </c>
      <c r="GW63" s="13">
        <v>3</v>
      </c>
      <c r="GX63" s="19">
        <f t="shared" si="211"/>
        <v>7.6335877862595426E-3</v>
      </c>
      <c r="GY63" s="19">
        <f t="shared" si="203"/>
        <v>6.301296782873396E-2</v>
      </c>
      <c r="GZ63" s="19">
        <f t="shared" si="204"/>
        <v>1.9478969348475148E-5</v>
      </c>
      <c r="IK63" s="12" t="s">
        <v>37</v>
      </c>
      <c r="IL63" s="12" t="s">
        <v>37</v>
      </c>
      <c r="IM63" s="13" t="s">
        <v>37</v>
      </c>
      <c r="IO63" s="12" t="s">
        <v>37</v>
      </c>
      <c r="IP63" s="12" t="s">
        <v>37</v>
      </c>
      <c r="IQ63" s="13" t="s">
        <v>37</v>
      </c>
      <c r="IV63" s="32" t="s">
        <v>345</v>
      </c>
      <c r="IW63" s="12">
        <v>4.0999999999999996</v>
      </c>
      <c r="IX63" s="12">
        <v>0.1</v>
      </c>
      <c r="IY63" s="13">
        <v>3</v>
      </c>
      <c r="IZ63" s="19">
        <f t="shared" si="147"/>
        <v>2.4390243902439029E-2</v>
      </c>
      <c r="JH63" s="12" t="s">
        <v>37</v>
      </c>
      <c r="JI63" s="12" t="s">
        <v>37</v>
      </c>
      <c r="JJ63" s="13" t="s">
        <v>37</v>
      </c>
      <c r="JL63" s="12" t="s">
        <v>37</v>
      </c>
      <c r="JM63" s="12" t="s">
        <v>37</v>
      </c>
      <c r="JN63" s="12" t="s">
        <v>37</v>
      </c>
      <c r="JS63" s="12" t="s">
        <v>37</v>
      </c>
      <c r="JT63" s="12" t="s">
        <v>37</v>
      </c>
      <c r="JU63" s="13" t="s">
        <v>37</v>
      </c>
      <c r="JW63" s="12" t="s">
        <v>37</v>
      </c>
      <c r="JX63" s="12" t="s">
        <v>37</v>
      </c>
      <c r="JY63" s="12" t="s">
        <v>37</v>
      </c>
      <c r="KE63" s="11" t="s">
        <v>37</v>
      </c>
      <c r="KF63" s="11" t="s">
        <v>37</v>
      </c>
      <c r="KG63" s="13" t="s">
        <v>37</v>
      </c>
      <c r="KH63" s="11" t="s">
        <v>37</v>
      </c>
      <c r="KI63" s="11" t="s">
        <v>37</v>
      </c>
      <c r="KJ63" s="11" t="s">
        <v>37</v>
      </c>
      <c r="KM63" s="12" t="s">
        <v>37</v>
      </c>
      <c r="KN63" s="12" t="s">
        <v>37</v>
      </c>
      <c r="KO63" s="11" t="s">
        <v>37</v>
      </c>
      <c r="KQ63" s="12" t="s">
        <v>37</v>
      </c>
      <c r="KR63" s="12" t="s">
        <v>37</v>
      </c>
      <c r="KS63" s="13" t="s">
        <v>37</v>
      </c>
      <c r="KX63" s="12" t="s">
        <v>37</v>
      </c>
      <c r="KY63" s="12" t="s">
        <v>37</v>
      </c>
      <c r="KZ63" s="13" t="s">
        <v>37</v>
      </c>
      <c r="LB63" s="12" t="s">
        <v>37</v>
      </c>
      <c r="LC63" s="12" t="s">
        <v>37</v>
      </c>
      <c r="LD63" s="13" t="s">
        <v>37</v>
      </c>
      <c r="LI63" s="12" t="s">
        <v>37</v>
      </c>
      <c r="LJ63" s="12" t="s">
        <v>37</v>
      </c>
      <c r="LK63" s="12" t="s">
        <v>37</v>
      </c>
      <c r="LM63" s="12" t="s">
        <v>37</v>
      </c>
      <c r="LN63" s="12" t="s">
        <v>37</v>
      </c>
      <c r="LO63" s="12" t="s">
        <v>37</v>
      </c>
      <c r="LU63" s="12" t="s">
        <v>37</v>
      </c>
      <c r="LV63" s="12" t="s">
        <v>37</v>
      </c>
      <c r="LW63" s="13" t="s">
        <v>37</v>
      </c>
      <c r="LY63" s="12" t="s">
        <v>37</v>
      </c>
      <c r="LZ63" s="12" t="s">
        <v>37</v>
      </c>
      <c r="MA63" s="12" t="s">
        <v>37</v>
      </c>
      <c r="MF63" s="12" t="s">
        <v>37</v>
      </c>
      <c r="MG63" s="12" t="s">
        <v>37</v>
      </c>
      <c r="MH63" s="12" t="s">
        <v>37</v>
      </c>
      <c r="MJ63" s="12" t="s">
        <v>37</v>
      </c>
      <c r="MK63" s="12" t="s">
        <v>37</v>
      </c>
      <c r="ML63" s="12" t="s">
        <v>37</v>
      </c>
      <c r="MQ63" s="12" t="s">
        <v>37</v>
      </c>
      <c r="MR63" s="12" t="s">
        <v>37</v>
      </c>
      <c r="MS63" s="12" t="s">
        <v>37</v>
      </c>
      <c r="MU63" s="12" t="s">
        <v>37</v>
      </c>
      <c r="MV63" s="12" t="s">
        <v>37</v>
      </c>
      <c r="MW63" s="12" t="s">
        <v>37</v>
      </c>
      <c r="NC63" s="12" t="s">
        <v>37</v>
      </c>
      <c r="ND63" s="12" t="s">
        <v>37</v>
      </c>
      <c r="NE63" s="13" t="s">
        <v>37</v>
      </c>
      <c r="NG63" s="12" t="s">
        <v>37</v>
      </c>
      <c r="NH63" s="12" t="s">
        <v>37</v>
      </c>
      <c r="NI63" s="13" t="s">
        <v>37</v>
      </c>
      <c r="NO63" s="12" t="s">
        <v>37</v>
      </c>
      <c r="NP63" s="12" t="s">
        <v>37</v>
      </c>
      <c r="NQ63" s="13" t="s">
        <v>37</v>
      </c>
      <c r="NS63" s="12" t="s">
        <v>37</v>
      </c>
      <c r="NT63" s="12" t="s">
        <v>37</v>
      </c>
      <c r="NU63" s="13" t="s">
        <v>37</v>
      </c>
      <c r="OA63" s="11" t="s">
        <v>37</v>
      </c>
      <c r="OB63" s="11" t="s">
        <v>37</v>
      </c>
      <c r="OC63" s="13" t="s">
        <v>37</v>
      </c>
      <c r="OE63" s="11" t="s">
        <v>37</v>
      </c>
      <c r="OF63" s="11" t="s">
        <v>37</v>
      </c>
      <c r="OG63" s="13" t="s">
        <v>37</v>
      </c>
      <c r="OM63" s="11" t="s">
        <v>37</v>
      </c>
      <c r="ON63" s="11" t="s">
        <v>37</v>
      </c>
      <c r="OO63" s="11" t="s">
        <v>37</v>
      </c>
      <c r="OP63" s="11" t="s">
        <v>37</v>
      </c>
      <c r="OQ63" s="11" t="s">
        <v>37</v>
      </c>
      <c r="OR63" s="11" t="s">
        <v>37</v>
      </c>
      <c r="OW63" s="11" t="s">
        <v>37</v>
      </c>
      <c r="OX63" s="11" t="s">
        <v>37</v>
      </c>
      <c r="OY63" s="13" t="s">
        <v>37</v>
      </c>
      <c r="OZ63" s="11" t="s">
        <v>37</v>
      </c>
      <c r="PA63" s="11" t="s">
        <v>37</v>
      </c>
      <c r="PB63" s="13" t="s">
        <v>37</v>
      </c>
      <c r="PG63" s="11" t="s">
        <v>37</v>
      </c>
      <c r="PH63" s="11" t="s">
        <v>37</v>
      </c>
      <c r="PI63" s="13" t="s">
        <v>37</v>
      </c>
      <c r="PJ63" s="11" t="s">
        <v>37</v>
      </c>
      <c r="PK63" s="11" t="s">
        <v>37</v>
      </c>
      <c r="PL63" s="13" t="s">
        <v>37</v>
      </c>
      <c r="PQ63" s="11" t="s">
        <v>37</v>
      </c>
      <c r="PR63" s="11" t="s">
        <v>37</v>
      </c>
      <c r="PS63" s="13" t="s">
        <v>37</v>
      </c>
      <c r="PT63" s="11" t="s">
        <v>37</v>
      </c>
      <c r="PU63" s="11" t="s">
        <v>37</v>
      </c>
      <c r="PV63" s="13" t="s">
        <v>37</v>
      </c>
      <c r="PY63" s="12" t="s">
        <v>43</v>
      </c>
      <c r="PZ63" s="12">
        <v>350</v>
      </c>
      <c r="QA63" s="12">
        <f t="shared" si="212"/>
        <v>142.02816622064793</v>
      </c>
      <c r="QB63" s="11">
        <v>3</v>
      </c>
      <c r="QC63" s="19">
        <f t="shared" si="155"/>
        <v>0.40579476063042269</v>
      </c>
      <c r="QD63" s="12">
        <v>327</v>
      </c>
      <c r="QE63" s="12">
        <f t="shared" ref="QE63" si="218">51*SQRT(3)</f>
        <v>88.33459118601273</v>
      </c>
      <c r="QF63" s="13">
        <v>3</v>
      </c>
      <c r="QG63" s="19">
        <f t="shared" si="156"/>
        <v>0.27013636448321937</v>
      </c>
      <c r="QH63" s="19">
        <f t="shared" si="148"/>
        <v>-6.7972983586205987E-2</v>
      </c>
      <c r="QI63" s="19">
        <f t="shared" si="149"/>
        <v>7.9214347723770923E-2</v>
      </c>
      <c r="QJ63" s="12" t="s">
        <v>43</v>
      </c>
      <c r="QK63" s="12">
        <v>751</v>
      </c>
      <c r="QL63" s="12">
        <f t="shared" si="213"/>
        <v>575.0408681128672</v>
      </c>
      <c r="QM63" s="13">
        <v>3</v>
      </c>
      <c r="QN63" s="12">
        <v>715</v>
      </c>
      <c r="QO63" s="12">
        <f t="shared" ref="QO63" si="219">116*SQRT(3)</f>
        <v>200.91789367798975</v>
      </c>
      <c r="QP63" s="13">
        <v>3</v>
      </c>
      <c r="QQ63" s="19">
        <f t="shared" si="158"/>
        <v>-4.9123109070127076E-2</v>
      </c>
      <c r="QR63" s="19">
        <f t="shared" si="150"/>
        <v>0.22175336909826129</v>
      </c>
      <c r="QU63" s="11" t="s">
        <v>37</v>
      </c>
      <c r="QV63" s="11" t="s">
        <v>37</v>
      </c>
      <c r="QW63" s="13" t="s">
        <v>37</v>
      </c>
      <c r="QX63" s="11" t="s">
        <v>37</v>
      </c>
      <c r="QY63" s="11" t="s">
        <v>37</v>
      </c>
      <c r="QZ63" s="13" t="s">
        <v>37</v>
      </c>
      <c r="RC63" s="12" t="s">
        <v>37</v>
      </c>
      <c r="RD63" s="12" t="s">
        <v>37</v>
      </c>
      <c r="RE63" s="13" t="s">
        <v>37</v>
      </c>
      <c r="RF63" s="12" t="s">
        <v>37</v>
      </c>
      <c r="RG63" s="12" t="s">
        <v>37</v>
      </c>
      <c r="RH63" s="13" t="s">
        <v>37</v>
      </c>
      <c r="RK63" s="11" t="s">
        <v>37</v>
      </c>
      <c r="RL63" s="11" t="s">
        <v>37</v>
      </c>
      <c r="RM63" s="11" t="s">
        <v>37</v>
      </c>
      <c r="RN63" s="11" t="s">
        <v>37</v>
      </c>
      <c r="RO63" s="11" t="s">
        <v>37</v>
      </c>
      <c r="RP63" s="11" t="s">
        <v>37</v>
      </c>
      <c r="RS63" s="11" t="s">
        <v>37</v>
      </c>
      <c r="RT63" s="11" t="s">
        <v>37</v>
      </c>
      <c r="RU63" s="11" t="s">
        <v>37</v>
      </c>
      <c r="RV63" s="11" t="s">
        <v>37</v>
      </c>
      <c r="RW63" s="11" t="s">
        <v>37</v>
      </c>
      <c r="RX63" s="11" t="s">
        <v>37</v>
      </c>
      <c r="SA63" s="11" t="s">
        <v>37</v>
      </c>
      <c r="SB63" s="11" t="s">
        <v>37</v>
      </c>
      <c r="SC63" s="13" t="s">
        <v>37</v>
      </c>
      <c r="SD63" s="11" t="s">
        <v>37</v>
      </c>
      <c r="SE63" s="11" t="s">
        <v>37</v>
      </c>
      <c r="SF63" s="13" t="s">
        <v>37</v>
      </c>
      <c r="SI63" s="12" t="s">
        <v>37</v>
      </c>
      <c r="SJ63" s="11" t="s">
        <v>37</v>
      </c>
      <c r="SK63" s="13" t="s">
        <v>37</v>
      </c>
      <c r="SM63" s="11" t="s">
        <v>37</v>
      </c>
      <c r="SN63" s="11" t="s">
        <v>37</v>
      </c>
      <c r="SO63" s="13" t="s">
        <v>37</v>
      </c>
      <c r="SU63" s="12" t="s">
        <v>37</v>
      </c>
      <c r="SV63" s="12" t="s">
        <v>37</v>
      </c>
      <c r="SW63" s="11" t="s">
        <v>37</v>
      </c>
      <c r="SX63" s="12" t="s">
        <v>37</v>
      </c>
      <c r="SY63" s="12" t="s">
        <v>37</v>
      </c>
      <c r="SZ63" s="11" t="s">
        <v>37</v>
      </c>
      <c r="TE63" s="12" t="s">
        <v>37</v>
      </c>
      <c r="TF63" s="12" t="s">
        <v>37</v>
      </c>
      <c r="TG63" s="11" t="s">
        <v>37</v>
      </c>
      <c r="TH63" s="12" t="s">
        <v>37</v>
      </c>
      <c r="TI63" s="12" t="s">
        <v>37</v>
      </c>
      <c r="TJ63" s="11" t="s">
        <v>37</v>
      </c>
      <c r="TO63" s="12" t="s">
        <v>37</v>
      </c>
      <c r="TP63" s="12" t="s">
        <v>37</v>
      </c>
      <c r="TQ63" s="11" t="s">
        <v>37</v>
      </c>
      <c r="TR63" s="12" t="s">
        <v>37</v>
      </c>
      <c r="TS63" s="12" t="s">
        <v>37</v>
      </c>
      <c r="TT63" s="11" t="s">
        <v>37</v>
      </c>
      <c r="TY63" s="12" t="s">
        <v>37</v>
      </c>
      <c r="TZ63" s="12" t="s">
        <v>37</v>
      </c>
      <c r="UA63" s="11" t="s">
        <v>37</v>
      </c>
      <c r="UB63" s="12" t="s">
        <v>37</v>
      </c>
      <c r="UC63" s="12" t="s">
        <v>37</v>
      </c>
      <c r="UD63" s="11" t="s">
        <v>37</v>
      </c>
      <c r="UI63" s="12" t="s">
        <v>37</v>
      </c>
      <c r="UJ63" s="12" t="s">
        <v>37</v>
      </c>
      <c r="UK63" s="13" t="s">
        <v>37</v>
      </c>
      <c r="UL63" s="12" t="s">
        <v>37</v>
      </c>
      <c r="UM63" s="12" t="s">
        <v>37</v>
      </c>
      <c r="UN63" s="13" t="s">
        <v>37</v>
      </c>
      <c r="UR63" s="12" t="s">
        <v>37</v>
      </c>
      <c r="US63" s="12" t="s">
        <v>37</v>
      </c>
      <c r="UT63" s="13" t="s">
        <v>37</v>
      </c>
      <c r="UU63" s="12" t="s">
        <v>37</v>
      </c>
      <c r="UV63" s="12" t="s">
        <v>37</v>
      </c>
      <c r="UW63" s="13" t="s">
        <v>37</v>
      </c>
      <c r="VB63" s="12" t="s">
        <v>37</v>
      </c>
      <c r="VC63" s="12" t="s">
        <v>37</v>
      </c>
      <c r="VD63" s="13" t="s">
        <v>37</v>
      </c>
      <c r="VE63" s="12" t="s">
        <v>37</v>
      </c>
      <c r="VF63" s="12" t="s">
        <v>37</v>
      </c>
      <c r="VG63" s="13" t="s">
        <v>37</v>
      </c>
      <c r="VI63" s="12" t="s">
        <v>37</v>
      </c>
      <c r="VJ63" s="12" t="s">
        <v>37</v>
      </c>
      <c r="VK63" s="13" t="s">
        <v>37</v>
      </c>
      <c r="VL63" s="12" t="s">
        <v>37</v>
      </c>
      <c r="VM63" s="12" t="s">
        <v>37</v>
      </c>
      <c r="VN63" s="13" t="s">
        <v>37</v>
      </c>
      <c r="VO63" s="12" t="s">
        <v>37</v>
      </c>
      <c r="VQ63" s="12" t="s">
        <v>37</v>
      </c>
      <c r="VR63" s="12" t="s">
        <v>37</v>
      </c>
      <c r="VS63" s="12" t="s">
        <v>37</v>
      </c>
      <c r="VT63" s="12" t="s">
        <v>37</v>
      </c>
      <c r="VU63" s="12" t="s">
        <v>37</v>
      </c>
      <c r="VV63" s="12" t="s">
        <v>37</v>
      </c>
      <c r="VW63" s="12"/>
      <c r="VX63" s="12"/>
      <c r="WA63" s="13" t="s">
        <v>37</v>
      </c>
      <c r="WB63" s="13" t="s">
        <v>37</v>
      </c>
      <c r="WC63" s="13" t="s">
        <v>37</v>
      </c>
      <c r="WD63" s="13" t="s">
        <v>37</v>
      </c>
      <c r="WE63" s="13" t="s">
        <v>37</v>
      </c>
      <c r="WF63" s="13" t="s">
        <v>37</v>
      </c>
    </row>
    <row r="64" spans="1:604" ht="18" customHeight="1" x14ac:dyDescent="0.4">
      <c r="A64" s="11">
        <v>12</v>
      </c>
      <c r="B64" s="12" t="s">
        <v>111</v>
      </c>
      <c r="C64" s="12" t="s">
        <v>26</v>
      </c>
      <c r="D64" s="12" t="s">
        <v>973</v>
      </c>
      <c r="E64" s="81">
        <v>4.5</v>
      </c>
      <c r="F64" s="14">
        <v>0</v>
      </c>
      <c r="G64" s="14">
        <v>0</v>
      </c>
      <c r="H64" s="12" t="s">
        <v>91</v>
      </c>
      <c r="I64" s="29">
        <v>55.35</v>
      </c>
      <c r="J64" s="29">
        <v>-112.517</v>
      </c>
      <c r="K64" s="12" t="s">
        <v>696</v>
      </c>
      <c r="L64" s="12" t="s">
        <v>697</v>
      </c>
      <c r="M64" s="13" t="s">
        <v>37</v>
      </c>
      <c r="N64" s="14">
        <v>2.1</v>
      </c>
      <c r="O64" s="14">
        <v>504</v>
      </c>
      <c r="P64" s="14" t="s">
        <v>84</v>
      </c>
      <c r="Q64" s="75">
        <v>13</v>
      </c>
      <c r="R64" s="11" t="s">
        <v>999</v>
      </c>
      <c r="S64" s="12" t="s">
        <v>93</v>
      </c>
      <c r="T64" s="12" t="s">
        <v>141</v>
      </c>
      <c r="U64" s="12" t="s">
        <v>334</v>
      </c>
      <c r="V64" s="12" t="s">
        <v>275</v>
      </c>
      <c r="W64" s="23" t="s">
        <v>500</v>
      </c>
      <c r="X64" s="12" t="s">
        <v>281</v>
      </c>
      <c r="Y64" s="12" t="s">
        <v>69</v>
      </c>
      <c r="Z64" s="12" t="s">
        <v>37</v>
      </c>
      <c r="AA64" s="32" t="s">
        <v>345</v>
      </c>
      <c r="AB64" s="12">
        <v>4.0999999999999996</v>
      </c>
      <c r="AE64" s="12" t="s">
        <v>37</v>
      </c>
      <c r="AH64" s="12" t="s">
        <v>37</v>
      </c>
      <c r="AK64" s="12" t="s">
        <v>37</v>
      </c>
      <c r="AL64" s="32" t="s">
        <v>498</v>
      </c>
      <c r="AM64" s="12" t="s">
        <v>317</v>
      </c>
      <c r="AN64" s="32" t="s">
        <v>879</v>
      </c>
      <c r="AO64" s="12" t="s">
        <v>29</v>
      </c>
      <c r="AP64" s="12" t="s">
        <v>108</v>
      </c>
      <c r="AQ64" s="12" t="s">
        <v>975</v>
      </c>
      <c r="AT64" s="12" t="s">
        <v>326</v>
      </c>
      <c r="AU64" s="12" t="s">
        <v>326</v>
      </c>
      <c r="AV64" s="13" t="s">
        <v>326</v>
      </c>
      <c r="AX64" s="12" t="s">
        <v>326</v>
      </c>
      <c r="AY64" s="12" t="s">
        <v>326</v>
      </c>
      <c r="AZ64" s="13" t="s">
        <v>326</v>
      </c>
      <c r="BE64" s="12" t="s">
        <v>326</v>
      </c>
      <c r="BF64" s="12" t="s">
        <v>326</v>
      </c>
      <c r="BG64" s="12" t="s">
        <v>326</v>
      </c>
      <c r="BI64" s="12" t="s">
        <v>326</v>
      </c>
      <c r="BJ64" s="12" t="s">
        <v>326</v>
      </c>
      <c r="BK64" s="12" t="s">
        <v>326</v>
      </c>
      <c r="BP64" s="12" t="s">
        <v>37</v>
      </c>
      <c r="BQ64" s="12" t="s">
        <v>37</v>
      </c>
      <c r="BR64" s="13" t="s">
        <v>37</v>
      </c>
      <c r="BT64" s="12" t="s">
        <v>37</v>
      </c>
      <c r="BU64" s="12" t="s">
        <v>37</v>
      </c>
      <c r="BV64" s="12" t="s">
        <v>37</v>
      </c>
      <c r="CA64" s="12" t="s">
        <v>37</v>
      </c>
      <c r="CB64" s="12" t="s">
        <v>37</v>
      </c>
      <c r="CC64" s="13" t="s">
        <v>37</v>
      </c>
      <c r="CE64" s="12" t="s">
        <v>37</v>
      </c>
      <c r="CF64" s="12" t="s">
        <v>37</v>
      </c>
      <c r="CG64" s="13" t="s">
        <v>37</v>
      </c>
      <c r="CI64" s="52"/>
      <c r="CK64" s="73"/>
      <c r="CL64" s="73"/>
      <c r="CN64" s="12" t="s">
        <v>37</v>
      </c>
      <c r="CO64" s="12" t="s">
        <v>37</v>
      </c>
      <c r="CP64" s="13" t="s">
        <v>37</v>
      </c>
      <c r="CR64" s="12" t="s">
        <v>37</v>
      </c>
      <c r="CS64" s="12" t="s">
        <v>37</v>
      </c>
      <c r="CT64" s="13" t="s">
        <v>37</v>
      </c>
      <c r="CV64" s="52"/>
      <c r="CW64" s="52"/>
      <c r="CX64" s="73"/>
      <c r="CY64" s="73"/>
      <c r="DA64" s="12" t="s">
        <v>37</v>
      </c>
      <c r="DB64" s="12" t="s">
        <v>37</v>
      </c>
      <c r="DC64" s="13" t="s">
        <v>37</v>
      </c>
      <c r="DE64" s="12" t="s">
        <v>37</v>
      </c>
      <c r="DF64" s="12" t="s">
        <v>37</v>
      </c>
      <c r="DG64" s="13" t="s">
        <v>37</v>
      </c>
      <c r="DI64" s="52"/>
      <c r="DJ64" s="52"/>
      <c r="DK64" s="73"/>
      <c r="DL64" s="73"/>
      <c r="DM64" s="15" t="s">
        <v>47</v>
      </c>
      <c r="DN64" s="52">
        <f>4.26*10^4/10^6*("2011/10/31"-"2011/05/01")/'[1]classes-1'!$I$63</f>
        <v>10.24121540117542</v>
      </c>
      <c r="DO64" s="12">
        <f>DO63</f>
        <v>7.0937907088882888</v>
      </c>
      <c r="DP64" s="18">
        <v>3</v>
      </c>
      <c r="DQ64" s="19">
        <f t="shared" si="193"/>
        <v>0.69267078476585009</v>
      </c>
      <c r="DR64" s="52">
        <f>0.85*10^4/10^6*("2011/10/31"-"2011/05/01")/'[1]classes-1'!$I$64</f>
        <v>0.45660782502476893</v>
      </c>
      <c r="DS64" s="12">
        <f>SQRT((1/[2]Classes!$I$64)^2*(2.72*10^4/10^6*("2011/10/31"-"2011/05/01"))^2+(-DR64/([2]Classes!$I$64)^2)^2*([2]Classes!$J$64)^2)</f>
        <v>1.5313900415070829</v>
      </c>
      <c r="DT64" s="18">
        <v>3</v>
      </c>
      <c r="DU64" s="19">
        <f t="shared" si="194"/>
        <v>3.3538409934696407</v>
      </c>
      <c r="DV64" s="19">
        <f t="shared" si="198"/>
        <v>-9.7846075761506519</v>
      </c>
      <c r="DW64" s="12">
        <f t="shared" si="195"/>
        <v>5.1316187543862259</v>
      </c>
      <c r="DX64" s="72">
        <f t="shared" si="196"/>
        <v>17.555674026912293</v>
      </c>
      <c r="DY64" s="72">
        <f t="shared" si="197"/>
        <v>17.555674026912293</v>
      </c>
      <c r="DZ64" s="15"/>
      <c r="EA64" s="52" t="s">
        <v>37</v>
      </c>
      <c r="EB64" s="52" t="s">
        <v>37</v>
      </c>
      <c r="EC64" s="73" t="s">
        <v>37</v>
      </c>
      <c r="ED64" s="52"/>
      <c r="EE64" s="52" t="s">
        <v>37</v>
      </c>
      <c r="EF64" s="52" t="s">
        <v>37</v>
      </c>
      <c r="EG64" s="15" t="s">
        <v>37</v>
      </c>
      <c r="EH64" s="52"/>
      <c r="EI64" s="52"/>
      <c r="EJ64" s="52"/>
      <c r="EK64" s="52"/>
      <c r="EL64" s="52"/>
      <c r="EM64" s="12" t="s">
        <v>39</v>
      </c>
      <c r="EN64" s="12">
        <f>EN62-6</f>
        <v>-50</v>
      </c>
      <c r="EO64" s="12">
        <v>6.8</v>
      </c>
      <c r="EP64" s="13">
        <v>3</v>
      </c>
      <c r="EQ64" s="19">
        <f t="shared" si="139"/>
        <v>0.13600000000000001</v>
      </c>
      <c r="ER64" s="12">
        <f>ER62-4</f>
        <v>-120</v>
      </c>
      <c r="ES64" s="12">
        <v>11.8</v>
      </c>
      <c r="ET64" s="13">
        <v>3</v>
      </c>
      <c r="EU64" s="19">
        <f t="shared" si="140"/>
        <v>9.8333333333333342E-2</v>
      </c>
      <c r="EV64" s="19">
        <f t="shared" si="141"/>
        <v>-70</v>
      </c>
      <c r="EW64" s="12">
        <f t="shared" si="142"/>
        <v>9.630160954002795</v>
      </c>
      <c r="EX64" s="19">
        <f t="shared" si="143"/>
        <v>61.826666666666668</v>
      </c>
      <c r="EY64" s="19">
        <f t="shared" si="144"/>
        <v>61.826666666666668</v>
      </c>
      <c r="FB64" s="11" t="s">
        <v>37</v>
      </c>
      <c r="FC64" s="11" t="s">
        <v>37</v>
      </c>
      <c r="FD64" s="11" t="s">
        <v>37</v>
      </c>
      <c r="FE64" s="12" t="s">
        <v>37</v>
      </c>
      <c r="FF64" s="20" t="s">
        <v>37</v>
      </c>
      <c r="FG64" s="11" t="s">
        <v>37</v>
      </c>
      <c r="FI64" s="11" t="s">
        <v>37</v>
      </c>
      <c r="FJ64" s="11" t="s">
        <v>37</v>
      </c>
      <c r="FK64" s="11" t="s">
        <v>37</v>
      </c>
      <c r="FL64" s="13" t="s">
        <v>37</v>
      </c>
      <c r="FM64" s="11" t="s">
        <v>37</v>
      </c>
      <c r="FN64" s="11" t="s">
        <v>37</v>
      </c>
      <c r="FP64" s="11" t="s">
        <v>37</v>
      </c>
      <c r="FQ64" s="11" t="s">
        <v>37</v>
      </c>
      <c r="FR64" s="11" t="s">
        <v>37</v>
      </c>
      <c r="FS64" s="13" t="s">
        <v>37</v>
      </c>
      <c r="FT64" s="11" t="s">
        <v>37</v>
      </c>
      <c r="FU64" s="11" t="s">
        <v>37</v>
      </c>
      <c r="FW64" s="11" t="s">
        <v>37</v>
      </c>
      <c r="FX64" s="11" t="s">
        <v>37</v>
      </c>
      <c r="FY64" s="11" t="s">
        <v>37</v>
      </c>
      <c r="FZ64" s="13" t="s">
        <v>37</v>
      </c>
      <c r="GA64" s="11" t="s">
        <v>37</v>
      </c>
      <c r="GB64" s="11" t="s">
        <v>37</v>
      </c>
      <c r="GO64" s="12" t="s">
        <v>660</v>
      </c>
      <c r="GP64" s="12" t="s">
        <v>330</v>
      </c>
      <c r="GQ64" s="12">
        <v>12.3</v>
      </c>
      <c r="GR64" s="12">
        <v>5.0000000000000001E-3</v>
      </c>
      <c r="GS64" s="13">
        <v>3</v>
      </c>
      <c r="GT64" s="19">
        <f t="shared" si="145"/>
        <v>4.0650406504065041E-4</v>
      </c>
      <c r="GU64" s="12">
        <v>13.1</v>
      </c>
      <c r="GV64" s="12">
        <v>0.1</v>
      </c>
      <c r="GW64" s="13">
        <v>3</v>
      </c>
      <c r="GX64" s="19">
        <f t="shared" si="211"/>
        <v>7.6335877862595426E-3</v>
      </c>
      <c r="GY64" s="19">
        <f t="shared" si="203"/>
        <v>6.301296782873396E-2</v>
      </c>
      <c r="GZ64" s="19">
        <f t="shared" si="204"/>
        <v>1.9478969348475148E-5</v>
      </c>
      <c r="HA64" s="12"/>
      <c r="HB64" s="32"/>
      <c r="HM64" s="32"/>
      <c r="IK64" s="12" t="s">
        <v>37</v>
      </c>
      <c r="IL64" s="12" t="s">
        <v>37</v>
      </c>
      <c r="IM64" s="13" t="s">
        <v>37</v>
      </c>
      <c r="IO64" s="12" t="s">
        <v>37</v>
      </c>
      <c r="IP64" s="12" t="s">
        <v>37</v>
      </c>
      <c r="IQ64" s="13" t="s">
        <v>37</v>
      </c>
      <c r="IV64" s="32" t="s">
        <v>345</v>
      </c>
      <c r="IW64" s="12">
        <v>4.0999999999999996</v>
      </c>
      <c r="IX64" s="12">
        <v>0.1</v>
      </c>
      <c r="IY64" s="13">
        <v>3</v>
      </c>
      <c r="IZ64" s="19">
        <f t="shared" si="147"/>
        <v>2.4390243902439029E-2</v>
      </c>
      <c r="JH64" s="12" t="s">
        <v>37</v>
      </c>
      <c r="JI64" s="12" t="s">
        <v>37</v>
      </c>
      <c r="JJ64" s="13" t="s">
        <v>37</v>
      </c>
      <c r="JL64" s="12" t="s">
        <v>37</v>
      </c>
      <c r="JM64" s="12" t="s">
        <v>37</v>
      </c>
      <c r="JN64" s="12" t="s">
        <v>37</v>
      </c>
      <c r="JS64" s="12" t="s">
        <v>37</v>
      </c>
      <c r="JT64" s="12" t="s">
        <v>37</v>
      </c>
      <c r="JU64" s="13" t="s">
        <v>37</v>
      </c>
      <c r="JW64" s="12" t="s">
        <v>37</v>
      </c>
      <c r="JX64" s="12" t="s">
        <v>37</v>
      </c>
      <c r="JY64" s="12" t="s">
        <v>37</v>
      </c>
      <c r="KE64" s="11" t="s">
        <v>37</v>
      </c>
      <c r="KF64" s="11" t="s">
        <v>37</v>
      </c>
      <c r="KG64" s="13" t="s">
        <v>37</v>
      </c>
      <c r="KH64" s="11" t="s">
        <v>37</v>
      </c>
      <c r="KI64" s="11" t="s">
        <v>37</v>
      </c>
      <c r="KJ64" s="11" t="s">
        <v>37</v>
      </c>
      <c r="KM64" s="12" t="s">
        <v>37</v>
      </c>
      <c r="KN64" s="12" t="s">
        <v>37</v>
      </c>
      <c r="KO64" s="11" t="s">
        <v>37</v>
      </c>
      <c r="KQ64" s="12" t="s">
        <v>37</v>
      </c>
      <c r="KR64" s="12" t="s">
        <v>37</v>
      </c>
      <c r="KS64" s="13" t="s">
        <v>37</v>
      </c>
      <c r="KX64" s="12" t="s">
        <v>37</v>
      </c>
      <c r="KY64" s="12" t="s">
        <v>37</v>
      </c>
      <c r="KZ64" s="13" t="s">
        <v>37</v>
      </c>
      <c r="LB64" s="12" t="s">
        <v>37</v>
      </c>
      <c r="LC64" s="12" t="s">
        <v>37</v>
      </c>
      <c r="LD64" s="13" t="s">
        <v>37</v>
      </c>
      <c r="LI64" s="12" t="s">
        <v>37</v>
      </c>
      <c r="LJ64" s="12" t="s">
        <v>37</v>
      </c>
      <c r="LK64" s="12" t="s">
        <v>37</v>
      </c>
      <c r="LM64" s="12" t="s">
        <v>37</v>
      </c>
      <c r="LN64" s="12" t="s">
        <v>37</v>
      </c>
      <c r="LO64" s="12" t="s">
        <v>37</v>
      </c>
      <c r="LU64" s="12" t="s">
        <v>37</v>
      </c>
      <c r="LV64" s="12" t="s">
        <v>37</v>
      </c>
      <c r="LW64" s="13" t="s">
        <v>37</v>
      </c>
      <c r="LY64" s="12" t="s">
        <v>37</v>
      </c>
      <c r="LZ64" s="12" t="s">
        <v>37</v>
      </c>
      <c r="MA64" s="12" t="s">
        <v>37</v>
      </c>
      <c r="MF64" s="12" t="s">
        <v>37</v>
      </c>
      <c r="MG64" s="12" t="s">
        <v>37</v>
      </c>
      <c r="MH64" s="12" t="s">
        <v>37</v>
      </c>
      <c r="MJ64" s="12" t="s">
        <v>37</v>
      </c>
      <c r="MK64" s="12" t="s">
        <v>37</v>
      </c>
      <c r="ML64" s="12" t="s">
        <v>37</v>
      </c>
      <c r="MQ64" s="12" t="s">
        <v>37</v>
      </c>
      <c r="MR64" s="12" t="s">
        <v>37</v>
      </c>
      <c r="MS64" s="12" t="s">
        <v>37</v>
      </c>
      <c r="MU64" s="12" t="s">
        <v>37</v>
      </c>
      <c r="MV64" s="12" t="s">
        <v>37</v>
      </c>
      <c r="MW64" s="12" t="s">
        <v>37</v>
      </c>
      <c r="NC64" s="12" t="s">
        <v>37</v>
      </c>
      <c r="ND64" s="12" t="s">
        <v>37</v>
      </c>
      <c r="NE64" s="13" t="s">
        <v>37</v>
      </c>
      <c r="NG64" s="12" t="s">
        <v>37</v>
      </c>
      <c r="NH64" s="12" t="s">
        <v>37</v>
      </c>
      <c r="NI64" s="13" t="s">
        <v>37</v>
      </c>
      <c r="NO64" s="12" t="s">
        <v>37</v>
      </c>
      <c r="NP64" s="12" t="s">
        <v>37</v>
      </c>
      <c r="NQ64" s="13" t="s">
        <v>37</v>
      </c>
      <c r="NS64" s="12" t="s">
        <v>37</v>
      </c>
      <c r="NT64" s="12" t="s">
        <v>37</v>
      </c>
      <c r="NU64" s="13" t="s">
        <v>37</v>
      </c>
      <c r="OA64" s="11" t="s">
        <v>37</v>
      </c>
      <c r="OB64" s="11" t="s">
        <v>37</v>
      </c>
      <c r="OC64" s="13" t="s">
        <v>37</v>
      </c>
      <c r="OE64" s="11" t="s">
        <v>37</v>
      </c>
      <c r="OF64" s="11" t="s">
        <v>37</v>
      </c>
      <c r="OG64" s="13" t="s">
        <v>37</v>
      </c>
      <c r="OM64" s="11" t="s">
        <v>37</v>
      </c>
      <c r="ON64" s="11" t="s">
        <v>37</v>
      </c>
      <c r="OO64" s="11" t="s">
        <v>37</v>
      </c>
      <c r="OP64" s="11" t="s">
        <v>37</v>
      </c>
      <c r="OQ64" s="11" t="s">
        <v>37</v>
      </c>
      <c r="OR64" s="11" t="s">
        <v>37</v>
      </c>
      <c r="OW64" s="11" t="s">
        <v>37</v>
      </c>
      <c r="OX64" s="11" t="s">
        <v>37</v>
      </c>
      <c r="OY64" s="13" t="s">
        <v>37</v>
      </c>
      <c r="OZ64" s="11" t="s">
        <v>37</v>
      </c>
      <c r="PA64" s="11" t="s">
        <v>37</v>
      </c>
      <c r="PB64" s="13" t="s">
        <v>37</v>
      </c>
      <c r="PG64" s="11" t="s">
        <v>37</v>
      </c>
      <c r="PH64" s="11" t="s">
        <v>37</v>
      </c>
      <c r="PI64" s="13" t="s">
        <v>37</v>
      </c>
      <c r="PJ64" s="11" t="s">
        <v>37</v>
      </c>
      <c r="PK64" s="11" t="s">
        <v>37</v>
      </c>
      <c r="PL64" s="13" t="s">
        <v>37</v>
      </c>
      <c r="PQ64" s="11" t="s">
        <v>37</v>
      </c>
      <c r="PR64" s="11" t="s">
        <v>37</v>
      </c>
      <c r="PS64" s="13" t="s">
        <v>37</v>
      </c>
      <c r="PT64" s="11" t="s">
        <v>37</v>
      </c>
      <c r="PU64" s="11" t="s">
        <v>37</v>
      </c>
      <c r="PV64" s="13" t="s">
        <v>37</v>
      </c>
      <c r="PY64" s="12" t="s">
        <v>43</v>
      </c>
      <c r="PZ64" s="12">
        <v>350</v>
      </c>
      <c r="QA64" s="12">
        <f t="shared" si="212"/>
        <v>142.02816622064793</v>
      </c>
      <c r="QB64" s="11">
        <v>3</v>
      </c>
      <c r="QC64" s="19">
        <f t="shared" si="155"/>
        <v>0.40579476063042269</v>
      </c>
      <c r="QD64" s="12">
        <v>378</v>
      </c>
      <c r="QE64" s="12">
        <f t="shared" ref="QE64" si="220">6*SQRT(3)</f>
        <v>10.392304845413264</v>
      </c>
      <c r="QF64" s="13">
        <v>3</v>
      </c>
      <c r="QG64" s="19">
        <f t="shared" si="156"/>
        <v>2.7492869961410753E-2</v>
      </c>
      <c r="QH64" s="19">
        <f t="shared" si="148"/>
        <v>7.6961041136128394E-2</v>
      </c>
      <c r="QI64" s="19">
        <f t="shared" si="149"/>
        <v>5.5141748551272358E-2</v>
      </c>
      <c r="QJ64" s="12" t="s">
        <v>43</v>
      </c>
      <c r="QK64" s="12">
        <v>751</v>
      </c>
      <c r="QL64" s="12">
        <f t="shared" si="213"/>
        <v>575.0408681128672</v>
      </c>
      <c r="QM64" s="13">
        <v>3</v>
      </c>
      <c r="QN64" s="12">
        <v>975</v>
      </c>
      <c r="QO64" s="12">
        <f t="shared" ref="QO64" si="221">301*SQRT(3)</f>
        <v>521.34729307823204</v>
      </c>
      <c r="QP64" s="13">
        <v>3</v>
      </c>
      <c r="QQ64" s="19">
        <f t="shared" si="158"/>
        <v>0.26103181923371244</v>
      </c>
      <c r="QR64" s="19">
        <f t="shared" si="150"/>
        <v>0.29073904946296264</v>
      </c>
      <c r="QU64" s="11" t="s">
        <v>37</v>
      </c>
      <c r="QV64" s="11" t="s">
        <v>37</v>
      </c>
      <c r="QW64" s="13" t="s">
        <v>37</v>
      </c>
      <c r="QX64" s="11" t="s">
        <v>37</v>
      </c>
      <c r="QY64" s="11" t="s">
        <v>37</v>
      </c>
      <c r="QZ64" s="13" t="s">
        <v>37</v>
      </c>
      <c r="RC64" s="12" t="s">
        <v>37</v>
      </c>
      <c r="RD64" s="12" t="s">
        <v>37</v>
      </c>
      <c r="RE64" s="13" t="s">
        <v>37</v>
      </c>
      <c r="RF64" s="12" t="s">
        <v>37</v>
      </c>
      <c r="RG64" s="12" t="s">
        <v>37</v>
      </c>
      <c r="RH64" s="13" t="s">
        <v>37</v>
      </c>
      <c r="RK64" s="11" t="s">
        <v>37</v>
      </c>
      <c r="RL64" s="11" t="s">
        <v>37</v>
      </c>
      <c r="RM64" s="11" t="s">
        <v>37</v>
      </c>
      <c r="RN64" s="11" t="s">
        <v>37</v>
      </c>
      <c r="RO64" s="11" t="s">
        <v>37</v>
      </c>
      <c r="RP64" s="11" t="s">
        <v>37</v>
      </c>
      <c r="RS64" s="11" t="s">
        <v>37</v>
      </c>
      <c r="RT64" s="11" t="s">
        <v>37</v>
      </c>
      <c r="RU64" s="11" t="s">
        <v>37</v>
      </c>
      <c r="RV64" s="11" t="s">
        <v>37</v>
      </c>
      <c r="RW64" s="11" t="s">
        <v>37</v>
      </c>
      <c r="RX64" s="11" t="s">
        <v>37</v>
      </c>
      <c r="SA64" s="11" t="s">
        <v>37</v>
      </c>
      <c r="SB64" s="11" t="s">
        <v>37</v>
      </c>
      <c r="SC64" s="13" t="s">
        <v>37</v>
      </c>
      <c r="SD64" s="11" t="s">
        <v>37</v>
      </c>
      <c r="SE64" s="11" t="s">
        <v>37</v>
      </c>
      <c r="SF64" s="13" t="s">
        <v>37</v>
      </c>
      <c r="SI64" s="12" t="s">
        <v>37</v>
      </c>
      <c r="SJ64" s="11" t="s">
        <v>37</v>
      </c>
      <c r="SK64" s="13" t="s">
        <v>37</v>
      </c>
      <c r="SM64" s="11" t="s">
        <v>37</v>
      </c>
      <c r="SN64" s="11" t="s">
        <v>37</v>
      </c>
      <c r="SO64" s="13" t="s">
        <v>37</v>
      </c>
      <c r="SU64" s="12" t="s">
        <v>37</v>
      </c>
      <c r="SV64" s="12" t="s">
        <v>37</v>
      </c>
      <c r="SW64" s="11" t="s">
        <v>37</v>
      </c>
      <c r="SX64" s="12" t="s">
        <v>37</v>
      </c>
      <c r="SY64" s="12" t="s">
        <v>37</v>
      </c>
      <c r="SZ64" s="11" t="s">
        <v>37</v>
      </c>
      <c r="TE64" s="12" t="s">
        <v>37</v>
      </c>
      <c r="TF64" s="12" t="s">
        <v>37</v>
      </c>
      <c r="TG64" s="11" t="s">
        <v>37</v>
      </c>
      <c r="TH64" s="12" t="s">
        <v>37</v>
      </c>
      <c r="TI64" s="12" t="s">
        <v>37</v>
      </c>
      <c r="TJ64" s="11" t="s">
        <v>37</v>
      </c>
      <c r="TO64" s="12" t="s">
        <v>37</v>
      </c>
      <c r="TP64" s="12" t="s">
        <v>37</v>
      </c>
      <c r="TQ64" s="11" t="s">
        <v>37</v>
      </c>
      <c r="TR64" s="12" t="s">
        <v>37</v>
      </c>
      <c r="TS64" s="12" t="s">
        <v>37</v>
      </c>
      <c r="TT64" s="11" t="s">
        <v>37</v>
      </c>
      <c r="TY64" s="12" t="s">
        <v>37</v>
      </c>
      <c r="TZ64" s="12" t="s">
        <v>37</v>
      </c>
      <c r="UA64" s="11" t="s">
        <v>37</v>
      </c>
      <c r="UB64" s="12" t="s">
        <v>37</v>
      </c>
      <c r="UC64" s="12" t="s">
        <v>37</v>
      </c>
      <c r="UD64" s="11" t="s">
        <v>37</v>
      </c>
      <c r="UI64" s="12" t="s">
        <v>37</v>
      </c>
      <c r="UJ64" s="12" t="s">
        <v>37</v>
      </c>
      <c r="UK64" s="13" t="s">
        <v>37</v>
      </c>
      <c r="UL64" s="12" t="s">
        <v>37</v>
      </c>
      <c r="UM64" s="12" t="s">
        <v>37</v>
      </c>
      <c r="UN64" s="13" t="s">
        <v>37</v>
      </c>
      <c r="UR64" s="12" t="s">
        <v>37</v>
      </c>
      <c r="US64" s="12" t="s">
        <v>37</v>
      </c>
      <c r="UT64" s="13" t="s">
        <v>37</v>
      </c>
      <c r="UU64" s="12" t="s">
        <v>37</v>
      </c>
      <c r="UV64" s="12" t="s">
        <v>37</v>
      </c>
      <c r="UW64" s="13" t="s">
        <v>37</v>
      </c>
      <c r="VB64" s="12" t="s">
        <v>37</v>
      </c>
      <c r="VC64" s="12" t="s">
        <v>37</v>
      </c>
      <c r="VD64" s="13" t="s">
        <v>37</v>
      </c>
      <c r="VE64" s="12" t="s">
        <v>37</v>
      </c>
      <c r="VF64" s="12" t="s">
        <v>37</v>
      </c>
      <c r="VG64" s="13" t="s">
        <v>37</v>
      </c>
      <c r="VI64" s="12" t="s">
        <v>37</v>
      </c>
      <c r="VJ64" s="12" t="s">
        <v>37</v>
      </c>
      <c r="VK64" s="13" t="s">
        <v>37</v>
      </c>
      <c r="VL64" s="12" t="s">
        <v>37</v>
      </c>
      <c r="VM64" s="12" t="s">
        <v>37</v>
      </c>
      <c r="VN64" s="13" t="s">
        <v>37</v>
      </c>
      <c r="VO64" s="12" t="s">
        <v>37</v>
      </c>
      <c r="VQ64" s="12" t="s">
        <v>37</v>
      </c>
      <c r="VR64" s="12" t="s">
        <v>37</v>
      </c>
      <c r="VS64" s="12" t="s">
        <v>37</v>
      </c>
      <c r="VT64" s="12" t="s">
        <v>37</v>
      </c>
      <c r="VU64" s="12" t="s">
        <v>37</v>
      </c>
      <c r="VV64" s="12" t="s">
        <v>37</v>
      </c>
      <c r="VW64" s="12"/>
      <c r="VX64" s="12"/>
      <c r="WA64" s="13" t="s">
        <v>37</v>
      </c>
      <c r="WB64" s="13" t="s">
        <v>37</v>
      </c>
      <c r="WC64" s="13" t="s">
        <v>37</v>
      </c>
      <c r="WD64" s="13" t="s">
        <v>37</v>
      </c>
      <c r="WE64" s="13" t="s">
        <v>37</v>
      </c>
      <c r="WF64" s="13" t="s">
        <v>37</v>
      </c>
    </row>
    <row r="65" spans="1:604" ht="18" customHeight="1" x14ac:dyDescent="0.4">
      <c r="A65" s="11">
        <v>12</v>
      </c>
      <c r="B65" s="12" t="s">
        <v>111</v>
      </c>
      <c r="C65" s="12" t="s">
        <v>26</v>
      </c>
      <c r="D65" s="12" t="s">
        <v>973</v>
      </c>
      <c r="E65" s="81">
        <v>4.5</v>
      </c>
      <c r="F65" s="14">
        <v>0</v>
      </c>
      <c r="G65" s="14">
        <v>0</v>
      </c>
      <c r="H65" s="12" t="s">
        <v>91</v>
      </c>
      <c r="I65" s="29">
        <v>55.35</v>
      </c>
      <c r="J65" s="29">
        <v>-112.517</v>
      </c>
      <c r="K65" s="12" t="s">
        <v>696</v>
      </c>
      <c r="L65" s="12" t="s">
        <v>697</v>
      </c>
      <c r="M65" s="13" t="s">
        <v>37</v>
      </c>
      <c r="N65" s="14">
        <v>2.1</v>
      </c>
      <c r="O65" s="14">
        <v>504</v>
      </c>
      <c r="P65" s="14" t="s">
        <v>84</v>
      </c>
      <c r="Q65" s="75">
        <v>1</v>
      </c>
      <c r="R65" s="11" t="s">
        <v>999</v>
      </c>
      <c r="S65" s="12" t="s">
        <v>93</v>
      </c>
      <c r="T65" s="12" t="s">
        <v>141</v>
      </c>
      <c r="U65" s="12" t="s">
        <v>158</v>
      </c>
      <c r="V65" s="12" t="s">
        <v>275</v>
      </c>
      <c r="W65" s="23" t="s">
        <v>502</v>
      </c>
      <c r="X65" s="12" t="s">
        <v>857</v>
      </c>
      <c r="Y65" s="12" t="s">
        <v>69</v>
      </c>
      <c r="Z65" s="12" t="s">
        <v>37</v>
      </c>
      <c r="AA65" s="32" t="s">
        <v>345</v>
      </c>
      <c r="AB65" s="12">
        <v>4.0999999999999996</v>
      </c>
      <c r="AE65" s="12" t="s">
        <v>37</v>
      </c>
      <c r="AH65" s="12" t="s">
        <v>37</v>
      </c>
      <c r="AK65" s="12" t="s">
        <v>37</v>
      </c>
      <c r="AL65" s="32" t="s">
        <v>496</v>
      </c>
      <c r="AM65" s="12" t="s">
        <v>317</v>
      </c>
      <c r="AN65" s="32" t="s">
        <v>879</v>
      </c>
      <c r="AO65" s="12" t="s">
        <v>318</v>
      </c>
      <c r="AP65" s="12" t="s">
        <v>108</v>
      </c>
      <c r="AQ65" s="12" t="s">
        <v>975</v>
      </c>
      <c r="AT65" s="12" t="s">
        <v>326</v>
      </c>
      <c r="AU65" s="12" t="s">
        <v>326</v>
      </c>
      <c r="AV65" s="13" t="s">
        <v>326</v>
      </c>
      <c r="AX65" s="12" t="s">
        <v>326</v>
      </c>
      <c r="AY65" s="12" t="s">
        <v>326</v>
      </c>
      <c r="AZ65" s="13" t="s">
        <v>326</v>
      </c>
      <c r="BE65" s="12" t="s">
        <v>326</v>
      </c>
      <c r="BF65" s="12" t="s">
        <v>326</v>
      </c>
      <c r="BG65" s="12" t="s">
        <v>326</v>
      </c>
      <c r="BI65" s="12" t="s">
        <v>326</v>
      </c>
      <c r="BJ65" s="12" t="s">
        <v>326</v>
      </c>
      <c r="BK65" s="12" t="s">
        <v>326</v>
      </c>
      <c r="BP65" s="12" t="s">
        <v>37</v>
      </c>
      <c r="BQ65" s="12" t="s">
        <v>37</v>
      </c>
      <c r="BR65" s="13" t="s">
        <v>37</v>
      </c>
      <c r="BT65" s="12" t="s">
        <v>37</v>
      </c>
      <c r="BU65" s="12" t="s">
        <v>37</v>
      </c>
      <c r="BV65" s="12" t="s">
        <v>37</v>
      </c>
      <c r="CA65" s="12" t="s">
        <v>37</v>
      </c>
      <c r="CB65" s="12" t="s">
        <v>37</v>
      </c>
      <c r="CC65" s="13" t="s">
        <v>37</v>
      </c>
      <c r="CE65" s="12" t="s">
        <v>37</v>
      </c>
      <c r="CF65" s="12" t="s">
        <v>37</v>
      </c>
      <c r="CG65" s="13" t="s">
        <v>37</v>
      </c>
      <c r="CI65" s="52"/>
      <c r="CK65" s="73"/>
      <c r="CL65" s="73"/>
      <c r="CN65" s="12" t="s">
        <v>37</v>
      </c>
      <c r="CO65" s="12" t="s">
        <v>37</v>
      </c>
      <c r="CP65" s="13" t="s">
        <v>37</v>
      </c>
      <c r="CR65" s="12" t="s">
        <v>37</v>
      </c>
      <c r="CS65" s="12" t="s">
        <v>37</v>
      </c>
      <c r="CT65" s="13" t="s">
        <v>37</v>
      </c>
      <c r="CV65" s="52"/>
      <c r="CW65" s="52"/>
      <c r="CX65" s="73"/>
      <c r="CY65" s="73"/>
      <c r="DA65" s="12" t="s">
        <v>37</v>
      </c>
      <c r="DB65" s="12" t="s">
        <v>37</v>
      </c>
      <c r="DC65" s="13" t="s">
        <v>37</v>
      </c>
      <c r="DE65" s="12" t="s">
        <v>37</v>
      </c>
      <c r="DF65" s="12" t="s">
        <v>37</v>
      </c>
      <c r="DG65" s="13" t="s">
        <v>37</v>
      </c>
      <c r="DI65" s="52"/>
      <c r="DJ65" s="52"/>
      <c r="DK65" s="73"/>
      <c r="DL65" s="73"/>
      <c r="DM65" s="15" t="s">
        <v>47</v>
      </c>
      <c r="DN65" s="19">
        <f>0.56*DN53+0.44*DN59</f>
        <v>7.7977007953643627</v>
      </c>
      <c r="DO65" s="15">
        <f>SQRT(0.56^2*DO53^2+0.44^2*DO59^2)</f>
        <v>3.3514104017873239</v>
      </c>
      <c r="DP65" s="18">
        <v>3</v>
      </c>
      <c r="DQ65" s="19">
        <f t="shared" si="193"/>
        <v>0.42979469073495308</v>
      </c>
      <c r="DR65" s="19">
        <f>0.55*DR53+0.45*DR59</f>
        <v>3.0401651288720082</v>
      </c>
      <c r="DS65" s="15">
        <f>SQRT(0.55^2*DS53^2+0.45^2*DS59^2)</f>
        <v>2.576926227735012</v>
      </c>
      <c r="DT65" s="18">
        <v>3</v>
      </c>
      <c r="DU65" s="19">
        <f t="shared" si="194"/>
        <v>0.84762705922198656</v>
      </c>
      <c r="DV65" s="19">
        <f t="shared" si="198"/>
        <v>-4.7575356664923545</v>
      </c>
      <c r="DW65" s="12">
        <f t="shared" si="195"/>
        <v>2.9893561568000617</v>
      </c>
      <c r="DX65" s="72">
        <f t="shared" si="196"/>
        <v>5.9575001547989572</v>
      </c>
      <c r="DY65" s="72">
        <f t="shared" si="197"/>
        <v>5.9575001547989563</v>
      </c>
      <c r="DZ65" s="15"/>
      <c r="EA65" s="52" t="s">
        <v>37</v>
      </c>
      <c r="EB65" s="52" t="s">
        <v>37</v>
      </c>
      <c r="EC65" s="73" t="s">
        <v>37</v>
      </c>
      <c r="ED65" s="52"/>
      <c r="EE65" s="52" t="s">
        <v>37</v>
      </c>
      <c r="EF65" s="52" t="s">
        <v>37</v>
      </c>
      <c r="EG65" s="15" t="s">
        <v>37</v>
      </c>
      <c r="EH65" s="52"/>
      <c r="EI65" s="52"/>
      <c r="EJ65" s="52"/>
      <c r="EK65" s="52"/>
      <c r="EL65" s="52"/>
      <c r="EM65" s="12" t="s">
        <v>39</v>
      </c>
      <c r="EN65" s="12">
        <f t="shared" ref="EN65:EN70" si="222">0.56*EN53+0.44*EN59</f>
        <v>-38</v>
      </c>
      <c r="EO65" s="15">
        <f t="shared" ref="EO65:EO70" si="223">SQRT(0.56^2*EO53^2+0.44^2*EO59^2)</f>
        <v>5.412566119688516</v>
      </c>
      <c r="EP65" s="18">
        <v>3</v>
      </c>
      <c r="EQ65" s="19">
        <f t="shared" si="139"/>
        <v>0.14243595051811883</v>
      </c>
      <c r="ER65" s="12">
        <f>0.55*ER53+0.45*ER59</f>
        <v>-73</v>
      </c>
      <c r="ES65" s="15">
        <f>SQRT(0.55^2*ES53^2+0.45^2*ES59^2)</f>
        <v>7.3195252578292278</v>
      </c>
      <c r="ET65" s="18">
        <v>3</v>
      </c>
      <c r="EU65" s="19">
        <f t="shared" si="140"/>
        <v>0.10026746928533188</v>
      </c>
      <c r="EV65" s="19">
        <f t="shared" si="141"/>
        <v>-35</v>
      </c>
      <c r="EW65" s="12">
        <f t="shared" si="142"/>
        <v>6.437053751523286</v>
      </c>
      <c r="EX65" s="19">
        <f t="shared" si="143"/>
        <v>27.623774000000004</v>
      </c>
      <c r="EY65" s="19">
        <f t="shared" si="144"/>
        <v>27.623774000000012</v>
      </c>
      <c r="FB65" s="11" t="s">
        <v>37</v>
      </c>
      <c r="FC65" s="11" t="s">
        <v>37</v>
      </c>
      <c r="FD65" s="11" t="s">
        <v>37</v>
      </c>
      <c r="FE65" s="12" t="s">
        <v>37</v>
      </c>
      <c r="FF65" s="20" t="s">
        <v>37</v>
      </c>
      <c r="FG65" s="11" t="s">
        <v>37</v>
      </c>
      <c r="FI65" s="11" t="s">
        <v>37</v>
      </c>
      <c r="FJ65" s="11" t="s">
        <v>37</v>
      </c>
      <c r="FK65" s="11" t="s">
        <v>37</v>
      </c>
      <c r="FL65" s="13" t="s">
        <v>37</v>
      </c>
      <c r="FM65" s="11" t="s">
        <v>37</v>
      </c>
      <c r="FN65" s="11" t="s">
        <v>37</v>
      </c>
      <c r="FP65" s="11" t="s">
        <v>37</v>
      </c>
      <c r="FQ65" s="11" t="s">
        <v>37</v>
      </c>
      <c r="FR65" s="11" t="s">
        <v>37</v>
      </c>
      <c r="FS65" s="13" t="s">
        <v>37</v>
      </c>
      <c r="FT65" s="11" t="s">
        <v>37</v>
      </c>
      <c r="FU65" s="11" t="s">
        <v>37</v>
      </c>
      <c r="FW65" s="11" t="s">
        <v>37</v>
      </c>
      <c r="FX65" s="11" t="s">
        <v>37</v>
      </c>
      <c r="FY65" s="11" t="s">
        <v>37</v>
      </c>
      <c r="FZ65" s="13" t="s">
        <v>37</v>
      </c>
      <c r="GA65" s="11" t="s">
        <v>37</v>
      </c>
      <c r="GB65" s="11" t="s">
        <v>37</v>
      </c>
      <c r="GO65" s="12" t="s">
        <v>660</v>
      </c>
      <c r="GP65" s="12" t="s">
        <v>330</v>
      </c>
      <c r="GQ65" s="12">
        <f t="shared" ref="GQ65:GQ70" si="224">0.56*GQ53+0.44*GQ59</f>
        <v>12.3</v>
      </c>
      <c r="GR65" s="15">
        <f t="shared" ref="GR65:GR70" si="225">SQRT(0.56^2*GR53^2+0.44^2*GR59^2)</f>
        <v>0.11202160505902424</v>
      </c>
      <c r="GS65" s="18">
        <v>3</v>
      </c>
      <c r="GT65" s="19">
        <f t="shared" si="145"/>
        <v>9.1074475657743278E-3</v>
      </c>
      <c r="GU65" s="12">
        <f>0.55*GU53+0.45*GU59</f>
        <v>13.1</v>
      </c>
      <c r="GV65" s="15">
        <f>SQRT(0.55^2*GV53^2+0.45^2*GV59^2)</f>
        <v>7.1063352017759485E-2</v>
      </c>
      <c r="GW65" s="18">
        <v>3</v>
      </c>
      <c r="GX65" s="19">
        <f t="shared" si="211"/>
        <v>5.4246833601343117E-3</v>
      </c>
      <c r="GY65" s="19">
        <f t="shared" si="203"/>
        <v>6.301296782873396E-2</v>
      </c>
      <c r="GZ65" s="19">
        <f t="shared" si="204"/>
        <v>3.7457596907015607E-5</v>
      </c>
      <c r="IK65" s="12" t="s">
        <v>37</v>
      </c>
      <c r="IL65" s="12" t="s">
        <v>37</v>
      </c>
      <c r="IM65" s="13" t="s">
        <v>37</v>
      </c>
      <c r="IO65" s="12" t="s">
        <v>37</v>
      </c>
      <c r="IP65" s="12" t="s">
        <v>37</v>
      </c>
      <c r="IQ65" s="13" t="s">
        <v>37</v>
      </c>
      <c r="IV65" s="32" t="s">
        <v>345</v>
      </c>
      <c r="IW65" s="12">
        <v>4.0999999999999996</v>
      </c>
      <c r="IX65" s="12">
        <v>0.1</v>
      </c>
      <c r="IY65" s="13">
        <v>3</v>
      </c>
      <c r="IZ65" s="19">
        <f t="shared" si="147"/>
        <v>2.4390243902439029E-2</v>
      </c>
      <c r="JH65" s="12" t="s">
        <v>37</v>
      </c>
      <c r="JI65" s="12" t="s">
        <v>37</v>
      </c>
      <c r="JJ65" s="13" t="s">
        <v>37</v>
      </c>
      <c r="JL65" s="12" t="s">
        <v>37</v>
      </c>
      <c r="JM65" s="12" t="s">
        <v>37</v>
      </c>
      <c r="JN65" s="12" t="s">
        <v>37</v>
      </c>
      <c r="JS65" s="12" t="s">
        <v>37</v>
      </c>
      <c r="JT65" s="12" t="s">
        <v>37</v>
      </c>
      <c r="JU65" s="13" t="s">
        <v>37</v>
      </c>
      <c r="JW65" s="12" t="s">
        <v>37</v>
      </c>
      <c r="JX65" s="12" t="s">
        <v>37</v>
      </c>
      <c r="JY65" s="12" t="s">
        <v>37</v>
      </c>
      <c r="KE65" s="11" t="s">
        <v>37</v>
      </c>
      <c r="KF65" s="11" t="s">
        <v>37</v>
      </c>
      <c r="KG65" s="13" t="s">
        <v>37</v>
      </c>
      <c r="KH65" s="11" t="s">
        <v>37</v>
      </c>
      <c r="KI65" s="11" t="s">
        <v>37</v>
      </c>
      <c r="KJ65" s="11" t="s">
        <v>37</v>
      </c>
      <c r="KM65" s="12" t="s">
        <v>37</v>
      </c>
      <c r="KN65" s="12" t="s">
        <v>37</v>
      </c>
      <c r="KO65" s="11" t="s">
        <v>37</v>
      </c>
      <c r="KQ65" s="12" t="s">
        <v>37</v>
      </c>
      <c r="KR65" s="12" t="s">
        <v>37</v>
      </c>
      <c r="KS65" s="13" t="s">
        <v>37</v>
      </c>
      <c r="KX65" s="12" t="s">
        <v>37</v>
      </c>
      <c r="KY65" s="12" t="s">
        <v>37</v>
      </c>
      <c r="KZ65" s="13" t="s">
        <v>37</v>
      </c>
      <c r="LB65" s="12" t="s">
        <v>37</v>
      </c>
      <c r="LC65" s="12" t="s">
        <v>37</v>
      </c>
      <c r="LD65" s="13" t="s">
        <v>37</v>
      </c>
      <c r="LI65" s="12" t="s">
        <v>37</v>
      </c>
      <c r="LJ65" s="12" t="s">
        <v>37</v>
      </c>
      <c r="LK65" s="12" t="s">
        <v>37</v>
      </c>
      <c r="LM65" s="12" t="s">
        <v>37</v>
      </c>
      <c r="LN65" s="12" t="s">
        <v>37</v>
      </c>
      <c r="LO65" s="12" t="s">
        <v>37</v>
      </c>
      <c r="LU65" s="12" t="s">
        <v>37</v>
      </c>
      <c r="LV65" s="12" t="s">
        <v>37</v>
      </c>
      <c r="LW65" s="13" t="s">
        <v>37</v>
      </c>
      <c r="LY65" s="12" t="s">
        <v>37</v>
      </c>
      <c r="LZ65" s="12" t="s">
        <v>37</v>
      </c>
      <c r="MA65" s="12" t="s">
        <v>37</v>
      </c>
      <c r="MF65" s="12" t="s">
        <v>37</v>
      </c>
      <c r="MG65" s="12" t="s">
        <v>37</v>
      </c>
      <c r="MH65" s="12" t="s">
        <v>37</v>
      </c>
      <c r="MJ65" s="12" t="s">
        <v>37</v>
      </c>
      <c r="MK65" s="12" t="s">
        <v>37</v>
      </c>
      <c r="ML65" s="12" t="s">
        <v>37</v>
      </c>
      <c r="MQ65" s="12" t="s">
        <v>37</v>
      </c>
      <c r="MR65" s="12" t="s">
        <v>37</v>
      </c>
      <c r="MS65" s="12" t="s">
        <v>37</v>
      </c>
      <c r="MU65" s="12" t="s">
        <v>37</v>
      </c>
      <c r="MV65" s="12" t="s">
        <v>37</v>
      </c>
      <c r="MW65" s="12" t="s">
        <v>37</v>
      </c>
      <c r="NC65" s="12" t="s">
        <v>37</v>
      </c>
      <c r="ND65" s="12" t="s">
        <v>37</v>
      </c>
      <c r="NE65" s="13" t="s">
        <v>37</v>
      </c>
      <c r="NG65" s="12" t="s">
        <v>37</v>
      </c>
      <c r="NH65" s="12" t="s">
        <v>37</v>
      </c>
      <c r="NI65" s="13" t="s">
        <v>37</v>
      </c>
      <c r="NO65" s="12" t="s">
        <v>37</v>
      </c>
      <c r="NP65" s="12" t="s">
        <v>37</v>
      </c>
      <c r="NQ65" s="13" t="s">
        <v>37</v>
      </c>
      <c r="NS65" s="12" t="s">
        <v>37</v>
      </c>
      <c r="NT65" s="12" t="s">
        <v>37</v>
      </c>
      <c r="NU65" s="13" t="s">
        <v>37</v>
      </c>
      <c r="OA65" s="11" t="s">
        <v>37</v>
      </c>
      <c r="OB65" s="11" t="s">
        <v>37</v>
      </c>
      <c r="OC65" s="13" t="s">
        <v>37</v>
      </c>
      <c r="OE65" s="11" t="s">
        <v>37</v>
      </c>
      <c r="OF65" s="11" t="s">
        <v>37</v>
      </c>
      <c r="OG65" s="13" t="s">
        <v>37</v>
      </c>
      <c r="OM65" s="11" t="s">
        <v>37</v>
      </c>
      <c r="ON65" s="11" t="s">
        <v>37</v>
      </c>
      <c r="OO65" s="11" t="s">
        <v>37</v>
      </c>
      <c r="OP65" s="11" t="s">
        <v>37</v>
      </c>
      <c r="OQ65" s="11" t="s">
        <v>37</v>
      </c>
      <c r="OR65" s="11" t="s">
        <v>37</v>
      </c>
      <c r="OW65" s="11" t="s">
        <v>37</v>
      </c>
      <c r="OX65" s="11" t="s">
        <v>37</v>
      </c>
      <c r="OY65" s="13" t="s">
        <v>37</v>
      </c>
      <c r="OZ65" s="11" t="s">
        <v>37</v>
      </c>
      <c r="PA65" s="11" t="s">
        <v>37</v>
      </c>
      <c r="PB65" s="13" t="s">
        <v>37</v>
      </c>
      <c r="PG65" s="11" t="s">
        <v>37</v>
      </c>
      <c r="PH65" s="11" t="s">
        <v>37</v>
      </c>
      <c r="PI65" s="13" t="s">
        <v>37</v>
      </c>
      <c r="PJ65" s="11" t="s">
        <v>37</v>
      </c>
      <c r="PK65" s="11" t="s">
        <v>37</v>
      </c>
      <c r="PL65" s="13" t="s">
        <v>37</v>
      </c>
      <c r="PQ65" s="11" t="s">
        <v>37</v>
      </c>
      <c r="PR65" s="11" t="s">
        <v>37</v>
      </c>
      <c r="PS65" s="13" t="s">
        <v>37</v>
      </c>
      <c r="PT65" s="11" t="s">
        <v>37</v>
      </c>
      <c r="PU65" s="11" t="s">
        <v>37</v>
      </c>
      <c r="PV65" s="13" t="s">
        <v>37</v>
      </c>
      <c r="PY65" s="12" t="s">
        <v>43</v>
      </c>
      <c r="PZ65" s="12">
        <f>399*0.56+350*0.44</f>
        <v>377.44000000000005</v>
      </c>
      <c r="QA65" s="12">
        <f>SQRT(0.56^2*((24*SQRT(3))^2)+0.44^2*((82*SQRT(3))^2))/2</f>
        <v>33.343665065496324</v>
      </c>
      <c r="QB65" s="11">
        <v>3</v>
      </c>
      <c r="QC65" s="19">
        <f t="shared" si="155"/>
        <v>8.834163063134888E-2</v>
      </c>
      <c r="QD65" s="12">
        <f>251*0.55+327*0.45</f>
        <v>285.20000000000005</v>
      </c>
      <c r="QE65" s="12">
        <f>SQRT(0.55^2*((78*SQRT(3))^2)+0.45^2*((51*SQRT(3))^2))/2</f>
        <v>42.134716980181558</v>
      </c>
      <c r="QF65" s="13">
        <v>3</v>
      </c>
      <c r="QG65" s="19">
        <f t="shared" si="156"/>
        <v>0.14773743681690585</v>
      </c>
      <c r="QH65" s="19">
        <f t="shared" si="148"/>
        <v>-0.28022092711922397</v>
      </c>
      <c r="QI65" s="19">
        <f t="shared" si="149"/>
        <v>9.8768646466116435E-3</v>
      </c>
      <c r="QJ65" s="12" t="s">
        <v>43</v>
      </c>
      <c r="QK65" s="12">
        <f>568*0.56+751*0.44</f>
        <v>648.52</v>
      </c>
      <c r="QL65" s="12">
        <f>SQRT(0.56^2*((48*SQRT(3))^2)+0.44^2*((332*SQRT(3))^2))/2</f>
        <v>128.63291025239224</v>
      </c>
      <c r="QM65" s="13">
        <v>3</v>
      </c>
      <c r="QN65" s="12">
        <f>441*0.55+715*0.45</f>
        <v>564.29999999999995</v>
      </c>
      <c r="QO65" s="12">
        <f>SQRT(0.55^2*((78*SQRT(3))^2)+0.45^2*((51*SQRT(3))^2))/2</f>
        <v>42.134716980181558</v>
      </c>
      <c r="QP65" s="13">
        <v>3</v>
      </c>
      <c r="QQ65" s="19">
        <f t="shared" si="158"/>
        <v>-0.13910681870677402</v>
      </c>
      <c r="QR65" s="19">
        <f t="shared" si="150"/>
        <v>1.4972428792460963E-2</v>
      </c>
      <c r="QU65" s="11" t="s">
        <v>37</v>
      </c>
      <c r="QV65" s="11" t="s">
        <v>37</v>
      </c>
      <c r="QW65" s="13" t="s">
        <v>37</v>
      </c>
      <c r="QX65" s="11" t="s">
        <v>37</v>
      </c>
      <c r="QY65" s="11" t="s">
        <v>37</v>
      </c>
      <c r="QZ65" s="13" t="s">
        <v>37</v>
      </c>
      <c r="RC65" s="12" t="s">
        <v>37</v>
      </c>
      <c r="RD65" s="12" t="s">
        <v>37</v>
      </c>
      <c r="RE65" s="13" t="s">
        <v>37</v>
      </c>
      <c r="RF65" s="12" t="s">
        <v>37</v>
      </c>
      <c r="RG65" s="12" t="s">
        <v>37</v>
      </c>
      <c r="RH65" s="13" t="s">
        <v>37</v>
      </c>
      <c r="RK65" s="11" t="s">
        <v>37</v>
      </c>
      <c r="RL65" s="11" t="s">
        <v>37</v>
      </c>
      <c r="RM65" s="11" t="s">
        <v>37</v>
      </c>
      <c r="RN65" s="11" t="s">
        <v>37</v>
      </c>
      <c r="RO65" s="11" t="s">
        <v>37</v>
      </c>
      <c r="RP65" s="11" t="s">
        <v>37</v>
      </c>
      <c r="RS65" s="11" t="s">
        <v>37</v>
      </c>
      <c r="RT65" s="11" t="s">
        <v>37</v>
      </c>
      <c r="RU65" s="11" t="s">
        <v>37</v>
      </c>
      <c r="RV65" s="11" t="s">
        <v>37</v>
      </c>
      <c r="RW65" s="11" t="s">
        <v>37</v>
      </c>
      <c r="RX65" s="11" t="s">
        <v>37</v>
      </c>
      <c r="SA65" s="11" t="s">
        <v>37</v>
      </c>
      <c r="SB65" s="11" t="s">
        <v>37</v>
      </c>
      <c r="SC65" s="13" t="s">
        <v>37</v>
      </c>
      <c r="SD65" s="11" t="s">
        <v>37</v>
      </c>
      <c r="SE65" s="11" t="s">
        <v>37</v>
      </c>
      <c r="SF65" s="13" t="s">
        <v>37</v>
      </c>
      <c r="SI65" s="12" t="s">
        <v>37</v>
      </c>
      <c r="SJ65" s="11" t="s">
        <v>37</v>
      </c>
      <c r="SK65" s="13" t="s">
        <v>37</v>
      </c>
      <c r="SM65" s="11" t="s">
        <v>37</v>
      </c>
      <c r="SN65" s="11" t="s">
        <v>37</v>
      </c>
      <c r="SO65" s="13" t="s">
        <v>37</v>
      </c>
      <c r="SU65" s="12" t="s">
        <v>37</v>
      </c>
      <c r="SV65" s="12" t="s">
        <v>37</v>
      </c>
      <c r="SW65" s="11" t="s">
        <v>37</v>
      </c>
      <c r="SX65" s="12" t="s">
        <v>37</v>
      </c>
      <c r="SY65" s="12" t="s">
        <v>37</v>
      </c>
      <c r="SZ65" s="11" t="s">
        <v>37</v>
      </c>
      <c r="TE65" s="12" t="s">
        <v>37</v>
      </c>
      <c r="TF65" s="12" t="s">
        <v>37</v>
      </c>
      <c r="TG65" s="11" t="s">
        <v>37</v>
      </c>
      <c r="TH65" s="12" t="s">
        <v>37</v>
      </c>
      <c r="TI65" s="12" t="s">
        <v>37</v>
      </c>
      <c r="TJ65" s="11" t="s">
        <v>37</v>
      </c>
      <c r="TO65" s="12" t="s">
        <v>37</v>
      </c>
      <c r="TP65" s="12" t="s">
        <v>37</v>
      </c>
      <c r="TQ65" s="11" t="s">
        <v>37</v>
      </c>
      <c r="TR65" s="12" t="s">
        <v>37</v>
      </c>
      <c r="TS65" s="12" t="s">
        <v>37</v>
      </c>
      <c r="TT65" s="11" t="s">
        <v>37</v>
      </c>
      <c r="TY65" s="12" t="s">
        <v>37</v>
      </c>
      <c r="TZ65" s="12" t="s">
        <v>37</v>
      </c>
      <c r="UA65" s="11" t="s">
        <v>37</v>
      </c>
      <c r="UB65" s="12" t="s">
        <v>37</v>
      </c>
      <c r="UC65" s="12" t="s">
        <v>37</v>
      </c>
      <c r="UD65" s="11" t="s">
        <v>37</v>
      </c>
      <c r="UI65" s="12" t="s">
        <v>37</v>
      </c>
      <c r="UJ65" s="12" t="s">
        <v>37</v>
      </c>
      <c r="UK65" s="13" t="s">
        <v>37</v>
      </c>
      <c r="UL65" s="12" t="s">
        <v>37</v>
      </c>
      <c r="UM65" s="12" t="s">
        <v>37</v>
      </c>
      <c r="UN65" s="13" t="s">
        <v>37</v>
      </c>
      <c r="UR65" s="12" t="s">
        <v>37</v>
      </c>
      <c r="US65" s="12" t="s">
        <v>37</v>
      </c>
      <c r="UT65" s="13" t="s">
        <v>37</v>
      </c>
      <c r="UU65" s="12" t="s">
        <v>37</v>
      </c>
      <c r="UV65" s="12" t="s">
        <v>37</v>
      </c>
      <c r="UW65" s="13" t="s">
        <v>37</v>
      </c>
      <c r="VB65" s="12" t="s">
        <v>37</v>
      </c>
      <c r="VC65" s="12" t="s">
        <v>37</v>
      </c>
      <c r="VD65" s="13" t="s">
        <v>37</v>
      </c>
      <c r="VE65" s="12" t="s">
        <v>37</v>
      </c>
      <c r="VF65" s="12" t="s">
        <v>37</v>
      </c>
      <c r="VG65" s="13" t="s">
        <v>37</v>
      </c>
      <c r="VI65" s="12" t="s">
        <v>37</v>
      </c>
      <c r="VJ65" s="12" t="s">
        <v>37</v>
      </c>
      <c r="VK65" s="13" t="s">
        <v>37</v>
      </c>
      <c r="VL65" s="12" t="s">
        <v>37</v>
      </c>
      <c r="VM65" s="12" t="s">
        <v>37</v>
      </c>
      <c r="VN65" s="13" t="s">
        <v>37</v>
      </c>
      <c r="VO65" s="12" t="s">
        <v>37</v>
      </c>
      <c r="VQ65" s="12" t="s">
        <v>37</v>
      </c>
      <c r="VR65" s="12" t="s">
        <v>37</v>
      </c>
      <c r="VS65" s="12" t="s">
        <v>37</v>
      </c>
      <c r="VT65" s="12" t="s">
        <v>37</v>
      </c>
      <c r="VU65" s="12" t="s">
        <v>37</v>
      </c>
      <c r="VV65" s="12" t="s">
        <v>37</v>
      </c>
      <c r="VW65" s="12"/>
      <c r="VX65" s="12"/>
      <c r="WA65" s="13" t="s">
        <v>37</v>
      </c>
      <c r="WB65" s="13" t="s">
        <v>37</v>
      </c>
      <c r="WC65" s="13" t="s">
        <v>37</v>
      </c>
      <c r="WD65" s="13" t="s">
        <v>37</v>
      </c>
      <c r="WE65" s="13" t="s">
        <v>37</v>
      </c>
      <c r="WF65" s="13" t="s">
        <v>37</v>
      </c>
    </row>
    <row r="66" spans="1:604" ht="18" customHeight="1" x14ac:dyDescent="0.4">
      <c r="A66" s="11">
        <v>12</v>
      </c>
      <c r="B66" s="12" t="s">
        <v>111</v>
      </c>
      <c r="C66" s="12" t="s">
        <v>26</v>
      </c>
      <c r="D66" s="12" t="s">
        <v>973</v>
      </c>
      <c r="E66" s="81">
        <v>4.5</v>
      </c>
      <c r="F66" s="14">
        <v>0</v>
      </c>
      <c r="G66" s="14">
        <v>0</v>
      </c>
      <c r="H66" s="12" t="s">
        <v>91</v>
      </c>
      <c r="I66" s="29">
        <v>55.35</v>
      </c>
      <c r="J66" s="29">
        <v>-112.517</v>
      </c>
      <c r="K66" s="12" t="s">
        <v>696</v>
      </c>
      <c r="L66" s="12" t="s">
        <v>697</v>
      </c>
      <c r="M66" s="13" t="s">
        <v>37</v>
      </c>
      <c r="N66" s="14">
        <v>2.1</v>
      </c>
      <c r="O66" s="14">
        <v>504</v>
      </c>
      <c r="P66" s="14" t="s">
        <v>84</v>
      </c>
      <c r="Q66" s="75">
        <v>11</v>
      </c>
      <c r="R66" s="11" t="s">
        <v>999</v>
      </c>
      <c r="S66" s="12" t="s">
        <v>93</v>
      </c>
      <c r="T66" s="12" t="s">
        <v>141</v>
      </c>
      <c r="U66" s="12" t="s">
        <v>158</v>
      </c>
      <c r="V66" s="12" t="s">
        <v>275</v>
      </c>
      <c r="W66" s="23" t="s">
        <v>502</v>
      </c>
      <c r="X66" s="12" t="s">
        <v>857</v>
      </c>
      <c r="Y66" s="12" t="s">
        <v>69</v>
      </c>
      <c r="Z66" s="12" t="s">
        <v>37</v>
      </c>
      <c r="AA66" s="32" t="s">
        <v>345</v>
      </c>
      <c r="AB66" s="12">
        <v>4.0999999999999996</v>
      </c>
      <c r="AE66" s="12" t="s">
        <v>37</v>
      </c>
      <c r="AH66" s="12" t="s">
        <v>37</v>
      </c>
      <c r="AK66" s="12" t="s">
        <v>37</v>
      </c>
      <c r="AL66" s="32" t="s">
        <v>496</v>
      </c>
      <c r="AM66" s="12" t="s">
        <v>317</v>
      </c>
      <c r="AN66" s="32" t="s">
        <v>879</v>
      </c>
      <c r="AO66" s="12" t="s">
        <v>318</v>
      </c>
      <c r="AP66" s="12" t="s">
        <v>108</v>
      </c>
      <c r="AQ66" s="12" t="s">
        <v>975</v>
      </c>
      <c r="AT66" s="12" t="s">
        <v>326</v>
      </c>
      <c r="AU66" s="12" t="s">
        <v>326</v>
      </c>
      <c r="AV66" s="13" t="s">
        <v>326</v>
      </c>
      <c r="AX66" s="12" t="s">
        <v>326</v>
      </c>
      <c r="AY66" s="12" t="s">
        <v>326</v>
      </c>
      <c r="AZ66" s="13" t="s">
        <v>326</v>
      </c>
      <c r="BE66" s="12" t="s">
        <v>326</v>
      </c>
      <c r="BF66" s="12" t="s">
        <v>326</v>
      </c>
      <c r="BG66" s="12" t="s">
        <v>326</v>
      </c>
      <c r="BI66" s="12" t="s">
        <v>326</v>
      </c>
      <c r="BJ66" s="12" t="s">
        <v>326</v>
      </c>
      <c r="BK66" s="12" t="s">
        <v>326</v>
      </c>
      <c r="BP66" s="12" t="s">
        <v>37</v>
      </c>
      <c r="BQ66" s="12" t="s">
        <v>37</v>
      </c>
      <c r="BR66" s="13" t="s">
        <v>37</v>
      </c>
      <c r="BT66" s="12" t="s">
        <v>37</v>
      </c>
      <c r="BU66" s="12" t="s">
        <v>37</v>
      </c>
      <c r="BV66" s="12" t="s">
        <v>37</v>
      </c>
      <c r="CA66" s="12" t="s">
        <v>37</v>
      </c>
      <c r="CB66" s="12" t="s">
        <v>37</v>
      </c>
      <c r="CC66" s="13" t="s">
        <v>37</v>
      </c>
      <c r="CE66" s="12" t="s">
        <v>37</v>
      </c>
      <c r="CF66" s="12" t="s">
        <v>37</v>
      </c>
      <c r="CG66" s="13" t="s">
        <v>37</v>
      </c>
      <c r="CI66" s="52"/>
      <c r="CK66" s="73"/>
      <c r="CL66" s="73"/>
      <c r="CN66" s="12" t="s">
        <v>37</v>
      </c>
      <c r="CO66" s="12" t="s">
        <v>37</v>
      </c>
      <c r="CP66" s="13" t="s">
        <v>37</v>
      </c>
      <c r="CR66" s="12" t="s">
        <v>37</v>
      </c>
      <c r="CS66" s="12" t="s">
        <v>37</v>
      </c>
      <c r="CT66" s="13" t="s">
        <v>37</v>
      </c>
      <c r="CV66" s="52"/>
      <c r="CW66" s="52"/>
      <c r="CX66" s="73"/>
      <c r="CY66" s="73"/>
      <c r="DA66" s="12" t="s">
        <v>37</v>
      </c>
      <c r="DB66" s="12" t="s">
        <v>37</v>
      </c>
      <c r="DC66" s="13" t="s">
        <v>37</v>
      </c>
      <c r="DE66" s="12" t="s">
        <v>37</v>
      </c>
      <c r="DF66" s="12" t="s">
        <v>37</v>
      </c>
      <c r="DG66" s="13" t="s">
        <v>37</v>
      </c>
      <c r="DI66" s="52"/>
      <c r="DJ66" s="52"/>
      <c r="DK66" s="73"/>
      <c r="DL66" s="73"/>
      <c r="DM66" s="15" t="s">
        <v>47</v>
      </c>
      <c r="DN66" s="19">
        <f t="shared" ref="DN66:DN69" si="226">0.56*DN54+0.44*DN60</f>
        <v>7.7977007953643627</v>
      </c>
      <c r="DO66" s="15">
        <f t="shared" ref="DO66:DO69" si="227">SQRT(0.56^2*DO54^2+0.44^2*DO60^2)</f>
        <v>3.3514104017873239</v>
      </c>
      <c r="DP66" s="18">
        <v>3</v>
      </c>
      <c r="DQ66" s="19">
        <f t="shared" si="193"/>
        <v>0.42979469073495308</v>
      </c>
      <c r="DR66" s="19">
        <f>0.52*DR54+0.48*DR60</f>
        <v>1.9887131963175433</v>
      </c>
      <c r="DS66" s="15">
        <f>SQRT(0.52^2*DS54^2+0.48^2*DS60^2)</f>
        <v>2.7881365985407487</v>
      </c>
      <c r="DT66" s="18">
        <v>3</v>
      </c>
      <c r="DU66" s="19">
        <f t="shared" si="194"/>
        <v>1.4019802371219139</v>
      </c>
      <c r="DV66" s="19">
        <f t="shared" si="198"/>
        <v>-5.8089875990468194</v>
      </c>
      <c r="DW66" s="12">
        <f t="shared" si="195"/>
        <v>3.0826658409022087</v>
      </c>
      <c r="DX66" s="72">
        <f t="shared" si="196"/>
        <v>6.3352191244435483</v>
      </c>
      <c r="DY66" s="72">
        <f t="shared" si="197"/>
        <v>6.3352191244435492</v>
      </c>
      <c r="DZ66" s="15"/>
      <c r="EA66" s="52" t="s">
        <v>37</v>
      </c>
      <c r="EB66" s="52" t="s">
        <v>37</v>
      </c>
      <c r="EC66" s="73" t="s">
        <v>37</v>
      </c>
      <c r="ED66" s="52"/>
      <c r="EE66" s="52" t="s">
        <v>37</v>
      </c>
      <c r="EF66" s="52" t="s">
        <v>37</v>
      </c>
      <c r="EG66" s="15" t="s">
        <v>37</v>
      </c>
      <c r="EH66" s="52"/>
      <c r="EI66" s="52"/>
      <c r="EJ66" s="52"/>
      <c r="EK66" s="52"/>
      <c r="EL66" s="52"/>
      <c r="EM66" s="12" t="s">
        <v>39</v>
      </c>
      <c r="EN66" s="12">
        <f t="shared" si="222"/>
        <v>-38</v>
      </c>
      <c r="EO66" s="15">
        <f t="shared" si="223"/>
        <v>5.412566119688516</v>
      </c>
      <c r="EP66" s="18">
        <v>3</v>
      </c>
      <c r="EQ66" s="19">
        <f t="shared" si="139"/>
        <v>0.14243595051811883</v>
      </c>
      <c r="ER66" s="12">
        <f>0.52*ER54+0.48*ER60</f>
        <v>-112</v>
      </c>
      <c r="ES66" s="15">
        <f>SQRT(0.52^2*ES54^2+0.48^2*ES60^2)</f>
        <v>10.756618055876112</v>
      </c>
      <c r="ET66" s="18">
        <v>3</v>
      </c>
      <c r="EU66" s="19">
        <f t="shared" si="140"/>
        <v>9.6041232641751004E-2</v>
      </c>
      <c r="EV66" s="19">
        <f t="shared" si="141"/>
        <v>-74</v>
      </c>
      <c r="EW66" s="12">
        <f t="shared" si="142"/>
        <v>8.5147138530898374</v>
      </c>
      <c r="EX66" s="19">
        <f t="shared" si="143"/>
        <v>48.333567999999993</v>
      </c>
      <c r="EY66" s="19">
        <f t="shared" si="144"/>
        <v>48.333568</v>
      </c>
      <c r="FB66" s="11" t="s">
        <v>37</v>
      </c>
      <c r="FC66" s="11" t="s">
        <v>37</v>
      </c>
      <c r="FD66" s="11" t="s">
        <v>37</v>
      </c>
      <c r="FE66" s="12" t="s">
        <v>37</v>
      </c>
      <c r="FF66" s="20" t="s">
        <v>37</v>
      </c>
      <c r="FG66" s="11" t="s">
        <v>37</v>
      </c>
      <c r="FI66" s="11" t="s">
        <v>37</v>
      </c>
      <c r="FJ66" s="11" t="s">
        <v>37</v>
      </c>
      <c r="FK66" s="11" t="s">
        <v>37</v>
      </c>
      <c r="FL66" s="13" t="s">
        <v>37</v>
      </c>
      <c r="FM66" s="11" t="s">
        <v>37</v>
      </c>
      <c r="FN66" s="11" t="s">
        <v>37</v>
      </c>
      <c r="FP66" s="11" t="s">
        <v>37</v>
      </c>
      <c r="FQ66" s="11" t="s">
        <v>37</v>
      </c>
      <c r="FR66" s="11" t="s">
        <v>37</v>
      </c>
      <c r="FS66" s="13" t="s">
        <v>37</v>
      </c>
      <c r="FT66" s="11" t="s">
        <v>37</v>
      </c>
      <c r="FU66" s="11" t="s">
        <v>37</v>
      </c>
      <c r="FW66" s="11" t="s">
        <v>37</v>
      </c>
      <c r="FX66" s="11" t="s">
        <v>37</v>
      </c>
      <c r="FY66" s="11" t="s">
        <v>37</v>
      </c>
      <c r="FZ66" s="13" t="s">
        <v>37</v>
      </c>
      <c r="GA66" s="11" t="s">
        <v>37</v>
      </c>
      <c r="GB66" s="11" t="s">
        <v>37</v>
      </c>
      <c r="GO66" s="12" t="s">
        <v>660</v>
      </c>
      <c r="GP66" s="12" t="s">
        <v>330</v>
      </c>
      <c r="GQ66" s="12">
        <f t="shared" si="224"/>
        <v>12.3</v>
      </c>
      <c r="GR66" s="15">
        <f t="shared" si="225"/>
        <v>0.11202160505902424</v>
      </c>
      <c r="GS66" s="18">
        <v>3</v>
      </c>
      <c r="GT66" s="19">
        <f t="shared" si="145"/>
        <v>9.1074475657743278E-3</v>
      </c>
      <c r="GU66" s="12">
        <f>0.52*GU54+0.48*GU60</f>
        <v>13.411999999999999</v>
      </c>
      <c r="GV66" s="15">
        <f>SQRT(0.52^2*GV54^2+0.48^2*GV60^2)</f>
        <v>7.0767224051816541E-2</v>
      </c>
      <c r="GW66" s="18">
        <v>3</v>
      </c>
      <c r="GX66" s="19">
        <f t="shared" si="211"/>
        <v>5.2764109791094953E-3</v>
      </c>
      <c r="GY66" s="19">
        <f t="shared" si="203"/>
        <v>8.6550566225610234E-2</v>
      </c>
      <c r="GZ66" s="19">
        <f t="shared" si="204"/>
        <v>3.6928704661265315E-5</v>
      </c>
      <c r="HA66" s="12"/>
      <c r="HB66" s="32"/>
      <c r="HM66" s="32"/>
      <c r="IK66" s="12" t="s">
        <v>37</v>
      </c>
      <c r="IL66" s="12" t="s">
        <v>37</v>
      </c>
      <c r="IM66" s="13" t="s">
        <v>37</v>
      </c>
      <c r="IO66" s="12" t="s">
        <v>37</v>
      </c>
      <c r="IP66" s="12" t="s">
        <v>37</v>
      </c>
      <c r="IQ66" s="13" t="s">
        <v>37</v>
      </c>
      <c r="IV66" s="32" t="s">
        <v>345</v>
      </c>
      <c r="IW66" s="12">
        <v>4.0999999999999996</v>
      </c>
      <c r="IX66" s="12">
        <v>0.1</v>
      </c>
      <c r="IY66" s="13">
        <v>3</v>
      </c>
      <c r="IZ66" s="19">
        <f t="shared" si="147"/>
        <v>2.4390243902439029E-2</v>
      </c>
      <c r="JH66" s="12" t="s">
        <v>37</v>
      </c>
      <c r="JI66" s="12" t="s">
        <v>37</v>
      </c>
      <c r="JJ66" s="13" t="s">
        <v>37</v>
      </c>
      <c r="JL66" s="12" t="s">
        <v>37</v>
      </c>
      <c r="JM66" s="12" t="s">
        <v>37</v>
      </c>
      <c r="JN66" s="12" t="s">
        <v>37</v>
      </c>
      <c r="JS66" s="12" t="s">
        <v>37</v>
      </c>
      <c r="JT66" s="12" t="s">
        <v>37</v>
      </c>
      <c r="JU66" s="13" t="s">
        <v>37</v>
      </c>
      <c r="JW66" s="12" t="s">
        <v>37</v>
      </c>
      <c r="JX66" s="12" t="s">
        <v>37</v>
      </c>
      <c r="JY66" s="12" t="s">
        <v>37</v>
      </c>
      <c r="KE66" s="11" t="s">
        <v>37</v>
      </c>
      <c r="KF66" s="11" t="s">
        <v>37</v>
      </c>
      <c r="KG66" s="13" t="s">
        <v>37</v>
      </c>
      <c r="KH66" s="11" t="s">
        <v>37</v>
      </c>
      <c r="KI66" s="11" t="s">
        <v>37</v>
      </c>
      <c r="KJ66" s="11" t="s">
        <v>37</v>
      </c>
      <c r="KM66" s="12" t="s">
        <v>37</v>
      </c>
      <c r="KN66" s="12" t="s">
        <v>37</v>
      </c>
      <c r="KO66" s="11" t="s">
        <v>37</v>
      </c>
      <c r="KQ66" s="12" t="s">
        <v>37</v>
      </c>
      <c r="KR66" s="12" t="s">
        <v>37</v>
      </c>
      <c r="KS66" s="13" t="s">
        <v>37</v>
      </c>
      <c r="KX66" s="12" t="s">
        <v>37</v>
      </c>
      <c r="KY66" s="12" t="s">
        <v>37</v>
      </c>
      <c r="KZ66" s="13" t="s">
        <v>37</v>
      </c>
      <c r="LB66" s="12" t="s">
        <v>37</v>
      </c>
      <c r="LC66" s="12" t="s">
        <v>37</v>
      </c>
      <c r="LD66" s="13" t="s">
        <v>37</v>
      </c>
      <c r="LI66" s="12" t="s">
        <v>37</v>
      </c>
      <c r="LJ66" s="12" t="s">
        <v>37</v>
      </c>
      <c r="LK66" s="12" t="s">
        <v>37</v>
      </c>
      <c r="LM66" s="12" t="s">
        <v>37</v>
      </c>
      <c r="LN66" s="12" t="s">
        <v>37</v>
      </c>
      <c r="LO66" s="12" t="s">
        <v>37</v>
      </c>
      <c r="LU66" s="12" t="s">
        <v>37</v>
      </c>
      <c r="LV66" s="12" t="s">
        <v>37</v>
      </c>
      <c r="LW66" s="13" t="s">
        <v>37</v>
      </c>
      <c r="LY66" s="12" t="s">
        <v>37</v>
      </c>
      <c r="LZ66" s="12" t="s">
        <v>37</v>
      </c>
      <c r="MA66" s="12" t="s">
        <v>37</v>
      </c>
      <c r="MF66" s="12" t="s">
        <v>37</v>
      </c>
      <c r="MG66" s="12" t="s">
        <v>37</v>
      </c>
      <c r="MH66" s="12" t="s">
        <v>37</v>
      </c>
      <c r="MJ66" s="12" t="s">
        <v>37</v>
      </c>
      <c r="MK66" s="12" t="s">
        <v>37</v>
      </c>
      <c r="ML66" s="12" t="s">
        <v>37</v>
      </c>
      <c r="MQ66" s="12" t="s">
        <v>37</v>
      </c>
      <c r="MR66" s="12" t="s">
        <v>37</v>
      </c>
      <c r="MS66" s="12" t="s">
        <v>37</v>
      </c>
      <c r="MU66" s="12" t="s">
        <v>37</v>
      </c>
      <c r="MV66" s="12" t="s">
        <v>37</v>
      </c>
      <c r="MW66" s="12" t="s">
        <v>37</v>
      </c>
      <c r="NC66" s="12" t="s">
        <v>37</v>
      </c>
      <c r="ND66" s="12" t="s">
        <v>37</v>
      </c>
      <c r="NE66" s="13" t="s">
        <v>37</v>
      </c>
      <c r="NG66" s="12" t="s">
        <v>37</v>
      </c>
      <c r="NH66" s="12" t="s">
        <v>37</v>
      </c>
      <c r="NI66" s="13" t="s">
        <v>37</v>
      </c>
      <c r="NO66" s="12" t="s">
        <v>37</v>
      </c>
      <c r="NP66" s="12" t="s">
        <v>37</v>
      </c>
      <c r="NQ66" s="13" t="s">
        <v>37</v>
      </c>
      <c r="NS66" s="12" t="s">
        <v>37</v>
      </c>
      <c r="NT66" s="12" t="s">
        <v>37</v>
      </c>
      <c r="NU66" s="13" t="s">
        <v>37</v>
      </c>
      <c r="OA66" s="11" t="s">
        <v>37</v>
      </c>
      <c r="OB66" s="11" t="s">
        <v>37</v>
      </c>
      <c r="OC66" s="13" t="s">
        <v>37</v>
      </c>
      <c r="OE66" s="11" t="s">
        <v>37</v>
      </c>
      <c r="OF66" s="11" t="s">
        <v>37</v>
      </c>
      <c r="OG66" s="13" t="s">
        <v>37</v>
      </c>
      <c r="OM66" s="11" t="s">
        <v>37</v>
      </c>
      <c r="ON66" s="11" t="s">
        <v>37</v>
      </c>
      <c r="OO66" s="11" t="s">
        <v>37</v>
      </c>
      <c r="OP66" s="11" t="s">
        <v>37</v>
      </c>
      <c r="OQ66" s="11" t="s">
        <v>37</v>
      </c>
      <c r="OR66" s="11" t="s">
        <v>37</v>
      </c>
      <c r="OW66" s="11" t="s">
        <v>37</v>
      </c>
      <c r="OX66" s="11" t="s">
        <v>37</v>
      </c>
      <c r="OY66" s="13" t="s">
        <v>37</v>
      </c>
      <c r="OZ66" s="11" t="s">
        <v>37</v>
      </c>
      <c r="PA66" s="11" t="s">
        <v>37</v>
      </c>
      <c r="PB66" s="13" t="s">
        <v>37</v>
      </c>
      <c r="PG66" s="11" t="s">
        <v>37</v>
      </c>
      <c r="PH66" s="11" t="s">
        <v>37</v>
      </c>
      <c r="PI66" s="13" t="s">
        <v>37</v>
      </c>
      <c r="PJ66" s="11" t="s">
        <v>37</v>
      </c>
      <c r="PK66" s="11" t="s">
        <v>37</v>
      </c>
      <c r="PL66" s="13" t="s">
        <v>37</v>
      </c>
      <c r="PQ66" s="11" t="s">
        <v>37</v>
      </c>
      <c r="PR66" s="11" t="s">
        <v>37</v>
      </c>
      <c r="PS66" s="13" t="s">
        <v>37</v>
      </c>
      <c r="PT66" s="11" t="s">
        <v>37</v>
      </c>
      <c r="PU66" s="11" t="s">
        <v>37</v>
      </c>
      <c r="PV66" s="13" t="s">
        <v>37</v>
      </c>
      <c r="PY66" s="12" t="s">
        <v>43</v>
      </c>
      <c r="PZ66" s="12">
        <f t="shared" si="188"/>
        <v>377.44000000000005</v>
      </c>
      <c r="QA66" s="12">
        <f t="shared" si="189"/>
        <v>33.343665065496324</v>
      </c>
      <c r="QB66" s="11">
        <v>3</v>
      </c>
      <c r="QC66" s="19">
        <f t="shared" si="155"/>
        <v>8.834163063134888E-2</v>
      </c>
      <c r="QD66" s="12">
        <f>643*0.52+378*0.48</f>
        <v>515.79999999999995</v>
      </c>
      <c r="QE66" s="12">
        <f>SQRT(0.52^2*((18*SQRT(3))^2)+0.48^2*((6*SQRT(3))^2))/2</f>
        <v>8.4810376723606176</v>
      </c>
      <c r="QF66" s="13">
        <v>3</v>
      </c>
      <c r="QG66" s="19">
        <f t="shared" si="156"/>
        <v>1.6442492579217951E-2</v>
      </c>
      <c r="QH66" s="19">
        <f t="shared" si="148"/>
        <v>0.31230747778787926</v>
      </c>
      <c r="QI66" s="19">
        <f t="shared" si="149"/>
        <v>2.691533088274438E-3</v>
      </c>
      <c r="QJ66" s="12" t="s">
        <v>43</v>
      </c>
      <c r="QK66" s="12">
        <f t="shared" si="190"/>
        <v>648.52</v>
      </c>
      <c r="QL66" s="12">
        <f t="shared" si="191"/>
        <v>128.63291025239224</v>
      </c>
      <c r="QM66" s="13">
        <v>3</v>
      </c>
      <c r="QN66" s="12">
        <f>925*0.52+975*0.48</f>
        <v>949</v>
      </c>
      <c r="QO66" s="12">
        <f>SQRT(0.52^2*((247*SQRT(3))^2)+0.48^2*((301*SQRT(3))^2))/2</f>
        <v>167.4170779819072</v>
      </c>
      <c r="QP66" s="13">
        <v>3</v>
      </c>
      <c r="QQ66" s="19">
        <f t="shared" si="158"/>
        <v>0.38071595492805954</v>
      </c>
      <c r="QR66" s="19">
        <f t="shared" si="150"/>
        <v>2.3488020718289072E-2</v>
      </c>
      <c r="QU66" s="11" t="s">
        <v>37</v>
      </c>
      <c r="QV66" s="11" t="s">
        <v>37</v>
      </c>
      <c r="QW66" s="13" t="s">
        <v>37</v>
      </c>
      <c r="QX66" s="11" t="s">
        <v>37</v>
      </c>
      <c r="QY66" s="11" t="s">
        <v>37</v>
      </c>
      <c r="QZ66" s="13" t="s">
        <v>37</v>
      </c>
      <c r="RC66" s="12" t="s">
        <v>37</v>
      </c>
      <c r="RD66" s="12" t="s">
        <v>37</v>
      </c>
      <c r="RE66" s="13" t="s">
        <v>37</v>
      </c>
      <c r="RF66" s="12" t="s">
        <v>37</v>
      </c>
      <c r="RG66" s="12" t="s">
        <v>37</v>
      </c>
      <c r="RH66" s="13" t="s">
        <v>37</v>
      </c>
      <c r="RK66" s="11" t="s">
        <v>37</v>
      </c>
      <c r="RL66" s="11" t="s">
        <v>37</v>
      </c>
      <c r="RM66" s="11" t="s">
        <v>37</v>
      </c>
      <c r="RN66" s="11" t="s">
        <v>37</v>
      </c>
      <c r="RO66" s="11" t="s">
        <v>37</v>
      </c>
      <c r="RP66" s="11" t="s">
        <v>37</v>
      </c>
      <c r="RS66" s="11" t="s">
        <v>37</v>
      </c>
      <c r="RT66" s="11" t="s">
        <v>37</v>
      </c>
      <c r="RU66" s="11" t="s">
        <v>37</v>
      </c>
      <c r="RV66" s="11" t="s">
        <v>37</v>
      </c>
      <c r="RW66" s="11" t="s">
        <v>37</v>
      </c>
      <c r="RX66" s="11" t="s">
        <v>37</v>
      </c>
      <c r="SA66" s="11" t="s">
        <v>37</v>
      </c>
      <c r="SB66" s="11" t="s">
        <v>37</v>
      </c>
      <c r="SC66" s="13" t="s">
        <v>37</v>
      </c>
      <c r="SD66" s="11" t="s">
        <v>37</v>
      </c>
      <c r="SE66" s="11" t="s">
        <v>37</v>
      </c>
      <c r="SF66" s="13" t="s">
        <v>37</v>
      </c>
      <c r="SI66" s="12" t="s">
        <v>37</v>
      </c>
      <c r="SJ66" s="11" t="s">
        <v>37</v>
      </c>
      <c r="SK66" s="13" t="s">
        <v>37</v>
      </c>
      <c r="SM66" s="11" t="s">
        <v>37</v>
      </c>
      <c r="SN66" s="11" t="s">
        <v>37</v>
      </c>
      <c r="SO66" s="13" t="s">
        <v>37</v>
      </c>
      <c r="SU66" s="12" t="s">
        <v>37</v>
      </c>
      <c r="SV66" s="12" t="s">
        <v>37</v>
      </c>
      <c r="SW66" s="11" t="s">
        <v>37</v>
      </c>
      <c r="SX66" s="12" t="s">
        <v>37</v>
      </c>
      <c r="SY66" s="12" t="s">
        <v>37</v>
      </c>
      <c r="SZ66" s="11" t="s">
        <v>37</v>
      </c>
      <c r="TE66" s="12" t="s">
        <v>37</v>
      </c>
      <c r="TF66" s="12" t="s">
        <v>37</v>
      </c>
      <c r="TG66" s="11" t="s">
        <v>37</v>
      </c>
      <c r="TH66" s="12" t="s">
        <v>37</v>
      </c>
      <c r="TI66" s="12" t="s">
        <v>37</v>
      </c>
      <c r="TJ66" s="11" t="s">
        <v>37</v>
      </c>
      <c r="TO66" s="12" t="s">
        <v>37</v>
      </c>
      <c r="TP66" s="12" t="s">
        <v>37</v>
      </c>
      <c r="TQ66" s="11" t="s">
        <v>37</v>
      </c>
      <c r="TR66" s="12" t="s">
        <v>37</v>
      </c>
      <c r="TS66" s="12" t="s">
        <v>37</v>
      </c>
      <c r="TT66" s="11" t="s">
        <v>37</v>
      </c>
      <c r="TY66" s="12" t="s">
        <v>37</v>
      </c>
      <c r="TZ66" s="12" t="s">
        <v>37</v>
      </c>
      <c r="UA66" s="11" t="s">
        <v>37</v>
      </c>
      <c r="UB66" s="12" t="s">
        <v>37</v>
      </c>
      <c r="UC66" s="12" t="s">
        <v>37</v>
      </c>
      <c r="UD66" s="11" t="s">
        <v>37</v>
      </c>
      <c r="UI66" s="12" t="s">
        <v>37</v>
      </c>
      <c r="UJ66" s="12" t="s">
        <v>37</v>
      </c>
      <c r="UK66" s="13" t="s">
        <v>37</v>
      </c>
      <c r="UL66" s="12" t="s">
        <v>37</v>
      </c>
      <c r="UM66" s="12" t="s">
        <v>37</v>
      </c>
      <c r="UN66" s="13" t="s">
        <v>37</v>
      </c>
      <c r="UR66" s="12" t="s">
        <v>37</v>
      </c>
      <c r="US66" s="12" t="s">
        <v>37</v>
      </c>
      <c r="UT66" s="13" t="s">
        <v>37</v>
      </c>
      <c r="UU66" s="12" t="s">
        <v>37</v>
      </c>
      <c r="UV66" s="12" t="s">
        <v>37</v>
      </c>
      <c r="UW66" s="13" t="s">
        <v>37</v>
      </c>
      <c r="VB66" s="12" t="s">
        <v>37</v>
      </c>
      <c r="VC66" s="12" t="s">
        <v>37</v>
      </c>
      <c r="VD66" s="13" t="s">
        <v>37</v>
      </c>
      <c r="VE66" s="12" t="s">
        <v>37</v>
      </c>
      <c r="VF66" s="12" t="s">
        <v>37</v>
      </c>
      <c r="VG66" s="13" t="s">
        <v>37</v>
      </c>
      <c r="VI66" s="12" t="s">
        <v>37</v>
      </c>
      <c r="VJ66" s="12" t="s">
        <v>37</v>
      </c>
      <c r="VK66" s="13" t="s">
        <v>37</v>
      </c>
      <c r="VL66" s="12" t="s">
        <v>37</v>
      </c>
      <c r="VM66" s="12" t="s">
        <v>37</v>
      </c>
      <c r="VN66" s="13" t="s">
        <v>37</v>
      </c>
      <c r="VO66" s="12" t="s">
        <v>37</v>
      </c>
      <c r="VQ66" s="12" t="s">
        <v>37</v>
      </c>
      <c r="VR66" s="12" t="s">
        <v>37</v>
      </c>
      <c r="VS66" s="12" t="s">
        <v>37</v>
      </c>
      <c r="VT66" s="12" t="s">
        <v>37</v>
      </c>
      <c r="VU66" s="12" t="s">
        <v>37</v>
      </c>
      <c r="VV66" s="12" t="s">
        <v>37</v>
      </c>
      <c r="VW66" s="12"/>
      <c r="VX66" s="12"/>
      <c r="WA66" s="13" t="s">
        <v>37</v>
      </c>
      <c r="WB66" s="13" t="s">
        <v>37</v>
      </c>
      <c r="WC66" s="13" t="s">
        <v>37</v>
      </c>
      <c r="WD66" s="13" t="s">
        <v>37</v>
      </c>
      <c r="WE66" s="13" t="s">
        <v>37</v>
      </c>
      <c r="WF66" s="13" t="s">
        <v>37</v>
      </c>
    </row>
    <row r="67" spans="1:604" ht="18" customHeight="1" x14ac:dyDescent="0.4">
      <c r="A67" s="11">
        <v>12</v>
      </c>
      <c r="B67" s="12" t="s">
        <v>111</v>
      </c>
      <c r="C67" s="12" t="s">
        <v>26</v>
      </c>
      <c r="D67" s="12" t="s">
        <v>973</v>
      </c>
      <c r="E67" s="81">
        <v>4.5</v>
      </c>
      <c r="F67" s="14">
        <v>0</v>
      </c>
      <c r="G67" s="14">
        <v>0</v>
      </c>
      <c r="H67" s="12" t="s">
        <v>91</v>
      </c>
      <c r="I67" s="29">
        <v>55.35</v>
      </c>
      <c r="J67" s="29">
        <v>-112.517</v>
      </c>
      <c r="K67" s="12" t="s">
        <v>696</v>
      </c>
      <c r="L67" s="12" t="s">
        <v>697</v>
      </c>
      <c r="M67" s="13" t="s">
        <v>37</v>
      </c>
      <c r="N67" s="14">
        <v>2.1</v>
      </c>
      <c r="O67" s="14">
        <v>504</v>
      </c>
      <c r="P67" s="14" t="s">
        <v>84</v>
      </c>
      <c r="Q67" s="75">
        <v>2</v>
      </c>
      <c r="R67" s="11" t="s">
        <v>999</v>
      </c>
      <c r="S67" s="12" t="s">
        <v>93</v>
      </c>
      <c r="T67" s="12" t="s">
        <v>141</v>
      </c>
      <c r="U67" s="12" t="s">
        <v>158</v>
      </c>
      <c r="V67" s="12" t="s">
        <v>275</v>
      </c>
      <c r="W67" s="23" t="s">
        <v>502</v>
      </c>
      <c r="X67" s="12" t="s">
        <v>857</v>
      </c>
      <c r="Y67" s="12" t="s">
        <v>69</v>
      </c>
      <c r="Z67" s="12" t="s">
        <v>37</v>
      </c>
      <c r="AA67" s="32" t="s">
        <v>345</v>
      </c>
      <c r="AB67" s="12">
        <v>4.0999999999999996</v>
      </c>
      <c r="AE67" s="12" t="s">
        <v>37</v>
      </c>
      <c r="AH67" s="12" t="s">
        <v>37</v>
      </c>
      <c r="AK67" s="12" t="s">
        <v>37</v>
      </c>
      <c r="AL67" s="32" t="s">
        <v>497</v>
      </c>
      <c r="AM67" s="12" t="s">
        <v>317</v>
      </c>
      <c r="AN67" s="32" t="s">
        <v>879</v>
      </c>
      <c r="AO67" s="12" t="s">
        <v>29</v>
      </c>
      <c r="AP67" s="12" t="s">
        <v>108</v>
      </c>
      <c r="AQ67" s="12" t="s">
        <v>975</v>
      </c>
      <c r="AT67" s="12" t="s">
        <v>326</v>
      </c>
      <c r="AU67" s="12" t="s">
        <v>326</v>
      </c>
      <c r="AV67" s="13" t="s">
        <v>326</v>
      </c>
      <c r="AX67" s="12" t="s">
        <v>326</v>
      </c>
      <c r="AY67" s="12" t="s">
        <v>326</v>
      </c>
      <c r="AZ67" s="13" t="s">
        <v>326</v>
      </c>
      <c r="BE67" s="12" t="s">
        <v>326</v>
      </c>
      <c r="BF67" s="12" t="s">
        <v>326</v>
      </c>
      <c r="BG67" s="12" t="s">
        <v>326</v>
      </c>
      <c r="BI67" s="12" t="s">
        <v>326</v>
      </c>
      <c r="BJ67" s="12" t="s">
        <v>326</v>
      </c>
      <c r="BK67" s="12" t="s">
        <v>326</v>
      </c>
      <c r="BP67" s="12" t="s">
        <v>37</v>
      </c>
      <c r="BQ67" s="12" t="s">
        <v>37</v>
      </c>
      <c r="BR67" s="13" t="s">
        <v>37</v>
      </c>
      <c r="BT67" s="12" t="s">
        <v>37</v>
      </c>
      <c r="BU67" s="12" t="s">
        <v>37</v>
      </c>
      <c r="BV67" s="12" t="s">
        <v>37</v>
      </c>
      <c r="CA67" s="12" t="s">
        <v>37</v>
      </c>
      <c r="CB67" s="12" t="s">
        <v>37</v>
      </c>
      <c r="CC67" s="13" t="s">
        <v>37</v>
      </c>
      <c r="CE67" s="12" t="s">
        <v>37</v>
      </c>
      <c r="CF67" s="12" t="s">
        <v>37</v>
      </c>
      <c r="CG67" s="13" t="s">
        <v>37</v>
      </c>
      <c r="CI67" s="52"/>
      <c r="CK67" s="73"/>
      <c r="CL67" s="73"/>
      <c r="CN67" s="12" t="s">
        <v>37</v>
      </c>
      <c r="CO67" s="12" t="s">
        <v>37</v>
      </c>
      <c r="CP67" s="13" t="s">
        <v>37</v>
      </c>
      <c r="CR67" s="12" t="s">
        <v>37</v>
      </c>
      <c r="CS67" s="12" t="s">
        <v>37</v>
      </c>
      <c r="CT67" s="13" t="s">
        <v>37</v>
      </c>
      <c r="CV67" s="52"/>
      <c r="CW67" s="52"/>
      <c r="CX67" s="73"/>
      <c r="CY67" s="73"/>
      <c r="DA67" s="12" t="s">
        <v>37</v>
      </c>
      <c r="DB67" s="12" t="s">
        <v>37</v>
      </c>
      <c r="DC67" s="13" t="s">
        <v>37</v>
      </c>
      <c r="DE67" s="12" t="s">
        <v>37</v>
      </c>
      <c r="DF67" s="12" t="s">
        <v>37</v>
      </c>
      <c r="DG67" s="13" t="s">
        <v>37</v>
      </c>
      <c r="DI67" s="52"/>
      <c r="DJ67" s="52"/>
      <c r="DK67" s="73"/>
      <c r="DL67" s="73"/>
      <c r="DM67" s="15" t="s">
        <v>47</v>
      </c>
      <c r="DN67" s="19">
        <f>0.56*DN55+0.44*DN61</f>
        <v>7.1375195796034658</v>
      </c>
      <c r="DO67" s="15">
        <f t="shared" si="227"/>
        <v>3.9633493035082119</v>
      </c>
      <c r="DP67" s="18">
        <v>3</v>
      </c>
      <c r="DQ67" s="19">
        <f t="shared" si="193"/>
        <v>0.5552838432603503</v>
      </c>
      <c r="DR67" s="19">
        <f>0.55*DR55+0.45*DR61</f>
        <v>3.0539332337351648</v>
      </c>
      <c r="DS67" s="15">
        <f>SQRT(0.55^2*DS55^2+0.45^2*DS61^2)</f>
        <v>2.9487867124895311</v>
      </c>
      <c r="DT67" s="18">
        <v>3</v>
      </c>
      <c r="DU67" s="19">
        <f t="shared" si="194"/>
        <v>0.96557013097597011</v>
      </c>
      <c r="DV67" s="19">
        <f t="shared" si="198"/>
        <v>-4.0835863458683015</v>
      </c>
      <c r="DW67" s="12">
        <f t="shared" si="195"/>
        <v>3.4930989663459182</v>
      </c>
      <c r="DX67" s="72">
        <f t="shared" si="196"/>
        <v>8.1344935924579467</v>
      </c>
      <c r="DY67" s="72">
        <f t="shared" si="197"/>
        <v>8.1344935924579485</v>
      </c>
      <c r="DZ67" s="15"/>
      <c r="EA67" s="52" t="s">
        <v>37</v>
      </c>
      <c r="EB67" s="52" t="s">
        <v>37</v>
      </c>
      <c r="EC67" s="73" t="s">
        <v>37</v>
      </c>
      <c r="ED67" s="52"/>
      <c r="EE67" s="52" t="s">
        <v>37</v>
      </c>
      <c r="EF67" s="52" t="s">
        <v>37</v>
      </c>
      <c r="EG67" s="15" t="s">
        <v>37</v>
      </c>
      <c r="EH67" s="52"/>
      <c r="EI67" s="52"/>
      <c r="EJ67" s="52"/>
      <c r="EK67" s="52"/>
      <c r="EL67" s="52"/>
      <c r="EM67" s="12" t="s">
        <v>39</v>
      </c>
      <c r="EN67" s="12">
        <f t="shared" si="222"/>
        <v>-45.680000000000007</v>
      </c>
      <c r="EO67" s="15">
        <f t="shared" si="223"/>
        <v>4.842822317616041</v>
      </c>
      <c r="EP67" s="18">
        <v>3</v>
      </c>
      <c r="EQ67" s="19">
        <f t="shared" si="139"/>
        <v>0.10601625038564011</v>
      </c>
      <c r="ER67" s="12">
        <f>0.55*ER55+0.45*ER61</f>
        <v>-80.650000000000006</v>
      </c>
      <c r="ES67" s="15">
        <f>SQRT(0.55^2*ES55^2+0.45^2*ES61^2)</f>
        <v>8.7407922981844166</v>
      </c>
      <c r="ET67" s="18">
        <v>3</v>
      </c>
      <c r="EU67" s="19">
        <f t="shared" si="140"/>
        <v>0.10837932173818247</v>
      </c>
      <c r="EV67" s="19">
        <f t="shared" si="141"/>
        <v>-34.97</v>
      </c>
      <c r="EW67" s="12">
        <f t="shared" si="142"/>
        <v>7.0659174209723119</v>
      </c>
      <c r="EX67" s="19">
        <f t="shared" si="143"/>
        <v>33.284792666666668</v>
      </c>
      <c r="EY67" s="19">
        <f t="shared" si="144"/>
        <v>33.284792666666675</v>
      </c>
      <c r="FB67" s="11" t="s">
        <v>37</v>
      </c>
      <c r="FC67" s="11" t="s">
        <v>37</v>
      </c>
      <c r="FD67" s="11" t="s">
        <v>37</v>
      </c>
      <c r="FE67" s="12" t="s">
        <v>37</v>
      </c>
      <c r="FF67" s="20" t="s">
        <v>37</v>
      </c>
      <c r="FG67" s="11" t="s">
        <v>37</v>
      </c>
      <c r="FI67" s="11" t="s">
        <v>37</v>
      </c>
      <c r="FJ67" s="11" t="s">
        <v>37</v>
      </c>
      <c r="FK67" s="11" t="s">
        <v>37</v>
      </c>
      <c r="FL67" s="13" t="s">
        <v>37</v>
      </c>
      <c r="FM67" s="11" t="s">
        <v>37</v>
      </c>
      <c r="FN67" s="11" t="s">
        <v>37</v>
      </c>
      <c r="FP67" s="11" t="s">
        <v>37</v>
      </c>
      <c r="FQ67" s="11" t="s">
        <v>37</v>
      </c>
      <c r="FR67" s="11" t="s">
        <v>37</v>
      </c>
      <c r="FS67" s="13" t="s">
        <v>37</v>
      </c>
      <c r="FT67" s="11" t="s">
        <v>37</v>
      </c>
      <c r="FU67" s="11" t="s">
        <v>37</v>
      </c>
      <c r="FW67" s="11" t="s">
        <v>37</v>
      </c>
      <c r="FX67" s="11" t="s">
        <v>37</v>
      </c>
      <c r="FY67" s="11" t="s">
        <v>37</v>
      </c>
      <c r="FZ67" s="13" t="s">
        <v>37</v>
      </c>
      <c r="GA67" s="11" t="s">
        <v>37</v>
      </c>
      <c r="GB67" s="11" t="s">
        <v>37</v>
      </c>
      <c r="GO67" s="12" t="s">
        <v>660</v>
      </c>
      <c r="GP67" s="12" t="s">
        <v>330</v>
      </c>
      <c r="GQ67" s="12">
        <f t="shared" si="224"/>
        <v>12.3</v>
      </c>
      <c r="GR67" s="15">
        <f t="shared" si="225"/>
        <v>0.11202160505902424</v>
      </c>
      <c r="GS67" s="18">
        <v>3</v>
      </c>
      <c r="GT67" s="19">
        <f t="shared" si="145"/>
        <v>9.1074475657743278E-3</v>
      </c>
      <c r="GU67" s="12">
        <f>0.55*GU55+0.45*GU61</f>
        <v>13.1</v>
      </c>
      <c r="GV67" s="15">
        <f>SQRT(0.55^2*GV55^2+0.45^2*GV61^2)</f>
        <v>7.1063352017759485E-2</v>
      </c>
      <c r="GW67" s="18">
        <v>3</v>
      </c>
      <c r="GX67" s="19">
        <f t="shared" si="211"/>
        <v>5.4246833601343117E-3</v>
      </c>
      <c r="GY67" s="19">
        <f t="shared" si="203"/>
        <v>6.301296782873396E-2</v>
      </c>
      <c r="GZ67" s="19">
        <f t="shared" si="204"/>
        <v>3.7457596907015607E-5</v>
      </c>
      <c r="IK67" s="12" t="s">
        <v>37</v>
      </c>
      <c r="IL67" s="12" t="s">
        <v>37</v>
      </c>
      <c r="IM67" s="13" t="s">
        <v>37</v>
      </c>
      <c r="IO67" s="12" t="s">
        <v>37</v>
      </c>
      <c r="IP67" s="12" t="s">
        <v>37</v>
      </c>
      <c r="IQ67" s="13" t="s">
        <v>37</v>
      </c>
      <c r="IV67" s="32" t="s">
        <v>345</v>
      </c>
      <c r="IW67" s="12">
        <v>4.0999999999999996</v>
      </c>
      <c r="IX67" s="12">
        <v>0.1</v>
      </c>
      <c r="IY67" s="13">
        <v>3</v>
      </c>
      <c r="IZ67" s="19">
        <f t="shared" si="147"/>
        <v>2.4390243902439029E-2</v>
      </c>
      <c r="JH67" s="12" t="s">
        <v>37</v>
      </c>
      <c r="JI67" s="12" t="s">
        <v>37</v>
      </c>
      <c r="JJ67" s="13" t="s">
        <v>37</v>
      </c>
      <c r="JL67" s="12" t="s">
        <v>37</v>
      </c>
      <c r="JM67" s="12" t="s">
        <v>37</v>
      </c>
      <c r="JN67" s="12" t="s">
        <v>37</v>
      </c>
      <c r="JS67" s="12" t="s">
        <v>37</v>
      </c>
      <c r="JT67" s="12" t="s">
        <v>37</v>
      </c>
      <c r="JU67" s="13" t="s">
        <v>37</v>
      </c>
      <c r="JW67" s="12" t="s">
        <v>37</v>
      </c>
      <c r="JX67" s="12" t="s">
        <v>37</v>
      </c>
      <c r="JY67" s="12" t="s">
        <v>37</v>
      </c>
      <c r="KE67" s="11" t="s">
        <v>37</v>
      </c>
      <c r="KF67" s="11" t="s">
        <v>37</v>
      </c>
      <c r="KG67" s="13" t="s">
        <v>37</v>
      </c>
      <c r="KH67" s="11" t="s">
        <v>37</v>
      </c>
      <c r="KI67" s="11" t="s">
        <v>37</v>
      </c>
      <c r="KJ67" s="11" t="s">
        <v>37</v>
      </c>
      <c r="KM67" s="12" t="s">
        <v>37</v>
      </c>
      <c r="KN67" s="12" t="s">
        <v>37</v>
      </c>
      <c r="KO67" s="11" t="s">
        <v>37</v>
      </c>
      <c r="KQ67" s="12" t="s">
        <v>37</v>
      </c>
      <c r="KR67" s="12" t="s">
        <v>37</v>
      </c>
      <c r="KS67" s="13" t="s">
        <v>37</v>
      </c>
      <c r="KX67" s="12" t="s">
        <v>37</v>
      </c>
      <c r="KY67" s="12" t="s">
        <v>37</v>
      </c>
      <c r="KZ67" s="13" t="s">
        <v>37</v>
      </c>
      <c r="LB67" s="12" t="s">
        <v>37</v>
      </c>
      <c r="LC67" s="12" t="s">
        <v>37</v>
      </c>
      <c r="LD67" s="13" t="s">
        <v>37</v>
      </c>
      <c r="LI67" s="12" t="s">
        <v>37</v>
      </c>
      <c r="LJ67" s="12" t="s">
        <v>37</v>
      </c>
      <c r="LK67" s="12" t="s">
        <v>37</v>
      </c>
      <c r="LM67" s="12" t="s">
        <v>37</v>
      </c>
      <c r="LN67" s="12" t="s">
        <v>37</v>
      </c>
      <c r="LO67" s="12" t="s">
        <v>37</v>
      </c>
      <c r="LU67" s="12" t="s">
        <v>37</v>
      </c>
      <c r="LV67" s="12" t="s">
        <v>37</v>
      </c>
      <c r="LW67" s="13" t="s">
        <v>37</v>
      </c>
      <c r="LY67" s="12" t="s">
        <v>37</v>
      </c>
      <c r="LZ67" s="12" t="s">
        <v>37</v>
      </c>
      <c r="MA67" s="12" t="s">
        <v>37</v>
      </c>
      <c r="MF67" s="12" t="s">
        <v>37</v>
      </c>
      <c r="MG67" s="12" t="s">
        <v>37</v>
      </c>
      <c r="MH67" s="12" t="s">
        <v>37</v>
      </c>
      <c r="MJ67" s="12" t="s">
        <v>37</v>
      </c>
      <c r="MK67" s="12" t="s">
        <v>37</v>
      </c>
      <c r="ML67" s="12" t="s">
        <v>37</v>
      </c>
      <c r="MQ67" s="12" t="s">
        <v>37</v>
      </c>
      <c r="MR67" s="12" t="s">
        <v>37</v>
      </c>
      <c r="MS67" s="12" t="s">
        <v>37</v>
      </c>
      <c r="MU67" s="12" t="s">
        <v>37</v>
      </c>
      <c r="MV67" s="12" t="s">
        <v>37</v>
      </c>
      <c r="MW67" s="12" t="s">
        <v>37</v>
      </c>
      <c r="NC67" s="12" t="s">
        <v>37</v>
      </c>
      <c r="ND67" s="12" t="s">
        <v>37</v>
      </c>
      <c r="NE67" s="13" t="s">
        <v>37</v>
      </c>
      <c r="NG67" s="12" t="s">
        <v>37</v>
      </c>
      <c r="NH67" s="12" t="s">
        <v>37</v>
      </c>
      <c r="NI67" s="13" t="s">
        <v>37</v>
      </c>
      <c r="NO67" s="12" t="s">
        <v>37</v>
      </c>
      <c r="NP67" s="12" t="s">
        <v>37</v>
      </c>
      <c r="NQ67" s="13" t="s">
        <v>37</v>
      </c>
      <c r="NS67" s="12" t="s">
        <v>37</v>
      </c>
      <c r="NT67" s="12" t="s">
        <v>37</v>
      </c>
      <c r="NU67" s="13" t="s">
        <v>37</v>
      </c>
      <c r="OA67" s="11" t="s">
        <v>37</v>
      </c>
      <c r="OB67" s="11" t="s">
        <v>37</v>
      </c>
      <c r="OC67" s="13" t="s">
        <v>37</v>
      </c>
      <c r="OE67" s="11" t="s">
        <v>37</v>
      </c>
      <c r="OF67" s="11" t="s">
        <v>37</v>
      </c>
      <c r="OG67" s="13" t="s">
        <v>37</v>
      </c>
      <c r="OM67" s="11" t="s">
        <v>37</v>
      </c>
      <c r="ON67" s="11" t="s">
        <v>37</v>
      </c>
      <c r="OO67" s="11" t="s">
        <v>37</v>
      </c>
      <c r="OP67" s="11" t="s">
        <v>37</v>
      </c>
      <c r="OQ67" s="11" t="s">
        <v>37</v>
      </c>
      <c r="OR67" s="11" t="s">
        <v>37</v>
      </c>
      <c r="OW67" s="11" t="s">
        <v>37</v>
      </c>
      <c r="OX67" s="11" t="s">
        <v>37</v>
      </c>
      <c r="OY67" s="13" t="s">
        <v>37</v>
      </c>
      <c r="OZ67" s="11" t="s">
        <v>37</v>
      </c>
      <c r="PA67" s="11" t="s">
        <v>37</v>
      </c>
      <c r="PB67" s="13" t="s">
        <v>37</v>
      </c>
      <c r="PG67" s="11" t="s">
        <v>37</v>
      </c>
      <c r="PH67" s="11" t="s">
        <v>37</v>
      </c>
      <c r="PI67" s="13" t="s">
        <v>37</v>
      </c>
      <c r="PJ67" s="11" t="s">
        <v>37</v>
      </c>
      <c r="PK67" s="11" t="s">
        <v>37</v>
      </c>
      <c r="PL67" s="13" t="s">
        <v>37</v>
      </c>
      <c r="PQ67" s="11" t="s">
        <v>37</v>
      </c>
      <c r="PR67" s="11" t="s">
        <v>37</v>
      </c>
      <c r="PS67" s="13" t="s">
        <v>37</v>
      </c>
      <c r="PT67" s="11" t="s">
        <v>37</v>
      </c>
      <c r="PU67" s="11" t="s">
        <v>37</v>
      </c>
      <c r="PV67" s="13" t="s">
        <v>37</v>
      </c>
      <c r="PY67" s="12" t="s">
        <v>43</v>
      </c>
      <c r="PZ67" s="12">
        <f t="shared" si="188"/>
        <v>377.44000000000005</v>
      </c>
      <c r="QA67" s="12">
        <f t="shared" si="189"/>
        <v>33.343665065496324</v>
      </c>
      <c r="QB67" s="11">
        <v>3</v>
      </c>
      <c r="QC67" s="19">
        <f t="shared" si="155"/>
        <v>8.834163063134888E-2</v>
      </c>
      <c r="QD67" s="12">
        <f>251*0.55+327*0.45</f>
        <v>285.20000000000005</v>
      </c>
      <c r="QE67" s="12">
        <f>SQRT(0.55^2*((78*SQRT(3))^2)+0.45^2*((51*SQRT(3))^2))/2</f>
        <v>42.134716980181558</v>
      </c>
      <c r="QF67" s="13">
        <v>3</v>
      </c>
      <c r="QG67" s="19">
        <f t="shared" si="156"/>
        <v>0.14773743681690585</v>
      </c>
      <c r="QH67" s="19">
        <f t="shared" si="148"/>
        <v>-0.28022092711922397</v>
      </c>
      <c r="QI67" s="19">
        <f t="shared" si="149"/>
        <v>9.8768646466116435E-3</v>
      </c>
      <c r="QJ67" s="12" t="s">
        <v>43</v>
      </c>
      <c r="QK67" s="12">
        <f t="shared" si="190"/>
        <v>648.52</v>
      </c>
      <c r="QL67" s="12">
        <f t="shared" si="191"/>
        <v>128.63291025239224</v>
      </c>
      <c r="QM67" s="13">
        <v>3</v>
      </c>
      <c r="QN67" s="12">
        <f>441*0.55+715*0.45</f>
        <v>564.29999999999995</v>
      </c>
      <c r="QO67" s="12">
        <f>SQRT(0.55^2*((78*SQRT(3))^2)+0.45^2*((51*SQRT(3))^2))/2</f>
        <v>42.134716980181558</v>
      </c>
      <c r="QP67" s="13">
        <v>3</v>
      </c>
      <c r="QQ67" s="19">
        <f t="shared" si="158"/>
        <v>-0.13910681870677402</v>
      </c>
      <c r="QR67" s="19">
        <f t="shared" si="150"/>
        <v>1.4972428792460963E-2</v>
      </c>
      <c r="QU67" s="11" t="s">
        <v>37</v>
      </c>
      <c r="QV67" s="11" t="s">
        <v>37</v>
      </c>
      <c r="QW67" s="13" t="s">
        <v>37</v>
      </c>
      <c r="QX67" s="11" t="s">
        <v>37</v>
      </c>
      <c r="QY67" s="11" t="s">
        <v>37</v>
      </c>
      <c r="QZ67" s="13" t="s">
        <v>37</v>
      </c>
      <c r="RC67" s="12" t="s">
        <v>37</v>
      </c>
      <c r="RD67" s="12" t="s">
        <v>37</v>
      </c>
      <c r="RE67" s="13" t="s">
        <v>37</v>
      </c>
      <c r="RF67" s="12" t="s">
        <v>37</v>
      </c>
      <c r="RG67" s="12" t="s">
        <v>37</v>
      </c>
      <c r="RH67" s="13" t="s">
        <v>37</v>
      </c>
      <c r="RK67" s="11" t="s">
        <v>37</v>
      </c>
      <c r="RL67" s="11" t="s">
        <v>37</v>
      </c>
      <c r="RM67" s="11" t="s">
        <v>37</v>
      </c>
      <c r="RN67" s="11" t="s">
        <v>37</v>
      </c>
      <c r="RO67" s="11" t="s">
        <v>37</v>
      </c>
      <c r="RP67" s="11" t="s">
        <v>37</v>
      </c>
      <c r="RS67" s="11" t="s">
        <v>37</v>
      </c>
      <c r="RT67" s="11" t="s">
        <v>37</v>
      </c>
      <c r="RU67" s="11" t="s">
        <v>37</v>
      </c>
      <c r="RV67" s="11" t="s">
        <v>37</v>
      </c>
      <c r="RW67" s="11" t="s">
        <v>37</v>
      </c>
      <c r="RX67" s="11" t="s">
        <v>37</v>
      </c>
      <c r="SA67" s="11" t="s">
        <v>37</v>
      </c>
      <c r="SB67" s="11" t="s">
        <v>37</v>
      </c>
      <c r="SC67" s="13" t="s">
        <v>37</v>
      </c>
      <c r="SD67" s="11" t="s">
        <v>37</v>
      </c>
      <c r="SE67" s="11" t="s">
        <v>37</v>
      </c>
      <c r="SF67" s="13" t="s">
        <v>37</v>
      </c>
      <c r="SI67" s="12" t="s">
        <v>37</v>
      </c>
      <c r="SJ67" s="11" t="s">
        <v>37</v>
      </c>
      <c r="SK67" s="13" t="s">
        <v>37</v>
      </c>
      <c r="SM67" s="11" t="s">
        <v>37</v>
      </c>
      <c r="SN67" s="11" t="s">
        <v>37</v>
      </c>
      <c r="SO67" s="13" t="s">
        <v>37</v>
      </c>
      <c r="SU67" s="12" t="s">
        <v>37</v>
      </c>
      <c r="SV67" s="12" t="s">
        <v>37</v>
      </c>
      <c r="SW67" s="11" t="s">
        <v>37</v>
      </c>
      <c r="SX67" s="12" t="s">
        <v>37</v>
      </c>
      <c r="SY67" s="12" t="s">
        <v>37</v>
      </c>
      <c r="SZ67" s="11" t="s">
        <v>37</v>
      </c>
      <c r="TE67" s="12" t="s">
        <v>37</v>
      </c>
      <c r="TF67" s="12" t="s">
        <v>37</v>
      </c>
      <c r="TG67" s="11" t="s">
        <v>37</v>
      </c>
      <c r="TH67" s="12" t="s">
        <v>37</v>
      </c>
      <c r="TI67" s="12" t="s">
        <v>37</v>
      </c>
      <c r="TJ67" s="11" t="s">
        <v>37</v>
      </c>
      <c r="TO67" s="12" t="s">
        <v>37</v>
      </c>
      <c r="TP67" s="12" t="s">
        <v>37</v>
      </c>
      <c r="TQ67" s="11" t="s">
        <v>37</v>
      </c>
      <c r="TR67" s="12" t="s">
        <v>37</v>
      </c>
      <c r="TS67" s="12" t="s">
        <v>37</v>
      </c>
      <c r="TT67" s="11" t="s">
        <v>37</v>
      </c>
      <c r="TY67" s="12" t="s">
        <v>37</v>
      </c>
      <c r="TZ67" s="12" t="s">
        <v>37</v>
      </c>
      <c r="UA67" s="11" t="s">
        <v>37</v>
      </c>
      <c r="UB67" s="12" t="s">
        <v>37</v>
      </c>
      <c r="UC67" s="12" t="s">
        <v>37</v>
      </c>
      <c r="UD67" s="11" t="s">
        <v>37</v>
      </c>
      <c r="UI67" s="12" t="s">
        <v>37</v>
      </c>
      <c r="UJ67" s="12" t="s">
        <v>37</v>
      </c>
      <c r="UK67" s="13" t="s">
        <v>37</v>
      </c>
      <c r="UL67" s="12" t="s">
        <v>37</v>
      </c>
      <c r="UM67" s="12" t="s">
        <v>37</v>
      </c>
      <c r="UN67" s="13" t="s">
        <v>37</v>
      </c>
      <c r="UR67" s="12" t="s">
        <v>37</v>
      </c>
      <c r="US67" s="12" t="s">
        <v>37</v>
      </c>
      <c r="UT67" s="13" t="s">
        <v>37</v>
      </c>
      <c r="UU67" s="12" t="s">
        <v>37</v>
      </c>
      <c r="UV67" s="12" t="s">
        <v>37</v>
      </c>
      <c r="UW67" s="13" t="s">
        <v>37</v>
      </c>
      <c r="VB67" s="12" t="s">
        <v>37</v>
      </c>
      <c r="VC67" s="12" t="s">
        <v>37</v>
      </c>
      <c r="VD67" s="13" t="s">
        <v>37</v>
      </c>
      <c r="VE67" s="12" t="s">
        <v>37</v>
      </c>
      <c r="VF67" s="12" t="s">
        <v>37</v>
      </c>
      <c r="VG67" s="13" t="s">
        <v>37</v>
      </c>
      <c r="VI67" s="12" t="s">
        <v>37</v>
      </c>
      <c r="VJ67" s="12" t="s">
        <v>37</v>
      </c>
      <c r="VK67" s="13" t="s">
        <v>37</v>
      </c>
      <c r="VL67" s="12" t="s">
        <v>37</v>
      </c>
      <c r="VM67" s="12" t="s">
        <v>37</v>
      </c>
      <c r="VN67" s="13" t="s">
        <v>37</v>
      </c>
      <c r="VO67" s="12" t="s">
        <v>37</v>
      </c>
      <c r="VQ67" s="12" t="s">
        <v>37</v>
      </c>
      <c r="VR67" s="12" t="s">
        <v>37</v>
      </c>
      <c r="VS67" s="12" t="s">
        <v>37</v>
      </c>
      <c r="VT67" s="12" t="s">
        <v>37</v>
      </c>
      <c r="VU67" s="12" t="s">
        <v>37</v>
      </c>
      <c r="VV67" s="12" t="s">
        <v>37</v>
      </c>
      <c r="VW67" s="12"/>
      <c r="VX67" s="12"/>
      <c r="WA67" s="13" t="s">
        <v>37</v>
      </c>
      <c r="WB67" s="13" t="s">
        <v>37</v>
      </c>
      <c r="WC67" s="13" t="s">
        <v>37</v>
      </c>
      <c r="WD67" s="13" t="s">
        <v>37</v>
      </c>
      <c r="WE67" s="13" t="s">
        <v>37</v>
      </c>
      <c r="WF67" s="13" t="s">
        <v>37</v>
      </c>
    </row>
    <row r="68" spans="1:604" ht="18" customHeight="1" x14ac:dyDescent="0.4">
      <c r="A68" s="11">
        <v>12</v>
      </c>
      <c r="B68" s="12" t="s">
        <v>111</v>
      </c>
      <c r="C68" s="12" t="s">
        <v>26</v>
      </c>
      <c r="D68" s="12" t="s">
        <v>973</v>
      </c>
      <c r="E68" s="81">
        <v>4.5</v>
      </c>
      <c r="F68" s="14">
        <v>0</v>
      </c>
      <c r="G68" s="14">
        <v>0</v>
      </c>
      <c r="H68" s="12" t="s">
        <v>91</v>
      </c>
      <c r="I68" s="29">
        <v>55.35</v>
      </c>
      <c r="J68" s="29">
        <v>-112.517</v>
      </c>
      <c r="K68" s="12" t="s">
        <v>696</v>
      </c>
      <c r="L68" s="12" t="s">
        <v>697</v>
      </c>
      <c r="M68" s="13" t="s">
        <v>37</v>
      </c>
      <c r="N68" s="14">
        <v>2.1</v>
      </c>
      <c r="O68" s="14">
        <v>504</v>
      </c>
      <c r="P68" s="14" t="s">
        <v>84</v>
      </c>
      <c r="Q68" s="75">
        <v>12</v>
      </c>
      <c r="R68" s="11" t="s">
        <v>999</v>
      </c>
      <c r="S68" s="12" t="s">
        <v>93</v>
      </c>
      <c r="T68" s="12" t="s">
        <v>141</v>
      </c>
      <c r="U68" s="12" t="s">
        <v>158</v>
      </c>
      <c r="V68" s="12" t="s">
        <v>275</v>
      </c>
      <c r="W68" s="23" t="s">
        <v>502</v>
      </c>
      <c r="X68" s="12" t="s">
        <v>857</v>
      </c>
      <c r="Y68" s="12" t="s">
        <v>69</v>
      </c>
      <c r="Z68" s="12" t="s">
        <v>37</v>
      </c>
      <c r="AA68" s="32" t="s">
        <v>501</v>
      </c>
      <c r="AB68" s="12">
        <v>4.0999999999999996</v>
      </c>
      <c r="AE68" s="12" t="s">
        <v>37</v>
      </c>
      <c r="AH68" s="12" t="s">
        <v>37</v>
      </c>
      <c r="AK68" s="12" t="s">
        <v>37</v>
      </c>
      <c r="AL68" s="32" t="s">
        <v>497</v>
      </c>
      <c r="AM68" s="12" t="s">
        <v>317</v>
      </c>
      <c r="AN68" s="32" t="s">
        <v>879</v>
      </c>
      <c r="AO68" s="12" t="s">
        <v>29</v>
      </c>
      <c r="AP68" s="12" t="s">
        <v>108</v>
      </c>
      <c r="AQ68" s="12" t="s">
        <v>975</v>
      </c>
      <c r="AT68" s="12" t="s">
        <v>326</v>
      </c>
      <c r="AU68" s="12" t="s">
        <v>326</v>
      </c>
      <c r="AV68" s="13" t="s">
        <v>326</v>
      </c>
      <c r="AX68" s="12" t="s">
        <v>326</v>
      </c>
      <c r="AY68" s="12" t="s">
        <v>326</v>
      </c>
      <c r="AZ68" s="13" t="s">
        <v>326</v>
      </c>
      <c r="BE68" s="12" t="s">
        <v>326</v>
      </c>
      <c r="BF68" s="12" t="s">
        <v>326</v>
      </c>
      <c r="BG68" s="12" t="s">
        <v>326</v>
      </c>
      <c r="BI68" s="12" t="s">
        <v>326</v>
      </c>
      <c r="BJ68" s="12" t="s">
        <v>326</v>
      </c>
      <c r="BK68" s="12" t="s">
        <v>326</v>
      </c>
      <c r="BP68" s="12" t="s">
        <v>37</v>
      </c>
      <c r="BQ68" s="12" t="s">
        <v>37</v>
      </c>
      <c r="BR68" s="13" t="s">
        <v>37</v>
      </c>
      <c r="BT68" s="12" t="s">
        <v>37</v>
      </c>
      <c r="BU68" s="12" t="s">
        <v>37</v>
      </c>
      <c r="BV68" s="12" t="s">
        <v>37</v>
      </c>
      <c r="CA68" s="12" t="s">
        <v>37</v>
      </c>
      <c r="CB68" s="12" t="s">
        <v>37</v>
      </c>
      <c r="CC68" s="13" t="s">
        <v>37</v>
      </c>
      <c r="CE68" s="12" t="s">
        <v>37</v>
      </c>
      <c r="CF68" s="12" t="s">
        <v>37</v>
      </c>
      <c r="CG68" s="13" t="s">
        <v>37</v>
      </c>
      <c r="CI68" s="52"/>
      <c r="CK68" s="73"/>
      <c r="CL68" s="73"/>
      <c r="CN68" s="12" t="s">
        <v>37</v>
      </c>
      <c r="CO68" s="12" t="s">
        <v>37</v>
      </c>
      <c r="CP68" s="13" t="s">
        <v>37</v>
      </c>
      <c r="CR68" s="12" t="s">
        <v>37</v>
      </c>
      <c r="CS68" s="12" t="s">
        <v>37</v>
      </c>
      <c r="CT68" s="13" t="s">
        <v>37</v>
      </c>
      <c r="CV68" s="52"/>
      <c r="CW68" s="52"/>
      <c r="CX68" s="73"/>
      <c r="CY68" s="73"/>
      <c r="DA68" s="12" t="s">
        <v>37</v>
      </c>
      <c r="DB68" s="12" t="s">
        <v>37</v>
      </c>
      <c r="DC68" s="13" t="s">
        <v>37</v>
      </c>
      <c r="DE68" s="12" t="s">
        <v>37</v>
      </c>
      <c r="DF68" s="12" t="s">
        <v>37</v>
      </c>
      <c r="DG68" s="13" t="s">
        <v>37</v>
      </c>
      <c r="DI68" s="52"/>
      <c r="DJ68" s="52"/>
      <c r="DK68" s="73"/>
      <c r="DL68" s="73"/>
      <c r="DM68" s="15" t="s">
        <v>47</v>
      </c>
      <c r="DN68" s="19">
        <f t="shared" si="226"/>
        <v>7.1375195796034658</v>
      </c>
      <c r="DO68" s="15">
        <f t="shared" si="227"/>
        <v>3.9633493035082119</v>
      </c>
      <c r="DP68" s="18">
        <v>3</v>
      </c>
      <c r="DQ68" s="19">
        <f t="shared" si="193"/>
        <v>0.5552838432603503</v>
      </c>
      <c r="DR68" s="19">
        <f>0.52*DR56+0.48*DR62</f>
        <v>1.8162894746130522</v>
      </c>
      <c r="DS68" s="15">
        <f>SQRT(0.52^2*DS56^2+0.48^2*DS62^2)</f>
        <v>1.2745561332707356</v>
      </c>
      <c r="DT68" s="18">
        <v>3</v>
      </c>
      <c r="DU68" s="19">
        <f t="shared" si="194"/>
        <v>0.70173623262463203</v>
      </c>
      <c r="DV68" s="19">
        <f t="shared" si="198"/>
        <v>-5.3212301049904136</v>
      </c>
      <c r="DW68" s="12">
        <f t="shared" si="195"/>
        <v>2.9438606487465639</v>
      </c>
      <c r="DX68" s="72">
        <f t="shared" si="196"/>
        <v>5.7775436794923589</v>
      </c>
      <c r="DY68" s="72">
        <f t="shared" si="197"/>
        <v>5.7775436794923598</v>
      </c>
      <c r="DZ68" s="15"/>
      <c r="EA68" s="52" t="s">
        <v>37</v>
      </c>
      <c r="EB68" s="52" t="s">
        <v>37</v>
      </c>
      <c r="EC68" s="73" t="s">
        <v>37</v>
      </c>
      <c r="ED68" s="52"/>
      <c r="EE68" s="52" t="s">
        <v>37</v>
      </c>
      <c r="EF68" s="52" t="s">
        <v>37</v>
      </c>
      <c r="EG68" s="15" t="s">
        <v>37</v>
      </c>
      <c r="EH68" s="52"/>
      <c r="EI68" s="52"/>
      <c r="EJ68" s="52"/>
      <c r="EK68" s="52"/>
      <c r="EL68" s="52"/>
      <c r="EM68" s="12" t="s">
        <v>39</v>
      </c>
      <c r="EN68" s="12">
        <f t="shared" si="222"/>
        <v>-45.680000000000007</v>
      </c>
      <c r="EO68" s="15">
        <f t="shared" si="223"/>
        <v>4.842822317616041</v>
      </c>
      <c r="EP68" s="18">
        <v>3</v>
      </c>
      <c r="EQ68" s="19">
        <f t="shared" si="139"/>
        <v>0.10601625038564011</v>
      </c>
      <c r="ER68" s="12">
        <f>0.52*ER56+0.48*ER62</f>
        <v>-118.08000000000001</v>
      </c>
      <c r="ES68" s="15">
        <f>SQRT(0.52^2*ES56^2+0.48^2*ES62^2)</f>
        <v>8.3505324381143513</v>
      </c>
      <c r="ET68" s="18">
        <v>3</v>
      </c>
      <c r="EU68" s="19">
        <f t="shared" si="140"/>
        <v>7.0719278778068689E-2</v>
      </c>
      <c r="EV68" s="19">
        <f t="shared" si="141"/>
        <v>-72.400000000000006</v>
      </c>
      <c r="EW68" s="12">
        <f t="shared" si="142"/>
        <v>6.8258450026352051</v>
      </c>
      <c r="EX68" s="19">
        <f t="shared" si="143"/>
        <v>31.061440000000005</v>
      </c>
      <c r="EY68" s="19">
        <f t="shared" si="144"/>
        <v>31.061440000000005</v>
      </c>
      <c r="FB68" s="11" t="s">
        <v>37</v>
      </c>
      <c r="FC68" s="11" t="s">
        <v>37</v>
      </c>
      <c r="FD68" s="11" t="s">
        <v>37</v>
      </c>
      <c r="FE68" s="12" t="s">
        <v>37</v>
      </c>
      <c r="FF68" s="20" t="s">
        <v>37</v>
      </c>
      <c r="FG68" s="11" t="s">
        <v>37</v>
      </c>
      <c r="FI68" s="11" t="s">
        <v>37</v>
      </c>
      <c r="FJ68" s="11" t="s">
        <v>37</v>
      </c>
      <c r="FK68" s="11" t="s">
        <v>37</v>
      </c>
      <c r="FL68" s="13" t="s">
        <v>37</v>
      </c>
      <c r="FM68" s="11" t="s">
        <v>37</v>
      </c>
      <c r="FN68" s="11" t="s">
        <v>37</v>
      </c>
      <c r="FP68" s="11" t="s">
        <v>37</v>
      </c>
      <c r="FQ68" s="11" t="s">
        <v>37</v>
      </c>
      <c r="FR68" s="11" t="s">
        <v>37</v>
      </c>
      <c r="FS68" s="13" t="s">
        <v>37</v>
      </c>
      <c r="FT68" s="11" t="s">
        <v>37</v>
      </c>
      <c r="FU68" s="11" t="s">
        <v>37</v>
      </c>
      <c r="FW68" s="11" t="s">
        <v>37</v>
      </c>
      <c r="FX68" s="11" t="s">
        <v>37</v>
      </c>
      <c r="FY68" s="11" t="s">
        <v>37</v>
      </c>
      <c r="FZ68" s="13" t="s">
        <v>37</v>
      </c>
      <c r="GA68" s="11" t="s">
        <v>37</v>
      </c>
      <c r="GB68" s="11" t="s">
        <v>37</v>
      </c>
      <c r="GO68" s="12" t="s">
        <v>660</v>
      </c>
      <c r="GP68" s="12" t="s">
        <v>330</v>
      </c>
      <c r="GQ68" s="12">
        <f t="shared" si="224"/>
        <v>12.3</v>
      </c>
      <c r="GR68" s="15">
        <f t="shared" si="225"/>
        <v>0.11202160505902424</v>
      </c>
      <c r="GS68" s="18">
        <v>3</v>
      </c>
      <c r="GT68" s="19">
        <f t="shared" si="145"/>
        <v>9.1074475657743278E-3</v>
      </c>
      <c r="GU68" s="12">
        <f>0.52*GU56+0.48*GU62</f>
        <v>13.411999999999999</v>
      </c>
      <c r="GV68" s="15">
        <f>SQRT(0.52^2*GV56^2+0.48^2*GV62^2)</f>
        <v>7.0767224051816541E-2</v>
      </c>
      <c r="GW68" s="18">
        <v>3</v>
      </c>
      <c r="GX68" s="19">
        <f t="shared" si="211"/>
        <v>5.2764109791094953E-3</v>
      </c>
      <c r="GY68" s="19">
        <f t="shared" si="203"/>
        <v>8.6550566225610234E-2</v>
      </c>
      <c r="GZ68" s="19">
        <f t="shared" si="204"/>
        <v>3.6928704661265315E-5</v>
      </c>
      <c r="HA68" s="12"/>
      <c r="HB68" s="32"/>
      <c r="HM68" s="32"/>
      <c r="IK68" s="12" t="s">
        <v>37</v>
      </c>
      <c r="IL68" s="12" t="s">
        <v>37</v>
      </c>
      <c r="IM68" s="13" t="s">
        <v>37</v>
      </c>
      <c r="IO68" s="12" t="s">
        <v>37</v>
      </c>
      <c r="IP68" s="12" t="s">
        <v>37</v>
      </c>
      <c r="IQ68" s="13" t="s">
        <v>37</v>
      </c>
      <c r="IV68" s="32" t="s">
        <v>501</v>
      </c>
      <c r="IW68" s="12">
        <v>4.0999999999999996</v>
      </c>
      <c r="IX68" s="12">
        <v>0.1</v>
      </c>
      <c r="IY68" s="13">
        <v>3</v>
      </c>
      <c r="IZ68" s="19">
        <f t="shared" si="147"/>
        <v>2.4390243902439029E-2</v>
      </c>
      <c r="JH68" s="12" t="s">
        <v>37</v>
      </c>
      <c r="JI68" s="12" t="s">
        <v>37</v>
      </c>
      <c r="JJ68" s="13" t="s">
        <v>37</v>
      </c>
      <c r="JL68" s="12" t="s">
        <v>37</v>
      </c>
      <c r="JM68" s="12" t="s">
        <v>37</v>
      </c>
      <c r="JN68" s="12" t="s">
        <v>37</v>
      </c>
      <c r="JS68" s="12" t="s">
        <v>37</v>
      </c>
      <c r="JT68" s="12" t="s">
        <v>37</v>
      </c>
      <c r="JU68" s="13" t="s">
        <v>37</v>
      </c>
      <c r="JW68" s="12" t="s">
        <v>37</v>
      </c>
      <c r="JX68" s="12" t="s">
        <v>37</v>
      </c>
      <c r="JY68" s="12" t="s">
        <v>37</v>
      </c>
      <c r="KE68" s="11" t="s">
        <v>37</v>
      </c>
      <c r="KF68" s="11" t="s">
        <v>37</v>
      </c>
      <c r="KG68" s="13" t="s">
        <v>37</v>
      </c>
      <c r="KH68" s="11" t="s">
        <v>37</v>
      </c>
      <c r="KI68" s="11" t="s">
        <v>37</v>
      </c>
      <c r="KJ68" s="11" t="s">
        <v>37</v>
      </c>
      <c r="KM68" s="12" t="s">
        <v>37</v>
      </c>
      <c r="KN68" s="12" t="s">
        <v>37</v>
      </c>
      <c r="KO68" s="11" t="s">
        <v>37</v>
      </c>
      <c r="KQ68" s="12" t="s">
        <v>37</v>
      </c>
      <c r="KR68" s="12" t="s">
        <v>37</v>
      </c>
      <c r="KS68" s="13" t="s">
        <v>37</v>
      </c>
      <c r="KX68" s="12" t="s">
        <v>37</v>
      </c>
      <c r="KY68" s="12" t="s">
        <v>37</v>
      </c>
      <c r="KZ68" s="13" t="s">
        <v>37</v>
      </c>
      <c r="LB68" s="12" t="s">
        <v>37</v>
      </c>
      <c r="LC68" s="12" t="s">
        <v>37</v>
      </c>
      <c r="LD68" s="13" t="s">
        <v>37</v>
      </c>
      <c r="LI68" s="12" t="s">
        <v>37</v>
      </c>
      <c r="LJ68" s="12" t="s">
        <v>37</v>
      </c>
      <c r="LK68" s="12" t="s">
        <v>37</v>
      </c>
      <c r="LM68" s="12" t="s">
        <v>37</v>
      </c>
      <c r="LN68" s="12" t="s">
        <v>37</v>
      </c>
      <c r="LO68" s="12" t="s">
        <v>37</v>
      </c>
      <c r="LU68" s="12" t="s">
        <v>37</v>
      </c>
      <c r="LV68" s="12" t="s">
        <v>37</v>
      </c>
      <c r="LW68" s="13" t="s">
        <v>37</v>
      </c>
      <c r="LY68" s="12" t="s">
        <v>37</v>
      </c>
      <c r="LZ68" s="12" t="s">
        <v>37</v>
      </c>
      <c r="MA68" s="12" t="s">
        <v>37</v>
      </c>
      <c r="MF68" s="12" t="s">
        <v>37</v>
      </c>
      <c r="MG68" s="12" t="s">
        <v>37</v>
      </c>
      <c r="MH68" s="12" t="s">
        <v>37</v>
      </c>
      <c r="MJ68" s="12" t="s">
        <v>37</v>
      </c>
      <c r="MK68" s="12" t="s">
        <v>37</v>
      </c>
      <c r="ML68" s="12" t="s">
        <v>37</v>
      </c>
      <c r="MQ68" s="12" t="s">
        <v>37</v>
      </c>
      <c r="MR68" s="12" t="s">
        <v>37</v>
      </c>
      <c r="MS68" s="12" t="s">
        <v>37</v>
      </c>
      <c r="MU68" s="12" t="s">
        <v>37</v>
      </c>
      <c r="MV68" s="12" t="s">
        <v>37</v>
      </c>
      <c r="MW68" s="12" t="s">
        <v>37</v>
      </c>
      <c r="NC68" s="12" t="s">
        <v>37</v>
      </c>
      <c r="ND68" s="12" t="s">
        <v>37</v>
      </c>
      <c r="NE68" s="13" t="s">
        <v>37</v>
      </c>
      <c r="NG68" s="12" t="s">
        <v>37</v>
      </c>
      <c r="NH68" s="12" t="s">
        <v>37</v>
      </c>
      <c r="NI68" s="13" t="s">
        <v>37</v>
      </c>
      <c r="NO68" s="12" t="s">
        <v>37</v>
      </c>
      <c r="NP68" s="12" t="s">
        <v>37</v>
      </c>
      <c r="NQ68" s="13" t="s">
        <v>37</v>
      </c>
      <c r="NS68" s="12" t="s">
        <v>37</v>
      </c>
      <c r="NT68" s="12" t="s">
        <v>37</v>
      </c>
      <c r="NU68" s="13" t="s">
        <v>37</v>
      </c>
      <c r="OA68" s="11" t="s">
        <v>37</v>
      </c>
      <c r="OB68" s="11" t="s">
        <v>37</v>
      </c>
      <c r="OC68" s="13" t="s">
        <v>37</v>
      </c>
      <c r="OE68" s="11" t="s">
        <v>37</v>
      </c>
      <c r="OF68" s="11" t="s">
        <v>37</v>
      </c>
      <c r="OG68" s="13" t="s">
        <v>37</v>
      </c>
      <c r="OM68" s="11" t="s">
        <v>37</v>
      </c>
      <c r="ON68" s="11" t="s">
        <v>37</v>
      </c>
      <c r="OO68" s="11" t="s">
        <v>37</v>
      </c>
      <c r="OP68" s="11" t="s">
        <v>37</v>
      </c>
      <c r="OQ68" s="11" t="s">
        <v>37</v>
      </c>
      <c r="OR68" s="11" t="s">
        <v>37</v>
      </c>
      <c r="OW68" s="11" t="s">
        <v>37</v>
      </c>
      <c r="OX68" s="11" t="s">
        <v>37</v>
      </c>
      <c r="OY68" s="13" t="s">
        <v>37</v>
      </c>
      <c r="OZ68" s="11" t="s">
        <v>37</v>
      </c>
      <c r="PA68" s="11" t="s">
        <v>37</v>
      </c>
      <c r="PB68" s="13" t="s">
        <v>37</v>
      </c>
      <c r="PG68" s="11" t="s">
        <v>37</v>
      </c>
      <c r="PH68" s="11" t="s">
        <v>37</v>
      </c>
      <c r="PI68" s="13" t="s">
        <v>37</v>
      </c>
      <c r="PJ68" s="11" t="s">
        <v>37</v>
      </c>
      <c r="PK68" s="11" t="s">
        <v>37</v>
      </c>
      <c r="PL68" s="13" t="s">
        <v>37</v>
      </c>
      <c r="PQ68" s="11" t="s">
        <v>37</v>
      </c>
      <c r="PR68" s="11" t="s">
        <v>37</v>
      </c>
      <c r="PS68" s="13" t="s">
        <v>37</v>
      </c>
      <c r="PT68" s="11" t="s">
        <v>37</v>
      </c>
      <c r="PU68" s="11" t="s">
        <v>37</v>
      </c>
      <c r="PV68" s="13" t="s">
        <v>37</v>
      </c>
      <c r="PY68" s="12" t="s">
        <v>43</v>
      </c>
      <c r="PZ68" s="12">
        <f t="shared" si="188"/>
        <v>377.44000000000005</v>
      </c>
      <c r="QA68" s="12">
        <f t="shared" si="189"/>
        <v>33.343665065496324</v>
      </c>
      <c r="QB68" s="11">
        <v>3</v>
      </c>
      <c r="QC68" s="19">
        <f t="shared" si="155"/>
        <v>8.834163063134888E-2</v>
      </c>
      <c r="QD68" s="12">
        <f>643*0.52+378*0.48</f>
        <v>515.79999999999995</v>
      </c>
      <c r="QE68" s="12">
        <f>SQRT(0.52^2*((18*SQRT(3))^2)+0.48^2*((6*SQRT(3))^2))/2</f>
        <v>8.4810376723606176</v>
      </c>
      <c r="QF68" s="13">
        <v>3</v>
      </c>
      <c r="QG68" s="19">
        <f t="shared" si="156"/>
        <v>1.6442492579217951E-2</v>
      </c>
      <c r="QH68" s="19">
        <f t="shared" si="148"/>
        <v>0.31230747778787926</v>
      </c>
      <c r="QI68" s="19">
        <f t="shared" si="149"/>
        <v>2.691533088274438E-3</v>
      </c>
      <c r="QJ68" s="12" t="s">
        <v>43</v>
      </c>
      <c r="QK68" s="12">
        <f t="shared" si="190"/>
        <v>648.52</v>
      </c>
      <c r="QL68" s="12">
        <f t="shared" si="191"/>
        <v>128.63291025239224</v>
      </c>
      <c r="QM68" s="13">
        <v>3</v>
      </c>
      <c r="QN68" s="12">
        <f>925*0.52+975*0.48</f>
        <v>949</v>
      </c>
      <c r="QO68" s="12">
        <f>SQRT(0.52^2*((247*SQRT(3))^2)+0.48^2*((301*SQRT(3))^2))/2</f>
        <v>167.4170779819072</v>
      </c>
      <c r="QP68" s="13">
        <v>3</v>
      </c>
      <c r="QQ68" s="19">
        <f t="shared" si="158"/>
        <v>0.38071595492805954</v>
      </c>
      <c r="QR68" s="19">
        <f t="shared" si="150"/>
        <v>2.3488020718289072E-2</v>
      </c>
      <c r="QU68" s="11" t="s">
        <v>37</v>
      </c>
      <c r="QV68" s="11" t="s">
        <v>37</v>
      </c>
      <c r="QW68" s="13" t="s">
        <v>37</v>
      </c>
      <c r="QX68" s="11" t="s">
        <v>37</v>
      </c>
      <c r="QY68" s="11" t="s">
        <v>37</v>
      </c>
      <c r="QZ68" s="13" t="s">
        <v>37</v>
      </c>
      <c r="RC68" s="12" t="s">
        <v>37</v>
      </c>
      <c r="RD68" s="12" t="s">
        <v>37</v>
      </c>
      <c r="RE68" s="13" t="s">
        <v>37</v>
      </c>
      <c r="RF68" s="12" t="s">
        <v>37</v>
      </c>
      <c r="RG68" s="12" t="s">
        <v>37</v>
      </c>
      <c r="RH68" s="13" t="s">
        <v>37</v>
      </c>
      <c r="RK68" s="11" t="s">
        <v>37</v>
      </c>
      <c r="RL68" s="11" t="s">
        <v>37</v>
      </c>
      <c r="RM68" s="11" t="s">
        <v>37</v>
      </c>
      <c r="RN68" s="11" t="s">
        <v>37</v>
      </c>
      <c r="RO68" s="11" t="s">
        <v>37</v>
      </c>
      <c r="RP68" s="11" t="s">
        <v>37</v>
      </c>
      <c r="RS68" s="11" t="s">
        <v>37</v>
      </c>
      <c r="RT68" s="11" t="s">
        <v>37</v>
      </c>
      <c r="RU68" s="11" t="s">
        <v>37</v>
      </c>
      <c r="RV68" s="11" t="s">
        <v>37</v>
      </c>
      <c r="RW68" s="11" t="s">
        <v>37</v>
      </c>
      <c r="RX68" s="11" t="s">
        <v>37</v>
      </c>
      <c r="SA68" s="11" t="s">
        <v>37</v>
      </c>
      <c r="SB68" s="11" t="s">
        <v>37</v>
      </c>
      <c r="SC68" s="13" t="s">
        <v>37</v>
      </c>
      <c r="SD68" s="11" t="s">
        <v>37</v>
      </c>
      <c r="SE68" s="11" t="s">
        <v>37</v>
      </c>
      <c r="SF68" s="13" t="s">
        <v>37</v>
      </c>
      <c r="SI68" s="12" t="s">
        <v>37</v>
      </c>
      <c r="SJ68" s="11" t="s">
        <v>37</v>
      </c>
      <c r="SK68" s="13" t="s">
        <v>37</v>
      </c>
      <c r="SM68" s="11" t="s">
        <v>37</v>
      </c>
      <c r="SN68" s="11" t="s">
        <v>37</v>
      </c>
      <c r="SO68" s="13" t="s">
        <v>37</v>
      </c>
      <c r="SU68" s="12" t="s">
        <v>37</v>
      </c>
      <c r="SV68" s="12" t="s">
        <v>37</v>
      </c>
      <c r="SW68" s="11" t="s">
        <v>37</v>
      </c>
      <c r="SX68" s="12" t="s">
        <v>37</v>
      </c>
      <c r="SY68" s="12" t="s">
        <v>37</v>
      </c>
      <c r="SZ68" s="11" t="s">
        <v>37</v>
      </c>
      <c r="TE68" s="12" t="s">
        <v>37</v>
      </c>
      <c r="TF68" s="12" t="s">
        <v>37</v>
      </c>
      <c r="TG68" s="11" t="s">
        <v>37</v>
      </c>
      <c r="TH68" s="12" t="s">
        <v>37</v>
      </c>
      <c r="TI68" s="12" t="s">
        <v>37</v>
      </c>
      <c r="TJ68" s="11" t="s">
        <v>37</v>
      </c>
      <c r="TO68" s="12" t="s">
        <v>37</v>
      </c>
      <c r="TP68" s="12" t="s">
        <v>37</v>
      </c>
      <c r="TQ68" s="11" t="s">
        <v>37</v>
      </c>
      <c r="TR68" s="12" t="s">
        <v>37</v>
      </c>
      <c r="TS68" s="12" t="s">
        <v>37</v>
      </c>
      <c r="TT68" s="11" t="s">
        <v>37</v>
      </c>
      <c r="TY68" s="12" t="s">
        <v>37</v>
      </c>
      <c r="TZ68" s="12" t="s">
        <v>37</v>
      </c>
      <c r="UA68" s="11" t="s">
        <v>37</v>
      </c>
      <c r="UB68" s="12" t="s">
        <v>37</v>
      </c>
      <c r="UC68" s="12" t="s">
        <v>37</v>
      </c>
      <c r="UD68" s="11" t="s">
        <v>37</v>
      </c>
      <c r="UI68" s="12" t="s">
        <v>37</v>
      </c>
      <c r="UJ68" s="12" t="s">
        <v>37</v>
      </c>
      <c r="UK68" s="13" t="s">
        <v>37</v>
      </c>
      <c r="UL68" s="12" t="s">
        <v>37</v>
      </c>
      <c r="UM68" s="12" t="s">
        <v>37</v>
      </c>
      <c r="UN68" s="13" t="s">
        <v>37</v>
      </c>
      <c r="UR68" s="12" t="s">
        <v>37</v>
      </c>
      <c r="US68" s="12" t="s">
        <v>37</v>
      </c>
      <c r="UT68" s="13" t="s">
        <v>37</v>
      </c>
      <c r="UU68" s="12" t="s">
        <v>37</v>
      </c>
      <c r="UV68" s="12" t="s">
        <v>37</v>
      </c>
      <c r="UW68" s="13" t="s">
        <v>37</v>
      </c>
      <c r="VB68" s="12" t="s">
        <v>37</v>
      </c>
      <c r="VC68" s="12" t="s">
        <v>37</v>
      </c>
      <c r="VD68" s="13" t="s">
        <v>37</v>
      </c>
      <c r="VE68" s="12" t="s">
        <v>37</v>
      </c>
      <c r="VF68" s="12" t="s">
        <v>37</v>
      </c>
      <c r="VG68" s="13" t="s">
        <v>37</v>
      </c>
      <c r="VI68" s="12" t="s">
        <v>37</v>
      </c>
      <c r="VJ68" s="12" t="s">
        <v>37</v>
      </c>
      <c r="VK68" s="13" t="s">
        <v>37</v>
      </c>
      <c r="VL68" s="12" t="s">
        <v>37</v>
      </c>
      <c r="VM68" s="12" t="s">
        <v>37</v>
      </c>
      <c r="VN68" s="13" t="s">
        <v>37</v>
      </c>
      <c r="VO68" s="12" t="s">
        <v>37</v>
      </c>
      <c r="VQ68" s="12" t="s">
        <v>37</v>
      </c>
      <c r="VR68" s="12" t="s">
        <v>37</v>
      </c>
      <c r="VS68" s="12" t="s">
        <v>37</v>
      </c>
      <c r="VT68" s="12" t="s">
        <v>37</v>
      </c>
      <c r="VU68" s="12" t="s">
        <v>37</v>
      </c>
      <c r="VV68" s="12" t="s">
        <v>37</v>
      </c>
      <c r="VW68" s="12"/>
      <c r="VX68" s="12"/>
      <c r="WA68" s="13" t="s">
        <v>37</v>
      </c>
      <c r="WB68" s="13" t="s">
        <v>37</v>
      </c>
      <c r="WC68" s="13" t="s">
        <v>37</v>
      </c>
      <c r="WD68" s="13" t="s">
        <v>37</v>
      </c>
      <c r="WE68" s="13" t="s">
        <v>37</v>
      </c>
      <c r="WF68" s="13" t="s">
        <v>37</v>
      </c>
    </row>
    <row r="69" spans="1:604" ht="18" customHeight="1" x14ac:dyDescent="0.4">
      <c r="A69" s="11">
        <v>12</v>
      </c>
      <c r="B69" s="12" t="s">
        <v>111</v>
      </c>
      <c r="C69" s="12" t="s">
        <v>26</v>
      </c>
      <c r="D69" s="12" t="s">
        <v>973</v>
      </c>
      <c r="E69" s="81">
        <v>4.5</v>
      </c>
      <c r="F69" s="14">
        <v>0</v>
      </c>
      <c r="G69" s="14">
        <v>0</v>
      </c>
      <c r="H69" s="12" t="s">
        <v>91</v>
      </c>
      <c r="I69" s="29">
        <v>55.35</v>
      </c>
      <c r="J69" s="29">
        <v>-112.517</v>
      </c>
      <c r="K69" s="12" t="s">
        <v>696</v>
      </c>
      <c r="L69" s="12" t="s">
        <v>697</v>
      </c>
      <c r="M69" s="13" t="s">
        <v>37</v>
      </c>
      <c r="N69" s="14">
        <v>2.1</v>
      </c>
      <c r="O69" s="14">
        <v>504</v>
      </c>
      <c r="P69" s="14" t="s">
        <v>84</v>
      </c>
      <c r="Q69" s="75">
        <v>3</v>
      </c>
      <c r="R69" s="11" t="s">
        <v>999</v>
      </c>
      <c r="S69" s="12" t="s">
        <v>93</v>
      </c>
      <c r="T69" s="12" t="s">
        <v>141</v>
      </c>
      <c r="U69" s="12" t="s">
        <v>158</v>
      </c>
      <c r="V69" s="12" t="s">
        <v>275</v>
      </c>
      <c r="W69" s="23" t="s">
        <v>502</v>
      </c>
      <c r="X69" s="12" t="s">
        <v>857</v>
      </c>
      <c r="Y69" s="12" t="s">
        <v>69</v>
      </c>
      <c r="Z69" s="12" t="s">
        <v>37</v>
      </c>
      <c r="AA69" s="32" t="s">
        <v>501</v>
      </c>
      <c r="AB69" s="12">
        <v>4.0999999999999996</v>
      </c>
      <c r="AE69" s="12" t="s">
        <v>37</v>
      </c>
      <c r="AH69" s="12" t="s">
        <v>37</v>
      </c>
      <c r="AK69" s="12" t="s">
        <v>37</v>
      </c>
      <c r="AL69" s="32" t="s">
        <v>498</v>
      </c>
      <c r="AM69" s="12" t="s">
        <v>317</v>
      </c>
      <c r="AN69" s="32" t="s">
        <v>879</v>
      </c>
      <c r="AO69" s="12" t="s">
        <v>29</v>
      </c>
      <c r="AP69" s="12" t="s">
        <v>108</v>
      </c>
      <c r="AQ69" s="12" t="s">
        <v>975</v>
      </c>
      <c r="AT69" s="12" t="s">
        <v>326</v>
      </c>
      <c r="AU69" s="12" t="s">
        <v>326</v>
      </c>
      <c r="AV69" s="13" t="s">
        <v>326</v>
      </c>
      <c r="AX69" s="12" t="s">
        <v>326</v>
      </c>
      <c r="AY69" s="12" t="s">
        <v>326</v>
      </c>
      <c r="AZ69" s="13" t="s">
        <v>326</v>
      </c>
      <c r="BE69" s="12" t="s">
        <v>326</v>
      </c>
      <c r="BF69" s="12" t="s">
        <v>326</v>
      </c>
      <c r="BG69" s="12" t="s">
        <v>326</v>
      </c>
      <c r="BI69" s="12" t="s">
        <v>326</v>
      </c>
      <c r="BJ69" s="12" t="s">
        <v>326</v>
      </c>
      <c r="BK69" s="12" t="s">
        <v>326</v>
      </c>
      <c r="BP69" s="12" t="s">
        <v>37</v>
      </c>
      <c r="BQ69" s="12" t="s">
        <v>37</v>
      </c>
      <c r="BR69" s="13" t="s">
        <v>37</v>
      </c>
      <c r="BT69" s="12" t="s">
        <v>37</v>
      </c>
      <c r="BU69" s="12" t="s">
        <v>37</v>
      </c>
      <c r="BV69" s="12" t="s">
        <v>37</v>
      </c>
      <c r="CA69" s="12" t="s">
        <v>37</v>
      </c>
      <c r="CB69" s="12" t="s">
        <v>37</v>
      </c>
      <c r="CC69" s="13" t="s">
        <v>37</v>
      </c>
      <c r="CE69" s="12" t="s">
        <v>37</v>
      </c>
      <c r="CF69" s="12" t="s">
        <v>37</v>
      </c>
      <c r="CG69" s="13" t="s">
        <v>37</v>
      </c>
      <c r="CJ69" s="12"/>
      <c r="CN69" s="12" t="s">
        <v>37</v>
      </c>
      <c r="CO69" s="12" t="s">
        <v>37</v>
      </c>
      <c r="CP69" s="13" t="s">
        <v>37</v>
      </c>
      <c r="CR69" s="12" t="s">
        <v>37</v>
      </c>
      <c r="CS69" s="12" t="s">
        <v>37</v>
      </c>
      <c r="CT69" s="13" t="s">
        <v>37</v>
      </c>
      <c r="CX69" s="72"/>
      <c r="CY69" s="72"/>
      <c r="DA69" s="12" t="s">
        <v>37</v>
      </c>
      <c r="DB69" s="12" t="s">
        <v>37</v>
      </c>
      <c r="DC69" s="13" t="s">
        <v>37</v>
      </c>
      <c r="DE69" s="12" t="s">
        <v>37</v>
      </c>
      <c r="DF69" s="12" t="s">
        <v>37</v>
      </c>
      <c r="DG69" s="13" t="s">
        <v>37</v>
      </c>
      <c r="DI69" s="52"/>
      <c r="DJ69" s="52"/>
      <c r="DK69" s="73"/>
      <c r="DL69" s="73"/>
      <c r="DM69" s="15" t="s">
        <v>47</v>
      </c>
      <c r="DN69" s="19">
        <f t="shared" si="226"/>
        <v>8.4029927968922031</v>
      </c>
      <c r="DO69" s="15">
        <f t="shared" si="227"/>
        <v>3.1873816651232265</v>
      </c>
      <c r="DP69" s="18">
        <v>3</v>
      </c>
      <c r="DQ69" s="19">
        <f t="shared" si="193"/>
        <v>0.37931505383439823</v>
      </c>
      <c r="DR69" s="19">
        <f>0.55*DR57+0.45*DR63</f>
        <v>1.0794478740303646</v>
      </c>
      <c r="DS69" s="15">
        <f>SQRT(0.55^2*DS57^2+0.45^2*DS63^2)</f>
        <v>0.96059962800413323</v>
      </c>
      <c r="DT69" s="18">
        <v>3</v>
      </c>
      <c r="DU69" s="19">
        <f t="shared" si="194"/>
        <v>0.88989904108802931</v>
      </c>
      <c r="DV69" s="19">
        <f t="shared" si="198"/>
        <v>-7.3235449228618386</v>
      </c>
      <c r="DW69" s="12">
        <f t="shared" si="195"/>
        <v>2.353949184294915</v>
      </c>
      <c r="DX69" s="72">
        <f t="shared" si="196"/>
        <v>3.6940511748284632</v>
      </c>
      <c r="DY69" s="72">
        <f t="shared" si="197"/>
        <v>3.6940511748284637</v>
      </c>
      <c r="DZ69" s="15"/>
      <c r="EA69" s="52" t="s">
        <v>37</v>
      </c>
      <c r="EB69" s="52" t="s">
        <v>37</v>
      </c>
      <c r="EC69" s="73" t="s">
        <v>37</v>
      </c>
      <c r="ED69" s="52"/>
      <c r="EE69" s="52" t="s">
        <v>37</v>
      </c>
      <c r="EF69" s="52" t="s">
        <v>37</v>
      </c>
      <c r="EG69" s="15" t="s">
        <v>37</v>
      </c>
      <c r="EH69" s="52"/>
      <c r="EI69" s="52"/>
      <c r="EJ69" s="52"/>
      <c r="EK69" s="52"/>
      <c r="EL69" s="52"/>
      <c r="EM69" s="12" t="s">
        <v>39</v>
      </c>
      <c r="EN69" s="12">
        <f t="shared" si="222"/>
        <v>-53.36</v>
      </c>
      <c r="EO69" s="15">
        <f t="shared" si="223"/>
        <v>6.3986248522631799</v>
      </c>
      <c r="EP69" s="18">
        <v>3</v>
      </c>
      <c r="EQ69" s="19">
        <f t="shared" si="139"/>
        <v>0.11991425885050937</v>
      </c>
      <c r="ER69" s="12">
        <f>0.55*ER57+0.45*ER63</f>
        <v>-88.300000000000011</v>
      </c>
      <c r="ES69" s="15">
        <f>SQRT(0.55^2*ES57^2+0.45^2*ES63^2)</f>
        <v>8.3224065029293062</v>
      </c>
      <c r="ET69" s="18">
        <v>3</v>
      </c>
      <c r="EU69" s="19">
        <f t="shared" si="140"/>
        <v>9.4251489274397568E-2</v>
      </c>
      <c r="EV69" s="19">
        <f t="shared" si="141"/>
        <v>-34.940000000000012</v>
      </c>
      <c r="EW69" s="12">
        <f t="shared" si="142"/>
        <v>7.4231007671996476</v>
      </c>
      <c r="EX69" s="19">
        <f t="shared" si="143"/>
        <v>36.734949999999998</v>
      </c>
      <c r="EY69" s="19">
        <f t="shared" si="144"/>
        <v>36.734949999999998</v>
      </c>
      <c r="FB69" s="11" t="s">
        <v>37</v>
      </c>
      <c r="FC69" s="11" t="s">
        <v>37</v>
      </c>
      <c r="FD69" s="11" t="s">
        <v>37</v>
      </c>
      <c r="FE69" s="12" t="s">
        <v>37</v>
      </c>
      <c r="FF69" s="20" t="s">
        <v>37</v>
      </c>
      <c r="FG69" s="11" t="s">
        <v>37</v>
      </c>
      <c r="FI69" s="11" t="s">
        <v>37</v>
      </c>
      <c r="FJ69" s="11" t="s">
        <v>37</v>
      </c>
      <c r="FK69" s="11" t="s">
        <v>37</v>
      </c>
      <c r="FL69" s="13" t="s">
        <v>37</v>
      </c>
      <c r="FM69" s="11" t="s">
        <v>37</v>
      </c>
      <c r="FN69" s="11" t="s">
        <v>37</v>
      </c>
      <c r="FP69" s="11" t="s">
        <v>37</v>
      </c>
      <c r="FQ69" s="11" t="s">
        <v>37</v>
      </c>
      <c r="FR69" s="11" t="s">
        <v>37</v>
      </c>
      <c r="FS69" s="13" t="s">
        <v>37</v>
      </c>
      <c r="FT69" s="11" t="s">
        <v>37</v>
      </c>
      <c r="FU69" s="11" t="s">
        <v>37</v>
      </c>
      <c r="FW69" s="11" t="s">
        <v>37</v>
      </c>
      <c r="FX69" s="11" t="s">
        <v>37</v>
      </c>
      <c r="FY69" s="11" t="s">
        <v>37</v>
      </c>
      <c r="FZ69" s="13" t="s">
        <v>37</v>
      </c>
      <c r="GA69" s="11" t="s">
        <v>37</v>
      </c>
      <c r="GB69" s="11" t="s">
        <v>37</v>
      </c>
      <c r="GO69" s="12" t="s">
        <v>660</v>
      </c>
      <c r="GP69" s="12" t="s">
        <v>330</v>
      </c>
      <c r="GQ69" s="12">
        <f t="shared" si="224"/>
        <v>12.3</v>
      </c>
      <c r="GR69" s="15">
        <f t="shared" si="225"/>
        <v>0.11202160505902424</v>
      </c>
      <c r="GS69" s="18">
        <v>3</v>
      </c>
      <c r="GT69" s="19">
        <f t="shared" si="145"/>
        <v>9.1074475657743278E-3</v>
      </c>
      <c r="GU69" s="12">
        <f>0.55*GU57+0.45*GU63</f>
        <v>13.1</v>
      </c>
      <c r="GV69" s="15">
        <f>SQRT(0.55^2*GV57^2+0.45^2*GV63^2)</f>
        <v>7.1063352017759485E-2</v>
      </c>
      <c r="GW69" s="18">
        <v>3</v>
      </c>
      <c r="GX69" s="19">
        <f t="shared" si="211"/>
        <v>5.4246833601343117E-3</v>
      </c>
      <c r="GY69" s="19">
        <f t="shared" si="203"/>
        <v>6.301296782873396E-2</v>
      </c>
      <c r="GZ69" s="19">
        <f t="shared" si="204"/>
        <v>3.7457596907015607E-5</v>
      </c>
      <c r="IK69" s="12" t="s">
        <v>37</v>
      </c>
      <c r="IL69" s="12" t="s">
        <v>37</v>
      </c>
      <c r="IM69" s="13" t="s">
        <v>37</v>
      </c>
      <c r="IO69" s="12" t="s">
        <v>37</v>
      </c>
      <c r="IP69" s="12" t="s">
        <v>37</v>
      </c>
      <c r="IQ69" s="13" t="s">
        <v>37</v>
      </c>
      <c r="IV69" s="32" t="s">
        <v>501</v>
      </c>
      <c r="IW69" s="12">
        <v>4.0999999999999996</v>
      </c>
      <c r="IX69" s="12">
        <v>0.1</v>
      </c>
      <c r="IY69" s="13">
        <v>3</v>
      </c>
      <c r="IZ69" s="19">
        <f t="shared" si="147"/>
        <v>2.4390243902439029E-2</v>
      </c>
      <c r="JH69" s="12" t="s">
        <v>37</v>
      </c>
      <c r="JI69" s="12" t="s">
        <v>37</v>
      </c>
      <c r="JJ69" s="13" t="s">
        <v>37</v>
      </c>
      <c r="JL69" s="12" t="s">
        <v>37</v>
      </c>
      <c r="JM69" s="12" t="s">
        <v>37</v>
      </c>
      <c r="JN69" s="12" t="s">
        <v>37</v>
      </c>
      <c r="JS69" s="12" t="s">
        <v>37</v>
      </c>
      <c r="JT69" s="12" t="s">
        <v>37</v>
      </c>
      <c r="JU69" s="13" t="s">
        <v>37</v>
      </c>
      <c r="JW69" s="12" t="s">
        <v>37</v>
      </c>
      <c r="JX69" s="12" t="s">
        <v>37</v>
      </c>
      <c r="JY69" s="12" t="s">
        <v>37</v>
      </c>
      <c r="KE69" s="11" t="s">
        <v>37</v>
      </c>
      <c r="KF69" s="11" t="s">
        <v>37</v>
      </c>
      <c r="KG69" s="13" t="s">
        <v>37</v>
      </c>
      <c r="KH69" s="11" t="s">
        <v>37</v>
      </c>
      <c r="KI69" s="11" t="s">
        <v>37</v>
      </c>
      <c r="KJ69" s="11" t="s">
        <v>37</v>
      </c>
      <c r="KM69" s="12" t="s">
        <v>37</v>
      </c>
      <c r="KN69" s="12" t="s">
        <v>37</v>
      </c>
      <c r="KO69" s="11" t="s">
        <v>37</v>
      </c>
      <c r="KQ69" s="12" t="s">
        <v>37</v>
      </c>
      <c r="KR69" s="12" t="s">
        <v>37</v>
      </c>
      <c r="KS69" s="13" t="s">
        <v>37</v>
      </c>
      <c r="KX69" s="12" t="s">
        <v>37</v>
      </c>
      <c r="KY69" s="12" t="s">
        <v>37</v>
      </c>
      <c r="KZ69" s="13" t="s">
        <v>37</v>
      </c>
      <c r="LB69" s="12" t="s">
        <v>37</v>
      </c>
      <c r="LC69" s="12" t="s">
        <v>37</v>
      </c>
      <c r="LD69" s="13" t="s">
        <v>37</v>
      </c>
      <c r="LI69" s="12" t="s">
        <v>37</v>
      </c>
      <c r="LJ69" s="12" t="s">
        <v>37</v>
      </c>
      <c r="LK69" s="12" t="s">
        <v>37</v>
      </c>
      <c r="LM69" s="12" t="s">
        <v>37</v>
      </c>
      <c r="LN69" s="12" t="s">
        <v>37</v>
      </c>
      <c r="LO69" s="12" t="s">
        <v>37</v>
      </c>
      <c r="LU69" s="12" t="s">
        <v>37</v>
      </c>
      <c r="LV69" s="12" t="s">
        <v>37</v>
      </c>
      <c r="LW69" s="13" t="s">
        <v>37</v>
      </c>
      <c r="LY69" s="12" t="s">
        <v>37</v>
      </c>
      <c r="LZ69" s="12" t="s">
        <v>37</v>
      </c>
      <c r="MA69" s="12" t="s">
        <v>37</v>
      </c>
      <c r="MF69" s="12" t="s">
        <v>37</v>
      </c>
      <c r="MG69" s="12" t="s">
        <v>37</v>
      </c>
      <c r="MH69" s="12" t="s">
        <v>37</v>
      </c>
      <c r="MJ69" s="12" t="s">
        <v>37</v>
      </c>
      <c r="MK69" s="12" t="s">
        <v>37</v>
      </c>
      <c r="ML69" s="12" t="s">
        <v>37</v>
      </c>
      <c r="MQ69" s="12" t="s">
        <v>37</v>
      </c>
      <c r="MR69" s="12" t="s">
        <v>37</v>
      </c>
      <c r="MS69" s="12" t="s">
        <v>37</v>
      </c>
      <c r="MU69" s="12" t="s">
        <v>37</v>
      </c>
      <c r="MV69" s="12" t="s">
        <v>37</v>
      </c>
      <c r="MW69" s="12" t="s">
        <v>37</v>
      </c>
      <c r="NC69" s="12" t="s">
        <v>37</v>
      </c>
      <c r="ND69" s="12" t="s">
        <v>37</v>
      </c>
      <c r="NE69" s="13" t="s">
        <v>37</v>
      </c>
      <c r="NG69" s="12" t="s">
        <v>37</v>
      </c>
      <c r="NH69" s="12" t="s">
        <v>37</v>
      </c>
      <c r="NI69" s="13" t="s">
        <v>37</v>
      </c>
      <c r="NO69" s="12" t="s">
        <v>37</v>
      </c>
      <c r="NP69" s="12" t="s">
        <v>37</v>
      </c>
      <c r="NQ69" s="13" t="s">
        <v>37</v>
      </c>
      <c r="NS69" s="12" t="s">
        <v>37</v>
      </c>
      <c r="NT69" s="12" t="s">
        <v>37</v>
      </c>
      <c r="NU69" s="13" t="s">
        <v>37</v>
      </c>
      <c r="OA69" s="11" t="s">
        <v>37</v>
      </c>
      <c r="OB69" s="11" t="s">
        <v>37</v>
      </c>
      <c r="OC69" s="13" t="s">
        <v>37</v>
      </c>
      <c r="OE69" s="11" t="s">
        <v>37</v>
      </c>
      <c r="OF69" s="11" t="s">
        <v>37</v>
      </c>
      <c r="OG69" s="13" t="s">
        <v>37</v>
      </c>
      <c r="OM69" s="11" t="s">
        <v>37</v>
      </c>
      <c r="ON69" s="11" t="s">
        <v>37</v>
      </c>
      <c r="OO69" s="11" t="s">
        <v>37</v>
      </c>
      <c r="OP69" s="11" t="s">
        <v>37</v>
      </c>
      <c r="OQ69" s="11" t="s">
        <v>37</v>
      </c>
      <c r="OR69" s="11" t="s">
        <v>37</v>
      </c>
      <c r="OW69" s="11" t="s">
        <v>37</v>
      </c>
      <c r="OX69" s="11" t="s">
        <v>37</v>
      </c>
      <c r="OY69" s="13" t="s">
        <v>37</v>
      </c>
      <c r="OZ69" s="11" t="s">
        <v>37</v>
      </c>
      <c r="PA69" s="11" t="s">
        <v>37</v>
      </c>
      <c r="PB69" s="13" t="s">
        <v>37</v>
      </c>
      <c r="PG69" s="11" t="s">
        <v>37</v>
      </c>
      <c r="PH69" s="11" t="s">
        <v>37</v>
      </c>
      <c r="PI69" s="13" t="s">
        <v>37</v>
      </c>
      <c r="PJ69" s="11" t="s">
        <v>37</v>
      </c>
      <c r="PK69" s="11" t="s">
        <v>37</v>
      </c>
      <c r="PL69" s="13" t="s">
        <v>37</v>
      </c>
      <c r="PQ69" s="11" t="s">
        <v>37</v>
      </c>
      <c r="PR69" s="11" t="s">
        <v>37</v>
      </c>
      <c r="PS69" s="13" t="s">
        <v>37</v>
      </c>
      <c r="PT69" s="11" t="s">
        <v>37</v>
      </c>
      <c r="PU69" s="11" t="s">
        <v>37</v>
      </c>
      <c r="PV69" s="13" t="s">
        <v>37</v>
      </c>
      <c r="PY69" s="12" t="s">
        <v>43</v>
      </c>
      <c r="PZ69" s="12">
        <f t="shared" si="188"/>
        <v>377.44000000000005</v>
      </c>
      <c r="QA69" s="12">
        <f t="shared" si="189"/>
        <v>33.343665065496324</v>
      </c>
      <c r="QB69" s="11">
        <v>3</v>
      </c>
      <c r="QC69" s="19">
        <f t="shared" si="155"/>
        <v>8.834163063134888E-2</v>
      </c>
      <c r="QD69" s="12">
        <f>251*0.55+327*0.45</f>
        <v>285.20000000000005</v>
      </c>
      <c r="QE69" s="12">
        <f>SQRT(0.55^2*((78*SQRT(3))^2)+0.45^2*((51*SQRT(3))^2))/2</f>
        <v>42.134716980181558</v>
      </c>
      <c r="QF69" s="13">
        <v>3</v>
      </c>
      <c r="QG69" s="19">
        <f t="shared" si="156"/>
        <v>0.14773743681690585</v>
      </c>
      <c r="QH69" s="19">
        <f t="shared" si="148"/>
        <v>-0.28022092711922397</v>
      </c>
      <c r="QI69" s="19">
        <f t="shared" si="149"/>
        <v>9.8768646466116435E-3</v>
      </c>
      <c r="QJ69" s="12" t="s">
        <v>43</v>
      </c>
      <c r="QK69" s="12">
        <f t="shared" si="190"/>
        <v>648.52</v>
      </c>
      <c r="QL69" s="12">
        <f t="shared" si="191"/>
        <v>128.63291025239224</v>
      </c>
      <c r="QM69" s="13">
        <v>3</v>
      </c>
      <c r="QN69" s="12">
        <f>441*0.55+715*0.45</f>
        <v>564.29999999999995</v>
      </c>
      <c r="QO69" s="12">
        <f>SQRT(0.55^2*((78*SQRT(3))^2)+0.45^2*((51*SQRT(3))^2))/2</f>
        <v>42.134716980181558</v>
      </c>
      <c r="QP69" s="13">
        <v>3</v>
      </c>
      <c r="QQ69" s="19">
        <f t="shared" si="158"/>
        <v>-0.13910681870677402</v>
      </c>
      <c r="QR69" s="19">
        <f t="shared" si="150"/>
        <v>1.4972428792460963E-2</v>
      </c>
      <c r="QU69" s="11" t="s">
        <v>37</v>
      </c>
      <c r="QV69" s="11" t="s">
        <v>37</v>
      </c>
      <c r="QW69" s="13" t="s">
        <v>37</v>
      </c>
      <c r="QX69" s="11" t="s">
        <v>37</v>
      </c>
      <c r="QY69" s="11" t="s">
        <v>37</v>
      </c>
      <c r="QZ69" s="13" t="s">
        <v>37</v>
      </c>
      <c r="RC69" s="12" t="s">
        <v>37</v>
      </c>
      <c r="RD69" s="12" t="s">
        <v>37</v>
      </c>
      <c r="RE69" s="13" t="s">
        <v>37</v>
      </c>
      <c r="RF69" s="12" t="s">
        <v>37</v>
      </c>
      <c r="RG69" s="12" t="s">
        <v>37</v>
      </c>
      <c r="RH69" s="13" t="s">
        <v>37</v>
      </c>
      <c r="RK69" s="11" t="s">
        <v>37</v>
      </c>
      <c r="RL69" s="11" t="s">
        <v>37</v>
      </c>
      <c r="RM69" s="11" t="s">
        <v>37</v>
      </c>
      <c r="RN69" s="11" t="s">
        <v>37</v>
      </c>
      <c r="RO69" s="11" t="s">
        <v>37</v>
      </c>
      <c r="RP69" s="11" t="s">
        <v>37</v>
      </c>
      <c r="RS69" s="11" t="s">
        <v>37</v>
      </c>
      <c r="RT69" s="11" t="s">
        <v>37</v>
      </c>
      <c r="RU69" s="11" t="s">
        <v>37</v>
      </c>
      <c r="RV69" s="11" t="s">
        <v>37</v>
      </c>
      <c r="RW69" s="11" t="s">
        <v>37</v>
      </c>
      <c r="RX69" s="11" t="s">
        <v>37</v>
      </c>
      <c r="SA69" s="11" t="s">
        <v>37</v>
      </c>
      <c r="SB69" s="11" t="s">
        <v>37</v>
      </c>
      <c r="SC69" s="13" t="s">
        <v>37</v>
      </c>
      <c r="SD69" s="11" t="s">
        <v>37</v>
      </c>
      <c r="SE69" s="11" t="s">
        <v>37</v>
      </c>
      <c r="SF69" s="13" t="s">
        <v>37</v>
      </c>
      <c r="SI69" s="12" t="s">
        <v>37</v>
      </c>
      <c r="SJ69" s="11" t="s">
        <v>37</v>
      </c>
      <c r="SK69" s="13" t="s">
        <v>37</v>
      </c>
      <c r="SM69" s="11" t="s">
        <v>37</v>
      </c>
      <c r="SN69" s="11" t="s">
        <v>37</v>
      </c>
      <c r="SO69" s="13" t="s">
        <v>37</v>
      </c>
      <c r="SU69" s="12" t="s">
        <v>37</v>
      </c>
      <c r="SV69" s="12" t="s">
        <v>37</v>
      </c>
      <c r="SW69" s="11" t="s">
        <v>37</v>
      </c>
      <c r="SX69" s="12" t="s">
        <v>37</v>
      </c>
      <c r="SY69" s="12" t="s">
        <v>37</v>
      </c>
      <c r="SZ69" s="11" t="s">
        <v>37</v>
      </c>
      <c r="TE69" s="12" t="s">
        <v>37</v>
      </c>
      <c r="TF69" s="12" t="s">
        <v>37</v>
      </c>
      <c r="TG69" s="11" t="s">
        <v>37</v>
      </c>
      <c r="TH69" s="12" t="s">
        <v>37</v>
      </c>
      <c r="TI69" s="12" t="s">
        <v>37</v>
      </c>
      <c r="TJ69" s="11" t="s">
        <v>37</v>
      </c>
      <c r="TO69" s="12" t="s">
        <v>37</v>
      </c>
      <c r="TP69" s="12" t="s">
        <v>37</v>
      </c>
      <c r="TQ69" s="11" t="s">
        <v>37</v>
      </c>
      <c r="TR69" s="12" t="s">
        <v>37</v>
      </c>
      <c r="TS69" s="12" t="s">
        <v>37</v>
      </c>
      <c r="TT69" s="11" t="s">
        <v>37</v>
      </c>
      <c r="TY69" s="12" t="s">
        <v>37</v>
      </c>
      <c r="TZ69" s="12" t="s">
        <v>37</v>
      </c>
      <c r="UA69" s="11" t="s">
        <v>37</v>
      </c>
      <c r="UB69" s="12" t="s">
        <v>37</v>
      </c>
      <c r="UC69" s="12" t="s">
        <v>37</v>
      </c>
      <c r="UD69" s="11" t="s">
        <v>37</v>
      </c>
      <c r="UI69" s="12" t="s">
        <v>37</v>
      </c>
      <c r="UJ69" s="12" t="s">
        <v>37</v>
      </c>
      <c r="UK69" s="13" t="s">
        <v>37</v>
      </c>
      <c r="UL69" s="12" t="s">
        <v>37</v>
      </c>
      <c r="UM69" s="12" t="s">
        <v>37</v>
      </c>
      <c r="UN69" s="13" t="s">
        <v>37</v>
      </c>
      <c r="UR69" s="12" t="s">
        <v>37</v>
      </c>
      <c r="US69" s="12" t="s">
        <v>37</v>
      </c>
      <c r="UT69" s="13" t="s">
        <v>37</v>
      </c>
      <c r="UU69" s="12" t="s">
        <v>37</v>
      </c>
      <c r="UV69" s="12" t="s">
        <v>37</v>
      </c>
      <c r="UW69" s="13" t="s">
        <v>37</v>
      </c>
      <c r="VB69" s="12" t="s">
        <v>37</v>
      </c>
      <c r="VC69" s="12" t="s">
        <v>37</v>
      </c>
      <c r="VD69" s="13" t="s">
        <v>37</v>
      </c>
      <c r="VE69" s="12" t="s">
        <v>37</v>
      </c>
      <c r="VF69" s="12" t="s">
        <v>37</v>
      </c>
      <c r="VG69" s="13" t="s">
        <v>37</v>
      </c>
      <c r="VI69" s="12" t="s">
        <v>37</v>
      </c>
      <c r="VJ69" s="12" t="s">
        <v>37</v>
      </c>
      <c r="VK69" s="13" t="s">
        <v>37</v>
      </c>
      <c r="VL69" s="12" t="s">
        <v>37</v>
      </c>
      <c r="VM69" s="12" t="s">
        <v>37</v>
      </c>
      <c r="VN69" s="13" t="s">
        <v>37</v>
      </c>
      <c r="VO69" s="12" t="s">
        <v>37</v>
      </c>
      <c r="VQ69" s="12" t="s">
        <v>37</v>
      </c>
      <c r="VR69" s="12" t="s">
        <v>37</v>
      </c>
      <c r="VS69" s="12" t="s">
        <v>37</v>
      </c>
      <c r="VT69" s="12" t="s">
        <v>37</v>
      </c>
      <c r="VU69" s="12" t="s">
        <v>37</v>
      </c>
      <c r="VV69" s="12" t="s">
        <v>37</v>
      </c>
      <c r="VW69" s="12"/>
      <c r="VX69" s="12"/>
      <c r="WA69" s="13" t="s">
        <v>37</v>
      </c>
      <c r="WB69" s="13" t="s">
        <v>37</v>
      </c>
      <c r="WC69" s="13" t="s">
        <v>37</v>
      </c>
      <c r="WD69" s="13" t="s">
        <v>37</v>
      </c>
      <c r="WE69" s="13" t="s">
        <v>37</v>
      </c>
      <c r="WF69" s="13" t="s">
        <v>37</v>
      </c>
    </row>
    <row r="70" spans="1:604" ht="18" customHeight="1" x14ac:dyDescent="0.4">
      <c r="A70" s="11">
        <v>12</v>
      </c>
      <c r="B70" s="12" t="s">
        <v>111</v>
      </c>
      <c r="C70" s="12" t="s">
        <v>26</v>
      </c>
      <c r="D70" s="12" t="s">
        <v>973</v>
      </c>
      <c r="E70" s="81">
        <v>4.5</v>
      </c>
      <c r="F70" s="14">
        <v>0</v>
      </c>
      <c r="G70" s="14">
        <v>0</v>
      </c>
      <c r="H70" s="12" t="s">
        <v>91</v>
      </c>
      <c r="I70" s="29">
        <v>55.35</v>
      </c>
      <c r="J70" s="29">
        <v>-112.517</v>
      </c>
      <c r="K70" s="12" t="s">
        <v>696</v>
      </c>
      <c r="L70" s="12" t="s">
        <v>697</v>
      </c>
      <c r="M70" s="13" t="s">
        <v>37</v>
      </c>
      <c r="N70" s="14">
        <v>2.1</v>
      </c>
      <c r="O70" s="14">
        <v>504</v>
      </c>
      <c r="P70" s="14" t="s">
        <v>84</v>
      </c>
      <c r="Q70" s="75">
        <v>13</v>
      </c>
      <c r="R70" s="11" t="s">
        <v>999</v>
      </c>
      <c r="S70" s="12" t="s">
        <v>93</v>
      </c>
      <c r="T70" s="12" t="s">
        <v>141</v>
      </c>
      <c r="U70" s="12" t="s">
        <v>158</v>
      </c>
      <c r="V70" s="12" t="s">
        <v>275</v>
      </c>
      <c r="W70" s="23" t="s">
        <v>502</v>
      </c>
      <c r="X70" s="12" t="s">
        <v>857</v>
      </c>
      <c r="Y70" s="12" t="s">
        <v>69</v>
      </c>
      <c r="Z70" s="12" t="s">
        <v>37</v>
      </c>
      <c r="AA70" s="32" t="s">
        <v>501</v>
      </c>
      <c r="AB70" s="12">
        <v>4.0999999999999996</v>
      </c>
      <c r="AE70" s="12" t="s">
        <v>37</v>
      </c>
      <c r="AH70" s="12" t="s">
        <v>37</v>
      </c>
      <c r="AK70" s="12" t="s">
        <v>37</v>
      </c>
      <c r="AL70" s="32" t="s">
        <v>498</v>
      </c>
      <c r="AM70" s="12" t="s">
        <v>317</v>
      </c>
      <c r="AN70" s="32" t="s">
        <v>879</v>
      </c>
      <c r="AO70" s="12" t="s">
        <v>29</v>
      </c>
      <c r="AP70" s="12" t="s">
        <v>108</v>
      </c>
      <c r="AQ70" s="12" t="s">
        <v>975</v>
      </c>
      <c r="AT70" s="12" t="s">
        <v>326</v>
      </c>
      <c r="AU70" s="12" t="s">
        <v>326</v>
      </c>
      <c r="AV70" s="13" t="s">
        <v>326</v>
      </c>
      <c r="AX70" s="12" t="s">
        <v>326</v>
      </c>
      <c r="AY70" s="12" t="s">
        <v>326</v>
      </c>
      <c r="AZ70" s="13" t="s">
        <v>326</v>
      </c>
      <c r="BE70" s="12" t="s">
        <v>326</v>
      </c>
      <c r="BF70" s="12" t="s">
        <v>326</v>
      </c>
      <c r="BG70" s="12" t="s">
        <v>326</v>
      </c>
      <c r="BI70" s="12" t="s">
        <v>326</v>
      </c>
      <c r="BJ70" s="12" t="s">
        <v>326</v>
      </c>
      <c r="BK70" s="12" t="s">
        <v>326</v>
      </c>
      <c r="BP70" s="12" t="s">
        <v>37</v>
      </c>
      <c r="BQ70" s="12" t="s">
        <v>37</v>
      </c>
      <c r="BR70" s="13" t="s">
        <v>37</v>
      </c>
      <c r="BT70" s="12" t="s">
        <v>37</v>
      </c>
      <c r="BU70" s="12" t="s">
        <v>37</v>
      </c>
      <c r="BV70" s="12" t="s">
        <v>37</v>
      </c>
      <c r="CA70" s="12" t="s">
        <v>37</v>
      </c>
      <c r="CB70" s="12" t="s">
        <v>37</v>
      </c>
      <c r="CC70" s="13" t="s">
        <v>37</v>
      </c>
      <c r="CE70" s="12" t="s">
        <v>37</v>
      </c>
      <c r="CF70" s="12" t="s">
        <v>37</v>
      </c>
      <c r="CG70" s="13" t="s">
        <v>37</v>
      </c>
      <c r="CJ70" s="12"/>
      <c r="CN70" s="12" t="s">
        <v>37</v>
      </c>
      <c r="CO70" s="12" t="s">
        <v>37</v>
      </c>
      <c r="CP70" s="13" t="s">
        <v>37</v>
      </c>
      <c r="CR70" s="12" t="s">
        <v>37</v>
      </c>
      <c r="CS70" s="12" t="s">
        <v>37</v>
      </c>
      <c r="CT70" s="13" t="s">
        <v>37</v>
      </c>
      <c r="CX70" s="72"/>
      <c r="CY70" s="72"/>
      <c r="DA70" s="12" t="s">
        <v>37</v>
      </c>
      <c r="DB70" s="12" t="s">
        <v>37</v>
      </c>
      <c r="DC70" s="13" t="s">
        <v>37</v>
      </c>
      <c r="DE70" s="12" t="s">
        <v>37</v>
      </c>
      <c r="DF70" s="12" t="s">
        <v>37</v>
      </c>
      <c r="DG70" s="13" t="s">
        <v>37</v>
      </c>
      <c r="DM70" s="15" t="s">
        <v>47</v>
      </c>
      <c r="DN70" s="19">
        <f>0.56*DN58+0.44*DN64</f>
        <v>8.4029927968922031</v>
      </c>
      <c r="DO70" s="15">
        <f>SQRT(0.56^2*DO58^2+0.44^2*DO64^2)</f>
        <v>3.1873816651232265</v>
      </c>
      <c r="DP70" s="18">
        <v>3</v>
      </c>
      <c r="DQ70" s="19">
        <f t="shared" si="193"/>
        <v>0.37931505383439823</v>
      </c>
      <c r="DR70" s="19">
        <f>0.52*DR58+0.48*DR64</f>
        <v>0.78616919085132009</v>
      </c>
      <c r="DS70" s="15">
        <f>SQRT(0.52^2*DS58^2+0.48^2*DS64^2)</f>
        <v>1.3520526050253143</v>
      </c>
      <c r="DT70" s="18">
        <v>3</v>
      </c>
      <c r="DU70" s="19">
        <f t="shared" si="194"/>
        <v>1.719798512532926</v>
      </c>
      <c r="DV70" s="19">
        <f t="shared" si="198"/>
        <v>-7.6168236060408834</v>
      </c>
      <c r="DW70" s="12">
        <f t="shared" si="195"/>
        <v>2.4482083373274679</v>
      </c>
      <c r="DX70" s="72">
        <f t="shared" si="196"/>
        <v>3.9958160419731499</v>
      </c>
      <c r="DY70" s="72">
        <f t="shared" si="197"/>
        <v>3.9958160419731499</v>
      </c>
      <c r="DZ70" s="15"/>
      <c r="EA70" s="52" t="s">
        <v>37</v>
      </c>
      <c r="EB70" s="52" t="s">
        <v>37</v>
      </c>
      <c r="EC70" s="73" t="s">
        <v>37</v>
      </c>
      <c r="ED70" s="52"/>
      <c r="EE70" s="52" t="s">
        <v>37</v>
      </c>
      <c r="EF70" s="52" t="s">
        <v>37</v>
      </c>
      <c r="EG70" s="15" t="s">
        <v>37</v>
      </c>
      <c r="EH70" s="52"/>
      <c r="EI70" s="52"/>
      <c r="EJ70" s="52"/>
      <c r="EK70" s="52"/>
      <c r="EL70" s="52"/>
      <c r="EM70" s="12" t="s">
        <v>39</v>
      </c>
      <c r="EN70" s="12">
        <f t="shared" si="222"/>
        <v>-53.36</v>
      </c>
      <c r="EO70" s="15">
        <f t="shared" si="223"/>
        <v>6.3986248522631799</v>
      </c>
      <c r="EP70" s="18">
        <v>3</v>
      </c>
      <c r="EQ70" s="19">
        <f t="shared" si="139"/>
        <v>0.11991425885050937</v>
      </c>
      <c r="ER70" s="12">
        <f>0.52*ER58+0.48*ER64</f>
        <v>-124.16</v>
      </c>
      <c r="ES70" s="15">
        <f>SQRT(0.52^2*ES58^2+0.48^2*ES64^2)</f>
        <v>9.3061459262145689</v>
      </c>
      <c r="ET70" s="18">
        <v>3</v>
      </c>
      <c r="EU70" s="19">
        <f t="shared" si="140"/>
        <v>7.4952850565516829E-2</v>
      </c>
      <c r="EV70" s="19">
        <f t="shared" si="141"/>
        <v>-70.8</v>
      </c>
      <c r="EW70" s="12">
        <f t="shared" si="142"/>
        <v>7.9858234390700131</v>
      </c>
      <c r="EX70" s="19">
        <f t="shared" si="143"/>
        <v>42.515584000000004</v>
      </c>
      <c r="EY70" s="19">
        <f t="shared" si="144"/>
        <v>42.515584000000004</v>
      </c>
      <c r="FB70" s="11" t="s">
        <v>37</v>
      </c>
      <c r="FC70" s="11" t="s">
        <v>37</v>
      </c>
      <c r="FD70" s="11" t="s">
        <v>37</v>
      </c>
      <c r="FE70" s="12" t="s">
        <v>37</v>
      </c>
      <c r="FF70" s="20" t="s">
        <v>37</v>
      </c>
      <c r="FG70" s="11" t="s">
        <v>37</v>
      </c>
      <c r="FI70" s="11" t="s">
        <v>37</v>
      </c>
      <c r="FJ70" s="11" t="s">
        <v>37</v>
      </c>
      <c r="FK70" s="11" t="s">
        <v>37</v>
      </c>
      <c r="FL70" s="13" t="s">
        <v>37</v>
      </c>
      <c r="FM70" s="11" t="s">
        <v>37</v>
      </c>
      <c r="FN70" s="11" t="s">
        <v>37</v>
      </c>
      <c r="FP70" s="11" t="s">
        <v>37</v>
      </c>
      <c r="FQ70" s="11" t="s">
        <v>37</v>
      </c>
      <c r="FR70" s="11" t="s">
        <v>37</v>
      </c>
      <c r="FS70" s="13" t="s">
        <v>37</v>
      </c>
      <c r="FT70" s="11" t="s">
        <v>37</v>
      </c>
      <c r="FU70" s="11" t="s">
        <v>37</v>
      </c>
      <c r="FW70" s="11" t="s">
        <v>37</v>
      </c>
      <c r="FX70" s="11" t="s">
        <v>37</v>
      </c>
      <c r="FY70" s="11" t="s">
        <v>37</v>
      </c>
      <c r="FZ70" s="13" t="s">
        <v>37</v>
      </c>
      <c r="GA70" s="11" t="s">
        <v>37</v>
      </c>
      <c r="GB70" s="11" t="s">
        <v>37</v>
      </c>
      <c r="GO70" s="12" t="s">
        <v>660</v>
      </c>
      <c r="GP70" s="12" t="s">
        <v>330</v>
      </c>
      <c r="GQ70" s="12">
        <f t="shared" si="224"/>
        <v>12.3</v>
      </c>
      <c r="GR70" s="15">
        <f t="shared" si="225"/>
        <v>0.11202160505902424</v>
      </c>
      <c r="GS70" s="18">
        <v>3</v>
      </c>
      <c r="GT70" s="19">
        <f t="shared" si="145"/>
        <v>9.1074475657743278E-3</v>
      </c>
      <c r="GU70" s="12">
        <f>0.52*GU58+0.48*GU64</f>
        <v>13.411999999999999</v>
      </c>
      <c r="GV70" s="15">
        <f>SQRT(0.52^2*GV58^2+0.48^2*GV64^2)</f>
        <v>7.0767224051816541E-2</v>
      </c>
      <c r="GW70" s="18">
        <v>3</v>
      </c>
      <c r="GX70" s="19">
        <f t="shared" si="211"/>
        <v>5.2764109791094953E-3</v>
      </c>
      <c r="GY70" s="19">
        <f t="shared" si="203"/>
        <v>8.6550566225610234E-2</v>
      </c>
      <c r="GZ70" s="19">
        <f t="shared" si="204"/>
        <v>3.6928704661265315E-5</v>
      </c>
      <c r="HA70" s="12"/>
      <c r="HB70" s="32"/>
      <c r="HM70" s="32"/>
      <c r="IK70" s="12" t="s">
        <v>37</v>
      </c>
      <c r="IL70" s="12" t="s">
        <v>37</v>
      </c>
      <c r="IM70" s="13" t="s">
        <v>37</v>
      </c>
      <c r="IO70" s="12" t="s">
        <v>37</v>
      </c>
      <c r="IP70" s="12" t="s">
        <v>37</v>
      </c>
      <c r="IQ70" s="13" t="s">
        <v>37</v>
      </c>
      <c r="IV70" s="32" t="s">
        <v>501</v>
      </c>
      <c r="IW70" s="12">
        <v>4.0999999999999996</v>
      </c>
      <c r="IX70" s="12">
        <v>0.1</v>
      </c>
      <c r="IY70" s="13">
        <v>3</v>
      </c>
      <c r="IZ70" s="19">
        <f t="shared" si="147"/>
        <v>2.4390243902439029E-2</v>
      </c>
      <c r="JH70" s="12" t="s">
        <v>37</v>
      </c>
      <c r="JI70" s="12" t="s">
        <v>37</v>
      </c>
      <c r="JJ70" s="13" t="s">
        <v>37</v>
      </c>
      <c r="JL70" s="12" t="s">
        <v>37</v>
      </c>
      <c r="JM70" s="12" t="s">
        <v>37</v>
      </c>
      <c r="JN70" s="12" t="s">
        <v>37</v>
      </c>
      <c r="JS70" s="12" t="s">
        <v>37</v>
      </c>
      <c r="JT70" s="12" t="s">
        <v>37</v>
      </c>
      <c r="JU70" s="13" t="s">
        <v>37</v>
      </c>
      <c r="JW70" s="12" t="s">
        <v>37</v>
      </c>
      <c r="JX70" s="12" t="s">
        <v>37</v>
      </c>
      <c r="JY70" s="12" t="s">
        <v>37</v>
      </c>
      <c r="KE70" s="11" t="s">
        <v>37</v>
      </c>
      <c r="KF70" s="11" t="s">
        <v>37</v>
      </c>
      <c r="KG70" s="13" t="s">
        <v>37</v>
      </c>
      <c r="KH70" s="11" t="s">
        <v>37</v>
      </c>
      <c r="KI70" s="11" t="s">
        <v>37</v>
      </c>
      <c r="KJ70" s="11" t="s">
        <v>37</v>
      </c>
      <c r="KM70" s="12" t="s">
        <v>37</v>
      </c>
      <c r="KN70" s="12" t="s">
        <v>37</v>
      </c>
      <c r="KO70" s="11" t="s">
        <v>37</v>
      </c>
      <c r="KQ70" s="12" t="s">
        <v>37</v>
      </c>
      <c r="KR70" s="12" t="s">
        <v>37</v>
      </c>
      <c r="KS70" s="13" t="s">
        <v>37</v>
      </c>
      <c r="KX70" s="12" t="s">
        <v>37</v>
      </c>
      <c r="KY70" s="12" t="s">
        <v>37</v>
      </c>
      <c r="KZ70" s="13" t="s">
        <v>37</v>
      </c>
      <c r="LB70" s="12" t="s">
        <v>37</v>
      </c>
      <c r="LC70" s="12" t="s">
        <v>37</v>
      </c>
      <c r="LD70" s="13" t="s">
        <v>37</v>
      </c>
      <c r="LI70" s="12" t="s">
        <v>37</v>
      </c>
      <c r="LJ70" s="12" t="s">
        <v>37</v>
      </c>
      <c r="LK70" s="12" t="s">
        <v>37</v>
      </c>
      <c r="LM70" s="12" t="s">
        <v>37</v>
      </c>
      <c r="LN70" s="12" t="s">
        <v>37</v>
      </c>
      <c r="LO70" s="12" t="s">
        <v>37</v>
      </c>
      <c r="LU70" s="12" t="s">
        <v>37</v>
      </c>
      <c r="LV70" s="12" t="s">
        <v>37</v>
      </c>
      <c r="LW70" s="13" t="s">
        <v>37</v>
      </c>
      <c r="LY70" s="12" t="s">
        <v>37</v>
      </c>
      <c r="LZ70" s="12" t="s">
        <v>37</v>
      </c>
      <c r="MA70" s="12" t="s">
        <v>37</v>
      </c>
      <c r="MF70" s="12" t="s">
        <v>37</v>
      </c>
      <c r="MG70" s="12" t="s">
        <v>37</v>
      </c>
      <c r="MH70" s="12" t="s">
        <v>37</v>
      </c>
      <c r="MJ70" s="12" t="s">
        <v>37</v>
      </c>
      <c r="MK70" s="12" t="s">
        <v>37</v>
      </c>
      <c r="ML70" s="12" t="s">
        <v>37</v>
      </c>
      <c r="MQ70" s="12" t="s">
        <v>37</v>
      </c>
      <c r="MR70" s="12" t="s">
        <v>37</v>
      </c>
      <c r="MS70" s="12" t="s">
        <v>37</v>
      </c>
      <c r="MU70" s="12" t="s">
        <v>37</v>
      </c>
      <c r="MV70" s="12" t="s">
        <v>37</v>
      </c>
      <c r="MW70" s="12" t="s">
        <v>37</v>
      </c>
      <c r="NC70" s="12" t="s">
        <v>37</v>
      </c>
      <c r="ND70" s="12" t="s">
        <v>37</v>
      </c>
      <c r="NE70" s="13" t="s">
        <v>37</v>
      </c>
      <c r="NG70" s="12" t="s">
        <v>37</v>
      </c>
      <c r="NH70" s="12" t="s">
        <v>37</v>
      </c>
      <c r="NI70" s="13" t="s">
        <v>37</v>
      </c>
      <c r="NO70" s="12" t="s">
        <v>37</v>
      </c>
      <c r="NP70" s="12" t="s">
        <v>37</v>
      </c>
      <c r="NQ70" s="13" t="s">
        <v>37</v>
      </c>
      <c r="NS70" s="12" t="s">
        <v>37</v>
      </c>
      <c r="NT70" s="12" t="s">
        <v>37</v>
      </c>
      <c r="NU70" s="13" t="s">
        <v>37</v>
      </c>
      <c r="OA70" s="11" t="s">
        <v>37</v>
      </c>
      <c r="OB70" s="11" t="s">
        <v>37</v>
      </c>
      <c r="OC70" s="13" t="s">
        <v>37</v>
      </c>
      <c r="OE70" s="11" t="s">
        <v>37</v>
      </c>
      <c r="OF70" s="11" t="s">
        <v>37</v>
      </c>
      <c r="OG70" s="13" t="s">
        <v>37</v>
      </c>
      <c r="OM70" s="11" t="s">
        <v>37</v>
      </c>
      <c r="ON70" s="11" t="s">
        <v>37</v>
      </c>
      <c r="OO70" s="11" t="s">
        <v>37</v>
      </c>
      <c r="OP70" s="11" t="s">
        <v>37</v>
      </c>
      <c r="OQ70" s="11" t="s">
        <v>37</v>
      </c>
      <c r="OR70" s="11" t="s">
        <v>37</v>
      </c>
      <c r="OW70" s="11" t="s">
        <v>37</v>
      </c>
      <c r="OX70" s="11" t="s">
        <v>37</v>
      </c>
      <c r="OY70" s="13" t="s">
        <v>37</v>
      </c>
      <c r="OZ70" s="11" t="s">
        <v>37</v>
      </c>
      <c r="PA70" s="11" t="s">
        <v>37</v>
      </c>
      <c r="PB70" s="13" t="s">
        <v>37</v>
      </c>
      <c r="PG70" s="11" t="s">
        <v>37</v>
      </c>
      <c r="PH70" s="11" t="s">
        <v>37</v>
      </c>
      <c r="PI70" s="13" t="s">
        <v>37</v>
      </c>
      <c r="PJ70" s="11" t="s">
        <v>37</v>
      </c>
      <c r="PK70" s="11" t="s">
        <v>37</v>
      </c>
      <c r="PL70" s="13" t="s">
        <v>37</v>
      </c>
      <c r="PQ70" s="11" t="s">
        <v>37</v>
      </c>
      <c r="PR70" s="11" t="s">
        <v>37</v>
      </c>
      <c r="PS70" s="13" t="s">
        <v>37</v>
      </c>
      <c r="PT70" s="11" t="s">
        <v>37</v>
      </c>
      <c r="PU70" s="11" t="s">
        <v>37</v>
      </c>
      <c r="PV70" s="13" t="s">
        <v>37</v>
      </c>
      <c r="PY70" s="12" t="s">
        <v>43</v>
      </c>
      <c r="PZ70" s="12">
        <f t="shared" si="188"/>
        <v>377.44000000000005</v>
      </c>
      <c r="QA70" s="12">
        <f t="shared" si="189"/>
        <v>33.343665065496324</v>
      </c>
      <c r="QB70" s="11">
        <v>3</v>
      </c>
      <c r="QC70" s="19">
        <f t="shared" si="155"/>
        <v>8.834163063134888E-2</v>
      </c>
      <c r="QD70" s="12">
        <f>643*0.52+378*0.48</f>
        <v>515.79999999999995</v>
      </c>
      <c r="QE70" s="12">
        <f>SQRT(0.52^2*((18*SQRT(3))^2)+0.48^2*((6*SQRT(3))^2))/2</f>
        <v>8.4810376723606176</v>
      </c>
      <c r="QF70" s="13">
        <v>3</v>
      </c>
      <c r="QG70" s="19">
        <f t="shared" si="156"/>
        <v>1.6442492579217951E-2</v>
      </c>
      <c r="QH70" s="19">
        <f t="shared" si="148"/>
        <v>0.31230747778787926</v>
      </c>
      <c r="QI70" s="19">
        <f t="shared" si="149"/>
        <v>2.691533088274438E-3</v>
      </c>
      <c r="QJ70" s="12" t="s">
        <v>43</v>
      </c>
      <c r="QK70" s="12">
        <f t="shared" si="190"/>
        <v>648.52</v>
      </c>
      <c r="QL70" s="12">
        <f t="shared" si="191"/>
        <v>128.63291025239224</v>
      </c>
      <c r="QM70" s="13">
        <v>3</v>
      </c>
      <c r="QN70" s="12">
        <f>925*0.52+975*0.48</f>
        <v>949</v>
      </c>
      <c r="QO70" s="12">
        <f>SQRT(0.52^2*((247*SQRT(3))^2)+0.48^2*((301*SQRT(3))^2))/2</f>
        <v>167.4170779819072</v>
      </c>
      <c r="QP70" s="13">
        <v>3</v>
      </c>
      <c r="QQ70" s="19">
        <f t="shared" si="158"/>
        <v>0.38071595492805954</v>
      </c>
      <c r="QR70" s="19">
        <f t="shared" si="150"/>
        <v>2.3488020718289072E-2</v>
      </c>
      <c r="QU70" s="11" t="s">
        <v>37</v>
      </c>
      <c r="QV70" s="11" t="s">
        <v>37</v>
      </c>
      <c r="QW70" s="13" t="s">
        <v>37</v>
      </c>
      <c r="QX70" s="11" t="s">
        <v>37</v>
      </c>
      <c r="QY70" s="11" t="s">
        <v>37</v>
      </c>
      <c r="QZ70" s="13" t="s">
        <v>37</v>
      </c>
      <c r="RC70" s="12" t="s">
        <v>37</v>
      </c>
      <c r="RD70" s="12" t="s">
        <v>37</v>
      </c>
      <c r="RE70" s="13" t="s">
        <v>37</v>
      </c>
      <c r="RF70" s="12" t="s">
        <v>37</v>
      </c>
      <c r="RG70" s="12" t="s">
        <v>37</v>
      </c>
      <c r="RH70" s="13" t="s">
        <v>37</v>
      </c>
      <c r="RK70" s="11" t="s">
        <v>37</v>
      </c>
      <c r="RL70" s="11" t="s">
        <v>37</v>
      </c>
      <c r="RM70" s="11" t="s">
        <v>37</v>
      </c>
      <c r="RN70" s="11" t="s">
        <v>37</v>
      </c>
      <c r="RO70" s="11" t="s">
        <v>37</v>
      </c>
      <c r="RP70" s="11" t="s">
        <v>37</v>
      </c>
      <c r="RS70" s="11" t="s">
        <v>37</v>
      </c>
      <c r="RT70" s="11" t="s">
        <v>37</v>
      </c>
      <c r="RU70" s="11" t="s">
        <v>37</v>
      </c>
      <c r="RV70" s="11" t="s">
        <v>37</v>
      </c>
      <c r="RW70" s="11" t="s">
        <v>37</v>
      </c>
      <c r="RX70" s="11" t="s">
        <v>37</v>
      </c>
      <c r="SA70" s="11" t="s">
        <v>37</v>
      </c>
      <c r="SB70" s="11" t="s">
        <v>37</v>
      </c>
      <c r="SC70" s="13" t="s">
        <v>37</v>
      </c>
      <c r="SD70" s="11" t="s">
        <v>37</v>
      </c>
      <c r="SE70" s="11" t="s">
        <v>37</v>
      </c>
      <c r="SF70" s="13" t="s">
        <v>37</v>
      </c>
      <c r="SI70" s="12" t="s">
        <v>37</v>
      </c>
      <c r="SJ70" s="11" t="s">
        <v>37</v>
      </c>
      <c r="SK70" s="13" t="s">
        <v>37</v>
      </c>
      <c r="SM70" s="11" t="s">
        <v>37</v>
      </c>
      <c r="SN70" s="11" t="s">
        <v>37</v>
      </c>
      <c r="SO70" s="13" t="s">
        <v>37</v>
      </c>
      <c r="SU70" s="12" t="s">
        <v>37</v>
      </c>
      <c r="SV70" s="12" t="s">
        <v>37</v>
      </c>
      <c r="SW70" s="11" t="s">
        <v>37</v>
      </c>
      <c r="SX70" s="12" t="s">
        <v>37</v>
      </c>
      <c r="SY70" s="12" t="s">
        <v>37</v>
      </c>
      <c r="SZ70" s="11" t="s">
        <v>37</v>
      </c>
      <c r="TE70" s="12" t="s">
        <v>37</v>
      </c>
      <c r="TF70" s="12" t="s">
        <v>37</v>
      </c>
      <c r="TG70" s="11" t="s">
        <v>37</v>
      </c>
      <c r="TH70" s="12" t="s">
        <v>37</v>
      </c>
      <c r="TI70" s="12" t="s">
        <v>37</v>
      </c>
      <c r="TJ70" s="11" t="s">
        <v>37</v>
      </c>
      <c r="TO70" s="12" t="s">
        <v>37</v>
      </c>
      <c r="TP70" s="12" t="s">
        <v>37</v>
      </c>
      <c r="TQ70" s="11" t="s">
        <v>37</v>
      </c>
      <c r="TR70" s="12" t="s">
        <v>37</v>
      </c>
      <c r="TS70" s="12" t="s">
        <v>37</v>
      </c>
      <c r="TT70" s="11" t="s">
        <v>37</v>
      </c>
      <c r="TY70" s="12" t="s">
        <v>37</v>
      </c>
      <c r="TZ70" s="12" t="s">
        <v>37</v>
      </c>
      <c r="UA70" s="11" t="s">
        <v>37</v>
      </c>
      <c r="UB70" s="12" t="s">
        <v>37</v>
      </c>
      <c r="UC70" s="12" t="s">
        <v>37</v>
      </c>
      <c r="UD70" s="11" t="s">
        <v>37</v>
      </c>
      <c r="UI70" s="12" t="s">
        <v>37</v>
      </c>
      <c r="UJ70" s="12" t="s">
        <v>37</v>
      </c>
      <c r="UK70" s="13" t="s">
        <v>37</v>
      </c>
      <c r="UL70" s="12" t="s">
        <v>37</v>
      </c>
      <c r="UM70" s="12" t="s">
        <v>37</v>
      </c>
      <c r="UN70" s="13" t="s">
        <v>37</v>
      </c>
      <c r="UR70" s="12" t="s">
        <v>37</v>
      </c>
      <c r="US70" s="12" t="s">
        <v>37</v>
      </c>
      <c r="UT70" s="13" t="s">
        <v>37</v>
      </c>
      <c r="UU70" s="12" t="s">
        <v>37</v>
      </c>
      <c r="UV70" s="12" t="s">
        <v>37</v>
      </c>
      <c r="UW70" s="13" t="s">
        <v>37</v>
      </c>
      <c r="VB70" s="12" t="s">
        <v>37</v>
      </c>
      <c r="VC70" s="12" t="s">
        <v>37</v>
      </c>
      <c r="VD70" s="13" t="s">
        <v>37</v>
      </c>
      <c r="VE70" s="12" t="s">
        <v>37</v>
      </c>
      <c r="VF70" s="12" t="s">
        <v>37</v>
      </c>
      <c r="VG70" s="13" t="s">
        <v>37</v>
      </c>
      <c r="VI70" s="12" t="s">
        <v>37</v>
      </c>
      <c r="VJ70" s="12" t="s">
        <v>37</v>
      </c>
      <c r="VK70" s="13" t="s">
        <v>37</v>
      </c>
      <c r="VL70" s="12" t="s">
        <v>37</v>
      </c>
      <c r="VM70" s="12" t="s">
        <v>37</v>
      </c>
      <c r="VN70" s="13" t="s">
        <v>37</v>
      </c>
      <c r="VO70" s="12" t="s">
        <v>37</v>
      </c>
      <c r="VQ70" s="12" t="s">
        <v>37</v>
      </c>
      <c r="VR70" s="12" t="s">
        <v>37</v>
      </c>
      <c r="VS70" s="12" t="s">
        <v>37</v>
      </c>
      <c r="VT70" s="12" t="s">
        <v>37</v>
      </c>
      <c r="VU70" s="12" t="s">
        <v>37</v>
      </c>
      <c r="VV70" s="12" t="s">
        <v>37</v>
      </c>
      <c r="VW70" s="12"/>
      <c r="VX70" s="12"/>
      <c r="WA70" s="13" t="s">
        <v>37</v>
      </c>
      <c r="WB70" s="13" t="s">
        <v>37</v>
      </c>
      <c r="WC70" s="13" t="s">
        <v>37</v>
      </c>
      <c r="WD70" s="13" t="s">
        <v>37</v>
      </c>
      <c r="WE70" s="13" t="s">
        <v>37</v>
      </c>
      <c r="WF70" s="13" t="s">
        <v>37</v>
      </c>
    </row>
    <row r="71" spans="1:604" ht="18" customHeight="1" x14ac:dyDescent="0.4">
      <c r="A71" s="11">
        <v>13</v>
      </c>
      <c r="B71" s="12" t="s">
        <v>933</v>
      </c>
      <c r="C71" s="12" t="s">
        <v>26</v>
      </c>
      <c r="D71" s="12" t="s">
        <v>973</v>
      </c>
      <c r="E71" s="81">
        <v>4.5</v>
      </c>
      <c r="F71" s="14">
        <v>0</v>
      </c>
      <c r="G71" s="14">
        <v>0</v>
      </c>
      <c r="H71" s="12" t="s">
        <v>91</v>
      </c>
      <c r="I71" s="29">
        <v>55.35</v>
      </c>
      <c r="J71" s="29">
        <v>-112.517</v>
      </c>
      <c r="K71" s="12" t="s">
        <v>696</v>
      </c>
      <c r="L71" s="12" t="s">
        <v>697</v>
      </c>
      <c r="M71" s="13" t="s">
        <v>37</v>
      </c>
      <c r="N71" s="14">
        <v>2.1</v>
      </c>
      <c r="O71" s="14">
        <v>504</v>
      </c>
      <c r="P71" s="14" t="s">
        <v>84</v>
      </c>
      <c r="Q71" s="75">
        <v>11</v>
      </c>
      <c r="R71" s="11" t="s">
        <v>999</v>
      </c>
      <c r="S71" s="12" t="s">
        <v>93</v>
      </c>
      <c r="T71" s="12" t="s">
        <v>141</v>
      </c>
      <c r="U71" s="12" t="s">
        <v>163</v>
      </c>
      <c r="V71" s="12" t="s">
        <v>275</v>
      </c>
      <c r="W71" s="23" t="s">
        <v>499</v>
      </c>
      <c r="X71" s="12" t="s">
        <v>282</v>
      </c>
      <c r="Y71" s="12" t="s">
        <v>69</v>
      </c>
      <c r="Z71" s="12" t="s">
        <v>37</v>
      </c>
      <c r="AA71" s="32" t="s">
        <v>345</v>
      </c>
      <c r="AB71" s="12">
        <v>4.0999999999999996</v>
      </c>
      <c r="AE71" s="12" t="s">
        <v>37</v>
      </c>
      <c r="AH71" s="12" t="s">
        <v>37</v>
      </c>
      <c r="AK71" s="12" t="s">
        <v>37</v>
      </c>
      <c r="AL71" s="32" t="s">
        <v>496</v>
      </c>
      <c r="AM71" s="12" t="s">
        <v>317</v>
      </c>
      <c r="AN71" s="32" t="s">
        <v>879</v>
      </c>
      <c r="AO71" s="12" t="s">
        <v>318</v>
      </c>
      <c r="AP71" s="12" t="s">
        <v>108</v>
      </c>
      <c r="AQ71" s="12" t="s">
        <v>975</v>
      </c>
      <c r="AT71" s="12" t="s">
        <v>326</v>
      </c>
      <c r="AU71" s="12" t="s">
        <v>326</v>
      </c>
      <c r="AV71" s="13" t="s">
        <v>326</v>
      </c>
      <c r="AX71" s="12" t="s">
        <v>326</v>
      </c>
      <c r="AY71" s="12" t="s">
        <v>326</v>
      </c>
      <c r="AZ71" s="13" t="s">
        <v>326</v>
      </c>
      <c r="BE71" s="12" t="s">
        <v>326</v>
      </c>
      <c r="BF71" s="12" t="s">
        <v>326</v>
      </c>
      <c r="BG71" s="12" t="s">
        <v>326</v>
      </c>
      <c r="BI71" s="12" t="s">
        <v>326</v>
      </c>
      <c r="BJ71" s="12" t="s">
        <v>326</v>
      </c>
      <c r="BK71" s="12" t="s">
        <v>326</v>
      </c>
      <c r="BP71" s="12" t="s">
        <v>37</v>
      </c>
      <c r="BQ71" s="12" t="s">
        <v>37</v>
      </c>
      <c r="BR71" s="13" t="s">
        <v>37</v>
      </c>
      <c r="BT71" s="12" t="s">
        <v>37</v>
      </c>
      <c r="BU71" s="12" t="s">
        <v>37</v>
      </c>
      <c r="BV71" s="12" t="s">
        <v>37</v>
      </c>
      <c r="BZ71" s="12" t="s">
        <v>581</v>
      </c>
      <c r="CA71" s="12">
        <f>-190*44/12*10^4/10^3/'[6]classess-1'!$T$63</f>
        <v>-9117.231395346209</v>
      </c>
      <c r="CB71" s="15">
        <f>SQRT((1/[7]Classess!$T$63)^2*(29*SQRT(3)*44/12*10^4/10^3)^2+(-CA71/([7]Classess!$T$63)^2)^2*([7]Classess!$U$63)^2)</f>
        <v>2424.3247606001519</v>
      </c>
      <c r="CC71" s="18">
        <v>3</v>
      </c>
      <c r="CD71" s="19">
        <f t="shared" ref="CD71:CD76" si="228">CB71/ABS(CA71)</f>
        <v>0.26590580577318923</v>
      </c>
      <c r="CE71" s="15">
        <f>-280*44/12*10^4/10^3/'[6]classess-1'!$T$64</f>
        <v>-11061.598737544935</v>
      </c>
      <c r="CF71" s="15">
        <f>SQRT((1/[7]Classess!$T$64)^2*(21*SQRT(3)*44/12*10^4/10^3)^2+(-CE71/([7]Classess!$T$64)^2)^2*([7]Classess!$T$64)^2)</f>
        <v>12004.393621698095</v>
      </c>
      <c r="CG71" s="18">
        <v>3</v>
      </c>
      <c r="CH71" s="19">
        <f t="shared" ref="CH71:CH76" si="229">CF71/ABS(CE71)</f>
        <v>1.0852313401093781</v>
      </c>
      <c r="CI71" s="75">
        <f t="shared" ref="CI71:CI76" si="230">CE71-CA71</f>
        <v>-1944.367342198726</v>
      </c>
      <c r="CJ71" s="12">
        <f t="shared" ref="CJ71:CJ76" si="231">SQRT(((CC71-1)*CB71^2+(CG71-1)*CF71^2)/(CC71+CG71-2))</f>
        <v>8659.7579865006883</v>
      </c>
      <c r="CK71" s="72">
        <f t="shared" ref="CK71:CK76" si="232">(((CC71+CG71)/(CC71*CG71))*(((CC71-1)*CB71^2)+(CG71-1)*CF71^2)/(CC71+CG71-2))</f>
        <v>49994272.256508298</v>
      </c>
      <c r="CL71" s="72">
        <f t="shared" ref="CL71:CL76" si="233">(CB71^2/CC71)+(CF71^2/CG71)</f>
        <v>49994272.256508298</v>
      </c>
      <c r="CM71" s="12" t="s">
        <v>581</v>
      </c>
      <c r="CN71" s="12">
        <f>225*44/12*10^4/10^3/'[6]classess-1'!$I$63</f>
        <v>12663.516770662041</v>
      </c>
      <c r="CO71" s="15">
        <f>SQRT((1/[7]Classess!$I$63)^2*(18*SQRT(3)*44/12*10^4/10^3)^2+(-CN71/([7]Classess!$I$63)^2)^2*([7]Classess!$J$63)^2)</f>
        <v>2011.7619468526057</v>
      </c>
      <c r="CP71" s="18">
        <v>3</v>
      </c>
      <c r="CQ71" s="19">
        <f t="shared" ref="CQ71:CQ76" si="234">CO71/ABS(CN71)</f>
        <v>0.158862816963556</v>
      </c>
      <c r="CR71" s="15">
        <f>295*44/12*10^4/10^3/'[6]classess-1'!$I$64</f>
        <v>13557.778602361721</v>
      </c>
      <c r="CS71" s="15">
        <f>SQRT((1/[7]Classess!$I$64)^2*(10*SQRT(3)*44/12*10^4/10^3)^2+(-CR71/([7]Classess!$I$64)^2)^2*([7]Classess!$J$64)^2)</f>
        <v>1534.7793518535277</v>
      </c>
      <c r="CT71" s="18">
        <v>3</v>
      </c>
      <c r="CU71" s="19">
        <f t="shared" ref="CU71:CU76" si="235">CS71/ABS(CR71)</f>
        <v>0.11320286286325505</v>
      </c>
      <c r="CV71" s="75">
        <f t="shared" ref="CV71:CV76" si="236">CR71-CN71</f>
        <v>894.26183169967953</v>
      </c>
      <c r="CW71" s="12">
        <f t="shared" ref="CW71:CW76" si="237">SQRT(((CP71-1)*CO71^2+(CT71-1)*CS71^2)/(CP71+CT71-2))</f>
        <v>1789.2363999315633</v>
      </c>
      <c r="CX71" s="72">
        <f t="shared" ref="CX71:CX76" si="238">(((CP71+CT71)/(CP71*CT71))*(((CP71-1)*CO71^2)+(CT71-1)*CS71^2)/(CP71+CT71-2))</f>
        <v>2134244.5965600405</v>
      </c>
      <c r="CY71" s="72">
        <f t="shared" ref="CY71:CY76" si="239">(CO71^2/CP71)+(CS71^2/CT71)</f>
        <v>2134244.5965600405</v>
      </c>
      <c r="CZ71" s="12" t="s">
        <v>581</v>
      </c>
      <c r="DA71" s="12">
        <f>CA71+CN71</f>
        <v>3546.2853753158324</v>
      </c>
      <c r="DB71" s="15">
        <f>SQRT((1/[7]Classess!$I$17)^2*(51.9615242270663*44/12*10^4/10^3)^2+(-DA71/([7]Classess!$I$17)^2)^2*([7]Classess!$J$17)^2)</f>
        <v>5941.722754487856</v>
      </c>
      <c r="DC71" s="18">
        <v>3</v>
      </c>
      <c r="DD71" s="19">
        <f t="shared" ref="DD71:DD76" si="240">DB71/ABS(DA71)</f>
        <v>1.6754778946572189</v>
      </c>
      <c r="DE71" s="12">
        <f>CE71+CR71</f>
        <v>2496.179864816786</v>
      </c>
      <c r="DF71" s="15">
        <f>SQRT((1/[7]Classess!$I$18)^2*(12.1243556529821*44/12*10^4/10^3)^2+(-DE71/([7]Classess!$I$18)^2)^2*([7]Classess!$J$18)^2)</f>
        <v>441.8656256521171</v>
      </c>
      <c r="DG71" s="18">
        <v>3</v>
      </c>
      <c r="DH71" s="19">
        <f t="shared" ref="DH71:DH76" si="241">DF71/ABS(DE71)</f>
        <v>0.17701674141360363</v>
      </c>
      <c r="DI71" s="19">
        <f t="shared" ref="DI71:DI76" si="242">DE71-DA71</f>
        <v>-1050.1055104990464</v>
      </c>
      <c r="DJ71" s="12">
        <f t="shared" ref="DJ71:DJ76" si="243">SQRT(((DC71-1)*DB71^2+(DG71-1)*DF71^2)/(DC71+DG71-2))</f>
        <v>4213.0342107756314</v>
      </c>
      <c r="DK71" s="72">
        <f t="shared" ref="DK71:DK76" si="244">(((DC71+DG71)/(DC71*DG71))*(((DC71-1)*DB71^2)+(DG71-1)*DF71^2)/(DC71+DG71-2))</f>
        <v>11833104.84077723</v>
      </c>
      <c r="DL71" s="72">
        <f t="shared" ref="DL71:DL76" si="245">(DB71^2/DC71)+(DF71^2/DG71)</f>
        <v>11833104.840777231</v>
      </c>
      <c r="DM71" s="12"/>
      <c r="DN71" s="19" t="s">
        <v>37</v>
      </c>
      <c r="DO71" s="12" t="s">
        <v>37</v>
      </c>
      <c r="DP71" s="13" t="s">
        <v>37</v>
      </c>
      <c r="DR71" s="19" t="s">
        <v>37</v>
      </c>
      <c r="DS71" s="12" t="s">
        <v>37</v>
      </c>
      <c r="DT71" s="13" t="s">
        <v>37</v>
      </c>
      <c r="DZ71" s="12"/>
      <c r="EA71" s="19" t="s">
        <v>37</v>
      </c>
      <c r="EB71" s="19" t="s">
        <v>37</v>
      </c>
      <c r="EC71" s="72" t="s">
        <v>37</v>
      </c>
      <c r="EE71" s="19" t="s">
        <v>37</v>
      </c>
      <c r="EF71" s="19" t="s">
        <v>37</v>
      </c>
      <c r="EG71" s="12" t="s">
        <v>37</v>
      </c>
      <c r="EM71" s="12" t="s">
        <v>39</v>
      </c>
      <c r="EN71" s="12">
        <v>-38</v>
      </c>
      <c r="EO71" s="12">
        <v>7.6</v>
      </c>
      <c r="EP71" s="13">
        <v>3</v>
      </c>
      <c r="EQ71" s="19">
        <f t="shared" si="139"/>
        <v>0.19999999999999998</v>
      </c>
      <c r="ER71" s="12">
        <v>-112</v>
      </c>
      <c r="ES71" s="12">
        <v>15.2</v>
      </c>
      <c r="ET71" s="13">
        <v>3</v>
      </c>
      <c r="EU71" s="19">
        <f t="shared" si="140"/>
        <v>0.1357142857142857</v>
      </c>
      <c r="EV71" s="19">
        <f t="shared" si="141"/>
        <v>-74</v>
      </c>
      <c r="EW71" s="12">
        <f t="shared" si="142"/>
        <v>12.016655108639842</v>
      </c>
      <c r="EX71" s="19">
        <f t="shared" si="143"/>
        <v>96.266666666666666</v>
      </c>
      <c r="EY71" s="19">
        <f t="shared" si="144"/>
        <v>96.266666666666666</v>
      </c>
      <c r="FB71" s="11" t="s">
        <v>37</v>
      </c>
      <c r="FC71" s="11" t="s">
        <v>37</v>
      </c>
      <c r="FD71" s="11" t="s">
        <v>37</v>
      </c>
      <c r="FE71" s="12" t="s">
        <v>37</v>
      </c>
      <c r="FF71" s="20" t="s">
        <v>37</v>
      </c>
      <c r="FG71" s="11" t="s">
        <v>37</v>
      </c>
      <c r="FI71" s="11" t="s">
        <v>37</v>
      </c>
      <c r="FJ71" s="11" t="s">
        <v>37</v>
      </c>
      <c r="FK71" s="11" t="s">
        <v>37</v>
      </c>
      <c r="FL71" s="13" t="s">
        <v>37</v>
      </c>
      <c r="FM71" s="11" t="s">
        <v>37</v>
      </c>
      <c r="FN71" s="11" t="s">
        <v>37</v>
      </c>
      <c r="FP71" s="11" t="s">
        <v>37</v>
      </c>
      <c r="FQ71" s="11" t="s">
        <v>37</v>
      </c>
      <c r="FR71" s="11" t="s">
        <v>37</v>
      </c>
      <c r="FS71" s="13" t="s">
        <v>37</v>
      </c>
      <c r="FT71" s="11" t="s">
        <v>37</v>
      </c>
      <c r="FU71" s="11" t="s">
        <v>37</v>
      </c>
      <c r="FW71" s="11" t="s">
        <v>37</v>
      </c>
      <c r="FX71" s="11" t="s">
        <v>37</v>
      </c>
      <c r="FY71" s="11" t="s">
        <v>37</v>
      </c>
      <c r="FZ71" s="13" t="s">
        <v>37</v>
      </c>
      <c r="GA71" s="11" t="s">
        <v>37</v>
      </c>
      <c r="GB71" s="11" t="s">
        <v>37</v>
      </c>
      <c r="GO71" s="12" t="s">
        <v>660</v>
      </c>
      <c r="GP71" s="12" t="s">
        <v>330</v>
      </c>
      <c r="GQ71" s="12">
        <v>12.3</v>
      </c>
      <c r="GR71" s="12">
        <v>0.2</v>
      </c>
      <c r="GS71" s="13">
        <v>3</v>
      </c>
      <c r="GT71" s="19">
        <f t="shared" si="145"/>
        <v>1.6260162601626015E-2</v>
      </c>
      <c r="GU71" s="12">
        <v>13.7</v>
      </c>
      <c r="GV71" s="12">
        <v>0.1</v>
      </c>
      <c r="GW71" s="13">
        <v>3</v>
      </c>
      <c r="GX71" s="19">
        <f t="shared" si="211"/>
        <v>7.2992700729927014E-3</v>
      </c>
      <c r="GY71" s="19">
        <f t="shared" si="203"/>
        <v>0.10779657045570738</v>
      </c>
      <c r="GZ71" s="19">
        <f t="shared" si="204"/>
        <v>1.0589074380993474E-4</v>
      </c>
      <c r="HA71" s="12"/>
      <c r="HB71" s="32"/>
      <c r="HM71" s="32"/>
      <c r="IK71" s="12" t="s">
        <v>37</v>
      </c>
      <c r="IL71" s="12" t="s">
        <v>37</v>
      </c>
      <c r="IM71" s="13" t="s">
        <v>37</v>
      </c>
      <c r="IO71" s="12" t="s">
        <v>37</v>
      </c>
      <c r="IP71" s="12" t="s">
        <v>37</v>
      </c>
      <c r="IQ71" s="13" t="s">
        <v>37</v>
      </c>
      <c r="IV71" s="32" t="s">
        <v>345</v>
      </c>
      <c r="IW71" s="12">
        <v>4.0999999999999996</v>
      </c>
      <c r="IX71" s="12">
        <v>0.1</v>
      </c>
      <c r="IY71" s="13">
        <v>3</v>
      </c>
      <c r="IZ71" s="19">
        <f t="shared" si="147"/>
        <v>2.4390243902439029E-2</v>
      </c>
      <c r="JH71" s="12" t="s">
        <v>37</v>
      </c>
      <c r="JI71" s="12" t="s">
        <v>37</v>
      </c>
      <c r="JJ71" s="13" t="s">
        <v>37</v>
      </c>
      <c r="JL71" s="12" t="s">
        <v>37</v>
      </c>
      <c r="JM71" s="12" t="s">
        <v>37</v>
      </c>
      <c r="JN71" s="12" t="s">
        <v>37</v>
      </c>
      <c r="JS71" s="12" t="s">
        <v>37</v>
      </c>
      <c r="JT71" s="12" t="s">
        <v>37</v>
      </c>
      <c r="JU71" s="13" t="s">
        <v>37</v>
      </c>
      <c r="JW71" s="12" t="s">
        <v>37</v>
      </c>
      <c r="JX71" s="12" t="s">
        <v>37</v>
      </c>
      <c r="JY71" s="12" t="s">
        <v>37</v>
      </c>
      <c r="KE71" s="11" t="s">
        <v>37</v>
      </c>
      <c r="KF71" s="11" t="s">
        <v>37</v>
      </c>
      <c r="KG71" s="13" t="s">
        <v>37</v>
      </c>
      <c r="KH71" s="11" t="s">
        <v>37</v>
      </c>
      <c r="KI71" s="11" t="s">
        <v>37</v>
      </c>
      <c r="KJ71" s="11" t="s">
        <v>37</v>
      </c>
      <c r="KM71" s="12" t="s">
        <v>37</v>
      </c>
      <c r="KN71" s="12" t="s">
        <v>37</v>
      </c>
      <c r="KO71" s="11" t="s">
        <v>37</v>
      </c>
      <c r="KQ71" s="12" t="s">
        <v>37</v>
      </c>
      <c r="KR71" s="12" t="s">
        <v>37</v>
      </c>
      <c r="KS71" s="13" t="s">
        <v>37</v>
      </c>
      <c r="KX71" s="12" t="s">
        <v>37</v>
      </c>
      <c r="KY71" s="12" t="s">
        <v>37</v>
      </c>
      <c r="KZ71" s="13" t="s">
        <v>37</v>
      </c>
      <c r="LB71" s="12" t="s">
        <v>37</v>
      </c>
      <c r="LC71" s="12" t="s">
        <v>37</v>
      </c>
      <c r="LD71" s="13" t="s">
        <v>37</v>
      </c>
      <c r="LI71" s="12" t="s">
        <v>37</v>
      </c>
      <c r="LJ71" s="12" t="s">
        <v>37</v>
      </c>
      <c r="LK71" s="12" t="s">
        <v>37</v>
      </c>
      <c r="LM71" s="12" t="s">
        <v>37</v>
      </c>
      <c r="LN71" s="12" t="s">
        <v>37</v>
      </c>
      <c r="LO71" s="12" t="s">
        <v>37</v>
      </c>
      <c r="LU71" s="12" t="s">
        <v>37</v>
      </c>
      <c r="LV71" s="12" t="s">
        <v>37</v>
      </c>
      <c r="LW71" s="13" t="s">
        <v>37</v>
      </c>
      <c r="LY71" s="12" t="s">
        <v>37</v>
      </c>
      <c r="LZ71" s="12" t="s">
        <v>37</v>
      </c>
      <c r="MA71" s="12" t="s">
        <v>37</v>
      </c>
      <c r="MF71" s="12" t="s">
        <v>37</v>
      </c>
      <c r="MG71" s="12" t="s">
        <v>37</v>
      </c>
      <c r="MH71" s="12" t="s">
        <v>37</v>
      </c>
      <c r="MJ71" s="12" t="s">
        <v>37</v>
      </c>
      <c r="MK71" s="12" t="s">
        <v>37</v>
      </c>
      <c r="ML71" s="12" t="s">
        <v>37</v>
      </c>
      <c r="MQ71" s="12" t="s">
        <v>37</v>
      </c>
      <c r="MR71" s="12" t="s">
        <v>37</v>
      </c>
      <c r="MS71" s="12" t="s">
        <v>37</v>
      </c>
      <c r="MU71" s="12" t="s">
        <v>37</v>
      </c>
      <c r="MV71" s="12" t="s">
        <v>37</v>
      </c>
      <c r="MW71" s="12" t="s">
        <v>37</v>
      </c>
      <c r="NC71" s="12" t="s">
        <v>37</v>
      </c>
      <c r="ND71" s="12" t="s">
        <v>37</v>
      </c>
      <c r="NE71" s="13" t="s">
        <v>37</v>
      </c>
      <c r="NG71" s="12" t="s">
        <v>37</v>
      </c>
      <c r="NH71" s="12" t="s">
        <v>37</v>
      </c>
      <c r="NI71" s="13" t="s">
        <v>37</v>
      </c>
      <c r="NO71" s="12" t="s">
        <v>37</v>
      </c>
      <c r="NP71" s="12" t="s">
        <v>37</v>
      </c>
      <c r="NQ71" s="13" t="s">
        <v>37</v>
      </c>
      <c r="NS71" s="12" t="s">
        <v>37</v>
      </c>
      <c r="NT71" s="12" t="s">
        <v>37</v>
      </c>
      <c r="NU71" s="13" t="s">
        <v>37</v>
      </c>
      <c r="OA71" s="11" t="s">
        <v>37</v>
      </c>
      <c r="OB71" s="11" t="s">
        <v>37</v>
      </c>
      <c r="OC71" s="13" t="s">
        <v>37</v>
      </c>
      <c r="OE71" s="11" t="s">
        <v>37</v>
      </c>
      <c r="OF71" s="11" t="s">
        <v>37</v>
      </c>
      <c r="OG71" s="13" t="s">
        <v>37</v>
      </c>
      <c r="OM71" s="11" t="s">
        <v>37</v>
      </c>
      <c r="ON71" s="11" t="s">
        <v>37</v>
      </c>
      <c r="OO71" s="11" t="s">
        <v>37</v>
      </c>
      <c r="OP71" s="11" t="s">
        <v>37</v>
      </c>
      <c r="OQ71" s="11" t="s">
        <v>37</v>
      </c>
      <c r="OR71" s="11" t="s">
        <v>37</v>
      </c>
      <c r="OW71" s="11" t="s">
        <v>37</v>
      </c>
      <c r="OX71" s="11" t="s">
        <v>37</v>
      </c>
      <c r="OY71" s="13" t="s">
        <v>37</v>
      </c>
      <c r="OZ71" s="11" t="s">
        <v>37</v>
      </c>
      <c r="PA71" s="11" t="s">
        <v>37</v>
      </c>
      <c r="PB71" s="13" t="s">
        <v>37</v>
      </c>
      <c r="PG71" s="11" t="s">
        <v>37</v>
      </c>
      <c r="PH71" s="11" t="s">
        <v>37</v>
      </c>
      <c r="PI71" s="13" t="s">
        <v>37</v>
      </c>
      <c r="PJ71" s="11" t="s">
        <v>37</v>
      </c>
      <c r="PK71" s="11" t="s">
        <v>37</v>
      </c>
      <c r="PL71" s="13" t="s">
        <v>37</v>
      </c>
      <c r="PQ71" s="11" t="s">
        <v>37</v>
      </c>
      <c r="PR71" s="11" t="s">
        <v>37</v>
      </c>
      <c r="PS71" s="13" t="s">
        <v>37</v>
      </c>
      <c r="PT71" s="11" t="s">
        <v>37</v>
      </c>
      <c r="PU71" s="11" t="s">
        <v>37</v>
      </c>
      <c r="PV71" s="13" t="s">
        <v>37</v>
      </c>
      <c r="PY71" s="12" t="s">
        <v>43</v>
      </c>
      <c r="PZ71" s="12">
        <v>399</v>
      </c>
      <c r="QA71" s="12">
        <v>41.569219381653056</v>
      </c>
      <c r="QB71" s="11">
        <v>3</v>
      </c>
      <c r="QC71" s="19">
        <f t="shared" si="155"/>
        <v>0.10418350722218811</v>
      </c>
      <c r="QD71" s="12">
        <v>643</v>
      </c>
      <c r="QE71" s="12">
        <v>31.176914536239789</v>
      </c>
      <c r="QF71" s="13">
        <v>3</v>
      </c>
      <c r="QG71" s="19">
        <f t="shared" si="156"/>
        <v>4.848664780130605E-2</v>
      </c>
      <c r="QH71" s="19">
        <f t="shared" si="148"/>
        <v>0.47718330734775594</v>
      </c>
      <c r="QI71" s="19">
        <f t="shared" si="149"/>
        <v>4.4017193973745396E-3</v>
      </c>
      <c r="QJ71" s="12" t="s">
        <v>43</v>
      </c>
      <c r="QK71" s="12">
        <v>568</v>
      </c>
      <c r="QL71" s="12">
        <v>83.138438763306112</v>
      </c>
      <c r="QM71" s="13">
        <v>3</v>
      </c>
      <c r="QN71" s="12">
        <v>925</v>
      </c>
      <c r="QO71" s="12">
        <v>427.81654946951267</v>
      </c>
      <c r="QP71" s="13">
        <v>3</v>
      </c>
      <c r="QQ71" s="19">
        <f t="shared" si="158"/>
        <v>0.48767231879127393</v>
      </c>
      <c r="QR71" s="19">
        <f t="shared" si="150"/>
        <v>7.8444873353331016E-2</v>
      </c>
      <c r="QU71" s="11" t="s">
        <v>37</v>
      </c>
      <c r="QV71" s="11" t="s">
        <v>37</v>
      </c>
      <c r="QW71" s="13" t="s">
        <v>37</v>
      </c>
      <c r="QX71" s="11" t="s">
        <v>37</v>
      </c>
      <c r="QY71" s="11" t="s">
        <v>37</v>
      </c>
      <c r="QZ71" s="13" t="s">
        <v>37</v>
      </c>
      <c r="RC71" s="12" t="s">
        <v>37</v>
      </c>
      <c r="RD71" s="12" t="s">
        <v>37</v>
      </c>
      <c r="RE71" s="13" t="s">
        <v>37</v>
      </c>
      <c r="RF71" s="12" t="s">
        <v>37</v>
      </c>
      <c r="RG71" s="12" t="s">
        <v>37</v>
      </c>
      <c r="RH71" s="13" t="s">
        <v>37</v>
      </c>
      <c r="RK71" s="11" t="s">
        <v>37</v>
      </c>
      <c r="RL71" s="11" t="s">
        <v>37</v>
      </c>
      <c r="RM71" s="11" t="s">
        <v>37</v>
      </c>
      <c r="RN71" s="11" t="s">
        <v>37</v>
      </c>
      <c r="RO71" s="11" t="s">
        <v>37</v>
      </c>
      <c r="RP71" s="11" t="s">
        <v>37</v>
      </c>
      <c r="RS71" s="11" t="s">
        <v>37</v>
      </c>
      <c r="RT71" s="11" t="s">
        <v>37</v>
      </c>
      <c r="RU71" s="11" t="s">
        <v>37</v>
      </c>
      <c r="RV71" s="11" t="s">
        <v>37</v>
      </c>
      <c r="RW71" s="11" t="s">
        <v>37</v>
      </c>
      <c r="RX71" s="11" t="s">
        <v>37</v>
      </c>
      <c r="SA71" s="11" t="s">
        <v>37</v>
      </c>
      <c r="SB71" s="11" t="s">
        <v>37</v>
      </c>
      <c r="SC71" s="13" t="s">
        <v>37</v>
      </c>
      <c r="SD71" s="11" t="s">
        <v>37</v>
      </c>
      <c r="SE71" s="11" t="s">
        <v>37</v>
      </c>
      <c r="SF71" s="13" t="s">
        <v>37</v>
      </c>
      <c r="SI71" s="12" t="s">
        <v>37</v>
      </c>
      <c r="SJ71" s="11" t="s">
        <v>37</v>
      </c>
      <c r="SK71" s="13" t="s">
        <v>37</v>
      </c>
      <c r="SM71" s="11" t="s">
        <v>37</v>
      </c>
      <c r="SN71" s="11" t="s">
        <v>37</v>
      </c>
      <c r="SO71" s="13" t="s">
        <v>37</v>
      </c>
      <c r="SU71" s="12" t="s">
        <v>37</v>
      </c>
      <c r="SV71" s="12" t="s">
        <v>37</v>
      </c>
      <c r="SW71" s="11" t="s">
        <v>37</v>
      </c>
      <c r="SX71" s="12" t="s">
        <v>37</v>
      </c>
      <c r="SY71" s="12" t="s">
        <v>37</v>
      </c>
      <c r="SZ71" s="11" t="s">
        <v>37</v>
      </c>
      <c r="TE71" s="12" t="s">
        <v>37</v>
      </c>
      <c r="TF71" s="12" t="s">
        <v>37</v>
      </c>
      <c r="TG71" s="11" t="s">
        <v>37</v>
      </c>
      <c r="TH71" s="12" t="s">
        <v>37</v>
      </c>
      <c r="TI71" s="12" t="s">
        <v>37</v>
      </c>
      <c r="TJ71" s="11" t="s">
        <v>37</v>
      </c>
      <c r="TO71" s="12" t="s">
        <v>37</v>
      </c>
      <c r="TP71" s="12" t="s">
        <v>37</v>
      </c>
      <c r="TQ71" s="11" t="s">
        <v>37</v>
      </c>
      <c r="TR71" s="12" t="s">
        <v>37</v>
      </c>
      <c r="TS71" s="12" t="s">
        <v>37</v>
      </c>
      <c r="TT71" s="11" t="s">
        <v>37</v>
      </c>
      <c r="TY71" s="12" t="s">
        <v>37</v>
      </c>
      <c r="TZ71" s="12" t="s">
        <v>37</v>
      </c>
      <c r="UA71" s="11" t="s">
        <v>37</v>
      </c>
      <c r="UB71" s="12" t="s">
        <v>37</v>
      </c>
      <c r="UC71" s="12" t="s">
        <v>37</v>
      </c>
      <c r="UD71" s="11" t="s">
        <v>37</v>
      </c>
      <c r="UI71" s="12" t="s">
        <v>37</v>
      </c>
      <c r="UJ71" s="12" t="s">
        <v>37</v>
      </c>
      <c r="UK71" s="13" t="s">
        <v>37</v>
      </c>
      <c r="UL71" s="12" t="s">
        <v>37</v>
      </c>
      <c r="UM71" s="12" t="s">
        <v>37</v>
      </c>
      <c r="UN71" s="13" t="s">
        <v>37</v>
      </c>
      <c r="UR71" s="12" t="s">
        <v>37</v>
      </c>
      <c r="US71" s="12" t="s">
        <v>37</v>
      </c>
      <c r="UT71" s="13" t="s">
        <v>37</v>
      </c>
      <c r="UU71" s="12" t="s">
        <v>37</v>
      </c>
      <c r="UV71" s="12" t="s">
        <v>37</v>
      </c>
      <c r="UW71" s="13" t="s">
        <v>37</v>
      </c>
      <c r="VB71" s="12" t="s">
        <v>37</v>
      </c>
      <c r="VC71" s="12" t="s">
        <v>37</v>
      </c>
      <c r="VD71" s="13" t="s">
        <v>37</v>
      </c>
      <c r="VE71" s="12" t="s">
        <v>37</v>
      </c>
      <c r="VF71" s="12" t="s">
        <v>37</v>
      </c>
      <c r="VG71" s="13" t="s">
        <v>37</v>
      </c>
      <c r="VI71" s="12" t="s">
        <v>37</v>
      </c>
      <c r="VJ71" s="12" t="s">
        <v>37</v>
      </c>
      <c r="VK71" s="13" t="s">
        <v>37</v>
      </c>
      <c r="VL71" s="12" t="s">
        <v>37</v>
      </c>
      <c r="VM71" s="12" t="s">
        <v>37</v>
      </c>
      <c r="VN71" s="13" t="s">
        <v>37</v>
      </c>
      <c r="VO71" s="12" t="s">
        <v>37</v>
      </c>
      <c r="VQ71" s="12" t="s">
        <v>37</v>
      </c>
      <c r="VR71" s="12" t="s">
        <v>37</v>
      </c>
      <c r="VS71" s="12" t="s">
        <v>37</v>
      </c>
      <c r="VT71" s="12" t="s">
        <v>37</v>
      </c>
      <c r="VU71" s="12" t="s">
        <v>37</v>
      </c>
      <c r="VV71" s="12" t="s">
        <v>37</v>
      </c>
      <c r="VW71" s="12"/>
      <c r="VX71" s="12"/>
      <c r="WA71" s="13" t="s">
        <v>37</v>
      </c>
      <c r="WB71" s="13" t="s">
        <v>37</v>
      </c>
      <c r="WC71" s="13" t="s">
        <v>37</v>
      </c>
      <c r="WD71" s="13" t="s">
        <v>37</v>
      </c>
      <c r="WE71" s="13" t="s">
        <v>37</v>
      </c>
      <c r="WF71" s="13" t="s">
        <v>37</v>
      </c>
    </row>
    <row r="72" spans="1:604" ht="18" customHeight="1" x14ac:dyDescent="0.4">
      <c r="A72" s="11">
        <v>13</v>
      </c>
      <c r="B72" s="12" t="s">
        <v>933</v>
      </c>
      <c r="C72" s="12" t="s">
        <v>26</v>
      </c>
      <c r="D72" s="12" t="s">
        <v>973</v>
      </c>
      <c r="E72" s="81">
        <v>4.5</v>
      </c>
      <c r="F72" s="14">
        <v>0</v>
      </c>
      <c r="G72" s="14">
        <v>0</v>
      </c>
      <c r="H72" s="12" t="s">
        <v>91</v>
      </c>
      <c r="I72" s="29">
        <v>55.35</v>
      </c>
      <c r="J72" s="29">
        <v>-112.517</v>
      </c>
      <c r="K72" s="12" t="s">
        <v>696</v>
      </c>
      <c r="L72" s="12" t="s">
        <v>697</v>
      </c>
      <c r="M72" s="13" t="s">
        <v>37</v>
      </c>
      <c r="N72" s="14">
        <v>2.1</v>
      </c>
      <c r="O72" s="14">
        <v>504</v>
      </c>
      <c r="P72" s="14" t="s">
        <v>84</v>
      </c>
      <c r="Q72" s="75">
        <v>12</v>
      </c>
      <c r="R72" s="11" t="s">
        <v>999</v>
      </c>
      <c r="S72" s="12" t="s">
        <v>93</v>
      </c>
      <c r="T72" s="12" t="s">
        <v>141</v>
      </c>
      <c r="U72" s="12" t="s">
        <v>163</v>
      </c>
      <c r="V72" s="12" t="s">
        <v>275</v>
      </c>
      <c r="W72" s="23" t="s">
        <v>499</v>
      </c>
      <c r="X72" s="12" t="s">
        <v>282</v>
      </c>
      <c r="Y72" s="12" t="s">
        <v>69</v>
      </c>
      <c r="Z72" s="12" t="s">
        <v>37</v>
      </c>
      <c r="AA72" s="32" t="s">
        <v>345</v>
      </c>
      <c r="AB72" s="12">
        <v>4.0999999999999996</v>
      </c>
      <c r="AE72" s="12" t="s">
        <v>37</v>
      </c>
      <c r="AH72" s="12" t="s">
        <v>37</v>
      </c>
      <c r="AK72" s="12" t="s">
        <v>37</v>
      </c>
      <c r="AL72" s="32" t="s">
        <v>497</v>
      </c>
      <c r="AM72" s="12" t="s">
        <v>317</v>
      </c>
      <c r="AN72" s="32" t="s">
        <v>879</v>
      </c>
      <c r="AO72" s="12" t="s">
        <v>29</v>
      </c>
      <c r="AP72" s="12" t="s">
        <v>108</v>
      </c>
      <c r="AQ72" s="12" t="s">
        <v>975</v>
      </c>
      <c r="AT72" s="12" t="s">
        <v>326</v>
      </c>
      <c r="AU72" s="12" t="s">
        <v>326</v>
      </c>
      <c r="AV72" s="13" t="s">
        <v>326</v>
      </c>
      <c r="AX72" s="12" t="s">
        <v>326</v>
      </c>
      <c r="AY72" s="12" t="s">
        <v>326</v>
      </c>
      <c r="AZ72" s="13" t="s">
        <v>326</v>
      </c>
      <c r="BE72" s="12" t="s">
        <v>326</v>
      </c>
      <c r="BF72" s="12" t="s">
        <v>326</v>
      </c>
      <c r="BG72" s="12" t="s">
        <v>326</v>
      </c>
      <c r="BI72" s="12" t="s">
        <v>326</v>
      </c>
      <c r="BJ72" s="12" t="s">
        <v>326</v>
      </c>
      <c r="BK72" s="12" t="s">
        <v>326</v>
      </c>
      <c r="BP72" s="12" t="s">
        <v>37</v>
      </c>
      <c r="BQ72" s="12" t="s">
        <v>37</v>
      </c>
      <c r="BR72" s="13" t="s">
        <v>37</v>
      </c>
      <c r="BT72" s="12" t="s">
        <v>37</v>
      </c>
      <c r="BU72" s="12" t="s">
        <v>37</v>
      </c>
      <c r="BV72" s="12" t="s">
        <v>37</v>
      </c>
      <c r="BZ72" s="12" t="s">
        <v>581</v>
      </c>
      <c r="CA72" s="12">
        <f>-228*44/12*10^4/10^3/'[6]classess-1'!$T$63</f>
        <v>-10940.677674415452</v>
      </c>
      <c r="CB72" s="15">
        <f>SQRT((1/[7]Classess!$T$63)^2*(43*SQRT(3)*44/12*10^4/10^3)^2+(-CA72/([7]Classess!$T$63)^2)^2*([7]Classess!$U$63)^2)</f>
        <v>3587.5182834567408</v>
      </c>
      <c r="CC72" s="18">
        <v>3</v>
      </c>
      <c r="CD72" s="19">
        <f t="shared" si="228"/>
        <v>0.32790640490635037</v>
      </c>
      <c r="CE72" s="15">
        <f>-333*44/12*10^4/10^3/'[6]classess-1'!$T$64</f>
        <v>-13155.401355723083</v>
      </c>
      <c r="CF72" s="15">
        <f>SQRT((1/[7]Classess!$T$64)^2*(75*SQRT(3)*44/12*10^4/10^3)^2+(-CE72/([7]Classess!$T$64)^2)^2*([7]Classess!$U$64)^2)</f>
        <v>5176.9391284347485</v>
      </c>
      <c r="CG72" s="18">
        <v>3</v>
      </c>
      <c r="CH72" s="19">
        <f t="shared" si="229"/>
        <v>0.39352194497529258</v>
      </c>
      <c r="CI72" s="75">
        <f t="shared" si="230"/>
        <v>-2214.7236813076306</v>
      </c>
      <c r="CJ72" s="12">
        <f t="shared" si="231"/>
        <v>4453.7055455909485</v>
      </c>
      <c r="CK72" s="72">
        <f t="shared" si="232"/>
        <v>13223662.057885043</v>
      </c>
      <c r="CL72" s="72">
        <f t="shared" si="233"/>
        <v>13223662.057885043</v>
      </c>
      <c r="CM72" s="12" t="s">
        <v>581</v>
      </c>
      <c r="CN72" s="12">
        <f>216*44/12*10^4/10^3/'[6]classess-1'!$I$63</f>
        <v>12156.97609983556</v>
      </c>
      <c r="CO72" s="15">
        <f>SQRT((1/[7]Classess!$I$63)^2*(33*SQRT(3)*44/12*10^4/10^3)^2+(-CN72/([7]Classess!$I$63)^2)^2*([7]Classess!$J$63)^2)</f>
        <v>3352.7816659818532</v>
      </c>
      <c r="CP72" s="18">
        <v>3</v>
      </c>
      <c r="CQ72" s="19">
        <f t="shared" si="234"/>
        <v>0.275790759021662</v>
      </c>
      <c r="CR72" s="15">
        <f>359*44/12*10^4/10^3/'[6]classess-1'!$I$64</f>
        <v>16499.127180501211</v>
      </c>
      <c r="CS72" s="15">
        <f>SQRT((1/[7]Classess!$I$64)^2*(18*SQRT(3)*44/12*10^4/10^3)^2+(-CR72/([7]Classess!$I$64)^2)^2*([7]Classess!$J$64)^2)</f>
        <v>2145.4857374487219</v>
      </c>
      <c r="CT72" s="18">
        <v>3</v>
      </c>
      <c r="CU72" s="19">
        <f t="shared" si="235"/>
        <v>0.13003631731406209</v>
      </c>
      <c r="CV72" s="75">
        <f t="shared" si="236"/>
        <v>4342.1510806656515</v>
      </c>
      <c r="CW72" s="12">
        <f t="shared" si="237"/>
        <v>2814.6273242953444</v>
      </c>
      <c r="CX72" s="72">
        <f t="shared" si="238"/>
        <v>5281417.9831133122</v>
      </c>
      <c r="CY72" s="72">
        <f t="shared" si="239"/>
        <v>5281417.9831133122</v>
      </c>
      <c r="CZ72" s="12" t="s">
        <v>581</v>
      </c>
      <c r="DA72" s="12">
        <f t="shared" ref="DA72:DA74" si="246">CA72+CN72</f>
        <v>1216.2984254201074</v>
      </c>
      <c r="DB72" s="15">
        <f>SQRT((1/[7]Classess!$I$17)^2*(19.0525588832576*44/12*10^4/10^3)^2+(-DA72/([7]Classess!$I$17)^2)^2*([7]Classess!$J$17)^2)</f>
        <v>2060.9133169618799</v>
      </c>
      <c r="DC72" s="18">
        <v>3</v>
      </c>
      <c r="DD72" s="19">
        <f t="shared" si="240"/>
        <v>1.6944141946496758</v>
      </c>
      <c r="DE72" s="12">
        <f t="shared" ref="DE72:DE74" si="247">CE72+CR72</f>
        <v>3343.7258247781283</v>
      </c>
      <c r="DF72" s="15">
        <f>SQRT((1/[7]Classess!$I$18)^2*(22.5166604983954*44/12*10^4/10^3)^2+(-DE72/([7]Classess!$I$18)^2)^2*([7]Classess!$J$18)^2)</f>
        <v>717.82293341401112</v>
      </c>
      <c r="DG72" s="18">
        <v>3</v>
      </c>
      <c r="DH72" s="19">
        <f t="shared" si="241"/>
        <v>0.2146775695826203</v>
      </c>
      <c r="DI72" s="19">
        <f t="shared" si="242"/>
        <v>2127.4273993580209</v>
      </c>
      <c r="DJ72" s="12">
        <f t="shared" si="243"/>
        <v>1543.1515582997533</v>
      </c>
      <c r="DK72" s="72">
        <f t="shared" si="244"/>
        <v>1587544.4879219711</v>
      </c>
      <c r="DL72" s="72">
        <f t="shared" si="245"/>
        <v>1587544.4879219714</v>
      </c>
      <c r="DM72" s="15"/>
      <c r="DN72" s="19" t="s">
        <v>37</v>
      </c>
      <c r="DO72" s="12" t="s">
        <v>37</v>
      </c>
      <c r="DP72" s="13" t="s">
        <v>37</v>
      </c>
      <c r="DR72" s="19" t="s">
        <v>37</v>
      </c>
      <c r="DS72" s="12" t="s">
        <v>37</v>
      </c>
      <c r="DT72" s="13" t="s">
        <v>37</v>
      </c>
      <c r="DZ72" s="15"/>
      <c r="EA72" s="19" t="s">
        <v>37</v>
      </c>
      <c r="EB72" s="19" t="s">
        <v>37</v>
      </c>
      <c r="EC72" s="72" t="s">
        <v>37</v>
      </c>
      <c r="EE72" s="19" t="s">
        <v>37</v>
      </c>
      <c r="EF72" s="19" t="s">
        <v>37</v>
      </c>
      <c r="EG72" s="12" t="s">
        <v>37</v>
      </c>
      <c r="EM72" s="12" t="s">
        <v>39</v>
      </c>
      <c r="EN72" s="12">
        <v>-47</v>
      </c>
      <c r="EO72" s="12">
        <v>6.8</v>
      </c>
      <c r="EP72" s="13">
        <v>3</v>
      </c>
      <c r="EQ72" s="19">
        <f t="shared" si="139"/>
        <v>0.14468085106382977</v>
      </c>
      <c r="ER72" s="12">
        <v>-120</v>
      </c>
      <c r="ES72" s="12">
        <v>11.8</v>
      </c>
      <c r="ET72" s="13">
        <v>3</v>
      </c>
      <c r="EU72" s="19">
        <f t="shared" si="140"/>
        <v>9.8333333333333342E-2</v>
      </c>
      <c r="EV72" s="19">
        <f t="shared" si="141"/>
        <v>-73</v>
      </c>
      <c r="EW72" s="12">
        <f t="shared" si="142"/>
        <v>9.630160954002795</v>
      </c>
      <c r="EX72" s="19">
        <f t="shared" si="143"/>
        <v>61.826666666666668</v>
      </c>
      <c r="EY72" s="19">
        <f t="shared" si="144"/>
        <v>61.826666666666668</v>
      </c>
      <c r="FB72" s="11" t="s">
        <v>37</v>
      </c>
      <c r="FC72" s="11" t="s">
        <v>37</v>
      </c>
      <c r="FD72" s="11" t="s">
        <v>37</v>
      </c>
      <c r="FE72" s="12" t="s">
        <v>37</v>
      </c>
      <c r="FF72" s="20" t="s">
        <v>37</v>
      </c>
      <c r="FG72" s="11" t="s">
        <v>37</v>
      </c>
      <c r="FI72" s="11" t="s">
        <v>37</v>
      </c>
      <c r="FJ72" s="11" t="s">
        <v>37</v>
      </c>
      <c r="FK72" s="11" t="s">
        <v>37</v>
      </c>
      <c r="FL72" s="13" t="s">
        <v>37</v>
      </c>
      <c r="FM72" s="11" t="s">
        <v>37</v>
      </c>
      <c r="FN72" s="11" t="s">
        <v>37</v>
      </c>
      <c r="FP72" s="11" t="s">
        <v>37</v>
      </c>
      <c r="FQ72" s="11" t="s">
        <v>37</v>
      </c>
      <c r="FR72" s="11" t="s">
        <v>37</v>
      </c>
      <c r="FS72" s="13" t="s">
        <v>37</v>
      </c>
      <c r="FT72" s="11" t="s">
        <v>37</v>
      </c>
      <c r="FU72" s="11" t="s">
        <v>37</v>
      </c>
      <c r="FW72" s="11" t="s">
        <v>37</v>
      </c>
      <c r="FX72" s="11" t="s">
        <v>37</v>
      </c>
      <c r="FY72" s="11" t="s">
        <v>37</v>
      </c>
      <c r="FZ72" s="13" t="s">
        <v>37</v>
      </c>
      <c r="GA72" s="11" t="s">
        <v>37</v>
      </c>
      <c r="GB72" s="11" t="s">
        <v>37</v>
      </c>
      <c r="GO72" s="12" t="s">
        <v>660</v>
      </c>
      <c r="GP72" s="12" t="s">
        <v>330</v>
      </c>
      <c r="GQ72" s="12">
        <v>12.3</v>
      </c>
      <c r="GR72" s="12">
        <v>0.2</v>
      </c>
      <c r="GS72" s="13">
        <v>3</v>
      </c>
      <c r="GT72" s="19">
        <f t="shared" si="145"/>
        <v>1.6260162601626015E-2</v>
      </c>
      <c r="GU72" s="12">
        <v>13.7</v>
      </c>
      <c r="GV72" s="12">
        <v>0.1</v>
      </c>
      <c r="GW72" s="13">
        <v>3</v>
      </c>
      <c r="GX72" s="19">
        <f t="shared" si="211"/>
        <v>7.2992700729927014E-3</v>
      </c>
      <c r="GY72" s="19">
        <f t="shared" si="203"/>
        <v>0.10779657045570738</v>
      </c>
      <c r="GZ72" s="19">
        <f t="shared" si="204"/>
        <v>1.0589074380993474E-4</v>
      </c>
      <c r="IK72" s="12" t="s">
        <v>37</v>
      </c>
      <c r="IL72" s="12" t="s">
        <v>37</v>
      </c>
      <c r="IM72" s="13" t="s">
        <v>37</v>
      </c>
      <c r="IO72" s="12" t="s">
        <v>37</v>
      </c>
      <c r="IP72" s="12" t="s">
        <v>37</v>
      </c>
      <c r="IQ72" s="13" t="s">
        <v>37</v>
      </c>
      <c r="IV72" s="32" t="s">
        <v>345</v>
      </c>
      <c r="IW72" s="12">
        <v>4.0999999999999996</v>
      </c>
      <c r="IX72" s="12">
        <v>0.1</v>
      </c>
      <c r="IY72" s="13">
        <v>3</v>
      </c>
      <c r="IZ72" s="19">
        <f t="shared" si="147"/>
        <v>2.4390243902439029E-2</v>
      </c>
      <c r="JH72" s="12" t="s">
        <v>37</v>
      </c>
      <c r="JI72" s="12" t="s">
        <v>37</v>
      </c>
      <c r="JJ72" s="13" t="s">
        <v>37</v>
      </c>
      <c r="JL72" s="12" t="s">
        <v>37</v>
      </c>
      <c r="JM72" s="12" t="s">
        <v>37</v>
      </c>
      <c r="JN72" s="12" t="s">
        <v>37</v>
      </c>
      <c r="JS72" s="12" t="s">
        <v>37</v>
      </c>
      <c r="JT72" s="12" t="s">
        <v>37</v>
      </c>
      <c r="JU72" s="13" t="s">
        <v>37</v>
      </c>
      <c r="JW72" s="12" t="s">
        <v>37</v>
      </c>
      <c r="JX72" s="12" t="s">
        <v>37</v>
      </c>
      <c r="JY72" s="12" t="s">
        <v>37</v>
      </c>
      <c r="KE72" s="11" t="s">
        <v>37</v>
      </c>
      <c r="KF72" s="11" t="s">
        <v>37</v>
      </c>
      <c r="KG72" s="13" t="s">
        <v>37</v>
      </c>
      <c r="KH72" s="11" t="s">
        <v>37</v>
      </c>
      <c r="KI72" s="11" t="s">
        <v>37</v>
      </c>
      <c r="KJ72" s="11" t="s">
        <v>37</v>
      </c>
      <c r="KM72" s="12" t="s">
        <v>37</v>
      </c>
      <c r="KN72" s="12" t="s">
        <v>37</v>
      </c>
      <c r="KO72" s="11" t="s">
        <v>37</v>
      </c>
      <c r="KQ72" s="12" t="s">
        <v>37</v>
      </c>
      <c r="KR72" s="12" t="s">
        <v>37</v>
      </c>
      <c r="KS72" s="13" t="s">
        <v>37</v>
      </c>
      <c r="KX72" s="12" t="s">
        <v>37</v>
      </c>
      <c r="KY72" s="12" t="s">
        <v>37</v>
      </c>
      <c r="KZ72" s="13" t="s">
        <v>37</v>
      </c>
      <c r="LB72" s="12" t="s">
        <v>37</v>
      </c>
      <c r="LC72" s="12" t="s">
        <v>37</v>
      </c>
      <c r="LD72" s="13" t="s">
        <v>37</v>
      </c>
      <c r="LI72" s="12" t="s">
        <v>37</v>
      </c>
      <c r="LJ72" s="12" t="s">
        <v>37</v>
      </c>
      <c r="LK72" s="12" t="s">
        <v>37</v>
      </c>
      <c r="LM72" s="12" t="s">
        <v>37</v>
      </c>
      <c r="LN72" s="12" t="s">
        <v>37</v>
      </c>
      <c r="LO72" s="12" t="s">
        <v>37</v>
      </c>
      <c r="LU72" s="12" t="s">
        <v>37</v>
      </c>
      <c r="LV72" s="12" t="s">
        <v>37</v>
      </c>
      <c r="LW72" s="13" t="s">
        <v>37</v>
      </c>
      <c r="LY72" s="12" t="s">
        <v>37</v>
      </c>
      <c r="LZ72" s="12" t="s">
        <v>37</v>
      </c>
      <c r="MA72" s="12" t="s">
        <v>37</v>
      </c>
      <c r="MF72" s="12" t="s">
        <v>37</v>
      </c>
      <c r="MG72" s="12" t="s">
        <v>37</v>
      </c>
      <c r="MH72" s="12" t="s">
        <v>37</v>
      </c>
      <c r="MJ72" s="12" t="s">
        <v>37</v>
      </c>
      <c r="MK72" s="12" t="s">
        <v>37</v>
      </c>
      <c r="ML72" s="12" t="s">
        <v>37</v>
      </c>
      <c r="MQ72" s="12" t="s">
        <v>37</v>
      </c>
      <c r="MR72" s="12" t="s">
        <v>37</v>
      </c>
      <c r="MS72" s="12" t="s">
        <v>37</v>
      </c>
      <c r="MU72" s="12" t="s">
        <v>37</v>
      </c>
      <c r="MV72" s="12" t="s">
        <v>37</v>
      </c>
      <c r="MW72" s="12" t="s">
        <v>37</v>
      </c>
      <c r="NC72" s="12" t="s">
        <v>37</v>
      </c>
      <c r="ND72" s="12" t="s">
        <v>37</v>
      </c>
      <c r="NE72" s="13" t="s">
        <v>37</v>
      </c>
      <c r="NG72" s="12" t="s">
        <v>37</v>
      </c>
      <c r="NH72" s="12" t="s">
        <v>37</v>
      </c>
      <c r="NI72" s="13" t="s">
        <v>37</v>
      </c>
      <c r="NO72" s="12" t="s">
        <v>37</v>
      </c>
      <c r="NP72" s="12" t="s">
        <v>37</v>
      </c>
      <c r="NQ72" s="13" t="s">
        <v>37</v>
      </c>
      <c r="NS72" s="12" t="s">
        <v>37</v>
      </c>
      <c r="NT72" s="12" t="s">
        <v>37</v>
      </c>
      <c r="NU72" s="13" t="s">
        <v>37</v>
      </c>
      <c r="OA72" s="11" t="s">
        <v>37</v>
      </c>
      <c r="OB72" s="11" t="s">
        <v>37</v>
      </c>
      <c r="OC72" s="13" t="s">
        <v>37</v>
      </c>
      <c r="OE72" s="11" t="s">
        <v>37</v>
      </c>
      <c r="OF72" s="11" t="s">
        <v>37</v>
      </c>
      <c r="OG72" s="13" t="s">
        <v>37</v>
      </c>
      <c r="OM72" s="11" t="s">
        <v>37</v>
      </c>
      <c r="ON72" s="11" t="s">
        <v>37</v>
      </c>
      <c r="OO72" s="11" t="s">
        <v>37</v>
      </c>
      <c r="OP72" s="11" t="s">
        <v>37</v>
      </c>
      <c r="OQ72" s="11" t="s">
        <v>37</v>
      </c>
      <c r="OR72" s="11" t="s">
        <v>37</v>
      </c>
      <c r="OW72" s="11" t="s">
        <v>37</v>
      </c>
      <c r="OX72" s="11" t="s">
        <v>37</v>
      </c>
      <c r="OY72" s="13" t="s">
        <v>37</v>
      </c>
      <c r="OZ72" s="11" t="s">
        <v>37</v>
      </c>
      <c r="PA72" s="11" t="s">
        <v>37</v>
      </c>
      <c r="PB72" s="13" t="s">
        <v>37</v>
      </c>
      <c r="PG72" s="11" t="s">
        <v>37</v>
      </c>
      <c r="PH72" s="11" t="s">
        <v>37</v>
      </c>
      <c r="PI72" s="13" t="s">
        <v>37</v>
      </c>
      <c r="PJ72" s="11" t="s">
        <v>37</v>
      </c>
      <c r="PK72" s="11" t="s">
        <v>37</v>
      </c>
      <c r="PL72" s="13" t="s">
        <v>37</v>
      </c>
      <c r="PQ72" s="11" t="s">
        <v>37</v>
      </c>
      <c r="PR72" s="11" t="s">
        <v>37</v>
      </c>
      <c r="PS72" s="13" t="s">
        <v>37</v>
      </c>
      <c r="PT72" s="11" t="s">
        <v>37</v>
      </c>
      <c r="PU72" s="11" t="s">
        <v>37</v>
      </c>
      <c r="PV72" s="13" t="s">
        <v>37</v>
      </c>
      <c r="PY72" s="12" t="s">
        <v>43</v>
      </c>
      <c r="PZ72" s="12">
        <v>399</v>
      </c>
      <c r="QA72" s="12">
        <v>41.569219381653056</v>
      </c>
      <c r="QB72" s="11">
        <v>3</v>
      </c>
      <c r="QC72" s="19">
        <f t="shared" si="155"/>
        <v>0.10418350722218811</v>
      </c>
      <c r="QD72" s="12">
        <v>643</v>
      </c>
      <c r="QE72" s="12">
        <v>31.176914536239789</v>
      </c>
      <c r="QF72" s="13">
        <v>3</v>
      </c>
      <c r="QG72" s="19">
        <f t="shared" si="156"/>
        <v>4.848664780130605E-2</v>
      </c>
      <c r="QH72" s="19">
        <f t="shared" si="148"/>
        <v>0.47718330734775594</v>
      </c>
      <c r="QI72" s="19">
        <f t="shared" si="149"/>
        <v>4.4017193973745396E-3</v>
      </c>
      <c r="QJ72" s="12" t="s">
        <v>43</v>
      </c>
      <c r="QK72" s="12">
        <v>568</v>
      </c>
      <c r="QL72" s="12">
        <v>83.138438763306112</v>
      </c>
      <c r="QM72" s="13">
        <v>3</v>
      </c>
      <c r="QN72" s="12">
        <v>925</v>
      </c>
      <c r="QO72" s="12">
        <v>427.81654946951267</v>
      </c>
      <c r="QP72" s="13">
        <v>3</v>
      </c>
      <c r="QQ72" s="19">
        <f t="shared" si="158"/>
        <v>0.48767231879127393</v>
      </c>
      <c r="QR72" s="19">
        <f t="shared" si="150"/>
        <v>7.8444873353331016E-2</v>
      </c>
      <c r="QU72" s="11" t="s">
        <v>37</v>
      </c>
      <c r="QV72" s="11" t="s">
        <v>37</v>
      </c>
      <c r="QW72" s="13" t="s">
        <v>37</v>
      </c>
      <c r="QX72" s="11" t="s">
        <v>37</v>
      </c>
      <c r="QY72" s="11" t="s">
        <v>37</v>
      </c>
      <c r="QZ72" s="13" t="s">
        <v>37</v>
      </c>
      <c r="RC72" s="12" t="s">
        <v>37</v>
      </c>
      <c r="RD72" s="12" t="s">
        <v>37</v>
      </c>
      <c r="RE72" s="13" t="s">
        <v>37</v>
      </c>
      <c r="RF72" s="12" t="s">
        <v>37</v>
      </c>
      <c r="RG72" s="12" t="s">
        <v>37</v>
      </c>
      <c r="RH72" s="13" t="s">
        <v>37</v>
      </c>
      <c r="RK72" s="11" t="s">
        <v>37</v>
      </c>
      <c r="RL72" s="11" t="s">
        <v>37</v>
      </c>
      <c r="RM72" s="11" t="s">
        <v>37</v>
      </c>
      <c r="RN72" s="11" t="s">
        <v>37</v>
      </c>
      <c r="RO72" s="11" t="s">
        <v>37</v>
      </c>
      <c r="RP72" s="11" t="s">
        <v>37</v>
      </c>
      <c r="RS72" s="11" t="s">
        <v>37</v>
      </c>
      <c r="RT72" s="11" t="s">
        <v>37</v>
      </c>
      <c r="RU72" s="11" t="s">
        <v>37</v>
      </c>
      <c r="RV72" s="11" t="s">
        <v>37</v>
      </c>
      <c r="RW72" s="11" t="s">
        <v>37</v>
      </c>
      <c r="RX72" s="11" t="s">
        <v>37</v>
      </c>
      <c r="SA72" s="11" t="s">
        <v>37</v>
      </c>
      <c r="SB72" s="11" t="s">
        <v>37</v>
      </c>
      <c r="SC72" s="13" t="s">
        <v>37</v>
      </c>
      <c r="SD72" s="11" t="s">
        <v>37</v>
      </c>
      <c r="SE72" s="11" t="s">
        <v>37</v>
      </c>
      <c r="SF72" s="13" t="s">
        <v>37</v>
      </c>
      <c r="SI72" s="12" t="s">
        <v>37</v>
      </c>
      <c r="SJ72" s="11" t="s">
        <v>37</v>
      </c>
      <c r="SK72" s="13" t="s">
        <v>37</v>
      </c>
      <c r="SM72" s="11" t="s">
        <v>37</v>
      </c>
      <c r="SN72" s="11" t="s">
        <v>37</v>
      </c>
      <c r="SO72" s="13" t="s">
        <v>37</v>
      </c>
      <c r="SU72" s="12" t="s">
        <v>37</v>
      </c>
      <c r="SV72" s="12" t="s">
        <v>37</v>
      </c>
      <c r="SW72" s="11" t="s">
        <v>37</v>
      </c>
      <c r="SX72" s="12" t="s">
        <v>37</v>
      </c>
      <c r="SY72" s="12" t="s">
        <v>37</v>
      </c>
      <c r="SZ72" s="11" t="s">
        <v>37</v>
      </c>
      <c r="TE72" s="12" t="s">
        <v>37</v>
      </c>
      <c r="TF72" s="12" t="s">
        <v>37</v>
      </c>
      <c r="TG72" s="11" t="s">
        <v>37</v>
      </c>
      <c r="TH72" s="12" t="s">
        <v>37</v>
      </c>
      <c r="TI72" s="12" t="s">
        <v>37</v>
      </c>
      <c r="TJ72" s="11" t="s">
        <v>37</v>
      </c>
      <c r="TO72" s="12" t="s">
        <v>37</v>
      </c>
      <c r="TP72" s="12" t="s">
        <v>37</v>
      </c>
      <c r="TQ72" s="11" t="s">
        <v>37</v>
      </c>
      <c r="TR72" s="12" t="s">
        <v>37</v>
      </c>
      <c r="TS72" s="12" t="s">
        <v>37</v>
      </c>
      <c r="TT72" s="11" t="s">
        <v>37</v>
      </c>
      <c r="TY72" s="12" t="s">
        <v>37</v>
      </c>
      <c r="TZ72" s="12" t="s">
        <v>37</v>
      </c>
      <c r="UA72" s="11" t="s">
        <v>37</v>
      </c>
      <c r="UB72" s="12" t="s">
        <v>37</v>
      </c>
      <c r="UC72" s="12" t="s">
        <v>37</v>
      </c>
      <c r="UD72" s="11" t="s">
        <v>37</v>
      </c>
      <c r="UI72" s="12" t="s">
        <v>37</v>
      </c>
      <c r="UJ72" s="12" t="s">
        <v>37</v>
      </c>
      <c r="UK72" s="13" t="s">
        <v>37</v>
      </c>
      <c r="UL72" s="12" t="s">
        <v>37</v>
      </c>
      <c r="UM72" s="12" t="s">
        <v>37</v>
      </c>
      <c r="UN72" s="13" t="s">
        <v>37</v>
      </c>
      <c r="UR72" s="12" t="s">
        <v>37</v>
      </c>
      <c r="US72" s="12" t="s">
        <v>37</v>
      </c>
      <c r="UT72" s="13" t="s">
        <v>37</v>
      </c>
      <c r="UU72" s="12" t="s">
        <v>37</v>
      </c>
      <c r="UV72" s="12" t="s">
        <v>37</v>
      </c>
      <c r="UW72" s="13" t="s">
        <v>37</v>
      </c>
      <c r="VB72" s="12" t="s">
        <v>37</v>
      </c>
      <c r="VC72" s="12" t="s">
        <v>37</v>
      </c>
      <c r="VD72" s="13" t="s">
        <v>37</v>
      </c>
      <c r="VE72" s="12" t="s">
        <v>37</v>
      </c>
      <c r="VF72" s="12" t="s">
        <v>37</v>
      </c>
      <c r="VG72" s="13" t="s">
        <v>37</v>
      </c>
      <c r="VI72" s="12" t="s">
        <v>37</v>
      </c>
      <c r="VJ72" s="12" t="s">
        <v>37</v>
      </c>
      <c r="VK72" s="13" t="s">
        <v>37</v>
      </c>
      <c r="VL72" s="12" t="s">
        <v>37</v>
      </c>
      <c r="VM72" s="12" t="s">
        <v>37</v>
      </c>
      <c r="VN72" s="13" t="s">
        <v>37</v>
      </c>
      <c r="VO72" s="12" t="s">
        <v>37</v>
      </c>
      <c r="VQ72" s="12" t="s">
        <v>37</v>
      </c>
      <c r="VR72" s="12" t="s">
        <v>37</v>
      </c>
      <c r="VS72" s="12" t="s">
        <v>37</v>
      </c>
      <c r="VT72" s="12" t="s">
        <v>37</v>
      </c>
      <c r="VU72" s="12" t="s">
        <v>37</v>
      </c>
      <c r="VV72" s="12" t="s">
        <v>37</v>
      </c>
      <c r="VW72" s="12"/>
      <c r="VX72" s="12"/>
      <c r="WA72" s="13" t="s">
        <v>37</v>
      </c>
      <c r="WB72" s="13" t="s">
        <v>37</v>
      </c>
      <c r="WC72" s="13" t="s">
        <v>37</v>
      </c>
      <c r="WD72" s="13" t="s">
        <v>37</v>
      </c>
      <c r="WE72" s="13" t="s">
        <v>37</v>
      </c>
      <c r="WF72" s="13" t="s">
        <v>37</v>
      </c>
    </row>
    <row r="73" spans="1:604" ht="18" customHeight="1" x14ac:dyDescent="0.4">
      <c r="A73" s="11">
        <v>13</v>
      </c>
      <c r="B73" s="12" t="s">
        <v>933</v>
      </c>
      <c r="C73" s="12" t="s">
        <v>26</v>
      </c>
      <c r="D73" s="12" t="s">
        <v>973</v>
      </c>
      <c r="E73" s="81">
        <v>4.5</v>
      </c>
      <c r="F73" s="14">
        <v>0</v>
      </c>
      <c r="G73" s="14">
        <v>0</v>
      </c>
      <c r="H73" s="12" t="s">
        <v>91</v>
      </c>
      <c r="I73" s="29">
        <v>55.35</v>
      </c>
      <c r="J73" s="29">
        <v>-112.517</v>
      </c>
      <c r="K73" s="12" t="s">
        <v>696</v>
      </c>
      <c r="L73" s="12" t="s">
        <v>697</v>
      </c>
      <c r="M73" s="13" t="s">
        <v>37</v>
      </c>
      <c r="N73" s="14">
        <v>2.1</v>
      </c>
      <c r="O73" s="14">
        <v>504</v>
      </c>
      <c r="P73" s="14" t="s">
        <v>84</v>
      </c>
      <c r="Q73" s="75">
        <v>11</v>
      </c>
      <c r="R73" s="11" t="s">
        <v>999</v>
      </c>
      <c r="S73" s="12" t="s">
        <v>93</v>
      </c>
      <c r="T73" s="12" t="s">
        <v>141</v>
      </c>
      <c r="U73" s="12" t="s">
        <v>334</v>
      </c>
      <c r="V73" s="12" t="s">
        <v>275</v>
      </c>
      <c r="W73" s="23" t="s">
        <v>500</v>
      </c>
      <c r="X73" s="12" t="s">
        <v>281</v>
      </c>
      <c r="Y73" s="12" t="s">
        <v>69</v>
      </c>
      <c r="Z73" s="12" t="s">
        <v>37</v>
      </c>
      <c r="AA73" s="32" t="s">
        <v>345</v>
      </c>
      <c r="AB73" s="12">
        <v>4.0999999999999996</v>
      </c>
      <c r="AE73" s="12" t="s">
        <v>37</v>
      </c>
      <c r="AH73" s="12" t="s">
        <v>37</v>
      </c>
      <c r="AK73" s="12" t="s">
        <v>37</v>
      </c>
      <c r="AL73" s="32" t="s">
        <v>496</v>
      </c>
      <c r="AM73" s="12" t="s">
        <v>317</v>
      </c>
      <c r="AN73" s="32" t="s">
        <v>879</v>
      </c>
      <c r="AO73" s="12" t="s">
        <v>318</v>
      </c>
      <c r="AP73" s="12" t="s">
        <v>108</v>
      </c>
      <c r="AQ73" s="12" t="s">
        <v>975</v>
      </c>
      <c r="AT73" s="12" t="s">
        <v>326</v>
      </c>
      <c r="AU73" s="12" t="s">
        <v>326</v>
      </c>
      <c r="AV73" s="13" t="s">
        <v>326</v>
      </c>
      <c r="AX73" s="12" t="s">
        <v>326</v>
      </c>
      <c r="AY73" s="12" t="s">
        <v>326</v>
      </c>
      <c r="AZ73" s="13" t="s">
        <v>326</v>
      </c>
      <c r="BE73" s="12" t="s">
        <v>326</v>
      </c>
      <c r="BF73" s="12" t="s">
        <v>326</v>
      </c>
      <c r="BG73" s="12" t="s">
        <v>326</v>
      </c>
      <c r="BI73" s="12" t="s">
        <v>326</v>
      </c>
      <c r="BJ73" s="12" t="s">
        <v>326</v>
      </c>
      <c r="BK73" s="12" t="s">
        <v>326</v>
      </c>
      <c r="BP73" s="12" t="s">
        <v>37</v>
      </c>
      <c r="BQ73" s="12" t="s">
        <v>37</v>
      </c>
      <c r="BR73" s="13" t="s">
        <v>37</v>
      </c>
      <c r="BT73" s="12" t="s">
        <v>37</v>
      </c>
      <c r="BU73" s="12" t="s">
        <v>37</v>
      </c>
      <c r="BV73" s="12" t="s">
        <v>37</v>
      </c>
      <c r="BZ73" s="12" t="s">
        <v>581</v>
      </c>
      <c r="CA73" s="12">
        <f>-178*44/12*10^4/10^3/'[6]classess-1'!$T$65</f>
        <v>-7247.1260453614077</v>
      </c>
      <c r="CB73" s="15">
        <f>SQRT((1/[7]Classess!$T$65)^2*(29*SQRT(3)*44/12*10^4/10^3)^2+(-CA73/([7]Classess!$T$65)^2)^2*([7]Classess!$U$65)^2)</f>
        <v>2100.9616035887616</v>
      </c>
      <c r="CC73" s="18">
        <v>3</v>
      </c>
      <c r="CD73" s="19">
        <f t="shared" si="228"/>
        <v>0.28990272701735359</v>
      </c>
      <c r="CE73" s="15">
        <f>-116*44/12*10^4/10^3/'[6]classess-1'!$T$66</f>
        <v>-4582.6623341257582</v>
      </c>
      <c r="CF73" s="15">
        <f>SQRT((1/[7]Classess!$T$66)^2*(19*SQRT(3)*44/12*10^4/10^3)^2+(-CE73/([7]Classess!$T$66)^2)^2*([7]Classess!$U$66)^2)</f>
        <v>1321.5627260440792</v>
      </c>
      <c r="CG73" s="18">
        <v>3</v>
      </c>
      <c r="CH73" s="19">
        <f t="shared" si="229"/>
        <v>0.28838317765696692</v>
      </c>
      <c r="CI73" s="75">
        <f t="shared" si="230"/>
        <v>2664.4637112356495</v>
      </c>
      <c r="CJ73" s="12">
        <f t="shared" si="231"/>
        <v>1755.0737446932706</v>
      </c>
      <c r="CK73" s="72">
        <f t="shared" si="232"/>
        <v>2053522.5662077726</v>
      </c>
      <c r="CL73" s="72">
        <f t="shared" si="233"/>
        <v>2053522.5662077728</v>
      </c>
      <c r="CM73" s="12" t="s">
        <v>581</v>
      </c>
      <c r="CN73" s="12">
        <f>130*44/12*10^4/10^3/'[6]classess-1'!$I$65</f>
        <v>6440.2877983621229</v>
      </c>
      <c r="CO73" s="15">
        <f>SQRT((1/[7]Classess!$I$65)^2*(21*SQRT(3)*44/12*10^4/10^3)^2+(-CN73/([7]Classess!$I$65)^2)^2*([7]Classess!$J$65)^2)</f>
        <v>2181.3507268282779</v>
      </c>
      <c r="CP73" s="18">
        <v>3</v>
      </c>
      <c r="CQ73" s="19">
        <f t="shared" si="234"/>
        <v>0.33870392055818271</v>
      </c>
      <c r="CR73" s="12">
        <f>536*44/12*10^4/10^3/'[6]classess-1'!$I$64</f>
        <v>24633.794341918241</v>
      </c>
      <c r="CS73" s="12">
        <f>SQRT((1/[7]Classess!$I$64)^2*(9*SQRT(3)*44/12*10^4/10^3)^2+(-CR73/([7]Classess!$I$64)^2)^2*([7]Classess!$J$64)^2)</f>
        <v>2489.5274353362884</v>
      </c>
      <c r="CT73" s="18">
        <v>3</v>
      </c>
      <c r="CU73" s="19">
        <f t="shared" si="235"/>
        <v>0.10106146867922695</v>
      </c>
      <c r="CV73" s="75">
        <f t="shared" si="236"/>
        <v>18193.506543556119</v>
      </c>
      <c r="CW73" s="12">
        <f t="shared" si="237"/>
        <v>2340.5168066824826</v>
      </c>
      <c r="CX73" s="72">
        <f t="shared" si="238"/>
        <v>3652012.6149087776</v>
      </c>
      <c r="CY73" s="72">
        <f t="shared" si="239"/>
        <v>3652012.6149087781</v>
      </c>
      <c r="CZ73" s="12" t="s">
        <v>581</v>
      </c>
      <c r="DA73" s="12">
        <f>CA73+CN73</f>
        <v>-806.83824699928482</v>
      </c>
      <c r="DB73" s="15">
        <f>SQRT((1/[7]Classess!$I$17)^2*(15.5884572681199*44/12*10^4/10^3)^2+(-DA73/([7]Classess!$I$17)^2)^2*([7]Classess!$J$17)^2)</f>
        <v>1429.0549882340658</v>
      </c>
      <c r="DC73" s="18">
        <v>3</v>
      </c>
      <c r="DD73" s="19">
        <f t="shared" si="240"/>
        <v>1.7711790356355437</v>
      </c>
      <c r="DE73" s="12">
        <f>CE73+CR73</f>
        <v>20051.132007792483</v>
      </c>
      <c r="DF73" s="15">
        <f>SQRT((1/[7]Classess!$I$18)^2*(39.8371685740842*44/12*10^4/10^3)^2+(-DE73/([7]Classess!$I$18)^2)^2*([7]Classess!$J$18)^2)</f>
        <v>2691.1988636577994</v>
      </c>
      <c r="DG73" s="18">
        <v>3</v>
      </c>
      <c r="DH73" s="19">
        <f t="shared" si="241"/>
        <v>0.13421680444834322</v>
      </c>
      <c r="DI73" s="19">
        <f t="shared" si="242"/>
        <v>20857.97025479177</v>
      </c>
      <c r="DJ73" s="12">
        <f t="shared" si="243"/>
        <v>2154.617075392945</v>
      </c>
      <c r="DK73" s="72">
        <f t="shared" si="244"/>
        <v>3094916.4943832317</v>
      </c>
      <c r="DL73" s="72">
        <f t="shared" si="245"/>
        <v>3094916.4943832322</v>
      </c>
      <c r="DM73" s="12"/>
      <c r="DN73" s="19" t="s">
        <v>37</v>
      </c>
      <c r="DO73" s="12" t="s">
        <v>37</v>
      </c>
      <c r="DP73" s="13" t="s">
        <v>37</v>
      </c>
      <c r="DR73" s="19" t="s">
        <v>37</v>
      </c>
      <c r="DS73" s="12" t="s">
        <v>37</v>
      </c>
      <c r="DT73" s="13" t="s">
        <v>37</v>
      </c>
      <c r="DZ73" s="12"/>
      <c r="EA73" s="19" t="s">
        <v>37</v>
      </c>
      <c r="EB73" s="19" t="s">
        <v>37</v>
      </c>
      <c r="EC73" s="72" t="s">
        <v>37</v>
      </c>
      <c r="EE73" s="19" t="s">
        <v>37</v>
      </c>
      <c r="EF73" s="19" t="s">
        <v>37</v>
      </c>
      <c r="EG73" s="12" t="s">
        <v>37</v>
      </c>
      <c r="EM73" s="12" t="s">
        <v>39</v>
      </c>
      <c r="EN73" s="12">
        <v>-38</v>
      </c>
      <c r="EO73" s="12">
        <v>7.6</v>
      </c>
      <c r="EP73" s="13">
        <v>3</v>
      </c>
      <c r="EQ73" s="19">
        <f t="shared" si="139"/>
        <v>0.19999999999999998</v>
      </c>
      <c r="ER73" s="12">
        <v>-112</v>
      </c>
      <c r="ES73" s="12">
        <v>15.2</v>
      </c>
      <c r="ET73" s="13">
        <v>3</v>
      </c>
      <c r="EU73" s="19">
        <f t="shared" si="140"/>
        <v>0.1357142857142857</v>
      </c>
      <c r="EV73" s="19">
        <f t="shared" si="141"/>
        <v>-74</v>
      </c>
      <c r="EW73" s="12">
        <f t="shared" si="142"/>
        <v>12.016655108639842</v>
      </c>
      <c r="EX73" s="19">
        <f t="shared" si="143"/>
        <v>96.266666666666666</v>
      </c>
      <c r="EY73" s="19">
        <f t="shared" si="144"/>
        <v>96.266666666666666</v>
      </c>
      <c r="FB73" s="11" t="s">
        <v>37</v>
      </c>
      <c r="FC73" s="11" t="s">
        <v>37</v>
      </c>
      <c r="FD73" s="11" t="s">
        <v>37</v>
      </c>
      <c r="FE73" s="12" t="s">
        <v>37</v>
      </c>
      <c r="FF73" s="20" t="s">
        <v>37</v>
      </c>
      <c r="FG73" s="11" t="s">
        <v>37</v>
      </c>
      <c r="FI73" s="11" t="s">
        <v>37</v>
      </c>
      <c r="FJ73" s="11" t="s">
        <v>37</v>
      </c>
      <c r="FK73" s="11" t="s">
        <v>37</v>
      </c>
      <c r="FL73" s="13" t="s">
        <v>37</v>
      </c>
      <c r="FM73" s="11" t="s">
        <v>37</v>
      </c>
      <c r="FN73" s="11" t="s">
        <v>37</v>
      </c>
      <c r="FP73" s="11" t="s">
        <v>37</v>
      </c>
      <c r="FQ73" s="11" t="s">
        <v>37</v>
      </c>
      <c r="FR73" s="11" t="s">
        <v>37</v>
      </c>
      <c r="FS73" s="13" t="s">
        <v>37</v>
      </c>
      <c r="FT73" s="11" t="s">
        <v>37</v>
      </c>
      <c r="FU73" s="11" t="s">
        <v>37</v>
      </c>
      <c r="FW73" s="11" t="s">
        <v>37</v>
      </c>
      <c r="FX73" s="11" t="s">
        <v>37</v>
      </c>
      <c r="FY73" s="11" t="s">
        <v>37</v>
      </c>
      <c r="FZ73" s="13" t="s">
        <v>37</v>
      </c>
      <c r="GA73" s="11" t="s">
        <v>37</v>
      </c>
      <c r="GB73" s="11" t="s">
        <v>37</v>
      </c>
      <c r="GO73" s="12" t="s">
        <v>660</v>
      </c>
      <c r="GP73" s="12" t="s">
        <v>330</v>
      </c>
      <c r="GQ73" s="12">
        <v>12.3</v>
      </c>
      <c r="GR73" s="12">
        <v>5.0000000000000001E-3</v>
      </c>
      <c r="GS73" s="13">
        <v>3</v>
      </c>
      <c r="GT73" s="19">
        <f t="shared" si="145"/>
        <v>4.0650406504065041E-4</v>
      </c>
      <c r="GU73" s="12">
        <v>13.1</v>
      </c>
      <c r="GV73" s="12">
        <v>0.1</v>
      </c>
      <c r="GW73" s="13">
        <v>3</v>
      </c>
      <c r="GX73" s="19">
        <f t="shared" si="211"/>
        <v>7.6335877862595426E-3</v>
      </c>
      <c r="GY73" s="19">
        <f t="shared" si="203"/>
        <v>6.301296782873396E-2</v>
      </c>
      <c r="GZ73" s="19">
        <f t="shared" si="204"/>
        <v>1.9478969348475148E-5</v>
      </c>
      <c r="HA73" s="12"/>
      <c r="HB73" s="32"/>
      <c r="HM73" s="32"/>
      <c r="IK73" s="12" t="s">
        <v>37</v>
      </c>
      <c r="IL73" s="12" t="s">
        <v>37</v>
      </c>
      <c r="IM73" s="13" t="s">
        <v>37</v>
      </c>
      <c r="IO73" s="12" t="s">
        <v>37</v>
      </c>
      <c r="IP73" s="12" t="s">
        <v>37</v>
      </c>
      <c r="IQ73" s="13" t="s">
        <v>37</v>
      </c>
      <c r="IV73" s="32" t="s">
        <v>345</v>
      </c>
      <c r="IW73" s="12">
        <v>4.0999999999999996</v>
      </c>
      <c r="IX73" s="12">
        <v>0.1</v>
      </c>
      <c r="IY73" s="13">
        <v>3</v>
      </c>
      <c r="IZ73" s="19">
        <f t="shared" si="147"/>
        <v>2.4390243902439029E-2</v>
      </c>
      <c r="JH73" s="12" t="s">
        <v>37</v>
      </c>
      <c r="JI73" s="12" t="s">
        <v>37</v>
      </c>
      <c r="JJ73" s="13" t="s">
        <v>37</v>
      </c>
      <c r="JL73" s="12" t="s">
        <v>37</v>
      </c>
      <c r="JM73" s="12" t="s">
        <v>37</v>
      </c>
      <c r="JN73" s="12" t="s">
        <v>37</v>
      </c>
      <c r="JS73" s="12" t="s">
        <v>37</v>
      </c>
      <c r="JT73" s="12" t="s">
        <v>37</v>
      </c>
      <c r="JU73" s="13" t="s">
        <v>37</v>
      </c>
      <c r="JW73" s="12" t="s">
        <v>37</v>
      </c>
      <c r="JX73" s="12" t="s">
        <v>37</v>
      </c>
      <c r="JY73" s="12" t="s">
        <v>37</v>
      </c>
      <c r="KE73" s="11" t="s">
        <v>37</v>
      </c>
      <c r="KF73" s="11" t="s">
        <v>37</v>
      </c>
      <c r="KG73" s="13" t="s">
        <v>37</v>
      </c>
      <c r="KH73" s="11" t="s">
        <v>37</v>
      </c>
      <c r="KI73" s="11" t="s">
        <v>37</v>
      </c>
      <c r="KJ73" s="11" t="s">
        <v>37</v>
      </c>
      <c r="KM73" s="12" t="s">
        <v>37</v>
      </c>
      <c r="KN73" s="12" t="s">
        <v>37</v>
      </c>
      <c r="KO73" s="11" t="s">
        <v>37</v>
      </c>
      <c r="KQ73" s="12" t="s">
        <v>37</v>
      </c>
      <c r="KR73" s="12" t="s">
        <v>37</v>
      </c>
      <c r="KS73" s="13" t="s">
        <v>37</v>
      </c>
      <c r="KX73" s="12" t="s">
        <v>37</v>
      </c>
      <c r="KY73" s="12" t="s">
        <v>37</v>
      </c>
      <c r="KZ73" s="13" t="s">
        <v>37</v>
      </c>
      <c r="LB73" s="12" t="s">
        <v>37</v>
      </c>
      <c r="LC73" s="12" t="s">
        <v>37</v>
      </c>
      <c r="LD73" s="13" t="s">
        <v>37</v>
      </c>
      <c r="LI73" s="12" t="s">
        <v>37</v>
      </c>
      <c r="LJ73" s="12" t="s">
        <v>37</v>
      </c>
      <c r="LK73" s="12" t="s">
        <v>37</v>
      </c>
      <c r="LM73" s="12" t="s">
        <v>37</v>
      </c>
      <c r="LN73" s="12" t="s">
        <v>37</v>
      </c>
      <c r="LO73" s="12" t="s">
        <v>37</v>
      </c>
      <c r="LU73" s="12" t="s">
        <v>37</v>
      </c>
      <c r="LV73" s="12" t="s">
        <v>37</v>
      </c>
      <c r="LW73" s="13" t="s">
        <v>37</v>
      </c>
      <c r="LY73" s="12" t="s">
        <v>37</v>
      </c>
      <c r="LZ73" s="12" t="s">
        <v>37</v>
      </c>
      <c r="MA73" s="12" t="s">
        <v>37</v>
      </c>
      <c r="MF73" s="12" t="s">
        <v>37</v>
      </c>
      <c r="MG73" s="12" t="s">
        <v>37</v>
      </c>
      <c r="MH73" s="12" t="s">
        <v>37</v>
      </c>
      <c r="MJ73" s="12" t="s">
        <v>37</v>
      </c>
      <c r="MK73" s="12" t="s">
        <v>37</v>
      </c>
      <c r="ML73" s="12" t="s">
        <v>37</v>
      </c>
      <c r="MQ73" s="12" t="s">
        <v>37</v>
      </c>
      <c r="MR73" s="12" t="s">
        <v>37</v>
      </c>
      <c r="MS73" s="12" t="s">
        <v>37</v>
      </c>
      <c r="MU73" s="12" t="s">
        <v>37</v>
      </c>
      <c r="MV73" s="12" t="s">
        <v>37</v>
      </c>
      <c r="MW73" s="12" t="s">
        <v>37</v>
      </c>
      <c r="NC73" s="12" t="s">
        <v>37</v>
      </c>
      <c r="ND73" s="12" t="s">
        <v>37</v>
      </c>
      <c r="NE73" s="13" t="s">
        <v>37</v>
      </c>
      <c r="NG73" s="12" t="s">
        <v>37</v>
      </c>
      <c r="NH73" s="12" t="s">
        <v>37</v>
      </c>
      <c r="NI73" s="13" t="s">
        <v>37</v>
      </c>
      <c r="NO73" s="12" t="s">
        <v>37</v>
      </c>
      <c r="NP73" s="12" t="s">
        <v>37</v>
      </c>
      <c r="NQ73" s="13" t="s">
        <v>37</v>
      </c>
      <c r="NS73" s="12" t="s">
        <v>37</v>
      </c>
      <c r="NT73" s="12" t="s">
        <v>37</v>
      </c>
      <c r="NU73" s="13" t="s">
        <v>37</v>
      </c>
      <c r="OA73" s="11" t="s">
        <v>37</v>
      </c>
      <c r="OB73" s="11" t="s">
        <v>37</v>
      </c>
      <c r="OC73" s="13" t="s">
        <v>37</v>
      </c>
      <c r="OE73" s="11" t="s">
        <v>37</v>
      </c>
      <c r="OF73" s="11" t="s">
        <v>37</v>
      </c>
      <c r="OG73" s="13" t="s">
        <v>37</v>
      </c>
      <c r="OM73" s="11" t="s">
        <v>37</v>
      </c>
      <c r="ON73" s="11" t="s">
        <v>37</v>
      </c>
      <c r="OO73" s="11" t="s">
        <v>37</v>
      </c>
      <c r="OP73" s="11" t="s">
        <v>37</v>
      </c>
      <c r="OQ73" s="11" t="s">
        <v>37</v>
      </c>
      <c r="OR73" s="11" t="s">
        <v>37</v>
      </c>
      <c r="OW73" s="11" t="s">
        <v>37</v>
      </c>
      <c r="OX73" s="11" t="s">
        <v>37</v>
      </c>
      <c r="OY73" s="13" t="s">
        <v>37</v>
      </c>
      <c r="OZ73" s="11" t="s">
        <v>37</v>
      </c>
      <c r="PA73" s="11" t="s">
        <v>37</v>
      </c>
      <c r="PB73" s="13" t="s">
        <v>37</v>
      </c>
      <c r="PG73" s="11" t="s">
        <v>37</v>
      </c>
      <c r="PH73" s="11" t="s">
        <v>37</v>
      </c>
      <c r="PI73" s="13" t="s">
        <v>37</v>
      </c>
      <c r="PJ73" s="11" t="s">
        <v>37</v>
      </c>
      <c r="PK73" s="11" t="s">
        <v>37</v>
      </c>
      <c r="PL73" s="13" t="s">
        <v>37</v>
      </c>
      <c r="PQ73" s="11" t="s">
        <v>37</v>
      </c>
      <c r="PR73" s="11" t="s">
        <v>37</v>
      </c>
      <c r="PS73" s="13" t="s">
        <v>37</v>
      </c>
      <c r="PT73" s="11" t="s">
        <v>37</v>
      </c>
      <c r="PU73" s="11" t="s">
        <v>37</v>
      </c>
      <c r="PV73" s="13" t="s">
        <v>37</v>
      </c>
      <c r="PY73" s="12" t="s">
        <v>43</v>
      </c>
      <c r="PZ73" s="12">
        <v>350</v>
      </c>
      <c r="QA73" s="12">
        <v>142.02816622064793</v>
      </c>
      <c r="QB73" s="11">
        <v>3</v>
      </c>
      <c r="QC73" s="19">
        <f t="shared" si="155"/>
        <v>0.40579476063042269</v>
      </c>
      <c r="QD73" s="12">
        <v>378</v>
      </c>
      <c r="QE73" s="12">
        <v>10.392304845413264</v>
      </c>
      <c r="QF73" s="13">
        <v>3</v>
      </c>
      <c r="QG73" s="19">
        <f t="shared" si="156"/>
        <v>2.7492869961410753E-2</v>
      </c>
      <c r="QH73" s="19">
        <f t="shared" si="148"/>
        <v>7.6961041136128394E-2</v>
      </c>
      <c r="QI73" s="19">
        <f t="shared" si="149"/>
        <v>5.5141748551272358E-2</v>
      </c>
      <c r="QJ73" s="12" t="s">
        <v>43</v>
      </c>
      <c r="QK73" s="12">
        <v>751</v>
      </c>
      <c r="QL73" s="12">
        <v>575.0408681128672</v>
      </c>
      <c r="QM73" s="13">
        <v>3</v>
      </c>
      <c r="QN73" s="12">
        <v>975</v>
      </c>
      <c r="QO73" s="12">
        <v>521.34729307823204</v>
      </c>
      <c r="QP73" s="13">
        <v>3</v>
      </c>
      <c r="QQ73" s="19">
        <f t="shared" si="158"/>
        <v>0.26103181923371244</v>
      </c>
      <c r="QR73" s="19">
        <f t="shared" si="150"/>
        <v>0.29073904946296264</v>
      </c>
      <c r="QU73" s="11" t="s">
        <v>37</v>
      </c>
      <c r="QV73" s="11" t="s">
        <v>37</v>
      </c>
      <c r="QW73" s="13" t="s">
        <v>37</v>
      </c>
      <c r="QX73" s="11" t="s">
        <v>37</v>
      </c>
      <c r="QY73" s="11" t="s">
        <v>37</v>
      </c>
      <c r="QZ73" s="13" t="s">
        <v>37</v>
      </c>
      <c r="RC73" s="12" t="s">
        <v>37</v>
      </c>
      <c r="RD73" s="12" t="s">
        <v>37</v>
      </c>
      <c r="RE73" s="13" t="s">
        <v>37</v>
      </c>
      <c r="RF73" s="12" t="s">
        <v>37</v>
      </c>
      <c r="RG73" s="12" t="s">
        <v>37</v>
      </c>
      <c r="RH73" s="13" t="s">
        <v>37</v>
      </c>
      <c r="RK73" s="11" t="s">
        <v>37</v>
      </c>
      <c r="RL73" s="11" t="s">
        <v>37</v>
      </c>
      <c r="RM73" s="11" t="s">
        <v>37</v>
      </c>
      <c r="RN73" s="11" t="s">
        <v>37</v>
      </c>
      <c r="RO73" s="11" t="s">
        <v>37</v>
      </c>
      <c r="RP73" s="11" t="s">
        <v>37</v>
      </c>
      <c r="RS73" s="11" t="s">
        <v>37</v>
      </c>
      <c r="RT73" s="11" t="s">
        <v>37</v>
      </c>
      <c r="RU73" s="11" t="s">
        <v>37</v>
      </c>
      <c r="RV73" s="11" t="s">
        <v>37</v>
      </c>
      <c r="RW73" s="11" t="s">
        <v>37</v>
      </c>
      <c r="RX73" s="11" t="s">
        <v>37</v>
      </c>
      <c r="SA73" s="11" t="s">
        <v>37</v>
      </c>
      <c r="SB73" s="11" t="s">
        <v>37</v>
      </c>
      <c r="SC73" s="13" t="s">
        <v>37</v>
      </c>
      <c r="SD73" s="11" t="s">
        <v>37</v>
      </c>
      <c r="SE73" s="11" t="s">
        <v>37</v>
      </c>
      <c r="SF73" s="13" t="s">
        <v>37</v>
      </c>
      <c r="SI73" s="12" t="s">
        <v>37</v>
      </c>
      <c r="SJ73" s="11" t="s">
        <v>37</v>
      </c>
      <c r="SK73" s="13" t="s">
        <v>37</v>
      </c>
      <c r="SM73" s="11" t="s">
        <v>37</v>
      </c>
      <c r="SN73" s="11" t="s">
        <v>37</v>
      </c>
      <c r="SO73" s="13" t="s">
        <v>37</v>
      </c>
      <c r="SU73" s="12" t="s">
        <v>37</v>
      </c>
      <c r="SV73" s="12" t="s">
        <v>37</v>
      </c>
      <c r="SW73" s="11" t="s">
        <v>37</v>
      </c>
      <c r="SX73" s="12" t="s">
        <v>37</v>
      </c>
      <c r="SY73" s="12" t="s">
        <v>37</v>
      </c>
      <c r="SZ73" s="11" t="s">
        <v>37</v>
      </c>
      <c r="TE73" s="12" t="s">
        <v>37</v>
      </c>
      <c r="TF73" s="12" t="s">
        <v>37</v>
      </c>
      <c r="TG73" s="11" t="s">
        <v>37</v>
      </c>
      <c r="TH73" s="12" t="s">
        <v>37</v>
      </c>
      <c r="TI73" s="12" t="s">
        <v>37</v>
      </c>
      <c r="TJ73" s="11" t="s">
        <v>37</v>
      </c>
      <c r="TO73" s="12" t="s">
        <v>37</v>
      </c>
      <c r="TP73" s="12" t="s">
        <v>37</v>
      </c>
      <c r="TQ73" s="11" t="s">
        <v>37</v>
      </c>
      <c r="TR73" s="12" t="s">
        <v>37</v>
      </c>
      <c r="TS73" s="12" t="s">
        <v>37</v>
      </c>
      <c r="TT73" s="11" t="s">
        <v>37</v>
      </c>
      <c r="TY73" s="12" t="s">
        <v>37</v>
      </c>
      <c r="TZ73" s="12" t="s">
        <v>37</v>
      </c>
      <c r="UA73" s="11" t="s">
        <v>37</v>
      </c>
      <c r="UB73" s="12" t="s">
        <v>37</v>
      </c>
      <c r="UC73" s="12" t="s">
        <v>37</v>
      </c>
      <c r="UD73" s="11" t="s">
        <v>37</v>
      </c>
      <c r="UI73" s="12" t="s">
        <v>37</v>
      </c>
      <c r="UJ73" s="12" t="s">
        <v>37</v>
      </c>
      <c r="UK73" s="13" t="s">
        <v>37</v>
      </c>
      <c r="UL73" s="12" t="s">
        <v>37</v>
      </c>
      <c r="UM73" s="12" t="s">
        <v>37</v>
      </c>
      <c r="UN73" s="13" t="s">
        <v>37</v>
      </c>
      <c r="UR73" s="12" t="s">
        <v>37</v>
      </c>
      <c r="US73" s="12" t="s">
        <v>37</v>
      </c>
      <c r="UT73" s="13" t="s">
        <v>37</v>
      </c>
      <c r="UU73" s="12" t="s">
        <v>37</v>
      </c>
      <c r="UV73" s="12" t="s">
        <v>37</v>
      </c>
      <c r="UW73" s="13" t="s">
        <v>37</v>
      </c>
      <c r="VB73" s="12" t="s">
        <v>37</v>
      </c>
      <c r="VC73" s="12" t="s">
        <v>37</v>
      </c>
      <c r="VD73" s="13" t="s">
        <v>37</v>
      </c>
      <c r="VE73" s="12" t="s">
        <v>37</v>
      </c>
      <c r="VF73" s="12" t="s">
        <v>37</v>
      </c>
      <c r="VG73" s="13" t="s">
        <v>37</v>
      </c>
      <c r="VI73" s="12" t="s">
        <v>37</v>
      </c>
      <c r="VJ73" s="12" t="s">
        <v>37</v>
      </c>
      <c r="VK73" s="13" t="s">
        <v>37</v>
      </c>
      <c r="VL73" s="12" t="s">
        <v>37</v>
      </c>
      <c r="VM73" s="12" t="s">
        <v>37</v>
      </c>
      <c r="VN73" s="13" t="s">
        <v>37</v>
      </c>
      <c r="VO73" s="12" t="s">
        <v>37</v>
      </c>
      <c r="VQ73" s="12" t="s">
        <v>37</v>
      </c>
      <c r="VR73" s="12" t="s">
        <v>37</v>
      </c>
      <c r="VS73" s="12" t="s">
        <v>37</v>
      </c>
      <c r="VT73" s="12" t="s">
        <v>37</v>
      </c>
      <c r="VU73" s="12" t="s">
        <v>37</v>
      </c>
      <c r="VV73" s="12" t="s">
        <v>37</v>
      </c>
      <c r="VW73" s="12"/>
      <c r="VX73" s="12"/>
      <c r="WA73" s="13" t="s">
        <v>37</v>
      </c>
      <c r="WB73" s="13" t="s">
        <v>37</v>
      </c>
      <c r="WC73" s="13" t="s">
        <v>37</v>
      </c>
      <c r="WD73" s="13" t="s">
        <v>37</v>
      </c>
      <c r="WE73" s="13" t="s">
        <v>37</v>
      </c>
      <c r="WF73" s="13" t="s">
        <v>37</v>
      </c>
    </row>
    <row r="74" spans="1:604" ht="18" customHeight="1" x14ac:dyDescent="0.4">
      <c r="A74" s="11">
        <v>13</v>
      </c>
      <c r="B74" s="12" t="s">
        <v>933</v>
      </c>
      <c r="C74" s="12" t="s">
        <v>26</v>
      </c>
      <c r="D74" s="12" t="s">
        <v>973</v>
      </c>
      <c r="E74" s="81">
        <v>4.5</v>
      </c>
      <c r="F74" s="14">
        <v>0</v>
      </c>
      <c r="G74" s="14">
        <v>0</v>
      </c>
      <c r="H74" s="12" t="s">
        <v>91</v>
      </c>
      <c r="I74" s="29">
        <v>55.35</v>
      </c>
      <c r="J74" s="29">
        <v>-112.517</v>
      </c>
      <c r="K74" s="12" t="s">
        <v>696</v>
      </c>
      <c r="L74" s="12" t="s">
        <v>697</v>
      </c>
      <c r="M74" s="13" t="s">
        <v>37</v>
      </c>
      <c r="N74" s="14">
        <v>2.1</v>
      </c>
      <c r="O74" s="14">
        <v>504</v>
      </c>
      <c r="P74" s="14" t="s">
        <v>84</v>
      </c>
      <c r="Q74" s="75">
        <v>12</v>
      </c>
      <c r="R74" s="11" t="s">
        <v>999</v>
      </c>
      <c r="S74" s="12" t="s">
        <v>93</v>
      </c>
      <c r="T74" s="12" t="s">
        <v>141</v>
      </c>
      <c r="U74" s="12" t="s">
        <v>334</v>
      </c>
      <c r="V74" s="12" t="s">
        <v>275</v>
      </c>
      <c r="W74" s="23" t="s">
        <v>500</v>
      </c>
      <c r="X74" s="12" t="s">
        <v>281</v>
      </c>
      <c r="Y74" s="12" t="s">
        <v>69</v>
      </c>
      <c r="Z74" s="12" t="s">
        <v>37</v>
      </c>
      <c r="AA74" s="32" t="s">
        <v>345</v>
      </c>
      <c r="AB74" s="12">
        <v>4.0999999999999996</v>
      </c>
      <c r="AE74" s="12" t="s">
        <v>37</v>
      </c>
      <c r="AH74" s="12" t="s">
        <v>37</v>
      </c>
      <c r="AK74" s="12" t="s">
        <v>37</v>
      </c>
      <c r="AL74" s="32" t="s">
        <v>497</v>
      </c>
      <c r="AM74" s="12" t="s">
        <v>317</v>
      </c>
      <c r="AN74" s="32" t="s">
        <v>879</v>
      </c>
      <c r="AO74" s="12" t="s">
        <v>29</v>
      </c>
      <c r="AP74" s="12" t="s">
        <v>108</v>
      </c>
      <c r="AQ74" s="12" t="s">
        <v>975</v>
      </c>
      <c r="AT74" s="12" t="s">
        <v>326</v>
      </c>
      <c r="AU74" s="12" t="s">
        <v>326</v>
      </c>
      <c r="AV74" s="13" t="s">
        <v>326</v>
      </c>
      <c r="AX74" s="12" t="s">
        <v>326</v>
      </c>
      <c r="AY74" s="12" t="s">
        <v>326</v>
      </c>
      <c r="AZ74" s="13" t="s">
        <v>326</v>
      </c>
      <c r="BE74" s="12" t="s">
        <v>326</v>
      </c>
      <c r="BF74" s="12" t="s">
        <v>326</v>
      </c>
      <c r="BG74" s="12" t="s">
        <v>326</v>
      </c>
      <c r="BI74" s="12" t="s">
        <v>326</v>
      </c>
      <c r="BJ74" s="12" t="s">
        <v>326</v>
      </c>
      <c r="BK74" s="12" t="s">
        <v>326</v>
      </c>
      <c r="BP74" s="12" t="s">
        <v>37</v>
      </c>
      <c r="BQ74" s="12" t="s">
        <v>37</v>
      </c>
      <c r="BR74" s="13" t="s">
        <v>37</v>
      </c>
      <c r="BT74" s="12" t="s">
        <v>37</v>
      </c>
      <c r="BU74" s="12" t="s">
        <v>37</v>
      </c>
      <c r="BV74" s="12" t="s">
        <v>37</v>
      </c>
      <c r="BZ74" s="12" t="s">
        <v>581</v>
      </c>
      <c r="CA74" s="12">
        <f>-181*44/12*10^4/10^3/'[6]classess-1'!$T$65</f>
        <v>-7369.268619159634</v>
      </c>
      <c r="CB74" s="15">
        <f>SQRT((1/[7]Classess!$T$65)^2*(8*SQRT(3)*44/12*10^4/10^3)^2+(-CA74/([7]Classess!$T$65)^2)^2*([7]Classess!$U$65)^2)</f>
        <v>746.95892899118678</v>
      </c>
      <c r="CC74" s="18">
        <v>3</v>
      </c>
      <c r="CD74" s="19">
        <f t="shared" si="228"/>
        <v>0.10136133822685478</v>
      </c>
      <c r="CE74" s="15">
        <f>-118*44/12*10^4/10^3/'[6]classess-1'!$T$66</f>
        <v>-4661.6737536796509</v>
      </c>
      <c r="CF74" s="15">
        <f>SQRT((1/[7]Classess!$T$66)^2*(20*SQRT(3)*44/12*10^4/10^3)^2+(-CE74/([7]Classess!$T$66)^2)^2*([7]Classess!$U$66)^2)</f>
        <v>1389.6358486823906</v>
      </c>
      <c r="CG74" s="18">
        <v>3</v>
      </c>
      <c r="CH74" s="19">
        <f t="shared" si="229"/>
        <v>0.29809804849288174</v>
      </c>
      <c r="CI74" s="75">
        <f t="shared" si="230"/>
        <v>2707.5948654799831</v>
      </c>
      <c r="CJ74" s="12">
        <f t="shared" si="231"/>
        <v>1115.5795430050896</v>
      </c>
      <c r="CK74" s="72">
        <f t="shared" si="232"/>
        <v>829678.47784762946</v>
      </c>
      <c r="CL74" s="72">
        <f t="shared" si="233"/>
        <v>829678.47784762958</v>
      </c>
      <c r="CM74" s="12" t="s">
        <v>581</v>
      </c>
      <c r="CN74" s="12">
        <f>241*44/12*10^4/10^3/'[6]classess-1'!$I$65</f>
        <v>11939.302764655935</v>
      </c>
      <c r="CO74" s="15">
        <f>SQRT((1/[7]Classess!$I$65)^2*(45*SQRT(3)*44/12*10^4/10^3)^2+(-CN74/([7]Classess!$I$65)^2)^2*([7]Classess!$J$65)^2)</f>
        <v>4483.7070147716368</v>
      </c>
      <c r="CP74" s="18">
        <v>3</v>
      </c>
      <c r="CQ74" s="19">
        <f t="shared" si="234"/>
        <v>0.37554178021557588</v>
      </c>
      <c r="CR74" s="15">
        <f>507*44/12*10^4/10^3/'[6]classess-1'!$I$64</f>
        <v>23300.995767448785</v>
      </c>
      <c r="CS74" s="15">
        <f>SQRT((1/[7]Classess!$I$64)^2*(35*SQRT(3)*44/12*10^4/10^3)^2+(-CR74/([7]Classess!$I$64)^2)^2*([7]Classess!$J$64)^2)</f>
        <v>3584.4542083747219</v>
      </c>
      <c r="CT74" s="18">
        <v>3</v>
      </c>
      <c r="CU74" s="19">
        <f t="shared" si="235"/>
        <v>0.15383266209516083</v>
      </c>
      <c r="CV74" s="75">
        <f t="shared" si="236"/>
        <v>11361.69300279285</v>
      </c>
      <c r="CW74" s="12">
        <f t="shared" si="237"/>
        <v>4059.0602709400382</v>
      </c>
      <c r="CX74" s="72">
        <f t="shared" si="238"/>
        <v>10983980.188749211</v>
      </c>
      <c r="CY74" s="72">
        <f t="shared" si="239"/>
        <v>10983980.188749213</v>
      </c>
      <c r="CZ74" s="12" t="s">
        <v>581</v>
      </c>
      <c r="DA74" s="12">
        <f t="shared" si="246"/>
        <v>4570.0341454963009</v>
      </c>
      <c r="DB74" s="15">
        <f>SQRT((1/[7]Classess!$I$17)^2*(57.1576766497729*44/12*10^4/10^3)^2+(-DA74/([7]Classess!$I$17)^2)^2*([7]Classess!$J$17)^2)</f>
        <v>7489.8905028845447</v>
      </c>
      <c r="DC74" s="18">
        <v>3</v>
      </c>
      <c r="DD74" s="19">
        <f t="shared" si="240"/>
        <v>1.6389134663831162</v>
      </c>
      <c r="DE74" s="12">
        <f t="shared" si="247"/>
        <v>18639.322013769135</v>
      </c>
      <c r="DF74" s="15">
        <f>SQRT((1/[7]Classess!$I$18)^2*(81.4063879557372*44/12*10^4/10^3)^2+(DE74/([7]Classess!$I$18)^2)^2*([7]Classess!$J$18)^2)</f>
        <v>3134.0545713270785</v>
      </c>
      <c r="DG74" s="18">
        <v>3</v>
      </c>
      <c r="DH74" s="19">
        <f t="shared" si="241"/>
        <v>0.1681420906303302</v>
      </c>
      <c r="DI74" s="19">
        <f t="shared" si="242"/>
        <v>14069.287868272833</v>
      </c>
      <c r="DJ74" s="12">
        <f t="shared" si="243"/>
        <v>5741.1130367401865</v>
      </c>
      <c r="DK74" s="72">
        <f t="shared" si="244"/>
        <v>21973585.933752082</v>
      </c>
      <c r="DL74" s="72">
        <f t="shared" si="245"/>
        <v>21973585.933752082</v>
      </c>
      <c r="DM74" s="15"/>
      <c r="DN74" s="19" t="s">
        <v>37</v>
      </c>
      <c r="DO74" s="12" t="s">
        <v>37</v>
      </c>
      <c r="DP74" s="13" t="s">
        <v>37</v>
      </c>
      <c r="DR74" s="19" t="s">
        <v>37</v>
      </c>
      <c r="DS74" s="12" t="s">
        <v>37</v>
      </c>
      <c r="DT74" s="13" t="s">
        <v>37</v>
      </c>
      <c r="DZ74" s="15"/>
      <c r="EA74" s="19" t="s">
        <v>37</v>
      </c>
      <c r="EB74" s="19" t="s">
        <v>37</v>
      </c>
      <c r="EC74" s="72" t="s">
        <v>37</v>
      </c>
      <c r="EE74" s="19" t="s">
        <v>37</v>
      </c>
      <c r="EF74" s="19" t="s">
        <v>37</v>
      </c>
      <c r="EG74" s="12" t="s">
        <v>37</v>
      </c>
      <c r="EM74" s="12" t="s">
        <v>39</v>
      </c>
      <c r="EN74" s="12">
        <v>-44</v>
      </c>
      <c r="EO74" s="12">
        <v>6.8</v>
      </c>
      <c r="EP74" s="13">
        <v>3</v>
      </c>
      <c r="EQ74" s="19">
        <f t="shared" si="139"/>
        <v>0.15454545454545454</v>
      </c>
      <c r="ER74" s="12">
        <v>-116</v>
      </c>
      <c r="ES74" s="12">
        <v>11.8</v>
      </c>
      <c r="ET74" s="13">
        <v>3</v>
      </c>
      <c r="EU74" s="19">
        <f t="shared" si="140"/>
        <v>0.10172413793103449</v>
      </c>
      <c r="EV74" s="19">
        <f t="shared" si="141"/>
        <v>-72</v>
      </c>
      <c r="EW74" s="12">
        <f t="shared" si="142"/>
        <v>9.630160954002795</v>
      </c>
      <c r="EX74" s="19">
        <f t="shared" si="143"/>
        <v>61.826666666666668</v>
      </c>
      <c r="EY74" s="19">
        <f t="shared" si="144"/>
        <v>61.826666666666668</v>
      </c>
      <c r="FB74" s="11" t="s">
        <v>37</v>
      </c>
      <c r="FC74" s="11" t="s">
        <v>37</v>
      </c>
      <c r="FD74" s="11" t="s">
        <v>37</v>
      </c>
      <c r="FE74" s="12" t="s">
        <v>37</v>
      </c>
      <c r="FF74" s="20" t="s">
        <v>37</v>
      </c>
      <c r="FG74" s="11" t="s">
        <v>37</v>
      </c>
      <c r="FI74" s="11" t="s">
        <v>37</v>
      </c>
      <c r="FJ74" s="11" t="s">
        <v>37</v>
      </c>
      <c r="FK74" s="11" t="s">
        <v>37</v>
      </c>
      <c r="FL74" s="13" t="s">
        <v>37</v>
      </c>
      <c r="FM74" s="11" t="s">
        <v>37</v>
      </c>
      <c r="FN74" s="11" t="s">
        <v>37</v>
      </c>
      <c r="FP74" s="11" t="s">
        <v>37</v>
      </c>
      <c r="FQ74" s="11" t="s">
        <v>37</v>
      </c>
      <c r="FR74" s="11" t="s">
        <v>37</v>
      </c>
      <c r="FS74" s="13" t="s">
        <v>37</v>
      </c>
      <c r="FT74" s="11" t="s">
        <v>37</v>
      </c>
      <c r="FU74" s="11" t="s">
        <v>37</v>
      </c>
      <c r="FW74" s="11" t="s">
        <v>37</v>
      </c>
      <c r="FX74" s="11" t="s">
        <v>37</v>
      </c>
      <c r="FY74" s="11" t="s">
        <v>37</v>
      </c>
      <c r="FZ74" s="13" t="s">
        <v>37</v>
      </c>
      <c r="GA74" s="11" t="s">
        <v>37</v>
      </c>
      <c r="GB74" s="11" t="s">
        <v>37</v>
      </c>
      <c r="GO74" s="12" t="s">
        <v>660</v>
      </c>
      <c r="GP74" s="12" t="s">
        <v>330</v>
      </c>
      <c r="GQ74" s="12">
        <v>12.3</v>
      </c>
      <c r="GR74" s="12">
        <v>5.0000000000000001E-3</v>
      </c>
      <c r="GS74" s="13">
        <v>3</v>
      </c>
      <c r="GT74" s="19">
        <f t="shared" si="145"/>
        <v>4.0650406504065041E-4</v>
      </c>
      <c r="GU74" s="12">
        <v>13.1</v>
      </c>
      <c r="GV74" s="12">
        <v>0.1</v>
      </c>
      <c r="GW74" s="13">
        <v>3</v>
      </c>
      <c r="GX74" s="19">
        <f t="shared" si="211"/>
        <v>7.6335877862595426E-3</v>
      </c>
      <c r="GY74" s="19">
        <f t="shared" si="203"/>
        <v>6.301296782873396E-2</v>
      </c>
      <c r="GZ74" s="19">
        <f t="shared" si="204"/>
        <v>1.9478969348475148E-5</v>
      </c>
      <c r="IK74" s="12" t="s">
        <v>37</v>
      </c>
      <c r="IL74" s="12" t="s">
        <v>37</v>
      </c>
      <c r="IM74" s="13" t="s">
        <v>37</v>
      </c>
      <c r="IO74" s="12" t="s">
        <v>37</v>
      </c>
      <c r="IP74" s="12" t="s">
        <v>37</v>
      </c>
      <c r="IQ74" s="13" t="s">
        <v>37</v>
      </c>
      <c r="IV74" s="32" t="s">
        <v>345</v>
      </c>
      <c r="IW74" s="12">
        <v>4.0999999999999996</v>
      </c>
      <c r="IX74" s="12">
        <v>0.1</v>
      </c>
      <c r="IY74" s="13">
        <v>3</v>
      </c>
      <c r="IZ74" s="19">
        <f t="shared" si="147"/>
        <v>2.4390243902439029E-2</v>
      </c>
      <c r="JH74" s="12" t="s">
        <v>37</v>
      </c>
      <c r="JI74" s="12" t="s">
        <v>37</v>
      </c>
      <c r="JJ74" s="13" t="s">
        <v>37</v>
      </c>
      <c r="JL74" s="12" t="s">
        <v>37</v>
      </c>
      <c r="JM74" s="12" t="s">
        <v>37</v>
      </c>
      <c r="JN74" s="12" t="s">
        <v>37</v>
      </c>
      <c r="JS74" s="12" t="s">
        <v>37</v>
      </c>
      <c r="JT74" s="12" t="s">
        <v>37</v>
      </c>
      <c r="JU74" s="13" t="s">
        <v>37</v>
      </c>
      <c r="JW74" s="12" t="s">
        <v>37</v>
      </c>
      <c r="JX74" s="12" t="s">
        <v>37</v>
      </c>
      <c r="JY74" s="12" t="s">
        <v>37</v>
      </c>
      <c r="KE74" s="11" t="s">
        <v>37</v>
      </c>
      <c r="KF74" s="11" t="s">
        <v>37</v>
      </c>
      <c r="KG74" s="13" t="s">
        <v>37</v>
      </c>
      <c r="KH74" s="11" t="s">
        <v>37</v>
      </c>
      <c r="KI74" s="11" t="s">
        <v>37</v>
      </c>
      <c r="KJ74" s="11" t="s">
        <v>37</v>
      </c>
      <c r="KM74" s="12" t="s">
        <v>37</v>
      </c>
      <c r="KN74" s="12" t="s">
        <v>37</v>
      </c>
      <c r="KO74" s="11" t="s">
        <v>37</v>
      </c>
      <c r="KQ74" s="12" t="s">
        <v>37</v>
      </c>
      <c r="KR74" s="12" t="s">
        <v>37</v>
      </c>
      <c r="KS74" s="13" t="s">
        <v>37</v>
      </c>
      <c r="KX74" s="12" t="s">
        <v>37</v>
      </c>
      <c r="KY74" s="12" t="s">
        <v>37</v>
      </c>
      <c r="KZ74" s="13" t="s">
        <v>37</v>
      </c>
      <c r="LB74" s="12" t="s">
        <v>37</v>
      </c>
      <c r="LC74" s="12" t="s">
        <v>37</v>
      </c>
      <c r="LD74" s="13" t="s">
        <v>37</v>
      </c>
      <c r="LI74" s="12" t="s">
        <v>37</v>
      </c>
      <c r="LJ74" s="12" t="s">
        <v>37</v>
      </c>
      <c r="LK74" s="12" t="s">
        <v>37</v>
      </c>
      <c r="LM74" s="12" t="s">
        <v>37</v>
      </c>
      <c r="LN74" s="12" t="s">
        <v>37</v>
      </c>
      <c r="LO74" s="12" t="s">
        <v>37</v>
      </c>
      <c r="LU74" s="12" t="s">
        <v>37</v>
      </c>
      <c r="LV74" s="12" t="s">
        <v>37</v>
      </c>
      <c r="LW74" s="13" t="s">
        <v>37</v>
      </c>
      <c r="LY74" s="12" t="s">
        <v>37</v>
      </c>
      <c r="LZ74" s="12" t="s">
        <v>37</v>
      </c>
      <c r="MA74" s="12" t="s">
        <v>37</v>
      </c>
      <c r="MF74" s="12" t="s">
        <v>37</v>
      </c>
      <c r="MG74" s="12" t="s">
        <v>37</v>
      </c>
      <c r="MH74" s="12" t="s">
        <v>37</v>
      </c>
      <c r="MJ74" s="12" t="s">
        <v>37</v>
      </c>
      <c r="MK74" s="12" t="s">
        <v>37</v>
      </c>
      <c r="ML74" s="12" t="s">
        <v>37</v>
      </c>
      <c r="MQ74" s="12" t="s">
        <v>37</v>
      </c>
      <c r="MR74" s="12" t="s">
        <v>37</v>
      </c>
      <c r="MS74" s="12" t="s">
        <v>37</v>
      </c>
      <c r="MU74" s="12" t="s">
        <v>37</v>
      </c>
      <c r="MV74" s="12" t="s">
        <v>37</v>
      </c>
      <c r="MW74" s="12" t="s">
        <v>37</v>
      </c>
      <c r="NC74" s="12" t="s">
        <v>37</v>
      </c>
      <c r="ND74" s="12" t="s">
        <v>37</v>
      </c>
      <c r="NE74" s="13" t="s">
        <v>37</v>
      </c>
      <c r="NG74" s="12" t="s">
        <v>37</v>
      </c>
      <c r="NH74" s="12" t="s">
        <v>37</v>
      </c>
      <c r="NI74" s="13" t="s">
        <v>37</v>
      </c>
      <c r="NO74" s="12" t="s">
        <v>37</v>
      </c>
      <c r="NP74" s="12" t="s">
        <v>37</v>
      </c>
      <c r="NQ74" s="13" t="s">
        <v>37</v>
      </c>
      <c r="NS74" s="12" t="s">
        <v>37</v>
      </c>
      <c r="NT74" s="12" t="s">
        <v>37</v>
      </c>
      <c r="NU74" s="13" t="s">
        <v>37</v>
      </c>
      <c r="OA74" s="11" t="s">
        <v>37</v>
      </c>
      <c r="OB74" s="11" t="s">
        <v>37</v>
      </c>
      <c r="OC74" s="13" t="s">
        <v>37</v>
      </c>
      <c r="OE74" s="11" t="s">
        <v>37</v>
      </c>
      <c r="OF74" s="11" t="s">
        <v>37</v>
      </c>
      <c r="OG74" s="13" t="s">
        <v>37</v>
      </c>
      <c r="OM74" s="11" t="s">
        <v>37</v>
      </c>
      <c r="ON74" s="11" t="s">
        <v>37</v>
      </c>
      <c r="OO74" s="11" t="s">
        <v>37</v>
      </c>
      <c r="OP74" s="11" t="s">
        <v>37</v>
      </c>
      <c r="OQ74" s="11" t="s">
        <v>37</v>
      </c>
      <c r="OR74" s="11" t="s">
        <v>37</v>
      </c>
      <c r="OW74" s="11" t="s">
        <v>37</v>
      </c>
      <c r="OX74" s="11" t="s">
        <v>37</v>
      </c>
      <c r="OY74" s="13" t="s">
        <v>37</v>
      </c>
      <c r="OZ74" s="11" t="s">
        <v>37</v>
      </c>
      <c r="PA74" s="11" t="s">
        <v>37</v>
      </c>
      <c r="PB74" s="13" t="s">
        <v>37</v>
      </c>
      <c r="PG74" s="11" t="s">
        <v>37</v>
      </c>
      <c r="PH74" s="11" t="s">
        <v>37</v>
      </c>
      <c r="PI74" s="13" t="s">
        <v>37</v>
      </c>
      <c r="PJ74" s="11" t="s">
        <v>37</v>
      </c>
      <c r="PK74" s="11" t="s">
        <v>37</v>
      </c>
      <c r="PL74" s="13" t="s">
        <v>37</v>
      </c>
      <c r="PQ74" s="11" t="s">
        <v>37</v>
      </c>
      <c r="PR74" s="11" t="s">
        <v>37</v>
      </c>
      <c r="PS74" s="13" t="s">
        <v>37</v>
      </c>
      <c r="PT74" s="11" t="s">
        <v>37</v>
      </c>
      <c r="PU74" s="11" t="s">
        <v>37</v>
      </c>
      <c r="PV74" s="13" t="s">
        <v>37</v>
      </c>
      <c r="PY74" s="12" t="s">
        <v>43</v>
      </c>
      <c r="PZ74" s="12">
        <v>350</v>
      </c>
      <c r="QA74" s="12">
        <v>142.02816622064793</v>
      </c>
      <c r="QB74" s="11">
        <v>3</v>
      </c>
      <c r="QC74" s="19">
        <f t="shared" si="155"/>
        <v>0.40579476063042269</v>
      </c>
      <c r="QD74" s="12">
        <v>378</v>
      </c>
      <c r="QE74" s="12">
        <v>10.392304845413264</v>
      </c>
      <c r="QF74" s="13">
        <v>3</v>
      </c>
      <c r="QG74" s="19">
        <f t="shared" si="156"/>
        <v>2.7492869961410753E-2</v>
      </c>
      <c r="QH74" s="19">
        <f t="shared" si="148"/>
        <v>7.6961041136128394E-2</v>
      </c>
      <c r="QI74" s="19">
        <f t="shared" si="149"/>
        <v>5.5141748551272358E-2</v>
      </c>
      <c r="QJ74" s="12" t="s">
        <v>43</v>
      </c>
      <c r="QK74" s="12">
        <v>751</v>
      </c>
      <c r="QL74" s="12">
        <v>575.0408681128672</v>
      </c>
      <c r="QM74" s="13">
        <v>3</v>
      </c>
      <c r="QN74" s="12">
        <v>975</v>
      </c>
      <c r="QO74" s="12">
        <v>521.34729307823204</v>
      </c>
      <c r="QP74" s="13">
        <v>3</v>
      </c>
      <c r="QQ74" s="19">
        <f t="shared" si="158"/>
        <v>0.26103181923371244</v>
      </c>
      <c r="QR74" s="19">
        <f t="shared" si="150"/>
        <v>0.29073904946296264</v>
      </c>
      <c r="QU74" s="11" t="s">
        <v>37</v>
      </c>
      <c r="QV74" s="11" t="s">
        <v>37</v>
      </c>
      <c r="QW74" s="13" t="s">
        <v>37</v>
      </c>
      <c r="QX74" s="11" t="s">
        <v>37</v>
      </c>
      <c r="QY74" s="11" t="s">
        <v>37</v>
      </c>
      <c r="QZ74" s="13" t="s">
        <v>37</v>
      </c>
      <c r="RC74" s="12" t="s">
        <v>37</v>
      </c>
      <c r="RD74" s="12" t="s">
        <v>37</v>
      </c>
      <c r="RE74" s="13" t="s">
        <v>37</v>
      </c>
      <c r="RF74" s="12" t="s">
        <v>37</v>
      </c>
      <c r="RG74" s="12" t="s">
        <v>37</v>
      </c>
      <c r="RH74" s="13" t="s">
        <v>37</v>
      </c>
      <c r="RK74" s="11" t="s">
        <v>37</v>
      </c>
      <c r="RL74" s="11" t="s">
        <v>37</v>
      </c>
      <c r="RM74" s="11" t="s">
        <v>37</v>
      </c>
      <c r="RN74" s="11" t="s">
        <v>37</v>
      </c>
      <c r="RO74" s="11" t="s">
        <v>37</v>
      </c>
      <c r="RP74" s="11" t="s">
        <v>37</v>
      </c>
      <c r="RS74" s="11" t="s">
        <v>37</v>
      </c>
      <c r="RT74" s="11" t="s">
        <v>37</v>
      </c>
      <c r="RU74" s="11" t="s">
        <v>37</v>
      </c>
      <c r="RV74" s="11" t="s">
        <v>37</v>
      </c>
      <c r="RW74" s="11" t="s">
        <v>37</v>
      </c>
      <c r="RX74" s="11" t="s">
        <v>37</v>
      </c>
      <c r="SA74" s="11" t="s">
        <v>37</v>
      </c>
      <c r="SB74" s="11" t="s">
        <v>37</v>
      </c>
      <c r="SC74" s="13" t="s">
        <v>37</v>
      </c>
      <c r="SD74" s="11" t="s">
        <v>37</v>
      </c>
      <c r="SE74" s="11" t="s">
        <v>37</v>
      </c>
      <c r="SF74" s="13" t="s">
        <v>37</v>
      </c>
      <c r="SI74" s="12" t="s">
        <v>37</v>
      </c>
      <c r="SJ74" s="11" t="s">
        <v>37</v>
      </c>
      <c r="SK74" s="13" t="s">
        <v>37</v>
      </c>
      <c r="SM74" s="11" t="s">
        <v>37</v>
      </c>
      <c r="SN74" s="11" t="s">
        <v>37</v>
      </c>
      <c r="SO74" s="13" t="s">
        <v>37</v>
      </c>
      <c r="SU74" s="12" t="s">
        <v>37</v>
      </c>
      <c r="SV74" s="12" t="s">
        <v>37</v>
      </c>
      <c r="SW74" s="11" t="s">
        <v>37</v>
      </c>
      <c r="SX74" s="12" t="s">
        <v>37</v>
      </c>
      <c r="SY74" s="12" t="s">
        <v>37</v>
      </c>
      <c r="SZ74" s="11" t="s">
        <v>37</v>
      </c>
      <c r="TE74" s="12" t="s">
        <v>37</v>
      </c>
      <c r="TF74" s="12" t="s">
        <v>37</v>
      </c>
      <c r="TG74" s="11" t="s">
        <v>37</v>
      </c>
      <c r="TH74" s="12" t="s">
        <v>37</v>
      </c>
      <c r="TI74" s="12" t="s">
        <v>37</v>
      </c>
      <c r="TJ74" s="11" t="s">
        <v>37</v>
      </c>
      <c r="TO74" s="12" t="s">
        <v>37</v>
      </c>
      <c r="TP74" s="12" t="s">
        <v>37</v>
      </c>
      <c r="TQ74" s="11" t="s">
        <v>37</v>
      </c>
      <c r="TR74" s="12" t="s">
        <v>37</v>
      </c>
      <c r="TS74" s="12" t="s">
        <v>37</v>
      </c>
      <c r="TT74" s="11" t="s">
        <v>37</v>
      </c>
      <c r="TY74" s="12" t="s">
        <v>37</v>
      </c>
      <c r="TZ74" s="12" t="s">
        <v>37</v>
      </c>
      <c r="UA74" s="11" t="s">
        <v>37</v>
      </c>
      <c r="UB74" s="12" t="s">
        <v>37</v>
      </c>
      <c r="UC74" s="12" t="s">
        <v>37</v>
      </c>
      <c r="UD74" s="11" t="s">
        <v>37</v>
      </c>
      <c r="UI74" s="12" t="s">
        <v>37</v>
      </c>
      <c r="UJ74" s="12" t="s">
        <v>37</v>
      </c>
      <c r="UK74" s="13" t="s">
        <v>37</v>
      </c>
      <c r="UL74" s="12" t="s">
        <v>37</v>
      </c>
      <c r="UM74" s="12" t="s">
        <v>37</v>
      </c>
      <c r="UN74" s="13" t="s">
        <v>37</v>
      </c>
      <c r="UR74" s="12" t="s">
        <v>37</v>
      </c>
      <c r="US74" s="12" t="s">
        <v>37</v>
      </c>
      <c r="UT74" s="13" t="s">
        <v>37</v>
      </c>
      <c r="UU74" s="12" t="s">
        <v>37</v>
      </c>
      <c r="UV74" s="12" t="s">
        <v>37</v>
      </c>
      <c r="UW74" s="13" t="s">
        <v>37</v>
      </c>
      <c r="VB74" s="12" t="s">
        <v>37</v>
      </c>
      <c r="VC74" s="12" t="s">
        <v>37</v>
      </c>
      <c r="VD74" s="13" t="s">
        <v>37</v>
      </c>
      <c r="VE74" s="12" t="s">
        <v>37</v>
      </c>
      <c r="VF74" s="12" t="s">
        <v>37</v>
      </c>
      <c r="VG74" s="13" t="s">
        <v>37</v>
      </c>
      <c r="VI74" s="12" t="s">
        <v>37</v>
      </c>
      <c r="VJ74" s="12" t="s">
        <v>37</v>
      </c>
      <c r="VK74" s="13" t="s">
        <v>37</v>
      </c>
      <c r="VL74" s="12" t="s">
        <v>37</v>
      </c>
      <c r="VM74" s="12" t="s">
        <v>37</v>
      </c>
      <c r="VN74" s="13" t="s">
        <v>37</v>
      </c>
      <c r="VO74" s="12" t="s">
        <v>37</v>
      </c>
      <c r="VQ74" s="12" t="s">
        <v>37</v>
      </c>
      <c r="VR74" s="12" t="s">
        <v>37</v>
      </c>
      <c r="VS74" s="12" t="s">
        <v>37</v>
      </c>
      <c r="VT74" s="12" t="s">
        <v>37</v>
      </c>
      <c r="VU74" s="12" t="s">
        <v>37</v>
      </c>
      <c r="VV74" s="12" t="s">
        <v>37</v>
      </c>
      <c r="VW74" s="12"/>
      <c r="VX74" s="12"/>
      <c r="WA74" s="13" t="s">
        <v>37</v>
      </c>
      <c r="WB74" s="13" t="s">
        <v>37</v>
      </c>
      <c r="WC74" s="13" t="s">
        <v>37</v>
      </c>
      <c r="WD74" s="13" t="s">
        <v>37</v>
      </c>
      <c r="WE74" s="13" t="s">
        <v>37</v>
      </c>
      <c r="WF74" s="13" t="s">
        <v>37</v>
      </c>
    </row>
    <row r="75" spans="1:604" ht="18" customHeight="1" x14ac:dyDescent="0.4">
      <c r="A75" s="11">
        <v>13</v>
      </c>
      <c r="B75" s="12" t="s">
        <v>933</v>
      </c>
      <c r="C75" s="12" t="s">
        <v>26</v>
      </c>
      <c r="D75" s="12" t="s">
        <v>973</v>
      </c>
      <c r="E75" s="81">
        <v>4.5</v>
      </c>
      <c r="F75" s="14">
        <v>0</v>
      </c>
      <c r="G75" s="14">
        <v>0</v>
      </c>
      <c r="H75" s="12" t="s">
        <v>91</v>
      </c>
      <c r="I75" s="29">
        <v>55.35</v>
      </c>
      <c r="J75" s="29">
        <v>-112.517</v>
      </c>
      <c r="K75" s="12" t="s">
        <v>696</v>
      </c>
      <c r="L75" s="12" t="s">
        <v>697</v>
      </c>
      <c r="M75" s="13" t="s">
        <v>37</v>
      </c>
      <c r="N75" s="14">
        <v>2.1</v>
      </c>
      <c r="O75" s="14">
        <v>504</v>
      </c>
      <c r="P75" s="14" t="s">
        <v>84</v>
      </c>
      <c r="Q75" s="75">
        <v>11</v>
      </c>
      <c r="R75" s="11" t="s">
        <v>999</v>
      </c>
      <c r="S75" s="12" t="s">
        <v>93</v>
      </c>
      <c r="T75" s="12" t="s">
        <v>141</v>
      </c>
      <c r="U75" s="12" t="s">
        <v>158</v>
      </c>
      <c r="V75" s="12" t="s">
        <v>275</v>
      </c>
      <c r="W75" s="23" t="s">
        <v>502</v>
      </c>
      <c r="X75" s="12" t="s">
        <v>857</v>
      </c>
      <c r="Y75" s="12" t="s">
        <v>69</v>
      </c>
      <c r="Z75" s="12" t="s">
        <v>37</v>
      </c>
      <c r="AA75" s="32" t="s">
        <v>345</v>
      </c>
      <c r="AB75" s="12">
        <v>4.0999999999999996</v>
      </c>
      <c r="AE75" s="12" t="s">
        <v>37</v>
      </c>
      <c r="AH75" s="12" t="s">
        <v>37</v>
      </c>
      <c r="AK75" s="12" t="s">
        <v>37</v>
      </c>
      <c r="AL75" s="32" t="s">
        <v>496</v>
      </c>
      <c r="AM75" s="12" t="s">
        <v>317</v>
      </c>
      <c r="AN75" s="32" t="s">
        <v>879</v>
      </c>
      <c r="AO75" s="12" t="s">
        <v>318</v>
      </c>
      <c r="AP75" s="12" t="s">
        <v>108</v>
      </c>
      <c r="AQ75" s="12" t="s">
        <v>975</v>
      </c>
      <c r="AT75" s="12" t="s">
        <v>326</v>
      </c>
      <c r="AU75" s="12" t="s">
        <v>326</v>
      </c>
      <c r="AV75" s="13" t="s">
        <v>326</v>
      </c>
      <c r="AX75" s="12" t="s">
        <v>326</v>
      </c>
      <c r="AY75" s="12" t="s">
        <v>326</v>
      </c>
      <c r="AZ75" s="13" t="s">
        <v>326</v>
      </c>
      <c r="BE75" s="12" t="s">
        <v>326</v>
      </c>
      <c r="BF75" s="12" t="s">
        <v>326</v>
      </c>
      <c r="BG75" s="12" t="s">
        <v>326</v>
      </c>
      <c r="BI75" s="12" t="s">
        <v>326</v>
      </c>
      <c r="BJ75" s="12" t="s">
        <v>326</v>
      </c>
      <c r="BK75" s="12" t="s">
        <v>326</v>
      </c>
      <c r="BP75" s="12" t="s">
        <v>37</v>
      </c>
      <c r="BQ75" s="12" t="s">
        <v>37</v>
      </c>
      <c r="BR75" s="13" t="s">
        <v>37</v>
      </c>
      <c r="BT75" s="12" t="s">
        <v>37</v>
      </c>
      <c r="BU75" s="12" t="s">
        <v>37</v>
      </c>
      <c r="BV75" s="12" t="s">
        <v>37</v>
      </c>
      <c r="BZ75" s="12" t="s">
        <v>581</v>
      </c>
      <c r="CA75" s="12">
        <f>0.56*CA71+0.44*CA73</f>
        <v>-8294.3850413528962</v>
      </c>
      <c r="CB75" s="15">
        <f>SQRT(0.56^2*CB71^2+0.44^2*CB73^2)</f>
        <v>1642.4661972156998</v>
      </c>
      <c r="CC75" s="18">
        <v>3</v>
      </c>
      <c r="CD75" s="19">
        <f t="shared" si="228"/>
        <v>0.19802145536130034</v>
      </c>
      <c r="CE75" s="12">
        <f>0.56*CE71+0.44*CE73</f>
        <v>-8210.866720040498</v>
      </c>
      <c r="CF75" s="15">
        <f>SQRT(0.56^2*CF71^2+0.44^2*CF73^2)</f>
        <v>6747.5626737645262</v>
      </c>
      <c r="CG75" s="18">
        <v>3</v>
      </c>
      <c r="CH75" s="19">
        <f t="shared" si="229"/>
        <v>0.82178446001267524</v>
      </c>
      <c r="CI75" s="75">
        <f t="shared" si="230"/>
        <v>83.518321312398257</v>
      </c>
      <c r="CJ75" s="12">
        <f t="shared" si="231"/>
        <v>4910.5650003526316</v>
      </c>
      <c r="CK75" s="72">
        <f t="shared" si="232"/>
        <v>16075765.748458827</v>
      </c>
      <c r="CL75" s="72">
        <f t="shared" si="233"/>
        <v>16075765.748458829</v>
      </c>
      <c r="CM75" s="12" t="s">
        <v>581</v>
      </c>
      <c r="CN75" s="12">
        <f>0.56*CN71+0.44*CN73</f>
        <v>9925.2960228500779</v>
      </c>
      <c r="CO75" s="15">
        <f>SQRT(0.56^2*CO71^2+0.44^2*CO73^2)</f>
        <v>1480.0009145095366</v>
      </c>
      <c r="CP75" s="18">
        <v>3</v>
      </c>
      <c r="CQ75" s="19">
        <f t="shared" si="234"/>
        <v>0.14911403257920663</v>
      </c>
      <c r="CR75" s="12">
        <f>0.56*CR71+0.44*CR73</f>
        <v>18431.22552776659</v>
      </c>
      <c r="CS75" s="15">
        <f>SQRT(0.56^2*CS71^2+0.44^2*CS73^2)</f>
        <v>1392.33025401075</v>
      </c>
      <c r="CT75" s="18">
        <v>3</v>
      </c>
      <c r="CU75" s="19">
        <f t="shared" si="235"/>
        <v>7.5541924866211876E-2</v>
      </c>
      <c r="CV75" s="75">
        <f t="shared" si="236"/>
        <v>8505.9295049165121</v>
      </c>
      <c r="CW75" s="12">
        <f t="shared" si="237"/>
        <v>1436.8344099412961</v>
      </c>
      <c r="CX75" s="72">
        <f t="shared" si="238"/>
        <v>1376328.7477275683</v>
      </c>
      <c r="CY75" s="72">
        <f t="shared" si="239"/>
        <v>1376328.7477275683</v>
      </c>
      <c r="CZ75" s="12" t="s">
        <v>581</v>
      </c>
      <c r="DA75" s="12">
        <f>CA75+CN75</f>
        <v>1630.9109814971816</v>
      </c>
      <c r="DB75" s="15">
        <f>SQRT(0.56^2*DB71^2+0.44^2*DB73^2)</f>
        <v>3386.2554087633621</v>
      </c>
      <c r="DC75" s="18">
        <v>3</v>
      </c>
      <c r="DD75" s="19">
        <f t="shared" si="240"/>
        <v>2.0762968961400752</v>
      </c>
      <c r="DE75" s="12">
        <f>CE75+CR75</f>
        <v>10220.358807726092</v>
      </c>
      <c r="DF75" s="15">
        <f>SQRT(0.56^2*DF71^2+0.44^2*DF73^2)</f>
        <v>1209.7052702050512</v>
      </c>
      <c r="DG75" s="18">
        <v>3</v>
      </c>
      <c r="DH75" s="19">
        <f t="shared" si="241"/>
        <v>0.11836230928512737</v>
      </c>
      <c r="DI75" s="19">
        <f t="shared" si="242"/>
        <v>8589.4478262289103</v>
      </c>
      <c r="DJ75" s="12">
        <f t="shared" si="243"/>
        <v>2542.6474917043652</v>
      </c>
      <c r="DK75" s="72">
        <f t="shared" si="244"/>
        <v>4310037.5113803335</v>
      </c>
      <c r="DL75" s="72">
        <f t="shared" si="245"/>
        <v>4310037.5113803335</v>
      </c>
      <c r="DM75" s="12"/>
      <c r="DN75" s="19" t="s">
        <v>37</v>
      </c>
      <c r="DO75" s="12" t="s">
        <v>37</v>
      </c>
      <c r="DP75" s="13" t="s">
        <v>37</v>
      </c>
      <c r="DR75" s="19" t="s">
        <v>37</v>
      </c>
      <c r="DS75" s="12" t="s">
        <v>37</v>
      </c>
      <c r="DT75" s="13" t="s">
        <v>37</v>
      </c>
      <c r="DZ75" s="12"/>
      <c r="EA75" s="19" t="s">
        <v>37</v>
      </c>
      <c r="EB75" s="19" t="s">
        <v>37</v>
      </c>
      <c r="EC75" s="72" t="s">
        <v>37</v>
      </c>
      <c r="EE75" s="19" t="s">
        <v>37</v>
      </c>
      <c r="EF75" s="19" t="s">
        <v>37</v>
      </c>
      <c r="EG75" s="12" t="s">
        <v>37</v>
      </c>
      <c r="EM75" s="12" t="s">
        <v>39</v>
      </c>
      <c r="EN75" s="12">
        <f>0.56*EN71+0.44*EN73</f>
        <v>-38</v>
      </c>
      <c r="EO75" s="15">
        <f>SQRT(0.56^2*EO71^2+0.44^2*EO73^2)</f>
        <v>5.412566119688516</v>
      </c>
      <c r="EP75" s="18">
        <v>3</v>
      </c>
      <c r="EQ75" s="19">
        <f t="shared" si="139"/>
        <v>0.14243595051811883</v>
      </c>
      <c r="ER75" s="12">
        <f>0.56*ER71+0.44*ER73</f>
        <v>-112</v>
      </c>
      <c r="ES75" s="15">
        <f>SQRT(0.56^2*ES71^2+0.44^2*ES73^2)</f>
        <v>10.825132239377032</v>
      </c>
      <c r="ET75" s="18">
        <v>3</v>
      </c>
      <c r="EU75" s="19">
        <f t="shared" si="140"/>
        <v>9.6652966423009218E-2</v>
      </c>
      <c r="EV75" s="19">
        <f t="shared" si="141"/>
        <v>-74</v>
      </c>
      <c r="EW75" s="12">
        <f t="shared" si="142"/>
        <v>8.5580184622376212</v>
      </c>
      <c r="EX75" s="19">
        <f t="shared" si="143"/>
        <v>48.826453333333326</v>
      </c>
      <c r="EY75" s="19">
        <f t="shared" si="144"/>
        <v>48.826453333333333</v>
      </c>
      <c r="FB75" s="11" t="s">
        <v>37</v>
      </c>
      <c r="FC75" s="11" t="s">
        <v>37</v>
      </c>
      <c r="FD75" s="11" t="s">
        <v>37</v>
      </c>
      <c r="FE75" s="12" t="s">
        <v>37</v>
      </c>
      <c r="FF75" s="20" t="s">
        <v>37</v>
      </c>
      <c r="FG75" s="11" t="s">
        <v>37</v>
      </c>
      <c r="FI75" s="11" t="s">
        <v>37</v>
      </c>
      <c r="FJ75" s="11" t="s">
        <v>37</v>
      </c>
      <c r="FK75" s="11" t="s">
        <v>37</v>
      </c>
      <c r="FL75" s="13" t="s">
        <v>37</v>
      </c>
      <c r="FM75" s="11" t="s">
        <v>37</v>
      </c>
      <c r="FN75" s="11" t="s">
        <v>37</v>
      </c>
      <c r="FP75" s="11" t="s">
        <v>37</v>
      </c>
      <c r="FQ75" s="11" t="s">
        <v>37</v>
      </c>
      <c r="FR75" s="11" t="s">
        <v>37</v>
      </c>
      <c r="FS75" s="13" t="s">
        <v>37</v>
      </c>
      <c r="FT75" s="11" t="s">
        <v>37</v>
      </c>
      <c r="FU75" s="11" t="s">
        <v>37</v>
      </c>
      <c r="FW75" s="11" t="s">
        <v>37</v>
      </c>
      <c r="FX75" s="11" t="s">
        <v>37</v>
      </c>
      <c r="FY75" s="11" t="s">
        <v>37</v>
      </c>
      <c r="FZ75" s="13" t="s">
        <v>37</v>
      </c>
      <c r="GA75" s="11" t="s">
        <v>37</v>
      </c>
      <c r="GB75" s="11" t="s">
        <v>37</v>
      </c>
      <c r="GO75" s="12" t="s">
        <v>660</v>
      </c>
      <c r="GP75" s="12" t="s">
        <v>330</v>
      </c>
      <c r="GQ75" s="12">
        <v>12.3</v>
      </c>
      <c r="GR75" s="15">
        <v>0.11202160505902424</v>
      </c>
      <c r="GS75" s="18">
        <v>3</v>
      </c>
      <c r="GT75" s="19">
        <f t="shared" si="145"/>
        <v>9.1074475657743278E-3</v>
      </c>
      <c r="GU75" s="12">
        <v>13.411999999999999</v>
      </c>
      <c r="GV75" s="15">
        <v>7.0767224051816541E-2</v>
      </c>
      <c r="GW75" s="18">
        <v>3</v>
      </c>
      <c r="GX75" s="19">
        <f t="shared" si="211"/>
        <v>5.2764109791094953E-3</v>
      </c>
      <c r="GY75" s="19">
        <f t="shared" si="203"/>
        <v>8.6550566225610234E-2</v>
      </c>
      <c r="GZ75" s="19">
        <f t="shared" si="204"/>
        <v>3.6928704661265315E-5</v>
      </c>
      <c r="HA75" s="12"/>
      <c r="HB75" s="32"/>
      <c r="HM75" s="32"/>
      <c r="IK75" s="12" t="s">
        <v>37</v>
      </c>
      <c r="IL75" s="12" t="s">
        <v>37</v>
      </c>
      <c r="IM75" s="13" t="s">
        <v>37</v>
      </c>
      <c r="IO75" s="12" t="s">
        <v>37</v>
      </c>
      <c r="IP75" s="12" t="s">
        <v>37</v>
      </c>
      <c r="IQ75" s="13" t="s">
        <v>37</v>
      </c>
      <c r="IV75" s="32" t="s">
        <v>345</v>
      </c>
      <c r="IW75" s="12">
        <v>4.0999999999999996</v>
      </c>
      <c r="IX75" s="12">
        <v>0.1</v>
      </c>
      <c r="IY75" s="13">
        <v>3</v>
      </c>
      <c r="IZ75" s="19">
        <f t="shared" si="147"/>
        <v>2.4390243902439029E-2</v>
      </c>
      <c r="JH75" s="12" t="s">
        <v>37</v>
      </c>
      <c r="JI75" s="12" t="s">
        <v>37</v>
      </c>
      <c r="JJ75" s="13" t="s">
        <v>37</v>
      </c>
      <c r="JL75" s="12" t="s">
        <v>37</v>
      </c>
      <c r="JM75" s="12" t="s">
        <v>37</v>
      </c>
      <c r="JN75" s="12" t="s">
        <v>37</v>
      </c>
      <c r="JS75" s="12" t="s">
        <v>37</v>
      </c>
      <c r="JT75" s="12" t="s">
        <v>37</v>
      </c>
      <c r="JU75" s="13" t="s">
        <v>37</v>
      </c>
      <c r="JW75" s="12" t="s">
        <v>37</v>
      </c>
      <c r="JX75" s="12" t="s">
        <v>37</v>
      </c>
      <c r="JY75" s="12" t="s">
        <v>37</v>
      </c>
      <c r="KE75" s="11" t="s">
        <v>37</v>
      </c>
      <c r="KF75" s="11" t="s">
        <v>37</v>
      </c>
      <c r="KG75" s="13" t="s">
        <v>37</v>
      </c>
      <c r="KH75" s="11" t="s">
        <v>37</v>
      </c>
      <c r="KI75" s="11" t="s">
        <v>37</v>
      </c>
      <c r="KJ75" s="11" t="s">
        <v>37</v>
      </c>
      <c r="KM75" s="12" t="s">
        <v>37</v>
      </c>
      <c r="KN75" s="12" t="s">
        <v>37</v>
      </c>
      <c r="KO75" s="11" t="s">
        <v>37</v>
      </c>
      <c r="KQ75" s="12" t="s">
        <v>37</v>
      </c>
      <c r="KR75" s="12" t="s">
        <v>37</v>
      </c>
      <c r="KS75" s="13" t="s">
        <v>37</v>
      </c>
      <c r="KX75" s="12" t="s">
        <v>37</v>
      </c>
      <c r="KY75" s="12" t="s">
        <v>37</v>
      </c>
      <c r="KZ75" s="13" t="s">
        <v>37</v>
      </c>
      <c r="LB75" s="12" t="s">
        <v>37</v>
      </c>
      <c r="LC75" s="12" t="s">
        <v>37</v>
      </c>
      <c r="LD75" s="13" t="s">
        <v>37</v>
      </c>
      <c r="LI75" s="12" t="s">
        <v>37</v>
      </c>
      <c r="LJ75" s="12" t="s">
        <v>37</v>
      </c>
      <c r="LK75" s="12" t="s">
        <v>37</v>
      </c>
      <c r="LM75" s="12" t="s">
        <v>37</v>
      </c>
      <c r="LN75" s="12" t="s">
        <v>37</v>
      </c>
      <c r="LO75" s="12" t="s">
        <v>37</v>
      </c>
      <c r="LU75" s="12" t="s">
        <v>37</v>
      </c>
      <c r="LV75" s="12" t="s">
        <v>37</v>
      </c>
      <c r="LW75" s="13" t="s">
        <v>37</v>
      </c>
      <c r="LY75" s="12" t="s">
        <v>37</v>
      </c>
      <c r="LZ75" s="12" t="s">
        <v>37</v>
      </c>
      <c r="MA75" s="12" t="s">
        <v>37</v>
      </c>
      <c r="MF75" s="12" t="s">
        <v>37</v>
      </c>
      <c r="MG75" s="12" t="s">
        <v>37</v>
      </c>
      <c r="MH75" s="12" t="s">
        <v>37</v>
      </c>
      <c r="MJ75" s="12" t="s">
        <v>37</v>
      </c>
      <c r="MK75" s="12" t="s">
        <v>37</v>
      </c>
      <c r="ML75" s="12" t="s">
        <v>37</v>
      </c>
      <c r="MQ75" s="12" t="s">
        <v>37</v>
      </c>
      <c r="MR75" s="12" t="s">
        <v>37</v>
      </c>
      <c r="MS75" s="12" t="s">
        <v>37</v>
      </c>
      <c r="MU75" s="12" t="s">
        <v>37</v>
      </c>
      <c r="MV75" s="12" t="s">
        <v>37</v>
      </c>
      <c r="MW75" s="12" t="s">
        <v>37</v>
      </c>
      <c r="NC75" s="12" t="s">
        <v>37</v>
      </c>
      <c r="ND75" s="12" t="s">
        <v>37</v>
      </c>
      <c r="NE75" s="13" t="s">
        <v>37</v>
      </c>
      <c r="NG75" s="12" t="s">
        <v>37</v>
      </c>
      <c r="NH75" s="12" t="s">
        <v>37</v>
      </c>
      <c r="NI75" s="13" t="s">
        <v>37</v>
      </c>
      <c r="NO75" s="12" t="s">
        <v>37</v>
      </c>
      <c r="NP75" s="12" t="s">
        <v>37</v>
      </c>
      <c r="NQ75" s="13" t="s">
        <v>37</v>
      </c>
      <c r="NS75" s="12" t="s">
        <v>37</v>
      </c>
      <c r="NT75" s="12" t="s">
        <v>37</v>
      </c>
      <c r="NU75" s="13" t="s">
        <v>37</v>
      </c>
      <c r="OA75" s="11" t="s">
        <v>37</v>
      </c>
      <c r="OB75" s="11" t="s">
        <v>37</v>
      </c>
      <c r="OC75" s="13" t="s">
        <v>37</v>
      </c>
      <c r="OE75" s="11" t="s">
        <v>37</v>
      </c>
      <c r="OF75" s="11" t="s">
        <v>37</v>
      </c>
      <c r="OG75" s="13" t="s">
        <v>37</v>
      </c>
      <c r="OM75" s="11" t="s">
        <v>37</v>
      </c>
      <c r="ON75" s="11" t="s">
        <v>37</v>
      </c>
      <c r="OO75" s="11" t="s">
        <v>37</v>
      </c>
      <c r="OP75" s="11" t="s">
        <v>37</v>
      </c>
      <c r="OQ75" s="11" t="s">
        <v>37</v>
      </c>
      <c r="OR75" s="11" t="s">
        <v>37</v>
      </c>
      <c r="OW75" s="11" t="s">
        <v>37</v>
      </c>
      <c r="OX75" s="11" t="s">
        <v>37</v>
      </c>
      <c r="OY75" s="13" t="s">
        <v>37</v>
      </c>
      <c r="OZ75" s="11" t="s">
        <v>37</v>
      </c>
      <c r="PA75" s="11" t="s">
        <v>37</v>
      </c>
      <c r="PB75" s="13" t="s">
        <v>37</v>
      </c>
      <c r="PG75" s="11" t="s">
        <v>37</v>
      </c>
      <c r="PH75" s="11" t="s">
        <v>37</v>
      </c>
      <c r="PI75" s="13" t="s">
        <v>37</v>
      </c>
      <c r="PJ75" s="11" t="s">
        <v>37</v>
      </c>
      <c r="PK75" s="11" t="s">
        <v>37</v>
      </c>
      <c r="PL75" s="13" t="s">
        <v>37</v>
      </c>
      <c r="PQ75" s="11" t="s">
        <v>37</v>
      </c>
      <c r="PR75" s="11" t="s">
        <v>37</v>
      </c>
      <c r="PS75" s="13" t="s">
        <v>37</v>
      </c>
      <c r="PT75" s="11" t="s">
        <v>37</v>
      </c>
      <c r="PU75" s="11" t="s">
        <v>37</v>
      </c>
      <c r="PV75" s="13" t="s">
        <v>37</v>
      </c>
      <c r="PY75" s="12" t="s">
        <v>43</v>
      </c>
      <c r="PZ75" s="12">
        <v>377.44000000000005</v>
      </c>
      <c r="QA75" s="12">
        <v>33.343665065496324</v>
      </c>
      <c r="QB75" s="11">
        <v>3</v>
      </c>
      <c r="QC75" s="19">
        <f t="shared" si="155"/>
        <v>8.834163063134888E-2</v>
      </c>
      <c r="QD75" s="12">
        <v>515.79999999999995</v>
      </c>
      <c r="QE75" s="12">
        <v>8.4810376723606176</v>
      </c>
      <c r="QF75" s="13">
        <v>3</v>
      </c>
      <c r="QG75" s="19">
        <f t="shared" si="156"/>
        <v>1.6442492579217951E-2</v>
      </c>
      <c r="QH75" s="19">
        <f t="shared" si="148"/>
        <v>0.31230747778787926</v>
      </c>
      <c r="QI75" s="19">
        <f t="shared" si="149"/>
        <v>2.691533088274438E-3</v>
      </c>
      <c r="QJ75" s="12" t="s">
        <v>43</v>
      </c>
      <c r="QK75" s="12">
        <v>648.52</v>
      </c>
      <c r="QL75" s="12">
        <v>128.63291025239224</v>
      </c>
      <c r="QM75" s="13">
        <v>3</v>
      </c>
      <c r="QN75" s="12">
        <v>949</v>
      </c>
      <c r="QO75" s="12">
        <v>167.4170779819072</v>
      </c>
      <c r="QP75" s="13">
        <v>3</v>
      </c>
      <c r="QQ75" s="19">
        <f t="shared" si="158"/>
        <v>0.38071595492805954</v>
      </c>
      <c r="QR75" s="19">
        <f t="shared" si="150"/>
        <v>2.3488020718289072E-2</v>
      </c>
      <c r="QU75" s="11" t="s">
        <v>37</v>
      </c>
      <c r="QV75" s="11" t="s">
        <v>37</v>
      </c>
      <c r="QW75" s="13" t="s">
        <v>37</v>
      </c>
      <c r="QX75" s="11" t="s">
        <v>37</v>
      </c>
      <c r="QY75" s="11" t="s">
        <v>37</v>
      </c>
      <c r="QZ75" s="13" t="s">
        <v>37</v>
      </c>
      <c r="RC75" s="12" t="s">
        <v>37</v>
      </c>
      <c r="RD75" s="12" t="s">
        <v>37</v>
      </c>
      <c r="RE75" s="13" t="s">
        <v>37</v>
      </c>
      <c r="RF75" s="12" t="s">
        <v>37</v>
      </c>
      <c r="RG75" s="12" t="s">
        <v>37</v>
      </c>
      <c r="RH75" s="13" t="s">
        <v>37</v>
      </c>
      <c r="RK75" s="11" t="s">
        <v>37</v>
      </c>
      <c r="RL75" s="11" t="s">
        <v>37</v>
      </c>
      <c r="RM75" s="11" t="s">
        <v>37</v>
      </c>
      <c r="RN75" s="11" t="s">
        <v>37</v>
      </c>
      <c r="RO75" s="11" t="s">
        <v>37</v>
      </c>
      <c r="RP75" s="11" t="s">
        <v>37</v>
      </c>
      <c r="RS75" s="11" t="s">
        <v>37</v>
      </c>
      <c r="RT75" s="11" t="s">
        <v>37</v>
      </c>
      <c r="RU75" s="11" t="s">
        <v>37</v>
      </c>
      <c r="RV75" s="11" t="s">
        <v>37</v>
      </c>
      <c r="RW75" s="11" t="s">
        <v>37</v>
      </c>
      <c r="RX75" s="11" t="s">
        <v>37</v>
      </c>
      <c r="SA75" s="11" t="s">
        <v>37</v>
      </c>
      <c r="SB75" s="11" t="s">
        <v>37</v>
      </c>
      <c r="SC75" s="13" t="s">
        <v>37</v>
      </c>
      <c r="SD75" s="11" t="s">
        <v>37</v>
      </c>
      <c r="SE75" s="11" t="s">
        <v>37</v>
      </c>
      <c r="SF75" s="13" t="s">
        <v>37</v>
      </c>
      <c r="SI75" s="12" t="s">
        <v>37</v>
      </c>
      <c r="SJ75" s="11" t="s">
        <v>37</v>
      </c>
      <c r="SK75" s="13" t="s">
        <v>37</v>
      </c>
      <c r="SM75" s="11" t="s">
        <v>37</v>
      </c>
      <c r="SN75" s="11" t="s">
        <v>37</v>
      </c>
      <c r="SO75" s="13" t="s">
        <v>37</v>
      </c>
      <c r="SU75" s="12" t="s">
        <v>37</v>
      </c>
      <c r="SV75" s="12" t="s">
        <v>37</v>
      </c>
      <c r="SW75" s="11" t="s">
        <v>37</v>
      </c>
      <c r="SX75" s="12" t="s">
        <v>37</v>
      </c>
      <c r="SY75" s="12" t="s">
        <v>37</v>
      </c>
      <c r="SZ75" s="11" t="s">
        <v>37</v>
      </c>
      <c r="TE75" s="12" t="s">
        <v>37</v>
      </c>
      <c r="TF75" s="12" t="s">
        <v>37</v>
      </c>
      <c r="TG75" s="11" t="s">
        <v>37</v>
      </c>
      <c r="TH75" s="12" t="s">
        <v>37</v>
      </c>
      <c r="TI75" s="12" t="s">
        <v>37</v>
      </c>
      <c r="TJ75" s="11" t="s">
        <v>37</v>
      </c>
      <c r="TO75" s="12" t="s">
        <v>37</v>
      </c>
      <c r="TP75" s="12" t="s">
        <v>37</v>
      </c>
      <c r="TQ75" s="11" t="s">
        <v>37</v>
      </c>
      <c r="TR75" s="12" t="s">
        <v>37</v>
      </c>
      <c r="TS75" s="12" t="s">
        <v>37</v>
      </c>
      <c r="TT75" s="11" t="s">
        <v>37</v>
      </c>
      <c r="TY75" s="12" t="s">
        <v>37</v>
      </c>
      <c r="TZ75" s="12" t="s">
        <v>37</v>
      </c>
      <c r="UA75" s="11" t="s">
        <v>37</v>
      </c>
      <c r="UB75" s="12" t="s">
        <v>37</v>
      </c>
      <c r="UC75" s="12" t="s">
        <v>37</v>
      </c>
      <c r="UD75" s="11" t="s">
        <v>37</v>
      </c>
      <c r="UI75" s="12" t="s">
        <v>37</v>
      </c>
      <c r="UJ75" s="12" t="s">
        <v>37</v>
      </c>
      <c r="UK75" s="13" t="s">
        <v>37</v>
      </c>
      <c r="UL75" s="12" t="s">
        <v>37</v>
      </c>
      <c r="UM75" s="12" t="s">
        <v>37</v>
      </c>
      <c r="UN75" s="13" t="s">
        <v>37</v>
      </c>
      <c r="UR75" s="12" t="s">
        <v>37</v>
      </c>
      <c r="US75" s="12" t="s">
        <v>37</v>
      </c>
      <c r="UT75" s="13" t="s">
        <v>37</v>
      </c>
      <c r="UU75" s="12" t="s">
        <v>37</v>
      </c>
      <c r="UV75" s="12" t="s">
        <v>37</v>
      </c>
      <c r="UW75" s="13" t="s">
        <v>37</v>
      </c>
      <c r="VB75" s="12" t="s">
        <v>37</v>
      </c>
      <c r="VC75" s="12" t="s">
        <v>37</v>
      </c>
      <c r="VD75" s="13" t="s">
        <v>37</v>
      </c>
      <c r="VE75" s="12" t="s">
        <v>37</v>
      </c>
      <c r="VF75" s="12" t="s">
        <v>37</v>
      </c>
      <c r="VG75" s="13" t="s">
        <v>37</v>
      </c>
      <c r="VI75" s="12" t="s">
        <v>37</v>
      </c>
      <c r="VJ75" s="12" t="s">
        <v>37</v>
      </c>
      <c r="VK75" s="13" t="s">
        <v>37</v>
      </c>
      <c r="VL75" s="12" t="s">
        <v>37</v>
      </c>
      <c r="VM75" s="12" t="s">
        <v>37</v>
      </c>
      <c r="VN75" s="13" t="s">
        <v>37</v>
      </c>
      <c r="VO75" s="12" t="s">
        <v>37</v>
      </c>
      <c r="VQ75" s="12" t="s">
        <v>37</v>
      </c>
      <c r="VR75" s="12" t="s">
        <v>37</v>
      </c>
      <c r="VS75" s="12" t="s">
        <v>37</v>
      </c>
      <c r="VT75" s="12" t="s">
        <v>37</v>
      </c>
      <c r="VU75" s="12" t="s">
        <v>37</v>
      </c>
      <c r="VV75" s="12" t="s">
        <v>37</v>
      </c>
      <c r="VW75" s="12"/>
      <c r="VX75" s="12"/>
      <c r="WA75" s="13" t="s">
        <v>37</v>
      </c>
      <c r="WB75" s="13" t="s">
        <v>37</v>
      </c>
      <c r="WC75" s="13" t="s">
        <v>37</v>
      </c>
      <c r="WD75" s="13" t="s">
        <v>37</v>
      </c>
      <c r="WE75" s="13" t="s">
        <v>37</v>
      </c>
      <c r="WF75" s="13" t="s">
        <v>37</v>
      </c>
    </row>
    <row r="76" spans="1:604" ht="18" customHeight="1" x14ac:dyDescent="0.4">
      <c r="A76" s="11">
        <v>13</v>
      </c>
      <c r="B76" s="12" t="s">
        <v>933</v>
      </c>
      <c r="C76" s="12" t="s">
        <v>26</v>
      </c>
      <c r="D76" s="12" t="s">
        <v>973</v>
      </c>
      <c r="E76" s="81">
        <v>4.5</v>
      </c>
      <c r="F76" s="14">
        <v>0</v>
      </c>
      <c r="G76" s="14">
        <v>0</v>
      </c>
      <c r="H76" s="12" t="s">
        <v>91</v>
      </c>
      <c r="I76" s="29">
        <v>55.35</v>
      </c>
      <c r="J76" s="29">
        <v>-112.517</v>
      </c>
      <c r="K76" s="12" t="s">
        <v>696</v>
      </c>
      <c r="L76" s="12" t="s">
        <v>697</v>
      </c>
      <c r="M76" s="13" t="s">
        <v>37</v>
      </c>
      <c r="N76" s="14">
        <v>2.1</v>
      </c>
      <c r="O76" s="14">
        <v>504</v>
      </c>
      <c r="P76" s="14" t="s">
        <v>84</v>
      </c>
      <c r="Q76" s="75">
        <v>12</v>
      </c>
      <c r="R76" s="11" t="s">
        <v>999</v>
      </c>
      <c r="S76" s="12" t="s">
        <v>93</v>
      </c>
      <c r="T76" s="12" t="s">
        <v>141</v>
      </c>
      <c r="U76" s="12" t="s">
        <v>158</v>
      </c>
      <c r="V76" s="12" t="s">
        <v>275</v>
      </c>
      <c r="W76" s="23" t="s">
        <v>502</v>
      </c>
      <c r="X76" s="12" t="s">
        <v>857</v>
      </c>
      <c r="Y76" s="12" t="s">
        <v>69</v>
      </c>
      <c r="Z76" s="12" t="s">
        <v>37</v>
      </c>
      <c r="AA76" s="32" t="s">
        <v>501</v>
      </c>
      <c r="AB76" s="12">
        <v>4.0999999999999996</v>
      </c>
      <c r="AE76" s="12" t="s">
        <v>37</v>
      </c>
      <c r="AH76" s="12" t="s">
        <v>37</v>
      </c>
      <c r="AK76" s="12" t="s">
        <v>37</v>
      </c>
      <c r="AL76" s="32" t="s">
        <v>497</v>
      </c>
      <c r="AM76" s="12" t="s">
        <v>317</v>
      </c>
      <c r="AN76" s="32" t="s">
        <v>879</v>
      </c>
      <c r="AO76" s="12" t="s">
        <v>29</v>
      </c>
      <c r="AP76" s="12" t="s">
        <v>108</v>
      </c>
      <c r="AQ76" s="12" t="s">
        <v>975</v>
      </c>
      <c r="AT76" s="12" t="s">
        <v>326</v>
      </c>
      <c r="AU76" s="12" t="s">
        <v>326</v>
      </c>
      <c r="AV76" s="13" t="s">
        <v>326</v>
      </c>
      <c r="AX76" s="12" t="s">
        <v>326</v>
      </c>
      <c r="AY76" s="12" t="s">
        <v>326</v>
      </c>
      <c r="AZ76" s="13" t="s">
        <v>326</v>
      </c>
      <c r="BE76" s="12" t="s">
        <v>326</v>
      </c>
      <c r="BF76" s="12" t="s">
        <v>326</v>
      </c>
      <c r="BG76" s="12" t="s">
        <v>326</v>
      </c>
      <c r="BI76" s="12" t="s">
        <v>326</v>
      </c>
      <c r="BJ76" s="12" t="s">
        <v>326</v>
      </c>
      <c r="BK76" s="12" t="s">
        <v>326</v>
      </c>
      <c r="BP76" s="12" t="s">
        <v>37</v>
      </c>
      <c r="BQ76" s="12" t="s">
        <v>37</v>
      </c>
      <c r="BR76" s="13" t="s">
        <v>37</v>
      </c>
      <c r="BT76" s="12" t="s">
        <v>37</v>
      </c>
      <c r="BU76" s="12" t="s">
        <v>37</v>
      </c>
      <c r="BV76" s="12" t="s">
        <v>37</v>
      </c>
      <c r="BZ76" s="12" t="s">
        <v>581</v>
      </c>
      <c r="CA76" s="12">
        <f>0.56*CA72+0.44*CA74</f>
        <v>-9369.2576901028915</v>
      </c>
      <c r="CB76" s="15">
        <f>SQRT(0.56^2*CB72^2+0.44^2*CB74^2)</f>
        <v>2035.7162873934251</v>
      </c>
      <c r="CC76" s="18">
        <v>3</v>
      </c>
      <c r="CD76" s="19">
        <f t="shared" si="228"/>
        <v>0.21727615513701057</v>
      </c>
      <c r="CE76" s="12">
        <f>0.56*CE72+0.44*CE74</f>
        <v>-9418.1612108239733</v>
      </c>
      <c r="CF76" s="15">
        <f>SQRT(0.56^2*CF72^2+0.44^2*CF74^2)</f>
        <v>2962.8630952565604</v>
      </c>
      <c r="CG76" s="18">
        <v>3</v>
      </c>
      <c r="CH76" s="19">
        <f t="shared" si="229"/>
        <v>0.31459039922266807</v>
      </c>
      <c r="CI76" s="75">
        <f t="shared" si="230"/>
        <v>-48.903520721081804</v>
      </c>
      <c r="CJ76" s="12">
        <f t="shared" si="231"/>
        <v>2541.9184215855707</v>
      </c>
      <c r="CK76" s="72">
        <f t="shared" si="232"/>
        <v>4307566.1746640522</v>
      </c>
      <c r="CL76" s="72">
        <f t="shared" si="233"/>
        <v>4307566.1746640522</v>
      </c>
      <c r="CM76" s="12" t="s">
        <v>581</v>
      </c>
      <c r="CN76" s="12">
        <f>0.56*CN72+0.44*CN74</f>
        <v>12061.199832356524</v>
      </c>
      <c r="CO76" s="15">
        <f>SQRT(0.56^2*CO72^2+0.44^2*CO74^2)</f>
        <v>2723.4693933324479</v>
      </c>
      <c r="CP76" s="18">
        <v>3</v>
      </c>
      <c r="CQ76" s="19">
        <f t="shared" si="234"/>
        <v>0.22580418459084056</v>
      </c>
      <c r="CR76" s="12">
        <f>0.56*CR72+0.44*CR74</f>
        <v>19491.949358758146</v>
      </c>
      <c r="CS76" s="15">
        <f>SQRT(0.56^2*CS72^2+0.44^2*CS74^2)</f>
        <v>1982.6669401893841</v>
      </c>
      <c r="CT76" s="18">
        <v>3</v>
      </c>
      <c r="CU76" s="19">
        <f t="shared" si="235"/>
        <v>0.10171722200265874</v>
      </c>
      <c r="CV76" s="75">
        <f t="shared" si="236"/>
        <v>7430.7495264016216</v>
      </c>
      <c r="CW76" s="12">
        <f t="shared" si="237"/>
        <v>2382.0425827573431</v>
      </c>
      <c r="CX76" s="72">
        <f t="shared" si="238"/>
        <v>3782751.2440461824</v>
      </c>
      <c r="CY76" s="72">
        <f t="shared" si="239"/>
        <v>3782751.2440461824</v>
      </c>
      <c r="CZ76" s="12" t="s">
        <v>581</v>
      </c>
      <c r="DA76" s="12">
        <f>CA76+CN76</f>
        <v>2691.9421422536325</v>
      </c>
      <c r="DB76" s="15">
        <f>SQRT(0.56^2*DB72^2+0.44^2*DB74^2)</f>
        <v>3491.7953924879967</v>
      </c>
      <c r="DC76" s="18">
        <v>3</v>
      </c>
      <c r="DD76" s="19">
        <f t="shared" si="240"/>
        <v>1.2971286929535362</v>
      </c>
      <c r="DE76" s="12">
        <f>CE76+CR76</f>
        <v>10073.788147934172</v>
      </c>
      <c r="DF76" s="15">
        <f>SQRT(0.56^2*DF72^2+0.44^2*DF74^2)</f>
        <v>1436.3793028165639</v>
      </c>
      <c r="DG76" s="18">
        <v>3</v>
      </c>
      <c r="DH76" s="19">
        <f t="shared" si="241"/>
        <v>0.14258581595356676</v>
      </c>
      <c r="DI76" s="19">
        <f t="shared" si="242"/>
        <v>7381.8460056805397</v>
      </c>
      <c r="DJ76" s="12">
        <f t="shared" si="243"/>
        <v>2669.8146531697853</v>
      </c>
      <c r="DK76" s="72">
        <f t="shared" si="244"/>
        <v>4751940.1881867331</v>
      </c>
      <c r="DL76" s="72">
        <f t="shared" si="245"/>
        <v>4751940.188186734</v>
      </c>
      <c r="DM76" s="15"/>
      <c r="DN76" s="19" t="s">
        <v>37</v>
      </c>
      <c r="DO76" s="12" t="s">
        <v>37</v>
      </c>
      <c r="DP76" s="13" t="s">
        <v>37</v>
      </c>
      <c r="DR76" s="19" t="s">
        <v>37</v>
      </c>
      <c r="DS76" s="12" t="s">
        <v>37</v>
      </c>
      <c r="DT76" s="13" t="s">
        <v>37</v>
      </c>
      <c r="DZ76" s="15"/>
      <c r="EA76" s="19" t="s">
        <v>37</v>
      </c>
      <c r="EB76" s="19" t="s">
        <v>37</v>
      </c>
      <c r="EC76" s="72" t="s">
        <v>37</v>
      </c>
      <c r="EE76" s="19" t="s">
        <v>37</v>
      </c>
      <c r="EF76" s="19" t="s">
        <v>37</v>
      </c>
      <c r="EG76" s="12" t="s">
        <v>37</v>
      </c>
      <c r="EM76" s="12" t="s">
        <v>39</v>
      </c>
      <c r="EN76" s="12">
        <f>0.56*EN72+0.44*EN74</f>
        <v>-45.680000000000007</v>
      </c>
      <c r="EO76" s="15">
        <f>SQRT(0.56^2*EO72^2+0.44^2*EO74^2)</f>
        <v>4.842822317616041</v>
      </c>
      <c r="EP76" s="18">
        <v>3</v>
      </c>
      <c r="EQ76" s="19">
        <f t="shared" si="139"/>
        <v>0.10601625038564011</v>
      </c>
      <c r="ER76" s="12">
        <f>0.56*ER72+0.44*ER74</f>
        <v>-118.24000000000001</v>
      </c>
      <c r="ES76" s="15">
        <f>SQRT(0.56^2*ES72^2+0.44^2*ES74^2)</f>
        <v>8.4037210805690119</v>
      </c>
      <c r="ET76" s="18">
        <v>3</v>
      </c>
      <c r="EU76" s="19">
        <f t="shared" si="140"/>
        <v>7.1073419152308956E-2</v>
      </c>
      <c r="EV76" s="19">
        <f t="shared" si="141"/>
        <v>-72.56</v>
      </c>
      <c r="EW76" s="12">
        <f t="shared" si="142"/>
        <v>6.8584056456293103</v>
      </c>
      <c r="EX76" s="19">
        <f t="shared" si="143"/>
        <v>31.358485333333334</v>
      </c>
      <c r="EY76" s="19">
        <f t="shared" si="144"/>
        <v>31.358485333333334</v>
      </c>
      <c r="FB76" s="11" t="s">
        <v>37</v>
      </c>
      <c r="FC76" s="11" t="s">
        <v>37</v>
      </c>
      <c r="FD76" s="11" t="s">
        <v>37</v>
      </c>
      <c r="FE76" s="12" t="s">
        <v>37</v>
      </c>
      <c r="FF76" s="20" t="s">
        <v>37</v>
      </c>
      <c r="FG76" s="11" t="s">
        <v>37</v>
      </c>
      <c r="FI76" s="11" t="s">
        <v>37</v>
      </c>
      <c r="FJ76" s="11" t="s">
        <v>37</v>
      </c>
      <c r="FK76" s="11" t="s">
        <v>37</v>
      </c>
      <c r="FL76" s="13" t="s">
        <v>37</v>
      </c>
      <c r="FM76" s="11" t="s">
        <v>37</v>
      </c>
      <c r="FN76" s="11" t="s">
        <v>37</v>
      </c>
      <c r="FP76" s="11" t="s">
        <v>37</v>
      </c>
      <c r="FQ76" s="11" t="s">
        <v>37</v>
      </c>
      <c r="FR76" s="11" t="s">
        <v>37</v>
      </c>
      <c r="FS76" s="13" t="s">
        <v>37</v>
      </c>
      <c r="FT76" s="11" t="s">
        <v>37</v>
      </c>
      <c r="FU76" s="11" t="s">
        <v>37</v>
      </c>
      <c r="FW76" s="11" t="s">
        <v>37</v>
      </c>
      <c r="FX76" s="11" t="s">
        <v>37</v>
      </c>
      <c r="FY76" s="11" t="s">
        <v>37</v>
      </c>
      <c r="FZ76" s="13" t="s">
        <v>37</v>
      </c>
      <c r="GA76" s="11" t="s">
        <v>37</v>
      </c>
      <c r="GB76" s="11" t="s">
        <v>37</v>
      </c>
      <c r="GO76" s="12" t="s">
        <v>660</v>
      </c>
      <c r="GP76" s="12" t="s">
        <v>330</v>
      </c>
      <c r="GQ76" s="12">
        <v>12.3</v>
      </c>
      <c r="GR76" s="15">
        <v>0.11202160505902424</v>
      </c>
      <c r="GS76" s="18">
        <v>3</v>
      </c>
      <c r="GT76" s="19">
        <f t="shared" si="145"/>
        <v>9.1074475657743278E-3</v>
      </c>
      <c r="GU76" s="12">
        <v>13.411999999999999</v>
      </c>
      <c r="GV76" s="15">
        <v>7.0767224051816541E-2</v>
      </c>
      <c r="GW76" s="18">
        <v>3</v>
      </c>
      <c r="GX76" s="19">
        <f>GV76/GU76</f>
        <v>5.2764109791094953E-3</v>
      </c>
      <c r="GY76" s="19">
        <f t="shared" si="203"/>
        <v>8.6550566225610234E-2</v>
      </c>
      <c r="GZ76" s="19">
        <f t="shared" si="204"/>
        <v>3.6928704661265315E-5</v>
      </c>
      <c r="IK76" s="12" t="s">
        <v>37</v>
      </c>
      <c r="IL76" s="12" t="s">
        <v>37</v>
      </c>
      <c r="IM76" s="13" t="s">
        <v>37</v>
      </c>
      <c r="IO76" s="12" t="s">
        <v>37</v>
      </c>
      <c r="IP76" s="12" t="s">
        <v>37</v>
      </c>
      <c r="IQ76" s="13" t="s">
        <v>37</v>
      </c>
      <c r="IV76" s="32" t="s">
        <v>501</v>
      </c>
      <c r="IW76" s="12">
        <v>4.0999999999999996</v>
      </c>
      <c r="IX76" s="12">
        <v>0.1</v>
      </c>
      <c r="IY76" s="13">
        <v>3</v>
      </c>
      <c r="IZ76" s="19">
        <f t="shared" si="147"/>
        <v>2.4390243902439029E-2</v>
      </c>
      <c r="JH76" s="12" t="s">
        <v>37</v>
      </c>
      <c r="JI76" s="12" t="s">
        <v>37</v>
      </c>
      <c r="JJ76" s="13" t="s">
        <v>37</v>
      </c>
      <c r="JL76" s="12" t="s">
        <v>37</v>
      </c>
      <c r="JM76" s="12" t="s">
        <v>37</v>
      </c>
      <c r="JN76" s="12" t="s">
        <v>37</v>
      </c>
      <c r="JS76" s="12" t="s">
        <v>37</v>
      </c>
      <c r="JT76" s="12" t="s">
        <v>37</v>
      </c>
      <c r="JU76" s="13" t="s">
        <v>37</v>
      </c>
      <c r="JW76" s="12" t="s">
        <v>37</v>
      </c>
      <c r="JX76" s="12" t="s">
        <v>37</v>
      </c>
      <c r="JY76" s="12" t="s">
        <v>37</v>
      </c>
      <c r="KE76" s="11" t="s">
        <v>37</v>
      </c>
      <c r="KF76" s="11" t="s">
        <v>37</v>
      </c>
      <c r="KG76" s="13" t="s">
        <v>37</v>
      </c>
      <c r="KH76" s="11" t="s">
        <v>37</v>
      </c>
      <c r="KI76" s="11" t="s">
        <v>37</v>
      </c>
      <c r="KJ76" s="11" t="s">
        <v>37</v>
      </c>
      <c r="KM76" s="12" t="s">
        <v>37</v>
      </c>
      <c r="KN76" s="12" t="s">
        <v>37</v>
      </c>
      <c r="KO76" s="11" t="s">
        <v>37</v>
      </c>
      <c r="KQ76" s="12" t="s">
        <v>37</v>
      </c>
      <c r="KR76" s="12" t="s">
        <v>37</v>
      </c>
      <c r="KS76" s="13" t="s">
        <v>37</v>
      </c>
      <c r="KX76" s="12" t="s">
        <v>37</v>
      </c>
      <c r="KY76" s="12" t="s">
        <v>37</v>
      </c>
      <c r="KZ76" s="13" t="s">
        <v>37</v>
      </c>
      <c r="LB76" s="12" t="s">
        <v>37</v>
      </c>
      <c r="LC76" s="12" t="s">
        <v>37</v>
      </c>
      <c r="LD76" s="13" t="s">
        <v>37</v>
      </c>
      <c r="LI76" s="12" t="s">
        <v>37</v>
      </c>
      <c r="LJ76" s="12" t="s">
        <v>37</v>
      </c>
      <c r="LK76" s="12" t="s">
        <v>37</v>
      </c>
      <c r="LM76" s="12" t="s">
        <v>37</v>
      </c>
      <c r="LN76" s="12" t="s">
        <v>37</v>
      </c>
      <c r="LO76" s="12" t="s">
        <v>37</v>
      </c>
      <c r="LU76" s="12" t="s">
        <v>37</v>
      </c>
      <c r="LV76" s="12" t="s">
        <v>37</v>
      </c>
      <c r="LW76" s="13" t="s">
        <v>37</v>
      </c>
      <c r="LY76" s="12" t="s">
        <v>37</v>
      </c>
      <c r="LZ76" s="12" t="s">
        <v>37</v>
      </c>
      <c r="MA76" s="12" t="s">
        <v>37</v>
      </c>
      <c r="MF76" s="12" t="s">
        <v>37</v>
      </c>
      <c r="MG76" s="12" t="s">
        <v>37</v>
      </c>
      <c r="MH76" s="12" t="s">
        <v>37</v>
      </c>
      <c r="MJ76" s="12" t="s">
        <v>37</v>
      </c>
      <c r="MK76" s="12" t="s">
        <v>37</v>
      </c>
      <c r="ML76" s="12" t="s">
        <v>37</v>
      </c>
      <c r="MQ76" s="12" t="s">
        <v>37</v>
      </c>
      <c r="MR76" s="12" t="s">
        <v>37</v>
      </c>
      <c r="MS76" s="12" t="s">
        <v>37</v>
      </c>
      <c r="MU76" s="12" t="s">
        <v>37</v>
      </c>
      <c r="MV76" s="12" t="s">
        <v>37</v>
      </c>
      <c r="MW76" s="12" t="s">
        <v>37</v>
      </c>
      <c r="NC76" s="12" t="s">
        <v>37</v>
      </c>
      <c r="ND76" s="12" t="s">
        <v>37</v>
      </c>
      <c r="NE76" s="13" t="s">
        <v>37</v>
      </c>
      <c r="NG76" s="12" t="s">
        <v>37</v>
      </c>
      <c r="NH76" s="12" t="s">
        <v>37</v>
      </c>
      <c r="NI76" s="13" t="s">
        <v>37</v>
      </c>
      <c r="NO76" s="12" t="s">
        <v>37</v>
      </c>
      <c r="NP76" s="12" t="s">
        <v>37</v>
      </c>
      <c r="NQ76" s="13" t="s">
        <v>37</v>
      </c>
      <c r="NS76" s="12" t="s">
        <v>37</v>
      </c>
      <c r="NT76" s="12" t="s">
        <v>37</v>
      </c>
      <c r="NU76" s="13" t="s">
        <v>37</v>
      </c>
      <c r="OA76" s="11" t="s">
        <v>37</v>
      </c>
      <c r="OB76" s="11" t="s">
        <v>37</v>
      </c>
      <c r="OC76" s="13" t="s">
        <v>37</v>
      </c>
      <c r="OE76" s="11" t="s">
        <v>37</v>
      </c>
      <c r="OF76" s="11" t="s">
        <v>37</v>
      </c>
      <c r="OG76" s="13" t="s">
        <v>37</v>
      </c>
      <c r="OM76" s="11" t="s">
        <v>37</v>
      </c>
      <c r="ON76" s="11" t="s">
        <v>37</v>
      </c>
      <c r="OO76" s="11" t="s">
        <v>37</v>
      </c>
      <c r="OP76" s="11" t="s">
        <v>37</v>
      </c>
      <c r="OQ76" s="11" t="s">
        <v>37</v>
      </c>
      <c r="OR76" s="11" t="s">
        <v>37</v>
      </c>
      <c r="OW76" s="11" t="s">
        <v>37</v>
      </c>
      <c r="OX76" s="11" t="s">
        <v>37</v>
      </c>
      <c r="OY76" s="13" t="s">
        <v>37</v>
      </c>
      <c r="OZ76" s="11" t="s">
        <v>37</v>
      </c>
      <c r="PA76" s="11" t="s">
        <v>37</v>
      </c>
      <c r="PB76" s="13" t="s">
        <v>37</v>
      </c>
      <c r="PG76" s="11" t="s">
        <v>37</v>
      </c>
      <c r="PH76" s="11" t="s">
        <v>37</v>
      </c>
      <c r="PI76" s="13" t="s">
        <v>37</v>
      </c>
      <c r="PJ76" s="11" t="s">
        <v>37</v>
      </c>
      <c r="PK76" s="11" t="s">
        <v>37</v>
      </c>
      <c r="PL76" s="13" t="s">
        <v>37</v>
      </c>
      <c r="PQ76" s="11" t="s">
        <v>37</v>
      </c>
      <c r="PR76" s="11" t="s">
        <v>37</v>
      </c>
      <c r="PS76" s="13" t="s">
        <v>37</v>
      </c>
      <c r="PT76" s="11" t="s">
        <v>37</v>
      </c>
      <c r="PU76" s="11" t="s">
        <v>37</v>
      </c>
      <c r="PV76" s="13" t="s">
        <v>37</v>
      </c>
      <c r="PY76" s="12" t="s">
        <v>43</v>
      </c>
      <c r="PZ76" s="12">
        <v>377.44000000000005</v>
      </c>
      <c r="QA76" s="12">
        <v>33.343665065496324</v>
      </c>
      <c r="QB76" s="11">
        <v>3</v>
      </c>
      <c r="QC76" s="19">
        <f t="shared" si="155"/>
        <v>8.834163063134888E-2</v>
      </c>
      <c r="QD76" s="12">
        <v>515.79999999999995</v>
      </c>
      <c r="QE76" s="12">
        <v>8.4810376723606176</v>
      </c>
      <c r="QF76" s="13">
        <v>3</v>
      </c>
      <c r="QG76" s="19">
        <f t="shared" si="156"/>
        <v>1.6442492579217951E-2</v>
      </c>
      <c r="QH76" s="19">
        <f>LN(QD76/PZ76)</f>
        <v>0.31230747778787926</v>
      </c>
      <c r="QI76" s="19">
        <f t="shared" si="149"/>
        <v>2.691533088274438E-3</v>
      </c>
      <c r="QJ76" s="12" t="s">
        <v>43</v>
      </c>
      <c r="QK76" s="12">
        <v>648.52</v>
      </c>
      <c r="QL76" s="12">
        <v>128.63291025239224</v>
      </c>
      <c r="QM76" s="13">
        <v>3</v>
      </c>
      <c r="QN76" s="12">
        <v>949</v>
      </c>
      <c r="QO76" s="12">
        <v>167.4170779819072</v>
      </c>
      <c r="QP76" s="13">
        <v>3</v>
      </c>
      <c r="QQ76" s="19">
        <f>LN(QN76/QK76)</f>
        <v>0.38071595492805954</v>
      </c>
      <c r="QR76" s="19">
        <f t="shared" si="150"/>
        <v>2.3488020718289072E-2</v>
      </c>
      <c r="QU76" s="11" t="s">
        <v>37</v>
      </c>
      <c r="QV76" s="11" t="s">
        <v>37</v>
      </c>
      <c r="QW76" s="13" t="s">
        <v>37</v>
      </c>
      <c r="QX76" s="11" t="s">
        <v>37</v>
      </c>
      <c r="QY76" s="11" t="s">
        <v>37</v>
      </c>
      <c r="QZ76" s="13" t="s">
        <v>37</v>
      </c>
      <c r="RC76" s="12" t="s">
        <v>37</v>
      </c>
      <c r="RD76" s="12" t="s">
        <v>37</v>
      </c>
      <c r="RE76" s="13" t="s">
        <v>37</v>
      </c>
      <c r="RF76" s="12" t="s">
        <v>37</v>
      </c>
      <c r="RG76" s="12" t="s">
        <v>37</v>
      </c>
      <c r="RH76" s="13" t="s">
        <v>37</v>
      </c>
      <c r="RK76" s="11" t="s">
        <v>37</v>
      </c>
      <c r="RL76" s="11" t="s">
        <v>37</v>
      </c>
      <c r="RM76" s="11" t="s">
        <v>37</v>
      </c>
      <c r="RN76" s="11" t="s">
        <v>37</v>
      </c>
      <c r="RO76" s="11" t="s">
        <v>37</v>
      </c>
      <c r="RP76" s="11" t="s">
        <v>37</v>
      </c>
      <c r="RS76" s="11" t="s">
        <v>37</v>
      </c>
      <c r="RT76" s="11" t="s">
        <v>37</v>
      </c>
      <c r="RU76" s="11" t="s">
        <v>37</v>
      </c>
      <c r="RV76" s="11" t="s">
        <v>37</v>
      </c>
      <c r="RW76" s="11" t="s">
        <v>37</v>
      </c>
      <c r="RX76" s="11" t="s">
        <v>37</v>
      </c>
      <c r="SA76" s="11" t="s">
        <v>37</v>
      </c>
      <c r="SB76" s="11" t="s">
        <v>37</v>
      </c>
      <c r="SC76" s="13" t="s">
        <v>37</v>
      </c>
      <c r="SD76" s="11" t="s">
        <v>37</v>
      </c>
      <c r="SE76" s="11" t="s">
        <v>37</v>
      </c>
      <c r="SF76" s="13" t="s">
        <v>37</v>
      </c>
      <c r="SI76" s="12" t="s">
        <v>37</v>
      </c>
      <c r="SJ76" s="11" t="s">
        <v>37</v>
      </c>
      <c r="SK76" s="13" t="s">
        <v>37</v>
      </c>
      <c r="SM76" s="11" t="s">
        <v>37</v>
      </c>
      <c r="SN76" s="11" t="s">
        <v>37</v>
      </c>
      <c r="SO76" s="13" t="s">
        <v>37</v>
      </c>
      <c r="SU76" s="12" t="s">
        <v>37</v>
      </c>
      <c r="SV76" s="12" t="s">
        <v>37</v>
      </c>
      <c r="SW76" s="11" t="s">
        <v>37</v>
      </c>
      <c r="SX76" s="12" t="s">
        <v>37</v>
      </c>
      <c r="SY76" s="12" t="s">
        <v>37</v>
      </c>
      <c r="SZ76" s="11" t="s">
        <v>37</v>
      </c>
      <c r="TE76" s="12" t="s">
        <v>37</v>
      </c>
      <c r="TF76" s="12" t="s">
        <v>37</v>
      </c>
      <c r="TG76" s="11" t="s">
        <v>37</v>
      </c>
      <c r="TH76" s="12" t="s">
        <v>37</v>
      </c>
      <c r="TI76" s="12" t="s">
        <v>37</v>
      </c>
      <c r="TJ76" s="11" t="s">
        <v>37</v>
      </c>
      <c r="TO76" s="12" t="s">
        <v>37</v>
      </c>
      <c r="TP76" s="12" t="s">
        <v>37</v>
      </c>
      <c r="TQ76" s="11" t="s">
        <v>37</v>
      </c>
      <c r="TR76" s="12" t="s">
        <v>37</v>
      </c>
      <c r="TS76" s="12" t="s">
        <v>37</v>
      </c>
      <c r="TT76" s="11" t="s">
        <v>37</v>
      </c>
      <c r="TY76" s="12" t="s">
        <v>37</v>
      </c>
      <c r="TZ76" s="12" t="s">
        <v>37</v>
      </c>
      <c r="UA76" s="11" t="s">
        <v>37</v>
      </c>
      <c r="UB76" s="12" t="s">
        <v>37</v>
      </c>
      <c r="UC76" s="12" t="s">
        <v>37</v>
      </c>
      <c r="UD76" s="11" t="s">
        <v>37</v>
      </c>
      <c r="UI76" s="12" t="s">
        <v>37</v>
      </c>
      <c r="UJ76" s="12" t="s">
        <v>37</v>
      </c>
      <c r="UK76" s="13" t="s">
        <v>37</v>
      </c>
      <c r="UL76" s="12" t="s">
        <v>37</v>
      </c>
      <c r="UM76" s="12" t="s">
        <v>37</v>
      </c>
      <c r="UN76" s="13" t="s">
        <v>37</v>
      </c>
      <c r="UR76" s="12" t="s">
        <v>37</v>
      </c>
      <c r="US76" s="12" t="s">
        <v>37</v>
      </c>
      <c r="UT76" s="13" t="s">
        <v>37</v>
      </c>
      <c r="UU76" s="12" t="s">
        <v>37</v>
      </c>
      <c r="UV76" s="12" t="s">
        <v>37</v>
      </c>
      <c r="UW76" s="13" t="s">
        <v>37</v>
      </c>
      <c r="VB76" s="12" t="s">
        <v>37</v>
      </c>
      <c r="VC76" s="12" t="s">
        <v>37</v>
      </c>
      <c r="VD76" s="13" t="s">
        <v>37</v>
      </c>
      <c r="VE76" s="12" t="s">
        <v>37</v>
      </c>
      <c r="VF76" s="12" t="s">
        <v>37</v>
      </c>
      <c r="VG76" s="13" t="s">
        <v>37</v>
      </c>
      <c r="VI76" s="12" t="s">
        <v>37</v>
      </c>
      <c r="VJ76" s="12" t="s">
        <v>37</v>
      </c>
      <c r="VK76" s="13" t="s">
        <v>37</v>
      </c>
      <c r="VL76" s="12" t="s">
        <v>37</v>
      </c>
      <c r="VM76" s="12" t="s">
        <v>37</v>
      </c>
      <c r="VN76" s="13" t="s">
        <v>37</v>
      </c>
      <c r="VO76" s="12" t="s">
        <v>37</v>
      </c>
      <c r="VQ76" s="12" t="s">
        <v>37</v>
      </c>
      <c r="VR76" s="12" t="s">
        <v>37</v>
      </c>
      <c r="VS76" s="12" t="s">
        <v>37</v>
      </c>
      <c r="VT76" s="12" t="s">
        <v>37</v>
      </c>
      <c r="VU76" s="12" t="s">
        <v>37</v>
      </c>
      <c r="VV76" s="12" t="s">
        <v>37</v>
      </c>
      <c r="VW76" s="12"/>
      <c r="VX76" s="12"/>
      <c r="WA76" s="13" t="s">
        <v>37</v>
      </c>
      <c r="WB76" s="13" t="s">
        <v>37</v>
      </c>
      <c r="WC76" s="13" t="s">
        <v>37</v>
      </c>
      <c r="WD76" s="13" t="s">
        <v>37</v>
      </c>
      <c r="WE76" s="13" t="s">
        <v>37</v>
      </c>
      <c r="WF76" s="13" t="s">
        <v>37</v>
      </c>
    </row>
    <row r="77" spans="1:604" ht="18" customHeight="1" x14ac:dyDescent="0.4">
      <c r="A77" s="51">
        <v>14</v>
      </c>
      <c r="B77" s="15" t="s">
        <v>112</v>
      </c>
      <c r="C77" s="12" t="s">
        <v>26</v>
      </c>
      <c r="D77" s="12" t="s">
        <v>1050</v>
      </c>
      <c r="E77" s="40">
        <v>0.9</v>
      </c>
      <c r="F77" s="14">
        <v>0</v>
      </c>
      <c r="G77" s="14">
        <v>0</v>
      </c>
      <c r="H77" s="12" t="s">
        <v>113</v>
      </c>
      <c r="I77" s="29">
        <v>59.207000000000001</v>
      </c>
      <c r="J77" s="29">
        <v>27.263999999999999</v>
      </c>
      <c r="K77" s="12" t="s">
        <v>698</v>
      </c>
      <c r="L77" s="12" t="s">
        <v>699</v>
      </c>
      <c r="M77" s="13" t="s">
        <v>37</v>
      </c>
      <c r="N77" s="14" t="s">
        <v>37</v>
      </c>
      <c r="O77" s="14" t="s">
        <v>37</v>
      </c>
      <c r="P77" s="14" t="s">
        <v>84</v>
      </c>
      <c r="Q77" s="75">
        <v>59</v>
      </c>
      <c r="R77" s="11" t="s">
        <v>1000</v>
      </c>
      <c r="S77" s="12" t="s">
        <v>93</v>
      </c>
      <c r="T77" s="12" t="s">
        <v>141</v>
      </c>
      <c r="U77" s="12" t="s">
        <v>158</v>
      </c>
      <c r="V77" s="12" t="s">
        <v>275</v>
      </c>
      <c r="W77" s="23" t="s">
        <v>114</v>
      </c>
      <c r="X77" s="12" t="s">
        <v>281</v>
      </c>
      <c r="Y77" s="12" t="s">
        <v>69</v>
      </c>
      <c r="Z77" s="12" t="s">
        <v>37</v>
      </c>
      <c r="AA77" s="32" t="s">
        <v>327</v>
      </c>
      <c r="AB77" s="12">
        <f>(2.55+2.55)/2</f>
        <v>2.5499999999999998</v>
      </c>
      <c r="AC77" s="12" t="s">
        <v>42</v>
      </c>
      <c r="AD77" s="32" t="s">
        <v>327</v>
      </c>
      <c r="AE77" s="15">
        <f>(461.8+472)/2</f>
        <v>466.9</v>
      </c>
      <c r="AF77" s="12" t="s">
        <v>42</v>
      </c>
      <c r="AG77" s="32" t="s">
        <v>504</v>
      </c>
      <c r="AH77" s="12">
        <f>(8.6+9)/2</f>
        <v>8.8000000000000007</v>
      </c>
      <c r="AJ77" s="12" t="str">
        <f t="shared" ref="AJ77:AJ78" si="248">AD77</f>
        <v>0-15</v>
      </c>
      <c r="AK77" s="19">
        <f t="shared" ref="AK77:AK78" si="249">AE77/AH77</f>
        <v>53.056818181818173</v>
      </c>
      <c r="AL77" s="32" t="s">
        <v>503</v>
      </c>
      <c r="AM77" s="12" t="s">
        <v>317</v>
      </c>
      <c r="AN77" s="32" t="s">
        <v>881</v>
      </c>
      <c r="AO77" s="12" t="s">
        <v>37</v>
      </c>
      <c r="AP77" s="12" t="s">
        <v>238</v>
      </c>
      <c r="AQ77" s="12" t="s">
        <v>975</v>
      </c>
      <c r="AR77" s="12" t="s">
        <v>42</v>
      </c>
      <c r="AS77" s="32" t="s">
        <v>327</v>
      </c>
      <c r="AT77" s="15">
        <f>(461.8+472)/2</f>
        <v>466.9</v>
      </c>
      <c r="AU77" s="15">
        <f>SQRT(3.5^2+18.4^2)/2</f>
        <v>9.3649612919648515</v>
      </c>
      <c r="AV77" s="18">
        <v>3</v>
      </c>
      <c r="AW77" s="52">
        <f>AU77/AT77</f>
        <v>2.0057745324405338E-2</v>
      </c>
      <c r="AX77" s="15">
        <f>(454.8+451.4)/2</f>
        <v>453.1</v>
      </c>
      <c r="AY77" s="15">
        <f>SQRT(51.8^2+9.7^2)/2</f>
        <v>26.350189752637455</v>
      </c>
      <c r="AZ77" s="18">
        <v>3</v>
      </c>
      <c r="BA77" s="52">
        <f>AY77/AX77</f>
        <v>5.815535147348809E-2</v>
      </c>
      <c r="BB77" s="52">
        <f t="shared" ref="BB77:BB78" si="250">LN(AX77/AT77)</f>
        <v>-3.0002250303798675E-2</v>
      </c>
      <c r="BC77" s="19">
        <f t="shared" ref="BC77:BC78" si="251">AY77^2/(AZ77*AX77^2)+AU77^2/(AV77*AT77^2)</f>
        <v>1.2614526841678792E-3</v>
      </c>
      <c r="BE77" s="12" t="s">
        <v>326</v>
      </c>
      <c r="BF77" s="12" t="s">
        <v>326</v>
      </c>
      <c r="BG77" s="12" t="s">
        <v>326</v>
      </c>
      <c r="BI77" s="12" t="s">
        <v>326</v>
      </c>
      <c r="BJ77" s="12" t="s">
        <v>326</v>
      </c>
      <c r="BK77" s="12" t="s">
        <v>326</v>
      </c>
      <c r="BP77" s="12" t="s">
        <v>37</v>
      </c>
      <c r="BQ77" s="12" t="s">
        <v>37</v>
      </c>
      <c r="BR77" s="13" t="s">
        <v>37</v>
      </c>
      <c r="BT77" s="12" t="s">
        <v>37</v>
      </c>
      <c r="BU77" s="12" t="s">
        <v>37</v>
      </c>
      <c r="BV77" s="12" t="s">
        <v>37</v>
      </c>
      <c r="CA77" s="15" t="s">
        <v>37</v>
      </c>
      <c r="CB77" s="15" t="s">
        <v>37</v>
      </c>
      <c r="CC77" s="18" t="s">
        <v>37</v>
      </c>
      <c r="CD77" s="52"/>
      <c r="CE77" s="15" t="s">
        <v>37</v>
      </c>
      <c r="CF77" s="15" t="s">
        <v>37</v>
      </c>
      <c r="CG77" s="18" t="s">
        <v>37</v>
      </c>
      <c r="CH77" s="52"/>
      <c r="CJ77" s="12"/>
      <c r="CN77" s="15" t="s">
        <v>37</v>
      </c>
      <c r="CO77" s="15" t="s">
        <v>37</v>
      </c>
      <c r="CP77" s="18" t="s">
        <v>37</v>
      </c>
      <c r="CQ77" s="52"/>
      <c r="CR77" s="15" t="s">
        <v>37</v>
      </c>
      <c r="CS77" s="15" t="s">
        <v>37</v>
      </c>
      <c r="CT77" s="18" t="s">
        <v>37</v>
      </c>
      <c r="CU77" s="52"/>
      <c r="CX77" s="72"/>
      <c r="CY77" s="72"/>
      <c r="DA77" s="15" t="s">
        <v>37</v>
      </c>
      <c r="DB77" s="15" t="s">
        <v>37</v>
      </c>
      <c r="DC77" s="18" t="s">
        <v>37</v>
      </c>
      <c r="DD77" s="52"/>
      <c r="DE77" s="15" t="s">
        <v>37</v>
      </c>
      <c r="DF77" s="15" t="s">
        <v>37</v>
      </c>
      <c r="DG77" s="18" t="s">
        <v>37</v>
      </c>
      <c r="DH77" s="52"/>
      <c r="DM77" s="12" t="s">
        <v>47</v>
      </c>
      <c r="DN77" s="52">
        <f>22.33*10^4/10^6*("2009/12/31"-"2009/04/01")*16/12/'[1]classes-1'!$I$98</f>
        <v>107.85213477594468</v>
      </c>
      <c r="DO77" s="15">
        <f>SQRT((1/[2]Classes!$I$98)^2*(20.18*10^4/10^6*("2009/12/31"-"2009/04/01")*16/12)^2+(-DN77/([2]Classes!$I$98)^2)^2*([2]Classes!$J$98)^2)</f>
        <v>101.11467674058741</v>
      </c>
      <c r="DP77" s="13">
        <v>6</v>
      </c>
      <c r="DQ77" s="19">
        <f t="shared" ref="DQ77:DQ79" si="252">DO77/ABS(DN77)</f>
        <v>0.93753060104601671</v>
      </c>
      <c r="DR77" s="52">
        <f>4.05*10^4/10^6*("2009/12/31"-"2009/04/01")*16/12/'[1]classes-1'!$I$99</f>
        <v>11.097</v>
      </c>
      <c r="DS77" s="15">
        <f>SQRT((1/[2]Classes!$I$99)^2*(4.63*10^4/10^6*("2009/12/31"-"2009/04/01")*16/12)^2+(-DR77/([2]Classes!$I$99)^2)^2*([2]Classes!$J$99)^2)</f>
        <v>12.912818417114034</v>
      </c>
      <c r="DT77" s="18">
        <v>6</v>
      </c>
      <c r="DU77" s="19">
        <f t="shared" ref="DU77:DU79" si="253">DS77/ABS(DR77)</f>
        <v>1.1636314695065364</v>
      </c>
      <c r="DV77" s="19">
        <f t="shared" ref="DV77:DV79" si="254">DR77-DN77</f>
        <v>-96.755134775944683</v>
      </c>
      <c r="DW77" s="12">
        <f t="shared" ref="DW77:DW79" si="255">SQRT(((DP77-1)*DO77^2+(DT77-1)*DS77^2)/(DP77+DT77-2))</f>
        <v>72.079535000674255</v>
      </c>
      <c r="DX77" s="72">
        <f t="shared" si="196"/>
        <v>1731.819788637808</v>
      </c>
      <c r="DY77" s="72">
        <f t="shared" si="197"/>
        <v>1731.819788637808</v>
      </c>
      <c r="DZ77" s="15"/>
      <c r="EA77" s="19" t="s">
        <v>37</v>
      </c>
      <c r="EB77" s="19" t="s">
        <v>37</v>
      </c>
      <c r="EC77" s="72" t="s">
        <v>37</v>
      </c>
      <c r="EE77" s="19" t="s">
        <v>37</v>
      </c>
      <c r="EF77" s="19" t="s">
        <v>37</v>
      </c>
      <c r="EG77" s="12" t="s">
        <v>37</v>
      </c>
      <c r="EM77" s="12" t="s">
        <v>39</v>
      </c>
      <c r="EN77" s="12">
        <f>(-4.5-4.5)/2</f>
        <v>-4.5</v>
      </c>
      <c r="EO77" s="12">
        <f>SQRT(3.6^2+4.2^2)/2</f>
        <v>2.7658633371878665</v>
      </c>
      <c r="EP77" s="13">
        <v>2</v>
      </c>
      <c r="EQ77" s="19">
        <f t="shared" si="139"/>
        <v>0.61463629715285917</v>
      </c>
      <c r="ER77" s="12">
        <f>(-8.4-28.5)/2</f>
        <v>-18.45</v>
      </c>
      <c r="ES77" s="12">
        <f>SQRT(10.9^2+14.2^2)/2</f>
        <v>8.9505586417832035</v>
      </c>
      <c r="ET77" s="13">
        <v>2</v>
      </c>
      <c r="EU77" s="19">
        <f t="shared" si="140"/>
        <v>0.48512512963594601</v>
      </c>
      <c r="EV77" s="19">
        <f t="shared" si="141"/>
        <v>-13.95</v>
      </c>
      <c r="EW77" s="12">
        <f t="shared" si="142"/>
        <v>6.6242924150432847</v>
      </c>
      <c r="EX77" s="19">
        <f t="shared" si="143"/>
        <v>43.881249999999994</v>
      </c>
      <c r="EY77" s="19">
        <f t="shared" si="144"/>
        <v>43.881249999999994</v>
      </c>
      <c r="FB77" s="11" t="s">
        <v>37</v>
      </c>
      <c r="FC77" s="11" t="s">
        <v>37</v>
      </c>
      <c r="FD77" s="11" t="s">
        <v>37</v>
      </c>
      <c r="FE77" s="12" t="s">
        <v>37</v>
      </c>
      <c r="FF77" s="20" t="s">
        <v>37</v>
      </c>
      <c r="FG77" s="11" t="s">
        <v>37</v>
      </c>
      <c r="FI77" s="11" t="s">
        <v>37</v>
      </c>
      <c r="FJ77" s="11" t="s">
        <v>37</v>
      </c>
      <c r="FK77" s="11" t="s">
        <v>37</v>
      </c>
      <c r="FL77" s="13" t="s">
        <v>37</v>
      </c>
      <c r="FM77" s="11" t="s">
        <v>37</v>
      </c>
      <c r="FN77" s="11" t="s">
        <v>37</v>
      </c>
      <c r="FP77" s="11" t="s">
        <v>37</v>
      </c>
      <c r="FQ77" s="11" t="s">
        <v>37</v>
      </c>
      <c r="FR77" s="11" t="s">
        <v>37</v>
      </c>
      <c r="FS77" s="13" t="s">
        <v>37</v>
      </c>
      <c r="FT77" s="11" t="s">
        <v>37</v>
      </c>
      <c r="FU77" s="11" t="s">
        <v>37</v>
      </c>
      <c r="FW77" s="11" t="s">
        <v>37</v>
      </c>
      <c r="FX77" s="11" t="s">
        <v>37</v>
      </c>
      <c r="FY77" s="11" t="s">
        <v>37</v>
      </c>
      <c r="FZ77" s="13" t="s">
        <v>37</v>
      </c>
      <c r="GA77" s="11" t="s">
        <v>37</v>
      </c>
      <c r="GB77" s="11" t="s">
        <v>37</v>
      </c>
      <c r="IK77" s="12" t="s">
        <v>37</v>
      </c>
      <c r="IL77" s="12" t="s">
        <v>37</v>
      </c>
      <c r="IM77" s="13" t="s">
        <v>37</v>
      </c>
      <c r="IO77" s="12" t="s">
        <v>37</v>
      </c>
      <c r="IP77" s="12" t="s">
        <v>37</v>
      </c>
      <c r="IQ77" s="13" t="s">
        <v>37</v>
      </c>
      <c r="IV77" s="32" t="s">
        <v>327</v>
      </c>
      <c r="IW77" s="12">
        <f>(2.55+2.55)/2</f>
        <v>2.5499999999999998</v>
      </c>
      <c r="IX77" s="12">
        <f>SQRT(0.017^2+0.087^2)/2</f>
        <v>4.4322680424360612E-2</v>
      </c>
      <c r="IY77" s="13">
        <v>3</v>
      </c>
      <c r="IZ77" s="19">
        <f t="shared" si="147"/>
        <v>1.7381443303670828E-2</v>
      </c>
      <c r="JA77" s="12">
        <f>(2.8+2.5)/2</f>
        <v>2.65</v>
      </c>
      <c r="JB77" s="12">
        <f>SQRT(0.09^2+0.066^2)/2</f>
        <v>5.5803225713214825E-2</v>
      </c>
      <c r="JC77" s="13">
        <v>3</v>
      </c>
      <c r="JD77" s="19">
        <f t="shared" ref="JD77:JD78" si="256">JB77/JA77</f>
        <v>2.1057821023854652E-2</v>
      </c>
      <c r="JE77" s="19">
        <f t="shared" ref="JE77:JE78" si="257">LN(JA77/IW77)</f>
        <v>3.8466280827796143E-2</v>
      </c>
      <c r="JF77" s="19">
        <f t="shared" ref="JF77:JF78" si="258">JB77^2/(JC77*JA77^2)+IX77^2/(IY77*IW77^2)</f>
        <v>2.4851546586380618E-4</v>
      </c>
      <c r="JH77" s="12" t="s">
        <v>37</v>
      </c>
      <c r="JI77" s="12" t="s">
        <v>37</v>
      </c>
      <c r="JJ77" s="13" t="s">
        <v>37</v>
      </c>
      <c r="JL77" s="12" t="s">
        <v>37</v>
      </c>
      <c r="JM77" s="12" t="s">
        <v>37</v>
      </c>
      <c r="JN77" s="12" t="s">
        <v>37</v>
      </c>
      <c r="JS77" s="12" t="s">
        <v>37</v>
      </c>
      <c r="JT77" s="12" t="s">
        <v>37</v>
      </c>
      <c r="JU77" s="13" t="s">
        <v>37</v>
      </c>
      <c r="JW77" s="12" t="s">
        <v>37</v>
      </c>
      <c r="JX77" s="12" t="s">
        <v>37</v>
      </c>
      <c r="JY77" s="12" t="s">
        <v>37</v>
      </c>
      <c r="KE77" s="11" t="s">
        <v>37</v>
      </c>
      <c r="KF77" s="11" t="s">
        <v>37</v>
      </c>
      <c r="KG77" s="13" t="s">
        <v>37</v>
      </c>
      <c r="KH77" s="11" t="s">
        <v>37</v>
      </c>
      <c r="KI77" s="11" t="s">
        <v>37</v>
      </c>
      <c r="KJ77" s="11" t="s">
        <v>37</v>
      </c>
      <c r="KK77" s="12" t="s">
        <v>42</v>
      </c>
      <c r="KL77" s="32" t="s">
        <v>872</v>
      </c>
      <c r="KM77" s="12">
        <f>(8.6+9)/2</f>
        <v>8.8000000000000007</v>
      </c>
      <c r="KN77" s="12">
        <f>SQRT(0.37^2+1^2)/2</f>
        <v>0.53312756447214393</v>
      </c>
      <c r="KO77" s="11">
        <v>3</v>
      </c>
      <c r="KP77" s="19">
        <f>KN77/KM77</f>
        <v>6.0582677780925444E-2</v>
      </c>
      <c r="KQ77" s="12">
        <f>(11.9+8.7)/2</f>
        <v>10.3</v>
      </c>
      <c r="KR77" s="12">
        <f>SQRT(2.5^2+0.65^2)/2</f>
        <v>1.2915591353089491</v>
      </c>
      <c r="KS77" s="13">
        <v>3</v>
      </c>
      <c r="KT77" s="19">
        <f>KR77/KQ77</f>
        <v>0.12539409080669409</v>
      </c>
      <c r="KU77" s="19">
        <f t="shared" ref="KU77:KU78" si="259">LN(KQ77/KM77)</f>
        <v>0.15739217375142928</v>
      </c>
      <c r="KV77" s="19">
        <f t="shared" ref="KV77:KV78" si="260">KR77^2/(KS77*KQ77^2)+KN77^2/(KO77*KM77^2)</f>
        <v>6.4646462854482918E-3</v>
      </c>
      <c r="KX77" s="12" t="s">
        <v>37</v>
      </c>
      <c r="KY77" s="12" t="s">
        <v>37</v>
      </c>
      <c r="KZ77" s="13" t="s">
        <v>37</v>
      </c>
      <c r="LB77" s="12" t="s">
        <v>37</v>
      </c>
      <c r="LC77" s="12" t="s">
        <v>37</v>
      </c>
      <c r="LD77" s="13" t="s">
        <v>37</v>
      </c>
      <c r="LI77" s="12" t="s">
        <v>37</v>
      </c>
      <c r="LJ77" s="12" t="s">
        <v>37</v>
      </c>
      <c r="LK77" s="12" t="s">
        <v>37</v>
      </c>
      <c r="LM77" s="12" t="s">
        <v>37</v>
      </c>
      <c r="LN77" s="12" t="s">
        <v>37</v>
      </c>
      <c r="LO77" s="12" t="s">
        <v>37</v>
      </c>
      <c r="LT77" s="12" t="str">
        <f t="shared" ref="LT77:LT78" si="261">KL77</f>
        <v>0-15</v>
      </c>
      <c r="LU77" s="12">
        <f>AT77/KM77</f>
        <v>53.056818181818173</v>
      </c>
      <c r="LV77" s="12">
        <f>SQRT((1/KM77)^2*AU77^2+AT77^2*(-1/KM77^2)^2*KN77^2)</f>
        <v>3.3859122110341775</v>
      </c>
      <c r="LW77" s="13">
        <f t="shared" ref="LW77:LW78" si="262">KO77</f>
        <v>3</v>
      </c>
      <c r="LX77" s="19">
        <f>LV77/LU77</f>
        <v>6.3816721904263796E-2</v>
      </c>
      <c r="LY77" s="12">
        <f>AX77/KQ77</f>
        <v>43.990291262135919</v>
      </c>
      <c r="LZ77" s="12">
        <f>SQRT((1/KQ77)^2*AY77^2+AX77^2*(-1/KQ77^2)^2*KR77^2)</f>
        <v>6.0804899495672871</v>
      </c>
      <c r="MA77" s="13">
        <f t="shared" ref="MA77:MA78" si="263">KS77</f>
        <v>3</v>
      </c>
      <c r="MB77" s="19">
        <f>LZ77/LY77</f>
        <v>0.1382234528372171</v>
      </c>
      <c r="MC77" s="19">
        <f t="shared" ref="MC77:MC78" si="264">LN(LY77/LU77)</f>
        <v>-0.18739442405522802</v>
      </c>
      <c r="MD77" s="19">
        <f t="shared" ref="MD77:MD78" si="265">LZ77^2/(MA77*LY77^2)+LV77^2/(LW77*LU77^2)</f>
        <v>7.7260989696161736E-3</v>
      </c>
      <c r="MF77" s="12" t="s">
        <v>37</v>
      </c>
      <c r="MG77" s="12" t="s">
        <v>37</v>
      </c>
      <c r="MH77" s="12" t="s">
        <v>37</v>
      </c>
      <c r="MJ77" s="12" t="s">
        <v>37</v>
      </c>
      <c r="MK77" s="12" t="s">
        <v>37</v>
      </c>
      <c r="ML77" s="12" t="s">
        <v>37</v>
      </c>
      <c r="MQ77" s="12" t="s">
        <v>37</v>
      </c>
      <c r="MR77" s="12" t="s">
        <v>37</v>
      </c>
      <c r="MS77" s="12" t="s">
        <v>37</v>
      </c>
      <c r="MU77" s="12" t="s">
        <v>37</v>
      </c>
      <c r="MV77" s="12" t="s">
        <v>37</v>
      </c>
      <c r="MW77" s="12" t="s">
        <v>37</v>
      </c>
      <c r="NA77" s="12" t="s">
        <v>102</v>
      </c>
      <c r="NB77" s="12" t="s">
        <v>327</v>
      </c>
      <c r="NC77" s="12">
        <f>(57.15+49.91)/2</f>
        <v>53.53</v>
      </c>
      <c r="ND77" s="12">
        <f>SQRT(7.91^2+1.42^2)/2</f>
        <v>4.0182241102258098</v>
      </c>
      <c r="NE77" s="13">
        <v>3</v>
      </c>
      <c r="NF77" s="19">
        <f t="shared" ref="NF77:NF78" si="266">ND77/NC77</f>
        <v>7.5064900247072852E-2</v>
      </c>
      <c r="NG77" s="12">
        <f>(24.65+21.41)/2</f>
        <v>23.03</v>
      </c>
      <c r="NH77" s="12">
        <f>SQRT(7.18^2+13.31^2)/2</f>
        <v>7.5615557261716981</v>
      </c>
      <c r="NI77" s="13">
        <v>3</v>
      </c>
      <c r="NJ77" s="19">
        <f t="shared" ref="NJ77:NJ78" si="267">NH77/NG77</f>
        <v>0.32833502936047321</v>
      </c>
      <c r="NK77" s="19">
        <f t="shared" ref="NK77:NK78" si="268">LN(NG77/NC77)</f>
        <v>-0.84344453057269597</v>
      </c>
      <c r="NL77" s="19">
        <f t="shared" ref="NL77:NL78" si="269">NH77^2/(NI77*NG77^2)+ND77^2/(NE77*NC77^2)</f>
        <v>3.7812876918081939E-2</v>
      </c>
      <c r="NM77" s="12" t="s">
        <v>102</v>
      </c>
      <c r="NN77" s="12" t="s">
        <v>327</v>
      </c>
      <c r="NO77" s="12">
        <f>(0.63+0.53)/2</f>
        <v>0.58000000000000007</v>
      </c>
      <c r="NP77" s="12">
        <f>SQRT(0.1^2+0.1^2)/2</f>
        <v>7.0710678118654766E-2</v>
      </c>
      <c r="NQ77" s="13">
        <v>3</v>
      </c>
      <c r="NR77" s="19">
        <f t="shared" ref="NR77:NR78" si="270">NP77/NO77</f>
        <v>0.12191496227354269</v>
      </c>
      <c r="NS77" s="12">
        <f>(4.73+0.84)/2</f>
        <v>2.7850000000000001</v>
      </c>
      <c r="NT77" s="12">
        <f>SQRT(5.63^2+0.45^2)/2</f>
        <v>2.823977691130013</v>
      </c>
      <c r="NU77" s="13">
        <v>3</v>
      </c>
      <c r="NV77" s="19">
        <f t="shared" ref="NV77:NV78" si="271">NT77/NS77</f>
        <v>1.0139955802980298</v>
      </c>
      <c r="NW77" s="19">
        <f t="shared" ref="NW77:NW78" si="272">LN(NS77/NO77)</f>
        <v>1.5689750488209193</v>
      </c>
      <c r="NX77" s="19">
        <f t="shared" ref="NX77:NX78" si="273">NT77^2/(NU77*NS77^2)+NP77^2/(NQ77*NO77^2)</f>
        <v>0.34768343163003246</v>
      </c>
      <c r="OA77" s="11" t="s">
        <v>37</v>
      </c>
      <c r="OB77" s="11" t="s">
        <v>37</v>
      </c>
      <c r="OC77" s="13" t="s">
        <v>37</v>
      </c>
      <c r="OE77" s="11" t="s">
        <v>37</v>
      </c>
      <c r="OF77" s="11" t="s">
        <v>37</v>
      </c>
      <c r="OG77" s="13" t="s">
        <v>37</v>
      </c>
      <c r="OM77" s="11" t="s">
        <v>37</v>
      </c>
      <c r="ON77" s="11" t="s">
        <v>37</v>
      </c>
      <c r="OO77" s="11" t="s">
        <v>37</v>
      </c>
      <c r="OP77" s="11" t="s">
        <v>37</v>
      </c>
      <c r="OQ77" s="11" t="s">
        <v>37</v>
      </c>
      <c r="OR77" s="11" t="s">
        <v>37</v>
      </c>
      <c r="OW77" s="11" t="s">
        <v>37</v>
      </c>
      <c r="OX77" s="11" t="s">
        <v>37</v>
      </c>
      <c r="OY77" s="13" t="s">
        <v>37</v>
      </c>
      <c r="OZ77" s="11" t="s">
        <v>37</v>
      </c>
      <c r="PA77" s="11" t="s">
        <v>37</v>
      </c>
      <c r="PB77" s="13" t="s">
        <v>37</v>
      </c>
      <c r="PG77" s="11" t="s">
        <v>37</v>
      </c>
      <c r="PH77" s="11" t="s">
        <v>37</v>
      </c>
      <c r="PI77" s="13" t="s">
        <v>37</v>
      </c>
      <c r="PJ77" s="11" t="s">
        <v>37</v>
      </c>
      <c r="PK77" s="11" t="s">
        <v>37</v>
      </c>
      <c r="PL77" s="13" t="s">
        <v>37</v>
      </c>
      <c r="PQ77" s="11" t="s">
        <v>37</v>
      </c>
      <c r="PR77" s="11" t="s">
        <v>37</v>
      </c>
      <c r="PS77" s="13" t="s">
        <v>37</v>
      </c>
      <c r="PT77" s="11" t="s">
        <v>37</v>
      </c>
      <c r="PU77" s="11" t="s">
        <v>37</v>
      </c>
      <c r="PV77" s="13" t="s">
        <v>37</v>
      </c>
      <c r="PZ77" s="12" t="s">
        <v>37</v>
      </c>
      <c r="QA77" s="12" t="s">
        <v>37</v>
      </c>
      <c r="QB77" s="11" t="s">
        <v>37</v>
      </c>
      <c r="QD77" s="12" t="s">
        <v>37</v>
      </c>
      <c r="QE77" s="12" t="s">
        <v>37</v>
      </c>
      <c r="QF77" s="12" t="s">
        <v>37</v>
      </c>
      <c r="QK77" s="12" t="s">
        <v>37</v>
      </c>
      <c r="QL77" s="12" t="s">
        <v>37</v>
      </c>
      <c r="QM77" s="12" t="s">
        <v>37</v>
      </c>
      <c r="QN77" s="12" t="s">
        <v>37</v>
      </c>
      <c r="QO77" s="12" t="s">
        <v>37</v>
      </c>
      <c r="QP77" s="12" t="s">
        <v>37</v>
      </c>
      <c r="QQ77" s="12"/>
      <c r="QR77" s="12"/>
      <c r="QU77" s="11" t="s">
        <v>37</v>
      </c>
      <c r="QV77" s="11" t="s">
        <v>37</v>
      </c>
      <c r="QW77" s="13" t="s">
        <v>37</v>
      </c>
      <c r="QX77" s="11" t="s">
        <v>37</v>
      </c>
      <c r="QY77" s="11" t="s">
        <v>37</v>
      </c>
      <c r="QZ77" s="13" t="s">
        <v>37</v>
      </c>
      <c r="RC77" s="12" t="s">
        <v>37</v>
      </c>
      <c r="RD77" s="12" t="s">
        <v>37</v>
      </c>
      <c r="RE77" s="13" t="s">
        <v>37</v>
      </c>
      <c r="RF77" s="12" t="s">
        <v>37</v>
      </c>
      <c r="RG77" s="12" t="s">
        <v>37</v>
      </c>
      <c r="RH77" s="13" t="s">
        <v>37</v>
      </c>
      <c r="RK77" s="11" t="s">
        <v>37</v>
      </c>
      <c r="RL77" s="11" t="s">
        <v>37</v>
      </c>
      <c r="RM77" s="11" t="s">
        <v>37</v>
      </c>
      <c r="RN77" s="11" t="s">
        <v>37</v>
      </c>
      <c r="RO77" s="11" t="s">
        <v>37</v>
      </c>
      <c r="RP77" s="11" t="s">
        <v>37</v>
      </c>
      <c r="RS77" s="11" t="s">
        <v>37</v>
      </c>
      <c r="RT77" s="11" t="s">
        <v>37</v>
      </c>
      <c r="RU77" s="11" t="s">
        <v>37</v>
      </c>
      <c r="RV77" s="11" t="s">
        <v>37</v>
      </c>
      <c r="RW77" s="11" t="s">
        <v>37</v>
      </c>
      <c r="RX77" s="11" t="s">
        <v>37</v>
      </c>
      <c r="SA77" s="11" t="s">
        <v>37</v>
      </c>
      <c r="SB77" s="11" t="s">
        <v>37</v>
      </c>
      <c r="SC77" s="13" t="s">
        <v>37</v>
      </c>
      <c r="SD77" s="11" t="s">
        <v>37</v>
      </c>
      <c r="SE77" s="11" t="s">
        <v>37</v>
      </c>
      <c r="SF77" s="13" t="s">
        <v>37</v>
      </c>
      <c r="SG77" s="12" t="s">
        <v>505</v>
      </c>
      <c r="SH77" s="12" t="s">
        <v>327</v>
      </c>
      <c r="SI77" s="12">
        <f>(178.1+214)/2</f>
        <v>196.05</v>
      </c>
      <c r="SJ77" s="12">
        <f>SQRT(27.06^2+62.9^2)/2</f>
        <v>34.236871936554017</v>
      </c>
      <c r="SK77" s="13">
        <v>3</v>
      </c>
      <c r="SL77" s="19">
        <f>SJ77/SI77</f>
        <v>0.17463336871488913</v>
      </c>
      <c r="SM77" s="12">
        <f>(88.34+62.89)/2</f>
        <v>75.615000000000009</v>
      </c>
      <c r="SN77" s="12">
        <f>SQRT(20.96^2+10.66^2)/2</f>
        <v>11.757520997217059</v>
      </c>
      <c r="SO77" s="13">
        <v>3</v>
      </c>
      <c r="SP77" s="19">
        <f>SN77/SM77</f>
        <v>0.15549191294342468</v>
      </c>
      <c r="SQ77" s="19">
        <f>LN(SM77/SI77)</f>
        <v>-0.95271505253563682</v>
      </c>
      <c r="SR77" s="19">
        <f>SN77^2/(SO77*SM77^2)+SJ77^2/(SK77*SI77^2)</f>
        <v>1.822484948650533E-2</v>
      </c>
      <c r="SU77" s="12" t="s">
        <v>37</v>
      </c>
      <c r="SV77" s="12" t="s">
        <v>37</v>
      </c>
      <c r="SW77" s="11" t="s">
        <v>37</v>
      </c>
      <c r="SX77" s="12" t="s">
        <v>37</v>
      </c>
      <c r="SY77" s="12" t="s">
        <v>37</v>
      </c>
      <c r="SZ77" s="11" t="s">
        <v>37</v>
      </c>
      <c r="TE77" s="12" t="s">
        <v>37</v>
      </c>
      <c r="TF77" s="12" t="s">
        <v>37</v>
      </c>
      <c r="TG77" s="11" t="s">
        <v>37</v>
      </c>
      <c r="TH77" s="12" t="s">
        <v>37</v>
      </c>
      <c r="TI77" s="12" t="s">
        <v>37</v>
      </c>
      <c r="TJ77" s="11" t="s">
        <v>37</v>
      </c>
      <c r="TO77" s="12" t="s">
        <v>37</v>
      </c>
      <c r="TP77" s="12" t="s">
        <v>37</v>
      </c>
      <c r="TQ77" s="11" t="s">
        <v>37</v>
      </c>
      <c r="TR77" s="12" t="s">
        <v>37</v>
      </c>
      <c r="TS77" s="12" t="s">
        <v>37</v>
      </c>
      <c r="TT77" s="11" t="s">
        <v>37</v>
      </c>
      <c r="TY77" s="12" t="s">
        <v>37</v>
      </c>
      <c r="TZ77" s="12" t="s">
        <v>37</v>
      </c>
      <c r="UA77" s="11" t="s">
        <v>37</v>
      </c>
      <c r="UB77" s="12" t="s">
        <v>37</v>
      </c>
      <c r="UC77" s="12" t="s">
        <v>37</v>
      </c>
      <c r="UD77" s="11" t="s">
        <v>37</v>
      </c>
      <c r="UI77" s="12" t="s">
        <v>37</v>
      </c>
      <c r="UJ77" s="12" t="s">
        <v>37</v>
      </c>
      <c r="UK77" s="13" t="s">
        <v>37</v>
      </c>
      <c r="UL77" s="12" t="s">
        <v>37</v>
      </c>
      <c r="UM77" s="12" t="s">
        <v>37</v>
      </c>
      <c r="UN77" s="13" t="s">
        <v>37</v>
      </c>
      <c r="UR77" s="12" t="s">
        <v>37</v>
      </c>
      <c r="US77" s="12" t="s">
        <v>37</v>
      </c>
      <c r="UT77" s="13" t="s">
        <v>37</v>
      </c>
      <c r="UU77" s="12" t="s">
        <v>37</v>
      </c>
      <c r="UV77" s="12" t="s">
        <v>37</v>
      </c>
      <c r="UW77" s="13" t="s">
        <v>37</v>
      </c>
      <c r="VB77" s="12" t="s">
        <v>37</v>
      </c>
      <c r="VC77" s="12" t="s">
        <v>37</v>
      </c>
      <c r="VD77" s="13" t="s">
        <v>37</v>
      </c>
      <c r="VE77" s="12" t="s">
        <v>37</v>
      </c>
      <c r="VF77" s="12" t="s">
        <v>37</v>
      </c>
      <c r="VG77" s="13" t="s">
        <v>37</v>
      </c>
      <c r="VI77" s="12" t="s">
        <v>37</v>
      </c>
      <c r="VJ77" s="12" t="s">
        <v>37</v>
      </c>
      <c r="VK77" s="13" t="s">
        <v>37</v>
      </c>
      <c r="VL77" s="12" t="s">
        <v>37</v>
      </c>
      <c r="VM77" s="12" t="s">
        <v>37</v>
      </c>
      <c r="VN77" s="13" t="s">
        <v>37</v>
      </c>
      <c r="VO77" s="12" t="s">
        <v>37</v>
      </c>
      <c r="VQ77" s="12" t="s">
        <v>37</v>
      </c>
      <c r="VR77" s="12" t="s">
        <v>37</v>
      </c>
      <c r="VS77" s="12" t="s">
        <v>37</v>
      </c>
      <c r="VT77" s="12" t="s">
        <v>37</v>
      </c>
      <c r="VU77" s="12" t="s">
        <v>37</v>
      </c>
      <c r="VV77" s="12" t="s">
        <v>37</v>
      </c>
      <c r="VW77" s="12"/>
      <c r="VX77" s="12"/>
      <c r="WA77" s="13" t="s">
        <v>37</v>
      </c>
      <c r="WB77" s="13" t="s">
        <v>37</v>
      </c>
      <c r="WC77" s="13" t="s">
        <v>37</v>
      </c>
      <c r="WD77" s="13" t="s">
        <v>37</v>
      </c>
      <c r="WE77" s="13" t="s">
        <v>37</v>
      </c>
      <c r="WF77" s="13" t="s">
        <v>37</v>
      </c>
    </row>
    <row r="78" spans="1:604" ht="18" customHeight="1" x14ac:dyDescent="0.4">
      <c r="A78" s="51">
        <v>14</v>
      </c>
      <c r="B78" s="15" t="s">
        <v>112</v>
      </c>
      <c r="C78" s="12" t="s">
        <v>26</v>
      </c>
      <c r="D78" s="12" t="s">
        <v>1050</v>
      </c>
      <c r="E78" s="40">
        <v>0.9</v>
      </c>
      <c r="F78" s="14">
        <v>0</v>
      </c>
      <c r="G78" s="14">
        <v>0</v>
      </c>
      <c r="H78" s="12" t="s">
        <v>113</v>
      </c>
      <c r="I78" s="29">
        <v>59.177</v>
      </c>
      <c r="J78" s="29">
        <v>27.199000000000002</v>
      </c>
      <c r="K78" s="12" t="s">
        <v>700</v>
      </c>
      <c r="L78" s="12" t="s">
        <v>701</v>
      </c>
      <c r="M78" s="13" t="s">
        <v>37</v>
      </c>
      <c r="N78" s="14" t="s">
        <v>37</v>
      </c>
      <c r="O78" s="14" t="s">
        <v>37</v>
      </c>
      <c r="P78" s="14" t="s">
        <v>84</v>
      </c>
      <c r="Q78" s="75" t="s">
        <v>326</v>
      </c>
      <c r="R78" s="11" t="s">
        <v>1000</v>
      </c>
      <c r="S78" s="12" t="s">
        <v>93</v>
      </c>
      <c r="T78" s="12" t="s">
        <v>141</v>
      </c>
      <c r="U78" s="12" t="s">
        <v>158</v>
      </c>
      <c r="V78" s="12" t="s">
        <v>275</v>
      </c>
      <c r="W78" s="23" t="s">
        <v>114</v>
      </c>
      <c r="X78" s="12" t="s">
        <v>281</v>
      </c>
      <c r="Y78" s="12" t="s">
        <v>69</v>
      </c>
      <c r="Z78" s="12" t="s">
        <v>37</v>
      </c>
      <c r="AA78" s="32" t="s">
        <v>327</v>
      </c>
      <c r="AB78" s="12">
        <f>(2.55+2.55)/2</f>
        <v>2.5499999999999998</v>
      </c>
      <c r="AC78" s="12" t="s">
        <v>42</v>
      </c>
      <c r="AD78" s="32" t="s">
        <v>327</v>
      </c>
      <c r="AE78" s="15">
        <f>(461.8+472)/2</f>
        <v>466.9</v>
      </c>
      <c r="AF78" s="12" t="s">
        <v>42</v>
      </c>
      <c r="AG78" s="32" t="s">
        <v>504</v>
      </c>
      <c r="AH78" s="12">
        <f>(8.6+9)/2</f>
        <v>8.8000000000000007</v>
      </c>
      <c r="AJ78" s="12" t="str">
        <f t="shared" si="248"/>
        <v>0-15</v>
      </c>
      <c r="AK78" s="19">
        <f t="shared" si="249"/>
        <v>53.056818181818173</v>
      </c>
      <c r="AL78" s="32" t="s">
        <v>503</v>
      </c>
      <c r="AM78" s="12" t="s">
        <v>317</v>
      </c>
      <c r="AN78" s="32" t="s">
        <v>881</v>
      </c>
      <c r="AO78" s="12" t="s">
        <v>37</v>
      </c>
      <c r="AP78" s="12" t="s">
        <v>238</v>
      </c>
      <c r="AQ78" s="12" t="s">
        <v>975</v>
      </c>
      <c r="AR78" s="12" t="s">
        <v>42</v>
      </c>
      <c r="AS78" s="32" t="s">
        <v>327</v>
      </c>
      <c r="AT78" s="15">
        <f>(461.8+472)/2</f>
        <v>466.9</v>
      </c>
      <c r="AU78" s="15">
        <f>SQRT(3.5^2+18.4^2)/2</f>
        <v>9.3649612919648515</v>
      </c>
      <c r="AV78" s="18">
        <v>3</v>
      </c>
      <c r="AW78" s="52">
        <f>AU78/AT78</f>
        <v>2.0057745324405338E-2</v>
      </c>
      <c r="AX78" s="15">
        <f>(464.2+460.1)/2</f>
        <v>462.15</v>
      </c>
      <c r="AY78" s="15">
        <f>SQRT(35.2^2+46.2^2)/2</f>
        <v>29.04083332137699</v>
      </c>
      <c r="AZ78" s="18">
        <v>3</v>
      </c>
      <c r="BA78" s="52">
        <f>AY78/AX78</f>
        <v>6.2838544458242981E-2</v>
      </c>
      <c r="BB78" s="52">
        <f t="shared" si="250"/>
        <v>-1.0225588266104767E-2</v>
      </c>
      <c r="BC78" s="19">
        <f t="shared" si="251"/>
        <v>1.4503319390430946E-3</v>
      </c>
      <c r="BE78" s="12" t="s">
        <v>326</v>
      </c>
      <c r="BF78" s="12" t="s">
        <v>326</v>
      </c>
      <c r="BG78" s="12" t="s">
        <v>326</v>
      </c>
      <c r="BI78" s="12" t="s">
        <v>326</v>
      </c>
      <c r="BJ78" s="12" t="s">
        <v>326</v>
      </c>
      <c r="BK78" s="12" t="s">
        <v>326</v>
      </c>
      <c r="BP78" s="12" t="s">
        <v>37</v>
      </c>
      <c r="BQ78" s="12" t="s">
        <v>37</v>
      </c>
      <c r="BR78" s="13" t="s">
        <v>37</v>
      </c>
      <c r="BT78" s="12" t="s">
        <v>37</v>
      </c>
      <c r="BU78" s="12" t="s">
        <v>37</v>
      </c>
      <c r="BV78" s="12" t="s">
        <v>37</v>
      </c>
      <c r="CA78" s="15" t="s">
        <v>37</v>
      </c>
      <c r="CB78" s="15" t="s">
        <v>37</v>
      </c>
      <c r="CC78" s="18" t="s">
        <v>37</v>
      </c>
      <c r="CD78" s="52"/>
      <c r="CE78" s="15" t="s">
        <v>37</v>
      </c>
      <c r="CF78" s="15" t="s">
        <v>37</v>
      </c>
      <c r="CG78" s="18" t="s">
        <v>37</v>
      </c>
      <c r="CH78" s="52"/>
      <c r="CJ78" s="12"/>
      <c r="CN78" s="15" t="s">
        <v>37</v>
      </c>
      <c r="CO78" s="15" t="s">
        <v>37</v>
      </c>
      <c r="CP78" s="18" t="s">
        <v>37</v>
      </c>
      <c r="CQ78" s="52"/>
      <c r="CR78" s="15" t="s">
        <v>37</v>
      </c>
      <c r="CS78" s="15" t="s">
        <v>37</v>
      </c>
      <c r="CT78" s="18" t="s">
        <v>37</v>
      </c>
      <c r="CU78" s="52"/>
      <c r="CX78" s="72"/>
      <c r="CY78" s="72"/>
      <c r="DA78" s="15" t="s">
        <v>37</v>
      </c>
      <c r="DB78" s="15" t="s">
        <v>37</v>
      </c>
      <c r="DC78" s="18" t="s">
        <v>37</v>
      </c>
      <c r="DD78" s="52"/>
      <c r="DE78" s="15" t="s">
        <v>37</v>
      </c>
      <c r="DF78" s="15" t="s">
        <v>37</v>
      </c>
      <c r="DG78" s="18" t="s">
        <v>37</v>
      </c>
      <c r="DH78" s="52"/>
      <c r="DM78" s="12" t="s">
        <v>47</v>
      </c>
      <c r="DN78" s="52">
        <f>22.33*10^4/10^6*("2009/12/31"-"2009/04/01")*16/12/'[1]classes-1'!$I$98</f>
        <v>107.85213477594468</v>
      </c>
      <c r="DO78" s="15">
        <f>DO77</f>
        <v>101.11467674058741</v>
      </c>
      <c r="DP78" s="13">
        <v>6</v>
      </c>
      <c r="DQ78" s="19">
        <f t="shared" si="252"/>
        <v>0.93753060104601671</v>
      </c>
      <c r="DR78" s="52">
        <f>8.53*10^4/10^6*("2009/12/31"-"2009/04/01")*16/12/'[1]classes-1'!$I$99</f>
        <v>23.372199999999999</v>
      </c>
      <c r="DS78" s="15">
        <f>SQRT((1/[2]Classes!$I$99)^2*(5.5*10^4/10^6*("2009/12/31"-"2009/04/01")*16/12)^2+(-DR78/([2]Classes!$I$99)^2)^2*([2]Classes!$I$99)^2)</f>
        <v>23.116574134644171</v>
      </c>
      <c r="DT78" s="18">
        <v>6</v>
      </c>
      <c r="DU78" s="19">
        <f t="shared" si="253"/>
        <v>0.98906282398080503</v>
      </c>
      <c r="DV78" s="19">
        <f t="shared" si="254"/>
        <v>-84.479934775944685</v>
      </c>
      <c r="DW78" s="12">
        <f t="shared" si="255"/>
        <v>73.343554086490755</v>
      </c>
      <c r="DX78" s="72">
        <f t="shared" si="196"/>
        <v>1793.0923086793314</v>
      </c>
      <c r="DY78" s="72">
        <f t="shared" si="197"/>
        <v>1793.0923086793314</v>
      </c>
      <c r="DZ78" s="15"/>
      <c r="EA78" s="19" t="s">
        <v>37</v>
      </c>
      <c r="EB78" s="19" t="s">
        <v>37</v>
      </c>
      <c r="EC78" s="72" t="s">
        <v>37</v>
      </c>
      <c r="EE78" s="19" t="s">
        <v>37</v>
      </c>
      <c r="EF78" s="19" t="s">
        <v>37</v>
      </c>
      <c r="EG78" s="12" t="s">
        <v>37</v>
      </c>
      <c r="EM78" s="12" t="s">
        <v>39</v>
      </c>
      <c r="EN78" s="12">
        <f>(-4.5-4.5)/2</f>
        <v>-4.5</v>
      </c>
      <c r="EO78" s="12">
        <f>SQRT(3.6^2+4.2^2)/2</f>
        <v>2.7658633371878665</v>
      </c>
      <c r="EP78" s="13">
        <v>2</v>
      </c>
      <c r="EQ78" s="19">
        <f t="shared" si="139"/>
        <v>0.61463629715285917</v>
      </c>
      <c r="ER78" s="12">
        <f>(-15.2-13.4)/2</f>
        <v>-14.3</v>
      </c>
      <c r="ES78" s="12">
        <f>SQRT(5.9^2+6.2^2)/2</f>
        <v>4.2793106921559225</v>
      </c>
      <c r="ET78" s="13">
        <v>2</v>
      </c>
      <c r="EU78" s="19">
        <f t="shared" si="140"/>
        <v>0.29925249595495962</v>
      </c>
      <c r="EV78" s="19">
        <f t="shared" si="141"/>
        <v>-9.8000000000000007</v>
      </c>
      <c r="EW78" s="12">
        <f t="shared" si="142"/>
        <v>3.6029501800607791</v>
      </c>
      <c r="EX78" s="19">
        <f t="shared" si="143"/>
        <v>12.981250000000001</v>
      </c>
      <c r="EY78" s="19">
        <f t="shared" si="144"/>
        <v>12.981250000000001</v>
      </c>
      <c r="FB78" s="11" t="s">
        <v>37</v>
      </c>
      <c r="FC78" s="11" t="s">
        <v>37</v>
      </c>
      <c r="FD78" s="11" t="s">
        <v>37</v>
      </c>
      <c r="FE78" s="12" t="s">
        <v>37</v>
      </c>
      <c r="FF78" s="20" t="s">
        <v>37</v>
      </c>
      <c r="FG78" s="11" t="s">
        <v>37</v>
      </c>
      <c r="FI78" s="11" t="s">
        <v>37</v>
      </c>
      <c r="FJ78" s="11" t="s">
        <v>37</v>
      </c>
      <c r="FK78" s="11" t="s">
        <v>37</v>
      </c>
      <c r="FL78" s="13" t="s">
        <v>37</v>
      </c>
      <c r="FM78" s="11" t="s">
        <v>37</v>
      </c>
      <c r="FN78" s="11" t="s">
        <v>37</v>
      </c>
      <c r="FP78" s="11" t="s">
        <v>37</v>
      </c>
      <c r="FQ78" s="11" t="s">
        <v>37</v>
      </c>
      <c r="FR78" s="11" t="s">
        <v>37</v>
      </c>
      <c r="FS78" s="13" t="s">
        <v>37</v>
      </c>
      <c r="FT78" s="11" t="s">
        <v>37</v>
      </c>
      <c r="FU78" s="11" t="s">
        <v>37</v>
      </c>
      <c r="FW78" s="11" t="s">
        <v>37</v>
      </c>
      <c r="FX78" s="11" t="s">
        <v>37</v>
      </c>
      <c r="FY78" s="11" t="s">
        <v>37</v>
      </c>
      <c r="FZ78" s="13" t="s">
        <v>37</v>
      </c>
      <c r="GA78" s="11" t="s">
        <v>37</v>
      </c>
      <c r="GB78" s="11" t="s">
        <v>37</v>
      </c>
      <c r="IK78" s="12" t="s">
        <v>37</v>
      </c>
      <c r="IL78" s="12" t="s">
        <v>37</v>
      </c>
      <c r="IM78" s="13" t="s">
        <v>37</v>
      </c>
      <c r="IO78" s="12" t="s">
        <v>37</v>
      </c>
      <c r="IP78" s="12" t="s">
        <v>37</v>
      </c>
      <c r="IQ78" s="13" t="s">
        <v>37</v>
      </c>
      <c r="IV78" s="32" t="s">
        <v>327</v>
      </c>
      <c r="IW78" s="12">
        <f>(2.55+2.55)/2</f>
        <v>2.5499999999999998</v>
      </c>
      <c r="IX78" s="12">
        <f>SQRT(0.017^2+0.087^2)/2</f>
        <v>4.4322680424360612E-2</v>
      </c>
      <c r="IY78" s="13">
        <v>3</v>
      </c>
      <c r="IZ78" s="19">
        <f t="shared" si="147"/>
        <v>1.7381443303670828E-2</v>
      </c>
      <c r="JA78" s="12">
        <f>(2.59+2.76)/2</f>
        <v>2.6749999999999998</v>
      </c>
      <c r="JB78" s="12">
        <f>SQRT(0.031^2+0.13^2)/2</f>
        <v>6.6822526142012922E-2</v>
      </c>
      <c r="JC78" s="13">
        <v>3</v>
      </c>
      <c r="JD78" s="19">
        <f t="shared" si="256"/>
        <v>2.4980383604490813E-2</v>
      </c>
      <c r="JE78" s="19">
        <f t="shared" si="257"/>
        <v>4.7856021177635141E-2</v>
      </c>
      <c r="JF78" s="19">
        <f t="shared" si="258"/>
        <v>3.0871137878207898E-4</v>
      </c>
      <c r="JH78" s="12" t="s">
        <v>37</v>
      </c>
      <c r="JI78" s="12" t="s">
        <v>37</v>
      </c>
      <c r="JJ78" s="13" t="s">
        <v>37</v>
      </c>
      <c r="JL78" s="12" t="s">
        <v>37</v>
      </c>
      <c r="JM78" s="12" t="s">
        <v>37</v>
      </c>
      <c r="JN78" s="12" t="s">
        <v>37</v>
      </c>
      <c r="JS78" s="12" t="s">
        <v>37</v>
      </c>
      <c r="JT78" s="12" t="s">
        <v>37</v>
      </c>
      <c r="JU78" s="13" t="s">
        <v>37</v>
      </c>
      <c r="JW78" s="12" t="s">
        <v>37</v>
      </c>
      <c r="JX78" s="12" t="s">
        <v>37</v>
      </c>
      <c r="JY78" s="12" t="s">
        <v>37</v>
      </c>
      <c r="KE78" s="11" t="s">
        <v>37</v>
      </c>
      <c r="KF78" s="11" t="s">
        <v>37</v>
      </c>
      <c r="KG78" s="13" t="s">
        <v>37</v>
      </c>
      <c r="KH78" s="11" t="s">
        <v>37</v>
      </c>
      <c r="KI78" s="11" t="s">
        <v>37</v>
      </c>
      <c r="KJ78" s="11" t="s">
        <v>37</v>
      </c>
      <c r="KK78" s="12" t="s">
        <v>42</v>
      </c>
      <c r="KL78" s="32" t="s">
        <v>504</v>
      </c>
      <c r="KM78" s="12">
        <f>(8.6+9)/2</f>
        <v>8.8000000000000007</v>
      </c>
      <c r="KN78" s="12">
        <f>SQRT(0.37^2+1^2)/2</f>
        <v>0.53312756447214393</v>
      </c>
      <c r="KO78" s="11">
        <v>3</v>
      </c>
      <c r="KP78" s="19">
        <f t="shared" ref="KP78" si="274">KN78/KM78</f>
        <v>6.0582677780925444E-2</v>
      </c>
      <c r="KQ78" s="12">
        <f>(10.4+10.9)/2</f>
        <v>10.65</v>
      </c>
      <c r="KR78" s="12">
        <f>SQRT(0.17^2+1.1^2)/2</f>
        <v>0.55652942419965545</v>
      </c>
      <c r="KS78" s="13">
        <v>3</v>
      </c>
      <c r="KT78" s="19">
        <f>KR78/KQ78</f>
        <v>5.2256283962408959E-2</v>
      </c>
      <c r="KU78" s="19">
        <f t="shared" si="259"/>
        <v>0.19080817067127331</v>
      </c>
      <c r="KV78" s="19">
        <f t="shared" si="260"/>
        <v>2.1336600202224521E-3</v>
      </c>
      <c r="KX78" s="12" t="s">
        <v>37</v>
      </c>
      <c r="KY78" s="12" t="s">
        <v>37</v>
      </c>
      <c r="KZ78" s="13" t="s">
        <v>37</v>
      </c>
      <c r="LB78" s="12" t="s">
        <v>37</v>
      </c>
      <c r="LC78" s="12" t="s">
        <v>37</v>
      </c>
      <c r="LD78" s="13" t="s">
        <v>37</v>
      </c>
      <c r="LI78" s="12" t="s">
        <v>37</v>
      </c>
      <c r="LJ78" s="12" t="s">
        <v>37</v>
      </c>
      <c r="LK78" s="12" t="s">
        <v>37</v>
      </c>
      <c r="LM78" s="12" t="s">
        <v>37</v>
      </c>
      <c r="LN78" s="12" t="s">
        <v>37</v>
      </c>
      <c r="LO78" s="12" t="s">
        <v>37</v>
      </c>
      <c r="LT78" s="12" t="str">
        <f t="shared" si="261"/>
        <v>0.15</v>
      </c>
      <c r="LU78" s="12">
        <f>AT78/KM78</f>
        <v>53.056818181818173</v>
      </c>
      <c r="LV78" s="12">
        <f>SQRT((1/KM78)^2*AU78^2+AT78^2*(-1/KM78^2)^2*KN78^2)</f>
        <v>3.3859122110341775</v>
      </c>
      <c r="LW78" s="13">
        <f t="shared" si="262"/>
        <v>3</v>
      </c>
      <c r="LX78" s="19">
        <f>LV78/LU78</f>
        <v>6.3816721904263796E-2</v>
      </c>
      <c r="LY78" s="12">
        <f>AX78/KQ78</f>
        <v>43.394366197183096</v>
      </c>
      <c r="LZ78" s="12">
        <f>SQRT((1/KQ78)^2*AY78^2+AX78^2*(-1/KQ78^2)^2*KR78^2)</f>
        <v>3.5465177430132462</v>
      </c>
      <c r="MA78" s="13">
        <f t="shared" si="263"/>
        <v>3</v>
      </c>
      <c r="MB78" s="19">
        <f>LZ78/LY78</f>
        <v>8.1727607839643127E-2</v>
      </c>
      <c r="MC78" s="19">
        <f t="shared" si="264"/>
        <v>-0.20103375893737793</v>
      </c>
      <c r="MD78" s="19">
        <f t="shared" si="265"/>
        <v>3.5839919592655471E-3</v>
      </c>
      <c r="MF78" s="12" t="s">
        <v>37</v>
      </c>
      <c r="MG78" s="12" t="s">
        <v>37</v>
      </c>
      <c r="MH78" s="12" t="s">
        <v>37</v>
      </c>
      <c r="MJ78" s="12" t="s">
        <v>37</v>
      </c>
      <c r="MK78" s="12" t="s">
        <v>37</v>
      </c>
      <c r="ML78" s="12" t="s">
        <v>37</v>
      </c>
      <c r="MQ78" s="12" t="s">
        <v>37</v>
      </c>
      <c r="MR78" s="12" t="s">
        <v>37</v>
      </c>
      <c r="MS78" s="12" t="s">
        <v>37</v>
      </c>
      <c r="MU78" s="12" t="s">
        <v>37</v>
      </c>
      <c r="MV78" s="12" t="s">
        <v>37</v>
      </c>
      <c r="MW78" s="12" t="s">
        <v>37</v>
      </c>
      <c r="NA78" s="12" t="s">
        <v>102</v>
      </c>
      <c r="NB78" s="12" t="s">
        <v>327</v>
      </c>
      <c r="NC78" s="12">
        <f>(57.15+49.91)/2</f>
        <v>53.53</v>
      </c>
      <c r="ND78" s="12">
        <f>SQRT(7.91^2+1.42^2)/2</f>
        <v>4.0182241102258098</v>
      </c>
      <c r="NE78" s="13">
        <v>3</v>
      </c>
      <c r="NF78" s="19">
        <f t="shared" si="266"/>
        <v>7.5064900247072852E-2</v>
      </c>
      <c r="NG78" s="12">
        <f>(22.74+22.16)/2</f>
        <v>22.45</v>
      </c>
      <c r="NH78" s="12">
        <f>SQRT(11.09^2+13.96^2)/2</f>
        <v>8.9144503476097725</v>
      </c>
      <c r="NI78" s="13">
        <v>3</v>
      </c>
      <c r="NJ78" s="19">
        <f t="shared" si="267"/>
        <v>0.3970801936574509</v>
      </c>
      <c r="NK78" s="19">
        <f t="shared" si="268"/>
        <v>-0.8689516302170267</v>
      </c>
      <c r="NL78" s="19">
        <f t="shared" si="269"/>
        <v>5.4435806481380578E-2</v>
      </c>
      <c r="NM78" s="12" t="s">
        <v>102</v>
      </c>
      <c r="NN78" s="12" t="s">
        <v>327</v>
      </c>
      <c r="NO78" s="12">
        <f>(0.63+0.53)/2</f>
        <v>0.58000000000000007</v>
      </c>
      <c r="NP78" s="12">
        <f>SQRT(0.1^2+0.1^2)/2</f>
        <v>7.0710678118654766E-2</v>
      </c>
      <c r="NQ78" s="13">
        <v>3</v>
      </c>
      <c r="NR78" s="19">
        <f t="shared" si="270"/>
        <v>0.12191496227354269</v>
      </c>
      <c r="NS78" s="12">
        <f>(0.63+0.4)/2</f>
        <v>0.51500000000000001</v>
      </c>
      <c r="NT78" s="12">
        <f>SQRT(0.14^2+0.19^2)/2</f>
        <v>0.11800423721205947</v>
      </c>
      <c r="NU78" s="13">
        <v>3</v>
      </c>
      <c r="NV78" s="19">
        <f t="shared" si="271"/>
        <v>0.22913444118846499</v>
      </c>
      <c r="NW78" s="19">
        <f t="shared" si="272"/>
        <v>-0.11886120287672894</v>
      </c>
      <c r="NX78" s="19">
        <f t="shared" si="273"/>
        <v>2.2455283388303153E-2</v>
      </c>
      <c r="OA78" s="11" t="s">
        <v>37</v>
      </c>
      <c r="OB78" s="11" t="s">
        <v>37</v>
      </c>
      <c r="OC78" s="13" t="s">
        <v>37</v>
      </c>
      <c r="OE78" s="11" t="s">
        <v>37</v>
      </c>
      <c r="OF78" s="11" t="s">
        <v>37</v>
      </c>
      <c r="OG78" s="13" t="s">
        <v>37</v>
      </c>
      <c r="OM78" s="11" t="s">
        <v>37</v>
      </c>
      <c r="ON78" s="11" t="s">
        <v>37</v>
      </c>
      <c r="OO78" s="11" t="s">
        <v>37</v>
      </c>
      <c r="OP78" s="11" t="s">
        <v>37</v>
      </c>
      <c r="OQ78" s="11" t="s">
        <v>37</v>
      </c>
      <c r="OR78" s="11" t="s">
        <v>37</v>
      </c>
      <c r="OW78" s="11" t="s">
        <v>37</v>
      </c>
      <c r="OX78" s="11" t="s">
        <v>37</v>
      </c>
      <c r="OY78" s="13" t="s">
        <v>37</v>
      </c>
      <c r="OZ78" s="11" t="s">
        <v>37</v>
      </c>
      <c r="PA78" s="11" t="s">
        <v>37</v>
      </c>
      <c r="PB78" s="13" t="s">
        <v>37</v>
      </c>
      <c r="PG78" s="11" t="s">
        <v>37</v>
      </c>
      <c r="PH78" s="11" t="s">
        <v>37</v>
      </c>
      <c r="PI78" s="13" t="s">
        <v>37</v>
      </c>
      <c r="PJ78" s="11" t="s">
        <v>37</v>
      </c>
      <c r="PK78" s="11" t="s">
        <v>37</v>
      </c>
      <c r="PL78" s="13" t="s">
        <v>37</v>
      </c>
      <c r="PQ78" s="11" t="s">
        <v>37</v>
      </c>
      <c r="PR78" s="11" t="s">
        <v>37</v>
      </c>
      <c r="PS78" s="13" t="s">
        <v>37</v>
      </c>
      <c r="PT78" s="11" t="s">
        <v>37</v>
      </c>
      <c r="PU78" s="11" t="s">
        <v>37</v>
      </c>
      <c r="PV78" s="13" t="s">
        <v>37</v>
      </c>
      <c r="PZ78" s="12" t="s">
        <v>37</v>
      </c>
      <c r="QA78" s="12" t="s">
        <v>37</v>
      </c>
      <c r="QB78" s="11" t="s">
        <v>37</v>
      </c>
      <c r="QD78" s="12" t="s">
        <v>37</v>
      </c>
      <c r="QE78" s="12" t="s">
        <v>37</v>
      </c>
      <c r="QF78" s="12" t="s">
        <v>37</v>
      </c>
      <c r="QK78" s="12" t="s">
        <v>37</v>
      </c>
      <c r="QL78" s="12" t="s">
        <v>37</v>
      </c>
      <c r="QM78" s="12" t="s">
        <v>37</v>
      </c>
      <c r="QN78" s="12" t="s">
        <v>37</v>
      </c>
      <c r="QO78" s="12" t="s">
        <v>37</v>
      </c>
      <c r="QP78" s="12" t="s">
        <v>37</v>
      </c>
      <c r="QQ78" s="12"/>
      <c r="QR78" s="12"/>
      <c r="QU78" s="11" t="s">
        <v>37</v>
      </c>
      <c r="QV78" s="11" t="s">
        <v>37</v>
      </c>
      <c r="QW78" s="13" t="s">
        <v>37</v>
      </c>
      <c r="QX78" s="11" t="s">
        <v>37</v>
      </c>
      <c r="QY78" s="11" t="s">
        <v>37</v>
      </c>
      <c r="QZ78" s="13" t="s">
        <v>37</v>
      </c>
      <c r="RC78" s="12" t="s">
        <v>37</v>
      </c>
      <c r="RD78" s="12" t="s">
        <v>37</v>
      </c>
      <c r="RE78" s="13" t="s">
        <v>37</v>
      </c>
      <c r="RF78" s="12" t="s">
        <v>37</v>
      </c>
      <c r="RG78" s="12" t="s">
        <v>37</v>
      </c>
      <c r="RH78" s="13" t="s">
        <v>37</v>
      </c>
      <c r="RK78" s="11" t="s">
        <v>37</v>
      </c>
      <c r="RL78" s="11" t="s">
        <v>37</v>
      </c>
      <c r="RM78" s="11" t="s">
        <v>37</v>
      </c>
      <c r="RN78" s="11" t="s">
        <v>37</v>
      </c>
      <c r="RO78" s="11" t="s">
        <v>37</v>
      </c>
      <c r="RP78" s="11" t="s">
        <v>37</v>
      </c>
      <c r="RS78" s="11" t="s">
        <v>37</v>
      </c>
      <c r="RT78" s="11" t="s">
        <v>37</v>
      </c>
      <c r="RU78" s="11" t="s">
        <v>37</v>
      </c>
      <c r="RV78" s="11" t="s">
        <v>37</v>
      </c>
      <c r="RW78" s="11" t="s">
        <v>37</v>
      </c>
      <c r="RX78" s="11" t="s">
        <v>37</v>
      </c>
      <c r="SA78" s="11" t="s">
        <v>37</v>
      </c>
      <c r="SB78" s="11" t="s">
        <v>37</v>
      </c>
      <c r="SC78" s="13" t="s">
        <v>37</v>
      </c>
      <c r="SD78" s="11" t="s">
        <v>37</v>
      </c>
      <c r="SE78" s="11" t="s">
        <v>37</v>
      </c>
      <c r="SF78" s="13" t="s">
        <v>37</v>
      </c>
      <c r="SG78" s="12" t="s">
        <v>505</v>
      </c>
      <c r="SH78" s="12" t="s">
        <v>327</v>
      </c>
      <c r="SI78" s="12">
        <f>(178.1+214)/2</f>
        <v>196.05</v>
      </c>
      <c r="SJ78" s="12">
        <f>SQRT(27.06^2+62.9^2)/2</f>
        <v>34.236871936554017</v>
      </c>
      <c r="SK78" s="13">
        <v>3</v>
      </c>
      <c r="SL78" s="19">
        <f>SJ78/SI78</f>
        <v>0.17463336871488913</v>
      </c>
      <c r="SM78" s="12">
        <f>(138.5+120.48)/2</f>
        <v>129.49</v>
      </c>
      <c r="SN78" s="12">
        <f>SQRT(7.33^2+24.52^2)/2</f>
        <v>12.796086315745139</v>
      </c>
      <c r="SO78" s="13">
        <v>3</v>
      </c>
      <c r="SP78" s="19">
        <f>SN78/SM78</f>
        <v>9.8819108160824301E-2</v>
      </c>
      <c r="SQ78" s="19">
        <f>LN(SM78/SI78)</f>
        <v>-0.41476607065759186</v>
      </c>
      <c r="SR78" s="19">
        <f>SN78^2/(SO78*SM78^2)+SJ78^2/(SK78*SI78^2)</f>
        <v>1.3420676535470374E-2</v>
      </c>
      <c r="SU78" s="12" t="s">
        <v>37</v>
      </c>
      <c r="SV78" s="12" t="s">
        <v>37</v>
      </c>
      <c r="SW78" s="11" t="s">
        <v>37</v>
      </c>
      <c r="SX78" s="12" t="s">
        <v>37</v>
      </c>
      <c r="SY78" s="12" t="s">
        <v>37</v>
      </c>
      <c r="SZ78" s="11" t="s">
        <v>37</v>
      </c>
      <c r="TE78" s="12" t="s">
        <v>37</v>
      </c>
      <c r="TF78" s="12" t="s">
        <v>37</v>
      </c>
      <c r="TG78" s="11" t="s">
        <v>37</v>
      </c>
      <c r="TH78" s="12" t="s">
        <v>37</v>
      </c>
      <c r="TI78" s="12" t="s">
        <v>37</v>
      </c>
      <c r="TJ78" s="11" t="s">
        <v>37</v>
      </c>
      <c r="TO78" s="12" t="s">
        <v>37</v>
      </c>
      <c r="TP78" s="12" t="s">
        <v>37</v>
      </c>
      <c r="TQ78" s="11" t="s">
        <v>37</v>
      </c>
      <c r="TR78" s="12" t="s">
        <v>37</v>
      </c>
      <c r="TS78" s="12" t="s">
        <v>37</v>
      </c>
      <c r="TT78" s="11" t="s">
        <v>37</v>
      </c>
      <c r="TY78" s="12" t="s">
        <v>37</v>
      </c>
      <c r="TZ78" s="12" t="s">
        <v>37</v>
      </c>
      <c r="UA78" s="11" t="s">
        <v>37</v>
      </c>
      <c r="UB78" s="12" t="s">
        <v>37</v>
      </c>
      <c r="UC78" s="12" t="s">
        <v>37</v>
      </c>
      <c r="UD78" s="11" t="s">
        <v>37</v>
      </c>
      <c r="UI78" s="12" t="s">
        <v>37</v>
      </c>
      <c r="UJ78" s="12" t="s">
        <v>37</v>
      </c>
      <c r="UK78" s="13" t="s">
        <v>37</v>
      </c>
      <c r="UL78" s="12" t="s">
        <v>37</v>
      </c>
      <c r="UM78" s="12" t="s">
        <v>37</v>
      </c>
      <c r="UN78" s="13" t="s">
        <v>37</v>
      </c>
      <c r="UR78" s="12" t="s">
        <v>37</v>
      </c>
      <c r="US78" s="12" t="s">
        <v>37</v>
      </c>
      <c r="UT78" s="13" t="s">
        <v>37</v>
      </c>
      <c r="UU78" s="12" t="s">
        <v>37</v>
      </c>
      <c r="UV78" s="12" t="s">
        <v>37</v>
      </c>
      <c r="UW78" s="13" t="s">
        <v>37</v>
      </c>
      <c r="VB78" s="12" t="s">
        <v>37</v>
      </c>
      <c r="VC78" s="12" t="s">
        <v>37</v>
      </c>
      <c r="VD78" s="13" t="s">
        <v>37</v>
      </c>
      <c r="VE78" s="12" t="s">
        <v>37</v>
      </c>
      <c r="VF78" s="12" t="s">
        <v>37</v>
      </c>
      <c r="VG78" s="13" t="s">
        <v>37</v>
      </c>
      <c r="VI78" s="12" t="s">
        <v>37</v>
      </c>
      <c r="VJ78" s="12" t="s">
        <v>37</v>
      </c>
      <c r="VK78" s="13" t="s">
        <v>37</v>
      </c>
      <c r="VL78" s="12" t="s">
        <v>37</v>
      </c>
      <c r="VM78" s="12" t="s">
        <v>37</v>
      </c>
      <c r="VN78" s="13" t="s">
        <v>37</v>
      </c>
      <c r="VO78" s="12" t="s">
        <v>37</v>
      </c>
      <c r="VQ78" s="12" t="s">
        <v>37</v>
      </c>
      <c r="VR78" s="12" t="s">
        <v>37</v>
      </c>
      <c r="VS78" s="12" t="s">
        <v>37</v>
      </c>
      <c r="VT78" s="12" t="s">
        <v>37</v>
      </c>
      <c r="VU78" s="12" t="s">
        <v>37</v>
      </c>
      <c r="VV78" s="12" t="s">
        <v>37</v>
      </c>
      <c r="VW78" s="12"/>
      <c r="VX78" s="12"/>
      <c r="WA78" s="13" t="s">
        <v>37</v>
      </c>
      <c r="WB78" s="13" t="s">
        <v>37</v>
      </c>
      <c r="WC78" s="13" t="s">
        <v>37</v>
      </c>
      <c r="WD78" s="13" t="s">
        <v>37</v>
      </c>
      <c r="WE78" s="13" t="s">
        <v>37</v>
      </c>
      <c r="WF78" s="13" t="s">
        <v>37</v>
      </c>
    </row>
    <row r="79" spans="1:604" ht="18" customHeight="1" x14ac:dyDescent="0.3">
      <c r="A79" s="16">
        <v>15</v>
      </c>
      <c r="B79" s="16" t="s">
        <v>115</v>
      </c>
      <c r="C79" s="12" t="s">
        <v>26</v>
      </c>
      <c r="D79" s="12" t="s">
        <v>973</v>
      </c>
      <c r="E79" s="40" t="s">
        <v>37</v>
      </c>
      <c r="F79" s="14">
        <v>0</v>
      </c>
      <c r="G79" s="14">
        <v>0</v>
      </c>
      <c r="H79" s="16" t="s">
        <v>82</v>
      </c>
      <c r="I79" s="29">
        <v>30.117000000000001</v>
      </c>
      <c r="J79" s="29">
        <v>-84.25</v>
      </c>
      <c r="K79" s="15" t="s">
        <v>702</v>
      </c>
      <c r="L79" s="15" t="s">
        <v>703</v>
      </c>
      <c r="M79" s="13" t="s">
        <v>37</v>
      </c>
      <c r="N79" s="14" t="s">
        <v>37</v>
      </c>
      <c r="O79" s="14" t="s">
        <v>37</v>
      </c>
      <c r="P79" s="14" t="s">
        <v>80</v>
      </c>
      <c r="Q79" s="75">
        <v>0.6</v>
      </c>
      <c r="R79" s="11" t="s">
        <v>37</v>
      </c>
      <c r="S79" s="12" t="s">
        <v>105</v>
      </c>
      <c r="T79" s="12" t="s">
        <v>37</v>
      </c>
      <c r="U79" s="12" t="s">
        <v>158</v>
      </c>
      <c r="V79" s="12" t="s">
        <v>275</v>
      </c>
      <c r="W79" s="23" t="s">
        <v>116</v>
      </c>
      <c r="X79" s="12" t="s">
        <v>49</v>
      </c>
      <c r="Y79" s="12" t="s">
        <v>69</v>
      </c>
      <c r="Z79" s="12" t="s">
        <v>37</v>
      </c>
      <c r="AB79" s="12" t="s">
        <v>37</v>
      </c>
      <c r="AE79" s="12" t="s">
        <v>37</v>
      </c>
      <c r="AH79" s="12" t="s">
        <v>37</v>
      </c>
      <c r="AK79" s="12" t="s">
        <v>37</v>
      </c>
      <c r="AL79" s="32" t="s">
        <v>117</v>
      </c>
      <c r="AM79" s="12" t="s">
        <v>344</v>
      </c>
      <c r="AO79" s="12" t="s">
        <v>37</v>
      </c>
      <c r="AP79" s="12" t="s">
        <v>238</v>
      </c>
      <c r="AQ79" s="12" t="s">
        <v>975</v>
      </c>
      <c r="AT79" s="12" t="s">
        <v>326</v>
      </c>
      <c r="AU79" s="12" t="s">
        <v>326</v>
      </c>
      <c r="AV79" s="13" t="s">
        <v>326</v>
      </c>
      <c r="AX79" s="12" t="s">
        <v>326</v>
      </c>
      <c r="AY79" s="12" t="s">
        <v>326</v>
      </c>
      <c r="AZ79" s="13" t="s">
        <v>326</v>
      </c>
      <c r="BE79" s="12" t="s">
        <v>326</v>
      </c>
      <c r="BF79" s="12" t="s">
        <v>326</v>
      </c>
      <c r="BG79" s="12" t="s">
        <v>326</v>
      </c>
      <c r="BI79" s="12" t="s">
        <v>326</v>
      </c>
      <c r="BJ79" s="12" t="s">
        <v>326</v>
      </c>
      <c r="BK79" s="12" t="s">
        <v>326</v>
      </c>
      <c r="BP79" s="12" t="s">
        <v>37</v>
      </c>
      <c r="BQ79" s="12" t="s">
        <v>37</v>
      </c>
      <c r="BR79" s="13" t="s">
        <v>37</v>
      </c>
      <c r="BT79" s="12" t="s">
        <v>37</v>
      </c>
      <c r="BU79" s="12" t="s">
        <v>37</v>
      </c>
      <c r="BV79" s="12" t="s">
        <v>37</v>
      </c>
      <c r="CA79" s="15" t="s">
        <v>37</v>
      </c>
      <c r="CB79" s="15" t="s">
        <v>37</v>
      </c>
      <c r="CC79" s="18" t="s">
        <v>37</v>
      </c>
      <c r="CD79" s="52"/>
      <c r="CE79" s="15" t="s">
        <v>37</v>
      </c>
      <c r="CF79" s="15" t="s">
        <v>37</v>
      </c>
      <c r="CG79" s="18" t="s">
        <v>37</v>
      </c>
      <c r="CH79" s="52"/>
      <c r="CJ79" s="12"/>
      <c r="CN79" s="15" t="s">
        <v>37</v>
      </c>
      <c r="CO79" s="15" t="s">
        <v>37</v>
      </c>
      <c r="CP79" s="18" t="s">
        <v>37</v>
      </c>
      <c r="CQ79" s="52"/>
      <c r="CR79" s="15" t="s">
        <v>37</v>
      </c>
      <c r="CS79" s="15" t="s">
        <v>37</v>
      </c>
      <c r="CT79" s="18" t="s">
        <v>37</v>
      </c>
      <c r="CU79" s="52"/>
      <c r="CX79" s="72"/>
      <c r="CY79" s="72"/>
      <c r="DA79" s="15" t="s">
        <v>37</v>
      </c>
      <c r="DB79" s="15" t="s">
        <v>37</v>
      </c>
      <c r="DC79" s="18" t="s">
        <v>37</v>
      </c>
      <c r="DD79" s="52"/>
      <c r="DE79" s="15" t="s">
        <v>37</v>
      </c>
      <c r="DF79" s="15" t="s">
        <v>37</v>
      </c>
      <c r="DG79" s="18" t="s">
        <v>37</v>
      </c>
      <c r="DH79" s="52"/>
      <c r="DM79" s="12" t="s">
        <v>47</v>
      </c>
      <c r="DN79" s="19">
        <f>2.16*10^4*16/10^3</f>
        <v>345.6</v>
      </c>
      <c r="DO79" s="12">
        <f>2.24*10^4*16/10^3</f>
        <v>358.40000000000003</v>
      </c>
      <c r="DP79" s="13">
        <v>4</v>
      </c>
      <c r="DQ79" s="19">
        <f t="shared" si="252"/>
        <v>1.037037037037037</v>
      </c>
      <c r="DR79" s="19">
        <f>-0.015*10^4*16/10^3</f>
        <v>-2.4</v>
      </c>
      <c r="DS79" s="12">
        <f>0.005*10^4*16/10^3</f>
        <v>0.8</v>
      </c>
      <c r="DT79" s="13">
        <v>4</v>
      </c>
      <c r="DU79" s="19">
        <f t="shared" si="253"/>
        <v>0.33333333333333337</v>
      </c>
      <c r="DV79" s="19">
        <f t="shared" si="254"/>
        <v>-348</v>
      </c>
      <c r="DW79" s="12">
        <f t="shared" si="255"/>
        <v>253.42770172181258</v>
      </c>
      <c r="DX79" s="72">
        <f t="shared" si="196"/>
        <v>32112.800000000003</v>
      </c>
      <c r="DY79" s="72">
        <f t="shared" si="197"/>
        <v>32112.800000000007</v>
      </c>
      <c r="DZ79" s="12"/>
      <c r="EA79" s="19" t="s">
        <v>37</v>
      </c>
      <c r="EB79" s="19" t="s">
        <v>37</v>
      </c>
      <c r="EC79" s="72" t="s">
        <v>37</v>
      </c>
      <c r="EE79" s="19" t="s">
        <v>37</v>
      </c>
      <c r="EF79" s="19" t="s">
        <v>37</v>
      </c>
      <c r="EG79" s="12" t="s">
        <v>37</v>
      </c>
      <c r="EN79" s="12" t="s">
        <v>37</v>
      </c>
      <c r="EO79" s="12" t="s">
        <v>37</v>
      </c>
      <c r="EP79" s="13" t="s">
        <v>37</v>
      </c>
      <c r="ER79" s="12" t="s">
        <v>37</v>
      </c>
      <c r="ES79" s="12" t="s">
        <v>37</v>
      </c>
      <c r="ET79" s="13" t="s">
        <v>37</v>
      </c>
      <c r="FB79" s="11" t="s">
        <v>37</v>
      </c>
      <c r="FC79" s="11" t="s">
        <v>37</v>
      </c>
      <c r="FD79" s="11" t="s">
        <v>37</v>
      </c>
      <c r="FE79" s="12" t="s">
        <v>37</v>
      </c>
      <c r="FF79" s="20" t="s">
        <v>37</v>
      </c>
      <c r="FG79" s="11" t="s">
        <v>37</v>
      </c>
      <c r="FI79" s="11" t="s">
        <v>37</v>
      </c>
      <c r="FJ79" s="11" t="s">
        <v>37</v>
      </c>
      <c r="FK79" s="11" t="s">
        <v>37</v>
      </c>
      <c r="FL79" s="13" t="s">
        <v>37</v>
      </c>
      <c r="FM79" s="11" t="s">
        <v>37</v>
      </c>
      <c r="FN79" s="11" t="s">
        <v>37</v>
      </c>
      <c r="FP79" s="11" t="s">
        <v>37</v>
      </c>
      <c r="FQ79" s="11" t="s">
        <v>37</v>
      </c>
      <c r="FR79" s="11" t="s">
        <v>37</v>
      </c>
      <c r="FS79" s="13" t="s">
        <v>37</v>
      </c>
      <c r="FT79" s="11" t="s">
        <v>37</v>
      </c>
      <c r="FU79" s="11" t="s">
        <v>37</v>
      </c>
      <c r="FW79" s="11" t="s">
        <v>37</v>
      </c>
      <c r="FX79" s="11" t="s">
        <v>37</v>
      </c>
      <c r="FY79" s="11" t="s">
        <v>37</v>
      </c>
      <c r="FZ79" s="13" t="s">
        <v>37</v>
      </c>
      <c r="GA79" s="11" t="s">
        <v>37</v>
      </c>
      <c r="GB79" s="11" t="s">
        <v>37</v>
      </c>
      <c r="IK79" s="12" t="s">
        <v>37</v>
      </c>
      <c r="IL79" s="12" t="s">
        <v>37</v>
      </c>
      <c r="IM79" s="13" t="s">
        <v>37</v>
      </c>
      <c r="IO79" s="12" t="s">
        <v>37</v>
      </c>
      <c r="IP79" s="12" t="s">
        <v>37</v>
      </c>
      <c r="IQ79" s="13" t="s">
        <v>37</v>
      </c>
      <c r="IW79" s="12" t="s">
        <v>37</v>
      </c>
      <c r="IX79" s="12" t="s">
        <v>37</v>
      </c>
      <c r="IY79" s="13" t="s">
        <v>37</v>
      </c>
      <c r="JA79" s="12" t="s">
        <v>37</v>
      </c>
      <c r="JB79" s="12" t="s">
        <v>37</v>
      </c>
      <c r="JC79" s="13" t="s">
        <v>37</v>
      </c>
      <c r="JH79" s="12" t="s">
        <v>37</v>
      </c>
      <c r="JI79" s="12" t="s">
        <v>37</v>
      </c>
      <c r="JJ79" s="13" t="s">
        <v>37</v>
      </c>
      <c r="JL79" s="12" t="s">
        <v>37</v>
      </c>
      <c r="JM79" s="12" t="s">
        <v>37</v>
      </c>
      <c r="JN79" s="12" t="s">
        <v>37</v>
      </c>
      <c r="JS79" s="12" t="s">
        <v>37</v>
      </c>
      <c r="JT79" s="12" t="s">
        <v>37</v>
      </c>
      <c r="JU79" s="13" t="s">
        <v>37</v>
      </c>
      <c r="JW79" s="12" t="s">
        <v>37</v>
      </c>
      <c r="JX79" s="12" t="s">
        <v>37</v>
      </c>
      <c r="JY79" s="12" t="s">
        <v>37</v>
      </c>
      <c r="KE79" s="11" t="s">
        <v>37</v>
      </c>
      <c r="KF79" s="11" t="s">
        <v>37</v>
      </c>
      <c r="KG79" s="13" t="s">
        <v>37</v>
      </c>
      <c r="KH79" s="11" t="s">
        <v>37</v>
      </c>
      <c r="KI79" s="11" t="s">
        <v>37</v>
      </c>
      <c r="KJ79" s="11" t="s">
        <v>37</v>
      </c>
      <c r="KM79" s="12" t="s">
        <v>37</v>
      </c>
      <c r="KN79" s="12" t="s">
        <v>37</v>
      </c>
      <c r="KO79" s="11" t="s">
        <v>37</v>
      </c>
      <c r="KQ79" s="12" t="s">
        <v>37</v>
      </c>
      <c r="KR79" s="12" t="s">
        <v>37</v>
      </c>
      <c r="KS79" s="13" t="s">
        <v>37</v>
      </c>
      <c r="KX79" s="12" t="s">
        <v>37</v>
      </c>
      <c r="KY79" s="12" t="s">
        <v>37</v>
      </c>
      <c r="KZ79" s="13" t="s">
        <v>37</v>
      </c>
      <c r="LB79" s="12" t="s">
        <v>37</v>
      </c>
      <c r="LC79" s="12" t="s">
        <v>37</v>
      </c>
      <c r="LD79" s="13" t="s">
        <v>37</v>
      </c>
      <c r="LI79" s="12" t="s">
        <v>37</v>
      </c>
      <c r="LJ79" s="12" t="s">
        <v>37</v>
      </c>
      <c r="LK79" s="12" t="s">
        <v>37</v>
      </c>
      <c r="LM79" s="12" t="s">
        <v>37</v>
      </c>
      <c r="LN79" s="12" t="s">
        <v>37</v>
      </c>
      <c r="LO79" s="12" t="s">
        <v>37</v>
      </c>
      <c r="LU79" s="12" t="s">
        <v>37</v>
      </c>
      <c r="LV79" s="12" t="s">
        <v>37</v>
      </c>
      <c r="LW79" s="13" t="s">
        <v>37</v>
      </c>
      <c r="LY79" s="12" t="s">
        <v>37</v>
      </c>
      <c r="LZ79" s="12" t="s">
        <v>37</v>
      </c>
      <c r="MA79" s="12" t="s">
        <v>37</v>
      </c>
      <c r="MF79" s="12" t="s">
        <v>37</v>
      </c>
      <c r="MG79" s="12" t="s">
        <v>37</v>
      </c>
      <c r="MH79" s="12" t="s">
        <v>37</v>
      </c>
      <c r="MJ79" s="12" t="s">
        <v>37</v>
      </c>
      <c r="MK79" s="12" t="s">
        <v>37</v>
      </c>
      <c r="ML79" s="12" t="s">
        <v>37</v>
      </c>
      <c r="MQ79" s="12" t="s">
        <v>37</v>
      </c>
      <c r="MR79" s="12" t="s">
        <v>37</v>
      </c>
      <c r="MS79" s="12" t="s">
        <v>37</v>
      </c>
      <c r="MU79" s="12" t="s">
        <v>37</v>
      </c>
      <c r="MV79" s="12" t="s">
        <v>37</v>
      </c>
      <c r="MW79" s="12" t="s">
        <v>37</v>
      </c>
      <c r="NC79" s="12" t="s">
        <v>37</v>
      </c>
      <c r="ND79" s="12" t="s">
        <v>37</v>
      </c>
      <c r="NE79" s="13" t="s">
        <v>37</v>
      </c>
      <c r="NG79" s="12" t="s">
        <v>37</v>
      </c>
      <c r="NH79" s="12" t="s">
        <v>37</v>
      </c>
      <c r="NI79" s="13" t="s">
        <v>37</v>
      </c>
      <c r="NO79" s="12" t="s">
        <v>37</v>
      </c>
      <c r="NP79" s="12" t="s">
        <v>37</v>
      </c>
      <c r="NQ79" s="13" t="s">
        <v>37</v>
      </c>
      <c r="NS79" s="12" t="s">
        <v>37</v>
      </c>
      <c r="NT79" s="12" t="s">
        <v>37</v>
      </c>
      <c r="NU79" s="13" t="s">
        <v>37</v>
      </c>
      <c r="OA79" s="11" t="s">
        <v>37</v>
      </c>
      <c r="OB79" s="11" t="s">
        <v>37</v>
      </c>
      <c r="OC79" s="13" t="s">
        <v>37</v>
      </c>
      <c r="OE79" s="11" t="s">
        <v>37</v>
      </c>
      <c r="OF79" s="11" t="s">
        <v>37</v>
      </c>
      <c r="OG79" s="13" t="s">
        <v>37</v>
      </c>
      <c r="OM79" s="11" t="s">
        <v>37</v>
      </c>
      <c r="ON79" s="11" t="s">
        <v>37</v>
      </c>
      <c r="OO79" s="11" t="s">
        <v>37</v>
      </c>
      <c r="OP79" s="11" t="s">
        <v>37</v>
      </c>
      <c r="OQ79" s="11" t="s">
        <v>37</v>
      </c>
      <c r="OR79" s="11" t="s">
        <v>37</v>
      </c>
      <c r="OW79" s="11" t="s">
        <v>37</v>
      </c>
      <c r="OX79" s="11" t="s">
        <v>37</v>
      </c>
      <c r="OY79" s="13" t="s">
        <v>37</v>
      </c>
      <c r="OZ79" s="11" t="s">
        <v>37</v>
      </c>
      <c r="PA79" s="11" t="s">
        <v>37</v>
      </c>
      <c r="PB79" s="13" t="s">
        <v>37</v>
      </c>
      <c r="PG79" s="11" t="s">
        <v>37</v>
      </c>
      <c r="PH79" s="11" t="s">
        <v>37</v>
      </c>
      <c r="PI79" s="13" t="s">
        <v>37</v>
      </c>
      <c r="PJ79" s="11" t="s">
        <v>37</v>
      </c>
      <c r="PK79" s="11" t="s">
        <v>37</v>
      </c>
      <c r="PL79" s="13" t="s">
        <v>37</v>
      </c>
      <c r="PQ79" s="11" t="s">
        <v>37</v>
      </c>
      <c r="PR79" s="11" t="s">
        <v>37</v>
      </c>
      <c r="PS79" s="13" t="s">
        <v>37</v>
      </c>
      <c r="PT79" s="11" t="s">
        <v>37</v>
      </c>
      <c r="PU79" s="11" t="s">
        <v>37</v>
      </c>
      <c r="PV79" s="13" t="s">
        <v>37</v>
      </c>
      <c r="PZ79" s="12" t="s">
        <v>37</v>
      </c>
      <c r="QA79" s="12" t="s">
        <v>37</v>
      </c>
      <c r="QB79" s="11" t="s">
        <v>37</v>
      </c>
      <c r="QD79" s="12" t="s">
        <v>37</v>
      </c>
      <c r="QE79" s="12" t="s">
        <v>37</v>
      </c>
      <c r="QF79" s="12" t="s">
        <v>37</v>
      </c>
      <c r="QK79" s="12" t="s">
        <v>37</v>
      </c>
      <c r="QL79" s="12" t="s">
        <v>37</v>
      </c>
      <c r="QM79" s="12" t="s">
        <v>37</v>
      </c>
      <c r="QN79" s="12" t="s">
        <v>37</v>
      </c>
      <c r="QO79" s="12" t="s">
        <v>37</v>
      </c>
      <c r="QP79" s="12" t="s">
        <v>37</v>
      </c>
      <c r="QQ79" s="12"/>
      <c r="QR79" s="12"/>
      <c r="QU79" s="11" t="s">
        <v>37</v>
      </c>
      <c r="QV79" s="11" t="s">
        <v>37</v>
      </c>
      <c r="QW79" s="13" t="s">
        <v>37</v>
      </c>
      <c r="QX79" s="11" t="s">
        <v>37</v>
      </c>
      <c r="QY79" s="11" t="s">
        <v>37</v>
      </c>
      <c r="QZ79" s="13" t="s">
        <v>37</v>
      </c>
      <c r="RC79" s="12" t="s">
        <v>37</v>
      </c>
      <c r="RD79" s="12" t="s">
        <v>37</v>
      </c>
      <c r="RE79" s="13" t="s">
        <v>37</v>
      </c>
      <c r="RF79" s="12" t="s">
        <v>37</v>
      </c>
      <c r="RG79" s="12" t="s">
        <v>37</v>
      </c>
      <c r="RH79" s="13" t="s">
        <v>37</v>
      </c>
      <c r="RK79" s="11" t="s">
        <v>37</v>
      </c>
      <c r="RL79" s="11" t="s">
        <v>37</v>
      </c>
      <c r="RM79" s="11" t="s">
        <v>37</v>
      </c>
      <c r="RN79" s="11" t="s">
        <v>37</v>
      </c>
      <c r="RO79" s="11" t="s">
        <v>37</v>
      </c>
      <c r="RP79" s="11" t="s">
        <v>37</v>
      </c>
      <c r="RS79" s="11" t="s">
        <v>37</v>
      </c>
      <c r="RT79" s="11" t="s">
        <v>37</v>
      </c>
      <c r="RU79" s="11" t="s">
        <v>37</v>
      </c>
      <c r="RV79" s="11" t="s">
        <v>37</v>
      </c>
      <c r="RW79" s="11" t="s">
        <v>37</v>
      </c>
      <c r="RX79" s="11" t="s">
        <v>37</v>
      </c>
      <c r="SA79" s="11" t="s">
        <v>37</v>
      </c>
      <c r="SB79" s="11" t="s">
        <v>37</v>
      </c>
      <c r="SC79" s="13" t="s">
        <v>37</v>
      </c>
      <c r="SD79" s="11" t="s">
        <v>37</v>
      </c>
      <c r="SE79" s="11" t="s">
        <v>37</v>
      </c>
      <c r="SF79" s="13" t="s">
        <v>37</v>
      </c>
      <c r="SI79" s="12" t="s">
        <v>37</v>
      </c>
      <c r="SJ79" s="12" t="s">
        <v>37</v>
      </c>
      <c r="SK79" s="13" t="s">
        <v>37</v>
      </c>
      <c r="SM79" s="12" t="s">
        <v>37</v>
      </c>
      <c r="SN79" s="12" t="s">
        <v>37</v>
      </c>
      <c r="SO79" s="13" t="s">
        <v>37</v>
      </c>
      <c r="SU79" s="12" t="s">
        <v>37</v>
      </c>
      <c r="SV79" s="12" t="s">
        <v>37</v>
      </c>
      <c r="SW79" s="11" t="s">
        <v>37</v>
      </c>
      <c r="SX79" s="12" t="s">
        <v>37</v>
      </c>
      <c r="SY79" s="12" t="s">
        <v>37</v>
      </c>
      <c r="SZ79" s="11" t="s">
        <v>37</v>
      </c>
      <c r="TE79" s="12" t="s">
        <v>37</v>
      </c>
      <c r="TF79" s="12" t="s">
        <v>37</v>
      </c>
      <c r="TG79" s="11" t="s">
        <v>37</v>
      </c>
      <c r="TH79" s="12" t="s">
        <v>37</v>
      </c>
      <c r="TI79" s="12" t="s">
        <v>37</v>
      </c>
      <c r="TJ79" s="11" t="s">
        <v>37</v>
      </c>
      <c r="TO79" s="12" t="s">
        <v>37</v>
      </c>
      <c r="TP79" s="12" t="s">
        <v>37</v>
      </c>
      <c r="TQ79" s="11" t="s">
        <v>37</v>
      </c>
      <c r="TR79" s="12" t="s">
        <v>37</v>
      </c>
      <c r="TS79" s="12" t="s">
        <v>37</v>
      </c>
      <c r="TT79" s="11" t="s">
        <v>37</v>
      </c>
      <c r="TY79" s="12" t="s">
        <v>37</v>
      </c>
      <c r="TZ79" s="12" t="s">
        <v>37</v>
      </c>
      <c r="UA79" s="11" t="s">
        <v>37</v>
      </c>
      <c r="UB79" s="12" t="s">
        <v>37</v>
      </c>
      <c r="UC79" s="12" t="s">
        <v>37</v>
      </c>
      <c r="UD79" s="11" t="s">
        <v>37</v>
      </c>
      <c r="UI79" s="12" t="s">
        <v>37</v>
      </c>
      <c r="UJ79" s="12" t="s">
        <v>37</v>
      </c>
      <c r="UK79" s="13" t="s">
        <v>37</v>
      </c>
      <c r="UL79" s="12" t="s">
        <v>37</v>
      </c>
      <c r="UM79" s="12" t="s">
        <v>37</v>
      </c>
      <c r="UN79" s="13" t="s">
        <v>37</v>
      </c>
      <c r="UR79" s="12" t="s">
        <v>37</v>
      </c>
      <c r="US79" s="12" t="s">
        <v>37</v>
      </c>
      <c r="UT79" s="13" t="s">
        <v>37</v>
      </c>
      <c r="UU79" s="12" t="s">
        <v>37</v>
      </c>
      <c r="UV79" s="12" t="s">
        <v>37</v>
      </c>
      <c r="UW79" s="13" t="s">
        <v>37</v>
      </c>
      <c r="VB79" s="12" t="s">
        <v>37</v>
      </c>
      <c r="VC79" s="12" t="s">
        <v>37</v>
      </c>
      <c r="VD79" s="13" t="s">
        <v>37</v>
      </c>
      <c r="VE79" s="12" t="s">
        <v>37</v>
      </c>
      <c r="VF79" s="12" t="s">
        <v>37</v>
      </c>
      <c r="VG79" s="13" t="s">
        <v>37</v>
      </c>
      <c r="VI79" s="12" t="s">
        <v>37</v>
      </c>
      <c r="VJ79" s="12" t="s">
        <v>37</v>
      </c>
      <c r="VK79" s="13" t="s">
        <v>37</v>
      </c>
      <c r="VL79" s="12" t="s">
        <v>37</v>
      </c>
      <c r="VM79" s="12" t="s">
        <v>37</v>
      </c>
      <c r="VN79" s="13" t="s">
        <v>37</v>
      </c>
      <c r="VO79" s="12" t="s">
        <v>37</v>
      </c>
      <c r="VQ79" s="12" t="s">
        <v>37</v>
      </c>
      <c r="VR79" s="12" t="s">
        <v>37</v>
      </c>
      <c r="VS79" s="12" t="s">
        <v>37</v>
      </c>
      <c r="VT79" s="12" t="s">
        <v>37</v>
      </c>
      <c r="VU79" s="12" t="s">
        <v>37</v>
      </c>
      <c r="VV79" s="12" t="s">
        <v>37</v>
      </c>
      <c r="VW79" s="12"/>
      <c r="VX79" s="12"/>
      <c r="WA79" s="13" t="s">
        <v>37</v>
      </c>
      <c r="WB79" s="13" t="s">
        <v>37</v>
      </c>
      <c r="WC79" s="13" t="s">
        <v>37</v>
      </c>
      <c r="WD79" s="13" t="s">
        <v>37</v>
      </c>
      <c r="WE79" s="13" t="s">
        <v>37</v>
      </c>
      <c r="WF79" s="13" t="s">
        <v>37</v>
      </c>
    </row>
    <row r="80" spans="1:604" ht="18" customHeight="1" x14ac:dyDescent="0.3">
      <c r="A80" s="16">
        <v>16</v>
      </c>
      <c r="B80" s="16" t="s">
        <v>118</v>
      </c>
      <c r="C80" s="12" t="s">
        <v>26</v>
      </c>
      <c r="D80" s="16" t="s">
        <v>119</v>
      </c>
      <c r="E80" s="40">
        <v>0.8</v>
      </c>
      <c r="F80" s="14">
        <v>0</v>
      </c>
      <c r="G80" s="14">
        <v>0</v>
      </c>
      <c r="H80" s="16" t="s">
        <v>120</v>
      </c>
      <c r="I80" s="29">
        <v>56.863999999999997</v>
      </c>
      <c r="J80" s="29">
        <v>23.925000000000001</v>
      </c>
      <c r="K80" s="12" t="s">
        <v>121</v>
      </c>
      <c r="L80" s="12" t="s">
        <v>122</v>
      </c>
      <c r="M80" s="13" t="s">
        <v>37</v>
      </c>
      <c r="N80" s="14" t="s">
        <v>37</v>
      </c>
      <c r="O80" s="14" t="s">
        <v>37</v>
      </c>
      <c r="P80" s="14" t="s">
        <v>16</v>
      </c>
      <c r="Q80" s="75">
        <v>34</v>
      </c>
      <c r="R80" s="11" t="s">
        <v>37</v>
      </c>
      <c r="S80" s="12" t="s">
        <v>105</v>
      </c>
      <c r="T80" s="12" t="s">
        <v>37</v>
      </c>
      <c r="U80" s="12" t="s">
        <v>158</v>
      </c>
      <c r="V80" s="12" t="s">
        <v>275</v>
      </c>
      <c r="W80" s="23" t="s">
        <v>506</v>
      </c>
      <c r="X80" s="12" t="s">
        <v>49</v>
      </c>
      <c r="Y80" s="12" t="s">
        <v>69</v>
      </c>
      <c r="Z80" s="12" t="s">
        <v>37</v>
      </c>
      <c r="AB80" s="12" t="s">
        <v>37</v>
      </c>
      <c r="AC80" s="12" t="s">
        <v>42</v>
      </c>
      <c r="AD80" s="32" t="s">
        <v>345</v>
      </c>
      <c r="AE80" s="12">
        <v>521.29999999999995</v>
      </c>
      <c r="AH80" s="12" t="s">
        <v>37</v>
      </c>
      <c r="AK80" s="12" t="s">
        <v>37</v>
      </c>
      <c r="AL80" s="32">
        <v>2016</v>
      </c>
      <c r="AM80" s="13" t="s">
        <v>37</v>
      </c>
      <c r="AO80" s="13" t="s">
        <v>37</v>
      </c>
      <c r="AP80" s="13" t="s">
        <v>37</v>
      </c>
      <c r="AQ80" s="13" t="s">
        <v>37</v>
      </c>
      <c r="AR80" s="12" t="s">
        <v>42</v>
      </c>
      <c r="AS80" s="32" t="s">
        <v>345</v>
      </c>
      <c r="AT80" s="12">
        <v>521.29999999999995</v>
      </c>
      <c r="AU80" s="50">
        <f>AT80*AW$474</f>
        <v>44.585300716297766</v>
      </c>
      <c r="AV80" s="13">
        <v>4</v>
      </c>
      <c r="AX80" s="12">
        <v>365.2</v>
      </c>
      <c r="AY80" s="50">
        <f>AX80*BA$474</f>
        <v>25.786923888225527</v>
      </c>
      <c r="AZ80" s="13">
        <v>4</v>
      </c>
      <c r="BB80" s="52">
        <f t="shared" ref="BB80" si="275">LN(AX80/AT80)</f>
        <v>-0.35588054305324668</v>
      </c>
      <c r="BC80" s="19">
        <f t="shared" ref="BC80" si="276">AY80^2/(AZ80*AX80^2)+AU80^2/(AV80*AT80^2)</f>
        <v>3.0751808437852338E-3</v>
      </c>
      <c r="BD80" s="32" t="s">
        <v>422</v>
      </c>
      <c r="BE80" s="12">
        <v>545.6</v>
      </c>
      <c r="BF80" s="50">
        <f>BE80*BH$474</f>
        <v>136.96714448136467</v>
      </c>
      <c r="BG80" s="13">
        <v>4</v>
      </c>
      <c r="BI80" s="12">
        <v>302.5</v>
      </c>
      <c r="BJ80" s="50">
        <f>BI80*BL$474</f>
        <v>21.19372782681404</v>
      </c>
      <c r="BK80" s="13">
        <v>4</v>
      </c>
      <c r="BM80" s="52">
        <f>LN(BI80/BE80)</f>
        <v>-0.58980482905835618</v>
      </c>
      <c r="BN80" s="19">
        <f>BJ80^2/(BK80*BI80^2)+BF80^2/(BG80*BE80^2)</f>
        <v>1.6982373908597772E-2</v>
      </c>
      <c r="BO80" s="12" t="s">
        <v>507</v>
      </c>
      <c r="BP80" s="12">
        <v>565.79999999999995</v>
      </c>
      <c r="BQ80" s="50">
        <f>BP80*BS$474</f>
        <v>196.89728997865063</v>
      </c>
      <c r="BR80" s="13">
        <v>4</v>
      </c>
      <c r="BT80" s="12">
        <v>187.9</v>
      </c>
      <c r="BU80" s="50">
        <f>BT80*BW$474</f>
        <v>15.777704958416972</v>
      </c>
      <c r="BV80" s="12">
        <v>4</v>
      </c>
      <c r="BX80" s="52">
        <f>LN(BT80/BP80)</f>
        <v>-1.102330752448047</v>
      </c>
      <c r="BY80" s="19">
        <f t="shared" ref="BY80" si="277">BU80^2/(BV80*BT80^2)+BQ80^2/(BR80*BP80^2)</f>
        <v>3.2038341204829818E-2</v>
      </c>
      <c r="CA80" s="15" t="s">
        <v>37</v>
      </c>
      <c r="CB80" s="15" t="s">
        <v>37</v>
      </c>
      <c r="CC80" s="18" t="s">
        <v>37</v>
      </c>
      <c r="CD80" s="52"/>
      <c r="CE80" s="15" t="s">
        <v>37</v>
      </c>
      <c r="CF80" s="15" t="s">
        <v>37</v>
      </c>
      <c r="CG80" s="18" t="s">
        <v>37</v>
      </c>
      <c r="CH80" s="52"/>
      <c r="CJ80" s="12"/>
      <c r="CN80" s="15" t="s">
        <v>37</v>
      </c>
      <c r="CO80" s="15" t="s">
        <v>37</v>
      </c>
      <c r="CP80" s="18" t="s">
        <v>37</v>
      </c>
      <c r="CQ80" s="52"/>
      <c r="CR80" s="15" t="s">
        <v>37</v>
      </c>
      <c r="CS80" s="15" t="s">
        <v>37</v>
      </c>
      <c r="CT80" s="18" t="s">
        <v>37</v>
      </c>
      <c r="CU80" s="52"/>
      <c r="CX80" s="72"/>
      <c r="CY80" s="72"/>
      <c r="DA80" s="15" t="s">
        <v>37</v>
      </c>
      <c r="DB80" s="15" t="s">
        <v>37</v>
      </c>
      <c r="DC80" s="18" t="s">
        <v>37</v>
      </c>
      <c r="DD80" s="52"/>
      <c r="DE80" s="15" t="s">
        <v>37</v>
      </c>
      <c r="DF80" s="15" t="s">
        <v>37</v>
      </c>
      <c r="DG80" s="18" t="s">
        <v>37</v>
      </c>
      <c r="DH80" s="52"/>
      <c r="DM80" s="12"/>
      <c r="DZ80" s="12"/>
      <c r="EA80" s="19" t="s">
        <v>37</v>
      </c>
      <c r="EB80" s="19" t="s">
        <v>37</v>
      </c>
      <c r="EC80" s="72" t="s">
        <v>37</v>
      </c>
      <c r="EE80" s="19" t="s">
        <v>37</v>
      </c>
      <c r="EF80" s="19" t="s">
        <v>37</v>
      </c>
      <c r="EG80" s="12" t="s">
        <v>37</v>
      </c>
      <c r="EN80" s="12" t="s">
        <v>37</v>
      </c>
      <c r="EO80" s="12" t="s">
        <v>37</v>
      </c>
      <c r="EP80" s="13" t="s">
        <v>37</v>
      </c>
      <c r="ER80" s="12" t="s">
        <v>37</v>
      </c>
      <c r="ES80" s="12" t="s">
        <v>37</v>
      </c>
      <c r="ET80" s="13" t="s">
        <v>37</v>
      </c>
      <c r="FB80" s="11" t="s">
        <v>37</v>
      </c>
      <c r="FC80" s="11" t="s">
        <v>37</v>
      </c>
      <c r="FD80" s="11" t="s">
        <v>37</v>
      </c>
      <c r="FE80" s="12" t="s">
        <v>37</v>
      </c>
      <c r="FF80" s="20" t="s">
        <v>37</v>
      </c>
      <c r="FG80" s="11" t="s">
        <v>37</v>
      </c>
      <c r="FI80" s="11" t="s">
        <v>37</v>
      </c>
      <c r="FJ80" s="11" t="s">
        <v>37</v>
      </c>
      <c r="FK80" s="11" t="s">
        <v>37</v>
      </c>
      <c r="FL80" s="13" t="s">
        <v>37</v>
      </c>
      <c r="FM80" s="11" t="s">
        <v>37</v>
      </c>
      <c r="FN80" s="11" t="s">
        <v>37</v>
      </c>
      <c r="FP80" s="11" t="s">
        <v>37</v>
      </c>
      <c r="FQ80" s="11" t="s">
        <v>37</v>
      </c>
      <c r="FR80" s="11" t="s">
        <v>37</v>
      </c>
      <c r="FS80" s="13" t="s">
        <v>37</v>
      </c>
      <c r="FT80" s="11" t="s">
        <v>37</v>
      </c>
      <c r="FU80" s="11" t="s">
        <v>37</v>
      </c>
      <c r="FW80" s="11" t="s">
        <v>37</v>
      </c>
      <c r="FX80" s="11" t="s">
        <v>37</v>
      </c>
      <c r="FY80" s="11" t="s">
        <v>37</v>
      </c>
      <c r="FZ80" s="13" t="s">
        <v>37</v>
      </c>
      <c r="GA80" s="11" t="s">
        <v>37</v>
      </c>
      <c r="GB80" s="11" t="s">
        <v>37</v>
      </c>
      <c r="HA80" s="17" t="s">
        <v>63</v>
      </c>
      <c r="HB80" s="34" t="s">
        <v>345</v>
      </c>
      <c r="HC80" s="12">
        <v>0.156</v>
      </c>
      <c r="HD80" s="12">
        <v>4.0000000000000001E-3</v>
      </c>
      <c r="HE80" s="13">
        <v>3</v>
      </c>
      <c r="HF80" s="19">
        <f t="shared" ref="HF80" si="278">HD80/HC80</f>
        <v>2.564102564102564E-2</v>
      </c>
      <c r="HG80" s="12">
        <v>0.33600000000000002</v>
      </c>
      <c r="HH80" s="12">
        <v>0.19400000000000001</v>
      </c>
      <c r="HI80" s="13">
        <v>3</v>
      </c>
      <c r="HJ80" s="19">
        <f t="shared" ref="HJ80" si="279">HH80/HG80</f>
        <v>0.57738095238095233</v>
      </c>
      <c r="HK80" s="19">
        <f t="shared" ref="HK80" si="280">LN(HG80/HC80)</f>
        <v>0.7672551527136674</v>
      </c>
      <c r="HL80" s="19">
        <f t="shared" ref="HL80" si="281">HH80^2/(HI80*HG80^2)+HD80^2/(HE80*HC80^2)</f>
        <v>0.11134207545608645</v>
      </c>
      <c r="HM80" s="34" t="s">
        <v>422</v>
      </c>
      <c r="HN80" s="12">
        <v>0.12743162349461537</v>
      </c>
      <c r="HO80" s="12">
        <v>4.2519685039370016E-2</v>
      </c>
      <c r="HP80" s="13">
        <v>3</v>
      </c>
      <c r="HQ80" s="19">
        <f>HO80/HN80</f>
        <v>0.33366666666666683</v>
      </c>
      <c r="HR80" s="12">
        <v>0.3628261502277253</v>
      </c>
      <c r="HS80" s="12">
        <v>0.25511811023622</v>
      </c>
      <c r="HT80" s="13">
        <v>3</v>
      </c>
      <c r="HU80" s="19">
        <f>HS80/HR80</f>
        <v>0.70314146341463235</v>
      </c>
      <c r="HV80" s="19">
        <f>LN(HR80/HN80)</f>
        <v>1.0463438601223556</v>
      </c>
      <c r="HW80" s="19">
        <f t="shared" ref="HW80" si="282">HS80^2/(HT80*HR80^2)+HO80^2/(HP80*HN80^2)</f>
        <v>0.20191378733910512</v>
      </c>
      <c r="HX80" s="34" t="s">
        <v>507</v>
      </c>
      <c r="HY80" s="12">
        <v>0.10973278689814085</v>
      </c>
      <c r="HZ80" s="12">
        <v>3.1889763779528013E-2</v>
      </c>
      <c r="IA80" s="13">
        <v>3</v>
      </c>
      <c r="IB80" s="19">
        <f>HZ80/HY80</f>
        <v>0.29061290322581157</v>
      </c>
      <c r="IC80" s="12">
        <v>0.52034579593634755</v>
      </c>
      <c r="ID80" s="12">
        <v>0.64133858267716415</v>
      </c>
      <c r="IE80" s="13">
        <v>3</v>
      </c>
      <c r="IF80" s="19">
        <f>ID80/IC80</f>
        <v>1.2325238095238062</v>
      </c>
      <c r="IG80" s="19">
        <f t="shared" ref="IG80" si="283">LN(IC80/HY80)</f>
        <v>1.5564453822935944</v>
      </c>
      <c r="IH80" s="19">
        <f t="shared" ref="IH80" si="284">ID80^2/(IE80*IC80^2)+HZ80^2/(IA80*HY80^2)</f>
        <v>0.53452360018813672</v>
      </c>
      <c r="IK80" s="12" t="s">
        <v>37</v>
      </c>
      <c r="IL80" s="12" t="s">
        <v>37</v>
      </c>
      <c r="IM80" s="13" t="s">
        <v>37</v>
      </c>
      <c r="IO80" s="12" t="s">
        <v>37</v>
      </c>
      <c r="IP80" s="12" t="s">
        <v>37</v>
      </c>
      <c r="IQ80" s="13" t="s">
        <v>37</v>
      </c>
      <c r="IW80" s="12" t="s">
        <v>37</v>
      </c>
      <c r="IX80" s="12" t="s">
        <v>37</v>
      </c>
      <c r="IY80" s="13" t="s">
        <v>37</v>
      </c>
      <c r="JA80" s="12" t="s">
        <v>37</v>
      </c>
      <c r="JB80" s="12" t="s">
        <v>37</v>
      </c>
      <c r="JC80" s="13" t="s">
        <v>37</v>
      </c>
      <c r="JH80" s="12" t="s">
        <v>37</v>
      </c>
      <c r="JI80" s="12" t="s">
        <v>37</v>
      </c>
      <c r="JJ80" s="13" t="s">
        <v>37</v>
      </c>
      <c r="JL80" s="12" t="s">
        <v>37</v>
      </c>
      <c r="JM80" s="12" t="s">
        <v>37</v>
      </c>
      <c r="JN80" s="12" t="s">
        <v>37</v>
      </c>
      <c r="JS80" s="12" t="s">
        <v>37</v>
      </c>
      <c r="JT80" s="12" t="s">
        <v>37</v>
      </c>
      <c r="JU80" s="13" t="s">
        <v>37</v>
      </c>
      <c r="JW80" s="12" t="s">
        <v>37</v>
      </c>
      <c r="JX80" s="12" t="s">
        <v>37</v>
      </c>
      <c r="JY80" s="12" t="s">
        <v>37</v>
      </c>
      <c r="KE80" s="11" t="s">
        <v>37</v>
      </c>
      <c r="KF80" s="11" t="s">
        <v>37</v>
      </c>
      <c r="KG80" s="13" t="s">
        <v>37</v>
      </c>
      <c r="KH80" s="11" t="s">
        <v>37</v>
      </c>
      <c r="KI80" s="11" t="s">
        <v>37</v>
      </c>
      <c r="KJ80" s="11" t="s">
        <v>37</v>
      </c>
      <c r="KM80" s="12" t="s">
        <v>37</v>
      </c>
      <c r="KN80" s="12" t="s">
        <v>37</v>
      </c>
      <c r="KO80" s="11" t="s">
        <v>37</v>
      </c>
      <c r="KQ80" s="12" t="s">
        <v>37</v>
      </c>
      <c r="KR80" s="12" t="s">
        <v>37</v>
      </c>
      <c r="KS80" s="13" t="s">
        <v>37</v>
      </c>
      <c r="KX80" s="12" t="s">
        <v>37</v>
      </c>
      <c r="KY80" s="12" t="s">
        <v>37</v>
      </c>
      <c r="KZ80" s="13" t="s">
        <v>37</v>
      </c>
      <c r="LB80" s="12" t="s">
        <v>37</v>
      </c>
      <c r="LC80" s="12" t="s">
        <v>37</v>
      </c>
      <c r="LD80" s="13" t="s">
        <v>37</v>
      </c>
      <c r="LI80" s="12" t="s">
        <v>37</v>
      </c>
      <c r="LJ80" s="12" t="s">
        <v>37</v>
      </c>
      <c r="LK80" s="12" t="s">
        <v>37</v>
      </c>
      <c r="LM80" s="12" t="s">
        <v>37</v>
      </c>
      <c r="LN80" s="12" t="s">
        <v>37</v>
      </c>
      <c r="LO80" s="12" t="s">
        <v>37</v>
      </c>
      <c r="LU80" s="12" t="s">
        <v>37</v>
      </c>
      <c r="LV80" s="12" t="s">
        <v>37</v>
      </c>
      <c r="LW80" s="13" t="s">
        <v>37</v>
      </c>
      <c r="LY80" s="12" t="s">
        <v>37</v>
      </c>
      <c r="LZ80" s="12" t="s">
        <v>37</v>
      </c>
      <c r="MA80" s="12" t="s">
        <v>37</v>
      </c>
      <c r="MF80" s="12" t="s">
        <v>37</v>
      </c>
      <c r="MG80" s="12" t="s">
        <v>37</v>
      </c>
      <c r="MH80" s="12" t="s">
        <v>37</v>
      </c>
      <c r="MJ80" s="12" t="s">
        <v>37</v>
      </c>
      <c r="MK80" s="12" t="s">
        <v>37</v>
      </c>
      <c r="ML80" s="12" t="s">
        <v>37</v>
      </c>
      <c r="MQ80" s="12" t="s">
        <v>37</v>
      </c>
      <c r="MR80" s="12" t="s">
        <v>37</v>
      </c>
      <c r="MS80" s="12" t="s">
        <v>37</v>
      </c>
      <c r="MU80" s="12" t="s">
        <v>37</v>
      </c>
      <c r="MV80" s="12" t="s">
        <v>37</v>
      </c>
      <c r="MW80" s="12" t="s">
        <v>37</v>
      </c>
      <c r="NC80" s="12" t="s">
        <v>37</v>
      </c>
      <c r="ND80" s="12" t="s">
        <v>37</v>
      </c>
      <c r="NE80" s="13" t="s">
        <v>37</v>
      </c>
      <c r="NG80" s="12" t="s">
        <v>37</v>
      </c>
      <c r="NH80" s="12" t="s">
        <v>37</v>
      </c>
      <c r="NI80" s="13" t="s">
        <v>37</v>
      </c>
      <c r="NO80" s="12" t="s">
        <v>37</v>
      </c>
      <c r="NP80" s="12" t="s">
        <v>37</v>
      </c>
      <c r="NQ80" s="13" t="s">
        <v>37</v>
      </c>
      <c r="NS80" s="12" t="s">
        <v>37</v>
      </c>
      <c r="NT80" s="12" t="s">
        <v>37</v>
      </c>
      <c r="NU80" s="13" t="s">
        <v>37</v>
      </c>
      <c r="OA80" s="11" t="s">
        <v>37</v>
      </c>
      <c r="OB80" s="11" t="s">
        <v>37</v>
      </c>
      <c r="OC80" s="13" t="s">
        <v>37</v>
      </c>
      <c r="OE80" s="11" t="s">
        <v>37</v>
      </c>
      <c r="OF80" s="11" t="s">
        <v>37</v>
      </c>
      <c r="OG80" s="13" t="s">
        <v>37</v>
      </c>
      <c r="OM80" s="11" t="s">
        <v>37</v>
      </c>
      <c r="ON80" s="11" t="s">
        <v>37</v>
      </c>
      <c r="OO80" s="11" t="s">
        <v>37</v>
      </c>
      <c r="OP80" s="11" t="s">
        <v>37</v>
      </c>
      <c r="OQ80" s="11" t="s">
        <v>37</v>
      </c>
      <c r="OR80" s="11" t="s">
        <v>37</v>
      </c>
      <c r="OW80" s="11" t="s">
        <v>37</v>
      </c>
      <c r="OX80" s="11" t="s">
        <v>37</v>
      </c>
      <c r="OY80" s="13" t="s">
        <v>37</v>
      </c>
      <c r="OZ80" s="11" t="s">
        <v>37</v>
      </c>
      <c r="PA80" s="11" t="s">
        <v>37</v>
      </c>
      <c r="PB80" s="13" t="s">
        <v>37</v>
      </c>
      <c r="PG80" s="11" t="s">
        <v>37</v>
      </c>
      <c r="PH80" s="11" t="s">
        <v>37</v>
      </c>
      <c r="PI80" s="13" t="s">
        <v>37</v>
      </c>
      <c r="PJ80" s="11" t="s">
        <v>37</v>
      </c>
      <c r="PK80" s="11" t="s">
        <v>37</v>
      </c>
      <c r="PL80" s="13" t="s">
        <v>37</v>
      </c>
      <c r="PQ80" s="11" t="s">
        <v>37</v>
      </c>
      <c r="PR80" s="11" t="s">
        <v>37</v>
      </c>
      <c r="PS80" s="13" t="s">
        <v>37</v>
      </c>
      <c r="PT80" s="11" t="s">
        <v>37</v>
      </c>
      <c r="PU80" s="11" t="s">
        <v>37</v>
      </c>
      <c r="PV80" s="13" t="s">
        <v>37</v>
      </c>
      <c r="PZ80" s="12" t="s">
        <v>37</v>
      </c>
      <c r="QA80" s="12" t="s">
        <v>37</v>
      </c>
      <c r="QB80" s="11" t="s">
        <v>37</v>
      </c>
      <c r="QD80" s="12" t="s">
        <v>37</v>
      </c>
      <c r="QE80" s="12" t="s">
        <v>37</v>
      </c>
      <c r="QF80" s="12" t="s">
        <v>37</v>
      </c>
      <c r="QK80" s="12" t="s">
        <v>37</v>
      </c>
      <c r="QL80" s="12" t="s">
        <v>37</v>
      </c>
      <c r="QM80" s="12" t="s">
        <v>37</v>
      </c>
      <c r="QN80" s="12" t="s">
        <v>37</v>
      </c>
      <c r="QO80" s="12" t="s">
        <v>37</v>
      </c>
      <c r="QP80" s="12" t="s">
        <v>37</v>
      </c>
      <c r="QQ80" s="12"/>
      <c r="QR80" s="12"/>
      <c r="QU80" s="11" t="s">
        <v>37</v>
      </c>
      <c r="QV80" s="11" t="s">
        <v>37</v>
      </c>
      <c r="QW80" s="13" t="s">
        <v>37</v>
      </c>
      <c r="QX80" s="11" t="s">
        <v>37</v>
      </c>
      <c r="QY80" s="11" t="s">
        <v>37</v>
      </c>
      <c r="QZ80" s="13" t="s">
        <v>37</v>
      </c>
      <c r="RC80" s="12" t="s">
        <v>37</v>
      </c>
      <c r="RD80" s="12" t="s">
        <v>37</v>
      </c>
      <c r="RE80" s="13" t="s">
        <v>37</v>
      </c>
      <c r="RF80" s="12" t="s">
        <v>37</v>
      </c>
      <c r="RG80" s="12" t="s">
        <v>37</v>
      </c>
      <c r="RH80" s="13" t="s">
        <v>37</v>
      </c>
      <c r="RK80" s="11" t="s">
        <v>37</v>
      </c>
      <c r="RL80" s="11" t="s">
        <v>37</v>
      </c>
      <c r="RM80" s="11" t="s">
        <v>37</v>
      </c>
      <c r="RN80" s="11" t="s">
        <v>37</v>
      </c>
      <c r="RO80" s="11" t="s">
        <v>37</v>
      </c>
      <c r="RP80" s="11" t="s">
        <v>37</v>
      </c>
      <c r="RS80" s="11" t="s">
        <v>37</v>
      </c>
      <c r="RT80" s="11" t="s">
        <v>37</v>
      </c>
      <c r="RU80" s="11" t="s">
        <v>37</v>
      </c>
      <c r="RV80" s="11" t="s">
        <v>37</v>
      </c>
      <c r="RW80" s="11" t="s">
        <v>37</v>
      </c>
      <c r="RX80" s="11" t="s">
        <v>37</v>
      </c>
      <c r="SA80" s="11" t="s">
        <v>37</v>
      </c>
      <c r="SB80" s="11" t="s">
        <v>37</v>
      </c>
      <c r="SC80" s="13" t="s">
        <v>37</v>
      </c>
      <c r="SD80" s="11" t="s">
        <v>37</v>
      </c>
      <c r="SE80" s="11" t="s">
        <v>37</v>
      </c>
      <c r="SF80" s="13" t="s">
        <v>37</v>
      </c>
      <c r="SI80" s="12" t="s">
        <v>37</v>
      </c>
      <c r="SJ80" s="12" t="s">
        <v>37</v>
      </c>
      <c r="SK80" s="13" t="s">
        <v>37</v>
      </c>
      <c r="SM80" s="12" t="s">
        <v>37</v>
      </c>
      <c r="SN80" s="12" t="s">
        <v>37</v>
      </c>
      <c r="SO80" s="13" t="s">
        <v>37</v>
      </c>
      <c r="SU80" s="12" t="s">
        <v>37</v>
      </c>
      <c r="SV80" s="12" t="s">
        <v>37</v>
      </c>
      <c r="SW80" s="11" t="s">
        <v>37</v>
      </c>
      <c r="SX80" s="12" t="s">
        <v>37</v>
      </c>
      <c r="SY80" s="12" t="s">
        <v>37</v>
      </c>
      <c r="SZ80" s="11" t="s">
        <v>37</v>
      </c>
      <c r="TE80" s="12" t="s">
        <v>37</v>
      </c>
      <c r="TF80" s="12" t="s">
        <v>37</v>
      </c>
      <c r="TG80" s="11" t="s">
        <v>37</v>
      </c>
      <c r="TH80" s="12" t="s">
        <v>37</v>
      </c>
      <c r="TI80" s="12" t="s">
        <v>37</v>
      </c>
      <c r="TJ80" s="11" t="s">
        <v>37</v>
      </c>
      <c r="TO80" s="12" t="s">
        <v>37</v>
      </c>
      <c r="TP80" s="12" t="s">
        <v>37</v>
      </c>
      <c r="TQ80" s="11" t="s">
        <v>37</v>
      </c>
      <c r="TR80" s="12" t="s">
        <v>37</v>
      </c>
      <c r="TS80" s="12" t="s">
        <v>37</v>
      </c>
      <c r="TT80" s="11" t="s">
        <v>37</v>
      </c>
      <c r="TY80" s="12" t="s">
        <v>37</v>
      </c>
      <c r="TZ80" s="12" t="s">
        <v>37</v>
      </c>
      <c r="UA80" s="11" t="s">
        <v>37</v>
      </c>
      <c r="UB80" s="12" t="s">
        <v>37</v>
      </c>
      <c r="UC80" s="12" t="s">
        <v>37</v>
      </c>
      <c r="UD80" s="11" t="s">
        <v>37</v>
      </c>
      <c r="UI80" s="12" t="s">
        <v>37</v>
      </c>
      <c r="UJ80" s="12" t="s">
        <v>37</v>
      </c>
      <c r="UK80" s="13" t="s">
        <v>37</v>
      </c>
      <c r="UL80" s="12" t="s">
        <v>37</v>
      </c>
      <c r="UM80" s="12" t="s">
        <v>37</v>
      </c>
      <c r="UN80" s="13" t="s">
        <v>37</v>
      </c>
      <c r="UR80" s="12" t="s">
        <v>37</v>
      </c>
      <c r="US80" s="12" t="s">
        <v>37</v>
      </c>
      <c r="UT80" s="13" t="s">
        <v>37</v>
      </c>
      <c r="UU80" s="12" t="s">
        <v>37</v>
      </c>
      <c r="UV80" s="12" t="s">
        <v>37</v>
      </c>
      <c r="UW80" s="13" t="s">
        <v>37</v>
      </c>
      <c r="VB80" s="12" t="s">
        <v>37</v>
      </c>
      <c r="VC80" s="12" t="s">
        <v>37</v>
      </c>
      <c r="VD80" s="13" t="s">
        <v>37</v>
      </c>
      <c r="VE80" s="12" t="s">
        <v>37</v>
      </c>
      <c r="VF80" s="12" t="s">
        <v>37</v>
      </c>
      <c r="VG80" s="13" t="s">
        <v>37</v>
      </c>
      <c r="VI80" s="12" t="s">
        <v>37</v>
      </c>
      <c r="VJ80" s="12" t="s">
        <v>37</v>
      </c>
      <c r="VK80" s="13" t="s">
        <v>37</v>
      </c>
      <c r="VL80" s="12" t="s">
        <v>37</v>
      </c>
      <c r="VM80" s="12" t="s">
        <v>37</v>
      </c>
      <c r="VN80" s="13" t="s">
        <v>37</v>
      </c>
      <c r="VO80" s="12" t="s">
        <v>37</v>
      </c>
      <c r="VQ80" s="12" t="s">
        <v>37</v>
      </c>
      <c r="VR80" s="12" t="s">
        <v>37</v>
      </c>
      <c r="VS80" s="12" t="s">
        <v>37</v>
      </c>
      <c r="VT80" s="12" t="s">
        <v>37</v>
      </c>
      <c r="VU80" s="12" t="s">
        <v>37</v>
      </c>
      <c r="VV80" s="12" t="s">
        <v>37</v>
      </c>
      <c r="VW80" s="12"/>
      <c r="VX80" s="12"/>
      <c r="WA80" s="13" t="s">
        <v>37</v>
      </c>
      <c r="WB80" s="13" t="s">
        <v>37</v>
      </c>
      <c r="WC80" s="13" t="s">
        <v>37</v>
      </c>
      <c r="WD80" s="13" t="s">
        <v>37</v>
      </c>
      <c r="WE80" s="13" t="s">
        <v>37</v>
      </c>
      <c r="WF80" s="13" t="s">
        <v>37</v>
      </c>
    </row>
    <row r="81" spans="1:604" ht="18" customHeight="1" x14ac:dyDescent="0.4">
      <c r="A81" s="11">
        <v>17</v>
      </c>
      <c r="B81" s="16" t="s">
        <v>919</v>
      </c>
      <c r="C81" s="12" t="s">
        <v>31</v>
      </c>
      <c r="D81" s="12" t="s">
        <v>54</v>
      </c>
      <c r="E81" s="40" t="s">
        <v>37</v>
      </c>
      <c r="F81" s="14">
        <v>0</v>
      </c>
      <c r="G81" s="14">
        <v>0</v>
      </c>
      <c r="H81" s="12" t="s">
        <v>123</v>
      </c>
      <c r="I81" s="29">
        <v>70.766999999999996</v>
      </c>
      <c r="J81" s="29">
        <v>25.85</v>
      </c>
      <c r="K81" s="12" t="s">
        <v>704</v>
      </c>
      <c r="L81" s="12" t="s">
        <v>705</v>
      </c>
      <c r="M81" s="13" t="s">
        <v>37</v>
      </c>
      <c r="N81" s="14" t="s">
        <v>37</v>
      </c>
      <c r="O81" s="14" t="s">
        <v>37</v>
      </c>
      <c r="P81" s="14" t="s">
        <v>84</v>
      </c>
      <c r="Q81" s="75">
        <v>42</v>
      </c>
      <c r="R81" s="11" t="s">
        <v>1000</v>
      </c>
      <c r="S81" s="12" t="s">
        <v>85</v>
      </c>
      <c r="T81" s="12" t="s">
        <v>473</v>
      </c>
      <c r="U81" s="12" t="s">
        <v>158</v>
      </c>
      <c r="V81" s="12" t="s">
        <v>275</v>
      </c>
      <c r="W81" s="23" t="s">
        <v>500</v>
      </c>
      <c r="X81" s="12" t="s">
        <v>281</v>
      </c>
      <c r="Y81" s="12" t="s">
        <v>69</v>
      </c>
      <c r="Z81" s="12" t="s">
        <v>37</v>
      </c>
      <c r="AB81" s="12" t="s">
        <v>37</v>
      </c>
      <c r="AE81" s="12" t="s">
        <v>37</v>
      </c>
      <c r="AH81" s="12" t="s">
        <v>37</v>
      </c>
      <c r="AK81" s="12" t="s">
        <v>37</v>
      </c>
      <c r="AL81" s="32" t="s">
        <v>508</v>
      </c>
      <c r="AM81" s="13" t="s">
        <v>344</v>
      </c>
      <c r="AO81" s="13" t="s">
        <v>37</v>
      </c>
      <c r="AP81" s="13" t="s">
        <v>37</v>
      </c>
      <c r="AQ81" s="12" t="s">
        <v>975</v>
      </c>
      <c r="AT81" s="12" t="s">
        <v>326</v>
      </c>
      <c r="AU81" s="12" t="s">
        <v>326</v>
      </c>
      <c r="AV81" s="13" t="s">
        <v>326</v>
      </c>
      <c r="AX81" s="12" t="s">
        <v>326</v>
      </c>
      <c r="AY81" s="12" t="s">
        <v>326</v>
      </c>
      <c r="AZ81" s="13" t="s">
        <v>326</v>
      </c>
      <c r="BE81" s="12" t="s">
        <v>326</v>
      </c>
      <c r="BF81" s="12" t="s">
        <v>326</v>
      </c>
      <c r="BG81" s="12" t="s">
        <v>326</v>
      </c>
      <c r="BI81" s="12" t="s">
        <v>326</v>
      </c>
      <c r="BJ81" s="12" t="s">
        <v>326</v>
      </c>
      <c r="BK81" s="12" t="s">
        <v>326</v>
      </c>
      <c r="BP81" s="12" t="s">
        <v>37</v>
      </c>
      <c r="BQ81" s="12" t="s">
        <v>37</v>
      </c>
      <c r="BR81" s="13" t="s">
        <v>37</v>
      </c>
      <c r="BT81" s="12" t="s">
        <v>37</v>
      </c>
      <c r="BU81" s="12" t="s">
        <v>37</v>
      </c>
      <c r="BV81" s="12" t="s">
        <v>37</v>
      </c>
      <c r="CA81" s="15" t="s">
        <v>37</v>
      </c>
      <c r="CB81" s="15" t="s">
        <v>37</v>
      </c>
      <c r="CC81" s="18" t="s">
        <v>37</v>
      </c>
      <c r="CD81" s="52"/>
      <c r="CE81" s="15" t="s">
        <v>37</v>
      </c>
      <c r="CF81" s="15" t="s">
        <v>37</v>
      </c>
      <c r="CG81" s="18" t="s">
        <v>37</v>
      </c>
      <c r="CH81" s="52"/>
      <c r="CJ81" s="12"/>
      <c r="CN81" s="15" t="s">
        <v>37</v>
      </c>
      <c r="CO81" s="15" t="s">
        <v>37</v>
      </c>
      <c r="CP81" s="18" t="s">
        <v>37</v>
      </c>
      <c r="CQ81" s="52"/>
      <c r="CR81" s="15" t="s">
        <v>37</v>
      </c>
      <c r="CS81" s="15" t="s">
        <v>37</v>
      </c>
      <c r="CT81" s="18" t="s">
        <v>37</v>
      </c>
      <c r="CU81" s="52"/>
      <c r="CX81" s="72"/>
      <c r="CY81" s="72"/>
      <c r="DA81" s="15" t="s">
        <v>37</v>
      </c>
      <c r="DB81" s="15" t="s">
        <v>37</v>
      </c>
      <c r="DC81" s="18" t="s">
        <v>37</v>
      </c>
      <c r="DD81" s="52"/>
      <c r="DE81" s="15" t="s">
        <v>37</v>
      </c>
      <c r="DF81" s="15" t="s">
        <v>37</v>
      </c>
      <c r="DG81" s="18" t="s">
        <v>37</v>
      </c>
      <c r="DH81" s="52"/>
      <c r="DM81" s="12" t="s">
        <v>47</v>
      </c>
      <c r="DN81" s="19">
        <f>13.14*10^4/10^3</f>
        <v>131.4</v>
      </c>
      <c r="DO81" s="50">
        <f t="shared" ref="DO81:DO87" si="285">ABS(DN81)*DQ$474</f>
        <v>146.49513859561415</v>
      </c>
      <c r="DP81" s="13">
        <v>3</v>
      </c>
      <c r="DR81" s="19">
        <f>3.88*10^4/10^3</f>
        <v>38.799999999999997</v>
      </c>
      <c r="DS81" s="50">
        <f t="shared" ref="DS81:DS87" si="286">ABS(DR81)*DU$474</f>
        <v>145.00399223168318</v>
      </c>
      <c r="DT81" s="13">
        <v>3</v>
      </c>
      <c r="DV81" s="19">
        <f t="shared" ref="DV81:DV87" si="287">DR81-DN81</f>
        <v>-92.600000000000009</v>
      </c>
      <c r="DW81" s="12">
        <f t="shared" ref="DW81:DW89" si="288">SQRT(((DP81-1)*DO81^2+(DT81-1)*DS81^2)/(DP81+DT81-2))</f>
        <v>145.75147236867667</v>
      </c>
      <c r="DX81" s="72">
        <f t="shared" si="196"/>
        <v>14162.327798424743</v>
      </c>
      <c r="DY81" s="72">
        <f t="shared" si="197"/>
        <v>14162.327798424745</v>
      </c>
      <c r="DZ81" s="12"/>
      <c r="EA81" s="19" t="s">
        <v>37</v>
      </c>
      <c r="EB81" s="19" t="s">
        <v>37</v>
      </c>
      <c r="EC81" s="72" t="s">
        <v>37</v>
      </c>
      <c r="EE81" s="19" t="s">
        <v>37</v>
      </c>
      <c r="EF81" s="19" t="s">
        <v>37</v>
      </c>
      <c r="EG81" s="12" t="s">
        <v>37</v>
      </c>
      <c r="EM81" s="12" t="s">
        <v>39</v>
      </c>
      <c r="EN81" s="12">
        <v>-9</v>
      </c>
      <c r="EO81" s="50">
        <f>ABS(EN81)*EQ$474</f>
        <v>3.6674675887616401</v>
      </c>
      <c r="EP81" s="13">
        <v>3</v>
      </c>
      <c r="ER81" s="12">
        <v>-15</v>
      </c>
      <c r="ES81" s="50">
        <f>ABS(ER81)*EU$474</f>
        <v>3.4022108026379128</v>
      </c>
      <c r="ET81" s="13">
        <v>3</v>
      </c>
      <c r="EV81" s="19">
        <f t="shared" ref="EV81:EV87" si="289">ER81-EN81</f>
        <v>-6</v>
      </c>
      <c r="EW81" s="12">
        <f t="shared" ref="EW81:EW87" si="290">SQRT(((EP81-1)*EO81^2+(ET81-1)*ES81^2)/(EP81+ET81-2))</f>
        <v>3.5373264522943897</v>
      </c>
      <c r="EX81" s="19">
        <f t="shared" ref="EX81:EX87" si="291">(((EP81+ET81)/(EP81*ET81))*(((EP81-1)*EO81^2)+(ET81-1)*ES81^2)/(EP81+ET81-2))</f>
        <v>8.3417856200677427</v>
      </c>
      <c r="EY81" s="19">
        <f t="shared" ref="EY81:EY87" si="292">(EO81^2/EP81)+(ES81^2/ET81)</f>
        <v>8.3417856200677427</v>
      </c>
      <c r="FB81" s="11" t="s">
        <v>37</v>
      </c>
      <c r="FC81" s="11" t="s">
        <v>37</v>
      </c>
      <c r="FD81" s="11" t="s">
        <v>37</v>
      </c>
      <c r="FE81" s="12" t="s">
        <v>37</v>
      </c>
      <c r="FF81" s="20" t="s">
        <v>37</v>
      </c>
      <c r="FG81" s="11" t="s">
        <v>37</v>
      </c>
      <c r="FI81" s="11" t="s">
        <v>37</v>
      </c>
      <c r="FJ81" s="11" t="s">
        <v>37</v>
      </c>
      <c r="FK81" s="11" t="s">
        <v>37</v>
      </c>
      <c r="FL81" s="13" t="s">
        <v>37</v>
      </c>
      <c r="FM81" s="11" t="s">
        <v>37</v>
      </c>
      <c r="FN81" s="11" t="s">
        <v>37</v>
      </c>
      <c r="FP81" s="11" t="s">
        <v>37</v>
      </c>
      <c r="FQ81" s="11" t="s">
        <v>37</v>
      </c>
      <c r="FR81" s="11" t="s">
        <v>37</v>
      </c>
      <c r="FS81" s="13" t="s">
        <v>37</v>
      </c>
      <c r="FT81" s="11" t="s">
        <v>37</v>
      </c>
      <c r="FU81" s="11" t="s">
        <v>37</v>
      </c>
      <c r="FW81" s="11" t="s">
        <v>37</v>
      </c>
      <c r="FX81" s="11" t="s">
        <v>37</v>
      </c>
      <c r="FY81" s="11" t="s">
        <v>37</v>
      </c>
      <c r="FZ81" s="13" t="s">
        <v>37</v>
      </c>
      <c r="GA81" s="11" t="s">
        <v>37</v>
      </c>
      <c r="GB81" s="11" t="s">
        <v>37</v>
      </c>
      <c r="HA81" s="12"/>
      <c r="HB81" s="32"/>
      <c r="HM81" s="32"/>
      <c r="IK81" s="12" t="s">
        <v>37</v>
      </c>
      <c r="IL81" s="12" t="s">
        <v>37</v>
      </c>
      <c r="IM81" s="13" t="s">
        <v>37</v>
      </c>
      <c r="IO81" s="12" t="s">
        <v>37</v>
      </c>
      <c r="IP81" s="12" t="s">
        <v>37</v>
      </c>
      <c r="IQ81" s="13" t="s">
        <v>37</v>
      </c>
      <c r="IW81" s="12" t="s">
        <v>37</v>
      </c>
      <c r="IX81" s="12" t="s">
        <v>37</v>
      </c>
      <c r="IY81" s="13" t="s">
        <v>37</v>
      </c>
      <c r="JA81" s="12" t="s">
        <v>37</v>
      </c>
      <c r="JB81" s="12" t="s">
        <v>37</v>
      </c>
      <c r="JC81" s="13" t="s">
        <v>37</v>
      </c>
      <c r="JH81" s="12" t="s">
        <v>37</v>
      </c>
      <c r="JI81" s="12" t="s">
        <v>37</v>
      </c>
      <c r="JJ81" s="13" t="s">
        <v>37</v>
      </c>
      <c r="JL81" s="12" t="s">
        <v>37</v>
      </c>
      <c r="JM81" s="12" t="s">
        <v>37</v>
      </c>
      <c r="JN81" s="12" t="s">
        <v>37</v>
      </c>
      <c r="JS81" s="12" t="s">
        <v>37</v>
      </c>
      <c r="JT81" s="12" t="s">
        <v>37</v>
      </c>
      <c r="JU81" s="13" t="s">
        <v>37</v>
      </c>
      <c r="JW81" s="12" t="s">
        <v>37</v>
      </c>
      <c r="JX81" s="12" t="s">
        <v>37</v>
      </c>
      <c r="JY81" s="12" t="s">
        <v>37</v>
      </c>
      <c r="KE81" s="11" t="s">
        <v>37</v>
      </c>
      <c r="KF81" s="11" t="s">
        <v>37</v>
      </c>
      <c r="KG81" s="13" t="s">
        <v>37</v>
      </c>
      <c r="KH81" s="11" t="s">
        <v>37</v>
      </c>
      <c r="KI81" s="11" t="s">
        <v>37</v>
      </c>
      <c r="KJ81" s="11" t="s">
        <v>37</v>
      </c>
      <c r="KM81" s="12" t="s">
        <v>37</v>
      </c>
      <c r="KN81" s="12" t="s">
        <v>37</v>
      </c>
      <c r="KO81" s="11" t="s">
        <v>37</v>
      </c>
      <c r="KQ81" s="12" t="s">
        <v>37</v>
      </c>
      <c r="KR81" s="12" t="s">
        <v>37</v>
      </c>
      <c r="KS81" s="13" t="s">
        <v>37</v>
      </c>
      <c r="KX81" s="12" t="s">
        <v>37</v>
      </c>
      <c r="KY81" s="12" t="s">
        <v>37</v>
      </c>
      <c r="KZ81" s="13" t="s">
        <v>37</v>
      </c>
      <c r="LB81" s="12" t="s">
        <v>37</v>
      </c>
      <c r="LC81" s="12" t="s">
        <v>37</v>
      </c>
      <c r="LD81" s="13" t="s">
        <v>37</v>
      </c>
      <c r="LI81" s="12" t="s">
        <v>37</v>
      </c>
      <c r="LJ81" s="12" t="s">
        <v>37</v>
      </c>
      <c r="LK81" s="12" t="s">
        <v>37</v>
      </c>
      <c r="LM81" s="12" t="s">
        <v>37</v>
      </c>
      <c r="LN81" s="12" t="s">
        <v>37</v>
      </c>
      <c r="LO81" s="12" t="s">
        <v>37</v>
      </c>
      <c r="LU81" s="12" t="s">
        <v>37</v>
      </c>
      <c r="LV81" s="12" t="s">
        <v>37</v>
      </c>
      <c r="LW81" s="13" t="s">
        <v>37</v>
      </c>
      <c r="LY81" s="12" t="s">
        <v>37</v>
      </c>
      <c r="LZ81" s="12" t="s">
        <v>37</v>
      </c>
      <c r="MA81" s="12" t="s">
        <v>37</v>
      </c>
      <c r="MF81" s="12" t="s">
        <v>37</v>
      </c>
      <c r="MG81" s="12" t="s">
        <v>37</v>
      </c>
      <c r="MH81" s="12" t="s">
        <v>37</v>
      </c>
      <c r="MJ81" s="12" t="s">
        <v>37</v>
      </c>
      <c r="MK81" s="12" t="s">
        <v>37</v>
      </c>
      <c r="ML81" s="12" t="s">
        <v>37</v>
      </c>
      <c r="MQ81" s="12" t="s">
        <v>37</v>
      </c>
      <c r="MR81" s="12" t="s">
        <v>37</v>
      </c>
      <c r="MS81" s="12" t="s">
        <v>37</v>
      </c>
      <c r="MU81" s="12" t="s">
        <v>37</v>
      </c>
      <c r="MV81" s="12" t="s">
        <v>37</v>
      </c>
      <c r="MW81" s="12" t="s">
        <v>37</v>
      </c>
      <c r="NC81" s="12" t="s">
        <v>37</v>
      </c>
      <c r="ND81" s="12" t="s">
        <v>37</v>
      </c>
      <c r="NE81" s="13" t="s">
        <v>37</v>
      </c>
      <c r="NG81" s="12" t="s">
        <v>37</v>
      </c>
      <c r="NH81" s="12" t="s">
        <v>37</v>
      </c>
      <c r="NI81" s="13" t="s">
        <v>37</v>
      </c>
      <c r="NO81" s="12" t="s">
        <v>37</v>
      </c>
      <c r="NP81" s="12" t="s">
        <v>37</v>
      </c>
      <c r="NQ81" s="13" t="s">
        <v>37</v>
      </c>
      <c r="NS81" s="12" t="s">
        <v>37</v>
      </c>
      <c r="NT81" s="12" t="s">
        <v>37</v>
      </c>
      <c r="NU81" s="13" t="s">
        <v>37</v>
      </c>
      <c r="OA81" s="11" t="s">
        <v>37</v>
      </c>
      <c r="OB81" s="11" t="s">
        <v>37</v>
      </c>
      <c r="OC81" s="13" t="s">
        <v>37</v>
      </c>
      <c r="OE81" s="11" t="s">
        <v>37</v>
      </c>
      <c r="OF81" s="11" t="s">
        <v>37</v>
      </c>
      <c r="OG81" s="13" t="s">
        <v>37</v>
      </c>
      <c r="OM81" s="11" t="s">
        <v>37</v>
      </c>
      <c r="ON81" s="11" t="s">
        <v>37</v>
      </c>
      <c r="OO81" s="11" t="s">
        <v>37</v>
      </c>
      <c r="OP81" s="11" t="s">
        <v>37</v>
      </c>
      <c r="OQ81" s="11" t="s">
        <v>37</v>
      </c>
      <c r="OR81" s="11" t="s">
        <v>37</v>
      </c>
      <c r="OW81" s="11" t="s">
        <v>37</v>
      </c>
      <c r="OX81" s="11" t="s">
        <v>37</v>
      </c>
      <c r="OY81" s="13" t="s">
        <v>37</v>
      </c>
      <c r="OZ81" s="11" t="s">
        <v>37</v>
      </c>
      <c r="PA81" s="11" t="s">
        <v>37</v>
      </c>
      <c r="PB81" s="13" t="s">
        <v>37</v>
      </c>
      <c r="PG81" s="11" t="s">
        <v>37</v>
      </c>
      <c r="PH81" s="11" t="s">
        <v>37</v>
      </c>
      <c r="PI81" s="13" t="s">
        <v>37</v>
      </c>
      <c r="PJ81" s="11" t="s">
        <v>37</v>
      </c>
      <c r="PK81" s="11" t="s">
        <v>37</v>
      </c>
      <c r="PL81" s="13" t="s">
        <v>37</v>
      </c>
      <c r="PQ81" s="11" t="s">
        <v>37</v>
      </c>
      <c r="PR81" s="11" t="s">
        <v>37</v>
      </c>
      <c r="PS81" s="13" t="s">
        <v>37</v>
      </c>
      <c r="PT81" s="11" t="s">
        <v>37</v>
      </c>
      <c r="PU81" s="11" t="s">
        <v>37</v>
      </c>
      <c r="PV81" s="13" t="s">
        <v>37</v>
      </c>
      <c r="PZ81" s="12" t="s">
        <v>37</v>
      </c>
      <c r="QA81" s="12" t="s">
        <v>37</v>
      </c>
      <c r="QB81" s="11" t="s">
        <v>37</v>
      </c>
      <c r="QD81" s="12" t="s">
        <v>37</v>
      </c>
      <c r="QE81" s="12" t="s">
        <v>37</v>
      </c>
      <c r="QF81" s="12" t="s">
        <v>37</v>
      </c>
      <c r="QK81" s="12" t="s">
        <v>37</v>
      </c>
      <c r="QL81" s="12" t="s">
        <v>37</v>
      </c>
      <c r="QM81" s="12" t="s">
        <v>37</v>
      </c>
      <c r="QN81" s="12" t="s">
        <v>37</v>
      </c>
      <c r="QO81" s="12" t="s">
        <v>37</v>
      </c>
      <c r="QP81" s="12" t="s">
        <v>37</v>
      </c>
      <c r="QQ81" s="12"/>
      <c r="QR81" s="12"/>
      <c r="QU81" s="11" t="s">
        <v>37</v>
      </c>
      <c r="QV81" s="11" t="s">
        <v>37</v>
      </c>
      <c r="QW81" s="13" t="s">
        <v>37</v>
      </c>
      <c r="QX81" s="11" t="s">
        <v>37</v>
      </c>
      <c r="QY81" s="11" t="s">
        <v>37</v>
      </c>
      <c r="QZ81" s="13" t="s">
        <v>37</v>
      </c>
      <c r="RC81" s="12" t="s">
        <v>37</v>
      </c>
      <c r="RD81" s="12" t="s">
        <v>37</v>
      </c>
      <c r="RE81" s="13" t="s">
        <v>37</v>
      </c>
      <c r="RF81" s="12" t="s">
        <v>37</v>
      </c>
      <c r="RG81" s="12" t="s">
        <v>37</v>
      </c>
      <c r="RH81" s="13" t="s">
        <v>37</v>
      </c>
      <c r="RK81" s="11" t="s">
        <v>37</v>
      </c>
      <c r="RL81" s="11" t="s">
        <v>37</v>
      </c>
      <c r="RM81" s="11" t="s">
        <v>37</v>
      </c>
      <c r="RN81" s="11" t="s">
        <v>37</v>
      </c>
      <c r="RO81" s="11" t="s">
        <v>37</v>
      </c>
      <c r="RP81" s="11" t="s">
        <v>37</v>
      </c>
      <c r="RS81" s="11" t="s">
        <v>37</v>
      </c>
      <c r="RT81" s="11" t="s">
        <v>37</v>
      </c>
      <c r="RU81" s="11" t="s">
        <v>37</v>
      </c>
      <c r="RV81" s="11" t="s">
        <v>37</v>
      </c>
      <c r="RW81" s="11" t="s">
        <v>37</v>
      </c>
      <c r="RX81" s="11" t="s">
        <v>37</v>
      </c>
      <c r="SA81" s="11" t="s">
        <v>37</v>
      </c>
      <c r="SB81" s="11" t="s">
        <v>37</v>
      </c>
      <c r="SC81" s="13" t="s">
        <v>37</v>
      </c>
      <c r="SD81" s="11" t="s">
        <v>37</v>
      </c>
      <c r="SE81" s="11" t="s">
        <v>37</v>
      </c>
      <c r="SF81" s="13" t="s">
        <v>37</v>
      </c>
      <c r="SI81" s="12" t="s">
        <v>37</v>
      </c>
      <c r="SJ81" s="12" t="s">
        <v>37</v>
      </c>
      <c r="SK81" s="13" t="s">
        <v>37</v>
      </c>
      <c r="SM81" s="12" t="s">
        <v>37</v>
      </c>
      <c r="SN81" s="12" t="s">
        <v>37</v>
      </c>
      <c r="SO81" s="13" t="s">
        <v>37</v>
      </c>
      <c r="SU81" s="12" t="s">
        <v>37</v>
      </c>
      <c r="SV81" s="12" t="s">
        <v>37</v>
      </c>
      <c r="SW81" s="11" t="s">
        <v>37</v>
      </c>
      <c r="SX81" s="12" t="s">
        <v>37</v>
      </c>
      <c r="SY81" s="12" t="s">
        <v>37</v>
      </c>
      <c r="SZ81" s="11" t="s">
        <v>37</v>
      </c>
      <c r="TE81" s="12" t="s">
        <v>37</v>
      </c>
      <c r="TF81" s="12" t="s">
        <v>37</v>
      </c>
      <c r="TG81" s="11" t="s">
        <v>37</v>
      </c>
      <c r="TH81" s="12" t="s">
        <v>37</v>
      </c>
      <c r="TI81" s="12" t="s">
        <v>37</v>
      </c>
      <c r="TJ81" s="11" t="s">
        <v>37</v>
      </c>
      <c r="TO81" s="12" t="s">
        <v>37</v>
      </c>
      <c r="TP81" s="12" t="s">
        <v>37</v>
      </c>
      <c r="TQ81" s="11" t="s">
        <v>37</v>
      </c>
      <c r="TR81" s="12" t="s">
        <v>37</v>
      </c>
      <c r="TS81" s="12" t="s">
        <v>37</v>
      </c>
      <c r="TT81" s="11" t="s">
        <v>37</v>
      </c>
      <c r="TY81" s="12" t="s">
        <v>37</v>
      </c>
      <c r="TZ81" s="12" t="s">
        <v>37</v>
      </c>
      <c r="UA81" s="11" t="s">
        <v>37</v>
      </c>
      <c r="UB81" s="12" t="s">
        <v>37</v>
      </c>
      <c r="UC81" s="12" t="s">
        <v>37</v>
      </c>
      <c r="UD81" s="11" t="s">
        <v>37</v>
      </c>
      <c r="UI81" s="12" t="s">
        <v>37</v>
      </c>
      <c r="UJ81" s="12" t="s">
        <v>37</v>
      </c>
      <c r="UK81" s="13" t="s">
        <v>37</v>
      </c>
      <c r="UL81" s="12" t="s">
        <v>37</v>
      </c>
      <c r="UM81" s="12" t="s">
        <v>37</v>
      </c>
      <c r="UN81" s="13" t="s">
        <v>37</v>
      </c>
      <c r="UR81" s="12" t="s">
        <v>37</v>
      </c>
      <c r="US81" s="12" t="s">
        <v>37</v>
      </c>
      <c r="UT81" s="13" t="s">
        <v>37</v>
      </c>
      <c r="UU81" s="12" t="s">
        <v>37</v>
      </c>
      <c r="UV81" s="12" t="s">
        <v>37</v>
      </c>
      <c r="UW81" s="13" t="s">
        <v>37</v>
      </c>
      <c r="VB81" s="12" t="s">
        <v>37</v>
      </c>
      <c r="VC81" s="12" t="s">
        <v>37</v>
      </c>
      <c r="VD81" s="13" t="s">
        <v>37</v>
      </c>
      <c r="VE81" s="12" t="s">
        <v>37</v>
      </c>
      <c r="VF81" s="12" t="s">
        <v>37</v>
      </c>
      <c r="VG81" s="13" t="s">
        <v>37</v>
      </c>
      <c r="VI81" s="12" t="s">
        <v>37</v>
      </c>
      <c r="VJ81" s="12" t="s">
        <v>37</v>
      </c>
      <c r="VK81" s="13" t="s">
        <v>37</v>
      </c>
      <c r="VL81" s="12" t="s">
        <v>37</v>
      </c>
      <c r="VM81" s="12" t="s">
        <v>37</v>
      </c>
      <c r="VN81" s="13" t="s">
        <v>37</v>
      </c>
      <c r="VO81" s="12" t="s">
        <v>37</v>
      </c>
      <c r="VQ81" s="12" t="s">
        <v>37</v>
      </c>
      <c r="VR81" s="12" t="s">
        <v>37</v>
      </c>
      <c r="VS81" s="12" t="s">
        <v>37</v>
      </c>
      <c r="VT81" s="12" t="s">
        <v>37</v>
      </c>
      <c r="VU81" s="12" t="s">
        <v>37</v>
      </c>
      <c r="VV81" s="12" t="s">
        <v>37</v>
      </c>
      <c r="VW81" s="12"/>
      <c r="VX81" s="12"/>
      <c r="WA81" s="13" t="s">
        <v>37</v>
      </c>
      <c r="WB81" s="13" t="s">
        <v>37</v>
      </c>
      <c r="WC81" s="13" t="s">
        <v>37</v>
      </c>
      <c r="WD81" s="13" t="s">
        <v>37</v>
      </c>
      <c r="WE81" s="13" t="s">
        <v>37</v>
      </c>
      <c r="WF81" s="13" t="s">
        <v>37</v>
      </c>
    </row>
    <row r="82" spans="1:604" ht="18" customHeight="1" x14ac:dyDescent="0.4">
      <c r="A82" s="11">
        <v>17</v>
      </c>
      <c r="B82" s="16" t="s">
        <v>348</v>
      </c>
      <c r="C82" s="12" t="s">
        <v>864</v>
      </c>
      <c r="D82" s="12" t="s">
        <v>54</v>
      </c>
      <c r="E82" s="40" t="s">
        <v>37</v>
      </c>
      <c r="F82" s="14">
        <v>0</v>
      </c>
      <c r="G82" s="14">
        <v>0</v>
      </c>
      <c r="H82" s="12" t="s">
        <v>123</v>
      </c>
      <c r="I82" s="29">
        <v>70.766999999999996</v>
      </c>
      <c r="J82" s="29">
        <v>25.85</v>
      </c>
      <c r="K82" s="12" t="s">
        <v>704</v>
      </c>
      <c r="L82" s="12" t="s">
        <v>705</v>
      </c>
      <c r="M82" s="13" t="s">
        <v>37</v>
      </c>
      <c r="N82" s="14" t="s">
        <v>37</v>
      </c>
      <c r="O82" s="14" t="s">
        <v>37</v>
      </c>
      <c r="P82" s="14" t="s">
        <v>84</v>
      </c>
      <c r="Q82" s="75">
        <v>42</v>
      </c>
      <c r="R82" s="11" t="s">
        <v>1000</v>
      </c>
      <c r="S82" s="12" t="s">
        <v>85</v>
      </c>
      <c r="T82" s="12" t="s">
        <v>473</v>
      </c>
      <c r="U82" s="12" t="s">
        <v>158</v>
      </c>
      <c r="V82" s="12" t="s">
        <v>275</v>
      </c>
      <c r="W82" s="23" t="s">
        <v>500</v>
      </c>
      <c r="X82" s="12" t="s">
        <v>281</v>
      </c>
      <c r="Y82" s="12" t="s">
        <v>69</v>
      </c>
      <c r="Z82" s="12" t="s">
        <v>37</v>
      </c>
      <c r="AB82" s="12" t="s">
        <v>37</v>
      </c>
      <c r="AE82" s="12" t="s">
        <v>37</v>
      </c>
      <c r="AH82" s="12" t="s">
        <v>37</v>
      </c>
      <c r="AK82" s="12" t="s">
        <v>37</v>
      </c>
      <c r="AL82" s="32" t="s">
        <v>508</v>
      </c>
      <c r="AM82" s="13" t="s">
        <v>344</v>
      </c>
      <c r="AO82" s="13" t="s">
        <v>37</v>
      </c>
      <c r="AP82" s="13" t="s">
        <v>37</v>
      </c>
      <c r="AQ82" s="12" t="s">
        <v>975</v>
      </c>
      <c r="AT82" s="12" t="s">
        <v>326</v>
      </c>
      <c r="AU82" s="12" t="s">
        <v>326</v>
      </c>
      <c r="AV82" s="13" t="s">
        <v>326</v>
      </c>
      <c r="AX82" s="12" t="s">
        <v>326</v>
      </c>
      <c r="AY82" s="12" t="s">
        <v>326</v>
      </c>
      <c r="AZ82" s="13" t="s">
        <v>326</v>
      </c>
      <c r="BE82" s="12" t="s">
        <v>326</v>
      </c>
      <c r="BF82" s="12" t="s">
        <v>326</v>
      </c>
      <c r="BG82" s="12" t="s">
        <v>326</v>
      </c>
      <c r="BI82" s="12" t="s">
        <v>326</v>
      </c>
      <c r="BJ82" s="12" t="s">
        <v>326</v>
      </c>
      <c r="BK82" s="12" t="s">
        <v>326</v>
      </c>
      <c r="BP82" s="12" t="s">
        <v>37</v>
      </c>
      <c r="BQ82" s="12" t="s">
        <v>37</v>
      </c>
      <c r="BR82" s="13" t="s">
        <v>37</v>
      </c>
      <c r="BT82" s="12" t="s">
        <v>37</v>
      </c>
      <c r="BU82" s="12" t="s">
        <v>37</v>
      </c>
      <c r="BV82" s="12" t="s">
        <v>37</v>
      </c>
      <c r="CA82" s="15" t="s">
        <v>37</v>
      </c>
      <c r="CB82" s="15" t="s">
        <v>37</v>
      </c>
      <c r="CC82" s="18" t="s">
        <v>37</v>
      </c>
      <c r="CD82" s="52"/>
      <c r="CE82" s="15" t="s">
        <v>37</v>
      </c>
      <c r="CF82" s="15" t="s">
        <v>37</v>
      </c>
      <c r="CG82" s="18" t="s">
        <v>37</v>
      </c>
      <c r="CH82" s="52"/>
      <c r="CI82" s="52"/>
      <c r="CJ82" s="12"/>
      <c r="CK82" s="73"/>
      <c r="CL82" s="73"/>
      <c r="CN82" s="15" t="s">
        <v>37</v>
      </c>
      <c r="CO82" s="15" t="s">
        <v>37</v>
      </c>
      <c r="CP82" s="18" t="s">
        <v>37</v>
      </c>
      <c r="CQ82" s="52"/>
      <c r="CR82" s="15" t="s">
        <v>37</v>
      </c>
      <c r="CS82" s="15" t="s">
        <v>37</v>
      </c>
      <c r="CT82" s="18" t="s">
        <v>37</v>
      </c>
      <c r="CU82" s="52"/>
      <c r="CV82" s="52"/>
      <c r="CW82" s="52"/>
      <c r="CX82" s="73"/>
      <c r="CY82" s="73"/>
      <c r="DA82" s="15" t="s">
        <v>37</v>
      </c>
      <c r="DB82" s="15" t="s">
        <v>37</v>
      </c>
      <c r="DC82" s="18" t="s">
        <v>37</v>
      </c>
      <c r="DD82" s="52"/>
      <c r="DE82" s="15" t="s">
        <v>37</v>
      </c>
      <c r="DF82" s="15" t="s">
        <v>37</v>
      </c>
      <c r="DG82" s="18" t="s">
        <v>37</v>
      </c>
      <c r="DH82" s="52"/>
      <c r="DM82" s="12" t="s">
        <v>47</v>
      </c>
      <c r="DN82" s="19">
        <f t="shared" ref="DN82:DN83" si="293">13.14*10^4/10^3</f>
        <v>131.4</v>
      </c>
      <c r="DO82" s="50">
        <f t="shared" si="285"/>
        <v>146.49513859561415</v>
      </c>
      <c r="DP82" s="13">
        <v>3</v>
      </c>
      <c r="DR82" s="19">
        <f>0.14*10^4/10^3</f>
        <v>1.4000000000000001</v>
      </c>
      <c r="DS82" s="50">
        <f t="shared" si="286"/>
        <v>5.2321028124834141</v>
      </c>
      <c r="DT82" s="13">
        <v>3</v>
      </c>
      <c r="DV82" s="19">
        <f t="shared" si="287"/>
        <v>-130</v>
      </c>
      <c r="DW82" s="12">
        <f t="shared" si="288"/>
        <v>103.65375181822556</v>
      </c>
      <c r="DX82" s="72">
        <f t="shared" si="196"/>
        <v>7162.7335106628652</v>
      </c>
      <c r="DY82" s="72">
        <f t="shared" si="197"/>
        <v>7162.7335106628652</v>
      </c>
      <c r="DZ82" s="12"/>
      <c r="EA82" s="19" t="s">
        <v>37</v>
      </c>
      <c r="EB82" s="19" t="s">
        <v>37</v>
      </c>
      <c r="EC82" s="72" t="s">
        <v>37</v>
      </c>
      <c r="EE82" s="19" t="s">
        <v>37</v>
      </c>
      <c r="EF82" s="19" t="s">
        <v>37</v>
      </c>
      <c r="EG82" s="12" t="s">
        <v>37</v>
      </c>
      <c r="EM82" s="12" t="s">
        <v>39</v>
      </c>
      <c r="EN82" s="12">
        <v>-9</v>
      </c>
      <c r="EO82" s="50">
        <f>ABS(EN82)*EQ$474</f>
        <v>3.6674675887616401</v>
      </c>
      <c r="EP82" s="13">
        <v>3</v>
      </c>
      <c r="ER82" s="12">
        <v>-21</v>
      </c>
      <c r="ES82" s="50">
        <f>ABS(ER82)*EU$474</f>
        <v>4.7630951236930779</v>
      </c>
      <c r="ET82" s="13">
        <v>3</v>
      </c>
      <c r="EV82" s="19">
        <f t="shared" si="289"/>
        <v>-12</v>
      </c>
      <c r="EW82" s="12">
        <f t="shared" si="290"/>
        <v>4.2507289770088788</v>
      </c>
      <c r="EX82" s="19">
        <f t="shared" si="291"/>
        <v>12.045797890655297</v>
      </c>
      <c r="EY82" s="19">
        <f t="shared" si="292"/>
        <v>12.045797890655297</v>
      </c>
      <c r="FB82" s="11" t="s">
        <v>37</v>
      </c>
      <c r="FC82" s="11" t="s">
        <v>37</v>
      </c>
      <c r="FD82" s="11" t="s">
        <v>37</v>
      </c>
      <c r="FE82" s="12" t="s">
        <v>37</v>
      </c>
      <c r="FF82" s="20" t="s">
        <v>37</v>
      </c>
      <c r="FG82" s="11" t="s">
        <v>37</v>
      </c>
      <c r="FI82" s="11" t="s">
        <v>37</v>
      </c>
      <c r="FJ82" s="11" t="s">
        <v>37</v>
      </c>
      <c r="FK82" s="11" t="s">
        <v>37</v>
      </c>
      <c r="FL82" s="13" t="s">
        <v>37</v>
      </c>
      <c r="FM82" s="11" t="s">
        <v>37</v>
      </c>
      <c r="FN82" s="11" t="s">
        <v>37</v>
      </c>
      <c r="FP82" s="11" t="s">
        <v>37</v>
      </c>
      <c r="FQ82" s="11" t="s">
        <v>37</v>
      </c>
      <c r="FR82" s="11" t="s">
        <v>37</v>
      </c>
      <c r="FS82" s="13" t="s">
        <v>37</v>
      </c>
      <c r="FT82" s="11" t="s">
        <v>37</v>
      </c>
      <c r="FU82" s="11" t="s">
        <v>37</v>
      </c>
      <c r="FW82" s="11" t="s">
        <v>37</v>
      </c>
      <c r="FX82" s="11" t="s">
        <v>37</v>
      </c>
      <c r="FY82" s="11" t="s">
        <v>37</v>
      </c>
      <c r="FZ82" s="13" t="s">
        <v>37</v>
      </c>
      <c r="GA82" s="11" t="s">
        <v>37</v>
      </c>
      <c r="GB82" s="11" t="s">
        <v>37</v>
      </c>
      <c r="IK82" s="12" t="s">
        <v>37</v>
      </c>
      <c r="IL82" s="12" t="s">
        <v>37</v>
      </c>
      <c r="IM82" s="13" t="s">
        <v>37</v>
      </c>
      <c r="IO82" s="12" t="s">
        <v>37</v>
      </c>
      <c r="IP82" s="12" t="s">
        <v>37</v>
      </c>
      <c r="IQ82" s="13" t="s">
        <v>37</v>
      </c>
      <c r="IW82" s="12" t="s">
        <v>37</v>
      </c>
      <c r="IX82" s="12" t="s">
        <v>37</v>
      </c>
      <c r="IY82" s="13" t="s">
        <v>37</v>
      </c>
      <c r="JA82" s="12" t="s">
        <v>37</v>
      </c>
      <c r="JB82" s="12" t="s">
        <v>37</v>
      </c>
      <c r="JC82" s="13" t="s">
        <v>37</v>
      </c>
      <c r="JH82" s="12" t="s">
        <v>37</v>
      </c>
      <c r="JI82" s="12" t="s">
        <v>37</v>
      </c>
      <c r="JJ82" s="13" t="s">
        <v>37</v>
      </c>
      <c r="JL82" s="12" t="s">
        <v>37</v>
      </c>
      <c r="JM82" s="12" t="s">
        <v>37</v>
      </c>
      <c r="JN82" s="12" t="s">
        <v>37</v>
      </c>
      <c r="JS82" s="12" t="s">
        <v>37</v>
      </c>
      <c r="JT82" s="12" t="s">
        <v>37</v>
      </c>
      <c r="JU82" s="13" t="s">
        <v>37</v>
      </c>
      <c r="JW82" s="12" t="s">
        <v>37</v>
      </c>
      <c r="JX82" s="12" t="s">
        <v>37</v>
      </c>
      <c r="JY82" s="12" t="s">
        <v>37</v>
      </c>
      <c r="KE82" s="11" t="s">
        <v>37</v>
      </c>
      <c r="KF82" s="11" t="s">
        <v>37</v>
      </c>
      <c r="KG82" s="13" t="s">
        <v>37</v>
      </c>
      <c r="KH82" s="11" t="s">
        <v>37</v>
      </c>
      <c r="KI82" s="11" t="s">
        <v>37</v>
      </c>
      <c r="KJ82" s="11" t="s">
        <v>37</v>
      </c>
      <c r="KM82" s="12" t="s">
        <v>37</v>
      </c>
      <c r="KN82" s="12" t="s">
        <v>37</v>
      </c>
      <c r="KO82" s="11" t="s">
        <v>37</v>
      </c>
      <c r="KQ82" s="12" t="s">
        <v>37</v>
      </c>
      <c r="KR82" s="12" t="s">
        <v>37</v>
      </c>
      <c r="KS82" s="13" t="s">
        <v>37</v>
      </c>
      <c r="KX82" s="12" t="s">
        <v>37</v>
      </c>
      <c r="KY82" s="12" t="s">
        <v>37</v>
      </c>
      <c r="KZ82" s="13" t="s">
        <v>37</v>
      </c>
      <c r="LB82" s="12" t="s">
        <v>37</v>
      </c>
      <c r="LC82" s="12" t="s">
        <v>37</v>
      </c>
      <c r="LD82" s="13" t="s">
        <v>37</v>
      </c>
      <c r="LI82" s="12" t="s">
        <v>37</v>
      </c>
      <c r="LJ82" s="12" t="s">
        <v>37</v>
      </c>
      <c r="LK82" s="12" t="s">
        <v>37</v>
      </c>
      <c r="LM82" s="12" t="s">
        <v>37</v>
      </c>
      <c r="LN82" s="12" t="s">
        <v>37</v>
      </c>
      <c r="LO82" s="12" t="s">
        <v>37</v>
      </c>
      <c r="LU82" s="12" t="s">
        <v>37</v>
      </c>
      <c r="LV82" s="12" t="s">
        <v>37</v>
      </c>
      <c r="LW82" s="13" t="s">
        <v>37</v>
      </c>
      <c r="LY82" s="12" t="s">
        <v>37</v>
      </c>
      <c r="LZ82" s="12" t="s">
        <v>37</v>
      </c>
      <c r="MA82" s="12" t="s">
        <v>37</v>
      </c>
      <c r="MF82" s="12" t="s">
        <v>37</v>
      </c>
      <c r="MG82" s="12" t="s">
        <v>37</v>
      </c>
      <c r="MH82" s="12" t="s">
        <v>37</v>
      </c>
      <c r="MJ82" s="12" t="s">
        <v>37</v>
      </c>
      <c r="MK82" s="12" t="s">
        <v>37</v>
      </c>
      <c r="ML82" s="12" t="s">
        <v>37</v>
      </c>
      <c r="MQ82" s="12" t="s">
        <v>37</v>
      </c>
      <c r="MR82" s="12" t="s">
        <v>37</v>
      </c>
      <c r="MS82" s="12" t="s">
        <v>37</v>
      </c>
      <c r="MU82" s="12" t="s">
        <v>37</v>
      </c>
      <c r="MV82" s="12" t="s">
        <v>37</v>
      </c>
      <c r="MW82" s="12" t="s">
        <v>37</v>
      </c>
      <c r="NC82" s="12" t="s">
        <v>37</v>
      </c>
      <c r="ND82" s="12" t="s">
        <v>37</v>
      </c>
      <c r="NE82" s="13" t="s">
        <v>37</v>
      </c>
      <c r="NG82" s="12" t="s">
        <v>37</v>
      </c>
      <c r="NH82" s="12" t="s">
        <v>37</v>
      </c>
      <c r="NI82" s="13" t="s">
        <v>37</v>
      </c>
      <c r="NO82" s="12" t="s">
        <v>37</v>
      </c>
      <c r="NP82" s="12" t="s">
        <v>37</v>
      </c>
      <c r="NQ82" s="13" t="s">
        <v>37</v>
      </c>
      <c r="NS82" s="12" t="s">
        <v>37</v>
      </c>
      <c r="NT82" s="12" t="s">
        <v>37</v>
      </c>
      <c r="NU82" s="13" t="s">
        <v>37</v>
      </c>
      <c r="OA82" s="11" t="s">
        <v>37</v>
      </c>
      <c r="OB82" s="11" t="s">
        <v>37</v>
      </c>
      <c r="OC82" s="13" t="s">
        <v>37</v>
      </c>
      <c r="OE82" s="11" t="s">
        <v>37</v>
      </c>
      <c r="OF82" s="11" t="s">
        <v>37</v>
      </c>
      <c r="OG82" s="13" t="s">
        <v>37</v>
      </c>
      <c r="OM82" s="11" t="s">
        <v>37</v>
      </c>
      <c r="ON82" s="11" t="s">
        <v>37</v>
      </c>
      <c r="OO82" s="11" t="s">
        <v>37</v>
      </c>
      <c r="OP82" s="11" t="s">
        <v>37</v>
      </c>
      <c r="OQ82" s="11" t="s">
        <v>37</v>
      </c>
      <c r="OR82" s="11" t="s">
        <v>37</v>
      </c>
      <c r="OW82" s="11" t="s">
        <v>37</v>
      </c>
      <c r="OX82" s="11" t="s">
        <v>37</v>
      </c>
      <c r="OY82" s="13" t="s">
        <v>37</v>
      </c>
      <c r="OZ82" s="11" t="s">
        <v>37</v>
      </c>
      <c r="PA82" s="11" t="s">
        <v>37</v>
      </c>
      <c r="PB82" s="13" t="s">
        <v>37</v>
      </c>
      <c r="PG82" s="11" t="s">
        <v>37</v>
      </c>
      <c r="PH82" s="11" t="s">
        <v>37</v>
      </c>
      <c r="PI82" s="13" t="s">
        <v>37</v>
      </c>
      <c r="PJ82" s="11" t="s">
        <v>37</v>
      </c>
      <c r="PK82" s="11" t="s">
        <v>37</v>
      </c>
      <c r="PL82" s="13" t="s">
        <v>37</v>
      </c>
      <c r="PQ82" s="11" t="s">
        <v>37</v>
      </c>
      <c r="PR82" s="11" t="s">
        <v>37</v>
      </c>
      <c r="PS82" s="13" t="s">
        <v>37</v>
      </c>
      <c r="PT82" s="11" t="s">
        <v>37</v>
      </c>
      <c r="PU82" s="11" t="s">
        <v>37</v>
      </c>
      <c r="PV82" s="13" t="s">
        <v>37</v>
      </c>
      <c r="PZ82" s="12" t="s">
        <v>37</v>
      </c>
      <c r="QA82" s="12" t="s">
        <v>37</v>
      </c>
      <c r="QB82" s="11" t="s">
        <v>37</v>
      </c>
      <c r="QD82" s="12" t="s">
        <v>37</v>
      </c>
      <c r="QE82" s="12" t="s">
        <v>37</v>
      </c>
      <c r="QF82" s="12" t="s">
        <v>37</v>
      </c>
      <c r="QK82" s="12" t="s">
        <v>37</v>
      </c>
      <c r="QL82" s="12" t="s">
        <v>37</v>
      </c>
      <c r="QM82" s="12" t="s">
        <v>37</v>
      </c>
      <c r="QN82" s="12" t="s">
        <v>37</v>
      </c>
      <c r="QO82" s="12" t="s">
        <v>37</v>
      </c>
      <c r="QP82" s="12" t="s">
        <v>37</v>
      </c>
      <c r="QQ82" s="12"/>
      <c r="QR82" s="12"/>
      <c r="QU82" s="11" t="s">
        <v>37</v>
      </c>
      <c r="QV82" s="11" t="s">
        <v>37</v>
      </c>
      <c r="QW82" s="13" t="s">
        <v>37</v>
      </c>
      <c r="QX82" s="11" t="s">
        <v>37</v>
      </c>
      <c r="QY82" s="11" t="s">
        <v>37</v>
      </c>
      <c r="QZ82" s="13" t="s">
        <v>37</v>
      </c>
      <c r="RC82" s="12" t="s">
        <v>37</v>
      </c>
      <c r="RD82" s="12" t="s">
        <v>37</v>
      </c>
      <c r="RE82" s="13" t="s">
        <v>37</v>
      </c>
      <c r="RF82" s="12" t="s">
        <v>37</v>
      </c>
      <c r="RG82" s="12" t="s">
        <v>37</v>
      </c>
      <c r="RH82" s="13" t="s">
        <v>37</v>
      </c>
      <c r="RK82" s="11" t="s">
        <v>37</v>
      </c>
      <c r="RL82" s="11" t="s">
        <v>37</v>
      </c>
      <c r="RM82" s="11" t="s">
        <v>37</v>
      </c>
      <c r="RN82" s="11" t="s">
        <v>37</v>
      </c>
      <c r="RO82" s="11" t="s">
        <v>37</v>
      </c>
      <c r="RP82" s="11" t="s">
        <v>37</v>
      </c>
      <c r="RS82" s="11" t="s">
        <v>37</v>
      </c>
      <c r="RT82" s="11" t="s">
        <v>37</v>
      </c>
      <c r="RU82" s="11" t="s">
        <v>37</v>
      </c>
      <c r="RV82" s="11" t="s">
        <v>37</v>
      </c>
      <c r="RW82" s="11" t="s">
        <v>37</v>
      </c>
      <c r="RX82" s="11" t="s">
        <v>37</v>
      </c>
      <c r="SA82" s="11" t="s">
        <v>37</v>
      </c>
      <c r="SB82" s="11" t="s">
        <v>37</v>
      </c>
      <c r="SC82" s="13" t="s">
        <v>37</v>
      </c>
      <c r="SD82" s="11" t="s">
        <v>37</v>
      </c>
      <c r="SE82" s="11" t="s">
        <v>37</v>
      </c>
      <c r="SF82" s="13" t="s">
        <v>37</v>
      </c>
      <c r="SI82" s="12" t="s">
        <v>37</v>
      </c>
      <c r="SJ82" s="12" t="s">
        <v>37</v>
      </c>
      <c r="SK82" s="13" t="s">
        <v>37</v>
      </c>
      <c r="SM82" s="12" t="s">
        <v>37</v>
      </c>
      <c r="SN82" s="12" t="s">
        <v>37</v>
      </c>
      <c r="SO82" s="13" t="s">
        <v>37</v>
      </c>
      <c r="SU82" s="12" t="s">
        <v>37</v>
      </c>
      <c r="SV82" s="12" t="s">
        <v>37</v>
      </c>
      <c r="SW82" s="11" t="s">
        <v>37</v>
      </c>
      <c r="SX82" s="12" t="s">
        <v>37</v>
      </c>
      <c r="SY82" s="12" t="s">
        <v>37</v>
      </c>
      <c r="SZ82" s="11" t="s">
        <v>37</v>
      </c>
      <c r="TE82" s="12" t="s">
        <v>37</v>
      </c>
      <c r="TF82" s="12" t="s">
        <v>37</v>
      </c>
      <c r="TG82" s="11" t="s">
        <v>37</v>
      </c>
      <c r="TH82" s="12" t="s">
        <v>37</v>
      </c>
      <c r="TI82" s="12" t="s">
        <v>37</v>
      </c>
      <c r="TJ82" s="11" t="s">
        <v>37</v>
      </c>
      <c r="TO82" s="12" t="s">
        <v>37</v>
      </c>
      <c r="TP82" s="12" t="s">
        <v>37</v>
      </c>
      <c r="TQ82" s="11" t="s">
        <v>37</v>
      </c>
      <c r="TR82" s="12" t="s">
        <v>37</v>
      </c>
      <c r="TS82" s="12" t="s">
        <v>37</v>
      </c>
      <c r="TT82" s="11" t="s">
        <v>37</v>
      </c>
      <c r="TY82" s="12" t="s">
        <v>37</v>
      </c>
      <c r="TZ82" s="12" t="s">
        <v>37</v>
      </c>
      <c r="UA82" s="11" t="s">
        <v>37</v>
      </c>
      <c r="UB82" s="12" t="s">
        <v>37</v>
      </c>
      <c r="UC82" s="12" t="s">
        <v>37</v>
      </c>
      <c r="UD82" s="11" t="s">
        <v>37</v>
      </c>
      <c r="UI82" s="12" t="s">
        <v>37</v>
      </c>
      <c r="UJ82" s="12" t="s">
        <v>37</v>
      </c>
      <c r="UK82" s="13" t="s">
        <v>37</v>
      </c>
      <c r="UL82" s="12" t="s">
        <v>37</v>
      </c>
      <c r="UM82" s="12" t="s">
        <v>37</v>
      </c>
      <c r="UN82" s="13" t="s">
        <v>37</v>
      </c>
      <c r="UR82" s="12" t="s">
        <v>37</v>
      </c>
      <c r="US82" s="12" t="s">
        <v>37</v>
      </c>
      <c r="UT82" s="13" t="s">
        <v>37</v>
      </c>
      <c r="UU82" s="12" t="s">
        <v>37</v>
      </c>
      <c r="UV82" s="12" t="s">
        <v>37</v>
      </c>
      <c r="UW82" s="13" t="s">
        <v>37</v>
      </c>
      <c r="VB82" s="12" t="s">
        <v>37</v>
      </c>
      <c r="VC82" s="12" t="s">
        <v>37</v>
      </c>
      <c r="VD82" s="13" t="s">
        <v>37</v>
      </c>
      <c r="VE82" s="12" t="s">
        <v>37</v>
      </c>
      <c r="VF82" s="12" t="s">
        <v>37</v>
      </c>
      <c r="VG82" s="13" t="s">
        <v>37</v>
      </c>
      <c r="VI82" s="12" t="s">
        <v>37</v>
      </c>
      <c r="VJ82" s="12" t="s">
        <v>37</v>
      </c>
      <c r="VK82" s="13" t="s">
        <v>37</v>
      </c>
      <c r="VL82" s="12" t="s">
        <v>37</v>
      </c>
      <c r="VM82" s="12" t="s">
        <v>37</v>
      </c>
      <c r="VN82" s="13" t="s">
        <v>37</v>
      </c>
      <c r="VO82" s="12" t="s">
        <v>37</v>
      </c>
      <c r="VQ82" s="12" t="s">
        <v>37</v>
      </c>
      <c r="VR82" s="12" t="s">
        <v>37</v>
      </c>
      <c r="VS82" s="12" t="s">
        <v>37</v>
      </c>
      <c r="VT82" s="12" t="s">
        <v>37</v>
      </c>
      <c r="VU82" s="12" t="s">
        <v>37</v>
      </c>
      <c r="VV82" s="12" t="s">
        <v>37</v>
      </c>
      <c r="VW82" s="12"/>
      <c r="VX82" s="12"/>
      <c r="WA82" s="13" t="s">
        <v>37</v>
      </c>
      <c r="WB82" s="13" t="s">
        <v>37</v>
      </c>
      <c r="WC82" s="13" t="s">
        <v>37</v>
      </c>
      <c r="WD82" s="13" t="s">
        <v>37</v>
      </c>
      <c r="WE82" s="13" t="s">
        <v>37</v>
      </c>
      <c r="WF82" s="13" t="s">
        <v>37</v>
      </c>
    </row>
    <row r="83" spans="1:604" ht="18" customHeight="1" x14ac:dyDescent="0.4">
      <c r="A83" s="11">
        <v>17</v>
      </c>
      <c r="B83" s="16" t="s">
        <v>919</v>
      </c>
      <c r="C83" s="12" t="s">
        <v>32</v>
      </c>
      <c r="D83" s="12" t="s">
        <v>54</v>
      </c>
      <c r="E83" s="40" t="s">
        <v>37</v>
      </c>
      <c r="F83" s="14">
        <v>0</v>
      </c>
      <c r="G83" s="14">
        <v>0</v>
      </c>
      <c r="H83" s="12" t="s">
        <v>123</v>
      </c>
      <c r="I83" s="29">
        <v>70.766999999999996</v>
      </c>
      <c r="J83" s="29">
        <v>25.85</v>
      </c>
      <c r="K83" s="12" t="s">
        <v>704</v>
      </c>
      <c r="L83" s="12" t="s">
        <v>705</v>
      </c>
      <c r="M83" s="13" t="s">
        <v>37</v>
      </c>
      <c r="N83" s="14" t="s">
        <v>37</v>
      </c>
      <c r="O83" s="14" t="s">
        <v>37</v>
      </c>
      <c r="P83" s="14" t="s">
        <v>84</v>
      </c>
      <c r="Q83" s="75">
        <v>42</v>
      </c>
      <c r="R83" s="11" t="s">
        <v>1000</v>
      </c>
      <c r="S83" s="12" t="s">
        <v>85</v>
      </c>
      <c r="T83" s="12" t="s">
        <v>473</v>
      </c>
      <c r="U83" s="12" t="s">
        <v>158</v>
      </c>
      <c r="V83" s="12" t="s">
        <v>275</v>
      </c>
      <c r="W83" s="23" t="s">
        <v>500</v>
      </c>
      <c r="X83" s="12" t="s">
        <v>281</v>
      </c>
      <c r="Y83" s="12" t="s">
        <v>69</v>
      </c>
      <c r="Z83" s="12" t="s">
        <v>37</v>
      </c>
      <c r="AB83" s="12" t="s">
        <v>37</v>
      </c>
      <c r="AE83" s="12" t="s">
        <v>37</v>
      </c>
      <c r="AH83" s="12" t="s">
        <v>37</v>
      </c>
      <c r="AK83" s="12" t="s">
        <v>37</v>
      </c>
      <c r="AL83" s="32" t="s">
        <v>508</v>
      </c>
      <c r="AM83" s="13" t="s">
        <v>344</v>
      </c>
      <c r="AO83" s="13" t="s">
        <v>37</v>
      </c>
      <c r="AP83" s="13" t="s">
        <v>37</v>
      </c>
      <c r="AQ83" s="12" t="s">
        <v>975</v>
      </c>
      <c r="AT83" s="12" t="s">
        <v>326</v>
      </c>
      <c r="AU83" s="12" t="s">
        <v>326</v>
      </c>
      <c r="AV83" s="13" t="s">
        <v>326</v>
      </c>
      <c r="AX83" s="12" t="s">
        <v>326</v>
      </c>
      <c r="AY83" s="12" t="s">
        <v>326</v>
      </c>
      <c r="AZ83" s="13" t="s">
        <v>326</v>
      </c>
      <c r="BE83" s="12" t="s">
        <v>326</v>
      </c>
      <c r="BF83" s="12" t="s">
        <v>326</v>
      </c>
      <c r="BG83" s="12" t="s">
        <v>326</v>
      </c>
      <c r="BI83" s="12" t="s">
        <v>326</v>
      </c>
      <c r="BJ83" s="12" t="s">
        <v>326</v>
      </c>
      <c r="BK83" s="12" t="s">
        <v>326</v>
      </c>
      <c r="BP83" s="12" t="s">
        <v>37</v>
      </c>
      <c r="BQ83" s="12" t="s">
        <v>37</v>
      </c>
      <c r="BR83" s="13" t="s">
        <v>37</v>
      </c>
      <c r="BT83" s="12" t="s">
        <v>37</v>
      </c>
      <c r="BU83" s="12" t="s">
        <v>37</v>
      </c>
      <c r="BV83" s="12" t="s">
        <v>37</v>
      </c>
      <c r="CA83" s="15" t="s">
        <v>37</v>
      </c>
      <c r="CB83" s="15" t="s">
        <v>37</v>
      </c>
      <c r="CC83" s="18" t="s">
        <v>37</v>
      </c>
      <c r="CD83" s="52"/>
      <c r="CE83" s="15" t="s">
        <v>37</v>
      </c>
      <c r="CF83" s="15" t="s">
        <v>37</v>
      </c>
      <c r="CG83" s="18" t="s">
        <v>37</v>
      </c>
      <c r="CH83" s="52"/>
      <c r="CI83" s="52"/>
      <c r="CJ83" s="12"/>
      <c r="CK83" s="73"/>
      <c r="CL83" s="73"/>
      <c r="CN83" s="15" t="s">
        <v>37</v>
      </c>
      <c r="CO83" s="15" t="s">
        <v>37</v>
      </c>
      <c r="CP83" s="18" t="s">
        <v>37</v>
      </c>
      <c r="CQ83" s="52"/>
      <c r="CR83" s="15" t="s">
        <v>37</v>
      </c>
      <c r="CS83" s="15" t="s">
        <v>37</v>
      </c>
      <c r="CT83" s="18" t="s">
        <v>37</v>
      </c>
      <c r="CU83" s="52"/>
      <c r="CV83" s="52"/>
      <c r="CW83" s="52"/>
      <c r="CX83" s="73"/>
      <c r="CY83" s="73"/>
      <c r="DA83" s="15" t="s">
        <v>37</v>
      </c>
      <c r="DB83" s="15" t="s">
        <v>37</v>
      </c>
      <c r="DC83" s="18" t="s">
        <v>37</v>
      </c>
      <c r="DD83" s="52"/>
      <c r="DE83" s="15" t="s">
        <v>37</v>
      </c>
      <c r="DF83" s="15" t="s">
        <v>37</v>
      </c>
      <c r="DG83" s="18" t="s">
        <v>37</v>
      </c>
      <c r="DH83" s="52"/>
      <c r="DI83" s="52"/>
      <c r="DJ83" s="52"/>
      <c r="DK83" s="73"/>
      <c r="DL83" s="73"/>
      <c r="DM83" s="12" t="s">
        <v>47</v>
      </c>
      <c r="DN83" s="19">
        <f t="shared" si="293"/>
        <v>131.4</v>
      </c>
      <c r="DO83" s="50">
        <f t="shared" si="285"/>
        <v>146.49513859561415</v>
      </c>
      <c r="DP83" s="13">
        <v>3</v>
      </c>
      <c r="DR83" s="19">
        <f>0.36*10^4/10^3</f>
        <v>3.6</v>
      </c>
      <c r="DS83" s="50">
        <f t="shared" si="286"/>
        <v>13.453978660671636</v>
      </c>
      <c r="DT83" s="13">
        <v>3</v>
      </c>
      <c r="DV83" s="19">
        <f t="shared" si="287"/>
        <v>-127.80000000000001</v>
      </c>
      <c r="DW83" s="12">
        <f t="shared" si="288"/>
        <v>104.02363955839559</v>
      </c>
      <c r="DX83" s="72">
        <f t="shared" si="196"/>
        <v>7213.9450579833356</v>
      </c>
      <c r="DY83" s="72">
        <f t="shared" si="197"/>
        <v>7213.9450579833356</v>
      </c>
      <c r="DZ83" s="12"/>
      <c r="EA83" s="19" t="s">
        <v>37</v>
      </c>
      <c r="EB83" s="19" t="s">
        <v>37</v>
      </c>
      <c r="EC83" s="72" t="s">
        <v>37</v>
      </c>
      <c r="EF83" s="19" t="s">
        <v>37</v>
      </c>
      <c r="EG83" s="12" t="s">
        <v>37</v>
      </c>
      <c r="EM83" s="12" t="s">
        <v>39</v>
      </c>
      <c r="EN83" s="12">
        <v>-9</v>
      </c>
      <c r="EO83" s="50">
        <f>ABS(EN83)*EQ$474</f>
        <v>3.6674675887616401</v>
      </c>
      <c r="EP83" s="13">
        <v>3</v>
      </c>
      <c r="ER83" s="12">
        <v>-26</v>
      </c>
      <c r="ES83" s="50">
        <f>ABS(ER83)*EU$474</f>
        <v>5.8971653912390485</v>
      </c>
      <c r="ET83" s="13">
        <v>3</v>
      </c>
      <c r="EV83" s="19">
        <f t="shared" si="289"/>
        <v>-17</v>
      </c>
      <c r="EW83" s="12">
        <f t="shared" si="290"/>
        <v>4.9105436647200644</v>
      </c>
      <c r="EX83" s="19">
        <f t="shared" si="291"/>
        <v>16.075626055414904</v>
      </c>
      <c r="EY83" s="19">
        <f t="shared" si="292"/>
        <v>16.075626055414908</v>
      </c>
      <c r="FB83" s="11" t="s">
        <v>37</v>
      </c>
      <c r="FC83" s="11" t="s">
        <v>37</v>
      </c>
      <c r="FD83" s="11" t="s">
        <v>37</v>
      </c>
      <c r="FE83" s="12" t="s">
        <v>37</v>
      </c>
      <c r="FF83" s="20" t="s">
        <v>37</v>
      </c>
      <c r="FG83" s="11" t="s">
        <v>37</v>
      </c>
      <c r="FI83" s="11" t="s">
        <v>37</v>
      </c>
      <c r="FJ83" s="11" t="s">
        <v>37</v>
      </c>
      <c r="FK83" s="11" t="s">
        <v>37</v>
      </c>
      <c r="FL83" s="13" t="s">
        <v>37</v>
      </c>
      <c r="FM83" s="11" t="s">
        <v>37</v>
      </c>
      <c r="FN83" s="11" t="s">
        <v>37</v>
      </c>
      <c r="FP83" s="11" t="s">
        <v>37</v>
      </c>
      <c r="FQ83" s="11" t="s">
        <v>37</v>
      </c>
      <c r="FR83" s="11" t="s">
        <v>37</v>
      </c>
      <c r="FS83" s="13" t="s">
        <v>37</v>
      </c>
      <c r="FT83" s="11" t="s">
        <v>37</v>
      </c>
      <c r="FU83" s="11" t="s">
        <v>37</v>
      </c>
      <c r="FW83" s="11" t="s">
        <v>37</v>
      </c>
      <c r="FX83" s="11" t="s">
        <v>37</v>
      </c>
      <c r="FY83" s="11" t="s">
        <v>37</v>
      </c>
      <c r="FZ83" s="13" t="s">
        <v>37</v>
      </c>
      <c r="GA83" s="11" t="s">
        <v>37</v>
      </c>
      <c r="GB83" s="11" t="s">
        <v>37</v>
      </c>
      <c r="IK83" s="12" t="s">
        <v>37</v>
      </c>
      <c r="IL83" s="12" t="s">
        <v>37</v>
      </c>
      <c r="IM83" s="13" t="s">
        <v>37</v>
      </c>
      <c r="IO83" s="12" t="s">
        <v>37</v>
      </c>
      <c r="IP83" s="12" t="s">
        <v>37</v>
      </c>
      <c r="IQ83" s="13" t="s">
        <v>37</v>
      </c>
      <c r="IW83" s="12" t="s">
        <v>37</v>
      </c>
      <c r="IX83" s="12" t="s">
        <v>37</v>
      </c>
      <c r="IY83" s="13" t="s">
        <v>37</v>
      </c>
      <c r="JA83" s="12" t="s">
        <v>37</v>
      </c>
      <c r="JB83" s="12" t="s">
        <v>37</v>
      </c>
      <c r="JC83" s="13" t="s">
        <v>37</v>
      </c>
      <c r="JH83" s="12" t="s">
        <v>37</v>
      </c>
      <c r="JI83" s="12" t="s">
        <v>37</v>
      </c>
      <c r="JJ83" s="13" t="s">
        <v>37</v>
      </c>
      <c r="JL83" s="12" t="s">
        <v>37</v>
      </c>
      <c r="JM83" s="12" t="s">
        <v>37</v>
      </c>
      <c r="JN83" s="12" t="s">
        <v>37</v>
      </c>
      <c r="JS83" s="12" t="s">
        <v>37</v>
      </c>
      <c r="JT83" s="12" t="s">
        <v>37</v>
      </c>
      <c r="JU83" s="13" t="s">
        <v>37</v>
      </c>
      <c r="JW83" s="12" t="s">
        <v>37</v>
      </c>
      <c r="JX83" s="12" t="s">
        <v>37</v>
      </c>
      <c r="JY83" s="12" t="s">
        <v>37</v>
      </c>
      <c r="KE83" s="11" t="s">
        <v>37</v>
      </c>
      <c r="KF83" s="11" t="s">
        <v>37</v>
      </c>
      <c r="KG83" s="13" t="s">
        <v>37</v>
      </c>
      <c r="KH83" s="11" t="s">
        <v>37</v>
      </c>
      <c r="KI83" s="11" t="s">
        <v>37</v>
      </c>
      <c r="KJ83" s="11" t="s">
        <v>37</v>
      </c>
      <c r="KM83" s="12" t="s">
        <v>37</v>
      </c>
      <c r="KN83" s="12" t="s">
        <v>37</v>
      </c>
      <c r="KO83" s="11" t="s">
        <v>37</v>
      </c>
      <c r="KQ83" s="12" t="s">
        <v>37</v>
      </c>
      <c r="KR83" s="12" t="s">
        <v>37</v>
      </c>
      <c r="KS83" s="13" t="s">
        <v>37</v>
      </c>
      <c r="KX83" s="12" t="s">
        <v>37</v>
      </c>
      <c r="KY83" s="12" t="s">
        <v>37</v>
      </c>
      <c r="KZ83" s="13" t="s">
        <v>37</v>
      </c>
      <c r="LB83" s="12" t="s">
        <v>37</v>
      </c>
      <c r="LC83" s="12" t="s">
        <v>37</v>
      </c>
      <c r="LD83" s="13" t="s">
        <v>37</v>
      </c>
      <c r="LI83" s="12" t="s">
        <v>37</v>
      </c>
      <c r="LJ83" s="12" t="s">
        <v>37</v>
      </c>
      <c r="LK83" s="12" t="s">
        <v>37</v>
      </c>
      <c r="LM83" s="12" t="s">
        <v>37</v>
      </c>
      <c r="LN83" s="12" t="s">
        <v>37</v>
      </c>
      <c r="LO83" s="12" t="s">
        <v>37</v>
      </c>
      <c r="LU83" s="12" t="s">
        <v>37</v>
      </c>
      <c r="LV83" s="12" t="s">
        <v>37</v>
      </c>
      <c r="LW83" s="13" t="s">
        <v>37</v>
      </c>
      <c r="LY83" s="12" t="s">
        <v>37</v>
      </c>
      <c r="LZ83" s="12" t="s">
        <v>37</v>
      </c>
      <c r="MA83" s="12" t="s">
        <v>37</v>
      </c>
      <c r="MF83" s="12" t="s">
        <v>37</v>
      </c>
      <c r="MG83" s="12" t="s">
        <v>37</v>
      </c>
      <c r="MH83" s="12" t="s">
        <v>37</v>
      </c>
      <c r="MJ83" s="12" t="s">
        <v>37</v>
      </c>
      <c r="MK83" s="12" t="s">
        <v>37</v>
      </c>
      <c r="ML83" s="12" t="s">
        <v>37</v>
      </c>
      <c r="MQ83" s="12" t="s">
        <v>37</v>
      </c>
      <c r="MR83" s="12" t="s">
        <v>37</v>
      </c>
      <c r="MS83" s="12" t="s">
        <v>37</v>
      </c>
      <c r="MU83" s="12" t="s">
        <v>37</v>
      </c>
      <c r="MV83" s="12" t="s">
        <v>37</v>
      </c>
      <c r="MW83" s="12" t="s">
        <v>37</v>
      </c>
      <c r="NC83" s="12" t="s">
        <v>37</v>
      </c>
      <c r="ND83" s="12" t="s">
        <v>37</v>
      </c>
      <c r="NE83" s="13" t="s">
        <v>37</v>
      </c>
      <c r="NG83" s="12" t="s">
        <v>37</v>
      </c>
      <c r="NH83" s="12" t="s">
        <v>37</v>
      </c>
      <c r="NI83" s="13" t="s">
        <v>37</v>
      </c>
      <c r="NO83" s="12" t="s">
        <v>37</v>
      </c>
      <c r="NP83" s="12" t="s">
        <v>37</v>
      </c>
      <c r="NQ83" s="13" t="s">
        <v>37</v>
      </c>
      <c r="NS83" s="12" t="s">
        <v>37</v>
      </c>
      <c r="NT83" s="12" t="s">
        <v>37</v>
      </c>
      <c r="NU83" s="13" t="s">
        <v>37</v>
      </c>
      <c r="OA83" s="11" t="s">
        <v>37</v>
      </c>
      <c r="OB83" s="11" t="s">
        <v>37</v>
      </c>
      <c r="OC83" s="13" t="s">
        <v>37</v>
      </c>
      <c r="OE83" s="11" t="s">
        <v>37</v>
      </c>
      <c r="OF83" s="11" t="s">
        <v>37</v>
      </c>
      <c r="OG83" s="13" t="s">
        <v>37</v>
      </c>
      <c r="OM83" s="11" t="s">
        <v>37</v>
      </c>
      <c r="ON83" s="11" t="s">
        <v>37</v>
      </c>
      <c r="OO83" s="11" t="s">
        <v>37</v>
      </c>
      <c r="OP83" s="11" t="s">
        <v>37</v>
      </c>
      <c r="OQ83" s="11" t="s">
        <v>37</v>
      </c>
      <c r="OR83" s="11" t="s">
        <v>37</v>
      </c>
      <c r="OW83" s="11" t="s">
        <v>37</v>
      </c>
      <c r="OX83" s="11" t="s">
        <v>37</v>
      </c>
      <c r="OY83" s="13" t="s">
        <v>37</v>
      </c>
      <c r="OZ83" s="11" t="s">
        <v>37</v>
      </c>
      <c r="PA83" s="11" t="s">
        <v>37</v>
      </c>
      <c r="PB83" s="13" t="s">
        <v>37</v>
      </c>
      <c r="PG83" s="11" t="s">
        <v>37</v>
      </c>
      <c r="PH83" s="11" t="s">
        <v>37</v>
      </c>
      <c r="PI83" s="13" t="s">
        <v>37</v>
      </c>
      <c r="PJ83" s="11" t="s">
        <v>37</v>
      </c>
      <c r="PK83" s="11" t="s">
        <v>37</v>
      </c>
      <c r="PL83" s="13" t="s">
        <v>37</v>
      </c>
      <c r="PQ83" s="11" t="s">
        <v>37</v>
      </c>
      <c r="PR83" s="11" t="s">
        <v>37</v>
      </c>
      <c r="PS83" s="13" t="s">
        <v>37</v>
      </c>
      <c r="PT83" s="11" t="s">
        <v>37</v>
      </c>
      <c r="PU83" s="11" t="s">
        <v>37</v>
      </c>
      <c r="PV83" s="13" t="s">
        <v>37</v>
      </c>
      <c r="PZ83" s="12" t="s">
        <v>37</v>
      </c>
      <c r="QA83" s="12" t="s">
        <v>37</v>
      </c>
      <c r="QB83" s="11" t="s">
        <v>37</v>
      </c>
      <c r="QD83" s="12" t="s">
        <v>37</v>
      </c>
      <c r="QE83" s="12" t="s">
        <v>37</v>
      </c>
      <c r="QF83" s="12" t="s">
        <v>37</v>
      </c>
      <c r="QK83" s="12" t="s">
        <v>37</v>
      </c>
      <c r="QL83" s="12" t="s">
        <v>37</v>
      </c>
      <c r="QM83" s="12" t="s">
        <v>37</v>
      </c>
      <c r="QN83" s="12" t="s">
        <v>37</v>
      </c>
      <c r="QO83" s="12" t="s">
        <v>37</v>
      </c>
      <c r="QP83" s="12" t="s">
        <v>37</v>
      </c>
      <c r="QQ83" s="12"/>
      <c r="QR83" s="12"/>
      <c r="QU83" s="11" t="s">
        <v>37</v>
      </c>
      <c r="QV83" s="11" t="s">
        <v>37</v>
      </c>
      <c r="QW83" s="13" t="s">
        <v>37</v>
      </c>
      <c r="QX83" s="11" t="s">
        <v>37</v>
      </c>
      <c r="QY83" s="11" t="s">
        <v>37</v>
      </c>
      <c r="QZ83" s="13" t="s">
        <v>37</v>
      </c>
      <c r="RC83" s="12" t="s">
        <v>37</v>
      </c>
      <c r="RD83" s="12" t="s">
        <v>37</v>
      </c>
      <c r="RE83" s="13" t="s">
        <v>37</v>
      </c>
      <c r="RF83" s="12" t="s">
        <v>37</v>
      </c>
      <c r="RG83" s="12" t="s">
        <v>37</v>
      </c>
      <c r="RH83" s="13" t="s">
        <v>37</v>
      </c>
      <c r="RK83" s="11" t="s">
        <v>37</v>
      </c>
      <c r="RL83" s="11" t="s">
        <v>37</v>
      </c>
      <c r="RM83" s="11" t="s">
        <v>37</v>
      </c>
      <c r="RN83" s="11" t="s">
        <v>37</v>
      </c>
      <c r="RO83" s="11" t="s">
        <v>37</v>
      </c>
      <c r="RP83" s="11" t="s">
        <v>37</v>
      </c>
      <c r="RS83" s="11" t="s">
        <v>37</v>
      </c>
      <c r="RT83" s="11" t="s">
        <v>37</v>
      </c>
      <c r="RU83" s="11" t="s">
        <v>37</v>
      </c>
      <c r="RV83" s="11" t="s">
        <v>37</v>
      </c>
      <c r="RW83" s="11" t="s">
        <v>37</v>
      </c>
      <c r="RX83" s="11" t="s">
        <v>37</v>
      </c>
      <c r="SA83" s="11" t="s">
        <v>37</v>
      </c>
      <c r="SB83" s="11" t="s">
        <v>37</v>
      </c>
      <c r="SC83" s="13" t="s">
        <v>37</v>
      </c>
      <c r="SD83" s="11" t="s">
        <v>37</v>
      </c>
      <c r="SE83" s="11" t="s">
        <v>37</v>
      </c>
      <c r="SF83" s="13" t="s">
        <v>37</v>
      </c>
      <c r="SI83" s="12" t="s">
        <v>37</v>
      </c>
      <c r="SJ83" s="12" t="s">
        <v>37</v>
      </c>
      <c r="SK83" s="13" t="s">
        <v>37</v>
      </c>
      <c r="SM83" s="12" t="s">
        <v>37</v>
      </c>
      <c r="SN83" s="12" t="s">
        <v>37</v>
      </c>
      <c r="SO83" s="13" t="s">
        <v>37</v>
      </c>
      <c r="SU83" s="12" t="s">
        <v>37</v>
      </c>
      <c r="SV83" s="12" t="s">
        <v>37</v>
      </c>
      <c r="SW83" s="11" t="s">
        <v>37</v>
      </c>
      <c r="SX83" s="12" t="s">
        <v>37</v>
      </c>
      <c r="SY83" s="12" t="s">
        <v>37</v>
      </c>
      <c r="SZ83" s="11" t="s">
        <v>37</v>
      </c>
      <c r="TE83" s="12" t="s">
        <v>37</v>
      </c>
      <c r="TF83" s="12" t="s">
        <v>37</v>
      </c>
      <c r="TG83" s="11" t="s">
        <v>37</v>
      </c>
      <c r="TH83" s="12" t="s">
        <v>37</v>
      </c>
      <c r="TI83" s="12" t="s">
        <v>37</v>
      </c>
      <c r="TJ83" s="11" t="s">
        <v>37</v>
      </c>
      <c r="TO83" s="12" t="s">
        <v>37</v>
      </c>
      <c r="TP83" s="12" t="s">
        <v>37</v>
      </c>
      <c r="TQ83" s="11" t="s">
        <v>37</v>
      </c>
      <c r="TR83" s="12" t="s">
        <v>37</v>
      </c>
      <c r="TS83" s="12" t="s">
        <v>37</v>
      </c>
      <c r="TT83" s="11" t="s">
        <v>37</v>
      </c>
      <c r="TY83" s="12" t="s">
        <v>37</v>
      </c>
      <c r="TZ83" s="12" t="s">
        <v>37</v>
      </c>
      <c r="UA83" s="11" t="s">
        <v>37</v>
      </c>
      <c r="UB83" s="12" t="s">
        <v>37</v>
      </c>
      <c r="UC83" s="12" t="s">
        <v>37</v>
      </c>
      <c r="UD83" s="11" t="s">
        <v>37</v>
      </c>
      <c r="UI83" s="12" t="s">
        <v>37</v>
      </c>
      <c r="UJ83" s="12" t="s">
        <v>37</v>
      </c>
      <c r="UK83" s="13" t="s">
        <v>37</v>
      </c>
      <c r="UL83" s="12" t="s">
        <v>37</v>
      </c>
      <c r="UM83" s="12" t="s">
        <v>37</v>
      </c>
      <c r="UN83" s="13" t="s">
        <v>37</v>
      </c>
      <c r="UR83" s="12" t="s">
        <v>37</v>
      </c>
      <c r="US83" s="12" t="s">
        <v>37</v>
      </c>
      <c r="UT83" s="13" t="s">
        <v>37</v>
      </c>
      <c r="UU83" s="12" t="s">
        <v>37</v>
      </c>
      <c r="UV83" s="12" t="s">
        <v>37</v>
      </c>
      <c r="UW83" s="13" t="s">
        <v>37</v>
      </c>
      <c r="VB83" s="12" t="s">
        <v>37</v>
      </c>
      <c r="VC83" s="12" t="s">
        <v>37</v>
      </c>
      <c r="VD83" s="13" t="s">
        <v>37</v>
      </c>
      <c r="VE83" s="12" t="s">
        <v>37</v>
      </c>
      <c r="VF83" s="12" t="s">
        <v>37</v>
      </c>
      <c r="VG83" s="13" t="s">
        <v>37</v>
      </c>
      <c r="VI83" s="12" t="s">
        <v>37</v>
      </c>
      <c r="VJ83" s="12" t="s">
        <v>37</v>
      </c>
      <c r="VK83" s="13" t="s">
        <v>37</v>
      </c>
      <c r="VL83" s="12" t="s">
        <v>37</v>
      </c>
      <c r="VM83" s="12" t="s">
        <v>37</v>
      </c>
      <c r="VN83" s="13" t="s">
        <v>37</v>
      </c>
      <c r="VO83" s="12" t="s">
        <v>37</v>
      </c>
      <c r="VQ83" s="12" t="s">
        <v>37</v>
      </c>
      <c r="VR83" s="12" t="s">
        <v>37</v>
      </c>
      <c r="VS83" s="12" t="s">
        <v>37</v>
      </c>
      <c r="VT83" s="12" t="s">
        <v>37</v>
      </c>
      <c r="VU83" s="12" t="s">
        <v>37</v>
      </c>
      <c r="VV83" s="12" t="s">
        <v>37</v>
      </c>
      <c r="VW83" s="12"/>
      <c r="VX83" s="12"/>
      <c r="WA83" s="13" t="s">
        <v>37</v>
      </c>
      <c r="WB83" s="13" t="s">
        <v>37</v>
      </c>
      <c r="WC83" s="13" t="s">
        <v>37</v>
      </c>
      <c r="WD83" s="13" t="s">
        <v>37</v>
      </c>
      <c r="WE83" s="13" t="s">
        <v>37</v>
      </c>
      <c r="WF83" s="13" t="s">
        <v>37</v>
      </c>
    </row>
    <row r="84" spans="1:604" ht="18" customHeight="1" x14ac:dyDescent="0.4">
      <c r="A84" s="11">
        <v>18</v>
      </c>
      <c r="B84" s="12" t="s">
        <v>900</v>
      </c>
      <c r="C84" s="12" t="s">
        <v>26</v>
      </c>
      <c r="D84" s="12" t="s">
        <v>54</v>
      </c>
      <c r="E84" s="40" t="s">
        <v>37</v>
      </c>
      <c r="F84" s="14">
        <v>0</v>
      </c>
      <c r="G84" s="14">
        <v>0</v>
      </c>
      <c r="H84" s="12" t="s">
        <v>123</v>
      </c>
      <c r="I84" s="29">
        <v>61.783000000000001</v>
      </c>
      <c r="J84" s="29">
        <v>24.317</v>
      </c>
      <c r="K84" s="12" t="s">
        <v>706</v>
      </c>
      <c r="L84" s="12" t="s">
        <v>666</v>
      </c>
      <c r="M84" s="13" t="s">
        <v>37</v>
      </c>
      <c r="N84" s="14" t="s">
        <v>37</v>
      </c>
      <c r="O84" s="14" t="s">
        <v>37</v>
      </c>
      <c r="P84" s="14" t="s">
        <v>84</v>
      </c>
      <c r="Q84" s="75">
        <v>30</v>
      </c>
      <c r="R84" s="11" t="s">
        <v>1000</v>
      </c>
      <c r="S84" s="12" t="s">
        <v>85</v>
      </c>
      <c r="T84" s="12" t="s">
        <v>138</v>
      </c>
      <c r="U84" s="12" t="s">
        <v>158</v>
      </c>
      <c r="V84" s="12" t="s">
        <v>275</v>
      </c>
      <c r="W84" s="23" t="s">
        <v>511</v>
      </c>
      <c r="X84" s="12" t="s">
        <v>281</v>
      </c>
      <c r="Y84" s="12" t="s">
        <v>69</v>
      </c>
      <c r="Z84" s="12" t="s">
        <v>37</v>
      </c>
      <c r="AB84" s="12" t="s">
        <v>37</v>
      </c>
      <c r="AE84" s="12" t="s">
        <v>37</v>
      </c>
      <c r="AH84" s="12" t="s">
        <v>37</v>
      </c>
      <c r="AK84" s="12" t="s">
        <v>37</v>
      </c>
      <c r="AL84" s="32" t="s">
        <v>509</v>
      </c>
      <c r="AM84" s="13" t="s">
        <v>344</v>
      </c>
      <c r="AO84" s="12" t="s">
        <v>318</v>
      </c>
      <c r="AP84" s="12" t="s">
        <v>125</v>
      </c>
      <c r="AQ84" s="12" t="s">
        <v>975</v>
      </c>
      <c r="AT84" s="12" t="s">
        <v>326</v>
      </c>
      <c r="AU84" s="12" t="s">
        <v>326</v>
      </c>
      <c r="AV84" s="13" t="s">
        <v>326</v>
      </c>
      <c r="AX84" s="12" t="s">
        <v>326</v>
      </c>
      <c r="AY84" s="12" t="s">
        <v>326</v>
      </c>
      <c r="AZ84" s="13" t="s">
        <v>326</v>
      </c>
      <c r="BE84" s="12" t="s">
        <v>326</v>
      </c>
      <c r="BF84" s="12" t="s">
        <v>326</v>
      </c>
      <c r="BG84" s="12" t="s">
        <v>326</v>
      </c>
      <c r="BI84" s="12" t="s">
        <v>326</v>
      </c>
      <c r="BJ84" s="12" t="s">
        <v>326</v>
      </c>
      <c r="BK84" s="12" t="s">
        <v>326</v>
      </c>
      <c r="BP84" s="12" t="s">
        <v>37</v>
      </c>
      <c r="BQ84" s="12" t="s">
        <v>37</v>
      </c>
      <c r="BR84" s="13" t="s">
        <v>37</v>
      </c>
      <c r="BT84" s="12" t="s">
        <v>37</v>
      </c>
      <c r="BU84" s="12" t="s">
        <v>37</v>
      </c>
      <c r="BV84" s="12" t="s">
        <v>37</v>
      </c>
      <c r="CA84" s="15" t="s">
        <v>37</v>
      </c>
      <c r="CB84" s="15" t="s">
        <v>37</v>
      </c>
      <c r="CC84" s="18" t="s">
        <v>37</v>
      </c>
      <c r="CD84" s="52"/>
      <c r="CE84" s="15" t="s">
        <v>37</v>
      </c>
      <c r="CF84" s="15" t="s">
        <v>37</v>
      </c>
      <c r="CG84" s="18" t="s">
        <v>37</v>
      </c>
      <c r="CH84" s="52"/>
      <c r="CI84" s="52"/>
      <c r="CJ84" s="12"/>
      <c r="CK84" s="73"/>
      <c r="CL84" s="73"/>
      <c r="CN84" s="15" t="s">
        <v>37</v>
      </c>
      <c r="CO84" s="15" t="s">
        <v>37</v>
      </c>
      <c r="CP84" s="18" t="s">
        <v>37</v>
      </c>
      <c r="CQ84" s="52"/>
      <c r="CR84" s="15" t="s">
        <v>37</v>
      </c>
      <c r="CS84" s="15" t="s">
        <v>37</v>
      </c>
      <c r="CT84" s="18" t="s">
        <v>37</v>
      </c>
      <c r="CU84" s="52"/>
      <c r="CV84" s="52"/>
      <c r="CW84" s="52"/>
      <c r="CX84" s="73"/>
      <c r="CY84" s="73"/>
      <c r="DA84" s="15" t="s">
        <v>37</v>
      </c>
      <c r="DB84" s="15" t="s">
        <v>37</v>
      </c>
      <c r="DC84" s="18" t="s">
        <v>37</v>
      </c>
      <c r="DD84" s="52"/>
      <c r="DE84" s="15" t="s">
        <v>37</v>
      </c>
      <c r="DF84" s="15" t="s">
        <v>37</v>
      </c>
      <c r="DG84" s="18" t="s">
        <v>37</v>
      </c>
      <c r="DH84" s="52"/>
      <c r="DI84" s="52"/>
      <c r="DJ84" s="52"/>
      <c r="DK84" s="73"/>
      <c r="DL84" s="73"/>
      <c r="DM84" s="12" t="s">
        <v>47</v>
      </c>
      <c r="DN84" s="19">
        <f>19.2*16/12*10^4/10^3</f>
        <v>255.99999999999997</v>
      </c>
      <c r="DO84" s="50">
        <f t="shared" si="285"/>
        <v>285.40909802494076</v>
      </c>
      <c r="DP84" s="13">
        <v>3</v>
      </c>
      <c r="DR84" s="19">
        <f>-0.03*16/12*10^4/10^3</f>
        <v>-0.4</v>
      </c>
      <c r="DS84" s="50">
        <f t="shared" si="286"/>
        <v>1.494886517852404</v>
      </c>
      <c r="DT84" s="13">
        <v>3</v>
      </c>
      <c r="DV84" s="19">
        <f>DR84-DN84</f>
        <v>-256.39999999999998</v>
      </c>
      <c r="DW84" s="12">
        <f t="shared" si="288"/>
        <v>201.81747684617343</v>
      </c>
      <c r="DX84" s="72">
        <f t="shared" si="196"/>
        <v>27153.52930703717</v>
      </c>
      <c r="DY84" s="72">
        <f t="shared" si="197"/>
        <v>27153.529307037166</v>
      </c>
      <c r="DZ84" s="12" t="s">
        <v>47</v>
      </c>
      <c r="EA84" s="19">
        <f>-27.9*10^4/10^9*365</f>
        <v>-0.10183500000000001</v>
      </c>
      <c r="EB84" s="19">
        <f>17.34*10^4/10^9*365</f>
        <v>6.3291E-2</v>
      </c>
      <c r="EC84" s="72">
        <v>3</v>
      </c>
      <c r="ED84" s="52">
        <f>EB84/ABS(EA84)</f>
        <v>0.62150537634408598</v>
      </c>
      <c r="EE84" s="19">
        <f>811.83*10^4/10^9*365</f>
        <v>2.9631794999999999</v>
      </c>
      <c r="EF84" s="19">
        <f>186.16*10^4/10^9*365</f>
        <v>0.67948399999999998</v>
      </c>
      <c r="EG84" s="13">
        <v>3</v>
      </c>
      <c r="EH84" s="52">
        <f t="shared" ref="EH84:EH87" si="294">EF84/ABS(EE84)</f>
        <v>0.22930909180493453</v>
      </c>
      <c r="EI84" s="19">
        <f t="shared" ref="EI84:EI87" si="295">EE84-EA84</f>
        <v>3.0650144999999998</v>
      </c>
      <c r="EJ84" s="12">
        <f t="shared" ref="EJ84:EJ87" si="296">SQRT(((EC84-1)*EB84^2+(EG84-1)*EF84^2)/(EC84+EG84-2))</f>
        <v>0.48254754011237067</v>
      </c>
      <c r="EK84" s="19">
        <f t="shared" ref="EK84:EK87" si="297">(((EC84+EG84)/(EC84*EG84))*(((EC84-1)*EB84^2)+(EG84-1)*EF84^2)/(EC84+EG84-2))</f>
        <v>0.1552347523123333</v>
      </c>
      <c r="EL84" s="19">
        <f t="shared" ref="EL84:EL87" si="298">(EB84^2/EC84)+(EF84^2/EG84)</f>
        <v>0.15523475231233333</v>
      </c>
      <c r="EM84" s="12" t="s">
        <v>39</v>
      </c>
      <c r="EN84" s="12">
        <v>-2.8</v>
      </c>
      <c r="EO84" s="12">
        <v>0.72</v>
      </c>
      <c r="EP84" s="13">
        <v>3</v>
      </c>
      <c r="EQ84" s="19">
        <f t="shared" si="139"/>
        <v>0.25714285714285717</v>
      </c>
      <c r="ER84" s="12">
        <v>-23.33</v>
      </c>
      <c r="ES84" s="12">
        <v>3.46</v>
      </c>
      <c r="ET84" s="13">
        <v>3</v>
      </c>
      <c r="EU84" s="19">
        <f t="shared" si="140"/>
        <v>0.14830690098585514</v>
      </c>
      <c r="EV84" s="19">
        <f t="shared" si="289"/>
        <v>-20.529999999999998</v>
      </c>
      <c r="EW84" s="12">
        <f t="shared" si="290"/>
        <v>2.49899979991996</v>
      </c>
      <c r="EX84" s="19">
        <f t="shared" si="291"/>
        <v>4.1633333333333331</v>
      </c>
      <c r="EY84" s="19">
        <f t="shared" si="292"/>
        <v>4.1633333333333331</v>
      </c>
      <c r="FB84" s="11" t="s">
        <v>37</v>
      </c>
      <c r="FC84" s="11" t="s">
        <v>37</v>
      </c>
      <c r="FD84" s="11" t="s">
        <v>37</v>
      </c>
      <c r="FE84" s="12" t="s">
        <v>37</v>
      </c>
      <c r="FF84" s="20" t="s">
        <v>37</v>
      </c>
      <c r="FG84" s="11" t="s">
        <v>37</v>
      </c>
      <c r="FI84" s="11" t="s">
        <v>37</v>
      </c>
      <c r="FJ84" s="11" t="s">
        <v>37</v>
      </c>
      <c r="FK84" s="11" t="s">
        <v>37</v>
      </c>
      <c r="FL84" s="13" t="s">
        <v>37</v>
      </c>
      <c r="FM84" s="11" t="s">
        <v>37</v>
      </c>
      <c r="FN84" s="11" t="s">
        <v>37</v>
      </c>
      <c r="FP84" s="11" t="s">
        <v>37</v>
      </c>
      <c r="FQ84" s="11" t="s">
        <v>37</v>
      </c>
      <c r="FR84" s="11" t="s">
        <v>37</v>
      </c>
      <c r="FS84" s="13" t="s">
        <v>37</v>
      </c>
      <c r="FT84" s="11" t="s">
        <v>37</v>
      </c>
      <c r="FU84" s="11" t="s">
        <v>37</v>
      </c>
      <c r="FW84" s="11" t="s">
        <v>37</v>
      </c>
      <c r="FX84" s="11" t="s">
        <v>37</v>
      </c>
      <c r="FY84" s="11" t="s">
        <v>37</v>
      </c>
      <c r="FZ84" s="13" t="s">
        <v>37</v>
      </c>
      <c r="GA84" s="11" t="s">
        <v>37</v>
      </c>
      <c r="GB84" s="11" t="s">
        <v>37</v>
      </c>
      <c r="GO84" s="12" t="s">
        <v>660</v>
      </c>
      <c r="GP84" s="12" t="s">
        <v>345</v>
      </c>
      <c r="GQ84" s="12">
        <v>8.76</v>
      </c>
      <c r="GR84" s="12">
        <v>1.44</v>
      </c>
      <c r="GS84" s="13">
        <v>3</v>
      </c>
      <c r="GT84" s="19">
        <f t="shared" ref="GT84:GT87" si="299">GR84/GQ84</f>
        <v>0.16438356164383561</v>
      </c>
      <c r="GU84" s="12">
        <v>6.9</v>
      </c>
      <c r="GV84" s="12">
        <v>1.23</v>
      </c>
      <c r="GW84" s="13">
        <v>3</v>
      </c>
      <c r="GX84" s="19">
        <f t="shared" ref="GX84:GX87" si="300">GV84/GU84</f>
        <v>0.17826086956521739</v>
      </c>
      <c r="GY84" s="19">
        <f t="shared" ref="GY84:GY87" si="301">LN(GU84/GQ84)</f>
        <v>-0.23867449334508634</v>
      </c>
      <c r="GZ84" s="19">
        <f t="shared" ref="GZ84:GZ87" si="302">GV84^2/(GW84*GU84^2)+GR84^2/(GS84*GQ84^2)</f>
        <v>1.9599630985620047E-2</v>
      </c>
      <c r="IK84" s="12" t="s">
        <v>37</v>
      </c>
      <c r="IL84" s="12" t="s">
        <v>37</v>
      </c>
      <c r="IM84" s="13" t="s">
        <v>37</v>
      </c>
      <c r="IO84" s="12" t="s">
        <v>37</v>
      </c>
      <c r="IP84" s="12" t="s">
        <v>37</v>
      </c>
      <c r="IQ84" s="13" t="s">
        <v>37</v>
      </c>
      <c r="IW84" s="12" t="s">
        <v>37</v>
      </c>
      <c r="IX84" s="12" t="s">
        <v>37</v>
      </c>
      <c r="IY84" s="13" t="s">
        <v>37</v>
      </c>
      <c r="JA84" s="12" t="s">
        <v>37</v>
      </c>
      <c r="JB84" s="12" t="s">
        <v>37</v>
      </c>
      <c r="JC84" s="13" t="s">
        <v>37</v>
      </c>
      <c r="JH84" s="12" t="s">
        <v>37</v>
      </c>
      <c r="JI84" s="12" t="s">
        <v>37</v>
      </c>
      <c r="JJ84" s="13" t="s">
        <v>37</v>
      </c>
      <c r="JL84" s="12" t="s">
        <v>37</v>
      </c>
      <c r="JM84" s="12" t="s">
        <v>37</v>
      </c>
      <c r="JN84" s="12" t="s">
        <v>37</v>
      </c>
      <c r="JS84" s="12" t="s">
        <v>37</v>
      </c>
      <c r="JT84" s="12" t="s">
        <v>37</v>
      </c>
      <c r="JU84" s="13" t="s">
        <v>37</v>
      </c>
      <c r="JW84" s="12" t="s">
        <v>37</v>
      </c>
      <c r="JX84" s="12" t="s">
        <v>37</v>
      </c>
      <c r="JY84" s="12" t="s">
        <v>37</v>
      </c>
      <c r="KE84" s="11" t="s">
        <v>37</v>
      </c>
      <c r="KF84" s="11" t="s">
        <v>37</v>
      </c>
      <c r="KG84" s="13" t="s">
        <v>37</v>
      </c>
      <c r="KH84" s="11" t="s">
        <v>37</v>
      </c>
      <c r="KI84" s="11" t="s">
        <v>37</v>
      </c>
      <c r="KJ84" s="11" t="s">
        <v>37</v>
      </c>
      <c r="KM84" s="12" t="s">
        <v>37</v>
      </c>
      <c r="KN84" s="12" t="s">
        <v>37</v>
      </c>
      <c r="KO84" s="11" t="s">
        <v>37</v>
      </c>
      <c r="KQ84" s="12" t="s">
        <v>37</v>
      </c>
      <c r="KR84" s="12" t="s">
        <v>37</v>
      </c>
      <c r="KS84" s="13" t="s">
        <v>37</v>
      </c>
      <c r="KX84" s="12" t="s">
        <v>37</v>
      </c>
      <c r="KY84" s="12" t="s">
        <v>37</v>
      </c>
      <c r="KZ84" s="13" t="s">
        <v>37</v>
      </c>
      <c r="LB84" s="12" t="s">
        <v>37</v>
      </c>
      <c r="LC84" s="12" t="s">
        <v>37</v>
      </c>
      <c r="LD84" s="13" t="s">
        <v>37</v>
      </c>
      <c r="LI84" s="12" t="s">
        <v>37</v>
      </c>
      <c r="LJ84" s="12" t="s">
        <v>37</v>
      </c>
      <c r="LK84" s="12" t="s">
        <v>37</v>
      </c>
      <c r="LM84" s="12" t="s">
        <v>37</v>
      </c>
      <c r="LN84" s="12" t="s">
        <v>37</v>
      </c>
      <c r="LO84" s="12" t="s">
        <v>37</v>
      </c>
      <c r="LU84" s="12" t="s">
        <v>37</v>
      </c>
      <c r="LV84" s="12" t="s">
        <v>37</v>
      </c>
      <c r="LW84" s="13" t="s">
        <v>37</v>
      </c>
      <c r="LY84" s="12" t="s">
        <v>37</v>
      </c>
      <c r="LZ84" s="12" t="s">
        <v>37</v>
      </c>
      <c r="MA84" s="12" t="s">
        <v>37</v>
      </c>
      <c r="MF84" s="12" t="s">
        <v>37</v>
      </c>
      <c r="MG84" s="12" t="s">
        <v>37</v>
      </c>
      <c r="MH84" s="12" t="s">
        <v>37</v>
      </c>
      <c r="MJ84" s="12" t="s">
        <v>37</v>
      </c>
      <c r="MK84" s="12" t="s">
        <v>37</v>
      </c>
      <c r="ML84" s="12" t="s">
        <v>37</v>
      </c>
      <c r="MQ84" s="12" t="s">
        <v>37</v>
      </c>
      <c r="MR84" s="12" t="s">
        <v>37</v>
      </c>
      <c r="MS84" s="12" t="s">
        <v>37</v>
      </c>
      <c r="MU84" s="12" t="s">
        <v>37</v>
      </c>
      <c r="MV84" s="12" t="s">
        <v>37</v>
      </c>
      <c r="MW84" s="12" t="s">
        <v>37</v>
      </c>
      <c r="NC84" s="12" t="s">
        <v>37</v>
      </c>
      <c r="ND84" s="12" t="s">
        <v>37</v>
      </c>
      <c r="NE84" s="13" t="s">
        <v>37</v>
      </c>
      <c r="NG84" s="12" t="s">
        <v>37</v>
      </c>
      <c r="NH84" s="12" t="s">
        <v>37</v>
      </c>
      <c r="NI84" s="13" t="s">
        <v>37</v>
      </c>
      <c r="NO84" s="12" t="s">
        <v>37</v>
      </c>
      <c r="NP84" s="12" t="s">
        <v>37</v>
      </c>
      <c r="NQ84" s="13" t="s">
        <v>37</v>
      </c>
      <c r="NS84" s="12" t="s">
        <v>37</v>
      </c>
      <c r="NT84" s="12" t="s">
        <v>37</v>
      </c>
      <c r="NU84" s="13" t="s">
        <v>37</v>
      </c>
      <c r="OA84" s="11" t="s">
        <v>37</v>
      </c>
      <c r="OB84" s="11" t="s">
        <v>37</v>
      </c>
      <c r="OC84" s="13" t="s">
        <v>37</v>
      </c>
      <c r="OE84" s="11" t="s">
        <v>37</v>
      </c>
      <c r="OF84" s="11" t="s">
        <v>37</v>
      </c>
      <c r="OG84" s="13" t="s">
        <v>37</v>
      </c>
      <c r="OM84" s="11" t="s">
        <v>37</v>
      </c>
      <c r="ON84" s="11" t="s">
        <v>37</v>
      </c>
      <c r="OO84" s="11" t="s">
        <v>37</v>
      </c>
      <c r="OP84" s="11" t="s">
        <v>37</v>
      </c>
      <c r="OQ84" s="11" t="s">
        <v>37</v>
      </c>
      <c r="OR84" s="11" t="s">
        <v>37</v>
      </c>
      <c r="OW84" s="11" t="s">
        <v>37</v>
      </c>
      <c r="OX84" s="11" t="s">
        <v>37</v>
      </c>
      <c r="OY84" s="13" t="s">
        <v>37</v>
      </c>
      <c r="OZ84" s="11" t="s">
        <v>37</v>
      </c>
      <c r="PA84" s="11" t="s">
        <v>37</v>
      </c>
      <c r="PB84" s="13" t="s">
        <v>37</v>
      </c>
      <c r="PG84" s="11" t="s">
        <v>37</v>
      </c>
      <c r="PH84" s="11" t="s">
        <v>37</v>
      </c>
      <c r="PI84" s="13" t="s">
        <v>37</v>
      </c>
      <c r="PJ84" s="11" t="s">
        <v>37</v>
      </c>
      <c r="PK84" s="11" t="s">
        <v>37</v>
      </c>
      <c r="PL84" s="13" t="s">
        <v>37</v>
      </c>
      <c r="PQ84" s="11" t="s">
        <v>37</v>
      </c>
      <c r="PR84" s="11" t="s">
        <v>37</v>
      </c>
      <c r="PS84" s="13" t="s">
        <v>37</v>
      </c>
      <c r="PT84" s="11" t="s">
        <v>37</v>
      </c>
      <c r="PU84" s="11" t="s">
        <v>37</v>
      </c>
      <c r="PV84" s="13" t="s">
        <v>37</v>
      </c>
      <c r="PZ84" s="12" t="s">
        <v>37</v>
      </c>
      <c r="QA84" s="12" t="s">
        <v>37</v>
      </c>
      <c r="QB84" s="11" t="s">
        <v>37</v>
      </c>
      <c r="QD84" s="12" t="s">
        <v>37</v>
      </c>
      <c r="QE84" s="12" t="s">
        <v>37</v>
      </c>
      <c r="QF84" s="12" t="s">
        <v>37</v>
      </c>
      <c r="QK84" s="12" t="s">
        <v>37</v>
      </c>
      <c r="QL84" s="12" t="s">
        <v>37</v>
      </c>
      <c r="QM84" s="12" t="s">
        <v>37</v>
      </c>
      <c r="QN84" s="12" t="s">
        <v>37</v>
      </c>
      <c r="QO84" s="12" t="s">
        <v>37</v>
      </c>
      <c r="QP84" s="12" t="s">
        <v>37</v>
      </c>
      <c r="QQ84" s="12"/>
      <c r="QR84" s="12"/>
      <c r="QU84" s="11" t="s">
        <v>37</v>
      </c>
      <c r="QV84" s="11" t="s">
        <v>37</v>
      </c>
      <c r="QW84" s="13" t="s">
        <v>37</v>
      </c>
      <c r="QX84" s="11" t="s">
        <v>37</v>
      </c>
      <c r="QY84" s="11" t="s">
        <v>37</v>
      </c>
      <c r="QZ84" s="13" t="s">
        <v>37</v>
      </c>
      <c r="RC84" s="12" t="s">
        <v>37</v>
      </c>
      <c r="RD84" s="12" t="s">
        <v>37</v>
      </c>
      <c r="RE84" s="13" t="s">
        <v>37</v>
      </c>
      <c r="RF84" s="12" t="s">
        <v>37</v>
      </c>
      <c r="RG84" s="12" t="s">
        <v>37</v>
      </c>
      <c r="RH84" s="13" t="s">
        <v>37</v>
      </c>
      <c r="RK84" s="11" t="s">
        <v>37</v>
      </c>
      <c r="RL84" s="11" t="s">
        <v>37</v>
      </c>
      <c r="RM84" s="11" t="s">
        <v>37</v>
      </c>
      <c r="RN84" s="11" t="s">
        <v>37</v>
      </c>
      <c r="RO84" s="11" t="s">
        <v>37</v>
      </c>
      <c r="RP84" s="11" t="s">
        <v>37</v>
      </c>
      <c r="RS84" s="11" t="s">
        <v>37</v>
      </c>
      <c r="RT84" s="11" t="s">
        <v>37</v>
      </c>
      <c r="RU84" s="11" t="s">
        <v>37</v>
      </c>
      <c r="RV84" s="11" t="s">
        <v>37</v>
      </c>
      <c r="RW84" s="11" t="s">
        <v>37</v>
      </c>
      <c r="RX84" s="11" t="s">
        <v>37</v>
      </c>
      <c r="SA84" s="11" t="s">
        <v>37</v>
      </c>
      <c r="SB84" s="11" t="s">
        <v>37</v>
      </c>
      <c r="SC84" s="13" t="s">
        <v>37</v>
      </c>
      <c r="SD84" s="11" t="s">
        <v>37</v>
      </c>
      <c r="SE84" s="11" t="s">
        <v>37</v>
      </c>
      <c r="SF84" s="13" t="s">
        <v>37</v>
      </c>
      <c r="SI84" s="12" t="s">
        <v>37</v>
      </c>
      <c r="SJ84" s="12" t="s">
        <v>37</v>
      </c>
      <c r="SK84" s="13" t="s">
        <v>37</v>
      </c>
      <c r="SM84" s="12" t="s">
        <v>37</v>
      </c>
      <c r="SN84" s="12" t="s">
        <v>37</v>
      </c>
      <c r="SO84" s="13" t="s">
        <v>37</v>
      </c>
      <c r="SU84" s="12" t="s">
        <v>37</v>
      </c>
      <c r="SV84" s="12" t="s">
        <v>37</v>
      </c>
      <c r="SW84" s="11" t="s">
        <v>37</v>
      </c>
      <c r="SX84" s="12" t="s">
        <v>37</v>
      </c>
      <c r="SY84" s="12" t="s">
        <v>37</v>
      </c>
      <c r="SZ84" s="11" t="s">
        <v>37</v>
      </c>
      <c r="TE84" s="12" t="s">
        <v>37</v>
      </c>
      <c r="TF84" s="12" t="s">
        <v>37</v>
      </c>
      <c r="TG84" s="11" t="s">
        <v>37</v>
      </c>
      <c r="TH84" s="12" t="s">
        <v>37</v>
      </c>
      <c r="TI84" s="12" t="s">
        <v>37</v>
      </c>
      <c r="TJ84" s="11" t="s">
        <v>37</v>
      </c>
      <c r="TO84" s="12" t="s">
        <v>37</v>
      </c>
      <c r="TP84" s="12" t="s">
        <v>37</v>
      </c>
      <c r="TQ84" s="11" t="s">
        <v>37</v>
      </c>
      <c r="TR84" s="12" t="s">
        <v>37</v>
      </c>
      <c r="TS84" s="12" t="s">
        <v>37</v>
      </c>
      <c r="TT84" s="11" t="s">
        <v>37</v>
      </c>
      <c r="TY84" s="12" t="s">
        <v>37</v>
      </c>
      <c r="TZ84" s="12" t="s">
        <v>37</v>
      </c>
      <c r="UA84" s="11" t="s">
        <v>37</v>
      </c>
      <c r="UB84" s="12" t="s">
        <v>37</v>
      </c>
      <c r="UC84" s="12" t="s">
        <v>37</v>
      </c>
      <c r="UD84" s="11" t="s">
        <v>37</v>
      </c>
      <c r="UI84" s="12" t="s">
        <v>37</v>
      </c>
      <c r="UJ84" s="12" t="s">
        <v>37</v>
      </c>
      <c r="UK84" s="13" t="s">
        <v>37</v>
      </c>
      <c r="UL84" s="12" t="s">
        <v>37</v>
      </c>
      <c r="UM84" s="12" t="s">
        <v>37</v>
      </c>
      <c r="UN84" s="13" t="s">
        <v>37</v>
      </c>
      <c r="UR84" s="12" t="s">
        <v>37</v>
      </c>
      <c r="US84" s="12" t="s">
        <v>37</v>
      </c>
      <c r="UT84" s="13" t="s">
        <v>37</v>
      </c>
      <c r="UU84" s="12" t="s">
        <v>37</v>
      </c>
      <c r="UV84" s="12" t="s">
        <v>37</v>
      </c>
      <c r="UW84" s="13" t="s">
        <v>37</v>
      </c>
      <c r="VB84" s="12" t="s">
        <v>37</v>
      </c>
      <c r="VC84" s="12" t="s">
        <v>37</v>
      </c>
      <c r="VD84" s="13" t="s">
        <v>37</v>
      </c>
      <c r="VE84" s="12" t="s">
        <v>37</v>
      </c>
      <c r="VF84" s="12" t="s">
        <v>37</v>
      </c>
      <c r="VG84" s="13" t="s">
        <v>37</v>
      </c>
      <c r="VI84" s="12" t="s">
        <v>37</v>
      </c>
      <c r="VJ84" s="12" t="s">
        <v>37</v>
      </c>
      <c r="VK84" s="13" t="s">
        <v>37</v>
      </c>
      <c r="VL84" s="12" t="s">
        <v>37</v>
      </c>
      <c r="VM84" s="12" t="s">
        <v>37</v>
      </c>
      <c r="VN84" s="13" t="s">
        <v>37</v>
      </c>
      <c r="VO84" s="12" t="s">
        <v>37</v>
      </c>
      <c r="VQ84" s="12" t="s">
        <v>37</v>
      </c>
      <c r="VR84" s="12" t="s">
        <v>37</v>
      </c>
      <c r="VS84" s="12" t="s">
        <v>37</v>
      </c>
      <c r="VT84" s="12" t="s">
        <v>37</v>
      </c>
      <c r="VU84" s="12" t="s">
        <v>37</v>
      </c>
      <c r="VV84" s="12" t="s">
        <v>37</v>
      </c>
      <c r="VW84" s="12"/>
      <c r="VX84" s="12"/>
      <c r="WA84" s="13" t="s">
        <v>37</v>
      </c>
      <c r="WB84" s="13" t="s">
        <v>37</v>
      </c>
      <c r="WC84" s="13" t="s">
        <v>37</v>
      </c>
      <c r="WD84" s="13" t="s">
        <v>37</v>
      </c>
      <c r="WE84" s="13" t="s">
        <v>37</v>
      </c>
      <c r="WF84" s="13" t="s">
        <v>37</v>
      </c>
    </row>
    <row r="85" spans="1:604" ht="18" customHeight="1" x14ac:dyDescent="0.4">
      <c r="A85" s="11">
        <v>18</v>
      </c>
      <c r="B85" s="12" t="s">
        <v>124</v>
      </c>
      <c r="C85" s="12" t="s">
        <v>26</v>
      </c>
      <c r="D85" s="12" t="s">
        <v>54</v>
      </c>
      <c r="E85" s="40" t="s">
        <v>37</v>
      </c>
      <c r="F85" s="14">
        <v>0</v>
      </c>
      <c r="G85" s="14">
        <v>0</v>
      </c>
      <c r="H85" s="12" t="s">
        <v>123</v>
      </c>
      <c r="I85" s="29">
        <v>61.783000000000001</v>
      </c>
      <c r="J85" s="29">
        <v>24.317</v>
      </c>
      <c r="K85" s="12" t="s">
        <v>706</v>
      </c>
      <c r="L85" s="12" t="s">
        <v>666</v>
      </c>
      <c r="M85" s="13" t="s">
        <v>37</v>
      </c>
      <c r="N85" s="14" t="s">
        <v>37</v>
      </c>
      <c r="O85" s="14" t="s">
        <v>37</v>
      </c>
      <c r="P85" s="14" t="s">
        <v>84</v>
      </c>
      <c r="Q85" s="75">
        <v>31</v>
      </c>
      <c r="R85" s="11" t="s">
        <v>999</v>
      </c>
      <c r="S85" s="12" t="s">
        <v>85</v>
      </c>
      <c r="T85" s="12" t="s">
        <v>138</v>
      </c>
      <c r="U85" s="12" t="s">
        <v>158</v>
      </c>
      <c r="V85" s="12" t="s">
        <v>275</v>
      </c>
      <c r="W85" s="23" t="s">
        <v>511</v>
      </c>
      <c r="X85" s="12" t="s">
        <v>281</v>
      </c>
      <c r="Y85" s="12" t="s">
        <v>69</v>
      </c>
      <c r="Z85" s="12" t="s">
        <v>37</v>
      </c>
      <c r="AB85" s="12" t="s">
        <v>37</v>
      </c>
      <c r="AE85" s="12" t="s">
        <v>37</v>
      </c>
      <c r="AH85" s="12" t="s">
        <v>37</v>
      </c>
      <c r="AK85" s="12" t="s">
        <v>37</v>
      </c>
      <c r="AL85" s="32" t="s">
        <v>510</v>
      </c>
      <c r="AM85" s="13" t="s">
        <v>344</v>
      </c>
      <c r="AO85" s="12" t="s">
        <v>29</v>
      </c>
      <c r="AP85" s="12" t="s">
        <v>125</v>
      </c>
      <c r="AQ85" s="12" t="s">
        <v>975</v>
      </c>
      <c r="AT85" s="12" t="s">
        <v>326</v>
      </c>
      <c r="AU85" s="12" t="s">
        <v>326</v>
      </c>
      <c r="AV85" s="13" t="s">
        <v>326</v>
      </c>
      <c r="AX85" s="12" t="s">
        <v>326</v>
      </c>
      <c r="AY85" s="12" t="s">
        <v>326</v>
      </c>
      <c r="AZ85" s="13" t="s">
        <v>326</v>
      </c>
      <c r="BE85" s="12" t="s">
        <v>326</v>
      </c>
      <c r="BF85" s="12" t="s">
        <v>326</v>
      </c>
      <c r="BG85" s="12" t="s">
        <v>326</v>
      </c>
      <c r="BI85" s="12" t="s">
        <v>326</v>
      </c>
      <c r="BJ85" s="12" t="s">
        <v>326</v>
      </c>
      <c r="BK85" s="12" t="s">
        <v>326</v>
      </c>
      <c r="BP85" s="12" t="s">
        <v>37</v>
      </c>
      <c r="BQ85" s="12" t="s">
        <v>37</v>
      </c>
      <c r="BR85" s="13" t="s">
        <v>37</v>
      </c>
      <c r="BT85" s="12" t="s">
        <v>37</v>
      </c>
      <c r="BU85" s="12" t="s">
        <v>37</v>
      </c>
      <c r="BV85" s="12" t="s">
        <v>37</v>
      </c>
      <c r="CA85" s="15" t="s">
        <v>37</v>
      </c>
      <c r="CB85" s="15" t="s">
        <v>37</v>
      </c>
      <c r="CC85" s="18" t="s">
        <v>37</v>
      </c>
      <c r="CD85" s="52"/>
      <c r="CE85" s="15" t="s">
        <v>37</v>
      </c>
      <c r="CF85" s="15" t="s">
        <v>37</v>
      </c>
      <c r="CG85" s="18" t="s">
        <v>37</v>
      </c>
      <c r="CH85" s="52"/>
      <c r="CI85" s="52"/>
      <c r="CJ85" s="12"/>
      <c r="CK85" s="73"/>
      <c r="CL85" s="73"/>
      <c r="CN85" s="15" t="s">
        <v>37</v>
      </c>
      <c r="CO85" s="15" t="s">
        <v>37</v>
      </c>
      <c r="CP85" s="18" t="s">
        <v>37</v>
      </c>
      <c r="CQ85" s="52"/>
      <c r="CR85" s="15" t="s">
        <v>37</v>
      </c>
      <c r="CS85" s="15" t="s">
        <v>37</v>
      </c>
      <c r="CT85" s="18" t="s">
        <v>37</v>
      </c>
      <c r="CU85" s="52"/>
      <c r="CV85" s="52"/>
      <c r="CW85" s="52"/>
      <c r="CX85" s="73"/>
      <c r="CY85" s="73"/>
      <c r="DA85" s="15" t="s">
        <v>37</v>
      </c>
      <c r="DB85" s="15" t="s">
        <v>37</v>
      </c>
      <c r="DC85" s="18" t="s">
        <v>37</v>
      </c>
      <c r="DD85" s="52"/>
      <c r="DE85" s="15" t="s">
        <v>37</v>
      </c>
      <c r="DF85" s="15" t="s">
        <v>37</v>
      </c>
      <c r="DG85" s="18" t="s">
        <v>37</v>
      </c>
      <c r="DH85" s="52"/>
      <c r="DI85" s="52"/>
      <c r="DJ85" s="52"/>
      <c r="DK85" s="73"/>
      <c r="DL85" s="73"/>
      <c r="DM85" s="12" t="s">
        <v>47</v>
      </c>
      <c r="DN85" s="19">
        <f>43.5*16/12*10^4/10^3</f>
        <v>580</v>
      </c>
      <c r="DO85" s="50">
        <f t="shared" si="285"/>
        <v>646.62998771275659</v>
      </c>
      <c r="DP85" s="13">
        <v>3</v>
      </c>
      <c r="DR85" s="19">
        <f>0.04*16/12*10^4/10^3</f>
        <v>0.53333333333333333</v>
      </c>
      <c r="DS85" s="50">
        <f t="shared" si="286"/>
        <v>1.9931820238032052</v>
      </c>
      <c r="DT85" s="13">
        <v>3</v>
      </c>
      <c r="DV85" s="19">
        <f t="shared" si="287"/>
        <v>-579.4666666666667</v>
      </c>
      <c r="DW85" s="12">
        <f t="shared" si="288"/>
        <v>457.23862139148952</v>
      </c>
      <c r="DX85" s="72">
        <f t="shared" si="196"/>
        <v>139378.1045946599</v>
      </c>
      <c r="DY85" s="72">
        <f t="shared" si="197"/>
        <v>139378.10459465993</v>
      </c>
      <c r="DZ85" s="12" t="s">
        <v>47</v>
      </c>
      <c r="EA85" s="19">
        <f>7.86*10^4/10^9*365</f>
        <v>2.8688999999999999E-2</v>
      </c>
      <c r="EB85" s="19">
        <f>12.95*10^4/10^9*365</f>
        <v>4.7267500000000004E-2</v>
      </c>
      <c r="EC85" s="72">
        <v>3</v>
      </c>
      <c r="ED85" s="52">
        <f>EB85/ABS(EA85)</f>
        <v>1.6475826972010179</v>
      </c>
      <c r="EE85" s="19">
        <f>220*10^4/10^9*365</f>
        <v>0.80300000000000005</v>
      </c>
      <c r="EF85" s="19">
        <f>61.68*10^4/10^9*365</f>
        <v>0.225132</v>
      </c>
      <c r="EG85" s="13">
        <v>3</v>
      </c>
      <c r="EH85" s="52">
        <f t="shared" si="294"/>
        <v>0.28036363636363637</v>
      </c>
      <c r="EI85" s="19">
        <f t="shared" si="295"/>
        <v>0.77431100000000008</v>
      </c>
      <c r="EJ85" s="12">
        <f t="shared" si="296"/>
        <v>0.16266320109393212</v>
      </c>
      <c r="EK85" s="19">
        <f t="shared" si="297"/>
        <v>1.7639544660083332E-2</v>
      </c>
      <c r="EL85" s="19">
        <f t="shared" si="298"/>
        <v>1.7639544660083332E-2</v>
      </c>
      <c r="EM85" s="12" t="s">
        <v>39</v>
      </c>
      <c r="EN85" s="12">
        <v>-5.04</v>
      </c>
      <c r="EO85" s="12">
        <v>1.83</v>
      </c>
      <c r="EP85" s="13">
        <v>3</v>
      </c>
      <c r="EQ85" s="19">
        <f t="shared" si="139"/>
        <v>0.36309523809523808</v>
      </c>
      <c r="ER85" s="12">
        <v>-37.299999999999997</v>
      </c>
      <c r="ES85" s="12">
        <v>7.39</v>
      </c>
      <c r="ET85" s="13">
        <v>3</v>
      </c>
      <c r="EU85" s="19">
        <f t="shared" si="140"/>
        <v>0.19812332439678285</v>
      </c>
      <c r="EV85" s="19">
        <f t="shared" si="289"/>
        <v>-32.26</v>
      </c>
      <c r="EW85" s="12">
        <f t="shared" si="290"/>
        <v>5.3833539731286475</v>
      </c>
      <c r="EX85" s="19">
        <f t="shared" si="291"/>
        <v>19.32033333333333</v>
      </c>
      <c r="EY85" s="19">
        <f t="shared" si="292"/>
        <v>19.32033333333333</v>
      </c>
      <c r="FB85" s="11" t="s">
        <v>37</v>
      </c>
      <c r="FC85" s="11" t="s">
        <v>37</v>
      </c>
      <c r="FD85" s="11" t="s">
        <v>37</v>
      </c>
      <c r="FE85" s="12" t="s">
        <v>37</v>
      </c>
      <c r="FF85" s="20" t="s">
        <v>37</v>
      </c>
      <c r="FG85" s="11" t="s">
        <v>37</v>
      </c>
      <c r="FI85" s="11" t="s">
        <v>37</v>
      </c>
      <c r="FJ85" s="11" t="s">
        <v>37</v>
      </c>
      <c r="FK85" s="11" t="s">
        <v>37</v>
      </c>
      <c r="FL85" s="13" t="s">
        <v>37</v>
      </c>
      <c r="FM85" s="11" t="s">
        <v>37</v>
      </c>
      <c r="FN85" s="11" t="s">
        <v>37</v>
      </c>
      <c r="FP85" s="11" t="s">
        <v>37</v>
      </c>
      <c r="FQ85" s="11" t="s">
        <v>37</v>
      </c>
      <c r="FR85" s="11" t="s">
        <v>37</v>
      </c>
      <c r="FS85" s="13" t="s">
        <v>37</v>
      </c>
      <c r="FT85" s="11" t="s">
        <v>37</v>
      </c>
      <c r="FU85" s="11" t="s">
        <v>37</v>
      </c>
      <c r="FW85" s="11" t="s">
        <v>37</v>
      </c>
      <c r="FX85" s="11" t="s">
        <v>37</v>
      </c>
      <c r="FY85" s="11" t="s">
        <v>37</v>
      </c>
      <c r="FZ85" s="13" t="s">
        <v>37</v>
      </c>
      <c r="GA85" s="11" t="s">
        <v>37</v>
      </c>
      <c r="GB85" s="11" t="s">
        <v>37</v>
      </c>
      <c r="GO85" s="12" t="s">
        <v>660</v>
      </c>
      <c r="GP85" s="12" t="s">
        <v>345</v>
      </c>
      <c r="GQ85" s="12">
        <v>11.3</v>
      </c>
      <c r="GR85" s="12">
        <v>2.29</v>
      </c>
      <c r="GS85" s="13">
        <v>3</v>
      </c>
      <c r="GT85" s="19">
        <f t="shared" si="299"/>
        <v>0.20265486725663717</v>
      </c>
      <c r="GU85" s="12">
        <v>8.48</v>
      </c>
      <c r="GV85" s="12">
        <v>1.95</v>
      </c>
      <c r="GW85" s="13">
        <v>3</v>
      </c>
      <c r="GX85" s="19">
        <f t="shared" si="300"/>
        <v>0.22995283018867924</v>
      </c>
      <c r="GY85" s="19">
        <f t="shared" si="301"/>
        <v>-0.28709227591448322</v>
      </c>
      <c r="GZ85" s="19">
        <f t="shared" si="302"/>
        <v>3.1315766444862926E-2</v>
      </c>
      <c r="IK85" s="12" t="s">
        <v>37</v>
      </c>
      <c r="IL85" s="12" t="s">
        <v>37</v>
      </c>
      <c r="IM85" s="13" t="s">
        <v>37</v>
      </c>
      <c r="IO85" s="12" t="s">
        <v>37</v>
      </c>
      <c r="IP85" s="12" t="s">
        <v>37</v>
      </c>
      <c r="IQ85" s="13" t="s">
        <v>37</v>
      </c>
      <c r="IW85" s="12" t="s">
        <v>37</v>
      </c>
      <c r="IX85" s="12" t="s">
        <v>37</v>
      </c>
      <c r="IY85" s="13" t="s">
        <v>37</v>
      </c>
      <c r="JA85" s="12" t="s">
        <v>37</v>
      </c>
      <c r="JB85" s="12" t="s">
        <v>37</v>
      </c>
      <c r="JC85" s="13" t="s">
        <v>37</v>
      </c>
      <c r="JH85" s="12" t="s">
        <v>37</v>
      </c>
      <c r="JI85" s="12" t="s">
        <v>37</v>
      </c>
      <c r="JJ85" s="13" t="s">
        <v>37</v>
      </c>
      <c r="JL85" s="12" t="s">
        <v>37</v>
      </c>
      <c r="JM85" s="12" t="s">
        <v>37</v>
      </c>
      <c r="JN85" s="12" t="s">
        <v>37</v>
      </c>
      <c r="JS85" s="12" t="s">
        <v>37</v>
      </c>
      <c r="JT85" s="12" t="s">
        <v>37</v>
      </c>
      <c r="JU85" s="13" t="s">
        <v>37</v>
      </c>
      <c r="JW85" s="12" t="s">
        <v>37</v>
      </c>
      <c r="JX85" s="12" t="s">
        <v>37</v>
      </c>
      <c r="JY85" s="12" t="s">
        <v>37</v>
      </c>
      <c r="KE85" s="11" t="s">
        <v>37</v>
      </c>
      <c r="KF85" s="11" t="s">
        <v>37</v>
      </c>
      <c r="KG85" s="13" t="s">
        <v>37</v>
      </c>
      <c r="KH85" s="11" t="s">
        <v>37</v>
      </c>
      <c r="KI85" s="11" t="s">
        <v>37</v>
      </c>
      <c r="KJ85" s="11" t="s">
        <v>37</v>
      </c>
      <c r="KM85" s="12" t="s">
        <v>37</v>
      </c>
      <c r="KN85" s="12" t="s">
        <v>37</v>
      </c>
      <c r="KO85" s="11" t="s">
        <v>37</v>
      </c>
      <c r="KQ85" s="12" t="s">
        <v>37</v>
      </c>
      <c r="KR85" s="12" t="s">
        <v>37</v>
      </c>
      <c r="KS85" s="13" t="s">
        <v>37</v>
      </c>
      <c r="KX85" s="12" t="s">
        <v>37</v>
      </c>
      <c r="KY85" s="12" t="s">
        <v>37</v>
      </c>
      <c r="KZ85" s="13" t="s">
        <v>37</v>
      </c>
      <c r="LB85" s="12" t="s">
        <v>37</v>
      </c>
      <c r="LC85" s="12" t="s">
        <v>37</v>
      </c>
      <c r="LD85" s="13" t="s">
        <v>37</v>
      </c>
      <c r="LI85" s="12" t="s">
        <v>37</v>
      </c>
      <c r="LJ85" s="12" t="s">
        <v>37</v>
      </c>
      <c r="LK85" s="12" t="s">
        <v>37</v>
      </c>
      <c r="LM85" s="12" t="s">
        <v>37</v>
      </c>
      <c r="LN85" s="12" t="s">
        <v>37</v>
      </c>
      <c r="LO85" s="12" t="s">
        <v>37</v>
      </c>
      <c r="LU85" s="12" t="s">
        <v>37</v>
      </c>
      <c r="LV85" s="12" t="s">
        <v>37</v>
      </c>
      <c r="LW85" s="13" t="s">
        <v>37</v>
      </c>
      <c r="LY85" s="12" t="s">
        <v>37</v>
      </c>
      <c r="LZ85" s="12" t="s">
        <v>37</v>
      </c>
      <c r="MA85" s="12" t="s">
        <v>37</v>
      </c>
      <c r="MF85" s="12" t="s">
        <v>37</v>
      </c>
      <c r="MG85" s="12" t="s">
        <v>37</v>
      </c>
      <c r="MH85" s="12" t="s">
        <v>37</v>
      </c>
      <c r="MJ85" s="12" t="s">
        <v>37</v>
      </c>
      <c r="MK85" s="12" t="s">
        <v>37</v>
      </c>
      <c r="ML85" s="12" t="s">
        <v>37</v>
      </c>
      <c r="MQ85" s="12" t="s">
        <v>37</v>
      </c>
      <c r="MR85" s="12" t="s">
        <v>37</v>
      </c>
      <c r="MS85" s="12" t="s">
        <v>37</v>
      </c>
      <c r="MU85" s="12" t="s">
        <v>37</v>
      </c>
      <c r="MV85" s="12" t="s">
        <v>37</v>
      </c>
      <c r="MW85" s="12" t="s">
        <v>37</v>
      </c>
      <c r="NC85" s="12" t="s">
        <v>37</v>
      </c>
      <c r="ND85" s="12" t="s">
        <v>37</v>
      </c>
      <c r="NE85" s="13" t="s">
        <v>37</v>
      </c>
      <c r="NG85" s="12" t="s">
        <v>37</v>
      </c>
      <c r="NH85" s="12" t="s">
        <v>37</v>
      </c>
      <c r="NI85" s="13" t="s">
        <v>37</v>
      </c>
      <c r="NO85" s="12" t="s">
        <v>37</v>
      </c>
      <c r="NP85" s="12" t="s">
        <v>37</v>
      </c>
      <c r="NQ85" s="13" t="s">
        <v>37</v>
      </c>
      <c r="NS85" s="12" t="s">
        <v>37</v>
      </c>
      <c r="NT85" s="12" t="s">
        <v>37</v>
      </c>
      <c r="NU85" s="13" t="s">
        <v>37</v>
      </c>
      <c r="OA85" s="11" t="s">
        <v>37</v>
      </c>
      <c r="OB85" s="11" t="s">
        <v>37</v>
      </c>
      <c r="OC85" s="13" t="s">
        <v>37</v>
      </c>
      <c r="OE85" s="11" t="s">
        <v>37</v>
      </c>
      <c r="OF85" s="11" t="s">
        <v>37</v>
      </c>
      <c r="OG85" s="13" t="s">
        <v>37</v>
      </c>
      <c r="OM85" s="11" t="s">
        <v>37</v>
      </c>
      <c r="ON85" s="11" t="s">
        <v>37</v>
      </c>
      <c r="OO85" s="11" t="s">
        <v>37</v>
      </c>
      <c r="OP85" s="11" t="s">
        <v>37</v>
      </c>
      <c r="OQ85" s="11" t="s">
        <v>37</v>
      </c>
      <c r="OR85" s="11" t="s">
        <v>37</v>
      </c>
      <c r="OW85" s="11" t="s">
        <v>37</v>
      </c>
      <c r="OX85" s="11" t="s">
        <v>37</v>
      </c>
      <c r="OY85" s="13" t="s">
        <v>37</v>
      </c>
      <c r="OZ85" s="11" t="s">
        <v>37</v>
      </c>
      <c r="PA85" s="11" t="s">
        <v>37</v>
      </c>
      <c r="PB85" s="13" t="s">
        <v>37</v>
      </c>
      <c r="PG85" s="11" t="s">
        <v>37</v>
      </c>
      <c r="PH85" s="11" t="s">
        <v>37</v>
      </c>
      <c r="PI85" s="13" t="s">
        <v>37</v>
      </c>
      <c r="PJ85" s="11" t="s">
        <v>37</v>
      </c>
      <c r="PK85" s="11" t="s">
        <v>37</v>
      </c>
      <c r="PL85" s="13" t="s">
        <v>37</v>
      </c>
      <c r="PQ85" s="11" t="s">
        <v>37</v>
      </c>
      <c r="PR85" s="11" t="s">
        <v>37</v>
      </c>
      <c r="PS85" s="13" t="s">
        <v>37</v>
      </c>
      <c r="PT85" s="11" t="s">
        <v>37</v>
      </c>
      <c r="PU85" s="11" t="s">
        <v>37</v>
      </c>
      <c r="PV85" s="13" t="s">
        <v>37</v>
      </c>
      <c r="PZ85" s="12" t="s">
        <v>37</v>
      </c>
      <c r="QA85" s="12" t="s">
        <v>37</v>
      </c>
      <c r="QB85" s="11" t="s">
        <v>37</v>
      </c>
      <c r="QD85" s="12" t="s">
        <v>37</v>
      </c>
      <c r="QE85" s="12" t="s">
        <v>37</v>
      </c>
      <c r="QF85" s="12" t="s">
        <v>37</v>
      </c>
      <c r="QK85" s="12" t="s">
        <v>37</v>
      </c>
      <c r="QL85" s="12" t="s">
        <v>37</v>
      </c>
      <c r="QM85" s="12" t="s">
        <v>37</v>
      </c>
      <c r="QN85" s="12" t="s">
        <v>37</v>
      </c>
      <c r="QO85" s="12" t="s">
        <v>37</v>
      </c>
      <c r="QP85" s="12" t="s">
        <v>37</v>
      </c>
      <c r="QQ85" s="12"/>
      <c r="QR85" s="12"/>
      <c r="QU85" s="11" t="s">
        <v>37</v>
      </c>
      <c r="QV85" s="11" t="s">
        <v>37</v>
      </c>
      <c r="QW85" s="13" t="s">
        <v>37</v>
      </c>
      <c r="QX85" s="11" t="s">
        <v>37</v>
      </c>
      <c r="QY85" s="11" t="s">
        <v>37</v>
      </c>
      <c r="QZ85" s="13" t="s">
        <v>37</v>
      </c>
      <c r="RC85" s="12" t="s">
        <v>37</v>
      </c>
      <c r="RD85" s="12" t="s">
        <v>37</v>
      </c>
      <c r="RE85" s="13" t="s">
        <v>37</v>
      </c>
      <c r="RF85" s="12" t="s">
        <v>37</v>
      </c>
      <c r="RG85" s="12" t="s">
        <v>37</v>
      </c>
      <c r="RH85" s="13" t="s">
        <v>37</v>
      </c>
      <c r="RK85" s="11" t="s">
        <v>37</v>
      </c>
      <c r="RL85" s="11" t="s">
        <v>37</v>
      </c>
      <c r="RM85" s="11" t="s">
        <v>37</v>
      </c>
      <c r="RN85" s="11" t="s">
        <v>37</v>
      </c>
      <c r="RO85" s="11" t="s">
        <v>37</v>
      </c>
      <c r="RP85" s="11" t="s">
        <v>37</v>
      </c>
      <c r="RS85" s="11" t="s">
        <v>37</v>
      </c>
      <c r="RT85" s="11" t="s">
        <v>37</v>
      </c>
      <c r="RU85" s="11" t="s">
        <v>37</v>
      </c>
      <c r="RV85" s="11" t="s">
        <v>37</v>
      </c>
      <c r="RW85" s="11" t="s">
        <v>37</v>
      </c>
      <c r="RX85" s="11" t="s">
        <v>37</v>
      </c>
      <c r="SA85" s="11" t="s">
        <v>37</v>
      </c>
      <c r="SB85" s="11" t="s">
        <v>37</v>
      </c>
      <c r="SC85" s="13" t="s">
        <v>37</v>
      </c>
      <c r="SD85" s="11" t="s">
        <v>37</v>
      </c>
      <c r="SE85" s="11" t="s">
        <v>37</v>
      </c>
      <c r="SF85" s="13" t="s">
        <v>37</v>
      </c>
      <c r="SI85" s="12" t="s">
        <v>37</v>
      </c>
      <c r="SJ85" s="12" t="s">
        <v>37</v>
      </c>
      <c r="SK85" s="13" t="s">
        <v>37</v>
      </c>
      <c r="SM85" s="12" t="s">
        <v>37</v>
      </c>
      <c r="SN85" s="12" t="s">
        <v>37</v>
      </c>
      <c r="SO85" s="13" t="s">
        <v>37</v>
      </c>
      <c r="SU85" s="12" t="s">
        <v>37</v>
      </c>
      <c r="SV85" s="12" t="s">
        <v>37</v>
      </c>
      <c r="SW85" s="11" t="s">
        <v>37</v>
      </c>
      <c r="SX85" s="12" t="s">
        <v>37</v>
      </c>
      <c r="SY85" s="12" t="s">
        <v>37</v>
      </c>
      <c r="SZ85" s="11" t="s">
        <v>37</v>
      </c>
      <c r="TE85" s="12" t="s">
        <v>37</v>
      </c>
      <c r="TF85" s="12" t="s">
        <v>37</v>
      </c>
      <c r="TG85" s="11" t="s">
        <v>37</v>
      </c>
      <c r="TH85" s="12" t="s">
        <v>37</v>
      </c>
      <c r="TI85" s="12" t="s">
        <v>37</v>
      </c>
      <c r="TJ85" s="11" t="s">
        <v>37</v>
      </c>
      <c r="TO85" s="12" t="s">
        <v>37</v>
      </c>
      <c r="TP85" s="12" t="s">
        <v>37</v>
      </c>
      <c r="TQ85" s="11" t="s">
        <v>37</v>
      </c>
      <c r="TR85" s="12" t="s">
        <v>37</v>
      </c>
      <c r="TS85" s="12" t="s">
        <v>37</v>
      </c>
      <c r="TT85" s="11" t="s">
        <v>37</v>
      </c>
      <c r="TY85" s="12" t="s">
        <v>37</v>
      </c>
      <c r="TZ85" s="12" t="s">
        <v>37</v>
      </c>
      <c r="UA85" s="11" t="s">
        <v>37</v>
      </c>
      <c r="UB85" s="12" t="s">
        <v>37</v>
      </c>
      <c r="UC85" s="12" t="s">
        <v>37</v>
      </c>
      <c r="UD85" s="11" t="s">
        <v>37</v>
      </c>
      <c r="UI85" s="12" t="s">
        <v>37</v>
      </c>
      <c r="UJ85" s="12" t="s">
        <v>37</v>
      </c>
      <c r="UK85" s="13" t="s">
        <v>37</v>
      </c>
      <c r="UL85" s="12" t="s">
        <v>37</v>
      </c>
      <c r="UM85" s="12" t="s">
        <v>37</v>
      </c>
      <c r="UN85" s="13" t="s">
        <v>37</v>
      </c>
      <c r="UR85" s="12" t="s">
        <v>37</v>
      </c>
      <c r="US85" s="12" t="s">
        <v>37</v>
      </c>
      <c r="UT85" s="13" t="s">
        <v>37</v>
      </c>
      <c r="UU85" s="12" t="s">
        <v>37</v>
      </c>
      <c r="UV85" s="12" t="s">
        <v>37</v>
      </c>
      <c r="UW85" s="13" t="s">
        <v>37</v>
      </c>
      <c r="VB85" s="12" t="s">
        <v>37</v>
      </c>
      <c r="VC85" s="12" t="s">
        <v>37</v>
      </c>
      <c r="VD85" s="13" t="s">
        <v>37</v>
      </c>
      <c r="VE85" s="12" t="s">
        <v>37</v>
      </c>
      <c r="VF85" s="12" t="s">
        <v>37</v>
      </c>
      <c r="VG85" s="13" t="s">
        <v>37</v>
      </c>
      <c r="VI85" s="12" t="s">
        <v>37</v>
      </c>
      <c r="VJ85" s="12" t="s">
        <v>37</v>
      </c>
      <c r="VK85" s="13" t="s">
        <v>37</v>
      </c>
      <c r="VL85" s="12" t="s">
        <v>37</v>
      </c>
      <c r="VM85" s="12" t="s">
        <v>37</v>
      </c>
      <c r="VN85" s="13" t="s">
        <v>37</v>
      </c>
      <c r="VO85" s="12" t="s">
        <v>37</v>
      </c>
      <c r="VQ85" s="12" t="s">
        <v>37</v>
      </c>
      <c r="VR85" s="12" t="s">
        <v>37</v>
      </c>
      <c r="VS85" s="12" t="s">
        <v>37</v>
      </c>
      <c r="VT85" s="12" t="s">
        <v>37</v>
      </c>
      <c r="VU85" s="12" t="s">
        <v>37</v>
      </c>
      <c r="VV85" s="12" t="s">
        <v>37</v>
      </c>
      <c r="VW85" s="12"/>
      <c r="VX85" s="12"/>
      <c r="WA85" s="13" t="s">
        <v>37</v>
      </c>
      <c r="WB85" s="13" t="s">
        <v>37</v>
      </c>
      <c r="WC85" s="13" t="s">
        <v>37</v>
      </c>
      <c r="WD85" s="13" t="s">
        <v>37</v>
      </c>
      <c r="WE85" s="13" t="s">
        <v>37</v>
      </c>
      <c r="WF85" s="13" t="s">
        <v>37</v>
      </c>
    </row>
    <row r="86" spans="1:604" ht="18" customHeight="1" x14ac:dyDescent="0.4">
      <c r="A86" s="11">
        <v>18</v>
      </c>
      <c r="B86" s="12" t="s">
        <v>900</v>
      </c>
      <c r="C86" s="12" t="s">
        <v>26</v>
      </c>
      <c r="D86" s="12" t="s">
        <v>54</v>
      </c>
      <c r="E86" s="40" t="s">
        <v>37</v>
      </c>
      <c r="F86" s="14">
        <v>0</v>
      </c>
      <c r="G86" s="14">
        <v>0</v>
      </c>
      <c r="H86" s="12" t="s">
        <v>123</v>
      </c>
      <c r="I86" s="29">
        <v>61.783000000000001</v>
      </c>
      <c r="J86" s="29">
        <v>24.317</v>
      </c>
      <c r="K86" s="12" t="s">
        <v>706</v>
      </c>
      <c r="L86" s="12" t="s">
        <v>666</v>
      </c>
      <c r="M86" s="13" t="s">
        <v>37</v>
      </c>
      <c r="N86" s="14" t="s">
        <v>37</v>
      </c>
      <c r="O86" s="14" t="s">
        <v>37</v>
      </c>
      <c r="P86" s="14" t="s">
        <v>84</v>
      </c>
      <c r="Q86" s="75">
        <v>30</v>
      </c>
      <c r="R86" s="11" t="s">
        <v>1000</v>
      </c>
      <c r="S86" s="12" t="s">
        <v>93</v>
      </c>
      <c r="T86" s="12" t="s">
        <v>141</v>
      </c>
      <c r="U86" s="12" t="s">
        <v>158</v>
      </c>
      <c r="V86" s="12" t="s">
        <v>275</v>
      </c>
      <c r="W86" s="23" t="s">
        <v>512</v>
      </c>
      <c r="X86" s="12" t="s">
        <v>281</v>
      </c>
      <c r="Y86" s="12" t="s">
        <v>69</v>
      </c>
      <c r="Z86" s="12" t="s">
        <v>37</v>
      </c>
      <c r="AB86" s="12" t="s">
        <v>37</v>
      </c>
      <c r="AE86" s="12" t="s">
        <v>37</v>
      </c>
      <c r="AH86" s="12" t="s">
        <v>37</v>
      </c>
      <c r="AK86" s="12" t="s">
        <v>37</v>
      </c>
      <c r="AL86" s="32" t="s">
        <v>509</v>
      </c>
      <c r="AM86" s="13" t="s">
        <v>344</v>
      </c>
      <c r="AO86" s="12" t="s">
        <v>318</v>
      </c>
      <c r="AP86" s="12" t="s">
        <v>125</v>
      </c>
      <c r="AQ86" s="12" t="s">
        <v>975</v>
      </c>
      <c r="AT86" s="12" t="s">
        <v>326</v>
      </c>
      <c r="AU86" s="12" t="s">
        <v>326</v>
      </c>
      <c r="AV86" s="13" t="s">
        <v>326</v>
      </c>
      <c r="AX86" s="12" t="s">
        <v>326</v>
      </c>
      <c r="AY86" s="12" t="s">
        <v>326</v>
      </c>
      <c r="AZ86" s="13" t="s">
        <v>326</v>
      </c>
      <c r="BE86" s="12" t="s">
        <v>326</v>
      </c>
      <c r="BF86" s="12" t="s">
        <v>326</v>
      </c>
      <c r="BG86" s="12" t="s">
        <v>326</v>
      </c>
      <c r="BI86" s="12" t="s">
        <v>326</v>
      </c>
      <c r="BJ86" s="12" t="s">
        <v>326</v>
      </c>
      <c r="BK86" s="12" t="s">
        <v>326</v>
      </c>
      <c r="BP86" s="12" t="s">
        <v>37</v>
      </c>
      <c r="BQ86" s="12" t="s">
        <v>37</v>
      </c>
      <c r="BR86" s="13" t="s">
        <v>37</v>
      </c>
      <c r="BT86" s="12" t="s">
        <v>37</v>
      </c>
      <c r="BU86" s="12" t="s">
        <v>37</v>
      </c>
      <c r="BV86" s="12" t="s">
        <v>37</v>
      </c>
      <c r="CA86" s="15" t="s">
        <v>37</v>
      </c>
      <c r="CB86" s="15" t="s">
        <v>37</v>
      </c>
      <c r="CC86" s="18" t="s">
        <v>37</v>
      </c>
      <c r="CD86" s="52"/>
      <c r="CE86" s="15" t="s">
        <v>37</v>
      </c>
      <c r="CF86" s="15" t="s">
        <v>37</v>
      </c>
      <c r="CG86" s="18" t="s">
        <v>37</v>
      </c>
      <c r="CH86" s="52"/>
      <c r="CJ86" s="12"/>
      <c r="CN86" s="15" t="s">
        <v>37</v>
      </c>
      <c r="CO86" s="15" t="s">
        <v>37</v>
      </c>
      <c r="CP86" s="18" t="s">
        <v>37</v>
      </c>
      <c r="CQ86" s="52"/>
      <c r="CR86" s="15" t="s">
        <v>37</v>
      </c>
      <c r="CS86" s="15" t="s">
        <v>37</v>
      </c>
      <c r="CT86" s="18" t="s">
        <v>37</v>
      </c>
      <c r="CU86" s="52"/>
      <c r="CX86" s="72"/>
      <c r="CY86" s="72"/>
      <c r="DA86" s="15" t="s">
        <v>37</v>
      </c>
      <c r="DB86" s="15" t="s">
        <v>37</v>
      </c>
      <c r="DC86" s="18" t="s">
        <v>37</v>
      </c>
      <c r="DD86" s="52"/>
      <c r="DE86" s="15" t="s">
        <v>37</v>
      </c>
      <c r="DF86" s="15" t="s">
        <v>37</v>
      </c>
      <c r="DG86" s="18" t="s">
        <v>37</v>
      </c>
      <c r="DH86" s="52"/>
      <c r="DI86" s="52"/>
      <c r="DJ86" s="52"/>
      <c r="DK86" s="73"/>
      <c r="DL86" s="73"/>
      <c r="DM86" s="12" t="s">
        <v>47</v>
      </c>
      <c r="DN86" s="19">
        <f>5.9*16/12*10^4/10^3</f>
        <v>78.666666666666671</v>
      </c>
      <c r="DO86" s="50">
        <f t="shared" si="285"/>
        <v>87.703837413914115</v>
      </c>
      <c r="DP86" s="13">
        <v>3</v>
      </c>
      <c r="DR86" s="19">
        <f>2.6*16/12*10^4/10^3</f>
        <v>34.666666666666664</v>
      </c>
      <c r="DS86" s="50">
        <f t="shared" si="286"/>
        <v>129.55683154720833</v>
      </c>
      <c r="DT86" s="13">
        <v>3</v>
      </c>
      <c r="DV86" s="19">
        <f t="shared" si="287"/>
        <v>-44.000000000000007</v>
      </c>
      <c r="DW86" s="12">
        <f t="shared" si="288"/>
        <v>110.62760889054323</v>
      </c>
      <c r="DX86" s="72">
        <f t="shared" si="196"/>
        <v>8158.9785658926648</v>
      </c>
      <c r="DY86" s="72">
        <f t="shared" si="197"/>
        <v>8158.9785658926648</v>
      </c>
      <c r="DZ86" s="12" t="s">
        <v>47</v>
      </c>
      <c r="EA86" s="19">
        <f>-4*10^4/10^9*365</f>
        <v>-1.4600000000000002E-2</v>
      </c>
      <c r="EB86" s="19">
        <f>24.18*10^4/10^9*365</f>
        <v>8.8257000000000002E-2</v>
      </c>
      <c r="EC86" s="72">
        <v>3</v>
      </c>
      <c r="ED86" s="52">
        <f>EB86/ABS(EA86)</f>
        <v>6.044999999999999</v>
      </c>
      <c r="EE86" s="19">
        <f>2.16*10^4/10^9*365</f>
        <v>7.8840000000000004E-3</v>
      </c>
      <c r="EF86" s="19">
        <f>13.65*10^4/10^9*365</f>
        <v>4.9822500000000006E-2</v>
      </c>
      <c r="EG86" s="13">
        <v>3</v>
      </c>
      <c r="EH86" s="52">
        <f t="shared" si="294"/>
        <v>6.3194444444444446</v>
      </c>
      <c r="EI86" s="19">
        <f t="shared" si="295"/>
        <v>2.2484000000000004E-2</v>
      </c>
      <c r="EJ86" s="12">
        <f t="shared" si="296"/>
        <v>7.1664424770069846E-2</v>
      </c>
      <c r="EK86" s="19">
        <f t="shared" si="297"/>
        <v>3.4238598517500004E-3</v>
      </c>
      <c r="EL86" s="19">
        <f t="shared" si="298"/>
        <v>3.42385985175E-3</v>
      </c>
      <c r="EM86" s="12" t="s">
        <v>39</v>
      </c>
      <c r="EN86" s="12">
        <v>-11.68</v>
      </c>
      <c r="EO86" s="12">
        <v>1.82</v>
      </c>
      <c r="EP86" s="13">
        <v>3</v>
      </c>
      <c r="EQ86" s="19">
        <f t="shared" si="139"/>
        <v>0.15582191780821919</v>
      </c>
      <c r="ER86" s="12">
        <v>-20.88</v>
      </c>
      <c r="ES86" s="12">
        <v>1.28</v>
      </c>
      <c r="ET86" s="13">
        <v>3</v>
      </c>
      <c r="EU86" s="19">
        <f t="shared" si="140"/>
        <v>6.1302681992337169E-2</v>
      </c>
      <c r="EV86" s="19">
        <f t="shared" si="289"/>
        <v>-9.1999999999999993</v>
      </c>
      <c r="EW86" s="12">
        <f t="shared" si="290"/>
        <v>1.5733403954643763</v>
      </c>
      <c r="EX86" s="19">
        <f t="shared" si="291"/>
        <v>1.6502666666666665</v>
      </c>
      <c r="EY86" s="19">
        <f t="shared" si="292"/>
        <v>1.6502666666666668</v>
      </c>
      <c r="FB86" s="11" t="s">
        <v>37</v>
      </c>
      <c r="FC86" s="11" t="s">
        <v>37</v>
      </c>
      <c r="FD86" s="11" t="s">
        <v>37</v>
      </c>
      <c r="FE86" s="12" t="s">
        <v>37</v>
      </c>
      <c r="FF86" s="20" t="s">
        <v>37</v>
      </c>
      <c r="FG86" s="11" t="s">
        <v>37</v>
      </c>
      <c r="FI86" s="11" t="s">
        <v>37</v>
      </c>
      <c r="FJ86" s="11" t="s">
        <v>37</v>
      </c>
      <c r="FK86" s="11" t="s">
        <v>37</v>
      </c>
      <c r="FL86" s="13" t="s">
        <v>37</v>
      </c>
      <c r="FM86" s="11" t="s">
        <v>37</v>
      </c>
      <c r="FN86" s="11" t="s">
        <v>37</v>
      </c>
      <c r="FP86" s="11" t="s">
        <v>37</v>
      </c>
      <c r="FQ86" s="11" t="s">
        <v>37</v>
      </c>
      <c r="FR86" s="11" t="s">
        <v>37</v>
      </c>
      <c r="FS86" s="13" t="s">
        <v>37</v>
      </c>
      <c r="FT86" s="11" t="s">
        <v>37</v>
      </c>
      <c r="FU86" s="11" t="s">
        <v>37</v>
      </c>
      <c r="FW86" s="11" t="s">
        <v>37</v>
      </c>
      <c r="FX86" s="11" t="s">
        <v>37</v>
      </c>
      <c r="FY86" s="11" t="s">
        <v>37</v>
      </c>
      <c r="FZ86" s="13" t="s">
        <v>37</v>
      </c>
      <c r="GA86" s="11" t="s">
        <v>37</v>
      </c>
      <c r="GB86" s="11" t="s">
        <v>37</v>
      </c>
      <c r="GO86" s="12" t="s">
        <v>660</v>
      </c>
      <c r="GP86" s="12" t="s">
        <v>345</v>
      </c>
      <c r="GQ86" s="12">
        <v>9.41</v>
      </c>
      <c r="GR86" s="12">
        <v>1.31</v>
      </c>
      <c r="GS86" s="13">
        <v>3</v>
      </c>
      <c r="GT86" s="19">
        <f t="shared" si="299"/>
        <v>0.13921360255047821</v>
      </c>
      <c r="GU86" s="12">
        <v>8.4499999999999993</v>
      </c>
      <c r="GV86" s="12">
        <v>1.24</v>
      </c>
      <c r="GW86" s="13">
        <v>3</v>
      </c>
      <c r="GX86" s="19">
        <f t="shared" si="300"/>
        <v>0.14674556213017753</v>
      </c>
      <c r="GY86" s="19">
        <f t="shared" si="301"/>
        <v>-0.10760651222820591</v>
      </c>
      <c r="GZ86" s="19">
        <f t="shared" si="302"/>
        <v>1.3638229046661435E-2</v>
      </c>
      <c r="IK86" s="12" t="s">
        <v>37</v>
      </c>
      <c r="IL86" s="12" t="s">
        <v>37</v>
      </c>
      <c r="IM86" s="13" t="s">
        <v>37</v>
      </c>
      <c r="IO86" s="12" t="s">
        <v>37</v>
      </c>
      <c r="IP86" s="12" t="s">
        <v>37</v>
      </c>
      <c r="IQ86" s="13" t="s">
        <v>37</v>
      </c>
      <c r="IW86" s="12" t="s">
        <v>37</v>
      </c>
      <c r="IX86" s="12" t="s">
        <v>37</v>
      </c>
      <c r="IY86" s="13" t="s">
        <v>37</v>
      </c>
      <c r="JA86" s="12" t="s">
        <v>37</v>
      </c>
      <c r="JB86" s="12" t="s">
        <v>37</v>
      </c>
      <c r="JC86" s="13" t="s">
        <v>37</v>
      </c>
      <c r="JH86" s="12" t="s">
        <v>37</v>
      </c>
      <c r="JI86" s="12" t="s">
        <v>37</v>
      </c>
      <c r="JJ86" s="13" t="s">
        <v>37</v>
      </c>
      <c r="JL86" s="12" t="s">
        <v>37</v>
      </c>
      <c r="JM86" s="12" t="s">
        <v>37</v>
      </c>
      <c r="JN86" s="12" t="s">
        <v>37</v>
      </c>
      <c r="JS86" s="12" t="s">
        <v>37</v>
      </c>
      <c r="JT86" s="12" t="s">
        <v>37</v>
      </c>
      <c r="JU86" s="13" t="s">
        <v>37</v>
      </c>
      <c r="JW86" s="12" t="s">
        <v>37</v>
      </c>
      <c r="JX86" s="12" t="s">
        <v>37</v>
      </c>
      <c r="JY86" s="12" t="s">
        <v>37</v>
      </c>
      <c r="KE86" s="11" t="s">
        <v>37</v>
      </c>
      <c r="KF86" s="11" t="s">
        <v>37</v>
      </c>
      <c r="KG86" s="13" t="s">
        <v>37</v>
      </c>
      <c r="KH86" s="11" t="s">
        <v>37</v>
      </c>
      <c r="KI86" s="11" t="s">
        <v>37</v>
      </c>
      <c r="KJ86" s="11" t="s">
        <v>37</v>
      </c>
      <c r="KM86" s="12" t="s">
        <v>37</v>
      </c>
      <c r="KN86" s="12" t="s">
        <v>37</v>
      </c>
      <c r="KO86" s="11" t="s">
        <v>37</v>
      </c>
      <c r="KQ86" s="12" t="s">
        <v>37</v>
      </c>
      <c r="KR86" s="12" t="s">
        <v>37</v>
      </c>
      <c r="KS86" s="13" t="s">
        <v>37</v>
      </c>
      <c r="KX86" s="12" t="s">
        <v>37</v>
      </c>
      <c r="KY86" s="12" t="s">
        <v>37</v>
      </c>
      <c r="KZ86" s="13" t="s">
        <v>37</v>
      </c>
      <c r="LB86" s="12" t="s">
        <v>37</v>
      </c>
      <c r="LC86" s="12" t="s">
        <v>37</v>
      </c>
      <c r="LD86" s="13" t="s">
        <v>37</v>
      </c>
      <c r="LI86" s="12" t="s">
        <v>37</v>
      </c>
      <c r="LJ86" s="12" t="s">
        <v>37</v>
      </c>
      <c r="LK86" s="12" t="s">
        <v>37</v>
      </c>
      <c r="LM86" s="12" t="s">
        <v>37</v>
      </c>
      <c r="LN86" s="12" t="s">
        <v>37</v>
      </c>
      <c r="LO86" s="12" t="s">
        <v>37</v>
      </c>
      <c r="LU86" s="12" t="s">
        <v>37</v>
      </c>
      <c r="LV86" s="12" t="s">
        <v>37</v>
      </c>
      <c r="LW86" s="13" t="s">
        <v>37</v>
      </c>
      <c r="LY86" s="12" t="s">
        <v>37</v>
      </c>
      <c r="LZ86" s="12" t="s">
        <v>37</v>
      </c>
      <c r="MA86" s="12" t="s">
        <v>37</v>
      </c>
      <c r="MF86" s="12" t="s">
        <v>37</v>
      </c>
      <c r="MG86" s="12" t="s">
        <v>37</v>
      </c>
      <c r="MH86" s="12" t="s">
        <v>37</v>
      </c>
      <c r="MJ86" s="12" t="s">
        <v>37</v>
      </c>
      <c r="MK86" s="12" t="s">
        <v>37</v>
      </c>
      <c r="ML86" s="12" t="s">
        <v>37</v>
      </c>
      <c r="MQ86" s="12" t="s">
        <v>37</v>
      </c>
      <c r="MR86" s="12" t="s">
        <v>37</v>
      </c>
      <c r="MS86" s="12" t="s">
        <v>37</v>
      </c>
      <c r="MU86" s="12" t="s">
        <v>37</v>
      </c>
      <c r="MV86" s="12" t="s">
        <v>37</v>
      </c>
      <c r="MW86" s="12" t="s">
        <v>37</v>
      </c>
      <c r="NC86" s="12" t="s">
        <v>37</v>
      </c>
      <c r="ND86" s="12" t="s">
        <v>37</v>
      </c>
      <c r="NE86" s="13" t="s">
        <v>37</v>
      </c>
      <c r="NG86" s="12" t="s">
        <v>37</v>
      </c>
      <c r="NH86" s="12" t="s">
        <v>37</v>
      </c>
      <c r="NI86" s="13" t="s">
        <v>37</v>
      </c>
      <c r="NO86" s="12" t="s">
        <v>37</v>
      </c>
      <c r="NP86" s="12" t="s">
        <v>37</v>
      </c>
      <c r="NQ86" s="13" t="s">
        <v>37</v>
      </c>
      <c r="NS86" s="12" t="s">
        <v>37</v>
      </c>
      <c r="NT86" s="12" t="s">
        <v>37</v>
      </c>
      <c r="NU86" s="13" t="s">
        <v>37</v>
      </c>
      <c r="OA86" s="11" t="s">
        <v>37</v>
      </c>
      <c r="OB86" s="11" t="s">
        <v>37</v>
      </c>
      <c r="OC86" s="13" t="s">
        <v>37</v>
      </c>
      <c r="OE86" s="11" t="s">
        <v>37</v>
      </c>
      <c r="OF86" s="11" t="s">
        <v>37</v>
      </c>
      <c r="OG86" s="13" t="s">
        <v>37</v>
      </c>
      <c r="OM86" s="11" t="s">
        <v>37</v>
      </c>
      <c r="ON86" s="11" t="s">
        <v>37</v>
      </c>
      <c r="OO86" s="11" t="s">
        <v>37</v>
      </c>
      <c r="OP86" s="11" t="s">
        <v>37</v>
      </c>
      <c r="OQ86" s="11" t="s">
        <v>37</v>
      </c>
      <c r="OR86" s="11" t="s">
        <v>37</v>
      </c>
      <c r="OW86" s="11" t="s">
        <v>37</v>
      </c>
      <c r="OX86" s="11" t="s">
        <v>37</v>
      </c>
      <c r="OY86" s="13" t="s">
        <v>37</v>
      </c>
      <c r="OZ86" s="11" t="s">
        <v>37</v>
      </c>
      <c r="PA86" s="11" t="s">
        <v>37</v>
      </c>
      <c r="PB86" s="13" t="s">
        <v>37</v>
      </c>
      <c r="PG86" s="11" t="s">
        <v>37</v>
      </c>
      <c r="PH86" s="11" t="s">
        <v>37</v>
      </c>
      <c r="PI86" s="13" t="s">
        <v>37</v>
      </c>
      <c r="PJ86" s="11" t="s">
        <v>37</v>
      </c>
      <c r="PK86" s="11" t="s">
        <v>37</v>
      </c>
      <c r="PL86" s="13" t="s">
        <v>37</v>
      </c>
      <c r="PQ86" s="11" t="s">
        <v>37</v>
      </c>
      <c r="PR86" s="11" t="s">
        <v>37</v>
      </c>
      <c r="PS86" s="13" t="s">
        <v>37</v>
      </c>
      <c r="PT86" s="11" t="s">
        <v>37</v>
      </c>
      <c r="PU86" s="11" t="s">
        <v>37</v>
      </c>
      <c r="PV86" s="13" t="s">
        <v>37</v>
      </c>
      <c r="PZ86" s="12" t="s">
        <v>37</v>
      </c>
      <c r="QA86" s="12" t="s">
        <v>37</v>
      </c>
      <c r="QB86" s="11" t="s">
        <v>37</v>
      </c>
      <c r="QD86" s="12" t="s">
        <v>37</v>
      </c>
      <c r="QE86" s="12" t="s">
        <v>37</v>
      </c>
      <c r="QF86" s="12" t="s">
        <v>37</v>
      </c>
      <c r="QK86" s="12" t="s">
        <v>37</v>
      </c>
      <c r="QL86" s="12" t="s">
        <v>37</v>
      </c>
      <c r="QM86" s="12" t="s">
        <v>37</v>
      </c>
      <c r="QN86" s="12" t="s">
        <v>37</v>
      </c>
      <c r="QO86" s="12" t="s">
        <v>37</v>
      </c>
      <c r="QP86" s="12" t="s">
        <v>37</v>
      </c>
      <c r="QQ86" s="12"/>
      <c r="QR86" s="12"/>
      <c r="QU86" s="11" t="s">
        <v>37</v>
      </c>
      <c r="QV86" s="11" t="s">
        <v>37</v>
      </c>
      <c r="QW86" s="13" t="s">
        <v>37</v>
      </c>
      <c r="QX86" s="11" t="s">
        <v>37</v>
      </c>
      <c r="QY86" s="11" t="s">
        <v>37</v>
      </c>
      <c r="QZ86" s="13" t="s">
        <v>37</v>
      </c>
      <c r="RC86" s="12" t="s">
        <v>37</v>
      </c>
      <c r="RD86" s="12" t="s">
        <v>37</v>
      </c>
      <c r="RE86" s="13" t="s">
        <v>37</v>
      </c>
      <c r="RF86" s="12" t="s">
        <v>37</v>
      </c>
      <c r="RG86" s="12" t="s">
        <v>37</v>
      </c>
      <c r="RH86" s="13" t="s">
        <v>37</v>
      </c>
      <c r="RK86" s="11" t="s">
        <v>37</v>
      </c>
      <c r="RL86" s="11" t="s">
        <v>37</v>
      </c>
      <c r="RM86" s="11" t="s">
        <v>37</v>
      </c>
      <c r="RN86" s="11" t="s">
        <v>37</v>
      </c>
      <c r="RO86" s="11" t="s">
        <v>37</v>
      </c>
      <c r="RP86" s="11" t="s">
        <v>37</v>
      </c>
      <c r="RS86" s="11" t="s">
        <v>37</v>
      </c>
      <c r="RT86" s="11" t="s">
        <v>37</v>
      </c>
      <c r="RU86" s="11" t="s">
        <v>37</v>
      </c>
      <c r="RV86" s="11" t="s">
        <v>37</v>
      </c>
      <c r="RW86" s="11" t="s">
        <v>37</v>
      </c>
      <c r="RX86" s="11" t="s">
        <v>37</v>
      </c>
      <c r="SA86" s="11" t="s">
        <v>37</v>
      </c>
      <c r="SB86" s="11" t="s">
        <v>37</v>
      </c>
      <c r="SC86" s="13" t="s">
        <v>37</v>
      </c>
      <c r="SD86" s="11" t="s">
        <v>37</v>
      </c>
      <c r="SE86" s="11" t="s">
        <v>37</v>
      </c>
      <c r="SF86" s="13" t="s">
        <v>37</v>
      </c>
      <c r="SI86" s="12" t="s">
        <v>37</v>
      </c>
      <c r="SJ86" s="12" t="s">
        <v>37</v>
      </c>
      <c r="SK86" s="13" t="s">
        <v>37</v>
      </c>
      <c r="SM86" s="12" t="s">
        <v>37</v>
      </c>
      <c r="SN86" s="12" t="s">
        <v>37</v>
      </c>
      <c r="SO86" s="13" t="s">
        <v>37</v>
      </c>
      <c r="SU86" s="12" t="s">
        <v>37</v>
      </c>
      <c r="SV86" s="12" t="s">
        <v>37</v>
      </c>
      <c r="SW86" s="11" t="s">
        <v>37</v>
      </c>
      <c r="SX86" s="12" t="s">
        <v>37</v>
      </c>
      <c r="SY86" s="12" t="s">
        <v>37</v>
      </c>
      <c r="SZ86" s="11" t="s">
        <v>37</v>
      </c>
      <c r="TE86" s="12" t="s">
        <v>37</v>
      </c>
      <c r="TF86" s="12" t="s">
        <v>37</v>
      </c>
      <c r="TG86" s="11" t="s">
        <v>37</v>
      </c>
      <c r="TH86" s="12" t="s">
        <v>37</v>
      </c>
      <c r="TI86" s="12" t="s">
        <v>37</v>
      </c>
      <c r="TJ86" s="11" t="s">
        <v>37</v>
      </c>
      <c r="TO86" s="12" t="s">
        <v>37</v>
      </c>
      <c r="TP86" s="12" t="s">
        <v>37</v>
      </c>
      <c r="TQ86" s="11" t="s">
        <v>37</v>
      </c>
      <c r="TR86" s="12" t="s">
        <v>37</v>
      </c>
      <c r="TS86" s="12" t="s">
        <v>37</v>
      </c>
      <c r="TT86" s="11" t="s">
        <v>37</v>
      </c>
      <c r="TY86" s="12" t="s">
        <v>37</v>
      </c>
      <c r="TZ86" s="12" t="s">
        <v>37</v>
      </c>
      <c r="UA86" s="11" t="s">
        <v>37</v>
      </c>
      <c r="UB86" s="12" t="s">
        <v>37</v>
      </c>
      <c r="UC86" s="12" t="s">
        <v>37</v>
      </c>
      <c r="UD86" s="11" t="s">
        <v>37</v>
      </c>
      <c r="UI86" s="12" t="s">
        <v>37</v>
      </c>
      <c r="UJ86" s="12" t="s">
        <v>37</v>
      </c>
      <c r="UK86" s="13" t="s">
        <v>37</v>
      </c>
      <c r="UL86" s="12" t="s">
        <v>37</v>
      </c>
      <c r="UM86" s="12" t="s">
        <v>37</v>
      </c>
      <c r="UN86" s="13" t="s">
        <v>37</v>
      </c>
      <c r="UR86" s="12" t="s">
        <v>37</v>
      </c>
      <c r="US86" s="12" t="s">
        <v>37</v>
      </c>
      <c r="UT86" s="13" t="s">
        <v>37</v>
      </c>
      <c r="UU86" s="12" t="s">
        <v>37</v>
      </c>
      <c r="UV86" s="12" t="s">
        <v>37</v>
      </c>
      <c r="UW86" s="13" t="s">
        <v>37</v>
      </c>
      <c r="VB86" s="12" t="s">
        <v>37</v>
      </c>
      <c r="VC86" s="12" t="s">
        <v>37</v>
      </c>
      <c r="VD86" s="13" t="s">
        <v>37</v>
      </c>
      <c r="VE86" s="12" t="s">
        <v>37</v>
      </c>
      <c r="VF86" s="12" t="s">
        <v>37</v>
      </c>
      <c r="VG86" s="13" t="s">
        <v>37</v>
      </c>
      <c r="VI86" s="12" t="s">
        <v>37</v>
      </c>
      <c r="VJ86" s="12" t="s">
        <v>37</v>
      </c>
      <c r="VK86" s="13" t="s">
        <v>37</v>
      </c>
      <c r="VL86" s="12" t="s">
        <v>37</v>
      </c>
      <c r="VM86" s="12" t="s">
        <v>37</v>
      </c>
      <c r="VN86" s="13" t="s">
        <v>37</v>
      </c>
      <c r="VO86" s="12" t="s">
        <v>37</v>
      </c>
      <c r="VQ86" s="12" t="s">
        <v>37</v>
      </c>
      <c r="VR86" s="12" t="s">
        <v>37</v>
      </c>
      <c r="VS86" s="12" t="s">
        <v>37</v>
      </c>
      <c r="VT86" s="12" t="s">
        <v>37</v>
      </c>
      <c r="VU86" s="12" t="s">
        <v>37</v>
      </c>
      <c r="VV86" s="12" t="s">
        <v>37</v>
      </c>
      <c r="VW86" s="12"/>
      <c r="VX86" s="12"/>
      <c r="WA86" s="13" t="s">
        <v>37</v>
      </c>
      <c r="WB86" s="13" t="s">
        <v>37</v>
      </c>
      <c r="WC86" s="13" t="s">
        <v>37</v>
      </c>
      <c r="WD86" s="13" t="s">
        <v>37</v>
      </c>
      <c r="WE86" s="13" t="s">
        <v>37</v>
      </c>
      <c r="WF86" s="13" t="s">
        <v>37</v>
      </c>
    </row>
    <row r="87" spans="1:604" ht="18" customHeight="1" x14ac:dyDescent="0.4">
      <c r="A87" s="11">
        <v>18</v>
      </c>
      <c r="B87" s="12" t="s">
        <v>124</v>
      </c>
      <c r="C87" s="12" t="s">
        <v>26</v>
      </c>
      <c r="D87" s="12" t="s">
        <v>54</v>
      </c>
      <c r="E87" s="40" t="s">
        <v>37</v>
      </c>
      <c r="F87" s="14">
        <v>0</v>
      </c>
      <c r="G87" s="14">
        <v>0</v>
      </c>
      <c r="H87" s="12" t="s">
        <v>123</v>
      </c>
      <c r="I87" s="29">
        <v>61.783000000000001</v>
      </c>
      <c r="J87" s="29">
        <v>24.317</v>
      </c>
      <c r="K87" s="12" t="s">
        <v>706</v>
      </c>
      <c r="L87" s="12" t="s">
        <v>666</v>
      </c>
      <c r="M87" s="13" t="s">
        <v>37</v>
      </c>
      <c r="N87" s="14" t="s">
        <v>37</v>
      </c>
      <c r="O87" s="14" t="s">
        <v>37</v>
      </c>
      <c r="P87" s="14" t="s">
        <v>84</v>
      </c>
      <c r="Q87" s="75">
        <v>31</v>
      </c>
      <c r="R87" s="11" t="s">
        <v>1000</v>
      </c>
      <c r="S87" s="12" t="s">
        <v>93</v>
      </c>
      <c r="T87" s="12" t="s">
        <v>141</v>
      </c>
      <c r="U87" s="12" t="s">
        <v>158</v>
      </c>
      <c r="V87" s="12" t="s">
        <v>275</v>
      </c>
      <c r="W87" s="23" t="s">
        <v>512</v>
      </c>
      <c r="X87" s="12" t="s">
        <v>281</v>
      </c>
      <c r="Y87" s="12" t="s">
        <v>69</v>
      </c>
      <c r="Z87" s="12" t="s">
        <v>37</v>
      </c>
      <c r="AB87" s="12" t="s">
        <v>37</v>
      </c>
      <c r="AE87" s="12" t="s">
        <v>37</v>
      </c>
      <c r="AH87" s="12" t="s">
        <v>37</v>
      </c>
      <c r="AK87" s="12" t="s">
        <v>37</v>
      </c>
      <c r="AL87" s="32" t="s">
        <v>510</v>
      </c>
      <c r="AM87" s="13" t="s">
        <v>344</v>
      </c>
      <c r="AO87" s="12" t="s">
        <v>29</v>
      </c>
      <c r="AP87" s="12" t="s">
        <v>125</v>
      </c>
      <c r="AQ87" s="12" t="s">
        <v>975</v>
      </c>
      <c r="AT87" s="12" t="s">
        <v>326</v>
      </c>
      <c r="AU87" s="12" t="s">
        <v>326</v>
      </c>
      <c r="AV87" s="13" t="s">
        <v>326</v>
      </c>
      <c r="AX87" s="12" t="s">
        <v>326</v>
      </c>
      <c r="AY87" s="12" t="s">
        <v>326</v>
      </c>
      <c r="AZ87" s="13" t="s">
        <v>326</v>
      </c>
      <c r="BE87" s="12" t="s">
        <v>326</v>
      </c>
      <c r="BF87" s="12" t="s">
        <v>326</v>
      </c>
      <c r="BG87" s="12" t="s">
        <v>326</v>
      </c>
      <c r="BI87" s="12" t="s">
        <v>326</v>
      </c>
      <c r="BJ87" s="12" t="s">
        <v>326</v>
      </c>
      <c r="BK87" s="12" t="s">
        <v>326</v>
      </c>
      <c r="BP87" s="12" t="s">
        <v>37</v>
      </c>
      <c r="BQ87" s="12" t="s">
        <v>37</v>
      </c>
      <c r="BR87" s="13" t="s">
        <v>37</v>
      </c>
      <c r="BT87" s="12" t="s">
        <v>37</v>
      </c>
      <c r="BU87" s="12" t="s">
        <v>37</v>
      </c>
      <c r="BV87" s="12" t="s">
        <v>37</v>
      </c>
      <c r="CA87" s="15" t="s">
        <v>37</v>
      </c>
      <c r="CB87" s="15" t="s">
        <v>37</v>
      </c>
      <c r="CC87" s="18" t="s">
        <v>37</v>
      </c>
      <c r="CD87" s="52"/>
      <c r="CE87" s="15" t="s">
        <v>37</v>
      </c>
      <c r="CF87" s="15" t="s">
        <v>37</v>
      </c>
      <c r="CG87" s="18" t="s">
        <v>37</v>
      </c>
      <c r="CH87" s="52"/>
      <c r="CI87" s="52"/>
      <c r="CJ87" s="12"/>
      <c r="CK87" s="73"/>
      <c r="CL87" s="73"/>
      <c r="CN87" s="15" t="s">
        <v>37</v>
      </c>
      <c r="CO87" s="15" t="s">
        <v>37</v>
      </c>
      <c r="CP87" s="18" t="s">
        <v>37</v>
      </c>
      <c r="CQ87" s="52"/>
      <c r="CR87" s="15" t="s">
        <v>37</v>
      </c>
      <c r="CS87" s="15" t="s">
        <v>37</v>
      </c>
      <c r="CT87" s="18" t="s">
        <v>37</v>
      </c>
      <c r="CU87" s="52"/>
      <c r="CV87" s="52"/>
      <c r="CW87" s="52"/>
      <c r="CX87" s="73"/>
      <c r="CY87" s="73"/>
      <c r="DA87" s="15" t="s">
        <v>37</v>
      </c>
      <c r="DB87" s="15" t="s">
        <v>37</v>
      </c>
      <c r="DC87" s="18" t="s">
        <v>37</v>
      </c>
      <c r="DD87" s="52"/>
      <c r="DE87" s="15" t="s">
        <v>37</v>
      </c>
      <c r="DF87" s="15" t="s">
        <v>37</v>
      </c>
      <c r="DG87" s="18" t="s">
        <v>37</v>
      </c>
      <c r="DH87" s="52"/>
      <c r="DM87" s="12" t="s">
        <v>47</v>
      </c>
      <c r="DN87" s="19">
        <f>2.4*16/12*10^4/10^3</f>
        <v>31.999999999999996</v>
      </c>
      <c r="DO87" s="50">
        <f t="shared" si="285"/>
        <v>35.676137253117595</v>
      </c>
      <c r="DP87" s="13">
        <v>3</v>
      </c>
      <c r="DR87" s="19">
        <f>1.1*16/12*10^4/10^3</f>
        <v>14.666666666666668</v>
      </c>
      <c r="DS87" s="50">
        <f t="shared" si="286"/>
        <v>54.812505654588151</v>
      </c>
      <c r="DT87" s="13">
        <v>3</v>
      </c>
      <c r="DV87" s="19">
        <f t="shared" si="287"/>
        <v>-17.333333333333329</v>
      </c>
      <c r="DW87" s="12">
        <f t="shared" si="288"/>
        <v>46.244986460358831</v>
      </c>
      <c r="DX87" s="72">
        <f t="shared" si="196"/>
        <v>1425.7325151458476</v>
      </c>
      <c r="DY87" s="72">
        <f t="shared" si="197"/>
        <v>1425.7325151458476</v>
      </c>
      <c r="DZ87" s="12" t="s">
        <v>47</v>
      </c>
      <c r="EA87" s="19">
        <f>20.2*10^4/10^9*365</f>
        <v>7.3730000000000004E-2</v>
      </c>
      <c r="EB87" s="19">
        <f>9.61*10^4/10^9*365</f>
        <v>3.5076500000000004E-2</v>
      </c>
      <c r="EC87" s="72">
        <v>3</v>
      </c>
      <c r="ED87" s="52">
        <f t="shared" ref="ED87" si="303">EB87/ABS(EA87)</f>
        <v>0.47574257425742578</v>
      </c>
      <c r="EE87" s="19">
        <f>21.99*10^4/10^9*365</f>
        <v>8.0263499999999988E-2</v>
      </c>
      <c r="EF87" s="19">
        <f>7.78*10^4/10^9*365</f>
        <v>2.8396999999999999E-2</v>
      </c>
      <c r="EG87" s="13">
        <v>3</v>
      </c>
      <c r="EH87" s="52">
        <f t="shared" si="294"/>
        <v>0.35379718053660758</v>
      </c>
      <c r="EI87" s="19">
        <f t="shared" si="295"/>
        <v>6.5334999999999838E-3</v>
      </c>
      <c r="EJ87" s="12">
        <f t="shared" si="296"/>
        <v>3.19119919563947E-2</v>
      </c>
      <c r="EK87" s="19">
        <f t="shared" si="297"/>
        <v>6.7891682041666679E-4</v>
      </c>
      <c r="EL87" s="19">
        <f t="shared" si="298"/>
        <v>6.7891682041666679E-4</v>
      </c>
      <c r="EM87" s="12" t="s">
        <v>39</v>
      </c>
      <c r="EN87" s="12">
        <v>-20.85</v>
      </c>
      <c r="EO87" s="12">
        <v>5.42</v>
      </c>
      <c r="EP87" s="13">
        <v>3</v>
      </c>
      <c r="EQ87" s="19">
        <f t="shared" si="139"/>
        <v>0.25995203836930453</v>
      </c>
      <c r="ER87" s="12">
        <v>-21.08</v>
      </c>
      <c r="ES87" s="12">
        <v>7.29</v>
      </c>
      <c r="ET87" s="13">
        <v>3</v>
      </c>
      <c r="EU87" s="19">
        <f t="shared" si="140"/>
        <v>0.34582542694497159</v>
      </c>
      <c r="EV87" s="19">
        <f t="shared" si="289"/>
        <v>-0.22999999999999687</v>
      </c>
      <c r="EW87" s="12">
        <f t="shared" si="290"/>
        <v>6.4234142011861577</v>
      </c>
      <c r="EX87" s="19">
        <f t="shared" si="291"/>
        <v>27.506833333333333</v>
      </c>
      <c r="EY87" s="19">
        <f t="shared" si="292"/>
        <v>27.506833333333333</v>
      </c>
      <c r="FB87" s="11" t="s">
        <v>37</v>
      </c>
      <c r="FC87" s="11" t="s">
        <v>37</v>
      </c>
      <c r="FD87" s="11" t="s">
        <v>37</v>
      </c>
      <c r="FE87" s="12" t="s">
        <v>37</v>
      </c>
      <c r="FF87" s="20" t="s">
        <v>37</v>
      </c>
      <c r="FG87" s="11" t="s">
        <v>37</v>
      </c>
      <c r="FI87" s="11" t="s">
        <v>37</v>
      </c>
      <c r="FJ87" s="11" t="s">
        <v>37</v>
      </c>
      <c r="FK87" s="11" t="s">
        <v>37</v>
      </c>
      <c r="FL87" s="13" t="s">
        <v>37</v>
      </c>
      <c r="FM87" s="11" t="s">
        <v>37</v>
      </c>
      <c r="FN87" s="11" t="s">
        <v>37</v>
      </c>
      <c r="FP87" s="11" t="s">
        <v>37</v>
      </c>
      <c r="FQ87" s="11" t="s">
        <v>37</v>
      </c>
      <c r="FR87" s="11" t="s">
        <v>37</v>
      </c>
      <c r="FS87" s="13" t="s">
        <v>37</v>
      </c>
      <c r="FT87" s="11" t="s">
        <v>37</v>
      </c>
      <c r="FU87" s="11" t="s">
        <v>37</v>
      </c>
      <c r="FW87" s="11" t="s">
        <v>37</v>
      </c>
      <c r="FX87" s="11" t="s">
        <v>37</v>
      </c>
      <c r="FY87" s="11" t="s">
        <v>37</v>
      </c>
      <c r="FZ87" s="13" t="s">
        <v>37</v>
      </c>
      <c r="GA87" s="11" t="s">
        <v>37</v>
      </c>
      <c r="GB87" s="11" t="s">
        <v>37</v>
      </c>
      <c r="GO87" s="12" t="s">
        <v>660</v>
      </c>
      <c r="GP87" s="12" t="s">
        <v>345</v>
      </c>
      <c r="GQ87" s="12">
        <v>9.3000000000000007</v>
      </c>
      <c r="GR87" s="12">
        <v>2.2400000000000002</v>
      </c>
      <c r="GS87" s="13">
        <v>3</v>
      </c>
      <c r="GT87" s="19">
        <f t="shared" si="299"/>
        <v>0.24086021505376345</v>
      </c>
      <c r="GU87" s="12">
        <v>8.49</v>
      </c>
      <c r="GV87" s="12">
        <v>2.63</v>
      </c>
      <c r="GW87" s="13">
        <v>3</v>
      </c>
      <c r="GX87" s="19">
        <f t="shared" si="300"/>
        <v>0.30977620730270905</v>
      </c>
      <c r="GY87" s="19">
        <f t="shared" si="301"/>
        <v>-9.1125399835954371E-2</v>
      </c>
      <c r="GZ87" s="19">
        <f t="shared" si="302"/>
        <v>5.1324980602198714E-2</v>
      </c>
      <c r="IK87" s="12" t="s">
        <v>37</v>
      </c>
      <c r="IL87" s="12" t="s">
        <v>37</v>
      </c>
      <c r="IM87" s="13" t="s">
        <v>37</v>
      </c>
      <c r="IO87" s="12" t="s">
        <v>37</v>
      </c>
      <c r="IP87" s="12" t="s">
        <v>37</v>
      </c>
      <c r="IQ87" s="13" t="s">
        <v>37</v>
      </c>
      <c r="IW87" s="12" t="s">
        <v>37</v>
      </c>
      <c r="IX87" s="12" t="s">
        <v>37</v>
      </c>
      <c r="IY87" s="13" t="s">
        <v>37</v>
      </c>
      <c r="JA87" s="12" t="s">
        <v>37</v>
      </c>
      <c r="JB87" s="12" t="s">
        <v>37</v>
      </c>
      <c r="JC87" s="13" t="s">
        <v>37</v>
      </c>
      <c r="JH87" s="12" t="s">
        <v>37</v>
      </c>
      <c r="JI87" s="12" t="s">
        <v>37</v>
      </c>
      <c r="JJ87" s="13" t="s">
        <v>37</v>
      </c>
      <c r="JL87" s="12" t="s">
        <v>37</v>
      </c>
      <c r="JM87" s="12" t="s">
        <v>37</v>
      </c>
      <c r="JN87" s="12" t="s">
        <v>37</v>
      </c>
      <c r="JS87" s="12" t="s">
        <v>37</v>
      </c>
      <c r="JT87" s="12" t="s">
        <v>37</v>
      </c>
      <c r="JU87" s="13" t="s">
        <v>37</v>
      </c>
      <c r="JW87" s="12" t="s">
        <v>37</v>
      </c>
      <c r="JX87" s="12" t="s">
        <v>37</v>
      </c>
      <c r="JY87" s="12" t="s">
        <v>37</v>
      </c>
      <c r="KE87" s="11" t="s">
        <v>37</v>
      </c>
      <c r="KF87" s="11" t="s">
        <v>37</v>
      </c>
      <c r="KG87" s="13" t="s">
        <v>37</v>
      </c>
      <c r="KH87" s="11" t="s">
        <v>37</v>
      </c>
      <c r="KI87" s="11" t="s">
        <v>37</v>
      </c>
      <c r="KJ87" s="11" t="s">
        <v>37</v>
      </c>
      <c r="KM87" s="12" t="s">
        <v>37</v>
      </c>
      <c r="KN87" s="12" t="s">
        <v>37</v>
      </c>
      <c r="KO87" s="11" t="s">
        <v>37</v>
      </c>
      <c r="KQ87" s="12" t="s">
        <v>37</v>
      </c>
      <c r="KR87" s="12" t="s">
        <v>37</v>
      </c>
      <c r="KS87" s="13" t="s">
        <v>37</v>
      </c>
      <c r="KX87" s="12" t="s">
        <v>37</v>
      </c>
      <c r="KY87" s="12" t="s">
        <v>37</v>
      </c>
      <c r="KZ87" s="13" t="s">
        <v>37</v>
      </c>
      <c r="LB87" s="12" t="s">
        <v>37</v>
      </c>
      <c r="LC87" s="12" t="s">
        <v>37</v>
      </c>
      <c r="LD87" s="13" t="s">
        <v>37</v>
      </c>
      <c r="LI87" s="12" t="s">
        <v>37</v>
      </c>
      <c r="LJ87" s="12" t="s">
        <v>37</v>
      </c>
      <c r="LK87" s="12" t="s">
        <v>37</v>
      </c>
      <c r="LM87" s="12" t="s">
        <v>37</v>
      </c>
      <c r="LN87" s="12" t="s">
        <v>37</v>
      </c>
      <c r="LO87" s="12" t="s">
        <v>37</v>
      </c>
      <c r="LU87" s="12" t="s">
        <v>37</v>
      </c>
      <c r="LV87" s="12" t="s">
        <v>37</v>
      </c>
      <c r="LW87" s="13" t="s">
        <v>37</v>
      </c>
      <c r="LY87" s="12" t="s">
        <v>37</v>
      </c>
      <c r="LZ87" s="12" t="s">
        <v>37</v>
      </c>
      <c r="MA87" s="12" t="s">
        <v>37</v>
      </c>
      <c r="MF87" s="12" t="s">
        <v>37</v>
      </c>
      <c r="MG87" s="12" t="s">
        <v>37</v>
      </c>
      <c r="MH87" s="12" t="s">
        <v>37</v>
      </c>
      <c r="MJ87" s="12" t="s">
        <v>37</v>
      </c>
      <c r="MK87" s="12" t="s">
        <v>37</v>
      </c>
      <c r="ML87" s="12" t="s">
        <v>37</v>
      </c>
      <c r="MQ87" s="12" t="s">
        <v>37</v>
      </c>
      <c r="MR87" s="12" t="s">
        <v>37</v>
      </c>
      <c r="MS87" s="12" t="s">
        <v>37</v>
      </c>
      <c r="MU87" s="12" t="s">
        <v>37</v>
      </c>
      <c r="MV87" s="12" t="s">
        <v>37</v>
      </c>
      <c r="MW87" s="12" t="s">
        <v>37</v>
      </c>
      <c r="NC87" s="12" t="s">
        <v>37</v>
      </c>
      <c r="ND87" s="12" t="s">
        <v>37</v>
      </c>
      <c r="NE87" s="13" t="s">
        <v>37</v>
      </c>
      <c r="NG87" s="12" t="s">
        <v>37</v>
      </c>
      <c r="NH87" s="12" t="s">
        <v>37</v>
      </c>
      <c r="NI87" s="13" t="s">
        <v>37</v>
      </c>
      <c r="NO87" s="12" t="s">
        <v>37</v>
      </c>
      <c r="NP87" s="12" t="s">
        <v>37</v>
      </c>
      <c r="NQ87" s="13" t="s">
        <v>37</v>
      </c>
      <c r="NS87" s="12" t="s">
        <v>37</v>
      </c>
      <c r="NT87" s="12" t="s">
        <v>37</v>
      </c>
      <c r="NU87" s="13" t="s">
        <v>37</v>
      </c>
      <c r="OA87" s="11" t="s">
        <v>37</v>
      </c>
      <c r="OB87" s="11" t="s">
        <v>37</v>
      </c>
      <c r="OC87" s="13" t="s">
        <v>37</v>
      </c>
      <c r="OE87" s="11" t="s">
        <v>37</v>
      </c>
      <c r="OF87" s="11" t="s">
        <v>37</v>
      </c>
      <c r="OG87" s="13" t="s">
        <v>37</v>
      </c>
      <c r="OM87" s="11" t="s">
        <v>37</v>
      </c>
      <c r="ON87" s="11" t="s">
        <v>37</v>
      </c>
      <c r="OO87" s="11" t="s">
        <v>37</v>
      </c>
      <c r="OP87" s="11" t="s">
        <v>37</v>
      </c>
      <c r="OQ87" s="11" t="s">
        <v>37</v>
      </c>
      <c r="OR87" s="11" t="s">
        <v>37</v>
      </c>
      <c r="OW87" s="11" t="s">
        <v>37</v>
      </c>
      <c r="OX87" s="11" t="s">
        <v>37</v>
      </c>
      <c r="OY87" s="13" t="s">
        <v>37</v>
      </c>
      <c r="OZ87" s="11" t="s">
        <v>37</v>
      </c>
      <c r="PA87" s="11" t="s">
        <v>37</v>
      </c>
      <c r="PB87" s="13" t="s">
        <v>37</v>
      </c>
      <c r="PG87" s="11" t="s">
        <v>37</v>
      </c>
      <c r="PH87" s="11" t="s">
        <v>37</v>
      </c>
      <c r="PI87" s="13" t="s">
        <v>37</v>
      </c>
      <c r="PJ87" s="11" t="s">
        <v>37</v>
      </c>
      <c r="PK87" s="11" t="s">
        <v>37</v>
      </c>
      <c r="PL87" s="13" t="s">
        <v>37</v>
      </c>
      <c r="PQ87" s="11" t="s">
        <v>37</v>
      </c>
      <c r="PR87" s="11" t="s">
        <v>37</v>
      </c>
      <c r="PS87" s="13" t="s">
        <v>37</v>
      </c>
      <c r="PT87" s="11" t="s">
        <v>37</v>
      </c>
      <c r="PU87" s="11" t="s">
        <v>37</v>
      </c>
      <c r="PV87" s="13" t="s">
        <v>37</v>
      </c>
      <c r="PZ87" s="12" t="s">
        <v>37</v>
      </c>
      <c r="QA87" s="12" t="s">
        <v>37</v>
      </c>
      <c r="QB87" s="11" t="s">
        <v>37</v>
      </c>
      <c r="QD87" s="12" t="s">
        <v>37</v>
      </c>
      <c r="QE87" s="12" t="s">
        <v>37</v>
      </c>
      <c r="QF87" s="12" t="s">
        <v>37</v>
      </c>
      <c r="QK87" s="12" t="s">
        <v>37</v>
      </c>
      <c r="QL87" s="12" t="s">
        <v>37</v>
      </c>
      <c r="QM87" s="12" t="s">
        <v>37</v>
      </c>
      <c r="QN87" s="12" t="s">
        <v>37</v>
      </c>
      <c r="QO87" s="12" t="s">
        <v>37</v>
      </c>
      <c r="QP87" s="12" t="s">
        <v>37</v>
      </c>
      <c r="QQ87" s="12"/>
      <c r="QR87" s="12"/>
      <c r="QU87" s="11" t="s">
        <v>37</v>
      </c>
      <c r="QV87" s="11" t="s">
        <v>37</v>
      </c>
      <c r="QW87" s="13" t="s">
        <v>37</v>
      </c>
      <c r="QX87" s="11" t="s">
        <v>37</v>
      </c>
      <c r="QY87" s="11" t="s">
        <v>37</v>
      </c>
      <c r="QZ87" s="13" t="s">
        <v>37</v>
      </c>
      <c r="RC87" s="12" t="s">
        <v>37</v>
      </c>
      <c r="RD87" s="12" t="s">
        <v>37</v>
      </c>
      <c r="RE87" s="13" t="s">
        <v>37</v>
      </c>
      <c r="RF87" s="12" t="s">
        <v>37</v>
      </c>
      <c r="RG87" s="12" t="s">
        <v>37</v>
      </c>
      <c r="RH87" s="13" t="s">
        <v>37</v>
      </c>
      <c r="RK87" s="11" t="s">
        <v>37</v>
      </c>
      <c r="RL87" s="11" t="s">
        <v>37</v>
      </c>
      <c r="RM87" s="11" t="s">
        <v>37</v>
      </c>
      <c r="RN87" s="11" t="s">
        <v>37</v>
      </c>
      <c r="RO87" s="11" t="s">
        <v>37</v>
      </c>
      <c r="RP87" s="11" t="s">
        <v>37</v>
      </c>
      <c r="RS87" s="11" t="s">
        <v>37</v>
      </c>
      <c r="RT87" s="11" t="s">
        <v>37</v>
      </c>
      <c r="RU87" s="11" t="s">
        <v>37</v>
      </c>
      <c r="RV87" s="11" t="s">
        <v>37</v>
      </c>
      <c r="RW87" s="11" t="s">
        <v>37</v>
      </c>
      <c r="RX87" s="11" t="s">
        <v>37</v>
      </c>
      <c r="SA87" s="11" t="s">
        <v>37</v>
      </c>
      <c r="SB87" s="11" t="s">
        <v>37</v>
      </c>
      <c r="SC87" s="13" t="s">
        <v>37</v>
      </c>
      <c r="SD87" s="11" t="s">
        <v>37</v>
      </c>
      <c r="SE87" s="11" t="s">
        <v>37</v>
      </c>
      <c r="SF87" s="13" t="s">
        <v>37</v>
      </c>
      <c r="SI87" s="12" t="s">
        <v>37</v>
      </c>
      <c r="SJ87" s="12" t="s">
        <v>37</v>
      </c>
      <c r="SK87" s="13" t="s">
        <v>37</v>
      </c>
      <c r="SM87" s="12" t="s">
        <v>37</v>
      </c>
      <c r="SN87" s="12" t="s">
        <v>37</v>
      </c>
      <c r="SO87" s="13" t="s">
        <v>37</v>
      </c>
      <c r="SU87" s="12" t="s">
        <v>37</v>
      </c>
      <c r="SV87" s="12" t="s">
        <v>37</v>
      </c>
      <c r="SW87" s="11" t="s">
        <v>37</v>
      </c>
      <c r="SX87" s="12" t="s">
        <v>37</v>
      </c>
      <c r="SY87" s="12" t="s">
        <v>37</v>
      </c>
      <c r="SZ87" s="11" t="s">
        <v>37</v>
      </c>
      <c r="TE87" s="12" t="s">
        <v>37</v>
      </c>
      <c r="TF87" s="12" t="s">
        <v>37</v>
      </c>
      <c r="TG87" s="11" t="s">
        <v>37</v>
      </c>
      <c r="TH87" s="12" t="s">
        <v>37</v>
      </c>
      <c r="TI87" s="12" t="s">
        <v>37</v>
      </c>
      <c r="TJ87" s="11" t="s">
        <v>37</v>
      </c>
      <c r="TO87" s="12" t="s">
        <v>37</v>
      </c>
      <c r="TP87" s="12" t="s">
        <v>37</v>
      </c>
      <c r="TQ87" s="11" t="s">
        <v>37</v>
      </c>
      <c r="TR87" s="12" t="s">
        <v>37</v>
      </c>
      <c r="TS87" s="12" t="s">
        <v>37</v>
      </c>
      <c r="TT87" s="11" t="s">
        <v>37</v>
      </c>
      <c r="TY87" s="12" t="s">
        <v>37</v>
      </c>
      <c r="TZ87" s="12" t="s">
        <v>37</v>
      </c>
      <c r="UA87" s="11" t="s">
        <v>37</v>
      </c>
      <c r="UB87" s="12" t="s">
        <v>37</v>
      </c>
      <c r="UC87" s="12" t="s">
        <v>37</v>
      </c>
      <c r="UD87" s="11" t="s">
        <v>37</v>
      </c>
      <c r="UI87" s="12" t="s">
        <v>37</v>
      </c>
      <c r="UJ87" s="12" t="s">
        <v>37</v>
      </c>
      <c r="UK87" s="13" t="s">
        <v>37</v>
      </c>
      <c r="UL87" s="12" t="s">
        <v>37</v>
      </c>
      <c r="UM87" s="12" t="s">
        <v>37</v>
      </c>
      <c r="UN87" s="13" t="s">
        <v>37</v>
      </c>
      <c r="UR87" s="12" t="s">
        <v>37</v>
      </c>
      <c r="US87" s="12" t="s">
        <v>37</v>
      </c>
      <c r="UT87" s="13" t="s">
        <v>37</v>
      </c>
      <c r="UU87" s="12" t="s">
        <v>37</v>
      </c>
      <c r="UV87" s="12" t="s">
        <v>37</v>
      </c>
      <c r="UW87" s="13" t="s">
        <v>37</v>
      </c>
      <c r="VB87" s="12" t="s">
        <v>37</v>
      </c>
      <c r="VC87" s="12" t="s">
        <v>37</v>
      </c>
      <c r="VD87" s="13" t="s">
        <v>37</v>
      </c>
      <c r="VE87" s="12" t="s">
        <v>37</v>
      </c>
      <c r="VF87" s="12" t="s">
        <v>37</v>
      </c>
      <c r="VG87" s="13" t="s">
        <v>37</v>
      </c>
      <c r="VI87" s="12" t="s">
        <v>37</v>
      </c>
      <c r="VJ87" s="12" t="s">
        <v>37</v>
      </c>
      <c r="VK87" s="13" t="s">
        <v>37</v>
      </c>
      <c r="VL87" s="12" t="s">
        <v>37</v>
      </c>
      <c r="VM87" s="12" t="s">
        <v>37</v>
      </c>
      <c r="VN87" s="13" t="s">
        <v>37</v>
      </c>
      <c r="VO87" s="12" t="s">
        <v>37</v>
      </c>
      <c r="VQ87" s="12" t="s">
        <v>37</v>
      </c>
      <c r="VR87" s="12" t="s">
        <v>37</v>
      </c>
      <c r="VS87" s="12" t="s">
        <v>37</v>
      </c>
      <c r="VT87" s="12" t="s">
        <v>37</v>
      </c>
      <c r="VU87" s="12" t="s">
        <v>37</v>
      </c>
      <c r="VV87" s="12" t="s">
        <v>37</v>
      </c>
      <c r="VW87" s="12"/>
      <c r="VX87" s="12"/>
      <c r="WA87" s="13" t="s">
        <v>37</v>
      </c>
      <c r="WB87" s="13" t="s">
        <v>37</v>
      </c>
      <c r="WC87" s="13" t="s">
        <v>37</v>
      </c>
      <c r="WD87" s="13" t="s">
        <v>37</v>
      </c>
      <c r="WE87" s="13" t="s">
        <v>37</v>
      </c>
      <c r="WF87" s="13" t="s">
        <v>37</v>
      </c>
    </row>
    <row r="88" spans="1:604" ht="18" customHeight="1" x14ac:dyDescent="0.3">
      <c r="A88" s="11">
        <v>20</v>
      </c>
      <c r="B88" s="16" t="s">
        <v>133</v>
      </c>
      <c r="C88" s="12" t="s">
        <v>26</v>
      </c>
      <c r="D88" s="12" t="s">
        <v>54</v>
      </c>
      <c r="E88" s="40">
        <v>2.5</v>
      </c>
      <c r="F88" s="14">
        <v>0</v>
      </c>
      <c r="G88" s="14">
        <v>0</v>
      </c>
      <c r="H88" s="12" t="s">
        <v>88</v>
      </c>
      <c r="I88" s="29">
        <v>-2.5499999999999998</v>
      </c>
      <c r="J88" s="29">
        <v>113.833</v>
      </c>
      <c r="K88" s="12" t="s">
        <v>707</v>
      </c>
      <c r="L88" s="12" t="s">
        <v>708</v>
      </c>
      <c r="M88" s="13" t="s">
        <v>37</v>
      </c>
      <c r="N88" s="14">
        <v>26.3</v>
      </c>
      <c r="O88" s="14">
        <v>2331</v>
      </c>
      <c r="P88" s="14" t="s">
        <v>89</v>
      </c>
      <c r="Q88" s="75">
        <v>21</v>
      </c>
      <c r="R88" s="11" t="s">
        <v>37</v>
      </c>
      <c r="S88" s="12" t="s">
        <v>105</v>
      </c>
      <c r="T88" s="12" t="s">
        <v>37</v>
      </c>
      <c r="U88" s="12" t="s">
        <v>334</v>
      </c>
      <c r="V88" s="12" t="s">
        <v>275</v>
      </c>
      <c r="W88" s="23" t="s">
        <v>49</v>
      </c>
      <c r="X88" s="12" t="s">
        <v>49</v>
      </c>
      <c r="Y88" s="12" t="s">
        <v>68</v>
      </c>
      <c r="Z88" s="12" t="s">
        <v>37</v>
      </c>
      <c r="AB88" s="12" t="s">
        <v>37</v>
      </c>
      <c r="AE88" s="12" t="s">
        <v>37</v>
      </c>
      <c r="AH88" s="12" t="s">
        <v>37</v>
      </c>
      <c r="AK88" s="12" t="s">
        <v>37</v>
      </c>
      <c r="AL88" s="32">
        <v>2004</v>
      </c>
      <c r="AM88" s="13" t="s">
        <v>344</v>
      </c>
      <c r="AO88" s="13" t="s">
        <v>37</v>
      </c>
      <c r="AP88" s="11" t="s">
        <v>134</v>
      </c>
      <c r="AQ88" s="12" t="s">
        <v>975</v>
      </c>
      <c r="AT88" s="12" t="s">
        <v>326</v>
      </c>
      <c r="AU88" s="12" t="s">
        <v>326</v>
      </c>
      <c r="AV88" s="13" t="s">
        <v>326</v>
      </c>
      <c r="AX88" s="12" t="s">
        <v>326</v>
      </c>
      <c r="AY88" s="12" t="s">
        <v>326</v>
      </c>
      <c r="AZ88" s="13" t="s">
        <v>326</v>
      </c>
      <c r="BE88" s="12" t="s">
        <v>326</v>
      </c>
      <c r="BF88" s="12" t="s">
        <v>326</v>
      </c>
      <c r="BG88" s="12" t="s">
        <v>326</v>
      </c>
      <c r="BI88" s="12" t="s">
        <v>326</v>
      </c>
      <c r="BJ88" s="12" t="s">
        <v>326</v>
      </c>
      <c r="BK88" s="12" t="s">
        <v>326</v>
      </c>
      <c r="BP88" s="12" t="s">
        <v>37</v>
      </c>
      <c r="BQ88" s="12" t="s">
        <v>37</v>
      </c>
      <c r="BR88" s="13" t="s">
        <v>37</v>
      </c>
      <c r="BT88" s="12" t="s">
        <v>37</v>
      </c>
      <c r="BU88" s="12" t="s">
        <v>37</v>
      </c>
      <c r="BV88" s="12" t="s">
        <v>37</v>
      </c>
      <c r="CA88" s="13" t="s">
        <v>37</v>
      </c>
      <c r="CB88" s="13" t="s">
        <v>37</v>
      </c>
      <c r="CC88" s="13" t="s">
        <v>37</v>
      </c>
      <c r="CE88" s="12" t="s">
        <v>37</v>
      </c>
      <c r="CF88" s="12" t="s">
        <v>37</v>
      </c>
      <c r="CG88" s="13" t="s">
        <v>37</v>
      </c>
      <c r="CI88" s="52"/>
      <c r="CJ88" s="12">
        <v>2297.3764381401879</v>
      </c>
      <c r="CK88" s="73"/>
      <c r="CL88" s="73"/>
      <c r="CN88" s="13" t="s">
        <v>37</v>
      </c>
      <c r="CO88" s="13" t="s">
        <v>37</v>
      </c>
      <c r="CP88" s="13" t="s">
        <v>37</v>
      </c>
      <c r="CR88" s="12" t="s">
        <v>37</v>
      </c>
      <c r="CS88" s="12" t="s">
        <v>37</v>
      </c>
      <c r="CT88" s="13" t="s">
        <v>37</v>
      </c>
      <c r="CV88" s="52"/>
      <c r="CW88" s="52"/>
      <c r="CX88" s="73"/>
      <c r="CY88" s="73"/>
      <c r="DA88" s="12" t="s">
        <v>37</v>
      </c>
      <c r="DB88" s="12" t="s">
        <v>37</v>
      </c>
      <c r="DC88" s="13" t="s">
        <v>37</v>
      </c>
      <c r="DE88" s="12" t="s">
        <v>37</v>
      </c>
      <c r="DF88" s="12" t="s">
        <v>37</v>
      </c>
      <c r="DG88" s="13" t="s">
        <v>37</v>
      </c>
      <c r="DI88" s="52"/>
      <c r="DJ88" s="52"/>
      <c r="DK88" s="73"/>
      <c r="DL88" s="73"/>
      <c r="DM88" s="11" t="s">
        <v>47</v>
      </c>
      <c r="DN88" s="19">
        <f>1.71*10^4/10^3</f>
        <v>17.100000000000001</v>
      </c>
      <c r="DO88" s="12">
        <f>0.46*SQRT(3)*10^4/10^3</f>
        <v>7.9674337148168348</v>
      </c>
      <c r="DP88" s="13">
        <v>3</v>
      </c>
      <c r="DQ88" s="19">
        <f t="shared" ref="DQ88:DQ89" si="304">DO88/ABS(DN88)</f>
        <v>0.46593179618811897</v>
      </c>
      <c r="DR88" s="19">
        <f>1.11*10^4/10^3</f>
        <v>11.100000000000001</v>
      </c>
      <c r="DS88" s="12">
        <f>0.25*SQRT(3)*10^4/10^3</f>
        <v>4.3301270189221928</v>
      </c>
      <c r="DT88" s="13">
        <v>3</v>
      </c>
      <c r="DU88" s="19">
        <f t="shared" ref="DU88:DU89" si="305">DS88/ABS(DR88)</f>
        <v>0.39010153323623353</v>
      </c>
      <c r="DV88" s="19">
        <f>DR88-DN88</f>
        <v>-6</v>
      </c>
      <c r="DW88" s="12">
        <f t="shared" si="288"/>
        <v>6.4120979406119485</v>
      </c>
      <c r="DX88" s="72">
        <f t="shared" si="196"/>
        <v>27.409999999999997</v>
      </c>
      <c r="DY88" s="72">
        <f t="shared" si="197"/>
        <v>27.409999999999997</v>
      </c>
      <c r="DZ88" s="12"/>
      <c r="EA88" s="19" t="s">
        <v>37</v>
      </c>
      <c r="EB88" s="19" t="s">
        <v>37</v>
      </c>
      <c r="EC88" s="72" t="s">
        <v>37</v>
      </c>
      <c r="EE88" s="19" t="s">
        <v>37</v>
      </c>
      <c r="EF88" s="19" t="s">
        <v>37</v>
      </c>
      <c r="EG88" s="19" t="s">
        <v>37</v>
      </c>
      <c r="EN88" s="12" t="s">
        <v>37</v>
      </c>
      <c r="EO88" s="12" t="s">
        <v>37</v>
      </c>
      <c r="EP88" s="13" t="s">
        <v>37</v>
      </c>
      <c r="ER88" s="12" t="s">
        <v>37</v>
      </c>
      <c r="ES88" s="12" t="s">
        <v>37</v>
      </c>
      <c r="ET88" s="13" t="s">
        <v>37</v>
      </c>
      <c r="FB88" s="12" t="s">
        <v>37</v>
      </c>
      <c r="FC88" s="12" t="s">
        <v>37</v>
      </c>
      <c r="FD88" s="11" t="s">
        <v>37</v>
      </c>
      <c r="FE88" s="12" t="s">
        <v>37</v>
      </c>
      <c r="FF88" s="20" t="s">
        <v>37</v>
      </c>
      <c r="FG88" s="11" t="s">
        <v>37</v>
      </c>
      <c r="FI88" s="12" t="s">
        <v>37</v>
      </c>
      <c r="FJ88" s="12" t="s">
        <v>37</v>
      </c>
      <c r="FK88" s="11" t="s">
        <v>37</v>
      </c>
      <c r="FL88" s="13" t="s">
        <v>37</v>
      </c>
      <c r="FM88" s="11" t="s">
        <v>37</v>
      </c>
      <c r="FN88" s="11" t="s">
        <v>37</v>
      </c>
      <c r="FP88" s="12" t="s">
        <v>37</v>
      </c>
      <c r="FQ88" s="12" t="s">
        <v>37</v>
      </c>
      <c r="FR88" s="11" t="s">
        <v>37</v>
      </c>
      <c r="FS88" s="13" t="s">
        <v>37</v>
      </c>
      <c r="FT88" s="11" t="s">
        <v>37</v>
      </c>
      <c r="FU88" s="11" t="s">
        <v>37</v>
      </c>
      <c r="FW88" s="12" t="s">
        <v>37</v>
      </c>
      <c r="FX88" s="12" t="s">
        <v>37</v>
      </c>
      <c r="FY88" s="11" t="s">
        <v>37</v>
      </c>
      <c r="FZ88" s="13" t="s">
        <v>37</v>
      </c>
      <c r="GA88" s="11" t="s">
        <v>37</v>
      </c>
      <c r="GB88" s="11" t="s">
        <v>37</v>
      </c>
      <c r="IK88" s="12" t="s">
        <v>37</v>
      </c>
      <c r="IL88" s="12" t="s">
        <v>37</v>
      </c>
      <c r="IM88" s="13" t="s">
        <v>37</v>
      </c>
      <c r="IO88" s="12" t="s">
        <v>37</v>
      </c>
      <c r="IP88" s="12" t="s">
        <v>37</v>
      </c>
      <c r="IQ88" s="13" t="s">
        <v>37</v>
      </c>
      <c r="IW88" s="12" t="s">
        <v>37</v>
      </c>
      <c r="IX88" s="12" t="s">
        <v>37</v>
      </c>
      <c r="IY88" s="13" t="s">
        <v>37</v>
      </c>
      <c r="JA88" s="12" t="s">
        <v>37</v>
      </c>
      <c r="JB88" s="12" t="s">
        <v>37</v>
      </c>
      <c r="JC88" s="13" t="s">
        <v>37</v>
      </c>
      <c r="JH88" s="12" t="s">
        <v>37</v>
      </c>
      <c r="JI88" s="12" t="s">
        <v>37</v>
      </c>
      <c r="JJ88" s="13" t="s">
        <v>37</v>
      </c>
      <c r="JL88" s="12" t="s">
        <v>37</v>
      </c>
      <c r="JM88" s="12" t="s">
        <v>37</v>
      </c>
      <c r="JN88" s="12" t="s">
        <v>37</v>
      </c>
      <c r="JS88" s="12" t="s">
        <v>37</v>
      </c>
      <c r="JT88" s="12" t="s">
        <v>37</v>
      </c>
      <c r="JU88" s="13" t="s">
        <v>37</v>
      </c>
      <c r="JW88" s="12" t="s">
        <v>37</v>
      </c>
      <c r="JX88" s="12" t="s">
        <v>37</v>
      </c>
      <c r="JY88" s="12" t="s">
        <v>37</v>
      </c>
      <c r="KE88" s="11" t="s">
        <v>37</v>
      </c>
      <c r="KF88" s="11" t="s">
        <v>37</v>
      </c>
      <c r="KG88" s="13" t="s">
        <v>37</v>
      </c>
      <c r="KH88" s="11" t="s">
        <v>37</v>
      </c>
      <c r="KI88" s="11" t="s">
        <v>37</v>
      </c>
      <c r="KJ88" s="11" t="s">
        <v>37</v>
      </c>
      <c r="KM88" s="12" t="s">
        <v>37</v>
      </c>
      <c r="KN88" s="12" t="s">
        <v>37</v>
      </c>
      <c r="KO88" s="11" t="s">
        <v>37</v>
      </c>
      <c r="KQ88" s="12" t="s">
        <v>37</v>
      </c>
      <c r="KR88" s="12" t="s">
        <v>37</v>
      </c>
      <c r="KS88" s="13" t="s">
        <v>37</v>
      </c>
      <c r="KX88" s="12" t="s">
        <v>37</v>
      </c>
      <c r="KY88" s="12" t="s">
        <v>37</v>
      </c>
      <c r="KZ88" s="13" t="s">
        <v>37</v>
      </c>
      <c r="LB88" s="12" t="s">
        <v>37</v>
      </c>
      <c r="LC88" s="12" t="s">
        <v>37</v>
      </c>
      <c r="LD88" s="13" t="s">
        <v>37</v>
      </c>
      <c r="LI88" s="12" t="s">
        <v>37</v>
      </c>
      <c r="LJ88" s="12" t="s">
        <v>37</v>
      </c>
      <c r="LK88" s="12" t="s">
        <v>37</v>
      </c>
      <c r="LM88" s="12" t="s">
        <v>37</v>
      </c>
      <c r="LN88" s="12" t="s">
        <v>37</v>
      </c>
      <c r="LO88" s="12" t="s">
        <v>37</v>
      </c>
      <c r="LU88" s="12" t="s">
        <v>37</v>
      </c>
      <c r="LV88" s="12" t="s">
        <v>37</v>
      </c>
      <c r="LW88" s="13" t="s">
        <v>37</v>
      </c>
      <c r="LY88" s="12" t="s">
        <v>37</v>
      </c>
      <c r="LZ88" s="12" t="s">
        <v>37</v>
      </c>
      <c r="MA88" s="12" t="s">
        <v>37</v>
      </c>
      <c r="MF88" s="12" t="s">
        <v>37</v>
      </c>
      <c r="MG88" s="12" t="s">
        <v>37</v>
      </c>
      <c r="MH88" s="12" t="s">
        <v>37</v>
      </c>
      <c r="MJ88" s="12" t="s">
        <v>37</v>
      </c>
      <c r="MK88" s="12" t="s">
        <v>37</v>
      </c>
      <c r="ML88" s="12" t="s">
        <v>37</v>
      </c>
      <c r="MQ88" s="12" t="s">
        <v>37</v>
      </c>
      <c r="MR88" s="12" t="s">
        <v>37</v>
      </c>
      <c r="MS88" s="12" t="s">
        <v>37</v>
      </c>
      <c r="MU88" s="12" t="s">
        <v>37</v>
      </c>
      <c r="MV88" s="12" t="s">
        <v>37</v>
      </c>
      <c r="MW88" s="12" t="s">
        <v>37</v>
      </c>
      <c r="NC88" s="12" t="s">
        <v>37</v>
      </c>
      <c r="ND88" s="12" t="s">
        <v>37</v>
      </c>
      <c r="NE88" s="13" t="s">
        <v>37</v>
      </c>
      <c r="NG88" s="12" t="s">
        <v>37</v>
      </c>
      <c r="NH88" s="12" t="s">
        <v>37</v>
      </c>
      <c r="NI88" s="13" t="s">
        <v>37</v>
      </c>
      <c r="NO88" s="12" t="s">
        <v>37</v>
      </c>
      <c r="NP88" s="12" t="s">
        <v>37</v>
      </c>
      <c r="NQ88" s="13" t="s">
        <v>37</v>
      </c>
      <c r="NS88" s="12" t="s">
        <v>37</v>
      </c>
      <c r="NT88" s="12" t="s">
        <v>37</v>
      </c>
      <c r="NU88" s="13" t="s">
        <v>37</v>
      </c>
      <c r="OA88" s="11" t="s">
        <v>37</v>
      </c>
      <c r="OB88" s="11" t="s">
        <v>37</v>
      </c>
      <c r="OC88" s="13" t="s">
        <v>37</v>
      </c>
      <c r="OE88" s="11" t="s">
        <v>37</v>
      </c>
      <c r="OF88" s="11" t="s">
        <v>37</v>
      </c>
      <c r="OG88" s="13" t="s">
        <v>37</v>
      </c>
      <c r="OM88" s="11" t="s">
        <v>37</v>
      </c>
      <c r="ON88" s="11" t="s">
        <v>37</v>
      </c>
      <c r="OO88" s="11" t="s">
        <v>37</v>
      </c>
      <c r="OP88" s="11" t="s">
        <v>37</v>
      </c>
      <c r="OQ88" s="11" t="s">
        <v>37</v>
      </c>
      <c r="OR88" s="11" t="s">
        <v>37</v>
      </c>
      <c r="OW88" s="12" t="s">
        <v>37</v>
      </c>
      <c r="OX88" s="12" t="s">
        <v>37</v>
      </c>
      <c r="OY88" s="13" t="s">
        <v>37</v>
      </c>
      <c r="OZ88" s="12" t="s">
        <v>37</v>
      </c>
      <c r="PA88" s="12" t="s">
        <v>37</v>
      </c>
      <c r="PB88" s="13" t="s">
        <v>37</v>
      </c>
      <c r="PG88" s="11" t="s">
        <v>37</v>
      </c>
      <c r="PH88" s="11" t="s">
        <v>37</v>
      </c>
      <c r="PI88" s="13" t="s">
        <v>37</v>
      </c>
      <c r="PJ88" s="11" t="s">
        <v>37</v>
      </c>
      <c r="PK88" s="11" t="s">
        <v>37</v>
      </c>
      <c r="PL88" s="13" t="s">
        <v>37</v>
      </c>
      <c r="PQ88" s="11" t="s">
        <v>37</v>
      </c>
      <c r="PR88" s="11" t="s">
        <v>37</v>
      </c>
      <c r="PS88" s="13" t="s">
        <v>37</v>
      </c>
      <c r="PT88" s="11" t="s">
        <v>37</v>
      </c>
      <c r="PU88" s="11" t="s">
        <v>37</v>
      </c>
      <c r="PV88" s="13" t="s">
        <v>37</v>
      </c>
      <c r="PZ88" s="12" t="s">
        <v>37</v>
      </c>
      <c r="QA88" s="12" t="s">
        <v>37</v>
      </c>
      <c r="QB88" s="11" t="s">
        <v>37</v>
      </c>
      <c r="QD88" s="12" t="s">
        <v>37</v>
      </c>
      <c r="QE88" s="12" t="s">
        <v>37</v>
      </c>
      <c r="QF88" s="12" t="s">
        <v>37</v>
      </c>
      <c r="QK88" s="12" t="s">
        <v>37</v>
      </c>
      <c r="QL88" s="12" t="s">
        <v>37</v>
      </c>
      <c r="QM88" s="12" t="s">
        <v>37</v>
      </c>
      <c r="QN88" s="12" t="s">
        <v>37</v>
      </c>
      <c r="QO88" s="12" t="s">
        <v>37</v>
      </c>
      <c r="QP88" s="12" t="s">
        <v>37</v>
      </c>
      <c r="QQ88" s="12"/>
      <c r="QR88" s="12"/>
      <c r="QU88" s="11" t="s">
        <v>37</v>
      </c>
      <c r="QV88" s="11" t="s">
        <v>37</v>
      </c>
      <c r="QW88" s="13" t="s">
        <v>37</v>
      </c>
      <c r="QX88" s="11" t="s">
        <v>37</v>
      </c>
      <c r="QY88" s="11" t="s">
        <v>37</v>
      </c>
      <c r="QZ88" s="13" t="s">
        <v>37</v>
      </c>
      <c r="RC88" s="12" t="s">
        <v>37</v>
      </c>
      <c r="RD88" s="12" t="s">
        <v>37</v>
      </c>
      <c r="RE88" s="13" t="s">
        <v>37</v>
      </c>
      <c r="RF88" s="12" t="s">
        <v>37</v>
      </c>
      <c r="RG88" s="12" t="s">
        <v>37</v>
      </c>
      <c r="RH88" s="13" t="s">
        <v>37</v>
      </c>
      <c r="RK88" s="11" t="s">
        <v>37</v>
      </c>
      <c r="RL88" s="11" t="s">
        <v>37</v>
      </c>
      <c r="RM88" s="11" t="s">
        <v>37</v>
      </c>
      <c r="RN88" s="11" t="s">
        <v>37</v>
      </c>
      <c r="RO88" s="11" t="s">
        <v>37</v>
      </c>
      <c r="RP88" s="11" t="s">
        <v>37</v>
      </c>
      <c r="RS88" s="11" t="s">
        <v>37</v>
      </c>
      <c r="RT88" s="11" t="s">
        <v>37</v>
      </c>
      <c r="RU88" s="11" t="s">
        <v>37</v>
      </c>
      <c r="RV88" s="11" t="s">
        <v>37</v>
      </c>
      <c r="RW88" s="11" t="s">
        <v>37</v>
      </c>
      <c r="RX88" s="11" t="s">
        <v>37</v>
      </c>
      <c r="SA88" s="11" t="s">
        <v>37</v>
      </c>
      <c r="SB88" s="11" t="s">
        <v>37</v>
      </c>
      <c r="SC88" s="13" t="s">
        <v>37</v>
      </c>
      <c r="SD88" s="11" t="s">
        <v>37</v>
      </c>
      <c r="SE88" s="11" t="s">
        <v>37</v>
      </c>
      <c r="SF88" s="13" t="s">
        <v>37</v>
      </c>
      <c r="SI88" s="12" t="s">
        <v>37</v>
      </c>
      <c r="SJ88" s="12" t="s">
        <v>37</v>
      </c>
      <c r="SK88" s="13" t="s">
        <v>37</v>
      </c>
      <c r="SM88" s="12" t="s">
        <v>37</v>
      </c>
      <c r="SN88" s="12" t="s">
        <v>37</v>
      </c>
      <c r="SO88" s="13" t="s">
        <v>37</v>
      </c>
      <c r="SU88" s="12" t="s">
        <v>37</v>
      </c>
      <c r="SV88" s="12" t="s">
        <v>37</v>
      </c>
      <c r="SW88" s="11" t="s">
        <v>37</v>
      </c>
      <c r="SX88" s="12" t="s">
        <v>37</v>
      </c>
      <c r="SY88" s="12" t="s">
        <v>37</v>
      </c>
      <c r="SZ88" s="11" t="s">
        <v>37</v>
      </c>
      <c r="TE88" s="12" t="s">
        <v>37</v>
      </c>
      <c r="TF88" s="12" t="s">
        <v>37</v>
      </c>
      <c r="TG88" s="11" t="s">
        <v>37</v>
      </c>
      <c r="TH88" s="12" t="s">
        <v>37</v>
      </c>
      <c r="TI88" s="12" t="s">
        <v>37</v>
      </c>
      <c r="TJ88" s="11" t="s">
        <v>37</v>
      </c>
      <c r="TO88" s="12" t="s">
        <v>37</v>
      </c>
      <c r="TP88" s="12" t="s">
        <v>37</v>
      </c>
      <c r="TQ88" s="11" t="s">
        <v>37</v>
      </c>
      <c r="TR88" s="12" t="s">
        <v>37</v>
      </c>
      <c r="TS88" s="12" t="s">
        <v>37</v>
      </c>
      <c r="TT88" s="11" t="s">
        <v>37</v>
      </c>
      <c r="TY88" s="12" t="s">
        <v>37</v>
      </c>
      <c r="TZ88" s="12" t="s">
        <v>37</v>
      </c>
      <c r="UA88" s="12" t="s">
        <v>37</v>
      </c>
      <c r="UB88" s="12" t="s">
        <v>37</v>
      </c>
      <c r="UC88" s="12" t="s">
        <v>37</v>
      </c>
      <c r="UD88" s="12" t="s">
        <v>37</v>
      </c>
      <c r="UE88" s="12"/>
      <c r="UF88" s="12"/>
      <c r="UI88" s="12" t="s">
        <v>37</v>
      </c>
      <c r="UJ88" s="12" t="s">
        <v>37</v>
      </c>
      <c r="UK88" s="13" t="s">
        <v>37</v>
      </c>
      <c r="UL88" s="12" t="s">
        <v>37</v>
      </c>
      <c r="UM88" s="12" t="s">
        <v>37</v>
      </c>
      <c r="UN88" s="13" t="s">
        <v>37</v>
      </c>
      <c r="UR88" s="12" t="s">
        <v>37</v>
      </c>
      <c r="US88" s="12" t="s">
        <v>37</v>
      </c>
      <c r="UT88" s="13" t="s">
        <v>37</v>
      </c>
      <c r="UU88" s="12" t="s">
        <v>37</v>
      </c>
      <c r="UV88" s="12" t="s">
        <v>37</v>
      </c>
      <c r="UW88" s="13" t="s">
        <v>37</v>
      </c>
      <c r="VB88" s="12" t="s">
        <v>37</v>
      </c>
      <c r="VC88" s="12" t="s">
        <v>37</v>
      </c>
      <c r="VD88" s="13" t="s">
        <v>37</v>
      </c>
      <c r="VE88" s="12" t="s">
        <v>37</v>
      </c>
      <c r="VF88" s="12" t="s">
        <v>37</v>
      </c>
      <c r="VG88" s="13" t="s">
        <v>37</v>
      </c>
      <c r="VI88" s="12" t="s">
        <v>37</v>
      </c>
      <c r="VJ88" s="12" t="s">
        <v>37</v>
      </c>
      <c r="VK88" s="13" t="s">
        <v>37</v>
      </c>
      <c r="VL88" s="12" t="s">
        <v>37</v>
      </c>
      <c r="VM88" s="12" t="s">
        <v>37</v>
      </c>
      <c r="VN88" s="13" t="s">
        <v>37</v>
      </c>
      <c r="VQ88" s="13" t="s">
        <v>37</v>
      </c>
      <c r="VR88" s="13" t="s">
        <v>37</v>
      </c>
      <c r="VS88" s="13" t="s">
        <v>37</v>
      </c>
      <c r="VT88" s="13" t="s">
        <v>37</v>
      </c>
      <c r="VU88" s="13" t="s">
        <v>37</v>
      </c>
      <c r="VV88" s="13" t="s">
        <v>37</v>
      </c>
      <c r="WA88" s="13" t="s">
        <v>37</v>
      </c>
      <c r="WB88" s="13" t="s">
        <v>37</v>
      </c>
      <c r="WC88" s="13" t="s">
        <v>37</v>
      </c>
      <c r="WD88" s="13" t="s">
        <v>37</v>
      </c>
      <c r="WE88" s="13" t="s">
        <v>37</v>
      </c>
      <c r="WF88" s="13" t="s">
        <v>37</v>
      </c>
    </row>
    <row r="89" spans="1:604" ht="18" customHeight="1" x14ac:dyDescent="0.3">
      <c r="A89" s="11">
        <v>20</v>
      </c>
      <c r="B89" s="16" t="s">
        <v>133</v>
      </c>
      <c r="C89" s="12" t="s">
        <v>26</v>
      </c>
      <c r="D89" s="12" t="s">
        <v>54</v>
      </c>
      <c r="E89" s="40">
        <v>2.5</v>
      </c>
      <c r="F89" s="14">
        <v>0</v>
      </c>
      <c r="G89" s="14">
        <v>0</v>
      </c>
      <c r="H89" s="12" t="s">
        <v>88</v>
      </c>
      <c r="I89" s="29">
        <v>-2.5499999999999998</v>
      </c>
      <c r="J89" s="29">
        <v>113.833</v>
      </c>
      <c r="K89" s="12" t="s">
        <v>707</v>
      </c>
      <c r="L89" s="12" t="s">
        <v>708</v>
      </c>
      <c r="M89" s="13" t="s">
        <v>37</v>
      </c>
      <c r="N89" s="14">
        <v>26.3</v>
      </c>
      <c r="O89" s="14">
        <v>2331</v>
      </c>
      <c r="P89" s="14" t="s">
        <v>89</v>
      </c>
      <c r="Q89" s="75">
        <v>22</v>
      </c>
      <c r="R89" s="11" t="s">
        <v>37</v>
      </c>
      <c r="S89" s="12" t="s">
        <v>105</v>
      </c>
      <c r="T89" s="12" t="s">
        <v>37</v>
      </c>
      <c r="U89" s="12" t="s">
        <v>334</v>
      </c>
      <c r="V89" s="12" t="s">
        <v>275</v>
      </c>
      <c r="W89" s="23" t="s">
        <v>49</v>
      </c>
      <c r="X89" s="12" t="s">
        <v>49</v>
      </c>
      <c r="Y89" s="12" t="s">
        <v>68</v>
      </c>
      <c r="Z89" s="12" t="s">
        <v>37</v>
      </c>
      <c r="AB89" s="12" t="s">
        <v>37</v>
      </c>
      <c r="AE89" s="12" t="s">
        <v>37</v>
      </c>
      <c r="AH89" s="12" t="s">
        <v>37</v>
      </c>
      <c r="AK89" s="12" t="s">
        <v>37</v>
      </c>
      <c r="AL89" s="32">
        <v>2005</v>
      </c>
      <c r="AM89" s="13" t="s">
        <v>344</v>
      </c>
      <c r="AO89" s="13" t="s">
        <v>37</v>
      </c>
      <c r="AP89" s="11" t="s">
        <v>134</v>
      </c>
      <c r="AQ89" s="12" t="s">
        <v>975</v>
      </c>
      <c r="AT89" s="12" t="s">
        <v>326</v>
      </c>
      <c r="AU89" s="12" t="s">
        <v>326</v>
      </c>
      <c r="AV89" s="13" t="s">
        <v>326</v>
      </c>
      <c r="AX89" s="12" t="s">
        <v>326</v>
      </c>
      <c r="AY89" s="12" t="s">
        <v>326</v>
      </c>
      <c r="AZ89" s="13" t="s">
        <v>326</v>
      </c>
      <c r="BE89" s="12" t="s">
        <v>326</v>
      </c>
      <c r="BF89" s="12" t="s">
        <v>326</v>
      </c>
      <c r="BG89" s="12" t="s">
        <v>326</v>
      </c>
      <c r="BI89" s="12" t="s">
        <v>326</v>
      </c>
      <c r="BJ89" s="12" t="s">
        <v>326</v>
      </c>
      <c r="BK89" s="12" t="s">
        <v>326</v>
      </c>
      <c r="BP89" s="12" t="s">
        <v>37</v>
      </c>
      <c r="BQ89" s="12" t="s">
        <v>37</v>
      </c>
      <c r="BR89" s="13" t="s">
        <v>37</v>
      </c>
      <c r="BT89" s="12" t="s">
        <v>37</v>
      </c>
      <c r="BU89" s="12" t="s">
        <v>37</v>
      </c>
      <c r="BV89" s="12" t="s">
        <v>37</v>
      </c>
      <c r="CA89" s="12" t="s">
        <v>37</v>
      </c>
      <c r="CB89" s="12" t="s">
        <v>37</v>
      </c>
      <c r="CC89" s="13" t="s">
        <v>37</v>
      </c>
      <c r="CE89" s="12" t="s">
        <v>37</v>
      </c>
      <c r="CF89" s="12" t="s">
        <v>37</v>
      </c>
      <c r="CG89" s="13" t="s">
        <v>37</v>
      </c>
      <c r="CI89" s="52"/>
      <c r="CJ89" s="12">
        <v>2420.5846844331659</v>
      </c>
      <c r="CK89" s="73"/>
      <c r="CL89" s="73"/>
      <c r="CN89" s="12" t="s">
        <v>37</v>
      </c>
      <c r="CO89" s="12" t="s">
        <v>37</v>
      </c>
      <c r="CP89" s="13" t="s">
        <v>37</v>
      </c>
      <c r="CR89" s="12" t="s">
        <v>37</v>
      </c>
      <c r="CS89" s="12" t="s">
        <v>37</v>
      </c>
      <c r="CT89" s="13" t="s">
        <v>37</v>
      </c>
      <c r="CV89" s="52"/>
      <c r="CW89" s="52"/>
      <c r="CX89" s="73"/>
      <c r="CY89" s="73"/>
      <c r="DA89" s="12" t="s">
        <v>37</v>
      </c>
      <c r="DB89" s="12" t="s">
        <v>37</v>
      </c>
      <c r="DC89" s="13" t="s">
        <v>37</v>
      </c>
      <c r="DE89" s="12" t="s">
        <v>37</v>
      </c>
      <c r="DF89" s="12" t="s">
        <v>37</v>
      </c>
      <c r="DG89" s="13" t="s">
        <v>37</v>
      </c>
      <c r="DI89" s="52"/>
      <c r="DJ89" s="52"/>
      <c r="DK89" s="73"/>
      <c r="DL89" s="73"/>
      <c r="DM89" s="11" t="s">
        <v>47</v>
      </c>
      <c r="DN89" s="19">
        <f>1.73*10^4/10^3</f>
        <v>17.3</v>
      </c>
      <c r="DO89" s="12">
        <f>0.47*SQRT(3)*10^4/10^3</f>
        <v>8.1406387955737234</v>
      </c>
      <c r="DP89" s="13">
        <v>3</v>
      </c>
      <c r="DQ89" s="19">
        <f t="shared" si="304"/>
        <v>0.47055715581350999</v>
      </c>
      <c r="DR89" s="19">
        <f>1.25*10^4/10^3</f>
        <v>12.5</v>
      </c>
      <c r="DS89" s="12">
        <f>0.29*SQRT(3)*10^4/10^3</f>
        <v>5.0229473419497435</v>
      </c>
      <c r="DT89" s="13">
        <v>3</v>
      </c>
      <c r="DU89" s="19">
        <f t="shared" si="305"/>
        <v>0.40183578735597947</v>
      </c>
      <c r="DV89" s="19">
        <f t="shared" ref="DV89" si="306">DR89-DN89</f>
        <v>-4.8000000000000007</v>
      </c>
      <c r="DW89" s="12">
        <f t="shared" si="288"/>
        <v>6.7638746292343406</v>
      </c>
      <c r="DX89" s="72">
        <f t="shared" si="196"/>
        <v>30.499999999999993</v>
      </c>
      <c r="DY89" s="72">
        <f t="shared" si="197"/>
        <v>30.5</v>
      </c>
      <c r="DZ89" s="12"/>
      <c r="EA89" s="19" t="s">
        <v>37</v>
      </c>
      <c r="EB89" s="19" t="s">
        <v>37</v>
      </c>
      <c r="EC89" s="72" t="s">
        <v>37</v>
      </c>
      <c r="EE89" s="19" t="s">
        <v>37</v>
      </c>
      <c r="EF89" s="19" t="s">
        <v>37</v>
      </c>
      <c r="EG89" s="19" t="s">
        <v>37</v>
      </c>
      <c r="EN89" s="12" t="s">
        <v>37</v>
      </c>
      <c r="EO89" s="12" t="s">
        <v>37</v>
      </c>
      <c r="EP89" s="13" t="s">
        <v>37</v>
      </c>
      <c r="ER89" s="12" t="s">
        <v>37</v>
      </c>
      <c r="ES89" s="12" t="s">
        <v>37</v>
      </c>
      <c r="ET89" s="13" t="s">
        <v>37</v>
      </c>
      <c r="FB89" s="12" t="s">
        <v>37</v>
      </c>
      <c r="FC89" s="12" t="s">
        <v>37</v>
      </c>
      <c r="FD89" s="11" t="s">
        <v>37</v>
      </c>
      <c r="FE89" s="12" t="s">
        <v>37</v>
      </c>
      <c r="FF89" s="20" t="s">
        <v>37</v>
      </c>
      <c r="FG89" s="11" t="s">
        <v>37</v>
      </c>
      <c r="FI89" s="12" t="s">
        <v>37</v>
      </c>
      <c r="FJ89" s="12" t="s">
        <v>37</v>
      </c>
      <c r="FK89" s="11" t="s">
        <v>37</v>
      </c>
      <c r="FL89" s="13" t="s">
        <v>37</v>
      </c>
      <c r="FM89" s="11" t="s">
        <v>37</v>
      </c>
      <c r="FN89" s="11" t="s">
        <v>37</v>
      </c>
      <c r="FP89" s="12" t="s">
        <v>37</v>
      </c>
      <c r="FQ89" s="12" t="s">
        <v>37</v>
      </c>
      <c r="FR89" s="11" t="s">
        <v>37</v>
      </c>
      <c r="FS89" s="13" t="s">
        <v>37</v>
      </c>
      <c r="FT89" s="11" t="s">
        <v>37</v>
      </c>
      <c r="FU89" s="11" t="s">
        <v>37</v>
      </c>
      <c r="FW89" s="12" t="s">
        <v>37</v>
      </c>
      <c r="FX89" s="12" t="s">
        <v>37</v>
      </c>
      <c r="FY89" s="11" t="s">
        <v>37</v>
      </c>
      <c r="FZ89" s="13" t="s">
        <v>37</v>
      </c>
      <c r="GA89" s="11" t="s">
        <v>37</v>
      </c>
      <c r="GB89" s="11" t="s">
        <v>37</v>
      </c>
      <c r="IK89" s="12" t="s">
        <v>37</v>
      </c>
      <c r="IL89" s="12" t="s">
        <v>37</v>
      </c>
      <c r="IM89" s="13" t="s">
        <v>37</v>
      </c>
      <c r="IO89" s="12" t="s">
        <v>37</v>
      </c>
      <c r="IP89" s="12" t="s">
        <v>37</v>
      </c>
      <c r="IQ89" s="13" t="s">
        <v>37</v>
      </c>
      <c r="IW89" s="12" t="s">
        <v>37</v>
      </c>
      <c r="IX89" s="12" t="s">
        <v>37</v>
      </c>
      <c r="IY89" s="13" t="s">
        <v>37</v>
      </c>
      <c r="JA89" s="12" t="s">
        <v>37</v>
      </c>
      <c r="JB89" s="12" t="s">
        <v>37</v>
      </c>
      <c r="JC89" s="13" t="s">
        <v>37</v>
      </c>
      <c r="JH89" s="12" t="s">
        <v>37</v>
      </c>
      <c r="JI89" s="12" t="s">
        <v>37</v>
      </c>
      <c r="JJ89" s="13" t="s">
        <v>37</v>
      </c>
      <c r="JL89" s="12" t="s">
        <v>37</v>
      </c>
      <c r="JM89" s="12" t="s">
        <v>37</v>
      </c>
      <c r="JN89" s="12" t="s">
        <v>37</v>
      </c>
      <c r="JS89" s="12" t="s">
        <v>37</v>
      </c>
      <c r="JT89" s="12" t="s">
        <v>37</v>
      </c>
      <c r="JU89" s="13" t="s">
        <v>37</v>
      </c>
      <c r="JW89" s="12" t="s">
        <v>37</v>
      </c>
      <c r="JX89" s="12" t="s">
        <v>37</v>
      </c>
      <c r="JY89" s="12" t="s">
        <v>37</v>
      </c>
      <c r="KE89" s="11" t="s">
        <v>37</v>
      </c>
      <c r="KF89" s="11" t="s">
        <v>37</v>
      </c>
      <c r="KG89" s="13" t="s">
        <v>37</v>
      </c>
      <c r="KH89" s="11" t="s">
        <v>37</v>
      </c>
      <c r="KI89" s="11" t="s">
        <v>37</v>
      </c>
      <c r="KJ89" s="11" t="s">
        <v>37</v>
      </c>
      <c r="KM89" s="12" t="s">
        <v>37</v>
      </c>
      <c r="KN89" s="12" t="s">
        <v>37</v>
      </c>
      <c r="KO89" s="11" t="s">
        <v>37</v>
      </c>
      <c r="KQ89" s="12" t="s">
        <v>37</v>
      </c>
      <c r="KR89" s="12" t="s">
        <v>37</v>
      </c>
      <c r="KS89" s="13" t="s">
        <v>37</v>
      </c>
      <c r="KX89" s="12" t="s">
        <v>37</v>
      </c>
      <c r="KY89" s="12" t="s">
        <v>37</v>
      </c>
      <c r="KZ89" s="13" t="s">
        <v>37</v>
      </c>
      <c r="LB89" s="12" t="s">
        <v>37</v>
      </c>
      <c r="LC89" s="12" t="s">
        <v>37</v>
      </c>
      <c r="LD89" s="13" t="s">
        <v>37</v>
      </c>
      <c r="LI89" s="12" t="s">
        <v>37</v>
      </c>
      <c r="LJ89" s="12" t="s">
        <v>37</v>
      </c>
      <c r="LK89" s="12" t="s">
        <v>37</v>
      </c>
      <c r="LM89" s="12" t="s">
        <v>37</v>
      </c>
      <c r="LN89" s="12" t="s">
        <v>37</v>
      </c>
      <c r="LO89" s="12" t="s">
        <v>37</v>
      </c>
      <c r="LU89" s="12" t="s">
        <v>37</v>
      </c>
      <c r="LV89" s="12" t="s">
        <v>37</v>
      </c>
      <c r="LW89" s="13" t="s">
        <v>37</v>
      </c>
      <c r="LY89" s="12" t="s">
        <v>37</v>
      </c>
      <c r="LZ89" s="12" t="s">
        <v>37</v>
      </c>
      <c r="MA89" s="12" t="s">
        <v>37</v>
      </c>
      <c r="MF89" s="12" t="s">
        <v>37</v>
      </c>
      <c r="MG89" s="12" t="s">
        <v>37</v>
      </c>
      <c r="MH89" s="12" t="s">
        <v>37</v>
      </c>
      <c r="MJ89" s="12" t="s">
        <v>37</v>
      </c>
      <c r="MK89" s="12" t="s">
        <v>37</v>
      </c>
      <c r="ML89" s="12" t="s">
        <v>37</v>
      </c>
      <c r="MQ89" s="12" t="s">
        <v>37</v>
      </c>
      <c r="MR89" s="12" t="s">
        <v>37</v>
      </c>
      <c r="MS89" s="12" t="s">
        <v>37</v>
      </c>
      <c r="MU89" s="12" t="s">
        <v>37</v>
      </c>
      <c r="MV89" s="12" t="s">
        <v>37</v>
      </c>
      <c r="MW89" s="12" t="s">
        <v>37</v>
      </c>
      <c r="NC89" s="12" t="s">
        <v>37</v>
      </c>
      <c r="ND89" s="12" t="s">
        <v>37</v>
      </c>
      <c r="NE89" s="13" t="s">
        <v>37</v>
      </c>
      <c r="NG89" s="12" t="s">
        <v>37</v>
      </c>
      <c r="NH89" s="12" t="s">
        <v>37</v>
      </c>
      <c r="NI89" s="13" t="s">
        <v>37</v>
      </c>
      <c r="NO89" s="12" t="s">
        <v>37</v>
      </c>
      <c r="NP89" s="12" t="s">
        <v>37</v>
      </c>
      <c r="NQ89" s="13" t="s">
        <v>37</v>
      </c>
      <c r="NS89" s="12" t="s">
        <v>37</v>
      </c>
      <c r="NT89" s="12" t="s">
        <v>37</v>
      </c>
      <c r="NU89" s="13" t="s">
        <v>37</v>
      </c>
      <c r="OA89" s="11" t="s">
        <v>37</v>
      </c>
      <c r="OB89" s="11" t="s">
        <v>37</v>
      </c>
      <c r="OC89" s="13" t="s">
        <v>37</v>
      </c>
      <c r="OE89" s="11" t="s">
        <v>37</v>
      </c>
      <c r="OF89" s="11" t="s">
        <v>37</v>
      </c>
      <c r="OG89" s="13" t="s">
        <v>37</v>
      </c>
      <c r="OM89" s="11" t="s">
        <v>37</v>
      </c>
      <c r="ON89" s="11" t="s">
        <v>37</v>
      </c>
      <c r="OO89" s="11" t="s">
        <v>37</v>
      </c>
      <c r="OP89" s="11" t="s">
        <v>37</v>
      </c>
      <c r="OQ89" s="11" t="s">
        <v>37</v>
      </c>
      <c r="OR89" s="11" t="s">
        <v>37</v>
      </c>
      <c r="OW89" s="12" t="s">
        <v>37</v>
      </c>
      <c r="OX89" s="12" t="s">
        <v>37</v>
      </c>
      <c r="OY89" s="13" t="s">
        <v>37</v>
      </c>
      <c r="OZ89" s="12" t="s">
        <v>37</v>
      </c>
      <c r="PA89" s="12" t="s">
        <v>37</v>
      </c>
      <c r="PB89" s="13" t="s">
        <v>37</v>
      </c>
      <c r="PG89" s="11" t="s">
        <v>37</v>
      </c>
      <c r="PH89" s="11" t="s">
        <v>37</v>
      </c>
      <c r="PI89" s="13" t="s">
        <v>37</v>
      </c>
      <c r="PJ89" s="11" t="s">
        <v>37</v>
      </c>
      <c r="PK89" s="11" t="s">
        <v>37</v>
      </c>
      <c r="PL89" s="13" t="s">
        <v>37</v>
      </c>
      <c r="PQ89" s="11" t="s">
        <v>37</v>
      </c>
      <c r="PR89" s="11" t="s">
        <v>37</v>
      </c>
      <c r="PS89" s="13" t="s">
        <v>37</v>
      </c>
      <c r="PT89" s="11" t="s">
        <v>37</v>
      </c>
      <c r="PU89" s="11" t="s">
        <v>37</v>
      </c>
      <c r="PV89" s="13" t="s">
        <v>37</v>
      </c>
      <c r="PZ89" s="12" t="s">
        <v>37</v>
      </c>
      <c r="QA89" s="12" t="s">
        <v>37</v>
      </c>
      <c r="QB89" s="11" t="s">
        <v>37</v>
      </c>
      <c r="QD89" s="12" t="s">
        <v>37</v>
      </c>
      <c r="QE89" s="12" t="s">
        <v>37</v>
      </c>
      <c r="QF89" s="12" t="s">
        <v>37</v>
      </c>
      <c r="QK89" s="12" t="s">
        <v>37</v>
      </c>
      <c r="QL89" s="12" t="s">
        <v>37</v>
      </c>
      <c r="QM89" s="12" t="s">
        <v>37</v>
      </c>
      <c r="QN89" s="12" t="s">
        <v>37</v>
      </c>
      <c r="QO89" s="12" t="s">
        <v>37</v>
      </c>
      <c r="QP89" s="12" t="s">
        <v>37</v>
      </c>
      <c r="QQ89" s="12"/>
      <c r="QR89" s="12"/>
      <c r="QU89" s="11" t="s">
        <v>37</v>
      </c>
      <c r="QV89" s="11" t="s">
        <v>37</v>
      </c>
      <c r="QW89" s="13" t="s">
        <v>37</v>
      </c>
      <c r="QX89" s="11" t="s">
        <v>37</v>
      </c>
      <c r="QY89" s="11" t="s">
        <v>37</v>
      </c>
      <c r="QZ89" s="13" t="s">
        <v>37</v>
      </c>
      <c r="RC89" s="12" t="s">
        <v>37</v>
      </c>
      <c r="RD89" s="12" t="s">
        <v>37</v>
      </c>
      <c r="RE89" s="13" t="s">
        <v>37</v>
      </c>
      <c r="RF89" s="12" t="s">
        <v>37</v>
      </c>
      <c r="RG89" s="12" t="s">
        <v>37</v>
      </c>
      <c r="RH89" s="13" t="s">
        <v>37</v>
      </c>
      <c r="RK89" s="11" t="s">
        <v>37</v>
      </c>
      <c r="RL89" s="11" t="s">
        <v>37</v>
      </c>
      <c r="RM89" s="11" t="s">
        <v>37</v>
      </c>
      <c r="RN89" s="11" t="s">
        <v>37</v>
      </c>
      <c r="RO89" s="11" t="s">
        <v>37</v>
      </c>
      <c r="RP89" s="11" t="s">
        <v>37</v>
      </c>
      <c r="RS89" s="11" t="s">
        <v>37</v>
      </c>
      <c r="RT89" s="11" t="s">
        <v>37</v>
      </c>
      <c r="RU89" s="11" t="s">
        <v>37</v>
      </c>
      <c r="RV89" s="11" t="s">
        <v>37</v>
      </c>
      <c r="RW89" s="11" t="s">
        <v>37</v>
      </c>
      <c r="RX89" s="11" t="s">
        <v>37</v>
      </c>
      <c r="SA89" s="11" t="s">
        <v>37</v>
      </c>
      <c r="SB89" s="11" t="s">
        <v>37</v>
      </c>
      <c r="SC89" s="13" t="s">
        <v>37</v>
      </c>
      <c r="SD89" s="11" t="s">
        <v>37</v>
      </c>
      <c r="SE89" s="11" t="s">
        <v>37</v>
      </c>
      <c r="SF89" s="13" t="s">
        <v>37</v>
      </c>
      <c r="SI89" s="12" t="s">
        <v>37</v>
      </c>
      <c r="SJ89" s="12" t="s">
        <v>37</v>
      </c>
      <c r="SK89" s="13" t="s">
        <v>37</v>
      </c>
      <c r="SM89" s="12" t="s">
        <v>37</v>
      </c>
      <c r="SN89" s="12" t="s">
        <v>37</v>
      </c>
      <c r="SO89" s="13" t="s">
        <v>37</v>
      </c>
      <c r="SU89" s="12" t="s">
        <v>37</v>
      </c>
      <c r="SV89" s="12" t="s">
        <v>37</v>
      </c>
      <c r="SW89" s="11" t="s">
        <v>37</v>
      </c>
      <c r="SX89" s="12" t="s">
        <v>37</v>
      </c>
      <c r="SY89" s="12" t="s">
        <v>37</v>
      </c>
      <c r="SZ89" s="11" t="s">
        <v>37</v>
      </c>
      <c r="TE89" s="12" t="s">
        <v>37</v>
      </c>
      <c r="TF89" s="12" t="s">
        <v>37</v>
      </c>
      <c r="TG89" s="11" t="s">
        <v>37</v>
      </c>
      <c r="TH89" s="12" t="s">
        <v>37</v>
      </c>
      <c r="TI89" s="12" t="s">
        <v>37</v>
      </c>
      <c r="TJ89" s="11" t="s">
        <v>37</v>
      </c>
      <c r="TO89" s="12" t="s">
        <v>37</v>
      </c>
      <c r="TP89" s="12" t="s">
        <v>37</v>
      </c>
      <c r="TQ89" s="11" t="s">
        <v>37</v>
      </c>
      <c r="TR89" s="12" t="s">
        <v>37</v>
      </c>
      <c r="TS89" s="12" t="s">
        <v>37</v>
      </c>
      <c r="TT89" s="11" t="s">
        <v>37</v>
      </c>
      <c r="TY89" s="12" t="s">
        <v>37</v>
      </c>
      <c r="TZ89" s="12" t="s">
        <v>37</v>
      </c>
      <c r="UA89" s="12" t="s">
        <v>37</v>
      </c>
      <c r="UB89" s="12" t="s">
        <v>37</v>
      </c>
      <c r="UC89" s="12" t="s">
        <v>37</v>
      </c>
      <c r="UD89" s="12" t="s">
        <v>37</v>
      </c>
      <c r="UE89" s="12"/>
      <c r="UF89" s="12"/>
      <c r="UI89" s="12" t="s">
        <v>37</v>
      </c>
      <c r="UJ89" s="12" t="s">
        <v>37</v>
      </c>
      <c r="UK89" s="13" t="s">
        <v>37</v>
      </c>
      <c r="UL89" s="12" t="s">
        <v>37</v>
      </c>
      <c r="UM89" s="12" t="s">
        <v>37</v>
      </c>
      <c r="UN89" s="13" t="s">
        <v>37</v>
      </c>
      <c r="UR89" s="12" t="s">
        <v>37</v>
      </c>
      <c r="US89" s="12" t="s">
        <v>37</v>
      </c>
      <c r="UT89" s="13" t="s">
        <v>37</v>
      </c>
      <c r="UU89" s="12" t="s">
        <v>37</v>
      </c>
      <c r="UV89" s="12" t="s">
        <v>37</v>
      </c>
      <c r="UW89" s="13" t="s">
        <v>37</v>
      </c>
      <c r="VB89" s="12" t="s">
        <v>37</v>
      </c>
      <c r="VC89" s="12" t="s">
        <v>37</v>
      </c>
      <c r="VD89" s="13" t="s">
        <v>37</v>
      </c>
      <c r="VE89" s="12" t="s">
        <v>37</v>
      </c>
      <c r="VF89" s="12" t="s">
        <v>37</v>
      </c>
      <c r="VG89" s="13" t="s">
        <v>37</v>
      </c>
      <c r="VI89" s="12" t="s">
        <v>37</v>
      </c>
      <c r="VJ89" s="12" t="s">
        <v>37</v>
      </c>
      <c r="VK89" s="13" t="s">
        <v>37</v>
      </c>
      <c r="VL89" s="12" t="s">
        <v>37</v>
      </c>
      <c r="VM89" s="12" t="s">
        <v>37</v>
      </c>
      <c r="VN89" s="13" t="s">
        <v>37</v>
      </c>
      <c r="VQ89" s="13" t="s">
        <v>37</v>
      </c>
      <c r="VR89" s="13" t="s">
        <v>37</v>
      </c>
      <c r="VS89" s="13" t="s">
        <v>37</v>
      </c>
      <c r="VT89" s="13" t="s">
        <v>37</v>
      </c>
      <c r="VU89" s="13" t="s">
        <v>37</v>
      </c>
      <c r="VV89" s="13" t="s">
        <v>37</v>
      </c>
      <c r="WA89" s="13" t="s">
        <v>37</v>
      </c>
      <c r="WB89" s="13" t="s">
        <v>37</v>
      </c>
      <c r="WC89" s="13" t="s">
        <v>37</v>
      </c>
      <c r="WD89" s="13" t="s">
        <v>37</v>
      </c>
      <c r="WE89" s="13" t="s">
        <v>37</v>
      </c>
      <c r="WF89" s="13" t="s">
        <v>37</v>
      </c>
    </row>
    <row r="90" spans="1:604" ht="18" customHeight="1" x14ac:dyDescent="0.3">
      <c r="A90" s="51">
        <v>21</v>
      </c>
      <c r="B90" s="15" t="s">
        <v>135</v>
      </c>
      <c r="C90" s="12" t="s">
        <v>26</v>
      </c>
      <c r="D90" s="12" t="s">
        <v>973</v>
      </c>
      <c r="E90" s="40" t="s">
        <v>37</v>
      </c>
      <c r="F90" s="14">
        <v>0</v>
      </c>
      <c r="G90" s="14">
        <v>0</v>
      </c>
      <c r="H90" s="12" t="s">
        <v>136</v>
      </c>
      <c r="I90" s="29">
        <v>50.131</v>
      </c>
      <c r="J90" s="29">
        <v>11.881</v>
      </c>
      <c r="K90" s="15" t="s">
        <v>655</v>
      </c>
      <c r="L90" s="15" t="s">
        <v>656</v>
      </c>
      <c r="M90" s="13" t="s">
        <v>37</v>
      </c>
      <c r="N90" s="53">
        <v>6.9</v>
      </c>
      <c r="O90" s="53">
        <v>957</v>
      </c>
      <c r="P90" s="53" t="s">
        <v>16</v>
      </c>
      <c r="Q90" s="75">
        <v>0.16700000000000001</v>
      </c>
      <c r="R90" s="11" t="s">
        <v>999</v>
      </c>
      <c r="S90" s="12" t="s">
        <v>85</v>
      </c>
      <c r="T90" s="12" t="s">
        <v>138</v>
      </c>
      <c r="U90" s="12" t="s">
        <v>158</v>
      </c>
      <c r="V90" s="12" t="s">
        <v>275</v>
      </c>
      <c r="W90" s="23" t="s">
        <v>37</v>
      </c>
      <c r="X90" s="12" t="s">
        <v>37</v>
      </c>
      <c r="Y90" s="12" t="s">
        <v>69</v>
      </c>
      <c r="Z90" s="12" t="s">
        <v>37</v>
      </c>
      <c r="AA90" s="32" t="s">
        <v>372</v>
      </c>
      <c r="AB90" s="12">
        <v>5.2</v>
      </c>
      <c r="AE90" s="12" t="s">
        <v>37</v>
      </c>
      <c r="AH90" s="12" t="s">
        <v>37</v>
      </c>
      <c r="AK90" s="12" t="s">
        <v>37</v>
      </c>
      <c r="AL90" s="32" t="s">
        <v>599</v>
      </c>
      <c r="AM90" s="54" t="s">
        <v>317</v>
      </c>
      <c r="AN90" s="32" t="s">
        <v>882</v>
      </c>
      <c r="AO90" s="54" t="s">
        <v>37</v>
      </c>
      <c r="AP90" s="12" t="s">
        <v>139</v>
      </c>
      <c r="AQ90" s="12" t="s">
        <v>975</v>
      </c>
      <c r="AT90" s="12" t="s">
        <v>326</v>
      </c>
      <c r="AU90" s="12" t="s">
        <v>326</v>
      </c>
      <c r="AV90" s="13" t="s">
        <v>326</v>
      </c>
      <c r="AX90" s="12" t="s">
        <v>326</v>
      </c>
      <c r="AY90" s="12" t="s">
        <v>326</v>
      </c>
      <c r="AZ90" s="13" t="s">
        <v>326</v>
      </c>
      <c r="BE90" s="12" t="s">
        <v>326</v>
      </c>
      <c r="BF90" s="12" t="s">
        <v>326</v>
      </c>
      <c r="BG90" s="12" t="s">
        <v>326</v>
      </c>
      <c r="BI90" s="12" t="s">
        <v>326</v>
      </c>
      <c r="BJ90" s="12" t="s">
        <v>326</v>
      </c>
      <c r="BK90" s="12" t="s">
        <v>326</v>
      </c>
      <c r="BP90" s="12" t="s">
        <v>37</v>
      </c>
      <c r="BQ90" s="12" t="s">
        <v>37</v>
      </c>
      <c r="BR90" s="13" t="s">
        <v>37</v>
      </c>
      <c r="BT90" s="12" t="s">
        <v>37</v>
      </c>
      <c r="BU90" s="12" t="s">
        <v>37</v>
      </c>
      <c r="BV90" s="12" t="s">
        <v>37</v>
      </c>
      <c r="CA90" s="12" t="s">
        <v>37</v>
      </c>
      <c r="CB90" s="12" t="s">
        <v>37</v>
      </c>
      <c r="CC90" s="13" t="s">
        <v>37</v>
      </c>
      <c r="CE90" s="12" t="s">
        <v>37</v>
      </c>
      <c r="CF90" s="12" t="s">
        <v>37</v>
      </c>
      <c r="CG90" s="13" t="s">
        <v>37</v>
      </c>
      <c r="CI90" s="52"/>
      <c r="CJ90" s="12"/>
      <c r="CK90" s="73"/>
      <c r="CL90" s="73"/>
      <c r="CN90" s="12" t="s">
        <v>37</v>
      </c>
      <c r="CO90" s="12" t="s">
        <v>37</v>
      </c>
      <c r="CP90" s="13" t="s">
        <v>37</v>
      </c>
      <c r="CR90" s="12" t="s">
        <v>37</v>
      </c>
      <c r="CS90" s="12" t="s">
        <v>37</v>
      </c>
      <c r="CT90" s="13" t="s">
        <v>37</v>
      </c>
      <c r="CV90" s="52"/>
      <c r="CW90" s="52"/>
      <c r="CX90" s="73"/>
      <c r="CY90" s="73"/>
      <c r="DA90" s="12" t="s">
        <v>37</v>
      </c>
      <c r="DB90" s="12" t="s">
        <v>37</v>
      </c>
      <c r="DC90" s="13" t="s">
        <v>37</v>
      </c>
      <c r="DE90" s="12" t="s">
        <v>37</v>
      </c>
      <c r="DF90" s="12" t="s">
        <v>37</v>
      </c>
      <c r="DG90" s="13" t="s">
        <v>37</v>
      </c>
      <c r="DI90" s="52"/>
      <c r="DJ90" s="52"/>
      <c r="DK90" s="73"/>
      <c r="DL90" s="73"/>
      <c r="DM90" s="15"/>
      <c r="DN90" s="52"/>
      <c r="DO90" s="15"/>
      <c r="DP90" s="18"/>
      <c r="DQ90" s="52"/>
      <c r="DR90" s="52"/>
      <c r="DS90" s="15"/>
      <c r="DT90" s="18"/>
      <c r="DU90" s="52"/>
      <c r="DV90" s="52"/>
      <c r="DW90" s="52"/>
      <c r="DZ90" s="15" t="s">
        <v>47</v>
      </c>
      <c r="EA90" s="52">
        <f>0.09/'[3]classess-1'!$I$18</f>
        <v>0.12316304575332541</v>
      </c>
      <c r="EB90" s="52">
        <f>SQRT((1/[5]Classess!$I$18)^2*(1.12)^2+(-EA90/([5]Classess!$I$18)^2)^2*([5]Classess!$J$18)^2)</f>
        <v>1.532860435877279</v>
      </c>
      <c r="EC90" s="73">
        <v>3</v>
      </c>
      <c r="ED90" s="52">
        <f t="shared" ref="ED90" si="307">EB90/ABS(EA90)</f>
        <v>12.445782145947716</v>
      </c>
      <c r="EE90" s="52">
        <f>0.17/'[3]classess-1'!$I$19</f>
        <v>0.37414709355805537</v>
      </c>
      <c r="EF90" s="52">
        <f>SQRT((1/[5]Classess!$I$19)^2*(0.5)^2+(-EE90/([5]Classess!$I$19)^2)^2*([5]Classess!$J$19)^2)</f>
        <v>1.1112977251351353</v>
      </c>
      <c r="EG90" s="18">
        <v>3</v>
      </c>
      <c r="EH90" s="52">
        <f t="shared" ref="EH90" si="308">EF90/ABS(EE90)</f>
        <v>2.9702161109069212</v>
      </c>
      <c r="EI90" s="19">
        <f>EE90-EA90</f>
        <v>0.25098404780472994</v>
      </c>
      <c r="EJ90" s="12">
        <f t="shared" ref="EJ90:EJ99" si="309">SQRT(((EC90-1)*EB90^2+(EG90-1)*EF90^2)/(EC90+EG90-2))</f>
        <v>1.3387762602034008</v>
      </c>
      <c r="EK90" s="19">
        <f t="shared" ref="EK90:EK99" si="310">(((EC90+EG90)/(EC90*EG90))*(((EC90-1)*EB90^2)+(EG90-1)*EF90^2)/(EC90+EG90-2))</f>
        <v>1.1948812499228025</v>
      </c>
      <c r="EL90" s="19">
        <f t="shared" ref="EL90:EL99" si="311">(EB90^2/EC90)+(EF90^2/EG90)</f>
        <v>1.1948812499228028</v>
      </c>
      <c r="EM90" s="12" t="s">
        <v>39</v>
      </c>
      <c r="EN90" s="12">
        <v>-26.8</v>
      </c>
      <c r="EO90" s="50">
        <f>ABS(EN90)*EQ$474</f>
        <v>10.920903486534662</v>
      </c>
      <c r="EP90" s="13">
        <v>3</v>
      </c>
      <c r="ER90" s="12">
        <v>-62.1</v>
      </c>
      <c r="ES90" s="50">
        <f>ABS(ER90)*EU$474</f>
        <v>14.085152722920959</v>
      </c>
      <c r="ET90" s="13">
        <v>3</v>
      </c>
      <c r="EV90" s="19">
        <f t="shared" ref="EV90:EV111" si="312">ER90-EN90</f>
        <v>-35.299999999999997</v>
      </c>
      <c r="EW90" s="12">
        <f t="shared" ref="EW90:EW111" si="313">SQRT(((EP90-1)*EO90^2+(ET90-1)*ES90^2)/(EP90+ET90-2))</f>
        <v>12.60273105700135</v>
      </c>
      <c r="EX90" s="19">
        <f t="shared" ref="EX90:EX111" si="314">(((EP90+ET90)/(EP90*ET90))*(((EP90-1)*EO90^2)+(ET90-1)*ES90^2)/(EP90+ET90-2))</f>
        <v>105.88588673007089</v>
      </c>
      <c r="EY90" s="19">
        <f t="shared" ref="EY90:EY111" si="315">(EO90^2/EP90)+(ES90^2/ET90)</f>
        <v>105.88588673007089</v>
      </c>
      <c r="FB90" s="12" t="s">
        <v>37</v>
      </c>
      <c r="FC90" s="12" t="s">
        <v>37</v>
      </c>
      <c r="FD90" s="11" t="s">
        <v>37</v>
      </c>
      <c r="FE90" s="12" t="s">
        <v>37</v>
      </c>
      <c r="FF90" s="20" t="s">
        <v>37</v>
      </c>
      <c r="FG90" s="11" t="s">
        <v>37</v>
      </c>
      <c r="FI90" s="12" t="s">
        <v>37</v>
      </c>
      <c r="FJ90" s="12" t="s">
        <v>37</v>
      </c>
      <c r="FK90" s="11" t="s">
        <v>37</v>
      </c>
      <c r="FL90" s="13" t="s">
        <v>37</v>
      </c>
      <c r="FM90" s="11" t="s">
        <v>37</v>
      </c>
      <c r="FN90" s="11" t="s">
        <v>37</v>
      </c>
      <c r="FP90" s="12" t="s">
        <v>37</v>
      </c>
      <c r="FQ90" s="12" t="s">
        <v>37</v>
      </c>
      <c r="FR90" s="11" t="s">
        <v>37</v>
      </c>
      <c r="FS90" s="13" t="s">
        <v>37</v>
      </c>
      <c r="FT90" s="11" t="s">
        <v>37</v>
      </c>
      <c r="FU90" s="11" t="s">
        <v>37</v>
      </c>
      <c r="FW90" s="12" t="s">
        <v>37</v>
      </c>
      <c r="FX90" s="12" t="s">
        <v>37</v>
      </c>
      <c r="FY90" s="11" t="s">
        <v>37</v>
      </c>
      <c r="FZ90" s="13" t="s">
        <v>37</v>
      </c>
      <c r="GA90" s="11" t="s">
        <v>37</v>
      </c>
      <c r="GB90" s="11" t="s">
        <v>37</v>
      </c>
      <c r="GC90" s="12" t="s">
        <v>90</v>
      </c>
      <c r="GD90" s="12" t="s">
        <v>372</v>
      </c>
      <c r="GE90" s="12">
        <v>70</v>
      </c>
      <c r="GF90" s="50">
        <f>ABS(GE90)*GH$474</f>
        <v>10.334437243055621</v>
      </c>
      <c r="GG90" s="13">
        <v>3</v>
      </c>
      <c r="GI90" s="12">
        <v>50</v>
      </c>
      <c r="GJ90" s="50">
        <f>ABS(GI90)*GL$474</f>
        <v>9.5631721730642791</v>
      </c>
      <c r="GK90" s="13">
        <v>3</v>
      </c>
      <c r="GM90" s="19">
        <f>LN(GI90/GE90)</f>
        <v>-0.33647223662121289</v>
      </c>
      <c r="GN90" s="19">
        <f>GJ90^2/(GK90*GI90^2)+GF90^2/(GG90*GE90^2)</f>
        <v>1.9459248073029262E-2</v>
      </c>
      <c r="II90" s="12" t="s">
        <v>100</v>
      </c>
      <c r="IJ90" s="12" t="s">
        <v>372</v>
      </c>
      <c r="IK90" s="12">
        <f>0.5%*21</f>
        <v>0.105</v>
      </c>
      <c r="IL90" s="50">
        <f>ABS(IK90)*IN$474</f>
        <v>6.272368421052632E-2</v>
      </c>
      <c r="IM90" s="13">
        <v>3</v>
      </c>
      <c r="IO90" s="12">
        <f>0.8*21</f>
        <v>16.8</v>
      </c>
      <c r="IP90" s="50">
        <f>ABS(IO90)*IR$474</f>
        <v>9.0424242424242429</v>
      </c>
      <c r="IQ90" s="13">
        <v>3</v>
      </c>
      <c r="IS90" s="19">
        <f>LN(IO90/IK90)</f>
        <v>5.0751738152338266</v>
      </c>
      <c r="IT90" s="19">
        <f>IP90^2/(IQ90*IO90^2)+IL90^2/(IM90*IK90^2)</f>
        <v>0.21551694366507521</v>
      </c>
      <c r="IV90" s="32" t="s">
        <v>372</v>
      </c>
      <c r="IW90" s="12">
        <v>5.2</v>
      </c>
      <c r="IX90" s="50">
        <f t="shared" ref="IX90:IX97" si="316">ABS(IW90)*IZ$474</f>
        <v>0.19038626166572031</v>
      </c>
      <c r="IY90" s="13">
        <v>3</v>
      </c>
      <c r="JH90" s="12" t="s">
        <v>37</v>
      </c>
      <c r="JI90" s="12" t="s">
        <v>37</v>
      </c>
      <c r="JJ90" s="13" t="s">
        <v>37</v>
      </c>
      <c r="JL90" s="12" t="s">
        <v>37</v>
      </c>
      <c r="JM90" s="12" t="s">
        <v>37</v>
      </c>
      <c r="JN90" s="12" t="s">
        <v>37</v>
      </c>
      <c r="JS90" s="12" t="s">
        <v>37</v>
      </c>
      <c r="JT90" s="12" t="s">
        <v>37</v>
      </c>
      <c r="JU90" s="13" t="s">
        <v>37</v>
      </c>
      <c r="JW90" s="12" t="s">
        <v>37</v>
      </c>
      <c r="JX90" s="12" t="s">
        <v>37</v>
      </c>
      <c r="JY90" s="12" t="s">
        <v>37</v>
      </c>
      <c r="KE90" s="11" t="s">
        <v>37</v>
      </c>
      <c r="KF90" s="11" t="s">
        <v>37</v>
      </c>
      <c r="KG90" s="13" t="s">
        <v>37</v>
      </c>
      <c r="KH90" s="11" t="s">
        <v>37</v>
      </c>
      <c r="KI90" s="11" t="s">
        <v>37</v>
      </c>
      <c r="KJ90" s="11" t="s">
        <v>37</v>
      </c>
      <c r="KM90" s="12" t="s">
        <v>37</v>
      </c>
      <c r="KN90" s="12" t="s">
        <v>37</v>
      </c>
      <c r="KO90" s="11" t="s">
        <v>37</v>
      </c>
      <c r="KQ90" s="12" t="s">
        <v>37</v>
      </c>
      <c r="KR90" s="12" t="s">
        <v>37</v>
      </c>
      <c r="KS90" s="13" t="s">
        <v>37</v>
      </c>
      <c r="KX90" s="12" t="s">
        <v>37</v>
      </c>
      <c r="KY90" s="12" t="s">
        <v>37</v>
      </c>
      <c r="KZ90" s="13" t="s">
        <v>37</v>
      </c>
      <c r="LB90" s="12" t="s">
        <v>37</v>
      </c>
      <c r="LC90" s="12" t="s">
        <v>37</v>
      </c>
      <c r="LD90" s="13" t="s">
        <v>37</v>
      </c>
      <c r="LI90" s="12" t="s">
        <v>37</v>
      </c>
      <c r="LJ90" s="12" t="s">
        <v>37</v>
      </c>
      <c r="LK90" s="12" t="s">
        <v>37</v>
      </c>
      <c r="LM90" s="12" t="s">
        <v>37</v>
      </c>
      <c r="LN90" s="12" t="s">
        <v>37</v>
      </c>
      <c r="LO90" s="12" t="s">
        <v>37</v>
      </c>
      <c r="LU90" s="12" t="s">
        <v>37</v>
      </c>
      <c r="LV90" s="12" t="s">
        <v>37</v>
      </c>
      <c r="LW90" s="13" t="s">
        <v>37</v>
      </c>
      <c r="LY90" s="12" t="s">
        <v>37</v>
      </c>
      <c r="LZ90" s="12" t="s">
        <v>37</v>
      </c>
      <c r="MA90" s="12" t="s">
        <v>37</v>
      </c>
      <c r="MF90" s="12" t="s">
        <v>37</v>
      </c>
      <c r="MG90" s="12" t="s">
        <v>37</v>
      </c>
      <c r="MH90" s="12" t="s">
        <v>37</v>
      </c>
      <c r="MJ90" s="12" t="s">
        <v>37</v>
      </c>
      <c r="MK90" s="12" t="s">
        <v>37</v>
      </c>
      <c r="ML90" s="12" t="s">
        <v>37</v>
      </c>
      <c r="MQ90" s="12" t="s">
        <v>37</v>
      </c>
      <c r="MR90" s="12" t="s">
        <v>37</v>
      </c>
      <c r="MS90" s="12" t="s">
        <v>37</v>
      </c>
      <c r="MU90" s="12" t="s">
        <v>37</v>
      </c>
      <c r="MV90" s="12" t="s">
        <v>37</v>
      </c>
      <c r="MW90" s="12" t="s">
        <v>37</v>
      </c>
      <c r="NC90" s="12" t="s">
        <v>37</v>
      </c>
      <c r="ND90" s="12" t="s">
        <v>37</v>
      </c>
      <c r="NE90" s="13" t="s">
        <v>37</v>
      </c>
      <c r="NG90" s="12" t="s">
        <v>37</v>
      </c>
      <c r="NH90" s="12" t="s">
        <v>37</v>
      </c>
      <c r="NI90" s="13" t="s">
        <v>37</v>
      </c>
      <c r="NO90" s="12" t="s">
        <v>37</v>
      </c>
      <c r="NP90" s="12" t="s">
        <v>37</v>
      </c>
      <c r="NQ90" s="13" t="s">
        <v>37</v>
      </c>
      <c r="NS90" s="12" t="s">
        <v>37</v>
      </c>
      <c r="NT90" s="12" t="s">
        <v>37</v>
      </c>
      <c r="NU90" s="13" t="s">
        <v>37</v>
      </c>
      <c r="OA90" s="11" t="s">
        <v>37</v>
      </c>
      <c r="OB90" s="11" t="s">
        <v>37</v>
      </c>
      <c r="OC90" s="13" t="s">
        <v>37</v>
      </c>
      <c r="OE90" s="11" t="s">
        <v>37</v>
      </c>
      <c r="OF90" s="11" t="s">
        <v>37</v>
      </c>
      <c r="OG90" s="13" t="s">
        <v>37</v>
      </c>
      <c r="OM90" s="11" t="s">
        <v>37</v>
      </c>
      <c r="ON90" s="11" t="s">
        <v>37</v>
      </c>
      <c r="OO90" s="11" t="s">
        <v>37</v>
      </c>
      <c r="OP90" s="11" t="s">
        <v>37</v>
      </c>
      <c r="OQ90" s="11" t="s">
        <v>37</v>
      </c>
      <c r="OR90" s="11" t="s">
        <v>37</v>
      </c>
      <c r="OW90" s="12" t="s">
        <v>37</v>
      </c>
      <c r="OX90" s="12" t="s">
        <v>37</v>
      </c>
      <c r="OY90" s="13" t="s">
        <v>37</v>
      </c>
      <c r="OZ90" s="12" t="s">
        <v>37</v>
      </c>
      <c r="PA90" s="12" t="s">
        <v>37</v>
      </c>
      <c r="PB90" s="13" t="s">
        <v>37</v>
      </c>
      <c r="PG90" s="11" t="s">
        <v>37</v>
      </c>
      <c r="PH90" s="11" t="s">
        <v>37</v>
      </c>
      <c r="PI90" s="13" t="s">
        <v>37</v>
      </c>
      <c r="PJ90" s="11" t="s">
        <v>37</v>
      </c>
      <c r="PK90" s="11" t="s">
        <v>37</v>
      </c>
      <c r="PL90" s="13" t="s">
        <v>37</v>
      </c>
      <c r="PQ90" s="11" t="s">
        <v>37</v>
      </c>
      <c r="PR90" s="11" t="s">
        <v>37</v>
      </c>
      <c r="PS90" s="13" t="s">
        <v>37</v>
      </c>
      <c r="PT90" s="11" t="s">
        <v>37</v>
      </c>
      <c r="PU90" s="11" t="s">
        <v>37</v>
      </c>
      <c r="PV90" s="13" t="s">
        <v>37</v>
      </c>
      <c r="PZ90" s="12" t="s">
        <v>37</v>
      </c>
      <c r="QA90" s="12" t="s">
        <v>37</v>
      </c>
      <c r="QB90" s="11" t="s">
        <v>37</v>
      </c>
      <c r="QD90" s="12" t="s">
        <v>37</v>
      </c>
      <c r="QE90" s="12" t="s">
        <v>37</v>
      </c>
      <c r="QF90" s="12" t="s">
        <v>37</v>
      </c>
      <c r="QK90" s="12" t="s">
        <v>37</v>
      </c>
      <c r="QL90" s="12" t="s">
        <v>37</v>
      </c>
      <c r="QM90" s="12" t="s">
        <v>37</v>
      </c>
      <c r="QN90" s="12" t="s">
        <v>37</v>
      </c>
      <c r="QO90" s="12" t="s">
        <v>37</v>
      </c>
      <c r="QP90" s="12" t="s">
        <v>37</v>
      </c>
      <c r="QQ90" s="12"/>
      <c r="QR90" s="12"/>
      <c r="QU90" s="11" t="s">
        <v>37</v>
      </c>
      <c r="QV90" s="11" t="s">
        <v>37</v>
      </c>
      <c r="QW90" s="13" t="s">
        <v>37</v>
      </c>
      <c r="QX90" s="11" t="s">
        <v>37</v>
      </c>
      <c r="QY90" s="11" t="s">
        <v>37</v>
      </c>
      <c r="QZ90" s="13" t="s">
        <v>37</v>
      </c>
      <c r="RC90" s="12" t="s">
        <v>37</v>
      </c>
      <c r="RD90" s="12" t="s">
        <v>37</v>
      </c>
      <c r="RE90" s="13" t="s">
        <v>37</v>
      </c>
      <c r="RF90" s="12" t="s">
        <v>37</v>
      </c>
      <c r="RG90" s="12" t="s">
        <v>37</v>
      </c>
      <c r="RH90" s="13" t="s">
        <v>37</v>
      </c>
      <c r="RK90" s="11" t="s">
        <v>37</v>
      </c>
      <c r="RL90" s="11" t="s">
        <v>37</v>
      </c>
      <c r="RM90" s="11" t="s">
        <v>37</v>
      </c>
      <c r="RN90" s="11" t="s">
        <v>37</v>
      </c>
      <c r="RO90" s="11" t="s">
        <v>37</v>
      </c>
      <c r="RP90" s="11" t="s">
        <v>37</v>
      </c>
      <c r="RS90" s="11" t="s">
        <v>37</v>
      </c>
      <c r="RT90" s="11" t="s">
        <v>37</v>
      </c>
      <c r="RU90" s="11" t="s">
        <v>37</v>
      </c>
      <c r="RV90" s="11" t="s">
        <v>37</v>
      </c>
      <c r="RW90" s="11" t="s">
        <v>37</v>
      </c>
      <c r="RX90" s="11" t="s">
        <v>37</v>
      </c>
      <c r="SA90" s="11" t="s">
        <v>37</v>
      </c>
      <c r="SB90" s="11" t="s">
        <v>37</v>
      </c>
      <c r="SC90" s="13" t="s">
        <v>37</v>
      </c>
      <c r="SD90" s="11" t="s">
        <v>37</v>
      </c>
      <c r="SE90" s="11" t="s">
        <v>37</v>
      </c>
      <c r="SF90" s="13" t="s">
        <v>37</v>
      </c>
      <c r="SI90" s="12" t="s">
        <v>37</v>
      </c>
      <c r="SJ90" s="12" t="s">
        <v>37</v>
      </c>
      <c r="SK90" s="13" t="s">
        <v>37</v>
      </c>
      <c r="SM90" s="12" t="s">
        <v>37</v>
      </c>
      <c r="SN90" s="12" t="s">
        <v>37</v>
      </c>
      <c r="SO90" s="13" t="s">
        <v>37</v>
      </c>
      <c r="SU90" s="12" t="s">
        <v>37</v>
      </c>
      <c r="SV90" s="12" t="s">
        <v>37</v>
      </c>
      <c r="SW90" s="11" t="s">
        <v>37</v>
      </c>
      <c r="SX90" s="12" t="s">
        <v>37</v>
      </c>
      <c r="SY90" s="12" t="s">
        <v>37</v>
      </c>
      <c r="SZ90" s="11" t="s">
        <v>37</v>
      </c>
      <c r="TE90" s="12" t="s">
        <v>37</v>
      </c>
      <c r="TF90" s="12" t="s">
        <v>37</v>
      </c>
      <c r="TG90" s="11" t="s">
        <v>37</v>
      </c>
      <c r="TH90" s="12" t="s">
        <v>37</v>
      </c>
      <c r="TI90" s="12" t="s">
        <v>37</v>
      </c>
      <c r="TJ90" s="11" t="s">
        <v>37</v>
      </c>
      <c r="TO90" s="12" t="s">
        <v>37</v>
      </c>
      <c r="TP90" s="12" t="s">
        <v>37</v>
      </c>
      <c r="TQ90" s="11" t="s">
        <v>37</v>
      </c>
      <c r="TR90" s="12" t="s">
        <v>37</v>
      </c>
      <c r="TS90" s="12" t="s">
        <v>37</v>
      </c>
      <c r="TT90" s="11" t="s">
        <v>37</v>
      </c>
      <c r="TY90" s="12" t="s">
        <v>37</v>
      </c>
      <c r="TZ90" s="12" t="s">
        <v>37</v>
      </c>
      <c r="UA90" s="12" t="s">
        <v>37</v>
      </c>
      <c r="UB90" s="12" t="s">
        <v>37</v>
      </c>
      <c r="UC90" s="12" t="s">
        <v>37</v>
      </c>
      <c r="UD90" s="12" t="s">
        <v>37</v>
      </c>
      <c r="UE90" s="12"/>
      <c r="UF90" s="12"/>
      <c r="UG90" s="12" t="s">
        <v>513</v>
      </c>
      <c r="UH90" s="12" t="s">
        <v>372</v>
      </c>
      <c r="UI90" s="12">
        <v>56.777950834761022</v>
      </c>
      <c r="UJ90" s="12">
        <v>2.5793078827842709E-3</v>
      </c>
      <c r="UK90" s="13">
        <v>3</v>
      </c>
      <c r="UL90" s="12">
        <v>158.97127251106224</v>
      </c>
      <c r="UM90" s="12">
        <v>9.3946175234738399E-3</v>
      </c>
      <c r="UN90" s="13">
        <v>3</v>
      </c>
      <c r="UO90" s="19">
        <f>LN(UL90/UI90)</f>
        <v>1.0295754490321054</v>
      </c>
      <c r="UP90" s="19">
        <f>UM90^2/(UN90*UL90^2)+UJ90^2/(UK90*UI90^2)</f>
        <v>1.852025693363272E-9</v>
      </c>
      <c r="UQ90" s="12" t="s">
        <v>507</v>
      </c>
      <c r="UR90" s="12">
        <v>60.819946491104112</v>
      </c>
      <c r="US90" s="12">
        <v>4.1378396242759364E-3</v>
      </c>
      <c r="UT90" s="13">
        <v>3</v>
      </c>
      <c r="UU90" s="12">
        <v>296.98990312433745</v>
      </c>
      <c r="UV90" s="12">
        <v>1.1180919866959906E-2</v>
      </c>
      <c r="UW90" s="13">
        <v>3</v>
      </c>
      <c r="UX90" s="19">
        <f>LN(UU90/UR90)</f>
        <v>1.585780339552751</v>
      </c>
      <c r="UY90" s="19">
        <f>UV90^2/(UW90*UU90^2)+US90^2/(UT90*UR90^2)</f>
        <v>2.0153306423847008E-9</v>
      </c>
      <c r="UZ90" s="12" t="s">
        <v>513</v>
      </c>
      <c r="VA90" s="12" t="s">
        <v>372</v>
      </c>
      <c r="VB90" s="12">
        <v>7407.5472380061992</v>
      </c>
      <c r="VC90" s="12">
        <v>0.44480880750961238</v>
      </c>
      <c r="VD90" s="13">
        <v>3</v>
      </c>
      <c r="VE90" s="12">
        <v>6404.8343263754368</v>
      </c>
      <c r="VF90" s="12">
        <v>0.21729275329304346</v>
      </c>
      <c r="VG90" s="13">
        <v>3</v>
      </c>
      <c r="VH90" s="12" t="s">
        <v>507</v>
      </c>
      <c r="VI90" s="12">
        <v>8760.6380307125728</v>
      </c>
      <c r="VJ90" s="12">
        <v>0.52456740537903146</v>
      </c>
      <c r="VK90" s="13">
        <v>3</v>
      </c>
      <c r="VL90" s="12">
        <v>11431.656808277716</v>
      </c>
      <c r="VM90" s="12">
        <v>0.44435803265236906</v>
      </c>
      <c r="VN90" s="13">
        <v>3</v>
      </c>
      <c r="VQ90" s="13" t="s">
        <v>37</v>
      </c>
      <c r="VR90" s="13" t="s">
        <v>37</v>
      </c>
      <c r="VS90" s="13" t="s">
        <v>37</v>
      </c>
      <c r="VT90" s="13" t="s">
        <v>37</v>
      </c>
      <c r="VU90" s="13" t="s">
        <v>37</v>
      </c>
      <c r="VV90" s="13" t="s">
        <v>37</v>
      </c>
      <c r="WA90" s="13" t="s">
        <v>37</v>
      </c>
      <c r="WB90" s="13" t="s">
        <v>37</v>
      </c>
      <c r="WC90" s="13" t="s">
        <v>37</v>
      </c>
      <c r="WD90" s="13" t="s">
        <v>37</v>
      </c>
      <c r="WE90" s="13" t="s">
        <v>37</v>
      </c>
      <c r="WF90" s="13" t="s">
        <v>37</v>
      </c>
    </row>
    <row r="91" spans="1:604" ht="18" customHeight="1" x14ac:dyDescent="0.4">
      <c r="A91" s="51">
        <v>22</v>
      </c>
      <c r="B91" s="15" t="s">
        <v>903</v>
      </c>
      <c r="C91" s="12" t="s">
        <v>26</v>
      </c>
      <c r="D91" s="12" t="s">
        <v>54</v>
      </c>
      <c r="E91" s="40" t="s">
        <v>37</v>
      </c>
      <c r="F91" s="14">
        <v>0</v>
      </c>
      <c r="G91" s="14">
        <v>0</v>
      </c>
      <c r="H91" s="12" t="s">
        <v>123</v>
      </c>
      <c r="I91" s="29">
        <v>61.783000000000001</v>
      </c>
      <c r="J91" s="29">
        <v>24.3</v>
      </c>
      <c r="K91" s="12" t="s">
        <v>706</v>
      </c>
      <c r="L91" s="12" t="s">
        <v>709</v>
      </c>
      <c r="M91" s="13" t="s">
        <v>37</v>
      </c>
      <c r="N91" s="53" t="s">
        <v>37</v>
      </c>
      <c r="O91" s="53" t="s">
        <v>37</v>
      </c>
      <c r="P91" s="53" t="s">
        <v>84</v>
      </c>
      <c r="Q91" s="75">
        <v>50</v>
      </c>
      <c r="R91" s="11" t="s">
        <v>1000</v>
      </c>
      <c r="S91" s="12" t="s">
        <v>85</v>
      </c>
      <c r="T91" s="12" t="s">
        <v>473</v>
      </c>
      <c r="U91" s="12" t="s">
        <v>158</v>
      </c>
      <c r="V91" s="12" t="s">
        <v>275</v>
      </c>
      <c r="W91" s="23" t="s">
        <v>514</v>
      </c>
      <c r="X91" s="12" t="s">
        <v>281</v>
      </c>
      <c r="Y91" s="12" t="s">
        <v>69</v>
      </c>
      <c r="Z91" s="12" t="s">
        <v>37</v>
      </c>
      <c r="AA91" s="32" t="s">
        <v>345</v>
      </c>
      <c r="AB91" s="12">
        <v>5</v>
      </c>
      <c r="AE91" s="12" t="s">
        <v>37</v>
      </c>
      <c r="AH91" s="12" t="s">
        <v>37</v>
      </c>
      <c r="AK91" s="12" t="s">
        <v>37</v>
      </c>
      <c r="AL91" s="32">
        <v>1992</v>
      </c>
      <c r="AM91" s="13" t="s">
        <v>344</v>
      </c>
      <c r="AO91" s="54" t="s">
        <v>37</v>
      </c>
      <c r="AP91" s="11" t="s">
        <v>167</v>
      </c>
      <c r="AQ91" s="12" t="s">
        <v>975</v>
      </c>
      <c r="AT91" s="12" t="s">
        <v>326</v>
      </c>
      <c r="AU91" s="12" t="s">
        <v>326</v>
      </c>
      <c r="AV91" s="13" t="s">
        <v>326</v>
      </c>
      <c r="AX91" s="12" t="s">
        <v>326</v>
      </c>
      <c r="AY91" s="12" t="s">
        <v>326</v>
      </c>
      <c r="AZ91" s="13" t="s">
        <v>326</v>
      </c>
      <c r="BE91" s="12" t="s">
        <v>326</v>
      </c>
      <c r="BF91" s="12" t="s">
        <v>326</v>
      </c>
      <c r="BG91" s="12" t="s">
        <v>326</v>
      </c>
      <c r="BI91" s="12" t="s">
        <v>326</v>
      </c>
      <c r="BJ91" s="12" t="s">
        <v>326</v>
      </c>
      <c r="BK91" s="12" t="s">
        <v>326</v>
      </c>
      <c r="BP91" s="12" t="s">
        <v>37</v>
      </c>
      <c r="BQ91" s="12" t="s">
        <v>37</v>
      </c>
      <c r="BR91" s="13" t="s">
        <v>37</v>
      </c>
      <c r="BT91" s="12" t="s">
        <v>37</v>
      </c>
      <c r="BU91" s="12" t="s">
        <v>37</v>
      </c>
      <c r="BV91" s="12" t="s">
        <v>37</v>
      </c>
      <c r="CA91" s="12" t="s">
        <v>37</v>
      </c>
      <c r="CB91" s="12" t="s">
        <v>37</v>
      </c>
      <c r="CC91" s="13" t="s">
        <v>37</v>
      </c>
      <c r="CE91" s="12" t="s">
        <v>37</v>
      </c>
      <c r="CF91" s="12" t="s">
        <v>37</v>
      </c>
      <c r="CG91" s="13" t="s">
        <v>37</v>
      </c>
      <c r="CI91" s="52"/>
      <c r="CJ91" s="12"/>
      <c r="CK91" s="73"/>
      <c r="CL91" s="73"/>
      <c r="CN91" s="12" t="s">
        <v>37</v>
      </c>
      <c r="CO91" s="12" t="s">
        <v>37</v>
      </c>
      <c r="CP91" s="13" t="s">
        <v>37</v>
      </c>
      <c r="CR91" s="12" t="s">
        <v>37</v>
      </c>
      <c r="CS91" s="12" t="s">
        <v>37</v>
      </c>
      <c r="CT91" s="13" t="s">
        <v>37</v>
      </c>
      <c r="CV91" s="52"/>
      <c r="CW91" s="52"/>
      <c r="CX91" s="73"/>
      <c r="CY91" s="73"/>
      <c r="DA91" s="12" t="s">
        <v>37</v>
      </c>
      <c r="DB91" s="12" t="s">
        <v>37</v>
      </c>
      <c r="DC91" s="13" t="s">
        <v>37</v>
      </c>
      <c r="DE91" s="12" t="s">
        <v>37</v>
      </c>
      <c r="DF91" s="12" t="s">
        <v>37</v>
      </c>
      <c r="DG91" s="13" t="s">
        <v>37</v>
      </c>
      <c r="DI91" s="52"/>
      <c r="DJ91" s="52"/>
      <c r="DK91" s="73"/>
      <c r="DL91" s="73"/>
      <c r="DM91" s="15"/>
      <c r="DN91" s="52" t="s">
        <v>37</v>
      </c>
      <c r="DO91" s="15" t="s">
        <v>37</v>
      </c>
      <c r="DP91" s="18" t="s">
        <v>37</v>
      </c>
      <c r="DQ91" s="52"/>
      <c r="DR91" s="52" t="s">
        <v>37</v>
      </c>
      <c r="DS91" s="15" t="s">
        <v>37</v>
      </c>
      <c r="DT91" s="18" t="s">
        <v>37</v>
      </c>
      <c r="DU91" s="52"/>
      <c r="DV91" s="52"/>
      <c r="DW91" s="52"/>
      <c r="DZ91" s="15" t="s">
        <v>47</v>
      </c>
      <c r="EA91" s="52">
        <f>0.01*44/28</f>
        <v>1.5714285714285715E-2</v>
      </c>
      <c r="EB91" s="50">
        <f t="shared" ref="EB91:EB97" si="317">ABS(EA91)*ED$474</f>
        <v>9.0356781150237736E-2</v>
      </c>
      <c r="EC91" s="73">
        <v>3</v>
      </c>
      <c r="ED91" s="52"/>
      <c r="EE91" s="52">
        <f>0.65*44/28</f>
        <v>1.0214285714285716</v>
      </c>
      <c r="EF91" s="50">
        <f t="shared" ref="EF91:EF97" si="318">ABS(EE91)*EH$474</f>
        <v>1.5251352255609132</v>
      </c>
      <c r="EG91" s="18">
        <v>3</v>
      </c>
      <c r="EH91" s="52"/>
      <c r="EI91" s="19">
        <f t="shared" ref="EI91:EI97" si="319">EE91-EA91</f>
        <v>1.0057142857142858</v>
      </c>
      <c r="EJ91" s="12">
        <f t="shared" si="309"/>
        <v>1.0803244429676138</v>
      </c>
      <c r="EK91" s="19">
        <f t="shared" si="310"/>
        <v>0.77806726804885651</v>
      </c>
      <c r="EL91" s="19">
        <f t="shared" si="311"/>
        <v>0.77806726804885651</v>
      </c>
      <c r="EM91" s="12" t="s">
        <v>39</v>
      </c>
      <c r="EN91" s="12">
        <v>-27.34</v>
      </c>
      <c r="EO91" s="12">
        <v>6.04</v>
      </c>
      <c r="EP91" s="13">
        <v>3</v>
      </c>
      <c r="EQ91" s="19">
        <f t="shared" ref="EQ91:EQ111" si="320">EO91/ABS(EN91)</f>
        <v>0.22092172640819313</v>
      </c>
      <c r="ER91" s="12">
        <v>-42.07</v>
      </c>
      <c r="ES91" s="12">
        <v>2.04</v>
      </c>
      <c r="ET91" s="13">
        <v>3</v>
      </c>
      <c r="EU91" s="19">
        <f t="shared" ref="EU91:EU111" si="321">ES91/ABS(ER91)</f>
        <v>4.849061088661754E-2</v>
      </c>
      <c r="EV91" s="19">
        <f t="shared" si="312"/>
        <v>-14.73</v>
      </c>
      <c r="EW91" s="12">
        <f t="shared" si="313"/>
        <v>4.507948535642349</v>
      </c>
      <c r="EX91" s="19">
        <f t="shared" si="314"/>
        <v>13.547733333333333</v>
      </c>
      <c r="EY91" s="19">
        <f t="shared" si="315"/>
        <v>13.547733333333333</v>
      </c>
      <c r="FB91" s="12" t="s">
        <v>37</v>
      </c>
      <c r="FC91" s="12" t="s">
        <v>37</v>
      </c>
      <c r="FD91" s="11" t="s">
        <v>37</v>
      </c>
      <c r="FE91" s="12" t="s">
        <v>37</v>
      </c>
      <c r="FF91" s="20" t="s">
        <v>37</v>
      </c>
      <c r="FG91" s="11" t="s">
        <v>37</v>
      </c>
      <c r="FI91" s="12" t="s">
        <v>37</v>
      </c>
      <c r="FJ91" s="12" t="s">
        <v>37</v>
      </c>
      <c r="FK91" s="11" t="s">
        <v>37</v>
      </c>
      <c r="FL91" s="13" t="s">
        <v>37</v>
      </c>
      <c r="FM91" s="11" t="s">
        <v>37</v>
      </c>
      <c r="FN91" s="11" t="s">
        <v>37</v>
      </c>
      <c r="FP91" s="12" t="s">
        <v>37</v>
      </c>
      <c r="FQ91" s="12" t="s">
        <v>37</v>
      </c>
      <c r="FR91" s="11" t="s">
        <v>37</v>
      </c>
      <c r="FS91" s="13" t="s">
        <v>37</v>
      </c>
      <c r="FT91" s="11" t="s">
        <v>37</v>
      </c>
      <c r="FU91" s="11" t="s">
        <v>37</v>
      </c>
      <c r="FW91" s="12" t="s">
        <v>37</v>
      </c>
      <c r="FX91" s="12" t="s">
        <v>37</v>
      </c>
      <c r="FY91" s="11" t="s">
        <v>37</v>
      </c>
      <c r="FZ91" s="13" t="s">
        <v>37</v>
      </c>
      <c r="GA91" s="11" t="s">
        <v>37</v>
      </c>
      <c r="GB91" s="11" t="s">
        <v>37</v>
      </c>
      <c r="GO91" s="12" t="s">
        <v>660</v>
      </c>
      <c r="GP91" s="12" t="s">
        <v>345</v>
      </c>
      <c r="GQ91" s="12">
        <v>11.01</v>
      </c>
      <c r="GR91" s="12">
        <v>0.27</v>
      </c>
      <c r="GS91" s="13">
        <v>3</v>
      </c>
      <c r="GT91" s="19">
        <f t="shared" ref="GT91:GT97" si="322">GR91/GQ91</f>
        <v>2.4523160762942781E-2</v>
      </c>
      <c r="GU91" s="12">
        <v>13.6</v>
      </c>
      <c r="GV91" s="12">
        <v>0.33</v>
      </c>
      <c r="GW91" s="13">
        <v>3</v>
      </c>
      <c r="GX91" s="19">
        <f t="shared" ref="GX91:GX97" si="323">GV91/GU91</f>
        <v>2.4264705882352942E-2</v>
      </c>
      <c r="GY91" s="19">
        <f t="shared" ref="GY91:GY97" si="324">LN(GU91/GQ91)</f>
        <v>0.21126584200741774</v>
      </c>
      <c r="GZ91" s="19">
        <f t="shared" ref="GZ91:GZ97" si="325">GV91^2/(GW91*GU91^2)+GR91^2/(GS91*GQ91^2)</f>
        <v>3.9672045512074332E-4</v>
      </c>
      <c r="IK91" s="12" t="s">
        <v>37</v>
      </c>
      <c r="IL91" s="12" t="s">
        <v>37</v>
      </c>
      <c r="IM91" s="12" t="s">
        <v>37</v>
      </c>
      <c r="IO91" s="12" t="s">
        <v>37</v>
      </c>
      <c r="IP91" s="12" t="s">
        <v>37</v>
      </c>
      <c r="IQ91" s="12" t="s">
        <v>37</v>
      </c>
      <c r="IV91" s="32" t="s">
        <v>345</v>
      </c>
      <c r="IW91" s="12">
        <v>5</v>
      </c>
      <c r="IX91" s="50">
        <f t="shared" si="316"/>
        <v>0.18306371314011569</v>
      </c>
      <c r="IY91" s="13">
        <v>3</v>
      </c>
      <c r="JA91" s="12">
        <v>4.5999999999999996</v>
      </c>
      <c r="JB91" s="50">
        <f t="shared" ref="JB91:JB98" si="326">ABS(JA91)*JD$474</f>
        <v>0.12884052041423269</v>
      </c>
      <c r="JC91" s="13">
        <v>3</v>
      </c>
      <c r="JE91" s="19">
        <f t="shared" ref="JE91:JE99" si="327">LN(JA91/IW91)</f>
        <v>-8.3381608939051138E-2</v>
      </c>
      <c r="JF91" s="19">
        <f t="shared" ref="JF91:JF99" si="328">JB91^2/(JC91*JA91^2)+IX91^2/(IY91*IW91^2)</f>
        <v>7.0832876411330761E-4</v>
      </c>
      <c r="JH91" s="12" t="s">
        <v>37</v>
      </c>
      <c r="JI91" s="12" t="s">
        <v>37</v>
      </c>
      <c r="JJ91" s="13" t="s">
        <v>37</v>
      </c>
      <c r="JL91" s="12" t="s">
        <v>37</v>
      </c>
      <c r="JM91" s="12" t="s">
        <v>37</v>
      </c>
      <c r="JN91" s="12" t="s">
        <v>37</v>
      </c>
      <c r="JS91" s="12" t="s">
        <v>37</v>
      </c>
      <c r="JT91" s="12" t="s">
        <v>37</v>
      </c>
      <c r="JU91" s="13" t="s">
        <v>37</v>
      </c>
      <c r="JW91" s="12" t="s">
        <v>37</v>
      </c>
      <c r="JX91" s="12" t="s">
        <v>37</v>
      </c>
      <c r="JY91" s="12" t="s">
        <v>37</v>
      </c>
      <c r="KE91" s="11" t="s">
        <v>37</v>
      </c>
      <c r="KF91" s="11" t="s">
        <v>37</v>
      </c>
      <c r="KG91" s="13" t="s">
        <v>37</v>
      </c>
      <c r="KH91" s="11" t="s">
        <v>37</v>
      </c>
      <c r="KI91" s="11" t="s">
        <v>37</v>
      </c>
      <c r="KJ91" s="11" t="s">
        <v>37</v>
      </c>
      <c r="KM91" s="12" t="s">
        <v>37</v>
      </c>
      <c r="KN91" s="12" t="s">
        <v>37</v>
      </c>
      <c r="KO91" s="11" t="s">
        <v>37</v>
      </c>
      <c r="KQ91" s="12" t="s">
        <v>37</v>
      </c>
      <c r="KR91" s="12" t="s">
        <v>37</v>
      </c>
      <c r="KS91" s="13" t="s">
        <v>37</v>
      </c>
      <c r="KX91" s="12" t="s">
        <v>37</v>
      </c>
      <c r="KY91" s="12" t="s">
        <v>37</v>
      </c>
      <c r="KZ91" s="13" t="s">
        <v>37</v>
      </c>
      <c r="LB91" s="12" t="s">
        <v>37</v>
      </c>
      <c r="LC91" s="12" t="s">
        <v>37</v>
      </c>
      <c r="LD91" s="13" t="s">
        <v>37</v>
      </c>
      <c r="LI91" s="12" t="s">
        <v>37</v>
      </c>
      <c r="LJ91" s="12" t="s">
        <v>37</v>
      </c>
      <c r="LK91" s="12" t="s">
        <v>37</v>
      </c>
      <c r="LM91" s="12" t="s">
        <v>37</v>
      </c>
      <c r="LN91" s="12" t="s">
        <v>37</v>
      </c>
      <c r="LO91" s="12" t="s">
        <v>37</v>
      </c>
      <c r="LU91" s="12" t="s">
        <v>37</v>
      </c>
      <c r="LV91" s="12" t="s">
        <v>37</v>
      </c>
      <c r="LW91" s="13" t="s">
        <v>37</v>
      </c>
      <c r="LY91" s="12" t="s">
        <v>37</v>
      </c>
      <c r="LZ91" s="12" t="s">
        <v>37</v>
      </c>
      <c r="MA91" s="12" t="s">
        <v>37</v>
      </c>
      <c r="MF91" s="12" t="s">
        <v>37</v>
      </c>
      <c r="MG91" s="12" t="s">
        <v>37</v>
      </c>
      <c r="MH91" s="12" t="s">
        <v>37</v>
      </c>
      <c r="MJ91" s="12" t="s">
        <v>37</v>
      </c>
      <c r="MK91" s="12" t="s">
        <v>37</v>
      </c>
      <c r="ML91" s="12" t="s">
        <v>37</v>
      </c>
      <c r="MQ91" s="12" t="s">
        <v>37</v>
      </c>
      <c r="MR91" s="12" t="s">
        <v>37</v>
      </c>
      <c r="MS91" s="12" t="s">
        <v>37</v>
      </c>
      <c r="MU91" s="12" t="s">
        <v>37</v>
      </c>
      <c r="MV91" s="12" t="s">
        <v>37</v>
      </c>
      <c r="MW91" s="12" t="s">
        <v>37</v>
      </c>
      <c r="NC91" s="12" t="s">
        <v>37</v>
      </c>
      <c r="ND91" s="12" t="s">
        <v>37</v>
      </c>
      <c r="NE91" s="13" t="s">
        <v>37</v>
      </c>
      <c r="NG91" s="12" t="s">
        <v>37</v>
      </c>
      <c r="NH91" s="12" t="s">
        <v>37</v>
      </c>
      <c r="NI91" s="13" t="s">
        <v>37</v>
      </c>
      <c r="NO91" s="12" t="s">
        <v>37</v>
      </c>
      <c r="NP91" s="12" t="s">
        <v>37</v>
      </c>
      <c r="NQ91" s="13" t="s">
        <v>37</v>
      </c>
      <c r="NS91" s="12" t="s">
        <v>37</v>
      </c>
      <c r="NT91" s="12" t="s">
        <v>37</v>
      </c>
      <c r="NU91" s="13" t="s">
        <v>37</v>
      </c>
      <c r="OA91" s="11" t="s">
        <v>37</v>
      </c>
      <c r="OB91" s="11" t="s">
        <v>37</v>
      </c>
      <c r="OC91" s="13" t="s">
        <v>37</v>
      </c>
      <c r="OE91" s="11" t="s">
        <v>37</v>
      </c>
      <c r="OF91" s="11" t="s">
        <v>37</v>
      </c>
      <c r="OG91" s="13" t="s">
        <v>37</v>
      </c>
      <c r="OM91" s="11" t="s">
        <v>37</v>
      </c>
      <c r="ON91" s="11" t="s">
        <v>37</v>
      </c>
      <c r="OO91" s="11" t="s">
        <v>37</v>
      </c>
      <c r="OP91" s="11" t="s">
        <v>37</v>
      </c>
      <c r="OQ91" s="11" t="s">
        <v>37</v>
      </c>
      <c r="OR91" s="11" t="s">
        <v>37</v>
      </c>
      <c r="OW91" s="12" t="s">
        <v>37</v>
      </c>
      <c r="OX91" s="12" t="s">
        <v>37</v>
      </c>
      <c r="OY91" s="13" t="s">
        <v>37</v>
      </c>
      <c r="OZ91" s="12" t="s">
        <v>37</v>
      </c>
      <c r="PA91" s="12" t="s">
        <v>37</v>
      </c>
      <c r="PB91" s="13" t="s">
        <v>37</v>
      </c>
      <c r="PG91" s="11" t="s">
        <v>37</v>
      </c>
      <c r="PH91" s="11" t="s">
        <v>37</v>
      </c>
      <c r="PI91" s="13" t="s">
        <v>37</v>
      </c>
      <c r="PJ91" s="11" t="s">
        <v>37</v>
      </c>
      <c r="PK91" s="11" t="s">
        <v>37</v>
      </c>
      <c r="PL91" s="13" t="s">
        <v>37</v>
      </c>
      <c r="PQ91" s="11" t="s">
        <v>37</v>
      </c>
      <c r="PR91" s="11" t="s">
        <v>37</v>
      </c>
      <c r="PS91" s="13" t="s">
        <v>37</v>
      </c>
      <c r="PT91" s="11" t="s">
        <v>37</v>
      </c>
      <c r="PU91" s="11" t="s">
        <v>37</v>
      </c>
      <c r="PV91" s="13" t="s">
        <v>37</v>
      </c>
      <c r="PZ91" s="12" t="s">
        <v>37</v>
      </c>
      <c r="QA91" s="12" t="s">
        <v>37</v>
      </c>
      <c r="QB91" s="11" t="s">
        <v>37</v>
      </c>
      <c r="QD91" s="12" t="s">
        <v>37</v>
      </c>
      <c r="QE91" s="12" t="s">
        <v>37</v>
      </c>
      <c r="QF91" s="12" t="s">
        <v>37</v>
      </c>
      <c r="QK91" s="12" t="s">
        <v>37</v>
      </c>
      <c r="QL91" s="12" t="s">
        <v>37</v>
      </c>
      <c r="QM91" s="12" t="s">
        <v>37</v>
      </c>
      <c r="QN91" s="12" t="s">
        <v>37</v>
      </c>
      <c r="QO91" s="12" t="s">
        <v>37</v>
      </c>
      <c r="QP91" s="12" t="s">
        <v>37</v>
      </c>
      <c r="QQ91" s="12"/>
      <c r="QR91" s="12"/>
      <c r="QU91" s="11" t="s">
        <v>37</v>
      </c>
      <c r="QV91" s="11" t="s">
        <v>37</v>
      </c>
      <c r="QW91" s="13" t="s">
        <v>37</v>
      </c>
      <c r="QX91" s="11" t="s">
        <v>37</v>
      </c>
      <c r="QY91" s="11" t="s">
        <v>37</v>
      </c>
      <c r="QZ91" s="13" t="s">
        <v>37</v>
      </c>
      <c r="RC91" s="12" t="s">
        <v>37</v>
      </c>
      <c r="RD91" s="12" t="s">
        <v>37</v>
      </c>
      <c r="RE91" s="13" t="s">
        <v>37</v>
      </c>
      <c r="RF91" s="12" t="s">
        <v>37</v>
      </c>
      <c r="RG91" s="12" t="s">
        <v>37</v>
      </c>
      <c r="RH91" s="13" t="s">
        <v>37</v>
      </c>
      <c r="RK91" s="11" t="s">
        <v>37</v>
      </c>
      <c r="RL91" s="11" t="s">
        <v>37</v>
      </c>
      <c r="RM91" s="11" t="s">
        <v>37</v>
      </c>
      <c r="RN91" s="11" t="s">
        <v>37</v>
      </c>
      <c r="RO91" s="11" t="s">
        <v>37</v>
      </c>
      <c r="RP91" s="11" t="s">
        <v>37</v>
      </c>
      <c r="RS91" s="11" t="s">
        <v>37</v>
      </c>
      <c r="RT91" s="11" t="s">
        <v>37</v>
      </c>
      <c r="RU91" s="11" t="s">
        <v>37</v>
      </c>
      <c r="RV91" s="11" t="s">
        <v>37</v>
      </c>
      <c r="RW91" s="11" t="s">
        <v>37</v>
      </c>
      <c r="RX91" s="11" t="s">
        <v>37</v>
      </c>
      <c r="SA91" s="11" t="s">
        <v>37</v>
      </c>
      <c r="SB91" s="11" t="s">
        <v>37</v>
      </c>
      <c r="SC91" s="13" t="s">
        <v>37</v>
      </c>
      <c r="SD91" s="11" t="s">
        <v>37</v>
      </c>
      <c r="SE91" s="11" t="s">
        <v>37</v>
      </c>
      <c r="SF91" s="13" t="s">
        <v>37</v>
      </c>
      <c r="SI91" s="12" t="s">
        <v>37</v>
      </c>
      <c r="SJ91" s="12" t="s">
        <v>37</v>
      </c>
      <c r="SK91" s="13" t="s">
        <v>37</v>
      </c>
      <c r="SM91" s="12" t="s">
        <v>37</v>
      </c>
      <c r="SN91" s="12" t="s">
        <v>37</v>
      </c>
      <c r="SO91" s="13" t="s">
        <v>37</v>
      </c>
      <c r="SU91" s="12" t="s">
        <v>37</v>
      </c>
      <c r="SV91" s="12" t="s">
        <v>37</v>
      </c>
      <c r="SW91" s="11" t="s">
        <v>37</v>
      </c>
      <c r="SX91" s="12" t="s">
        <v>37</v>
      </c>
      <c r="SY91" s="12" t="s">
        <v>37</v>
      </c>
      <c r="SZ91" s="11" t="s">
        <v>37</v>
      </c>
      <c r="TE91" s="12" t="s">
        <v>37</v>
      </c>
      <c r="TF91" s="12" t="s">
        <v>37</v>
      </c>
      <c r="TG91" s="11" t="s">
        <v>37</v>
      </c>
      <c r="TH91" s="12" t="s">
        <v>37</v>
      </c>
      <c r="TI91" s="12" t="s">
        <v>37</v>
      </c>
      <c r="TJ91" s="11" t="s">
        <v>37</v>
      </c>
      <c r="TO91" s="12" t="s">
        <v>37</v>
      </c>
      <c r="TP91" s="12" t="s">
        <v>37</v>
      </c>
      <c r="TQ91" s="11" t="s">
        <v>37</v>
      </c>
      <c r="TR91" s="12" t="s">
        <v>37</v>
      </c>
      <c r="TS91" s="12" t="s">
        <v>37</v>
      </c>
      <c r="TT91" s="11" t="s">
        <v>37</v>
      </c>
      <c r="TY91" s="12" t="s">
        <v>37</v>
      </c>
      <c r="TZ91" s="12" t="s">
        <v>37</v>
      </c>
      <c r="UA91" s="12" t="s">
        <v>37</v>
      </c>
      <c r="UB91" s="12" t="s">
        <v>37</v>
      </c>
      <c r="UC91" s="12" t="s">
        <v>37</v>
      </c>
      <c r="UD91" s="12" t="s">
        <v>37</v>
      </c>
      <c r="UE91" s="12"/>
      <c r="UF91" s="12"/>
      <c r="UI91" s="12" t="s">
        <v>37</v>
      </c>
      <c r="UJ91" s="12" t="s">
        <v>37</v>
      </c>
      <c r="UK91" s="12" t="s">
        <v>37</v>
      </c>
      <c r="UL91" s="12" t="s">
        <v>37</v>
      </c>
      <c r="UM91" s="12" t="s">
        <v>37</v>
      </c>
      <c r="UN91" s="12" t="s">
        <v>37</v>
      </c>
      <c r="UO91" s="12"/>
      <c r="UP91" s="12"/>
      <c r="UR91" s="12" t="s">
        <v>37</v>
      </c>
      <c r="US91" s="12" t="s">
        <v>37</v>
      </c>
      <c r="UT91" s="12" t="s">
        <v>37</v>
      </c>
      <c r="UU91" s="12" t="s">
        <v>37</v>
      </c>
      <c r="UV91" s="12" t="s">
        <v>37</v>
      </c>
      <c r="UW91" s="12" t="s">
        <v>37</v>
      </c>
      <c r="UX91" s="12"/>
      <c r="UY91" s="12"/>
      <c r="VB91" s="12" t="s">
        <v>37</v>
      </c>
      <c r="VC91" s="12" t="s">
        <v>37</v>
      </c>
      <c r="VD91" s="12" t="s">
        <v>37</v>
      </c>
      <c r="VE91" s="12" t="s">
        <v>37</v>
      </c>
      <c r="VF91" s="12" t="s">
        <v>37</v>
      </c>
      <c r="VG91" s="12" t="s">
        <v>37</v>
      </c>
      <c r="VI91" s="12" t="s">
        <v>37</v>
      </c>
      <c r="VJ91" s="12" t="s">
        <v>37</v>
      </c>
      <c r="VK91" s="12" t="s">
        <v>37</v>
      </c>
      <c r="VL91" s="12" t="s">
        <v>37</v>
      </c>
      <c r="VM91" s="12" t="s">
        <v>37</v>
      </c>
      <c r="VN91" s="12" t="s">
        <v>37</v>
      </c>
      <c r="VQ91" s="13" t="s">
        <v>37</v>
      </c>
      <c r="VR91" s="13" t="s">
        <v>37</v>
      </c>
      <c r="VS91" s="13" t="s">
        <v>37</v>
      </c>
      <c r="VT91" s="13" t="s">
        <v>37</v>
      </c>
      <c r="VU91" s="13" t="s">
        <v>37</v>
      </c>
      <c r="VV91" s="13" t="s">
        <v>37</v>
      </c>
      <c r="WA91" s="13" t="s">
        <v>37</v>
      </c>
      <c r="WB91" s="13" t="s">
        <v>37</v>
      </c>
      <c r="WC91" s="13" t="s">
        <v>37</v>
      </c>
      <c r="WD91" s="13" t="s">
        <v>37</v>
      </c>
      <c r="WE91" s="13" t="s">
        <v>37</v>
      </c>
      <c r="WF91" s="13" t="s">
        <v>37</v>
      </c>
    </row>
    <row r="92" spans="1:604" ht="18" customHeight="1" x14ac:dyDescent="0.4">
      <c r="A92" s="51">
        <v>22</v>
      </c>
      <c r="B92" s="15" t="s">
        <v>140</v>
      </c>
      <c r="C92" s="12" t="s">
        <v>26</v>
      </c>
      <c r="D92" s="12" t="s">
        <v>54</v>
      </c>
      <c r="E92" s="40" t="s">
        <v>37</v>
      </c>
      <c r="F92" s="14">
        <v>0</v>
      </c>
      <c r="G92" s="14">
        <v>0</v>
      </c>
      <c r="H92" s="12" t="s">
        <v>123</v>
      </c>
      <c r="I92" s="29">
        <v>61.783000000000001</v>
      </c>
      <c r="J92" s="29">
        <v>24.3</v>
      </c>
      <c r="K92" s="12" t="s">
        <v>706</v>
      </c>
      <c r="L92" s="12" t="s">
        <v>709</v>
      </c>
      <c r="M92" s="13" t="s">
        <v>37</v>
      </c>
      <c r="N92" s="53" t="s">
        <v>37</v>
      </c>
      <c r="O92" s="53" t="s">
        <v>37</v>
      </c>
      <c r="P92" s="53" t="s">
        <v>84</v>
      </c>
      <c r="Q92" s="75">
        <v>45</v>
      </c>
      <c r="R92" s="11" t="s">
        <v>1000</v>
      </c>
      <c r="S92" s="12" t="s">
        <v>85</v>
      </c>
      <c r="T92" s="12" t="s">
        <v>138</v>
      </c>
      <c r="U92" s="12" t="s">
        <v>158</v>
      </c>
      <c r="V92" s="12" t="s">
        <v>275</v>
      </c>
      <c r="W92" s="23" t="s">
        <v>147</v>
      </c>
      <c r="X92" s="12" t="s">
        <v>280</v>
      </c>
      <c r="Y92" s="12" t="s">
        <v>69</v>
      </c>
      <c r="Z92" s="12" t="s">
        <v>37</v>
      </c>
      <c r="AA92" s="32" t="s">
        <v>345</v>
      </c>
      <c r="AB92" s="12">
        <v>5</v>
      </c>
      <c r="AE92" s="12" t="s">
        <v>37</v>
      </c>
      <c r="AF92" s="12" t="s">
        <v>42</v>
      </c>
      <c r="AG92" s="32" t="s">
        <v>345</v>
      </c>
      <c r="AH92" s="12">
        <v>19</v>
      </c>
      <c r="AK92" s="12" t="s">
        <v>37</v>
      </c>
      <c r="AL92" s="32">
        <v>1991</v>
      </c>
      <c r="AM92" s="13" t="s">
        <v>344</v>
      </c>
      <c r="AO92" s="54" t="s">
        <v>37</v>
      </c>
      <c r="AP92" s="11" t="s">
        <v>167</v>
      </c>
      <c r="AQ92" s="12" t="s">
        <v>975</v>
      </c>
      <c r="AT92" s="12" t="s">
        <v>326</v>
      </c>
      <c r="AU92" s="12" t="s">
        <v>326</v>
      </c>
      <c r="AV92" s="13" t="s">
        <v>326</v>
      </c>
      <c r="AX92" s="12" t="s">
        <v>326</v>
      </c>
      <c r="AY92" s="12" t="s">
        <v>326</v>
      </c>
      <c r="AZ92" s="13" t="s">
        <v>326</v>
      </c>
      <c r="BE92" s="12" t="s">
        <v>326</v>
      </c>
      <c r="BF92" s="12" t="s">
        <v>326</v>
      </c>
      <c r="BG92" s="12" t="s">
        <v>326</v>
      </c>
      <c r="BI92" s="12" t="s">
        <v>326</v>
      </c>
      <c r="BJ92" s="12" t="s">
        <v>326</v>
      </c>
      <c r="BK92" s="12" t="s">
        <v>326</v>
      </c>
      <c r="BP92" s="12" t="s">
        <v>37</v>
      </c>
      <c r="BQ92" s="12" t="s">
        <v>37</v>
      </c>
      <c r="BR92" s="13" t="s">
        <v>37</v>
      </c>
      <c r="BT92" s="12" t="s">
        <v>37</v>
      </c>
      <c r="BU92" s="12" t="s">
        <v>37</v>
      </c>
      <c r="BV92" s="12" t="s">
        <v>37</v>
      </c>
      <c r="CA92" s="12" t="s">
        <v>37</v>
      </c>
      <c r="CB92" s="12" t="s">
        <v>37</v>
      </c>
      <c r="CC92" s="13" t="s">
        <v>37</v>
      </c>
      <c r="CE92" s="12" t="s">
        <v>37</v>
      </c>
      <c r="CF92" s="12" t="s">
        <v>37</v>
      </c>
      <c r="CG92" s="13" t="s">
        <v>37</v>
      </c>
      <c r="CI92" s="52"/>
      <c r="CJ92" s="12"/>
      <c r="CK92" s="73"/>
      <c r="CL92" s="73"/>
      <c r="CN92" s="12" t="s">
        <v>37</v>
      </c>
      <c r="CO92" s="12" t="s">
        <v>37</v>
      </c>
      <c r="CP92" s="13" t="s">
        <v>37</v>
      </c>
      <c r="CR92" s="12" t="s">
        <v>37</v>
      </c>
      <c r="CS92" s="12" t="s">
        <v>37</v>
      </c>
      <c r="CT92" s="13" t="s">
        <v>37</v>
      </c>
      <c r="CV92" s="52"/>
      <c r="CW92" s="52"/>
      <c r="CX92" s="73"/>
      <c r="CY92" s="73"/>
      <c r="DA92" s="12" t="s">
        <v>37</v>
      </c>
      <c r="DB92" s="12" t="s">
        <v>37</v>
      </c>
      <c r="DC92" s="13" t="s">
        <v>37</v>
      </c>
      <c r="DE92" s="12" t="s">
        <v>37</v>
      </c>
      <c r="DF92" s="12" t="s">
        <v>37</v>
      </c>
      <c r="DG92" s="13" t="s">
        <v>37</v>
      </c>
      <c r="DI92" s="52"/>
      <c r="DJ92" s="52"/>
      <c r="DK92" s="73"/>
      <c r="DL92" s="73"/>
      <c r="DM92" s="15"/>
      <c r="DN92" s="52" t="s">
        <v>37</v>
      </c>
      <c r="DO92" s="15" t="s">
        <v>37</v>
      </c>
      <c r="DP92" s="18" t="s">
        <v>37</v>
      </c>
      <c r="DQ92" s="52"/>
      <c r="DR92" s="52" t="s">
        <v>37</v>
      </c>
      <c r="DS92" s="15" t="s">
        <v>37</v>
      </c>
      <c r="DT92" s="18" t="s">
        <v>37</v>
      </c>
      <c r="DU92" s="52"/>
      <c r="DV92" s="52"/>
      <c r="DW92" s="52"/>
      <c r="DZ92" s="15" t="s">
        <v>47</v>
      </c>
      <c r="EA92" s="52">
        <f>0.015*44/28</f>
        <v>2.357142857142857E-2</v>
      </c>
      <c r="EB92" s="50">
        <f t="shared" si="317"/>
        <v>0.13553517172535659</v>
      </c>
      <c r="EC92" s="73">
        <v>3</v>
      </c>
      <c r="ED92" s="52"/>
      <c r="EE92" s="52">
        <f>1.35*44/28</f>
        <v>2.1214285714285714</v>
      </c>
      <c r="EF92" s="50">
        <f t="shared" si="318"/>
        <v>3.1675885453957426</v>
      </c>
      <c r="EG92" s="18">
        <v>3</v>
      </c>
      <c r="EH92" s="52"/>
      <c r="EI92" s="19">
        <f t="shared" si="319"/>
        <v>2.0978571428571429</v>
      </c>
      <c r="EJ92" s="12">
        <f t="shared" si="309"/>
        <v>2.2418727635279549</v>
      </c>
      <c r="EK92" s="19">
        <f t="shared" si="310"/>
        <v>3.3506623252323124</v>
      </c>
      <c r="EL92" s="19">
        <f t="shared" si="311"/>
        <v>3.3506623252323124</v>
      </c>
      <c r="EM92" s="12" t="s">
        <v>39</v>
      </c>
      <c r="EN92" s="12">
        <v>-2.62</v>
      </c>
      <c r="EO92" s="12">
        <v>0.79</v>
      </c>
      <c r="EP92" s="13">
        <v>3</v>
      </c>
      <c r="EQ92" s="19">
        <f t="shared" si="320"/>
        <v>0.30152671755725191</v>
      </c>
      <c r="ER92" s="12">
        <v>-21.88</v>
      </c>
      <c r="ES92" s="12">
        <v>3.76</v>
      </c>
      <c r="ET92" s="13">
        <v>3</v>
      </c>
      <c r="EU92" s="19">
        <f t="shared" si="321"/>
        <v>0.17184643510054845</v>
      </c>
      <c r="EV92" s="19">
        <f t="shared" si="312"/>
        <v>-19.259999999999998</v>
      </c>
      <c r="EW92" s="12">
        <f t="shared" si="313"/>
        <v>2.7167719815987503</v>
      </c>
      <c r="EX92" s="19">
        <f t="shared" si="314"/>
        <v>4.9205666666666659</v>
      </c>
      <c r="EY92" s="19">
        <f t="shared" si="315"/>
        <v>4.9205666666666668</v>
      </c>
      <c r="FB92" s="12" t="s">
        <v>37</v>
      </c>
      <c r="FC92" s="12" t="s">
        <v>37</v>
      </c>
      <c r="FD92" s="11" t="s">
        <v>37</v>
      </c>
      <c r="FE92" s="12" t="s">
        <v>37</v>
      </c>
      <c r="FF92" s="20" t="s">
        <v>37</v>
      </c>
      <c r="FG92" s="11" t="s">
        <v>37</v>
      </c>
      <c r="FI92" s="12" t="s">
        <v>37</v>
      </c>
      <c r="FJ92" s="12" t="s">
        <v>37</v>
      </c>
      <c r="FK92" s="11" t="s">
        <v>37</v>
      </c>
      <c r="FL92" s="13" t="s">
        <v>37</v>
      </c>
      <c r="FM92" s="11" t="s">
        <v>37</v>
      </c>
      <c r="FN92" s="11" t="s">
        <v>37</v>
      </c>
      <c r="FP92" s="12" t="s">
        <v>37</v>
      </c>
      <c r="FQ92" s="12" t="s">
        <v>37</v>
      </c>
      <c r="FR92" s="11" t="s">
        <v>37</v>
      </c>
      <c r="FS92" s="13" t="s">
        <v>37</v>
      </c>
      <c r="FT92" s="11" t="s">
        <v>37</v>
      </c>
      <c r="FU92" s="11" t="s">
        <v>37</v>
      </c>
      <c r="FW92" s="12" t="s">
        <v>37</v>
      </c>
      <c r="FX92" s="12" t="s">
        <v>37</v>
      </c>
      <c r="FY92" s="11" t="s">
        <v>37</v>
      </c>
      <c r="FZ92" s="13" t="s">
        <v>37</v>
      </c>
      <c r="GA92" s="11" t="s">
        <v>37</v>
      </c>
      <c r="GB92" s="11" t="s">
        <v>37</v>
      </c>
      <c r="GO92" s="12" t="s">
        <v>660</v>
      </c>
      <c r="GP92" s="12" t="s">
        <v>345</v>
      </c>
      <c r="GQ92" s="12">
        <v>6.45</v>
      </c>
      <c r="GR92" s="12">
        <v>0.57999999999999996</v>
      </c>
      <c r="GS92" s="13">
        <v>3</v>
      </c>
      <c r="GT92" s="19">
        <f t="shared" si="322"/>
        <v>8.9922480620155024E-2</v>
      </c>
      <c r="GU92" s="12">
        <v>8.24</v>
      </c>
      <c r="GV92" s="12">
        <v>0.77</v>
      </c>
      <c r="GW92" s="13">
        <v>3</v>
      </c>
      <c r="GX92" s="19">
        <f t="shared" si="323"/>
        <v>9.3446601941747573E-2</v>
      </c>
      <c r="GY92" s="19">
        <f t="shared" si="324"/>
        <v>0.24492021311369927</v>
      </c>
      <c r="GZ92" s="19">
        <f t="shared" si="325"/>
        <v>5.6061066451138595E-3</v>
      </c>
      <c r="IK92" s="12" t="s">
        <v>37</v>
      </c>
      <c r="IL92" s="12" t="s">
        <v>37</v>
      </c>
      <c r="IM92" s="12" t="s">
        <v>37</v>
      </c>
      <c r="IO92" s="12" t="s">
        <v>37</v>
      </c>
      <c r="IP92" s="12" t="s">
        <v>37</v>
      </c>
      <c r="IQ92" s="12" t="s">
        <v>37</v>
      </c>
      <c r="IV92" s="32" t="s">
        <v>345</v>
      </c>
      <c r="IW92" s="12">
        <v>5</v>
      </c>
      <c r="IX92" s="50">
        <f t="shared" si="316"/>
        <v>0.18306371314011569</v>
      </c>
      <c r="IY92" s="13">
        <v>3</v>
      </c>
      <c r="JA92" s="12">
        <v>4.5999999999999996</v>
      </c>
      <c r="JB92" s="50">
        <f t="shared" si="326"/>
        <v>0.12884052041423269</v>
      </c>
      <c r="JC92" s="13">
        <v>3</v>
      </c>
      <c r="JE92" s="19">
        <f t="shared" si="327"/>
        <v>-8.3381608939051138E-2</v>
      </c>
      <c r="JF92" s="19">
        <f t="shared" si="328"/>
        <v>7.0832876411330761E-4</v>
      </c>
      <c r="JH92" s="12" t="s">
        <v>37</v>
      </c>
      <c r="JI92" s="12" t="s">
        <v>37</v>
      </c>
      <c r="JJ92" s="13" t="s">
        <v>37</v>
      </c>
      <c r="JL92" s="12" t="s">
        <v>37</v>
      </c>
      <c r="JM92" s="12" t="s">
        <v>37</v>
      </c>
      <c r="JN92" s="12" t="s">
        <v>37</v>
      </c>
      <c r="JS92" s="12" t="s">
        <v>37</v>
      </c>
      <c r="JT92" s="12" t="s">
        <v>37</v>
      </c>
      <c r="JU92" s="13" t="s">
        <v>37</v>
      </c>
      <c r="JW92" s="12" t="s">
        <v>37</v>
      </c>
      <c r="JX92" s="12" t="s">
        <v>37</v>
      </c>
      <c r="JY92" s="12" t="s">
        <v>37</v>
      </c>
      <c r="KE92" s="11" t="s">
        <v>37</v>
      </c>
      <c r="KF92" s="11" t="s">
        <v>37</v>
      </c>
      <c r="KG92" s="13" t="s">
        <v>37</v>
      </c>
      <c r="KH92" s="11" t="s">
        <v>37</v>
      </c>
      <c r="KI92" s="11" t="s">
        <v>37</v>
      </c>
      <c r="KJ92" s="11" t="s">
        <v>37</v>
      </c>
      <c r="KK92" s="12" t="s">
        <v>42</v>
      </c>
      <c r="KL92" s="32" t="s">
        <v>345</v>
      </c>
      <c r="KM92" s="12">
        <v>19</v>
      </c>
      <c r="KN92" s="50">
        <f t="shared" ref="KN92:KN97" si="329">ABS(KM92)*KP$474</f>
        <v>2.2665677863123301</v>
      </c>
      <c r="KO92" s="11">
        <v>3</v>
      </c>
      <c r="KQ92" s="12">
        <v>21</v>
      </c>
      <c r="KR92" s="50">
        <f t="shared" ref="KR92:KR98" si="330">ABS(KQ92)*KT$474</f>
        <v>2.2143120335413715</v>
      </c>
      <c r="KS92" s="13">
        <v>3</v>
      </c>
      <c r="KU92" s="19">
        <f t="shared" ref="KU92:KU98" si="331">LN(KQ92/KM92)</f>
        <v>0.10008345855698263</v>
      </c>
      <c r="KV92" s="19">
        <f t="shared" ref="KV92:KV98" si="332">KR92^2/(KS92*KQ92^2)+KN92^2/(KO92*KM92^2)</f>
        <v>8.4497155628593234E-3</v>
      </c>
      <c r="KX92" s="12" t="s">
        <v>37</v>
      </c>
      <c r="KY92" s="12" t="s">
        <v>37</v>
      </c>
      <c r="KZ92" s="13" t="s">
        <v>37</v>
      </c>
      <c r="LB92" s="12" t="s">
        <v>37</v>
      </c>
      <c r="LC92" s="12" t="s">
        <v>37</v>
      </c>
      <c r="LD92" s="13" t="s">
        <v>37</v>
      </c>
      <c r="LI92" s="12" t="s">
        <v>37</v>
      </c>
      <c r="LJ92" s="12" t="s">
        <v>37</v>
      </c>
      <c r="LK92" s="12" t="s">
        <v>37</v>
      </c>
      <c r="LM92" s="12" t="s">
        <v>37</v>
      </c>
      <c r="LN92" s="12" t="s">
        <v>37</v>
      </c>
      <c r="LO92" s="12" t="s">
        <v>37</v>
      </c>
      <c r="LU92" s="12" t="s">
        <v>37</v>
      </c>
      <c r="LV92" s="12" t="s">
        <v>37</v>
      </c>
      <c r="LW92" s="13" t="s">
        <v>37</v>
      </c>
      <c r="LY92" s="12" t="s">
        <v>37</v>
      </c>
      <c r="LZ92" s="12" t="s">
        <v>37</v>
      </c>
      <c r="MA92" s="12" t="s">
        <v>37</v>
      </c>
      <c r="MF92" s="12" t="s">
        <v>37</v>
      </c>
      <c r="MG92" s="12" t="s">
        <v>37</v>
      </c>
      <c r="MH92" s="12" t="s">
        <v>37</v>
      </c>
      <c r="MJ92" s="12" t="s">
        <v>37</v>
      </c>
      <c r="MK92" s="12" t="s">
        <v>37</v>
      </c>
      <c r="ML92" s="12" t="s">
        <v>37</v>
      </c>
      <c r="MQ92" s="12" t="s">
        <v>37</v>
      </c>
      <c r="MR92" s="12" t="s">
        <v>37</v>
      </c>
      <c r="MS92" s="12" t="s">
        <v>37</v>
      </c>
      <c r="MU92" s="12" t="s">
        <v>37</v>
      </c>
      <c r="MV92" s="12" t="s">
        <v>37</v>
      </c>
      <c r="MW92" s="12" t="s">
        <v>37</v>
      </c>
      <c r="NC92" s="12" t="s">
        <v>37</v>
      </c>
      <c r="ND92" s="12" t="s">
        <v>37</v>
      </c>
      <c r="NE92" s="13" t="s">
        <v>37</v>
      </c>
      <c r="NG92" s="12" t="s">
        <v>37</v>
      </c>
      <c r="NH92" s="12" t="s">
        <v>37</v>
      </c>
      <c r="NI92" s="13" t="s">
        <v>37</v>
      </c>
      <c r="NO92" s="12" t="s">
        <v>37</v>
      </c>
      <c r="NP92" s="12" t="s">
        <v>37</v>
      </c>
      <c r="NQ92" s="13" t="s">
        <v>37</v>
      </c>
      <c r="NS92" s="12" t="s">
        <v>37</v>
      </c>
      <c r="NT92" s="12" t="s">
        <v>37</v>
      </c>
      <c r="NU92" s="13" t="s">
        <v>37</v>
      </c>
      <c r="OA92" s="11" t="s">
        <v>37</v>
      </c>
      <c r="OB92" s="11" t="s">
        <v>37</v>
      </c>
      <c r="OC92" s="13" t="s">
        <v>37</v>
      </c>
      <c r="OE92" s="11" t="s">
        <v>37</v>
      </c>
      <c r="OF92" s="11" t="s">
        <v>37</v>
      </c>
      <c r="OG92" s="13" t="s">
        <v>37</v>
      </c>
      <c r="OM92" s="11" t="s">
        <v>37</v>
      </c>
      <c r="ON92" s="11" t="s">
        <v>37</v>
      </c>
      <c r="OO92" s="11" t="s">
        <v>37</v>
      </c>
      <c r="OP92" s="11" t="s">
        <v>37</v>
      </c>
      <c r="OQ92" s="11" t="s">
        <v>37</v>
      </c>
      <c r="OR92" s="11" t="s">
        <v>37</v>
      </c>
      <c r="OW92" s="12" t="s">
        <v>37</v>
      </c>
      <c r="OX92" s="12" t="s">
        <v>37</v>
      </c>
      <c r="OY92" s="13" t="s">
        <v>37</v>
      </c>
      <c r="OZ92" s="12" t="s">
        <v>37</v>
      </c>
      <c r="PA92" s="12" t="s">
        <v>37</v>
      </c>
      <c r="PB92" s="13" t="s">
        <v>37</v>
      </c>
      <c r="PG92" s="11" t="s">
        <v>37</v>
      </c>
      <c r="PH92" s="11" t="s">
        <v>37</v>
      </c>
      <c r="PI92" s="13" t="s">
        <v>37</v>
      </c>
      <c r="PJ92" s="11" t="s">
        <v>37</v>
      </c>
      <c r="PK92" s="11" t="s">
        <v>37</v>
      </c>
      <c r="PL92" s="13" t="s">
        <v>37</v>
      </c>
      <c r="PQ92" s="11" t="s">
        <v>37</v>
      </c>
      <c r="PR92" s="11" t="s">
        <v>37</v>
      </c>
      <c r="PS92" s="13" t="s">
        <v>37</v>
      </c>
      <c r="PT92" s="11" t="s">
        <v>37</v>
      </c>
      <c r="PU92" s="11" t="s">
        <v>37</v>
      </c>
      <c r="PV92" s="13" t="s">
        <v>37</v>
      </c>
      <c r="PZ92" s="12" t="s">
        <v>37</v>
      </c>
      <c r="QA92" s="12" t="s">
        <v>37</v>
      </c>
      <c r="QB92" s="11" t="s">
        <v>37</v>
      </c>
      <c r="QD92" s="12" t="s">
        <v>37</v>
      </c>
      <c r="QE92" s="12" t="s">
        <v>37</v>
      </c>
      <c r="QF92" s="12" t="s">
        <v>37</v>
      </c>
      <c r="QK92" s="12" t="s">
        <v>37</v>
      </c>
      <c r="QL92" s="12" t="s">
        <v>37</v>
      </c>
      <c r="QM92" s="12" t="s">
        <v>37</v>
      </c>
      <c r="QN92" s="12" t="s">
        <v>37</v>
      </c>
      <c r="QO92" s="12" t="s">
        <v>37</v>
      </c>
      <c r="QP92" s="12" t="s">
        <v>37</v>
      </c>
      <c r="QQ92" s="12"/>
      <c r="QR92" s="12"/>
      <c r="QU92" s="11" t="s">
        <v>37</v>
      </c>
      <c r="QV92" s="11" t="s">
        <v>37</v>
      </c>
      <c r="QW92" s="13" t="s">
        <v>37</v>
      </c>
      <c r="QX92" s="11" t="s">
        <v>37</v>
      </c>
      <c r="QY92" s="11" t="s">
        <v>37</v>
      </c>
      <c r="QZ92" s="13" t="s">
        <v>37</v>
      </c>
      <c r="RC92" s="12" t="s">
        <v>37</v>
      </c>
      <c r="RD92" s="12" t="s">
        <v>37</v>
      </c>
      <c r="RE92" s="13" t="s">
        <v>37</v>
      </c>
      <c r="RF92" s="12" t="s">
        <v>37</v>
      </c>
      <c r="RG92" s="12" t="s">
        <v>37</v>
      </c>
      <c r="RH92" s="13" t="s">
        <v>37</v>
      </c>
      <c r="RK92" s="11" t="s">
        <v>37</v>
      </c>
      <c r="RL92" s="11" t="s">
        <v>37</v>
      </c>
      <c r="RM92" s="11" t="s">
        <v>37</v>
      </c>
      <c r="RN92" s="11" t="s">
        <v>37</v>
      </c>
      <c r="RO92" s="11" t="s">
        <v>37</v>
      </c>
      <c r="RP92" s="11" t="s">
        <v>37</v>
      </c>
      <c r="RS92" s="11" t="s">
        <v>37</v>
      </c>
      <c r="RT92" s="11" t="s">
        <v>37</v>
      </c>
      <c r="RU92" s="11" t="s">
        <v>37</v>
      </c>
      <c r="RV92" s="11" t="s">
        <v>37</v>
      </c>
      <c r="RW92" s="11" t="s">
        <v>37</v>
      </c>
      <c r="RX92" s="11" t="s">
        <v>37</v>
      </c>
      <c r="SA92" s="11" t="s">
        <v>37</v>
      </c>
      <c r="SB92" s="11" t="s">
        <v>37</v>
      </c>
      <c r="SC92" s="13" t="s">
        <v>37</v>
      </c>
      <c r="SD92" s="11" t="s">
        <v>37</v>
      </c>
      <c r="SE92" s="11" t="s">
        <v>37</v>
      </c>
      <c r="SF92" s="13" t="s">
        <v>37</v>
      </c>
      <c r="SI92" s="12" t="s">
        <v>37</v>
      </c>
      <c r="SJ92" s="12" t="s">
        <v>37</v>
      </c>
      <c r="SK92" s="13" t="s">
        <v>37</v>
      </c>
      <c r="SM92" s="12" t="s">
        <v>37</v>
      </c>
      <c r="SN92" s="12" t="s">
        <v>37</v>
      </c>
      <c r="SO92" s="13" t="s">
        <v>37</v>
      </c>
      <c r="SU92" s="12" t="s">
        <v>37</v>
      </c>
      <c r="SV92" s="12" t="s">
        <v>37</v>
      </c>
      <c r="SW92" s="11" t="s">
        <v>37</v>
      </c>
      <c r="SX92" s="12" t="s">
        <v>37</v>
      </c>
      <c r="SY92" s="12" t="s">
        <v>37</v>
      </c>
      <c r="SZ92" s="11" t="s">
        <v>37</v>
      </c>
      <c r="TE92" s="12" t="s">
        <v>37</v>
      </c>
      <c r="TF92" s="12" t="s">
        <v>37</v>
      </c>
      <c r="TG92" s="11" t="s">
        <v>37</v>
      </c>
      <c r="TH92" s="12" t="s">
        <v>37</v>
      </c>
      <c r="TI92" s="12" t="s">
        <v>37</v>
      </c>
      <c r="TJ92" s="11" t="s">
        <v>37</v>
      </c>
      <c r="TO92" s="12" t="s">
        <v>37</v>
      </c>
      <c r="TP92" s="12" t="s">
        <v>37</v>
      </c>
      <c r="TQ92" s="11" t="s">
        <v>37</v>
      </c>
      <c r="TR92" s="12" t="s">
        <v>37</v>
      </c>
      <c r="TS92" s="12" t="s">
        <v>37</v>
      </c>
      <c r="TT92" s="11" t="s">
        <v>37</v>
      </c>
      <c r="TY92" s="12" t="s">
        <v>37</v>
      </c>
      <c r="TZ92" s="12" t="s">
        <v>37</v>
      </c>
      <c r="UA92" s="12" t="s">
        <v>37</v>
      </c>
      <c r="UB92" s="12" t="s">
        <v>37</v>
      </c>
      <c r="UC92" s="12" t="s">
        <v>37</v>
      </c>
      <c r="UD92" s="12" t="s">
        <v>37</v>
      </c>
      <c r="UE92" s="12"/>
      <c r="UF92" s="12"/>
      <c r="UI92" s="12" t="s">
        <v>37</v>
      </c>
      <c r="UJ92" s="12" t="s">
        <v>37</v>
      </c>
      <c r="UK92" s="12" t="s">
        <v>37</v>
      </c>
      <c r="UL92" s="12" t="s">
        <v>37</v>
      </c>
      <c r="UM92" s="12" t="s">
        <v>37</v>
      </c>
      <c r="UN92" s="12" t="s">
        <v>37</v>
      </c>
      <c r="UO92" s="12"/>
      <c r="UP92" s="12"/>
      <c r="UR92" s="12" t="s">
        <v>37</v>
      </c>
      <c r="US92" s="12" t="s">
        <v>37</v>
      </c>
      <c r="UT92" s="12" t="s">
        <v>37</v>
      </c>
      <c r="UU92" s="12" t="s">
        <v>37</v>
      </c>
      <c r="UV92" s="12" t="s">
        <v>37</v>
      </c>
      <c r="UW92" s="12" t="s">
        <v>37</v>
      </c>
      <c r="UX92" s="12"/>
      <c r="UY92" s="12"/>
      <c r="VB92" s="12" t="s">
        <v>37</v>
      </c>
      <c r="VC92" s="12" t="s">
        <v>37</v>
      </c>
      <c r="VD92" s="12" t="s">
        <v>37</v>
      </c>
      <c r="VE92" s="12" t="s">
        <v>37</v>
      </c>
      <c r="VF92" s="12" t="s">
        <v>37</v>
      </c>
      <c r="VG92" s="12" t="s">
        <v>37</v>
      </c>
      <c r="VI92" s="12" t="s">
        <v>37</v>
      </c>
      <c r="VJ92" s="12" t="s">
        <v>37</v>
      </c>
      <c r="VK92" s="12" t="s">
        <v>37</v>
      </c>
      <c r="VL92" s="12" t="s">
        <v>37</v>
      </c>
      <c r="VM92" s="12" t="s">
        <v>37</v>
      </c>
      <c r="VN92" s="12" t="s">
        <v>37</v>
      </c>
      <c r="VQ92" s="13" t="s">
        <v>37</v>
      </c>
      <c r="VR92" s="13" t="s">
        <v>37</v>
      </c>
      <c r="VS92" s="13" t="s">
        <v>37</v>
      </c>
      <c r="VT92" s="13" t="s">
        <v>37</v>
      </c>
      <c r="VU92" s="13" t="s">
        <v>37</v>
      </c>
      <c r="VV92" s="13" t="s">
        <v>37</v>
      </c>
      <c r="WA92" s="13" t="s">
        <v>37</v>
      </c>
      <c r="WB92" s="13" t="s">
        <v>37</v>
      </c>
      <c r="WC92" s="13" t="s">
        <v>37</v>
      </c>
      <c r="WD92" s="13" t="s">
        <v>37</v>
      </c>
      <c r="WE92" s="13" t="s">
        <v>37</v>
      </c>
      <c r="WF92" s="13" t="s">
        <v>37</v>
      </c>
    </row>
    <row r="93" spans="1:604" ht="18" customHeight="1" x14ac:dyDescent="0.4">
      <c r="A93" s="51">
        <v>22</v>
      </c>
      <c r="B93" s="15" t="s">
        <v>140</v>
      </c>
      <c r="C93" s="12" t="s">
        <v>26</v>
      </c>
      <c r="D93" s="12" t="s">
        <v>54</v>
      </c>
      <c r="E93" s="40" t="s">
        <v>37</v>
      </c>
      <c r="F93" s="14">
        <v>0</v>
      </c>
      <c r="G93" s="14">
        <v>0</v>
      </c>
      <c r="H93" s="12" t="s">
        <v>123</v>
      </c>
      <c r="I93" s="29">
        <v>61.783000000000001</v>
      </c>
      <c r="J93" s="29">
        <v>24.3</v>
      </c>
      <c r="K93" s="12" t="s">
        <v>706</v>
      </c>
      <c r="L93" s="12" t="s">
        <v>709</v>
      </c>
      <c r="M93" s="13" t="s">
        <v>37</v>
      </c>
      <c r="N93" s="53" t="s">
        <v>37</v>
      </c>
      <c r="O93" s="53" t="s">
        <v>37</v>
      </c>
      <c r="P93" s="53" t="s">
        <v>84</v>
      </c>
      <c r="Q93" s="75">
        <v>46</v>
      </c>
      <c r="R93" s="11" t="s">
        <v>999</v>
      </c>
      <c r="S93" s="12" t="s">
        <v>85</v>
      </c>
      <c r="T93" s="12" t="s">
        <v>138</v>
      </c>
      <c r="U93" s="12" t="s">
        <v>158</v>
      </c>
      <c r="V93" s="12" t="s">
        <v>275</v>
      </c>
      <c r="W93" s="23" t="s">
        <v>147</v>
      </c>
      <c r="X93" s="12" t="s">
        <v>280</v>
      </c>
      <c r="Y93" s="12" t="s">
        <v>69</v>
      </c>
      <c r="Z93" s="12" t="s">
        <v>37</v>
      </c>
      <c r="AA93" s="32" t="s">
        <v>345</v>
      </c>
      <c r="AB93" s="12">
        <v>5</v>
      </c>
      <c r="AE93" s="12" t="s">
        <v>37</v>
      </c>
      <c r="AF93" s="12" t="s">
        <v>42</v>
      </c>
      <c r="AG93" s="32" t="s">
        <v>345</v>
      </c>
      <c r="AH93" s="12">
        <v>19</v>
      </c>
      <c r="AK93" s="12" t="s">
        <v>37</v>
      </c>
      <c r="AL93" s="32">
        <v>1992</v>
      </c>
      <c r="AM93" s="13" t="s">
        <v>344</v>
      </c>
      <c r="AO93" s="54" t="s">
        <v>37</v>
      </c>
      <c r="AP93" s="11" t="s">
        <v>167</v>
      </c>
      <c r="AQ93" s="12" t="s">
        <v>975</v>
      </c>
      <c r="AT93" s="12" t="s">
        <v>326</v>
      </c>
      <c r="AU93" s="12" t="s">
        <v>326</v>
      </c>
      <c r="AV93" s="13" t="s">
        <v>326</v>
      </c>
      <c r="AX93" s="12" t="s">
        <v>326</v>
      </c>
      <c r="AY93" s="12" t="s">
        <v>326</v>
      </c>
      <c r="AZ93" s="13" t="s">
        <v>326</v>
      </c>
      <c r="BE93" s="12" t="s">
        <v>326</v>
      </c>
      <c r="BF93" s="12" t="s">
        <v>326</v>
      </c>
      <c r="BG93" s="12" t="s">
        <v>326</v>
      </c>
      <c r="BI93" s="12" t="s">
        <v>326</v>
      </c>
      <c r="BJ93" s="12" t="s">
        <v>326</v>
      </c>
      <c r="BK93" s="12" t="s">
        <v>326</v>
      </c>
      <c r="BP93" s="12" t="s">
        <v>37</v>
      </c>
      <c r="BQ93" s="12" t="s">
        <v>37</v>
      </c>
      <c r="BR93" s="13" t="s">
        <v>37</v>
      </c>
      <c r="BT93" s="12" t="s">
        <v>37</v>
      </c>
      <c r="BU93" s="12" t="s">
        <v>37</v>
      </c>
      <c r="BV93" s="12" t="s">
        <v>37</v>
      </c>
      <c r="CA93" s="12" t="s">
        <v>37</v>
      </c>
      <c r="CB93" s="12" t="s">
        <v>37</v>
      </c>
      <c r="CC93" s="13" t="s">
        <v>37</v>
      </c>
      <c r="CE93" s="12" t="s">
        <v>37</v>
      </c>
      <c r="CF93" s="12" t="s">
        <v>37</v>
      </c>
      <c r="CG93" s="13" t="s">
        <v>37</v>
      </c>
      <c r="CI93" s="52"/>
      <c r="CJ93" s="12"/>
      <c r="CK93" s="73"/>
      <c r="CL93" s="73"/>
      <c r="CN93" s="12" t="s">
        <v>37</v>
      </c>
      <c r="CO93" s="12" t="s">
        <v>37</v>
      </c>
      <c r="CP93" s="13" t="s">
        <v>37</v>
      </c>
      <c r="CR93" s="12" t="s">
        <v>37</v>
      </c>
      <c r="CS93" s="12" t="s">
        <v>37</v>
      </c>
      <c r="CT93" s="13" t="s">
        <v>37</v>
      </c>
      <c r="CV93" s="52"/>
      <c r="CW93" s="52"/>
      <c r="CX93" s="73"/>
      <c r="CY93" s="73"/>
      <c r="DA93" s="12" t="s">
        <v>37</v>
      </c>
      <c r="DB93" s="12" t="s">
        <v>37</v>
      </c>
      <c r="DC93" s="13" t="s">
        <v>37</v>
      </c>
      <c r="DE93" s="12" t="s">
        <v>37</v>
      </c>
      <c r="DF93" s="12" t="s">
        <v>37</v>
      </c>
      <c r="DG93" s="13" t="s">
        <v>37</v>
      </c>
      <c r="DI93" s="52"/>
      <c r="DJ93" s="52"/>
      <c r="DK93" s="73"/>
      <c r="DL93" s="73"/>
      <c r="DM93" s="15"/>
      <c r="DN93" s="52" t="s">
        <v>37</v>
      </c>
      <c r="DO93" s="15" t="s">
        <v>37</v>
      </c>
      <c r="DP93" s="18" t="s">
        <v>37</v>
      </c>
      <c r="DQ93" s="52"/>
      <c r="DR93" s="52" t="s">
        <v>37</v>
      </c>
      <c r="DS93" s="15" t="s">
        <v>37</v>
      </c>
      <c r="DT93" s="18" t="s">
        <v>37</v>
      </c>
      <c r="DU93" s="52"/>
      <c r="DV93" s="52"/>
      <c r="DW93" s="52"/>
      <c r="DZ93" s="15" t="s">
        <v>47</v>
      </c>
      <c r="EA93" s="52">
        <f>0.015*44/28</f>
        <v>2.357142857142857E-2</v>
      </c>
      <c r="EB93" s="50">
        <f t="shared" si="317"/>
        <v>0.13553517172535659</v>
      </c>
      <c r="EC93" s="73">
        <v>3</v>
      </c>
      <c r="ED93" s="52"/>
      <c r="EE93" s="52">
        <f>0.51*44/28</f>
        <v>0.80142857142857149</v>
      </c>
      <c r="EF93" s="50">
        <f t="shared" si="318"/>
        <v>1.1966445615939472</v>
      </c>
      <c r="EG93" s="18">
        <v>3</v>
      </c>
      <c r="EH93" s="52"/>
      <c r="EI93" s="19">
        <f t="shared" si="319"/>
        <v>0.77785714285714291</v>
      </c>
      <c r="EJ93" s="12">
        <f t="shared" si="309"/>
        <v>0.8515656139038823</v>
      </c>
      <c r="EK93" s="19">
        <f t="shared" si="310"/>
        <v>0.48344266318899726</v>
      </c>
      <c r="EL93" s="19">
        <f t="shared" si="311"/>
        <v>0.48344266318899731</v>
      </c>
      <c r="EM93" s="12" t="s">
        <v>39</v>
      </c>
      <c r="EN93" s="12">
        <v>-6.51</v>
      </c>
      <c r="EO93" s="12">
        <v>2.2799999999999998</v>
      </c>
      <c r="EP93" s="13">
        <v>3</v>
      </c>
      <c r="EQ93" s="19">
        <f t="shared" si="320"/>
        <v>0.35023041474654376</v>
      </c>
      <c r="ER93" s="12">
        <v>-46.73</v>
      </c>
      <c r="ES93" s="12">
        <v>5.78</v>
      </c>
      <c r="ET93" s="13">
        <v>3</v>
      </c>
      <c r="EU93" s="19">
        <f t="shared" si="321"/>
        <v>0.12368927883586563</v>
      </c>
      <c r="EV93" s="19">
        <f t="shared" si="312"/>
        <v>-40.22</v>
      </c>
      <c r="EW93" s="12">
        <f t="shared" si="313"/>
        <v>4.3935634739923808</v>
      </c>
      <c r="EX93" s="19">
        <f t="shared" si="314"/>
        <v>12.868933333333333</v>
      </c>
      <c r="EY93" s="19">
        <f t="shared" si="315"/>
        <v>12.868933333333333</v>
      </c>
      <c r="FB93" s="12" t="s">
        <v>37</v>
      </c>
      <c r="FC93" s="12" t="s">
        <v>37</v>
      </c>
      <c r="FD93" s="11" t="s">
        <v>37</v>
      </c>
      <c r="FE93" s="12" t="s">
        <v>37</v>
      </c>
      <c r="FF93" s="20" t="s">
        <v>37</v>
      </c>
      <c r="FG93" s="11" t="s">
        <v>37</v>
      </c>
      <c r="FI93" s="12" t="s">
        <v>37</v>
      </c>
      <c r="FJ93" s="12" t="s">
        <v>37</v>
      </c>
      <c r="FK93" s="11" t="s">
        <v>37</v>
      </c>
      <c r="FL93" s="13" t="s">
        <v>37</v>
      </c>
      <c r="FM93" s="11" t="s">
        <v>37</v>
      </c>
      <c r="FN93" s="11" t="s">
        <v>37</v>
      </c>
      <c r="FP93" s="12" t="s">
        <v>37</v>
      </c>
      <c r="FQ93" s="12" t="s">
        <v>37</v>
      </c>
      <c r="FR93" s="11" t="s">
        <v>37</v>
      </c>
      <c r="FS93" s="13" t="s">
        <v>37</v>
      </c>
      <c r="FT93" s="11" t="s">
        <v>37</v>
      </c>
      <c r="FU93" s="11" t="s">
        <v>37</v>
      </c>
      <c r="FW93" s="12" t="s">
        <v>37</v>
      </c>
      <c r="FX93" s="12" t="s">
        <v>37</v>
      </c>
      <c r="FY93" s="11" t="s">
        <v>37</v>
      </c>
      <c r="FZ93" s="13" t="s">
        <v>37</v>
      </c>
      <c r="GA93" s="11" t="s">
        <v>37</v>
      </c>
      <c r="GB93" s="11" t="s">
        <v>37</v>
      </c>
      <c r="GO93" s="12" t="s">
        <v>660</v>
      </c>
      <c r="GP93" s="12" t="s">
        <v>345</v>
      </c>
      <c r="GQ93" s="12">
        <v>10.4</v>
      </c>
      <c r="GR93" s="12">
        <v>0.51</v>
      </c>
      <c r="GS93" s="13">
        <v>3</v>
      </c>
      <c r="GT93" s="19">
        <f t="shared" si="322"/>
        <v>4.9038461538461538E-2</v>
      </c>
      <c r="GU93" s="12">
        <v>13.56</v>
      </c>
      <c r="GV93" s="12">
        <v>0.38</v>
      </c>
      <c r="GW93" s="13">
        <v>3</v>
      </c>
      <c r="GX93" s="19">
        <f t="shared" si="323"/>
        <v>2.8023598820058997E-2</v>
      </c>
      <c r="GY93" s="19">
        <f t="shared" si="324"/>
        <v>0.26531847636492256</v>
      </c>
      <c r="GZ93" s="19">
        <f t="shared" si="325"/>
        <v>1.0633642669622611E-3</v>
      </c>
      <c r="IK93" s="12" t="s">
        <v>37</v>
      </c>
      <c r="IL93" s="12" t="s">
        <v>37</v>
      </c>
      <c r="IM93" s="12" t="s">
        <v>37</v>
      </c>
      <c r="IO93" s="12" t="s">
        <v>37</v>
      </c>
      <c r="IP93" s="12" t="s">
        <v>37</v>
      </c>
      <c r="IQ93" s="12" t="s">
        <v>37</v>
      </c>
      <c r="IV93" s="32" t="s">
        <v>345</v>
      </c>
      <c r="IW93" s="12">
        <v>5</v>
      </c>
      <c r="IX93" s="50">
        <f t="shared" si="316"/>
        <v>0.18306371314011569</v>
      </c>
      <c r="IY93" s="13">
        <v>3</v>
      </c>
      <c r="JA93" s="12">
        <v>4.5999999999999996</v>
      </c>
      <c r="JB93" s="50">
        <f t="shared" si="326"/>
        <v>0.12884052041423269</v>
      </c>
      <c r="JC93" s="13">
        <v>3</v>
      </c>
      <c r="JE93" s="19">
        <f t="shared" si="327"/>
        <v>-8.3381608939051138E-2</v>
      </c>
      <c r="JF93" s="19">
        <f t="shared" si="328"/>
        <v>7.0832876411330761E-4</v>
      </c>
      <c r="JH93" s="12" t="s">
        <v>37</v>
      </c>
      <c r="JI93" s="12" t="s">
        <v>37</v>
      </c>
      <c r="JJ93" s="13" t="s">
        <v>37</v>
      </c>
      <c r="JL93" s="12" t="s">
        <v>37</v>
      </c>
      <c r="JM93" s="12" t="s">
        <v>37</v>
      </c>
      <c r="JN93" s="12" t="s">
        <v>37</v>
      </c>
      <c r="JS93" s="12" t="s">
        <v>37</v>
      </c>
      <c r="JT93" s="12" t="s">
        <v>37</v>
      </c>
      <c r="JU93" s="13" t="s">
        <v>37</v>
      </c>
      <c r="JW93" s="12" t="s">
        <v>37</v>
      </c>
      <c r="JX93" s="12" t="s">
        <v>37</v>
      </c>
      <c r="JY93" s="12" t="s">
        <v>37</v>
      </c>
      <c r="KE93" s="11" t="s">
        <v>37</v>
      </c>
      <c r="KF93" s="11" t="s">
        <v>37</v>
      </c>
      <c r="KG93" s="13" t="s">
        <v>37</v>
      </c>
      <c r="KH93" s="11" t="s">
        <v>37</v>
      </c>
      <c r="KI93" s="11" t="s">
        <v>37</v>
      </c>
      <c r="KJ93" s="11" t="s">
        <v>37</v>
      </c>
      <c r="KK93" s="12" t="s">
        <v>42</v>
      </c>
      <c r="KL93" s="32" t="s">
        <v>345</v>
      </c>
      <c r="KM93" s="12">
        <v>19</v>
      </c>
      <c r="KN93" s="50">
        <f t="shared" si="329"/>
        <v>2.2665677863123301</v>
      </c>
      <c r="KO93" s="11">
        <v>3</v>
      </c>
      <c r="KQ93" s="12">
        <v>21</v>
      </c>
      <c r="KR93" s="50">
        <f t="shared" si="330"/>
        <v>2.2143120335413715</v>
      </c>
      <c r="KS93" s="13">
        <v>3</v>
      </c>
      <c r="KU93" s="19">
        <f t="shared" si="331"/>
        <v>0.10008345855698263</v>
      </c>
      <c r="KV93" s="19">
        <f t="shared" si="332"/>
        <v>8.4497155628593234E-3</v>
      </c>
      <c r="KX93" s="12" t="s">
        <v>37</v>
      </c>
      <c r="KY93" s="12" t="s">
        <v>37</v>
      </c>
      <c r="KZ93" s="13" t="s">
        <v>37</v>
      </c>
      <c r="LB93" s="12" t="s">
        <v>37</v>
      </c>
      <c r="LC93" s="12" t="s">
        <v>37</v>
      </c>
      <c r="LD93" s="13" t="s">
        <v>37</v>
      </c>
      <c r="LI93" s="12" t="s">
        <v>37</v>
      </c>
      <c r="LJ93" s="12" t="s">
        <v>37</v>
      </c>
      <c r="LK93" s="12" t="s">
        <v>37</v>
      </c>
      <c r="LM93" s="12" t="s">
        <v>37</v>
      </c>
      <c r="LN93" s="12" t="s">
        <v>37</v>
      </c>
      <c r="LO93" s="12" t="s">
        <v>37</v>
      </c>
      <c r="LU93" s="12" t="s">
        <v>37</v>
      </c>
      <c r="LV93" s="12" t="s">
        <v>37</v>
      </c>
      <c r="LW93" s="13" t="s">
        <v>37</v>
      </c>
      <c r="LY93" s="12" t="s">
        <v>37</v>
      </c>
      <c r="LZ93" s="12" t="s">
        <v>37</v>
      </c>
      <c r="MA93" s="12" t="s">
        <v>37</v>
      </c>
      <c r="MF93" s="12" t="s">
        <v>37</v>
      </c>
      <c r="MG93" s="12" t="s">
        <v>37</v>
      </c>
      <c r="MH93" s="12" t="s">
        <v>37</v>
      </c>
      <c r="MJ93" s="12" t="s">
        <v>37</v>
      </c>
      <c r="MK93" s="12" t="s">
        <v>37</v>
      </c>
      <c r="ML93" s="12" t="s">
        <v>37</v>
      </c>
      <c r="MQ93" s="12" t="s">
        <v>37</v>
      </c>
      <c r="MR93" s="12" t="s">
        <v>37</v>
      </c>
      <c r="MS93" s="12" t="s">
        <v>37</v>
      </c>
      <c r="MU93" s="12" t="s">
        <v>37</v>
      </c>
      <c r="MV93" s="12" t="s">
        <v>37</v>
      </c>
      <c r="MW93" s="12" t="s">
        <v>37</v>
      </c>
      <c r="NC93" s="12" t="s">
        <v>37</v>
      </c>
      <c r="ND93" s="12" t="s">
        <v>37</v>
      </c>
      <c r="NE93" s="13" t="s">
        <v>37</v>
      </c>
      <c r="NG93" s="12" t="s">
        <v>37</v>
      </c>
      <c r="NH93" s="12" t="s">
        <v>37</v>
      </c>
      <c r="NI93" s="13" t="s">
        <v>37</v>
      </c>
      <c r="NO93" s="12" t="s">
        <v>37</v>
      </c>
      <c r="NP93" s="12" t="s">
        <v>37</v>
      </c>
      <c r="NQ93" s="13" t="s">
        <v>37</v>
      </c>
      <c r="NS93" s="12" t="s">
        <v>37</v>
      </c>
      <c r="NT93" s="12" t="s">
        <v>37</v>
      </c>
      <c r="NU93" s="13" t="s">
        <v>37</v>
      </c>
      <c r="OA93" s="11" t="s">
        <v>37</v>
      </c>
      <c r="OB93" s="11" t="s">
        <v>37</v>
      </c>
      <c r="OC93" s="13" t="s">
        <v>37</v>
      </c>
      <c r="OE93" s="11" t="s">
        <v>37</v>
      </c>
      <c r="OF93" s="11" t="s">
        <v>37</v>
      </c>
      <c r="OG93" s="13" t="s">
        <v>37</v>
      </c>
      <c r="OM93" s="11" t="s">
        <v>37</v>
      </c>
      <c r="ON93" s="11" t="s">
        <v>37</v>
      </c>
      <c r="OO93" s="11" t="s">
        <v>37</v>
      </c>
      <c r="OP93" s="11" t="s">
        <v>37</v>
      </c>
      <c r="OQ93" s="11" t="s">
        <v>37</v>
      </c>
      <c r="OR93" s="11" t="s">
        <v>37</v>
      </c>
      <c r="OW93" s="12" t="s">
        <v>37</v>
      </c>
      <c r="OX93" s="12" t="s">
        <v>37</v>
      </c>
      <c r="OY93" s="13" t="s">
        <v>37</v>
      </c>
      <c r="OZ93" s="12" t="s">
        <v>37</v>
      </c>
      <c r="PA93" s="12" t="s">
        <v>37</v>
      </c>
      <c r="PB93" s="13" t="s">
        <v>37</v>
      </c>
      <c r="PG93" s="11" t="s">
        <v>37</v>
      </c>
      <c r="PH93" s="11" t="s">
        <v>37</v>
      </c>
      <c r="PI93" s="13" t="s">
        <v>37</v>
      </c>
      <c r="PJ93" s="11" t="s">
        <v>37</v>
      </c>
      <c r="PK93" s="11" t="s">
        <v>37</v>
      </c>
      <c r="PL93" s="13" t="s">
        <v>37</v>
      </c>
      <c r="PQ93" s="11" t="s">
        <v>37</v>
      </c>
      <c r="PR93" s="11" t="s">
        <v>37</v>
      </c>
      <c r="PS93" s="13" t="s">
        <v>37</v>
      </c>
      <c r="PT93" s="11" t="s">
        <v>37</v>
      </c>
      <c r="PU93" s="11" t="s">
        <v>37</v>
      </c>
      <c r="PV93" s="13" t="s">
        <v>37</v>
      </c>
      <c r="PZ93" s="12" t="s">
        <v>37</v>
      </c>
      <c r="QA93" s="12" t="s">
        <v>37</v>
      </c>
      <c r="QB93" s="11" t="s">
        <v>37</v>
      </c>
      <c r="QD93" s="12" t="s">
        <v>37</v>
      </c>
      <c r="QE93" s="12" t="s">
        <v>37</v>
      </c>
      <c r="QF93" s="12" t="s">
        <v>37</v>
      </c>
      <c r="QK93" s="12" t="s">
        <v>37</v>
      </c>
      <c r="QL93" s="12" t="s">
        <v>37</v>
      </c>
      <c r="QM93" s="12" t="s">
        <v>37</v>
      </c>
      <c r="QN93" s="12" t="s">
        <v>37</v>
      </c>
      <c r="QO93" s="12" t="s">
        <v>37</v>
      </c>
      <c r="QP93" s="12" t="s">
        <v>37</v>
      </c>
      <c r="QQ93" s="12"/>
      <c r="QR93" s="12"/>
      <c r="QU93" s="11" t="s">
        <v>37</v>
      </c>
      <c r="QV93" s="11" t="s">
        <v>37</v>
      </c>
      <c r="QW93" s="13" t="s">
        <v>37</v>
      </c>
      <c r="QX93" s="11" t="s">
        <v>37</v>
      </c>
      <c r="QY93" s="11" t="s">
        <v>37</v>
      </c>
      <c r="QZ93" s="13" t="s">
        <v>37</v>
      </c>
      <c r="RC93" s="12" t="s">
        <v>37</v>
      </c>
      <c r="RD93" s="12" t="s">
        <v>37</v>
      </c>
      <c r="RE93" s="13" t="s">
        <v>37</v>
      </c>
      <c r="RF93" s="12" t="s">
        <v>37</v>
      </c>
      <c r="RG93" s="12" t="s">
        <v>37</v>
      </c>
      <c r="RH93" s="13" t="s">
        <v>37</v>
      </c>
      <c r="RK93" s="11" t="s">
        <v>37</v>
      </c>
      <c r="RL93" s="11" t="s">
        <v>37</v>
      </c>
      <c r="RM93" s="11" t="s">
        <v>37</v>
      </c>
      <c r="RN93" s="11" t="s">
        <v>37</v>
      </c>
      <c r="RO93" s="11" t="s">
        <v>37</v>
      </c>
      <c r="RP93" s="11" t="s">
        <v>37</v>
      </c>
      <c r="RS93" s="11" t="s">
        <v>37</v>
      </c>
      <c r="RT93" s="11" t="s">
        <v>37</v>
      </c>
      <c r="RU93" s="11" t="s">
        <v>37</v>
      </c>
      <c r="RV93" s="11" t="s">
        <v>37</v>
      </c>
      <c r="RW93" s="11" t="s">
        <v>37</v>
      </c>
      <c r="RX93" s="11" t="s">
        <v>37</v>
      </c>
      <c r="SA93" s="11" t="s">
        <v>37</v>
      </c>
      <c r="SB93" s="11" t="s">
        <v>37</v>
      </c>
      <c r="SC93" s="13" t="s">
        <v>37</v>
      </c>
      <c r="SD93" s="11" t="s">
        <v>37</v>
      </c>
      <c r="SE93" s="11" t="s">
        <v>37</v>
      </c>
      <c r="SF93" s="13" t="s">
        <v>37</v>
      </c>
      <c r="SI93" s="12" t="s">
        <v>37</v>
      </c>
      <c r="SJ93" s="12" t="s">
        <v>37</v>
      </c>
      <c r="SK93" s="13" t="s">
        <v>37</v>
      </c>
      <c r="SM93" s="12" t="s">
        <v>37</v>
      </c>
      <c r="SN93" s="12" t="s">
        <v>37</v>
      </c>
      <c r="SO93" s="13" t="s">
        <v>37</v>
      </c>
      <c r="SU93" s="12" t="s">
        <v>37</v>
      </c>
      <c r="SV93" s="12" t="s">
        <v>37</v>
      </c>
      <c r="SW93" s="11" t="s">
        <v>37</v>
      </c>
      <c r="SX93" s="12" t="s">
        <v>37</v>
      </c>
      <c r="SY93" s="12" t="s">
        <v>37</v>
      </c>
      <c r="SZ93" s="11" t="s">
        <v>37</v>
      </c>
      <c r="TE93" s="12" t="s">
        <v>37</v>
      </c>
      <c r="TF93" s="12" t="s">
        <v>37</v>
      </c>
      <c r="TG93" s="11" t="s">
        <v>37</v>
      </c>
      <c r="TH93" s="12" t="s">
        <v>37</v>
      </c>
      <c r="TI93" s="12" t="s">
        <v>37</v>
      </c>
      <c r="TJ93" s="11" t="s">
        <v>37</v>
      </c>
      <c r="TO93" s="12" t="s">
        <v>37</v>
      </c>
      <c r="TP93" s="12" t="s">
        <v>37</v>
      </c>
      <c r="TQ93" s="11" t="s">
        <v>37</v>
      </c>
      <c r="TR93" s="12" t="s">
        <v>37</v>
      </c>
      <c r="TS93" s="12" t="s">
        <v>37</v>
      </c>
      <c r="TT93" s="11" t="s">
        <v>37</v>
      </c>
      <c r="TY93" s="12" t="s">
        <v>37</v>
      </c>
      <c r="TZ93" s="12" t="s">
        <v>37</v>
      </c>
      <c r="UA93" s="12" t="s">
        <v>37</v>
      </c>
      <c r="UB93" s="12" t="s">
        <v>37</v>
      </c>
      <c r="UC93" s="12" t="s">
        <v>37</v>
      </c>
      <c r="UD93" s="12" t="s">
        <v>37</v>
      </c>
      <c r="UE93" s="12"/>
      <c r="UF93" s="12"/>
      <c r="UI93" s="12" t="s">
        <v>37</v>
      </c>
      <c r="UJ93" s="12" t="s">
        <v>37</v>
      </c>
      <c r="UK93" s="12" t="s">
        <v>37</v>
      </c>
      <c r="UL93" s="12" t="s">
        <v>37</v>
      </c>
      <c r="UM93" s="12" t="s">
        <v>37</v>
      </c>
      <c r="UN93" s="12" t="s">
        <v>37</v>
      </c>
      <c r="UO93" s="12"/>
      <c r="UP93" s="12"/>
      <c r="UR93" s="12" t="s">
        <v>37</v>
      </c>
      <c r="US93" s="12" t="s">
        <v>37</v>
      </c>
      <c r="UT93" s="12" t="s">
        <v>37</v>
      </c>
      <c r="UU93" s="12" t="s">
        <v>37</v>
      </c>
      <c r="UV93" s="12" t="s">
        <v>37</v>
      </c>
      <c r="UW93" s="12" t="s">
        <v>37</v>
      </c>
      <c r="UX93" s="12"/>
      <c r="UY93" s="12"/>
      <c r="VB93" s="12" t="s">
        <v>37</v>
      </c>
      <c r="VC93" s="12" t="s">
        <v>37</v>
      </c>
      <c r="VD93" s="12" t="s">
        <v>37</v>
      </c>
      <c r="VE93" s="12" t="s">
        <v>37</v>
      </c>
      <c r="VF93" s="12" t="s">
        <v>37</v>
      </c>
      <c r="VG93" s="12" t="s">
        <v>37</v>
      </c>
      <c r="VI93" s="12" t="s">
        <v>37</v>
      </c>
      <c r="VJ93" s="12" t="s">
        <v>37</v>
      </c>
      <c r="VK93" s="12" t="s">
        <v>37</v>
      </c>
      <c r="VL93" s="12" t="s">
        <v>37</v>
      </c>
      <c r="VM93" s="12" t="s">
        <v>37</v>
      </c>
      <c r="VN93" s="12" t="s">
        <v>37</v>
      </c>
      <c r="VQ93" s="13" t="s">
        <v>37</v>
      </c>
      <c r="VR93" s="13" t="s">
        <v>37</v>
      </c>
      <c r="VS93" s="13" t="s">
        <v>37</v>
      </c>
      <c r="VT93" s="13" t="s">
        <v>37</v>
      </c>
      <c r="VU93" s="13" t="s">
        <v>37</v>
      </c>
      <c r="VV93" s="13" t="s">
        <v>37</v>
      </c>
      <c r="WA93" s="13" t="s">
        <v>37</v>
      </c>
      <c r="WB93" s="13" t="s">
        <v>37</v>
      </c>
      <c r="WC93" s="13" t="s">
        <v>37</v>
      </c>
      <c r="WD93" s="13" t="s">
        <v>37</v>
      </c>
      <c r="WE93" s="13" t="s">
        <v>37</v>
      </c>
      <c r="WF93" s="13" t="s">
        <v>37</v>
      </c>
    </row>
    <row r="94" spans="1:604" ht="18" customHeight="1" x14ac:dyDescent="0.4">
      <c r="A94" s="51">
        <v>22</v>
      </c>
      <c r="B94" s="15" t="s">
        <v>140</v>
      </c>
      <c r="C94" s="12" t="s">
        <v>26</v>
      </c>
      <c r="D94" s="12" t="s">
        <v>54</v>
      </c>
      <c r="E94" s="40" t="s">
        <v>37</v>
      </c>
      <c r="F94" s="14">
        <v>0</v>
      </c>
      <c r="G94" s="14">
        <v>0</v>
      </c>
      <c r="H94" s="12" t="s">
        <v>123</v>
      </c>
      <c r="I94" s="29">
        <v>61.783000000000001</v>
      </c>
      <c r="J94" s="29">
        <v>24.3</v>
      </c>
      <c r="K94" s="12" t="s">
        <v>706</v>
      </c>
      <c r="L94" s="12" t="s">
        <v>709</v>
      </c>
      <c r="M94" s="13" t="s">
        <v>37</v>
      </c>
      <c r="N94" s="53" t="s">
        <v>37</v>
      </c>
      <c r="O94" s="53" t="s">
        <v>37</v>
      </c>
      <c r="P94" s="53" t="s">
        <v>84</v>
      </c>
      <c r="Q94" s="75">
        <v>42</v>
      </c>
      <c r="R94" s="11" t="s">
        <v>1000</v>
      </c>
      <c r="S94" s="12" t="s">
        <v>93</v>
      </c>
      <c r="T94" s="12" t="s">
        <v>141</v>
      </c>
      <c r="U94" s="12" t="s">
        <v>163</v>
      </c>
      <c r="V94" s="12" t="s">
        <v>275</v>
      </c>
      <c r="W94" s="23" t="s">
        <v>512</v>
      </c>
      <c r="X94" s="12" t="s">
        <v>281</v>
      </c>
      <c r="Y94" s="12" t="s">
        <v>69</v>
      </c>
      <c r="Z94" s="12" t="s">
        <v>37</v>
      </c>
      <c r="AA94" s="32" t="s">
        <v>345</v>
      </c>
      <c r="AB94" s="12">
        <v>4.3</v>
      </c>
      <c r="AE94" s="12" t="s">
        <v>37</v>
      </c>
      <c r="AF94" s="12" t="s">
        <v>42</v>
      </c>
      <c r="AG94" s="32" t="s">
        <v>345</v>
      </c>
      <c r="AH94" s="12">
        <v>5</v>
      </c>
      <c r="AK94" s="12" t="s">
        <v>37</v>
      </c>
      <c r="AL94" s="32">
        <v>1991</v>
      </c>
      <c r="AM94" s="13" t="s">
        <v>344</v>
      </c>
      <c r="AO94" s="54" t="s">
        <v>37</v>
      </c>
      <c r="AP94" s="11" t="s">
        <v>167</v>
      </c>
      <c r="AQ94" s="12" t="s">
        <v>975</v>
      </c>
      <c r="AT94" s="12" t="s">
        <v>326</v>
      </c>
      <c r="AU94" s="12" t="s">
        <v>326</v>
      </c>
      <c r="AV94" s="13" t="s">
        <v>326</v>
      </c>
      <c r="AX94" s="12" t="s">
        <v>326</v>
      </c>
      <c r="AY94" s="12" t="s">
        <v>326</v>
      </c>
      <c r="AZ94" s="13" t="s">
        <v>326</v>
      </c>
      <c r="BE94" s="12" t="s">
        <v>326</v>
      </c>
      <c r="BF94" s="12" t="s">
        <v>326</v>
      </c>
      <c r="BG94" s="12" t="s">
        <v>326</v>
      </c>
      <c r="BI94" s="12" t="s">
        <v>326</v>
      </c>
      <c r="BJ94" s="12" t="s">
        <v>326</v>
      </c>
      <c r="BK94" s="12" t="s">
        <v>326</v>
      </c>
      <c r="BP94" s="12" t="s">
        <v>37</v>
      </c>
      <c r="BQ94" s="12" t="s">
        <v>37</v>
      </c>
      <c r="BR94" s="13" t="s">
        <v>37</v>
      </c>
      <c r="BT94" s="12" t="s">
        <v>37</v>
      </c>
      <c r="BU94" s="12" t="s">
        <v>37</v>
      </c>
      <c r="BV94" s="12" t="s">
        <v>37</v>
      </c>
      <c r="CA94" s="12" t="s">
        <v>37</v>
      </c>
      <c r="CB94" s="12" t="s">
        <v>37</v>
      </c>
      <c r="CC94" s="13" t="s">
        <v>37</v>
      </c>
      <c r="CE94" s="12" t="s">
        <v>37</v>
      </c>
      <c r="CF94" s="12" t="s">
        <v>37</v>
      </c>
      <c r="CG94" s="13" t="s">
        <v>37</v>
      </c>
      <c r="CI94" s="52"/>
      <c r="CJ94" s="12"/>
      <c r="CK94" s="73"/>
      <c r="CL94" s="73"/>
      <c r="CN94" s="12" t="s">
        <v>37</v>
      </c>
      <c r="CO94" s="12" t="s">
        <v>37</v>
      </c>
      <c r="CP94" s="13" t="s">
        <v>37</v>
      </c>
      <c r="CR94" s="12" t="s">
        <v>37</v>
      </c>
      <c r="CS94" s="12" t="s">
        <v>37</v>
      </c>
      <c r="CT94" s="13" t="s">
        <v>37</v>
      </c>
      <c r="CV94" s="52"/>
      <c r="CW94" s="52"/>
      <c r="CX94" s="73"/>
      <c r="CY94" s="73"/>
      <c r="DA94" s="12" t="s">
        <v>37</v>
      </c>
      <c r="DB94" s="12" t="s">
        <v>37</v>
      </c>
      <c r="DC94" s="13" t="s">
        <v>37</v>
      </c>
      <c r="DE94" s="12" t="s">
        <v>37</v>
      </c>
      <c r="DF94" s="12" t="s">
        <v>37</v>
      </c>
      <c r="DG94" s="13" t="s">
        <v>37</v>
      </c>
      <c r="DI94" s="52"/>
      <c r="DJ94" s="52"/>
      <c r="DK94" s="73"/>
      <c r="DL94" s="73"/>
      <c r="DM94" s="15"/>
      <c r="DN94" s="52" t="s">
        <v>37</v>
      </c>
      <c r="DO94" s="15" t="s">
        <v>37</v>
      </c>
      <c r="DP94" s="18" t="s">
        <v>37</v>
      </c>
      <c r="DQ94" s="52"/>
      <c r="DR94" s="52" t="s">
        <v>37</v>
      </c>
      <c r="DS94" s="15" t="s">
        <v>37</v>
      </c>
      <c r="DT94" s="18" t="s">
        <v>37</v>
      </c>
      <c r="DU94" s="52"/>
      <c r="DV94" s="52"/>
      <c r="DW94" s="52"/>
      <c r="DZ94" s="15" t="s">
        <v>47</v>
      </c>
      <c r="EA94" s="52">
        <f>0.01*44/28</f>
        <v>1.5714285714285715E-2</v>
      </c>
      <c r="EB94" s="50">
        <f t="shared" si="317"/>
        <v>9.0356781150237736E-2</v>
      </c>
      <c r="EC94" s="73">
        <v>3</v>
      </c>
      <c r="ED94" s="52"/>
      <c r="EE94" s="52">
        <f>0.011*44/28</f>
        <v>1.7285714285714286E-2</v>
      </c>
      <c r="EF94" s="50">
        <f t="shared" si="318"/>
        <v>2.5809980740261605E-2</v>
      </c>
      <c r="EG94" s="18">
        <v>3</v>
      </c>
      <c r="EH94" s="52"/>
      <c r="EI94" s="19">
        <f>EE94-EA94</f>
        <v>1.5714285714285708E-3</v>
      </c>
      <c r="EJ94" s="12">
        <f t="shared" si="309"/>
        <v>6.6447358885228208E-2</v>
      </c>
      <c r="EK94" s="19">
        <f t="shared" si="310"/>
        <v>2.9435010018815438E-3</v>
      </c>
      <c r="EL94" s="19">
        <f t="shared" si="311"/>
        <v>2.9435010018815442E-3</v>
      </c>
      <c r="EM94" s="12" t="s">
        <v>39</v>
      </c>
      <c r="EN94" s="12">
        <v>-10.75</v>
      </c>
      <c r="EO94" s="12">
        <v>1.853</v>
      </c>
      <c r="EP94" s="13">
        <v>3</v>
      </c>
      <c r="EQ94" s="19">
        <f t="shared" si="320"/>
        <v>0.17237209302325582</v>
      </c>
      <c r="ER94" s="12">
        <v>-20.14</v>
      </c>
      <c r="ES94" s="12">
        <v>1.87</v>
      </c>
      <c r="ET94" s="13">
        <v>3</v>
      </c>
      <c r="EU94" s="19">
        <f t="shared" si="321"/>
        <v>9.2850049652432973E-2</v>
      </c>
      <c r="EV94" s="19">
        <f t="shared" si="312"/>
        <v>-9.39</v>
      </c>
      <c r="EW94" s="12">
        <f t="shared" si="313"/>
        <v>1.8615194062915381</v>
      </c>
      <c r="EX94" s="19">
        <f t="shared" si="314"/>
        <v>2.3101696666666669</v>
      </c>
      <c r="EY94" s="19">
        <f t="shared" si="315"/>
        <v>2.3101696666666669</v>
      </c>
      <c r="FB94" s="12" t="s">
        <v>37</v>
      </c>
      <c r="FC94" s="12" t="s">
        <v>37</v>
      </c>
      <c r="FD94" s="11" t="s">
        <v>37</v>
      </c>
      <c r="FE94" s="12" t="s">
        <v>37</v>
      </c>
      <c r="FF94" s="20" t="s">
        <v>37</v>
      </c>
      <c r="FG94" s="11" t="s">
        <v>37</v>
      </c>
      <c r="FI94" s="12" t="s">
        <v>37</v>
      </c>
      <c r="FJ94" s="12" t="s">
        <v>37</v>
      </c>
      <c r="FK94" s="11" t="s">
        <v>37</v>
      </c>
      <c r="FL94" s="13" t="s">
        <v>37</v>
      </c>
      <c r="FM94" s="11" t="s">
        <v>37</v>
      </c>
      <c r="FN94" s="11" t="s">
        <v>37</v>
      </c>
      <c r="FP94" s="12" t="s">
        <v>37</v>
      </c>
      <c r="FQ94" s="12" t="s">
        <v>37</v>
      </c>
      <c r="FR94" s="11" t="s">
        <v>37</v>
      </c>
      <c r="FS94" s="13" t="s">
        <v>37</v>
      </c>
      <c r="FT94" s="11" t="s">
        <v>37</v>
      </c>
      <c r="FU94" s="11" t="s">
        <v>37</v>
      </c>
      <c r="FW94" s="12" t="s">
        <v>37</v>
      </c>
      <c r="FX94" s="12" t="s">
        <v>37</v>
      </c>
      <c r="FY94" s="11" t="s">
        <v>37</v>
      </c>
      <c r="FZ94" s="13" t="s">
        <v>37</v>
      </c>
      <c r="GA94" s="11" t="s">
        <v>37</v>
      </c>
      <c r="GB94" s="11" t="s">
        <v>37</v>
      </c>
      <c r="GO94" s="12" t="s">
        <v>660</v>
      </c>
      <c r="GP94" s="12" t="s">
        <v>345</v>
      </c>
      <c r="GQ94" s="12">
        <v>9.1</v>
      </c>
      <c r="GR94" s="12">
        <v>1.18</v>
      </c>
      <c r="GS94" s="13">
        <v>3</v>
      </c>
      <c r="GT94" s="19">
        <f t="shared" si="322"/>
        <v>0.12967032967032968</v>
      </c>
      <c r="GU94" s="12">
        <v>10.32</v>
      </c>
      <c r="GV94" s="12">
        <v>1.1399999999999999</v>
      </c>
      <c r="GW94" s="13">
        <v>3</v>
      </c>
      <c r="GX94" s="19">
        <f t="shared" si="323"/>
        <v>0.11046511627906976</v>
      </c>
      <c r="GY94" s="19">
        <f t="shared" si="324"/>
        <v>0.12580934653061229</v>
      </c>
      <c r="GZ94" s="19">
        <f t="shared" si="325"/>
        <v>9.672312103786794E-3</v>
      </c>
      <c r="IK94" s="12" t="s">
        <v>37</v>
      </c>
      <c r="IL94" s="12" t="s">
        <v>37</v>
      </c>
      <c r="IM94" s="12" t="s">
        <v>37</v>
      </c>
      <c r="IO94" s="12" t="s">
        <v>37</v>
      </c>
      <c r="IP94" s="12" t="s">
        <v>37</v>
      </c>
      <c r="IQ94" s="12" t="s">
        <v>37</v>
      </c>
      <c r="IV94" s="32" t="s">
        <v>345</v>
      </c>
      <c r="IW94" s="12">
        <v>4.3</v>
      </c>
      <c r="IX94" s="50">
        <f t="shared" si="316"/>
        <v>0.15743479330049948</v>
      </c>
      <c r="IY94" s="13">
        <v>3</v>
      </c>
      <c r="JA94" s="12">
        <v>4.0999999999999996</v>
      </c>
      <c r="JB94" s="50">
        <f t="shared" si="326"/>
        <v>0.1148361160213813</v>
      </c>
      <c r="JC94" s="13">
        <v>3</v>
      </c>
      <c r="JE94" s="19">
        <f t="shared" si="327"/>
        <v>-4.7628048989254705E-2</v>
      </c>
      <c r="JF94" s="19">
        <f t="shared" si="328"/>
        <v>7.083287641133075E-4</v>
      </c>
      <c r="JH94" s="12" t="s">
        <v>37</v>
      </c>
      <c r="JI94" s="12" t="s">
        <v>37</v>
      </c>
      <c r="JJ94" s="13" t="s">
        <v>37</v>
      </c>
      <c r="JL94" s="12" t="s">
        <v>37</v>
      </c>
      <c r="JM94" s="12" t="s">
        <v>37</v>
      </c>
      <c r="JN94" s="12" t="s">
        <v>37</v>
      </c>
      <c r="JS94" s="12" t="s">
        <v>37</v>
      </c>
      <c r="JT94" s="12" t="s">
        <v>37</v>
      </c>
      <c r="JU94" s="13" t="s">
        <v>37</v>
      </c>
      <c r="JW94" s="12" t="s">
        <v>37</v>
      </c>
      <c r="JX94" s="12" t="s">
        <v>37</v>
      </c>
      <c r="JY94" s="12" t="s">
        <v>37</v>
      </c>
      <c r="KE94" s="11" t="s">
        <v>37</v>
      </c>
      <c r="KF94" s="11" t="s">
        <v>37</v>
      </c>
      <c r="KG94" s="13" t="s">
        <v>37</v>
      </c>
      <c r="KH94" s="11" t="s">
        <v>37</v>
      </c>
      <c r="KI94" s="11" t="s">
        <v>37</v>
      </c>
      <c r="KJ94" s="11" t="s">
        <v>37</v>
      </c>
      <c r="KK94" s="12" t="s">
        <v>42</v>
      </c>
      <c r="KL94" s="32" t="s">
        <v>345</v>
      </c>
      <c r="KM94" s="12">
        <v>5</v>
      </c>
      <c r="KN94" s="50">
        <f t="shared" si="329"/>
        <v>0.59646520692429739</v>
      </c>
      <c r="KO94" s="11">
        <v>3</v>
      </c>
      <c r="KQ94" s="12">
        <v>5</v>
      </c>
      <c r="KR94" s="50">
        <f t="shared" si="330"/>
        <v>0.52721715084318377</v>
      </c>
      <c r="KS94" s="13">
        <v>3</v>
      </c>
      <c r="KU94" s="19">
        <f t="shared" si="331"/>
        <v>0</v>
      </c>
      <c r="KV94" s="19">
        <f t="shared" si="332"/>
        <v>8.4497155628593234E-3</v>
      </c>
      <c r="KX94" s="12" t="s">
        <v>37</v>
      </c>
      <c r="KY94" s="12" t="s">
        <v>37</v>
      </c>
      <c r="KZ94" s="13" t="s">
        <v>37</v>
      </c>
      <c r="LB94" s="12" t="s">
        <v>37</v>
      </c>
      <c r="LC94" s="12" t="s">
        <v>37</v>
      </c>
      <c r="LD94" s="13" t="s">
        <v>37</v>
      </c>
      <c r="LI94" s="12" t="s">
        <v>37</v>
      </c>
      <c r="LJ94" s="12" t="s">
        <v>37</v>
      </c>
      <c r="LK94" s="12" t="s">
        <v>37</v>
      </c>
      <c r="LM94" s="12" t="s">
        <v>37</v>
      </c>
      <c r="LN94" s="12" t="s">
        <v>37</v>
      </c>
      <c r="LO94" s="12" t="s">
        <v>37</v>
      </c>
      <c r="LU94" s="12" t="s">
        <v>37</v>
      </c>
      <c r="LV94" s="12" t="s">
        <v>37</v>
      </c>
      <c r="LW94" s="13" t="s">
        <v>37</v>
      </c>
      <c r="LY94" s="12" t="s">
        <v>37</v>
      </c>
      <c r="LZ94" s="12" t="s">
        <v>37</v>
      </c>
      <c r="MA94" s="12" t="s">
        <v>37</v>
      </c>
      <c r="MF94" s="12" t="s">
        <v>37</v>
      </c>
      <c r="MG94" s="12" t="s">
        <v>37</v>
      </c>
      <c r="MH94" s="12" t="s">
        <v>37</v>
      </c>
      <c r="MJ94" s="12" t="s">
        <v>37</v>
      </c>
      <c r="MK94" s="12" t="s">
        <v>37</v>
      </c>
      <c r="ML94" s="12" t="s">
        <v>37</v>
      </c>
      <c r="MQ94" s="12" t="s">
        <v>37</v>
      </c>
      <c r="MR94" s="12" t="s">
        <v>37</v>
      </c>
      <c r="MS94" s="12" t="s">
        <v>37</v>
      </c>
      <c r="MU94" s="12" t="s">
        <v>37</v>
      </c>
      <c r="MV94" s="12" t="s">
        <v>37</v>
      </c>
      <c r="MW94" s="12" t="s">
        <v>37</v>
      </c>
      <c r="NC94" s="12" t="s">
        <v>37</v>
      </c>
      <c r="ND94" s="12" t="s">
        <v>37</v>
      </c>
      <c r="NE94" s="13" t="s">
        <v>37</v>
      </c>
      <c r="NG94" s="12" t="s">
        <v>37</v>
      </c>
      <c r="NH94" s="12" t="s">
        <v>37</v>
      </c>
      <c r="NI94" s="13" t="s">
        <v>37</v>
      </c>
      <c r="NO94" s="12" t="s">
        <v>37</v>
      </c>
      <c r="NP94" s="12" t="s">
        <v>37</v>
      </c>
      <c r="NQ94" s="13" t="s">
        <v>37</v>
      </c>
      <c r="NS94" s="12" t="s">
        <v>37</v>
      </c>
      <c r="NT94" s="12" t="s">
        <v>37</v>
      </c>
      <c r="NU94" s="13" t="s">
        <v>37</v>
      </c>
      <c r="OA94" s="11" t="s">
        <v>37</v>
      </c>
      <c r="OB94" s="11" t="s">
        <v>37</v>
      </c>
      <c r="OC94" s="13" t="s">
        <v>37</v>
      </c>
      <c r="OE94" s="11" t="s">
        <v>37</v>
      </c>
      <c r="OF94" s="11" t="s">
        <v>37</v>
      </c>
      <c r="OG94" s="13" t="s">
        <v>37</v>
      </c>
      <c r="OM94" s="11" t="s">
        <v>37</v>
      </c>
      <c r="ON94" s="11" t="s">
        <v>37</v>
      </c>
      <c r="OO94" s="11" t="s">
        <v>37</v>
      </c>
      <c r="OP94" s="11" t="s">
        <v>37</v>
      </c>
      <c r="OQ94" s="11" t="s">
        <v>37</v>
      </c>
      <c r="OR94" s="11" t="s">
        <v>37</v>
      </c>
      <c r="OW94" s="12" t="s">
        <v>37</v>
      </c>
      <c r="OX94" s="12" t="s">
        <v>37</v>
      </c>
      <c r="OY94" s="13" t="s">
        <v>37</v>
      </c>
      <c r="OZ94" s="12" t="s">
        <v>37</v>
      </c>
      <c r="PA94" s="12" t="s">
        <v>37</v>
      </c>
      <c r="PB94" s="13" t="s">
        <v>37</v>
      </c>
      <c r="PG94" s="11" t="s">
        <v>37</v>
      </c>
      <c r="PH94" s="11" t="s">
        <v>37</v>
      </c>
      <c r="PI94" s="13" t="s">
        <v>37</v>
      </c>
      <c r="PJ94" s="11" t="s">
        <v>37</v>
      </c>
      <c r="PK94" s="11" t="s">
        <v>37</v>
      </c>
      <c r="PL94" s="13" t="s">
        <v>37</v>
      </c>
      <c r="PQ94" s="11" t="s">
        <v>37</v>
      </c>
      <c r="PR94" s="11" t="s">
        <v>37</v>
      </c>
      <c r="PS94" s="13" t="s">
        <v>37</v>
      </c>
      <c r="PT94" s="11" t="s">
        <v>37</v>
      </c>
      <c r="PU94" s="11" t="s">
        <v>37</v>
      </c>
      <c r="PV94" s="13" t="s">
        <v>37</v>
      </c>
      <c r="PZ94" s="12" t="s">
        <v>37</v>
      </c>
      <c r="QA94" s="12" t="s">
        <v>37</v>
      </c>
      <c r="QB94" s="11" t="s">
        <v>37</v>
      </c>
      <c r="QD94" s="12" t="s">
        <v>37</v>
      </c>
      <c r="QE94" s="12" t="s">
        <v>37</v>
      </c>
      <c r="QF94" s="12" t="s">
        <v>37</v>
      </c>
      <c r="QK94" s="12" t="s">
        <v>37</v>
      </c>
      <c r="QL94" s="12" t="s">
        <v>37</v>
      </c>
      <c r="QM94" s="12" t="s">
        <v>37</v>
      </c>
      <c r="QN94" s="12" t="s">
        <v>37</v>
      </c>
      <c r="QO94" s="12" t="s">
        <v>37</v>
      </c>
      <c r="QP94" s="12" t="s">
        <v>37</v>
      </c>
      <c r="QQ94" s="12"/>
      <c r="QR94" s="12"/>
      <c r="QU94" s="11" t="s">
        <v>37</v>
      </c>
      <c r="QV94" s="11" t="s">
        <v>37</v>
      </c>
      <c r="QW94" s="13" t="s">
        <v>37</v>
      </c>
      <c r="QX94" s="11" t="s">
        <v>37</v>
      </c>
      <c r="QY94" s="11" t="s">
        <v>37</v>
      </c>
      <c r="QZ94" s="13" t="s">
        <v>37</v>
      </c>
      <c r="RC94" s="12" t="s">
        <v>37</v>
      </c>
      <c r="RD94" s="12" t="s">
        <v>37</v>
      </c>
      <c r="RE94" s="13" t="s">
        <v>37</v>
      </c>
      <c r="RF94" s="12" t="s">
        <v>37</v>
      </c>
      <c r="RG94" s="12" t="s">
        <v>37</v>
      </c>
      <c r="RH94" s="13" t="s">
        <v>37</v>
      </c>
      <c r="RK94" s="11" t="s">
        <v>37</v>
      </c>
      <c r="RL94" s="11" t="s">
        <v>37</v>
      </c>
      <c r="RM94" s="11" t="s">
        <v>37</v>
      </c>
      <c r="RN94" s="11" t="s">
        <v>37</v>
      </c>
      <c r="RO94" s="11" t="s">
        <v>37</v>
      </c>
      <c r="RP94" s="11" t="s">
        <v>37</v>
      </c>
      <c r="RS94" s="11" t="s">
        <v>37</v>
      </c>
      <c r="RT94" s="11" t="s">
        <v>37</v>
      </c>
      <c r="RU94" s="11" t="s">
        <v>37</v>
      </c>
      <c r="RV94" s="11" t="s">
        <v>37</v>
      </c>
      <c r="RW94" s="11" t="s">
        <v>37</v>
      </c>
      <c r="RX94" s="11" t="s">
        <v>37</v>
      </c>
      <c r="SA94" s="11" t="s">
        <v>37</v>
      </c>
      <c r="SB94" s="11" t="s">
        <v>37</v>
      </c>
      <c r="SC94" s="13" t="s">
        <v>37</v>
      </c>
      <c r="SD94" s="11" t="s">
        <v>37</v>
      </c>
      <c r="SE94" s="11" t="s">
        <v>37</v>
      </c>
      <c r="SF94" s="13" t="s">
        <v>37</v>
      </c>
      <c r="SI94" s="12" t="s">
        <v>37</v>
      </c>
      <c r="SJ94" s="12" t="s">
        <v>37</v>
      </c>
      <c r="SK94" s="13" t="s">
        <v>37</v>
      </c>
      <c r="SM94" s="12" t="s">
        <v>37</v>
      </c>
      <c r="SN94" s="12" t="s">
        <v>37</v>
      </c>
      <c r="SO94" s="13" t="s">
        <v>37</v>
      </c>
      <c r="SU94" s="12" t="s">
        <v>37</v>
      </c>
      <c r="SV94" s="12" t="s">
        <v>37</v>
      </c>
      <c r="SW94" s="11" t="s">
        <v>37</v>
      </c>
      <c r="SX94" s="12" t="s">
        <v>37</v>
      </c>
      <c r="SY94" s="12" t="s">
        <v>37</v>
      </c>
      <c r="SZ94" s="11" t="s">
        <v>37</v>
      </c>
      <c r="TE94" s="12" t="s">
        <v>37</v>
      </c>
      <c r="TF94" s="12" t="s">
        <v>37</v>
      </c>
      <c r="TG94" s="11" t="s">
        <v>37</v>
      </c>
      <c r="TH94" s="12" t="s">
        <v>37</v>
      </c>
      <c r="TI94" s="12" t="s">
        <v>37</v>
      </c>
      <c r="TJ94" s="11" t="s">
        <v>37</v>
      </c>
      <c r="TO94" s="12" t="s">
        <v>37</v>
      </c>
      <c r="TP94" s="12" t="s">
        <v>37</v>
      </c>
      <c r="TQ94" s="11" t="s">
        <v>37</v>
      </c>
      <c r="TR94" s="12" t="s">
        <v>37</v>
      </c>
      <c r="TS94" s="12" t="s">
        <v>37</v>
      </c>
      <c r="TT94" s="11" t="s">
        <v>37</v>
      </c>
      <c r="TY94" s="12" t="s">
        <v>37</v>
      </c>
      <c r="TZ94" s="12" t="s">
        <v>37</v>
      </c>
      <c r="UA94" s="12" t="s">
        <v>37</v>
      </c>
      <c r="UB94" s="12" t="s">
        <v>37</v>
      </c>
      <c r="UC94" s="12" t="s">
        <v>37</v>
      </c>
      <c r="UD94" s="12" t="s">
        <v>37</v>
      </c>
      <c r="UE94" s="12"/>
      <c r="UF94" s="12"/>
      <c r="UI94" s="12" t="s">
        <v>37</v>
      </c>
      <c r="UJ94" s="12" t="s">
        <v>37</v>
      </c>
      <c r="UK94" s="12" t="s">
        <v>37</v>
      </c>
      <c r="UL94" s="12" t="s">
        <v>37</v>
      </c>
      <c r="UM94" s="12" t="s">
        <v>37</v>
      </c>
      <c r="UN94" s="12" t="s">
        <v>37</v>
      </c>
      <c r="UO94" s="12"/>
      <c r="UP94" s="12"/>
      <c r="UR94" s="12" t="s">
        <v>37</v>
      </c>
      <c r="US94" s="12" t="s">
        <v>37</v>
      </c>
      <c r="UT94" s="12" t="s">
        <v>37</v>
      </c>
      <c r="UU94" s="12" t="s">
        <v>37</v>
      </c>
      <c r="UV94" s="12" t="s">
        <v>37</v>
      </c>
      <c r="UW94" s="12" t="s">
        <v>37</v>
      </c>
      <c r="UX94" s="12"/>
      <c r="UY94" s="12"/>
      <c r="VB94" s="12" t="s">
        <v>37</v>
      </c>
      <c r="VC94" s="12" t="s">
        <v>37</v>
      </c>
      <c r="VD94" s="12" t="s">
        <v>37</v>
      </c>
      <c r="VE94" s="12" t="s">
        <v>37</v>
      </c>
      <c r="VF94" s="12" t="s">
        <v>37</v>
      </c>
      <c r="VG94" s="12" t="s">
        <v>37</v>
      </c>
      <c r="VI94" s="12" t="s">
        <v>37</v>
      </c>
      <c r="VJ94" s="12" t="s">
        <v>37</v>
      </c>
      <c r="VK94" s="12" t="s">
        <v>37</v>
      </c>
      <c r="VL94" s="12" t="s">
        <v>37</v>
      </c>
      <c r="VM94" s="12" t="s">
        <v>37</v>
      </c>
      <c r="VN94" s="12" t="s">
        <v>37</v>
      </c>
      <c r="VQ94" s="13" t="s">
        <v>37</v>
      </c>
      <c r="VR94" s="13" t="s">
        <v>37</v>
      </c>
      <c r="VS94" s="13" t="s">
        <v>37</v>
      </c>
      <c r="VT94" s="13" t="s">
        <v>37</v>
      </c>
      <c r="VU94" s="13" t="s">
        <v>37</v>
      </c>
      <c r="VV94" s="13" t="s">
        <v>37</v>
      </c>
      <c r="WA94" s="13" t="s">
        <v>37</v>
      </c>
      <c r="WB94" s="13" t="s">
        <v>37</v>
      </c>
      <c r="WC94" s="13" t="s">
        <v>37</v>
      </c>
      <c r="WD94" s="13" t="s">
        <v>37</v>
      </c>
      <c r="WE94" s="13" t="s">
        <v>37</v>
      </c>
      <c r="WF94" s="13" t="s">
        <v>37</v>
      </c>
    </row>
    <row r="95" spans="1:604" ht="18" customHeight="1" x14ac:dyDescent="0.4">
      <c r="A95" s="51">
        <v>22</v>
      </c>
      <c r="B95" s="15" t="s">
        <v>140</v>
      </c>
      <c r="C95" s="12" t="s">
        <v>26</v>
      </c>
      <c r="D95" s="12" t="s">
        <v>54</v>
      </c>
      <c r="E95" s="40" t="s">
        <v>37</v>
      </c>
      <c r="F95" s="14">
        <v>0</v>
      </c>
      <c r="G95" s="14">
        <v>0</v>
      </c>
      <c r="H95" s="12" t="s">
        <v>123</v>
      </c>
      <c r="I95" s="29">
        <v>61.783000000000001</v>
      </c>
      <c r="J95" s="29">
        <v>24.3</v>
      </c>
      <c r="K95" s="12" t="s">
        <v>706</v>
      </c>
      <c r="L95" s="12" t="s">
        <v>709</v>
      </c>
      <c r="M95" s="13" t="s">
        <v>37</v>
      </c>
      <c r="N95" s="53" t="s">
        <v>37</v>
      </c>
      <c r="O95" s="53" t="s">
        <v>37</v>
      </c>
      <c r="P95" s="53" t="s">
        <v>84</v>
      </c>
      <c r="Q95" s="75">
        <v>43</v>
      </c>
      <c r="R95" s="11" t="s">
        <v>1000</v>
      </c>
      <c r="S95" s="12" t="s">
        <v>93</v>
      </c>
      <c r="T95" s="12" t="s">
        <v>141</v>
      </c>
      <c r="U95" s="12" t="s">
        <v>163</v>
      </c>
      <c r="V95" s="12" t="s">
        <v>275</v>
      </c>
      <c r="W95" s="23" t="s">
        <v>512</v>
      </c>
      <c r="X95" s="12" t="s">
        <v>281</v>
      </c>
      <c r="Y95" s="12" t="s">
        <v>69</v>
      </c>
      <c r="Z95" s="12" t="s">
        <v>37</v>
      </c>
      <c r="AA95" s="32" t="s">
        <v>345</v>
      </c>
      <c r="AB95" s="12">
        <v>4.3</v>
      </c>
      <c r="AE95" s="12" t="s">
        <v>37</v>
      </c>
      <c r="AF95" s="12" t="s">
        <v>42</v>
      </c>
      <c r="AG95" s="32" t="s">
        <v>345</v>
      </c>
      <c r="AH95" s="12">
        <v>5</v>
      </c>
      <c r="AK95" s="12" t="s">
        <v>37</v>
      </c>
      <c r="AL95" s="32">
        <v>1992</v>
      </c>
      <c r="AM95" s="13" t="s">
        <v>344</v>
      </c>
      <c r="AO95" s="54" t="s">
        <v>37</v>
      </c>
      <c r="AP95" s="11" t="s">
        <v>167</v>
      </c>
      <c r="AQ95" s="12" t="s">
        <v>975</v>
      </c>
      <c r="AT95" s="12" t="s">
        <v>326</v>
      </c>
      <c r="AU95" s="12" t="s">
        <v>326</v>
      </c>
      <c r="AV95" s="13" t="s">
        <v>326</v>
      </c>
      <c r="AX95" s="12" t="s">
        <v>326</v>
      </c>
      <c r="AY95" s="12" t="s">
        <v>326</v>
      </c>
      <c r="AZ95" s="13" t="s">
        <v>326</v>
      </c>
      <c r="BE95" s="12" t="s">
        <v>326</v>
      </c>
      <c r="BF95" s="12" t="s">
        <v>326</v>
      </c>
      <c r="BG95" s="12" t="s">
        <v>326</v>
      </c>
      <c r="BI95" s="12" t="s">
        <v>326</v>
      </c>
      <c r="BJ95" s="12" t="s">
        <v>326</v>
      </c>
      <c r="BK95" s="12" t="s">
        <v>326</v>
      </c>
      <c r="BP95" s="12" t="s">
        <v>37</v>
      </c>
      <c r="BQ95" s="12" t="s">
        <v>37</v>
      </c>
      <c r="BR95" s="13" t="s">
        <v>37</v>
      </c>
      <c r="BT95" s="12" t="s">
        <v>37</v>
      </c>
      <c r="BU95" s="12" t="s">
        <v>37</v>
      </c>
      <c r="BV95" s="12" t="s">
        <v>37</v>
      </c>
      <c r="CA95" s="12" t="s">
        <v>37</v>
      </c>
      <c r="CB95" s="12" t="s">
        <v>37</v>
      </c>
      <c r="CC95" s="13" t="s">
        <v>37</v>
      </c>
      <c r="CE95" s="12" t="s">
        <v>37</v>
      </c>
      <c r="CF95" s="12" t="s">
        <v>37</v>
      </c>
      <c r="CG95" s="13" t="s">
        <v>37</v>
      </c>
      <c r="CI95" s="52"/>
      <c r="CJ95" s="12"/>
      <c r="CK95" s="73"/>
      <c r="CL95" s="73"/>
      <c r="CN95" s="12" t="s">
        <v>37</v>
      </c>
      <c r="CO95" s="12" t="s">
        <v>37</v>
      </c>
      <c r="CP95" s="13" t="s">
        <v>37</v>
      </c>
      <c r="CR95" s="12" t="s">
        <v>37</v>
      </c>
      <c r="CS95" s="12" t="s">
        <v>37</v>
      </c>
      <c r="CT95" s="13" t="s">
        <v>37</v>
      </c>
      <c r="CV95" s="52"/>
      <c r="CW95" s="52"/>
      <c r="CX95" s="73"/>
      <c r="CY95" s="73"/>
      <c r="DA95" s="12" t="s">
        <v>37</v>
      </c>
      <c r="DB95" s="12" t="s">
        <v>37</v>
      </c>
      <c r="DC95" s="13" t="s">
        <v>37</v>
      </c>
      <c r="DE95" s="12" t="s">
        <v>37</v>
      </c>
      <c r="DF95" s="12" t="s">
        <v>37</v>
      </c>
      <c r="DG95" s="13" t="s">
        <v>37</v>
      </c>
      <c r="DI95" s="52"/>
      <c r="DJ95" s="52"/>
      <c r="DK95" s="73"/>
      <c r="DL95" s="73"/>
      <c r="DM95" s="15"/>
      <c r="DN95" s="52" t="s">
        <v>37</v>
      </c>
      <c r="DO95" s="15" t="s">
        <v>37</v>
      </c>
      <c r="DP95" s="18" t="s">
        <v>37</v>
      </c>
      <c r="DQ95" s="52"/>
      <c r="DR95" s="52" t="s">
        <v>37</v>
      </c>
      <c r="DS95" s="15" t="s">
        <v>37</v>
      </c>
      <c r="DT95" s="18" t="s">
        <v>37</v>
      </c>
      <c r="DU95" s="52"/>
      <c r="DV95" s="52"/>
      <c r="DW95" s="52"/>
      <c r="DZ95" s="15" t="s">
        <v>47</v>
      </c>
      <c r="EA95" s="52">
        <f>0.012*44/28</f>
        <v>1.8857142857142857E-2</v>
      </c>
      <c r="EB95" s="50">
        <f t="shared" si="317"/>
        <v>0.10842813738028528</v>
      </c>
      <c r="EC95" s="73">
        <v>3</v>
      </c>
      <c r="ED95" s="52"/>
      <c r="EE95" s="52">
        <f>0.013*44/28</f>
        <v>2.0428571428571428E-2</v>
      </c>
      <c r="EF95" s="50">
        <f t="shared" si="318"/>
        <v>3.0502704511218261E-2</v>
      </c>
      <c r="EG95" s="18">
        <v>3</v>
      </c>
      <c r="EH95" s="52"/>
      <c r="EI95" s="19">
        <f t="shared" si="319"/>
        <v>1.5714285714285708E-3</v>
      </c>
      <c r="EJ95" s="12">
        <f t="shared" si="309"/>
        <v>7.9646330606804205E-2</v>
      </c>
      <c r="EK95" s="19">
        <f t="shared" si="310"/>
        <v>4.2290253194189036E-3</v>
      </c>
      <c r="EL95" s="19">
        <f t="shared" si="311"/>
        <v>4.2290253194189036E-3</v>
      </c>
      <c r="EM95" s="12" t="s">
        <v>39</v>
      </c>
      <c r="EN95" s="12">
        <v>-24.62</v>
      </c>
      <c r="EO95" s="12">
        <v>6.88</v>
      </c>
      <c r="EP95" s="13">
        <v>3</v>
      </c>
      <c r="EQ95" s="19">
        <f t="shared" si="320"/>
        <v>0.27944760357432979</v>
      </c>
      <c r="ER95" s="12">
        <v>-23.22</v>
      </c>
      <c r="ES95" s="12">
        <v>6.41</v>
      </c>
      <c r="ET95" s="13">
        <v>3</v>
      </c>
      <c r="EU95" s="19">
        <f t="shared" si="321"/>
        <v>0.27605512489233419</v>
      </c>
      <c r="EV95" s="19">
        <f t="shared" si="312"/>
        <v>1.4000000000000021</v>
      </c>
      <c r="EW95" s="12">
        <f t="shared" si="313"/>
        <v>6.6491540815354853</v>
      </c>
      <c r="EX95" s="19">
        <f t="shared" si="314"/>
        <v>29.474166666666665</v>
      </c>
      <c r="EY95" s="19">
        <f t="shared" si="315"/>
        <v>29.474166666666665</v>
      </c>
      <c r="FB95" s="12" t="s">
        <v>37</v>
      </c>
      <c r="FC95" s="12" t="s">
        <v>37</v>
      </c>
      <c r="FD95" s="11" t="s">
        <v>37</v>
      </c>
      <c r="FE95" s="12" t="s">
        <v>37</v>
      </c>
      <c r="FF95" s="20" t="s">
        <v>37</v>
      </c>
      <c r="FG95" s="11" t="s">
        <v>37</v>
      </c>
      <c r="FI95" s="12" t="s">
        <v>37</v>
      </c>
      <c r="FJ95" s="12" t="s">
        <v>37</v>
      </c>
      <c r="FK95" s="11" t="s">
        <v>37</v>
      </c>
      <c r="FL95" s="13" t="s">
        <v>37</v>
      </c>
      <c r="FM95" s="11" t="s">
        <v>37</v>
      </c>
      <c r="FN95" s="11" t="s">
        <v>37</v>
      </c>
      <c r="FP95" s="12" t="s">
        <v>37</v>
      </c>
      <c r="FQ95" s="12" t="s">
        <v>37</v>
      </c>
      <c r="FR95" s="11" t="s">
        <v>37</v>
      </c>
      <c r="FS95" s="13" t="s">
        <v>37</v>
      </c>
      <c r="FT95" s="11" t="s">
        <v>37</v>
      </c>
      <c r="FU95" s="11" t="s">
        <v>37</v>
      </c>
      <c r="FW95" s="12" t="s">
        <v>37</v>
      </c>
      <c r="FX95" s="12" t="s">
        <v>37</v>
      </c>
      <c r="FY95" s="11" t="s">
        <v>37</v>
      </c>
      <c r="FZ95" s="13" t="s">
        <v>37</v>
      </c>
      <c r="GA95" s="11" t="s">
        <v>37</v>
      </c>
      <c r="GB95" s="11" t="s">
        <v>37</v>
      </c>
      <c r="GO95" s="12" t="s">
        <v>660</v>
      </c>
      <c r="GP95" s="12" t="s">
        <v>345</v>
      </c>
      <c r="GQ95" s="12">
        <v>10.35</v>
      </c>
      <c r="GR95" s="12">
        <v>1.34</v>
      </c>
      <c r="GS95" s="13">
        <v>3</v>
      </c>
      <c r="GT95" s="19">
        <f t="shared" si="322"/>
        <v>0.12946859903381644</v>
      </c>
      <c r="GU95" s="12">
        <v>9.14</v>
      </c>
      <c r="GV95" s="12">
        <v>1.62</v>
      </c>
      <c r="GW95" s="13">
        <v>3</v>
      </c>
      <c r="GX95" s="19">
        <f t="shared" si="323"/>
        <v>0.17724288840262581</v>
      </c>
      <c r="GY95" s="19">
        <f t="shared" si="324"/>
        <v>-0.12432613424531937</v>
      </c>
      <c r="GZ95" s="19">
        <f t="shared" si="325"/>
        <v>1.6059053208361602E-2</v>
      </c>
      <c r="IK95" s="12" t="s">
        <v>37</v>
      </c>
      <c r="IL95" s="12" t="s">
        <v>37</v>
      </c>
      <c r="IM95" s="12" t="s">
        <v>37</v>
      </c>
      <c r="IO95" s="12" t="s">
        <v>37</v>
      </c>
      <c r="IP95" s="12" t="s">
        <v>37</v>
      </c>
      <c r="IQ95" s="12" t="s">
        <v>37</v>
      </c>
      <c r="IV95" s="32" t="s">
        <v>345</v>
      </c>
      <c r="IW95" s="12">
        <v>4.3</v>
      </c>
      <c r="IX95" s="50">
        <f t="shared" si="316"/>
        <v>0.15743479330049948</v>
      </c>
      <c r="IY95" s="13">
        <v>3</v>
      </c>
      <c r="JA95" s="12">
        <v>4.0999999999999996</v>
      </c>
      <c r="JB95" s="50">
        <f t="shared" si="326"/>
        <v>0.1148361160213813</v>
      </c>
      <c r="JC95" s="13">
        <v>3</v>
      </c>
      <c r="JE95" s="19">
        <f t="shared" si="327"/>
        <v>-4.7628048989254705E-2</v>
      </c>
      <c r="JF95" s="19">
        <f t="shared" si="328"/>
        <v>7.083287641133075E-4</v>
      </c>
      <c r="JH95" s="12" t="s">
        <v>37</v>
      </c>
      <c r="JI95" s="12" t="s">
        <v>37</v>
      </c>
      <c r="JJ95" s="13" t="s">
        <v>37</v>
      </c>
      <c r="JL95" s="12" t="s">
        <v>37</v>
      </c>
      <c r="JM95" s="12" t="s">
        <v>37</v>
      </c>
      <c r="JN95" s="12" t="s">
        <v>37</v>
      </c>
      <c r="JS95" s="12" t="s">
        <v>37</v>
      </c>
      <c r="JT95" s="12" t="s">
        <v>37</v>
      </c>
      <c r="JU95" s="13" t="s">
        <v>37</v>
      </c>
      <c r="JW95" s="12" t="s">
        <v>37</v>
      </c>
      <c r="JX95" s="12" t="s">
        <v>37</v>
      </c>
      <c r="JY95" s="12" t="s">
        <v>37</v>
      </c>
      <c r="KE95" s="11" t="s">
        <v>37</v>
      </c>
      <c r="KF95" s="11" t="s">
        <v>37</v>
      </c>
      <c r="KG95" s="13" t="s">
        <v>37</v>
      </c>
      <c r="KH95" s="11" t="s">
        <v>37</v>
      </c>
      <c r="KI95" s="11" t="s">
        <v>37</v>
      </c>
      <c r="KJ95" s="11" t="s">
        <v>37</v>
      </c>
      <c r="KK95" s="12" t="s">
        <v>42</v>
      </c>
      <c r="KL95" s="32" t="s">
        <v>345</v>
      </c>
      <c r="KM95" s="12">
        <v>5</v>
      </c>
      <c r="KN95" s="50">
        <f t="shared" si="329"/>
        <v>0.59646520692429739</v>
      </c>
      <c r="KO95" s="11">
        <v>3</v>
      </c>
      <c r="KQ95" s="12">
        <v>5</v>
      </c>
      <c r="KR95" s="50">
        <f t="shared" si="330"/>
        <v>0.52721715084318377</v>
      </c>
      <c r="KS95" s="13">
        <v>3</v>
      </c>
      <c r="KU95" s="19">
        <f t="shared" si="331"/>
        <v>0</v>
      </c>
      <c r="KV95" s="19">
        <f t="shared" si="332"/>
        <v>8.4497155628593234E-3</v>
      </c>
      <c r="KX95" s="12" t="s">
        <v>37</v>
      </c>
      <c r="KY95" s="12" t="s">
        <v>37</v>
      </c>
      <c r="KZ95" s="13" t="s">
        <v>37</v>
      </c>
      <c r="LB95" s="12" t="s">
        <v>37</v>
      </c>
      <c r="LC95" s="12" t="s">
        <v>37</v>
      </c>
      <c r="LD95" s="13" t="s">
        <v>37</v>
      </c>
      <c r="LI95" s="12" t="s">
        <v>37</v>
      </c>
      <c r="LJ95" s="12" t="s">
        <v>37</v>
      </c>
      <c r="LK95" s="12" t="s">
        <v>37</v>
      </c>
      <c r="LM95" s="12" t="s">
        <v>37</v>
      </c>
      <c r="LN95" s="12" t="s">
        <v>37</v>
      </c>
      <c r="LO95" s="12" t="s">
        <v>37</v>
      </c>
      <c r="LU95" s="12" t="s">
        <v>37</v>
      </c>
      <c r="LV95" s="12" t="s">
        <v>37</v>
      </c>
      <c r="LW95" s="13" t="s">
        <v>37</v>
      </c>
      <c r="LY95" s="12" t="s">
        <v>37</v>
      </c>
      <c r="LZ95" s="12" t="s">
        <v>37</v>
      </c>
      <c r="MA95" s="12" t="s">
        <v>37</v>
      </c>
      <c r="MF95" s="12" t="s">
        <v>37</v>
      </c>
      <c r="MG95" s="12" t="s">
        <v>37</v>
      </c>
      <c r="MH95" s="12" t="s">
        <v>37</v>
      </c>
      <c r="MJ95" s="12" t="s">
        <v>37</v>
      </c>
      <c r="MK95" s="12" t="s">
        <v>37</v>
      </c>
      <c r="ML95" s="12" t="s">
        <v>37</v>
      </c>
      <c r="MQ95" s="12" t="s">
        <v>37</v>
      </c>
      <c r="MR95" s="12" t="s">
        <v>37</v>
      </c>
      <c r="MS95" s="12" t="s">
        <v>37</v>
      </c>
      <c r="MU95" s="12" t="s">
        <v>37</v>
      </c>
      <c r="MV95" s="12" t="s">
        <v>37</v>
      </c>
      <c r="MW95" s="12" t="s">
        <v>37</v>
      </c>
      <c r="NC95" s="12" t="s">
        <v>37</v>
      </c>
      <c r="ND95" s="12" t="s">
        <v>37</v>
      </c>
      <c r="NE95" s="13" t="s">
        <v>37</v>
      </c>
      <c r="NG95" s="12" t="s">
        <v>37</v>
      </c>
      <c r="NH95" s="12" t="s">
        <v>37</v>
      </c>
      <c r="NI95" s="13" t="s">
        <v>37</v>
      </c>
      <c r="NO95" s="12" t="s">
        <v>37</v>
      </c>
      <c r="NP95" s="12" t="s">
        <v>37</v>
      </c>
      <c r="NQ95" s="13" t="s">
        <v>37</v>
      </c>
      <c r="NS95" s="12" t="s">
        <v>37</v>
      </c>
      <c r="NT95" s="12" t="s">
        <v>37</v>
      </c>
      <c r="NU95" s="13" t="s">
        <v>37</v>
      </c>
      <c r="OA95" s="11" t="s">
        <v>37</v>
      </c>
      <c r="OB95" s="11" t="s">
        <v>37</v>
      </c>
      <c r="OC95" s="13" t="s">
        <v>37</v>
      </c>
      <c r="OE95" s="11" t="s">
        <v>37</v>
      </c>
      <c r="OF95" s="11" t="s">
        <v>37</v>
      </c>
      <c r="OG95" s="13" t="s">
        <v>37</v>
      </c>
      <c r="OM95" s="11" t="s">
        <v>37</v>
      </c>
      <c r="ON95" s="11" t="s">
        <v>37</v>
      </c>
      <c r="OO95" s="11" t="s">
        <v>37</v>
      </c>
      <c r="OP95" s="11" t="s">
        <v>37</v>
      </c>
      <c r="OQ95" s="11" t="s">
        <v>37</v>
      </c>
      <c r="OR95" s="11" t="s">
        <v>37</v>
      </c>
      <c r="OW95" s="12" t="s">
        <v>37</v>
      </c>
      <c r="OX95" s="12" t="s">
        <v>37</v>
      </c>
      <c r="OY95" s="13" t="s">
        <v>37</v>
      </c>
      <c r="OZ95" s="12" t="s">
        <v>37</v>
      </c>
      <c r="PA95" s="12" t="s">
        <v>37</v>
      </c>
      <c r="PB95" s="13" t="s">
        <v>37</v>
      </c>
      <c r="PG95" s="11" t="s">
        <v>37</v>
      </c>
      <c r="PH95" s="11" t="s">
        <v>37</v>
      </c>
      <c r="PI95" s="13" t="s">
        <v>37</v>
      </c>
      <c r="PJ95" s="11" t="s">
        <v>37</v>
      </c>
      <c r="PK95" s="11" t="s">
        <v>37</v>
      </c>
      <c r="PL95" s="13" t="s">
        <v>37</v>
      </c>
      <c r="PQ95" s="11" t="s">
        <v>37</v>
      </c>
      <c r="PR95" s="11" t="s">
        <v>37</v>
      </c>
      <c r="PS95" s="13" t="s">
        <v>37</v>
      </c>
      <c r="PT95" s="11" t="s">
        <v>37</v>
      </c>
      <c r="PU95" s="11" t="s">
        <v>37</v>
      </c>
      <c r="PV95" s="13" t="s">
        <v>37</v>
      </c>
      <c r="PZ95" s="12" t="s">
        <v>37</v>
      </c>
      <c r="QA95" s="12" t="s">
        <v>37</v>
      </c>
      <c r="QB95" s="11" t="s">
        <v>37</v>
      </c>
      <c r="QD95" s="12" t="s">
        <v>37</v>
      </c>
      <c r="QE95" s="12" t="s">
        <v>37</v>
      </c>
      <c r="QF95" s="12" t="s">
        <v>37</v>
      </c>
      <c r="QK95" s="12" t="s">
        <v>37</v>
      </c>
      <c r="QL95" s="12" t="s">
        <v>37</v>
      </c>
      <c r="QM95" s="12" t="s">
        <v>37</v>
      </c>
      <c r="QN95" s="12" t="s">
        <v>37</v>
      </c>
      <c r="QO95" s="12" t="s">
        <v>37</v>
      </c>
      <c r="QP95" s="12" t="s">
        <v>37</v>
      </c>
      <c r="QQ95" s="12"/>
      <c r="QR95" s="12"/>
      <c r="QU95" s="11" t="s">
        <v>37</v>
      </c>
      <c r="QV95" s="11" t="s">
        <v>37</v>
      </c>
      <c r="QW95" s="13" t="s">
        <v>37</v>
      </c>
      <c r="QX95" s="11" t="s">
        <v>37</v>
      </c>
      <c r="QY95" s="11" t="s">
        <v>37</v>
      </c>
      <c r="QZ95" s="13" t="s">
        <v>37</v>
      </c>
      <c r="RC95" s="12" t="s">
        <v>37</v>
      </c>
      <c r="RD95" s="12" t="s">
        <v>37</v>
      </c>
      <c r="RE95" s="13" t="s">
        <v>37</v>
      </c>
      <c r="RF95" s="12" t="s">
        <v>37</v>
      </c>
      <c r="RG95" s="12" t="s">
        <v>37</v>
      </c>
      <c r="RH95" s="13" t="s">
        <v>37</v>
      </c>
      <c r="RK95" s="11" t="s">
        <v>37</v>
      </c>
      <c r="RL95" s="11" t="s">
        <v>37</v>
      </c>
      <c r="RM95" s="11" t="s">
        <v>37</v>
      </c>
      <c r="RN95" s="11" t="s">
        <v>37</v>
      </c>
      <c r="RO95" s="11" t="s">
        <v>37</v>
      </c>
      <c r="RP95" s="11" t="s">
        <v>37</v>
      </c>
      <c r="RS95" s="11" t="s">
        <v>37</v>
      </c>
      <c r="RT95" s="11" t="s">
        <v>37</v>
      </c>
      <c r="RU95" s="11" t="s">
        <v>37</v>
      </c>
      <c r="RV95" s="11" t="s">
        <v>37</v>
      </c>
      <c r="RW95" s="11" t="s">
        <v>37</v>
      </c>
      <c r="RX95" s="11" t="s">
        <v>37</v>
      </c>
      <c r="SA95" s="11" t="s">
        <v>37</v>
      </c>
      <c r="SB95" s="11" t="s">
        <v>37</v>
      </c>
      <c r="SC95" s="13" t="s">
        <v>37</v>
      </c>
      <c r="SD95" s="11" t="s">
        <v>37</v>
      </c>
      <c r="SE95" s="11" t="s">
        <v>37</v>
      </c>
      <c r="SF95" s="13" t="s">
        <v>37</v>
      </c>
      <c r="SI95" s="12" t="s">
        <v>37</v>
      </c>
      <c r="SJ95" s="12" t="s">
        <v>37</v>
      </c>
      <c r="SK95" s="13" t="s">
        <v>37</v>
      </c>
      <c r="SM95" s="12" t="s">
        <v>37</v>
      </c>
      <c r="SN95" s="12" t="s">
        <v>37</v>
      </c>
      <c r="SO95" s="13" t="s">
        <v>37</v>
      </c>
      <c r="SU95" s="12" t="s">
        <v>37</v>
      </c>
      <c r="SV95" s="12" t="s">
        <v>37</v>
      </c>
      <c r="SW95" s="11" t="s">
        <v>37</v>
      </c>
      <c r="SX95" s="12" t="s">
        <v>37</v>
      </c>
      <c r="SY95" s="12" t="s">
        <v>37</v>
      </c>
      <c r="SZ95" s="11" t="s">
        <v>37</v>
      </c>
      <c r="TE95" s="12" t="s">
        <v>37</v>
      </c>
      <c r="TF95" s="12" t="s">
        <v>37</v>
      </c>
      <c r="TG95" s="11" t="s">
        <v>37</v>
      </c>
      <c r="TH95" s="12" t="s">
        <v>37</v>
      </c>
      <c r="TI95" s="12" t="s">
        <v>37</v>
      </c>
      <c r="TJ95" s="11" t="s">
        <v>37</v>
      </c>
      <c r="TO95" s="12" t="s">
        <v>37</v>
      </c>
      <c r="TP95" s="12" t="s">
        <v>37</v>
      </c>
      <c r="TQ95" s="11" t="s">
        <v>37</v>
      </c>
      <c r="TR95" s="12" t="s">
        <v>37</v>
      </c>
      <c r="TS95" s="12" t="s">
        <v>37</v>
      </c>
      <c r="TT95" s="11" t="s">
        <v>37</v>
      </c>
      <c r="TY95" s="12" t="s">
        <v>37</v>
      </c>
      <c r="TZ95" s="12" t="s">
        <v>37</v>
      </c>
      <c r="UA95" s="12" t="s">
        <v>37</v>
      </c>
      <c r="UB95" s="12" t="s">
        <v>37</v>
      </c>
      <c r="UC95" s="12" t="s">
        <v>37</v>
      </c>
      <c r="UD95" s="12" t="s">
        <v>37</v>
      </c>
      <c r="UE95" s="12"/>
      <c r="UF95" s="12"/>
      <c r="UI95" s="12" t="s">
        <v>37</v>
      </c>
      <c r="UJ95" s="12" t="s">
        <v>37</v>
      </c>
      <c r="UK95" s="12" t="s">
        <v>37</v>
      </c>
      <c r="UL95" s="12" t="s">
        <v>37</v>
      </c>
      <c r="UM95" s="12" t="s">
        <v>37</v>
      </c>
      <c r="UN95" s="12" t="s">
        <v>37</v>
      </c>
      <c r="UO95" s="12"/>
      <c r="UP95" s="12"/>
      <c r="UR95" s="12" t="s">
        <v>37</v>
      </c>
      <c r="US95" s="12" t="s">
        <v>37</v>
      </c>
      <c r="UT95" s="12" t="s">
        <v>37</v>
      </c>
      <c r="UU95" s="12" t="s">
        <v>37</v>
      </c>
      <c r="UV95" s="12" t="s">
        <v>37</v>
      </c>
      <c r="UW95" s="12" t="s">
        <v>37</v>
      </c>
      <c r="UX95" s="12"/>
      <c r="UY95" s="12"/>
      <c r="VB95" s="12" t="s">
        <v>37</v>
      </c>
      <c r="VC95" s="12" t="s">
        <v>37</v>
      </c>
      <c r="VD95" s="12" t="s">
        <v>37</v>
      </c>
      <c r="VE95" s="12" t="s">
        <v>37</v>
      </c>
      <c r="VF95" s="12" t="s">
        <v>37</v>
      </c>
      <c r="VG95" s="12" t="s">
        <v>37</v>
      </c>
      <c r="VI95" s="12" t="s">
        <v>37</v>
      </c>
      <c r="VJ95" s="12" t="s">
        <v>37</v>
      </c>
      <c r="VK95" s="12" t="s">
        <v>37</v>
      </c>
      <c r="VL95" s="12" t="s">
        <v>37</v>
      </c>
      <c r="VM95" s="12" t="s">
        <v>37</v>
      </c>
      <c r="VN95" s="12" t="s">
        <v>37</v>
      </c>
      <c r="VQ95" s="13" t="s">
        <v>37</v>
      </c>
      <c r="VR95" s="13" t="s">
        <v>37</v>
      </c>
      <c r="VS95" s="13" t="s">
        <v>37</v>
      </c>
      <c r="VT95" s="13" t="s">
        <v>37</v>
      </c>
      <c r="VU95" s="13" t="s">
        <v>37</v>
      </c>
      <c r="VV95" s="13" t="s">
        <v>37</v>
      </c>
      <c r="WA95" s="13" t="s">
        <v>37</v>
      </c>
      <c r="WB95" s="13" t="s">
        <v>37</v>
      </c>
      <c r="WC95" s="13" t="s">
        <v>37</v>
      </c>
      <c r="WD95" s="13" t="s">
        <v>37</v>
      </c>
      <c r="WE95" s="13" t="s">
        <v>37</v>
      </c>
      <c r="WF95" s="13" t="s">
        <v>37</v>
      </c>
    </row>
    <row r="96" spans="1:604" ht="18" customHeight="1" x14ac:dyDescent="0.4">
      <c r="A96" s="51">
        <v>22</v>
      </c>
      <c r="B96" s="15" t="s">
        <v>140</v>
      </c>
      <c r="C96" s="12" t="s">
        <v>26</v>
      </c>
      <c r="D96" s="12" t="s">
        <v>54</v>
      </c>
      <c r="E96" s="40" t="s">
        <v>37</v>
      </c>
      <c r="F96" s="14">
        <v>0</v>
      </c>
      <c r="G96" s="14">
        <v>0</v>
      </c>
      <c r="H96" s="12" t="s">
        <v>123</v>
      </c>
      <c r="I96" s="29">
        <v>61.783000000000001</v>
      </c>
      <c r="J96" s="29">
        <v>24.3</v>
      </c>
      <c r="K96" s="12" t="s">
        <v>706</v>
      </c>
      <c r="L96" s="12" t="s">
        <v>709</v>
      </c>
      <c r="M96" s="13" t="s">
        <v>37</v>
      </c>
      <c r="N96" s="53" t="s">
        <v>37</v>
      </c>
      <c r="O96" s="53" t="s">
        <v>37</v>
      </c>
      <c r="P96" s="53" t="s">
        <v>84</v>
      </c>
      <c r="Q96" s="75">
        <v>43</v>
      </c>
      <c r="R96" s="11" t="s">
        <v>1000</v>
      </c>
      <c r="S96" s="12" t="s">
        <v>93</v>
      </c>
      <c r="T96" s="12" t="s">
        <v>141</v>
      </c>
      <c r="U96" s="12" t="s">
        <v>158</v>
      </c>
      <c r="V96" s="12" t="s">
        <v>275</v>
      </c>
      <c r="W96" s="23" t="s">
        <v>512</v>
      </c>
      <c r="X96" s="12" t="s">
        <v>281</v>
      </c>
      <c r="Y96" s="12" t="s">
        <v>69</v>
      </c>
      <c r="Z96" s="12" t="s">
        <v>37</v>
      </c>
      <c r="AA96" s="32" t="s">
        <v>345</v>
      </c>
      <c r="AB96" s="12">
        <v>4.2</v>
      </c>
      <c r="AE96" s="12" t="s">
        <v>37</v>
      </c>
      <c r="AF96" s="12" t="s">
        <v>42</v>
      </c>
      <c r="AG96" s="32" t="s">
        <v>345</v>
      </c>
      <c r="AH96" s="12">
        <v>4</v>
      </c>
      <c r="AK96" s="12" t="s">
        <v>37</v>
      </c>
      <c r="AL96" s="32">
        <v>1991</v>
      </c>
      <c r="AM96" s="13" t="s">
        <v>344</v>
      </c>
      <c r="AO96" s="54" t="s">
        <v>37</v>
      </c>
      <c r="AP96" s="11" t="s">
        <v>167</v>
      </c>
      <c r="AQ96" s="12" t="s">
        <v>975</v>
      </c>
      <c r="AT96" s="12" t="s">
        <v>326</v>
      </c>
      <c r="AU96" s="12" t="s">
        <v>326</v>
      </c>
      <c r="AV96" s="13" t="s">
        <v>326</v>
      </c>
      <c r="AX96" s="12" t="s">
        <v>326</v>
      </c>
      <c r="AY96" s="12" t="s">
        <v>326</v>
      </c>
      <c r="AZ96" s="13" t="s">
        <v>326</v>
      </c>
      <c r="BE96" s="12" t="s">
        <v>326</v>
      </c>
      <c r="BF96" s="12" t="s">
        <v>326</v>
      </c>
      <c r="BG96" s="12" t="s">
        <v>326</v>
      </c>
      <c r="BI96" s="12" t="s">
        <v>326</v>
      </c>
      <c r="BJ96" s="12" t="s">
        <v>326</v>
      </c>
      <c r="BK96" s="12" t="s">
        <v>326</v>
      </c>
      <c r="BP96" s="12" t="s">
        <v>37</v>
      </c>
      <c r="BQ96" s="12" t="s">
        <v>37</v>
      </c>
      <c r="BR96" s="13" t="s">
        <v>37</v>
      </c>
      <c r="BT96" s="12" t="s">
        <v>37</v>
      </c>
      <c r="BU96" s="12" t="s">
        <v>37</v>
      </c>
      <c r="BV96" s="12" t="s">
        <v>37</v>
      </c>
      <c r="CA96" s="12" t="s">
        <v>37</v>
      </c>
      <c r="CB96" s="12" t="s">
        <v>37</v>
      </c>
      <c r="CC96" s="13" t="s">
        <v>37</v>
      </c>
      <c r="CE96" s="12" t="s">
        <v>37</v>
      </c>
      <c r="CF96" s="12" t="s">
        <v>37</v>
      </c>
      <c r="CG96" s="13" t="s">
        <v>37</v>
      </c>
      <c r="CI96" s="52"/>
      <c r="CJ96" s="52"/>
      <c r="CK96" s="73"/>
      <c r="CL96" s="73"/>
      <c r="CN96" s="12" t="s">
        <v>37</v>
      </c>
      <c r="CO96" s="12" t="s">
        <v>37</v>
      </c>
      <c r="CP96" s="13" t="s">
        <v>37</v>
      </c>
      <c r="CR96" s="12" t="s">
        <v>37</v>
      </c>
      <c r="CS96" s="12" t="s">
        <v>37</v>
      </c>
      <c r="CT96" s="13" t="s">
        <v>37</v>
      </c>
      <c r="CV96" s="52"/>
      <c r="CW96" s="52"/>
      <c r="CX96" s="73"/>
      <c r="CY96" s="73"/>
      <c r="DA96" s="12" t="s">
        <v>37</v>
      </c>
      <c r="DB96" s="12" t="s">
        <v>37</v>
      </c>
      <c r="DC96" s="13" t="s">
        <v>37</v>
      </c>
      <c r="DE96" s="12" t="s">
        <v>37</v>
      </c>
      <c r="DF96" s="12" t="s">
        <v>37</v>
      </c>
      <c r="DG96" s="13" t="s">
        <v>37</v>
      </c>
      <c r="DI96" s="52"/>
      <c r="DJ96" s="52"/>
      <c r="DK96" s="73"/>
      <c r="DL96" s="73"/>
      <c r="DM96" s="15"/>
      <c r="DN96" s="52" t="s">
        <v>37</v>
      </c>
      <c r="DO96" s="15" t="s">
        <v>37</v>
      </c>
      <c r="DP96" s="18" t="s">
        <v>37</v>
      </c>
      <c r="DQ96" s="52"/>
      <c r="DR96" s="52" t="s">
        <v>37</v>
      </c>
      <c r="DS96" s="15" t="s">
        <v>37</v>
      </c>
      <c r="DT96" s="18" t="s">
        <v>37</v>
      </c>
      <c r="DU96" s="52"/>
      <c r="DV96" s="52"/>
      <c r="DW96" s="52"/>
      <c r="DZ96" s="15" t="s">
        <v>47</v>
      </c>
      <c r="EA96" s="52">
        <f>0.008*44/28</f>
        <v>1.257142857142857E-2</v>
      </c>
      <c r="EB96" s="50">
        <f t="shared" si="317"/>
        <v>7.2285424920190175E-2</v>
      </c>
      <c r="EC96" s="73">
        <v>3</v>
      </c>
      <c r="ED96" s="52"/>
      <c r="EE96" s="52">
        <f>0.009*44/28</f>
        <v>1.4142857142857141E-2</v>
      </c>
      <c r="EF96" s="50">
        <f t="shared" si="318"/>
        <v>2.1117256969304946E-2</v>
      </c>
      <c r="EG96" s="18">
        <v>3</v>
      </c>
      <c r="EH96" s="52"/>
      <c r="EI96" s="19">
        <f t="shared" si="319"/>
        <v>1.5714285714285708E-3</v>
      </c>
      <c r="EJ96" s="12">
        <f t="shared" si="309"/>
        <v>5.3249982149293294E-2</v>
      </c>
      <c r="EK96" s="19">
        <f t="shared" si="310"/>
        <v>1.8903737326000363E-3</v>
      </c>
      <c r="EL96" s="19">
        <f t="shared" si="311"/>
        <v>1.8903737326000363E-3</v>
      </c>
      <c r="EM96" s="12" t="s">
        <v>39</v>
      </c>
      <c r="EN96" s="12">
        <v>-6.95</v>
      </c>
      <c r="EO96" s="12">
        <v>1.41</v>
      </c>
      <c r="EP96" s="13">
        <v>3</v>
      </c>
      <c r="EQ96" s="19">
        <f t="shared" si="320"/>
        <v>0.2028776978417266</v>
      </c>
      <c r="ER96" s="12">
        <v>-21.5</v>
      </c>
      <c r="ES96" s="12">
        <v>1.76</v>
      </c>
      <c r="ET96" s="13">
        <v>3</v>
      </c>
      <c r="EU96" s="19">
        <f t="shared" si="321"/>
        <v>8.1860465116279077E-2</v>
      </c>
      <c r="EV96" s="19">
        <f t="shared" si="312"/>
        <v>-14.55</v>
      </c>
      <c r="EW96" s="12">
        <f t="shared" si="313"/>
        <v>1.5946316189013685</v>
      </c>
      <c r="EX96" s="19">
        <f t="shared" si="314"/>
        <v>1.6952333333333329</v>
      </c>
      <c r="EY96" s="19">
        <f t="shared" si="315"/>
        <v>1.6952333333333334</v>
      </c>
      <c r="FB96" s="12" t="s">
        <v>37</v>
      </c>
      <c r="FC96" s="12" t="s">
        <v>37</v>
      </c>
      <c r="FD96" s="11" t="s">
        <v>37</v>
      </c>
      <c r="FE96" s="12" t="s">
        <v>37</v>
      </c>
      <c r="FF96" s="20" t="s">
        <v>37</v>
      </c>
      <c r="FG96" s="11" t="s">
        <v>37</v>
      </c>
      <c r="FI96" s="12" t="s">
        <v>37</v>
      </c>
      <c r="FJ96" s="12" t="s">
        <v>37</v>
      </c>
      <c r="FK96" s="11" t="s">
        <v>37</v>
      </c>
      <c r="FL96" s="13" t="s">
        <v>37</v>
      </c>
      <c r="FM96" s="11" t="s">
        <v>37</v>
      </c>
      <c r="FN96" s="11" t="s">
        <v>37</v>
      </c>
      <c r="FP96" s="12" t="s">
        <v>37</v>
      </c>
      <c r="FQ96" s="12" t="s">
        <v>37</v>
      </c>
      <c r="FR96" s="11" t="s">
        <v>37</v>
      </c>
      <c r="FS96" s="13" t="s">
        <v>37</v>
      </c>
      <c r="FT96" s="11" t="s">
        <v>37</v>
      </c>
      <c r="FU96" s="11" t="s">
        <v>37</v>
      </c>
      <c r="FW96" s="12" t="s">
        <v>37</v>
      </c>
      <c r="FX96" s="12" t="s">
        <v>37</v>
      </c>
      <c r="FY96" s="11" t="s">
        <v>37</v>
      </c>
      <c r="FZ96" s="13" t="s">
        <v>37</v>
      </c>
      <c r="GA96" s="11" t="s">
        <v>37</v>
      </c>
      <c r="GB96" s="11" t="s">
        <v>37</v>
      </c>
      <c r="GO96" s="12" t="s">
        <v>660</v>
      </c>
      <c r="GP96" s="12" t="s">
        <v>345</v>
      </c>
      <c r="GQ96" s="12">
        <v>9.15</v>
      </c>
      <c r="GR96" s="12">
        <v>0.95</v>
      </c>
      <c r="GS96" s="13">
        <v>3</v>
      </c>
      <c r="GT96" s="19">
        <f t="shared" si="322"/>
        <v>0.10382513661202185</v>
      </c>
      <c r="GU96" s="12">
        <v>10.67</v>
      </c>
      <c r="GV96" s="12">
        <v>0.98</v>
      </c>
      <c r="GW96" s="13">
        <v>3</v>
      </c>
      <c r="GX96" s="19">
        <f t="shared" si="323"/>
        <v>9.1846298031865045E-2</v>
      </c>
      <c r="GY96" s="19">
        <f t="shared" si="324"/>
        <v>0.15368218602623207</v>
      </c>
      <c r="GZ96" s="19">
        <f t="shared" si="325"/>
        <v>6.405133818221059E-3</v>
      </c>
      <c r="IK96" s="12" t="s">
        <v>37</v>
      </c>
      <c r="IL96" s="12" t="s">
        <v>37</v>
      </c>
      <c r="IM96" s="12" t="s">
        <v>37</v>
      </c>
      <c r="IO96" s="12" t="s">
        <v>37</v>
      </c>
      <c r="IP96" s="12" t="s">
        <v>37</v>
      </c>
      <c r="IQ96" s="12" t="s">
        <v>37</v>
      </c>
      <c r="IV96" s="32" t="s">
        <v>345</v>
      </c>
      <c r="IW96" s="12">
        <v>4.2</v>
      </c>
      <c r="IX96" s="50">
        <f t="shared" si="316"/>
        <v>0.15377351903769718</v>
      </c>
      <c r="IY96" s="13">
        <v>3</v>
      </c>
      <c r="JA96" s="12">
        <v>4</v>
      </c>
      <c r="JB96" s="50">
        <f t="shared" si="326"/>
        <v>0.11203523514281104</v>
      </c>
      <c r="JC96" s="13">
        <v>3</v>
      </c>
      <c r="JE96" s="19">
        <f t="shared" si="327"/>
        <v>-4.8790164169432056E-2</v>
      </c>
      <c r="JF96" s="19">
        <f t="shared" si="328"/>
        <v>7.0832876411330761E-4</v>
      </c>
      <c r="JH96" s="12" t="s">
        <v>37</v>
      </c>
      <c r="JI96" s="12" t="s">
        <v>37</v>
      </c>
      <c r="JJ96" s="13" t="s">
        <v>37</v>
      </c>
      <c r="JL96" s="12" t="s">
        <v>37</v>
      </c>
      <c r="JM96" s="12" t="s">
        <v>37</v>
      </c>
      <c r="JN96" s="12" t="s">
        <v>37</v>
      </c>
      <c r="JS96" s="12" t="s">
        <v>37</v>
      </c>
      <c r="JT96" s="12" t="s">
        <v>37</v>
      </c>
      <c r="JU96" s="13" t="s">
        <v>37</v>
      </c>
      <c r="JW96" s="12" t="s">
        <v>37</v>
      </c>
      <c r="JX96" s="12" t="s">
        <v>37</v>
      </c>
      <c r="JY96" s="12" t="s">
        <v>37</v>
      </c>
      <c r="KE96" s="11" t="s">
        <v>37</v>
      </c>
      <c r="KF96" s="11" t="s">
        <v>37</v>
      </c>
      <c r="KG96" s="13" t="s">
        <v>37</v>
      </c>
      <c r="KH96" s="11" t="s">
        <v>37</v>
      </c>
      <c r="KI96" s="11" t="s">
        <v>37</v>
      </c>
      <c r="KJ96" s="11" t="s">
        <v>37</v>
      </c>
      <c r="KK96" s="12" t="s">
        <v>42</v>
      </c>
      <c r="KL96" s="32" t="s">
        <v>345</v>
      </c>
      <c r="KM96" s="12">
        <v>4</v>
      </c>
      <c r="KN96" s="50">
        <f t="shared" si="329"/>
        <v>0.47717216553943792</v>
      </c>
      <c r="KO96" s="11">
        <v>3</v>
      </c>
      <c r="KQ96" s="12">
        <v>4</v>
      </c>
      <c r="KR96" s="50">
        <f t="shared" si="330"/>
        <v>0.42177372067454699</v>
      </c>
      <c r="KS96" s="13">
        <v>3</v>
      </c>
      <c r="KU96" s="19">
        <f t="shared" si="331"/>
        <v>0</v>
      </c>
      <c r="KV96" s="19">
        <f t="shared" si="332"/>
        <v>8.4497155628593234E-3</v>
      </c>
      <c r="KX96" s="12" t="s">
        <v>37</v>
      </c>
      <c r="KY96" s="12" t="s">
        <v>37</v>
      </c>
      <c r="KZ96" s="13" t="s">
        <v>37</v>
      </c>
      <c r="LB96" s="12" t="s">
        <v>37</v>
      </c>
      <c r="LC96" s="12" t="s">
        <v>37</v>
      </c>
      <c r="LD96" s="13" t="s">
        <v>37</v>
      </c>
      <c r="LI96" s="12" t="s">
        <v>37</v>
      </c>
      <c r="LJ96" s="12" t="s">
        <v>37</v>
      </c>
      <c r="LK96" s="12" t="s">
        <v>37</v>
      </c>
      <c r="LM96" s="12" t="s">
        <v>37</v>
      </c>
      <c r="LN96" s="12" t="s">
        <v>37</v>
      </c>
      <c r="LO96" s="12" t="s">
        <v>37</v>
      </c>
      <c r="LU96" s="12" t="s">
        <v>37</v>
      </c>
      <c r="LV96" s="12" t="s">
        <v>37</v>
      </c>
      <c r="LW96" s="13" t="s">
        <v>37</v>
      </c>
      <c r="LY96" s="12" t="s">
        <v>37</v>
      </c>
      <c r="LZ96" s="12" t="s">
        <v>37</v>
      </c>
      <c r="MA96" s="12" t="s">
        <v>37</v>
      </c>
      <c r="MF96" s="12" t="s">
        <v>37</v>
      </c>
      <c r="MG96" s="12" t="s">
        <v>37</v>
      </c>
      <c r="MH96" s="12" t="s">
        <v>37</v>
      </c>
      <c r="MJ96" s="12" t="s">
        <v>37</v>
      </c>
      <c r="MK96" s="12" t="s">
        <v>37</v>
      </c>
      <c r="ML96" s="12" t="s">
        <v>37</v>
      </c>
      <c r="MQ96" s="12" t="s">
        <v>37</v>
      </c>
      <c r="MR96" s="12" t="s">
        <v>37</v>
      </c>
      <c r="MS96" s="12" t="s">
        <v>37</v>
      </c>
      <c r="MU96" s="12" t="s">
        <v>37</v>
      </c>
      <c r="MV96" s="12" t="s">
        <v>37</v>
      </c>
      <c r="MW96" s="12" t="s">
        <v>37</v>
      </c>
      <c r="NC96" s="12" t="s">
        <v>37</v>
      </c>
      <c r="ND96" s="12" t="s">
        <v>37</v>
      </c>
      <c r="NE96" s="13" t="s">
        <v>37</v>
      </c>
      <c r="NG96" s="12" t="s">
        <v>37</v>
      </c>
      <c r="NH96" s="12" t="s">
        <v>37</v>
      </c>
      <c r="NI96" s="13" t="s">
        <v>37</v>
      </c>
      <c r="NO96" s="12" t="s">
        <v>37</v>
      </c>
      <c r="NP96" s="12" t="s">
        <v>37</v>
      </c>
      <c r="NQ96" s="13" t="s">
        <v>37</v>
      </c>
      <c r="NS96" s="12" t="s">
        <v>37</v>
      </c>
      <c r="NT96" s="12" t="s">
        <v>37</v>
      </c>
      <c r="NU96" s="13" t="s">
        <v>37</v>
      </c>
      <c r="OA96" s="11" t="s">
        <v>37</v>
      </c>
      <c r="OB96" s="11" t="s">
        <v>37</v>
      </c>
      <c r="OC96" s="13" t="s">
        <v>37</v>
      </c>
      <c r="OE96" s="11" t="s">
        <v>37</v>
      </c>
      <c r="OF96" s="11" t="s">
        <v>37</v>
      </c>
      <c r="OG96" s="13" t="s">
        <v>37</v>
      </c>
      <c r="OM96" s="11" t="s">
        <v>37</v>
      </c>
      <c r="ON96" s="11" t="s">
        <v>37</v>
      </c>
      <c r="OO96" s="11" t="s">
        <v>37</v>
      </c>
      <c r="OP96" s="11" t="s">
        <v>37</v>
      </c>
      <c r="OQ96" s="11" t="s">
        <v>37</v>
      </c>
      <c r="OR96" s="11" t="s">
        <v>37</v>
      </c>
      <c r="OW96" s="12" t="s">
        <v>37</v>
      </c>
      <c r="OX96" s="12" t="s">
        <v>37</v>
      </c>
      <c r="OY96" s="13" t="s">
        <v>37</v>
      </c>
      <c r="OZ96" s="12" t="s">
        <v>37</v>
      </c>
      <c r="PA96" s="12" t="s">
        <v>37</v>
      </c>
      <c r="PB96" s="13" t="s">
        <v>37</v>
      </c>
      <c r="PG96" s="11" t="s">
        <v>37</v>
      </c>
      <c r="PH96" s="11" t="s">
        <v>37</v>
      </c>
      <c r="PI96" s="13" t="s">
        <v>37</v>
      </c>
      <c r="PJ96" s="11" t="s">
        <v>37</v>
      </c>
      <c r="PK96" s="11" t="s">
        <v>37</v>
      </c>
      <c r="PL96" s="13" t="s">
        <v>37</v>
      </c>
      <c r="PQ96" s="11" t="s">
        <v>37</v>
      </c>
      <c r="PR96" s="11" t="s">
        <v>37</v>
      </c>
      <c r="PS96" s="13" t="s">
        <v>37</v>
      </c>
      <c r="PT96" s="11" t="s">
        <v>37</v>
      </c>
      <c r="PU96" s="11" t="s">
        <v>37</v>
      </c>
      <c r="PV96" s="13" t="s">
        <v>37</v>
      </c>
      <c r="PZ96" s="12" t="s">
        <v>37</v>
      </c>
      <c r="QA96" s="12" t="s">
        <v>37</v>
      </c>
      <c r="QB96" s="11" t="s">
        <v>37</v>
      </c>
      <c r="QD96" s="12" t="s">
        <v>37</v>
      </c>
      <c r="QE96" s="12" t="s">
        <v>37</v>
      </c>
      <c r="QF96" s="12" t="s">
        <v>37</v>
      </c>
      <c r="QK96" s="12" t="s">
        <v>37</v>
      </c>
      <c r="QL96" s="12" t="s">
        <v>37</v>
      </c>
      <c r="QM96" s="12" t="s">
        <v>37</v>
      </c>
      <c r="QN96" s="12" t="s">
        <v>37</v>
      </c>
      <c r="QO96" s="12" t="s">
        <v>37</v>
      </c>
      <c r="QP96" s="12" t="s">
        <v>37</v>
      </c>
      <c r="QQ96" s="12"/>
      <c r="QR96" s="12"/>
      <c r="QU96" s="11" t="s">
        <v>37</v>
      </c>
      <c r="QV96" s="11" t="s">
        <v>37</v>
      </c>
      <c r="QW96" s="13" t="s">
        <v>37</v>
      </c>
      <c r="QX96" s="11" t="s">
        <v>37</v>
      </c>
      <c r="QY96" s="11" t="s">
        <v>37</v>
      </c>
      <c r="QZ96" s="13" t="s">
        <v>37</v>
      </c>
      <c r="RC96" s="12" t="s">
        <v>37</v>
      </c>
      <c r="RD96" s="12" t="s">
        <v>37</v>
      </c>
      <c r="RE96" s="13" t="s">
        <v>37</v>
      </c>
      <c r="RF96" s="12" t="s">
        <v>37</v>
      </c>
      <c r="RG96" s="12" t="s">
        <v>37</v>
      </c>
      <c r="RH96" s="13" t="s">
        <v>37</v>
      </c>
      <c r="RK96" s="11" t="s">
        <v>37</v>
      </c>
      <c r="RL96" s="11" t="s">
        <v>37</v>
      </c>
      <c r="RM96" s="11" t="s">
        <v>37</v>
      </c>
      <c r="RN96" s="11" t="s">
        <v>37</v>
      </c>
      <c r="RO96" s="11" t="s">
        <v>37</v>
      </c>
      <c r="RP96" s="11" t="s">
        <v>37</v>
      </c>
      <c r="RS96" s="11" t="s">
        <v>37</v>
      </c>
      <c r="RT96" s="11" t="s">
        <v>37</v>
      </c>
      <c r="RU96" s="11" t="s">
        <v>37</v>
      </c>
      <c r="RV96" s="11" t="s">
        <v>37</v>
      </c>
      <c r="RW96" s="11" t="s">
        <v>37</v>
      </c>
      <c r="RX96" s="11" t="s">
        <v>37</v>
      </c>
      <c r="SA96" s="11" t="s">
        <v>37</v>
      </c>
      <c r="SB96" s="11" t="s">
        <v>37</v>
      </c>
      <c r="SC96" s="13" t="s">
        <v>37</v>
      </c>
      <c r="SD96" s="11" t="s">
        <v>37</v>
      </c>
      <c r="SE96" s="11" t="s">
        <v>37</v>
      </c>
      <c r="SF96" s="13" t="s">
        <v>37</v>
      </c>
      <c r="SI96" s="12" t="s">
        <v>37</v>
      </c>
      <c r="SJ96" s="12" t="s">
        <v>37</v>
      </c>
      <c r="SK96" s="13" t="s">
        <v>37</v>
      </c>
      <c r="SM96" s="12" t="s">
        <v>37</v>
      </c>
      <c r="SN96" s="12" t="s">
        <v>37</v>
      </c>
      <c r="SO96" s="13" t="s">
        <v>37</v>
      </c>
      <c r="SU96" s="12" t="s">
        <v>37</v>
      </c>
      <c r="SV96" s="12" t="s">
        <v>37</v>
      </c>
      <c r="SW96" s="11" t="s">
        <v>37</v>
      </c>
      <c r="SX96" s="12" t="s">
        <v>37</v>
      </c>
      <c r="SY96" s="12" t="s">
        <v>37</v>
      </c>
      <c r="SZ96" s="11" t="s">
        <v>37</v>
      </c>
      <c r="TE96" s="12" t="s">
        <v>37</v>
      </c>
      <c r="TF96" s="12" t="s">
        <v>37</v>
      </c>
      <c r="TG96" s="11" t="s">
        <v>37</v>
      </c>
      <c r="TH96" s="12" t="s">
        <v>37</v>
      </c>
      <c r="TI96" s="12" t="s">
        <v>37</v>
      </c>
      <c r="TJ96" s="11" t="s">
        <v>37</v>
      </c>
      <c r="TO96" s="12" t="s">
        <v>37</v>
      </c>
      <c r="TP96" s="12" t="s">
        <v>37</v>
      </c>
      <c r="TQ96" s="11" t="s">
        <v>37</v>
      </c>
      <c r="TR96" s="12" t="s">
        <v>37</v>
      </c>
      <c r="TS96" s="12" t="s">
        <v>37</v>
      </c>
      <c r="TT96" s="11" t="s">
        <v>37</v>
      </c>
      <c r="TY96" s="12" t="s">
        <v>37</v>
      </c>
      <c r="TZ96" s="12" t="s">
        <v>37</v>
      </c>
      <c r="UA96" s="12" t="s">
        <v>37</v>
      </c>
      <c r="UB96" s="12" t="s">
        <v>37</v>
      </c>
      <c r="UC96" s="12" t="s">
        <v>37</v>
      </c>
      <c r="UD96" s="12" t="s">
        <v>37</v>
      </c>
      <c r="UE96" s="12"/>
      <c r="UF96" s="12"/>
      <c r="UI96" s="12" t="s">
        <v>37</v>
      </c>
      <c r="UJ96" s="12" t="s">
        <v>37</v>
      </c>
      <c r="UK96" s="12" t="s">
        <v>37</v>
      </c>
      <c r="UL96" s="12" t="s">
        <v>37</v>
      </c>
      <c r="UM96" s="12" t="s">
        <v>37</v>
      </c>
      <c r="UN96" s="12" t="s">
        <v>37</v>
      </c>
      <c r="UO96" s="12"/>
      <c r="UP96" s="12"/>
      <c r="UR96" s="12" t="s">
        <v>37</v>
      </c>
      <c r="US96" s="12" t="s">
        <v>37</v>
      </c>
      <c r="UT96" s="12" t="s">
        <v>37</v>
      </c>
      <c r="UU96" s="12" t="s">
        <v>37</v>
      </c>
      <c r="UV96" s="12" t="s">
        <v>37</v>
      </c>
      <c r="UW96" s="12" t="s">
        <v>37</v>
      </c>
      <c r="UX96" s="12"/>
      <c r="UY96" s="12"/>
      <c r="VB96" s="12" t="s">
        <v>37</v>
      </c>
      <c r="VC96" s="12" t="s">
        <v>37</v>
      </c>
      <c r="VD96" s="12" t="s">
        <v>37</v>
      </c>
      <c r="VE96" s="12" t="s">
        <v>37</v>
      </c>
      <c r="VF96" s="12" t="s">
        <v>37</v>
      </c>
      <c r="VG96" s="12" t="s">
        <v>37</v>
      </c>
      <c r="VI96" s="12" t="s">
        <v>37</v>
      </c>
      <c r="VJ96" s="12" t="s">
        <v>37</v>
      </c>
      <c r="VK96" s="12" t="s">
        <v>37</v>
      </c>
      <c r="VL96" s="12" t="s">
        <v>37</v>
      </c>
      <c r="VM96" s="12" t="s">
        <v>37</v>
      </c>
      <c r="VN96" s="12" t="s">
        <v>37</v>
      </c>
      <c r="VQ96" s="13" t="s">
        <v>37</v>
      </c>
      <c r="VR96" s="13" t="s">
        <v>37</v>
      </c>
      <c r="VS96" s="13" t="s">
        <v>37</v>
      </c>
      <c r="VT96" s="13" t="s">
        <v>37</v>
      </c>
      <c r="VU96" s="13" t="s">
        <v>37</v>
      </c>
      <c r="VV96" s="13" t="s">
        <v>37</v>
      </c>
      <c r="WA96" s="13" t="s">
        <v>37</v>
      </c>
      <c r="WB96" s="13" t="s">
        <v>37</v>
      </c>
      <c r="WC96" s="13" t="s">
        <v>37</v>
      </c>
      <c r="WD96" s="13" t="s">
        <v>37</v>
      </c>
      <c r="WE96" s="13" t="s">
        <v>37</v>
      </c>
      <c r="WF96" s="13" t="s">
        <v>37</v>
      </c>
    </row>
    <row r="97" spans="1:604" ht="18" customHeight="1" x14ac:dyDescent="0.4">
      <c r="A97" s="51">
        <v>22</v>
      </c>
      <c r="B97" s="15" t="s">
        <v>140</v>
      </c>
      <c r="C97" s="12" t="s">
        <v>26</v>
      </c>
      <c r="D97" s="12" t="s">
        <v>54</v>
      </c>
      <c r="E97" s="40" t="s">
        <v>37</v>
      </c>
      <c r="F97" s="14">
        <v>0</v>
      </c>
      <c r="G97" s="14">
        <v>0</v>
      </c>
      <c r="H97" s="12" t="s">
        <v>123</v>
      </c>
      <c r="I97" s="29">
        <v>61.783000000000001</v>
      </c>
      <c r="J97" s="29">
        <v>24.3</v>
      </c>
      <c r="K97" s="12" t="s">
        <v>706</v>
      </c>
      <c r="L97" s="12" t="s">
        <v>709</v>
      </c>
      <c r="M97" s="13" t="s">
        <v>37</v>
      </c>
      <c r="N97" s="53" t="s">
        <v>37</v>
      </c>
      <c r="O97" s="53" t="s">
        <v>37</v>
      </c>
      <c r="P97" s="53" t="s">
        <v>84</v>
      </c>
      <c r="Q97" s="75">
        <v>44</v>
      </c>
      <c r="R97" s="11" t="s">
        <v>1000</v>
      </c>
      <c r="S97" s="12" t="s">
        <v>93</v>
      </c>
      <c r="T97" s="12" t="s">
        <v>141</v>
      </c>
      <c r="U97" s="12" t="s">
        <v>158</v>
      </c>
      <c r="V97" s="12" t="s">
        <v>275</v>
      </c>
      <c r="W97" s="23" t="s">
        <v>512</v>
      </c>
      <c r="X97" s="12" t="s">
        <v>281</v>
      </c>
      <c r="Y97" s="12" t="s">
        <v>69</v>
      </c>
      <c r="Z97" s="12" t="s">
        <v>37</v>
      </c>
      <c r="AA97" s="32" t="s">
        <v>345</v>
      </c>
      <c r="AB97" s="12">
        <v>4.2</v>
      </c>
      <c r="AE97" s="12" t="s">
        <v>37</v>
      </c>
      <c r="AF97" s="12" t="s">
        <v>42</v>
      </c>
      <c r="AG97" s="32" t="s">
        <v>345</v>
      </c>
      <c r="AH97" s="12">
        <v>4</v>
      </c>
      <c r="AK97" s="12" t="s">
        <v>37</v>
      </c>
      <c r="AL97" s="32">
        <v>1992</v>
      </c>
      <c r="AM97" s="13" t="s">
        <v>344</v>
      </c>
      <c r="AO97" s="54" t="s">
        <v>37</v>
      </c>
      <c r="AP97" s="11" t="s">
        <v>167</v>
      </c>
      <c r="AQ97" s="12" t="s">
        <v>975</v>
      </c>
      <c r="AT97" s="12" t="s">
        <v>326</v>
      </c>
      <c r="AU97" s="12" t="s">
        <v>326</v>
      </c>
      <c r="AV97" s="13" t="s">
        <v>326</v>
      </c>
      <c r="AX97" s="12" t="s">
        <v>326</v>
      </c>
      <c r="AY97" s="12" t="s">
        <v>326</v>
      </c>
      <c r="AZ97" s="13" t="s">
        <v>326</v>
      </c>
      <c r="BE97" s="12" t="s">
        <v>326</v>
      </c>
      <c r="BF97" s="12" t="s">
        <v>326</v>
      </c>
      <c r="BG97" s="12" t="s">
        <v>326</v>
      </c>
      <c r="BI97" s="12" t="s">
        <v>326</v>
      </c>
      <c r="BJ97" s="12" t="s">
        <v>326</v>
      </c>
      <c r="BK97" s="12" t="s">
        <v>326</v>
      </c>
      <c r="BP97" s="12" t="s">
        <v>37</v>
      </c>
      <c r="BQ97" s="12" t="s">
        <v>37</v>
      </c>
      <c r="BR97" s="13" t="s">
        <v>37</v>
      </c>
      <c r="BT97" s="12" t="s">
        <v>37</v>
      </c>
      <c r="BU97" s="12" t="s">
        <v>37</v>
      </c>
      <c r="BV97" s="12" t="s">
        <v>37</v>
      </c>
      <c r="CA97" s="12" t="s">
        <v>37</v>
      </c>
      <c r="CB97" s="12" t="s">
        <v>37</v>
      </c>
      <c r="CC97" s="13" t="s">
        <v>37</v>
      </c>
      <c r="CE97" s="12" t="s">
        <v>37</v>
      </c>
      <c r="CF97" s="12" t="s">
        <v>37</v>
      </c>
      <c r="CG97" s="13" t="s">
        <v>37</v>
      </c>
      <c r="CI97" s="52"/>
      <c r="CJ97" s="52"/>
      <c r="CK97" s="73"/>
      <c r="CL97" s="73"/>
      <c r="CN97" s="12" t="s">
        <v>37</v>
      </c>
      <c r="CO97" s="12" t="s">
        <v>37</v>
      </c>
      <c r="CP97" s="13" t="s">
        <v>37</v>
      </c>
      <c r="CR97" s="12" t="s">
        <v>37</v>
      </c>
      <c r="CS97" s="12" t="s">
        <v>37</v>
      </c>
      <c r="CT97" s="13" t="s">
        <v>37</v>
      </c>
      <c r="CV97" s="52"/>
      <c r="CW97" s="52"/>
      <c r="CX97" s="73"/>
      <c r="CY97" s="73"/>
      <c r="DA97" s="12" t="s">
        <v>37</v>
      </c>
      <c r="DB97" s="12" t="s">
        <v>37</v>
      </c>
      <c r="DC97" s="13" t="s">
        <v>37</v>
      </c>
      <c r="DE97" s="12" t="s">
        <v>37</v>
      </c>
      <c r="DF97" s="12" t="s">
        <v>37</v>
      </c>
      <c r="DG97" s="13" t="s">
        <v>37</v>
      </c>
      <c r="DI97" s="52"/>
      <c r="DJ97" s="52"/>
      <c r="DK97" s="73"/>
      <c r="DL97" s="73"/>
      <c r="DM97" s="15"/>
      <c r="DN97" s="52" t="s">
        <v>37</v>
      </c>
      <c r="DO97" s="15" t="s">
        <v>37</v>
      </c>
      <c r="DP97" s="18" t="s">
        <v>37</v>
      </c>
      <c r="DQ97" s="52"/>
      <c r="DR97" s="52" t="s">
        <v>37</v>
      </c>
      <c r="DS97" s="15" t="s">
        <v>37</v>
      </c>
      <c r="DT97" s="18" t="s">
        <v>37</v>
      </c>
      <c r="DU97" s="52"/>
      <c r="DV97" s="52"/>
      <c r="DW97" s="52"/>
      <c r="DZ97" s="15" t="s">
        <v>47</v>
      </c>
      <c r="EA97" s="52">
        <f>0.008*44/28</f>
        <v>1.257142857142857E-2</v>
      </c>
      <c r="EB97" s="50">
        <f t="shared" si="317"/>
        <v>7.2285424920190175E-2</v>
      </c>
      <c r="EC97" s="73">
        <v>3</v>
      </c>
      <c r="ED97" s="52"/>
      <c r="EE97" s="52">
        <f>0.009*44/28</f>
        <v>1.4142857142857141E-2</v>
      </c>
      <c r="EF97" s="50">
        <f t="shared" si="318"/>
        <v>2.1117256969304946E-2</v>
      </c>
      <c r="EG97" s="18">
        <v>3</v>
      </c>
      <c r="EH97" s="52"/>
      <c r="EI97" s="19">
        <f t="shared" si="319"/>
        <v>1.5714285714285708E-3</v>
      </c>
      <c r="EJ97" s="12">
        <f t="shared" si="309"/>
        <v>5.3249982149293294E-2</v>
      </c>
      <c r="EK97" s="19">
        <f t="shared" si="310"/>
        <v>1.8903737326000363E-3</v>
      </c>
      <c r="EL97" s="19">
        <f t="shared" si="311"/>
        <v>1.8903737326000363E-3</v>
      </c>
      <c r="EM97" s="12" t="s">
        <v>39</v>
      </c>
      <c r="EN97" s="12">
        <v>-14.43</v>
      </c>
      <c r="EO97" s="12">
        <v>3.89</v>
      </c>
      <c r="EP97" s="13">
        <v>3</v>
      </c>
      <c r="EQ97" s="19">
        <f t="shared" si="320"/>
        <v>0.26957726957726957</v>
      </c>
      <c r="ER97" s="12">
        <v>-28.3</v>
      </c>
      <c r="ES97" s="12">
        <v>4.55</v>
      </c>
      <c r="ET97" s="13">
        <v>3</v>
      </c>
      <c r="EU97" s="19">
        <f t="shared" si="321"/>
        <v>0.16077738515901058</v>
      </c>
      <c r="EV97" s="19">
        <f t="shared" si="312"/>
        <v>-13.870000000000001</v>
      </c>
      <c r="EW97" s="12">
        <f t="shared" si="313"/>
        <v>4.2328831781659177</v>
      </c>
      <c r="EX97" s="19">
        <f t="shared" si="314"/>
        <v>11.944866666666664</v>
      </c>
      <c r="EY97" s="19">
        <f t="shared" si="315"/>
        <v>11.944866666666666</v>
      </c>
      <c r="FB97" s="12" t="s">
        <v>37</v>
      </c>
      <c r="FC97" s="12" t="s">
        <v>37</v>
      </c>
      <c r="FD97" s="11" t="s">
        <v>37</v>
      </c>
      <c r="FE97" s="12" t="s">
        <v>37</v>
      </c>
      <c r="FF97" s="20" t="s">
        <v>37</v>
      </c>
      <c r="FG97" s="11" t="s">
        <v>37</v>
      </c>
      <c r="FI97" s="12" t="s">
        <v>37</v>
      </c>
      <c r="FJ97" s="12" t="s">
        <v>37</v>
      </c>
      <c r="FK97" s="11" t="s">
        <v>37</v>
      </c>
      <c r="FL97" s="13" t="s">
        <v>37</v>
      </c>
      <c r="FM97" s="11" t="s">
        <v>37</v>
      </c>
      <c r="FN97" s="11" t="s">
        <v>37</v>
      </c>
      <c r="FP97" s="12" t="s">
        <v>37</v>
      </c>
      <c r="FQ97" s="12" t="s">
        <v>37</v>
      </c>
      <c r="FR97" s="11" t="s">
        <v>37</v>
      </c>
      <c r="FS97" s="13" t="s">
        <v>37</v>
      </c>
      <c r="FT97" s="11" t="s">
        <v>37</v>
      </c>
      <c r="FU97" s="11" t="s">
        <v>37</v>
      </c>
      <c r="FW97" s="12" t="s">
        <v>37</v>
      </c>
      <c r="FX97" s="12" t="s">
        <v>37</v>
      </c>
      <c r="FY97" s="11" t="s">
        <v>37</v>
      </c>
      <c r="FZ97" s="13" t="s">
        <v>37</v>
      </c>
      <c r="GA97" s="11" t="s">
        <v>37</v>
      </c>
      <c r="GB97" s="11" t="s">
        <v>37</v>
      </c>
      <c r="GO97" s="12" t="s">
        <v>660</v>
      </c>
      <c r="GP97" s="12" t="s">
        <v>345</v>
      </c>
      <c r="GQ97" s="12">
        <v>12.21</v>
      </c>
      <c r="GR97" s="12">
        <v>0.42</v>
      </c>
      <c r="GS97" s="13">
        <v>3</v>
      </c>
      <c r="GT97" s="19">
        <f t="shared" si="322"/>
        <v>3.4398034398034391E-2</v>
      </c>
      <c r="GU97" s="12">
        <v>11.86</v>
      </c>
      <c r="GV97" s="12">
        <v>0.87</v>
      </c>
      <c r="GW97" s="13">
        <v>3</v>
      </c>
      <c r="GX97" s="19">
        <f t="shared" si="323"/>
        <v>7.3355817875210796E-2</v>
      </c>
      <c r="GY97" s="19">
        <f t="shared" si="324"/>
        <v>-2.9083894553033989E-2</v>
      </c>
      <c r="GZ97" s="19">
        <f t="shared" si="325"/>
        <v>2.1881002621964843E-3</v>
      </c>
      <c r="IK97" s="12" t="s">
        <v>37</v>
      </c>
      <c r="IL97" s="12" t="s">
        <v>37</v>
      </c>
      <c r="IM97" s="12" t="s">
        <v>37</v>
      </c>
      <c r="IO97" s="12" t="s">
        <v>37</v>
      </c>
      <c r="IP97" s="12" t="s">
        <v>37</v>
      </c>
      <c r="IQ97" s="12" t="s">
        <v>37</v>
      </c>
      <c r="IV97" s="32" t="s">
        <v>345</v>
      </c>
      <c r="IW97" s="12">
        <v>4.2</v>
      </c>
      <c r="IX97" s="50">
        <f t="shared" si="316"/>
        <v>0.15377351903769718</v>
      </c>
      <c r="IY97" s="13">
        <v>3</v>
      </c>
      <c r="JA97" s="12">
        <v>4</v>
      </c>
      <c r="JB97" s="50">
        <f t="shared" si="326"/>
        <v>0.11203523514281104</v>
      </c>
      <c r="JC97" s="13">
        <v>3</v>
      </c>
      <c r="JE97" s="19">
        <f t="shared" si="327"/>
        <v>-4.8790164169432056E-2</v>
      </c>
      <c r="JF97" s="19">
        <f t="shared" si="328"/>
        <v>7.0832876411330761E-4</v>
      </c>
      <c r="JH97" s="12" t="s">
        <v>37</v>
      </c>
      <c r="JI97" s="12" t="s">
        <v>37</v>
      </c>
      <c r="JJ97" s="13" t="s">
        <v>37</v>
      </c>
      <c r="JL97" s="12" t="s">
        <v>37</v>
      </c>
      <c r="JM97" s="12" t="s">
        <v>37</v>
      </c>
      <c r="JN97" s="12" t="s">
        <v>37</v>
      </c>
      <c r="JS97" s="12" t="s">
        <v>37</v>
      </c>
      <c r="JT97" s="12" t="s">
        <v>37</v>
      </c>
      <c r="JU97" s="13" t="s">
        <v>37</v>
      </c>
      <c r="JW97" s="12" t="s">
        <v>37</v>
      </c>
      <c r="JX97" s="12" t="s">
        <v>37</v>
      </c>
      <c r="JY97" s="12" t="s">
        <v>37</v>
      </c>
      <c r="KE97" s="11" t="s">
        <v>37</v>
      </c>
      <c r="KF97" s="11" t="s">
        <v>37</v>
      </c>
      <c r="KG97" s="13" t="s">
        <v>37</v>
      </c>
      <c r="KH97" s="11" t="s">
        <v>37</v>
      </c>
      <c r="KI97" s="11" t="s">
        <v>37</v>
      </c>
      <c r="KJ97" s="11" t="s">
        <v>37</v>
      </c>
      <c r="KK97" s="12" t="s">
        <v>42</v>
      </c>
      <c r="KL97" s="32" t="s">
        <v>345</v>
      </c>
      <c r="KM97" s="12">
        <v>4</v>
      </c>
      <c r="KN97" s="50">
        <f t="shared" si="329"/>
        <v>0.47717216553943792</v>
      </c>
      <c r="KO97" s="11">
        <v>3</v>
      </c>
      <c r="KQ97" s="12">
        <v>4</v>
      </c>
      <c r="KR97" s="50">
        <f t="shared" si="330"/>
        <v>0.42177372067454699</v>
      </c>
      <c r="KS97" s="13">
        <v>3</v>
      </c>
      <c r="KU97" s="19">
        <f t="shared" si="331"/>
        <v>0</v>
      </c>
      <c r="KV97" s="19">
        <f t="shared" si="332"/>
        <v>8.4497155628593234E-3</v>
      </c>
      <c r="KX97" s="12" t="s">
        <v>37</v>
      </c>
      <c r="KY97" s="12" t="s">
        <v>37</v>
      </c>
      <c r="KZ97" s="13" t="s">
        <v>37</v>
      </c>
      <c r="LB97" s="12" t="s">
        <v>37</v>
      </c>
      <c r="LC97" s="12" t="s">
        <v>37</v>
      </c>
      <c r="LD97" s="13" t="s">
        <v>37</v>
      </c>
      <c r="LI97" s="12" t="s">
        <v>37</v>
      </c>
      <c r="LJ97" s="12" t="s">
        <v>37</v>
      </c>
      <c r="LK97" s="12" t="s">
        <v>37</v>
      </c>
      <c r="LM97" s="12" t="s">
        <v>37</v>
      </c>
      <c r="LN97" s="12" t="s">
        <v>37</v>
      </c>
      <c r="LO97" s="12" t="s">
        <v>37</v>
      </c>
      <c r="LU97" s="12" t="s">
        <v>37</v>
      </c>
      <c r="LV97" s="12" t="s">
        <v>37</v>
      </c>
      <c r="LW97" s="13" t="s">
        <v>37</v>
      </c>
      <c r="LY97" s="12" t="s">
        <v>37</v>
      </c>
      <c r="LZ97" s="12" t="s">
        <v>37</v>
      </c>
      <c r="MA97" s="12" t="s">
        <v>37</v>
      </c>
      <c r="MF97" s="12" t="s">
        <v>37</v>
      </c>
      <c r="MG97" s="12" t="s">
        <v>37</v>
      </c>
      <c r="MH97" s="12" t="s">
        <v>37</v>
      </c>
      <c r="MJ97" s="12" t="s">
        <v>37</v>
      </c>
      <c r="MK97" s="12" t="s">
        <v>37</v>
      </c>
      <c r="ML97" s="12" t="s">
        <v>37</v>
      </c>
      <c r="MQ97" s="12" t="s">
        <v>37</v>
      </c>
      <c r="MR97" s="12" t="s">
        <v>37</v>
      </c>
      <c r="MS97" s="12" t="s">
        <v>37</v>
      </c>
      <c r="MU97" s="12" t="s">
        <v>37</v>
      </c>
      <c r="MV97" s="12" t="s">
        <v>37</v>
      </c>
      <c r="MW97" s="12" t="s">
        <v>37</v>
      </c>
      <c r="NC97" s="12" t="s">
        <v>37</v>
      </c>
      <c r="ND97" s="12" t="s">
        <v>37</v>
      </c>
      <c r="NE97" s="13" t="s">
        <v>37</v>
      </c>
      <c r="NG97" s="12" t="s">
        <v>37</v>
      </c>
      <c r="NH97" s="12" t="s">
        <v>37</v>
      </c>
      <c r="NI97" s="13" t="s">
        <v>37</v>
      </c>
      <c r="NO97" s="12" t="s">
        <v>37</v>
      </c>
      <c r="NP97" s="12" t="s">
        <v>37</v>
      </c>
      <c r="NQ97" s="13" t="s">
        <v>37</v>
      </c>
      <c r="NS97" s="12" t="s">
        <v>37</v>
      </c>
      <c r="NT97" s="12" t="s">
        <v>37</v>
      </c>
      <c r="NU97" s="13" t="s">
        <v>37</v>
      </c>
      <c r="OA97" s="11" t="s">
        <v>37</v>
      </c>
      <c r="OB97" s="11" t="s">
        <v>37</v>
      </c>
      <c r="OC97" s="13" t="s">
        <v>37</v>
      </c>
      <c r="OE97" s="11" t="s">
        <v>37</v>
      </c>
      <c r="OF97" s="11" t="s">
        <v>37</v>
      </c>
      <c r="OG97" s="13" t="s">
        <v>37</v>
      </c>
      <c r="OM97" s="11" t="s">
        <v>37</v>
      </c>
      <c r="ON97" s="11" t="s">
        <v>37</v>
      </c>
      <c r="OO97" s="11" t="s">
        <v>37</v>
      </c>
      <c r="OP97" s="11" t="s">
        <v>37</v>
      </c>
      <c r="OQ97" s="11" t="s">
        <v>37</v>
      </c>
      <c r="OR97" s="11" t="s">
        <v>37</v>
      </c>
      <c r="OW97" s="12" t="s">
        <v>37</v>
      </c>
      <c r="OX97" s="12" t="s">
        <v>37</v>
      </c>
      <c r="OY97" s="13" t="s">
        <v>37</v>
      </c>
      <c r="OZ97" s="12" t="s">
        <v>37</v>
      </c>
      <c r="PA97" s="12" t="s">
        <v>37</v>
      </c>
      <c r="PB97" s="13" t="s">
        <v>37</v>
      </c>
      <c r="PG97" s="11" t="s">
        <v>37</v>
      </c>
      <c r="PH97" s="11" t="s">
        <v>37</v>
      </c>
      <c r="PI97" s="13" t="s">
        <v>37</v>
      </c>
      <c r="PJ97" s="11" t="s">
        <v>37</v>
      </c>
      <c r="PK97" s="11" t="s">
        <v>37</v>
      </c>
      <c r="PL97" s="13" t="s">
        <v>37</v>
      </c>
      <c r="PQ97" s="11" t="s">
        <v>37</v>
      </c>
      <c r="PR97" s="11" t="s">
        <v>37</v>
      </c>
      <c r="PS97" s="13" t="s">
        <v>37</v>
      </c>
      <c r="PT97" s="11" t="s">
        <v>37</v>
      </c>
      <c r="PU97" s="11" t="s">
        <v>37</v>
      </c>
      <c r="PV97" s="13" t="s">
        <v>37</v>
      </c>
      <c r="PZ97" s="12" t="s">
        <v>37</v>
      </c>
      <c r="QA97" s="12" t="s">
        <v>37</v>
      </c>
      <c r="QB97" s="11" t="s">
        <v>37</v>
      </c>
      <c r="QD97" s="12" t="s">
        <v>37</v>
      </c>
      <c r="QE97" s="12" t="s">
        <v>37</v>
      </c>
      <c r="QF97" s="12" t="s">
        <v>37</v>
      </c>
      <c r="QK97" s="12" t="s">
        <v>37</v>
      </c>
      <c r="QL97" s="12" t="s">
        <v>37</v>
      </c>
      <c r="QM97" s="12" t="s">
        <v>37</v>
      </c>
      <c r="QN97" s="12" t="s">
        <v>37</v>
      </c>
      <c r="QO97" s="12" t="s">
        <v>37</v>
      </c>
      <c r="QP97" s="12" t="s">
        <v>37</v>
      </c>
      <c r="QQ97" s="12"/>
      <c r="QR97" s="12"/>
      <c r="QU97" s="11" t="s">
        <v>37</v>
      </c>
      <c r="QV97" s="11" t="s">
        <v>37</v>
      </c>
      <c r="QW97" s="13" t="s">
        <v>37</v>
      </c>
      <c r="QX97" s="11" t="s">
        <v>37</v>
      </c>
      <c r="QY97" s="11" t="s">
        <v>37</v>
      </c>
      <c r="QZ97" s="13" t="s">
        <v>37</v>
      </c>
      <c r="RC97" s="12" t="s">
        <v>37</v>
      </c>
      <c r="RD97" s="12" t="s">
        <v>37</v>
      </c>
      <c r="RE97" s="13" t="s">
        <v>37</v>
      </c>
      <c r="RF97" s="12" t="s">
        <v>37</v>
      </c>
      <c r="RG97" s="12" t="s">
        <v>37</v>
      </c>
      <c r="RH97" s="13" t="s">
        <v>37</v>
      </c>
      <c r="RK97" s="11" t="s">
        <v>37</v>
      </c>
      <c r="RL97" s="11" t="s">
        <v>37</v>
      </c>
      <c r="RM97" s="11" t="s">
        <v>37</v>
      </c>
      <c r="RN97" s="11" t="s">
        <v>37</v>
      </c>
      <c r="RO97" s="11" t="s">
        <v>37</v>
      </c>
      <c r="RP97" s="11" t="s">
        <v>37</v>
      </c>
      <c r="RS97" s="11" t="s">
        <v>37</v>
      </c>
      <c r="RT97" s="11" t="s">
        <v>37</v>
      </c>
      <c r="RU97" s="11" t="s">
        <v>37</v>
      </c>
      <c r="RV97" s="11" t="s">
        <v>37</v>
      </c>
      <c r="RW97" s="11" t="s">
        <v>37</v>
      </c>
      <c r="RX97" s="11" t="s">
        <v>37</v>
      </c>
      <c r="SA97" s="11" t="s">
        <v>37</v>
      </c>
      <c r="SB97" s="11" t="s">
        <v>37</v>
      </c>
      <c r="SC97" s="13" t="s">
        <v>37</v>
      </c>
      <c r="SD97" s="11" t="s">
        <v>37</v>
      </c>
      <c r="SE97" s="11" t="s">
        <v>37</v>
      </c>
      <c r="SF97" s="13" t="s">
        <v>37</v>
      </c>
      <c r="SI97" s="12" t="s">
        <v>37</v>
      </c>
      <c r="SJ97" s="12" t="s">
        <v>37</v>
      </c>
      <c r="SK97" s="13" t="s">
        <v>37</v>
      </c>
      <c r="SM97" s="12" t="s">
        <v>37</v>
      </c>
      <c r="SN97" s="12" t="s">
        <v>37</v>
      </c>
      <c r="SO97" s="13" t="s">
        <v>37</v>
      </c>
      <c r="SU97" s="12" t="s">
        <v>37</v>
      </c>
      <c r="SV97" s="12" t="s">
        <v>37</v>
      </c>
      <c r="SW97" s="11" t="s">
        <v>37</v>
      </c>
      <c r="SX97" s="12" t="s">
        <v>37</v>
      </c>
      <c r="SY97" s="12" t="s">
        <v>37</v>
      </c>
      <c r="SZ97" s="11" t="s">
        <v>37</v>
      </c>
      <c r="TE97" s="12" t="s">
        <v>37</v>
      </c>
      <c r="TF97" s="12" t="s">
        <v>37</v>
      </c>
      <c r="TG97" s="11" t="s">
        <v>37</v>
      </c>
      <c r="TH97" s="12" t="s">
        <v>37</v>
      </c>
      <c r="TI97" s="12" t="s">
        <v>37</v>
      </c>
      <c r="TJ97" s="11" t="s">
        <v>37</v>
      </c>
      <c r="TO97" s="12" t="s">
        <v>37</v>
      </c>
      <c r="TP97" s="12" t="s">
        <v>37</v>
      </c>
      <c r="TQ97" s="11" t="s">
        <v>37</v>
      </c>
      <c r="TR97" s="12" t="s">
        <v>37</v>
      </c>
      <c r="TS97" s="12" t="s">
        <v>37</v>
      </c>
      <c r="TT97" s="11" t="s">
        <v>37</v>
      </c>
      <c r="TY97" s="12" t="s">
        <v>37</v>
      </c>
      <c r="TZ97" s="12" t="s">
        <v>37</v>
      </c>
      <c r="UA97" s="12" t="s">
        <v>37</v>
      </c>
      <c r="UB97" s="12" t="s">
        <v>37</v>
      </c>
      <c r="UC97" s="12" t="s">
        <v>37</v>
      </c>
      <c r="UD97" s="12" t="s">
        <v>37</v>
      </c>
      <c r="UE97" s="12"/>
      <c r="UF97" s="12"/>
      <c r="UI97" s="12" t="s">
        <v>37</v>
      </c>
      <c r="UJ97" s="12" t="s">
        <v>37</v>
      </c>
      <c r="UK97" s="12" t="s">
        <v>37</v>
      </c>
      <c r="UL97" s="12" t="s">
        <v>37</v>
      </c>
      <c r="UM97" s="12" t="s">
        <v>37</v>
      </c>
      <c r="UN97" s="12" t="s">
        <v>37</v>
      </c>
      <c r="UO97" s="12"/>
      <c r="UP97" s="12"/>
      <c r="UR97" s="12" t="s">
        <v>37</v>
      </c>
      <c r="US97" s="12" t="s">
        <v>37</v>
      </c>
      <c r="UT97" s="12" t="s">
        <v>37</v>
      </c>
      <c r="UU97" s="12" t="s">
        <v>37</v>
      </c>
      <c r="UV97" s="12" t="s">
        <v>37</v>
      </c>
      <c r="UW97" s="12" t="s">
        <v>37</v>
      </c>
      <c r="UX97" s="12"/>
      <c r="UY97" s="12"/>
      <c r="VB97" s="12" t="s">
        <v>37</v>
      </c>
      <c r="VC97" s="12" t="s">
        <v>37</v>
      </c>
      <c r="VD97" s="12" t="s">
        <v>37</v>
      </c>
      <c r="VE97" s="12" t="s">
        <v>37</v>
      </c>
      <c r="VF97" s="12" t="s">
        <v>37</v>
      </c>
      <c r="VG97" s="12" t="s">
        <v>37</v>
      </c>
      <c r="VI97" s="12" t="s">
        <v>37</v>
      </c>
      <c r="VJ97" s="12" t="s">
        <v>37</v>
      </c>
      <c r="VK97" s="12" t="s">
        <v>37</v>
      </c>
      <c r="VL97" s="12" t="s">
        <v>37</v>
      </c>
      <c r="VM97" s="12" t="s">
        <v>37</v>
      </c>
      <c r="VN97" s="12" t="s">
        <v>37</v>
      </c>
      <c r="VQ97" s="13" t="s">
        <v>37</v>
      </c>
      <c r="VR97" s="13" t="s">
        <v>37</v>
      </c>
      <c r="VS97" s="13" t="s">
        <v>37</v>
      </c>
      <c r="VT97" s="13" t="s">
        <v>37</v>
      </c>
      <c r="VU97" s="13" t="s">
        <v>37</v>
      </c>
      <c r="VV97" s="13" t="s">
        <v>37</v>
      </c>
      <c r="WA97" s="13" t="s">
        <v>37</v>
      </c>
      <c r="WB97" s="13" t="s">
        <v>37</v>
      </c>
      <c r="WC97" s="13" t="s">
        <v>37</v>
      </c>
      <c r="WD97" s="13" t="s">
        <v>37</v>
      </c>
      <c r="WE97" s="13" t="s">
        <v>37</v>
      </c>
      <c r="WF97" s="13" t="s">
        <v>37</v>
      </c>
    </row>
    <row r="98" spans="1:604" ht="18" customHeight="1" x14ac:dyDescent="0.3">
      <c r="A98" s="11">
        <v>23</v>
      </c>
      <c r="B98" s="12" t="s">
        <v>915</v>
      </c>
      <c r="C98" s="12" t="s">
        <v>26</v>
      </c>
      <c r="D98" s="12" t="s">
        <v>54</v>
      </c>
      <c r="E98" s="40" t="s">
        <v>37</v>
      </c>
      <c r="F98" s="14">
        <v>0</v>
      </c>
      <c r="G98" s="14">
        <v>0</v>
      </c>
      <c r="H98" s="12" t="s">
        <v>88</v>
      </c>
      <c r="I98" s="29">
        <v>-1.226</v>
      </c>
      <c r="J98" s="29">
        <v>103.619</v>
      </c>
      <c r="K98" s="12" t="s">
        <v>710</v>
      </c>
      <c r="L98" s="12" t="s">
        <v>711</v>
      </c>
      <c r="M98" s="13" t="s">
        <v>37</v>
      </c>
      <c r="N98" s="14">
        <v>26.3</v>
      </c>
      <c r="O98" s="14">
        <v>2500</v>
      </c>
      <c r="P98" s="14" t="s">
        <v>89</v>
      </c>
      <c r="Q98" s="75">
        <v>20</v>
      </c>
      <c r="R98" s="11" t="s">
        <v>1000</v>
      </c>
      <c r="S98" s="12" t="s">
        <v>105</v>
      </c>
      <c r="T98" s="12" t="s">
        <v>138</v>
      </c>
      <c r="U98" s="12" t="s">
        <v>158</v>
      </c>
      <c r="V98" s="12" t="s">
        <v>275</v>
      </c>
      <c r="W98" s="23" t="s">
        <v>49</v>
      </c>
      <c r="X98" s="12" t="s">
        <v>49</v>
      </c>
      <c r="Y98" s="12" t="s">
        <v>69</v>
      </c>
      <c r="Z98" s="12" t="s">
        <v>37</v>
      </c>
      <c r="AA98" s="32" t="s">
        <v>345</v>
      </c>
      <c r="AB98" s="12">
        <f>AVERAGEA(3.74,3.51,3.51)</f>
        <v>3.5866666666666664</v>
      </c>
      <c r="AC98" s="16" t="s">
        <v>42</v>
      </c>
      <c r="AD98" s="32" t="s">
        <v>345</v>
      </c>
      <c r="AE98" s="12">
        <f>(336+342+342)/3</f>
        <v>340</v>
      </c>
      <c r="AF98" s="12" t="s">
        <v>42</v>
      </c>
      <c r="AG98" s="32" t="s">
        <v>345</v>
      </c>
      <c r="AH98" s="12">
        <f>AVERAGEA(11.6,14.6,14.6)</f>
        <v>13.6</v>
      </c>
      <c r="AJ98" s="12" t="str">
        <f>AD98</f>
        <v>0-10</v>
      </c>
      <c r="AK98" s="19">
        <f>AE98/AH98</f>
        <v>25</v>
      </c>
      <c r="AL98" s="32" t="s">
        <v>515</v>
      </c>
      <c r="AM98" s="13" t="s">
        <v>895</v>
      </c>
      <c r="AN98" s="32" t="s">
        <v>883</v>
      </c>
      <c r="AO98" s="13" t="s">
        <v>37</v>
      </c>
      <c r="AP98" s="12" t="s">
        <v>238</v>
      </c>
      <c r="AQ98" s="12" t="s">
        <v>975</v>
      </c>
      <c r="AR98" s="16" t="s">
        <v>42</v>
      </c>
      <c r="AS98" s="32" t="s">
        <v>345</v>
      </c>
      <c r="AT98" s="12">
        <f>(336+342+342)/3</f>
        <v>340</v>
      </c>
      <c r="AU98" s="12">
        <f>STDEVA(336,342,342)</f>
        <v>3.4641016151377544</v>
      </c>
      <c r="AV98" s="13">
        <v>3</v>
      </c>
      <c r="AW98" s="52">
        <f>AU98/AT98</f>
        <v>1.0188534162169865E-2</v>
      </c>
      <c r="AX98" s="12">
        <v>325</v>
      </c>
      <c r="AY98" s="50">
        <f>AX98*BA$474</f>
        <v>22.948385168875401</v>
      </c>
      <c r="AZ98" s="13">
        <v>3</v>
      </c>
      <c r="BB98" s="52">
        <f t="shared" ref="BB98" si="333">LN(AX98/AT98)</f>
        <v>-4.5120435280469544E-2</v>
      </c>
      <c r="BC98" s="19">
        <f t="shared" ref="BC98" si="334">AY98^2/(AZ98*AX98^2)+AU98^2/(AV98*AT98^2)</f>
        <v>1.6965456875141075E-3</v>
      </c>
      <c r="BE98" s="12" t="s">
        <v>326</v>
      </c>
      <c r="BF98" s="12" t="s">
        <v>326</v>
      </c>
      <c r="BG98" s="12" t="s">
        <v>326</v>
      </c>
      <c r="BI98" s="12" t="s">
        <v>326</v>
      </c>
      <c r="BJ98" s="12" t="s">
        <v>326</v>
      </c>
      <c r="BK98" s="12" t="s">
        <v>326</v>
      </c>
      <c r="BP98" s="12" t="s">
        <v>37</v>
      </c>
      <c r="BQ98" s="12" t="s">
        <v>37</v>
      </c>
      <c r="BR98" s="13" t="s">
        <v>37</v>
      </c>
      <c r="BT98" s="12" t="s">
        <v>37</v>
      </c>
      <c r="BU98" s="12" t="s">
        <v>37</v>
      </c>
      <c r="BV98" s="12" t="s">
        <v>37</v>
      </c>
      <c r="CA98" s="12" t="s">
        <v>37</v>
      </c>
      <c r="CB98" s="12" t="s">
        <v>37</v>
      </c>
      <c r="CC98" s="13" t="s">
        <v>37</v>
      </c>
      <c r="CE98" s="12" t="s">
        <v>37</v>
      </c>
      <c r="CF98" s="12" t="s">
        <v>37</v>
      </c>
      <c r="CG98" s="13" t="s">
        <v>37</v>
      </c>
      <c r="CI98" s="52"/>
      <c r="CK98" s="73"/>
      <c r="CL98" s="73"/>
      <c r="CN98" s="12" t="s">
        <v>37</v>
      </c>
      <c r="CO98" s="12" t="s">
        <v>37</v>
      </c>
      <c r="CP98" s="13" t="s">
        <v>37</v>
      </c>
      <c r="CR98" s="12" t="s">
        <v>37</v>
      </c>
      <c r="CS98" s="12" t="s">
        <v>37</v>
      </c>
      <c r="CT98" s="13" t="s">
        <v>37</v>
      </c>
      <c r="CV98" s="52"/>
      <c r="CW98" s="52"/>
      <c r="CX98" s="73"/>
      <c r="CY98" s="73"/>
      <c r="DA98" s="12" t="s">
        <v>37</v>
      </c>
      <c r="DB98" s="12" t="s">
        <v>37</v>
      </c>
      <c r="DC98" s="13" t="s">
        <v>37</v>
      </c>
      <c r="DE98" s="12" t="s">
        <v>37</v>
      </c>
      <c r="DF98" s="12" t="s">
        <v>37</v>
      </c>
      <c r="DG98" s="13" t="s">
        <v>37</v>
      </c>
      <c r="DI98" s="52"/>
      <c r="DJ98" s="52"/>
      <c r="DK98" s="73"/>
      <c r="DL98" s="73"/>
      <c r="DM98" s="15" t="s">
        <v>47</v>
      </c>
      <c r="DN98" s="52">
        <f>(AVERAGEA(0.67,0.91,0.58)*16/12*10^4/10^6*("2002/01/31"-"2001/11/01")*24)/(AVERAGEA('[1]Wet season flux for tropical'!$AZ$2,'[1]Wet season flux for tropical'!$AZ$3,'[1]Wet season flux for tropical'!$AZ$4,'[1]Wet season flux for tropical'!$AZ$5))</f>
        <v>29.564989329793384</v>
      </c>
      <c r="DO98" s="15">
        <f>SQRT(0.36^2+1.02^2+0.2^2)/3*16/12*10^4/10^6*("2002/01/31"-"2001/11/01")*24</f>
        <v>10.677333333333335</v>
      </c>
      <c r="DP98" s="18">
        <v>3</v>
      </c>
      <c r="DQ98" s="19">
        <f>DO98/ABS(DN98)</f>
        <v>0.36114788387809488</v>
      </c>
      <c r="DR98" s="52">
        <f>(0.1*16/12*10^4/10^6*("2002/01/31"-"2001/11/01")*24)/'[1]Wet season flux for tropical'!$BC$5</f>
        <v>7.9918819188191907</v>
      </c>
      <c r="DS98" s="15">
        <f>0.03*16/12*10^4/10^6*("2002/01/31"-"2001/11/01")*24</f>
        <v>0.87360000000000004</v>
      </c>
      <c r="DT98" s="18">
        <v>3</v>
      </c>
      <c r="DU98" s="19">
        <f t="shared" ref="DU98:DU103" si="335">DS98/ABS(DR98)</f>
        <v>0.10931092436974787</v>
      </c>
      <c r="DV98" s="19">
        <f t="shared" ref="DV98:DV111" si="336">DR98-DN98</f>
        <v>-21.573107410974195</v>
      </c>
      <c r="DW98" s="12">
        <f t="shared" ref="DW98:DW111" si="337">SQRT(((DP98-1)*DO98^2+(DT98-1)*DS98^2)/(DP98+DT98-2))</f>
        <v>7.5752433647742023</v>
      </c>
      <c r="DX98" s="72">
        <f t="shared" si="196"/>
        <v>38.256208023703714</v>
      </c>
      <c r="DY98" s="72">
        <f t="shared" si="197"/>
        <v>38.256208023703721</v>
      </c>
      <c r="DZ98" s="15" t="s">
        <v>47</v>
      </c>
      <c r="EA98" s="52">
        <f>AVERAGEA(-5.38,-0.24,2.19)*44/28*10^4/10^9*("2002/01/31"-"2001/11/01")*24/(AVERAGEA('[3]Wet season flux for tropical'!$AZ$2,'[3]Wet season flux for tropical'!$AZ$3))</f>
        <v>-9.6326468671612098E-2</v>
      </c>
      <c r="EB98" s="52">
        <f>SQRT(2.26^2+2.24^2+3.49^2)/3*44/28*10^4/10^9*("2002/01/31"-"2001/11/01")*24</f>
        <v>5.4029389318036893E-2</v>
      </c>
      <c r="EC98" s="73">
        <v>3</v>
      </c>
      <c r="ED98" s="52">
        <f t="shared" ref="ED98:ED99" si="338">EB98/ABS(EA98)</f>
        <v>0.56089868198354942</v>
      </c>
      <c r="EE98" s="52">
        <f>25.36*44/28*10^4/10^9*("2002/01/31"-"2001/11/01")*24/(AVERAGEA('[3]Wet season flux for tropical'!$BC$2))</f>
        <v>1.5454704465443767</v>
      </c>
      <c r="EF98" s="52">
        <f>8.43*44/28*10^4/10^9*("2002/01/31"-"2001/11/01")*24</f>
        <v>0.28931759999999995</v>
      </c>
      <c r="EG98" s="13">
        <v>3</v>
      </c>
      <c r="EH98" s="52">
        <f t="shared" ref="EH98:EH99" si="339">EF98/ABS(EE98)</f>
        <v>0.18720357975586333</v>
      </c>
      <c r="EI98" s="19">
        <f>EE98-EA98</f>
        <v>1.6417969152159888</v>
      </c>
      <c r="EJ98" s="12">
        <f t="shared" si="309"/>
        <v>0.20811517073466793</v>
      </c>
      <c r="EK98" s="19">
        <f t="shared" si="310"/>
        <v>2.8874616193279988E-2</v>
      </c>
      <c r="EL98" s="19">
        <f t="shared" si="311"/>
        <v>2.8874616193279991E-2</v>
      </c>
      <c r="EM98" s="12" t="s">
        <v>39</v>
      </c>
      <c r="EN98" s="12">
        <f>AVERAGEA(5,2,3)</f>
        <v>3.3333333333333335</v>
      </c>
      <c r="EO98" s="12">
        <f>STDEVA(5,2,3)</f>
        <v>1.5275252316519463</v>
      </c>
      <c r="EP98" s="13">
        <v>3</v>
      </c>
      <c r="EQ98" s="19">
        <f t="shared" si="320"/>
        <v>0.45825756949558388</v>
      </c>
      <c r="ER98" s="12">
        <v>-18.100000000000001</v>
      </c>
      <c r="ES98" s="12">
        <v>5.6</v>
      </c>
      <c r="ET98" s="13">
        <v>3</v>
      </c>
      <c r="EU98" s="19">
        <f t="shared" si="321"/>
        <v>0.3093922651933701</v>
      </c>
      <c r="EV98" s="19">
        <f t="shared" si="312"/>
        <v>-21.433333333333334</v>
      </c>
      <c r="EW98" s="12">
        <f t="shared" si="313"/>
        <v>4.1044691089916441</v>
      </c>
      <c r="EX98" s="19">
        <f t="shared" si="314"/>
        <v>11.231111111111108</v>
      </c>
      <c r="EY98" s="19">
        <f t="shared" si="315"/>
        <v>11.231111111111108</v>
      </c>
      <c r="FB98" s="12" t="s">
        <v>37</v>
      </c>
      <c r="FC98" s="12" t="s">
        <v>37</v>
      </c>
      <c r="FD98" s="11" t="s">
        <v>37</v>
      </c>
      <c r="FE98" s="12" t="s">
        <v>37</v>
      </c>
      <c r="FF98" s="20" t="s">
        <v>37</v>
      </c>
      <c r="FG98" s="11" t="s">
        <v>37</v>
      </c>
      <c r="FI98" s="12" t="s">
        <v>37</v>
      </c>
      <c r="FJ98" s="12" t="s">
        <v>37</v>
      </c>
      <c r="FK98" s="11" t="s">
        <v>37</v>
      </c>
      <c r="FL98" s="13" t="s">
        <v>37</v>
      </c>
      <c r="FM98" s="11" t="s">
        <v>37</v>
      </c>
      <c r="FN98" s="11" t="s">
        <v>37</v>
      </c>
      <c r="FP98" s="12" t="s">
        <v>37</v>
      </c>
      <c r="FQ98" s="12" t="s">
        <v>37</v>
      </c>
      <c r="FR98" s="11" t="s">
        <v>37</v>
      </c>
      <c r="FS98" s="13" t="s">
        <v>37</v>
      </c>
      <c r="FT98" s="11" t="s">
        <v>37</v>
      </c>
      <c r="FU98" s="11" t="s">
        <v>37</v>
      </c>
      <c r="FW98" s="12" t="s">
        <v>37</v>
      </c>
      <c r="FX98" s="12" t="s">
        <v>37</v>
      </c>
      <c r="FY98" s="11" t="s">
        <v>37</v>
      </c>
      <c r="FZ98" s="13" t="s">
        <v>37</v>
      </c>
      <c r="GA98" s="11" t="s">
        <v>37</v>
      </c>
      <c r="GB98" s="11" t="s">
        <v>37</v>
      </c>
      <c r="IK98" s="12" t="s">
        <v>37</v>
      </c>
      <c r="IL98" s="12" t="s">
        <v>37</v>
      </c>
      <c r="IM98" s="12" t="s">
        <v>37</v>
      </c>
      <c r="IO98" s="12" t="s">
        <v>37</v>
      </c>
      <c r="IP98" s="12" t="s">
        <v>37</v>
      </c>
      <c r="IQ98" s="12" t="s">
        <v>37</v>
      </c>
      <c r="IV98" s="32" t="s">
        <v>345</v>
      </c>
      <c r="IW98" s="12">
        <f>AVERAGEA(3.74,3.51,3.51)</f>
        <v>3.5866666666666664</v>
      </c>
      <c r="IX98" s="12">
        <f>STDEVA(3.74,3.51,3.51)</f>
        <v>0.13279056191361416</v>
      </c>
      <c r="IY98" s="13">
        <v>3</v>
      </c>
      <c r="IZ98" s="19">
        <f t="shared" ref="IZ98:IZ99" si="340">IX98/IW98</f>
        <v>3.702339086810804E-2</v>
      </c>
      <c r="JA98" s="12">
        <v>3.48</v>
      </c>
      <c r="JB98" s="50">
        <f t="shared" si="326"/>
        <v>9.7470654574245599E-2</v>
      </c>
      <c r="JC98" s="13">
        <v>4</v>
      </c>
      <c r="JE98" s="19">
        <f t="shared" si="327"/>
        <v>-3.0190972279145682E-2</v>
      </c>
      <c r="JF98" s="19">
        <f t="shared" si="328"/>
        <v>6.5303383285608371E-4</v>
      </c>
      <c r="JH98" s="12" t="s">
        <v>37</v>
      </c>
      <c r="JI98" s="12" t="s">
        <v>37</v>
      </c>
      <c r="JJ98" s="13" t="s">
        <v>37</v>
      </c>
      <c r="JL98" s="12" t="s">
        <v>37</v>
      </c>
      <c r="JM98" s="12" t="s">
        <v>37</v>
      </c>
      <c r="JN98" s="12" t="s">
        <v>37</v>
      </c>
      <c r="JS98" s="12" t="s">
        <v>37</v>
      </c>
      <c r="JT98" s="12" t="s">
        <v>37</v>
      </c>
      <c r="JU98" s="13" t="s">
        <v>37</v>
      </c>
      <c r="JW98" s="12" t="s">
        <v>37</v>
      </c>
      <c r="JX98" s="12" t="s">
        <v>37</v>
      </c>
      <c r="JY98" s="12" t="s">
        <v>37</v>
      </c>
      <c r="KE98" s="11" t="s">
        <v>37</v>
      </c>
      <c r="KF98" s="11" t="s">
        <v>37</v>
      </c>
      <c r="KG98" s="13" t="s">
        <v>37</v>
      </c>
      <c r="KH98" s="11" t="s">
        <v>37</v>
      </c>
      <c r="KI98" s="11" t="s">
        <v>37</v>
      </c>
      <c r="KJ98" s="11" t="s">
        <v>37</v>
      </c>
      <c r="KK98" s="12" t="s">
        <v>42</v>
      </c>
      <c r="KL98" s="32" t="s">
        <v>345</v>
      </c>
      <c r="KM98" s="12">
        <f>AVERAGEA(11.6,14.6,14.6)</f>
        <v>13.6</v>
      </c>
      <c r="KN98" s="12">
        <f>STDEVA(11.6,14.6,14.6)</f>
        <v>1.7320508075688772</v>
      </c>
      <c r="KO98" s="11">
        <v>3</v>
      </c>
      <c r="KP98" s="19">
        <f>KN98/KM98</f>
        <v>0.12735667702712333</v>
      </c>
      <c r="KQ98" s="12">
        <v>18</v>
      </c>
      <c r="KR98" s="50">
        <f t="shared" si="330"/>
        <v>1.8979817430354615</v>
      </c>
      <c r="KS98" s="13">
        <v>3</v>
      </c>
      <c r="KU98" s="19">
        <f t="shared" si="331"/>
        <v>0.28030196515415834</v>
      </c>
      <c r="KV98" s="19">
        <f t="shared" si="332"/>
        <v>9.1126800497063933E-3</v>
      </c>
      <c r="KX98" s="12" t="s">
        <v>37</v>
      </c>
      <c r="KY98" s="12" t="s">
        <v>37</v>
      </c>
      <c r="KZ98" s="13" t="s">
        <v>37</v>
      </c>
      <c r="LB98" s="12" t="s">
        <v>37</v>
      </c>
      <c r="LC98" s="12" t="s">
        <v>37</v>
      </c>
      <c r="LD98" s="13" t="s">
        <v>37</v>
      </c>
      <c r="LI98" s="12" t="s">
        <v>37</v>
      </c>
      <c r="LJ98" s="12" t="s">
        <v>37</v>
      </c>
      <c r="LK98" s="12" t="s">
        <v>37</v>
      </c>
      <c r="LM98" s="12" t="s">
        <v>37</v>
      </c>
      <c r="LN98" s="12" t="s">
        <v>37</v>
      </c>
      <c r="LO98" s="12" t="s">
        <v>37</v>
      </c>
      <c r="LT98" s="12" t="str">
        <f t="shared" ref="LT98" si="341">KL98</f>
        <v>0-10</v>
      </c>
      <c r="LU98" s="12">
        <f>AT98/KM98</f>
        <v>25</v>
      </c>
      <c r="LV98" s="12">
        <f>SQRT((1/KM98)^2*AU98^2+AT98^2*(-1/KM98^2)^2*KN98^2)</f>
        <v>3.1940892101431575</v>
      </c>
      <c r="LW98" s="13">
        <f t="shared" ref="LW98" si="342">KO98</f>
        <v>3</v>
      </c>
      <c r="LX98" s="19">
        <f>LV98/LU98</f>
        <v>0.12776356840572631</v>
      </c>
      <c r="LY98" s="12">
        <f>AX98/KQ98</f>
        <v>18.055555555555557</v>
      </c>
      <c r="LZ98" s="12">
        <f>SQRT((1/KQ98)^2*AY98^2+AX98^2*(-1/KQ98^2)^2*KR98^2)</f>
        <v>2.2912882592389439</v>
      </c>
      <c r="MA98" s="13">
        <f t="shared" ref="MA98" si="343">KS98</f>
        <v>3</v>
      </c>
      <c r="MC98" s="19">
        <f>LN(LY98/LU98)</f>
        <v>-0.32542240043462783</v>
      </c>
      <c r="MD98" s="19">
        <f t="shared" ref="MD98" si="344">LZ98^2/(MA98*LY98^2)+LV98^2/(LW98*LU98^2)</f>
        <v>1.0809225737220499E-2</v>
      </c>
      <c r="MF98" s="12" t="s">
        <v>37</v>
      </c>
      <c r="MG98" s="12" t="s">
        <v>37</v>
      </c>
      <c r="MH98" s="12" t="s">
        <v>37</v>
      </c>
      <c r="MJ98" s="12" t="s">
        <v>37</v>
      </c>
      <c r="MK98" s="12" t="s">
        <v>37</v>
      </c>
      <c r="ML98" s="12" t="s">
        <v>37</v>
      </c>
      <c r="MQ98" s="12" t="s">
        <v>37</v>
      </c>
      <c r="MR98" s="12" t="s">
        <v>37</v>
      </c>
      <c r="MS98" s="12" t="s">
        <v>37</v>
      </c>
      <c r="MU98" s="12" t="s">
        <v>37</v>
      </c>
      <c r="MV98" s="12" t="s">
        <v>37</v>
      </c>
      <c r="MW98" s="12" t="s">
        <v>37</v>
      </c>
      <c r="NC98" s="12" t="s">
        <v>37</v>
      </c>
      <c r="ND98" s="12" t="s">
        <v>37</v>
      </c>
      <c r="NE98" s="13" t="s">
        <v>37</v>
      </c>
      <c r="NG98" s="12" t="s">
        <v>37</v>
      </c>
      <c r="NH98" s="12" t="s">
        <v>37</v>
      </c>
      <c r="NI98" s="13" t="s">
        <v>37</v>
      </c>
      <c r="NO98" s="12" t="s">
        <v>37</v>
      </c>
      <c r="NP98" s="12" t="s">
        <v>37</v>
      </c>
      <c r="NQ98" s="13" t="s">
        <v>37</v>
      </c>
      <c r="NS98" s="12" t="s">
        <v>37</v>
      </c>
      <c r="NT98" s="12" t="s">
        <v>37</v>
      </c>
      <c r="NU98" s="13" t="s">
        <v>37</v>
      </c>
      <c r="OA98" s="11" t="s">
        <v>37</v>
      </c>
      <c r="OB98" s="11" t="s">
        <v>37</v>
      </c>
      <c r="OC98" s="13" t="s">
        <v>37</v>
      </c>
      <c r="OE98" s="11" t="s">
        <v>37</v>
      </c>
      <c r="OF98" s="11" t="s">
        <v>37</v>
      </c>
      <c r="OG98" s="13" t="s">
        <v>37</v>
      </c>
      <c r="OM98" s="11" t="s">
        <v>37</v>
      </c>
      <c r="ON98" s="11" t="s">
        <v>37</v>
      </c>
      <c r="OO98" s="11" t="s">
        <v>37</v>
      </c>
      <c r="OP98" s="11" t="s">
        <v>37</v>
      </c>
      <c r="OQ98" s="11" t="s">
        <v>37</v>
      </c>
      <c r="OR98" s="11" t="s">
        <v>37</v>
      </c>
      <c r="OW98" s="12" t="s">
        <v>37</v>
      </c>
      <c r="OX98" s="12" t="s">
        <v>37</v>
      </c>
      <c r="OY98" s="13" t="s">
        <v>37</v>
      </c>
      <c r="OZ98" s="12" t="s">
        <v>37</v>
      </c>
      <c r="PA98" s="12" t="s">
        <v>37</v>
      </c>
      <c r="PB98" s="13" t="s">
        <v>37</v>
      </c>
      <c r="PG98" s="11" t="s">
        <v>37</v>
      </c>
      <c r="PH98" s="11" t="s">
        <v>37</v>
      </c>
      <c r="PI98" s="13" t="s">
        <v>37</v>
      </c>
      <c r="PJ98" s="11" t="s">
        <v>37</v>
      </c>
      <c r="PK98" s="11" t="s">
        <v>37</v>
      </c>
      <c r="PL98" s="13" t="s">
        <v>37</v>
      </c>
      <c r="PQ98" s="11" t="s">
        <v>37</v>
      </c>
      <c r="PR98" s="11" t="s">
        <v>37</v>
      </c>
      <c r="PS98" s="13" t="s">
        <v>37</v>
      </c>
      <c r="PT98" s="11" t="s">
        <v>37</v>
      </c>
      <c r="PU98" s="11" t="s">
        <v>37</v>
      </c>
      <c r="PV98" s="13" t="s">
        <v>37</v>
      </c>
      <c r="PZ98" s="12" t="s">
        <v>37</v>
      </c>
      <c r="QA98" s="12" t="s">
        <v>37</v>
      </c>
      <c r="QB98" s="11" t="s">
        <v>37</v>
      </c>
      <c r="QD98" s="12" t="s">
        <v>37</v>
      </c>
      <c r="QE98" s="12" t="s">
        <v>37</v>
      </c>
      <c r="QF98" s="12" t="s">
        <v>37</v>
      </c>
      <c r="QK98" s="12" t="s">
        <v>37</v>
      </c>
      <c r="QL98" s="12" t="s">
        <v>37</v>
      </c>
      <c r="QM98" s="12" t="s">
        <v>37</v>
      </c>
      <c r="QN98" s="12" t="s">
        <v>37</v>
      </c>
      <c r="QO98" s="12" t="s">
        <v>37</v>
      </c>
      <c r="QP98" s="12" t="s">
        <v>37</v>
      </c>
      <c r="QQ98" s="12"/>
      <c r="QR98" s="12"/>
      <c r="QU98" s="11" t="s">
        <v>37</v>
      </c>
      <c r="QV98" s="11" t="s">
        <v>37</v>
      </c>
      <c r="QW98" s="13" t="s">
        <v>37</v>
      </c>
      <c r="QX98" s="11" t="s">
        <v>37</v>
      </c>
      <c r="QY98" s="11" t="s">
        <v>37</v>
      </c>
      <c r="QZ98" s="13" t="s">
        <v>37</v>
      </c>
      <c r="RC98" s="12" t="s">
        <v>37</v>
      </c>
      <c r="RD98" s="12" t="s">
        <v>37</v>
      </c>
      <c r="RE98" s="13" t="s">
        <v>37</v>
      </c>
      <c r="RF98" s="12" t="s">
        <v>37</v>
      </c>
      <c r="RG98" s="12" t="s">
        <v>37</v>
      </c>
      <c r="RH98" s="13" t="s">
        <v>37</v>
      </c>
      <c r="RK98" s="11" t="s">
        <v>37</v>
      </c>
      <c r="RL98" s="11" t="s">
        <v>37</v>
      </c>
      <c r="RM98" s="11" t="s">
        <v>37</v>
      </c>
      <c r="RN98" s="11" t="s">
        <v>37</v>
      </c>
      <c r="RO98" s="11" t="s">
        <v>37</v>
      </c>
      <c r="RP98" s="11" t="s">
        <v>37</v>
      </c>
      <c r="RS98" s="11" t="s">
        <v>37</v>
      </c>
      <c r="RT98" s="11" t="s">
        <v>37</v>
      </c>
      <c r="RU98" s="11" t="s">
        <v>37</v>
      </c>
      <c r="RV98" s="11" t="s">
        <v>37</v>
      </c>
      <c r="RW98" s="11" t="s">
        <v>37</v>
      </c>
      <c r="RX98" s="11" t="s">
        <v>37</v>
      </c>
      <c r="SA98" s="11" t="s">
        <v>37</v>
      </c>
      <c r="SB98" s="11" t="s">
        <v>37</v>
      </c>
      <c r="SC98" s="13" t="s">
        <v>37</v>
      </c>
      <c r="SD98" s="11" t="s">
        <v>37</v>
      </c>
      <c r="SE98" s="11" t="s">
        <v>37</v>
      </c>
      <c r="SF98" s="13" t="s">
        <v>37</v>
      </c>
      <c r="SI98" s="12" t="s">
        <v>37</v>
      </c>
      <c r="SJ98" s="12" t="s">
        <v>37</v>
      </c>
      <c r="SK98" s="13" t="s">
        <v>37</v>
      </c>
      <c r="SM98" s="12" t="s">
        <v>37</v>
      </c>
      <c r="SN98" s="12" t="s">
        <v>37</v>
      </c>
      <c r="SO98" s="13" t="s">
        <v>37</v>
      </c>
      <c r="SU98" s="12" t="s">
        <v>37</v>
      </c>
      <c r="SV98" s="12" t="s">
        <v>37</v>
      </c>
      <c r="SW98" s="11" t="s">
        <v>37</v>
      </c>
      <c r="SX98" s="12" t="s">
        <v>37</v>
      </c>
      <c r="SY98" s="12" t="s">
        <v>37</v>
      </c>
      <c r="SZ98" s="11" t="s">
        <v>37</v>
      </c>
      <c r="TE98" s="12" t="s">
        <v>37</v>
      </c>
      <c r="TF98" s="12" t="s">
        <v>37</v>
      </c>
      <c r="TG98" s="11" t="s">
        <v>37</v>
      </c>
      <c r="TH98" s="12" t="s">
        <v>37</v>
      </c>
      <c r="TI98" s="12" t="s">
        <v>37</v>
      </c>
      <c r="TJ98" s="11" t="s">
        <v>37</v>
      </c>
      <c r="TO98" s="12" t="s">
        <v>37</v>
      </c>
      <c r="TP98" s="12" t="s">
        <v>37</v>
      </c>
      <c r="TQ98" s="11" t="s">
        <v>37</v>
      </c>
      <c r="TR98" s="12" t="s">
        <v>37</v>
      </c>
      <c r="TS98" s="12" t="s">
        <v>37</v>
      </c>
      <c r="TT98" s="11" t="s">
        <v>37</v>
      </c>
      <c r="TY98" s="12" t="s">
        <v>37</v>
      </c>
      <c r="TZ98" s="12" t="s">
        <v>37</v>
      </c>
      <c r="UA98" s="12" t="s">
        <v>37</v>
      </c>
      <c r="UB98" s="12" t="s">
        <v>37</v>
      </c>
      <c r="UC98" s="12" t="s">
        <v>37</v>
      </c>
      <c r="UD98" s="12" t="s">
        <v>37</v>
      </c>
      <c r="UE98" s="12"/>
      <c r="UF98" s="12"/>
      <c r="UI98" s="12" t="s">
        <v>37</v>
      </c>
      <c r="UJ98" s="12" t="s">
        <v>37</v>
      </c>
      <c r="UK98" s="12" t="s">
        <v>37</v>
      </c>
      <c r="UL98" s="12" t="s">
        <v>37</v>
      </c>
      <c r="UM98" s="12" t="s">
        <v>37</v>
      </c>
      <c r="UN98" s="12" t="s">
        <v>37</v>
      </c>
      <c r="UO98" s="12"/>
      <c r="UP98" s="12"/>
      <c r="UR98" s="12" t="s">
        <v>37</v>
      </c>
      <c r="US98" s="12" t="s">
        <v>37</v>
      </c>
      <c r="UT98" s="12" t="s">
        <v>37</v>
      </c>
      <c r="UU98" s="12" t="s">
        <v>37</v>
      </c>
      <c r="UV98" s="12" t="s">
        <v>37</v>
      </c>
      <c r="UW98" s="12" t="s">
        <v>37</v>
      </c>
      <c r="UX98" s="12"/>
      <c r="UY98" s="12"/>
      <c r="VB98" s="12" t="s">
        <v>37</v>
      </c>
      <c r="VC98" s="12" t="s">
        <v>37</v>
      </c>
      <c r="VD98" s="12" t="s">
        <v>37</v>
      </c>
      <c r="VE98" s="12" t="s">
        <v>37</v>
      </c>
      <c r="VF98" s="12" t="s">
        <v>37</v>
      </c>
      <c r="VG98" s="12" t="s">
        <v>37</v>
      </c>
      <c r="VI98" s="12" t="s">
        <v>37</v>
      </c>
      <c r="VJ98" s="12" t="s">
        <v>37</v>
      </c>
      <c r="VK98" s="12" t="s">
        <v>37</v>
      </c>
      <c r="VL98" s="12" t="s">
        <v>37</v>
      </c>
      <c r="VM98" s="12" t="s">
        <v>37</v>
      </c>
      <c r="VN98" s="12" t="s">
        <v>37</v>
      </c>
      <c r="VQ98" s="13" t="s">
        <v>37</v>
      </c>
      <c r="VR98" s="13" t="s">
        <v>37</v>
      </c>
      <c r="VS98" s="13" t="s">
        <v>37</v>
      </c>
      <c r="VT98" s="13" t="s">
        <v>37</v>
      </c>
      <c r="VU98" s="13" t="s">
        <v>37</v>
      </c>
      <c r="VV98" s="13" t="s">
        <v>37</v>
      </c>
      <c r="WA98" s="13" t="s">
        <v>37</v>
      </c>
      <c r="WB98" s="13" t="s">
        <v>37</v>
      </c>
      <c r="WC98" s="13" t="s">
        <v>37</v>
      </c>
      <c r="WD98" s="13" t="s">
        <v>37</v>
      </c>
      <c r="WE98" s="13" t="s">
        <v>37</v>
      </c>
      <c r="WF98" s="13" t="s">
        <v>37</v>
      </c>
    </row>
    <row r="99" spans="1:604" ht="18" customHeight="1" x14ac:dyDescent="0.3">
      <c r="A99" s="11">
        <v>24</v>
      </c>
      <c r="B99" s="12" t="s">
        <v>150</v>
      </c>
      <c r="C99" s="12" t="s">
        <v>26</v>
      </c>
      <c r="D99" s="12" t="s">
        <v>54</v>
      </c>
      <c r="E99" s="40">
        <v>4</v>
      </c>
      <c r="F99" s="14">
        <v>0</v>
      </c>
      <c r="G99" s="14">
        <v>0</v>
      </c>
      <c r="H99" s="12" t="s">
        <v>88</v>
      </c>
      <c r="I99" s="29">
        <v>-2.2069999999999999</v>
      </c>
      <c r="J99" s="29">
        <v>105</v>
      </c>
      <c r="K99" s="12" t="s">
        <v>712</v>
      </c>
      <c r="L99" s="12" t="s">
        <v>713</v>
      </c>
      <c r="M99" s="13" t="s">
        <v>37</v>
      </c>
      <c r="N99" s="14">
        <v>26.2</v>
      </c>
      <c r="O99" s="14">
        <v>2540</v>
      </c>
      <c r="P99" s="14" t="s">
        <v>89</v>
      </c>
      <c r="Q99" s="75">
        <v>21</v>
      </c>
      <c r="R99" s="11" t="s">
        <v>999</v>
      </c>
      <c r="S99" s="12" t="s">
        <v>105</v>
      </c>
      <c r="T99" s="12" t="s">
        <v>138</v>
      </c>
      <c r="U99" s="12" t="s">
        <v>158</v>
      </c>
      <c r="V99" s="12" t="s">
        <v>275</v>
      </c>
      <c r="W99" s="23" t="s">
        <v>517</v>
      </c>
      <c r="X99" s="12" t="s">
        <v>49</v>
      </c>
      <c r="Y99" s="12" t="s">
        <v>151</v>
      </c>
      <c r="Z99" s="12" t="s">
        <v>37</v>
      </c>
      <c r="AA99" s="32" t="s">
        <v>501</v>
      </c>
      <c r="AB99" s="12">
        <v>3.6</v>
      </c>
      <c r="AC99" s="16"/>
      <c r="AE99" s="12" t="s">
        <v>37</v>
      </c>
      <c r="AH99" s="12" t="s">
        <v>37</v>
      </c>
      <c r="AK99" s="12" t="s">
        <v>37</v>
      </c>
      <c r="AL99" s="32" t="s">
        <v>518</v>
      </c>
      <c r="AM99" s="13" t="s">
        <v>895</v>
      </c>
      <c r="AN99" s="32" t="s">
        <v>884</v>
      </c>
      <c r="AO99" s="12" t="s">
        <v>318</v>
      </c>
      <c r="AP99" s="12" t="s">
        <v>238</v>
      </c>
      <c r="AQ99" s="12" t="s">
        <v>975</v>
      </c>
      <c r="AR99" s="16"/>
      <c r="AT99" s="12" t="s">
        <v>326</v>
      </c>
      <c r="AU99" s="12" t="s">
        <v>326</v>
      </c>
      <c r="AV99" s="13" t="s">
        <v>326</v>
      </c>
      <c r="AW99" s="52"/>
      <c r="AX99" s="12" t="s">
        <v>326</v>
      </c>
      <c r="AY99" s="12" t="s">
        <v>326</v>
      </c>
      <c r="AZ99" s="13" t="s">
        <v>326</v>
      </c>
      <c r="BE99" s="12" t="s">
        <v>326</v>
      </c>
      <c r="BF99" s="12" t="s">
        <v>326</v>
      </c>
      <c r="BG99" s="12" t="s">
        <v>326</v>
      </c>
      <c r="BI99" s="12" t="s">
        <v>326</v>
      </c>
      <c r="BJ99" s="12" t="s">
        <v>326</v>
      </c>
      <c r="BK99" s="12" t="s">
        <v>326</v>
      </c>
      <c r="BO99" s="16"/>
      <c r="BP99" s="12" t="s">
        <v>37</v>
      </c>
      <c r="BQ99" s="12" t="s">
        <v>37</v>
      </c>
      <c r="BR99" s="13" t="s">
        <v>37</v>
      </c>
      <c r="BT99" s="12" t="s">
        <v>37</v>
      </c>
      <c r="BU99" s="12" t="s">
        <v>37</v>
      </c>
      <c r="BV99" s="12" t="s">
        <v>37</v>
      </c>
      <c r="CA99" s="12" t="s">
        <v>37</v>
      </c>
      <c r="CB99" s="12" t="s">
        <v>37</v>
      </c>
      <c r="CC99" s="13" t="s">
        <v>37</v>
      </c>
      <c r="CE99" s="12" t="s">
        <v>37</v>
      </c>
      <c r="CF99" s="12" t="s">
        <v>37</v>
      </c>
      <c r="CG99" s="13" t="s">
        <v>37</v>
      </c>
      <c r="CI99" s="52"/>
      <c r="CK99" s="73"/>
      <c r="CL99" s="73"/>
      <c r="CN99" s="12" t="s">
        <v>37</v>
      </c>
      <c r="CO99" s="12" t="s">
        <v>37</v>
      </c>
      <c r="CP99" s="13" t="s">
        <v>37</v>
      </c>
      <c r="CR99" s="12" t="s">
        <v>37</v>
      </c>
      <c r="CS99" s="12" t="s">
        <v>37</v>
      </c>
      <c r="CT99" s="13" t="s">
        <v>37</v>
      </c>
      <c r="CV99" s="52"/>
      <c r="CW99" s="52"/>
      <c r="CX99" s="73"/>
      <c r="CY99" s="73"/>
      <c r="DA99" s="12" t="s">
        <v>37</v>
      </c>
      <c r="DB99" s="12" t="s">
        <v>37</v>
      </c>
      <c r="DC99" s="13" t="s">
        <v>37</v>
      </c>
      <c r="DE99" s="12" t="s">
        <v>37</v>
      </c>
      <c r="DF99" s="12" t="s">
        <v>37</v>
      </c>
      <c r="DG99" s="13" t="s">
        <v>37</v>
      </c>
      <c r="DI99" s="52"/>
      <c r="DJ99" s="52"/>
      <c r="DK99" s="73"/>
      <c r="DL99" s="73"/>
      <c r="DM99" s="15" t="s">
        <v>47</v>
      </c>
      <c r="DN99" s="52">
        <f>(1.73*16/12*10^4/10^6*("2012/05/31"-"2011/12/01")*24)/(AVERAGEA('[1]Wet season flux for tropical'!$AZ$2,'[1]Wet season flux for tropical'!$AZ$3,'[1]Wet season flux for tropical'!$AZ$4,'[1]Wet season flux for tropical'!$AZ$5))</f>
        <v>142.07619872372933</v>
      </c>
      <c r="DO99" s="15">
        <f>2.03*16/12*10^4/10^6*("2012/05/31"-"2011/12/01")*24</f>
        <v>118.22720000000001</v>
      </c>
      <c r="DP99" s="18">
        <v>24</v>
      </c>
      <c r="DQ99" s="19">
        <f>DO99/ABS(DN99)</f>
        <v>0.83213938057208103</v>
      </c>
      <c r="DR99" s="52">
        <f>(0.0084*16/12*10^4/10^6*("2012/05/31"-"2011/12/01")*24)/'[1]Wet season flux for tropical'!$BC$5</f>
        <v>1.3426361623616241</v>
      </c>
      <c r="DS99" s="15">
        <f>0.0321*16/12*10^4/10^6*("2012/05/31"-"2011/12/01")*24</f>
        <v>1.8695039999999998</v>
      </c>
      <c r="DT99" s="18">
        <v>15</v>
      </c>
      <c r="DU99" s="19">
        <f t="shared" si="335"/>
        <v>1.3924129651860737</v>
      </c>
      <c r="DV99" s="19">
        <f t="shared" si="336"/>
        <v>-140.73356256136771</v>
      </c>
      <c r="DW99" s="12">
        <f t="shared" si="337"/>
        <v>93.22094641795681</v>
      </c>
      <c r="DX99" s="72">
        <f t="shared" ref="DX99:DX162" si="345">(((DP99+DT99)/(DP99*DT99))*(((DP99-1)*DO99^2)+(DT99-1)*DS99^2)/(DP99+DT99-2))</f>
        <v>941.43235886478726</v>
      </c>
      <c r="DY99" s="72">
        <f t="shared" ref="DY99:DY161" si="346">(DO99^2/DP99)+(DS99^2/DT99)</f>
        <v>582.63595384040127</v>
      </c>
      <c r="DZ99" s="15" t="s">
        <v>47</v>
      </c>
      <c r="EA99" s="52">
        <f>-2.4*44/28*10^4/10^9*("2012/05/31"-"2011/12/01")*24/(AVERAGEA('[3]Wet season flux for tropical'!$AZ$2,'[3]Wet season flux for tropical'!$AZ$3))</f>
        <v>-0.40440266730939189</v>
      </c>
      <c r="EB99" s="52">
        <f>16.9*44/28*10^4/10^9*("2012/05/31"-"2011/12/01")*24</f>
        <v>1.1600159999999999</v>
      </c>
      <c r="EC99" s="73">
        <v>24</v>
      </c>
      <c r="ED99" s="52">
        <f t="shared" si="338"/>
        <v>2.8684677272727268</v>
      </c>
      <c r="EE99" s="52">
        <f>3.4*44/28*10^4/10^9*("2012/05/31"-"2011/12/01")*24/(AVERAGEA('[3]Wet season flux for tropical'!$BC$2))</f>
        <v>0.41440059292199383</v>
      </c>
      <c r="EF99" s="52">
        <f>19.2*44/28*10^4/10^9*("2012/05/31"-"2011/12/01")*24</f>
        <v>1.3178879999999999</v>
      </c>
      <c r="EG99" s="18">
        <v>15</v>
      </c>
      <c r="EH99" s="52">
        <f t="shared" si="339"/>
        <v>3.1802271099744233</v>
      </c>
      <c r="EI99" s="19">
        <f t="shared" ref="EI99" si="347">EE99-EA99</f>
        <v>0.81880326023138572</v>
      </c>
      <c r="EJ99" s="12">
        <f t="shared" si="309"/>
        <v>1.2221520307682341</v>
      </c>
      <c r="EK99" s="19">
        <f t="shared" si="310"/>
        <v>0.16181268851701622</v>
      </c>
      <c r="EL99" s="19">
        <f t="shared" si="311"/>
        <v>0.17185679871359999</v>
      </c>
      <c r="EM99" s="12" t="s">
        <v>39</v>
      </c>
      <c r="EN99" s="12">
        <v>6.52</v>
      </c>
      <c r="EO99" s="12">
        <v>6.22</v>
      </c>
      <c r="EP99" s="13">
        <v>4</v>
      </c>
      <c r="EQ99" s="19">
        <f t="shared" si="320"/>
        <v>0.95398773006134974</v>
      </c>
      <c r="ER99" s="12">
        <v>-36.47</v>
      </c>
      <c r="ES99" s="12">
        <v>14.77</v>
      </c>
      <c r="ET99" s="13">
        <v>4</v>
      </c>
      <c r="EU99" s="19">
        <f t="shared" si="321"/>
        <v>0.4049904030710173</v>
      </c>
      <c r="EV99" s="19">
        <f t="shared" si="312"/>
        <v>-42.989999999999995</v>
      </c>
      <c r="EW99" s="12">
        <f t="shared" si="313"/>
        <v>11.332283529809867</v>
      </c>
      <c r="EX99" s="19">
        <f t="shared" si="314"/>
        <v>64.210324999999997</v>
      </c>
      <c r="EY99" s="19">
        <f t="shared" si="315"/>
        <v>64.210324999999997</v>
      </c>
      <c r="FB99" s="12" t="s">
        <v>37</v>
      </c>
      <c r="FC99" s="12" t="s">
        <v>37</v>
      </c>
      <c r="FD99" s="11" t="s">
        <v>37</v>
      </c>
      <c r="FE99" s="12" t="s">
        <v>37</v>
      </c>
      <c r="FF99" s="20" t="s">
        <v>37</v>
      </c>
      <c r="FG99" s="11" t="s">
        <v>37</v>
      </c>
      <c r="FI99" s="12" t="s">
        <v>37</v>
      </c>
      <c r="FJ99" s="12" t="s">
        <v>37</v>
      </c>
      <c r="FK99" s="11" t="s">
        <v>37</v>
      </c>
      <c r="FL99" s="13" t="s">
        <v>37</v>
      </c>
      <c r="FM99" s="11" t="s">
        <v>37</v>
      </c>
      <c r="FN99" s="11" t="s">
        <v>37</v>
      </c>
      <c r="FP99" s="12" t="s">
        <v>37</v>
      </c>
      <c r="FQ99" s="12" t="s">
        <v>37</v>
      </c>
      <c r="FR99" s="11" t="s">
        <v>37</v>
      </c>
      <c r="FS99" s="13" t="s">
        <v>37</v>
      </c>
      <c r="FT99" s="11" t="s">
        <v>37</v>
      </c>
      <c r="FU99" s="11" t="s">
        <v>37</v>
      </c>
      <c r="FW99" s="12" t="s">
        <v>37</v>
      </c>
      <c r="FX99" s="12" t="s">
        <v>37</v>
      </c>
      <c r="FY99" s="11" t="s">
        <v>37</v>
      </c>
      <c r="FZ99" s="13" t="s">
        <v>37</v>
      </c>
      <c r="GA99" s="11" t="s">
        <v>37</v>
      </c>
      <c r="GB99" s="11" t="s">
        <v>37</v>
      </c>
      <c r="GO99" s="12" t="s">
        <v>660</v>
      </c>
      <c r="GP99" s="12" t="s">
        <v>330</v>
      </c>
      <c r="GQ99" s="12">
        <v>26.9</v>
      </c>
      <c r="GR99" s="12">
        <v>0.2</v>
      </c>
      <c r="GS99" s="13">
        <v>4</v>
      </c>
      <c r="GT99" s="19">
        <f t="shared" ref="GT99" si="348">GR99/GQ99</f>
        <v>7.4349442379182161E-3</v>
      </c>
      <c r="GU99" s="12">
        <v>26.3</v>
      </c>
      <c r="GV99" s="12">
        <v>0.3</v>
      </c>
      <c r="GW99" s="13">
        <v>4</v>
      </c>
      <c r="GX99" s="19">
        <f t="shared" ref="GX99" si="349">GV99/GU99</f>
        <v>1.1406844106463877E-2</v>
      </c>
      <c r="GY99" s="19">
        <f>LN(GU99/GQ99)</f>
        <v>-2.2557347424074514E-2</v>
      </c>
      <c r="GZ99" s="19">
        <f t="shared" ref="GZ99" si="350">GV99^2/(GW99*GU99^2)+GR99^2/(GS99*GQ99^2)</f>
        <v>4.6348622072530746E-5</v>
      </c>
      <c r="II99" s="12" t="s">
        <v>153</v>
      </c>
      <c r="IJ99" s="12" t="s">
        <v>345</v>
      </c>
      <c r="IK99" s="12">
        <v>3.8</v>
      </c>
      <c r="IL99" s="12">
        <v>2.27</v>
      </c>
      <c r="IM99" s="13">
        <v>4</v>
      </c>
      <c r="IN99" s="19">
        <f>IL99/IK99</f>
        <v>0.59736842105263166</v>
      </c>
      <c r="IO99" s="12">
        <v>6.93</v>
      </c>
      <c r="IP99" s="12">
        <v>3.73</v>
      </c>
      <c r="IQ99" s="13">
        <v>4</v>
      </c>
      <c r="IR99" s="19">
        <f>IP99/IO99</f>
        <v>0.5382395382395383</v>
      </c>
      <c r="IS99" s="19">
        <f>LN(IO99/IK99)</f>
        <v>0.60085874646947179</v>
      </c>
      <c r="IT99" s="19">
        <f>IP99^2/(IQ99*IO99^2)+IL99^2/(IM99*IK99^2)</f>
        <v>0.16163770774880637</v>
      </c>
      <c r="IV99" s="32" t="s">
        <v>501</v>
      </c>
      <c r="IW99" s="12">
        <v>3.6</v>
      </c>
      <c r="IX99" s="12">
        <v>0.1</v>
      </c>
      <c r="IY99" s="13">
        <v>4</v>
      </c>
      <c r="IZ99" s="19">
        <f t="shared" si="340"/>
        <v>2.777777777777778E-2</v>
      </c>
      <c r="JA99" s="12">
        <v>3.5</v>
      </c>
      <c r="JB99" s="12">
        <v>0.1</v>
      </c>
      <c r="JC99" s="13">
        <v>4</v>
      </c>
      <c r="JD99" s="19">
        <f>JB99/JA99</f>
        <v>2.8571428571428574E-2</v>
      </c>
      <c r="JE99" s="19">
        <f t="shared" si="327"/>
        <v>-2.8170876966696335E-2</v>
      </c>
      <c r="JF99" s="19">
        <f t="shared" si="328"/>
        <v>3.9698286722096251E-4</v>
      </c>
      <c r="JH99" s="12" t="s">
        <v>37</v>
      </c>
      <c r="JI99" s="12" t="s">
        <v>37</v>
      </c>
      <c r="JJ99" s="13" t="s">
        <v>37</v>
      </c>
      <c r="JL99" s="12" t="s">
        <v>37</v>
      </c>
      <c r="JM99" s="12" t="s">
        <v>37</v>
      </c>
      <c r="JN99" s="12" t="s">
        <v>37</v>
      </c>
      <c r="JS99" s="12" t="s">
        <v>37</v>
      </c>
      <c r="JT99" s="12" t="s">
        <v>37</v>
      </c>
      <c r="JU99" s="13" t="s">
        <v>37</v>
      </c>
      <c r="JW99" s="12" t="s">
        <v>37</v>
      </c>
      <c r="JX99" s="12" t="s">
        <v>37</v>
      </c>
      <c r="JY99" s="12" t="s">
        <v>37</v>
      </c>
      <c r="KE99" s="11" t="s">
        <v>37</v>
      </c>
      <c r="KF99" s="11" t="s">
        <v>37</v>
      </c>
      <c r="KG99" s="13" t="s">
        <v>37</v>
      </c>
      <c r="KH99" s="11" t="s">
        <v>37</v>
      </c>
      <c r="KI99" s="11" t="s">
        <v>37</v>
      </c>
      <c r="KJ99" s="11" t="s">
        <v>37</v>
      </c>
      <c r="KM99" s="12" t="s">
        <v>37</v>
      </c>
      <c r="KN99" s="12" t="s">
        <v>37</v>
      </c>
      <c r="KO99" s="11" t="s">
        <v>37</v>
      </c>
      <c r="KQ99" s="12" t="s">
        <v>37</v>
      </c>
      <c r="KR99" s="12" t="s">
        <v>37</v>
      </c>
      <c r="KS99" s="13" t="s">
        <v>37</v>
      </c>
      <c r="KX99" s="12" t="s">
        <v>37</v>
      </c>
      <c r="KY99" s="12" t="s">
        <v>37</v>
      </c>
      <c r="KZ99" s="13" t="s">
        <v>37</v>
      </c>
      <c r="LB99" s="12" t="s">
        <v>37</v>
      </c>
      <c r="LC99" s="12" t="s">
        <v>37</v>
      </c>
      <c r="LD99" s="13" t="s">
        <v>37</v>
      </c>
      <c r="LI99" s="12" t="s">
        <v>37</v>
      </c>
      <c r="LJ99" s="12" t="s">
        <v>37</v>
      </c>
      <c r="LK99" s="12" t="s">
        <v>37</v>
      </c>
      <c r="LM99" s="12" t="s">
        <v>37</v>
      </c>
      <c r="LN99" s="12" t="s">
        <v>37</v>
      </c>
      <c r="LO99" s="12" t="s">
        <v>37</v>
      </c>
      <c r="LU99" s="12" t="s">
        <v>37</v>
      </c>
      <c r="LV99" s="12" t="s">
        <v>37</v>
      </c>
      <c r="LW99" s="13" t="s">
        <v>37</v>
      </c>
      <c r="LY99" s="12" t="s">
        <v>37</v>
      </c>
      <c r="LZ99" s="12" t="s">
        <v>37</v>
      </c>
      <c r="MA99" s="12" t="s">
        <v>37</v>
      </c>
      <c r="MF99" s="12" t="s">
        <v>37</v>
      </c>
      <c r="MG99" s="12" t="s">
        <v>37</v>
      </c>
      <c r="MH99" s="12" t="s">
        <v>37</v>
      </c>
      <c r="MJ99" s="12" t="s">
        <v>37</v>
      </c>
      <c r="MK99" s="12" t="s">
        <v>37</v>
      </c>
      <c r="ML99" s="12" t="s">
        <v>37</v>
      </c>
      <c r="MQ99" s="12" t="s">
        <v>37</v>
      </c>
      <c r="MR99" s="12" t="s">
        <v>37</v>
      </c>
      <c r="MS99" s="12" t="s">
        <v>37</v>
      </c>
      <c r="MU99" s="12" t="s">
        <v>37</v>
      </c>
      <c r="MV99" s="12" t="s">
        <v>37</v>
      </c>
      <c r="MW99" s="12" t="s">
        <v>37</v>
      </c>
      <c r="NA99" s="12" t="s">
        <v>148</v>
      </c>
      <c r="NB99" s="12" t="s">
        <v>501</v>
      </c>
      <c r="NC99" s="12">
        <f>AVERAGEA(0.0741,0.143)</f>
        <v>0.10854999999999999</v>
      </c>
      <c r="ND99" s="12">
        <f>SQRT(0.0928^2+0.214^2)/2</f>
        <v>0.11662744102482914</v>
      </c>
      <c r="NE99" s="13">
        <v>4</v>
      </c>
      <c r="NF99" s="19">
        <f>ND99/NC99</f>
        <v>1.0744121697358742</v>
      </c>
      <c r="NG99" s="12">
        <v>8.5999999999999993E-2</v>
      </c>
      <c r="NH99" s="12">
        <v>0.13</v>
      </c>
      <c r="NI99" s="13">
        <v>4</v>
      </c>
      <c r="NJ99" s="19">
        <f>NH99/NG99</f>
        <v>1.5116279069767444</v>
      </c>
      <c r="NK99" s="19">
        <f t="shared" ref="NK99" si="351">LN(NG99/NC99)</f>
        <v>-0.2328636000707931</v>
      </c>
      <c r="NL99" s="19">
        <f t="shared" ref="NL99" si="352">NH99^2/(NI99*NG99^2)+ND99^2/(NE99*NC99^2)</f>
        <v>0.85984510990686047</v>
      </c>
      <c r="NM99" s="12" t="s">
        <v>148</v>
      </c>
      <c r="NN99" s="12" t="s">
        <v>501</v>
      </c>
      <c r="NO99" s="12">
        <f>AVERAGEA(0.0565,0.0519)</f>
        <v>5.4199999999999998E-2</v>
      </c>
      <c r="NP99" s="12">
        <f>SQRT(0.0492^2+0.0319^2)/2</f>
        <v>2.9318296335223846E-2</v>
      </c>
      <c r="NQ99" s="13">
        <v>4</v>
      </c>
      <c r="NR99" s="19">
        <f>NP99/NO99</f>
        <v>0.54092797666464665</v>
      </c>
      <c r="NS99" s="12">
        <v>7.8100000000000003E-2</v>
      </c>
      <c r="NT99" s="12">
        <v>3.2500000000000001E-2</v>
      </c>
      <c r="NU99" s="13">
        <v>4</v>
      </c>
      <c r="NV99" s="19">
        <f>NT99/NS99</f>
        <v>0.41613316261203587</v>
      </c>
      <c r="NW99" s="19">
        <f t="shared" ref="NW99" si="353">LN(NS99/NO99)</f>
        <v>0.36530914840003986</v>
      </c>
      <c r="NX99" s="19">
        <f t="shared" ref="NX99" si="354">NT99^2/(NU99*NS99^2)+NP99^2/(NQ99*NO99^2)</f>
        <v>0.11644247124100089</v>
      </c>
      <c r="OA99" s="11" t="s">
        <v>37</v>
      </c>
      <c r="OB99" s="11" t="s">
        <v>37</v>
      </c>
      <c r="OC99" s="13" t="s">
        <v>37</v>
      </c>
      <c r="OE99" s="11" t="s">
        <v>37</v>
      </c>
      <c r="OF99" s="11" t="s">
        <v>37</v>
      </c>
      <c r="OG99" s="13" t="s">
        <v>37</v>
      </c>
      <c r="OM99" s="11" t="s">
        <v>37</v>
      </c>
      <c r="ON99" s="11" t="s">
        <v>37</v>
      </c>
      <c r="OO99" s="11" t="s">
        <v>37</v>
      </c>
      <c r="OP99" s="11" t="s">
        <v>37</v>
      </c>
      <c r="OQ99" s="11" t="s">
        <v>37</v>
      </c>
      <c r="OR99" s="11" t="s">
        <v>37</v>
      </c>
      <c r="OW99" s="12" t="s">
        <v>37</v>
      </c>
      <c r="OX99" s="12" t="s">
        <v>37</v>
      </c>
      <c r="OY99" s="13" t="s">
        <v>37</v>
      </c>
      <c r="OZ99" s="12" t="s">
        <v>37</v>
      </c>
      <c r="PA99" s="12" t="s">
        <v>37</v>
      </c>
      <c r="PB99" s="13" t="s">
        <v>37</v>
      </c>
      <c r="PG99" s="11" t="s">
        <v>37</v>
      </c>
      <c r="PH99" s="11" t="s">
        <v>37</v>
      </c>
      <c r="PI99" s="13" t="s">
        <v>37</v>
      </c>
      <c r="PJ99" s="11" t="s">
        <v>37</v>
      </c>
      <c r="PK99" s="11" t="s">
        <v>37</v>
      </c>
      <c r="PL99" s="13" t="s">
        <v>37</v>
      </c>
      <c r="PQ99" s="12" t="s">
        <v>37</v>
      </c>
      <c r="PR99" s="12" t="s">
        <v>37</v>
      </c>
      <c r="PS99" s="12" t="s">
        <v>37</v>
      </c>
      <c r="PT99" s="12" t="s">
        <v>37</v>
      </c>
      <c r="PU99" s="12" t="s">
        <v>37</v>
      </c>
      <c r="PV99" s="12" t="s">
        <v>37</v>
      </c>
      <c r="PW99" s="12"/>
      <c r="PX99" s="12"/>
      <c r="PZ99" s="12" t="s">
        <v>37</v>
      </c>
      <c r="QA99" s="12" t="s">
        <v>37</v>
      </c>
      <c r="QB99" s="11" t="s">
        <v>37</v>
      </c>
      <c r="QD99" s="12" t="s">
        <v>37</v>
      </c>
      <c r="QE99" s="12" t="s">
        <v>37</v>
      </c>
      <c r="QF99" s="12" t="s">
        <v>37</v>
      </c>
      <c r="QK99" s="12" t="s">
        <v>37</v>
      </c>
      <c r="QL99" s="12" t="s">
        <v>37</v>
      </c>
      <c r="QM99" s="12" t="s">
        <v>37</v>
      </c>
      <c r="QN99" s="12" t="s">
        <v>37</v>
      </c>
      <c r="QO99" s="12" t="s">
        <v>37</v>
      </c>
      <c r="QP99" s="12" t="s">
        <v>37</v>
      </c>
      <c r="QQ99" s="12"/>
      <c r="QR99" s="12"/>
      <c r="QU99" s="11" t="s">
        <v>37</v>
      </c>
      <c r="QV99" s="11" t="s">
        <v>37</v>
      </c>
      <c r="QW99" s="13" t="s">
        <v>37</v>
      </c>
      <c r="QX99" s="11" t="s">
        <v>37</v>
      </c>
      <c r="QY99" s="11" t="s">
        <v>37</v>
      </c>
      <c r="QZ99" s="13" t="s">
        <v>37</v>
      </c>
      <c r="RC99" s="12" t="s">
        <v>37</v>
      </c>
      <c r="RD99" s="12" t="s">
        <v>37</v>
      </c>
      <c r="RE99" s="13" t="s">
        <v>37</v>
      </c>
      <c r="RF99" s="12" t="s">
        <v>37</v>
      </c>
      <c r="RG99" s="12" t="s">
        <v>37</v>
      </c>
      <c r="RH99" s="13" t="s">
        <v>37</v>
      </c>
      <c r="RK99" s="11" t="s">
        <v>37</v>
      </c>
      <c r="RL99" s="11" t="s">
        <v>37</v>
      </c>
      <c r="RM99" s="11" t="s">
        <v>37</v>
      </c>
      <c r="RN99" s="11" t="s">
        <v>37</v>
      </c>
      <c r="RO99" s="11" t="s">
        <v>37</v>
      </c>
      <c r="RP99" s="11" t="s">
        <v>37</v>
      </c>
      <c r="RS99" s="11" t="s">
        <v>37</v>
      </c>
      <c r="RT99" s="11" t="s">
        <v>37</v>
      </c>
      <c r="RU99" s="11" t="s">
        <v>37</v>
      </c>
      <c r="RV99" s="11" t="s">
        <v>37</v>
      </c>
      <c r="RW99" s="11" t="s">
        <v>37</v>
      </c>
      <c r="RX99" s="11" t="s">
        <v>37</v>
      </c>
      <c r="SA99" s="11" t="s">
        <v>37</v>
      </c>
      <c r="SB99" s="11" t="s">
        <v>37</v>
      </c>
      <c r="SC99" s="13" t="s">
        <v>37</v>
      </c>
      <c r="SD99" s="11" t="s">
        <v>37</v>
      </c>
      <c r="SE99" s="11" t="s">
        <v>37</v>
      </c>
      <c r="SF99" s="13" t="s">
        <v>37</v>
      </c>
      <c r="SI99" s="12" t="s">
        <v>37</v>
      </c>
      <c r="SJ99" s="12" t="s">
        <v>37</v>
      </c>
      <c r="SK99" s="13" t="s">
        <v>37</v>
      </c>
      <c r="SM99" s="12" t="s">
        <v>37</v>
      </c>
      <c r="SN99" s="12" t="s">
        <v>37</v>
      </c>
      <c r="SO99" s="13" t="s">
        <v>37</v>
      </c>
      <c r="SU99" s="12" t="s">
        <v>37</v>
      </c>
      <c r="SV99" s="12" t="s">
        <v>37</v>
      </c>
      <c r="SW99" s="11" t="s">
        <v>37</v>
      </c>
      <c r="SX99" s="12" t="s">
        <v>37</v>
      </c>
      <c r="SY99" s="12" t="s">
        <v>37</v>
      </c>
      <c r="SZ99" s="11" t="s">
        <v>37</v>
      </c>
      <c r="TE99" s="12" t="s">
        <v>37</v>
      </c>
      <c r="TF99" s="12" t="s">
        <v>37</v>
      </c>
      <c r="TG99" s="11" t="s">
        <v>37</v>
      </c>
      <c r="TH99" s="12" t="s">
        <v>37</v>
      </c>
      <c r="TI99" s="12" t="s">
        <v>37</v>
      </c>
      <c r="TJ99" s="11" t="s">
        <v>37</v>
      </c>
      <c r="TO99" s="12" t="s">
        <v>37</v>
      </c>
      <c r="TP99" s="12" t="s">
        <v>37</v>
      </c>
      <c r="TQ99" s="11" t="s">
        <v>37</v>
      </c>
      <c r="TR99" s="12" t="s">
        <v>37</v>
      </c>
      <c r="TS99" s="12" t="s">
        <v>37</v>
      </c>
      <c r="TT99" s="11" t="s">
        <v>37</v>
      </c>
      <c r="TY99" s="12" t="s">
        <v>37</v>
      </c>
      <c r="TZ99" s="12" t="s">
        <v>37</v>
      </c>
      <c r="UA99" s="12" t="s">
        <v>37</v>
      </c>
      <c r="UB99" s="12" t="s">
        <v>37</v>
      </c>
      <c r="UC99" s="12" t="s">
        <v>37</v>
      </c>
      <c r="UD99" s="12" t="s">
        <v>37</v>
      </c>
      <c r="UE99" s="12"/>
      <c r="UF99" s="12"/>
      <c r="UI99" s="12" t="s">
        <v>37</v>
      </c>
      <c r="UJ99" s="12" t="s">
        <v>37</v>
      </c>
      <c r="UK99" s="12" t="s">
        <v>37</v>
      </c>
      <c r="UL99" s="12" t="s">
        <v>37</v>
      </c>
      <c r="UM99" s="12" t="s">
        <v>37</v>
      </c>
      <c r="UN99" s="12" t="s">
        <v>37</v>
      </c>
      <c r="UO99" s="12"/>
      <c r="UP99" s="12"/>
      <c r="UR99" s="12" t="s">
        <v>37</v>
      </c>
      <c r="US99" s="12" t="s">
        <v>37</v>
      </c>
      <c r="UT99" s="12" t="s">
        <v>37</v>
      </c>
      <c r="UU99" s="12" t="s">
        <v>37</v>
      </c>
      <c r="UV99" s="12" t="s">
        <v>37</v>
      </c>
      <c r="UW99" s="12" t="s">
        <v>37</v>
      </c>
      <c r="UX99" s="12"/>
      <c r="UY99" s="12"/>
      <c r="VB99" s="12" t="s">
        <v>37</v>
      </c>
      <c r="VC99" s="12" t="s">
        <v>37</v>
      </c>
      <c r="VD99" s="12" t="s">
        <v>37</v>
      </c>
      <c r="VE99" s="12" t="s">
        <v>37</v>
      </c>
      <c r="VF99" s="12" t="s">
        <v>37</v>
      </c>
      <c r="VG99" s="12" t="s">
        <v>37</v>
      </c>
      <c r="VI99" s="12" t="s">
        <v>37</v>
      </c>
      <c r="VJ99" s="12" t="s">
        <v>37</v>
      </c>
      <c r="VK99" s="12" t="s">
        <v>37</v>
      </c>
      <c r="VL99" s="12" t="s">
        <v>37</v>
      </c>
      <c r="VM99" s="12" t="s">
        <v>37</v>
      </c>
      <c r="VN99" s="12" t="s">
        <v>37</v>
      </c>
      <c r="VQ99" s="13" t="s">
        <v>37</v>
      </c>
      <c r="VR99" s="13" t="s">
        <v>37</v>
      </c>
      <c r="VS99" s="13" t="s">
        <v>37</v>
      </c>
      <c r="VT99" s="13" t="s">
        <v>37</v>
      </c>
      <c r="VU99" s="13" t="s">
        <v>37</v>
      </c>
      <c r="VV99" s="13" t="s">
        <v>37</v>
      </c>
      <c r="WA99" s="13" t="s">
        <v>37</v>
      </c>
      <c r="WB99" s="13" t="s">
        <v>37</v>
      </c>
      <c r="WC99" s="13" t="s">
        <v>37</v>
      </c>
      <c r="WD99" s="13" t="s">
        <v>37</v>
      </c>
      <c r="WE99" s="13" t="s">
        <v>37</v>
      </c>
      <c r="WF99" s="13" t="s">
        <v>37</v>
      </c>
    </row>
    <row r="100" spans="1:604" ht="18" customHeight="1" x14ac:dyDescent="0.3">
      <c r="A100" s="11">
        <v>25</v>
      </c>
      <c r="B100" s="12" t="s">
        <v>154</v>
      </c>
      <c r="C100" s="12" t="s">
        <v>26</v>
      </c>
      <c r="D100" s="12" t="s">
        <v>54</v>
      </c>
      <c r="E100" s="40">
        <v>1.2</v>
      </c>
      <c r="F100" s="14">
        <v>0</v>
      </c>
      <c r="G100" s="14">
        <v>0</v>
      </c>
      <c r="H100" s="12" t="s">
        <v>91</v>
      </c>
      <c r="I100" s="29">
        <v>46.667000000000002</v>
      </c>
      <c r="J100" s="29">
        <v>-71.167000000000002</v>
      </c>
      <c r="K100" s="12" t="s">
        <v>673</v>
      </c>
      <c r="L100" s="12" t="s">
        <v>674</v>
      </c>
      <c r="M100" s="13" t="s">
        <v>37</v>
      </c>
      <c r="N100" s="14" t="s">
        <v>37</v>
      </c>
      <c r="O100" s="14" t="s">
        <v>37</v>
      </c>
      <c r="P100" s="14" t="s">
        <v>679</v>
      </c>
      <c r="Q100" s="75">
        <v>8</v>
      </c>
      <c r="R100" s="11" t="s">
        <v>1000</v>
      </c>
      <c r="S100" s="12" t="s">
        <v>85</v>
      </c>
      <c r="T100" s="12" t="s">
        <v>141</v>
      </c>
      <c r="U100" s="12" t="s">
        <v>158</v>
      </c>
      <c r="V100" s="12" t="s">
        <v>275</v>
      </c>
      <c r="W100" s="23" t="s">
        <v>159</v>
      </c>
      <c r="X100" s="12" t="s">
        <v>281</v>
      </c>
      <c r="Y100" s="12" t="s">
        <v>69</v>
      </c>
      <c r="Z100" s="12" t="s">
        <v>37</v>
      </c>
      <c r="AB100" s="12" t="s">
        <v>37</v>
      </c>
      <c r="AC100" s="16"/>
      <c r="AE100" s="12" t="s">
        <v>37</v>
      </c>
      <c r="AH100" s="12" t="s">
        <v>37</v>
      </c>
      <c r="AK100" s="12" t="s">
        <v>37</v>
      </c>
      <c r="AL100" s="32" t="s">
        <v>156</v>
      </c>
      <c r="AM100" s="12" t="s">
        <v>344</v>
      </c>
      <c r="AO100" s="12" t="s">
        <v>37</v>
      </c>
      <c r="AP100" s="12" t="s">
        <v>601</v>
      </c>
      <c r="AQ100" s="12" t="s">
        <v>975</v>
      </c>
      <c r="AR100" s="16"/>
      <c r="AT100" s="12" t="s">
        <v>326</v>
      </c>
      <c r="AU100" s="12" t="s">
        <v>326</v>
      </c>
      <c r="AV100" s="13" t="s">
        <v>326</v>
      </c>
      <c r="AX100" s="12" t="s">
        <v>326</v>
      </c>
      <c r="AY100" s="12" t="s">
        <v>326</v>
      </c>
      <c r="AZ100" s="13" t="s">
        <v>326</v>
      </c>
      <c r="BE100" s="12" t="s">
        <v>326</v>
      </c>
      <c r="BF100" s="12" t="s">
        <v>326</v>
      </c>
      <c r="BG100" s="12" t="s">
        <v>326</v>
      </c>
      <c r="BI100" s="12" t="s">
        <v>326</v>
      </c>
      <c r="BJ100" s="12" t="s">
        <v>326</v>
      </c>
      <c r="BK100" s="12" t="s">
        <v>326</v>
      </c>
      <c r="BO100" s="16"/>
      <c r="BP100" s="12" t="s">
        <v>37</v>
      </c>
      <c r="BQ100" s="12" t="s">
        <v>37</v>
      </c>
      <c r="BR100" s="13" t="s">
        <v>37</v>
      </c>
      <c r="BT100" s="12" t="s">
        <v>37</v>
      </c>
      <c r="BU100" s="12" t="s">
        <v>37</v>
      </c>
      <c r="BV100" s="12" t="s">
        <v>37</v>
      </c>
      <c r="CA100" s="12" t="s">
        <v>37</v>
      </c>
      <c r="CB100" s="12" t="s">
        <v>37</v>
      </c>
      <c r="CC100" s="13" t="s">
        <v>37</v>
      </c>
      <c r="CE100" s="12" t="s">
        <v>37</v>
      </c>
      <c r="CF100" s="12" t="s">
        <v>37</v>
      </c>
      <c r="CG100" s="13" t="s">
        <v>37</v>
      </c>
      <c r="CJ100" s="52"/>
      <c r="CN100" s="12" t="s">
        <v>37</v>
      </c>
      <c r="CO100" s="12" t="s">
        <v>37</v>
      </c>
      <c r="CP100" s="13" t="s">
        <v>37</v>
      </c>
      <c r="CR100" s="12" t="s">
        <v>37</v>
      </c>
      <c r="CS100" s="12" t="s">
        <v>37</v>
      </c>
      <c r="CT100" s="13" t="s">
        <v>37</v>
      </c>
      <c r="CX100" s="72"/>
      <c r="CY100" s="72"/>
      <c r="DA100" s="12" t="s">
        <v>37</v>
      </c>
      <c r="DB100" s="12" t="s">
        <v>37</v>
      </c>
      <c r="DC100" s="13" t="s">
        <v>37</v>
      </c>
      <c r="DE100" s="12" t="s">
        <v>37</v>
      </c>
      <c r="DF100" s="12" t="s">
        <v>37</v>
      </c>
      <c r="DG100" s="13" t="s">
        <v>37</v>
      </c>
      <c r="DI100" s="52"/>
      <c r="DJ100" s="52"/>
      <c r="DK100" s="73"/>
      <c r="DL100" s="73"/>
      <c r="DM100" s="15" t="s">
        <v>47</v>
      </c>
      <c r="DN100" s="52">
        <f>0.33*DN101+0.33*DN102+0.33*DN103</f>
        <v>29.877540000000003</v>
      </c>
      <c r="DO100" s="15">
        <f>SQRT(0.33^2*DO101^2+0.33^2*DO102^2+0.33^2*DO103^2)</f>
        <v>10.5768948600239</v>
      </c>
      <c r="DP100" s="18">
        <v>3</v>
      </c>
      <c r="DQ100" s="19">
        <f t="shared" ref="DQ100:DQ103" si="355">DO100/ABS(DN100)</f>
        <v>0.35400822356940698</v>
      </c>
      <c r="DR100" s="52">
        <f>0.33*DR101+0.33*DR102+0.33*DR103</f>
        <v>21.248370000000001</v>
      </c>
      <c r="DS100" s="15">
        <f>SQRT(0.33^2*DS101^2+0.33^2*DS102^2+0.33^2*DS103^2)</f>
        <v>3.4542118170720228</v>
      </c>
      <c r="DT100" s="18">
        <v>3</v>
      </c>
      <c r="DU100" s="19">
        <f t="shared" si="335"/>
        <v>0.16256361391824514</v>
      </c>
      <c r="DV100" s="19">
        <f t="shared" si="336"/>
        <v>-8.629170000000002</v>
      </c>
      <c r="DW100" s="12">
        <f t="shared" si="337"/>
        <v>7.867727885393597</v>
      </c>
      <c r="DX100" s="72">
        <f t="shared" si="345"/>
        <v>41.2674280524</v>
      </c>
      <c r="DY100" s="72">
        <f t="shared" si="346"/>
        <v>41.2674280524</v>
      </c>
      <c r="DZ100" s="15"/>
      <c r="EA100" s="52" t="s">
        <v>37</v>
      </c>
      <c r="EB100" s="52" t="s">
        <v>37</v>
      </c>
      <c r="EC100" s="73" t="s">
        <v>37</v>
      </c>
      <c r="ED100" s="52"/>
      <c r="EE100" s="52" t="s">
        <v>37</v>
      </c>
      <c r="EF100" s="52" t="s">
        <v>37</v>
      </c>
      <c r="EG100" s="15" t="s">
        <v>37</v>
      </c>
      <c r="EH100" s="52"/>
      <c r="EI100" s="52"/>
      <c r="EJ100" s="52"/>
      <c r="EK100" s="52"/>
      <c r="EL100" s="52"/>
      <c r="EM100" s="12" t="s">
        <v>39</v>
      </c>
      <c r="EN100" s="12">
        <f>AVERAGEA(EN101:EN103)</f>
        <v>-5.833333333333333</v>
      </c>
      <c r="EO100" s="12">
        <f>SQRT(EO101^2+EO102^2+EO103^2)/3</f>
        <v>5.3385391260156565</v>
      </c>
      <c r="EP100" s="13">
        <v>4</v>
      </c>
      <c r="EQ100" s="19">
        <f t="shared" si="320"/>
        <v>0.91517813588839836</v>
      </c>
      <c r="ER100" s="12">
        <f>AVERAGEA(ER101:ER103)</f>
        <v>-19.5</v>
      </c>
      <c r="ES100" s="12">
        <f>SQRT(ES101^2+ES102^2+ES103^2)/3</f>
        <v>4.0620192023179804</v>
      </c>
      <c r="ET100" s="13">
        <v>4</v>
      </c>
      <c r="EU100" s="19">
        <f t="shared" si="321"/>
        <v>0.20830867704194772</v>
      </c>
      <c r="EV100" s="19">
        <f t="shared" si="312"/>
        <v>-13.666666666666668</v>
      </c>
      <c r="EW100" s="12">
        <f t="shared" si="313"/>
        <v>4.74341649025257</v>
      </c>
      <c r="EX100" s="19">
        <f t="shared" si="314"/>
        <v>11.250000000000005</v>
      </c>
      <c r="EY100" s="19">
        <f t="shared" si="315"/>
        <v>11.250000000000004</v>
      </c>
      <c r="FB100" s="12" t="s">
        <v>37</v>
      </c>
      <c r="FC100" s="12" t="s">
        <v>37</v>
      </c>
      <c r="FD100" s="11" t="s">
        <v>37</v>
      </c>
      <c r="FE100" s="12" t="s">
        <v>37</v>
      </c>
      <c r="FF100" s="20" t="s">
        <v>37</v>
      </c>
      <c r="FG100" s="11" t="s">
        <v>37</v>
      </c>
      <c r="FI100" s="12" t="s">
        <v>37</v>
      </c>
      <c r="FJ100" s="12" t="s">
        <v>37</v>
      </c>
      <c r="FK100" s="11" t="s">
        <v>37</v>
      </c>
      <c r="FL100" s="13" t="s">
        <v>37</v>
      </c>
      <c r="FM100" s="11" t="s">
        <v>37</v>
      </c>
      <c r="FN100" s="11" t="s">
        <v>37</v>
      </c>
      <c r="FP100" s="12" t="s">
        <v>37</v>
      </c>
      <c r="FQ100" s="12" t="s">
        <v>37</v>
      </c>
      <c r="FR100" s="11" t="s">
        <v>37</v>
      </c>
      <c r="FS100" s="13" t="s">
        <v>37</v>
      </c>
      <c r="FT100" s="11" t="s">
        <v>37</v>
      </c>
      <c r="FU100" s="11" t="s">
        <v>37</v>
      </c>
      <c r="FW100" s="12" t="s">
        <v>37</v>
      </c>
      <c r="FX100" s="12" t="s">
        <v>37</v>
      </c>
      <c r="FY100" s="11" t="s">
        <v>37</v>
      </c>
      <c r="FZ100" s="13" t="s">
        <v>37</v>
      </c>
      <c r="GA100" s="11" t="s">
        <v>37</v>
      </c>
      <c r="GB100" s="11" t="s">
        <v>37</v>
      </c>
      <c r="IK100" s="12" t="s">
        <v>37</v>
      </c>
      <c r="IL100" s="12" t="s">
        <v>37</v>
      </c>
      <c r="IM100" s="12" t="s">
        <v>37</v>
      </c>
      <c r="IO100" s="12" t="s">
        <v>37</v>
      </c>
      <c r="IP100" s="12" t="s">
        <v>37</v>
      </c>
      <c r="IQ100" s="12" t="s">
        <v>37</v>
      </c>
      <c r="IW100" s="12" t="s">
        <v>37</v>
      </c>
      <c r="IX100" s="12" t="s">
        <v>37</v>
      </c>
      <c r="IY100" s="13" t="s">
        <v>37</v>
      </c>
      <c r="JA100" s="12" t="s">
        <v>37</v>
      </c>
      <c r="JB100" s="12" t="s">
        <v>37</v>
      </c>
      <c r="JC100" s="13" t="s">
        <v>37</v>
      </c>
      <c r="JH100" s="12" t="s">
        <v>37</v>
      </c>
      <c r="JI100" s="12" t="s">
        <v>37</v>
      </c>
      <c r="JJ100" s="13" t="s">
        <v>37</v>
      </c>
      <c r="JL100" s="12" t="s">
        <v>37</v>
      </c>
      <c r="JM100" s="12" t="s">
        <v>37</v>
      </c>
      <c r="JN100" s="12" t="s">
        <v>37</v>
      </c>
      <c r="JS100" s="12" t="s">
        <v>37</v>
      </c>
      <c r="JT100" s="12" t="s">
        <v>37</v>
      </c>
      <c r="JU100" s="13" t="s">
        <v>37</v>
      </c>
      <c r="JW100" s="12" t="s">
        <v>37</v>
      </c>
      <c r="JX100" s="12" t="s">
        <v>37</v>
      </c>
      <c r="JY100" s="12" t="s">
        <v>37</v>
      </c>
      <c r="KE100" s="11" t="s">
        <v>37</v>
      </c>
      <c r="KF100" s="11" t="s">
        <v>37</v>
      </c>
      <c r="KG100" s="13" t="s">
        <v>37</v>
      </c>
      <c r="KH100" s="11" t="s">
        <v>37</v>
      </c>
      <c r="KI100" s="11" t="s">
        <v>37</v>
      </c>
      <c r="KJ100" s="11" t="s">
        <v>37</v>
      </c>
      <c r="KM100" s="12" t="s">
        <v>37</v>
      </c>
      <c r="KN100" s="12" t="s">
        <v>37</v>
      </c>
      <c r="KO100" s="11" t="s">
        <v>37</v>
      </c>
      <c r="KQ100" s="12" t="s">
        <v>37</v>
      </c>
      <c r="KR100" s="12" t="s">
        <v>37</v>
      </c>
      <c r="KS100" s="13" t="s">
        <v>37</v>
      </c>
      <c r="KX100" s="12" t="s">
        <v>37</v>
      </c>
      <c r="KY100" s="12" t="s">
        <v>37</v>
      </c>
      <c r="KZ100" s="13" t="s">
        <v>37</v>
      </c>
      <c r="LB100" s="12" t="s">
        <v>37</v>
      </c>
      <c r="LC100" s="12" t="s">
        <v>37</v>
      </c>
      <c r="LD100" s="13" t="s">
        <v>37</v>
      </c>
      <c r="LI100" s="12" t="s">
        <v>37</v>
      </c>
      <c r="LJ100" s="12" t="s">
        <v>37</v>
      </c>
      <c r="LK100" s="12" t="s">
        <v>37</v>
      </c>
      <c r="LM100" s="12" t="s">
        <v>37</v>
      </c>
      <c r="LN100" s="12" t="s">
        <v>37</v>
      </c>
      <c r="LO100" s="12" t="s">
        <v>37</v>
      </c>
      <c r="LU100" s="12" t="s">
        <v>37</v>
      </c>
      <c r="LV100" s="12" t="s">
        <v>37</v>
      </c>
      <c r="LW100" s="13" t="s">
        <v>37</v>
      </c>
      <c r="LY100" s="12" t="s">
        <v>37</v>
      </c>
      <c r="LZ100" s="12" t="s">
        <v>37</v>
      </c>
      <c r="MA100" s="12" t="s">
        <v>37</v>
      </c>
      <c r="MF100" s="12" t="s">
        <v>37</v>
      </c>
      <c r="MG100" s="12" t="s">
        <v>37</v>
      </c>
      <c r="MH100" s="12" t="s">
        <v>37</v>
      </c>
      <c r="MJ100" s="12" t="s">
        <v>37</v>
      </c>
      <c r="MK100" s="12" t="s">
        <v>37</v>
      </c>
      <c r="ML100" s="12" t="s">
        <v>37</v>
      </c>
      <c r="MQ100" s="12" t="s">
        <v>37</v>
      </c>
      <c r="MR100" s="12" t="s">
        <v>37</v>
      </c>
      <c r="MS100" s="12" t="s">
        <v>37</v>
      </c>
      <c r="MU100" s="12" t="s">
        <v>37</v>
      </c>
      <c r="MV100" s="12" t="s">
        <v>37</v>
      </c>
      <c r="MW100" s="12" t="s">
        <v>37</v>
      </c>
      <c r="NC100" s="12" t="s">
        <v>37</v>
      </c>
      <c r="ND100" s="12" t="s">
        <v>37</v>
      </c>
      <c r="NE100" s="13" t="s">
        <v>37</v>
      </c>
      <c r="NG100" s="12" t="s">
        <v>37</v>
      </c>
      <c r="NH100" s="12" t="s">
        <v>37</v>
      </c>
      <c r="NI100" s="13" t="s">
        <v>37</v>
      </c>
      <c r="NO100" s="12" t="s">
        <v>37</v>
      </c>
      <c r="NP100" s="12" t="s">
        <v>37</v>
      </c>
      <c r="NQ100" s="13" t="s">
        <v>37</v>
      </c>
      <c r="NS100" s="12" t="s">
        <v>37</v>
      </c>
      <c r="NT100" s="12" t="s">
        <v>37</v>
      </c>
      <c r="NU100" s="13" t="s">
        <v>37</v>
      </c>
      <c r="OA100" s="11" t="s">
        <v>37</v>
      </c>
      <c r="OB100" s="11" t="s">
        <v>37</v>
      </c>
      <c r="OC100" s="13" t="s">
        <v>37</v>
      </c>
      <c r="OE100" s="11" t="s">
        <v>37</v>
      </c>
      <c r="OF100" s="11" t="s">
        <v>37</v>
      </c>
      <c r="OG100" s="13" t="s">
        <v>37</v>
      </c>
      <c r="OM100" s="11" t="s">
        <v>37</v>
      </c>
      <c r="ON100" s="11" t="s">
        <v>37</v>
      </c>
      <c r="OO100" s="11" t="s">
        <v>37</v>
      </c>
      <c r="OP100" s="11" t="s">
        <v>37</v>
      </c>
      <c r="OQ100" s="11" t="s">
        <v>37</v>
      </c>
      <c r="OR100" s="11" t="s">
        <v>37</v>
      </c>
      <c r="OW100" s="12" t="s">
        <v>37</v>
      </c>
      <c r="OX100" s="12" t="s">
        <v>37</v>
      </c>
      <c r="OY100" s="13" t="s">
        <v>37</v>
      </c>
      <c r="OZ100" s="12" t="s">
        <v>37</v>
      </c>
      <c r="PA100" s="12" t="s">
        <v>37</v>
      </c>
      <c r="PB100" s="13" t="s">
        <v>37</v>
      </c>
      <c r="PG100" s="11" t="s">
        <v>37</v>
      </c>
      <c r="PH100" s="11" t="s">
        <v>37</v>
      </c>
      <c r="PI100" s="13" t="s">
        <v>37</v>
      </c>
      <c r="PJ100" s="11" t="s">
        <v>37</v>
      </c>
      <c r="PK100" s="11" t="s">
        <v>37</v>
      </c>
      <c r="PL100" s="13" t="s">
        <v>37</v>
      </c>
      <c r="PQ100" s="12" t="s">
        <v>37</v>
      </c>
      <c r="PR100" s="12" t="s">
        <v>37</v>
      </c>
      <c r="PS100" s="12" t="s">
        <v>37</v>
      </c>
      <c r="PT100" s="12" t="s">
        <v>37</v>
      </c>
      <c r="PU100" s="12" t="s">
        <v>37</v>
      </c>
      <c r="PV100" s="12" t="s">
        <v>37</v>
      </c>
      <c r="PW100" s="12"/>
      <c r="PX100" s="12"/>
      <c r="PZ100" s="12" t="s">
        <v>37</v>
      </c>
      <c r="QA100" s="12" t="s">
        <v>37</v>
      </c>
      <c r="QB100" s="11" t="s">
        <v>37</v>
      </c>
      <c r="QD100" s="12" t="s">
        <v>37</v>
      </c>
      <c r="QE100" s="12" t="s">
        <v>37</v>
      </c>
      <c r="QF100" s="12" t="s">
        <v>37</v>
      </c>
      <c r="QK100" s="12" t="s">
        <v>37</v>
      </c>
      <c r="QL100" s="12" t="s">
        <v>37</v>
      </c>
      <c r="QM100" s="12" t="s">
        <v>37</v>
      </c>
      <c r="QN100" s="12" t="s">
        <v>37</v>
      </c>
      <c r="QO100" s="12" t="s">
        <v>37</v>
      </c>
      <c r="QP100" s="12" t="s">
        <v>37</v>
      </c>
      <c r="QQ100" s="12"/>
      <c r="QR100" s="12"/>
      <c r="QU100" s="11" t="s">
        <v>37</v>
      </c>
      <c r="QV100" s="11" t="s">
        <v>37</v>
      </c>
      <c r="QW100" s="13" t="s">
        <v>37</v>
      </c>
      <c r="QX100" s="11" t="s">
        <v>37</v>
      </c>
      <c r="QY100" s="11" t="s">
        <v>37</v>
      </c>
      <c r="QZ100" s="13" t="s">
        <v>37</v>
      </c>
      <c r="RC100" s="12" t="s">
        <v>37</v>
      </c>
      <c r="RD100" s="12" t="s">
        <v>37</v>
      </c>
      <c r="RE100" s="13" t="s">
        <v>37</v>
      </c>
      <c r="RF100" s="12" t="s">
        <v>37</v>
      </c>
      <c r="RG100" s="12" t="s">
        <v>37</v>
      </c>
      <c r="RH100" s="13" t="s">
        <v>37</v>
      </c>
      <c r="RK100" s="11" t="s">
        <v>37</v>
      </c>
      <c r="RL100" s="11" t="s">
        <v>37</v>
      </c>
      <c r="RM100" s="11" t="s">
        <v>37</v>
      </c>
      <c r="RN100" s="11" t="s">
        <v>37</v>
      </c>
      <c r="RO100" s="11" t="s">
        <v>37</v>
      </c>
      <c r="RP100" s="11" t="s">
        <v>37</v>
      </c>
      <c r="RS100" s="11" t="s">
        <v>37</v>
      </c>
      <c r="RT100" s="11" t="s">
        <v>37</v>
      </c>
      <c r="RU100" s="11" t="s">
        <v>37</v>
      </c>
      <c r="RV100" s="11" t="s">
        <v>37</v>
      </c>
      <c r="RW100" s="11" t="s">
        <v>37</v>
      </c>
      <c r="RX100" s="11" t="s">
        <v>37</v>
      </c>
      <c r="SA100" s="11" t="s">
        <v>37</v>
      </c>
      <c r="SB100" s="11" t="s">
        <v>37</v>
      </c>
      <c r="SC100" s="13" t="s">
        <v>37</v>
      </c>
      <c r="SD100" s="11" t="s">
        <v>37</v>
      </c>
      <c r="SE100" s="11" t="s">
        <v>37</v>
      </c>
      <c r="SF100" s="13" t="s">
        <v>37</v>
      </c>
      <c r="SI100" s="12" t="s">
        <v>37</v>
      </c>
      <c r="SJ100" s="12" t="s">
        <v>37</v>
      </c>
      <c r="SK100" s="13" t="s">
        <v>37</v>
      </c>
      <c r="SM100" s="12" t="s">
        <v>37</v>
      </c>
      <c r="SN100" s="12" t="s">
        <v>37</v>
      </c>
      <c r="SO100" s="13" t="s">
        <v>37</v>
      </c>
      <c r="SU100" s="12" t="s">
        <v>37</v>
      </c>
      <c r="SV100" s="12" t="s">
        <v>37</v>
      </c>
      <c r="SW100" s="11" t="s">
        <v>37</v>
      </c>
      <c r="SX100" s="12" t="s">
        <v>37</v>
      </c>
      <c r="SY100" s="12" t="s">
        <v>37</v>
      </c>
      <c r="SZ100" s="11" t="s">
        <v>37</v>
      </c>
      <c r="TE100" s="12" t="s">
        <v>37</v>
      </c>
      <c r="TF100" s="12" t="s">
        <v>37</v>
      </c>
      <c r="TG100" s="11" t="s">
        <v>37</v>
      </c>
      <c r="TH100" s="12" t="s">
        <v>37</v>
      </c>
      <c r="TI100" s="12" t="s">
        <v>37</v>
      </c>
      <c r="TJ100" s="11" t="s">
        <v>37</v>
      </c>
      <c r="TO100" s="12" t="s">
        <v>37</v>
      </c>
      <c r="TP100" s="12" t="s">
        <v>37</v>
      </c>
      <c r="TQ100" s="11" t="s">
        <v>37</v>
      </c>
      <c r="TR100" s="12" t="s">
        <v>37</v>
      </c>
      <c r="TS100" s="12" t="s">
        <v>37</v>
      </c>
      <c r="TT100" s="11" t="s">
        <v>37</v>
      </c>
      <c r="TY100" s="12" t="s">
        <v>37</v>
      </c>
      <c r="TZ100" s="12" t="s">
        <v>37</v>
      </c>
      <c r="UA100" s="12" t="s">
        <v>37</v>
      </c>
      <c r="UB100" s="12" t="s">
        <v>37</v>
      </c>
      <c r="UC100" s="12" t="s">
        <v>37</v>
      </c>
      <c r="UD100" s="12" t="s">
        <v>37</v>
      </c>
      <c r="UE100" s="12"/>
      <c r="UF100" s="12"/>
      <c r="UI100" s="12" t="s">
        <v>37</v>
      </c>
      <c r="UJ100" s="12" t="s">
        <v>37</v>
      </c>
      <c r="UK100" s="12" t="s">
        <v>37</v>
      </c>
      <c r="UL100" s="12" t="s">
        <v>37</v>
      </c>
      <c r="UM100" s="12" t="s">
        <v>37</v>
      </c>
      <c r="UN100" s="12" t="s">
        <v>37</v>
      </c>
      <c r="UO100" s="12"/>
      <c r="UP100" s="12"/>
      <c r="UR100" s="12" t="s">
        <v>37</v>
      </c>
      <c r="US100" s="12" t="s">
        <v>37</v>
      </c>
      <c r="UT100" s="12" t="s">
        <v>37</v>
      </c>
      <c r="UU100" s="12" t="s">
        <v>37</v>
      </c>
      <c r="UV100" s="12" t="s">
        <v>37</v>
      </c>
      <c r="UW100" s="12" t="s">
        <v>37</v>
      </c>
      <c r="UX100" s="12"/>
      <c r="UY100" s="12"/>
      <c r="VB100" s="12" t="s">
        <v>37</v>
      </c>
      <c r="VC100" s="12" t="s">
        <v>37</v>
      </c>
      <c r="VD100" s="12" t="s">
        <v>37</v>
      </c>
      <c r="VE100" s="12" t="s">
        <v>37</v>
      </c>
      <c r="VF100" s="12" t="s">
        <v>37</v>
      </c>
      <c r="VG100" s="12" t="s">
        <v>37</v>
      </c>
      <c r="VI100" s="12" t="s">
        <v>37</v>
      </c>
      <c r="VJ100" s="12" t="s">
        <v>37</v>
      </c>
      <c r="VK100" s="12" t="s">
        <v>37</v>
      </c>
      <c r="VL100" s="12" t="s">
        <v>37</v>
      </c>
      <c r="VM100" s="12" t="s">
        <v>37</v>
      </c>
      <c r="VN100" s="12" t="s">
        <v>37</v>
      </c>
      <c r="VQ100" s="13" t="s">
        <v>37</v>
      </c>
      <c r="VR100" s="13" t="s">
        <v>37</v>
      </c>
      <c r="VS100" s="13" t="s">
        <v>37</v>
      </c>
      <c r="VT100" s="13" t="s">
        <v>37</v>
      </c>
      <c r="VU100" s="13" t="s">
        <v>37</v>
      </c>
      <c r="VV100" s="13" t="s">
        <v>37</v>
      </c>
      <c r="WA100" s="13" t="s">
        <v>37</v>
      </c>
      <c r="WB100" s="13" t="s">
        <v>37</v>
      </c>
      <c r="WC100" s="13" t="s">
        <v>37</v>
      </c>
      <c r="WD100" s="13" t="s">
        <v>37</v>
      </c>
      <c r="WE100" s="13" t="s">
        <v>37</v>
      </c>
      <c r="WF100" s="13" t="s">
        <v>37</v>
      </c>
    </row>
    <row r="101" spans="1:604" ht="18" customHeight="1" x14ac:dyDescent="0.3">
      <c r="A101" s="11">
        <v>25</v>
      </c>
      <c r="B101" s="12" t="s">
        <v>154</v>
      </c>
      <c r="C101" s="12" t="s">
        <v>26</v>
      </c>
      <c r="D101" s="12" t="s">
        <v>54</v>
      </c>
      <c r="E101" s="40">
        <v>1.2</v>
      </c>
      <c r="F101" s="14">
        <v>0</v>
      </c>
      <c r="G101" s="14">
        <v>0</v>
      </c>
      <c r="H101" s="12" t="s">
        <v>91</v>
      </c>
      <c r="I101" s="29">
        <v>46.667000000000002</v>
      </c>
      <c r="J101" s="29">
        <v>-71.167000000000002</v>
      </c>
      <c r="K101" s="12" t="s">
        <v>673</v>
      </c>
      <c r="L101" s="12" t="s">
        <v>674</v>
      </c>
      <c r="M101" s="13" t="s">
        <v>37</v>
      </c>
      <c r="N101" s="14" t="s">
        <v>37</v>
      </c>
      <c r="O101" s="14" t="s">
        <v>37</v>
      </c>
      <c r="P101" s="14" t="s">
        <v>679</v>
      </c>
      <c r="Q101" s="75">
        <v>8</v>
      </c>
      <c r="R101" s="11" t="s">
        <v>1000</v>
      </c>
      <c r="S101" s="12" t="s">
        <v>85</v>
      </c>
      <c r="T101" s="12" t="s">
        <v>141</v>
      </c>
      <c r="U101" s="12" t="s">
        <v>163</v>
      </c>
      <c r="V101" s="12" t="s">
        <v>275</v>
      </c>
      <c r="W101" s="23" t="s">
        <v>519</v>
      </c>
      <c r="X101" s="12" t="s">
        <v>281</v>
      </c>
      <c r="Y101" s="12" t="s">
        <v>69</v>
      </c>
      <c r="Z101" s="12" t="s">
        <v>37</v>
      </c>
      <c r="AB101" s="12" t="s">
        <v>37</v>
      </c>
      <c r="AC101" s="16"/>
      <c r="AE101" s="12" t="s">
        <v>37</v>
      </c>
      <c r="AH101" s="12" t="s">
        <v>37</v>
      </c>
      <c r="AK101" s="12" t="s">
        <v>37</v>
      </c>
      <c r="AL101" s="32" t="s">
        <v>156</v>
      </c>
      <c r="AM101" s="12" t="s">
        <v>344</v>
      </c>
      <c r="AO101" s="12" t="s">
        <v>37</v>
      </c>
      <c r="AP101" s="12" t="s">
        <v>601</v>
      </c>
      <c r="AQ101" s="12" t="s">
        <v>975</v>
      </c>
      <c r="AR101" s="16"/>
      <c r="AT101" s="12" t="s">
        <v>326</v>
      </c>
      <c r="AU101" s="12" t="s">
        <v>326</v>
      </c>
      <c r="AV101" s="13" t="s">
        <v>326</v>
      </c>
      <c r="AX101" s="12" t="s">
        <v>326</v>
      </c>
      <c r="AY101" s="12" t="s">
        <v>326</v>
      </c>
      <c r="AZ101" s="13" t="s">
        <v>326</v>
      </c>
      <c r="BE101" s="12" t="s">
        <v>326</v>
      </c>
      <c r="BF101" s="12" t="s">
        <v>326</v>
      </c>
      <c r="BG101" s="12" t="s">
        <v>326</v>
      </c>
      <c r="BI101" s="12" t="s">
        <v>326</v>
      </c>
      <c r="BJ101" s="12" t="s">
        <v>326</v>
      </c>
      <c r="BK101" s="12" t="s">
        <v>326</v>
      </c>
      <c r="BO101" s="16"/>
      <c r="BP101" s="12" t="s">
        <v>37</v>
      </c>
      <c r="BQ101" s="12" t="s">
        <v>37</v>
      </c>
      <c r="BR101" s="13" t="s">
        <v>37</v>
      </c>
      <c r="BT101" s="12" t="s">
        <v>37</v>
      </c>
      <c r="BU101" s="12" t="s">
        <v>37</v>
      </c>
      <c r="BV101" s="12" t="s">
        <v>37</v>
      </c>
      <c r="CA101" s="12" t="s">
        <v>37</v>
      </c>
      <c r="CB101" s="12" t="s">
        <v>37</v>
      </c>
      <c r="CC101" s="13" t="s">
        <v>37</v>
      </c>
      <c r="CE101" s="12" t="s">
        <v>37</v>
      </c>
      <c r="CF101" s="12" t="s">
        <v>37</v>
      </c>
      <c r="CG101" s="13" t="s">
        <v>37</v>
      </c>
      <c r="CI101" s="52"/>
      <c r="CJ101" s="12"/>
      <c r="CK101" s="73"/>
      <c r="CL101" s="73"/>
      <c r="CN101" s="12" t="s">
        <v>37</v>
      </c>
      <c r="CO101" s="12" t="s">
        <v>37</v>
      </c>
      <c r="CP101" s="13" t="s">
        <v>37</v>
      </c>
      <c r="CR101" s="12" t="s">
        <v>37</v>
      </c>
      <c r="CS101" s="12" t="s">
        <v>37</v>
      </c>
      <c r="CT101" s="13" t="s">
        <v>37</v>
      </c>
      <c r="CV101" s="52"/>
      <c r="CW101" s="52"/>
      <c r="CX101" s="73"/>
      <c r="CY101" s="73"/>
      <c r="DA101" s="12" t="s">
        <v>37</v>
      </c>
      <c r="DB101" s="12" t="s">
        <v>37</v>
      </c>
      <c r="DC101" s="13" t="s">
        <v>37</v>
      </c>
      <c r="DE101" s="12" t="s">
        <v>37</v>
      </c>
      <c r="DF101" s="12" t="s">
        <v>37</v>
      </c>
      <c r="DG101" s="13" t="s">
        <v>37</v>
      </c>
      <c r="DI101" s="52"/>
      <c r="DJ101" s="52"/>
      <c r="DK101" s="73"/>
      <c r="DL101" s="73"/>
      <c r="DM101" s="15" t="s">
        <v>47</v>
      </c>
      <c r="DN101" s="52">
        <f>(9.7*("2002-10-31"-"2002-4-15")+3.2*(("2002-12-31"-"2002-11-1")+("2003-4-14"-"2003-1-1")))/100</f>
        <v>24.519000000000002</v>
      </c>
      <c r="DO101" s="15">
        <f>SQRT(1.5^2*("2002-10-31"-"2002-4-15")^2+1.5^2*(("2002-12-31"-"2002-11-1")+("2003-4-14"-"2003-1-1"))^2)/100</f>
        <v>3.8585295126511601</v>
      </c>
      <c r="DP101" s="18">
        <v>3</v>
      </c>
      <c r="DQ101" s="19">
        <f t="shared" si="355"/>
        <v>0.15736895928264447</v>
      </c>
      <c r="DR101" s="52">
        <f>(1.2*("2002-10-31"-"2002-4-15")+0.2*(("2002-12-31"-"2002-11-1")+("2003-4-14"-"2003-1-1")))/100</f>
        <v>2.714</v>
      </c>
      <c r="DS101" s="15">
        <f>SQRT(0.9^2*("2002-10-31"-"2002-4-15")^2+0.2^2*(("2002-12-31"-"2002-11-1")+("2003-4-14"-"2003-1-1"))^2)/100</f>
        <v>1.8204276969987025</v>
      </c>
      <c r="DT101" s="18">
        <v>3</v>
      </c>
      <c r="DU101" s="19">
        <f t="shared" si="335"/>
        <v>0.67075449410416454</v>
      </c>
      <c r="DV101" s="19">
        <f t="shared" si="336"/>
        <v>-21.805000000000003</v>
      </c>
      <c r="DW101" s="12">
        <f t="shared" si="337"/>
        <v>3.0168035235991089</v>
      </c>
      <c r="DX101" s="72">
        <f t="shared" si="345"/>
        <v>6.067402333333332</v>
      </c>
      <c r="DY101" s="72">
        <f t="shared" si="346"/>
        <v>6.0674023333333329</v>
      </c>
      <c r="DZ101" s="15"/>
      <c r="EA101" s="52" t="s">
        <v>37</v>
      </c>
      <c r="EB101" s="52" t="s">
        <v>37</v>
      </c>
      <c r="EC101" s="73" t="s">
        <v>37</v>
      </c>
      <c r="ED101" s="52"/>
      <c r="EE101" s="52" t="s">
        <v>37</v>
      </c>
      <c r="EF101" s="52" t="s">
        <v>37</v>
      </c>
      <c r="EG101" s="15" t="s">
        <v>37</v>
      </c>
      <c r="EH101" s="52"/>
      <c r="EI101" s="52"/>
      <c r="EJ101" s="52"/>
      <c r="EK101" s="52"/>
      <c r="EL101" s="52"/>
      <c r="EM101" s="12" t="s">
        <v>39</v>
      </c>
      <c r="EN101" s="12">
        <f>AVERAGEA(-21,-14)</f>
        <v>-17.5</v>
      </c>
      <c r="EO101" s="12">
        <f>STDEVA(-21,-14)</f>
        <v>4.9497474683058327</v>
      </c>
      <c r="EP101" s="13">
        <v>4</v>
      </c>
      <c r="EQ101" s="19">
        <f t="shared" si="320"/>
        <v>0.28284271247461901</v>
      </c>
      <c r="ER101" s="12">
        <f>AVERAGEA(-42,-26)</f>
        <v>-34</v>
      </c>
      <c r="ES101" s="12">
        <f>STDEVA(-42,-26)</f>
        <v>11.313708498984761</v>
      </c>
      <c r="ET101" s="13">
        <v>4</v>
      </c>
      <c r="EU101" s="19">
        <f t="shared" si="321"/>
        <v>0.33275613232308121</v>
      </c>
      <c r="EV101" s="19">
        <f t="shared" si="312"/>
        <v>-16.5</v>
      </c>
      <c r="EW101" s="12">
        <f t="shared" si="313"/>
        <v>8.7321245982864912</v>
      </c>
      <c r="EX101" s="19">
        <f t="shared" si="314"/>
        <v>38.125000000000007</v>
      </c>
      <c r="EY101" s="19">
        <f t="shared" si="315"/>
        <v>38.125000000000007</v>
      </c>
      <c r="FB101" s="12" t="s">
        <v>37</v>
      </c>
      <c r="FC101" s="12" t="s">
        <v>37</v>
      </c>
      <c r="FD101" s="11" t="s">
        <v>37</v>
      </c>
      <c r="FE101" s="12" t="s">
        <v>37</v>
      </c>
      <c r="FF101" s="20" t="s">
        <v>37</v>
      </c>
      <c r="FG101" s="11" t="s">
        <v>37</v>
      </c>
      <c r="FI101" s="12" t="s">
        <v>37</v>
      </c>
      <c r="FJ101" s="12" t="s">
        <v>37</v>
      </c>
      <c r="FK101" s="11" t="s">
        <v>37</v>
      </c>
      <c r="FL101" s="13" t="s">
        <v>37</v>
      </c>
      <c r="FM101" s="11" t="s">
        <v>37</v>
      </c>
      <c r="FN101" s="11" t="s">
        <v>37</v>
      </c>
      <c r="FP101" s="12" t="s">
        <v>37</v>
      </c>
      <c r="FQ101" s="12" t="s">
        <v>37</v>
      </c>
      <c r="FR101" s="11" t="s">
        <v>37</v>
      </c>
      <c r="FS101" s="13" t="s">
        <v>37</v>
      </c>
      <c r="FT101" s="11" t="s">
        <v>37</v>
      </c>
      <c r="FU101" s="11" t="s">
        <v>37</v>
      </c>
      <c r="FW101" s="12" t="s">
        <v>37</v>
      </c>
      <c r="FX101" s="12" t="s">
        <v>37</v>
      </c>
      <c r="FY101" s="11" t="s">
        <v>37</v>
      </c>
      <c r="FZ101" s="13" t="s">
        <v>37</v>
      </c>
      <c r="GA101" s="11" t="s">
        <v>37</v>
      </c>
      <c r="GB101" s="11" t="s">
        <v>37</v>
      </c>
      <c r="IK101" s="12" t="s">
        <v>37</v>
      </c>
      <c r="IL101" s="12" t="s">
        <v>37</v>
      </c>
      <c r="IM101" s="12" t="s">
        <v>37</v>
      </c>
      <c r="IO101" s="12" t="s">
        <v>37</v>
      </c>
      <c r="IP101" s="12" t="s">
        <v>37</v>
      </c>
      <c r="IQ101" s="12" t="s">
        <v>37</v>
      </c>
      <c r="IW101" s="12" t="s">
        <v>37</v>
      </c>
      <c r="IX101" s="12" t="s">
        <v>37</v>
      </c>
      <c r="IY101" s="13" t="s">
        <v>37</v>
      </c>
      <c r="JA101" s="12" t="s">
        <v>37</v>
      </c>
      <c r="JB101" s="12" t="s">
        <v>37</v>
      </c>
      <c r="JC101" s="13" t="s">
        <v>37</v>
      </c>
      <c r="JH101" s="12" t="s">
        <v>37</v>
      </c>
      <c r="JI101" s="12" t="s">
        <v>37</v>
      </c>
      <c r="JJ101" s="13" t="s">
        <v>37</v>
      </c>
      <c r="JL101" s="12" t="s">
        <v>37</v>
      </c>
      <c r="JM101" s="12" t="s">
        <v>37</v>
      </c>
      <c r="JN101" s="12" t="s">
        <v>37</v>
      </c>
      <c r="JS101" s="12" t="s">
        <v>37</v>
      </c>
      <c r="JT101" s="12" t="s">
        <v>37</v>
      </c>
      <c r="JU101" s="13" t="s">
        <v>37</v>
      </c>
      <c r="JW101" s="12" t="s">
        <v>37</v>
      </c>
      <c r="JX101" s="12" t="s">
        <v>37</v>
      </c>
      <c r="JY101" s="12" t="s">
        <v>37</v>
      </c>
      <c r="KE101" s="11" t="s">
        <v>37</v>
      </c>
      <c r="KF101" s="11" t="s">
        <v>37</v>
      </c>
      <c r="KG101" s="13" t="s">
        <v>37</v>
      </c>
      <c r="KH101" s="11" t="s">
        <v>37</v>
      </c>
      <c r="KI101" s="11" t="s">
        <v>37</v>
      </c>
      <c r="KJ101" s="11" t="s">
        <v>37</v>
      </c>
      <c r="KM101" s="12" t="s">
        <v>37</v>
      </c>
      <c r="KN101" s="12" t="s">
        <v>37</v>
      </c>
      <c r="KO101" s="11" t="s">
        <v>37</v>
      </c>
      <c r="KQ101" s="12" t="s">
        <v>37</v>
      </c>
      <c r="KR101" s="12" t="s">
        <v>37</v>
      </c>
      <c r="KS101" s="13" t="s">
        <v>37</v>
      </c>
      <c r="KX101" s="12" t="s">
        <v>37</v>
      </c>
      <c r="KY101" s="12" t="s">
        <v>37</v>
      </c>
      <c r="KZ101" s="13" t="s">
        <v>37</v>
      </c>
      <c r="LB101" s="12" t="s">
        <v>37</v>
      </c>
      <c r="LC101" s="12" t="s">
        <v>37</v>
      </c>
      <c r="LD101" s="13" t="s">
        <v>37</v>
      </c>
      <c r="LI101" s="12" t="s">
        <v>37</v>
      </c>
      <c r="LJ101" s="12" t="s">
        <v>37</v>
      </c>
      <c r="LK101" s="12" t="s">
        <v>37</v>
      </c>
      <c r="LM101" s="12" t="s">
        <v>37</v>
      </c>
      <c r="LN101" s="12" t="s">
        <v>37</v>
      </c>
      <c r="LO101" s="12" t="s">
        <v>37</v>
      </c>
      <c r="LU101" s="12" t="s">
        <v>37</v>
      </c>
      <c r="LV101" s="12" t="s">
        <v>37</v>
      </c>
      <c r="LW101" s="13" t="s">
        <v>37</v>
      </c>
      <c r="LY101" s="12" t="s">
        <v>37</v>
      </c>
      <c r="LZ101" s="12" t="s">
        <v>37</v>
      </c>
      <c r="MA101" s="12" t="s">
        <v>37</v>
      </c>
      <c r="MF101" s="12" t="s">
        <v>37</v>
      </c>
      <c r="MG101" s="12" t="s">
        <v>37</v>
      </c>
      <c r="MH101" s="12" t="s">
        <v>37</v>
      </c>
      <c r="MJ101" s="12" t="s">
        <v>37</v>
      </c>
      <c r="MK101" s="12" t="s">
        <v>37</v>
      </c>
      <c r="ML101" s="12" t="s">
        <v>37</v>
      </c>
      <c r="MQ101" s="12" t="s">
        <v>37</v>
      </c>
      <c r="MR101" s="12" t="s">
        <v>37</v>
      </c>
      <c r="MS101" s="12" t="s">
        <v>37</v>
      </c>
      <c r="MU101" s="12" t="s">
        <v>37</v>
      </c>
      <c r="MV101" s="12" t="s">
        <v>37</v>
      </c>
      <c r="MW101" s="12" t="s">
        <v>37</v>
      </c>
      <c r="NC101" s="12" t="s">
        <v>37</v>
      </c>
      <c r="ND101" s="12" t="s">
        <v>37</v>
      </c>
      <c r="NE101" s="13" t="s">
        <v>37</v>
      </c>
      <c r="NG101" s="12" t="s">
        <v>37</v>
      </c>
      <c r="NH101" s="12" t="s">
        <v>37</v>
      </c>
      <c r="NI101" s="13" t="s">
        <v>37</v>
      </c>
      <c r="NO101" s="12" t="s">
        <v>37</v>
      </c>
      <c r="NP101" s="12" t="s">
        <v>37</v>
      </c>
      <c r="NQ101" s="13" t="s">
        <v>37</v>
      </c>
      <c r="NS101" s="12" t="s">
        <v>37</v>
      </c>
      <c r="NT101" s="12" t="s">
        <v>37</v>
      </c>
      <c r="NU101" s="13" t="s">
        <v>37</v>
      </c>
      <c r="OA101" s="11" t="s">
        <v>37</v>
      </c>
      <c r="OB101" s="11" t="s">
        <v>37</v>
      </c>
      <c r="OC101" s="13" t="s">
        <v>37</v>
      </c>
      <c r="OE101" s="11" t="s">
        <v>37</v>
      </c>
      <c r="OF101" s="11" t="s">
        <v>37</v>
      </c>
      <c r="OG101" s="13" t="s">
        <v>37</v>
      </c>
      <c r="OM101" s="11" t="s">
        <v>37</v>
      </c>
      <c r="ON101" s="11" t="s">
        <v>37</v>
      </c>
      <c r="OO101" s="11" t="s">
        <v>37</v>
      </c>
      <c r="OP101" s="11" t="s">
        <v>37</v>
      </c>
      <c r="OQ101" s="11" t="s">
        <v>37</v>
      </c>
      <c r="OR101" s="11" t="s">
        <v>37</v>
      </c>
      <c r="OW101" s="12" t="s">
        <v>37</v>
      </c>
      <c r="OX101" s="12" t="s">
        <v>37</v>
      </c>
      <c r="OY101" s="13" t="s">
        <v>37</v>
      </c>
      <c r="OZ101" s="12" t="s">
        <v>37</v>
      </c>
      <c r="PA101" s="12" t="s">
        <v>37</v>
      </c>
      <c r="PB101" s="13" t="s">
        <v>37</v>
      </c>
      <c r="PG101" s="11" t="s">
        <v>37</v>
      </c>
      <c r="PH101" s="11" t="s">
        <v>37</v>
      </c>
      <c r="PI101" s="13" t="s">
        <v>37</v>
      </c>
      <c r="PJ101" s="11" t="s">
        <v>37</v>
      </c>
      <c r="PK101" s="11" t="s">
        <v>37</v>
      </c>
      <c r="PL101" s="13" t="s">
        <v>37</v>
      </c>
      <c r="PQ101" s="12" t="s">
        <v>37</v>
      </c>
      <c r="PR101" s="12" t="s">
        <v>37</v>
      </c>
      <c r="PS101" s="12" t="s">
        <v>37</v>
      </c>
      <c r="PT101" s="12" t="s">
        <v>37</v>
      </c>
      <c r="PU101" s="12" t="s">
        <v>37</v>
      </c>
      <c r="PV101" s="12" t="s">
        <v>37</v>
      </c>
      <c r="PW101" s="12"/>
      <c r="PX101" s="12"/>
      <c r="PZ101" s="12" t="s">
        <v>37</v>
      </c>
      <c r="QA101" s="12" t="s">
        <v>37</v>
      </c>
      <c r="QB101" s="11" t="s">
        <v>37</v>
      </c>
      <c r="QD101" s="12" t="s">
        <v>37</v>
      </c>
      <c r="QE101" s="12" t="s">
        <v>37</v>
      </c>
      <c r="QF101" s="12" t="s">
        <v>37</v>
      </c>
      <c r="QK101" s="12" t="s">
        <v>37</v>
      </c>
      <c r="QL101" s="12" t="s">
        <v>37</v>
      </c>
      <c r="QM101" s="12" t="s">
        <v>37</v>
      </c>
      <c r="QN101" s="12" t="s">
        <v>37</v>
      </c>
      <c r="QO101" s="12" t="s">
        <v>37</v>
      </c>
      <c r="QP101" s="12" t="s">
        <v>37</v>
      </c>
      <c r="QQ101" s="12"/>
      <c r="QR101" s="12"/>
      <c r="QU101" s="11" t="s">
        <v>37</v>
      </c>
      <c r="QV101" s="11" t="s">
        <v>37</v>
      </c>
      <c r="QW101" s="13" t="s">
        <v>37</v>
      </c>
      <c r="QX101" s="11" t="s">
        <v>37</v>
      </c>
      <c r="QY101" s="11" t="s">
        <v>37</v>
      </c>
      <c r="QZ101" s="13" t="s">
        <v>37</v>
      </c>
      <c r="RC101" s="12" t="s">
        <v>37</v>
      </c>
      <c r="RD101" s="12" t="s">
        <v>37</v>
      </c>
      <c r="RE101" s="13" t="s">
        <v>37</v>
      </c>
      <c r="RF101" s="12" t="s">
        <v>37</v>
      </c>
      <c r="RG101" s="12" t="s">
        <v>37</v>
      </c>
      <c r="RH101" s="13" t="s">
        <v>37</v>
      </c>
      <c r="RK101" s="11" t="s">
        <v>37</v>
      </c>
      <c r="RL101" s="11" t="s">
        <v>37</v>
      </c>
      <c r="RM101" s="11" t="s">
        <v>37</v>
      </c>
      <c r="RN101" s="11" t="s">
        <v>37</v>
      </c>
      <c r="RO101" s="11" t="s">
        <v>37</v>
      </c>
      <c r="RP101" s="11" t="s">
        <v>37</v>
      </c>
      <c r="RS101" s="11" t="s">
        <v>37</v>
      </c>
      <c r="RT101" s="11" t="s">
        <v>37</v>
      </c>
      <c r="RU101" s="11" t="s">
        <v>37</v>
      </c>
      <c r="RV101" s="11" t="s">
        <v>37</v>
      </c>
      <c r="RW101" s="11" t="s">
        <v>37</v>
      </c>
      <c r="RX101" s="11" t="s">
        <v>37</v>
      </c>
      <c r="SA101" s="11" t="s">
        <v>37</v>
      </c>
      <c r="SB101" s="11" t="s">
        <v>37</v>
      </c>
      <c r="SC101" s="13" t="s">
        <v>37</v>
      </c>
      <c r="SD101" s="11" t="s">
        <v>37</v>
      </c>
      <c r="SE101" s="11" t="s">
        <v>37</v>
      </c>
      <c r="SF101" s="13" t="s">
        <v>37</v>
      </c>
      <c r="SI101" s="12" t="s">
        <v>37</v>
      </c>
      <c r="SJ101" s="12" t="s">
        <v>37</v>
      </c>
      <c r="SK101" s="13" t="s">
        <v>37</v>
      </c>
      <c r="SM101" s="12" t="s">
        <v>37</v>
      </c>
      <c r="SN101" s="12" t="s">
        <v>37</v>
      </c>
      <c r="SO101" s="13" t="s">
        <v>37</v>
      </c>
      <c r="SU101" s="12" t="s">
        <v>37</v>
      </c>
      <c r="SV101" s="12" t="s">
        <v>37</v>
      </c>
      <c r="SW101" s="11" t="s">
        <v>37</v>
      </c>
      <c r="SX101" s="12" t="s">
        <v>37</v>
      </c>
      <c r="SY101" s="12" t="s">
        <v>37</v>
      </c>
      <c r="SZ101" s="11" t="s">
        <v>37</v>
      </c>
      <c r="TE101" s="12" t="s">
        <v>37</v>
      </c>
      <c r="TF101" s="12" t="s">
        <v>37</v>
      </c>
      <c r="TG101" s="11" t="s">
        <v>37</v>
      </c>
      <c r="TH101" s="12" t="s">
        <v>37</v>
      </c>
      <c r="TI101" s="12" t="s">
        <v>37</v>
      </c>
      <c r="TJ101" s="11" t="s">
        <v>37</v>
      </c>
      <c r="TO101" s="12" t="s">
        <v>37</v>
      </c>
      <c r="TP101" s="12" t="s">
        <v>37</v>
      </c>
      <c r="TQ101" s="11" t="s">
        <v>37</v>
      </c>
      <c r="TR101" s="12" t="s">
        <v>37</v>
      </c>
      <c r="TS101" s="12" t="s">
        <v>37</v>
      </c>
      <c r="TT101" s="11" t="s">
        <v>37</v>
      </c>
      <c r="TY101" s="12" t="s">
        <v>37</v>
      </c>
      <c r="TZ101" s="12" t="s">
        <v>37</v>
      </c>
      <c r="UA101" s="12" t="s">
        <v>37</v>
      </c>
      <c r="UB101" s="12" t="s">
        <v>37</v>
      </c>
      <c r="UC101" s="12" t="s">
        <v>37</v>
      </c>
      <c r="UD101" s="12" t="s">
        <v>37</v>
      </c>
      <c r="UE101" s="12"/>
      <c r="UF101" s="12"/>
      <c r="UI101" s="12" t="s">
        <v>37</v>
      </c>
      <c r="UJ101" s="12" t="s">
        <v>37</v>
      </c>
      <c r="UK101" s="12" t="s">
        <v>37</v>
      </c>
      <c r="UL101" s="12" t="s">
        <v>37</v>
      </c>
      <c r="UM101" s="12" t="s">
        <v>37</v>
      </c>
      <c r="UN101" s="12" t="s">
        <v>37</v>
      </c>
      <c r="UO101" s="12"/>
      <c r="UP101" s="12"/>
      <c r="UR101" s="12" t="s">
        <v>37</v>
      </c>
      <c r="US101" s="12" t="s">
        <v>37</v>
      </c>
      <c r="UT101" s="12" t="s">
        <v>37</v>
      </c>
      <c r="UU101" s="12" t="s">
        <v>37</v>
      </c>
      <c r="UV101" s="12" t="s">
        <v>37</v>
      </c>
      <c r="UW101" s="12" t="s">
        <v>37</v>
      </c>
      <c r="UX101" s="12"/>
      <c r="UY101" s="12"/>
      <c r="VB101" s="12" t="s">
        <v>37</v>
      </c>
      <c r="VC101" s="12" t="s">
        <v>37</v>
      </c>
      <c r="VD101" s="12" t="s">
        <v>37</v>
      </c>
      <c r="VE101" s="12" t="s">
        <v>37</v>
      </c>
      <c r="VF101" s="12" t="s">
        <v>37</v>
      </c>
      <c r="VG101" s="12" t="s">
        <v>37</v>
      </c>
      <c r="VI101" s="12" t="s">
        <v>37</v>
      </c>
      <c r="VJ101" s="12" t="s">
        <v>37</v>
      </c>
      <c r="VK101" s="12" t="s">
        <v>37</v>
      </c>
      <c r="VL101" s="12" t="s">
        <v>37</v>
      </c>
      <c r="VM101" s="12" t="s">
        <v>37</v>
      </c>
      <c r="VN101" s="12" t="s">
        <v>37</v>
      </c>
      <c r="VQ101" s="13" t="s">
        <v>37</v>
      </c>
      <c r="VR101" s="13" t="s">
        <v>37</v>
      </c>
      <c r="VS101" s="13" t="s">
        <v>37</v>
      </c>
      <c r="VT101" s="13" t="s">
        <v>37</v>
      </c>
      <c r="VU101" s="13" t="s">
        <v>37</v>
      </c>
      <c r="VV101" s="13" t="s">
        <v>37</v>
      </c>
      <c r="WA101" s="13" t="s">
        <v>37</v>
      </c>
      <c r="WB101" s="13" t="s">
        <v>37</v>
      </c>
      <c r="WC101" s="13" t="s">
        <v>37</v>
      </c>
      <c r="WD101" s="13" t="s">
        <v>37</v>
      </c>
      <c r="WE101" s="13" t="s">
        <v>37</v>
      </c>
      <c r="WF101" s="13" t="s">
        <v>37</v>
      </c>
    </row>
    <row r="102" spans="1:604" ht="18" customHeight="1" x14ac:dyDescent="0.3">
      <c r="A102" s="11">
        <v>25</v>
      </c>
      <c r="B102" s="12" t="s">
        <v>154</v>
      </c>
      <c r="C102" s="12" t="s">
        <v>26</v>
      </c>
      <c r="D102" s="12" t="s">
        <v>54</v>
      </c>
      <c r="E102" s="40">
        <v>1.2</v>
      </c>
      <c r="F102" s="14">
        <v>0</v>
      </c>
      <c r="G102" s="14">
        <v>0</v>
      </c>
      <c r="H102" s="12" t="s">
        <v>91</v>
      </c>
      <c r="I102" s="29">
        <v>46.667000000000002</v>
      </c>
      <c r="J102" s="29">
        <v>-71.167000000000002</v>
      </c>
      <c r="K102" s="12" t="s">
        <v>673</v>
      </c>
      <c r="L102" s="12" t="s">
        <v>674</v>
      </c>
      <c r="M102" s="13" t="s">
        <v>37</v>
      </c>
      <c r="N102" s="14" t="s">
        <v>37</v>
      </c>
      <c r="O102" s="14" t="s">
        <v>37</v>
      </c>
      <c r="P102" s="14" t="s">
        <v>679</v>
      </c>
      <c r="Q102" s="75">
        <v>8</v>
      </c>
      <c r="R102" s="11" t="s">
        <v>1000</v>
      </c>
      <c r="S102" s="12" t="s">
        <v>85</v>
      </c>
      <c r="T102" s="12" t="s">
        <v>141</v>
      </c>
      <c r="U102" s="12" t="s">
        <v>164</v>
      </c>
      <c r="V102" s="12" t="s">
        <v>275</v>
      </c>
      <c r="W102" s="23" t="s">
        <v>520</v>
      </c>
      <c r="X102" s="12" t="s">
        <v>281</v>
      </c>
      <c r="Y102" s="12" t="s">
        <v>69</v>
      </c>
      <c r="Z102" s="12" t="s">
        <v>37</v>
      </c>
      <c r="AB102" s="12" t="s">
        <v>37</v>
      </c>
      <c r="AC102" s="16"/>
      <c r="AE102" s="12" t="s">
        <v>37</v>
      </c>
      <c r="AH102" s="12" t="s">
        <v>37</v>
      </c>
      <c r="AK102" s="12" t="s">
        <v>37</v>
      </c>
      <c r="AL102" s="32" t="s">
        <v>156</v>
      </c>
      <c r="AM102" s="12" t="s">
        <v>344</v>
      </c>
      <c r="AO102" s="12" t="s">
        <v>37</v>
      </c>
      <c r="AP102" s="12" t="s">
        <v>601</v>
      </c>
      <c r="AQ102" s="12" t="s">
        <v>975</v>
      </c>
      <c r="AR102" s="16"/>
      <c r="AT102" s="12" t="s">
        <v>326</v>
      </c>
      <c r="AU102" s="12" t="s">
        <v>326</v>
      </c>
      <c r="AV102" s="13" t="s">
        <v>326</v>
      </c>
      <c r="AX102" s="12" t="s">
        <v>326</v>
      </c>
      <c r="AY102" s="12" t="s">
        <v>326</v>
      </c>
      <c r="AZ102" s="13" t="s">
        <v>326</v>
      </c>
      <c r="BE102" s="12" t="s">
        <v>326</v>
      </c>
      <c r="BF102" s="12" t="s">
        <v>326</v>
      </c>
      <c r="BG102" s="12" t="s">
        <v>326</v>
      </c>
      <c r="BI102" s="12" t="s">
        <v>326</v>
      </c>
      <c r="BJ102" s="12" t="s">
        <v>326</v>
      </c>
      <c r="BK102" s="12" t="s">
        <v>326</v>
      </c>
      <c r="BO102" s="16"/>
      <c r="BP102" s="12" t="s">
        <v>37</v>
      </c>
      <c r="BQ102" s="12" t="s">
        <v>37</v>
      </c>
      <c r="BR102" s="13" t="s">
        <v>37</v>
      </c>
      <c r="BT102" s="12" t="s">
        <v>37</v>
      </c>
      <c r="BU102" s="12" t="s">
        <v>37</v>
      </c>
      <c r="BV102" s="12" t="s">
        <v>37</v>
      </c>
      <c r="BZ102" s="16"/>
      <c r="CA102" s="12" t="s">
        <v>37</v>
      </c>
      <c r="CB102" s="12" t="s">
        <v>37</v>
      </c>
      <c r="CC102" s="13" t="s">
        <v>37</v>
      </c>
      <c r="CE102" s="12" t="s">
        <v>37</v>
      </c>
      <c r="CF102" s="12" t="s">
        <v>37</v>
      </c>
      <c r="CG102" s="13" t="s">
        <v>37</v>
      </c>
      <c r="CJ102" s="12"/>
      <c r="CM102" s="16"/>
      <c r="CN102" s="12" t="s">
        <v>37</v>
      </c>
      <c r="CO102" s="12" t="s">
        <v>37</v>
      </c>
      <c r="CP102" s="13" t="s">
        <v>37</v>
      </c>
      <c r="CR102" s="12" t="s">
        <v>37</v>
      </c>
      <c r="CS102" s="12" t="s">
        <v>37</v>
      </c>
      <c r="CT102" s="13" t="s">
        <v>37</v>
      </c>
      <c r="CX102" s="72"/>
      <c r="CY102" s="72"/>
      <c r="CZ102" s="16"/>
      <c r="DA102" s="12" t="s">
        <v>37</v>
      </c>
      <c r="DB102" s="12" t="s">
        <v>37</v>
      </c>
      <c r="DC102" s="13" t="s">
        <v>37</v>
      </c>
      <c r="DE102" s="12" t="s">
        <v>37</v>
      </c>
      <c r="DF102" s="12" t="s">
        <v>37</v>
      </c>
      <c r="DG102" s="13" t="s">
        <v>37</v>
      </c>
      <c r="DM102" s="15" t="s">
        <v>47</v>
      </c>
      <c r="DN102" s="52">
        <f>(16.3*("2002-10-31"-"2002-4-15")+2.8*(("2002-12-31"-"2002-11-1")+("2002-4-14"-"2002-1-1")))/100</f>
        <v>37.001000000000005</v>
      </c>
      <c r="DO102" s="15">
        <f>SQRT(6.8^2*("2002-10-31"-"2002-4-15")^2+2.7^2*(("2002-12-31"-"2002-11-1")+("2003-4-14"-"2003-1-1"))^2)/100</f>
        <v>14.229681127839795</v>
      </c>
      <c r="DP102" s="18">
        <v>3</v>
      </c>
      <c r="DQ102" s="19">
        <f t="shared" si="355"/>
        <v>0.38457558249344054</v>
      </c>
      <c r="DR102" s="52">
        <f>(7.6*("2002-10-31"-"2002-4-15")+1.5*(("2002-12-31"-"2002-11-1")+("2003-4-14"-"2003-1-1")))/100</f>
        <v>17.568999999999999</v>
      </c>
      <c r="DS102" s="15">
        <f>SQRT(1.5^2*("2002-10-31"-"2002-4-15")^2+0.9^2*(("2002-12-31"-"2002-11-1")+("2003-4-14"-"2003-1-1"))^2)/100</f>
        <v>3.3260057125627429</v>
      </c>
      <c r="DT102" s="18">
        <v>3</v>
      </c>
      <c r="DU102" s="19">
        <f t="shared" si="335"/>
        <v>0.18931104289161269</v>
      </c>
      <c r="DV102" s="19">
        <f t="shared" si="336"/>
        <v>-19.432000000000006</v>
      </c>
      <c r="DW102" s="12">
        <f t="shared" si="337"/>
        <v>10.333105510929423</v>
      </c>
      <c r="DX102" s="72">
        <f t="shared" si="345"/>
        <v>71.182046333333332</v>
      </c>
      <c r="DY102" s="72">
        <f t="shared" si="346"/>
        <v>71.182046333333346</v>
      </c>
      <c r="DZ102" s="15"/>
      <c r="EA102" s="52" t="s">
        <v>37</v>
      </c>
      <c r="EB102" s="52" t="s">
        <v>37</v>
      </c>
      <c r="EC102" s="73" t="s">
        <v>37</v>
      </c>
      <c r="ED102" s="52"/>
      <c r="EE102" s="52" t="s">
        <v>37</v>
      </c>
      <c r="EF102" s="52" t="s">
        <v>37</v>
      </c>
      <c r="EG102" s="15" t="s">
        <v>37</v>
      </c>
      <c r="EH102" s="52"/>
      <c r="EI102" s="52"/>
      <c r="EJ102" s="52"/>
      <c r="EK102" s="52"/>
      <c r="EL102" s="52"/>
      <c r="EM102" s="12" t="s">
        <v>39</v>
      </c>
      <c r="EN102" s="12">
        <f>AVERAGEA(-14,-6)</f>
        <v>-10</v>
      </c>
      <c r="EO102" s="12">
        <f>STDEVA(-14,-6)</f>
        <v>5.6568542494923806</v>
      </c>
      <c r="EP102" s="13">
        <v>4</v>
      </c>
      <c r="EQ102" s="19">
        <f t="shared" si="320"/>
        <v>0.56568542494923801</v>
      </c>
      <c r="ER102" s="12">
        <f>AVERAGEA(-19,-14)</f>
        <v>-16.5</v>
      </c>
      <c r="ES102" s="12">
        <f>STDEVA(-19,-14)</f>
        <v>3.5355339059327378</v>
      </c>
      <c r="ET102" s="13">
        <v>4</v>
      </c>
      <c r="EU102" s="19">
        <f t="shared" si="321"/>
        <v>0.21427478217774168</v>
      </c>
      <c r="EV102" s="19">
        <f t="shared" si="312"/>
        <v>-6.5</v>
      </c>
      <c r="EW102" s="12">
        <f t="shared" si="313"/>
        <v>4.7169905660283025</v>
      </c>
      <c r="EX102" s="19">
        <f t="shared" si="314"/>
        <v>11.125000000000002</v>
      </c>
      <c r="EY102" s="19">
        <f t="shared" si="315"/>
        <v>11.125000000000002</v>
      </c>
      <c r="FB102" s="12" t="s">
        <v>37</v>
      </c>
      <c r="FC102" s="12" t="s">
        <v>37</v>
      </c>
      <c r="FD102" s="11" t="s">
        <v>37</v>
      </c>
      <c r="FE102" s="12" t="s">
        <v>37</v>
      </c>
      <c r="FF102" s="20" t="s">
        <v>37</v>
      </c>
      <c r="FG102" s="11" t="s">
        <v>37</v>
      </c>
      <c r="FI102" s="12" t="s">
        <v>37</v>
      </c>
      <c r="FJ102" s="12" t="s">
        <v>37</v>
      </c>
      <c r="FK102" s="11" t="s">
        <v>37</v>
      </c>
      <c r="FL102" s="13" t="s">
        <v>37</v>
      </c>
      <c r="FM102" s="11" t="s">
        <v>37</v>
      </c>
      <c r="FN102" s="11" t="s">
        <v>37</v>
      </c>
      <c r="FP102" s="12" t="s">
        <v>37</v>
      </c>
      <c r="FQ102" s="12" t="s">
        <v>37</v>
      </c>
      <c r="FR102" s="11" t="s">
        <v>37</v>
      </c>
      <c r="FS102" s="13" t="s">
        <v>37</v>
      </c>
      <c r="FT102" s="11" t="s">
        <v>37</v>
      </c>
      <c r="FU102" s="11" t="s">
        <v>37</v>
      </c>
      <c r="FW102" s="12" t="s">
        <v>37</v>
      </c>
      <c r="FX102" s="12" t="s">
        <v>37</v>
      </c>
      <c r="FY102" s="11" t="s">
        <v>37</v>
      </c>
      <c r="FZ102" s="13" t="s">
        <v>37</v>
      </c>
      <c r="GA102" s="11" t="s">
        <v>37</v>
      </c>
      <c r="GB102" s="11" t="s">
        <v>37</v>
      </c>
      <c r="IK102" s="12" t="s">
        <v>37</v>
      </c>
      <c r="IL102" s="12" t="s">
        <v>37</v>
      </c>
      <c r="IM102" s="12" t="s">
        <v>37</v>
      </c>
      <c r="IO102" s="12" t="s">
        <v>37</v>
      </c>
      <c r="IP102" s="12" t="s">
        <v>37</v>
      </c>
      <c r="IQ102" s="12" t="s">
        <v>37</v>
      </c>
      <c r="IW102" s="12" t="s">
        <v>37</v>
      </c>
      <c r="IX102" s="12" t="s">
        <v>37</v>
      </c>
      <c r="IY102" s="13" t="s">
        <v>37</v>
      </c>
      <c r="JA102" s="12" t="s">
        <v>37</v>
      </c>
      <c r="JB102" s="12" t="s">
        <v>37</v>
      </c>
      <c r="JC102" s="13" t="s">
        <v>37</v>
      </c>
      <c r="JH102" s="12" t="s">
        <v>37</v>
      </c>
      <c r="JI102" s="12" t="s">
        <v>37</v>
      </c>
      <c r="JJ102" s="13" t="s">
        <v>37</v>
      </c>
      <c r="JL102" s="12" t="s">
        <v>37</v>
      </c>
      <c r="JM102" s="12" t="s">
        <v>37</v>
      </c>
      <c r="JN102" s="12" t="s">
        <v>37</v>
      </c>
      <c r="JS102" s="12" t="s">
        <v>37</v>
      </c>
      <c r="JT102" s="12" t="s">
        <v>37</v>
      </c>
      <c r="JU102" s="13" t="s">
        <v>37</v>
      </c>
      <c r="JW102" s="12" t="s">
        <v>37</v>
      </c>
      <c r="JX102" s="12" t="s">
        <v>37</v>
      </c>
      <c r="JY102" s="12" t="s">
        <v>37</v>
      </c>
      <c r="KE102" s="11" t="s">
        <v>37</v>
      </c>
      <c r="KF102" s="11" t="s">
        <v>37</v>
      </c>
      <c r="KG102" s="13" t="s">
        <v>37</v>
      </c>
      <c r="KH102" s="11" t="s">
        <v>37</v>
      </c>
      <c r="KI102" s="11" t="s">
        <v>37</v>
      </c>
      <c r="KJ102" s="11" t="s">
        <v>37</v>
      </c>
      <c r="KM102" s="12" t="s">
        <v>37</v>
      </c>
      <c r="KN102" s="12" t="s">
        <v>37</v>
      </c>
      <c r="KO102" s="11" t="s">
        <v>37</v>
      </c>
      <c r="KQ102" s="12" t="s">
        <v>37</v>
      </c>
      <c r="KR102" s="12" t="s">
        <v>37</v>
      </c>
      <c r="KS102" s="13" t="s">
        <v>37</v>
      </c>
      <c r="KX102" s="12" t="s">
        <v>37</v>
      </c>
      <c r="KY102" s="12" t="s">
        <v>37</v>
      </c>
      <c r="KZ102" s="13" t="s">
        <v>37</v>
      </c>
      <c r="LB102" s="12" t="s">
        <v>37</v>
      </c>
      <c r="LC102" s="12" t="s">
        <v>37</v>
      </c>
      <c r="LD102" s="13" t="s">
        <v>37</v>
      </c>
      <c r="LI102" s="12" t="s">
        <v>37</v>
      </c>
      <c r="LJ102" s="12" t="s">
        <v>37</v>
      </c>
      <c r="LK102" s="12" t="s">
        <v>37</v>
      </c>
      <c r="LM102" s="12" t="s">
        <v>37</v>
      </c>
      <c r="LN102" s="12" t="s">
        <v>37</v>
      </c>
      <c r="LO102" s="12" t="s">
        <v>37</v>
      </c>
      <c r="LU102" s="12" t="s">
        <v>37</v>
      </c>
      <c r="LV102" s="12" t="s">
        <v>37</v>
      </c>
      <c r="LW102" s="13" t="s">
        <v>37</v>
      </c>
      <c r="LY102" s="12" t="s">
        <v>37</v>
      </c>
      <c r="LZ102" s="12" t="s">
        <v>37</v>
      </c>
      <c r="MA102" s="12" t="s">
        <v>37</v>
      </c>
      <c r="MF102" s="12" t="s">
        <v>37</v>
      </c>
      <c r="MG102" s="12" t="s">
        <v>37</v>
      </c>
      <c r="MH102" s="12" t="s">
        <v>37</v>
      </c>
      <c r="MJ102" s="12" t="s">
        <v>37</v>
      </c>
      <c r="MK102" s="12" t="s">
        <v>37</v>
      </c>
      <c r="ML102" s="12" t="s">
        <v>37</v>
      </c>
      <c r="MQ102" s="12" t="s">
        <v>37</v>
      </c>
      <c r="MR102" s="12" t="s">
        <v>37</v>
      </c>
      <c r="MS102" s="12" t="s">
        <v>37</v>
      </c>
      <c r="MU102" s="12" t="s">
        <v>37</v>
      </c>
      <c r="MV102" s="12" t="s">
        <v>37</v>
      </c>
      <c r="MW102" s="12" t="s">
        <v>37</v>
      </c>
      <c r="NC102" s="12" t="s">
        <v>37</v>
      </c>
      <c r="ND102" s="12" t="s">
        <v>37</v>
      </c>
      <c r="NE102" s="13" t="s">
        <v>37</v>
      </c>
      <c r="NG102" s="12" t="s">
        <v>37</v>
      </c>
      <c r="NH102" s="12" t="s">
        <v>37</v>
      </c>
      <c r="NI102" s="13" t="s">
        <v>37</v>
      </c>
      <c r="NO102" s="12" t="s">
        <v>37</v>
      </c>
      <c r="NP102" s="12" t="s">
        <v>37</v>
      </c>
      <c r="NQ102" s="13" t="s">
        <v>37</v>
      </c>
      <c r="NS102" s="12" t="s">
        <v>37</v>
      </c>
      <c r="NT102" s="12" t="s">
        <v>37</v>
      </c>
      <c r="NU102" s="13" t="s">
        <v>37</v>
      </c>
      <c r="OA102" s="11" t="s">
        <v>37</v>
      </c>
      <c r="OB102" s="11" t="s">
        <v>37</v>
      </c>
      <c r="OC102" s="13" t="s">
        <v>37</v>
      </c>
      <c r="OE102" s="11" t="s">
        <v>37</v>
      </c>
      <c r="OF102" s="11" t="s">
        <v>37</v>
      </c>
      <c r="OG102" s="13" t="s">
        <v>37</v>
      </c>
      <c r="OM102" s="11" t="s">
        <v>37</v>
      </c>
      <c r="ON102" s="11" t="s">
        <v>37</v>
      </c>
      <c r="OO102" s="11" t="s">
        <v>37</v>
      </c>
      <c r="OP102" s="11" t="s">
        <v>37</v>
      </c>
      <c r="OQ102" s="11" t="s">
        <v>37</v>
      </c>
      <c r="OR102" s="11" t="s">
        <v>37</v>
      </c>
      <c r="OW102" s="12" t="s">
        <v>37</v>
      </c>
      <c r="OX102" s="12" t="s">
        <v>37</v>
      </c>
      <c r="OY102" s="13" t="s">
        <v>37</v>
      </c>
      <c r="OZ102" s="12" t="s">
        <v>37</v>
      </c>
      <c r="PA102" s="12" t="s">
        <v>37</v>
      </c>
      <c r="PB102" s="13" t="s">
        <v>37</v>
      </c>
      <c r="PG102" s="11" t="s">
        <v>37</v>
      </c>
      <c r="PH102" s="11" t="s">
        <v>37</v>
      </c>
      <c r="PI102" s="13" t="s">
        <v>37</v>
      </c>
      <c r="PJ102" s="11" t="s">
        <v>37</v>
      </c>
      <c r="PK102" s="11" t="s">
        <v>37</v>
      </c>
      <c r="PL102" s="13" t="s">
        <v>37</v>
      </c>
      <c r="PQ102" s="12" t="s">
        <v>37</v>
      </c>
      <c r="PR102" s="12" t="s">
        <v>37</v>
      </c>
      <c r="PS102" s="12" t="s">
        <v>37</v>
      </c>
      <c r="PT102" s="12" t="s">
        <v>37</v>
      </c>
      <c r="PU102" s="12" t="s">
        <v>37</v>
      </c>
      <c r="PV102" s="12" t="s">
        <v>37</v>
      </c>
      <c r="PW102" s="12"/>
      <c r="PX102" s="12"/>
      <c r="PZ102" s="12" t="s">
        <v>37</v>
      </c>
      <c r="QA102" s="12" t="s">
        <v>37</v>
      </c>
      <c r="QB102" s="11" t="s">
        <v>37</v>
      </c>
      <c r="QD102" s="12" t="s">
        <v>37</v>
      </c>
      <c r="QE102" s="12" t="s">
        <v>37</v>
      </c>
      <c r="QF102" s="12" t="s">
        <v>37</v>
      </c>
      <c r="QK102" s="12" t="s">
        <v>37</v>
      </c>
      <c r="QL102" s="12" t="s">
        <v>37</v>
      </c>
      <c r="QM102" s="12" t="s">
        <v>37</v>
      </c>
      <c r="QN102" s="12" t="s">
        <v>37</v>
      </c>
      <c r="QO102" s="12" t="s">
        <v>37</v>
      </c>
      <c r="QP102" s="12" t="s">
        <v>37</v>
      </c>
      <c r="QQ102" s="12"/>
      <c r="QR102" s="12"/>
      <c r="QU102" s="11" t="s">
        <v>37</v>
      </c>
      <c r="QV102" s="11" t="s">
        <v>37</v>
      </c>
      <c r="QW102" s="13" t="s">
        <v>37</v>
      </c>
      <c r="QX102" s="11" t="s">
        <v>37</v>
      </c>
      <c r="QY102" s="11" t="s">
        <v>37</v>
      </c>
      <c r="QZ102" s="13" t="s">
        <v>37</v>
      </c>
      <c r="RC102" s="12" t="s">
        <v>37</v>
      </c>
      <c r="RD102" s="12" t="s">
        <v>37</v>
      </c>
      <c r="RE102" s="13" t="s">
        <v>37</v>
      </c>
      <c r="RF102" s="12" t="s">
        <v>37</v>
      </c>
      <c r="RG102" s="12" t="s">
        <v>37</v>
      </c>
      <c r="RH102" s="13" t="s">
        <v>37</v>
      </c>
      <c r="RK102" s="11" t="s">
        <v>37</v>
      </c>
      <c r="RL102" s="11" t="s">
        <v>37</v>
      </c>
      <c r="RM102" s="11" t="s">
        <v>37</v>
      </c>
      <c r="RN102" s="11" t="s">
        <v>37</v>
      </c>
      <c r="RO102" s="11" t="s">
        <v>37</v>
      </c>
      <c r="RP102" s="11" t="s">
        <v>37</v>
      </c>
      <c r="RS102" s="11" t="s">
        <v>37</v>
      </c>
      <c r="RT102" s="11" t="s">
        <v>37</v>
      </c>
      <c r="RU102" s="11" t="s">
        <v>37</v>
      </c>
      <c r="RV102" s="11" t="s">
        <v>37</v>
      </c>
      <c r="RW102" s="11" t="s">
        <v>37</v>
      </c>
      <c r="RX102" s="11" t="s">
        <v>37</v>
      </c>
      <c r="SA102" s="11" t="s">
        <v>37</v>
      </c>
      <c r="SB102" s="11" t="s">
        <v>37</v>
      </c>
      <c r="SC102" s="13" t="s">
        <v>37</v>
      </c>
      <c r="SD102" s="11" t="s">
        <v>37</v>
      </c>
      <c r="SE102" s="11" t="s">
        <v>37</v>
      </c>
      <c r="SF102" s="13" t="s">
        <v>37</v>
      </c>
      <c r="SI102" s="12" t="s">
        <v>37</v>
      </c>
      <c r="SJ102" s="12" t="s">
        <v>37</v>
      </c>
      <c r="SK102" s="13" t="s">
        <v>37</v>
      </c>
      <c r="SM102" s="12" t="s">
        <v>37</v>
      </c>
      <c r="SN102" s="12" t="s">
        <v>37</v>
      </c>
      <c r="SO102" s="13" t="s">
        <v>37</v>
      </c>
      <c r="SU102" s="12" t="s">
        <v>37</v>
      </c>
      <c r="SV102" s="12" t="s">
        <v>37</v>
      </c>
      <c r="SW102" s="11" t="s">
        <v>37</v>
      </c>
      <c r="SX102" s="12" t="s">
        <v>37</v>
      </c>
      <c r="SY102" s="12" t="s">
        <v>37</v>
      </c>
      <c r="SZ102" s="11" t="s">
        <v>37</v>
      </c>
      <c r="TE102" s="12" t="s">
        <v>37</v>
      </c>
      <c r="TF102" s="12" t="s">
        <v>37</v>
      </c>
      <c r="TG102" s="11" t="s">
        <v>37</v>
      </c>
      <c r="TH102" s="12" t="s">
        <v>37</v>
      </c>
      <c r="TI102" s="12" t="s">
        <v>37</v>
      </c>
      <c r="TJ102" s="11" t="s">
        <v>37</v>
      </c>
      <c r="TO102" s="12" t="s">
        <v>37</v>
      </c>
      <c r="TP102" s="12" t="s">
        <v>37</v>
      </c>
      <c r="TQ102" s="11" t="s">
        <v>37</v>
      </c>
      <c r="TR102" s="12" t="s">
        <v>37</v>
      </c>
      <c r="TS102" s="12" t="s">
        <v>37</v>
      </c>
      <c r="TT102" s="11" t="s">
        <v>37</v>
      </c>
      <c r="TY102" s="12" t="s">
        <v>37</v>
      </c>
      <c r="TZ102" s="12" t="s">
        <v>37</v>
      </c>
      <c r="UA102" s="12" t="s">
        <v>37</v>
      </c>
      <c r="UB102" s="12" t="s">
        <v>37</v>
      </c>
      <c r="UC102" s="12" t="s">
        <v>37</v>
      </c>
      <c r="UD102" s="12" t="s">
        <v>37</v>
      </c>
      <c r="UE102" s="12"/>
      <c r="UF102" s="12"/>
      <c r="UI102" s="12" t="s">
        <v>37</v>
      </c>
      <c r="UJ102" s="12" t="s">
        <v>37</v>
      </c>
      <c r="UK102" s="12" t="s">
        <v>37</v>
      </c>
      <c r="UL102" s="12" t="s">
        <v>37</v>
      </c>
      <c r="UM102" s="12" t="s">
        <v>37</v>
      </c>
      <c r="UN102" s="12" t="s">
        <v>37</v>
      </c>
      <c r="UO102" s="12"/>
      <c r="UP102" s="12"/>
      <c r="UR102" s="12" t="s">
        <v>37</v>
      </c>
      <c r="US102" s="12" t="s">
        <v>37</v>
      </c>
      <c r="UT102" s="12" t="s">
        <v>37</v>
      </c>
      <c r="UU102" s="12" t="s">
        <v>37</v>
      </c>
      <c r="UV102" s="12" t="s">
        <v>37</v>
      </c>
      <c r="UW102" s="12" t="s">
        <v>37</v>
      </c>
      <c r="UX102" s="12"/>
      <c r="UY102" s="12"/>
      <c r="VB102" s="12" t="s">
        <v>37</v>
      </c>
      <c r="VC102" s="12" t="s">
        <v>37</v>
      </c>
      <c r="VD102" s="12" t="s">
        <v>37</v>
      </c>
      <c r="VE102" s="12" t="s">
        <v>37</v>
      </c>
      <c r="VF102" s="12" t="s">
        <v>37</v>
      </c>
      <c r="VG102" s="12" t="s">
        <v>37</v>
      </c>
      <c r="VI102" s="12" t="s">
        <v>37</v>
      </c>
      <c r="VJ102" s="12" t="s">
        <v>37</v>
      </c>
      <c r="VK102" s="12" t="s">
        <v>37</v>
      </c>
      <c r="VL102" s="12" t="s">
        <v>37</v>
      </c>
      <c r="VM102" s="12" t="s">
        <v>37</v>
      </c>
      <c r="VN102" s="12" t="s">
        <v>37</v>
      </c>
      <c r="VQ102" s="13" t="s">
        <v>37</v>
      </c>
      <c r="VR102" s="13" t="s">
        <v>37</v>
      </c>
      <c r="VS102" s="13" t="s">
        <v>37</v>
      </c>
      <c r="VT102" s="13" t="s">
        <v>37</v>
      </c>
      <c r="VU102" s="13" t="s">
        <v>37</v>
      </c>
      <c r="VV102" s="13" t="s">
        <v>37</v>
      </c>
      <c r="WA102" s="13" t="s">
        <v>37</v>
      </c>
      <c r="WB102" s="13" t="s">
        <v>37</v>
      </c>
      <c r="WC102" s="13" t="s">
        <v>37</v>
      </c>
      <c r="WD102" s="13" t="s">
        <v>37</v>
      </c>
      <c r="WE102" s="13" t="s">
        <v>37</v>
      </c>
      <c r="WF102" s="13" t="s">
        <v>37</v>
      </c>
    </row>
    <row r="103" spans="1:604" ht="18" customHeight="1" x14ac:dyDescent="0.3">
      <c r="A103" s="11">
        <v>25</v>
      </c>
      <c r="B103" s="12" t="s">
        <v>154</v>
      </c>
      <c r="C103" s="12" t="s">
        <v>26</v>
      </c>
      <c r="D103" s="12" t="s">
        <v>54</v>
      </c>
      <c r="E103" s="40">
        <v>1.2</v>
      </c>
      <c r="F103" s="14">
        <v>0</v>
      </c>
      <c r="G103" s="14">
        <v>0</v>
      </c>
      <c r="H103" s="12" t="s">
        <v>91</v>
      </c>
      <c r="I103" s="29">
        <v>46.667000000000002</v>
      </c>
      <c r="J103" s="29">
        <v>-71.167000000000002</v>
      </c>
      <c r="K103" s="12" t="s">
        <v>673</v>
      </c>
      <c r="L103" s="12" t="s">
        <v>674</v>
      </c>
      <c r="M103" s="13" t="s">
        <v>37</v>
      </c>
      <c r="N103" s="14" t="s">
        <v>37</v>
      </c>
      <c r="O103" s="14" t="s">
        <v>37</v>
      </c>
      <c r="P103" s="14" t="s">
        <v>679</v>
      </c>
      <c r="Q103" s="75">
        <v>8</v>
      </c>
      <c r="R103" s="11" t="s">
        <v>1000</v>
      </c>
      <c r="S103" s="12" t="s">
        <v>85</v>
      </c>
      <c r="T103" s="12" t="s">
        <v>141</v>
      </c>
      <c r="U103" s="12" t="s">
        <v>863</v>
      </c>
      <c r="V103" s="12" t="s">
        <v>274</v>
      </c>
      <c r="W103" s="23" t="s">
        <v>521</v>
      </c>
      <c r="X103" s="12" t="s">
        <v>281</v>
      </c>
      <c r="Y103" s="12" t="s">
        <v>69</v>
      </c>
      <c r="Z103" s="12" t="s">
        <v>37</v>
      </c>
      <c r="AB103" s="12" t="s">
        <v>37</v>
      </c>
      <c r="AE103" s="12" t="s">
        <v>37</v>
      </c>
      <c r="AH103" s="12" t="s">
        <v>37</v>
      </c>
      <c r="AK103" s="12" t="s">
        <v>37</v>
      </c>
      <c r="AL103" s="32" t="s">
        <v>156</v>
      </c>
      <c r="AM103" s="12" t="s">
        <v>344</v>
      </c>
      <c r="AO103" s="12" t="s">
        <v>37</v>
      </c>
      <c r="AP103" s="12" t="s">
        <v>601</v>
      </c>
      <c r="AQ103" s="12" t="s">
        <v>975</v>
      </c>
      <c r="AT103" s="12" t="s">
        <v>326</v>
      </c>
      <c r="AU103" s="12" t="s">
        <v>326</v>
      </c>
      <c r="AV103" s="13" t="s">
        <v>326</v>
      </c>
      <c r="AX103" s="12" t="s">
        <v>326</v>
      </c>
      <c r="AY103" s="12" t="s">
        <v>326</v>
      </c>
      <c r="AZ103" s="13" t="s">
        <v>326</v>
      </c>
      <c r="BE103" s="12" t="s">
        <v>326</v>
      </c>
      <c r="BF103" s="12" t="s">
        <v>326</v>
      </c>
      <c r="BG103" s="12" t="s">
        <v>326</v>
      </c>
      <c r="BI103" s="12" t="s">
        <v>326</v>
      </c>
      <c r="BJ103" s="12" t="s">
        <v>326</v>
      </c>
      <c r="BK103" s="12" t="s">
        <v>326</v>
      </c>
      <c r="BP103" s="12" t="s">
        <v>37</v>
      </c>
      <c r="BQ103" s="12" t="s">
        <v>37</v>
      </c>
      <c r="BR103" s="13" t="s">
        <v>37</v>
      </c>
      <c r="BT103" s="12" t="s">
        <v>37</v>
      </c>
      <c r="BU103" s="12" t="s">
        <v>37</v>
      </c>
      <c r="BV103" s="12" t="s">
        <v>37</v>
      </c>
      <c r="CA103" s="12" t="s">
        <v>37</v>
      </c>
      <c r="CB103" s="12" t="s">
        <v>37</v>
      </c>
      <c r="CC103" s="13" t="s">
        <v>37</v>
      </c>
      <c r="CE103" s="12" t="s">
        <v>37</v>
      </c>
      <c r="CF103" s="12" t="s">
        <v>37</v>
      </c>
      <c r="CG103" s="13" t="s">
        <v>37</v>
      </c>
      <c r="CJ103" s="12"/>
      <c r="CN103" s="12" t="s">
        <v>37</v>
      </c>
      <c r="CO103" s="12" t="s">
        <v>37</v>
      </c>
      <c r="CP103" s="13" t="s">
        <v>37</v>
      </c>
      <c r="CR103" s="12" t="s">
        <v>37</v>
      </c>
      <c r="CS103" s="12" t="s">
        <v>37</v>
      </c>
      <c r="CT103" s="13" t="s">
        <v>37</v>
      </c>
      <c r="CX103" s="72"/>
      <c r="CY103" s="72"/>
      <c r="DA103" s="12" t="s">
        <v>37</v>
      </c>
      <c r="DB103" s="12" t="s">
        <v>37</v>
      </c>
      <c r="DC103" s="13" t="s">
        <v>37</v>
      </c>
      <c r="DE103" s="12" t="s">
        <v>37</v>
      </c>
      <c r="DF103" s="12" t="s">
        <v>37</v>
      </c>
      <c r="DG103" s="13" t="s">
        <v>37</v>
      </c>
      <c r="DI103" s="52"/>
      <c r="DJ103" s="52"/>
      <c r="DK103" s="73"/>
      <c r="DL103" s="73"/>
      <c r="DM103" s="15" t="s">
        <v>47</v>
      </c>
      <c r="DN103" s="52">
        <f>(14.5*("2002-10-31"-"2002-4-15")+0.1*(("2002-12-31"-"2002-11-1")+("2002-4-14"-"2002-1-1")))/100</f>
        <v>29.018000000000001</v>
      </c>
      <c r="DO103" s="15">
        <f>SQRT(14.3^2*("2002-10-31"-"2002-4-15")^2+0.2^2*(("2002-12-31"-"2002-11-1")+("2003-4-14"-"2003-1-1"))^2)/100</f>
        <v>28.458867247309758</v>
      </c>
      <c r="DP103" s="18">
        <v>3</v>
      </c>
      <c r="DQ103" s="19">
        <f t="shared" si="355"/>
        <v>0.98073151999826857</v>
      </c>
      <c r="DR103" s="52">
        <f>(22*("2002-10-31"-"2002-4-15")+0.2*(("2002-12-31"-"2002-11-1")+("2003-4-14"-"2003-1-1")))/100</f>
        <v>44.106000000000002</v>
      </c>
      <c r="DS103" s="15">
        <f>SQRT(4.9^2*("2002-10-31"-"2002-4-15")^2+0.2^2*(("2002-12-31"-"2002-11-1")+("2003-4-14"-"2003-1-1"))^2)/100</f>
        <v>9.7564479704449827</v>
      </c>
      <c r="DT103" s="18">
        <v>3</v>
      </c>
      <c r="DU103" s="19">
        <f t="shared" si="335"/>
        <v>0.22120455199848052</v>
      </c>
      <c r="DV103" s="19">
        <f t="shared" si="336"/>
        <v>15.088000000000001</v>
      </c>
      <c r="DW103" s="12">
        <f t="shared" si="337"/>
        <v>21.27316856982053</v>
      </c>
      <c r="DX103" s="72">
        <f t="shared" si="345"/>
        <v>301.69846733333338</v>
      </c>
      <c r="DY103" s="72">
        <f t="shared" si="346"/>
        <v>301.69846733333333</v>
      </c>
      <c r="DZ103" s="15"/>
      <c r="EA103" s="52" t="s">
        <v>37</v>
      </c>
      <c r="EB103" s="52" t="s">
        <v>37</v>
      </c>
      <c r="EC103" s="73" t="s">
        <v>37</v>
      </c>
      <c r="ED103" s="52"/>
      <c r="EE103" s="52" t="s">
        <v>37</v>
      </c>
      <c r="EF103" s="52" t="s">
        <v>37</v>
      </c>
      <c r="EG103" s="15" t="s">
        <v>37</v>
      </c>
      <c r="EH103" s="52"/>
      <c r="EI103" s="52"/>
      <c r="EJ103" s="52"/>
      <c r="EK103" s="52"/>
      <c r="EL103" s="52"/>
      <c r="EM103" s="12" t="s">
        <v>39</v>
      </c>
      <c r="EN103" s="12">
        <f>AVERAGEA(0,20)</f>
        <v>10</v>
      </c>
      <c r="EO103" s="12">
        <f>STDEVA(0,20)</f>
        <v>14.142135623730951</v>
      </c>
      <c r="EP103" s="13">
        <v>4</v>
      </c>
      <c r="EQ103" s="19">
        <f t="shared" si="320"/>
        <v>1.4142135623730951</v>
      </c>
      <c r="ER103" s="12">
        <f>AVERAGEA(-10,-6)</f>
        <v>-8</v>
      </c>
      <c r="ES103" s="12">
        <f>STDEVA(-10,-6)</f>
        <v>2.8284271247461903</v>
      </c>
      <c r="ET103" s="13">
        <v>4</v>
      </c>
      <c r="EU103" s="19">
        <f t="shared" si="321"/>
        <v>0.35355339059327379</v>
      </c>
      <c r="EV103" s="19">
        <f t="shared" si="312"/>
        <v>-18</v>
      </c>
      <c r="EW103" s="12">
        <f t="shared" si="313"/>
        <v>10.198039027185571</v>
      </c>
      <c r="EX103" s="19">
        <f t="shared" si="314"/>
        <v>52.000000000000007</v>
      </c>
      <c r="EY103" s="19">
        <f t="shared" si="315"/>
        <v>52.000000000000007</v>
      </c>
      <c r="FB103" s="12" t="s">
        <v>37</v>
      </c>
      <c r="FC103" s="12" t="s">
        <v>37</v>
      </c>
      <c r="FD103" s="11" t="s">
        <v>37</v>
      </c>
      <c r="FE103" s="12" t="s">
        <v>37</v>
      </c>
      <c r="FF103" s="20" t="s">
        <v>37</v>
      </c>
      <c r="FG103" s="11" t="s">
        <v>37</v>
      </c>
      <c r="FI103" s="12" t="s">
        <v>37</v>
      </c>
      <c r="FJ103" s="12" t="s">
        <v>37</v>
      </c>
      <c r="FK103" s="11" t="s">
        <v>37</v>
      </c>
      <c r="FL103" s="13" t="s">
        <v>37</v>
      </c>
      <c r="FM103" s="11" t="s">
        <v>37</v>
      </c>
      <c r="FN103" s="11" t="s">
        <v>37</v>
      </c>
      <c r="FP103" s="12" t="s">
        <v>37</v>
      </c>
      <c r="FQ103" s="12" t="s">
        <v>37</v>
      </c>
      <c r="FR103" s="11" t="s">
        <v>37</v>
      </c>
      <c r="FS103" s="13" t="s">
        <v>37</v>
      </c>
      <c r="FT103" s="11" t="s">
        <v>37</v>
      </c>
      <c r="FU103" s="11" t="s">
        <v>37</v>
      </c>
      <c r="FW103" s="12" t="s">
        <v>37</v>
      </c>
      <c r="FX103" s="12" t="s">
        <v>37</v>
      </c>
      <c r="FY103" s="11" t="s">
        <v>37</v>
      </c>
      <c r="FZ103" s="13" t="s">
        <v>37</v>
      </c>
      <c r="GA103" s="11" t="s">
        <v>37</v>
      </c>
      <c r="GB103" s="11" t="s">
        <v>37</v>
      </c>
      <c r="IK103" s="12" t="s">
        <v>37</v>
      </c>
      <c r="IL103" s="12" t="s">
        <v>37</v>
      </c>
      <c r="IM103" s="12" t="s">
        <v>37</v>
      </c>
      <c r="IO103" s="12" t="s">
        <v>37</v>
      </c>
      <c r="IP103" s="12" t="s">
        <v>37</v>
      </c>
      <c r="IQ103" s="12" t="s">
        <v>37</v>
      </c>
      <c r="IW103" s="12" t="s">
        <v>37</v>
      </c>
      <c r="IX103" s="12" t="s">
        <v>37</v>
      </c>
      <c r="IY103" s="13" t="s">
        <v>37</v>
      </c>
      <c r="JA103" s="12" t="s">
        <v>37</v>
      </c>
      <c r="JB103" s="12" t="s">
        <v>37</v>
      </c>
      <c r="JC103" s="13" t="s">
        <v>37</v>
      </c>
      <c r="JH103" s="12" t="s">
        <v>37</v>
      </c>
      <c r="JI103" s="12" t="s">
        <v>37</v>
      </c>
      <c r="JJ103" s="13" t="s">
        <v>37</v>
      </c>
      <c r="JL103" s="12" t="s">
        <v>37</v>
      </c>
      <c r="JM103" s="12" t="s">
        <v>37</v>
      </c>
      <c r="JN103" s="12" t="s">
        <v>37</v>
      </c>
      <c r="JS103" s="12" t="s">
        <v>37</v>
      </c>
      <c r="JT103" s="12" t="s">
        <v>37</v>
      </c>
      <c r="JU103" s="13" t="s">
        <v>37</v>
      </c>
      <c r="JW103" s="12" t="s">
        <v>37</v>
      </c>
      <c r="JX103" s="12" t="s">
        <v>37</v>
      </c>
      <c r="JY103" s="12" t="s">
        <v>37</v>
      </c>
      <c r="KE103" s="11" t="s">
        <v>37</v>
      </c>
      <c r="KF103" s="11" t="s">
        <v>37</v>
      </c>
      <c r="KG103" s="13" t="s">
        <v>37</v>
      </c>
      <c r="KH103" s="11" t="s">
        <v>37</v>
      </c>
      <c r="KI103" s="11" t="s">
        <v>37</v>
      </c>
      <c r="KJ103" s="11" t="s">
        <v>37</v>
      </c>
      <c r="KM103" s="12" t="s">
        <v>37</v>
      </c>
      <c r="KN103" s="12" t="s">
        <v>37</v>
      </c>
      <c r="KO103" s="11" t="s">
        <v>37</v>
      </c>
      <c r="KQ103" s="12" t="s">
        <v>37</v>
      </c>
      <c r="KR103" s="12" t="s">
        <v>37</v>
      </c>
      <c r="KS103" s="13" t="s">
        <v>37</v>
      </c>
      <c r="KX103" s="12" t="s">
        <v>37</v>
      </c>
      <c r="KY103" s="12" t="s">
        <v>37</v>
      </c>
      <c r="KZ103" s="13" t="s">
        <v>37</v>
      </c>
      <c r="LB103" s="12" t="s">
        <v>37</v>
      </c>
      <c r="LC103" s="12" t="s">
        <v>37</v>
      </c>
      <c r="LD103" s="13" t="s">
        <v>37</v>
      </c>
      <c r="LI103" s="12" t="s">
        <v>37</v>
      </c>
      <c r="LJ103" s="12" t="s">
        <v>37</v>
      </c>
      <c r="LK103" s="12" t="s">
        <v>37</v>
      </c>
      <c r="LM103" s="12" t="s">
        <v>37</v>
      </c>
      <c r="LN103" s="12" t="s">
        <v>37</v>
      </c>
      <c r="LO103" s="12" t="s">
        <v>37</v>
      </c>
      <c r="LU103" s="12" t="s">
        <v>37</v>
      </c>
      <c r="LV103" s="12" t="s">
        <v>37</v>
      </c>
      <c r="LW103" s="13" t="s">
        <v>37</v>
      </c>
      <c r="LY103" s="12" t="s">
        <v>37</v>
      </c>
      <c r="LZ103" s="12" t="s">
        <v>37</v>
      </c>
      <c r="MA103" s="12" t="s">
        <v>37</v>
      </c>
      <c r="MF103" s="12" t="s">
        <v>37</v>
      </c>
      <c r="MG103" s="12" t="s">
        <v>37</v>
      </c>
      <c r="MH103" s="12" t="s">
        <v>37</v>
      </c>
      <c r="MJ103" s="12" t="s">
        <v>37</v>
      </c>
      <c r="MK103" s="12" t="s">
        <v>37</v>
      </c>
      <c r="ML103" s="12" t="s">
        <v>37</v>
      </c>
      <c r="MQ103" s="12" t="s">
        <v>37</v>
      </c>
      <c r="MR103" s="12" t="s">
        <v>37</v>
      </c>
      <c r="MS103" s="12" t="s">
        <v>37</v>
      </c>
      <c r="MU103" s="12" t="s">
        <v>37</v>
      </c>
      <c r="MV103" s="12" t="s">
        <v>37</v>
      </c>
      <c r="MW103" s="12" t="s">
        <v>37</v>
      </c>
      <c r="NC103" s="12" t="s">
        <v>37</v>
      </c>
      <c r="ND103" s="12" t="s">
        <v>37</v>
      </c>
      <c r="NE103" s="13" t="s">
        <v>37</v>
      </c>
      <c r="NG103" s="12" t="s">
        <v>37</v>
      </c>
      <c r="NH103" s="12" t="s">
        <v>37</v>
      </c>
      <c r="NI103" s="13" t="s">
        <v>37</v>
      </c>
      <c r="NO103" s="12" t="s">
        <v>37</v>
      </c>
      <c r="NP103" s="12" t="s">
        <v>37</v>
      </c>
      <c r="NQ103" s="13" t="s">
        <v>37</v>
      </c>
      <c r="NS103" s="12" t="s">
        <v>37</v>
      </c>
      <c r="NT103" s="12" t="s">
        <v>37</v>
      </c>
      <c r="NU103" s="13" t="s">
        <v>37</v>
      </c>
      <c r="OA103" s="11" t="s">
        <v>37</v>
      </c>
      <c r="OB103" s="11" t="s">
        <v>37</v>
      </c>
      <c r="OC103" s="13" t="s">
        <v>37</v>
      </c>
      <c r="OE103" s="11" t="s">
        <v>37</v>
      </c>
      <c r="OF103" s="11" t="s">
        <v>37</v>
      </c>
      <c r="OG103" s="13" t="s">
        <v>37</v>
      </c>
      <c r="OM103" s="11" t="s">
        <v>37</v>
      </c>
      <c r="ON103" s="11" t="s">
        <v>37</v>
      </c>
      <c r="OO103" s="11" t="s">
        <v>37</v>
      </c>
      <c r="OP103" s="11" t="s">
        <v>37</v>
      </c>
      <c r="OQ103" s="11" t="s">
        <v>37</v>
      </c>
      <c r="OR103" s="11" t="s">
        <v>37</v>
      </c>
      <c r="OW103" s="12" t="s">
        <v>37</v>
      </c>
      <c r="OX103" s="12" t="s">
        <v>37</v>
      </c>
      <c r="OY103" s="13" t="s">
        <v>37</v>
      </c>
      <c r="OZ103" s="12" t="s">
        <v>37</v>
      </c>
      <c r="PA103" s="12" t="s">
        <v>37</v>
      </c>
      <c r="PB103" s="13" t="s">
        <v>37</v>
      </c>
      <c r="PG103" s="11" t="s">
        <v>37</v>
      </c>
      <c r="PH103" s="11" t="s">
        <v>37</v>
      </c>
      <c r="PI103" s="13" t="s">
        <v>37</v>
      </c>
      <c r="PJ103" s="11" t="s">
        <v>37</v>
      </c>
      <c r="PK103" s="11" t="s">
        <v>37</v>
      </c>
      <c r="PL103" s="13" t="s">
        <v>37</v>
      </c>
      <c r="PQ103" s="12" t="s">
        <v>37</v>
      </c>
      <c r="PR103" s="12" t="s">
        <v>37</v>
      </c>
      <c r="PS103" s="12" t="s">
        <v>37</v>
      </c>
      <c r="PT103" s="12" t="s">
        <v>37</v>
      </c>
      <c r="PU103" s="12" t="s">
        <v>37</v>
      </c>
      <c r="PV103" s="12" t="s">
        <v>37</v>
      </c>
      <c r="PW103" s="12"/>
      <c r="PX103" s="12"/>
      <c r="PZ103" s="12" t="s">
        <v>37</v>
      </c>
      <c r="QA103" s="12" t="s">
        <v>37</v>
      </c>
      <c r="QB103" s="11" t="s">
        <v>37</v>
      </c>
      <c r="QD103" s="12" t="s">
        <v>37</v>
      </c>
      <c r="QE103" s="12" t="s">
        <v>37</v>
      </c>
      <c r="QF103" s="12" t="s">
        <v>37</v>
      </c>
      <c r="QK103" s="12" t="s">
        <v>37</v>
      </c>
      <c r="QL103" s="12" t="s">
        <v>37</v>
      </c>
      <c r="QM103" s="12" t="s">
        <v>37</v>
      </c>
      <c r="QN103" s="12" t="s">
        <v>37</v>
      </c>
      <c r="QO103" s="12" t="s">
        <v>37</v>
      </c>
      <c r="QP103" s="12" t="s">
        <v>37</v>
      </c>
      <c r="QQ103" s="12"/>
      <c r="QR103" s="12"/>
      <c r="QU103" s="11" t="s">
        <v>37</v>
      </c>
      <c r="QV103" s="11" t="s">
        <v>37</v>
      </c>
      <c r="QW103" s="13" t="s">
        <v>37</v>
      </c>
      <c r="QX103" s="11" t="s">
        <v>37</v>
      </c>
      <c r="QY103" s="11" t="s">
        <v>37</v>
      </c>
      <c r="QZ103" s="13" t="s">
        <v>37</v>
      </c>
      <c r="RC103" s="12" t="s">
        <v>37</v>
      </c>
      <c r="RD103" s="12" t="s">
        <v>37</v>
      </c>
      <c r="RE103" s="13" t="s">
        <v>37</v>
      </c>
      <c r="RF103" s="12" t="s">
        <v>37</v>
      </c>
      <c r="RG103" s="12" t="s">
        <v>37</v>
      </c>
      <c r="RH103" s="13" t="s">
        <v>37</v>
      </c>
      <c r="RK103" s="11" t="s">
        <v>37</v>
      </c>
      <c r="RL103" s="11" t="s">
        <v>37</v>
      </c>
      <c r="RM103" s="11" t="s">
        <v>37</v>
      </c>
      <c r="RN103" s="11" t="s">
        <v>37</v>
      </c>
      <c r="RO103" s="11" t="s">
        <v>37</v>
      </c>
      <c r="RP103" s="11" t="s">
        <v>37</v>
      </c>
      <c r="RS103" s="11" t="s">
        <v>37</v>
      </c>
      <c r="RT103" s="11" t="s">
        <v>37</v>
      </c>
      <c r="RU103" s="11" t="s">
        <v>37</v>
      </c>
      <c r="RV103" s="11" t="s">
        <v>37</v>
      </c>
      <c r="RW103" s="11" t="s">
        <v>37</v>
      </c>
      <c r="RX103" s="11" t="s">
        <v>37</v>
      </c>
      <c r="SA103" s="11" t="s">
        <v>37</v>
      </c>
      <c r="SB103" s="11" t="s">
        <v>37</v>
      </c>
      <c r="SC103" s="13" t="s">
        <v>37</v>
      </c>
      <c r="SD103" s="11" t="s">
        <v>37</v>
      </c>
      <c r="SE103" s="11" t="s">
        <v>37</v>
      </c>
      <c r="SF103" s="13" t="s">
        <v>37</v>
      </c>
      <c r="SI103" s="12" t="s">
        <v>37</v>
      </c>
      <c r="SJ103" s="12" t="s">
        <v>37</v>
      </c>
      <c r="SK103" s="13" t="s">
        <v>37</v>
      </c>
      <c r="SM103" s="12" t="s">
        <v>37</v>
      </c>
      <c r="SN103" s="12" t="s">
        <v>37</v>
      </c>
      <c r="SO103" s="13" t="s">
        <v>37</v>
      </c>
      <c r="SU103" s="12" t="s">
        <v>37</v>
      </c>
      <c r="SV103" s="12" t="s">
        <v>37</v>
      </c>
      <c r="SW103" s="11" t="s">
        <v>37</v>
      </c>
      <c r="SX103" s="12" t="s">
        <v>37</v>
      </c>
      <c r="SY103" s="12" t="s">
        <v>37</v>
      </c>
      <c r="SZ103" s="11" t="s">
        <v>37</v>
      </c>
      <c r="TE103" s="12" t="s">
        <v>37</v>
      </c>
      <c r="TF103" s="12" t="s">
        <v>37</v>
      </c>
      <c r="TG103" s="11" t="s">
        <v>37</v>
      </c>
      <c r="TH103" s="12" t="s">
        <v>37</v>
      </c>
      <c r="TI103" s="12" t="s">
        <v>37</v>
      </c>
      <c r="TJ103" s="11" t="s">
        <v>37</v>
      </c>
      <c r="TO103" s="12" t="s">
        <v>37</v>
      </c>
      <c r="TP103" s="12" t="s">
        <v>37</v>
      </c>
      <c r="TQ103" s="11" t="s">
        <v>37</v>
      </c>
      <c r="TR103" s="12" t="s">
        <v>37</v>
      </c>
      <c r="TS103" s="12" t="s">
        <v>37</v>
      </c>
      <c r="TT103" s="11" t="s">
        <v>37</v>
      </c>
      <c r="TY103" s="12" t="s">
        <v>37</v>
      </c>
      <c r="TZ103" s="12" t="s">
        <v>37</v>
      </c>
      <c r="UA103" s="12" t="s">
        <v>37</v>
      </c>
      <c r="UB103" s="12" t="s">
        <v>37</v>
      </c>
      <c r="UC103" s="12" t="s">
        <v>37</v>
      </c>
      <c r="UD103" s="12" t="s">
        <v>37</v>
      </c>
      <c r="UE103" s="12"/>
      <c r="UF103" s="12"/>
      <c r="UI103" s="12" t="s">
        <v>37</v>
      </c>
      <c r="UJ103" s="12" t="s">
        <v>37</v>
      </c>
      <c r="UK103" s="12" t="s">
        <v>37</v>
      </c>
      <c r="UL103" s="12" t="s">
        <v>37</v>
      </c>
      <c r="UM103" s="12" t="s">
        <v>37</v>
      </c>
      <c r="UN103" s="12" t="s">
        <v>37</v>
      </c>
      <c r="UO103" s="12"/>
      <c r="UP103" s="12"/>
      <c r="UR103" s="12" t="s">
        <v>37</v>
      </c>
      <c r="US103" s="12" t="s">
        <v>37</v>
      </c>
      <c r="UT103" s="12" t="s">
        <v>37</v>
      </c>
      <c r="UU103" s="12" t="s">
        <v>37</v>
      </c>
      <c r="UV103" s="12" t="s">
        <v>37</v>
      </c>
      <c r="UW103" s="12" t="s">
        <v>37</v>
      </c>
      <c r="UX103" s="12"/>
      <c r="UY103" s="12"/>
      <c r="VB103" s="12" t="s">
        <v>37</v>
      </c>
      <c r="VC103" s="12" t="s">
        <v>37</v>
      </c>
      <c r="VD103" s="12" t="s">
        <v>37</v>
      </c>
      <c r="VE103" s="12" t="s">
        <v>37</v>
      </c>
      <c r="VF103" s="12" t="s">
        <v>37</v>
      </c>
      <c r="VG103" s="12" t="s">
        <v>37</v>
      </c>
      <c r="VI103" s="12" t="s">
        <v>37</v>
      </c>
      <c r="VJ103" s="12" t="s">
        <v>37</v>
      </c>
      <c r="VK103" s="12" t="s">
        <v>37</v>
      </c>
      <c r="VL103" s="12" t="s">
        <v>37</v>
      </c>
      <c r="VM103" s="12" t="s">
        <v>37</v>
      </c>
      <c r="VN103" s="12" t="s">
        <v>37</v>
      </c>
      <c r="VQ103" s="13" t="s">
        <v>37</v>
      </c>
      <c r="VR103" s="13" t="s">
        <v>37</v>
      </c>
      <c r="VS103" s="13" t="s">
        <v>37</v>
      </c>
      <c r="VT103" s="13" t="s">
        <v>37</v>
      </c>
      <c r="VU103" s="13" t="s">
        <v>37</v>
      </c>
      <c r="VV103" s="13" t="s">
        <v>37</v>
      </c>
      <c r="WA103" s="13" t="s">
        <v>37</v>
      </c>
      <c r="WB103" s="13" t="s">
        <v>37</v>
      </c>
      <c r="WC103" s="13" t="s">
        <v>37</v>
      </c>
      <c r="WD103" s="13" t="s">
        <v>37</v>
      </c>
      <c r="WE103" s="13" t="s">
        <v>37</v>
      </c>
      <c r="WF103" s="13" t="s">
        <v>37</v>
      </c>
    </row>
    <row r="104" spans="1:604" ht="18" customHeight="1" x14ac:dyDescent="0.4">
      <c r="A104" s="11">
        <v>26</v>
      </c>
      <c r="B104" s="12" t="s">
        <v>168</v>
      </c>
      <c r="C104" s="12" t="s">
        <v>26</v>
      </c>
      <c r="D104" s="12" t="s">
        <v>54</v>
      </c>
      <c r="E104" s="40" t="s">
        <v>37</v>
      </c>
      <c r="F104" s="14">
        <v>0</v>
      </c>
      <c r="G104" s="14">
        <v>0</v>
      </c>
      <c r="H104" s="12" t="s">
        <v>123</v>
      </c>
      <c r="I104" s="29">
        <v>61.8</v>
      </c>
      <c r="J104" s="29">
        <v>24.317</v>
      </c>
      <c r="K104" s="12" t="s">
        <v>714</v>
      </c>
      <c r="L104" s="12" t="s">
        <v>666</v>
      </c>
      <c r="M104" s="13">
        <v>150</v>
      </c>
      <c r="N104" s="14">
        <v>3</v>
      </c>
      <c r="O104" s="14">
        <v>700</v>
      </c>
      <c r="P104" s="14" t="s">
        <v>84</v>
      </c>
      <c r="Q104" s="75">
        <v>30</v>
      </c>
      <c r="R104" s="11" t="s">
        <v>1000</v>
      </c>
      <c r="S104" s="12" t="s">
        <v>85</v>
      </c>
      <c r="T104" s="12" t="s">
        <v>138</v>
      </c>
      <c r="U104" s="12" t="s">
        <v>158</v>
      </c>
      <c r="V104" s="12" t="s">
        <v>275</v>
      </c>
      <c r="W104" s="23" t="s">
        <v>37</v>
      </c>
      <c r="X104" s="12" t="s">
        <v>37</v>
      </c>
      <c r="Y104" s="12" t="s">
        <v>69</v>
      </c>
      <c r="Z104" s="12" t="s">
        <v>37</v>
      </c>
      <c r="AA104" s="32" t="s">
        <v>372</v>
      </c>
      <c r="AB104" s="12">
        <v>5.6</v>
      </c>
      <c r="AC104" s="16" t="s">
        <v>42</v>
      </c>
      <c r="AD104" s="32" t="s">
        <v>372</v>
      </c>
      <c r="AE104" s="12">
        <v>496</v>
      </c>
      <c r="AF104" s="12" t="s">
        <v>42</v>
      </c>
      <c r="AG104" s="32" t="s">
        <v>372</v>
      </c>
      <c r="AH104" s="12">
        <v>19</v>
      </c>
      <c r="AJ104" s="12" t="str">
        <f t="shared" ref="AJ104:AJ127" si="356">AD104</f>
        <v>0-20</v>
      </c>
      <c r="AK104" s="19">
        <f t="shared" ref="AK104:AK127" si="357">AE104/AH104</f>
        <v>26.105263157894736</v>
      </c>
      <c r="AL104" s="32">
        <v>1991</v>
      </c>
      <c r="AM104" s="12" t="s">
        <v>344</v>
      </c>
      <c r="AO104" s="12" t="s">
        <v>37</v>
      </c>
      <c r="AP104" s="11" t="s">
        <v>167</v>
      </c>
      <c r="AQ104" s="12" t="s">
        <v>975</v>
      </c>
      <c r="AR104" s="16" t="s">
        <v>42</v>
      </c>
      <c r="AS104" s="32" t="s">
        <v>372</v>
      </c>
      <c r="AT104" s="12">
        <v>496</v>
      </c>
      <c r="AU104" s="12">
        <v>8</v>
      </c>
      <c r="AV104" s="13">
        <v>3</v>
      </c>
      <c r="AW104" s="52">
        <f t="shared" ref="AW104:AW111" si="358">AU104/AT104</f>
        <v>1.6129032258064516E-2</v>
      </c>
      <c r="AX104" s="12">
        <v>517</v>
      </c>
      <c r="AY104" s="12">
        <v>21</v>
      </c>
      <c r="AZ104" s="13">
        <v>3</v>
      </c>
      <c r="BA104" s="52">
        <f t="shared" ref="BA104:BA111" si="359">AY104/AX104</f>
        <v>4.0618955512572531E-2</v>
      </c>
      <c r="BB104" s="52">
        <f t="shared" ref="BB104:BB127" si="360">LN(AX104/AT104)</f>
        <v>4.1466947783501559E-2</v>
      </c>
      <c r="BC104" s="19">
        <f t="shared" ref="BC104:BC127" si="361">AY104^2/(AZ104*AX104^2)+AU104^2/(AV104*AT104^2)</f>
        <v>6.3668174283801077E-4</v>
      </c>
      <c r="BE104" s="12" t="s">
        <v>326</v>
      </c>
      <c r="BF104" s="12" t="s">
        <v>326</v>
      </c>
      <c r="BG104" s="12" t="s">
        <v>326</v>
      </c>
      <c r="BI104" s="12" t="s">
        <v>326</v>
      </c>
      <c r="BJ104" s="12" t="s">
        <v>326</v>
      </c>
      <c r="BK104" s="12" t="s">
        <v>326</v>
      </c>
      <c r="BP104" s="12" t="s">
        <v>37</v>
      </c>
      <c r="BQ104" s="12" t="s">
        <v>37</v>
      </c>
      <c r="BR104" s="13" t="s">
        <v>37</v>
      </c>
      <c r="BT104" s="12" t="s">
        <v>37</v>
      </c>
      <c r="BU104" s="12" t="s">
        <v>37</v>
      </c>
      <c r="BV104" s="12" t="s">
        <v>37</v>
      </c>
      <c r="CA104" s="12" t="s">
        <v>37</v>
      </c>
      <c r="CB104" s="12" t="s">
        <v>37</v>
      </c>
      <c r="CC104" s="13" t="s">
        <v>37</v>
      </c>
      <c r="CE104" s="12" t="s">
        <v>37</v>
      </c>
      <c r="CF104" s="12" t="s">
        <v>37</v>
      </c>
      <c r="CG104" s="13" t="s">
        <v>37</v>
      </c>
      <c r="CJ104" s="12"/>
      <c r="CN104" s="12" t="s">
        <v>37</v>
      </c>
      <c r="CO104" s="12" t="s">
        <v>37</v>
      </c>
      <c r="CP104" s="13" t="s">
        <v>37</v>
      </c>
      <c r="CR104" s="12" t="s">
        <v>37</v>
      </c>
      <c r="CS104" s="12" t="s">
        <v>37</v>
      </c>
      <c r="CT104" s="13" t="s">
        <v>37</v>
      </c>
      <c r="CX104" s="72"/>
      <c r="CY104" s="72"/>
      <c r="DA104" s="12" t="s">
        <v>37</v>
      </c>
      <c r="DB104" s="12" t="s">
        <v>37</v>
      </c>
      <c r="DC104" s="13" t="s">
        <v>37</v>
      </c>
      <c r="DE104" s="12" t="s">
        <v>37</v>
      </c>
      <c r="DF104" s="12" t="s">
        <v>37</v>
      </c>
      <c r="DG104" s="13" t="s">
        <v>37</v>
      </c>
      <c r="DM104" s="15" t="s">
        <v>47</v>
      </c>
      <c r="DN104" s="52">
        <f>20.8*16/12*10^4/10^3</f>
        <v>277.33333333333331</v>
      </c>
      <c r="DO104" s="50">
        <f t="shared" ref="DO104:DO111" si="362">ABS(DN104)*DQ$474</f>
        <v>309.19318952701917</v>
      </c>
      <c r="DP104" s="18">
        <v>3</v>
      </c>
      <c r="DQ104" s="52"/>
      <c r="DR104" s="52">
        <f>0.003*16/12*10^4/10^3</f>
        <v>0.04</v>
      </c>
      <c r="DS104" s="50">
        <f t="shared" ref="DS104:DS111" si="363">ABS(DR104)*DU$474</f>
        <v>0.1494886517852404</v>
      </c>
      <c r="DT104" s="18">
        <v>3</v>
      </c>
      <c r="DU104" s="52"/>
      <c r="DV104" s="19">
        <f t="shared" si="336"/>
        <v>-277.29333333333329</v>
      </c>
      <c r="DW104" s="12">
        <f t="shared" si="337"/>
        <v>218.63262656423015</v>
      </c>
      <c r="DX104" s="72">
        <f t="shared" si="345"/>
        <v>31866.816932249407</v>
      </c>
      <c r="DY104" s="72">
        <f t="shared" si="346"/>
        <v>31866.816932249403</v>
      </c>
      <c r="DZ104" s="15" t="s">
        <v>47</v>
      </c>
      <c r="EA104" s="52">
        <f>1.45*44/28*10^4/10^6</f>
        <v>2.2785714285714288E-2</v>
      </c>
      <c r="EB104" s="50">
        <f t="shared" ref="EB104:EB127" si="364">ABS(EA104)*ED$474</f>
        <v>0.13101733266784471</v>
      </c>
      <c r="EC104" s="73">
        <v>3</v>
      </c>
      <c r="ED104" s="52"/>
      <c r="EE104" s="19">
        <f>134*44/28*10^4/10^6</f>
        <v>2.1057142857142859</v>
      </c>
      <c r="EF104" s="50">
        <f t="shared" ref="EF104:EF127" si="365">ABS(EE104)*EH$474</f>
        <v>3.1441249265409592</v>
      </c>
      <c r="EG104" s="13">
        <v>3</v>
      </c>
      <c r="EI104" s="19">
        <f>EE104-EA104</f>
        <v>2.0829285714285715</v>
      </c>
      <c r="EJ104" s="12">
        <f t="shared" ref="EJ104:EJ133" si="366">SQRT(((EC104-1)*EB104^2+(EG104-1)*EF104^2)/(EC104+EG104-2))</f>
        <v>2.2251614655071199</v>
      </c>
      <c r="EK104" s="19">
        <f t="shared" ref="EK104:EK133" si="367">(((EC104+EG104)/(EC104*EG104))*(((EC104-1)*EB104^2)+(EG104-1)*EF104^2)/(EC104+EG104-2))</f>
        <v>3.300895698385196</v>
      </c>
      <c r="EL104" s="19">
        <f t="shared" ref="EL104:EL133" si="368">(EB104^2/EC104)+(EF104^2/EG104)</f>
        <v>3.3008956983851965</v>
      </c>
      <c r="EM104" s="12" t="s">
        <v>39</v>
      </c>
      <c r="EN104" s="12">
        <v>-27.34</v>
      </c>
      <c r="EO104" s="12">
        <v>6.04</v>
      </c>
      <c r="EP104" s="13">
        <v>3</v>
      </c>
      <c r="EQ104" s="19">
        <f t="shared" si="320"/>
        <v>0.22092172640819313</v>
      </c>
      <c r="ER104" s="12">
        <v>-42.07</v>
      </c>
      <c r="ES104" s="12">
        <v>2.04</v>
      </c>
      <c r="ET104" s="13">
        <v>3</v>
      </c>
      <c r="EU104" s="19">
        <f t="shared" si="321"/>
        <v>4.849061088661754E-2</v>
      </c>
      <c r="EV104" s="19">
        <f t="shared" si="312"/>
        <v>-14.73</v>
      </c>
      <c r="EW104" s="12">
        <f t="shared" si="313"/>
        <v>4.507948535642349</v>
      </c>
      <c r="EX104" s="19">
        <f t="shared" si="314"/>
        <v>13.547733333333333</v>
      </c>
      <c r="EY104" s="19">
        <f t="shared" si="315"/>
        <v>13.547733333333333</v>
      </c>
      <c r="FB104" s="12" t="s">
        <v>37</v>
      </c>
      <c r="FC104" s="12" t="s">
        <v>37</v>
      </c>
      <c r="FD104" s="11" t="s">
        <v>37</v>
      </c>
      <c r="FE104" s="12" t="s">
        <v>37</v>
      </c>
      <c r="FF104" s="20" t="s">
        <v>37</v>
      </c>
      <c r="FG104" s="11" t="s">
        <v>37</v>
      </c>
      <c r="FI104" s="12" t="s">
        <v>37</v>
      </c>
      <c r="FJ104" s="12" t="s">
        <v>37</v>
      </c>
      <c r="FK104" s="11" t="s">
        <v>37</v>
      </c>
      <c r="FL104" s="13" t="s">
        <v>37</v>
      </c>
      <c r="FM104" s="11" t="s">
        <v>37</v>
      </c>
      <c r="FN104" s="11" t="s">
        <v>37</v>
      </c>
      <c r="FP104" s="12" t="s">
        <v>37</v>
      </c>
      <c r="FQ104" s="12" t="s">
        <v>37</v>
      </c>
      <c r="FR104" s="11" t="s">
        <v>37</v>
      </c>
      <c r="FS104" s="13" t="s">
        <v>37</v>
      </c>
      <c r="FT104" s="11" t="s">
        <v>37</v>
      </c>
      <c r="FU104" s="11" t="s">
        <v>37</v>
      </c>
      <c r="FW104" s="12" t="s">
        <v>37</v>
      </c>
      <c r="FX104" s="12" t="s">
        <v>37</v>
      </c>
      <c r="FY104" s="11" t="s">
        <v>37</v>
      </c>
      <c r="FZ104" s="13" t="s">
        <v>37</v>
      </c>
      <c r="GA104" s="11" t="s">
        <v>37</v>
      </c>
      <c r="GB104" s="11" t="s">
        <v>37</v>
      </c>
      <c r="GO104" s="12" t="s">
        <v>660</v>
      </c>
      <c r="GP104" s="12" t="s">
        <v>345</v>
      </c>
      <c r="GQ104" s="12">
        <v>11.01</v>
      </c>
      <c r="GR104" s="12">
        <v>0.27</v>
      </c>
      <c r="GS104" s="13">
        <v>3</v>
      </c>
      <c r="GT104" s="19">
        <f t="shared" ref="GT104:GT111" si="369">GR104/GQ104</f>
        <v>2.4523160762942781E-2</v>
      </c>
      <c r="GU104" s="12">
        <v>13.6</v>
      </c>
      <c r="GV104" s="12">
        <v>0.33</v>
      </c>
      <c r="GW104" s="13">
        <v>3</v>
      </c>
      <c r="GX104" s="19">
        <f t="shared" ref="GX104:GX111" si="370">GV104/GU104</f>
        <v>2.4264705882352942E-2</v>
      </c>
      <c r="GY104" s="19">
        <f t="shared" ref="GY104:GY111" si="371">LN(GU104/GQ104)</f>
        <v>0.21126584200741774</v>
      </c>
      <c r="GZ104" s="19">
        <f t="shared" ref="GZ104:GZ111" si="372">GV104^2/(GW104*GU104^2)+GR104^2/(GS104*GQ104^2)</f>
        <v>3.9672045512074332E-4</v>
      </c>
      <c r="HA104" s="17" t="s">
        <v>63</v>
      </c>
      <c r="HB104" s="34" t="s">
        <v>372</v>
      </c>
      <c r="HC104" s="12">
        <v>6.8000000000000005E-2</v>
      </c>
      <c r="HD104" s="12">
        <v>8.9999999999999993E-3</v>
      </c>
      <c r="HE104" s="13">
        <v>3</v>
      </c>
      <c r="HF104" s="19">
        <f t="shared" ref="HF104:HF111" si="373">HD104/HC104</f>
        <v>0.13235294117647056</v>
      </c>
      <c r="HG104" s="12">
        <v>0.108</v>
      </c>
      <c r="HH104" s="12">
        <v>3.0000000000000001E-3</v>
      </c>
      <c r="HI104" s="13">
        <v>3</v>
      </c>
      <c r="HJ104" s="19">
        <f t="shared" ref="HJ104:HJ111" si="374">HH104/HG104</f>
        <v>2.777777777777778E-2</v>
      </c>
      <c r="HK104" s="19">
        <f t="shared" ref="HK104:HK127" si="375">LN(HG104/HC104)</f>
        <v>0.46262352194811296</v>
      </c>
      <c r="HL104" s="19">
        <f t="shared" ref="HL104:HL127" si="376">HH104^2/(HI104*HG104^2)+HD104^2/(HE104*HC104^2)</f>
        <v>6.0963019921112943E-3</v>
      </c>
      <c r="IK104" s="12" t="s">
        <v>37</v>
      </c>
      <c r="IL104" s="12" t="s">
        <v>37</v>
      </c>
      <c r="IM104" s="12" t="s">
        <v>37</v>
      </c>
      <c r="IO104" s="12" t="s">
        <v>37</v>
      </c>
      <c r="IP104" s="12" t="s">
        <v>37</v>
      </c>
      <c r="IQ104" s="12" t="s">
        <v>37</v>
      </c>
      <c r="IV104" s="32" t="s">
        <v>372</v>
      </c>
      <c r="IW104" s="12">
        <v>5.6</v>
      </c>
      <c r="IX104" s="50">
        <f t="shared" ref="IX104:IX111" si="377">ABS(IW104)*IZ$474</f>
        <v>0.20503135871692957</v>
      </c>
      <c r="IY104" s="13">
        <v>3</v>
      </c>
      <c r="JA104" s="12">
        <v>4.5</v>
      </c>
      <c r="JB104" s="50">
        <f t="shared" ref="JB104:JB111" si="378">ABS(JA104)*JD$474</f>
        <v>0.12603963953566241</v>
      </c>
      <c r="JC104" s="13">
        <v>3</v>
      </c>
      <c r="JE104" s="19">
        <f t="shared" ref="JE104:JE111" si="379">LN(JA104/IW104)</f>
        <v>-0.21868920096482944</v>
      </c>
      <c r="JF104" s="19">
        <f t="shared" ref="JF104:JF111" si="380">JB104^2/(JC104*JA104^2)+IX104^2/(IY104*IW104^2)</f>
        <v>7.0832876411330761E-4</v>
      </c>
      <c r="JH104" s="12" t="s">
        <v>37</v>
      </c>
      <c r="JI104" s="12" t="s">
        <v>37</v>
      </c>
      <c r="JJ104" s="13" t="s">
        <v>37</v>
      </c>
      <c r="JL104" s="12" t="s">
        <v>37</v>
      </c>
      <c r="JM104" s="12" t="s">
        <v>37</v>
      </c>
      <c r="JN104" s="12" t="s">
        <v>37</v>
      </c>
      <c r="JS104" s="12" t="s">
        <v>37</v>
      </c>
      <c r="JT104" s="12" t="s">
        <v>37</v>
      </c>
      <c r="JU104" s="13" t="s">
        <v>37</v>
      </c>
      <c r="JW104" s="12" t="s">
        <v>37</v>
      </c>
      <c r="JX104" s="12" t="s">
        <v>37</v>
      </c>
      <c r="JY104" s="12" t="s">
        <v>37</v>
      </c>
      <c r="KE104" s="11" t="s">
        <v>37</v>
      </c>
      <c r="KF104" s="11" t="s">
        <v>37</v>
      </c>
      <c r="KG104" s="13" t="s">
        <v>37</v>
      </c>
      <c r="KH104" s="11" t="s">
        <v>37</v>
      </c>
      <c r="KI104" s="11" t="s">
        <v>37</v>
      </c>
      <c r="KJ104" s="11" t="s">
        <v>37</v>
      </c>
      <c r="KK104" s="12" t="s">
        <v>42</v>
      </c>
      <c r="KL104" s="32" t="s">
        <v>372</v>
      </c>
      <c r="KM104" s="12">
        <v>19</v>
      </c>
      <c r="KN104" s="12">
        <v>1</v>
      </c>
      <c r="KO104" s="11">
        <v>3</v>
      </c>
      <c r="KP104" s="19">
        <f t="shared" ref="KP104:KP111" si="381">KN104/KM104</f>
        <v>5.2631578947368418E-2</v>
      </c>
      <c r="KQ104" s="12">
        <v>21</v>
      </c>
      <c r="KR104" s="12">
        <v>1</v>
      </c>
      <c r="KS104" s="13">
        <v>3</v>
      </c>
      <c r="KT104" s="19">
        <f>KR104/KQ104</f>
        <v>4.7619047619047616E-2</v>
      </c>
      <c r="KU104" s="19">
        <f t="shared" ref="KU104:KU127" si="382">LN(KQ104/KM104)</f>
        <v>0.10008345855698263</v>
      </c>
      <c r="KV104" s="19">
        <f t="shared" ref="KV104:KV127" si="383">KR104^2/(KS104*KQ104^2)+KN104^2/(KO104*KM104^2)</f>
        <v>1.6792189328793997E-3</v>
      </c>
      <c r="KX104" s="12" t="s">
        <v>37</v>
      </c>
      <c r="KY104" s="12" t="s">
        <v>37</v>
      </c>
      <c r="KZ104" s="13" t="s">
        <v>37</v>
      </c>
      <c r="LB104" s="12" t="s">
        <v>37</v>
      </c>
      <c r="LC104" s="12" t="s">
        <v>37</v>
      </c>
      <c r="LD104" s="13" t="s">
        <v>37</v>
      </c>
      <c r="LI104" s="12" t="s">
        <v>37</v>
      </c>
      <c r="LJ104" s="12" t="s">
        <v>37</v>
      </c>
      <c r="LK104" s="12" t="s">
        <v>37</v>
      </c>
      <c r="LM104" s="12" t="s">
        <v>37</v>
      </c>
      <c r="LN104" s="12" t="s">
        <v>37</v>
      </c>
      <c r="LO104" s="12" t="s">
        <v>37</v>
      </c>
      <c r="LT104" s="12" t="str">
        <f t="shared" ref="LT104:LT111" si="384">KL104</f>
        <v>0-20</v>
      </c>
      <c r="LU104" s="12">
        <f t="shared" ref="LU104:LU127" si="385">AT104/KM104</f>
        <v>26.105263157894736</v>
      </c>
      <c r="LV104" s="12">
        <f t="shared" ref="LV104:LV127" si="386">SQRT((1/KM104)^2*AU104^2+AT104^2*(-1/KM104^2)^2*KN104^2)</f>
        <v>1.4370298359555436</v>
      </c>
      <c r="LW104" s="13">
        <f t="shared" ref="LW104:LW111" si="387">KO104</f>
        <v>3</v>
      </c>
      <c r="LX104" s="19">
        <f>LV104/LU104</f>
        <v>5.5047513877329292E-2</v>
      </c>
      <c r="LY104" s="12">
        <f t="shared" ref="LY104:LY127" si="388">AX104/KQ104</f>
        <v>24.61904761904762</v>
      </c>
      <c r="LZ104" s="12">
        <f t="shared" ref="LZ104:LZ127" si="389">SQRT((1/KQ104)^2*AY104^2+AX104^2*(-1/KQ104^2)^2*KR104^2)</f>
        <v>1.5408993351786631</v>
      </c>
      <c r="MA104" s="13">
        <f t="shared" ref="MA104:MA111" si="390">KS104</f>
        <v>3</v>
      </c>
      <c r="MB104" s="19">
        <f>LZ104/LY104</f>
        <v>6.2589721544974705E-2</v>
      </c>
      <c r="MC104" s="19">
        <f t="shared" ref="MC104:MC127" si="391">LN(LY104/LU104)</f>
        <v>-5.8616510773480859E-2</v>
      </c>
      <c r="MD104" s="19">
        <f t="shared" ref="MD104:MD127" si="392">LZ104^2/(MA104*LY104^2)+LV104^2/(LW104*LU104^2)</f>
        <v>2.3159006757174109E-3</v>
      </c>
      <c r="MF104" s="12" t="s">
        <v>37</v>
      </c>
      <c r="MG104" s="12" t="s">
        <v>37</v>
      </c>
      <c r="MH104" s="12" t="s">
        <v>37</v>
      </c>
      <c r="MJ104" s="12" t="s">
        <v>37</v>
      </c>
      <c r="MK104" s="12" t="s">
        <v>37</v>
      </c>
      <c r="ML104" s="12" t="s">
        <v>37</v>
      </c>
      <c r="MQ104" s="12" t="s">
        <v>37</v>
      </c>
      <c r="MR104" s="12" t="s">
        <v>37</v>
      </c>
      <c r="MS104" s="12" t="s">
        <v>37</v>
      </c>
      <c r="MU104" s="12" t="s">
        <v>37</v>
      </c>
      <c r="MV104" s="12" t="s">
        <v>37</v>
      </c>
      <c r="MW104" s="12" t="s">
        <v>37</v>
      </c>
      <c r="NC104" s="12" t="s">
        <v>37</v>
      </c>
      <c r="ND104" s="12" t="s">
        <v>37</v>
      </c>
      <c r="NE104" s="13" t="s">
        <v>37</v>
      </c>
      <c r="NG104" s="12" t="s">
        <v>37</v>
      </c>
      <c r="NH104" s="12" t="s">
        <v>37</v>
      </c>
      <c r="NI104" s="13" t="s">
        <v>37</v>
      </c>
      <c r="NO104" s="12" t="s">
        <v>37</v>
      </c>
      <c r="NP104" s="12" t="s">
        <v>37</v>
      </c>
      <c r="NQ104" s="13" t="s">
        <v>37</v>
      </c>
      <c r="NS104" s="12" t="s">
        <v>37</v>
      </c>
      <c r="NT104" s="12" t="s">
        <v>37</v>
      </c>
      <c r="NU104" s="13" t="s">
        <v>37</v>
      </c>
      <c r="OA104" s="11" t="s">
        <v>37</v>
      </c>
      <c r="OB104" s="11" t="s">
        <v>37</v>
      </c>
      <c r="OC104" s="13" t="s">
        <v>37</v>
      </c>
      <c r="OE104" s="11" t="s">
        <v>37</v>
      </c>
      <c r="OF104" s="11" t="s">
        <v>37</v>
      </c>
      <c r="OG104" s="13" t="s">
        <v>37</v>
      </c>
      <c r="OM104" s="11" t="s">
        <v>37</v>
      </c>
      <c r="ON104" s="11" t="s">
        <v>37</v>
      </c>
      <c r="OO104" s="11" t="s">
        <v>37</v>
      </c>
      <c r="OP104" s="11" t="s">
        <v>37</v>
      </c>
      <c r="OQ104" s="11" t="s">
        <v>37</v>
      </c>
      <c r="OR104" s="11" t="s">
        <v>37</v>
      </c>
      <c r="OW104" s="12" t="s">
        <v>37</v>
      </c>
      <c r="OX104" s="12" t="s">
        <v>37</v>
      </c>
      <c r="OY104" s="13" t="s">
        <v>37</v>
      </c>
      <c r="OZ104" s="12" t="s">
        <v>37</v>
      </c>
      <c r="PA104" s="12" t="s">
        <v>37</v>
      </c>
      <c r="PB104" s="13" t="s">
        <v>37</v>
      </c>
      <c r="PG104" s="11" t="s">
        <v>37</v>
      </c>
      <c r="PH104" s="11" t="s">
        <v>37</v>
      </c>
      <c r="PI104" s="13" t="s">
        <v>37</v>
      </c>
      <c r="PJ104" s="11" t="s">
        <v>37</v>
      </c>
      <c r="PK104" s="11" t="s">
        <v>37</v>
      </c>
      <c r="PL104" s="13" t="s">
        <v>37</v>
      </c>
      <c r="PQ104" s="12" t="s">
        <v>37</v>
      </c>
      <c r="PR104" s="12" t="s">
        <v>37</v>
      </c>
      <c r="PS104" s="12" t="s">
        <v>37</v>
      </c>
      <c r="PT104" s="12" t="s">
        <v>37</v>
      </c>
      <c r="PU104" s="12" t="s">
        <v>37</v>
      </c>
      <c r="PV104" s="12" t="s">
        <v>37</v>
      </c>
      <c r="PW104" s="12"/>
      <c r="PX104" s="12"/>
      <c r="PZ104" s="12" t="s">
        <v>37</v>
      </c>
      <c r="QA104" s="12" t="s">
        <v>37</v>
      </c>
      <c r="QB104" s="11" t="s">
        <v>37</v>
      </c>
      <c r="QD104" s="12" t="s">
        <v>37</v>
      </c>
      <c r="QE104" s="12" t="s">
        <v>37</v>
      </c>
      <c r="QF104" s="12" t="s">
        <v>37</v>
      </c>
      <c r="QK104" s="12" t="s">
        <v>37</v>
      </c>
      <c r="QL104" s="12" t="s">
        <v>37</v>
      </c>
      <c r="QM104" s="12" t="s">
        <v>37</v>
      </c>
      <c r="QN104" s="12" t="s">
        <v>37</v>
      </c>
      <c r="QO104" s="12" t="s">
        <v>37</v>
      </c>
      <c r="QP104" s="12" t="s">
        <v>37</v>
      </c>
      <c r="QQ104" s="12"/>
      <c r="QR104" s="12"/>
      <c r="QU104" s="11" t="s">
        <v>37</v>
      </c>
      <c r="QV104" s="11" t="s">
        <v>37</v>
      </c>
      <c r="QW104" s="13" t="s">
        <v>37</v>
      </c>
      <c r="QX104" s="11" t="s">
        <v>37</v>
      </c>
      <c r="QY104" s="11" t="s">
        <v>37</v>
      </c>
      <c r="QZ104" s="13" t="s">
        <v>37</v>
      </c>
      <c r="RC104" s="12" t="s">
        <v>37</v>
      </c>
      <c r="RD104" s="12" t="s">
        <v>37</v>
      </c>
      <c r="RE104" s="13" t="s">
        <v>37</v>
      </c>
      <c r="RF104" s="12" t="s">
        <v>37</v>
      </c>
      <c r="RG104" s="12" t="s">
        <v>37</v>
      </c>
      <c r="RH104" s="13" t="s">
        <v>37</v>
      </c>
      <c r="RK104" s="11" t="s">
        <v>37</v>
      </c>
      <c r="RL104" s="11" t="s">
        <v>37</v>
      </c>
      <c r="RM104" s="11" t="s">
        <v>37</v>
      </c>
      <c r="RN104" s="11" t="s">
        <v>37</v>
      </c>
      <c r="RO104" s="11" t="s">
        <v>37</v>
      </c>
      <c r="RP104" s="11" t="s">
        <v>37</v>
      </c>
      <c r="RS104" s="11" t="s">
        <v>37</v>
      </c>
      <c r="RT104" s="11" t="s">
        <v>37</v>
      </c>
      <c r="RU104" s="11" t="s">
        <v>37</v>
      </c>
      <c r="RV104" s="11" t="s">
        <v>37</v>
      </c>
      <c r="RW104" s="11" t="s">
        <v>37</v>
      </c>
      <c r="RX104" s="11" t="s">
        <v>37</v>
      </c>
      <c r="SA104" s="11" t="s">
        <v>37</v>
      </c>
      <c r="SB104" s="11" t="s">
        <v>37</v>
      </c>
      <c r="SC104" s="13" t="s">
        <v>37</v>
      </c>
      <c r="SD104" s="11" t="s">
        <v>37</v>
      </c>
      <c r="SE104" s="11" t="s">
        <v>37</v>
      </c>
      <c r="SF104" s="13" t="s">
        <v>37</v>
      </c>
      <c r="SI104" s="12" t="s">
        <v>37</v>
      </c>
      <c r="SJ104" s="12" t="s">
        <v>37</v>
      </c>
      <c r="SK104" s="13" t="s">
        <v>37</v>
      </c>
      <c r="SM104" s="12" t="s">
        <v>37</v>
      </c>
      <c r="SN104" s="12" t="s">
        <v>37</v>
      </c>
      <c r="SO104" s="13" t="s">
        <v>37</v>
      </c>
      <c r="SU104" s="12" t="s">
        <v>37</v>
      </c>
      <c r="SV104" s="12" t="s">
        <v>37</v>
      </c>
      <c r="SW104" s="11" t="s">
        <v>37</v>
      </c>
      <c r="SX104" s="12" t="s">
        <v>37</v>
      </c>
      <c r="SY104" s="12" t="s">
        <v>37</v>
      </c>
      <c r="SZ104" s="11" t="s">
        <v>37</v>
      </c>
      <c r="TE104" s="12" t="s">
        <v>37</v>
      </c>
      <c r="TF104" s="12" t="s">
        <v>37</v>
      </c>
      <c r="TG104" s="11" t="s">
        <v>37</v>
      </c>
      <c r="TH104" s="12" t="s">
        <v>37</v>
      </c>
      <c r="TI104" s="12" t="s">
        <v>37</v>
      </c>
      <c r="TJ104" s="11" t="s">
        <v>37</v>
      </c>
      <c r="TO104" s="12" t="s">
        <v>37</v>
      </c>
      <c r="TP104" s="12" t="s">
        <v>37</v>
      </c>
      <c r="TQ104" s="11" t="s">
        <v>37</v>
      </c>
      <c r="TR104" s="12" t="s">
        <v>37</v>
      </c>
      <c r="TS104" s="12" t="s">
        <v>37</v>
      </c>
      <c r="TT104" s="11" t="s">
        <v>37</v>
      </c>
      <c r="TY104" s="12" t="s">
        <v>37</v>
      </c>
      <c r="TZ104" s="12" t="s">
        <v>37</v>
      </c>
      <c r="UA104" s="12" t="s">
        <v>37</v>
      </c>
      <c r="UB104" s="12" t="s">
        <v>37</v>
      </c>
      <c r="UC104" s="12" t="s">
        <v>37</v>
      </c>
      <c r="UD104" s="12" t="s">
        <v>37</v>
      </c>
      <c r="UE104" s="12"/>
      <c r="UF104" s="12"/>
      <c r="UI104" s="12" t="s">
        <v>37</v>
      </c>
      <c r="UJ104" s="12" t="s">
        <v>37</v>
      </c>
      <c r="UK104" s="12" t="s">
        <v>37</v>
      </c>
      <c r="UL104" s="12" t="s">
        <v>37</v>
      </c>
      <c r="UM104" s="12" t="s">
        <v>37</v>
      </c>
      <c r="UN104" s="12" t="s">
        <v>37</v>
      </c>
      <c r="UO104" s="12"/>
      <c r="UP104" s="12"/>
      <c r="UR104" s="12" t="s">
        <v>37</v>
      </c>
      <c r="US104" s="12" t="s">
        <v>37</v>
      </c>
      <c r="UT104" s="12" t="s">
        <v>37</v>
      </c>
      <c r="UU104" s="12" t="s">
        <v>37</v>
      </c>
      <c r="UV104" s="12" t="s">
        <v>37</v>
      </c>
      <c r="UW104" s="12" t="s">
        <v>37</v>
      </c>
      <c r="UX104" s="12"/>
      <c r="UY104" s="12"/>
      <c r="VB104" s="12" t="s">
        <v>37</v>
      </c>
      <c r="VC104" s="12" t="s">
        <v>37</v>
      </c>
      <c r="VD104" s="12" t="s">
        <v>37</v>
      </c>
      <c r="VE104" s="12" t="s">
        <v>37</v>
      </c>
      <c r="VF104" s="12" t="s">
        <v>37</v>
      </c>
      <c r="VG104" s="12" t="s">
        <v>37</v>
      </c>
      <c r="VI104" s="12" t="s">
        <v>37</v>
      </c>
      <c r="VJ104" s="12" t="s">
        <v>37</v>
      </c>
      <c r="VK104" s="12" t="s">
        <v>37</v>
      </c>
      <c r="VL104" s="12" t="s">
        <v>37</v>
      </c>
      <c r="VM104" s="12" t="s">
        <v>37</v>
      </c>
      <c r="VN104" s="12" t="s">
        <v>37</v>
      </c>
      <c r="VQ104" s="13" t="s">
        <v>37</v>
      </c>
      <c r="VR104" s="13" t="s">
        <v>37</v>
      </c>
      <c r="VS104" s="13" t="s">
        <v>37</v>
      </c>
      <c r="VT104" s="13" t="s">
        <v>37</v>
      </c>
      <c r="VU104" s="13" t="s">
        <v>37</v>
      </c>
      <c r="VV104" s="13" t="s">
        <v>37</v>
      </c>
      <c r="WA104" s="13" t="s">
        <v>37</v>
      </c>
      <c r="WB104" s="13" t="s">
        <v>37</v>
      </c>
      <c r="WC104" s="13" t="s">
        <v>37</v>
      </c>
      <c r="WD104" s="13" t="s">
        <v>37</v>
      </c>
      <c r="WE104" s="13" t="s">
        <v>37</v>
      </c>
      <c r="WF104" s="13" t="s">
        <v>37</v>
      </c>
    </row>
    <row r="105" spans="1:604" ht="18" customHeight="1" x14ac:dyDescent="0.4">
      <c r="A105" s="11">
        <v>26</v>
      </c>
      <c r="B105" s="12" t="s">
        <v>168</v>
      </c>
      <c r="C105" s="12" t="s">
        <v>26</v>
      </c>
      <c r="D105" s="12" t="s">
        <v>54</v>
      </c>
      <c r="E105" s="40" t="s">
        <v>37</v>
      </c>
      <c r="F105" s="14">
        <v>0</v>
      </c>
      <c r="G105" s="14">
        <v>0</v>
      </c>
      <c r="H105" s="12" t="s">
        <v>123</v>
      </c>
      <c r="I105" s="29">
        <v>61.8</v>
      </c>
      <c r="J105" s="29">
        <v>24.317</v>
      </c>
      <c r="K105" s="12" t="s">
        <v>714</v>
      </c>
      <c r="L105" s="12" t="s">
        <v>666</v>
      </c>
      <c r="M105" s="13">
        <v>150</v>
      </c>
      <c r="N105" s="14">
        <v>3</v>
      </c>
      <c r="O105" s="14">
        <v>700</v>
      </c>
      <c r="P105" s="14" t="s">
        <v>84</v>
      </c>
      <c r="Q105" s="75">
        <v>31</v>
      </c>
      <c r="R105" s="11" t="s">
        <v>1000</v>
      </c>
      <c r="S105" s="12" t="s">
        <v>85</v>
      </c>
      <c r="T105" s="12" t="s">
        <v>138</v>
      </c>
      <c r="U105" s="12" t="s">
        <v>158</v>
      </c>
      <c r="V105" s="12" t="s">
        <v>275</v>
      </c>
      <c r="W105" s="23" t="s">
        <v>37</v>
      </c>
      <c r="X105" s="12" t="s">
        <v>37</v>
      </c>
      <c r="Y105" s="12" t="s">
        <v>69</v>
      </c>
      <c r="Z105" s="12" t="s">
        <v>37</v>
      </c>
      <c r="AA105" s="32" t="s">
        <v>372</v>
      </c>
      <c r="AB105" s="12">
        <v>5.6</v>
      </c>
      <c r="AC105" s="16" t="s">
        <v>42</v>
      </c>
      <c r="AD105" s="32" t="s">
        <v>372</v>
      </c>
      <c r="AE105" s="12">
        <v>496</v>
      </c>
      <c r="AF105" s="12" t="s">
        <v>42</v>
      </c>
      <c r="AG105" s="32" t="s">
        <v>372</v>
      </c>
      <c r="AH105" s="12">
        <v>19</v>
      </c>
      <c r="AJ105" s="12" t="str">
        <f t="shared" si="356"/>
        <v>0-20</v>
      </c>
      <c r="AK105" s="19">
        <f t="shared" si="357"/>
        <v>26.105263157894736</v>
      </c>
      <c r="AL105" s="32">
        <v>1992</v>
      </c>
      <c r="AM105" s="12" t="s">
        <v>344</v>
      </c>
      <c r="AO105" s="12" t="s">
        <v>37</v>
      </c>
      <c r="AP105" s="11" t="s">
        <v>167</v>
      </c>
      <c r="AQ105" s="12" t="s">
        <v>975</v>
      </c>
      <c r="AR105" s="16" t="s">
        <v>42</v>
      </c>
      <c r="AS105" s="32" t="s">
        <v>372</v>
      </c>
      <c r="AT105" s="12">
        <v>496</v>
      </c>
      <c r="AU105" s="12">
        <v>8</v>
      </c>
      <c r="AV105" s="13">
        <v>3</v>
      </c>
      <c r="AW105" s="52">
        <f t="shared" si="358"/>
        <v>1.6129032258064516E-2</v>
      </c>
      <c r="AX105" s="12">
        <v>517</v>
      </c>
      <c r="AY105" s="12">
        <v>21</v>
      </c>
      <c r="AZ105" s="13">
        <v>3</v>
      </c>
      <c r="BA105" s="52">
        <f t="shared" si="359"/>
        <v>4.0618955512572531E-2</v>
      </c>
      <c r="BB105" s="52">
        <f t="shared" si="360"/>
        <v>4.1466947783501559E-2</v>
      </c>
      <c r="BC105" s="19">
        <f t="shared" si="361"/>
        <v>6.3668174283801077E-4</v>
      </c>
      <c r="BE105" s="12" t="s">
        <v>326</v>
      </c>
      <c r="BF105" s="12" t="s">
        <v>326</v>
      </c>
      <c r="BG105" s="12" t="s">
        <v>326</v>
      </c>
      <c r="BI105" s="12" t="s">
        <v>326</v>
      </c>
      <c r="BJ105" s="12" t="s">
        <v>326</v>
      </c>
      <c r="BK105" s="12" t="s">
        <v>326</v>
      </c>
      <c r="BP105" s="12" t="s">
        <v>37</v>
      </c>
      <c r="BQ105" s="12" t="s">
        <v>37</v>
      </c>
      <c r="BR105" s="13" t="s">
        <v>37</v>
      </c>
      <c r="BT105" s="12" t="s">
        <v>37</v>
      </c>
      <c r="BU105" s="12" t="s">
        <v>37</v>
      </c>
      <c r="BV105" s="12" t="s">
        <v>37</v>
      </c>
      <c r="CA105" s="12" t="s">
        <v>37</v>
      </c>
      <c r="CB105" s="12" t="s">
        <v>37</v>
      </c>
      <c r="CC105" s="13" t="s">
        <v>37</v>
      </c>
      <c r="CE105" s="12" t="s">
        <v>37</v>
      </c>
      <c r="CF105" s="12" t="s">
        <v>37</v>
      </c>
      <c r="CG105" s="13" t="s">
        <v>37</v>
      </c>
      <c r="CI105" s="52"/>
      <c r="CJ105" s="12"/>
      <c r="CK105" s="73"/>
      <c r="CL105" s="73"/>
      <c r="CN105" s="12" t="s">
        <v>37</v>
      </c>
      <c r="CO105" s="12" t="s">
        <v>37</v>
      </c>
      <c r="CP105" s="13" t="s">
        <v>37</v>
      </c>
      <c r="CR105" s="12" t="s">
        <v>37</v>
      </c>
      <c r="CS105" s="12" t="s">
        <v>37</v>
      </c>
      <c r="CT105" s="13" t="s">
        <v>37</v>
      </c>
      <c r="CV105" s="52"/>
      <c r="CW105" s="52"/>
      <c r="CX105" s="73"/>
      <c r="CY105" s="73"/>
      <c r="DA105" s="12" t="s">
        <v>37</v>
      </c>
      <c r="DB105" s="12" t="s">
        <v>37</v>
      </c>
      <c r="DC105" s="13" t="s">
        <v>37</v>
      </c>
      <c r="DE105" s="12" t="s">
        <v>37</v>
      </c>
      <c r="DF105" s="12" t="s">
        <v>37</v>
      </c>
      <c r="DG105" s="13" t="s">
        <v>37</v>
      </c>
      <c r="DM105" s="15" t="s">
        <v>47</v>
      </c>
      <c r="DN105" s="52">
        <f>24.5*16/12*10^4/10^3</f>
        <v>326.66666666666663</v>
      </c>
      <c r="DO105" s="50">
        <f t="shared" si="362"/>
        <v>364.19390112557551</v>
      </c>
      <c r="DP105" s="18">
        <v>3</v>
      </c>
      <c r="DQ105" s="52"/>
      <c r="DR105" s="52">
        <f>-0.008*16/12*10^4/10^3</f>
        <v>-0.10666666666666666</v>
      </c>
      <c r="DS105" s="50">
        <f t="shared" si="363"/>
        <v>0.39863640476064105</v>
      </c>
      <c r="DT105" s="18">
        <v>3</v>
      </c>
      <c r="DU105" s="52"/>
      <c r="DV105" s="19">
        <f>DR105-DN105</f>
        <v>-326.77333333333331</v>
      </c>
      <c r="DW105" s="12">
        <f t="shared" si="337"/>
        <v>257.52413142077449</v>
      </c>
      <c r="DX105" s="72">
        <f t="shared" si="345"/>
        <v>44212.452176016232</v>
      </c>
      <c r="DY105" s="72">
        <f t="shared" si="346"/>
        <v>44212.452176016232</v>
      </c>
      <c r="DZ105" s="15" t="s">
        <v>47</v>
      </c>
      <c r="EA105" s="52">
        <f>5.85*44/28*10^4/10^6</f>
        <v>9.1928571428571401E-2</v>
      </c>
      <c r="EB105" s="50">
        <f t="shared" si="364"/>
        <v>0.52858716972889053</v>
      </c>
      <c r="EC105" s="73">
        <v>3</v>
      </c>
      <c r="ED105" s="52"/>
      <c r="EE105" s="52">
        <f>55.4*44/28*10^4/10^6</f>
        <v>0.87057142857142855</v>
      </c>
      <c r="EF105" s="50">
        <f t="shared" si="365"/>
        <v>1.2998844845549935</v>
      </c>
      <c r="EG105" s="18">
        <v>3</v>
      </c>
      <c r="EH105" s="52"/>
      <c r="EI105" s="19">
        <f t="shared" ref="EI105:EI111" si="393">EE105-EA105</f>
        <v>0.77864285714285719</v>
      </c>
      <c r="EJ105" s="12">
        <f t="shared" si="366"/>
        <v>0.9922459546878486</v>
      </c>
      <c r="EK105" s="19">
        <f t="shared" si="367"/>
        <v>0.65636802306293329</v>
      </c>
      <c r="EL105" s="19">
        <f t="shared" si="368"/>
        <v>0.65636802306293329</v>
      </c>
      <c r="EM105" s="12" t="s">
        <v>39</v>
      </c>
      <c r="EN105" s="12">
        <v>-27.34</v>
      </c>
      <c r="EO105" s="12">
        <v>6.04</v>
      </c>
      <c r="EP105" s="13">
        <v>3</v>
      </c>
      <c r="EQ105" s="19">
        <f t="shared" si="320"/>
        <v>0.22092172640819313</v>
      </c>
      <c r="ER105" s="12">
        <v>-42.07</v>
      </c>
      <c r="ES105" s="12">
        <v>2.04</v>
      </c>
      <c r="ET105" s="13">
        <v>3</v>
      </c>
      <c r="EU105" s="19">
        <f t="shared" si="321"/>
        <v>4.849061088661754E-2</v>
      </c>
      <c r="EV105" s="19">
        <f t="shared" si="312"/>
        <v>-14.73</v>
      </c>
      <c r="EW105" s="12">
        <f t="shared" si="313"/>
        <v>4.507948535642349</v>
      </c>
      <c r="EX105" s="19">
        <f t="shared" si="314"/>
        <v>13.547733333333333</v>
      </c>
      <c r="EY105" s="19">
        <f t="shared" si="315"/>
        <v>13.547733333333333</v>
      </c>
      <c r="FB105" s="12" t="s">
        <v>37</v>
      </c>
      <c r="FC105" s="12" t="s">
        <v>37</v>
      </c>
      <c r="FD105" s="11" t="s">
        <v>37</v>
      </c>
      <c r="FE105" s="12" t="s">
        <v>37</v>
      </c>
      <c r="FF105" s="20" t="s">
        <v>37</v>
      </c>
      <c r="FG105" s="11" t="s">
        <v>37</v>
      </c>
      <c r="FI105" s="12" t="s">
        <v>37</v>
      </c>
      <c r="FJ105" s="12" t="s">
        <v>37</v>
      </c>
      <c r="FK105" s="11" t="s">
        <v>37</v>
      </c>
      <c r="FL105" s="13" t="s">
        <v>37</v>
      </c>
      <c r="FM105" s="11" t="s">
        <v>37</v>
      </c>
      <c r="FN105" s="11" t="s">
        <v>37</v>
      </c>
      <c r="FP105" s="12" t="s">
        <v>37</v>
      </c>
      <c r="FQ105" s="12" t="s">
        <v>37</v>
      </c>
      <c r="FR105" s="11" t="s">
        <v>37</v>
      </c>
      <c r="FS105" s="13" t="s">
        <v>37</v>
      </c>
      <c r="FT105" s="11" t="s">
        <v>37</v>
      </c>
      <c r="FU105" s="11" t="s">
        <v>37</v>
      </c>
      <c r="FW105" s="12" t="s">
        <v>37</v>
      </c>
      <c r="FX105" s="12" t="s">
        <v>37</v>
      </c>
      <c r="FY105" s="11" t="s">
        <v>37</v>
      </c>
      <c r="FZ105" s="13" t="s">
        <v>37</v>
      </c>
      <c r="GA105" s="11" t="s">
        <v>37</v>
      </c>
      <c r="GB105" s="11" t="s">
        <v>37</v>
      </c>
      <c r="GO105" s="12" t="s">
        <v>660</v>
      </c>
      <c r="GP105" s="12" t="s">
        <v>345</v>
      </c>
      <c r="GQ105" s="12">
        <v>11.01</v>
      </c>
      <c r="GR105" s="12">
        <v>0.27</v>
      </c>
      <c r="GS105" s="13">
        <v>3</v>
      </c>
      <c r="GT105" s="19">
        <f t="shared" si="369"/>
        <v>2.4523160762942781E-2</v>
      </c>
      <c r="GU105" s="12">
        <v>13.6</v>
      </c>
      <c r="GV105" s="12">
        <v>0.33</v>
      </c>
      <c r="GW105" s="13">
        <v>3</v>
      </c>
      <c r="GX105" s="19">
        <f t="shared" si="370"/>
        <v>2.4264705882352942E-2</v>
      </c>
      <c r="GY105" s="19">
        <f t="shared" si="371"/>
        <v>0.21126584200741774</v>
      </c>
      <c r="GZ105" s="19">
        <f t="shared" si="372"/>
        <v>3.9672045512074332E-4</v>
      </c>
      <c r="HA105" s="17" t="s">
        <v>63</v>
      </c>
      <c r="HB105" s="34" t="s">
        <v>372</v>
      </c>
      <c r="HC105" s="12">
        <v>6.8000000000000005E-2</v>
      </c>
      <c r="HD105" s="12">
        <v>8.9999999999999993E-3</v>
      </c>
      <c r="HE105" s="13">
        <v>3</v>
      </c>
      <c r="HF105" s="19">
        <f t="shared" si="373"/>
        <v>0.13235294117647056</v>
      </c>
      <c r="HG105" s="12">
        <v>0.108</v>
      </c>
      <c r="HH105" s="12">
        <v>3.0000000000000001E-3</v>
      </c>
      <c r="HI105" s="13">
        <v>3</v>
      </c>
      <c r="HJ105" s="19">
        <f t="shared" si="374"/>
        <v>2.777777777777778E-2</v>
      </c>
      <c r="HK105" s="19">
        <f t="shared" si="375"/>
        <v>0.46262352194811296</v>
      </c>
      <c r="HL105" s="19">
        <f t="shared" si="376"/>
        <v>6.0963019921112943E-3</v>
      </c>
      <c r="IK105" s="12" t="s">
        <v>37</v>
      </c>
      <c r="IL105" s="12" t="s">
        <v>37</v>
      </c>
      <c r="IM105" s="12" t="s">
        <v>37</v>
      </c>
      <c r="IO105" s="12" t="s">
        <v>37</v>
      </c>
      <c r="IP105" s="12" t="s">
        <v>37</v>
      </c>
      <c r="IQ105" s="12" t="s">
        <v>37</v>
      </c>
      <c r="IV105" s="32" t="s">
        <v>372</v>
      </c>
      <c r="IW105" s="12">
        <v>5.6</v>
      </c>
      <c r="IX105" s="50">
        <f t="shared" si="377"/>
        <v>0.20503135871692957</v>
      </c>
      <c r="IY105" s="13">
        <v>3</v>
      </c>
      <c r="JA105" s="12">
        <v>4.5</v>
      </c>
      <c r="JB105" s="50">
        <f t="shared" si="378"/>
        <v>0.12603963953566241</v>
      </c>
      <c r="JC105" s="13">
        <v>3</v>
      </c>
      <c r="JE105" s="19">
        <f t="shared" si="379"/>
        <v>-0.21868920096482944</v>
      </c>
      <c r="JF105" s="19">
        <f t="shared" si="380"/>
        <v>7.0832876411330761E-4</v>
      </c>
      <c r="JH105" s="12" t="s">
        <v>37</v>
      </c>
      <c r="JI105" s="12" t="s">
        <v>37</v>
      </c>
      <c r="JJ105" s="13" t="s">
        <v>37</v>
      </c>
      <c r="JL105" s="12" t="s">
        <v>37</v>
      </c>
      <c r="JM105" s="12" t="s">
        <v>37</v>
      </c>
      <c r="JN105" s="12" t="s">
        <v>37</v>
      </c>
      <c r="JS105" s="12" t="s">
        <v>37</v>
      </c>
      <c r="JT105" s="12" t="s">
        <v>37</v>
      </c>
      <c r="JU105" s="13" t="s">
        <v>37</v>
      </c>
      <c r="JW105" s="12" t="s">
        <v>37</v>
      </c>
      <c r="JX105" s="12" t="s">
        <v>37</v>
      </c>
      <c r="JY105" s="12" t="s">
        <v>37</v>
      </c>
      <c r="KE105" s="11" t="s">
        <v>37</v>
      </c>
      <c r="KF105" s="11" t="s">
        <v>37</v>
      </c>
      <c r="KG105" s="13" t="s">
        <v>37</v>
      </c>
      <c r="KH105" s="11" t="s">
        <v>37</v>
      </c>
      <c r="KI105" s="11" t="s">
        <v>37</v>
      </c>
      <c r="KJ105" s="11" t="s">
        <v>37</v>
      </c>
      <c r="KK105" s="12" t="s">
        <v>42</v>
      </c>
      <c r="KL105" s="32" t="s">
        <v>372</v>
      </c>
      <c r="KM105" s="12">
        <v>19</v>
      </c>
      <c r="KN105" s="12">
        <v>1</v>
      </c>
      <c r="KO105" s="11">
        <v>3</v>
      </c>
      <c r="KP105" s="19">
        <f t="shared" si="381"/>
        <v>5.2631578947368418E-2</v>
      </c>
      <c r="KQ105" s="12">
        <v>21</v>
      </c>
      <c r="KR105" s="12">
        <v>1</v>
      </c>
      <c r="KS105" s="13">
        <v>3</v>
      </c>
      <c r="KT105" s="19">
        <f t="shared" ref="KT105:KT111" si="394">KR105/KQ105</f>
        <v>4.7619047619047616E-2</v>
      </c>
      <c r="KU105" s="19">
        <f t="shared" si="382"/>
        <v>0.10008345855698263</v>
      </c>
      <c r="KV105" s="19">
        <f t="shared" si="383"/>
        <v>1.6792189328793997E-3</v>
      </c>
      <c r="KX105" s="12" t="s">
        <v>37</v>
      </c>
      <c r="KY105" s="12" t="s">
        <v>37</v>
      </c>
      <c r="KZ105" s="13" t="s">
        <v>37</v>
      </c>
      <c r="LB105" s="12" t="s">
        <v>37</v>
      </c>
      <c r="LC105" s="12" t="s">
        <v>37</v>
      </c>
      <c r="LD105" s="13" t="s">
        <v>37</v>
      </c>
      <c r="LI105" s="12" t="s">
        <v>37</v>
      </c>
      <c r="LJ105" s="12" t="s">
        <v>37</v>
      </c>
      <c r="LK105" s="12" t="s">
        <v>37</v>
      </c>
      <c r="LM105" s="12" t="s">
        <v>37</v>
      </c>
      <c r="LN105" s="12" t="s">
        <v>37</v>
      </c>
      <c r="LO105" s="12" t="s">
        <v>37</v>
      </c>
      <c r="LT105" s="12" t="str">
        <f t="shared" si="384"/>
        <v>0-20</v>
      </c>
      <c r="LU105" s="12">
        <f t="shared" si="385"/>
        <v>26.105263157894736</v>
      </c>
      <c r="LV105" s="12">
        <f t="shared" si="386"/>
        <v>1.4370298359555436</v>
      </c>
      <c r="LW105" s="13">
        <f t="shared" si="387"/>
        <v>3</v>
      </c>
      <c r="LX105" s="19">
        <f t="shared" ref="LX105:LX111" si="395">LV105/LU105</f>
        <v>5.5047513877329292E-2</v>
      </c>
      <c r="LY105" s="12">
        <f t="shared" si="388"/>
        <v>24.61904761904762</v>
      </c>
      <c r="LZ105" s="12">
        <f t="shared" si="389"/>
        <v>1.5408993351786631</v>
      </c>
      <c r="MA105" s="13">
        <f t="shared" si="390"/>
        <v>3</v>
      </c>
      <c r="MB105" s="19">
        <f t="shared" ref="MB105:MB111" si="396">LZ105/LY105</f>
        <v>6.2589721544974705E-2</v>
      </c>
      <c r="MC105" s="19">
        <f t="shared" si="391"/>
        <v>-5.8616510773480859E-2</v>
      </c>
      <c r="MD105" s="19">
        <f t="shared" si="392"/>
        <v>2.3159006757174109E-3</v>
      </c>
      <c r="MF105" s="12" t="s">
        <v>37</v>
      </c>
      <c r="MG105" s="12" t="s">
        <v>37</v>
      </c>
      <c r="MH105" s="12" t="s">
        <v>37</v>
      </c>
      <c r="MJ105" s="12" t="s">
        <v>37</v>
      </c>
      <c r="MK105" s="12" t="s">
        <v>37</v>
      </c>
      <c r="ML105" s="12" t="s">
        <v>37</v>
      </c>
      <c r="MQ105" s="12" t="s">
        <v>37</v>
      </c>
      <c r="MR105" s="12" t="s">
        <v>37</v>
      </c>
      <c r="MS105" s="12" t="s">
        <v>37</v>
      </c>
      <c r="MU105" s="12" t="s">
        <v>37</v>
      </c>
      <c r="MV105" s="12" t="s">
        <v>37</v>
      </c>
      <c r="MW105" s="12" t="s">
        <v>37</v>
      </c>
      <c r="NC105" s="12" t="s">
        <v>37</v>
      </c>
      <c r="ND105" s="12" t="s">
        <v>37</v>
      </c>
      <c r="NE105" s="13" t="s">
        <v>37</v>
      </c>
      <c r="NG105" s="12" t="s">
        <v>37</v>
      </c>
      <c r="NH105" s="12" t="s">
        <v>37</v>
      </c>
      <c r="NI105" s="13" t="s">
        <v>37</v>
      </c>
      <c r="NO105" s="12" t="s">
        <v>37</v>
      </c>
      <c r="NP105" s="12" t="s">
        <v>37</v>
      </c>
      <c r="NQ105" s="13" t="s">
        <v>37</v>
      </c>
      <c r="NS105" s="12" t="s">
        <v>37</v>
      </c>
      <c r="NT105" s="12" t="s">
        <v>37</v>
      </c>
      <c r="NU105" s="13" t="s">
        <v>37</v>
      </c>
      <c r="OA105" s="11" t="s">
        <v>37</v>
      </c>
      <c r="OB105" s="11" t="s">
        <v>37</v>
      </c>
      <c r="OC105" s="13" t="s">
        <v>37</v>
      </c>
      <c r="OE105" s="11" t="s">
        <v>37</v>
      </c>
      <c r="OF105" s="11" t="s">
        <v>37</v>
      </c>
      <c r="OG105" s="13" t="s">
        <v>37</v>
      </c>
      <c r="OM105" s="11" t="s">
        <v>37</v>
      </c>
      <c r="ON105" s="11" t="s">
        <v>37</v>
      </c>
      <c r="OO105" s="11" t="s">
        <v>37</v>
      </c>
      <c r="OP105" s="11" t="s">
        <v>37</v>
      </c>
      <c r="OQ105" s="11" t="s">
        <v>37</v>
      </c>
      <c r="OR105" s="11" t="s">
        <v>37</v>
      </c>
      <c r="OW105" s="12" t="s">
        <v>37</v>
      </c>
      <c r="OX105" s="12" t="s">
        <v>37</v>
      </c>
      <c r="OY105" s="13" t="s">
        <v>37</v>
      </c>
      <c r="OZ105" s="12" t="s">
        <v>37</v>
      </c>
      <c r="PA105" s="12" t="s">
        <v>37</v>
      </c>
      <c r="PB105" s="13" t="s">
        <v>37</v>
      </c>
      <c r="PG105" s="11" t="s">
        <v>37</v>
      </c>
      <c r="PH105" s="11" t="s">
        <v>37</v>
      </c>
      <c r="PI105" s="13" t="s">
        <v>37</v>
      </c>
      <c r="PJ105" s="11" t="s">
        <v>37</v>
      </c>
      <c r="PK105" s="11" t="s">
        <v>37</v>
      </c>
      <c r="PL105" s="13" t="s">
        <v>37</v>
      </c>
      <c r="PQ105" s="12" t="s">
        <v>37</v>
      </c>
      <c r="PR105" s="12" t="s">
        <v>37</v>
      </c>
      <c r="PS105" s="12" t="s">
        <v>37</v>
      </c>
      <c r="PT105" s="12" t="s">
        <v>37</v>
      </c>
      <c r="PU105" s="12" t="s">
        <v>37</v>
      </c>
      <c r="PV105" s="12" t="s">
        <v>37</v>
      </c>
      <c r="PW105" s="12"/>
      <c r="PX105" s="12"/>
      <c r="PZ105" s="12" t="s">
        <v>37</v>
      </c>
      <c r="QA105" s="12" t="s">
        <v>37</v>
      </c>
      <c r="QB105" s="11" t="s">
        <v>37</v>
      </c>
      <c r="QD105" s="12" t="s">
        <v>37</v>
      </c>
      <c r="QE105" s="12" t="s">
        <v>37</v>
      </c>
      <c r="QF105" s="12" t="s">
        <v>37</v>
      </c>
      <c r="QK105" s="12" t="s">
        <v>37</v>
      </c>
      <c r="QL105" s="12" t="s">
        <v>37</v>
      </c>
      <c r="QM105" s="12" t="s">
        <v>37</v>
      </c>
      <c r="QN105" s="12" t="s">
        <v>37</v>
      </c>
      <c r="QO105" s="12" t="s">
        <v>37</v>
      </c>
      <c r="QP105" s="12" t="s">
        <v>37</v>
      </c>
      <c r="QQ105" s="12"/>
      <c r="QR105" s="12"/>
      <c r="QU105" s="11" t="s">
        <v>37</v>
      </c>
      <c r="QV105" s="11" t="s">
        <v>37</v>
      </c>
      <c r="QW105" s="13" t="s">
        <v>37</v>
      </c>
      <c r="QX105" s="11" t="s">
        <v>37</v>
      </c>
      <c r="QY105" s="11" t="s">
        <v>37</v>
      </c>
      <c r="QZ105" s="13" t="s">
        <v>37</v>
      </c>
      <c r="RC105" s="12" t="s">
        <v>37</v>
      </c>
      <c r="RD105" s="12" t="s">
        <v>37</v>
      </c>
      <c r="RE105" s="13" t="s">
        <v>37</v>
      </c>
      <c r="RF105" s="12" t="s">
        <v>37</v>
      </c>
      <c r="RG105" s="12" t="s">
        <v>37</v>
      </c>
      <c r="RH105" s="13" t="s">
        <v>37</v>
      </c>
      <c r="RK105" s="11" t="s">
        <v>37</v>
      </c>
      <c r="RL105" s="11" t="s">
        <v>37</v>
      </c>
      <c r="RM105" s="11" t="s">
        <v>37</v>
      </c>
      <c r="RN105" s="11" t="s">
        <v>37</v>
      </c>
      <c r="RO105" s="11" t="s">
        <v>37</v>
      </c>
      <c r="RP105" s="11" t="s">
        <v>37</v>
      </c>
      <c r="RS105" s="11" t="s">
        <v>37</v>
      </c>
      <c r="RT105" s="11" t="s">
        <v>37</v>
      </c>
      <c r="RU105" s="11" t="s">
        <v>37</v>
      </c>
      <c r="RV105" s="11" t="s">
        <v>37</v>
      </c>
      <c r="RW105" s="11" t="s">
        <v>37</v>
      </c>
      <c r="RX105" s="11" t="s">
        <v>37</v>
      </c>
      <c r="SA105" s="11" t="s">
        <v>37</v>
      </c>
      <c r="SB105" s="11" t="s">
        <v>37</v>
      </c>
      <c r="SC105" s="13" t="s">
        <v>37</v>
      </c>
      <c r="SD105" s="11" t="s">
        <v>37</v>
      </c>
      <c r="SE105" s="11" t="s">
        <v>37</v>
      </c>
      <c r="SF105" s="13" t="s">
        <v>37</v>
      </c>
      <c r="SI105" s="12" t="s">
        <v>37</v>
      </c>
      <c r="SJ105" s="12" t="s">
        <v>37</v>
      </c>
      <c r="SK105" s="13" t="s">
        <v>37</v>
      </c>
      <c r="SM105" s="12" t="s">
        <v>37</v>
      </c>
      <c r="SN105" s="12" t="s">
        <v>37</v>
      </c>
      <c r="SO105" s="13" t="s">
        <v>37</v>
      </c>
      <c r="SU105" s="12" t="s">
        <v>37</v>
      </c>
      <c r="SV105" s="12" t="s">
        <v>37</v>
      </c>
      <c r="SW105" s="11" t="s">
        <v>37</v>
      </c>
      <c r="SX105" s="12" t="s">
        <v>37</v>
      </c>
      <c r="SY105" s="12" t="s">
        <v>37</v>
      </c>
      <c r="SZ105" s="11" t="s">
        <v>37</v>
      </c>
      <c r="TE105" s="12" t="s">
        <v>37</v>
      </c>
      <c r="TF105" s="12" t="s">
        <v>37</v>
      </c>
      <c r="TG105" s="11" t="s">
        <v>37</v>
      </c>
      <c r="TH105" s="12" t="s">
        <v>37</v>
      </c>
      <c r="TI105" s="12" t="s">
        <v>37</v>
      </c>
      <c r="TJ105" s="11" t="s">
        <v>37</v>
      </c>
      <c r="TO105" s="12" t="s">
        <v>37</v>
      </c>
      <c r="TP105" s="12" t="s">
        <v>37</v>
      </c>
      <c r="TQ105" s="11" t="s">
        <v>37</v>
      </c>
      <c r="TR105" s="12" t="s">
        <v>37</v>
      </c>
      <c r="TS105" s="12" t="s">
        <v>37</v>
      </c>
      <c r="TT105" s="11" t="s">
        <v>37</v>
      </c>
      <c r="TY105" s="12" t="s">
        <v>37</v>
      </c>
      <c r="TZ105" s="12" t="s">
        <v>37</v>
      </c>
      <c r="UA105" s="12" t="s">
        <v>37</v>
      </c>
      <c r="UB105" s="12" t="s">
        <v>37</v>
      </c>
      <c r="UC105" s="12" t="s">
        <v>37</v>
      </c>
      <c r="UD105" s="12" t="s">
        <v>37</v>
      </c>
      <c r="UE105" s="12"/>
      <c r="UF105" s="12"/>
      <c r="UI105" s="12" t="s">
        <v>37</v>
      </c>
      <c r="UJ105" s="12" t="s">
        <v>37</v>
      </c>
      <c r="UK105" s="12" t="s">
        <v>37</v>
      </c>
      <c r="UL105" s="12" t="s">
        <v>37</v>
      </c>
      <c r="UM105" s="12" t="s">
        <v>37</v>
      </c>
      <c r="UN105" s="12" t="s">
        <v>37</v>
      </c>
      <c r="UO105" s="12"/>
      <c r="UP105" s="12"/>
      <c r="UR105" s="12" t="s">
        <v>37</v>
      </c>
      <c r="US105" s="12" t="s">
        <v>37</v>
      </c>
      <c r="UT105" s="12" t="s">
        <v>37</v>
      </c>
      <c r="UU105" s="12" t="s">
        <v>37</v>
      </c>
      <c r="UV105" s="12" t="s">
        <v>37</v>
      </c>
      <c r="UW105" s="12" t="s">
        <v>37</v>
      </c>
      <c r="UX105" s="12"/>
      <c r="UY105" s="12"/>
      <c r="VB105" s="12" t="s">
        <v>37</v>
      </c>
      <c r="VC105" s="12" t="s">
        <v>37</v>
      </c>
      <c r="VD105" s="12" t="s">
        <v>37</v>
      </c>
      <c r="VE105" s="12" t="s">
        <v>37</v>
      </c>
      <c r="VF105" s="12" t="s">
        <v>37</v>
      </c>
      <c r="VG105" s="12" t="s">
        <v>37</v>
      </c>
      <c r="VI105" s="12" t="s">
        <v>37</v>
      </c>
      <c r="VJ105" s="12" t="s">
        <v>37</v>
      </c>
      <c r="VK105" s="12" t="s">
        <v>37</v>
      </c>
      <c r="VL105" s="12" t="s">
        <v>37</v>
      </c>
      <c r="VM105" s="12" t="s">
        <v>37</v>
      </c>
      <c r="VN105" s="12" t="s">
        <v>37</v>
      </c>
      <c r="VQ105" s="13" t="s">
        <v>37</v>
      </c>
      <c r="VR105" s="13" t="s">
        <v>37</v>
      </c>
      <c r="VS105" s="13" t="s">
        <v>37</v>
      </c>
      <c r="VT105" s="13" t="s">
        <v>37</v>
      </c>
      <c r="VU105" s="13" t="s">
        <v>37</v>
      </c>
      <c r="VV105" s="13" t="s">
        <v>37</v>
      </c>
      <c r="WA105" s="13" t="s">
        <v>37</v>
      </c>
      <c r="WB105" s="13" t="s">
        <v>37</v>
      </c>
      <c r="WC105" s="13" t="s">
        <v>37</v>
      </c>
      <c r="WD105" s="13" t="s">
        <v>37</v>
      </c>
      <c r="WE105" s="13" t="s">
        <v>37</v>
      </c>
      <c r="WF105" s="13" t="s">
        <v>37</v>
      </c>
    </row>
    <row r="106" spans="1:604" ht="18" customHeight="1" x14ac:dyDescent="0.4">
      <c r="A106" s="11">
        <v>26</v>
      </c>
      <c r="B106" s="12" t="s">
        <v>168</v>
      </c>
      <c r="C106" s="12" t="s">
        <v>26</v>
      </c>
      <c r="D106" s="12" t="s">
        <v>54</v>
      </c>
      <c r="E106" s="40" t="s">
        <v>37</v>
      </c>
      <c r="F106" s="14">
        <v>0</v>
      </c>
      <c r="G106" s="14">
        <v>0</v>
      </c>
      <c r="H106" s="12" t="s">
        <v>123</v>
      </c>
      <c r="I106" s="29">
        <v>61.8</v>
      </c>
      <c r="J106" s="29">
        <v>24.317</v>
      </c>
      <c r="K106" s="12" t="s">
        <v>714</v>
      </c>
      <c r="L106" s="12" t="s">
        <v>666</v>
      </c>
      <c r="M106" s="13">
        <v>150</v>
      </c>
      <c r="N106" s="14">
        <v>3</v>
      </c>
      <c r="O106" s="14">
        <v>700</v>
      </c>
      <c r="P106" s="14" t="s">
        <v>84</v>
      </c>
      <c r="Q106" s="75">
        <v>30</v>
      </c>
      <c r="R106" s="11" t="s">
        <v>1000</v>
      </c>
      <c r="S106" s="12" t="s">
        <v>85</v>
      </c>
      <c r="T106" s="12" t="s">
        <v>138</v>
      </c>
      <c r="U106" s="12" t="s">
        <v>158</v>
      </c>
      <c r="V106" s="12" t="s">
        <v>275</v>
      </c>
      <c r="W106" s="23" t="s">
        <v>37</v>
      </c>
      <c r="X106" s="12" t="s">
        <v>37</v>
      </c>
      <c r="Y106" s="12" t="s">
        <v>69</v>
      </c>
      <c r="Z106" s="12" t="s">
        <v>37</v>
      </c>
      <c r="AA106" s="32" t="s">
        <v>372</v>
      </c>
      <c r="AB106" s="12">
        <v>4.4000000000000004</v>
      </c>
      <c r="AC106" s="16" t="s">
        <v>42</v>
      </c>
      <c r="AD106" s="32" t="s">
        <v>372</v>
      </c>
      <c r="AE106" s="12">
        <v>481</v>
      </c>
      <c r="AF106" s="12" t="s">
        <v>42</v>
      </c>
      <c r="AG106" s="32" t="s">
        <v>372</v>
      </c>
      <c r="AH106" s="12">
        <v>14</v>
      </c>
      <c r="AJ106" s="12" t="str">
        <f t="shared" si="356"/>
        <v>0-20</v>
      </c>
      <c r="AK106" s="19">
        <f t="shared" si="357"/>
        <v>34.357142857142854</v>
      </c>
      <c r="AL106" s="32">
        <v>1991</v>
      </c>
      <c r="AM106" s="12" t="s">
        <v>344</v>
      </c>
      <c r="AO106" s="12" t="s">
        <v>37</v>
      </c>
      <c r="AP106" s="11" t="s">
        <v>167</v>
      </c>
      <c r="AQ106" s="12" t="s">
        <v>975</v>
      </c>
      <c r="AR106" s="16" t="s">
        <v>42</v>
      </c>
      <c r="AS106" s="32" t="s">
        <v>372</v>
      </c>
      <c r="AT106" s="12">
        <v>481</v>
      </c>
      <c r="AU106" s="12">
        <v>11</v>
      </c>
      <c r="AV106" s="13">
        <v>3</v>
      </c>
      <c r="AW106" s="52">
        <f t="shared" si="358"/>
        <v>2.286902286902287E-2</v>
      </c>
      <c r="AX106" s="12">
        <v>502</v>
      </c>
      <c r="AY106" s="12">
        <v>5</v>
      </c>
      <c r="AZ106" s="13">
        <v>3</v>
      </c>
      <c r="BA106" s="52">
        <f t="shared" si="359"/>
        <v>9.9601593625498006E-3</v>
      </c>
      <c r="BB106" s="52">
        <f t="shared" si="360"/>
        <v>4.2732849585967965E-2</v>
      </c>
      <c r="BC106" s="19">
        <f t="shared" si="361"/>
        <v>2.0739899383709313E-4</v>
      </c>
      <c r="BE106" s="12" t="s">
        <v>326</v>
      </c>
      <c r="BF106" s="12" t="s">
        <v>326</v>
      </c>
      <c r="BG106" s="12" t="s">
        <v>326</v>
      </c>
      <c r="BI106" s="12" t="s">
        <v>326</v>
      </c>
      <c r="BJ106" s="12" t="s">
        <v>326</v>
      </c>
      <c r="BK106" s="12" t="s">
        <v>326</v>
      </c>
      <c r="BP106" s="12" t="s">
        <v>37</v>
      </c>
      <c r="BQ106" s="12" t="s">
        <v>37</v>
      </c>
      <c r="BR106" s="13" t="s">
        <v>37</v>
      </c>
      <c r="BT106" s="12" t="s">
        <v>37</v>
      </c>
      <c r="BU106" s="12" t="s">
        <v>37</v>
      </c>
      <c r="BV106" s="12" t="s">
        <v>37</v>
      </c>
      <c r="CA106" s="12" t="s">
        <v>37</v>
      </c>
      <c r="CB106" s="12" t="s">
        <v>37</v>
      </c>
      <c r="CC106" s="13" t="s">
        <v>37</v>
      </c>
      <c r="CE106" s="12" t="s">
        <v>37</v>
      </c>
      <c r="CF106" s="12" t="s">
        <v>37</v>
      </c>
      <c r="CG106" s="13" t="s">
        <v>37</v>
      </c>
      <c r="CI106" s="52"/>
      <c r="CJ106" s="12"/>
      <c r="CK106" s="73"/>
      <c r="CL106" s="73"/>
      <c r="CN106" s="12" t="s">
        <v>37</v>
      </c>
      <c r="CO106" s="12" t="s">
        <v>37</v>
      </c>
      <c r="CP106" s="13" t="s">
        <v>37</v>
      </c>
      <c r="CR106" s="12" t="s">
        <v>37</v>
      </c>
      <c r="CS106" s="12" t="s">
        <v>37</v>
      </c>
      <c r="CT106" s="13" t="s">
        <v>37</v>
      </c>
      <c r="CV106" s="52"/>
      <c r="CW106" s="52"/>
      <c r="CX106" s="73"/>
      <c r="CY106" s="73"/>
      <c r="DA106" s="12" t="s">
        <v>37</v>
      </c>
      <c r="DB106" s="12" t="s">
        <v>37</v>
      </c>
      <c r="DC106" s="13" t="s">
        <v>37</v>
      </c>
      <c r="DE106" s="12" t="s">
        <v>37</v>
      </c>
      <c r="DF106" s="12" t="s">
        <v>37</v>
      </c>
      <c r="DG106" s="13" t="s">
        <v>37</v>
      </c>
      <c r="DM106" s="15" t="s">
        <v>47</v>
      </c>
      <c r="DN106" s="19">
        <f>7.56*16/12*10^4/10^3</f>
        <v>100.8</v>
      </c>
      <c r="DO106" s="50">
        <f t="shared" si="362"/>
        <v>112.37983234732044</v>
      </c>
      <c r="DP106" s="18">
        <v>3</v>
      </c>
      <c r="DQ106" s="52"/>
      <c r="DR106" s="19">
        <f>0.08*16/12*10^4/10^3</f>
        <v>1.0666666666666667</v>
      </c>
      <c r="DS106" s="50">
        <f t="shared" si="363"/>
        <v>3.9863640476064104</v>
      </c>
      <c r="DT106" s="18">
        <v>3</v>
      </c>
      <c r="DU106" s="52"/>
      <c r="DV106" s="19">
        <f t="shared" si="336"/>
        <v>-99.733333333333334</v>
      </c>
      <c r="DW106" s="12">
        <f t="shared" si="337"/>
        <v>79.514520110266332</v>
      </c>
      <c r="DX106" s="72">
        <f t="shared" si="345"/>
        <v>4215.0392722439665</v>
      </c>
      <c r="DY106" s="72">
        <f t="shared" si="346"/>
        <v>4215.0392722439656</v>
      </c>
      <c r="DZ106" s="15" t="s">
        <v>47</v>
      </c>
      <c r="EA106" s="19">
        <f>3.4*44/28*10^4/10^6</f>
        <v>5.3428571428571429E-2</v>
      </c>
      <c r="EB106" s="50">
        <f t="shared" si="364"/>
        <v>0.30721305591080827</v>
      </c>
      <c r="EC106" s="72">
        <v>3</v>
      </c>
      <c r="EE106" s="19">
        <f>3.69*44/28*10^4/10^6</f>
        <v>5.7985714285714279E-2</v>
      </c>
      <c r="EF106" s="50">
        <f t="shared" si="365"/>
        <v>8.6580753574150279E-2</v>
      </c>
      <c r="EG106" s="13">
        <v>3</v>
      </c>
      <c r="EI106" s="19">
        <f t="shared" si="393"/>
        <v>4.5571428571428499E-3</v>
      </c>
      <c r="EJ106" s="12">
        <f t="shared" si="366"/>
        <v>0.22569458191494665</v>
      </c>
      <c r="EK106" s="19">
        <f t="shared" si="367"/>
        <v>3.3958696203841711E-2</v>
      </c>
      <c r="EL106" s="19">
        <f t="shared" si="368"/>
        <v>3.3958696203841718E-2</v>
      </c>
      <c r="EM106" s="12" t="s">
        <v>39</v>
      </c>
      <c r="EN106" s="12">
        <v>-2.62</v>
      </c>
      <c r="EO106" s="12">
        <v>0.79</v>
      </c>
      <c r="EP106" s="13">
        <v>3</v>
      </c>
      <c r="EQ106" s="19">
        <f t="shared" si="320"/>
        <v>0.30152671755725191</v>
      </c>
      <c r="ER106" s="12">
        <v>-21.88</v>
      </c>
      <c r="ES106" s="12">
        <v>3.76</v>
      </c>
      <c r="ET106" s="13">
        <v>3</v>
      </c>
      <c r="EU106" s="19">
        <f t="shared" si="321"/>
        <v>0.17184643510054845</v>
      </c>
      <c r="EV106" s="19">
        <f t="shared" si="312"/>
        <v>-19.259999999999998</v>
      </c>
      <c r="EW106" s="12">
        <f t="shared" si="313"/>
        <v>2.7167719815987503</v>
      </c>
      <c r="EX106" s="19">
        <f t="shared" si="314"/>
        <v>4.9205666666666659</v>
      </c>
      <c r="EY106" s="19">
        <f t="shared" si="315"/>
        <v>4.9205666666666668</v>
      </c>
      <c r="FB106" s="12" t="s">
        <v>37</v>
      </c>
      <c r="FC106" s="12" t="s">
        <v>37</v>
      </c>
      <c r="FD106" s="11" t="s">
        <v>37</v>
      </c>
      <c r="FE106" s="12" t="s">
        <v>37</v>
      </c>
      <c r="FF106" s="20" t="s">
        <v>37</v>
      </c>
      <c r="FG106" s="11" t="s">
        <v>37</v>
      </c>
      <c r="FI106" s="12" t="s">
        <v>37</v>
      </c>
      <c r="FJ106" s="12" t="s">
        <v>37</v>
      </c>
      <c r="FK106" s="11" t="s">
        <v>37</v>
      </c>
      <c r="FL106" s="13" t="s">
        <v>37</v>
      </c>
      <c r="FM106" s="11" t="s">
        <v>37</v>
      </c>
      <c r="FN106" s="11" t="s">
        <v>37</v>
      </c>
      <c r="FP106" s="12" t="s">
        <v>37</v>
      </c>
      <c r="FQ106" s="12" t="s">
        <v>37</v>
      </c>
      <c r="FR106" s="11" t="s">
        <v>37</v>
      </c>
      <c r="FS106" s="13" t="s">
        <v>37</v>
      </c>
      <c r="FT106" s="11" t="s">
        <v>37</v>
      </c>
      <c r="FU106" s="11" t="s">
        <v>37</v>
      </c>
      <c r="FW106" s="12" t="s">
        <v>37</v>
      </c>
      <c r="FX106" s="12" t="s">
        <v>37</v>
      </c>
      <c r="FY106" s="11" t="s">
        <v>37</v>
      </c>
      <c r="FZ106" s="13" t="s">
        <v>37</v>
      </c>
      <c r="GA106" s="11" t="s">
        <v>37</v>
      </c>
      <c r="GB106" s="11" t="s">
        <v>37</v>
      </c>
      <c r="GO106" s="12" t="s">
        <v>660</v>
      </c>
      <c r="GP106" s="12" t="s">
        <v>345</v>
      </c>
      <c r="GQ106" s="12">
        <v>6.45</v>
      </c>
      <c r="GR106" s="12">
        <v>0.57999999999999996</v>
      </c>
      <c r="GS106" s="13">
        <v>3</v>
      </c>
      <c r="GT106" s="19">
        <f t="shared" si="369"/>
        <v>8.9922480620155024E-2</v>
      </c>
      <c r="GU106" s="12">
        <v>8.24</v>
      </c>
      <c r="GV106" s="12">
        <v>0.77</v>
      </c>
      <c r="GW106" s="13">
        <v>3</v>
      </c>
      <c r="GX106" s="19">
        <f t="shared" si="370"/>
        <v>9.3446601941747573E-2</v>
      </c>
      <c r="GY106" s="19">
        <f t="shared" si="371"/>
        <v>0.24492021311369927</v>
      </c>
      <c r="GZ106" s="19">
        <f t="shared" si="372"/>
        <v>5.6061066451138595E-3</v>
      </c>
      <c r="HA106" s="17" t="s">
        <v>63</v>
      </c>
      <c r="HB106" s="34" t="s">
        <v>372</v>
      </c>
      <c r="HC106" s="12">
        <v>6.3E-2</v>
      </c>
      <c r="HD106" s="12">
        <v>1.2E-2</v>
      </c>
      <c r="HE106" s="13">
        <v>3</v>
      </c>
      <c r="HF106" s="19">
        <f t="shared" si="373"/>
        <v>0.19047619047619047</v>
      </c>
      <c r="HG106" s="12">
        <v>9.9000000000000005E-2</v>
      </c>
      <c r="HH106" s="12">
        <v>4.0000000000000001E-3</v>
      </c>
      <c r="HI106" s="13">
        <v>3</v>
      </c>
      <c r="HJ106" s="19">
        <f t="shared" si="374"/>
        <v>4.0404040404040401E-2</v>
      </c>
      <c r="HK106" s="19">
        <f t="shared" si="375"/>
        <v>0.45198512374305722</v>
      </c>
      <c r="HL106" s="19">
        <f t="shared" si="376"/>
        <v>1.263788853976444E-2</v>
      </c>
      <c r="IK106" s="12" t="s">
        <v>37</v>
      </c>
      <c r="IL106" s="12" t="s">
        <v>37</v>
      </c>
      <c r="IM106" s="12" t="s">
        <v>37</v>
      </c>
      <c r="IO106" s="12" t="s">
        <v>37</v>
      </c>
      <c r="IP106" s="12" t="s">
        <v>37</v>
      </c>
      <c r="IQ106" s="12" t="s">
        <v>37</v>
      </c>
      <c r="IV106" s="32" t="s">
        <v>372</v>
      </c>
      <c r="IW106" s="12">
        <v>4.4000000000000004</v>
      </c>
      <c r="IX106" s="50">
        <f t="shared" si="377"/>
        <v>0.1610960675633018</v>
      </c>
      <c r="IY106" s="13">
        <v>3</v>
      </c>
      <c r="JA106" s="12">
        <v>4</v>
      </c>
      <c r="JB106" s="50">
        <f t="shared" si="378"/>
        <v>0.11203523514281104</v>
      </c>
      <c r="JC106" s="13">
        <v>3</v>
      </c>
      <c r="JE106" s="19">
        <f t="shared" si="379"/>
        <v>-9.5310179804324893E-2</v>
      </c>
      <c r="JF106" s="19">
        <f t="shared" si="380"/>
        <v>7.0832876411330739E-4</v>
      </c>
      <c r="JH106" s="12" t="s">
        <v>37</v>
      </c>
      <c r="JI106" s="12" t="s">
        <v>37</v>
      </c>
      <c r="JJ106" s="13" t="s">
        <v>37</v>
      </c>
      <c r="JL106" s="12" t="s">
        <v>37</v>
      </c>
      <c r="JM106" s="12" t="s">
        <v>37</v>
      </c>
      <c r="JN106" s="12" t="s">
        <v>37</v>
      </c>
      <c r="JS106" s="12" t="s">
        <v>37</v>
      </c>
      <c r="JT106" s="12" t="s">
        <v>37</v>
      </c>
      <c r="JU106" s="13" t="s">
        <v>37</v>
      </c>
      <c r="JW106" s="12" t="s">
        <v>37</v>
      </c>
      <c r="JX106" s="12" t="s">
        <v>37</v>
      </c>
      <c r="JY106" s="12" t="s">
        <v>37</v>
      </c>
      <c r="KE106" s="11" t="s">
        <v>37</v>
      </c>
      <c r="KF106" s="11" t="s">
        <v>37</v>
      </c>
      <c r="KG106" s="13" t="s">
        <v>37</v>
      </c>
      <c r="KH106" s="11" t="s">
        <v>37</v>
      </c>
      <c r="KI106" s="11" t="s">
        <v>37</v>
      </c>
      <c r="KJ106" s="11" t="s">
        <v>37</v>
      </c>
      <c r="KK106" s="12" t="s">
        <v>42</v>
      </c>
      <c r="KL106" s="32" t="s">
        <v>372</v>
      </c>
      <c r="KM106" s="12">
        <v>14</v>
      </c>
      <c r="KN106" s="12">
        <v>3</v>
      </c>
      <c r="KO106" s="11">
        <v>3</v>
      </c>
      <c r="KP106" s="19">
        <f t="shared" si="381"/>
        <v>0.21428571428571427</v>
      </c>
      <c r="KQ106" s="12">
        <v>23</v>
      </c>
      <c r="KR106" s="12">
        <v>1</v>
      </c>
      <c r="KS106" s="13">
        <v>3</v>
      </c>
      <c r="KT106" s="19">
        <f t="shared" si="394"/>
        <v>4.3478260869565216E-2</v>
      </c>
      <c r="KU106" s="19">
        <f t="shared" si="382"/>
        <v>0.49643688631389105</v>
      </c>
      <c r="KV106" s="19">
        <f t="shared" si="383"/>
        <v>1.5936242171726914E-2</v>
      </c>
      <c r="KX106" s="12" t="s">
        <v>37</v>
      </c>
      <c r="KY106" s="12" t="s">
        <v>37</v>
      </c>
      <c r="KZ106" s="13" t="s">
        <v>37</v>
      </c>
      <c r="LB106" s="12" t="s">
        <v>37</v>
      </c>
      <c r="LC106" s="12" t="s">
        <v>37</v>
      </c>
      <c r="LD106" s="13" t="s">
        <v>37</v>
      </c>
      <c r="LI106" s="12" t="s">
        <v>37</v>
      </c>
      <c r="LJ106" s="12" t="s">
        <v>37</v>
      </c>
      <c r="LK106" s="12" t="s">
        <v>37</v>
      </c>
      <c r="LM106" s="12" t="s">
        <v>37</v>
      </c>
      <c r="LN106" s="12" t="s">
        <v>37</v>
      </c>
      <c r="LO106" s="12" t="s">
        <v>37</v>
      </c>
      <c r="LT106" s="12" t="str">
        <f t="shared" si="384"/>
        <v>0-20</v>
      </c>
      <c r="LU106" s="12">
        <f t="shared" si="385"/>
        <v>34.357142857142854</v>
      </c>
      <c r="LV106" s="12">
        <f t="shared" si="386"/>
        <v>7.4040527332199311</v>
      </c>
      <c r="LW106" s="13">
        <f t="shared" si="387"/>
        <v>3</v>
      </c>
      <c r="LX106" s="19">
        <f t="shared" si="395"/>
        <v>0.21550257435567369</v>
      </c>
      <c r="LY106" s="12">
        <f t="shared" si="388"/>
        <v>21.826086956521738</v>
      </c>
      <c r="LZ106" s="12">
        <f t="shared" si="389"/>
        <v>0.97354231281758696</v>
      </c>
      <c r="MA106" s="13">
        <f t="shared" si="390"/>
        <v>3</v>
      </c>
      <c r="MB106" s="19">
        <f t="shared" si="396"/>
        <v>4.4604528276502992E-2</v>
      </c>
      <c r="MC106" s="19">
        <f t="shared" si="391"/>
        <v>-0.45370403672792298</v>
      </c>
      <c r="MD106" s="19">
        <f t="shared" si="392"/>
        <v>1.6143641165564011E-2</v>
      </c>
      <c r="MF106" s="12" t="s">
        <v>37</v>
      </c>
      <c r="MG106" s="12" t="s">
        <v>37</v>
      </c>
      <c r="MH106" s="12" t="s">
        <v>37</v>
      </c>
      <c r="MJ106" s="12" t="s">
        <v>37</v>
      </c>
      <c r="MK106" s="12" t="s">
        <v>37</v>
      </c>
      <c r="ML106" s="12" t="s">
        <v>37</v>
      </c>
      <c r="MQ106" s="12" t="s">
        <v>37</v>
      </c>
      <c r="MR106" s="12" t="s">
        <v>37</v>
      </c>
      <c r="MS106" s="12" t="s">
        <v>37</v>
      </c>
      <c r="MU106" s="12" t="s">
        <v>37</v>
      </c>
      <c r="MV106" s="12" t="s">
        <v>37</v>
      </c>
      <c r="MW106" s="12" t="s">
        <v>37</v>
      </c>
      <c r="NC106" s="12" t="s">
        <v>37</v>
      </c>
      <c r="ND106" s="12" t="s">
        <v>37</v>
      </c>
      <c r="NE106" s="13" t="s">
        <v>37</v>
      </c>
      <c r="NG106" s="12" t="s">
        <v>37</v>
      </c>
      <c r="NH106" s="12" t="s">
        <v>37</v>
      </c>
      <c r="NI106" s="13" t="s">
        <v>37</v>
      </c>
      <c r="NO106" s="12" t="s">
        <v>37</v>
      </c>
      <c r="NP106" s="12" t="s">
        <v>37</v>
      </c>
      <c r="NQ106" s="13" t="s">
        <v>37</v>
      </c>
      <c r="NS106" s="12" t="s">
        <v>37</v>
      </c>
      <c r="NT106" s="12" t="s">
        <v>37</v>
      </c>
      <c r="NU106" s="13" t="s">
        <v>37</v>
      </c>
      <c r="OA106" s="11" t="s">
        <v>37</v>
      </c>
      <c r="OB106" s="11" t="s">
        <v>37</v>
      </c>
      <c r="OC106" s="13" t="s">
        <v>37</v>
      </c>
      <c r="OE106" s="11" t="s">
        <v>37</v>
      </c>
      <c r="OF106" s="11" t="s">
        <v>37</v>
      </c>
      <c r="OG106" s="13" t="s">
        <v>37</v>
      </c>
      <c r="OM106" s="11" t="s">
        <v>37</v>
      </c>
      <c r="ON106" s="11" t="s">
        <v>37</v>
      </c>
      <c r="OO106" s="11" t="s">
        <v>37</v>
      </c>
      <c r="OP106" s="11" t="s">
        <v>37</v>
      </c>
      <c r="OQ106" s="11" t="s">
        <v>37</v>
      </c>
      <c r="OR106" s="11" t="s">
        <v>37</v>
      </c>
      <c r="OW106" s="12" t="s">
        <v>37</v>
      </c>
      <c r="OX106" s="12" t="s">
        <v>37</v>
      </c>
      <c r="OY106" s="13" t="s">
        <v>37</v>
      </c>
      <c r="OZ106" s="12" t="s">
        <v>37</v>
      </c>
      <c r="PA106" s="12" t="s">
        <v>37</v>
      </c>
      <c r="PB106" s="13" t="s">
        <v>37</v>
      </c>
      <c r="PG106" s="11" t="s">
        <v>37</v>
      </c>
      <c r="PH106" s="11" t="s">
        <v>37</v>
      </c>
      <c r="PI106" s="13" t="s">
        <v>37</v>
      </c>
      <c r="PJ106" s="11" t="s">
        <v>37</v>
      </c>
      <c r="PK106" s="11" t="s">
        <v>37</v>
      </c>
      <c r="PL106" s="13" t="s">
        <v>37</v>
      </c>
      <c r="PQ106" s="12" t="s">
        <v>37</v>
      </c>
      <c r="PR106" s="12" t="s">
        <v>37</v>
      </c>
      <c r="PS106" s="12" t="s">
        <v>37</v>
      </c>
      <c r="PT106" s="12" t="s">
        <v>37</v>
      </c>
      <c r="PU106" s="12" t="s">
        <v>37</v>
      </c>
      <c r="PV106" s="12" t="s">
        <v>37</v>
      </c>
      <c r="PW106" s="12"/>
      <c r="PX106" s="12"/>
      <c r="PZ106" s="12" t="s">
        <v>37</v>
      </c>
      <c r="QA106" s="12" t="s">
        <v>37</v>
      </c>
      <c r="QB106" s="11" t="s">
        <v>37</v>
      </c>
      <c r="QD106" s="12" t="s">
        <v>37</v>
      </c>
      <c r="QE106" s="12" t="s">
        <v>37</v>
      </c>
      <c r="QF106" s="12" t="s">
        <v>37</v>
      </c>
      <c r="QK106" s="12" t="s">
        <v>37</v>
      </c>
      <c r="QL106" s="12" t="s">
        <v>37</v>
      </c>
      <c r="QM106" s="12" t="s">
        <v>37</v>
      </c>
      <c r="QN106" s="12" t="s">
        <v>37</v>
      </c>
      <c r="QO106" s="12" t="s">
        <v>37</v>
      </c>
      <c r="QP106" s="12" t="s">
        <v>37</v>
      </c>
      <c r="QQ106" s="12"/>
      <c r="QR106" s="12"/>
      <c r="QU106" s="11" t="s">
        <v>37</v>
      </c>
      <c r="QV106" s="11" t="s">
        <v>37</v>
      </c>
      <c r="QW106" s="13" t="s">
        <v>37</v>
      </c>
      <c r="QX106" s="11" t="s">
        <v>37</v>
      </c>
      <c r="QY106" s="11" t="s">
        <v>37</v>
      </c>
      <c r="QZ106" s="13" t="s">
        <v>37</v>
      </c>
      <c r="RC106" s="12" t="s">
        <v>37</v>
      </c>
      <c r="RD106" s="12" t="s">
        <v>37</v>
      </c>
      <c r="RE106" s="13" t="s">
        <v>37</v>
      </c>
      <c r="RF106" s="12" t="s">
        <v>37</v>
      </c>
      <c r="RG106" s="12" t="s">
        <v>37</v>
      </c>
      <c r="RH106" s="13" t="s">
        <v>37</v>
      </c>
      <c r="RK106" s="11" t="s">
        <v>37</v>
      </c>
      <c r="RL106" s="11" t="s">
        <v>37</v>
      </c>
      <c r="RM106" s="11" t="s">
        <v>37</v>
      </c>
      <c r="RN106" s="11" t="s">
        <v>37</v>
      </c>
      <c r="RO106" s="11" t="s">
        <v>37</v>
      </c>
      <c r="RP106" s="11" t="s">
        <v>37</v>
      </c>
      <c r="RS106" s="11" t="s">
        <v>37</v>
      </c>
      <c r="RT106" s="11" t="s">
        <v>37</v>
      </c>
      <c r="RU106" s="11" t="s">
        <v>37</v>
      </c>
      <c r="RV106" s="11" t="s">
        <v>37</v>
      </c>
      <c r="RW106" s="11" t="s">
        <v>37</v>
      </c>
      <c r="RX106" s="11" t="s">
        <v>37</v>
      </c>
      <c r="SA106" s="11" t="s">
        <v>37</v>
      </c>
      <c r="SB106" s="11" t="s">
        <v>37</v>
      </c>
      <c r="SC106" s="13" t="s">
        <v>37</v>
      </c>
      <c r="SD106" s="11" t="s">
        <v>37</v>
      </c>
      <c r="SE106" s="11" t="s">
        <v>37</v>
      </c>
      <c r="SF106" s="13" t="s">
        <v>37</v>
      </c>
      <c r="SI106" s="12" t="s">
        <v>37</v>
      </c>
      <c r="SJ106" s="12" t="s">
        <v>37</v>
      </c>
      <c r="SK106" s="13" t="s">
        <v>37</v>
      </c>
      <c r="SM106" s="12" t="s">
        <v>37</v>
      </c>
      <c r="SN106" s="12" t="s">
        <v>37</v>
      </c>
      <c r="SO106" s="13" t="s">
        <v>37</v>
      </c>
      <c r="SU106" s="12" t="s">
        <v>37</v>
      </c>
      <c r="SV106" s="12" t="s">
        <v>37</v>
      </c>
      <c r="SW106" s="11" t="s">
        <v>37</v>
      </c>
      <c r="SX106" s="12" t="s">
        <v>37</v>
      </c>
      <c r="SY106" s="12" t="s">
        <v>37</v>
      </c>
      <c r="SZ106" s="11" t="s">
        <v>37</v>
      </c>
      <c r="TE106" s="12" t="s">
        <v>37</v>
      </c>
      <c r="TF106" s="12" t="s">
        <v>37</v>
      </c>
      <c r="TG106" s="11" t="s">
        <v>37</v>
      </c>
      <c r="TH106" s="12" t="s">
        <v>37</v>
      </c>
      <c r="TI106" s="12" t="s">
        <v>37</v>
      </c>
      <c r="TJ106" s="11" t="s">
        <v>37</v>
      </c>
      <c r="TO106" s="12" t="s">
        <v>37</v>
      </c>
      <c r="TP106" s="12" t="s">
        <v>37</v>
      </c>
      <c r="TQ106" s="11" t="s">
        <v>37</v>
      </c>
      <c r="TR106" s="12" t="s">
        <v>37</v>
      </c>
      <c r="TS106" s="12" t="s">
        <v>37</v>
      </c>
      <c r="TT106" s="11" t="s">
        <v>37</v>
      </c>
      <c r="TY106" s="12" t="s">
        <v>37</v>
      </c>
      <c r="TZ106" s="12" t="s">
        <v>37</v>
      </c>
      <c r="UA106" s="12" t="s">
        <v>37</v>
      </c>
      <c r="UB106" s="12" t="s">
        <v>37</v>
      </c>
      <c r="UC106" s="12" t="s">
        <v>37</v>
      </c>
      <c r="UD106" s="12" t="s">
        <v>37</v>
      </c>
      <c r="UE106" s="12"/>
      <c r="UF106" s="12"/>
      <c r="UI106" s="12" t="s">
        <v>37</v>
      </c>
      <c r="UJ106" s="12" t="s">
        <v>37</v>
      </c>
      <c r="UK106" s="12" t="s">
        <v>37</v>
      </c>
      <c r="UL106" s="12" t="s">
        <v>37</v>
      </c>
      <c r="UM106" s="12" t="s">
        <v>37</v>
      </c>
      <c r="UN106" s="12" t="s">
        <v>37</v>
      </c>
      <c r="UO106" s="12"/>
      <c r="UP106" s="12"/>
      <c r="UR106" s="12" t="s">
        <v>37</v>
      </c>
      <c r="US106" s="12" t="s">
        <v>37</v>
      </c>
      <c r="UT106" s="12" t="s">
        <v>37</v>
      </c>
      <c r="UU106" s="12" t="s">
        <v>37</v>
      </c>
      <c r="UV106" s="12" t="s">
        <v>37</v>
      </c>
      <c r="UW106" s="12" t="s">
        <v>37</v>
      </c>
      <c r="UX106" s="12"/>
      <c r="UY106" s="12"/>
      <c r="VB106" s="12" t="s">
        <v>37</v>
      </c>
      <c r="VC106" s="12" t="s">
        <v>37</v>
      </c>
      <c r="VD106" s="12" t="s">
        <v>37</v>
      </c>
      <c r="VE106" s="12" t="s">
        <v>37</v>
      </c>
      <c r="VF106" s="12" t="s">
        <v>37</v>
      </c>
      <c r="VG106" s="12" t="s">
        <v>37</v>
      </c>
      <c r="VI106" s="12" t="s">
        <v>37</v>
      </c>
      <c r="VJ106" s="12" t="s">
        <v>37</v>
      </c>
      <c r="VK106" s="12" t="s">
        <v>37</v>
      </c>
      <c r="VL106" s="12" t="s">
        <v>37</v>
      </c>
      <c r="VM106" s="12" t="s">
        <v>37</v>
      </c>
      <c r="VN106" s="12" t="s">
        <v>37</v>
      </c>
      <c r="VQ106" s="13" t="s">
        <v>37</v>
      </c>
      <c r="VR106" s="13" t="s">
        <v>37</v>
      </c>
      <c r="VS106" s="13" t="s">
        <v>37</v>
      </c>
      <c r="VT106" s="13" t="s">
        <v>37</v>
      </c>
      <c r="VU106" s="13" t="s">
        <v>37</v>
      </c>
      <c r="VV106" s="13" t="s">
        <v>37</v>
      </c>
      <c r="WA106" s="13" t="s">
        <v>37</v>
      </c>
      <c r="WB106" s="13" t="s">
        <v>37</v>
      </c>
      <c r="WC106" s="13" t="s">
        <v>37</v>
      </c>
      <c r="WD106" s="13" t="s">
        <v>37</v>
      </c>
      <c r="WE106" s="13" t="s">
        <v>37</v>
      </c>
      <c r="WF106" s="13" t="s">
        <v>37</v>
      </c>
    </row>
    <row r="107" spans="1:604" ht="18" customHeight="1" x14ac:dyDescent="0.4">
      <c r="A107" s="11">
        <v>26</v>
      </c>
      <c r="B107" s="12" t="s">
        <v>168</v>
      </c>
      <c r="C107" s="12" t="s">
        <v>26</v>
      </c>
      <c r="D107" s="12" t="s">
        <v>54</v>
      </c>
      <c r="E107" s="40" t="s">
        <v>37</v>
      </c>
      <c r="F107" s="14">
        <v>0</v>
      </c>
      <c r="G107" s="14">
        <v>0</v>
      </c>
      <c r="H107" s="12" t="s">
        <v>123</v>
      </c>
      <c r="I107" s="29">
        <v>61.8</v>
      </c>
      <c r="J107" s="29">
        <v>24.317</v>
      </c>
      <c r="K107" s="12" t="s">
        <v>714</v>
      </c>
      <c r="L107" s="12" t="s">
        <v>666</v>
      </c>
      <c r="M107" s="13">
        <v>150</v>
      </c>
      <c r="N107" s="14">
        <v>3</v>
      </c>
      <c r="O107" s="14">
        <v>700</v>
      </c>
      <c r="P107" s="14" t="s">
        <v>84</v>
      </c>
      <c r="Q107" s="75">
        <v>31</v>
      </c>
      <c r="R107" s="11" t="s">
        <v>999</v>
      </c>
      <c r="S107" s="12" t="s">
        <v>85</v>
      </c>
      <c r="T107" s="12" t="s">
        <v>138</v>
      </c>
      <c r="U107" s="12" t="s">
        <v>158</v>
      </c>
      <c r="V107" s="12" t="s">
        <v>275</v>
      </c>
      <c r="W107" s="23" t="s">
        <v>37</v>
      </c>
      <c r="X107" s="12" t="s">
        <v>37</v>
      </c>
      <c r="Y107" s="12" t="s">
        <v>69</v>
      </c>
      <c r="Z107" s="12" t="s">
        <v>37</v>
      </c>
      <c r="AA107" s="32" t="s">
        <v>372</v>
      </c>
      <c r="AB107" s="12">
        <v>4.4000000000000004</v>
      </c>
      <c r="AC107" s="16" t="s">
        <v>42</v>
      </c>
      <c r="AD107" s="32" t="s">
        <v>372</v>
      </c>
      <c r="AE107" s="12">
        <v>481</v>
      </c>
      <c r="AF107" s="12" t="s">
        <v>42</v>
      </c>
      <c r="AG107" s="32" t="s">
        <v>372</v>
      </c>
      <c r="AH107" s="12">
        <v>14</v>
      </c>
      <c r="AJ107" s="12" t="str">
        <f t="shared" si="356"/>
        <v>0-20</v>
      </c>
      <c r="AK107" s="19">
        <f t="shared" si="357"/>
        <v>34.357142857142854</v>
      </c>
      <c r="AL107" s="32">
        <v>1992</v>
      </c>
      <c r="AM107" s="12" t="s">
        <v>344</v>
      </c>
      <c r="AO107" s="12" t="s">
        <v>37</v>
      </c>
      <c r="AP107" s="11" t="s">
        <v>167</v>
      </c>
      <c r="AQ107" s="12" t="s">
        <v>975</v>
      </c>
      <c r="AR107" s="16" t="s">
        <v>42</v>
      </c>
      <c r="AS107" s="32" t="s">
        <v>372</v>
      </c>
      <c r="AT107" s="12">
        <v>481</v>
      </c>
      <c r="AU107" s="12">
        <v>11</v>
      </c>
      <c r="AV107" s="13">
        <v>3</v>
      </c>
      <c r="AW107" s="52">
        <f t="shared" si="358"/>
        <v>2.286902286902287E-2</v>
      </c>
      <c r="AX107" s="12">
        <v>502</v>
      </c>
      <c r="AY107" s="12">
        <v>5</v>
      </c>
      <c r="AZ107" s="13">
        <v>3</v>
      </c>
      <c r="BA107" s="52">
        <f t="shared" si="359"/>
        <v>9.9601593625498006E-3</v>
      </c>
      <c r="BB107" s="52">
        <f t="shared" si="360"/>
        <v>4.2732849585967965E-2</v>
      </c>
      <c r="BC107" s="19">
        <f t="shared" si="361"/>
        <v>2.0739899383709313E-4</v>
      </c>
      <c r="BE107" s="12" t="s">
        <v>326</v>
      </c>
      <c r="BF107" s="12" t="s">
        <v>326</v>
      </c>
      <c r="BG107" s="12" t="s">
        <v>326</v>
      </c>
      <c r="BI107" s="12" t="s">
        <v>326</v>
      </c>
      <c r="BJ107" s="12" t="s">
        <v>326</v>
      </c>
      <c r="BK107" s="12" t="s">
        <v>326</v>
      </c>
      <c r="BP107" s="12" t="s">
        <v>37</v>
      </c>
      <c r="BQ107" s="12" t="s">
        <v>37</v>
      </c>
      <c r="BR107" s="13" t="s">
        <v>37</v>
      </c>
      <c r="BT107" s="12" t="s">
        <v>37</v>
      </c>
      <c r="BU107" s="12" t="s">
        <v>37</v>
      </c>
      <c r="BV107" s="12" t="s">
        <v>37</v>
      </c>
      <c r="CA107" s="12" t="s">
        <v>37</v>
      </c>
      <c r="CB107" s="12" t="s">
        <v>37</v>
      </c>
      <c r="CC107" s="13" t="s">
        <v>37</v>
      </c>
      <c r="CE107" s="12" t="s">
        <v>37</v>
      </c>
      <c r="CF107" s="12" t="s">
        <v>37</v>
      </c>
      <c r="CG107" s="13" t="s">
        <v>37</v>
      </c>
      <c r="CJ107" s="12"/>
      <c r="CN107" s="12" t="s">
        <v>37</v>
      </c>
      <c r="CO107" s="12" t="s">
        <v>37</v>
      </c>
      <c r="CP107" s="13" t="s">
        <v>37</v>
      </c>
      <c r="CR107" s="12" t="s">
        <v>37</v>
      </c>
      <c r="CS107" s="12" t="s">
        <v>37</v>
      </c>
      <c r="CT107" s="13" t="s">
        <v>37</v>
      </c>
      <c r="CX107" s="72"/>
      <c r="CY107" s="72"/>
      <c r="DA107" s="12" t="s">
        <v>37</v>
      </c>
      <c r="DB107" s="12" t="s">
        <v>37</v>
      </c>
      <c r="DC107" s="13" t="s">
        <v>37</v>
      </c>
      <c r="DE107" s="12" t="s">
        <v>37</v>
      </c>
      <c r="DF107" s="12" t="s">
        <v>37</v>
      </c>
      <c r="DG107" s="13" t="s">
        <v>37</v>
      </c>
      <c r="DI107" s="52"/>
      <c r="DJ107" s="52"/>
      <c r="DK107" s="73"/>
      <c r="DL107" s="73"/>
      <c r="DM107" s="15" t="s">
        <v>47</v>
      </c>
      <c r="DN107" s="19">
        <f>6.98*16/12*10^4/10^3</f>
        <v>93.066666666666677</v>
      </c>
      <c r="DO107" s="50">
        <f t="shared" si="362"/>
        <v>103.75809917781704</v>
      </c>
      <c r="DP107" s="18">
        <v>3</v>
      </c>
      <c r="DQ107" s="52"/>
      <c r="DR107" s="19">
        <f>0.01*16/12*10^4/10^3</f>
        <v>0.13333333333333333</v>
      </c>
      <c r="DS107" s="50">
        <f t="shared" si="363"/>
        <v>0.4982955059508013</v>
      </c>
      <c r="DT107" s="18">
        <v>3</v>
      </c>
      <c r="DU107" s="52"/>
      <c r="DV107" s="19">
        <f t="shared" si="336"/>
        <v>-92.933333333333337</v>
      </c>
      <c r="DW107" s="12">
        <f t="shared" si="337"/>
        <v>73.368901598037326</v>
      </c>
      <c r="DX107" s="72">
        <f t="shared" si="345"/>
        <v>3588.6638144683225</v>
      </c>
      <c r="DY107" s="72">
        <f t="shared" si="346"/>
        <v>3588.6638144683229</v>
      </c>
      <c r="DZ107" s="15" t="s">
        <v>47</v>
      </c>
      <c r="EA107" s="19">
        <f>15.3*44/28*10^4/10^6</f>
        <v>0.24042857142857144</v>
      </c>
      <c r="EB107" s="50">
        <f t="shared" si="364"/>
        <v>1.3824587515986373</v>
      </c>
      <c r="EC107" s="72">
        <v>3</v>
      </c>
      <c r="EE107" s="19">
        <f>56.2*44/28*10^4/10^6</f>
        <v>0.88314285714285712</v>
      </c>
      <c r="EF107" s="50">
        <f t="shared" si="365"/>
        <v>1.3186553796388201</v>
      </c>
      <c r="EG107" s="13">
        <v>3</v>
      </c>
      <c r="EI107" s="19">
        <f t="shared" si="393"/>
        <v>0.64271428571428568</v>
      </c>
      <c r="EJ107" s="12">
        <f t="shared" si="366"/>
        <v>1.3509337900360001</v>
      </c>
      <c r="EK107" s="19">
        <f t="shared" si="367"/>
        <v>1.216681403374021</v>
      </c>
      <c r="EL107" s="19">
        <f t="shared" si="368"/>
        <v>1.2166814033740212</v>
      </c>
      <c r="EM107" s="12" t="s">
        <v>39</v>
      </c>
      <c r="EN107" s="12">
        <v>-6.51</v>
      </c>
      <c r="EO107" s="12">
        <v>2.2799999999999998</v>
      </c>
      <c r="EP107" s="13">
        <v>3</v>
      </c>
      <c r="EQ107" s="19">
        <f t="shared" si="320"/>
        <v>0.35023041474654376</v>
      </c>
      <c r="ER107" s="12">
        <v>-46.73</v>
      </c>
      <c r="ES107" s="12">
        <v>5.78</v>
      </c>
      <c r="ET107" s="13">
        <v>3</v>
      </c>
      <c r="EU107" s="19">
        <f t="shared" si="321"/>
        <v>0.12368927883586563</v>
      </c>
      <c r="EV107" s="19">
        <f t="shared" si="312"/>
        <v>-40.22</v>
      </c>
      <c r="EW107" s="12">
        <f t="shared" si="313"/>
        <v>4.3935634739923808</v>
      </c>
      <c r="EX107" s="19">
        <f t="shared" si="314"/>
        <v>12.868933333333333</v>
      </c>
      <c r="EY107" s="19">
        <f t="shared" si="315"/>
        <v>12.868933333333333</v>
      </c>
      <c r="FB107" s="12" t="s">
        <v>37</v>
      </c>
      <c r="FC107" s="12" t="s">
        <v>37</v>
      </c>
      <c r="FD107" s="11" t="s">
        <v>37</v>
      </c>
      <c r="FE107" s="12" t="s">
        <v>37</v>
      </c>
      <c r="FF107" s="20" t="s">
        <v>37</v>
      </c>
      <c r="FG107" s="11" t="s">
        <v>37</v>
      </c>
      <c r="FI107" s="12" t="s">
        <v>37</v>
      </c>
      <c r="FJ107" s="12" t="s">
        <v>37</v>
      </c>
      <c r="FK107" s="11" t="s">
        <v>37</v>
      </c>
      <c r="FL107" s="13" t="s">
        <v>37</v>
      </c>
      <c r="FM107" s="11" t="s">
        <v>37</v>
      </c>
      <c r="FN107" s="11" t="s">
        <v>37</v>
      </c>
      <c r="FP107" s="12" t="s">
        <v>37</v>
      </c>
      <c r="FQ107" s="12" t="s">
        <v>37</v>
      </c>
      <c r="FR107" s="11" t="s">
        <v>37</v>
      </c>
      <c r="FS107" s="13" t="s">
        <v>37</v>
      </c>
      <c r="FT107" s="11" t="s">
        <v>37</v>
      </c>
      <c r="FU107" s="11" t="s">
        <v>37</v>
      </c>
      <c r="FW107" s="12" t="s">
        <v>37</v>
      </c>
      <c r="FX107" s="12" t="s">
        <v>37</v>
      </c>
      <c r="FY107" s="11" t="s">
        <v>37</v>
      </c>
      <c r="FZ107" s="13" t="s">
        <v>37</v>
      </c>
      <c r="GA107" s="11" t="s">
        <v>37</v>
      </c>
      <c r="GB107" s="11" t="s">
        <v>37</v>
      </c>
      <c r="GO107" s="12" t="s">
        <v>660</v>
      </c>
      <c r="GP107" s="12" t="s">
        <v>345</v>
      </c>
      <c r="GQ107" s="12">
        <v>10.4</v>
      </c>
      <c r="GR107" s="12">
        <v>0.51</v>
      </c>
      <c r="GS107" s="13">
        <v>3</v>
      </c>
      <c r="GT107" s="19">
        <f t="shared" si="369"/>
        <v>4.9038461538461538E-2</v>
      </c>
      <c r="GU107" s="12">
        <v>13.56</v>
      </c>
      <c r="GV107" s="12">
        <v>0.38</v>
      </c>
      <c r="GW107" s="13">
        <v>3</v>
      </c>
      <c r="GX107" s="19">
        <f t="shared" si="370"/>
        <v>2.8023598820058997E-2</v>
      </c>
      <c r="GY107" s="19">
        <f t="shared" si="371"/>
        <v>0.26531847636492256</v>
      </c>
      <c r="GZ107" s="19">
        <f t="shared" si="372"/>
        <v>1.0633642669622611E-3</v>
      </c>
      <c r="HA107" s="17" t="s">
        <v>63</v>
      </c>
      <c r="HB107" s="34" t="s">
        <v>372</v>
      </c>
      <c r="HC107" s="12">
        <v>6.3E-2</v>
      </c>
      <c r="HD107" s="12">
        <v>1.2E-2</v>
      </c>
      <c r="HE107" s="13">
        <v>3</v>
      </c>
      <c r="HF107" s="19">
        <f t="shared" si="373"/>
        <v>0.19047619047619047</v>
      </c>
      <c r="HG107" s="12">
        <v>9.9000000000000005E-2</v>
      </c>
      <c r="HH107" s="12">
        <v>4.0000000000000001E-3</v>
      </c>
      <c r="HI107" s="13">
        <v>3</v>
      </c>
      <c r="HJ107" s="19">
        <f t="shared" si="374"/>
        <v>4.0404040404040401E-2</v>
      </c>
      <c r="HK107" s="19">
        <f t="shared" si="375"/>
        <v>0.45198512374305722</v>
      </c>
      <c r="HL107" s="19">
        <f t="shared" si="376"/>
        <v>1.263788853976444E-2</v>
      </c>
      <c r="IK107" s="12" t="s">
        <v>37</v>
      </c>
      <c r="IL107" s="12" t="s">
        <v>37</v>
      </c>
      <c r="IM107" s="12" t="s">
        <v>37</v>
      </c>
      <c r="IO107" s="12" t="s">
        <v>37</v>
      </c>
      <c r="IP107" s="12" t="s">
        <v>37</v>
      </c>
      <c r="IQ107" s="12" t="s">
        <v>37</v>
      </c>
      <c r="IV107" s="32" t="s">
        <v>372</v>
      </c>
      <c r="IW107" s="12">
        <v>4.4000000000000004</v>
      </c>
      <c r="IX107" s="50">
        <f t="shared" si="377"/>
        <v>0.1610960675633018</v>
      </c>
      <c r="IY107" s="13">
        <v>3</v>
      </c>
      <c r="JA107" s="12">
        <v>4</v>
      </c>
      <c r="JB107" s="50">
        <f t="shared" si="378"/>
        <v>0.11203523514281104</v>
      </c>
      <c r="JC107" s="13">
        <v>3</v>
      </c>
      <c r="JE107" s="19">
        <f t="shared" si="379"/>
        <v>-9.5310179804324893E-2</v>
      </c>
      <c r="JF107" s="19">
        <f t="shared" si="380"/>
        <v>7.0832876411330739E-4</v>
      </c>
      <c r="JH107" s="12" t="s">
        <v>37</v>
      </c>
      <c r="JI107" s="12" t="s">
        <v>37</v>
      </c>
      <c r="JJ107" s="13" t="s">
        <v>37</v>
      </c>
      <c r="JL107" s="12" t="s">
        <v>37</v>
      </c>
      <c r="JM107" s="12" t="s">
        <v>37</v>
      </c>
      <c r="JN107" s="12" t="s">
        <v>37</v>
      </c>
      <c r="JS107" s="12" t="s">
        <v>37</v>
      </c>
      <c r="JT107" s="12" t="s">
        <v>37</v>
      </c>
      <c r="JU107" s="13" t="s">
        <v>37</v>
      </c>
      <c r="JW107" s="12" t="s">
        <v>37</v>
      </c>
      <c r="JX107" s="12" t="s">
        <v>37</v>
      </c>
      <c r="JY107" s="12" t="s">
        <v>37</v>
      </c>
      <c r="KE107" s="11" t="s">
        <v>37</v>
      </c>
      <c r="KF107" s="11" t="s">
        <v>37</v>
      </c>
      <c r="KG107" s="13" t="s">
        <v>37</v>
      </c>
      <c r="KH107" s="11" t="s">
        <v>37</v>
      </c>
      <c r="KI107" s="11" t="s">
        <v>37</v>
      </c>
      <c r="KJ107" s="11" t="s">
        <v>37</v>
      </c>
      <c r="KK107" s="12" t="s">
        <v>42</v>
      </c>
      <c r="KL107" s="32" t="s">
        <v>372</v>
      </c>
      <c r="KM107" s="12">
        <v>14</v>
      </c>
      <c r="KN107" s="12">
        <v>3</v>
      </c>
      <c r="KO107" s="11">
        <v>3</v>
      </c>
      <c r="KP107" s="19">
        <f t="shared" si="381"/>
        <v>0.21428571428571427</v>
      </c>
      <c r="KQ107" s="12">
        <v>23</v>
      </c>
      <c r="KR107" s="12">
        <v>1</v>
      </c>
      <c r="KS107" s="13">
        <v>3</v>
      </c>
      <c r="KT107" s="19">
        <f t="shared" si="394"/>
        <v>4.3478260869565216E-2</v>
      </c>
      <c r="KU107" s="19">
        <f t="shared" si="382"/>
        <v>0.49643688631389105</v>
      </c>
      <c r="KV107" s="19">
        <f t="shared" si="383"/>
        <v>1.5936242171726914E-2</v>
      </c>
      <c r="KX107" s="12" t="s">
        <v>37</v>
      </c>
      <c r="KY107" s="12" t="s">
        <v>37</v>
      </c>
      <c r="KZ107" s="13" t="s">
        <v>37</v>
      </c>
      <c r="LB107" s="12" t="s">
        <v>37</v>
      </c>
      <c r="LC107" s="12" t="s">
        <v>37</v>
      </c>
      <c r="LD107" s="13" t="s">
        <v>37</v>
      </c>
      <c r="LI107" s="12" t="s">
        <v>37</v>
      </c>
      <c r="LJ107" s="12" t="s">
        <v>37</v>
      </c>
      <c r="LK107" s="12" t="s">
        <v>37</v>
      </c>
      <c r="LM107" s="12" t="s">
        <v>37</v>
      </c>
      <c r="LN107" s="12" t="s">
        <v>37</v>
      </c>
      <c r="LO107" s="12" t="s">
        <v>37</v>
      </c>
      <c r="LT107" s="12" t="str">
        <f t="shared" si="384"/>
        <v>0-20</v>
      </c>
      <c r="LU107" s="12">
        <f t="shared" si="385"/>
        <v>34.357142857142854</v>
      </c>
      <c r="LV107" s="12">
        <f t="shared" si="386"/>
        <v>7.4040527332199311</v>
      </c>
      <c r="LW107" s="13">
        <f t="shared" si="387"/>
        <v>3</v>
      </c>
      <c r="LX107" s="19">
        <f t="shared" si="395"/>
        <v>0.21550257435567369</v>
      </c>
      <c r="LY107" s="12">
        <f t="shared" si="388"/>
        <v>21.826086956521738</v>
      </c>
      <c r="LZ107" s="12">
        <f t="shared" si="389"/>
        <v>0.97354231281758696</v>
      </c>
      <c r="MA107" s="13">
        <f t="shared" si="390"/>
        <v>3</v>
      </c>
      <c r="MB107" s="19">
        <f t="shared" si="396"/>
        <v>4.4604528276502992E-2</v>
      </c>
      <c r="MC107" s="19">
        <f t="shared" si="391"/>
        <v>-0.45370403672792298</v>
      </c>
      <c r="MD107" s="19">
        <f t="shared" si="392"/>
        <v>1.6143641165564011E-2</v>
      </c>
      <c r="MF107" s="12" t="s">
        <v>37</v>
      </c>
      <c r="MG107" s="12" t="s">
        <v>37</v>
      </c>
      <c r="MH107" s="12" t="s">
        <v>37</v>
      </c>
      <c r="MJ107" s="12" t="s">
        <v>37</v>
      </c>
      <c r="MK107" s="12" t="s">
        <v>37</v>
      </c>
      <c r="ML107" s="12" t="s">
        <v>37</v>
      </c>
      <c r="MQ107" s="12" t="s">
        <v>37</v>
      </c>
      <c r="MR107" s="12" t="s">
        <v>37</v>
      </c>
      <c r="MS107" s="12" t="s">
        <v>37</v>
      </c>
      <c r="MU107" s="12" t="s">
        <v>37</v>
      </c>
      <c r="MV107" s="12" t="s">
        <v>37</v>
      </c>
      <c r="MW107" s="12" t="s">
        <v>37</v>
      </c>
      <c r="NC107" s="12" t="s">
        <v>37</v>
      </c>
      <c r="ND107" s="12" t="s">
        <v>37</v>
      </c>
      <c r="NE107" s="13" t="s">
        <v>37</v>
      </c>
      <c r="NG107" s="12" t="s">
        <v>37</v>
      </c>
      <c r="NH107" s="12" t="s">
        <v>37</v>
      </c>
      <c r="NI107" s="13" t="s">
        <v>37</v>
      </c>
      <c r="NO107" s="12" t="s">
        <v>37</v>
      </c>
      <c r="NP107" s="12" t="s">
        <v>37</v>
      </c>
      <c r="NQ107" s="13" t="s">
        <v>37</v>
      </c>
      <c r="NS107" s="12" t="s">
        <v>37</v>
      </c>
      <c r="NT107" s="12" t="s">
        <v>37</v>
      </c>
      <c r="NU107" s="13" t="s">
        <v>37</v>
      </c>
      <c r="OA107" s="11" t="s">
        <v>37</v>
      </c>
      <c r="OB107" s="11" t="s">
        <v>37</v>
      </c>
      <c r="OC107" s="13" t="s">
        <v>37</v>
      </c>
      <c r="OE107" s="11" t="s">
        <v>37</v>
      </c>
      <c r="OF107" s="11" t="s">
        <v>37</v>
      </c>
      <c r="OG107" s="13" t="s">
        <v>37</v>
      </c>
      <c r="OM107" s="11" t="s">
        <v>37</v>
      </c>
      <c r="ON107" s="11" t="s">
        <v>37</v>
      </c>
      <c r="OO107" s="11" t="s">
        <v>37</v>
      </c>
      <c r="OP107" s="11" t="s">
        <v>37</v>
      </c>
      <c r="OQ107" s="11" t="s">
        <v>37</v>
      </c>
      <c r="OR107" s="11" t="s">
        <v>37</v>
      </c>
      <c r="OW107" s="12" t="s">
        <v>37</v>
      </c>
      <c r="OX107" s="12" t="s">
        <v>37</v>
      </c>
      <c r="OY107" s="13" t="s">
        <v>37</v>
      </c>
      <c r="OZ107" s="12" t="s">
        <v>37</v>
      </c>
      <c r="PA107" s="12" t="s">
        <v>37</v>
      </c>
      <c r="PB107" s="13" t="s">
        <v>37</v>
      </c>
      <c r="PG107" s="11" t="s">
        <v>37</v>
      </c>
      <c r="PH107" s="11" t="s">
        <v>37</v>
      </c>
      <c r="PI107" s="13" t="s">
        <v>37</v>
      </c>
      <c r="PJ107" s="11" t="s">
        <v>37</v>
      </c>
      <c r="PK107" s="11" t="s">
        <v>37</v>
      </c>
      <c r="PL107" s="13" t="s">
        <v>37</v>
      </c>
      <c r="PQ107" s="12" t="s">
        <v>37</v>
      </c>
      <c r="PR107" s="12" t="s">
        <v>37</v>
      </c>
      <c r="PS107" s="12" t="s">
        <v>37</v>
      </c>
      <c r="PT107" s="12" t="s">
        <v>37</v>
      </c>
      <c r="PU107" s="12" t="s">
        <v>37</v>
      </c>
      <c r="PV107" s="12" t="s">
        <v>37</v>
      </c>
      <c r="PW107" s="12"/>
      <c r="PX107" s="12"/>
      <c r="PZ107" s="12" t="s">
        <v>37</v>
      </c>
      <c r="QA107" s="12" t="s">
        <v>37</v>
      </c>
      <c r="QB107" s="11" t="s">
        <v>37</v>
      </c>
      <c r="QD107" s="12" t="s">
        <v>37</v>
      </c>
      <c r="QE107" s="12" t="s">
        <v>37</v>
      </c>
      <c r="QF107" s="12" t="s">
        <v>37</v>
      </c>
      <c r="QK107" s="12" t="s">
        <v>37</v>
      </c>
      <c r="QL107" s="12" t="s">
        <v>37</v>
      </c>
      <c r="QM107" s="12" t="s">
        <v>37</v>
      </c>
      <c r="QN107" s="12" t="s">
        <v>37</v>
      </c>
      <c r="QO107" s="12" t="s">
        <v>37</v>
      </c>
      <c r="QP107" s="12" t="s">
        <v>37</v>
      </c>
      <c r="QQ107" s="12"/>
      <c r="QR107" s="12"/>
      <c r="QU107" s="11" t="s">
        <v>37</v>
      </c>
      <c r="QV107" s="11" t="s">
        <v>37</v>
      </c>
      <c r="QW107" s="13" t="s">
        <v>37</v>
      </c>
      <c r="QX107" s="11" t="s">
        <v>37</v>
      </c>
      <c r="QY107" s="11" t="s">
        <v>37</v>
      </c>
      <c r="QZ107" s="13" t="s">
        <v>37</v>
      </c>
      <c r="RC107" s="12" t="s">
        <v>37</v>
      </c>
      <c r="RD107" s="12" t="s">
        <v>37</v>
      </c>
      <c r="RE107" s="13" t="s">
        <v>37</v>
      </c>
      <c r="RF107" s="12" t="s">
        <v>37</v>
      </c>
      <c r="RG107" s="12" t="s">
        <v>37</v>
      </c>
      <c r="RH107" s="13" t="s">
        <v>37</v>
      </c>
      <c r="RK107" s="11" t="s">
        <v>37</v>
      </c>
      <c r="RL107" s="11" t="s">
        <v>37</v>
      </c>
      <c r="RM107" s="11" t="s">
        <v>37</v>
      </c>
      <c r="RN107" s="11" t="s">
        <v>37</v>
      </c>
      <c r="RO107" s="11" t="s">
        <v>37</v>
      </c>
      <c r="RP107" s="11" t="s">
        <v>37</v>
      </c>
      <c r="RS107" s="11" t="s">
        <v>37</v>
      </c>
      <c r="RT107" s="11" t="s">
        <v>37</v>
      </c>
      <c r="RU107" s="11" t="s">
        <v>37</v>
      </c>
      <c r="RV107" s="11" t="s">
        <v>37</v>
      </c>
      <c r="RW107" s="11" t="s">
        <v>37</v>
      </c>
      <c r="RX107" s="11" t="s">
        <v>37</v>
      </c>
      <c r="SA107" s="11" t="s">
        <v>37</v>
      </c>
      <c r="SB107" s="11" t="s">
        <v>37</v>
      </c>
      <c r="SC107" s="13" t="s">
        <v>37</v>
      </c>
      <c r="SD107" s="11" t="s">
        <v>37</v>
      </c>
      <c r="SE107" s="11" t="s">
        <v>37</v>
      </c>
      <c r="SF107" s="13" t="s">
        <v>37</v>
      </c>
      <c r="SI107" s="12" t="s">
        <v>37</v>
      </c>
      <c r="SJ107" s="12" t="s">
        <v>37</v>
      </c>
      <c r="SK107" s="13" t="s">
        <v>37</v>
      </c>
      <c r="SM107" s="12" t="s">
        <v>37</v>
      </c>
      <c r="SN107" s="12" t="s">
        <v>37</v>
      </c>
      <c r="SO107" s="13" t="s">
        <v>37</v>
      </c>
      <c r="SU107" s="12" t="s">
        <v>37</v>
      </c>
      <c r="SV107" s="12" t="s">
        <v>37</v>
      </c>
      <c r="SW107" s="11" t="s">
        <v>37</v>
      </c>
      <c r="SX107" s="12" t="s">
        <v>37</v>
      </c>
      <c r="SY107" s="12" t="s">
        <v>37</v>
      </c>
      <c r="SZ107" s="11" t="s">
        <v>37</v>
      </c>
      <c r="TE107" s="12" t="s">
        <v>37</v>
      </c>
      <c r="TF107" s="12" t="s">
        <v>37</v>
      </c>
      <c r="TG107" s="11" t="s">
        <v>37</v>
      </c>
      <c r="TH107" s="12" t="s">
        <v>37</v>
      </c>
      <c r="TI107" s="12" t="s">
        <v>37</v>
      </c>
      <c r="TJ107" s="11" t="s">
        <v>37</v>
      </c>
      <c r="TO107" s="12" t="s">
        <v>37</v>
      </c>
      <c r="TP107" s="12" t="s">
        <v>37</v>
      </c>
      <c r="TQ107" s="11" t="s">
        <v>37</v>
      </c>
      <c r="TR107" s="12" t="s">
        <v>37</v>
      </c>
      <c r="TS107" s="12" t="s">
        <v>37</v>
      </c>
      <c r="TT107" s="11" t="s">
        <v>37</v>
      </c>
      <c r="TY107" s="12" t="s">
        <v>37</v>
      </c>
      <c r="TZ107" s="12" t="s">
        <v>37</v>
      </c>
      <c r="UA107" s="12" t="s">
        <v>37</v>
      </c>
      <c r="UB107" s="12" t="s">
        <v>37</v>
      </c>
      <c r="UC107" s="12" t="s">
        <v>37</v>
      </c>
      <c r="UD107" s="12" t="s">
        <v>37</v>
      </c>
      <c r="UE107" s="12"/>
      <c r="UF107" s="12"/>
      <c r="UI107" s="12" t="s">
        <v>37</v>
      </c>
      <c r="UJ107" s="12" t="s">
        <v>37</v>
      </c>
      <c r="UK107" s="12" t="s">
        <v>37</v>
      </c>
      <c r="UL107" s="12" t="s">
        <v>37</v>
      </c>
      <c r="UM107" s="12" t="s">
        <v>37</v>
      </c>
      <c r="UN107" s="12" t="s">
        <v>37</v>
      </c>
      <c r="UO107" s="12"/>
      <c r="UP107" s="12"/>
      <c r="UR107" s="12" t="s">
        <v>37</v>
      </c>
      <c r="US107" s="12" t="s">
        <v>37</v>
      </c>
      <c r="UT107" s="12" t="s">
        <v>37</v>
      </c>
      <c r="UU107" s="12" t="s">
        <v>37</v>
      </c>
      <c r="UV107" s="12" t="s">
        <v>37</v>
      </c>
      <c r="UW107" s="12" t="s">
        <v>37</v>
      </c>
      <c r="UX107" s="12"/>
      <c r="UY107" s="12"/>
      <c r="VB107" s="12" t="s">
        <v>37</v>
      </c>
      <c r="VC107" s="12" t="s">
        <v>37</v>
      </c>
      <c r="VD107" s="12" t="s">
        <v>37</v>
      </c>
      <c r="VE107" s="12" t="s">
        <v>37</v>
      </c>
      <c r="VF107" s="12" t="s">
        <v>37</v>
      </c>
      <c r="VG107" s="12" t="s">
        <v>37</v>
      </c>
      <c r="VI107" s="12" t="s">
        <v>37</v>
      </c>
      <c r="VJ107" s="12" t="s">
        <v>37</v>
      </c>
      <c r="VK107" s="12" t="s">
        <v>37</v>
      </c>
      <c r="VL107" s="12" t="s">
        <v>37</v>
      </c>
      <c r="VM107" s="12" t="s">
        <v>37</v>
      </c>
      <c r="VN107" s="12" t="s">
        <v>37</v>
      </c>
      <c r="VQ107" s="13" t="s">
        <v>37</v>
      </c>
      <c r="VR107" s="13" t="s">
        <v>37</v>
      </c>
      <c r="VS107" s="13" t="s">
        <v>37</v>
      </c>
      <c r="VT107" s="13" t="s">
        <v>37</v>
      </c>
      <c r="VU107" s="13" t="s">
        <v>37</v>
      </c>
      <c r="VV107" s="13" t="s">
        <v>37</v>
      </c>
      <c r="WA107" s="13" t="s">
        <v>37</v>
      </c>
      <c r="WB107" s="13" t="s">
        <v>37</v>
      </c>
      <c r="WC107" s="13" t="s">
        <v>37</v>
      </c>
      <c r="WD107" s="13" t="s">
        <v>37</v>
      </c>
      <c r="WE107" s="13" t="s">
        <v>37</v>
      </c>
      <c r="WF107" s="13" t="s">
        <v>37</v>
      </c>
    </row>
    <row r="108" spans="1:604" ht="18" customHeight="1" x14ac:dyDescent="0.4">
      <c r="A108" s="11">
        <v>26</v>
      </c>
      <c r="B108" s="12" t="s">
        <v>168</v>
      </c>
      <c r="C108" s="12" t="s">
        <v>26</v>
      </c>
      <c r="D108" s="12" t="s">
        <v>54</v>
      </c>
      <c r="E108" s="40" t="s">
        <v>37</v>
      </c>
      <c r="F108" s="14">
        <v>0</v>
      </c>
      <c r="G108" s="14">
        <v>0</v>
      </c>
      <c r="H108" s="12" t="s">
        <v>123</v>
      </c>
      <c r="I108" s="29">
        <v>61.8</v>
      </c>
      <c r="J108" s="29">
        <v>24.317</v>
      </c>
      <c r="K108" s="12" t="s">
        <v>714</v>
      </c>
      <c r="L108" s="12" t="s">
        <v>666</v>
      </c>
      <c r="M108" s="13">
        <v>150</v>
      </c>
      <c r="N108" s="14">
        <v>3</v>
      </c>
      <c r="O108" s="14">
        <v>700</v>
      </c>
      <c r="P108" s="14" t="s">
        <v>84</v>
      </c>
      <c r="Q108" s="75">
        <v>30</v>
      </c>
      <c r="R108" s="11" t="s">
        <v>1000</v>
      </c>
      <c r="S108" s="12" t="s">
        <v>93</v>
      </c>
      <c r="T108" s="12" t="s">
        <v>141</v>
      </c>
      <c r="U108" s="12" t="s">
        <v>158</v>
      </c>
      <c r="V108" s="12" t="s">
        <v>275</v>
      </c>
      <c r="W108" s="23" t="s">
        <v>37</v>
      </c>
      <c r="X108" s="12" t="s">
        <v>37</v>
      </c>
      <c r="Y108" s="12" t="s">
        <v>69</v>
      </c>
      <c r="Z108" s="12" t="s">
        <v>37</v>
      </c>
      <c r="AA108" s="32" t="s">
        <v>372</v>
      </c>
      <c r="AB108" s="12">
        <v>3.8</v>
      </c>
      <c r="AC108" s="16" t="s">
        <v>42</v>
      </c>
      <c r="AD108" s="32" t="s">
        <v>372</v>
      </c>
      <c r="AE108" s="12">
        <v>473</v>
      </c>
      <c r="AF108" s="12" t="s">
        <v>42</v>
      </c>
      <c r="AG108" s="32" t="s">
        <v>372</v>
      </c>
      <c r="AH108" s="12">
        <v>9</v>
      </c>
      <c r="AJ108" s="12" t="str">
        <f t="shared" si="356"/>
        <v>0-20</v>
      </c>
      <c r="AK108" s="19">
        <f t="shared" si="357"/>
        <v>52.555555555555557</v>
      </c>
      <c r="AL108" s="32">
        <v>1991</v>
      </c>
      <c r="AM108" s="12" t="s">
        <v>344</v>
      </c>
      <c r="AO108" s="12" t="s">
        <v>37</v>
      </c>
      <c r="AP108" s="11" t="s">
        <v>167</v>
      </c>
      <c r="AQ108" s="12" t="s">
        <v>975</v>
      </c>
      <c r="AR108" s="16" t="s">
        <v>42</v>
      </c>
      <c r="AS108" s="32" t="s">
        <v>372</v>
      </c>
      <c r="AT108" s="12">
        <v>473</v>
      </c>
      <c r="AU108" s="15">
        <v>16</v>
      </c>
      <c r="AV108" s="18">
        <v>3</v>
      </c>
      <c r="AW108" s="52">
        <f t="shared" si="358"/>
        <v>3.382663847780127E-2</v>
      </c>
      <c r="AX108" s="15">
        <v>473</v>
      </c>
      <c r="AY108" s="15">
        <v>3</v>
      </c>
      <c r="AZ108" s="13">
        <v>3</v>
      </c>
      <c r="BA108" s="52">
        <f t="shared" si="359"/>
        <v>6.3424947145877377E-3</v>
      </c>
      <c r="BB108" s="52">
        <f t="shared" si="360"/>
        <v>0</v>
      </c>
      <c r="BC108" s="19">
        <f t="shared" si="361"/>
        <v>3.9482290330414624E-4</v>
      </c>
      <c r="BE108" s="12" t="s">
        <v>326</v>
      </c>
      <c r="BF108" s="12" t="s">
        <v>326</v>
      </c>
      <c r="BG108" s="12" t="s">
        <v>326</v>
      </c>
      <c r="BI108" s="12" t="s">
        <v>326</v>
      </c>
      <c r="BJ108" s="12" t="s">
        <v>326</v>
      </c>
      <c r="BK108" s="12" t="s">
        <v>326</v>
      </c>
      <c r="BP108" s="12" t="s">
        <v>37</v>
      </c>
      <c r="BQ108" s="12" t="s">
        <v>37</v>
      </c>
      <c r="BR108" s="13" t="s">
        <v>37</v>
      </c>
      <c r="BT108" s="12" t="s">
        <v>37</v>
      </c>
      <c r="BU108" s="12" t="s">
        <v>37</v>
      </c>
      <c r="BV108" s="12" t="s">
        <v>37</v>
      </c>
      <c r="CA108" s="12" t="s">
        <v>37</v>
      </c>
      <c r="CB108" s="12" t="s">
        <v>37</v>
      </c>
      <c r="CC108" s="13" t="s">
        <v>37</v>
      </c>
      <c r="CE108" s="12" t="s">
        <v>37</v>
      </c>
      <c r="CF108" s="12" t="s">
        <v>37</v>
      </c>
      <c r="CG108" s="13" t="s">
        <v>37</v>
      </c>
      <c r="CJ108" s="12"/>
      <c r="CN108" s="12" t="s">
        <v>37</v>
      </c>
      <c r="CO108" s="12" t="s">
        <v>37</v>
      </c>
      <c r="CP108" s="13" t="s">
        <v>37</v>
      </c>
      <c r="CR108" s="12" t="s">
        <v>37</v>
      </c>
      <c r="CS108" s="12" t="s">
        <v>37</v>
      </c>
      <c r="CT108" s="13" t="s">
        <v>37</v>
      </c>
      <c r="CX108" s="72"/>
      <c r="CY108" s="72"/>
      <c r="DA108" s="12" t="s">
        <v>37</v>
      </c>
      <c r="DB108" s="12" t="s">
        <v>37</v>
      </c>
      <c r="DC108" s="13" t="s">
        <v>37</v>
      </c>
      <c r="DE108" s="12" t="s">
        <v>37</v>
      </c>
      <c r="DF108" s="12" t="s">
        <v>37</v>
      </c>
      <c r="DG108" s="13" t="s">
        <v>37</v>
      </c>
      <c r="DI108" s="52"/>
      <c r="DJ108" s="52"/>
      <c r="DK108" s="73"/>
      <c r="DL108" s="73"/>
      <c r="DM108" s="15" t="s">
        <v>47</v>
      </c>
      <c r="DN108" s="19">
        <f>1.8*16/12*10^4/10^3</f>
        <v>24</v>
      </c>
      <c r="DO108" s="50">
        <f t="shared" si="362"/>
        <v>26.757102939838202</v>
      </c>
      <c r="DP108" s="18">
        <v>3</v>
      </c>
      <c r="DQ108" s="52"/>
      <c r="DR108" s="19">
        <f>0.59*16/12*10^4/10^3</f>
        <v>7.8666666666666663</v>
      </c>
      <c r="DS108" s="50">
        <f t="shared" si="363"/>
        <v>29.399434851097276</v>
      </c>
      <c r="DT108" s="18">
        <v>3</v>
      </c>
      <c r="DU108" s="52"/>
      <c r="DV108" s="19">
        <f t="shared" si="336"/>
        <v>-16.133333333333333</v>
      </c>
      <c r="DW108" s="12">
        <f t="shared" si="337"/>
        <v>28.109334101833607</v>
      </c>
      <c r="DX108" s="72">
        <f t="shared" si="345"/>
        <v>526.75644243233705</v>
      </c>
      <c r="DY108" s="72">
        <f t="shared" si="346"/>
        <v>526.75644243233705</v>
      </c>
      <c r="DZ108" s="15" t="s">
        <v>47</v>
      </c>
      <c r="EA108" s="19">
        <f>1.22*44/28*10^4/10^6</f>
        <v>1.9171428571428568E-2</v>
      </c>
      <c r="EB108" s="50">
        <f t="shared" si="364"/>
        <v>0.11023527300329002</v>
      </c>
      <c r="EC108" s="72">
        <v>3</v>
      </c>
      <c r="EE108" s="19">
        <f>1.95*44/28*10^4/10^6</f>
        <v>3.0642857142857142E-2</v>
      </c>
      <c r="EF108" s="50">
        <f t="shared" si="365"/>
        <v>4.5754056766827388E-2</v>
      </c>
      <c r="EG108" s="13">
        <v>3</v>
      </c>
      <c r="EI108" s="19">
        <f t="shared" si="393"/>
        <v>1.1471428571428573E-2</v>
      </c>
      <c r="EJ108" s="12">
        <f t="shared" si="366"/>
        <v>8.4395643029518838E-2</v>
      </c>
      <c r="EK108" s="19">
        <f t="shared" si="367"/>
        <v>4.7484163749106478E-3</v>
      </c>
      <c r="EL108" s="19">
        <f t="shared" si="368"/>
        <v>4.7484163749106478E-3</v>
      </c>
      <c r="EM108" s="12" t="s">
        <v>39</v>
      </c>
      <c r="EN108" s="12">
        <v>-10.75</v>
      </c>
      <c r="EO108" s="12">
        <v>1.853</v>
      </c>
      <c r="EP108" s="13">
        <v>3</v>
      </c>
      <c r="EQ108" s="19">
        <f t="shared" si="320"/>
        <v>0.17237209302325582</v>
      </c>
      <c r="ER108" s="12">
        <v>-20.14</v>
      </c>
      <c r="ES108" s="12">
        <v>1.87</v>
      </c>
      <c r="ET108" s="13">
        <v>3</v>
      </c>
      <c r="EU108" s="19">
        <f t="shared" si="321"/>
        <v>9.2850049652432973E-2</v>
      </c>
      <c r="EV108" s="19">
        <f t="shared" si="312"/>
        <v>-9.39</v>
      </c>
      <c r="EW108" s="12">
        <f t="shared" si="313"/>
        <v>1.8615194062915381</v>
      </c>
      <c r="EX108" s="19">
        <f t="shared" si="314"/>
        <v>2.3101696666666669</v>
      </c>
      <c r="EY108" s="19">
        <f t="shared" si="315"/>
        <v>2.3101696666666669</v>
      </c>
      <c r="FB108" s="12" t="s">
        <v>37</v>
      </c>
      <c r="FC108" s="12" t="s">
        <v>37</v>
      </c>
      <c r="FD108" s="11" t="s">
        <v>37</v>
      </c>
      <c r="FE108" s="12" t="s">
        <v>37</v>
      </c>
      <c r="FF108" s="20" t="s">
        <v>37</v>
      </c>
      <c r="FG108" s="11" t="s">
        <v>37</v>
      </c>
      <c r="FI108" s="12" t="s">
        <v>37</v>
      </c>
      <c r="FJ108" s="12" t="s">
        <v>37</v>
      </c>
      <c r="FK108" s="11" t="s">
        <v>37</v>
      </c>
      <c r="FL108" s="13" t="s">
        <v>37</v>
      </c>
      <c r="FM108" s="11" t="s">
        <v>37</v>
      </c>
      <c r="FN108" s="11" t="s">
        <v>37</v>
      </c>
      <c r="FP108" s="12" t="s">
        <v>37</v>
      </c>
      <c r="FQ108" s="12" t="s">
        <v>37</v>
      </c>
      <c r="FR108" s="11" t="s">
        <v>37</v>
      </c>
      <c r="FS108" s="13" t="s">
        <v>37</v>
      </c>
      <c r="FT108" s="11" t="s">
        <v>37</v>
      </c>
      <c r="FU108" s="11" t="s">
        <v>37</v>
      </c>
      <c r="FW108" s="12" t="s">
        <v>37</v>
      </c>
      <c r="FX108" s="12" t="s">
        <v>37</v>
      </c>
      <c r="FY108" s="11" t="s">
        <v>37</v>
      </c>
      <c r="FZ108" s="13" t="s">
        <v>37</v>
      </c>
      <c r="GA108" s="11" t="s">
        <v>37</v>
      </c>
      <c r="GB108" s="11" t="s">
        <v>37</v>
      </c>
      <c r="GO108" s="12" t="s">
        <v>660</v>
      </c>
      <c r="GP108" s="12" t="s">
        <v>345</v>
      </c>
      <c r="GQ108" s="12">
        <v>9.1</v>
      </c>
      <c r="GR108" s="12">
        <v>1.18</v>
      </c>
      <c r="GS108" s="13">
        <v>3</v>
      </c>
      <c r="GT108" s="19">
        <f t="shared" si="369"/>
        <v>0.12967032967032968</v>
      </c>
      <c r="GU108" s="12">
        <v>10.32</v>
      </c>
      <c r="GV108" s="12">
        <v>1.1399999999999999</v>
      </c>
      <c r="GW108" s="13">
        <v>3</v>
      </c>
      <c r="GX108" s="19">
        <f t="shared" si="370"/>
        <v>0.11046511627906976</v>
      </c>
      <c r="GY108" s="19">
        <f t="shared" si="371"/>
        <v>0.12580934653061229</v>
      </c>
      <c r="GZ108" s="19">
        <f t="shared" si="372"/>
        <v>9.672312103786794E-3</v>
      </c>
      <c r="HA108" s="17" t="s">
        <v>63</v>
      </c>
      <c r="HB108" s="34" t="s">
        <v>372</v>
      </c>
      <c r="HC108" s="12">
        <v>5.8999999999999997E-2</v>
      </c>
      <c r="HD108" s="12">
        <v>8.0000000000000002E-3</v>
      </c>
      <c r="HE108" s="13">
        <v>3</v>
      </c>
      <c r="HF108" s="19">
        <f t="shared" si="373"/>
        <v>0.13559322033898305</v>
      </c>
      <c r="HG108" s="12">
        <v>7.3999999999999996E-2</v>
      </c>
      <c r="HH108" s="12">
        <v>8.9999999999999993E-3</v>
      </c>
      <c r="HI108" s="13">
        <v>3</v>
      </c>
      <c r="HJ108" s="19">
        <f t="shared" si="374"/>
        <v>0.12162162162162161</v>
      </c>
      <c r="HK108" s="19">
        <f t="shared" si="375"/>
        <v>0.22652764929845029</v>
      </c>
      <c r="HL108" s="19">
        <f t="shared" si="376"/>
        <v>1.1059113415922969E-2</v>
      </c>
      <c r="IK108" s="12" t="s">
        <v>37</v>
      </c>
      <c r="IL108" s="12" t="s">
        <v>37</v>
      </c>
      <c r="IM108" s="12" t="s">
        <v>37</v>
      </c>
      <c r="IO108" s="12" t="s">
        <v>37</v>
      </c>
      <c r="IP108" s="12" t="s">
        <v>37</v>
      </c>
      <c r="IQ108" s="12" t="s">
        <v>37</v>
      </c>
      <c r="IV108" s="32" t="s">
        <v>372</v>
      </c>
      <c r="IW108" s="12">
        <v>3.8</v>
      </c>
      <c r="IX108" s="50">
        <f t="shared" si="377"/>
        <v>0.13912842198648792</v>
      </c>
      <c r="IY108" s="13">
        <v>3</v>
      </c>
      <c r="JA108" s="12">
        <v>3.8</v>
      </c>
      <c r="JB108" s="50">
        <f t="shared" si="378"/>
        <v>0.10643347338567048</v>
      </c>
      <c r="JC108" s="13">
        <v>3</v>
      </c>
      <c r="JE108" s="19">
        <f t="shared" si="379"/>
        <v>0</v>
      </c>
      <c r="JF108" s="19">
        <f t="shared" si="380"/>
        <v>7.083287641133075E-4</v>
      </c>
      <c r="JH108" s="12" t="s">
        <v>37</v>
      </c>
      <c r="JI108" s="12" t="s">
        <v>37</v>
      </c>
      <c r="JJ108" s="13" t="s">
        <v>37</v>
      </c>
      <c r="JL108" s="12" t="s">
        <v>37</v>
      </c>
      <c r="JM108" s="12" t="s">
        <v>37</v>
      </c>
      <c r="JN108" s="12" t="s">
        <v>37</v>
      </c>
      <c r="JS108" s="12" t="s">
        <v>37</v>
      </c>
      <c r="JT108" s="12" t="s">
        <v>37</v>
      </c>
      <c r="JU108" s="13" t="s">
        <v>37</v>
      </c>
      <c r="JW108" s="12" t="s">
        <v>37</v>
      </c>
      <c r="JX108" s="12" t="s">
        <v>37</v>
      </c>
      <c r="JY108" s="12" t="s">
        <v>37</v>
      </c>
      <c r="KE108" s="11" t="s">
        <v>37</v>
      </c>
      <c r="KF108" s="11" t="s">
        <v>37</v>
      </c>
      <c r="KG108" s="13" t="s">
        <v>37</v>
      </c>
      <c r="KH108" s="11" t="s">
        <v>37</v>
      </c>
      <c r="KI108" s="11" t="s">
        <v>37</v>
      </c>
      <c r="KJ108" s="11" t="s">
        <v>37</v>
      </c>
      <c r="KK108" s="12" t="s">
        <v>42</v>
      </c>
      <c r="KL108" s="32" t="s">
        <v>372</v>
      </c>
      <c r="KM108" s="12">
        <v>9</v>
      </c>
      <c r="KN108" s="12">
        <v>2</v>
      </c>
      <c r="KO108" s="11">
        <v>3</v>
      </c>
      <c r="KP108" s="19">
        <f t="shared" si="381"/>
        <v>0.22222222222222221</v>
      </c>
      <c r="KQ108" s="12">
        <v>9</v>
      </c>
      <c r="KR108" s="12">
        <v>1</v>
      </c>
      <c r="KS108" s="13">
        <v>3</v>
      </c>
      <c r="KT108" s="19">
        <f t="shared" si="394"/>
        <v>0.1111111111111111</v>
      </c>
      <c r="KU108" s="19">
        <f t="shared" si="382"/>
        <v>0</v>
      </c>
      <c r="KV108" s="19">
        <f t="shared" si="383"/>
        <v>2.0576131687242802E-2</v>
      </c>
      <c r="KX108" s="12" t="s">
        <v>37</v>
      </c>
      <c r="KY108" s="12" t="s">
        <v>37</v>
      </c>
      <c r="KZ108" s="13" t="s">
        <v>37</v>
      </c>
      <c r="LB108" s="12" t="s">
        <v>37</v>
      </c>
      <c r="LC108" s="12" t="s">
        <v>37</v>
      </c>
      <c r="LD108" s="13" t="s">
        <v>37</v>
      </c>
      <c r="LI108" s="12" t="s">
        <v>37</v>
      </c>
      <c r="LJ108" s="12" t="s">
        <v>37</v>
      </c>
      <c r="LK108" s="12" t="s">
        <v>37</v>
      </c>
      <c r="LM108" s="12" t="s">
        <v>37</v>
      </c>
      <c r="LN108" s="12" t="s">
        <v>37</v>
      </c>
      <c r="LO108" s="12" t="s">
        <v>37</v>
      </c>
      <c r="LT108" s="12" t="str">
        <f t="shared" si="384"/>
        <v>0-20</v>
      </c>
      <c r="LU108" s="12">
        <f t="shared" si="385"/>
        <v>52.555555555555557</v>
      </c>
      <c r="LV108" s="12">
        <f t="shared" si="386"/>
        <v>11.813544057465705</v>
      </c>
      <c r="LW108" s="13">
        <f t="shared" si="387"/>
        <v>3</v>
      </c>
      <c r="LX108" s="19">
        <f t="shared" si="395"/>
        <v>0.22478202223507684</v>
      </c>
      <c r="LY108" s="12">
        <f t="shared" si="388"/>
        <v>52.555555555555557</v>
      </c>
      <c r="LZ108" s="12">
        <f t="shared" si="389"/>
        <v>5.8490121776024546</v>
      </c>
      <c r="MA108" s="13">
        <f t="shared" si="390"/>
        <v>3</v>
      </c>
      <c r="MB108" s="19">
        <f t="shared" si="396"/>
        <v>0.11129198646600864</v>
      </c>
      <c r="MC108" s="19">
        <f t="shared" si="391"/>
        <v>0</v>
      </c>
      <c r="MD108" s="19">
        <f t="shared" si="392"/>
        <v>2.0970954590546945E-2</v>
      </c>
      <c r="MF108" s="12" t="s">
        <v>37</v>
      </c>
      <c r="MG108" s="12" t="s">
        <v>37</v>
      </c>
      <c r="MH108" s="12" t="s">
        <v>37</v>
      </c>
      <c r="MJ108" s="12" t="s">
        <v>37</v>
      </c>
      <c r="MK108" s="12" t="s">
        <v>37</v>
      </c>
      <c r="ML108" s="12" t="s">
        <v>37</v>
      </c>
      <c r="MQ108" s="12" t="s">
        <v>37</v>
      </c>
      <c r="MR108" s="12" t="s">
        <v>37</v>
      </c>
      <c r="MS108" s="12" t="s">
        <v>37</v>
      </c>
      <c r="MU108" s="12" t="s">
        <v>37</v>
      </c>
      <c r="MV108" s="12" t="s">
        <v>37</v>
      </c>
      <c r="MW108" s="12" t="s">
        <v>37</v>
      </c>
      <c r="NC108" s="12" t="s">
        <v>37</v>
      </c>
      <c r="ND108" s="12" t="s">
        <v>37</v>
      </c>
      <c r="NE108" s="13" t="s">
        <v>37</v>
      </c>
      <c r="NG108" s="12" t="s">
        <v>37</v>
      </c>
      <c r="NH108" s="12" t="s">
        <v>37</v>
      </c>
      <c r="NI108" s="13" t="s">
        <v>37</v>
      </c>
      <c r="NO108" s="12" t="s">
        <v>37</v>
      </c>
      <c r="NP108" s="12" t="s">
        <v>37</v>
      </c>
      <c r="NQ108" s="13" t="s">
        <v>37</v>
      </c>
      <c r="NS108" s="12" t="s">
        <v>37</v>
      </c>
      <c r="NT108" s="12" t="s">
        <v>37</v>
      </c>
      <c r="NU108" s="13" t="s">
        <v>37</v>
      </c>
      <c r="OA108" s="11" t="s">
        <v>37</v>
      </c>
      <c r="OB108" s="11" t="s">
        <v>37</v>
      </c>
      <c r="OC108" s="13" t="s">
        <v>37</v>
      </c>
      <c r="OE108" s="11" t="s">
        <v>37</v>
      </c>
      <c r="OF108" s="11" t="s">
        <v>37</v>
      </c>
      <c r="OG108" s="13" t="s">
        <v>37</v>
      </c>
      <c r="OM108" s="11" t="s">
        <v>37</v>
      </c>
      <c r="ON108" s="11" t="s">
        <v>37</v>
      </c>
      <c r="OO108" s="11" t="s">
        <v>37</v>
      </c>
      <c r="OP108" s="11" t="s">
        <v>37</v>
      </c>
      <c r="OQ108" s="11" t="s">
        <v>37</v>
      </c>
      <c r="OR108" s="11" t="s">
        <v>37</v>
      </c>
      <c r="OW108" s="12" t="s">
        <v>37</v>
      </c>
      <c r="OX108" s="12" t="s">
        <v>37</v>
      </c>
      <c r="OY108" s="13" t="s">
        <v>37</v>
      </c>
      <c r="OZ108" s="12" t="s">
        <v>37</v>
      </c>
      <c r="PA108" s="12" t="s">
        <v>37</v>
      </c>
      <c r="PB108" s="13" t="s">
        <v>37</v>
      </c>
      <c r="PG108" s="11" t="s">
        <v>37</v>
      </c>
      <c r="PH108" s="11" t="s">
        <v>37</v>
      </c>
      <c r="PI108" s="13" t="s">
        <v>37</v>
      </c>
      <c r="PJ108" s="11" t="s">
        <v>37</v>
      </c>
      <c r="PK108" s="11" t="s">
        <v>37</v>
      </c>
      <c r="PL108" s="13" t="s">
        <v>37</v>
      </c>
      <c r="PQ108" s="12" t="s">
        <v>37</v>
      </c>
      <c r="PR108" s="12" t="s">
        <v>37</v>
      </c>
      <c r="PS108" s="12" t="s">
        <v>37</v>
      </c>
      <c r="PT108" s="12" t="s">
        <v>37</v>
      </c>
      <c r="PU108" s="12" t="s">
        <v>37</v>
      </c>
      <c r="PV108" s="12" t="s">
        <v>37</v>
      </c>
      <c r="PW108" s="12"/>
      <c r="PX108" s="12"/>
      <c r="PZ108" s="12" t="s">
        <v>37</v>
      </c>
      <c r="QA108" s="12" t="s">
        <v>37</v>
      </c>
      <c r="QB108" s="11" t="s">
        <v>37</v>
      </c>
      <c r="QD108" s="12" t="s">
        <v>37</v>
      </c>
      <c r="QE108" s="12" t="s">
        <v>37</v>
      </c>
      <c r="QF108" s="12" t="s">
        <v>37</v>
      </c>
      <c r="QK108" s="12" t="s">
        <v>37</v>
      </c>
      <c r="QL108" s="12" t="s">
        <v>37</v>
      </c>
      <c r="QM108" s="12" t="s">
        <v>37</v>
      </c>
      <c r="QN108" s="12" t="s">
        <v>37</v>
      </c>
      <c r="QO108" s="12" t="s">
        <v>37</v>
      </c>
      <c r="QP108" s="12" t="s">
        <v>37</v>
      </c>
      <c r="QQ108" s="12"/>
      <c r="QR108" s="12"/>
      <c r="QU108" s="11" t="s">
        <v>37</v>
      </c>
      <c r="QV108" s="11" t="s">
        <v>37</v>
      </c>
      <c r="QW108" s="13" t="s">
        <v>37</v>
      </c>
      <c r="QX108" s="11" t="s">
        <v>37</v>
      </c>
      <c r="QY108" s="11" t="s">
        <v>37</v>
      </c>
      <c r="QZ108" s="13" t="s">
        <v>37</v>
      </c>
      <c r="RC108" s="12" t="s">
        <v>37</v>
      </c>
      <c r="RD108" s="12" t="s">
        <v>37</v>
      </c>
      <c r="RE108" s="13" t="s">
        <v>37</v>
      </c>
      <c r="RF108" s="12" t="s">
        <v>37</v>
      </c>
      <c r="RG108" s="12" t="s">
        <v>37</v>
      </c>
      <c r="RH108" s="13" t="s">
        <v>37</v>
      </c>
      <c r="RK108" s="11" t="s">
        <v>37</v>
      </c>
      <c r="RL108" s="11" t="s">
        <v>37</v>
      </c>
      <c r="RM108" s="11" t="s">
        <v>37</v>
      </c>
      <c r="RN108" s="11" t="s">
        <v>37</v>
      </c>
      <c r="RO108" s="11" t="s">
        <v>37</v>
      </c>
      <c r="RP108" s="11" t="s">
        <v>37</v>
      </c>
      <c r="RS108" s="11" t="s">
        <v>37</v>
      </c>
      <c r="RT108" s="11" t="s">
        <v>37</v>
      </c>
      <c r="RU108" s="11" t="s">
        <v>37</v>
      </c>
      <c r="RV108" s="11" t="s">
        <v>37</v>
      </c>
      <c r="RW108" s="11" t="s">
        <v>37</v>
      </c>
      <c r="RX108" s="11" t="s">
        <v>37</v>
      </c>
      <c r="SA108" s="11" t="s">
        <v>37</v>
      </c>
      <c r="SB108" s="11" t="s">
        <v>37</v>
      </c>
      <c r="SC108" s="13" t="s">
        <v>37</v>
      </c>
      <c r="SD108" s="11" t="s">
        <v>37</v>
      </c>
      <c r="SE108" s="11" t="s">
        <v>37</v>
      </c>
      <c r="SF108" s="13" t="s">
        <v>37</v>
      </c>
      <c r="SI108" s="12" t="s">
        <v>37</v>
      </c>
      <c r="SJ108" s="12" t="s">
        <v>37</v>
      </c>
      <c r="SK108" s="13" t="s">
        <v>37</v>
      </c>
      <c r="SM108" s="12" t="s">
        <v>37</v>
      </c>
      <c r="SN108" s="12" t="s">
        <v>37</v>
      </c>
      <c r="SO108" s="13" t="s">
        <v>37</v>
      </c>
      <c r="SU108" s="12" t="s">
        <v>37</v>
      </c>
      <c r="SV108" s="12" t="s">
        <v>37</v>
      </c>
      <c r="SW108" s="11" t="s">
        <v>37</v>
      </c>
      <c r="SX108" s="12" t="s">
        <v>37</v>
      </c>
      <c r="SY108" s="12" t="s">
        <v>37</v>
      </c>
      <c r="SZ108" s="11" t="s">
        <v>37</v>
      </c>
      <c r="TE108" s="12" t="s">
        <v>37</v>
      </c>
      <c r="TF108" s="12" t="s">
        <v>37</v>
      </c>
      <c r="TG108" s="11" t="s">
        <v>37</v>
      </c>
      <c r="TH108" s="12" t="s">
        <v>37</v>
      </c>
      <c r="TI108" s="12" t="s">
        <v>37</v>
      </c>
      <c r="TJ108" s="11" t="s">
        <v>37</v>
      </c>
      <c r="TO108" s="12" t="s">
        <v>37</v>
      </c>
      <c r="TP108" s="12" t="s">
        <v>37</v>
      </c>
      <c r="TQ108" s="11" t="s">
        <v>37</v>
      </c>
      <c r="TR108" s="12" t="s">
        <v>37</v>
      </c>
      <c r="TS108" s="12" t="s">
        <v>37</v>
      </c>
      <c r="TT108" s="11" t="s">
        <v>37</v>
      </c>
      <c r="TY108" s="12" t="s">
        <v>37</v>
      </c>
      <c r="TZ108" s="12" t="s">
        <v>37</v>
      </c>
      <c r="UA108" s="12" t="s">
        <v>37</v>
      </c>
      <c r="UB108" s="12" t="s">
        <v>37</v>
      </c>
      <c r="UC108" s="12" t="s">
        <v>37</v>
      </c>
      <c r="UD108" s="12" t="s">
        <v>37</v>
      </c>
      <c r="UE108" s="12"/>
      <c r="UF108" s="12"/>
      <c r="UI108" s="12" t="s">
        <v>37</v>
      </c>
      <c r="UJ108" s="12" t="s">
        <v>37</v>
      </c>
      <c r="UK108" s="12" t="s">
        <v>37</v>
      </c>
      <c r="UL108" s="12" t="s">
        <v>37</v>
      </c>
      <c r="UM108" s="12" t="s">
        <v>37</v>
      </c>
      <c r="UN108" s="12" t="s">
        <v>37</v>
      </c>
      <c r="UO108" s="12"/>
      <c r="UP108" s="12"/>
      <c r="UR108" s="12" t="s">
        <v>37</v>
      </c>
      <c r="US108" s="12" t="s">
        <v>37</v>
      </c>
      <c r="UT108" s="12" t="s">
        <v>37</v>
      </c>
      <c r="UU108" s="12" t="s">
        <v>37</v>
      </c>
      <c r="UV108" s="12" t="s">
        <v>37</v>
      </c>
      <c r="UW108" s="12" t="s">
        <v>37</v>
      </c>
      <c r="UX108" s="12"/>
      <c r="UY108" s="12"/>
      <c r="VB108" s="12" t="s">
        <v>37</v>
      </c>
      <c r="VC108" s="12" t="s">
        <v>37</v>
      </c>
      <c r="VD108" s="12" t="s">
        <v>37</v>
      </c>
      <c r="VE108" s="12" t="s">
        <v>37</v>
      </c>
      <c r="VF108" s="12" t="s">
        <v>37</v>
      </c>
      <c r="VG108" s="12" t="s">
        <v>37</v>
      </c>
      <c r="VI108" s="12" t="s">
        <v>37</v>
      </c>
      <c r="VJ108" s="12" t="s">
        <v>37</v>
      </c>
      <c r="VK108" s="12" t="s">
        <v>37</v>
      </c>
      <c r="VL108" s="12" t="s">
        <v>37</v>
      </c>
      <c r="VM108" s="12" t="s">
        <v>37</v>
      </c>
      <c r="VN108" s="12" t="s">
        <v>37</v>
      </c>
      <c r="VQ108" s="13" t="s">
        <v>37</v>
      </c>
      <c r="VR108" s="13" t="s">
        <v>37</v>
      </c>
      <c r="VS108" s="13" t="s">
        <v>37</v>
      </c>
      <c r="VT108" s="13" t="s">
        <v>37</v>
      </c>
      <c r="VU108" s="13" t="s">
        <v>37</v>
      </c>
      <c r="VV108" s="13" t="s">
        <v>37</v>
      </c>
      <c r="WA108" s="13" t="s">
        <v>37</v>
      </c>
      <c r="WB108" s="13" t="s">
        <v>37</v>
      </c>
      <c r="WC108" s="13" t="s">
        <v>37</v>
      </c>
      <c r="WD108" s="13" t="s">
        <v>37</v>
      </c>
      <c r="WE108" s="13" t="s">
        <v>37</v>
      </c>
      <c r="WF108" s="13" t="s">
        <v>37</v>
      </c>
    </row>
    <row r="109" spans="1:604" ht="18" customHeight="1" x14ac:dyDescent="0.4">
      <c r="A109" s="11">
        <v>26</v>
      </c>
      <c r="B109" s="12" t="s">
        <v>168</v>
      </c>
      <c r="C109" s="12" t="s">
        <v>26</v>
      </c>
      <c r="D109" s="12" t="s">
        <v>54</v>
      </c>
      <c r="E109" s="40" t="s">
        <v>37</v>
      </c>
      <c r="F109" s="14">
        <v>0</v>
      </c>
      <c r="G109" s="14">
        <v>0</v>
      </c>
      <c r="H109" s="12" t="s">
        <v>123</v>
      </c>
      <c r="I109" s="29">
        <v>61.8</v>
      </c>
      <c r="J109" s="29">
        <v>24.317</v>
      </c>
      <c r="K109" s="12" t="s">
        <v>714</v>
      </c>
      <c r="L109" s="12" t="s">
        <v>666</v>
      </c>
      <c r="M109" s="13">
        <v>150</v>
      </c>
      <c r="N109" s="14">
        <v>3</v>
      </c>
      <c r="O109" s="14">
        <v>700</v>
      </c>
      <c r="P109" s="14" t="s">
        <v>84</v>
      </c>
      <c r="Q109" s="75">
        <v>31</v>
      </c>
      <c r="R109" s="11" t="s">
        <v>1000</v>
      </c>
      <c r="S109" s="12" t="s">
        <v>93</v>
      </c>
      <c r="T109" s="12" t="s">
        <v>141</v>
      </c>
      <c r="U109" s="12" t="s">
        <v>158</v>
      </c>
      <c r="V109" s="12" t="s">
        <v>275</v>
      </c>
      <c r="W109" s="23" t="s">
        <v>37</v>
      </c>
      <c r="X109" s="12" t="s">
        <v>37</v>
      </c>
      <c r="Y109" s="12" t="s">
        <v>69</v>
      </c>
      <c r="Z109" s="12" t="s">
        <v>37</v>
      </c>
      <c r="AA109" s="32" t="s">
        <v>372</v>
      </c>
      <c r="AB109" s="12">
        <v>3.8</v>
      </c>
      <c r="AC109" s="16" t="s">
        <v>42</v>
      </c>
      <c r="AD109" s="32" t="s">
        <v>372</v>
      </c>
      <c r="AE109" s="12">
        <v>473</v>
      </c>
      <c r="AF109" s="12" t="s">
        <v>42</v>
      </c>
      <c r="AG109" s="32" t="s">
        <v>372</v>
      </c>
      <c r="AH109" s="12">
        <v>9</v>
      </c>
      <c r="AJ109" s="12" t="str">
        <f t="shared" si="356"/>
        <v>0-20</v>
      </c>
      <c r="AK109" s="19">
        <f t="shared" si="357"/>
        <v>52.555555555555557</v>
      </c>
      <c r="AL109" s="32">
        <v>1992</v>
      </c>
      <c r="AM109" s="12" t="s">
        <v>344</v>
      </c>
      <c r="AO109" s="12" t="s">
        <v>37</v>
      </c>
      <c r="AP109" s="11" t="s">
        <v>167</v>
      </c>
      <c r="AQ109" s="12" t="s">
        <v>975</v>
      </c>
      <c r="AR109" s="16" t="s">
        <v>42</v>
      </c>
      <c r="AS109" s="32" t="s">
        <v>372</v>
      </c>
      <c r="AT109" s="12">
        <v>473</v>
      </c>
      <c r="AU109" s="15">
        <v>16</v>
      </c>
      <c r="AV109" s="18">
        <v>3</v>
      </c>
      <c r="AW109" s="52">
        <f t="shared" si="358"/>
        <v>3.382663847780127E-2</v>
      </c>
      <c r="AX109" s="15">
        <v>473</v>
      </c>
      <c r="AY109" s="15">
        <v>3</v>
      </c>
      <c r="AZ109" s="13">
        <v>3</v>
      </c>
      <c r="BA109" s="52">
        <f t="shared" si="359"/>
        <v>6.3424947145877377E-3</v>
      </c>
      <c r="BB109" s="52">
        <f t="shared" si="360"/>
        <v>0</v>
      </c>
      <c r="BC109" s="19">
        <f t="shared" si="361"/>
        <v>3.9482290330414624E-4</v>
      </c>
      <c r="BE109" s="12" t="s">
        <v>326</v>
      </c>
      <c r="BF109" s="12" t="s">
        <v>326</v>
      </c>
      <c r="BG109" s="12" t="s">
        <v>326</v>
      </c>
      <c r="BI109" s="12" t="s">
        <v>326</v>
      </c>
      <c r="BJ109" s="12" t="s">
        <v>326</v>
      </c>
      <c r="BK109" s="12" t="s">
        <v>326</v>
      </c>
      <c r="BP109" s="12" t="s">
        <v>37</v>
      </c>
      <c r="BQ109" s="12" t="s">
        <v>37</v>
      </c>
      <c r="BR109" s="13" t="s">
        <v>37</v>
      </c>
      <c r="BT109" s="12" t="s">
        <v>37</v>
      </c>
      <c r="BU109" s="12" t="s">
        <v>37</v>
      </c>
      <c r="BV109" s="12" t="s">
        <v>37</v>
      </c>
      <c r="CA109" s="12" t="s">
        <v>37</v>
      </c>
      <c r="CB109" s="12" t="s">
        <v>37</v>
      </c>
      <c r="CC109" s="13" t="s">
        <v>37</v>
      </c>
      <c r="CE109" s="12" t="s">
        <v>37</v>
      </c>
      <c r="CF109" s="12" t="s">
        <v>37</v>
      </c>
      <c r="CG109" s="13" t="s">
        <v>37</v>
      </c>
      <c r="CJ109" s="12"/>
      <c r="CN109" s="12" t="s">
        <v>37</v>
      </c>
      <c r="CO109" s="12" t="s">
        <v>37</v>
      </c>
      <c r="CP109" s="13" t="s">
        <v>37</v>
      </c>
      <c r="CR109" s="12" t="s">
        <v>37</v>
      </c>
      <c r="CS109" s="12" t="s">
        <v>37</v>
      </c>
      <c r="CT109" s="13" t="s">
        <v>37</v>
      </c>
      <c r="CX109" s="72"/>
      <c r="CY109" s="72"/>
      <c r="DA109" s="12" t="s">
        <v>37</v>
      </c>
      <c r="DB109" s="12" t="s">
        <v>37</v>
      </c>
      <c r="DC109" s="13" t="s">
        <v>37</v>
      </c>
      <c r="DE109" s="12" t="s">
        <v>37</v>
      </c>
      <c r="DF109" s="12" t="s">
        <v>37</v>
      </c>
      <c r="DG109" s="13" t="s">
        <v>37</v>
      </c>
      <c r="DM109" s="15" t="s">
        <v>47</v>
      </c>
      <c r="DN109" s="52">
        <f>1.81*16/12*10^4/10^3</f>
        <v>24.133333333333336</v>
      </c>
      <c r="DO109" s="50">
        <f t="shared" si="362"/>
        <v>26.905753511726196</v>
      </c>
      <c r="DP109" s="18">
        <v>3</v>
      </c>
      <c r="DQ109" s="52"/>
      <c r="DR109" s="52">
        <f>0.63*16/12*10^4/10^3</f>
        <v>8.4</v>
      </c>
      <c r="DS109" s="50">
        <f t="shared" si="363"/>
        <v>31.392616874900483</v>
      </c>
      <c r="DT109" s="18">
        <v>3</v>
      </c>
      <c r="DU109" s="52"/>
      <c r="DV109" s="19">
        <f t="shared" si="336"/>
        <v>-15.733333333333336</v>
      </c>
      <c r="DW109" s="12">
        <f t="shared" si="337"/>
        <v>29.235389225115963</v>
      </c>
      <c r="DX109" s="72">
        <f t="shared" si="345"/>
        <v>569.80532209601768</v>
      </c>
      <c r="DY109" s="72">
        <f t="shared" si="346"/>
        <v>569.80532209601779</v>
      </c>
      <c r="DZ109" s="15" t="s">
        <v>47</v>
      </c>
      <c r="EA109" s="52">
        <f>3.04*44/28*10^4/10^6</f>
        <v>4.7771428571428562E-2</v>
      </c>
      <c r="EB109" s="50">
        <f t="shared" si="364"/>
        <v>0.27468461469672267</v>
      </c>
      <c r="EC109" s="73">
        <v>3</v>
      </c>
      <c r="ED109" s="52"/>
      <c r="EE109" s="52">
        <f>13.8*44/28*10^4/10^6</f>
        <v>0.21685714285714286</v>
      </c>
      <c r="EF109" s="50">
        <f t="shared" si="365"/>
        <v>0.32379794019600922</v>
      </c>
      <c r="EG109" s="18">
        <v>3</v>
      </c>
      <c r="EH109" s="52"/>
      <c r="EI109" s="19">
        <f t="shared" si="393"/>
        <v>0.16908571428571428</v>
      </c>
      <c r="EJ109" s="12">
        <f t="shared" si="366"/>
        <v>0.30024718452157495</v>
      </c>
      <c r="EK109" s="19">
        <f t="shared" si="367"/>
        <v>6.0098914542088447E-2</v>
      </c>
      <c r="EL109" s="19">
        <f t="shared" si="368"/>
        <v>6.0098914542088454E-2</v>
      </c>
      <c r="EM109" s="12" t="s">
        <v>39</v>
      </c>
      <c r="EN109" s="12">
        <v>-24.62</v>
      </c>
      <c r="EO109" s="12">
        <v>6.88</v>
      </c>
      <c r="EP109" s="13">
        <v>3</v>
      </c>
      <c r="EQ109" s="19">
        <f t="shared" si="320"/>
        <v>0.27944760357432979</v>
      </c>
      <c r="ER109" s="12">
        <v>-23.22</v>
      </c>
      <c r="ES109" s="12">
        <v>6.41</v>
      </c>
      <c r="ET109" s="13">
        <v>3</v>
      </c>
      <c r="EU109" s="19">
        <f t="shared" si="321"/>
        <v>0.27605512489233419</v>
      </c>
      <c r="EV109" s="19">
        <f t="shared" si="312"/>
        <v>1.4000000000000021</v>
      </c>
      <c r="EW109" s="12">
        <f t="shared" si="313"/>
        <v>6.6491540815354853</v>
      </c>
      <c r="EX109" s="19">
        <f t="shared" si="314"/>
        <v>29.474166666666665</v>
      </c>
      <c r="EY109" s="19">
        <f t="shared" si="315"/>
        <v>29.474166666666665</v>
      </c>
      <c r="FB109" s="12" t="s">
        <v>37</v>
      </c>
      <c r="FC109" s="12" t="s">
        <v>37</v>
      </c>
      <c r="FD109" s="11" t="s">
        <v>37</v>
      </c>
      <c r="FE109" s="12" t="s">
        <v>37</v>
      </c>
      <c r="FF109" s="20" t="s">
        <v>37</v>
      </c>
      <c r="FG109" s="11" t="s">
        <v>37</v>
      </c>
      <c r="FI109" s="12" t="s">
        <v>37</v>
      </c>
      <c r="FJ109" s="12" t="s">
        <v>37</v>
      </c>
      <c r="FK109" s="11" t="s">
        <v>37</v>
      </c>
      <c r="FL109" s="13" t="s">
        <v>37</v>
      </c>
      <c r="FM109" s="11" t="s">
        <v>37</v>
      </c>
      <c r="FN109" s="11" t="s">
        <v>37</v>
      </c>
      <c r="FP109" s="12" t="s">
        <v>37</v>
      </c>
      <c r="FQ109" s="12" t="s">
        <v>37</v>
      </c>
      <c r="FR109" s="11" t="s">
        <v>37</v>
      </c>
      <c r="FS109" s="13" t="s">
        <v>37</v>
      </c>
      <c r="FT109" s="11" t="s">
        <v>37</v>
      </c>
      <c r="FU109" s="11" t="s">
        <v>37</v>
      </c>
      <c r="FW109" s="12" t="s">
        <v>37</v>
      </c>
      <c r="FX109" s="12" t="s">
        <v>37</v>
      </c>
      <c r="FY109" s="11" t="s">
        <v>37</v>
      </c>
      <c r="FZ109" s="13" t="s">
        <v>37</v>
      </c>
      <c r="GA109" s="11" t="s">
        <v>37</v>
      </c>
      <c r="GB109" s="11" t="s">
        <v>37</v>
      </c>
      <c r="GO109" s="12" t="s">
        <v>660</v>
      </c>
      <c r="GP109" s="12" t="s">
        <v>345</v>
      </c>
      <c r="GQ109" s="12">
        <v>10.35</v>
      </c>
      <c r="GR109" s="12">
        <v>1.34</v>
      </c>
      <c r="GS109" s="13">
        <v>3</v>
      </c>
      <c r="GT109" s="19">
        <f t="shared" si="369"/>
        <v>0.12946859903381644</v>
      </c>
      <c r="GU109" s="12">
        <v>9.14</v>
      </c>
      <c r="GV109" s="12">
        <v>1.62</v>
      </c>
      <c r="GW109" s="13">
        <v>3</v>
      </c>
      <c r="GX109" s="19">
        <f t="shared" si="370"/>
        <v>0.17724288840262581</v>
      </c>
      <c r="GY109" s="19">
        <f t="shared" si="371"/>
        <v>-0.12432613424531937</v>
      </c>
      <c r="GZ109" s="19">
        <f t="shared" si="372"/>
        <v>1.6059053208361602E-2</v>
      </c>
      <c r="HA109" s="17" t="s">
        <v>63</v>
      </c>
      <c r="HB109" s="34" t="s">
        <v>372</v>
      </c>
      <c r="HC109" s="12">
        <v>5.8999999999999997E-2</v>
      </c>
      <c r="HD109" s="12">
        <v>8.0000000000000002E-3</v>
      </c>
      <c r="HE109" s="13">
        <v>3</v>
      </c>
      <c r="HF109" s="19">
        <f t="shared" si="373"/>
        <v>0.13559322033898305</v>
      </c>
      <c r="HG109" s="12">
        <v>7.3999999999999996E-2</v>
      </c>
      <c r="HH109" s="12">
        <v>8.9999999999999993E-3</v>
      </c>
      <c r="HI109" s="13">
        <v>3</v>
      </c>
      <c r="HJ109" s="19">
        <f t="shared" si="374"/>
        <v>0.12162162162162161</v>
      </c>
      <c r="HK109" s="19">
        <f t="shared" si="375"/>
        <v>0.22652764929845029</v>
      </c>
      <c r="HL109" s="19">
        <f t="shared" si="376"/>
        <v>1.1059113415922969E-2</v>
      </c>
      <c r="IK109" s="12" t="s">
        <v>37</v>
      </c>
      <c r="IL109" s="12" t="s">
        <v>37</v>
      </c>
      <c r="IM109" s="12" t="s">
        <v>37</v>
      </c>
      <c r="IO109" s="12" t="s">
        <v>37</v>
      </c>
      <c r="IP109" s="12" t="s">
        <v>37</v>
      </c>
      <c r="IQ109" s="12" t="s">
        <v>37</v>
      </c>
      <c r="IV109" s="32" t="s">
        <v>372</v>
      </c>
      <c r="IW109" s="12">
        <v>3.8</v>
      </c>
      <c r="IX109" s="50">
        <f t="shared" si="377"/>
        <v>0.13912842198648792</v>
      </c>
      <c r="IY109" s="13">
        <v>3</v>
      </c>
      <c r="JA109" s="12">
        <v>3.8</v>
      </c>
      <c r="JB109" s="50">
        <f t="shared" si="378"/>
        <v>0.10643347338567048</v>
      </c>
      <c r="JC109" s="13">
        <v>3</v>
      </c>
      <c r="JE109" s="19">
        <f t="shared" si="379"/>
        <v>0</v>
      </c>
      <c r="JF109" s="19">
        <f t="shared" si="380"/>
        <v>7.083287641133075E-4</v>
      </c>
      <c r="JH109" s="12" t="s">
        <v>37</v>
      </c>
      <c r="JI109" s="12" t="s">
        <v>37</v>
      </c>
      <c r="JJ109" s="13" t="s">
        <v>37</v>
      </c>
      <c r="JL109" s="12" t="s">
        <v>37</v>
      </c>
      <c r="JM109" s="12" t="s">
        <v>37</v>
      </c>
      <c r="JN109" s="12" t="s">
        <v>37</v>
      </c>
      <c r="JS109" s="12" t="s">
        <v>37</v>
      </c>
      <c r="JT109" s="12" t="s">
        <v>37</v>
      </c>
      <c r="JU109" s="13" t="s">
        <v>37</v>
      </c>
      <c r="JW109" s="12" t="s">
        <v>37</v>
      </c>
      <c r="JX109" s="12" t="s">
        <v>37</v>
      </c>
      <c r="JY109" s="12" t="s">
        <v>37</v>
      </c>
      <c r="KE109" s="11" t="s">
        <v>37</v>
      </c>
      <c r="KF109" s="11" t="s">
        <v>37</v>
      </c>
      <c r="KG109" s="13" t="s">
        <v>37</v>
      </c>
      <c r="KH109" s="11" t="s">
        <v>37</v>
      </c>
      <c r="KI109" s="11" t="s">
        <v>37</v>
      </c>
      <c r="KJ109" s="11" t="s">
        <v>37</v>
      </c>
      <c r="KK109" s="12" t="s">
        <v>42</v>
      </c>
      <c r="KL109" s="32" t="s">
        <v>372</v>
      </c>
      <c r="KM109" s="12">
        <v>9</v>
      </c>
      <c r="KN109" s="12">
        <v>2</v>
      </c>
      <c r="KO109" s="11">
        <v>3</v>
      </c>
      <c r="KP109" s="19">
        <f t="shared" si="381"/>
        <v>0.22222222222222221</v>
      </c>
      <c r="KQ109" s="12">
        <v>9</v>
      </c>
      <c r="KR109" s="12">
        <v>1</v>
      </c>
      <c r="KS109" s="13">
        <v>3</v>
      </c>
      <c r="KT109" s="19">
        <f t="shared" si="394"/>
        <v>0.1111111111111111</v>
      </c>
      <c r="KU109" s="19">
        <f t="shared" si="382"/>
        <v>0</v>
      </c>
      <c r="KV109" s="19">
        <f t="shared" si="383"/>
        <v>2.0576131687242802E-2</v>
      </c>
      <c r="KX109" s="12" t="s">
        <v>37</v>
      </c>
      <c r="KY109" s="12" t="s">
        <v>37</v>
      </c>
      <c r="KZ109" s="13" t="s">
        <v>37</v>
      </c>
      <c r="LB109" s="12" t="s">
        <v>37</v>
      </c>
      <c r="LC109" s="12" t="s">
        <v>37</v>
      </c>
      <c r="LD109" s="13" t="s">
        <v>37</v>
      </c>
      <c r="LI109" s="12" t="s">
        <v>37</v>
      </c>
      <c r="LJ109" s="12" t="s">
        <v>37</v>
      </c>
      <c r="LK109" s="12" t="s">
        <v>37</v>
      </c>
      <c r="LM109" s="12" t="s">
        <v>37</v>
      </c>
      <c r="LN109" s="12" t="s">
        <v>37</v>
      </c>
      <c r="LO109" s="12" t="s">
        <v>37</v>
      </c>
      <c r="LT109" s="12" t="str">
        <f t="shared" si="384"/>
        <v>0-20</v>
      </c>
      <c r="LU109" s="12">
        <f t="shared" si="385"/>
        <v>52.555555555555557</v>
      </c>
      <c r="LV109" s="12">
        <f t="shared" si="386"/>
        <v>11.813544057465705</v>
      </c>
      <c r="LW109" s="13">
        <f t="shared" si="387"/>
        <v>3</v>
      </c>
      <c r="LX109" s="19">
        <f t="shared" si="395"/>
        <v>0.22478202223507684</v>
      </c>
      <c r="LY109" s="12">
        <f t="shared" si="388"/>
        <v>52.555555555555557</v>
      </c>
      <c r="LZ109" s="12">
        <f t="shared" si="389"/>
        <v>5.8490121776024546</v>
      </c>
      <c r="MA109" s="13">
        <f t="shared" si="390"/>
        <v>3</v>
      </c>
      <c r="MB109" s="19">
        <f t="shared" si="396"/>
        <v>0.11129198646600864</v>
      </c>
      <c r="MC109" s="19">
        <f t="shared" si="391"/>
        <v>0</v>
      </c>
      <c r="MD109" s="19">
        <f t="shared" si="392"/>
        <v>2.0970954590546945E-2</v>
      </c>
      <c r="MF109" s="12" t="s">
        <v>37</v>
      </c>
      <c r="MG109" s="12" t="s">
        <v>37</v>
      </c>
      <c r="MH109" s="12" t="s">
        <v>37</v>
      </c>
      <c r="MJ109" s="12" t="s">
        <v>37</v>
      </c>
      <c r="MK109" s="12" t="s">
        <v>37</v>
      </c>
      <c r="ML109" s="12" t="s">
        <v>37</v>
      </c>
      <c r="MQ109" s="12" t="s">
        <v>37</v>
      </c>
      <c r="MR109" s="12" t="s">
        <v>37</v>
      </c>
      <c r="MS109" s="12" t="s">
        <v>37</v>
      </c>
      <c r="MU109" s="12" t="s">
        <v>37</v>
      </c>
      <c r="MV109" s="12" t="s">
        <v>37</v>
      </c>
      <c r="MW109" s="12" t="s">
        <v>37</v>
      </c>
      <c r="NC109" s="12" t="s">
        <v>37</v>
      </c>
      <c r="ND109" s="12" t="s">
        <v>37</v>
      </c>
      <c r="NE109" s="13" t="s">
        <v>37</v>
      </c>
      <c r="NG109" s="12" t="s">
        <v>37</v>
      </c>
      <c r="NH109" s="12" t="s">
        <v>37</v>
      </c>
      <c r="NI109" s="13" t="s">
        <v>37</v>
      </c>
      <c r="NO109" s="12" t="s">
        <v>37</v>
      </c>
      <c r="NP109" s="12" t="s">
        <v>37</v>
      </c>
      <c r="NQ109" s="13" t="s">
        <v>37</v>
      </c>
      <c r="NS109" s="12" t="s">
        <v>37</v>
      </c>
      <c r="NT109" s="12" t="s">
        <v>37</v>
      </c>
      <c r="NU109" s="13" t="s">
        <v>37</v>
      </c>
      <c r="OA109" s="11" t="s">
        <v>37</v>
      </c>
      <c r="OB109" s="11" t="s">
        <v>37</v>
      </c>
      <c r="OC109" s="13" t="s">
        <v>37</v>
      </c>
      <c r="OE109" s="11" t="s">
        <v>37</v>
      </c>
      <c r="OF109" s="11" t="s">
        <v>37</v>
      </c>
      <c r="OG109" s="13" t="s">
        <v>37</v>
      </c>
      <c r="OM109" s="11" t="s">
        <v>37</v>
      </c>
      <c r="ON109" s="11" t="s">
        <v>37</v>
      </c>
      <c r="OO109" s="11" t="s">
        <v>37</v>
      </c>
      <c r="OP109" s="11" t="s">
        <v>37</v>
      </c>
      <c r="OQ109" s="11" t="s">
        <v>37</v>
      </c>
      <c r="OR109" s="11" t="s">
        <v>37</v>
      </c>
      <c r="OW109" s="12" t="s">
        <v>37</v>
      </c>
      <c r="OX109" s="12" t="s">
        <v>37</v>
      </c>
      <c r="OY109" s="13" t="s">
        <v>37</v>
      </c>
      <c r="OZ109" s="12" t="s">
        <v>37</v>
      </c>
      <c r="PA109" s="12" t="s">
        <v>37</v>
      </c>
      <c r="PB109" s="13" t="s">
        <v>37</v>
      </c>
      <c r="PG109" s="11" t="s">
        <v>37</v>
      </c>
      <c r="PH109" s="11" t="s">
        <v>37</v>
      </c>
      <c r="PI109" s="13" t="s">
        <v>37</v>
      </c>
      <c r="PJ109" s="11" t="s">
        <v>37</v>
      </c>
      <c r="PK109" s="11" t="s">
        <v>37</v>
      </c>
      <c r="PL109" s="13" t="s">
        <v>37</v>
      </c>
      <c r="PQ109" s="12" t="s">
        <v>37</v>
      </c>
      <c r="PR109" s="12" t="s">
        <v>37</v>
      </c>
      <c r="PS109" s="12" t="s">
        <v>37</v>
      </c>
      <c r="PT109" s="12" t="s">
        <v>37</v>
      </c>
      <c r="PU109" s="12" t="s">
        <v>37</v>
      </c>
      <c r="PV109" s="12" t="s">
        <v>37</v>
      </c>
      <c r="PW109" s="12"/>
      <c r="PX109" s="12"/>
      <c r="PZ109" s="12" t="s">
        <v>37</v>
      </c>
      <c r="QA109" s="12" t="s">
        <v>37</v>
      </c>
      <c r="QB109" s="11" t="s">
        <v>37</v>
      </c>
      <c r="QD109" s="12" t="s">
        <v>37</v>
      </c>
      <c r="QE109" s="12" t="s">
        <v>37</v>
      </c>
      <c r="QF109" s="12" t="s">
        <v>37</v>
      </c>
      <c r="QK109" s="12" t="s">
        <v>37</v>
      </c>
      <c r="QL109" s="12" t="s">
        <v>37</v>
      </c>
      <c r="QM109" s="12" t="s">
        <v>37</v>
      </c>
      <c r="QN109" s="12" t="s">
        <v>37</v>
      </c>
      <c r="QO109" s="12" t="s">
        <v>37</v>
      </c>
      <c r="QP109" s="12" t="s">
        <v>37</v>
      </c>
      <c r="QQ109" s="12"/>
      <c r="QR109" s="12"/>
      <c r="QU109" s="11" t="s">
        <v>37</v>
      </c>
      <c r="QV109" s="11" t="s">
        <v>37</v>
      </c>
      <c r="QW109" s="13" t="s">
        <v>37</v>
      </c>
      <c r="QX109" s="11" t="s">
        <v>37</v>
      </c>
      <c r="QY109" s="11" t="s">
        <v>37</v>
      </c>
      <c r="QZ109" s="13" t="s">
        <v>37</v>
      </c>
      <c r="RC109" s="12" t="s">
        <v>37</v>
      </c>
      <c r="RD109" s="12" t="s">
        <v>37</v>
      </c>
      <c r="RE109" s="13" t="s">
        <v>37</v>
      </c>
      <c r="RF109" s="12" t="s">
        <v>37</v>
      </c>
      <c r="RG109" s="12" t="s">
        <v>37</v>
      </c>
      <c r="RH109" s="13" t="s">
        <v>37</v>
      </c>
      <c r="RK109" s="11" t="s">
        <v>37</v>
      </c>
      <c r="RL109" s="11" t="s">
        <v>37</v>
      </c>
      <c r="RM109" s="11" t="s">
        <v>37</v>
      </c>
      <c r="RN109" s="11" t="s">
        <v>37</v>
      </c>
      <c r="RO109" s="11" t="s">
        <v>37</v>
      </c>
      <c r="RP109" s="11" t="s">
        <v>37</v>
      </c>
      <c r="RS109" s="11" t="s">
        <v>37</v>
      </c>
      <c r="RT109" s="11" t="s">
        <v>37</v>
      </c>
      <c r="RU109" s="11" t="s">
        <v>37</v>
      </c>
      <c r="RV109" s="11" t="s">
        <v>37</v>
      </c>
      <c r="RW109" s="11" t="s">
        <v>37</v>
      </c>
      <c r="RX109" s="11" t="s">
        <v>37</v>
      </c>
      <c r="SA109" s="11" t="s">
        <v>37</v>
      </c>
      <c r="SB109" s="11" t="s">
        <v>37</v>
      </c>
      <c r="SC109" s="13" t="s">
        <v>37</v>
      </c>
      <c r="SD109" s="11" t="s">
        <v>37</v>
      </c>
      <c r="SE109" s="11" t="s">
        <v>37</v>
      </c>
      <c r="SF109" s="13" t="s">
        <v>37</v>
      </c>
      <c r="SI109" s="12" t="s">
        <v>37</v>
      </c>
      <c r="SJ109" s="12" t="s">
        <v>37</v>
      </c>
      <c r="SK109" s="13" t="s">
        <v>37</v>
      </c>
      <c r="SM109" s="12" t="s">
        <v>37</v>
      </c>
      <c r="SN109" s="12" t="s">
        <v>37</v>
      </c>
      <c r="SO109" s="13" t="s">
        <v>37</v>
      </c>
      <c r="SU109" s="12" t="s">
        <v>37</v>
      </c>
      <c r="SV109" s="12" t="s">
        <v>37</v>
      </c>
      <c r="SW109" s="11" t="s">
        <v>37</v>
      </c>
      <c r="SX109" s="12" t="s">
        <v>37</v>
      </c>
      <c r="SY109" s="12" t="s">
        <v>37</v>
      </c>
      <c r="SZ109" s="11" t="s">
        <v>37</v>
      </c>
      <c r="TE109" s="12" t="s">
        <v>37</v>
      </c>
      <c r="TF109" s="12" t="s">
        <v>37</v>
      </c>
      <c r="TG109" s="11" t="s">
        <v>37</v>
      </c>
      <c r="TH109" s="12" t="s">
        <v>37</v>
      </c>
      <c r="TI109" s="12" t="s">
        <v>37</v>
      </c>
      <c r="TJ109" s="11" t="s">
        <v>37</v>
      </c>
      <c r="TO109" s="12" t="s">
        <v>37</v>
      </c>
      <c r="TP109" s="12" t="s">
        <v>37</v>
      </c>
      <c r="TQ109" s="11" t="s">
        <v>37</v>
      </c>
      <c r="TR109" s="12" t="s">
        <v>37</v>
      </c>
      <c r="TS109" s="12" t="s">
        <v>37</v>
      </c>
      <c r="TT109" s="11" t="s">
        <v>37</v>
      </c>
      <c r="TY109" s="12" t="s">
        <v>37</v>
      </c>
      <c r="TZ109" s="12" t="s">
        <v>37</v>
      </c>
      <c r="UA109" s="12" t="s">
        <v>37</v>
      </c>
      <c r="UB109" s="12" t="s">
        <v>37</v>
      </c>
      <c r="UC109" s="12" t="s">
        <v>37</v>
      </c>
      <c r="UD109" s="12" t="s">
        <v>37</v>
      </c>
      <c r="UE109" s="12"/>
      <c r="UF109" s="12"/>
      <c r="UI109" s="12" t="s">
        <v>37</v>
      </c>
      <c r="UJ109" s="12" t="s">
        <v>37</v>
      </c>
      <c r="UK109" s="12" t="s">
        <v>37</v>
      </c>
      <c r="UL109" s="12" t="s">
        <v>37</v>
      </c>
      <c r="UM109" s="12" t="s">
        <v>37</v>
      </c>
      <c r="UN109" s="12" t="s">
        <v>37</v>
      </c>
      <c r="UO109" s="12"/>
      <c r="UP109" s="12"/>
      <c r="UR109" s="12" t="s">
        <v>37</v>
      </c>
      <c r="US109" s="12" t="s">
        <v>37</v>
      </c>
      <c r="UT109" s="12" t="s">
        <v>37</v>
      </c>
      <c r="UU109" s="12" t="s">
        <v>37</v>
      </c>
      <c r="UV109" s="12" t="s">
        <v>37</v>
      </c>
      <c r="UW109" s="12" t="s">
        <v>37</v>
      </c>
      <c r="UX109" s="12"/>
      <c r="UY109" s="12"/>
      <c r="VB109" s="12" t="s">
        <v>37</v>
      </c>
      <c r="VC109" s="12" t="s">
        <v>37</v>
      </c>
      <c r="VD109" s="12" t="s">
        <v>37</v>
      </c>
      <c r="VE109" s="12" t="s">
        <v>37</v>
      </c>
      <c r="VF109" s="12" t="s">
        <v>37</v>
      </c>
      <c r="VG109" s="12" t="s">
        <v>37</v>
      </c>
      <c r="VI109" s="12" t="s">
        <v>37</v>
      </c>
      <c r="VJ109" s="12" t="s">
        <v>37</v>
      </c>
      <c r="VK109" s="12" t="s">
        <v>37</v>
      </c>
      <c r="VL109" s="12" t="s">
        <v>37</v>
      </c>
      <c r="VM109" s="12" t="s">
        <v>37</v>
      </c>
      <c r="VN109" s="12" t="s">
        <v>37</v>
      </c>
      <c r="VQ109" s="13" t="s">
        <v>37</v>
      </c>
      <c r="VR109" s="13" t="s">
        <v>37</v>
      </c>
      <c r="VS109" s="13" t="s">
        <v>37</v>
      </c>
      <c r="VT109" s="13" t="s">
        <v>37</v>
      </c>
      <c r="VU109" s="13" t="s">
        <v>37</v>
      </c>
      <c r="VV109" s="13" t="s">
        <v>37</v>
      </c>
      <c r="WA109" s="13" t="s">
        <v>37</v>
      </c>
      <c r="WB109" s="13" t="s">
        <v>37</v>
      </c>
      <c r="WC109" s="13" t="s">
        <v>37</v>
      </c>
      <c r="WD109" s="13" t="s">
        <v>37</v>
      </c>
      <c r="WE109" s="13" t="s">
        <v>37</v>
      </c>
      <c r="WF109" s="13" t="s">
        <v>37</v>
      </c>
    </row>
    <row r="110" spans="1:604" ht="18" customHeight="1" x14ac:dyDescent="0.4">
      <c r="A110" s="11">
        <v>26</v>
      </c>
      <c r="B110" s="12" t="s">
        <v>168</v>
      </c>
      <c r="C110" s="12" t="s">
        <v>26</v>
      </c>
      <c r="D110" s="12" t="s">
        <v>54</v>
      </c>
      <c r="E110" s="40" t="s">
        <v>37</v>
      </c>
      <c r="F110" s="14">
        <v>0</v>
      </c>
      <c r="G110" s="14">
        <v>0</v>
      </c>
      <c r="H110" s="12" t="s">
        <v>123</v>
      </c>
      <c r="I110" s="29">
        <v>61.8</v>
      </c>
      <c r="J110" s="29">
        <v>24.317</v>
      </c>
      <c r="K110" s="12" t="s">
        <v>714</v>
      </c>
      <c r="L110" s="12" t="s">
        <v>666</v>
      </c>
      <c r="M110" s="13">
        <v>150</v>
      </c>
      <c r="N110" s="14">
        <v>3</v>
      </c>
      <c r="O110" s="14">
        <v>700</v>
      </c>
      <c r="P110" s="14" t="s">
        <v>84</v>
      </c>
      <c r="Q110" s="75">
        <v>30</v>
      </c>
      <c r="R110" s="11" t="s">
        <v>1000</v>
      </c>
      <c r="S110" s="12" t="s">
        <v>93</v>
      </c>
      <c r="T110" s="12" t="s">
        <v>141</v>
      </c>
      <c r="U110" s="12" t="s">
        <v>163</v>
      </c>
      <c r="V110" s="12" t="s">
        <v>275</v>
      </c>
      <c r="W110" s="23" t="s">
        <v>37</v>
      </c>
      <c r="X110" s="12" t="s">
        <v>37</v>
      </c>
      <c r="Y110" s="12" t="s">
        <v>69</v>
      </c>
      <c r="Z110" s="12" t="s">
        <v>37</v>
      </c>
      <c r="AA110" s="32" t="s">
        <v>372</v>
      </c>
      <c r="AB110" s="12">
        <v>3.8</v>
      </c>
      <c r="AC110" s="16" t="s">
        <v>42</v>
      </c>
      <c r="AD110" s="32" t="s">
        <v>372</v>
      </c>
      <c r="AE110" s="12">
        <v>447</v>
      </c>
      <c r="AF110" s="12" t="s">
        <v>42</v>
      </c>
      <c r="AG110" s="32" t="s">
        <v>372</v>
      </c>
      <c r="AH110" s="12">
        <v>5</v>
      </c>
      <c r="AJ110" s="12" t="str">
        <f t="shared" si="356"/>
        <v>0-20</v>
      </c>
      <c r="AK110" s="19">
        <f t="shared" si="357"/>
        <v>89.4</v>
      </c>
      <c r="AL110" s="32">
        <v>1991</v>
      </c>
      <c r="AM110" s="12" t="s">
        <v>344</v>
      </c>
      <c r="AO110" s="12" t="s">
        <v>37</v>
      </c>
      <c r="AP110" s="11" t="s">
        <v>167</v>
      </c>
      <c r="AQ110" s="12" t="s">
        <v>975</v>
      </c>
      <c r="AR110" s="16" t="s">
        <v>42</v>
      </c>
      <c r="AS110" s="32" t="s">
        <v>372</v>
      </c>
      <c r="AT110" s="12">
        <v>447</v>
      </c>
      <c r="AU110" s="15">
        <v>8</v>
      </c>
      <c r="AV110" s="18">
        <v>3</v>
      </c>
      <c r="AW110" s="52">
        <f t="shared" si="358"/>
        <v>1.7897091722595078E-2</v>
      </c>
      <c r="AX110" s="15">
        <v>454</v>
      </c>
      <c r="AY110" s="15">
        <v>6</v>
      </c>
      <c r="AZ110" s="13">
        <v>3</v>
      </c>
      <c r="BA110" s="52">
        <f t="shared" si="359"/>
        <v>1.3215859030837005E-2</v>
      </c>
      <c r="BB110" s="52">
        <f t="shared" si="360"/>
        <v>1.5538603427779166E-2</v>
      </c>
      <c r="BC110" s="19">
        <f t="shared" si="361"/>
        <v>1.6498827401664577E-4</v>
      </c>
      <c r="BE110" s="12" t="s">
        <v>326</v>
      </c>
      <c r="BF110" s="12" t="s">
        <v>326</v>
      </c>
      <c r="BG110" s="12" t="s">
        <v>326</v>
      </c>
      <c r="BI110" s="12" t="s">
        <v>326</v>
      </c>
      <c r="BJ110" s="12" t="s">
        <v>326</v>
      </c>
      <c r="BK110" s="12" t="s">
        <v>326</v>
      </c>
      <c r="BP110" s="12" t="s">
        <v>37</v>
      </c>
      <c r="BQ110" s="12" t="s">
        <v>37</v>
      </c>
      <c r="BR110" s="13" t="s">
        <v>37</v>
      </c>
      <c r="BT110" s="12" t="s">
        <v>37</v>
      </c>
      <c r="BU110" s="12" t="s">
        <v>37</v>
      </c>
      <c r="BV110" s="12" t="s">
        <v>37</v>
      </c>
      <c r="CA110" s="12" t="s">
        <v>37</v>
      </c>
      <c r="CB110" s="12" t="s">
        <v>37</v>
      </c>
      <c r="CC110" s="13" t="s">
        <v>37</v>
      </c>
      <c r="CE110" s="12" t="s">
        <v>37</v>
      </c>
      <c r="CF110" s="12" t="s">
        <v>37</v>
      </c>
      <c r="CG110" s="13" t="s">
        <v>37</v>
      </c>
      <c r="CJ110" s="12"/>
      <c r="CN110" s="12" t="s">
        <v>37</v>
      </c>
      <c r="CO110" s="12" t="s">
        <v>37</v>
      </c>
      <c r="CP110" s="13" t="s">
        <v>37</v>
      </c>
      <c r="CR110" s="12" t="s">
        <v>37</v>
      </c>
      <c r="CS110" s="12" t="s">
        <v>37</v>
      </c>
      <c r="CT110" s="13" t="s">
        <v>37</v>
      </c>
      <c r="CX110" s="72"/>
      <c r="CY110" s="72"/>
      <c r="DA110" s="12" t="s">
        <v>37</v>
      </c>
      <c r="DB110" s="12" t="s">
        <v>37</v>
      </c>
      <c r="DC110" s="13" t="s">
        <v>37</v>
      </c>
      <c r="DE110" s="12" t="s">
        <v>37</v>
      </c>
      <c r="DF110" s="12" t="s">
        <v>37</v>
      </c>
      <c r="DG110" s="13" t="s">
        <v>37</v>
      </c>
      <c r="DM110" s="15" t="s">
        <v>47</v>
      </c>
      <c r="DN110" s="52">
        <f>4.46*16/12*10^4/10^3</f>
        <v>59.466666666666661</v>
      </c>
      <c r="DO110" s="50">
        <f t="shared" si="362"/>
        <v>66.298155062043534</v>
      </c>
      <c r="DP110" s="18">
        <v>3</v>
      </c>
      <c r="DQ110" s="52"/>
      <c r="DR110" s="52">
        <f>2.05*16/12*10^4/10^3</f>
        <v>27.333333333333329</v>
      </c>
      <c r="DS110" s="50">
        <f t="shared" si="363"/>
        <v>102.15057871991425</v>
      </c>
      <c r="DT110" s="18">
        <v>3</v>
      </c>
      <c r="DU110" s="52"/>
      <c r="DV110" s="19">
        <f t="shared" si="336"/>
        <v>-32.133333333333333</v>
      </c>
      <c r="DW110" s="12">
        <f t="shared" si="337"/>
        <v>86.110934547954372</v>
      </c>
      <c r="DX110" s="72">
        <f t="shared" si="345"/>
        <v>4943.395365814722</v>
      </c>
      <c r="DY110" s="72">
        <f t="shared" si="346"/>
        <v>4943.395365814722</v>
      </c>
      <c r="DZ110" s="15" t="s">
        <v>47</v>
      </c>
      <c r="EA110" s="52">
        <f>3.47*10^4*44/28/10^6</f>
        <v>5.4528571428571426E-2</v>
      </c>
      <c r="EB110" s="50">
        <f t="shared" si="364"/>
        <v>0.3135380305913249</v>
      </c>
      <c r="EC110" s="73">
        <v>3</v>
      </c>
      <c r="ED110" s="52"/>
      <c r="EE110" s="52">
        <f>2.28*44/28*10^4/10^6</f>
        <v>3.5828571428571425E-2</v>
      </c>
      <c r="EF110" s="50">
        <f t="shared" si="365"/>
        <v>5.3497050988905864E-2</v>
      </c>
      <c r="EG110" s="18">
        <v>3</v>
      </c>
      <c r="EH110" s="52"/>
      <c r="EI110" s="19">
        <f t="shared" si="393"/>
        <v>-1.8700000000000001E-2</v>
      </c>
      <c r="EJ110" s="12">
        <f t="shared" si="366"/>
        <v>0.22490890499444011</v>
      </c>
      <c r="EK110" s="19">
        <f t="shared" si="367"/>
        <v>3.3722677030532056E-2</v>
      </c>
      <c r="EL110" s="19">
        <f t="shared" si="368"/>
        <v>3.3722677030532063E-2</v>
      </c>
      <c r="EM110" s="12" t="s">
        <v>39</v>
      </c>
      <c r="EN110" s="12">
        <v>-6.95</v>
      </c>
      <c r="EO110" s="12">
        <v>1.41</v>
      </c>
      <c r="EP110" s="13">
        <v>3</v>
      </c>
      <c r="EQ110" s="19">
        <f t="shared" si="320"/>
        <v>0.2028776978417266</v>
      </c>
      <c r="ER110" s="12">
        <v>-21.5</v>
      </c>
      <c r="ES110" s="12">
        <v>1.76</v>
      </c>
      <c r="ET110" s="13">
        <v>3</v>
      </c>
      <c r="EU110" s="19">
        <f t="shared" si="321"/>
        <v>8.1860465116279077E-2</v>
      </c>
      <c r="EV110" s="19">
        <f t="shared" si="312"/>
        <v>-14.55</v>
      </c>
      <c r="EW110" s="12">
        <f t="shared" si="313"/>
        <v>1.5946316189013685</v>
      </c>
      <c r="EX110" s="19">
        <f t="shared" si="314"/>
        <v>1.6952333333333329</v>
      </c>
      <c r="EY110" s="19">
        <f t="shared" si="315"/>
        <v>1.6952333333333334</v>
      </c>
      <c r="FB110" s="12" t="s">
        <v>37</v>
      </c>
      <c r="FC110" s="12" t="s">
        <v>37</v>
      </c>
      <c r="FD110" s="11" t="s">
        <v>37</v>
      </c>
      <c r="FE110" s="12" t="s">
        <v>37</v>
      </c>
      <c r="FF110" s="20" t="s">
        <v>37</v>
      </c>
      <c r="FG110" s="11" t="s">
        <v>37</v>
      </c>
      <c r="FI110" s="12" t="s">
        <v>37</v>
      </c>
      <c r="FJ110" s="12" t="s">
        <v>37</v>
      </c>
      <c r="FK110" s="11" t="s">
        <v>37</v>
      </c>
      <c r="FL110" s="13" t="s">
        <v>37</v>
      </c>
      <c r="FM110" s="11" t="s">
        <v>37</v>
      </c>
      <c r="FN110" s="11" t="s">
        <v>37</v>
      </c>
      <c r="FP110" s="12" t="s">
        <v>37</v>
      </c>
      <c r="FQ110" s="12" t="s">
        <v>37</v>
      </c>
      <c r="FR110" s="11" t="s">
        <v>37</v>
      </c>
      <c r="FS110" s="13" t="s">
        <v>37</v>
      </c>
      <c r="FT110" s="11" t="s">
        <v>37</v>
      </c>
      <c r="FU110" s="11" t="s">
        <v>37</v>
      </c>
      <c r="FW110" s="12" t="s">
        <v>37</v>
      </c>
      <c r="FX110" s="12" t="s">
        <v>37</v>
      </c>
      <c r="FY110" s="11" t="s">
        <v>37</v>
      </c>
      <c r="FZ110" s="13" t="s">
        <v>37</v>
      </c>
      <c r="GA110" s="11" t="s">
        <v>37</v>
      </c>
      <c r="GB110" s="11" t="s">
        <v>37</v>
      </c>
      <c r="GO110" s="12" t="s">
        <v>660</v>
      </c>
      <c r="GP110" s="12" t="s">
        <v>345</v>
      </c>
      <c r="GQ110" s="12">
        <v>9.15</v>
      </c>
      <c r="GR110" s="12">
        <v>0.95</v>
      </c>
      <c r="GS110" s="13">
        <v>3</v>
      </c>
      <c r="GT110" s="19">
        <f t="shared" si="369"/>
        <v>0.10382513661202185</v>
      </c>
      <c r="GU110" s="12">
        <v>10.67</v>
      </c>
      <c r="GV110" s="12">
        <v>0.98</v>
      </c>
      <c r="GW110" s="13">
        <v>3</v>
      </c>
      <c r="GX110" s="19">
        <f t="shared" si="370"/>
        <v>9.1846298031865045E-2</v>
      </c>
      <c r="GY110" s="19">
        <f t="shared" si="371"/>
        <v>0.15368218602623207</v>
      </c>
      <c r="GZ110" s="19">
        <f t="shared" si="372"/>
        <v>6.405133818221059E-3</v>
      </c>
      <c r="HA110" s="17" t="s">
        <v>63</v>
      </c>
      <c r="HB110" s="34" t="s">
        <v>372</v>
      </c>
      <c r="HC110" s="12">
        <v>3.4000000000000002E-2</v>
      </c>
      <c r="HD110" s="12">
        <v>3.0000000000000001E-3</v>
      </c>
      <c r="HE110" s="13">
        <v>3</v>
      </c>
      <c r="HF110" s="19">
        <f t="shared" si="373"/>
        <v>8.8235294117647051E-2</v>
      </c>
      <c r="HG110" s="12">
        <v>5.2999999999999999E-2</v>
      </c>
      <c r="HH110" s="12">
        <v>4.0000000000000001E-3</v>
      </c>
      <c r="HI110" s="13">
        <v>3</v>
      </c>
      <c r="HJ110" s="19">
        <f t="shared" si="374"/>
        <v>7.5471698113207544E-2</v>
      </c>
      <c r="HK110" s="19">
        <f t="shared" si="375"/>
        <v>0.44393138893596029</v>
      </c>
      <c r="HL110" s="19">
        <f t="shared" si="376"/>
        <v>4.4938147813729382E-3</v>
      </c>
      <c r="IK110" s="12" t="s">
        <v>37</v>
      </c>
      <c r="IL110" s="12" t="s">
        <v>37</v>
      </c>
      <c r="IM110" s="12" t="s">
        <v>37</v>
      </c>
      <c r="IO110" s="12" t="s">
        <v>37</v>
      </c>
      <c r="IP110" s="12" t="s">
        <v>37</v>
      </c>
      <c r="IQ110" s="12" t="s">
        <v>37</v>
      </c>
      <c r="IV110" s="32" t="s">
        <v>372</v>
      </c>
      <c r="IW110" s="12">
        <v>3.8</v>
      </c>
      <c r="IX110" s="50">
        <f t="shared" si="377"/>
        <v>0.13912842198648792</v>
      </c>
      <c r="IY110" s="13">
        <v>3</v>
      </c>
      <c r="JA110" s="12">
        <v>3.8</v>
      </c>
      <c r="JB110" s="50">
        <f t="shared" si="378"/>
        <v>0.10643347338567048</v>
      </c>
      <c r="JC110" s="13">
        <v>3</v>
      </c>
      <c r="JE110" s="19">
        <f t="shared" si="379"/>
        <v>0</v>
      </c>
      <c r="JF110" s="19">
        <f t="shared" si="380"/>
        <v>7.083287641133075E-4</v>
      </c>
      <c r="JH110" s="12" t="s">
        <v>37</v>
      </c>
      <c r="JI110" s="12" t="s">
        <v>37</v>
      </c>
      <c r="JJ110" s="13" t="s">
        <v>37</v>
      </c>
      <c r="JL110" s="12" t="s">
        <v>37</v>
      </c>
      <c r="JM110" s="12" t="s">
        <v>37</v>
      </c>
      <c r="JN110" s="12" t="s">
        <v>37</v>
      </c>
      <c r="JS110" s="12" t="s">
        <v>37</v>
      </c>
      <c r="JT110" s="12" t="s">
        <v>37</v>
      </c>
      <c r="JU110" s="13" t="s">
        <v>37</v>
      </c>
      <c r="JW110" s="12" t="s">
        <v>37</v>
      </c>
      <c r="JX110" s="12" t="s">
        <v>37</v>
      </c>
      <c r="JY110" s="12" t="s">
        <v>37</v>
      </c>
      <c r="KE110" s="11" t="s">
        <v>37</v>
      </c>
      <c r="KF110" s="11" t="s">
        <v>37</v>
      </c>
      <c r="KG110" s="13" t="s">
        <v>37</v>
      </c>
      <c r="KH110" s="11" t="s">
        <v>37</v>
      </c>
      <c r="KI110" s="11" t="s">
        <v>37</v>
      </c>
      <c r="KJ110" s="11" t="s">
        <v>37</v>
      </c>
      <c r="KK110" s="12" t="s">
        <v>42</v>
      </c>
      <c r="KL110" s="32" t="s">
        <v>372</v>
      </c>
      <c r="KM110" s="12">
        <v>5</v>
      </c>
      <c r="KN110" s="12">
        <v>1</v>
      </c>
      <c r="KO110" s="11">
        <v>3</v>
      </c>
      <c r="KP110" s="19">
        <f t="shared" si="381"/>
        <v>0.2</v>
      </c>
      <c r="KQ110" s="12">
        <v>5</v>
      </c>
      <c r="KR110" s="12">
        <v>0.4</v>
      </c>
      <c r="KS110" s="13">
        <v>3</v>
      </c>
      <c r="KT110" s="19">
        <f t="shared" si="394"/>
        <v>0.08</v>
      </c>
      <c r="KU110" s="19">
        <f t="shared" si="382"/>
        <v>0</v>
      </c>
      <c r="KV110" s="19">
        <f t="shared" si="383"/>
        <v>1.5466666666666668E-2</v>
      </c>
      <c r="KX110" s="12" t="s">
        <v>37</v>
      </c>
      <c r="KY110" s="12" t="s">
        <v>37</v>
      </c>
      <c r="KZ110" s="13" t="s">
        <v>37</v>
      </c>
      <c r="LB110" s="12" t="s">
        <v>37</v>
      </c>
      <c r="LC110" s="12" t="s">
        <v>37</v>
      </c>
      <c r="LD110" s="13" t="s">
        <v>37</v>
      </c>
      <c r="LI110" s="12" t="s">
        <v>37</v>
      </c>
      <c r="LJ110" s="12" t="s">
        <v>37</v>
      </c>
      <c r="LK110" s="12" t="s">
        <v>37</v>
      </c>
      <c r="LM110" s="12" t="s">
        <v>37</v>
      </c>
      <c r="LN110" s="12" t="s">
        <v>37</v>
      </c>
      <c r="LO110" s="12" t="s">
        <v>37</v>
      </c>
      <c r="LT110" s="12" t="str">
        <f t="shared" si="384"/>
        <v>0-20</v>
      </c>
      <c r="LU110" s="12">
        <f t="shared" si="385"/>
        <v>89.4</v>
      </c>
      <c r="LV110" s="12">
        <f t="shared" si="386"/>
        <v>17.951445624238737</v>
      </c>
      <c r="LW110" s="13">
        <f t="shared" si="387"/>
        <v>3</v>
      </c>
      <c r="LX110" s="19">
        <f t="shared" si="395"/>
        <v>0.20079916805636169</v>
      </c>
      <c r="LY110" s="12">
        <f t="shared" si="388"/>
        <v>90.8</v>
      </c>
      <c r="LZ110" s="12">
        <f t="shared" si="389"/>
        <v>7.3624517655465835</v>
      </c>
      <c r="MA110" s="13">
        <f t="shared" si="390"/>
        <v>3</v>
      </c>
      <c r="MB110" s="19">
        <f t="shared" si="396"/>
        <v>8.108427054566722E-2</v>
      </c>
      <c r="MC110" s="19">
        <f t="shared" si="391"/>
        <v>1.5538603427779166E-2</v>
      </c>
      <c r="MD110" s="19">
        <f t="shared" si="392"/>
        <v>1.5631654940683314E-2</v>
      </c>
      <c r="MF110" s="12" t="s">
        <v>37</v>
      </c>
      <c r="MG110" s="12" t="s">
        <v>37</v>
      </c>
      <c r="MH110" s="12" t="s">
        <v>37</v>
      </c>
      <c r="MJ110" s="12" t="s">
        <v>37</v>
      </c>
      <c r="MK110" s="12" t="s">
        <v>37</v>
      </c>
      <c r="ML110" s="12" t="s">
        <v>37</v>
      </c>
      <c r="MQ110" s="12" t="s">
        <v>37</v>
      </c>
      <c r="MR110" s="12" t="s">
        <v>37</v>
      </c>
      <c r="MS110" s="12" t="s">
        <v>37</v>
      </c>
      <c r="MU110" s="12" t="s">
        <v>37</v>
      </c>
      <c r="MV110" s="12" t="s">
        <v>37</v>
      </c>
      <c r="MW110" s="12" t="s">
        <v>37</v>
      </c>
      <c r="NC110" s="12" t="s">
        <v>37</v>
      </c>
      <c r="ND110" s="12" t="s">
        <v>37</v>
      </c>
      <c r="NE110" s="13" t="s">
        <v>37</v>
      </c>
      <c r="NG110" s="12" t="s">
        <v>37</v>
      </c>
      <c r="NH110" s="12" t="s">
        <v>37</v>
      </c>
      <c r="NI110" s="13" t="s">
        <v>37</v>
      </c>
      <c r="NO110" s="12" t="s">
        <v>37</v>
      </c>
      <c r="NP110" s="12" t="s">
        <v>37</v>
      </c>
      <c r="NQ110" s="13" t="s">
        <v>37</v>
      </c>
      <c r="NS110" s="12" t="s">
        <v>37</v>
      </c>
      <c r="NT110" s="12" t="s">
        <v>37</v>
      </c>
      <c r="NU110" s="13" t="s">
        <v>37</v>
      </c>
      <c r="OA110" s="11" t="s">
        <v>37</v>
      </c>
      <c r="OB110" s="11" t="s">
        <v>37</v>
      </c>
      <c r="OC110" s="13" t="s">
        <v>37</v>
      </c>
      <c r="OE110" s="11" t="s">
        <v>37</v>
      </c>
      <c r="OF110" s="11" t="s">
        <v>37</v>
      </c>
      <c r="OG110" s="13" t="s">
        <v>37</v>
      </c>
      <c r="OM110" s="11" t="s">
        <v>37</v>
      </c>
      <c r="ON110" s="11" t="s">
        <v>37</v>
      </c>
      <c r="OO110" s="11" t="s">
        <v>37</v>
      </c>
      <c r="OP110" s="11" t="s">
        <v>37</v>
      </c>
      <c r="OQ110" s="11" t="s">
        <v>37</v>
      </c>
      <c r="OR110" s="11" t="s">
        <v>37</v>
      </c>
      <c r="OW110" s="12" t="s">
        <v>37</v>
      </c>
      <c r="OX110" s="12" t="s">
        <v>37</v>
      </c>
      <c r="OY110" s="13" t="s">
        <v>37</v>
      </c>
      <c r="OZ110" s="12" t="s">
        <v>37</v>
      </c>
      <c r="PA110" s="12" t="s">
        <v>37</v>
      </c>
      <c r="PB110" s="13" t="s">
        <v>37</v>
      </c>
      <c r="PG110" s="11" t="s">
        <v>37</v>
      </c>
      <c r="PH110" s="11" t="s">
        <v>37</v>
      </c>
      <c r="PI110" s="13" t="s">
        <v>37</v>
      </c>
      <c r="PJ110" s="11" t="s">
        <v>37</v>
      </c>
      <c r="PK110" s="11" t="s">
        <v>37</v>
      </c>
      <c r="PL110" s="13" t="s">
        <v>37</v>
      </c>
      <c r="PQ110" s="12" t="s">
        <v>37</v>
      </c>
      <c r="PR110" s="12" t="s">
        <v>37</v>
      </c>
      <c r="PS110" s="12" t="s">
        <v>37</v>
      </c>
      <c r="PT110" s="12" t="s">
        <v>37</v>
      </c>
      <c r="PU110" s="12" t="s">
        <v>37</v>
      </c>
      <c r="PV110" s="12" t="s">
        <v>37</v>
      </c>
      <c r="PW110" s="12"/>
      <c r="PX110" s="12"/>
      <c r="PZ110" s="12" t="s">
        <v>37</v>
      </c>
      <c r="QA110" s="12" t="s">
        <v>37</v>
      </c>
      <c r="QB110" s="11" t="s">
        <v>37</v>
      </c>
      <c r="QD110" s="12" t="s">
        <v>37</v>
      </c>
      <c r="QE110" s="12" t="s">
        <v>37</v>
      </c>
      <c r="QF110" s="12" t="s">
        <v>37</v>
      </c>
      <c r="QK110" s="12" t="s">
        <v>37</v>
      </c>
      <c r="QL110" s="12" t="s">
        <v>37</v>
      </c>
      <c r="QM110" s="12" t="s">
        <v>37</v>
      </c>
      <c r="QN110" s="12" t="s">
        <v>37</v>
      </c>
      <c r="QO110" s="12" t="s">
        <v>37</v>
      </c>
      <c r="QP110" s="12" t="s">
        <v>37</v>
      </c>
      <c r="QQ110" s="12"/>
      <c r="QR110" s="12"/>
      <c r="QU110" s="11" t="s">
        <v>37</v>
      </c>
      <c r="QV110" s="11" t="s">
        <v>37</v>
      </c>
      <c r="QW110" s="13" t="s">
        <v>37</v>
      </c>
      <c r="QX110" s="11" t="s">
        <v>37</v>
      </c>
      <c r="QY110" s="11" t="s">
        <v>37</v>
      </c>
      <c r="QZ110" s="13" t="s">
        <v>37</v>
      </c>
      <c r="RC110" s="12" t="s">
        <v>37</v>
      </c>
      <c r="RD110" s="12" t="s">
        <v>37</v>
      </c>
      <c r="RE110" s="13" t="s">
        <v>37</v>
      </c>
      <c r="RF110" s="12" t="s">
        <v>37</v>
      </c>
      <c r="RG110" s="12" t="s">
        <v>37</v>
      </c>
      <c r="RH110" s="13" t="s">
        <v>37</v>
      </c>
      <c r="RK110" s="11" t="s">
        <v>37</v>
      </c>
      <c r="RL110" s="11" t="s">
        <v>37</v>
      </c>
      <c r="RM110" s="11" t="s">
        <v>37</v>
      </c>
      <c r="RN110" s="11" t="s">
        <v>37</v>
      </c>
      <c r="RO110" s="11" t="s">
        <v>37</v>
      </c>
      <c r="RP110" s="11" t="s">
        <v>37</v>
      </c>
      <c r="RS110" s="11" t="s">
        <v>37</v>
      </c>
      <c r="RT110" s="11" t="s">
        <v>37</v>
      </c>
      <c r="RU110" s="11" t="s">
        <v>37</v>
      </c>
      <c r="RV110" s="11" t="s">
        <v>37</v>
      </c>
      <c r="RW110" s="11" t="s">
        <v>37</v>
      </c>
      <c r="RX110" s="11" t="s">
        <v>37</v>
      </c>
      <c r="SA110" s="11" t="s">
        <v>37</v>
      </c>
      <c r="SB110" s="11" t="s">
        <v>37</v>
      </c>
      <c r="SC110" s="13" t="s">
        <v>37</v>
      </c>
      <c r="SD110" s="11" t="s">
        <v>37</v>
      </c>
      <c r="SE110" s="11" t="s">
        <v>37</v>
      </c>
      <c r="SF110" s="13" t="s">
        <v>37</v>
      </c>
      <c r="SI110" s="12" t="s">
        <v>37</v>
      </c>
      <c r="SJ110" s="12" t="s">
        <v>37</v>
      </c>
      <c r="SK110" s="13" t="s">
        <v>37</v>
      </c>
      <c r="SM110" s="12" t="s">
        <v>37</v>
      </c>
      <c r="SN110" s="12" t="s">
        <v>37</v>
      </c>
      <c r="SO110" s="13" t="s">
        <v>37</v>
      </c>
      <c r="SU110" s="12" t="s">
        <v>37</v>
      </c>
      <c r="SV110" s="12" t="s">
        <v>37</v>
      </c>
      <c r="SW110" s="11" t="s">
        <v>37</v>
      </c>
      <c r="SX110" s="12" t="s">
        <v>37</v>
      </c>
      <c r="SY110" s="12" t="s">
        <v>37</v>
      </c>
      <c r="SZ110" s="11" t="s">
        <v>37</v>
      </c>
      <c r="TE110" s="12" t="s">
        <v>37</v>
      </c>
      <c r="TF110" s="12" t="s">
        <v>37</v>
      </c>
      <c r="TG110" s="11" t="s">
        <v>37</v>
      </c>
      <c r="TH110" s="12" t="s">
        <v>37</v>
      </c>
      <c r="TI110" s="12" t="s">
        <v>37</v>
      </c>
      <c r="TJ110" s="11" t="s">
        <v>37</v>
      </c>
      <c r="TO110" s="12" t="s">
        <v>37</v>
      </c>
      <c r="TP110" s="12" t="s">
        <v>37</v>
      </c>
      <c r="TQ110" s="11" t="s">
        <v>37</v>
      </c>
      <c r="TR110" s="12" t="s">
        <v>37</v>
      </c>
      <c r="TS110" s="12" t="s">
        <v>37</v>
      </c>
      <c r="TT110" s="11" t="s">
        <v>37</v>
      </c>
      <c r="TY110" s="12" t="s">
        <v>37</v>
      </c>
      <c r="TZ110" s="12" t="s">
        <v>37</v>
      </c>
      <c r="UA110" s="12" t="s">
        <v>37</v>
      </c>
      <c r="UB110" s="12" t="s">
        <v>37</v>
      </c>
      <c r="UC110" s="12" t="s">
        <v>37</v>
      </c>
      <c r="UD110" s="12" t="s">
        <v>37</v>
      </c>
      <c r="UE110" s="12"/>
      <c r="UF110" s="12"/>
      <c r="UI110" s="12" t="s">
        <v>37</v>
      </c>
      <c r="UJ110" s="12" t="s">
        <v>37</v>
      </c>
      <c r="UK110" s="12" t="s">
        <v>37</v>
      </c>
      <c r="UL110" s="12" t="s">
        <v>37</v>
      </c>
      <c r="UM110" s="12" t="s">
        <v>37</v>
      </c>
      <c r="UN110" s="12" t="s">
        <v>37</v>
      </c>
      <c r="UO110" s="12"/>
      <c r="UP110" s="12"/>
      <c r="UR110" s="12" t="s">
        <v>37</v>
      </c>
      <c r="US110" s="12" t="s">
        <v>37</v>
      </c>
      <c r="UT110" s="12" t="s">
        <v>37</v>
      </c>
      <c r="UU110" s="12" t="s">
        <v>37</v>
      </c>
      <c r="UV110" s="12" t="s">
        <v>37</v>
      </c>
      <c r="UW110" s="12" t="s">
        <v>37</v>
      </c>
      <c r="UX110" s="12"/>
      <c r="UY110" s="12"/>
      <c r="VB110" s="12" t="s">
        <v>37</v>
      </c>
      <c r="VC110" s="12" t="s">
        <v>37</v>
      </c>
      <c r="VD110" s="12" t="s">
        <v>37</v>
      </c>
      <c r="VE110" s="12" t="s">
        <v>37</v>
      </c>
      <c r="VF110" s="12" t="s">
        <v>37</v>
      </c>
      <c r="VG110" s="12" t="s">
        <v>37</v>
      </c>
      <c r="VI110" s="12" t="s">
        <v>37</v>
      </c>
      <c r="VJ110" s="12" t="s">
        <v>37</v>
      </c>
      <c r="VK110" s="12" t="s">
        <v>37</v>
      </c>
      <c r="VL110" s="12" t="s">
        <v>37</v>
      </c>
      <c r="VM110" s="12" t="s">
        <v>37</v>
      </c>
      <c r="VN110" s="12" t="s">
        <v>37</v>
      </c>
      <c r="VQ110" s="13" t="s">
        <v>37</v>
      </c>
      <c r="VR110" s="13" t="s">
        <v>37</v>
      </c>
      <c r="VS110" s="13" t="s">
        <v>37</v>
      </c>
      <c r="VT110" s="13" t="s">
        <v>37</v>
      </c>
      <c r="VU110" s="13" t="s">
        <v>37</v>
      </c>
      <c r="VV110" s="13" t="s">
        <v>37</v>
      </c>
      <c r="WA110" s="13" t="s">
        <v>37</v>
      </c>
      <c r="WB110" s="13" t="s">
        <v>37</v>
      </c>
      <c r="WC110" s="13" t="s">
        <v>37</v>
      </c>
      <c r="WD110" s="13" t="s">
        <v>37</v>
      </c>
      <c r="WE110" s="13" t="s">
        <v>37</v>
      </c>
      <c r="WF110" s="13" t="s">
        <v>37</v>
      </c>
    </row>
    <row r="111" spans="1:604" ht="18" customHeight="1" x14ac:dyDescent="0.4">
      <c r="A111" s="11">
        <v>26</v>
      </c>
      <c r="B111" s="12" t="s">
        <v>168</v>
      </c>
      <c r="C111" s="12" t="s">
        <v>26</v>
      </c>
      <c r="D111" s="12" t="s">
        <v>54</v>
      </c>
      <c r="E111" s="40" t="s">
        <v>37</v>
      </c>
      <c r="F111" s="14">
        <v>0</v>
      </c>
      <c r="G111" s="14">
        <v>0</v>
      </c>
      <c r="H111" s="12" t="s">
        <v>123</v>
      </c>
      <c r="I111" s="29">
        <v>61.8</v>
      </c>
      <c r="J111" s="29">
        <v>24.317</v>
      </c>
      <c r="K111" s="12" t="s">
        <v>714</v>
      </c>
      <c r="L111" s="12" t="s">
        <v>666</v>
      </c>
      <c r="M111" s="13">
        <v>150</v>
      </c>
      <c r="N111" s="14">
        <v>3</v>
      </c>
      <c r="O111" s="14">
        <v>700</v>
      </c>
      <c r="P111" s="14" t="s">
        <v>84</v>
      </c>
      <c r="Q111" s="75">
        <v>31</v>
      </c>
      <c r="R111" s="11" t="s">
        <v>1000</v>
      </c>
      <c r="S111" s="12" t="s">
        <v>93</v>
      </c>
      <c r="T111" s="12" t="s">
        <v>141</v>
      </c>
      <c r="U111" s="12" t="s">
        <v>163</v>
      </c>
      <c r="V111" s="12" t="s">
        <v>275</v>
      </c>
      <c r="W111" s="23" t="s">
        <v>37</v>
      </c>
      <c r="X111" s="12" t="s">
        <v>37</v>
      </c>
      <c r="Y111" s="12" t="s">
        <v>69</v>
      </c>
      <c r="Z111" s="12" t="s">
        <v>37</v>
      </c>
      <c r="AA111" s="32" t="s">
        <v>372</v>
      </c>
      <c r="AB111" s="12">
        <v>3.8</v>
      </c>
      <c r="AC111" s="16" t="s">
        <v>42</v>
      </c>
      <c r="AD111" s="32" t="s">
        <v>372</v>
      </c>
      <c r="AE111" s="12">
        <v>447</v>
      </c>
      <c r="AF111" s="12" t="s">
        <v>42</v>
      </c>
      <c r="AG111" s="32" t="s">
        <v>372</v>
      </c>
      <c r="AH111" s="12">
        <v>5</v>
      </c>
      <c r="AJ111" s="12" t="str">
        <f t="shared" si="356"/>
        <v>0-20</v>
      </c>
      <c r="AK111" s="19">
        <f t="shared" si="357"/>
        <v>89.4</v>
      </c>
      <c r="AL111" s="32">
        <v>1992</v>
      </c>
      <c r="AM111" s="12" t="s">
        <v>344</v>
      </c>
      <c r="AO111" s="12" t="s">
        <v>37</v>
      </c>
      <c r="AP111" s="11" t="s">
        <v>167</v>
      </c>
      <c r="AQ111" s="12" t="s">
        <v>975</v>
      </c>
      <c r="AR111" s="16" t="s">
        <v>42</v>
      </c>
      <c r="AS111" s="32" t="s">
        <v>372</v>
      </c>
      <c r="AT111" s="12">
        <v>447</v>
      </c>
      <c r="AU111" s="15">
        <v>8</v>
      </c>
      <c r="AV111" s="18">
        <v>3</v>
      </c>
      <c r="AW111" s="52">
        <f t="shared" si="358"/>
        <v>1.7897091722595078E-2</v>
      </c>
      <c r="AX111" s="15">
        <v>454</v>
      </c>
      <c r="AY111" s="15">
        <v>6</v>
      </c>
      <c r="AZ111" s="13">
        <v>3</v>
      </c>
      <c r="BA111" s="52">
        <f t="shared" si="359"/>
        <v>1.3215859030837005E-2</v>
      </c>
      <c r="BB111" s="52">
        <f t="shared" si="360"/>
        <v>1.5538603427779166E-2</v>
      </c>
      <c r="BC111" s="19">
        <f t="shared" si="361"/>
        <v>1.6498827401664577E-4</v>
      </c>
      <c r="BE111" s="12" t="s">
        <v>326</v>
      </c>
      <c r="BF111" s="12" t="s">
        <v>326</v>
      </c>
      <c r="BG111" s="12" t="s">
        <v>326</v>
      </c>
      <c r="BI111" s="12" t="s">
        <v>326</v>
      </c>
      <c r="BJ111" s="12" t="s">
        <v>326</v>
      </c>
      <c r="BK111" s="12" t="s">
        <v>326</v>
      </c>
      <c r="BP111" s="12" t="s">
        <v>37</v>
      </c>
      <c r="BQ111" s="12" t="s">
        <v>37</v>
      </c>
      <c r="BR111" s="13" t="s">
        <v>37</v>
      </c>
      <c r="BT111" s="12" t="s">
        <v>37</v>
      </c>
      <c r="BU111" s="12" t="s">
        <v>37</v>
      </c>
      <c r="BV111" s="12" t="s">
        <v>37</v>
      </c>
      <c r="CA111" s="12" t="s">
        <v>37</v>
      </c>
      <c r="CB111" s="12" t="s">
        <v>37</v>
      </c>
      <c r="CC111" s="13" t="s">
        <v>37</v>
      </c>
      <c r="CE111" s="12" t="s">
        <v>37</v>
      </c>
      <c r="CF111" s="12" t="s">
        <v>37</v>
      </c>
      <c r="CG111" s="13" t="s">
        <v>37</v>
      </c>
      <c r="CJ111" s="12"/>
      <c r="CN111" s="12" t="s">
        <v>37</v>
      </c>
      <c r="CO111" s="12" t="s">
        <v>37</v>
      </c>
      <c r="CP111" s="13" t="s">
        <v>37</v>
      </c>
      <c r="CR111" s="12" t="s">
        <v>37</v>
      </c>
      <c r="CS111" s="12" t="s">
        <v>37</v>
      </c>
      <c r="CT111" s="13" t="s">
        <v>37</v>
      </c>
      <c r="CX111" s="72"/>
      <c r="CY111" s="72"/>
      <c r="DA111" s="12" t="s">
        <v>37</v>
      </c>
      <c r="DB111" s="12" t="s">
        <v>37</v>
      </c>
      <c r="DC111" s="13" t="s">
        <v>37</v>
      </c>
      <c r="DE111" s="12" t="s">
        <v>37</v>
      </c>
      <c r="DF111" s="12" t="s">
        <v>37</v>
      </c>
      <c r="DG111" s="13" t="s">
        <v>37</v>
      </c>
      <c r="DM111" s="15" t="s">
        <v>47</v>
      </c>
      <c r="DN111" s="19">
        <f>3.81*16/12*10^4/10^3</f>
        <v>50.8</v>
      </c>
      <c r="DO111" s="50">
        <f t="shared" si="362"/>
        <v>56.635867889324189</v>
      </c>
      <c r="DP111" s="18">
        <v>3</v>
      </c>
      <c r="DQ111" s="52"/>
      <c r="DR111" s="19">
        <f>2.11*16/12*10^4/10^3</f>
        <v>28.133333333333329</v>
      </c>
      <c r="DS111" s="50">
        <f t="shared" si="363"/>
        <v>105.14035175561906</v>
      </c>
      <c r="DT111" s="18">
        <v>3</v>
      </c>
      <c r="DU111" s="52"/>
      <c r="DV111" s="19">
        <f t="shared" si="336"/>
        <v>-22.666666666666668</v>
      </c>
      <c r="DW111" s="12">
        <f t="shared" si="337"/>
        <v>84.445589283491572</v>
      </c>
      <c r="DX111" s="72">
        <f t="shared" si="345"/>
        <v>4754.0383662907634</v>
      </c>
      <c r="DY111" s="72">
        <f t="shared" si="346"/>
        <v>4754.0383662907643</v>
      </c>
      <c r="DZ111" s="15" t="s">
        <v>47</v>
      </c>
      <c r="EA111" s="19">
        <f>5.39*44/28*10^4/10^6</f>
        <v>8.4699999999999998E-2</v>
      </c>
      <c r="EB111" s="50">
        <f t="shared" si="364"/>
        <v>0.48702305039978139</v>
      </c>
      <c r="EC111" s="72">
        <v>3</v>
      </c>
      <c r="EE111" s="19">
        <f>3.92*44/28*10^4/10^6</f>
        <v>6.1599999999999995E-2</v>
      </c>
      <c r="EF111" s="50">
        <f t="shared" si="365"/>
        <v>9.1977385910750442E-2</v>
      </c>
      <c r="EG111" s="13">
        <v>3</v>
      </c>
      <c r="EI111" s="19">
        <f t="shared" si="393"/>
        <v>-2.3100000000000002E-2</v>
      </c>
      <c r="EJ111" s="12">
        <f t="shared" si="366"/>
        <v>0.35046489919796758</v>
      </c>
      <c r="EK111" s="19">
        <f t="shared" si="367"/>
        <v>8.1883763713227697E-2</v>
      </c>
      <c r="EL111" s="19">
        <f t="shared" si="368"/>
        <v>8.1883763713227711E-2</v>
      </c>
      <c r="EM111" s="12" t="s">
        <v>39</v>
      </c>
      <c r="EN111" s="12">
        <v>-14.43</v>
      </c>
      <c r="EO111" s="12">
        <v>3.89</v>
      </c>
      <c r="EP111" s="13">
        <v>3</v>
      </c>
      <c r="EQ111" s="19">
        <f t="shared" si="320"/>
        <v>0.26957726957726957</v>
      </c>
      <c r="ER111" s="12">
        <v>-28.3</v>
      </c>
      <c r="ES111" s="12">
        <v>4.55</v>
      </c>
      <c r="ET111" s="13">
        <v>3</v>
      </c>
      <c r="EU111" s="19">
        <f t="shared" si="321"/>
        <v>0.16077738515901058</v>
      </c>
      <c r="EV111" s="19">
        <f t="shared" si="312"/>
        <v>-13.870000000000001</v>
      </c>
      <c r="EW111" s="12">
        <f t="shared" si="313"/>
        <v>4.2328831781659177</v>
      </c>
      <c r="EX111" s="19">
        <f t="shared" si="314"/>
        <v>11.944866666666664</v>
      </c>
      <c r="EY111" s="19">
        <f t="shared" si="315"/>
        <v>11.944866666666666</v>
      </c>
      <c r="FB111" s="12" t="s">
        <v>37</v>
      </c>
      <c r="FC111" s="12" t="s">
        <v>37</v>
      </c>
      <c r="FD111" s="11" t="s">
        <v>37</v>
      </c>
      <c r="FE111" s="12" t="s">
        <v>37</v>
      </c>
      <c r="FF111" s="20" t="s">
        <v>37</v>
      </c>
      <c r="FG111" s="11" t="s">
        <v>37</v>
      </c>
      <c r="FI111" s="12" t="s">
        <v>37</v>
      </c>
      <c r="FJ111" s="12" t="s">
        <v>37</v>
      </c>
      <c r="FK111" s="11" t="s">
        <v>37</v>
      </c>
      <c r="FL111" s="13" t="s">
        <v>37</v>
      </c>
      <c r="FM111" s="11" t="s">
        <v>37</v>
      </c>
      <c r="FN111" s="11" t="s">
        <v>37</v>
      </c>
      <c r="FP111" s="12" t="s">
        <v>37</v>
      </c>
      <c r="FQ111" s="12" t="s">
        <v>37</v>
      </c>
      <c r="FR111" s="11" t="s">
        <v>37</v>
      </c>
      <c r="FS111" s="13" t="s">
        <v>37</v>
      </c>
      <c r="FT111" s="11" t="s">
        <v>37</v>
      </c>
      <c r="FU111" s="11" t="s">
        <v>37</v>
      </c>
      <c r="FW111" s="12" t="s">
        <v>37</v>
      </c>
      <c r="FX111" s="12" t="s">
        <v>37</v>
      </c>
      <c r="FY111" s="11" t="s">
        <v>37</v>
      </c>
      <c r="FZ111" s="13" t="s">
        <v>37</v>
      </c>
      <c r="GA111" s="11" t="s">
        <v>37</v>
      </c>
      <c r="GB111" s="11" t="s">
        <v>37</v>
      </c>
      <c r="GO111" s="12" t="s">
        <v>660</v>
      </c>
      <c r="GP111" s="12" t="s">
        <v>345</v>
      </c>
      <c r="GQ111" s="12">
        <v>12.21</v>
      </c>
      <c r="GR111" s="12">
        <v>0.42</v>
      </c>
      <c r="GS111" s="13">
        <v>3</v>
      </c>
      <c r="GT111" s="19">
        <f t="shared" si="369"/>
        <v>3.4398034398034391E-2</v>
      </c>
      <c r="GU111" s="12">
        <v>11.86</v>
      </c>
      <c r="GV111" s="12">
        <v>0.87</v>
      </c>
      <c r="GW111" s="13">
        <v>3</v>
      </c>
      <c r="GX111" s="19">
        <f t="shared" si="370"/>
        <v>7.3355817875210796E-2</v>
      </c>
      <c r="GY111" s="19">
        <f t="shared" si="371"/>
        <v>-2.9083894553033989E-2</v>
      </c>
      <c r="GZ111" s="19">
        <f t="shared" si="372"/>
        <v>2.1881002621964843E-3</v>
      </c>
      <c r="HA111" s="17" t="s">
        <v>63</v>
      </c>
      <c r="HB111" s="34" t="s">
        <v>372</v>
      </c>
      <c r="HC111" s="12">
        <v>3.4000000000000002E-2</v>
      </c>
      <c r="HD111" s="12">
        <v>3.0000000000000001E-3</v>
      </c>
      <c r="HE111" s="13">
        <v>3</v>
      </c>
      <c r="HF111" s="19">
        <f t="shared" si="373"/>
        <v>8.8235294117647051E-2</v>
      </c>
      <c r="HG111" s="12">
        <v>5.2999999999999999E-2</v>
      </c>
      <c r="HH111" s="12">
        <v>4.0000000000000001E-3</v>
      </c>
      <c r="HI111" s="13">
        <v>3</v>
      </c>
      <c r="HJ111" s="19">
        <f t="shared" si="374"/>
        <v>7.5471698113207544E-2</v>
      </c>
      <c r="HK111" s="19">
        <f t="shared" si="375"/>
        <v>0.44393138893596029</v>
      </c>
      <c r="HL111" s="19">
        <f t="shared" si="376"/>
        <v>4.4938147813729382E-3</v>
      </c>
      <c r="IK111" s="12" t="s">
        <v>37</v>
      </c>
      <c r="IL111" s="12" t="s">
        <v>37</v>
      </c>
      <c r="IM111" s="12" t="s">
        <v>37</v>
      </c>
      <c r="IO111" s="12" t="s">
        <v>37</v>
      </c>
      <c r="IP111" s="12" t="s">
        <v>37</v>
      </c>
      <c r="IQ111" s="12" t="s">
        <v>37</v>
      </c>
      <c r="IV111" s="32" t="s">
        <v>372</v>
      </c>
      <c r="IW111" s="12">
        <v>3.8</v>
      </c>
      <c r="IX111" s="50">
        <f t="shared" si="377"/>
        <v>0.13912842198648792</v>
      </c>
      <c r="IY111" s="13">
        <v>3</v>
      </c>
      <c r="JA111" s="12">
        <v>3.8</v>
      </c>
      <c r="JB111" s="50">
        <f t="shared" si="378"/>
        <v>0.10643347338567048</v>
      </c>
      <c r="JC111" s="13">
        <v>3</v>
      </c>
      <c r="JE111" s="19">
        <f t="shared" si="379"/>
        <v>0</v>
      </c>
      <c r="JF111" s="19">
        <f t="shared" si="380"/>
        <v>7.083287641133075E-4</v>
      </c>
      <c r="JH111" s="12" t="s">
        <v>37</v>
      </c>
      <c r="JI111" s="12" t="s">
        <v>37</v>
      </c>
      <c r="JJ111" s="13" t="s">
        <v>37</v>
      </c>
      <c r="JL111" s="12" t="s">
        <v>37</v>
      </c>
      <c r="JM111" s="12" t="s">
        <v>37</v>
      </c>
      <c r="JN111" s="12" t="s">
        <v>37</v>
      </c>
      <c r="JS111" s="12" t="s">
        <v>37</v>
      </c>
      <c r="JT111" s="12" t="s">
        <v>37</v>
      </c>
      <c r="JU111" s="13" t="s">
        <v>37</v>
      </c>
      <c r="JW111" s="12" t="s">
        <v>37</v>
      </c>
      <c r="JX111" s="12" t="s">
        <v>37</v>
      </c>
      <c r="JY111" s="12" t="s">
        <v>37</v>
      </c>
      <c r="KE111" s="11" t="s">
        <v>37</v>
      </c>
      <c r="KF111" s="11" t="s">
        <v>37</v>
      </c>
      <c r="KG111" s="13" t="s">
        <v>37</v>
      </c>
      <c r="KH111" s="11" t="s">
        <v>37</v>
      </c>
      <c r="KI111" s="11" t="s">
        <v>37</v>
      </c>
      <c r="KJ111" s="11" t="s">
        <v>37</v>
      </c>
      <c r="KK111" s="12" t="s">
        <v>42</v>
      </c>
      <c r="KL111" s="32" t="s">
        <v>372</v>
      </c>
      <c r="KM111" s="12">
        <v>5</v>
      </c>
      <c r="KN111" s="12">
        <v>1</v>
      </c>
      <c r="KO111" s="11">
        <v>3</v>
      </c>
      <c r="KP111" s="19">
        <f t="shared" si="381"/>
        <v>0.2</v>
      </c>
      <c r="KQ111" s="12">
        <v>5</v>
      </c>
      <c r="KR111" s="12">
        <v>0.4</v>
      </c>
      <c r="KS111" s="13">
        <v>3</v>
      </c>
      <c r="KT111" s="19">
        <f t="shared" si="394"/>
        <v>0.08</v>
      </c>
      <c r="KU111" s="19">
        <f t="shared" si="382"/>
        <v>0</v>
      </c>
      <c r="KV111" s="19">
        <f t="shared" si="383"/>
        <v>1.5466666666666668E-2</v>
      </c>
      <c r="KX111" s="12" t="s">
        <v>37</v>
      </c>
      <c r="KY111" s="12" t="s">
        <v>37</v>
      </c>
      <c r="KZ111" s="13" t="s">
        <v>37</v>
      </c>
      <c r="LB111" s="12" t="s">
        <v>37</v>
      </c>
      <c r="LC111" s="12" t="s">
        <v>37</v>
      </c>
      <c r="LD111" s="13" t="s">
        <v>37</v>
      </c>
      <c r="LI111" s="12" t="s">
        <v>37</v>
      </c>
      <c r="LJ111" s="12" t="s">
        <v>37</v>
      </c>
      <c r="LK111" s="12" t="s">
        <v>37</v>
      </c>
      <c r="LM111" s="12" t="s">
        <v>37</v>
      </c>
      <c r="LN111" s="12" t="s">
        <v>37</v>
      </c>
      <c r="LO111" s="12" t="s">
        <v>37</v>
      </c>
      <c r="LT111" s="12" t="str">
        <f t="shared" si="384"/>
        <v>0-20</v>
      </c>
      <c r="LU111" s="12">
        <f t="shared" si="385"/>
        <v>89.4</v>
      </c>
      <c r="LV111" s="12">
        <f t="shared" si="386"/>
        <v>17.951445624238737</v>
      </c>
      <c r="LW111" s="13">
        <f t="shared" si="387"/>
        <v>3</v>
      </c>
      <c r="LX111" s="19">
        <f t="shared" si="395"/>
        <v>0.20079916805636169</v>
      </c>
      <c r="LY111" s="12">
        <f t="shared" si="388"/>
        <v>90.8</v>
      </c>
      <c r="LZ111" s="12">
        <f t="shared" si="389"/>
        <v>7.3624517655465835</v>
      </c>
      <c r="MA111" s="13">
        <f t="shared" si="390"/>
        <v>3</v>
      </c>
      <c r="MB111" s="19">
        <f t="shared" si="396"/>
        <v>8.108427054566722E-2</v>
      </c>
      <c r="MC111" s="19">
        <f t="shared" si="391"/>
        <v>1.5538603427779166E-2</v>
      </c>
      <c r="MD111" s="19">
        <f t="shared" si="392"/>
        <v>1.5631654940683314E-2</v>
      </c>
      <c r="MF111" s="12" t="s">
        <v>37</v>
      </c>
      <c r="MG111" s="12" t="s">
        <v>37</v>
      </c>
      <c r="MH111" s="12" t="s">
        <v>37</v>
      </c>
      <c r="MJ111" s="12" t="s">
        <v>37</v>
      </c>
      <c r="MK111" s="12" t="s">
        <v>37</v>
      </c>
      <c r="ML111" s="12" t="s">
        <v>37</v>
      </c>
      <c r="MQ111" s="12" t="s">
        <v>37</v>
      </c>
      <c r="MR111" s="12" t="s">
        <v>37</v>
      </c>
      <c r="MS111" s="12" t="s">
        <v>37</v>
      </c>
      <c r="MU111" s="12" t="s">
        <v>37</v>
      </c>
      <c r="MV111" s="12" t="s">
        <v>37</v>
      </c>
      <c r="MW111" s="12" t="s">
        <v>37</v>
      </c>
      <c r="NC111" s="12" t="s">
        <v>37</v>
      </c>
      <c r="ND111" s="12" t="s">
        <v>37</v>
      </c>
      <c r="NE111" s="13" t="s">
        <v>37</v>
      </c>
      <c r="NG111" s="12" t="s">
        <v>37</v>
      </c>
      <c r="NH111" s="12" t="s">
        <v>37</v>
      </c>
      <c r="NI111" s="13" t="s">
        <v>37</v>
      </c>
      <c r="NO111" s="12" t="s">
        <v>37</v>
      </c>
      <c r="NP111" s="12" t="s">
        <v>37</v>
      </c>
      <c r="NQ111" s="13" t="s">
        <v>37</v>
      </c>
      <c r="NS111" s="12" t="s">
        <v>37</v>
      </c>
      <c r="NT111" s="12" t="s">
        <v>37</v>
      </c>
      <c r="NU111" s="13" t="s">
        <v>37</v>
      </c>
      <c r="OA111" s="11" t="s">
        <v>37</v>
      </c>
      <c r="OB111" s="11" t="s">
        <v>37</v>
      </c>
      <c r="OC111" s="13" t="s">
        <v>37</v>
      </c>
      <c r="OE111" s="11" t="s">
        <v>37</v>
      </c>
      <c r="OF111" s="11" t="s">
        <v>37</v>
      </c>
      <c r="OG111" s="13" t="s">
        <v>37</v>
      </c>
      <c r="OM111" s="11" t="s">
        <v>37</v>
      </c>
      <c r="ON111" s="11" t="s">
        <v>37</v>
      </c>
      <c r="OO111" s="11" t="s">
        <v>37</v>
      </c>
      <c r="OP111" s="11" t="s">
        <v>37</v>
      </c>
      <c r="OQ111" s="11" t="s">
        <v>37</v>
      </c>
      <c r="OR111" s="11" t="s">
        <v>37</v>
      </c>
      <c r="OW111" s="12" t="s">
        <v>37</v>
      </c>
      <c r="OX111" s="12" t="s">
        <v>37</v>
      </c>
      <c r="OY111" s="13" t="s">
        <v>37</v>
      </c>
      <c r="OZ111" s="12" t="s">
        <v>37</v>
      </c>
      <c r="PA111" s="12" t="s">
        <v>37</v>
      </c>
      <c r="PB111" s="13" t="s">
        <v>37</v>
      </c>
      <c r="PG111" s="11" t="s">
        <v>37</v>
      </c>
      <c r="PH111" s="11" t="s">
        <v>37</v>
      </c>
      <c r="PI111" s="13" t="s">
        <v>37</v>
      </c>
      <c r="PJ111" s="11" t="s">
        <v>37</v>
      </c>
      <c r="PK111" s="11" t="s">
        <v>37</v>
      </c>
      <c r="PL111" s="13" t="s">
        <v>37</v>
      </c>
      <c r="PQ111" s="12" t="s">
        <v>37</v>
      </c>
      <c r="PR111" s="12" t="s">
        <v>37</v>
      </c>
      <c r="PS111" s="12" t="s">
        <v>37</v>
      </c>
      <c r="PT111" s="12" t="s">
        <v>37</v>
      </c>
      <c r="PU111" s="12" t="s">
        <v>37</v>
      </c>
      <c r="PV111" s="12" t="s">
        <v>37</v>
      </c>
      <c r="PW111" s="12"/>
      <c r="PX111" s="12"/>
      <c r="PZ111" s="12" t="s">
        <v>37</v>
      </c>
      <c r="QA111" s="12" t="s">
        <v>37</v>
      </c>
      <c r="QB111" s="11" t="s">
        <v>37</v>
      </c>
      <c r="QD111" s="12" t="s">
        <v>37</v>
      </c>
      <c r="QE111" s="12" t="s">
        <v>37</v>
      </c>
      <c r="QF111" s="12" t="s">
        <v>37</v>
      </c>
      <c r="QK111" s="12" t="s">
        <v>37</v>
      </c>
      <c r="QL111" s="12" t="s">
        <v>37</v>
      </c>
      <c r="QM111" s="12" t="s">
        <v>37</v>
      </c>
      <c r="QN111" s="12" t="s">
        <v>37</v>
      </c>
      <c r="QO111" s="12" t="s">
        <v>37</v>
      </c>
      <c r="QP111" s="12" t="s">
        <v>37</v>
      </c>
      <c r="QQ111" s="12"/>
      <c r="QR111" s="12"/>
      <c r="QU111" s="11" t="s">
        <v>37</v>
      </c>
      <c r="QV111" s="11" t="s">
        <v>37</v>
      </c>
      <c r="QW111" s="13" t="s">
        <v>37</v>
      </c>
      <c r="QX111" s="11" t="s">
        <v>37</v>
      </c>
      <c r="QY111" s="11" t="s">
        <v>37</v>
      </c>
      <c r="QZ111" s="13" t="s">
        <v>37</v>
      </c>
      <c r="RC111" s="12" t="s">
        <v>37</v>
      </c>
      <c r="RD111" s="12" t="s">
        <v>37</v>
      </c>
      <c r="RE111" s="13" t="s">
        <v>37</v>
      </c>
      <c r="RF111" s="12" t="s">
        <v>37</v>
      </c>
      <c r="RG111" s="12" t="s">
        <v>37</v>
      </c>
      <c r="RH111" s="13" t="s">
        <v>37</v>
      </c>
      <c r="RK111" s="11" t="s">
        <v>37</v>
      </c>
      <c r="RL111" s="11" t="s">
        <v>37</v>
      </c>
      <c r="RM111" s="11" t="s">
        <v>37</v>
      </c>
      <c r="RN111" s="11" t="s">
        <v>37</v>
      </c>
      <c r="RO111" s="11" t="s">
        <v>37</v>
      </c>
      <c r="RP111" s="11" t="s">
        <v>37</v>
      </c>
      <c r="RS111" s="11" t="s">
        <v>37</v>
      </c>
      <c r="RT111" s="11" t="s">
        <v>37</v>
      </c>
      <c r="RU111" s="11" t="s">
        <v>37</v>
      </c>
      <c r="RV111" s="11" t="s">
        <v>37</v>
      </c>
      <c r="RW111" s="11" t="s">
        <v>37</v>
      </c>
      <c r="RX111" s="11" t="s">
        <v>37</v>
      </c>
      <c r="SA111" s="11" t="s">
        <v>37</v>
      </c>
      <c r="SB111" s="11" t="s">
        <v>37</v>
      </c>
      <c r="SC111" s="13" t="s">
        <v>37</v>
      </c>
      <c r="SD111" s="11" t="s">
        <v>37</v>
      </c>
      <c r="SE111" s="11" t="s">
        <v>37</v>
      </c>
      <c r="SF111" s="13" t="s">
        <v>37</v>
      </c>
      <c r="SI111" s="12" t="s">
        <v>37</v>
      </c>
      <c r="SJ111" s="12" t="s">
        <v>37</v>
      </c>
      <c r="SK111" s="13" t="s">
        <v>37</v>
      </c>
      <c r="SM111" s="12" t="s">
        <v>37</v>
      </c>
      <c r="SN111" s="12" t="s">
        <v>37</v>
      </c>
      <c r="SO111" s="13" t="s">
        <v>37</v>
      </c>
      <c r="SU111" s="12" t="s">
        <v>37</v>
      </c>
      <c r="SV111" s="12" t="s">
        <v>37</v>
      </c>
      <c r="SW111" s="11" t="s">
        <v>37</v>
      </c>
      <c r="SX111" s="12" t="s">
        <v>37</v>
      </c>
      <c r="SY111" s="12" t="s">
        <v>37</v>
      </c>
      <c r="SZ111" s="11" t="s">
        <v>37</v>
      </c>
      <c r="TE111" s="12" t="s">
        <v>37</v>
      </c>
      <c r="TF111" s="12" t="s">
        <v>37</v>
      </c>
      <c r="TG111" s="11" t="s">
        <v>37</v>
      </c>
      <c r="TH111" s="12" t="s">
        <v>37</v>
      </c>
      <c r="TI111" s="12" t="s">
        <v>37</v>
      </c>
      <c r="TJ111" s="11" t="s">
        <v>37</v>
      </c>
      <c r="TO111" s="12" t="s">
        <v>37</v>
      </c>
      <c r="TP111" s="12" t="s">
        <v>37</v>
      </c>
      <c r="TQ111" s="11" t="s">
        <v>37</v>
      </c>
      <c r="TR111" s="12" t="s">
        <v>37</v>
      </c>
      <c r="TS111" s="12" t="s">
        <v>37</v>
      </c>
      <c r="TT111" s="11" t="s">
        <v>37</v>
      </c>
      <c r="TY111" s="12" t="s">
        <v>37</v>
      </c>
      <c r="TZ111" s="12" t="s">
        <v>37</v>
      </c>
      <c r="UA111" s="12" t="s">
        <v>37</v>
      </c>
      <c r="UB111" s="12" t="s">
        <v>37</v>
      </c>
      <c r="UC111" s="12" t="s">
        <v>37</v>
      </c>
      <c r="UD111" s="12" t="s">
        <v>37</v>
      </c>
      <c r="UE111" s="12"/>
      <c r="UF111" s="12"/>
      <c r="UI111" s="12" t="s">
        <v>37</v>
      </c>
      <c r="UJ111" s="12" t="s">
        <v>37</v>
      </c>
      <c r="UK111" s="12" t="s">
        <v>37</v>
      </c>
      <c r="UL111" s="12" t="s">
        <v>37</v>
      </c>
      <c r="UM111" s="12" t="s">
        <v>37</v>
      </c>
      <c r="UN111" s="12" t="s">
        <v>37</v>
      </c>
      <c r="UO111" s="12"/>
      <c r="UP111" s="12"/>
      <c r="UR111" s="12" t="s">
        <v>37</v>
      </c>
      <c r="US111" s="12" t="s">
        <v>37</v>
      </c>
      <c r="UT111" s="12" t="s">
        <v>37</v>
      </c>
      <c r="UU111" s="12" t="s">
        <v>37</v>
      </c>
      <c r="UV111" s="12" t="s">
        <v>37</v>
      </c>
      <c r="UW111" s="12" t="s">
        <v>37</v>
      </c>
      <c r="UX111" s="12"/>
      <c r="UY111" s="12"/>
      <c r="VB111" s="12" t="s">
        <v>37</v>
      </c>
      <c r="VC111" s="12" t="s">
        <v>37</v>
      </c>
      <c r="VD111" s="12" t="s">
        <v>37</v>
      </c>
      <c r="VE111" s="12" t="s">
        <v>37</v>
      </c>
      <c r="VF111" s="12" t="s">
        <v>37</v>
      </c>
      <c r="VG111" s="12" t="s">
        <v>37</v>
      </c>
      <c r="VI111" s="12" t="s">
        <v>37</v>
      </c>
      <c r="VJ111" s="12" t="s">
        <v>37</v>
      </c>
      <c r="VK111" s="12" t="s">
        <v>37</v>
      </c>
      <c r="VL111" s="12" t="s">
        <v>37</v>
      </c>
      <c r="VM111" s="12" t="s">
        <v>37</v>
      </c>
      <c r="VN111" s="12" t="s">
        <v>37</v>
      </c>
      <c r="VQ111" s="13" t="s">
        <v>37</v>
      </c>
      <c r="VR111" s="13" t="s">
        <v>37</v>
      </c>
      <c r="VS111" s="13" t="s">
        <v>37</v>
      </c>
      <c r="VT111" s="13" t="s">
        <v>37</v>
      </c>
      <c r="VU111" s="13" t="s">
        <v>37</v>
      </c>
      <c r="VV111" s="13" t="s">
        <v>37</v>
      </c>
      <c r="WA111" s="13" t="s">
        <v>37</v>
      </c>
      <c r="WB111" s="13" t="s">
        <v>37</v>
      </c>
      <c r="WC111" s="13" t="s">
        <v>37</v>
      </c>
      <c r="WD111" s="13" t="s">
        <v>37</v>
      </c>
      <c r="WE111" s="13" t="s">
        <v>37</v>
      </c>
      <c r="WF111" s="13" t="s">
        <v>37</v>
      </c>
    </row>
    <row r="112" spans="1:604" ht="18" customHeight="1" x14ac:dyDescent="0.3">
      <c r="A112" s="11">
        <v>28</v>
      </c>
      <c r="B112" s="16" t="s">
        <v>905</v>
      </c>
      <c r="C112" s="12" t="s">
        <v>26</v>
      </c>
      <c r="D112" s="12" t="s">
        <v>119</v>
      </c>
      <c r="E112" s="40" t="s">
        <v>37</v>
      </c>
      <c r="F112" s="14">
        <v>0</v>
      </c>
      <c r="G112" s="14">
        <v>0</v>
      </c>
      <c r="H112" s="12" t="s">
        <v>82</v>
      </c>
      <c r="I112" s="29">
        <v>48.28</v>
      </c>
      <c r="J112" s="29">
        <v>-98.87</v>
      </c>
      <c r="K112" s="12" t="s">
        <v>182</v>
      </c>
      <c r="L112" s="12" t="s">
        <v>183</v>
      </c>
      <c r="M112" s="13" t="s">
        <v>37</v>
      </c>
      <c r="N112" s="14">
        <v>19</v>
      </c>
      <c r="O112" s="14">
        <v>360</v>
      </c>
      <c r="P112" s="14" t="s">
        <v>16</v>
      </c>
      <c r="Q112" s="75">
        <v>5</v>
      </c>
      <c r="R112" s="11" t="s">
        <v>999</v>
      </c>
      <c r="S112" s="12" t="s">
        <v>37</v>
      </c>
      <c r="T112" s="12" t="s">
        <v>138</v>
      </c>
      <c r="U112" s="12" t="s">
        <v>158</v>
      </c>
      <c r="V112" s="12" t="s">
        <v>275</v>
      </c>
      <c r="W112" s="23" t="s">
        <v>37</v>
      </c>
      <c r="X112" s="12" t="s">
        <v>37</v>
      </c>
      <c r="Y112" s="12" t="s">
        <v>69</v>
      </c>
      <c r="Z112" s="12" t="s">
        <v>37</v>
      </c>
      <c r="AB112" s="12" t="s">
        <v>37</v>
      </c>
      <c r="AC112" s="12" t="s">
        <v>42</v>
      </c>
      <c r="AD112" s="32" t="s">
        <v>327</v>
      </c>
      <c r="AE112" s="12">
        <f>137.02*10^3/0.94/15/100</f>
        <v>97.177304964539019</v>
      </c>
      <c r="AF112" s="12" t="s">
        <v>42</v>
      </c>
      <c r="AG112" s="32" t="s">
        <v>327</v>
      </c>
      <c r="AH112" s="12">
        <f>12.56*10^3/0.94/15/100</f>
        <v>8.9078014184397176</v>
      </c>
      <c r="AJ112" s="12" t="str">
        <f t="shared" si="356"/>
        <v>0-15</v>
      </c>
      <c r="AK112" s="19">
        <f t="shared" si="357"/>
        <v>10.909235668789808</v>
      </c>
      <c r="AL112" s="32" t="s">
        <v>178</v>
      </c>
      <c r="AM112" s="54" t="s">
        <v>317</v>
      </c>
      <c r="AN112" s="32" t="s">
        <v>886</v>
      </c>
      <c r="AO112" s="12" t="s">
        <v>37</v>
      </c>
      <c r="AP112" s="12" t="s">
        <v>108</v>
      </c>
      <c r="AQ112" s="12" t="s">
        <v>975</v>
      </c>
      <c r="AR112" s="12" t="s">
        <v>42</v>
      </c>
      <c r="AS112" s="32" t="s">
        <v>327</v>
      </c>
      <c r="AT112" s="12">
        <f>137.02*10^3/0.94/15/100</f>
        <v>97.177304964539019</v>
      </c>
      <c r="AU112" s="12">
        <f>SQRT((1/(1500*0.94))^2*(6.67*SQRT(3))^2+(((-137.02*10^3)/(1500*0.94)^2))^2*(0.1*SQRT(3))^2)</f>
        <v>1.4478677078300162E-2</v>
      </c>
      <c r="AV112" s="13">
        <v>3</v>
      </c>
      <c r="AW112" s="52">
        <f>AU112/AT112</f>
        <v>1.4899237104366682E-4</v>
      </c>
      <c r="AX112" s="12">
        <f>129.97*10^3/1.34/15/100</f>
        <v>64.661691542288551</v>
      </c>
      <c r="AY112" s="12">
        <f>SQRT((1/(1500*1.37))^2*(9.19*SQRT(3))^2+(((-129.97*10^3)/(1500*1.34)^2))^2*(0.05*SQRT(3))^2)</f>
        <v>8.2315666186958056E-3</v>
      </c>
      <c r="AZ112" s="13">
        <v>3</v>
      </c>
      <c r="BA112" s="52">
        <f t="shared" ref="BA112:BA126" si="397">AY112/AX112</f>
        <v>1.2730206127243649E-4</v>
      </c>
      <c r="BB112" s="52">
        <f t="shared" si="360"/>
        <v>-0.40736826366216361</v>
      </c>
      <c r="BC112" s="19">
        <f t="shared" si="361"/>
        <v>1.2801513811141618E-8</v>
      </c>
      <c r="BE112" s="12" t="s">
        <v>326</v>
      </c>
      <c r="BF112" s="12" t="s">
        <v>326</v>
      </c>
      <c r="BG112" s="12" t="s">
        <v>326</v>
      </c>
      <c r="BI112" s="12" t="s">
        <v>326</v>
      </c>
      <c r="BJ112" s="12" t="s">
        <v>326</v>
      </c>
      <c r="BK112" s="12" t="s">
        <v>326</v>
      </c>
      <c r="BP112" s="12" t="s">
        <v>37</v>
      </c>
      <c r="BQ112" s="12" t="s">
        <v>37</v>
      </c>
      <c r="BR112" s="13" t="s">
        <v>37</v>
      </c>
      <c r="BT112" s="12" t="s">
        <v>37</v>
      </c>
      <c r="BU112" s="12" t="s">
        <v>37</v>
      </c>
      <c r="BV112" s="12" t="s">
        <v>37</v>
      </c>
      <c r="CA112" s="12" t="s">
        <v>37</v>
      </c>
      <c r="CB112" s="12" t="s">
        <v>37</v>
      </c>
      <c r="CC112" s="13" t="s">
        <v>37</v>
      </c>
      <c r="CE112" s="12" t="s">
        <v>37</v>
      </c>
      <c r="CF112" s="12" t="s">
        <v>37</v>
      </c>
      <c r="CG112" s="13" t="s">
        <v>37</v>
      </c>
      <c r="CJ112" s="12"/>
      <c r="CN112" s="12" t="s">
        <v>37</v>
      </c>
      <c r="CO112" s="12" t="s">
        <v>37</v>
      </c>
      <c r="CP112" s="13" t="s">
        <v>37</v>
      </c>
      <c r="CR112" s="12" t="s">
        <v>37</v>
      </c>
      <c r="CS112" s="12" t="s">
        <v>37</v>
      </c>
      <c r="CT112" s="13" t="s">
        <v>37</v>
      </c>
      <c r="CX112" s="72"/>
      <c r="CY112" s="72"/>
      <c r="DA112" s="12" t="s">
        <v>37</v>
      </c>
      <c r="DB112" s="12" t="s">
        <v>37</v>
      </c>
      <c r="DC112" s="13" t="s">
        <v>37</v>
      </c>
      <c r="DE112" s="12" t="s">
        <v>37</v>
      </c>
      <c r="DF112" s="12" t="s">
        <v>37</v>
      </c>
      <c r="DG112" s="13" t="s">
        <v>37</v>
      </c>
      <c r="DM112" s="15"/>
      <c r="DO112" s="108"/>
      <c r="DP112" s="72"/>
      <c r="DS112" s="108"/>
      <c r="DT112" s="72"/>
      <c r="DX112" s="19"/>
      <c r="DY112" s="19"/>
      <c r="DZ112" s="12" t="s">
        <v>47</v>
      </c>
      <c r="EA112" s="19">
        <f>(0.1*7/5*10^4/10^3)/'[3]classess-1'!$I$4</f>
        <v>1.8193831442341308</v>
      </c>
      <c r="EB112" s="50">
        <f t="shared" si="364"/>
        <v>10.461411201308758</v>
      </c>
      <c r="EC112" s="72">
        <v>3</v>
      </c>
      <c r="EE112" s="19">
        <f>(0.06*7/5*10^4/10^3)/'[3]classess-1'!$I$5</f>
        <v>1.4382096725045124</v>
      </c>
      <c r="EF112" s="50">
        <f t="shared" si="365"/>
        <v>2.1474475011123628</v>
      </c>
      <c r="EG112" s="13">
        <v>3</v>
      </c>
      <c r="EI112" s="19">
        <f>EE112-EA112</f>
        <v>-0.38117347172961846</v>
      </c>
      <c r="EJ112" s="12">
        <f t="shared" si="366"/>
        <v>7.5515778183404194</v>
      </c>
      <c r="EK112" s="19">
        <f t="shared" si="367"/>
        <v>38.017551697634026</v>
      </c>
      <c r="EL112" s="19">
        <f t="shared" si="368"/>
        <v>38.017551697634026</v>
      </c>
      <c r="EM112" s="12" t="s">
        <v>39</v>
      </c>
      <c r="EN112" s="12">
        <v>22</v>
      </c>
      <c r="EO112" s="50">
        <f t="shared" ref="EO112:EO133" si="398">ABS(EN112)*EQ$474</f>
        <v>8.964920772528453</v>
      </c>
      <c r="EP112" s="13">
        <v>3</v>
      </c>
      <c r="ER112" s="12">
        <v>-35</v>
      </c>
      <c r="ES112" s="50">
        <f t="shared" ref="ES112:ES133" si="399">ABS(ER112)*EU$474</f>
        <v>7.9384918728217961</v>
      </c>
      <c r="ET112" s="13">
        <v>3</v>
      </c>
      <c r="EV112" s="19">
        <f t="shared" ref="EV112:EV127" si="400">ER112-EN112</f>
        <v>-57</v>
      </c>
      <c r="EW112" s="12">
        <f t="shared" ref="EW112:EW127" si="401">SQRT(((EP112-1)*EO112^2+(ET112-1)*ES112^2)/(EP112+ET112-2))</f>
        <v>8.4672739908594501</v>
      </c>
      <c r="EX112" s="19">
        <f t="shared" ref="EX112:EX127" si="402">(((EP112+ET112)/(EP112*ET112))*(((EP112-1)*EO112^2)+(ET112-1)*ES112^2)/(EP112+ET112-2))</f>
        <v>47.796485890856616</v>
      </c>
      <c r="EY112" s="19">
        <f t="shared" ref="EY112:EY127" si="403">(EO112^2/EP112)+(ES112^2/ET112)</f>
        <v>47.796485890856616</v>
      </c>
      <c r="FB112" s="12" t="s">
        <v>37</v>
      </c>
      <c r="FC112" s="12" t="s">
        <v>37</v>
      </c>
      <c r="FD112" s="11" t="s">
        <v>37</v>
      </c>
      <c r="FE112" s="12" t="s">
        <v>37</v>
      </c>
      <c r="FF112" s="20" t="s">
        <v>37</v>
      </c>
      <c r="FG112" s="11" t="s">
        <v>37</v>
      </c>
      <c r="FI112" s="12" t="s">
        <v>37</v>
      </c>
      <c r="FJ112" s="12" t="s">
        <v>37</v>
      </c>
      <c r="FK112" s="11" t="s">
        <v>37</v>
      </c>
      <c r="FL112" s="13" t="s">
        <v>37</v>
      </c>
      <c r="FM112" s="11" t="s">
        <v>37</v>
      </c>
      <c r="FN112" s="11" t="s">
        <v>37</v>
      </c>
      <c r="FP112" s="12" t="s">
        <v>37</v>
      </c>
      <c r="FQ112" s="12" t="s">
        <v>37</v>
      </c>
      <c r="FR112" s="11" t="s">
        <v>37</v>
      </c>
      <c r="FS112" s="13" t="s">
        <v>37</v>
      </c>
      <c r="FT112" s="11" t="s">
        <v>37</v>
      </c>
      <c r="FU112" s="11" t="s">
        <v>37</v>
      </c>
      <c r="FW112" s="12" t="s">
        <v>37</v>
      </c>
      <c r="FX112" s="12" t="s">
        <v>37</v>
      </c>
      <c r="FY112" s="11" t="s">
        <v>37</v>
      </c>
      <c r="FZ112" s="13" t="s">
        <v>37</v>
      </c>
      <c r="GA112" s="11" t="s">
        <v>37</v>
      </c>
      <c r="GB112" s="11" t="s">
        <v>37</v>
      </c>
      <c r="HA112" s="17" t="s">
        <v>63</v>
      </c>
      <c r="HB112" s="34" t="s">
        <v>327</v>
      </c>
      <c r="HC112" s="12">
        <v>0.94</v>
      </c>
      <c r="HD112" s="12">
        <f>0.1*SQRT(3)</f>
        <v>0.17320508075688773</v>
      </c>
      <c r="HE112" s="13">
        <v>3</v>
      </c>
      <c r="HF112" s="19">
        <f t="shared" ref="HF112:HF127" si="404">HD112/HC112</f>
        <v>0.18426072420945505</v>
      </c>
      <c r="HG112" s="12">
        <v>1.34</v>
      </c>
      <c r="HH112" s="12">
        <f>0.05*SQRT(3)</f>
        <v>8.6602540378443865E-2</v>
      </c>
      <c r="HI112" s="13">
        <v>3</v>
      </c>
      <c r="HJ112" s="19">
        <f t="shared" ref="HJ112:HJ127" si="405">HH112/HG112</f>
        <v>6.4628761476450636E-2</v>
      </c>
      <c r="HK112" s="19">
        <f t="shared" si="375"/>
        <v>0.35454501768090757</v>
      </c>
      <c r="HL112" s="19">
        <f t="shared" si="376"/>
        <v>1.2709630432057601E-2</v>
      </c>
      <c r="IK112" s="12" t="s">
        <v>37</v>
      </c>
      <c r="IL112" s="12" t="s">
        <v>37</v>
      </c>
      <c r="IM112" s="12" t="s">
        <v>37</v>
      </c>
      <c r="IO112" s="12" t="s">
        <v>37</v>
      </c>
      <c r="IP112" s="12" t="s">
        <v>37</v>
      </c>
      <c r="IQ112" s="12" t="s">
        <v>37</v>
      </c>
      <c r="IW112" s="12" t="s">
        <v>37</v>
      </c>
      <c r="IX112" s="12" t="s">
        <v>37</v>
      </c>
      <c r="IY112" s="13" t="s">
        <v>37</v>
      </c>
      <c r="JA112" s="12" t="s">
        <v>37</v>
      </c>
      <c r="JB112" s="12" t="s">
        <v>37</v>
      </c>
      <c r="JC112" s="13" t="s">
        <v>37</v>
      </c>
      <c r="JH112" s="12" t="s">
        <v>37</v>
      </c>
      <c r="JI112" s="12" t="s">
        <v>37</v>
      </c>
      <c r="JJ112" s="13" t="s">
        <v>37</v>
      </c>
      <c r="JL112" s="12" t="s">
        <v>37</v>
      </c>
      <c r="JM112" s="12" t="s">
        <v>37</v>
      </c>
      <c r="JN112" s="12" t="s">
        <v>37</v>
      </c>
      <c r="JS112" s="12" t="s">
        <v>37</v>
      </c>
      <c r="JT112" s="12" t="s">
        <v>37</v>
      </c>
      <c r="JU112" s="13" t="s">
        <v>37</v>
      </c>
      <c r="JW112" s="12" t="s">
        <v>37</v>
      </c>
      <c r="JX112" s="12" t="s">
        <v>37</v>
      </c>
      <c r="JY112" s="12" t="s">
        <v>37</v>
      </c>
      <c r="KE112" s="11" t="s">
        <v>37</v>
      </c>
      <c r="KF112" s="11" t="s">
        <v>37</v>
      </c>
      <c r="KG112" s="13" t="s">
        <v>37</v>
      </c>
      <c r="KH112" s="11" t="s">
        <v>37</v>
      </c>
      <c r="KI112" s="11" t="s">
        <v>37</v>
      </c>
      <c r="KJ112" s="11" t="s">
        <v>37</v>
      </c>
      <c r="KK112" s="12" t="s">
        <v>42</v>
      </c>
      <c r="KL112" s="32" t="s">
        <v>327</v>
      </c>
      <c r="KM112" s="12">
        <f>12.56*10^3/0.94/15/100</f>
        <v>8.9078014184397176</v>
      </c>
      <c r="KN112" s="12">
        <f>SQRT((1/(1500*0.94))^2*(0.53*SQRT(3))^2+(((-12.56*10^3)/(1500*0.94)^2))^2*(0.1*SQRT(3))^2)</f>
        <v>1.2732753871073053E-3</v>
      </c>
      <c r="KO112" s="11">
        <v>3</v>
      </c>
      <c r="KP112" s="19">
        <f t="shared" ref="KP112:KP127" si="406">KN112/KM112</f>
        <v>1.4293935476284239E-4</v>
      </c>
      <c r="KQ112" s="12">
        <f>13.11*10^3/1.34/15/100</f>
        <v>6.522388059701492</v>
      </c>
      <c r="KR112" s="12">
        <f>SQRT((1/(1500*1.37))^2*(0.99*SQRT(3))^2+(((-13.11*10^3)/(1500*1.34)^2))^2*(0.05*SQRT(3))^2)</f>
        <v>8.8047041385840691E-4</v>
      </c>
      <c r="KS112" s="13">
        <v>3</v>
      </c>
      <c r="KT112" s="19">
        <f t="shared" ref="KT112:KT126" si="407">KR112/KQ112</f>
        <v>1.3499203141536216E-4</v>
      </c>
      <c r="KU112" s="19">
        <f t="shared" si="382"/>
        <v>-0.3116868809453518</v>
      </c>
      <c r="KV112" s="19">
        <f t="shared" si="383"/>
        <v>1.288483589522128E-8</v>
      </c>
      <c r="KX112" s="12" t="s">
        <v>37</v>
      </c>
      <c r="KY112" s="12" t="s">
        <v>37</v>
      </c>
      <c r="KZ112" s="13" t="s">
        <v>37</v>
      </c>
      <c r="LB112" s="12" t="s">
        <v>37</v>
      </c>
      <c r="LC112" s="12" t="s">
        <v>37</v>
      </c>
      <c r="LD112" s="13" t="s">
        <v>37</v>
      </c>
      <c r="LI112" s="12" t="s">
        <v>37</v>
      </c>
      <c r="LJ112" s="12" t="s">
        <v>37</v>
      </c>
      <c r="LK112" s="12" t="s">
        <v>37</v>
      </c>
      <c r="LM112" s="12" t="s">
        <v>37</v>
      </c>
      <c r="LN112" s="12" t="s">
        <v>37</v>
      </c>
      <c r="LO112" s="12" t="s">
        <v>37</v>
      </c>
      <c r="LT112" s="12" t="str">
        <f t="shared" ref="LT112:LT127" si="408">KL112</f>
        <v>0-15</v>
      </c>
      <c r="LU112" s="12">
        <f t="shared" si="385"/>
        <v>10.909235668789808</v>
      </c>
      <c r="LV112" s="29">
        <f t="shared" si="386"/>
        <v>2.2524437547250739E-3</v>
      </c>
      <c r="LW112" s="13">
        <f t="shared" ref="LW112:LW127" si="409">KO112</f>
        <v>3</v>
      </c>
      <c r="LX112" s="19">
        <f t="shared" ref="LX112:LX127" si="410">LV112/LU112</f>
        <v>2.0647127105055416E-4</v>
      </c>
      <c r="LY112" s="12">
        <f t="shared" si="388"/>
        <v>9.9138062547673531</v>
      </c>
      <c r="LZ112" s="29">
        <f t="shared" si="389"/>
        <v>1.8395030332211018E-3</v>
      </c>
      <c r="MA112" s="13">
        <f t="shared" ref="MA112:MA127" si="411">KS112</f>
        <v>3</v>
      </c>
      <c r="MB112" s="19">
        <f t="shared" ref="MB112:MB126" si="412">LZ112/LY112</f>
        <v>1.8554962503292025E-4</v>
      </c>
      <c r="MC112" s="19">
        <f t="shared" si="391"/>
        <v>-9.568138271681173E-2</v>
      </c>
      <c r="MD112" s="19">
        <f t="shared" si="392"/>
        <v>2.5686349706362901E-8</v>
      </c>
      <c r="MF112" s="12" t="s">
        <v>37</v>
      </c>
      <c r="MG112" s="12" t="s">
        <v>37</v>
      </c>
      <c r="MH112" s="12" t="s">
        <v>37</v>
      </c>
      <c r="MJ112" s="12" t="s">
        <v>37</v>
      </c>
      <c r="MK112" s="12" t="s">
        <v>37</v>
      </c>
      <c r="ML112" s="12" t="s">
        <v>37</v>
      </c>
      <c r="MQ112" s="12" t="s">
        <v>37</v>
      </c>
      <c r="MR112" s="12" t="s">
        <v>37</v>
      </c>
      <c r="MS112" s="12" t="s">
        <v>37</v>
      </c>
      <c r="MU112" s="12" t="s">
        <v>37</v>
      </c>
      <c r="MV112" s="12" t="s">
        <v>37</v>
      </c>
      <c r="MW112" s="12" t="s">
        <v>37</v>
      </c>
      <c r="NA112" s="12" t="s">
        <v>177</v>
      </c>
      <c r="NB112" s="12" t="s">
        <v>327</v>
      </c>
      <c r="NC112" s="12">
        <v>0.02</v>
      </c>
      <c r="ND112" s="12">
        <f>0.001*SQRT(3)</f>
        <v>1.7320508075688772E-3</v>
      </c>
      <c r="NE112" s="13">
        <v>3</v>
      </c>
      <c r="NF112" s="19">
        <f t="shared" ref="NF112:NF127" si="413">ND112/NC112</f>
        <v>8.6602540378443851E-2</v>
      </c>
      <c r="NG112" s="12">
        <v>0.01</v>
      </c>
      <c r="NH112" s="12">
        <f>0.001*SQRT(3)</f>
        <v>1.7320508075688772E-3</v>
      </c>
      <c r="NI112" s="13">
        <v>3</v>
      </c>
      <c r="NJ112" s="19">
        <f t="shared" ref="NJ112:NJ127" si="414">NH112/NG112</f>
        <v>0.1732050807568877</v>
      </c>
      <c r="NK112" s="19">
        <f t="shared" ref="NK112:NK127" si="415">LN(NG112/NC112)</f>
        <v>-0.69314718055994529</v>
      </c>
      <c r="NL112" s="19">
        <f t="shared" ref="NL112" si="416">NH112^2/(NI112*NG112^2)+ND112^2/(NE112*NC112^2)</f>
        <v>1.2499999999999997E-2</v>
      </c>
      <c r="NM112" s="12" t="s">
        <v>177</v>
      </c>
      <c r="NN112" s="12" t="s">
        <v>327</v>
      </c>
      <c r="NO112" s="12">
        <v>0.02</v>
      </c>
      <c r="NP112" s="12">
        <f>0.01*SQRT(3)</f>
        <v>1.7320508075688773E-2</v>
      </c>
      <c r="NQ112" s="13">
        <v>3</v>
      </c>
      <c r="NR112" s="19">
        <f>NP112/NO112</f>
        <v>0.8660254037844386</v>
      </c>
      <c r="NS112" s="12">
        <v>0.05</v>
      </c>
      <c r="NT112" s="12">
        <f>0.01*SQRT(3)</f>
        <v>1.7320508075688773E-2</v>
      </c>
      <c r="NU112" s="13">
        <v>3</v>
      </c>
      <c r="NV112" s="19">
        <f>NT112/NS112</f>
        <v>0.34641016151377546</v>
      </c>
      <c r="NW112" s="19">
        <f t="shared" ref="NW112:NW127" si="417">LN(NS112/NO112)</f>
        <v>0.91629073187415511</v>
      </c>
      <c r="NX112" s="19">
        <f t="shared" ref="NX112:NX127" si="418">NT112^2/(NU112*NS112^2)+NP112^2/(NQ112*NO112^2)</f>
        <v>0.28999999999999998</v>
      </c>
      <c r="OA112" s="11" t="s">
        <v>37</v>
      </c>
      <c r="OB112" s="11" t="s">
        <v>37</v>
      </c>
      <c r="OC112" s="13" t="s">
        <v>37</v>
      </c>
      <c r="OE112" s="11" t="s">
        <v>37</v>
      </c>
      <c r="OF112" s="11" t="s">
        <v>37</v>
      </c>
      <c r="OG112" s="13" t="s">
        <v>37</v>
      </c>
      <c r="OM112" s="11" t="s">
        <v>37</v>
      </c>
      <c r="ON112" s="11" t="s">
        <v>37</v>
      </c>
      <c r="OO112" s="11" t="s">
        <v>37</v>
      </c>
      <c r="OP112" s="11" t="s">
        <v>37</v>
      </c>
      <c r="OQ112" s="11" t="s">
        <v>37</v>
      </c>
      <c r="OR112" s="11" t="s">
        <v>37</v>
      </c>
      <c r="OW112" s="12" t="s">
        <v>37</v>
      </c>
      <c r="OX112" s="12" t="s">
        <v>37</v>
      </c>
      <c r="OY112" s="13" t="s">
        <v>37</v>
      </c>
      <c r="OZ112" s="12" t="s">
        <v>37</v>
      </c>
      <c r="PA112" s="12" t="s">
        <v>37</v>
      </c>
      <c r="PB112" s="13" t="s">
        <v>37</v>
      </c>
      <c r="PG112" s="11" t="s">
        <v>37</v>
      </c>
      <c r="PH112" s="11" t="s">
        <v>37</v>
      </c>
      <c r="PI112" s="13" t="s">
        <v>37</v>
      </c>
      <c r="PJ112" s="11" t="s">
        <v>37</v>
      </c>
      <c r="PK112" s="11" t="s">
        <v>37</v>
      </c>
      <c r="PL112" s="13" t="s">
        <v>37</v>
      </c>
      <c r="PQ112" s="12" t="s">
        <v>37</v>
      </c>
      <c r="PR112" s="12" t="s">
        <v>37</v>
      </c>
      <c r="PS112" s="12" t="s">
        <v>37</v>
      </c>
      <c r="PT112" s="12" t="s">
        <v>37</v>
      </c>
      <c r="PU112" s="12" t="s">
        <v>37</v>
      </c>
      <c r="PV112" s="12" t="s">
        <v>37</v>
      </c>
      <c r="PW112" s="12"/>
      <c r="PX112" s="12"/>
      <c r="PZ112" s="12" t="s">
        <v>37</v>
      </c>
      <c r="QA112" s="12" t="s">
        <v>37</v>
      </c>
      <c r="QB112" s="11" t="s">
        <v>37</v>
      </c>
      <c r="QD112" s="12" t="s">
        <v>37</v>
      </c>
      <c r="QE112" s="12" t="s">
        <v>37</v>
      </c>
      <c r="QF112" s="12" t="s">
        <v>37</v>
      </c>
      <c r="QK112" s="12" t="s">
        <v>37</v>
      </c>
      <c r="QL112" s="12" t="s">
        <v>37</v>
      </c>
      <c r="QM112" s="12" t="s">
        <v>37</v>
      </c>
      <c r="QN112" s="12" t="s">
        <v>37</v>
      </c>
      <c r="QO112" s="12" t="s">
        <v>37</v>
      </c>
      <c r="QP112" s="12" t="s">
        <v>37</v>
      </c>
      <c r="QQ112" s="12"/>
      <c r="QR112" s="12"/>
      <c r="QU112" s="11" t="s">
        <v>37</v>
      </c>
      <c r="QV112" s="11" t="s">
        <v>37</v>
      </c>
      <c r="QW112" s="13" t="s">
        <v>37</v>
      </c>
      <c r="QX112" s="11" t="s">
        <v>37</v>
      </c>
      <c r="QY112" s="11" t="s">
        <v>37</v>
      </c>
      <c r="QZ112" s="13" t="s">
        <v>37</v>
      </c>
      <c r="RC112" s="12" t="s">
        <v>37</v>
      </c>
      <c r="RD112" s="12" t="s">
        <v>37</v>
      </c>
      <c r="RE112" s="13" t="s">
        <v>37</v>
      </c>
      <c r="RF112" s="12" t="s">
        <v>37</v>
      </c>
      <c r="RG112" s="12" t="s">
        <v>37</v>
      </c>
      <c r="RH112" s="13" t="s">
        <v>37</v>
      </c>
      <c r="RK112" s="11" t="s">
        <v>37</v>
      </c>
      <c r="RL112" s="11" t="s">
        <v>37</v>
      </c>
      <c r="RM112" s="11" t="s">
        <v>37</v>
      </c>
      <c r="RN112" s="11" t="s">
        <v>37</v>
      </c>
      <c r="RO112" s="11" t="s">
        <v>37</v>
      </c>
      <c r="RP112" s="11" t="s">
        <v>37</v>
      </c>
      <c r="RS112" s="11" t="s">
        <v>37</v>
      </c>
      <c r="RT112" s="11" t="s">
        <v>37</v>
      </c>
      <c r="RU112" s="11" t="s">
        <v>37</v>
      </c>
      <c r="RV112" s="11" t="s">
        <v>37</v>
      </c>
      <c r="RW112" s="11" t="s">
        <v>37</v>
      </c>
      <c r="RX112" s="11" t="s">
        <v>37</v>
      </c>
      <c r="SA112" s="11" t="s">
        <v>37</v>
      </c>
      <c r="SB112" s="11" t="s">
        <v>37</v>
      </c>
      <c r="SC112" s="13" t="s">
        <v>37</v>
      </c>
      <c r="SD112" s="11" t="s">
        <v>37</v>
      </c>
      <c r="SE112" s="11" t="s">
        <v>37</v>
      </c>
      <c r="SF112" s="13" t="s">
        <v>37</v>
      </c>
      <c r="SG112" s="12" t="s">
        <v>177</v>
      </c>
      <c r="SH112" s="12" t="s">
        <v>327</v>
      </c>
      <c r="SI112" s="12">
        <v>0.06</v>
      </c>
      <c r="SJ112" s="12">
        <f>0.01*SQRT(3)</f>
        <v>1.7320508075688773E-2</v>
      </c>
      <c r="SK112" s="13">
        <v>3</v>
      </c>
      <c r="SL112" s="19">
        <f t="shared" ref="SL112:SL126" si="419">SJ112/SI112</f>
        <v>0.28867513459481292</v>
      </c>
      <c r="SM112" s="12">
        <v>0.15</v>
      </c>
      <c r="SN112" s="12">
        <f>0.03*SQRT(3)</f>
        <v>5.1961524227066312E-2</v>
      </c>
      <c r="SO112" s="13">
        <v>3</v>
      </c>
      <c r="SP112" s="19">
        <f>SN112/SM112</f>
        <v>0.34641016151377541</v>
      </c>
      <c r="SQ112" s="19">
        <f t="shared" ref="SQ112:SQ127" si="420">LN(SM112/SI112)</f>
        <v>0.91629073187415511</v>
      </c>
      <c r="SR112" s="19">
        <f t="shared" ref="SR112:SR127" si="421">SN112^2/(SO112*SM112^2)+SJ112^2/(SK112*SI112^2)</f>
        <v>6.777777777777777E-2</v>
      </c>
      <c r="SU112" s="12" t="s">
        <v>37</v>
      </c>
      <c r="SV112" s="12" t="s">
        <v>37</v>
      </c>
      <c r="SW112" s="11" t="s">
        <v>37</v>
      </c>
      <c r="SX112" s="12" t="s">
        <v>37</v>
      </c>
      <c r="SY112" s="12" t="s">
        <v>37</v>
      </c>
      <c r="SZ112" s="11" t="s">
        <v>37</v>
      </c>
      <c r="TE112" s="12" t="s">
        <v>37</v>
      </c>
      <c r="TF112" s="12" t="s">
        <v>37</v>
      </c>
      <c r="TG112" s="11" t="s">
        <v>37</v>
      </c>
      <c r="TH112" s="12" t="s">
        <v>37</v>
      </c>
      <c r="TI112" s="12" t="s">
        <v>37</v>
      </c>
      <c r="TJ112" s="11" t="s">
        <v>37</v>
      </c>
      <c r="TO112" s="12" t="s">
        <v>37</v>
      </c>
      <c r="TP112" s="12" t="s">
        <v>37</v>
      </c>
      <c r="TQ112" s="11" t="s">
        <v>37</v>
      </c>
      <c r="TR112" s="12" t="s">
        <v>37</v>
      </c>
      <c r="TS112" s="12" t="s">
        <v>37</v>
      </c>
      <c r="TT112" s="11" t="s">
        <v>37</v>
      </c>
      <c r="TY112" s="12" t="s">
        <v>37</v>
      </c>
      <c r="TZ112" s="12" t="s">
        <v>37</v>
      </c>
      <c r="UA112" s="12" t="s">
        <v>37</v>
      </c>
      <c r="UB112" s="12" t="s">
        <v>37</v>
      </c>
      <c r="UC112" s="12" t="s">
        <v>37</v>
      </c>
      <c r="UD112" s="12" t="s">
        <v>37</v>
      </c>
      <c r="UE112" s="12"/>
      <c r="UF112" s="12"/>
      <c r="UI112" s="12" t="s">
        <v>37</v>
      </c>
      <c r="UJ112" s="12" t="s">
        <v>37</v>
      </c>
      <c r="UK112" s="12" t="s">
        <v>37</v>
      </c>
      <c r="UL112" s="12" t="s">
        <v>37</v>
      </c>
      <c r="UM112" s="12" t="s">
        <v>37</v>
      </c>
      <c r="UN112" s="12" t="s">
        <v>37</v>
      </c>
      <c r="UO112" s="12"/>
      <c r="UP112" s="12"/>
      <c r="UR112" s="12" t="s">
        <v>37</v>
      </c>
      <c r="US112" s="12" t="s">
        <v>37</v>
      </c>
      <c r="UT112" s="12" t="s">
        <v>37</v>
      </c>
      <c r="UU112" s="12" t="s">
        <v>37</v>
      </c>
      <c r="UV112" s="12" t="s">
        <v>37</v>
      </c>
      <c r="UW112" s="12" t="s">
        <v>37</v>
      </c>
      <c r="UX112" s="12"/>
      <c r="UY112" s="12"/>
      <c r="VB112" s="12" t="s">
        <v>37</v>
      </c>
      <c r="VC112" s="12" t="s">
        <v>37</v>
      </c>
      <c r="VD112" s="12" t="s">
        <v>37</v>
      </c>
      <c r="VE112" s="12" t="s">
        <v>37</v>
      </c>
      <c r="VF112" s="12" t="s">
        <v>37</v>
      </c>
      <c r="VG112" s="12" t="s">
        <v>37</v>
      </c>
      <c r="VI112" s="12" t="s">
        <v>37</v>
      </c>
      <c r="VJ112" s="12" t="s">
        <v>37</v>
      </c>
      <c r="VK112" s="12" t="s">
        <v>37</v>
      </c>
      <c r="VL112" s="12" t="s">
        <v>37</v>
      </c>
      <c r="VM112" s="12" t="s">
        <v>37</v>
      </c>
      <c r="VN112" s="12" t="s">
        <v>37</v>
      </c>
      <c r="VQ112" s="13" t="s">
        <v>37</v>
      </c>
      <c r="VR112" s="13" t="s">
        <v>37</v>
      </c>
      <c r="VS112" s="13" t="s">
        <v>37</v>
      </c>
      <c r="VT112" s="13" t="s">
        <v>37</v>
      </c>
      <c r="VU112" s="13" t="s">
        <v>37</v>
      </c>
      <c r="VV112" s="13" t="s">
        <v>37</v>
      </c>
      <c r="WA112" s="13" t="s">
        <v>37</v>
      </c>
      <c r="WB112" s="13" t="s">
        <v>37</v>
      </c>
      <c r="WC112" s="13" t="s">
        <v>37</v>
      </c>
      <c r="WD112" s="13" t="s">
        <v>37</v>
      </c>
      <c r="WE112" s="13" t="s">
        <v>37</v>
      </c>
      <c r="WF112" s="13" t="s">
        <v>37</v>
      </c>
    </row>
    <row r="113" spans="1:604" ht="18" customHeight="1" x14ac:dyDescent="0.3">
      <c r="A113" s="11">
        <v>28</v>
      </c>
      <c r="B113" s="16" t="s">
        <v>176</v>
      </c>
      <c r="C113" s="12" t="s">
        <v>26</v>
      </c>
      <c r="D113" s="12" t="s">
        <v>119</v>
      </c>
      <c r="E113" s="40" t="s">
        <v>37</v>
      </c>
      <c r="F113" s="14">
        <v>0</v>
      </c>
      <c r="G113" s="14">
        <v>0</v>
      </c>
      <c r="H113" s="12" t="s">
        <v>82</v>
      </c>
      <c r="I113" s="29">
        <v>48.23</v>
      </c>
      <c r="J113" s="29">
        <v>-98.53</v>
      </c>
      <c r="K113" s="12" t="s">
        <v>184</v>
      </c>
      <c r="L113" s="12" t="s">
        <v>185</v>
      </c>
      <c r="M113" s="13" t="s">
        <v>37</v>
      </c>
      <c r="N113" s="14">
        <v>21</v>
      </c>
      <c r="O113" s="14">
        <v>280</v>
      </c>
      <c r="P113" s="14" t="s">
        <v>16</v>
      </c>
      <c r="Q113" s="75">
        <v>6</v>
      </c>
      <c r="R113" s="11" t="s">
        <v>999</v>
      </c>
      <c r="S113" s="12" t="s">
        <v>37</v>
      </c>
      <c r="T113" s="12" t="s">
        <v>138</v>
      </c>
      <c r="U113" s="12" t="s">
        <v>158</v>
      </c>
      <c r="V113" s="12" t="s">
        <v>275</v>
      </c>
      <c r="W113" s="23" t="s">
        <v>37</v>
      </c>
      <c r="X113" s="12" t="s">
        <v>37</v>
      </c>
      <c r="Y113" s="12" t="s">
        <v>69</v>
      </c>
      <c r="Z113" s="12" t="s">
        <v>37</v>
      </c>
      <c r="AB113" s="12" t="s">
        <v>37</v>
      </c>
      <c r="AC113" s="12" t="s">
        <v>42</v>
      </c>
      <c r="AD113" s="32" t="s">
        <v>327</v>
      </c>
      <c r="AE113" s="12">
        <f t="shared" ref="AE113:AE115" si="422">137.02*10^3/0.94/15/100</f>
        <v>97.177304964539019</v>
      </c>
      <c r="AF113" s="12" t="s">
        <v>42</v>
      </c>
      <c r="AG113" s="32" t="s">
        <v>327</v>
      </c>
      <c r="AH113" s="12">
        <f t="shared" ref="AH113:AH115" si="423">12.56*10^3/0.94/15/100</f>
        <v>8.9078014184397176</v>
      </c>
      <c r="AJ113" s="12" t="str">
        <f t="shared" si="356"/>
        <v>0-15</v>
      </c>
      <c r="AK113" s="19">
        <f t="shared" si="357"/>
        <v>10.909235668789808</v>
      </c>
      <c r="AL113" s="32" t="s">
        <v>179</v>
      </c>
      <c r="AM113" s="54" t="s">
        <v>317</v>
      </c>
      <c r="AN113" s="32" t="s">
        <v>886</v>
      </c>
      <c r="AO113" s="12" t="s">
        <v>37</v>
      </c>
      <c r="AP113" s="12" t="s">
        <v>108</v>
      </c>
      <c r="AQ113" s="12" t="s">
        <v>975</v>
      </c>
      <c r="AR113" s="12" t="s">
        <v>42</v>
      </c>
      <c r="AS113" s="32" t="s">
        <v>327</v>
      </c>
      <c r="AT113" s="12">
        <f t="shared" ref="AT113:AT115" si="424">137.02*10^3/0.94/15/100</f>
        <v>97.177304964539019</v>
      </c>
      <c r="AU113" s="12">
        <f t="shared" ref="AU113:AU115" si="425">SQRT((1/(1500*0.94))^2*(6.67*SQRT(3))^2+(((-137.02*10^3)/(1500*0.94)^2))^2*(0.1*SQRT(3))^2)</f>
        <v>1.4478677078300162E-2</v>
      </c>
      <c r="AV113" s="13">
        <v>3</v>
      </c>
      <c r="AW113" s="52">
        <f t="shared" ref="AW113:AW127" si="426">AU113/AT113</f>
        <v>1.4899237104366682E-4</v>
      </c>
      <c r="AX113" s="12">
        <f t="shared" ref="AX113:AX115" si="427">129.97*10^3/1.34/15/100</f>
        <v>64.661691542288551</v>
      </c>
      <c r="AY113" s="12">
        <f t="shared" ref="AY113:AY115" si="428">SQRT((1/(1500*1.37))^2*(9.19*SQRT(3))^2+(((-129.97*10^3)/(1500*1.34)^2))^2*(0.05*SQRT(3))^2)</f>
        <v>8.2315666186958056E-3</v>
      </c>
      <c r="AZ113" s="13">
        <v>3</v>
      </c>
      <c r="BA113" s="52">
        <f t="shared" si="397"/>
        <v>1.2730206127243649E-4</v>
      </c>
      <c r="BB113" s="52">
        <f t="shared" si="360"/>
        <v>-0.40736826366216361</v>
      </c>
      <c r="BC113" s="19">
        <f t="shared" si="361"/>
        <v>1.2801513811141618E-8</v>
      </c>
      <c r="BE113" s="12" t="s">
        <v>326</v>
      </c>
      <c r="BF113" s="12" t="s">
        <v>326</v>
      </c>
      <c r="BG113" s="12" t="s">
        <v>326</v>
      </c>
      <c r="BI113" s="12" t="s">
        <v>326</v>
      </c>
      <c r="BJ113" s="12" t="s">
        <v>326</v>
      </c>
      <c r="BK113" s="12" t="s">
        <v>326</v>
      </c>
      <c r="BP113" s="12" t="s">
        <v>37</v>
      </c>
      <c r="BQ113" s="12" t="s">
        <v>37</v>
      </c>
      <c r="BR113" s="13" t="s">
        <v>37</v>
      </c>
      <c r="BT113" s="12" t="s">
        <v>37</v>
      </c>
      <c r="BU113" s="12" t="s">
        <v>37</v>
      </c>
      <c r="BV113" s="12" t="s">
        <v>37</v>
      </c>
      <c r="CA113" s="12" t="s">
        <v>37</v>
      </c>
      <c r="CB113" s="12" t="s">
        <v>37</v>
      </c>
      <c r="CC113" s="13" t="s">
        <v>37</v>
      </c>
      <c r="CE113" s="12" t="s">
        <v>37</v>
      </c>
      <c r="CF113" s="12" t="s">
        <v>37</v>
      </c>
      <c r="CG113" s="13" t="s">
        <v>37</v>
      </c>
      <c r="CJ113" s="12"/>
      <c r="CN113" s="12" t="s">
        <v>37</v>
      </c>
      <c r="CO113" s="12" t="s">
        <v>37</v>
      </c>
      <c r="CP113" s="13" t="s">
        <v>37</v>
      </c>
      <c r="CR113" s="12" t="s">
        <v>37</v>
      </c>
      <c r="CS113" s="12" t="s">
        <v>37</v>
      </c>
      <c r="CT113" s="13" t="s">
        <v>37</v>
      </c>
      <c r="CX113" s="72"/>
      <c r="CY113" s="72"/>
      <c r="DA113" s="12" t="s">
        <v>37</v>
      </c>
      <c r="DB113" s="12" t="s">
        <v>37</v>
      </c>
      <c r="DC113" s="13" t="s">
        <v>37</v>
      </c>
      <c r="DE113" s="12" t="s">
        <v>37</v>
      </c>
      <c r="DF113" s="12" t="s">
        <v>37</v>
      </c>
      <c r="DG113" s="13" t="s">
        <v>37</v>
      </c>
      <c r="DM113" s="15"/>
      <c r="DO113" s="108"/>
      <c r="DP113" s="72"/>
      <c r="DS113" s="108"/>
      <c r="DT113" s="72"/>
      <c r="DX113" s="19"/>
      <c r="DY113" s="19"/>
      <c r="DZ113" s="12" t="s">
        <v>47</v>
      </c>
      <c r="EA113" s="19">
        <f>0.07*("2006/10/31"-"2006/04/01")/("2006/09/27"-"2006/04/05")*10^4/10^3/'[3]classess-1'!$I$4</f>
        <v>1.1072245992053424</v>
      </c>
      <c r="EB113" s="50">
        <f t="shared" si="364"/>
        <v>6.3665159596536158</v>
      </c>
      <c r="EC113" s="72">
        <v>3</v>
      </c>
      <c r="EE113" s="19">
        <f>0.32*("2006/10/31"-"2006/04/01")/("2006/09/27"-"2006/04/05")*10^4/10^3/'[3]classess-1'!$I$5</f>
        <v>6.6685966855719432</v>
      </c>
      <c r="EF113" s="50">
        <f t="shared" si="365"/>
        <v>9.9571443316883439</v>
      </c>
      <c r="EG113" s="13">
        <v>3</v>
      </c>
      <c r="EI113" s="19">
        <f t="shared" ref="EI113:EI127" si="429">EE113-EA113</f>
        <v>5.5613720863666005</v>
      </c>
      <c r="EJ113" s="12">
        <f t="shared" si="366"/>
        <v>8.3569506611741318</v>
      </c>
      <c r="EK113" s="19">
        <f t="shared" si="367"/>
        <v>46.559082902199165</v>
      </c>
      <c r="EL113" s="19">
        <f t="shared" si="368"/>
        <v>46.559082902199172</v>
      </c>
      <c r="EM113" s="12" t="s">
        <v>39</v>
      </c>
      <c r="EN113" s="12">
        <v>18</v>
      </c>
      <c r="EO113" s="50">
        <f t="shared" si="398"/>
        <v>7.3349351775232803</v>
      </c>
      <c r="EP113" s="13">
        <v>3</v>
      </c>
      <c r="ER113" s="12">
        <v>-25</v>
      </c>
      <c r="ES113" s="50">
        <f t="shared" si="399"/>
        <v>5.670351337729854</v>
      </c>
      <c r="ET113" s="13">
        <v>3</v>
      </c>
      <c r="EV113" s="19">
        <f t="shared" si="400"/>
        <v>-43</v>
      </c>
      <c r="EW113" s="12">
        <f t="shared" si="401"/>
        <v>6.5556905948863706</v>
      </c>
      <c r="EX113" s="19">
        <f t="shared" si="402"/>
        <v>28.651386117254408</v>
      </c>
      <c r="EY113" s="19">
        <f t="shared" si="403"/>
        <v>28.651386117254408</v>
      </c>
      <c r="FB113" s="12" t="s">
        <v>37</v>
      </c>
      <c r="FC113" s="12" t="s">
        <v>37</v>
      </c>
      <c r="FD113" s="11" t="s">
        <v>37</v>
      </c>
      <c r="FE113" s="12" t="s">
        <v>37</v>
      </c>
      <c r="FF113" s="20" t="s">
        <v>37</v>
      </c>
      <c r="FG113" s="11" t="s">
        <v>37</v>
      </c>
      <c r="FI113" s="12" t="s">
        <v>37</v>
      </c>
      <c r="FJ113" s="12" t="s">
        <v>37</v>
      </c>
      <c r="FK113" s="11" t="s">
        <v>37</v>
      </c>
      <c r="FL113" s="13" t="s">
        <v>37</v>
      </c>
      <c r="FM113" s="11" t="s">
        <v>37</v>
      </c>
      <c r="FN113" s="11" t="s">
        <v>37</v>
      </c>
      <c r="FP113" s="12" t="s">
        <v>37</v>
      </c>
      <c r="FQ113" s="12" t="s">
        <v>37</v>
      </c>
      <c r="FR113" s="11" t="s">
        <v>37</v>
      </c>
      <c r="FS113" s="13" t="s">
        <v>37</v>
      </c>
      <c r="FT113" s="11" t="s">
        <v>37</v>
      </c>
      <c r="FU113" s="11" t="s">
        <v>37</v>
      </c>
      <c r="FW113" s="12" t="s">
        <v>37</v>
      </c>
      <c r="FX113" s="12" t="s">
        <v>37</v>
      </c>
      <c r="FY113" s="11" t="s">
        <v>37</v>
      </c>
      <c r="FZ113" s="13" t="s">
        <v>37</v>
      </c>
      <c r="GA113" s="11" t="s">
        <v>37</v>
      </c>
      <c r="GB113" s="11" t="s">
        <v>37</v>
      </c>
      <c r="HA113" s="17" t="s">
        <v>63</v>
      </c>
      <c r="HB113" s="34" t="s">
        <v>327</v>
      </c>
      <c r="HC113" s="12">
        <v>0.94</v>
      </c>
      <c r="HD113" s="12">
        <f t="shared" ref="HD113:HD115" si="430">0.1*SQRT(3)</f>
        <v>0.17320508075688773</v>
      </c>
      <c r="HE113" s="13">
        <v>3</v>
      </c>
      <c r="HF113" s="19">
        <f t="shared" si="404"/>
        <v>0.18426072420945505</v>
      </c>
      <c r="HG113" s="12">
        <v>1.34</v>
      </c>
      <c r="HH113" s="12">
        <f t="shared" ref="HH113:HH115" si="431">0.05*SQRT(3)</f>
        <v>8.6602540378443865E-2</v>
      </c>
      <c r="HI113" s="13">
        <v>3</v>
      </c>
      <c r="HJ113" s="19">
        <f t="shared" si="405"/>
        <v>6.4628761476450636E-2</v>
      </c>
      <c r="HK113" s="19">
        <f t="shared" si="375"/>
        <v>0.35454501768090757</v>
      </c>
      <c r="HL113" s="19">
        <f t="shared" si="376"/>
        <v>1.2709630432057601E-2</v>
      </c>
      <c r="IK113" s="12" t="s">
        <v>37</v>
      </c>
      <c r="IL113" s="12" t="s">
        <v>37</v>
      </c>
      <c r="IM113" s="12" t="s">
        <v>37</v>
      </c>
      <c r="IO113" s="12" t="s">
        <v>37</v>
      </c>
      <c r="IP113" s="12" t="s">
        <v>37</v>
      </c>
      <c r="IQ113" s="12" t="s">
        <v>37</v>
      </c>
      <c r="IW113" s="12" t="s">
        <v>37</v>
      </c>
      <c r="IX113" s="12" t="s">
        <v>37</v>
      </c>
      <c r="IY113" s="13" t="s">
        <v>37</v>
      </c>
      <c r="JA113" s="12" t="s">
        <v>37</v>
      </c>
      <c r="JB113" s="12" t="s">
        <v>37</v>
      </c>
      <c r="JC113" s="13" t="s">
        <v>37</v>
      </c>
      <c r="JH113" s="12" t="s">
        <v>37</v>
      </c>
      <c r="JI113" s="12" t="s">
        <v>37</v>
      </c>
      <c r="JJ113" s="13" t="s">
        <v>37</v>
      </c>
      <c r="JL113" s="12" t="s">
        <v>37</v>
      </c>
      <c r="JM113" s="12" t="s">
        <v>37</v>
      </c>
      <c r="JN113" s="12" t="s">
        <v>37</v>
      </c>
      <c r="JS113" s="12" t="s">
        <v>37</v>
      </c>
      <c r="JT113" s="12" t="s">
        <v>37</v>
      </c>
      <c r="JU113" s="13" t="s">
        <v>37</v>
      </c>
      <c r="JW113" s="12" t="s">
        <v>37</v>
      </c>
      <c r="JX113" s="12" t="s">
        <v>37</v>
      </c>
      <c r="JY113" s="12" t="s">
        <v>37</v>
      </c>
      <c r="KE113" s="11" t="s">
        <v>37</v>
      </c>
      <c r="KF113" s="11" t="s">
        <v>37</v>
      </c>
      <c r="KG113" s="13" t="s">
        <v>37</v>
      </c>
      <c r="KH113" s="11" t="s">
        <v>37</v>
      </c>
      <c r="KI113" s="11" t="s">
        <v>37</v>
      </c>
      <c r="KJ113" s="11" t="s">
        <v>37</v>
      </c>
      <c r="KK113" s="12" t="s">
        <v>42</v>
      </c>
      <c r="KL113" s="32" t="s">
        <v>327</v>
      </c>
      <c r="KM113" s="12">
        <f t="shared" ref="KM113:KM115" si="432">12.56*10^3/0.94/15/100</f>
        <v>8.9078014184397176</v>
      </c>
      <c r="KN113" s="12">
        <f t="shared" ref="KN113:KN115" si="433">SQRT((1/(1500*0.94))^2*(0.53*SQRT(3))^2+(((-12.56*10^3)/(1500*0.94)^2))^2*(0.1*SQRT(3))^2)</f>
        <v>1.2732753871073053E-3</v>
      </c>
      <c r="KO113" s="11">
        <v>3</v>
      </c>
      <c r="KP113" s="19">
        <f t="shared" si="406"/>
        <v>1.4293935476284239E-4</v>
      </c>
      <c r="KQ113" s="12">
        <f t="shared" ref="KQ113:KQ115" si="434">13.11*10^3/1.34/15/100</f>
        <v>6.522388059701492</v>
      </c>
      <c r="KR113" s="12">
        <f t="shared" ref="KR113:KR115" si="435">SQRT((1/(1500*1.37))^2*(0.99*SQRT(3))^2+(((-13.11*10^3)/(1500*1.34)^2))^2*(0.05*SQRT(3))^2)</f>
        <v>8.8047041385840691E-4</v>
      </c>
      <c r="KS113" s="13">
        <v>3</v>
      </c>
      <c r="KT113" s="19">
        <f t="shared" si="407"/>
        <v>1.3499203141536216E-4</v>
      </c>
      <c r="KU113" s="19">
        <f t="shared" si="382"/>
        <v>-0.3116868809453518</v>
      </c>
      <c r="KV113" s="19">
        <f t="shared" si="383"/>
        <v>1.288483589522128E-8</v>
      </c>
      <c r="KX113" s="12" t="s">
        <v>37</v>
      </c>
      <c r="KY113" s="12" t="s">
        <v>37</v>
      </c>
      <c r="KZ113" s="13" t="s">
        <v>37</v>
      </c>
      <c r="LB113" s="12" t="s">
        <v>37</v>
      </c>
      <c r="LC113" s="12" t="s">
        <v>37</v>
      </c>
      <c r="LD113" s="13" t="s">
        <v>37</v>
      </c>
      <c r="LI113" s="12" t="s">
        <v>37</v>
      </c>
      <c r="LJ113" s="12" t="s">
        <v>37</v>
      </c>
      <c r="LK113" s="12" t="s">
        <v>37</v>
      </c>
      <c r="LM113" s="12" t="s">
        <v>37</v>
      </c>
      <c r="LN113" s="12" t="s">
        <v>37</v>
      </c>
      <c r="LO113" s="12" t="s">
        <v>37</v>
      </c>
      <c r="LT113" s="12" t="str">
        <f t="shared" si="408"/>
        <v>0-15</v>
      </c>
      <c r="LU113" s="12">
        <f t="shared" si="385"/>
        <v>10.909235668789808</v>
      </c>
      <c r="LV113" s="29">
        <f t="shared" si="386"/>
        <v>2.2524437547250739E-3</v>
      </c>
      <c r="LW113" s="13">
        <f t="shared" si="409"/>
        <v>3</v>
      </c>
      <c r="LX113" s="19">
        <f t="shared" si="410"/>
        <v>2.0647127105055416E-4</v>
      </c>
      <c r="LY113" s="12">
        <f t="shared" si="388"/>
        <v>9.9138062547673531</v>
      </c>
      <c r="LZ113" s="29">
        <f t="shared" si="389"/>
        <v>1.8395030332211018E-3</v>
      </c>
      <c r="MA113" s="13">
        <f t="shared" si="411"/>
        <v>3</v>
      </c>
      <c r="MB113" s="19">
        <f t="shared" si="412"/>
        <v>1.8554962503292025E-4</v>
      </c>
      <c r="MC113" s="19">
        <f t="shared" si="391"/>
        <v>-9.568138271681173E-2</v>
      </c>
      <c r="MD113" s="19">
        <f t="shared" si="392"/>
        <v>2.5686349706362901E-8</v>
      </c>
      <c r="MF113" s="12" t="s">
        <v>37</v>
      </c>
      <c r="MG113" s="12" t="s">
        <v>37</v>
      </c>
      <c r="MH113" s="12" t="s">
        <v>37</v>
      </c>
      <c r="MJ113" s="12" t="s">
        <v>37</v>
      </c>
      <c r="MK113" s="12" t="s">
        <v>37</v>
      </c>
      <c r="ML113" s="12" t="s">
        <v>37</v>
      </c>
      <c r="MQ113" s="12" t="s">
        <v>37</v>
      </c>
      <c r="MR113" s="12" t="s">
        <v>37</v>
      </c>
      <c r="MS113" s="12" t="s">
        <v>37</v>
      </c>
      <c r="MU113" s="12" t="s">
        <v>37</v>
      </c>
      <c r="MV113" s="12" t="s">
        <v>37</v>
      </c>
      <c r="MW113" s="12" t="s">
        <v>37</v>
      </c>
      <c r="NA113" s="12" t="s">
        <v>177</v>
      </c>
      <c r="NB113" s="12" t="s">
        <v>327</v>
      </c>
      <c r="NC113" s="12">
        <v>0.02</v>
      </c>
      <c r="ND113" s="12">
        <f t="shared" ref="ND113:ND115" si="436">0.001*SQRT(3)</f>
        <v>1.7320508075688772E-3</v>
      </c>
      <c r="NE113" s="13">
        <v>3</v>
      </c>
      <c r="NF113" s="19">
        <f t="shared" si="413"/>
        <v>8.6602540378443851E-2</v>
      </c>
      <c r="NG113" s="12">
        <v>0.01</v>
      </c>
      <c r="NH113" s="12">
        <f t="shared" ref="NH113:NH119" si="437">0.001*SQRT(3)</f>
        <v>1.7320508075688772E-3</v>
      </c>
      <c r="NI113" s="13">
        <v>3</v>
      </c>
      <c r="NJ113" s="19">
        <f t="shared" si="414"/>
        <v>0.1732050807568877</v>
      </c>
      <c r="NK113" s="19">
        <f t="shared" si="415"/>
        <v>-0.69314718055994529</v>
      </c>
      <c r="NL113" s="19">
        <f t="shared" ref="NL113:NL127" si="438">NH113^2/(NI113*NG113^2)+ND113^2/(NE113*NC113^2)</f>
        <v>1.2499999999999997E-2</v>
      </c>
      <c r="NM113" s="12" t="s">
        <v>177</v>
      </c>
      <c r="NN113" s="12" t="s">
        <v>327</v>
      </c>
      <c r="NO113" s="12">
        <v>0.02</v>
      </c>
      <c r="NP113" s="12">
        <f t="shared" ref="NP113:NP121" si="439">0.01*SQRT(3)</f>
        <v>1.7320508075688773E-2</v>
      </c>
      <c r="NQ113" s="13">
        <v>3</v>
      </c>
      <c r="NR113" s="19">
        <f t="shared" ref="NR113:NR127" si="440">NP113/NO113</f>
        <v>0.8660254037844386</v>
      </c>
      <c r="NS113" s="12">
        <v>0.05</v>
      </c>
      <c r="NT113" s="12">
        <f t="shared" ref="NT113:NT115" si="441">0.01*SQRT(3)</f>
        <v>1.7320508075688773E-2</v>
      </c>
      <c r="NU113" s="13">
        <v>3</v>
      </c>
      <c r="NV113" s="19">
        <f t="shared" ref="NV113:NV127" si="442">NT113/NS113</f>
        <v>0.34641016151377546</v>
      </c>
      <c r="NW113" s="19">
        <f t="shared" si="417"/>
        <v>0.91629073187415511</v>
      </c>
      <c r="NX113" s="19">
        <f t="shared" si="418"/>
        <v>0.28999999999999998</v>
      </c>
      <c r="OA113" s="11" t="s">
        <v>37</v>
      </c>
      <c r="OB113" s="11" t="s">
        <v>37</v>
      </c>
      <c r="OC113" s="13" t="s">
        <v>37</v>
      </c>
      <c r="OE113" s="11" t="s">
        <v>37</v>
      </c>
      <c r="OF113" s="11" t="s">
        <v>37</v>
      </c>
      <c r="OG113" s="13" t="s">
        <v>37</v>
      </c>
      <c r="OM113" s="11" t="s">
        <v>37</v>
      </c>
      <c r="ON113" s="11" t="s">
        <v>37</v>
      </c>
      <c r="OO113" s="11" t="s">
        <v>37</v>
      </c>
      <c r="OP113" s="11" t="s">
        <v>37</v>
      </c>
      <c r="OQ113" s="11" t="s">
        <v>37</v>
      </c>
      <c r="OR113" s="11" t="s">
        <v>37</v>
      </c>
      <c r="OW113" s="12" t="s">
        <v>37</v>
      </c>
      <c r="OX113" s="12" t="s">
        <v>37</v>
      </c>
      <c r="OY113" s="13" t="s">
        <v>37</v>
      </c>
      <c r="OZ113" s="12" t="s">
        <v>37</v>
      </c>
      <c r="PA113" s="12" t="s">
        <v>37</v>
      </c>
      <c r="PB113" s="13" t="s">
        <v>37</v>
      </c>
      <c r="PG113" s="11" t="s">
        <v>37</v>
      </c>
      <c r="PH113" s="11" t="s">
        <v>37</v>
      </c>
      <c r="PI113" s="13" t="s">
        <v>37</v>
      </c>
      <c r="PJ113" s="11" t="s">
        <v>37</v>
      </c>
      <c r="PK113" s="11" t="s">
        <v>37</v>
      </c>
      <c r="PL113" s="13" t="s">
        <v>37</v>
      </c>
      <c r="PQ113" s="12" t="s">
        <v>37</v>
      </c>
      <c r="PR113" s="12" t="s">
        <v>37</v>
      </c>
      <c r="PS113" s="12" t="s">
        <v>37</v>
      </c>
      <c r="PT113" s="12" t="s">
        <v>37</v>
      </c>
      <c r="PU113" s="12" t="s">
        <v>37</v>
      </c>
      <c r="PV113" s="12" t="s">
        <v>37</v>
      </c>
      <c r="PW113" s="12"/>
      <c r="PX113" s="12"/>
      <c r="PZ113" s="12" t="s">
        <v>37</v>
      </c>
      <c r="QA113" s="12" t="s">
        <v>37</v>
      </c>
      <c r="QB113" s="11" t="s">
        <v>37</v>
      </c>
      <c r="QD113" s="12" t="s">
        <v>37</v>
      </c>
      <c r="QE113" s="12" t="s">
        <v>37</v>
      </c>
      <c r="QF113" s="12" t="s">
        <v>37</v>
      </c>
      <c r="QK113" s="12" t="s">
        <v>37</v>
      </c>
      <c r="QL113" s="12" t="s">
        <v>37</v>
      </c>
      <c r="QM113" s="12" t="s">
        <v>37</v>
      </c>
      <c r="QN113" s="12" t="s">
        <v>37</v>
      </c>
      <c r="QO113" s="12" t="s">
        <v>37</v>
      </c>
      <c r="QP113" s="12" t="s">
        <v>37</v>
      </c>
      <c r="QQ113" s="12"/>
      <c r="QR113" s="12"/>
      <c r="QU113" s="11" t="s">
        <v>37</v>
      </c>
      <c r="QV113" s="11" t="s">
        <v>37</v>
      </c>
      <c r="QW113" s="13" t="s">
        <v>37</v>
      </c>
      <c r="QX113" s="11" t="s">
        <v>37</v>
      </c>
      <c r="QY113" s="11" t="s">
        <v>37</v>
      </c>
      <c r="QZ113" s="13" t="s">
        <v>37</v>
      </c>
      <c r="RC113" s="12" t="s">
        <v>37</v>
      </c>
      <c r="RD113" s="12" t="s">
        <v>37</v>
      </c>
      <c r="RE113" s="13" t="s">
        <v>37</v>
      </c>
      <c r="RF113" s="12" t="s">
        <v>37</v>
      </c>
      <c r="RG113" s="12" t="s">
        <v>37</v>
      </c>
      <c r="RH113" s="13" t="s">
        <v>37</v>
      </c>
      <c r="RK113" s="11" t="s">
        <v>37</v>
      </c>
      <c r="RL113" s="11" t="s">
        <v>37</v>
      </c>
      <c r="RM113" s="11" t="s">
        <v>37</v>
      </c>
      <c r="RN113" s="11" t="s">
        <v>37</v>
      </c>
      <c r="RO113" s="11" t="s">
        <v>37</v>
      </c>
      <c r="RP113" s="11" t="s">
        <v>37</v>
      </c>
      <c r="RS113" s="11" t="s">
        <v>37</v>
      </c>
      <c r="RT113" s="11" t="s">
        <v>37</v>
      </c>
      <c r="RU113" s="11" t="s">
        <v>37</v>
      </c>
      <c r="RV113" s="11" t="s">
        <v>37</v>
      </c>
      <c r="RW113" s="11" t="s">
        <v>37</v>
      </c>
      <c r="RX113" s="11" t="s">
        <v>37</v>
      </c>
      <c r="SA113" s="11" t="s">
        <v>37</v>
      </c>
      <c r="SB113" s="11" t="s">
        <v>37</v>
      </c>
      <c r="SC113" s="13" t="s">
        <v>37</v>
      </c>
      <c r="SD113" s="11" t="s">
        <v>37</v>
      </c>
      <c r="SE113" s="11" t="s">
        <v>37</v>
      </c>
      <c r="SF113" s="13" t="s">
        <v>37</v>
      </c>
      <c r="SG113" s="12" t="s">
        <v>177</v>
      </c>
      <c r="SH113" s="12" t="s">
        <v>327</v>
      </c>
      <c r="SI113" s="12">
        <v>0.06</v>
      </c>
      <c r="SJ113" s="12">
        <f t="shared" ref="SJ113:SJ119" si="443">0.01*SQRT(3)</f>
        <v>1.7320508075688773E-2</v>
      </c>
      <c r="SK113" s="13">
        <v>3</v>
      </c>
      <c r="SL113" s="19">
        <f t="shared" si="419"/>
        <v>0.28867513459481292</v>
      </c>
      <c r="SM113" s="12">
        <v>0.15</v>
      </c>
      <c r="SN113" s="12">
        <f t="shared" ref="SN113:SN115" si="444">0.03*SQRT(3)</f>
        <v>5.1961524227066312E-2</v>
      </c>
      <c r="SO113" s="13">
        <v>3</v>
      </c>
      <c r="SP113" s="19">
        <f t="shared" ref="SP113:SP126" si="445">SN113/SM113</f>
        <v>0.34641016151377541</v>
      </c>
      <c r="SQ113" s="19">
        <f t="shared" si="420"/>
        <v>0.91629073187415511</v>
      </c>
      <c r="SR113" s="19">
        <f t="shared" si="421"/>
        <v>6.777777777777777E-2</v>
      </c>
      <c r="SU113" s="12" t="s">
        <v>37</v>
      </c>
      <c r="SV113" s="12" t="s">
        <v>37</v>
      </c>
      <c r="SW113" s="11" t="s">
        <v>37</v>
      </c>
      <c r="SX113" s="12" t="s">
        <v>37</v>
      </c>
      <c r="SY113" s="12" t="s">
        <v>37</v>
      </c>
      <c r="SZ113" s="11" t="s">
        <v>37</v>
      </c>
      <c r="TE113" s="12" t="s">
        <v>37</v>
      </c>
      <c r="TF113" s="12" t="s">
        <v>37</v>
      </c>
      <c r="TG113" s="11" t="s">
        <v>37</v>
      </c>
      <c r="TH113" s="12" t="s">
        <v>37</v>
      </c>
      <c r="TI113" s="12" t="s">
        <v>37</v>
      </c>
      <c r="TJ113" s="11" t="s">
        <v>37</v>
      </c>
      <c r="TO113" s="12" t="s">
        <v>37</v>
      </c>
      <c r="TP113" s="12" t="s">
        <v>37</v>
      </c>
      <c r="TQ113" s="11" t="s">
        <v>37</v>
      </c>
      <c r="TR113" s="12" t="s">
        <v>37</v>
      </c>
      <c r="TS113" s="12" t="s">
        <v>37</v>
      </c>
      <c r="TT113" s="11" t="s">
        <v>37</v>
      </c>
      <c r="TY113" s="12" t="s">
        <v>37</v>
      </c>
      <c r="TZ113" s="12" t="s">
        <v>37</v>
      </c>
      <c r="UA113" s="12" t="s">
        <v>37</v>
      </c>
      <c r="UB113" s="12" t="s">
        <v>37</v>
      </c>
      <c r="UC113" s="12" t="s">
        <v>37</v>
      </c>
      <c r="UD113" s="12" t="s">
        <v>37</v>
      </c>
      <c r="UE113" s="12"/>
      <c r="UF113" s="12"/>
      <c r="UI113" s="12" t="s">
        <v>37</v>
      </c>
      <c r="UJ113" s="12" t="s">
        <v>37</v>
      </c>
      <c r="UK113" s="12" t="s">
        <v>37</v>
      </c>
      <c r="UL113" s="12" t="s">
        <v>37</v>
      </c>
      <c r="UM113" s="12" t="s">
        <v>37</v>
      </c>
      <c r="UN113" s="12" t="s">
        <v>37</v>
      </c>
      <c r="UO113" s="12"/>
      <c r="UP113" s="12"/>
      <c r="UR113" s="12" t="s">
        <v>37</v>
      </c>
      <c r="US113" s="12" t="s">
        <v>37</v>
      </c>
      <c r="UT113" s="12" t="s">
        <v>37</v>
      </c>
      <c r="UU113" s="12" t="s">
        <v>37</v>
      </c>
      <c r="UV113" s="12" t="s">
        <v>37</v>
      </c>
      <c r="UW113" s="12" t="s">
        <v>37</v>
      </c>
      <c r="UX113" s="12"/>
      <c r="UY113" s="12"/>
      <c r="VB113" s="12" t="s">
        <v>37</v>
      </c>
      <c r="VC113" s="12" t="s">
        <v>37</v>
      </c>
      <c r="VD113" s="12" t="s">
        <v>37</v>
      </c>
      <c r="VE113" s="12" t="s">
        <v>37</v>
      </c>
      <c r="VF113" s="12" t="s">
        <v>37</v>
      </c>
      <c r="VG113" s="12" t="s">
        <v>37</v>
      </c>
      <c r="VI113" s="12" t="s">
        <v>37</v>
      </c>
      <c r="VJ113" s="12" t="s">
        <v>37</v>
      </c>
      <c r="VK113" s="12" t="s">
        <v>37</v>
      </c>
      <c r="VL113" s="12" t="s">
        <v>37</v>
      </c>
      <c r="VM113" s="12" t="s">
        <v>37</v>
      </c>
      <c r="VN113" s="12" t="s">
        <v>37</v>
      </c>
      <c r="VQ113" s="13" t="s">
        <v>37</v>
      </c>
      <c r="VR113" s="13" t="s">
        <v>37</v>
      </c>
      <c r="VS113" s="13" t="s">
        <v>37</v>
      </c>
      <c r="VT113" s="13" t="s">
        <v>37</v>
      </c>
      <c r="VU113" s="13" t="s">
        <v>37</v>
      </c>
      <c r="VV113" s="13" t="s">
        <v>37</v>
      </c>
      <c r="WA113" s="13" t="s">
        <v>37</v>
      </c>
      <c r="WB113" s="13" t="s">
        <v>37</v>
      </c>
      <c r="WC113" s="13" t="s">
        <v>37</v>
      </c>
      <c r="WD113" s="13" t="s">
        <v>37</v>
      </c>
      <c r="WE113" s="13" t="s">
        <v>37</v>
      </c>
      <c r="WF113" s="13" t="s">
        <v>37</v>
      </c>
    </row>
    <row r="114" spans="1:604" ht="18" customHeight="1" x14ac:dyDescent="0.3">
      <c r="A114" s="11">
        <v>28</v>
      </c>
      <c r="B114" s="16" t="s">
        <v>176</v>
      </c>
      <c r="C114" s="12" t="s">
        <v>26</v>
      </c>
      <c r="D114" s="12" t="s">
        <v>119</v>
      </c>
      <c r="E114" s="40" t="s">
        <v>37</v>
      </c>
      <c r="F114" s="14">
        <v>0</v>
      </c>
      <c r="G114" s="14">
        <v>0</v>
      </c>
      <c r="H114" s="12" t="s">
        <v>82</v>
      </c>
      <c r="I114" s="29">
        <v>48.07</v>
      </c>
      <c r="J114" s="29">
        <v>-98.51</v>
      </c>
      <c r="K114" s="12" t="s">
        <v>186</v>
      </c>
      <c r="L114" s="12" t="s">
        <v>187</v>
      </c>
      <c r="M114" s="13" t="s">
        <v>37</v>
      </c>
      <c r="N114" s="14">
        <v>20</v>
      </c>
      <c r="O114" s="14">
        <v>290</v>
      </c>
      <c r="P114" s="14" t="s">
        <v>16</v>
      </c>
      <c r="Q114" s="75">
        <v>7</v>
      </c>
      <c r="R114" s="11" t="s">
        <v>999</v>
      </c>
      <c r="S114" s="12" t="s">
        <v>37</v>
      </c>
      <c r="T114" s="12" t="s">
        <v>138</v>
      </c>
      <c r="U114" s="12" t="s">
        <v>158</v>
      </c>
      <c r="V114" s="12" t="s">
        <v>275</v>
      </c>
      <c r="W114" s="23" t="s">
        <v>37</v>
      </c>
      <c r="X114" s="12" t="s">
        <v>37</v>
      </c>
      <c r="Y114" s="12" t="s">
        <v>69</v>
      </c>
      <c r="Z114" s="12" t="s">
        <v>37</v>
      </c>
      <c r="AB114" s="12" t="s">
        <v>37</v>
      </c>
      <c r="AC114" s="12" t="s">
        <v>42</v>
      </c>
      <c r="AD114" s="32" t="s">
        <v>327</v>
      </c>
      <c r="AE114" s="12">
        <f t="shared" si="422"/>
        <v>97.177304964539019</v>
      </c>
      <c r="AF114" s="12" t="s">
        <v>42</v>
      </c>
      <c r="AG114" s="32" t="s">
        <v>327</v>
      </c>
      <c r="AH114" s="12">
        <f t="shared" si="423"/>
        <v>8.9078014184397176</v>
      </c>
      <c r="AJ114" s="12" t="str">
        <f t="shared" si="356"/>
        <v>0-15</v>
      </c>
      <c r="AK114" s="19">
        <f t="shared" si="357"/>
        <v>10.909235668789808</v>
      </c>
      <c r="AL114" s="32" t="s">
        <v>180</v>
      </c>
      <c r="AM114" s="54" t="s">
        <v>317</v>
      </c>
      <c r="AN114" s="32" t="s">
        <v>886</v>
      </c>
      <c r="AO114" s="12" t="s">
        <v>37</v>
      </c>
      <c r="AP114" s="12" t="s">
        <v>108</v>
      </c>
      <c r="AQ114" s="12" t="s">
        <v>975</v>
      </c>
      <c r="AR114" s="12" t="s">
        <v>42</v>
      </c>
      <c r="AS114" s="32" t="s">
        <v>327</v>
      </c>
      <c r="AT114" s="12">
        <f t="shared" si="424"/>
        <v>97.177304964539019</v>
      </c>
      <c r="AU114" s="12">
        <f t="shared" si="425"/>
        <v>1.4478677078300162E-2</v>
      </c>
      <c r="AV114" s="13">
        <v>3</v>
      </c>
      <c r="AW114" s="52">
        <f t="shared" si="426"/>
        <v>1.4899237104366682E-4</v>
      </c>
      <c r="AX114" s="12">
        <f t="shared" si="427"/>
        <v>64.661691542288551</v>
      </c>
      <c r="AY114" s="12">
        <f t="shared" si="428"/>
        <v>8.2315666186958056E-3</v>
      </c>
      <c r="AZ114" s="13">
        <v>3</v>
      </c>
      <c r="BA114" s="52">
        <f t="shared" si="397"/>
        <v>1.2730206127243649E-4</v>
      </c>
      <c r="BB114" s="52">
        <f t="shared" si="360"/>
        <v>-0.40736826366216361</v>
      </c>
      <c r="BC114" s="19">
        <f t="shared" si="361"/>
        <v>1.2801513811141618E-8</v>
      </c>
      <c r="BE114" s="12" t="s">
        <v>326</v>
      </c>
      <c r="BF114" s="12" t="s">
        <v>326</v>
      </c>
      <c r="BG114" s="12" t="s">
        <v>326</v>
      </c>
      <c r="BI114" s="12" t="s">
        <v>326</v>
      </c>
      <c r="BJ114" s="12" t="s">
        <v>326</v>
      </c>
      <c r="BK114" s="12" t="s">
        <v>326</v>
      </c>
      <c r="BP114" s="12" t="s">
        <v>37</v>
      </c>
      <c r="BQ114" s="12" t="s">
        <v>37</v>
      </c>
      <c r="BR114" s="13" t="s">
        <v>37</v>
      </c>
      <c r="BT114" s="12" t="s">
        <v>37</v>
      </c>
      <c r="BU114" s="12" t="s">
        <v>37</v>
      </c>
      <c r="BV114" s="12" t="s">
        <v>37</v>
      </c>
      <c r="CA114" s="12" t="s">
        <v>37</v>
      </c>
      <c r="CB114" s="12" t="s">
        <v>37</v>
      </c>
      <c r="CC114" s="13" t="s">
        <v>37</v>
      </c>
      <c r="CE114" s="12" t="s">
        <v>37</v>
      </c>
      <c r="CF114" s="12" t="s">
        <v>37</v>
      </c>
      <c r="CG114" s="13" t="s">
        <v>37</v>
      </c>
      <c r="CJ114" s="12"/>
      <c r="CN114" s="12" t="s">
        <v>37</v>
      </c>
      <c r="CO114" s="12" t="s">
        <v>37</v>
      </c>
      <c r="CP114" s="13" t="s">
        <v>37</v>
      </c>
      <c r="CR114" s="12" t="s">
        <v>37</v>
      </c>
      <c r="CS114" s="12" t="s">
        <v>37</v>
      </c>
      <c r="CT114" s="13" t="s">
        <v>37</v>
      </c>
      <c r="CX114" s="72"/>
      <c r="CY114" s="72"/>
      <c r="DA114" s="12" t="s">
        <v>37</v>
      </c>
      <c r="DB114" s="12" t="s">
        <v>37</v>
      </c>
      <c r="DC114" s="13" t="s">
        <v>37</v>
      </c>
      <c r="DE114" s="12" t="s">
        <v>37</v>
      </c>
      <c r="DF114" s="12" t="s">
        <v>37</v>
      </c>
      <c r="DG114" s="13" t="s">
        <v>37</v>
      </c>
      <c r="DM114" s="15"/>
      <c r="DO114" s="108"/>
      <c r="DP114" s="72"/>
      <c r="DS114" s="108"/>
      <c r="DT114" s="72"/>
      <c r="DX114" s="19"/>
      <c r="DY114" s="19"/>
      <c r="DZ114" s="12" t="s">
        <v>47</v>
      </c>
      <c r="EA114" s="19">
        <f>0.03*("2007/10/31"-"2007/04/01")/("2007/09/14"-"2007/04/11")*10^4/10^3/'[3]classess-1'!$I$4</f>
        <v>0.53231951884872231</v>
      </c>
      <c r="EB114" s="50">
        <f t="shared" si="364"/>
        <v>3.0608249806026997</v>
      </c>
      <c r="EC114" s="72">
        <v>3</v>
      </c>
      <c r="EE114" s="19">
        <f>0.09*("2007/10/31"-"2007/04/01")/("2007/09/14"-"2007/04/11")*10^4/10^3/'[3]classess-1'!$I$5</f>
        <v>2.1039743148589367</v>
      </c>
      <c r="EF114" s="50">
        <f t="shared" si="365"/>
        <v>3.141526907533883</v>
      </c>
      <c r="EG114" s="13">
        <v>3</v>
      </c>
      <c r="EI114" s="19">
        <f t="shared" si="429"/>
        <v>1.5716547960102143</v>
      </c>
      <c r="EJ114" s="12">
        <f t="shared" si="366"/>
        <v>3.1014384463213935</v>
      </c>
      <c r="EK114" s="19">
        <f t="shared" si="367"/>
        <v>6.4126136242136393</v>
      </c>
      <c r="EL114" s="19">
        <f t="shared" si="368"/>
        <v>6.4126136242136393</v>
      </c>
      <c r="EM114" s="12" t="s">
        <v>39</v>
      </c>
      <c r="EN114" s="12">
        <v>14</v>
      </c>
      <c r="EO114" s="50">
        <f t="shared" si="398"/>
        <v>5.7049495825181067</v>
      </c>
      <c r="EP114" s="13">
        <v>3</v>
      </c>
      <c r="ER114" s="12">
        <v>-31</v>
      </c>
      <c r="ES114" s="50">
        <f t="shared" si="399"/>
        <v>7.0312356587850191</v>
      </c>
      <c r="ET114" s="13">
        <v>3</v>
      </c>
      <c r="EV114" s="19">
        <f t="shared" si="400"/>
        <v>-45</v>
      </c>
      <c r="EW114" s="12">
        <f t="shared" si="401"/>
        <v>6.4025278065949678</v>
      </c>
      <c r="EX114" s="19">
        <f t="shared" si="402"/>
        <v>27.32824154281451</v>
      </c>
      <c r="EY114" s="19">
        <f t="shared" si="403"/>
        <v>27.328241542814506</v>
      </c>
      <c r="FB114" s="12" t="s">
        <v>37</v>
      </c>
      <c r="FC114" s="12" t="s">
        <v>37</v>
      </c>
      <c r="FD114" s="11" t="s">
        <v>37</v>
      </c>
      <c r="FE114" s="12" t="s">
        <v>37</v>
      </c>
      <c r="FF114" s="20" t="s">
        <v>37</v>
      </c>
      <c r="FG114" s="11" t="s">
        <v>37</v>
      </c>
      <c r="FI114" s="12" t="s">
        <v>37</v>
      </c>
      <c r="FJ114" s="12" t="s">
        <v>37</v>
      </c>
      <c r="FK114" s="11" t="s">
        <v>37</v>
      </c>
      <c r="FL114" s="13" t="s">
        <v>37</v>
      </c>
      <c r="FM114" s="11" t="s">
        <v>37</v>
      </c>
      <c r="FN114" s="11" t="s">
        <v>37</v>
      </c>
      <c r="FP114" s="12" t="s">
        <v>37</v>
      </c>
      <c r="FQ114" s="12" t="s">
        <v>37</v>
      </c>
      <c r="FR114" s="11" t="s">
        <v>37</v>
      </c>
      <c r="FS114" s="13" t="s">
        <v>37</v>
      </c>
      <c r="FT114" s="11" t="s">
        <v>37</v>
      </c>
      <c r="FU114" s="11" t="s">
        <v>37</v>
      </c>
      <c r="FW114" s="12" t="s">
        <v>37</v>
      </c>
      <c r="FX114" s="12" t="s">
        <v>37</v>
      </c>
      <c r="FY114" s="11" t="s">
        <v>37</v>
      </c>
      <c r="FZ114" s="13" t="s">
        <v>37</v>
      </c>
      <c r="GA114" s="11" t="s">
        <v>37</v>
      </c>
      <c r="GB114" s="11" t="s">
        <v>37</v>
      </c>
      <c r="HA114" s="17" t="s">
        <v>63</v>
      </c>
      <c r="HB114" s="34" t="s">
        <v>327</v>
      </c>
      <c r="HC114" s="12">
        <v>0.94</v>
      </c>
      <c r="HD114" s="12">
        <f t="shared" si="430"/>
        <v>0.17320508075688773</v>
      </c>
      <c r="HE114" s="13">
        <v>3</v>
      </c>
      <c r="HF114" s="19">
        <f t="shared" si="404"/>
        <v>0.18426072420945505</v>
      </c>
      <c r="HG114" s="12">
        <v>1.34</v>
      </c>
      <c r="HH114" s="12">
        <f t="shared" si="431"/>
        <v>8.6602540378443865E-2</v>
      </c>
      <c r="HI114" s="13">
        <v>3</v>
      </c>
      <c r="HJ114" s="19">
        <f t="shared" si="405"/>
        <v>6.4628761476450636E-2</v>
      </c>
      <c r="HK114" s="19">
        <f t="shared" si="375"/>
        <v>0.35454501768090757</v>
      </c>
      <c r="HL114" s="19">
        <f t="shared" si="376"/>
        <v>1.2709630432057601E-2</v>
      </c>
      <c r="IK114" s="12" t="s">
        <v>37</v>
      </c>
      <c r="IL114" s="12" t="s">
        <v>37</v>
      </c>
      <c r="IM114" s="12" t="s">
        <v>37</v>
      </c>
      <c r="IO114" s="12" t="s">
        <v>37</v>
      </c>
      <c r="IP114" s="12" t="s">
        <v>37</v>
      </c>
      <c r="IQ114" s="12" t="s">
        <v>37</v>
      </c>
      <c r="IW114" s="12" t="s">
        <v>37</v>
      </c>
      <c r="IX114" s="12" t="s">
        <v>37</v>
      </c>
      <c r="IY114" s="13" t="s">
        <v>37</v>
      </c>
      <c r="JA114" s="12" t="s">
        <v>37</v>
      </c>
      <c r="JB114" s="12" t="s">
        <v>37</v>
      </c>
      <c r="JC114" s="13" t="s">
        <v>37</v>
      </c>
      <c r="JH114" s="12" t="s">
        <v>37</v>
      </c>
      <c r="JI114" s="12" t="s">
        <v>37</v>
      </c>
      <c r="JJ114" s="13" t="s">
        <v>37</v>
      </c>
      <c r="JL114" s="12" t="s">
        <v>37</v>
      </c>
      <c r="JM114" s="12" t="s">
        <v>37</v>
      </c>
      <c r="JN114" s="12" t="s">
        <v>37</v>
      </c>
      <c r="JS114" s="12" t="s">
        <v>37</v>
      </c>
      <c r="JT114" s="12" t="s">
        <v>37</v>
      </c>
      <c r="JU114" s="13" t="s">
        <v>37</v>
      </c>
      <c r="JW114" s="12" t="s">
        <v>37</v>
      </c>
      <c r="JX114" s="12" t="s">
        <v>37</v>
      </c>
      <c r="JY114" s="12" t="s">
        <v>37</v>
      </c>
      <c r="KE114" s="11" t="s">
        <v>37</v>
      </c>
      <c r="KF114" s="11" t="s">
        <v>37</v>
      </c>
      <c r="KG114" s="13" t="s">
        <v>37</v>
      </c>
      <c r="KH114" s="11" t="s">
        <v>37</v>
      </c>
      <c r="KI114" s="11" t="s">
        <v>37</v>
      </c>
      <c r="KJ114" s="11" t="s">
        <v>37</v>
      </c>
      <c r="KK114" s="12" t="s">
        <v>42</v>
      </c>
      <c r="KL114" s="32" t="s">
        <v>327</v>
      </c>
      <c r="KM114" s="12">
        <f t="shared" si="432"/>
        <v>8.9078014184397176</v>
      </c>
      <c r="KN114" s="12">
        <f t="shared" si="433"/>
        <v>1.2732753871073053E-3</v>
      </c>
      <c r="KO114" s="11">
        <v>3</v>
      </c>
      <c r="KP114" s="19">
        <f t="shared" si="406"/>
        <v>1.4293935476284239E-4</v>
      </c>
      <c r="KQ114" s="12">
        <f t="shared" si="434"/>
        <v>6.522388059701492</v>
      </c>
      <c r="KR114" s="12">
        <f t="shared" si="435"/>
        <v>8.8047041385840691E-4</v>
      </c>
      <c r="KS114" s="13">
        <v>3</v>
      </c>
      <c r="KT114" s="19">
        <f t="shared" si="407"/>
        <v>1.3499203141536216E-4</v>
      </c>
      <c r="KU114" s="19">
        <f t="shared" si="382"/>
        <v>-0.3116868809453518</v>
      </c>
      <c r="KV114" s="19">
        <f t="shared" si="383"/>
        <v>1.288483589522128E-8</v>
      </c>
      <c r="KX114" s="12" t="s">
        <v>37</v>
      </c>
      <c r="KY114" s="12" t="s">
        <v>37</v>
      </c>
      <c r="KZ114" s="13" t="s">
        <v>37</v>
      </c>
      <c r="LB114" s="12" t="s">
        <v>37</v>
      </c>
      <c r="LC114" s="12" t="s">
        <v>37</v>
      </c>
      <c r="LD114" s="13" t="s">
        <v>37</v>
      </c>
      <c r="LI114" s="12" t="s">
        <v>37</v>
      </c>
      <c r="LJ114" s="12" t="s">
        <v>37</v>
      </c>
      <c r="LK114" s="12" t="s">
        <v>37</v>
      </c>
      <c r="LM114" s="12" t="s">
        <v>37</v>
      </c>
      <c r="LN114" s="12" t="s">
        <v>37</v>
      </c>
      <c r="LO114" s="12" t="s">
        <v>37</v>
      </c>
      <c r="LT114" s="12" t="str">
        <f t="shared" si="408"/>
        <v>0-15</v>
      </c>
      <c r="LU114" s="12">
        <f t="shared" si="385"/>
        <v>10.909235668789808</v>
      </c>
      <c r="LV114" s="29">
        <f t="shared" si="386"/>
        <v>2.2524437547250739E-3</v>
      </c>
      <c r="LW114" s="13">
        <f t="shared" si="409"/>
        <v>3</v>
      </c>
      <c r="LX114" s="19">
        <f t="shared" si="410"/>
        <v>2.0647127105055416E-4</v>
      </c>
      <c r="LY114" s="12">
        <f t="shared" si="388"/>
        <v>9.9138062547673531</v>
      </c>
      <c r="LZ114" s="29">
        <f t="shared" si="389"/>
        <v>1.8395030332211018E-3</v>
      </c>
      <c r="MA114" s="13">
        <f t="shared" si="411"/>
        <v>3</v>
      </c>
      <c r="MB114" s="19">
        <f t="shared" si="412"/>
        <v>1.8554962503292025E-4</v>
      </c>
      <c r="MC114" s="19">
        <f t="shared" si="391"/>
        <v>-9.568138271681173E-2</v>
      </c>
      <c r="MD114" s="19">
        <f t="shared" si="392"/>
        <v>2.5686349706362901E-8</v>
      </c>
      <c r="MF114" s="12" t="s">
        <v>37</v>
      </c>
      <c r="MG114" s="12" t="s">
        <v>37</v>
      </c>
      <c r="MH114" s="12" t="s">
        <v>37</v>
      </c>
      <c r="MJ114" s="12" t="s">
        <v>37</v>
      </c>
      <c r="MK114" s="12" t="s">
        <v>37</v>
      </c>
      <c r="ML114" s="12" t="s">
        <v>37</v>
      </c>
      <c r="MQ114" s="12" t="s">
        <v>37</v>
      </c>
      <c r="MR114" s="12" t="s">
        <v>37</v>
      </c>
      <c r="MS114" s="12" t="s">
        <v>37</v>
      </c>
      <c r="MU114" s="12" t="s">
        <v>37</v>
      </c>
      <c r="MV114" s="12" t="s">
        <v>37</v>
      </c>
      <c r="MW114" s="12" t="s">
        <v>37</v>
      </c>
      <c r="NA114" s="12" t="s">
        <v>177</v>
      </c>
      <c r="NB114" s="12" t="s">
        <v>327</v>
      </c>
      <c r="NC114" s="12">
        <v>0.02</v>
      </c>
      <c r="ND114" s="12">
        <f t="shared" si="436"/>
        <v>1.7320508075688772E-3</v>
      </c>
      <c r="NE114" s="13">
        <v>3</v>
      </c>
      <c r="NF114" s="19">
        <f t="shared" si="413"/>
        <v>8.6602540378443851E-2</v>
      </c>
      <c r="NG114" s="12">
        <v>0.01</v>
      </c>
      <c r="NH114" s="12">
        <f t="shared" si="437"/>
        <v>1.7320508075688772E-3</v>
      </c>
      <c r="NI114" s="13">
        <v>3</v>
      </c>
      <c r="NJ114" s="19">
        <f t="shared" si="414"/>
        <v>0.1732050807568877</v>
      </c>
      <c r="NK114" s="19">
        <f t="shared" si="415"/>
        <v>-0.69314718055994529</v>
      </c>
      <c r="NL114" s="19">
        <f t="shared" si="438"/>
        <v>1.2499999999999997E-2</v>
      </c>
      <c r="NM114" s="12" t="s">
        <v>177</v>
      </c>
      <c r="NN114" s="12" t="s">
        <v>327</v>
      </c>
      <c r="NO114" s="12">
        <v>0.02</v>
      </c>
      <c r="NP114" s="12">
        <f t="shared" si="439"/>
        <v>1.7320508075688773E-2</v>
      </c>
      <c r="NQ114" s="13">
        <v>3</v>
      </c>
      <c r="NR114" s="19">
        <f t="shared" si="440"/>
        <v>0.8660254037844386</v>
      </c>
      <c r="NS114" s="12">
        <v>0.05</v>
      </c>
      <c r="NT114" s="12">
        <f t="shared" si="441"/>
        <v>1.7320508075688773E-2</v>
      </c>
      <c r="NU114" s="13">
        <v>3</v>
      </c>
      <c r="NV114" s="19">
        <f t="shared" si="442"/>
        <v>0.34641016151377546</v>
      </c>
      <c r="NW114" s="19">
        <f t="shared" si="417"/>
        <v>0.91629073187415511</v>
      </c>
      <c r="NX114" s="19">
        <f t="shared" si="418"/>
        <v>0.28999999999999998</v>
      </c>
      <c r="OA114" s="11" t="s">
        <v>37</v>
      </c>
      <c r="OB114" s="11" t="s">
        <v>37</v>
      </c>
      <c r="OC114" s="13" t="s">
        <v>37</v>
      </c>
      <c r="OE114" s="11" t="s">
        <v>37</v>
      </c>
      <c r="OF114" s="11" t="s">
        <v>37</v>
      </c>
      <c r="OG114" s="13" t="s">
        <v>37</v>
      </c>
      <c r="OM114" s="11" t="s">
        <v>37</v>
      </c>
      <c r="ON114" s="11" t="s">
        <v>37</v>
      </c>
      <c r="OO114" s="11" t="s">
        <v>37</v>
      </c>
      <c r="OP114" s="11" t="s">
        <v>37</v>
      </c>
      <c r="OQ114" s="11" t="s">
        <v>37</v>
      </c>
      <c r="OR114" s="11" t="s">
        <v>37</v>
      </c>
      <c r="OW114" s="12" t="s">
        <v>37</v>
      </c>
      <c r="OX114" s="12" t="s">
        <v>37</v>
      </c>
      <c r="OY114" s="13" t="s">
        <v>37</v>
      </c>
      <c r="OZ114" s="12" t="s">
        <v>37</v>
      </c>
      <c r="PA114" s="12" t="s">
        <v>37</v>
      </c>
      <c r="PB114" s="13" t="s">
        <v>37</v>
      </c>
      <c r="PG114" s="11" t="s">
        <v>37</v>
      </c>
      <c r="PH114" s="11" t="s">
        <v>37</v>
      </c>
      <c r="PI114" s="13" t="s">
        <v>37</v>
      </c>
      <c r="PJ114" s="11" t="s">
        <v>37</v>
      </c>
      <c r="PK114" s="11" t="s">
        <v>37</v>
      </c>
      <c r="PL114" s="13" t="s">
        <v>37</v>
      </c>
      <c r="PQ114" s="12" t="s">
        <v>37</v>
      </c>
      <c r="PR114" s="12" t="s">
        <v>37</v>
      </c>
      <c r="PS114" s="12" t="s">
        <v>37</v>
      </c>
      <c r="PT114" s="12" t="s">
        <v>37</v>
      </c>
      <c r="PU114" s="12" t="s">
        <v>37</v>
      </c>
      <c r="PV114" s="12" t="s">
        <v>37</v>
      </c>
      <c r="PW114" s="12"/>
      <c r="PX114" s="12"/>
      <c r="PZ114" s="12" t="s">
        <v>37</v>
      </c>
      <c r="QA114" s="12" t="s">
        <v>37</v>
      </c>
      <c r="QB114" s="11" t="s">
        <v>37</v>
      </c>
      <c r="QD114" s="12" t="s">
        <v>37</v>
      </c>
      <c r="QE114" s="12" t="s">
        <v>37</v>
      </c>
      <c r="QF114" s="12" t="s">
        <v>37</v>
      </c>
      <c r="QK114" s="12" t="s">
        <v>37</v>
      </c>
      <c r="QL114" s="12" t="s">
        <v>37</v>
      </c>
      <c r="QM114" s="12" t="s">
        <v>37</v>
      </c>
      <c r="QN114" s="12" t="s">
        <v>37</v>
      </c>
      <c r="QO114" s="12" t="s">
        <v>37</v>
      </c>
      <c r="QP114" s="12" t="s">
        <v>37</v>
      </c>
      <c r="QQ114" s="12"/>
      <c r="QR114" s="12"/>
      <c r="QU114" s="11" t="s">
        <v>37</v>
      </c>
      <c r="QV114" s="11" t="s">
        <v>37</v>
      </c>
      <c r="QW114" s="13" t="s">
        <v>37</v>
      </c>
      <c r="QX114" s="11" t="s">
        <v>37</v>
      </c>
      <c r="QY114" s="11" t="s">
        <v>37</v>
      </c>
      <c r="QZ114" s="13" t="s">
        <v>37</v>
      </c>
      <c r="RC114" s="12" t="s">
        <v>37</v>
      </c>
      <c r="RD114" s="12" t="s">
        <v>37</v>
      </c>
      <c r="RE114" s="13" t="s">
        <v>37</v>
      </c>
      <c r="RF114" s="12" t="s">
        <v>37</v>
      </c>
      <c r="RG114" s="12" t="s">
        <v>37</v>
      </c>
      <c r="RH114" s="13" t="s">
        <v>37</v>
      </c>
      <c r="RK114" s="11" t="s">
        <v>37</v>
      </c>
      <c r="RL114" s="11" t="s">
        <v>37</v>
      </c>
      <c r="RM114" s="11" t="s">
        <v>37</v>
      </c>
      <c r="RN114" s="11" t="s">
        <v>37</v>
      </c>
      <c r="RO114" s="11" t="s">
        <v>37</v>
      </c>
      <c r="RP114" s="11" t="s">
        <v>37</v>
      </c>
      <c r="RS114" s="11" t="s">
        <v>37</v>
      </c>
      <c r="RT114" s="11" t="s">
        <v>37</v>
      </c>
      <c r="RU114" s="11" t="s">
        <v>37</v>
      </c>
      <c r="RV114" s="11" t="s">
        <v>37</v>
      </c>
      <c r="RW114" s="11" t="s">
        <v>37</v>
      </c>
      <c r="RX114" s="11" t="s">
        <v>37</v>
      </c>
      <c r="SA114" s="11" t="s">
        <v>37</v>
      </c>
      <c r="SB114" s="11" t="s">
        <v>37</v>
      </c>
      <c r="SC114" s="13" t="s">
        <v>37</v>
      </c>
      <c r="SD114" s="11" t="s">
        <v>37</v>
      </c>
      <c r="SE114" s="11" t="s">
        <v>37</v>
      </c>
      <c r="SF114" s="13" t="s">
        <v>37</v>
      </c>
      <c r="SG114" s="12" t="s">
        <v>177</v>
      </c>
      <c r="SH114" s="12" t="s">
        <v>327</v>
      </c>
      <c r="SI114" s="12">
        <v>0.06</v>
      </c>
      <c r="SJ114" s="12">
        <f t="shared" si="443"/>
        <v>1.7320508075688773E-2</v>
      </c>
      <c r="SK114" s="13">
        <v>3</v>
      </c>
      <c r="SL114" s="19">
        <f t="shared" si="419"/>
        <v>0.28867513459481292</v>
      </c>
      <c r="SM114" s="12">
        <v>0.15</v>
      </c>
      <c r="SN114" s="12">
        <f t="shared" si="444"/>
        <v>5.1961524227066312E-2</v>
      </c>
      <c r="SO114" s="13">
        <v>3</v>
      </c>
      <c r="SP114" s="19">
        <f t="shared" si="445"/>
        <v>0.34641016151377541</v>
      </c>
      <c r="SQ114" s="19">
        <f t="shared" si="420"/>
        <v>0.91629073187415511</v>
      </c>
      <c r="SR114" s="19">
        <f t="shared" si="421"/>
        <v>6.777777777777777E-2</v>
      </c>
      <c r="SU114" s="12" t="s">
        <v>37</v>
      </c>
      <c r="SV114" s="12" t="s">
        <v>37</v>
      </c>
      <c r="SW114" s="11" t="s">
        <v>37</v>
      </c>
      <c r="SX114" s="12" t="s">
        <v>37</v>
      </c>
      <c r="SY114" s="12" t="s">
        <v>37</v>
      </c>
      <c r="SZ114" s="11" t="s">
        <v>37</v>
      </c>
      <c r="TE114" s="12" t="s">
        <v>37</v>
      </c>
      <c r="TF114" s="12" t="s">
        <v>37</v>
      </c>
      <c r="TG114" s="11" t="s">
        <v>37</v>
      </c>
      <c r="TH114" s="12" t="s">
        <v>37</v>
      </c>
      <c r="TI114" s="12" t="s">
        <v>37</v>
      </c>
      <c r="TJ114" s="11" t="s">
        <v>37</v>
      </c>
      <c r="TO114" s="12" t="s">
        <v>37</v>
      </c>
      <c r="TP114" s="12" t="s">
        <v>37</v>
      </c>
      <c r="TQ114" s="11" t="s">
        <v>37</v>
      </c>
      <c r="TR114" s="12" t="s">
        <v>37</v>
      </c>
      <c r="TS114" s="12" t="s">
        <v>37</v>
      </c>
      <c r="TT114" s="11" t="s">
        <v>37</v>
      </c>
      <c r="TY114" s="12" t="s">
        <v>37</v>
      </c>
      <c r="TZ114" s="12" t="s">
        <v>37</v>
      </c>
      <c r="UA114" s="12" t="s">
        <v>37</v>
      </c>
      <c r="UB114" s="12" t="s">
        <v>37</v>
      </c>
      <c r="UC114" s="12" t="s">
        <v>37</v>
      </c>
      <c r="UD114" s="12" t="s">
        <v>37</v>
      </c>
      <c r="UE114" s="12"/>
      <c r="UF114" s="12"/>
      <c r="UI114" s="12" t="s">
        <v>37</v>
      </c>
      <c r="UJ114" s="12" t="s">
        <v>37</v>
      </c>
      <c r="UK114" s="12" t="s">
        <v>37</v>
      </c>
      <c r="UL114" s="12" t="s">
        <v>37</v>
      </c>
      <c r="UM114" s="12" t="s">
        <v>37</v>
      </c>
      <c r="UN114" s="12" t="s">
        <v>37</v>
      </c>
      <c r="UO114" s="12"/>
      <c r="UP114" s="12"/>
      <c r="UR114" s="12" t="s">
        <v>37</v>
      </c>
      <c r="US114" s="12" t="s">
        <v>37</v>
      </c>
      <c r="UT114" s="12" t="s">
        <v>37</v>
      </c>
      <c r="UU114" s="12" t="s">
        <v>37</v>
      </c>
      <c r="UV114" s="12" t="s">
        <v>37</v>
      </c>
      <c r="UW114" s="12" t="s">
        <v>37</v>
      </c>
      <c r="UX114" s="12"/>
      <c r="UY114" s="12"/>
      <c r="VB114" s="12" t="s">
        <v>37</v>
      </c>
      <c r="VC114" s="12" t="s">
        <v>37</v>
      </c>
      <c r="VD114" s="12" t="s">
        <v>37</v>
      </c>
      <c r="VE114" s="12" t="s">
        <v>37</v>
      </c>
      <c r="VF114" s="12" t="s">
        <v>37</v>
      </c>
      <c r="VG114" s="12" t="s">
        <v>37</v>
      </c>
      <c r="VI114" s="12" t="s">
        <v>37</v>
      </c>
      <c r="VJ114" s="12" t="s">
        <v>37</v>
      </c>
      <c r="VK114" s="12" t="s">
        <v>37</v>
      </c>
      <c r="VL114" s="12" t="s">
        <v>37</v>
      </c>
      <c r="VM114" s="12" t="s">
        <v>37</v>
      </c>
      <c r="VN114" s="12" t="s">
        <v>37</v>
      </c>
      <c r="VQ114" s="13" t="s">
        <v>37</v>
      </c>
      <c r="VR114" s="13" t="s">
        <v>37</v>
      </c>
      <c r="VS114" s="13" t="s">
        <v>37</v>
      </c>
      <c r="VT114" s="13" t="s">
        <v>37</v>
      </c>
      <c r="VU114" s="13" t="s">
        <v>37</v>
      </c>
      <c r="VV114" s="13" t="s">
        <v>37</v>
      </c>
      <c r="WA114" s="13" t="s">
        <v>37</v>
      </c>
      <c r="WB114" s="13" t="s">
        <v>37</v>
      </c>
      <c r="WC114" s="13" t="s">
        <v>37</v>
      </c>
      <c r="WD114" s="13" t="s">
        <v>37</v>
      </c>
      <c r="WE114" s="13" t="s">
        <v>37</v>
      </c>
      <c r="WF114" s="13" t="s">
        <v>37</v>
      </c>
    </row>
    <row r="115" spans="1:604" ht="18" customHeight="1" x14ac:dyDescent="0.3">
      <c r="A115" s="11">
        <v>28</v>
      </c>
      <c r="B115" s="16" t="s">
        <v>176</v>
      </c>
      <c r="C115" s="12" t="s">
        <v>26</v>
      </c>
      <c r="D115" s="12" t="s">
        <v>119</v>
      </c>
      <c r="E115" s="40" t="s">
        <v>37</v>
      </c>
      <c r="F115" s="14">
        <v>0</v>
      </c>
      <c r="G115" s="14">
        <v>0</v>
      </c>
      <c r="H115" s="12" t="s">
        <v>82</v>
      </c>
      <c r="I115" s="29">
        <v>48.16</v>
      </c>
      <c r="J115" s="29">
        <v>-98.44</v>
      </c>
      <c r="K115" s="12" t="s">
        <v>188</v>
      </c>
      <c r="L115" s="12" t="s">
        <v>189</v>
      </c>
      <c r="M115" s="13" t="s">
        <v>37</v>
      </c>
      <c r="N115" s="14">
        <v>19</v>
      </c>
      <c r="O115" s="14">
        <v>380</v>
      </c>
      <c r="P115" s="14" t="s">
        <v>16</v>
      </c>
      <c r="Q115" s="75">
        <v>8</v>
      </c>
      <c r="R115" s="11" t="s">
        <v>999</v>
      </c>
      <c r="S115" s="12" t="s">
        <v>37</v>
      </c>
      <c r="T115" s="12" t="s">
        <v>138</v>
      </c>
      <c r="U115" s="12" t="s">
        <v>158</v>
      </c>
      <c r="V115" s="12" t="s">
        <v>275</v>
      </c>
      <c r="W115" s="23" t="s">
        <v>37</v>
      </c>
      <c r="X115" s="12" t="s">
        <v>37</v>
      </c>
      <c r="Y115" s="12" t="s">
        <v>69</v>
      </c>
      <c r="Z115" s="12" t="s">
        <v>37</v>
      </c>
      <c r="AB115" s="12" t="s">
        <v>37</v>
      </c>
      <c r="AC115" s="12" t="s">
        <v>42</v>
      </c>
      <c r="AD115" s="32" t="s">
        <v>327</v>
      </c>
      <c r="AE115" s="12">
        <f t="shared" si="422"/>
        <v>97.177304964539019</v>
      </c>
      <c r="AF115" s="12" t="s">
        <v>42</v>
      </c>
      <c r="AG115" s="32" t="s">
        <v>327</v>
      </c>
      <c r="AH115" s="12">
        <f t="shared" si="423"/>
        <v>8.9078014184397176</v>
      </c>
      <c r="AJ115" s="12" t="str">
        <f t="shared" si="356"/>
        <v>0-15</v>
      </c>
      <c r="AK115" s="19">
        <f t="shared" si="357"/>
        <v>10.909235668789808</v>
      </c>
      <c r="AL115" s="32" t="s">
        <v>181</v>
      </c>
      <c r="AM115" s="54" t="s">
        <v>317</v>
      </c>
      <c r="AN115" s="32" t="s">
        <v>886</v>
      </c>
      <c r="AO115" s="12" t="s">
        <v>37</v>
      </c>
      <c r="AP115" s="12" t="s">
        <v>108</v>
      </c>
      <c r="AQ115" s="12" t="s">
        <v>975</v>
      </c>
      <c r="AR115" s="12" t="s">
        <v>42</v>
      </c>
      <c r="AS115" s="32" t="s">
        <v>327</v>
      </c>
      <c r="AT115" s="12">
        <f t="shared" si="424"/>
        <v>97.177304964539019</v>
      </c>
      <c r="AU115" s="12">
        <f t="shared" si="425"/>
        <v>1.4478677078300162E-2</v>
      </c>
      <c r="AV115" s="13">
        <v>3</v>
      </c>
      <c r="AW115" s="52">
        <f t="shared" si="426"/>
        <v>1.4899237104366682E-4</v>
      </c>
      <c r="AX115" s="12">
        <f t="shared" si="427"/>
        <v>64.661691542288551</v>
      </c>
      <c r="AY115" s="12">
        <f t="shared" si="428"/>
        <v>8.2315666186958056E-3</v>
      </c>
      <c r="AZ115" s="13">
        <v>3</v>
      </c>
      <c r="BA115" s="52">
        <f t="shared" si="397"/>
        <v>1.2730206127243649E-4</v>
      </c>
      <c r="BB115" s="52">
        <f t="shared" si="360"/>
        <v>-0.40736826366216361</v>
      </c>
      <c r="BC115" s="19">
        <f t="shared" si="361"/>
        <v>1.2801513811141618E-8</v>
      </c>
      <c r="BE115" s="12" t="s">
        <v>326</v>
      </c>
      <c r="BF115" s="12" t="s">
        <v>326</v>
      </c>
      <c r="BG115" s="12" t="s">
        <v>326</v>
      </c>
      <c r="BI115" s="12" t="s">
        <v>326</v>
      </c>
      <c r="BJ115" s="12" t="s">
        <v>326</v>
      </c>
      <c r="BK115" s="12" t="s">
        <v>326</v>
      </c>
      <c r="BP115" s="12" t="s">
        <v>37</v>
      </c>
      <c r="BQ115" s="12" t="s">
        <v>37</v>
      </c>
      <c r="BR115" s="13" t="s">
        <v>37</v>
      </c>
      <c r="BT115" s="12" t="s">
        <v>37</v>
      </c>
      <c r="BU115" s="12" t="s">
        <v>37</v>
      </c>
      <c r="BV115" s="12" t="s">
        <v>37</v>
      </c>
      <c r="CA115" s="12" t="s">
        <v>37</v>
      </c>
      <c r="CB115" s="12" t="s">
        <v>37</v>
      </c>
      <c r="CC115" s="13" t="s">
        <v>37</v>
      </c>
      <c r="CE115" s="12" t="s">
        <v>37</v>
      </c>
      <c r="CF115" s="12" t="s">
        <v>37</v>
      </c>
      <c r="CG115" s="13" t="s">
        <v>37</v>
      </c>
      <c r="CJ115" s="12"/>
      <c r="CN115" s="12" t="s">
        <v>37</v>
      </c>
      <c r="CO115" s="12" t="s">
        <v>37</v>
      </c>
      <c r="CP115" s="13" t="s">
        <v>37</v>
      </c>
      <c r="CR115" s="12" t="s">
        <v>37</v>
      </c>
      <c r="CS115" s="12" t="s">
        <v>37</v>
      </c>
      <c r="CT115" s="13" t="s">
        <v>37</v>
      </c>
      <c r="CX115" s="72"/>
      <c r="CY115" s="72"/>
      <c r="DA115" s="12" t="s">
        <v>37</v>
      </c>
      <c r="DB115" s="12" t="s">
        <v>37</v>
      </c>
      <c r="DC115" s="13" t="s">
        <v>37</v>
      </c>
      <c r="DE115" s="12" t="s">
        <v>37</v>
      </c>
      <c r="DF115" s="12" t="s">
        <v>37</v>
      </c>
      <c r="DG115" s="13" t="s">
        <v>37</v>
      </c>
      <c r="DM115" s="15"/>
      <c r="DO115" s="108"/>
      <c r="DP115" s="72"/>
      <c r="DS115" s="108"/>
      <c r="DT115" s="72"/>
      <c r="DX115" s="19"/>
      <c r="DY115" s="19"/>
      <c r="DZ115" s="12" t="s">
        <v>47</v>
      </c>
      <c r="EA115" s="19">
        <f>0.03*("2008/10/31"-"2008/04/01")/("2008/08/22"-"2008/04/02")*10^4/10^3/'[3]classess-1'!$I$4</f>
        <v>0.58480172493239913</v>
      </c>
      <c r="EB115" s="50">
        <f t="shared" si="364"/>
        <v>3.3625964575635288</v>
      </c>
      <c r="EC115" s="72">
        <v>3</v>
      </c>
      <c r="EE115" s="19">
        <f>0.11*("2008/10/31"-"2008/04/01")/("2008/08/22"-"2008/04/02")*10^4/10^3/'[3]classess-1'!$I$5</f>
        <v>2.8250547138481497</v>
      </c>
      <c r="EF115" s="50">
        <f t="shared" si="365"/>
        <v>4.2182004486135707</v>
      </c>
      <c r="EG115" s="13">
        <v>3</v>
      </c>
      <c r="EI115" s="19">
        <f t="shared" si="429"/>
        <v>2.2402529889157505</v>
      </c>
      <c r="EJ115" s="12">
        <f t="shared" si="366"/>
        <v>3.8144639178462887</v>
      </c>
      <c r="EK115" s="19">
        <f t="shared" si="367"/>
        <v>9.7000899870341719</v>
      </c>
      <c r="EL115" s="19">
        <f t="shared" si="368"/>
        <v>9.7000899870341737</v>
      </c>
      <c r="EM115" s="12" t="s">
        <v>39</v>
      </c>
      <c r="EN115" s="12">
        <v>8</v>
      </c>
      <c r="EO115" s="50">
        <f t="shared" si="398"/>
        <v>3.2599711900103467</v>
      </c>
      <c r="EP115" s="13">
        <v>3</v>
      </c>
      <c r="ER115" s="12">
        <v>-30</v>
      </c>
      <c r="ES115" s="50">
        <f t="shared" si="399"/>
        <v>6.8044216052758255</v>
      </c>
      <c r="ET115" s="13">
        <v>3</v>
      </c>
      <c r="EV115" s="19">
        <f t="shared" si="400"/>
        <v>-38</v>
      </c>
      <c r="EW115" s="12">
        <f t="shared" si="401"/>
        <v>5.3351459934120786</v>
      </c>
      <c r="EX115" s="19">
        <f t="shared" si="402"/>
        <v>18.975855180680639</v>
      </c>
      <c r="EY115" s="19">
        <f t="shared" si="403"/>
        <v>18.975855180680639</v>
      </c>
      <c r="FB115" s="12" t="s">
        <v>37</v>
      </c>
      <c r="FC115" s="12" t="s">
        <v>37</v>
      </c>
      <c r="FD115" s="11" t="s">
        <v>37</v>
      </c>
      <c r="FE115" s="12" t="s">
        <v>37</v>
      </c>
      <c r="FF115" s="20" t="s">
        <v>37</v>
      </c>
      <c r="FG115" s="11" t="s">
        <v>37</v>
      </c>
      <c r="FI115" s="12" t="s">
        <v>37</v>
      </c>
      <c r="FJ115" s="12" t="s">
        <v>37</v>
      </c>
      <c r="FK115" s="11" t="s">
        <v>37</v>
      </c>
      <c r="FL115" s="13" t="s">
        <v>37</v>
      </c>
      <c r="FM115" s="11" t="s">
        <v>37</v>
      </c>
      <c r="FN115" s="11" t="s">
        <v>37</v>
      </c>
      <c r="FP115" s="12" t="s">
        <v>37</v>
      </c>
      <c r="FQ115" s="12" t="s">
        <v>37</v>
      </c>
      <c r="FR115" s="11" t="s">
        <v>37</v>
      </c>
      <c r="FS115" s="13" t="s">
        <v>37</v>
      </c>
      <c r="FT115" s="11" t="s">
        <v>37</v>
      </c>
      <c r="FU115" s="11" t="s">
        <v>37</v>
      </c>
      <c r="FW115" s="12" t="s">
        <v>37</v>
      </c>
      <c r="FX115" s="12" t="s">
        <v>37</v>
      </c>
      <c r="FY115" s="11" t="s">
        <v>37</v>
      </c>
      <c r="FZ115" s="13" t="s">
        <v>37</v>
      </c>
      <c r="GA115" s="11" t="s">
        <v>37</v>
      </c>
      <c r="GB115" s="11" t="s">
        <v>37</v>
      </c>
      <c r="HA115" s="17" t="s">
        <v>63</v>
      </c>
      <c r="HB115" s="34" t="s">
        <v>327</v>
      </c>
      <c r="HC115" s="12">
        <v>0.94</v>
      </c>
      <c r="HD115" s="12">
        <f t="shared" si="430"/>
        <v>0.17320508075688773</v>
      </c>
      <c r="HE115" s="13">
        <v>3</v>
      </c>
      <c r="HF115" s="19">
        <f t="shared" si="404"/>
        <v>0.18426072420945505</v>
      </c>
      <c r="HG115" s="12">
        <v>1.34</v>
      </c>
      <c r="HH115" s="12">
        <f t="shared" si="431"/>
        <v>8.6602540378443865E-2</v>
      </c>
      <c r="HI115" s="13">
        <v>3</v>
      </c>
      <c r="HJ115" s="19">
        <f t="shared" si="405"/>
        <v>6.4628761476450636E-2</v>
      </c>
      <c r="HK115" s="19">
        <f t="shared" si="375"/>
        <v>0.35454501768090757</v>
      </c>
      <c r="HL115" s="19">
        <f t="shared" si="376"/>
        <v>1.2709630432057601E-2</v>
      </c>
      <c r="IK115" s="12" t="s">
        <v>37</v>
      </c>
      <c r="IL115" s="12" t="s">
        <v>37</v>
      </c>
      <c r="IM115" s="12" t="s">
        <v>37</v>
      </c>
      <c r="IO115" s="12" t="s">
        <v>37</v>
      </c>
      <c r="IP115" s="12" t="s">
        <v>37</v>
      </c>
      <c r="IQ115" s="12" t="s">
        <v>37</v>
      </c>
      <c r="IW115" s="12" t="s">
        <v>37</v>
      </c>
      <c r="IX115" s="12" t="s">
        <v>37</v>
      </c>
      <c r="IY115" s="13" t="s">
        <v>37</v>
      </c>
      <c r="JA115" s="12" t="s">
        <v>37</v>
      </c>
      <c r="JB115" s="12" t="s">
        <v>37</v>
      </c>
      <c r="JC115" s="13" t="s">
        <v>37</v>
      </c>
      <c r="JH115" s="12" t="s">
        <v>37</v>
      </c>
      <c r="JI115" s="12" t="s">
        <v>37</v>
      </c>
      <c r="JJ115" s="13" t="s">
        <v>37</v>
      </c>
      <c r="JL115" s="12" t="s">
        <v>37</v>
      </c>
      <c r="JM115" s="12" t="s">
        <v>37</v>
      </c>
      <c r="JN115" s="12" t="s">
        <v>37</v>
      </c>
      <c r="JS115" s="12" t="s">
        <v>37</v>
      </c>
      <c r="JT115" s="12" t="s">
        <v>37</v>
      </c>
      <c r="JU115" s="13" t="s">
        <v>37</v>
      </c>
      <c r="JW115" s="12" t="s">
        <v>37</v>
      </c>
      <c r="JX115" s="12" t="s">
        <v>37</v>
      </c>
      <c r="JY115" s="12" t="s">
        <v>37</v>
      </c>
      <c r="KE115" s="11" t="s">
        <v>37</v>
      </c>
      <c r="KF115" s="11" t="s">
        <v>37</v>
      </c>
      <c r="KG115" s="13" t="s">
        <v>37</v>
      </c>
      <c r="KH115" s="11" t="s">
        <v>37</v>
      </c>
      <c r="KI115" s="11" t="s">
        <v>37</v>
      </c>
      <c r="KJ115" s="11" t="s">
        <v>37</v>
      </c>
      <c r="KK115" s="12" t="s">
        <v>42</v>
      </c>
      <c r="KL115" s="32" t="s">
        <v>327</v>
      </c>
      <c r="KM115" s="12">
        <f t="shared" si="432"/>
        <v>8.9078014184397176</v>
      </c>
      <c r="KN115" s="12">
        <f t="shared" si="433"/>
        <v>1.2732753871073053E-3</v>
      </c>
      <c r="KO115" s="11">
        <v>3</v>
      </c>
      <c r="KP115" s="19">
        <f t="shared" si="406"/>
        <v>1.4293935476284239E-4</v>
      </c>
      <c r="KQ115" s="12">
        <f t="shared" si="434"/>
        <v>6.522388059701492</v>
      </c>
      <c r="KR115" s="12">
        <f t="shared" si="435"/>
        <v>8.8047041385840691E-4</v>
      </c>
      <c r="KS115" s="13">
        <v>3</v>
      </c>
      <c r="KT115" s="19">
        <f t="shared" si="407"/>
        <v>1.3499203141536216E-4</v>
      </c>
      <c r="KU115" s="19">
        <f t="shared" si="382"/>
        <v>-0.3116868809453518</v>
      </c>
      <c r="KV115" s="19">
        <f t="shared" si="383"/>
        <v>1.288483589522128E-8</v>
      </c>
      <c r="KX115" s="12" t="s">
        <v>37</v>
      </c>
      <c r="KY115" s="12" t="s">
        <v>37</v>
      </c>
      <c r="KZ115" s="13" t="s">
        <v>37</v>
      </c>
      <c r="LB115" s="12" t="s">
        <v>37</v>
      </c>
      <c r="LC115" s="12" t="s">
        <v>37</v>
      </c>
      <c r="LD115" s="13" t="s">
        <v>37</v>
      </c>
      <c r="LI115" s="12" t="s">
        <v>37</v>
      </c>
      <c r="LJ115" s="12" t="s">
        <v>37</v>
      </c>
      <c r="LK115" s="12" t="s">
        <v>37</v>
      </c>
      <c r="LM115" s="12" t="s">
        <v>37</v>
      </c>
      <c r="LN115" s="12" t="s">
        <v>37</v>
      </c>
      <c r="LO115" s="12" t="s">
        <v>37</v>
      </c>
      <c r="LT115" s="12" t="str">
        <f t="shared" si="408"/>
        <v>0-15</v>
      </c>
      <c r="LU115" s="12">
        <f t="shared" si="385"/>
        <v>10.909235668789808</v>
      </c>
      <c r="LV115" s="29">
        <f t="shared" si="386"/>
        <v>2.2524437547250739E-3</v>
      </c>
      <c r="LW115" s="13">
        <f t="shared" si="409"/>
        <v>3</v>
      </c>
      <c r="LX115" s="19">
        <f t="shared" si="410"/>
        <v>2.0647127105055416E-4</v>
      </c>
      <c r="LY115" s="12">
        <f t="shared" si="388"/>
        <v>9.9138062547673531</v>
      </c>
      <c r="LZ115" s="29">
        <f t="shared" si="389"/>
        <v>1.8395030332211018E-3</v>
      </c>
      <c r="MA115" s="13">
        <f t="shared" si="411"/>
        <v>3</v>
      </c>
      <c r="MB115" s="19">
        <f t="shared" si="412"/>
        <v>1.8554962503292025E-4</v>
      </c>
      <c r="MC115" s="19">
        <f t="shared" si="391"/>
        <v>-9.568138271681173E-2</v>
      </c>
      <c r="MD115" s="19">
        <f t="shared" si="392"/>
        <v>2.5686349706362901E-8</v>
      </c>
      <c r="MF115" s="12" t="s">
        <v>37</v>
      </c>
      <c r="MG115" s="12" t="s">
        <v>37</v>
      </c>
      <c r="MH115" s="12" t="s">
        <v>37</v>
      </c>
      <c r="MJ115" s="12" t="s">
        <v>37</v>
      </c>
      <c r="MK115" s="12" t="s">
        <v>37</v>
      </c>
      <c r="ML115" s="12" t="s">
        <v>37</v>
      </c>
      <c r="MQ115" s="12" t="s">
        <v>37</v>
      </c>
      <c r="MR115" s="12" t="s">
        <v>37</v>
      </c>
      <c r="MS115" s="12" t="s">
        <v>37</v>
      </c>
      <c r="MU115" s="12" t="s">
        <v>37</v>
      </c>
      <c r="MV115" s="12" t="s">
        <v>37</v>
      </c>
      <c r="MW115" s="12" t="s">
        <v>37</v>
      </c>
      <c r="NA115" s="12" t="s">
        <v>177</v>
      </c>
      <c r="NB115" s="12" t="s">
        <v>327</v>
      </c>
      <c r="NC115" s="12">
        <v>0.02</v>
      </c>
      <c r="ND115" s="12">
        <f t="shared" si="436"/>
        <v>1.7320508075688772E-3</v>
      </c>
      <c r="NE115" s="13">
        <v>3</v>
      </c>
      <c r="NF115" s="19">
        <f t="shared" si="413"/>
        <v>8.6602540378443851E-2</v>
      </c>
      <c r="NG115" s="12">
        <v>0.01</v>
      </c>
      <c r="NH115" s="12">
        <f t="shared" si="437"/>
        <v>1.7320508075688772E-3</v>
      </c>
      <c r="NI115" s="13">
        <v>3</v>
      </c>
      <c r="NJ115" s="19">
        <f t="shared" si="414"/>
        <v>0.1732050807568877</v>
      </c>
      <c r="NK115" s="19">
        <f t="shared" si="415"/>
        <v>-0.69314718055994529</v>
      </c>
      <c r="NL115" s="19">
        <f t="shared" si="438"/>
        <v>1.2499999999999997E-2</v>
      </c>
      <c r="NM115" s="12" t="s">
        <v>177</v>
      </c>
      <c r="NN115" s="12" t="s">
        <v>327</v>
      </c>
      <c r="NO115" s="12">
        <v>0.02</v>
      </c>
      <c r="NP115" s="12">
        <f t="shared" si="439"/>
        <v>1.7320508075688773E-2</v>
      </c>
      <c r="NQ115" s="13">
        <v>3</v>
      </c>
      <c r="NR115" s="19">
        <f t="shared" si="440"/>
        <v>0.8660254037844386</v>
      </c>
      <c r="NS115" s="12">
        <v>0.05</v>
      </c>
      <c r="NT115" s="12">
        <f t="shared" si="441"/>
        <v>1.7320508075688773E-2</v>
      </c>
      <c r="NU115" s="13">
        <v>3</v>
      </c>
      <c r="NV115" s="19">
        <f t="shared" si="442"/>
        <v>0.34641016151377546</v>
      </c>
      <c r="NW115" s="19">
        <f t="shared" si="417"/>
        <v>0.91629073187415511</v>
      </c>
      <c r="NX115" s="19">
        <f t="shared" si="418"/>
        <v>0.28999999999999998</v>
      </c>
      <c r="OA115" s="11" t="s">
        <v>37</v>
      </c>
      <c r="OB115" s="11" t="s">
        <v>37</v>
      </c>
      <c r="OC115" s="13" t="s">
        <v>37</v>
      </c>
      <c r="OE115" s="11" t="s">
        <v>37</v>
      </c>
      <c r="OF115" s="11" t="s">
        <v>37</v>
      </c>
      <c r="OG115" s="13" t="s">
        <v>37</v>
      </c>
      <c r="OM115" s="11" t="s">
        <v>37</v>
      </c>
      <c r="ON115" s="11" t="s">
        <v>37</v>
      </c>
      <c r="OO115" s="11" t="s">
        <v>37</v>
      </c>
      <c r="OP115" s="11" t="s">
        <v>37</v>
      </c>
      <c r="OQ115" s="11" t="s">
        <v>37</v>
      </c>
      <c r="OR115" s="11" t="s">
        <v>37</v>
      </c>
      <c r="OW115" s="12" t="s">
        <v>37</v>
      </c>
      <c r="OX115" s="12" t="s">
        <v>37</v>
      </c>
      <c r="OY115" s="13" t="s">
        <v>37</v>
      </c>
      <c r="OZ115" s="12" t="s">
        <v>37</v>
      </c>
      <c r="PA115" s="12" t="s">
        <v>37</v>
      </c>
      <c r="PB115" s="13" t="s">
        <v>37</v>
      </c>
      <c r="PG115" s="11" t="s">
        <v>37</v>
      </c>
      <c r="PH115" s="11" t="s">
        <v>37</v>
      </c>
      <c r="PI115" s="13" t="s">
        <v>37</v>
      </c>
      <c r="PJ115" s="11" t="s">
        <v>37</v>
      </c>
      <c r="PK115" s="11" t="s">
        <v>37</v>
      </c>
      <c r="PL115" s="13" t="s">
        <v>37</v>
      </c>
      <c r="PQ115" s="12" t="s">
        <v>37</v>
      </c>
      <c r="PR115" s="12" t="s">
        <v>37</v>
      </c>
      <c r="PS115" s="12" t="s">
        <v>37</v>
      </c>
      <c r="PT115" s="12" t="s">
        <v>37</v>
      </c>
      <c r="PU115" s="12" t="s">
        <v>37</v>
      </c>
      <c r="PV115" s="12" t="s">
        <v>37</v>
      </c>
      <c r="PW115" s="12"/>
      <c r="PX115" s="12"/>
      <c r="PZ115" s="12" t="s">
        <v>37</v>
      </c>
      <c r="QA115" s="12" t="s">
        <v>37</v>
      </c>
      <c r="QB115" s="11" t="s">
        <v>37</v>
      </c>
      <c r="QD115" s="12" t="s">
        <v>37</v>
      </c>
      <c r="QE115" s="12" t="s">
        <v>37</v>
      </c>
      <c r="QF115" s="12" t="s">
        <v>37</v>
      </c>
      <c r="QK115" s="12" t="s">
        <v>37</v>
      </c>
      <c r="QL115" s="12" t="s">
        <v>37</v>
      </c>
      <c r="QM115" s="12" t="s">
        <v>37</v>
      </c>
      <c r="QN115" s="12" t="s">
        <v>37</v>
      </c>
      <c r="QO115" s="12" t="s">
        <v>37</v>
      </c>
      <c r="QP115" s="12" t="s">
        <v>37</v>
      </c>
      <c r="QQ115" s="12"/>
      <c r="QR115" s="12"/>
      <c r="QU115" s="11" t="s">
        <v>37</v>
      </c>
      <c r="QV115" s="11" t="s">
        <v>37</v>
      </c>
      <c r="QW115" s="13" t="s">
        <v>37</v>
      </c>
      <c r="QX115" s="11" t="s">
        <v>37</v>
      </c>
      <c r="QY115" s="11" t="s">
        <v>37</v>
      </c>
      <c r="QZ115" s="13" t="s">
        <v>37</v>
      </c>
      <c r="RC115" s="12" t="s">
        <v>37</v>
      </c>
      <c r="RD115" s="12" t="s">
        <v>37</v>
      </c>
      <c r="RE115" s="13" t="s">
        <v>37</v>
      </c>
      <c r="RF115" s="12" t="s">
        <v>37</v>
      </c>
      <c r="RG115" s="12" t="s">
        <v>37</v>
      </c>
      <c r="RH115" s="13" t="s">
        <v>37</v>
      </c>
      <c r="RK115" s="11" t="s">
        <v>37</v>
      </c>
      <c r="RL115" s="11" t="s">
        <v>37</v>
      </c>
      <c r="RM115" s="11" t="s">
        <v>37</v>
      </c>
      <c r="RN115" s="11" t="s">
        <v>37</v>
      </c>
      <c r="RO115" s="11" t="s">
        <v>37</v>
      </c>
      <c r="RP115" s="11" t="s">
        <v>37</v>
      </c>
      <c r="RS115" s="11" t="s">
        <v>37</v>
      </c>
      <c r="RT115" s="11" t="s">
        <v>37</v>
      </c>
      <c r="RU115" s="11" t="s">
        <v>37</v>
      </c>
      <c r="RV115" s="11" t="s">
        <v>37</v>
      </c>
      <c r="RW115" s="11" t="s">
        <v>37</v>
      </c>
      <c r="RX115" s="11" t="s">
        <v>37</v>
      </c>
      <c r="SA115" s="11" t="s">
        <v>37</v>
      </c>
      <c r="SB115" s="11" t="s">
        <v>37</v>
      </c>
      <c r="SC115" s="13" t="s">
        <v>37</v>
      </c>
      <c r="SD115" s="11" t="s">
        <v>37</v>
      </c>
      <c r="SE115" s="11" t="s">
        <v>37</v>
      </c>
      <c r="SF115" s="13" t="s">
        <v>37</v>
      </c>
      <c r="SG115" s="12" t="s">
        <v>177</v>
      </c>
      <c r="SH115" s="12" t="s">
        <v>327</v>
      </c>
      <c r="SI115" s="12">
        <v>0.06</v>
      </c>
      <c r="SJ115" s="12">
        <f t="shared" si="443"/>
        <v>1.7320508075688773E-2</v>
      </c>
      <c r="SK115" s="13">
        <v>3</v>
      </c>
      <c r="SL115" s="19">
        <f t="shared" si="419"/>
        <v>0.28867513459481292</v>
      </c>
      <c r="SM115" s="12">
        <v>0.15</v>
      </c>
      <c r="SN115" s="12">
        <f t="shared" si="444"/>
        <v>5.1961524227066312E-2</v>
      </c>
      <c r="SO115" s="13">
        <v>3</v>
      </c>
      <c r="SP115" s="19">
        <f t="shared" si="445"/>
        <v>0.34641016151377541</v>
      </c>
      <c r="SQ115" s="19">
        <f t="shared" si="420"/>
        <v>0.91629073187415511</v>
      </c>
      <c r="SR115" s="19">
        <f t="shared" si="421"/>
        <v>6.777777777777777E-2</v>
      </c>
      <c r="SU115" s="12" t="s">
        <v>37</v>
      </c>
      <c r="SV115" s="12" t="s">
        <v>37</v>
      </c>
      <c r="SW115" s="11" t="s">
        <v>37</v>
      </c>
      <c r="SX115" s="12" t="s">
        <v>37</v>
      </c>
      <c r="SY115" s="12" t="s">
        <v>37</v>
      </c>
      <c r="SZ115" s="11" t="s">
        <v>37</v>
      </c>
      <c r="TE115" s="12" t="s">
        <v>37</v>
      </c>
      <c r="TF115" s="12" t="s">
        <v>37</v>
      </c>
      <c r="TG115" s="11" t="s">
        <v>37</v>
      </c>
      <c r="TH115" s="12" t="s">
        <v>37</v>
      </c>
      <c r="TI115" s="12" t="s">
        <v>37</v>
      </c>
      <c r="TJ115" s="11" t="s">
        <v>37</v>
      </c>
      <c r="TO115" s="12" t="s">
        <v>37</v>
      </c>
      <c r="TP115" s="12" t="s">
        <v>37</v>
      </c>
      <c r="TQ115" s="11" t="s">
        <v>37</v>
      </c>
      <c r="TR115" s="12" t="s">
        <v>37</v>
      </c>
      <c r="TS115" s="12" t="s">
        <v>37</v>
      </c>
      <c r="TT115" s="11" t="s">
        <v>37</v>
      </c>
      <c r="TY115" s="12" t="s">
        <v>37</v>
      </c>
      <c r="TZ115" s="12" t="s">
        <v>37</v>
      </c>
      <c r="UA115" s="12" t="s">
        <v>37</v>
      </c>
      <c r="UB115" s="12" t="s">
        <v>37</v>
      </c>
      <c r="UC115" s="12" t="s">
        <v>37</v>
      </c>
      <c r="UD115" s="12" t="s">
        <v>37</v>
      </c>
      <c r="UE115" s="12"/>
      <c r="UF115" s="12"/>
      <c r="UI115" s="12" t="s">
        <v>37</v>
      </c>
      <c r="UJ115" s="12" t="s">
        <v>37</v>
      </c>
      <c r="UK115" s="12" t="s">
        <v>37</v>
      </c>
      <c r="UL115" s="12" t="s">
        <v>37</v>
      </c>
      <c r="UM115" s="12" t="s">
        <v>37</v>
      </c>
      <c r="UN115" s="12" t="s">
        <v>37</v>
      </c>
      <c r="UO115" s="12"/>
      <c r="UP115" s="12"/>
      <c r="UR115" s="12" t="s">
        <v>37</v>
      </c>
      <c r="US115" s="12" t="s">
        <v>37</v>
      </c>
      <c r="UT115" s="12" t="s">
        <v>37</v>
      </c>
      <c r="UU115" s="12" t="s">
        <v>37</v>
      </c>
      <c r="UV115" s="12" t="s">
        <v>37</v>
      </c>
      <c r="UW115" s="12" t="s">
        <v>37</v>
      </c>
      <c r="UX115" s="12"/>
      <c r="UY115" s="12"/>
      <c r="VB115" s="12" t="s">
        <v>37</v>
      </c>
      <c r="VC115" s="12" t="s">
        <v>37</v>
      </c>
      <c r="VD115" s="12" t="s">
        <v>37</v>
      </c>
      <c r="VE115" s="12" t="s">
        <v>37</v>
      </c>
      <c r="VF115" s="12" t="s">
        <v>37</v>
      </c>
      <c r="VG115" s="12" t="s">
        <v>37</v>
      </c>
      <c r="VI115" s="12" t="s">
        <v>37</v>
      </c>
      <c r="VJ115" s="12" t="s">
        <v>37</v>
      </c>
      <c r="VK115" s="12" t="s">
        <v>37</v>
      </c>
      <c r="VL115" s="12" t="s">
        <v>37</v>
      </c>
      <c r="VM115" s="12" t="s">
        <v>37</v>
      </c>
      <c r="VN115" s="12" t="s">
        <v>37</v>
      </c>
      <c r="VQ115" s="13" t="s">
        <v>37</v>
      </c>
      <c r="VR115" s="13" t="s">
        <v>37</v>
      </c>
      <c r="VS115" s="13" t="s">
        <v>37</v>
      </c>
      <c r="VT115" s="13" t="s">
        <v>37</v>
      </c>
      <c r="VU115" s="13" t="s">
        <v>37</v>
      </c>
      <c r="VV115" s="13" t="s">
        <v>37</v>
      </c>
      <c r="WA115" s="13" t="s">
        <v>37</v>
      </c>
      <c r="WB115" s="13" t="s">
        <v>37</v>
      </c>
      <c r="WC115" s="13" t="s">
        <v>37</v>
      </c>
      <c r="WD115" s="13" t="s">
        <v>37</v>
      </c>
      <c r="WE115" s="13" t="s">
        <v>37</v>
      </c>
      <c r="WF115" s="13" t="s">
        <v>37</v>
      </c>
    </row>
    <row r="116" spans="1:604" ht="18" customHeight="1" x14ac:dyDescent="0.3">
      <c r="A116" s="11">
        <v>28</v>
      </c>
      <c r="B116" s="16" t="s">
        <v>176</v>
      </c>
      <c r="C116" s="12" t="s">
        <v>26</v>
      </c>
      <c r="D116" s="12" t="s">
        <v>119</v>
      </c>
      <c r="E116" s="40" t="s">
        <v>37</v>
      </c>
      <c r="F116" s="14">
        <v>0</v>
      </c>
      <c r="G116" s="14">
        <v>0</v>
      </c>
      <c r="H116" s="12" t="s">
        <v>82</v>
      </c>
      <c r="I116" s="29">
        <v>47.7</v>
      </c>
      <c r="J116" s="29">
        <v>-99.15</v>
      </c>
      <c r="K116" s="12" t="s">
        <v>190</v>
      </c>
      <c r="L116" s="12" t="s">
        <v>191</v>
      </c>
      <c r="M116" s="13" t="s">
        <v>37</v>
      </c>
      <c r="N116" s="14">
        <v>19</v>
      </c>
      <c r="O116" s="14">
        <v>360</v>
      </c>
      <c r="P116" s="14" t="s">
        <v>16</v>
      </c>
      <c r="Q116" s="75">
        <v>3</v>
      </c>
      <c r="R116" s="11" t="s">
        <v>999</v>
      </c>
      <c r="S116" s="12" t="s">
        <v>37</v>
      </c>
      <c r="T116" s="12" t="s">
        <v>138</v>
      </c>
      <c r="U116" s="12" t="s">
        <v>158</v>
      </c>
      <c r="V116" s="12" t="s">
        <v>871</v>
      </c>
      <c r="W116" s="23" t="s">
        <v>37</v>
      </c>
      <c r="X116" s="12" t="s">
        <v>37</v>
      </c>
      <c r="Y116" s="12" t="s">
        <v>69</v>
      </c>
      <c r="Z116" s="12" t="s">
        <v>37</v>
      </c>
      <c r="AB116" s="12" t="s">
        <v>37</v>
      </c>
      <c r="AC116" s="12" t="s">
        <v>42</v>
      </c>
      <c r="AD116" s="32" t="s">
        <v>327</v>
      </c>
      <c r="AE116" s="12">
        <f>133.35*10^3/0.84/15/100</f>
        <v>105.83333333333334</v>
      </c>
      <c r="AF116" s="12" t="s">
        <v>42</v>
      </c>
      <c r="AG116" s="32" t="s">
        <v>327</v>
      </c>
      <c r="AH116" s="12">
        <f>12.44*10^3/0.84/15/100</f>
        <v>9.8730158730158717</v>
      </c>
      <c r="AJ116" s="12" t="str">
        <f t="shared" si="356"/>
        <v>0-15</v>
      </c>
      <c r="AK116" s="19">
        <f t="shared" si="357"/>
        <v>10.71945337620579</v>
      </c>
      <c r="AL116" s="32" t="s">
        <v>178</v>
      </c>
      <c r="AM116" s="54" t="s">
        <v>317</v>
      </c>
      <c r="AN116" s="32" t="s">
        <v>886</v>
      </c>
      <c r="AO116" s="12" t="s">
        <v>37</v>
      </c>
      <c r="AP116" s="12" t="s">
        <v>108</v>
      </c>
      <c r="AQ116" s="12" t="s">
        <v>975</v>
      </c>
      <c r="AR116" s="12" t="s">
        <v>42</v>
      </c>
      <c r="AS116" s="32" t="s">
        <v>327</v>
      </c>
      <c r="AT116" s="12">
        <f>133.35*10^3/0.84/15/100</f>
        <v>105.83333333333334</v>
      </c>
      <c r="AU116" s="12">
        <f>SQRT((1/(1500*0.84))^2*(10.89*SQRT(3))^2+(((-133.35*10^3)/(1500*0.84)^2))^2*(0.12*SQRT(3))^2)</f>
        <v>2.2997342020000547E-2</v>
      </c>
      <c r="AV116" s="13">
        <v>3</v>
      </c>
      <c r="AW116" s="52">
        <f t="shared" si="426"/>
        <v>2.1729771987402088E-4</v>
      </c>
      <c r="AX116" s="12">
        <f>155.85*10^3/1.11/15/100</f>
        <v>93.603603603603588</v>
      </c>
      <c r="AY116" s="12">
        <f>SQRT((1/(1500*1.11))^2*(3.31*SQRT(3))^2+(((-155.85*10^3)/(1500*1.11)^2))^2*(0.07*SQRT(3))^2)</f>
        <v>7.6364737602224427E-3</v>
      </c>
      <c r="AZ116" s="13">
        <v>3</v>
      </c>
      <c r="BA116" s="52">
        <f t="shared" si="397"/>
        <v>8.1583117168882704E-5</v>
      </c>
      <c r="BB116" s="52">
        <f t="shared" si="360"/>
        <v>-0.12279664688369792</v>
      </c>
      <c r="BC116" s="19">
        <f t="shared" si="361"/>
        <v>1.7958034689813364E-8</v>
      </c>
      <c r="BE116" s="12" t="s">
        <v>326</v>
      </c>
      <c r="BF116" s="12" t="s">
        <v>326</v>
      </c>
      <c r="BG116" s="12" t="s">
        <v>326</v>
      </c>
      <c r="BI116" s="12" t="s">
        <v>326</v>
      </c>
      <c r="BJ116" s="12" t="s">
        <v>326</v>
      </c>
      <c r="BK116" s="12" t="s">
        <v>326</v>
      </c>
      <c r="BP116" s="12" t="s">
        <v>37</v>
      </c>
      <c r="BQ116" s="12" t="s">
        <v>37</v>
      </c>
      <c r="BR116" s="13" t="s">
        <v>37</v>
      </c>
      <c r="BT116" s="12" t="s">
        <v>37</v>
      </c>
      <c r="BU116" s="12" t="s">
        <v>37</v>
      </c>
      <c r="BV116" s="12" t="s">
        <v>37</v>
      </c>
      <c r="CA116" s="12" t="s">
        <v>37</v>
      </c>
      <c r="CB116" s="12" t="s">
        <v>37</v>
      </c>
      <c r="CC116" s="13" t="s">
        <v>37</v>
      </c>
      <c r="CE116" s="12" t="s">
        <v>37</v>
      </c>
      <c r="CF116" s="12" t="s">
        <v>37</v>
      </c>
      <c r="CG116" s="13" t="s">
        <v>37</v>
      </c>
      <c r="CJ116" s="12"/>
      <c r="CN116" s="12" t="s">
        <v>37</v>
      </c>
      <c r="CO116" s="12" t="s">
        <v>37</v>
      </c>
      <c r="CP116" s="13" t="s">
        <v>37</v>
      </c>
      <c r="CR116" s="12" t="s">
        <v>37</v>
      </c>
      <c r="CS116" s="12" t="s">
        <v>37</v>
      </c>
      <c r="CT116" s="13" t="s">
        <v>37</v>
      </c>
      <c r="CX116" s="72"/>
      <c r="CY116" s="72"/>
      <c r="DA116" s="12" t="s">
        <v>37</v>
      </c>
      <c r="DB116" s="12" t="s">
        <v>37</v>
      </c>
      <c r="DC116" s="13" t="s">
        <v>37</v>
      </c>
      <c r="DE116" s="12" t="s">
        <v>37</v>
      </c>
      <c r="DF116" s="12" t="s">
        <v>37</v>
      </c>
      <c r="DG116" s="13" t="s">
        <v>37</v>
      </c>
      <c r="DM116" s="15"/>
      <c r="DO116" s="108"/>
      <c r="DP116" s="72"/>
      <c r="DS116" s="108"/>
      <c r="DT116" s="72"/>
      <c r="DX116" s="19"/>
      <c r="DY116" s="19"/>
      <c r="DZ116" s="12" t="s">
        <v>47</v>
      </c>
      <c r="EA116" s="19">
        <f>0.01*7/5*10^4/10^3/'[3]classess-1'!$I$6</f>
        <v>7.2261696923095198E-2</v>
      </c>
      <c r="EB116" s="50">
        <f t="shared" si="364"/>
        <v>0.41550309400885854</v>
      </c>
      <c r="EC116" s="72">
        <v>3</v>
      </c>
      <c r="EE116" s="19">
        <f>0.11*7/5*10^4/10^3/'[3]classess-1'!$I$7</f>
        <v>1.5614749500456337</v>
      </c>
      <c r="EF116" s="50">
        <f t="shared" si="365"/>
        <v>2.3314997414012506</v>
      </c>
      <c r="EG116" s="13">
        <v>3</v>
      </c>
      <c r="EI116" s="19">
        <f t="shared" si="429"/>
        <v>1.4892132531225386</v>
      </c>
      <c r="EJ116" s="12">
        <f t="shared" si="366"/>
        <v>1.6745945576892685</v>
      </c>
      <c r="EK116" s="19">
        <f t="shared" si="367"/>
        <v>1.8695112884283445</v>
      </c>
      <c r="EL116" s="19">
        <f t="shared" si="368"/>
        <v>1.8695112884283442</v>
      </c>
      <c r="EM116" s="12" t="s">
        <v>39</v>
      </c>
      <c r="EN116" s="12">
        <v>55</v>
      </c>
      <c r="EO116" s="50">
        <f t="shared" si="398"/>
        <v>22.412301931321135</v>
      </c>
      <c r="EP116" s="13">
        <v>3</v>
      </c>
      <c r="ER116" s="12">
        <v>-30</v>
      </c>
      <c r="ES116" s="50">
        <f t="shared" si="399"/>
        <v>6.8044216052758255</v>
      </c>
      <c r="ET116" s="13">
        <v>3</v>
      </c>
      <c r="EV116" s="19">
        <f t="shared" si="400"/>
        <v>-85</v>
      </c>
      <c r="EW116" s="12">
        <f t="shared" si="401"/>
        <v>16.562177260901503</v>
      </c>
      <c r="EX116" s="19">
        <f t="shared" si="402"/>
        <v>182.87047708101517</v>
      </c>
      <c r="EY116" s="19">
        <f t="shared" si="403"/>
        <v>182.87047708101517</v>
      </c>
      <c r="FB116" s="12" t="s">
        <v>37</v>
      </c>
      <c r="FC116" s="12" t="s">
        <v>37</v>
      </c>
      <c r="FD116" s="11" t="s">
        <v>37</v>
      </c>
      <c r="FE116" s="12" t="s">
        <v>37</v>
      </c>
      <c r="FF116" s="20" t="s">
        <v>37</v>
      </c>
      <c r="FG116" s="11" t="s">
        <v>37</v>
      </c>
      <c r="FI116" s="12" t="s">
        <v>37</v>
      </c>
      <c r="FJ116" s="12" t="s">
        <v>37</v>
      </c>
      <c r="FK116" s="11" t="s">
        <v>37</v>
      </c>
      <c r="FL116" s="13" t="s">
        <v>37</v>
      </c>
      <c r="FM116" s="11" t="s">
        <v>37</v>
      </c>
      <c r="FN116" s="11" t="s">
        <v>37</v>
      </c>
      <c r="FP116" s="12" t="s">
        <v>37</v>
      </c>
      <c r="FQ116" s="12" t="s">
        <v>37</v>
      </c>
      <c r="FR116" s="11" t="s">
        <v>37</v>
      </c>
      <c r="FS116" s="13" t="s">
        <v>37</v>
      </c>
      <c r="FT116" s="11" t="s">
        <v>37</v>
      </c>
      <c r="FU116" s="11" t="s">
        <v>37</v>
      </c>
      <c r="FW116" s="12" t="s">
        <v>37</v>
      </c>
      <c r="FX116" s="12" t="s">
        <v>37</v>
      </c>
      <c r="FY116" s="11" t="s">
        <v>37</v>
      </c>
      <c r="FZ116" s="13" t="s">
        <v>37</v>
      </c>
      <c r="GA116" s="11" t="s">
        <v>37</v>
      </c>
      <c r="GB116" s="11" t="s">
        <v>37</v>
      </c>
      <c r="HA116" s="17" t="s">
        <v>63</v>
      </c>
      <c r="HB116" s="34" t="s">
        <v>327</v>
      </c>
      <c r="HC116" s="12">
        <v>0.84</v>
      </c>
      <c r="HD116" s="12">
        <f>0.12*SQRT(3)</f>
        <v>0.20784609690826525</v>
      </c>
      <c r="HE116" s="13">
        <v>3</v>
      </c>
      <c r="HF116" s="19">
        <f t="shared" si="404"/>
        <v>0.24743582965269673</v>
      </c>
      <c r="HG116" s="12">
        <v>1.1100000000000001</v>
      </c>
      <c r="HH116" s="12">
        <f>0.07*SQRT(3)</f>
        <v>0.12124355652982141</v>
      </c>
      <c r="HI116" s="13">
        <v>3</v>
      </c>
      <c r="HJ116" s="19">
        <f t="shared" si="405"/>
        <v>0.1092284293061454</v>
      </c>
      <c r="HK116" s="19">
        <f t="shared" si="375"/>
        <v>0.27871340246902065</v>
      </c>
      <c r="HL116" s="19">
        <f t="shared" si="376"/>
        <v>2.4385113188201989E-2</v>
      </c>
      <c r="IK116" s="12" t="s">
        <v>37</v>
      </c>
      <c r="IL116" s="12" t="s">
        <v>37</v>
      </c>
      <c r="IM116" s="12" t="s">
        <v>37</v>
      </c>
      <c r="IO116" s="12" t="s">
        <v>37</v>
      </c>
      <c r="IP116" s="12" t="s">
        <v>37</v>
      </c>
      <c r="IQ116" s="12" t="s">
        <v>37</v>
      </c>
      <c r="IW116" s="12" t="s">
        <v>37</v>
      </c>
      <c r="IX116" s="12" t="s">
        <v>37</v>
      </c>
      <c r="IY116" s="13" t="s">
        <v>37</v>
      </c>
      <c r="JA116" s="12" t="s">
        <v>37</v>
      </c>
      <c r="JB116" s="12" t="s">
        <v>37</v>
      </c>
      <c r="JC116" s="13" t="s">
        <v>37</v>
      </c>
      <c r="JH116" s="12" t="s">
        <v>37</v>
      </c>
      <c r="JI116" s="12" t="s">
        <v>37</v>
      </c>
      <c r="JJ116" s="13" t="s">
        <v>37</v>
      </c>
      <c r="JL116" s="12" t="s">
        <v>37</v>
      </c>
      <c r="JM116" s="12" t="s">
        <v>37</v>
      </c>
      <c r="JN116" s="12" t="s">
        <v>37</v>
      </c>
      <c r="JS116" s="12" t="s">
        <v>37</v>
      </c>
      <c r="JT116" s="12" t="s">
        <v>37</v>
      </c>
      <c r="JU116" s="13" t="s">
        <v>37</v>
      </c>
      <c r="JW116" s="12" t="s">
        <v>37</v>
      </c>
      <c r="JX116" s="12" t="s">
        <v>37</v>
      </c>
      <c r="JY116" s="12" t="s">
        <v>37</v>
      </c>
      <c r="KE116" s="11" t="s">
        <v>37</v>
      </c>
      <c r="KF116" s="11" t="s">
        <v>37</v>
      </c>
      <c r="KG116" s="13" t="s">
        <v>37</v>
      </c>
      <c r="KH116" s="11" t="s">
        <v>37</v>
      </c>
      <c r="KI116" s="11" t="s">
        <v>37</v>
      </c>
      <c r="KJ116" s="11" t="s">
        <v>37</v>
      </c>
      <c r="KK116" s="12" t="s">
        <v>42</v>
      </c>
      <c r="KL116" s="32" t="s">
        <v>327</v>
      </c>
      <c r="KM116" s="12">
        <f>12.44*10^3/0.84/15/100</f>
        <v>9.8730158730158717</v>
      </c>
      <c r="KN116" s="12">
        <f>SQRT((1/(1500*0.97))^2*(0.97*SQRT(3))^2+(((-12.44*10^3)/(1500*0.84)^2))^2*(0.12*SQRT(3))^2)</f>
        <v>1.9964352069321424E-3</v>
      </c>
      <c r="KO116" s="11">
        <v>3</v>
      </c>
      <c r="KP116" s="19">
        <f t="shared" si="406"/>
        <v>2.0221128301724274E-4</v>
      </c>
      <c r="KQ116" s="12">
        <f>16.23*10^3/1.11/15/100</f>
        <v>9.7477477477477468</v>
      </c>
      <c r="KR116" s="12">
        <f>SQRT((1/(1500*1.11))^2*(0.5*SQRT(3))^2+(((-16.23*10^3)/(1500*1.11)^2))^2*(0.07*SQRT(3))^2)</f>
        <v>8.7999224783610419E-4</v>
      </c>
      <c r="KS116" s="13">
        <v>3</v>
      </c>
      <c r="KT116" s="19">
        <f t="shared" si="407"/>
        <v>9.0276469047881306E-5</v>
      </c>
      <c r="KU116" s="19">
        <f t="shared" si="382"/>
        <v>-1.2769108253553993E-2</v>
      </c>
      <c r="KV116" s="19">
        <f t="shared" si="383"/>
        <v>1.6346414614410839E-8</v>
      </c>
      <c r="KX116" s="12" t="s">
        <v>37</v>
      </c>
      <c r="KY116" s="12" t="s">
        <v>37</v>
      </c>
      <c r="KZ116" s="13" t="s">
        <v>37</v>
      </c>
      <c r="LB116" s="12" t="s">
        <v>37</v>
      </c>
      <c r="LC116" s="12" t="s">
        <v>37</v>
      </c>
      <c r="LD116" s="13" t="s">
        <v>37</v>
      </c>
      <c r="LI116" s="12" t="s">
        <v>37</v>
      </c>
      <c r="LJ116" s="12" t="s">
        <v>37</v>
      </c>
      <c r="LK116" s="12" t="s">
        <v>37</v>
      </c>
      <c r="LM116" s="12" t="s">
        <v>37</v>
      </c>
      <c r="LN116" s="12" t="s">
        <v>37</v>
      </c>
      <c r="LO116" s="12" t="s">
        <v>37</v>
      </c>
      <c r="LT116" s="12" t="str">
        <f t="shared" si="408"/>
        <v>0-15</v>
      </c>
      <c r="LU116" s="12">
        <f t="shared" si="385"/>
        <v>10.71945337620579</v>
      </c>
      <c r="LV116" s="29">
        <f t="shared" si="386"/>
        <v>3.1818490825917668E-3</v>
      </c>
      <c r="LW116" s="13">
        <f t="shared" si="409"/>
        <v>3</v>
      </c>
      <c r="LX116" s="19">
        <f t="shared" si="410"/>
        <v>2.9682941572884569E-4</v>
      </c>
      <c r="LY116" s="12">
        <f t="shared" si="388"/>
        <v>9.602587800369685</v>
      </c>
      <c r="LZ116" s="29">
        <f t="shared" si="389"/>
        <v>1.1684280262255905E-3</v>
      </c>
      <c r="MA116" s="13">
        <f t="shared" si="411"/>
        <v>3</v>
      </c>
      <c r="MB116" s="19">
        <f t="shared" si="412"/>
        <v>1.2167845277921935E-4</v>
      </c>
      <c r="MC116" s="19">
        <f t="shared" si="391"/>
        <v>-0.11002753863014396</v>
      </c>
      <c r="MD116" s="19">
        <f t="shared" si="392"/>
        <v>3.4304449304224206E-8</v>
      </c>
      <c r="MF116" s="12" t="s">
        <v>37</v>
      </c>
      <c r="MG116" s="12" t="s">
        <v>37</v>
      </c>
      <c r="MH116" s="12" t="s">
        <v>37</v>
      </c>
      <c r="MJ116" s="12" t="s">
        <v>37</v>
      </c>
      <c r="MK116" s="12" t="s">
        <v>37</v>
      </c>
      <c r="ML116" s="12" t="s">
        <v>37</v>
      </c>
      <c r="MQ116" s="12" t="s">
        <v>37</v>
      </c>
      <c r="MR116" s="12" t="s">
        <v>37</v>
      </c>
      <c r="MS116" s="12" t="s">
        <v>37</v>
      </c>
      <c r="MU116" s="12" t="s">
        <v>37</v>
      </c>
      <c r="MV116" s="12" t="s">
        <v>37</v>
      </c>
      <c r="MW116" s="12" t="s">
        <v>37</v>
      </c>
      <c r="NA116" s="12" t="s">
        <v>177</v>
      </c>
      <c r="NB116" s="12" t="s">
        <v>327</v>
      </c>
      <c r="NC116" s="12">
        <v>0.06</v>
      </c>
      <c r="ND116" s="12">
        <f>0.01*SQRT(3)</f>
        <v>1.7320508075688773E-2</v>
      </c>
      <c r="NE116" s="13">
        <v>3</v>
      </c>
      <c r="NF116" s="19">
        <f t="shared" si="413"/>
        <v>0.28867513459481292</v>
      </c>
      <c r="NG116" s="12">
        <v>0.02</v>
      </c>
      <c r="NH116" s="12">
        <f t="shared" si="437"/>
        <v>1.7320508075688772E-3</v>
      </c>
      <c r="NI116" s="13">
        <v>3</v>
      </c>
      <c r="NJ116" s="19">
        <f t="shared" si="414"/>
        <v>8.6602540378443851E-2</v>
      </c>
      <c r="NK116" s="19">
        <f t="shared" si="415"/>
        <v>-1.0986122886681096</v>
      </c>
      <c r="NL116" s="19">
        <f t="shared" si="438"/>
        <v>3.0277777777777778E-2</v>
      </c>
      <c r="NM116" s="12" t="s">
        <v>177</v>
      </c>
      <c r="NN116" s="12" t="s">
        <v>327</v>
      </c>
      <c r="NO116" s="12">
        <v>0.01</v>
      </c>
      <c r="NP116" s="12">
        <f t="shared" si="439"/>
        <v>1.7320508075688773E-2</v>
      </c>
      <c r="NQ116" s="13">
        <v>3</v>
      </c>
      <c r="NR116" s="19">
        <f t="shared" si="440"/>
        <v>1.7320508075688772</v>
      </c>
      <c r="NS116" s="12">
        <v>0.04</v>
      </c>
      <c r="NT116" s="12">
        <f>0.02*SQRT(3)</f>
        <v>3.4641016151377546E-2</v>
      </c>
      <c r="NU116" s="13">
        <v>3</v>
      </c>
      <c r="NV116" s="19">
        <f t="shared" si="442"/>
        <v>0.8660254037844386</v>
      </c>
      <c r="NW116" s="19">
        <f t="shared" si="417"/>
        <v>1.3862943611198906</v>
      </c>
      <c r="NX116" s="19">
        <f t="shared" si="418"/>
        <v>1.25</v>
      </c>
      <c r="OA116" s="11" t="s">
        <v>37</v>
      </c>
      <c r="OB116" s="11" t="s">
        <v>37</v>
      </c>
      <c r="OC116" s="13" t="s">
        <v>37</v>
      </c>
      <c r="OE116" s="11" t="s">
        <v>37</v>
      </c>
      <c r="OF116" s="11" t="s">
        <v>37</v>
      </c>
      <c r="OG116" s="13" t="s">
        <v>37</v>
      </c>
      <c r="OM116" s="11" t="s">
        <v>37</v>
      </c>
      <c r="ON116" s="11" t="s">
        <v>37</v>
      </c>
      <c r="OO116" s="11" t="s">
        <v>37</v>
      </c>
      <c r="OP116" s="11" t="s">
        <v>37</v>
      </c>
      <c r="OQ116" s="11" t="s">
        <v>37</v>
      </c>
      <c r="OR116" s="11" t="s">
        <v>37</v>
      </c>
      <c r="OW116" s="12" t="s">
        <v>37</v>
      </c>
      <c r="OX116" s="12" t="s">
        <v>37</v>
      </c>
      <c r="OY116" s="13" t="s">
        <v>37</v>
      </c>
      <c r="OZ116" s="12" t="s">
        <v>37</v>
      </c>
      <c r="PA116" s="12" t="s">
        <v>37</v>
      </c>
      <c r="PB116" s="13" t="s">
        <v>37</v>
      </c>
      <c r="PG116" s="11" t="s">
        <v>37</v>
      </c>
      <c r="PH116" s="11" t="s">
        <v>37</v>
      </c>
      <c r="PI116" s="13" t="s">
        <v>37</v>
      </c>
      <c r="PJ116" s="11" t="s">
        <v>37</v>
      </c>
      <c r="PK116" s="11" t="s">
        <v>37</v>
      </c>
      <c r="PL116" s="13" t="s">
        <v>37</v>
      </c>
      <c r="PQ116" s="12" t="s">
        <v>37</v>
      </c>
      <c r="PR116" s="12" t="s">
        <v>37</v>
      </c>
      <c r="PS116" s="12" t="s">
        <v>37</v>
      </c>
      <c r="PT116" s="12" t="s">
        <v>37</v>
      </c>
      <c r="PU116" s="12" t="s">
        <v>37</v>
      </c>
      <c r="PV116" s="12" t="s">
        <v>37</v>
      </c>
      <c r="PW116" s="12"/>
      <c r="PX116" s="12"/>
      <c r="PZ116" s="12" t="s">
        <v>37</v>
      </c>
      <c r="QA116" s="12" t="s">
        <v>37</v>
      </c>
      <c r="QB116" s="11" t="s">
        <v>37</v>
      </c>
      <c r="QD116" s="12" t="s">
        <v>37</v>
      </c>
      <c r="QE116" s="12" t="s">
        <v>37</v>
      </c>
      <c r="QF116" s="12" t="s">
        <v>37</v>
      </c>
      <c r="QK116" s="12" t="s">
        <v>37</v>
      </c>
      <c r="QL116" s="12" t="s">
        <v>37</v>
      </c>
      <c r="QM116" s="12" t="s">
        <v>37</v>
      </c>
      <c r="QN116" s="12" t="s">
        <v>37</v>
      </c>
      <c r="QO116" s="12" t="s">
        <v>37</v>
      </c>
      <c r="QP116" s="12" t="s">
        <v>37</v>
      </c>
      <c r="QQ116" s="12"/>
      <c r="QR116" s="12"/>
      <c r="QU116" s="11" t="s">
        <v>37</v>
      </c>
      <c r="QV116" s="11" t="s">
        <v>37</v>
      </c>
      <c r="QW116" s="13" t="s">
        <v>37</v>
      </c>
      <c r="QX116" s="11" t="s">
        <v>37</v>
      </c>
      <c r="QY116" s="11" t="s">
        <v>37</v>
      </c>
      <c r="QZ116" s="13" t="s">
        <v>37</v>
      </c>
      <c r="RC116" s="12" t="s">
        <v>37</v>
      </c>
      <c r="RD116" s="12" t="s">
        <v>37</v>
      </c>
      <c r="RE116" s="13" t="s">
        <v>37</v>
      </c>
      <c r="RF116" s="12" t="s">
        <v>37</v>
      </c>
      <c r="RG116" s="12" t="s">
        <v>37</v>
      </c>
      <c r="RH116" s="13" t="s">
        <v>37</v>
      </c>
      <c r="RK116" s="11" t="s">
        <v>37</v>
      </c>
      <c r="RL116" s="11" t="s">
        <v>37</v>
      </c>
      <c r="RM116" s="11" t="s">
        <v>37</v>
      </c>
      <c r="RN116" s="11" t="s">
        <v>37</v>
      </c>
      <c r="RO116" s="11" t="s">
        <v>37</v>
      </c>
      <c r="RP116" s="11" t="s">
        <v>37</v>
      </c>
      <c r="RS116" s="11" t="s">
        <v>37</v>
      </c>
      <c r="RT116" s="11" t="s">
        <v>37</v>
      </c>
      <c r="RU116" s="11" t="s">
        <v>37</v>
      </c>
      <c r="RV116" s="11" t="s">
        <v>37</v>
      </c>
      <c r="RW116" s="11" t="s">
        <v>37</v>
      </c>
      <c r="RX116" s="11" t="s">
        <v>37</v>
      </c>
      <c r="SA116" s="11" t="s">
        <v>37</v>
      </c>
      <c r="SB116" s="11" t="s">
        <v>37</v>
      </c>
      <c r="SC116" s="13" t="s">
        <v>37</v>
      </c>
      <c r="SD116" s="11" t="s">
        <v>37</v>
      </c>
      <c r="SE116" s="11" t="s">
        <v>37</v>
      </c>
      <c r="SF116" s="13" t="s">
        <v>37</v>
      </c>
      <c r="SG116" s="12" t="s">
        <v>177</v>
      </c>
      <c r="SH116" s="12" t="s">
        <v>327</v>
      </c>
      <c r="SI116" s="12">
        <v>0.06</v>
      </c>
      <c r="SJ116" s="12">
        <f t="shared" si="443"/>
        <v>1.7320508075688773E-2</v>
      </c>
      <c r="SK116" s="13">
        <v>3</v>
      </c>
      <c r="SL116" s="19">
        <f t="shared" si="419"/>
        <v>0.28867513459481292</v>
      </c>
      <c r="SM116" s="12">
        <v>0.15</v>
      </c>
      <c r="SN116" s="12">
        <f>0.02*SQRT(3)</f>
        <v>3.4641016151377546E-2</v>
      </c>
      <c r="SO116" s="13">
        <v>3</v>
      </c>
      <c r="SP116" s="19">
        <f t="shared" si="445"/>
        <v>0.23094010767585033</v>
      </c>
      <c r="SQ116" s="19">
        <f t="shared" si="420"/>
        <v>0.91629073187415511</v>
      </c>
      <c r="SR116" s="19">
        <f t="shared" si="421"/>
        <v>4.5555555555555557E-2</v>
      </c>
      <c r="SU116" s="12" t="s">
        <v>37</v>
      </c>
      <c r="SV116" s="12" t="s">
        <v>37</v>
      </c>
      <c r="SW116" s="11" t="s">
        <v>37</v>
      </c>
      <c r="SX116" s="12" t="s">
        <v>37</v>
      </c>
      <c r="SY116" s="12" t="s">
        <v>37</v>
      </c>
      <c r="SZ116" s="11" t="s">
        <v>37</v>
      </c>
      <c r="TE116" s="12" t="s">
        <v>37</v>
      </c>
      <c r="TF116" s="12" t="s">
        <v>37</v>
      </c>
      <c r="TG116" s="11" t="s">
        <v>37</v>
      </c>
      <c r="TH116" s="12" t="s">
        <v>37</v>
      </c>
      <c r="TI116" s="12" t="s">
        <v>37</v>
      </c>
      <c r="TJ116" s="11" t="s">
        <v>37</v>
      </c>
      <c r="TO116" s="12" t="s">
        <v>37</v>
      </c>
      <c r="TP116" s="12" t="s">
        <v>37</v>
      </c>
      <c r="TQ116" s="11" t="s">
        <v>37</v>
      </c>
      <c r="TR116" s="12" t="s">
        <v>37</v>
      </c>
      <c r="TS116" s="12" t="s">
        <v>37</v>
      </c>
      <c r="TT116" s="11" t="s">
        <v>37</v>
      </c>
      <c r="TY116" s="12" t="s">
        <v>37</v>
      </c>
      <c r="TZ116" s="12" t="s">
        <v>37</v>
      </c>
      <c r="UA116" s="12" t="s">
        <v>37</v>
      </c>
      <c r="UB116" s="12" t="s">
        <v>37</v>
      </c>
      <c r="UC116" s="12" t="s">
        <v>37</v>
      </c>
      <c r="UD116" s="12" t="s">
        <v>37</v>
      </c>
      <c r="UE116" s="12"/>
      <c r="UF116" s="12"/>
      <c r="UI116" s="12" t="s">
        <v>37</v>
      </c>
      <c r="UJ116" s="12" t="s">
        <v>37</v>
      </c>
      <c r="UK116" s="12" t="s">
        <v>37</v>
      </c>
      <c r="UL116" s="12" t="s">
        <v>37</v>
      </c>
      <c r="UM116" s="12" t="s">
        <v>37</v>
      </c>
      <c r="UN116" s="12" t="s">
        <v>37</v>
      </c>
      <c r="UO116" s="12"/>
      <c r="UP116" s="12"/>
      <c r="UR116" s="12" t="s">
        <v>37</v>
      </c>
      <c r="US116" s="12" t="s">
        <v>37</v>
      </c>
      <c r="UT116" s="12" t="s">
        <v>37</v>
      </c>
      <c r="UU116" s="12" t="s">
        <v>37</v>
      </c>
      <c r="UV116" s="12" t="s">
        <v>37</v>
      </c>
      <c r="UW116" s="12" t="s">
        <v>37</v>
      </c>
      <c r="UX116" s="12"/>
      <c r="UY116" s="12"/>
      <c r="VB116" s="12" t="s">
        <v>37</v>
      </c>
      <c r="VC116" s="12" t="s">
        <v>37</v>
      </c>
      <c r="VD116" s="12" t="s">
        <v>37</v>
      </c>
      <c r="VE116" s="12" t="s">
        <v>37</v>
      </c>
      <c r="VF116" s="12" t="s">
        <v>37</v>
      </c>
      <c r="VG116" s="12" t="s">
        <v>37</v>
      </c>
      <c r="VI116" s="12" t="s">
        <v>37</v>
      </c>
      <c r="VJ116" s="12" t="s">
        <v>37</v>
      </c>
      <c r="VK116" s="12" t="s">
        <v>37</v>
      </c>
      <c r="VL116" s="12" t="s">
        <v>37</v>
      </c>
      <c r="VM116" s="12" t="s">
        <v>37</v>
      </c>
      <c r="VN116" s="12" t="s">
        <v>37</v>
      </c>
      <c r="VQ116" s="13" t="s">
        <v>37</v>
      </c>
      <c r="VR116" s="13" t="s">
        <v>37</v>
      </c>
      <c r="VS116" s="13" t="s">
        <v>37</v>
      </c>
      <c r="VT116" s="13" t="s">
        <v>37</v>
      </c>
      <c r="VU116" s="13" t="s">
        <v>37</v>
      </c>
      <c r="VV116" s="13" t="s">
        <v>37</v>
      </c>
      <c r="WA116" s="13" t="s">
        <v>37</v>
      </c>
      <c r="WB116" s="13" t="s">
        <v>37</v>
      </c>
      <c r="WC116" s="13" t="s">
        <v>37</v>
      </c>
      <c r="WD116" s="13" t="s">
        <v>37</v>
      </c>
      <c r="WE116" s="13" t="s">
        <v>37</v>
      </c>
      <c r="WF116" s="13" t="s">
        <v>37</v>
      </c>
    </row>
    <row r="117" spans="1:604" ht="18" customHeight="1" x14ac:dyDescent="0.3">
      <c r="A117" s="11">
        <v>28</v>
      </c>
      <c r="B117" s="16" t="s">
        <v>176</v>
      </c>
      <c r="C117" s="12" t="s">
        <v>26</v>
      </c>
      <c r="D117" s="12" t="s">
        <v>119</v>
      </c>
      <c r="E117" s="40" t="s">
        <v>37</v>
      </c>
      <c r="F117" s="14">
        <v>0</v>
      </c>
      <c r="G117" s="14">
        <v>0</v>
      </c>
      <c r="H117" s="12" t="s">
        <v>82</v>
      </c>
      <c r="I117" s="29">
        <v>47.49</v>
      </c>
      <c r="J117" s="29">
        <v>-98.77</v>
      </c>
      <c r="K117" s="12" t="s">
        <v>192</v>
      </c>
      <c r="L117" s="12" t="s">
        <v>193</v>
      </c>
      <c r="M117" s="13" t="s">
        <v>37</v>
      </c>
      <c r="N117" s="14">
        <v>21</v>
      </c>
      <c r="O117" s="14">
        <v>280</v>
      </c>
      <c r="P117" s="14" t="s">
        <v>16</v>
      </c>
      <c r="Q117" s="75">
        <v>4</v>
      </c>
      <c r="R117" s="11" t="s">
        <v>999</v>
      </c>
      <c r="S117" s="12" t="s">
        <v>37</v>
      </c>
      <c r="T117" s="12" t="s">
        <v>138</v>
      </c>
      <c r="U117" s="12" t="s">
        <v>158</v>
      </c>
      <c r="V117" s="12" t="s">
        <v>871</v>
      </c>
      <c r="W117" s="23" t="s">
        <v>37</v>
      </c>
      <c r="X117" s="12" t="s">
        <v>37</v>
      </c>
      <c r="Y117" s="12" t="s">
        <v>69</v>
      </c>
      <c r="Z117" s="12" t="s">
        <v>37</v>
      </c>
      <c r="AB117" s="12" t="s">
        <v>37</v>
      </c>
      <c r="AC117" s="12" t="s">
        <v>42</v>
      </c>
      <c r="AD117" s="32" t="s">
        <v>327</v>
      </c>
      <c r="AE117" s="12">
        <f t="shared" ref="AE117:AE119" si="446">133.35*10^3/0.84/15/100</f>
        <v>105.83333333333334</v>
      </c>
      <c r="AF117" s="12" t="s">
        <v>42</v>
      </c>
      <c r="AG117" s="32" t="s">
        <v>327</v>
      </c>
      <c r="AH117" s="12">
        <f t="shared" ref="AH117:AH119" si="447">12.44*10^3/0.84/15/100</f>
        <v>9.8730158730158717</v>
      </c>
      <c r="AJ117" s="12" t="str">
        <f t="shared" si="356"/>
        <v>0-15</v>
      </c>
      <c r="AK117" s="19">
        <f t="shared" si="357"/>
        <v>10.71945337620579</v>
      </c>
      <c r="AL117" s="32" t="s">
        <v>179</v>
      </c>
      <c r="AM117" s="54" t="s">
        <v>317</v>
      </c>
      <c r="AN117" s="32" t="s">
        <v>886</v>
      </c>
      <c r="AO117" s="12" t="s">
        <v>37</v>
      </c>
      <c r="AP117" s="12" t="s">
        <v>108</v>
      </c>
      <c r="AQ117" s="12" t="s">
        <v>975</v>
      </c>
      <c r="AR117" s="12" t="s">
        <v>42</v>
      </c>
      <c r="AS117" s="32" t="s">
        <v>327</v>
      </c>
      <c r="AT117" s="12">
        <f t="shared" ref="AT117:AT119" si="448">133.35*10^3/0.84/15/100</f>
        <v>105.83333333333334</v>
      </c>
      <c r="AU117" s="12">
        <f t="shared" ref="AU117:AU119" si="449">SQRT((1/(1500*0.84))^2*(10.89*SQRT(3))^2+(((-133.35*10^3)/(1500*0.84)^2))^2*(0.12*SQRT(3))^2)</f>
        <v>2.2997342020000547E-2</v>
      </c>
      <c r="AV117" s="13">
        <v>3</v>
      </c>
      <c r="AW117" s="52">
        <f t="shared" si="426"/>
        <v>2.1729771987402088E-4</v>
      </c>
      <c r="AX117" s="12">
        <f t="shared" ref="AX117:AX119" si="450">155.85*10^3/1.11/15/100</f>
        <v>93.603603603603588</v>
      </c>
      <c r="AY117" s="12">
        <f t="shared" ref="AY117:AY119" si="451">SQRT((1/(1500*1.11))^2*(3.31*SQRT(3))^2+(((-155.85*10^3)/(1500*1.11)^2))^2*(0.07*SQRT(3))^2)</f>
        <v>7.6364737602224427E-3</v>
      </c>
      <c r="AZ117" s="13">
        <v>3</v>
      </c>
      <c r="BA117" s="52">
        <f t="shared" si="397"/>
        <v>8.1583117168882704E-5</v>
      </c>
      <c r="BB117" s="52">
        <f t="shared" si="360"/>
        <v>-0.12279664688369792</v>
      </c>
      <c r="BC117" s="19">
        <f t="shared" si="361"/>
        <v>1.7958034689813364E-8</v>
      </c>
      <c r="BE117" s="12" t="s">
        <v>326</v>
      </c>
      <c r="BF117" s="12" t="s">
        <v>326</v>
      </c>
      <c r="BG117" s="12" t="s">
        <v>326</v>
      </c>
      <c r="BI117" s="12" t="s">
        <v>326</v>
      </c>
      <c r="BJ117" s="12" t="s">
        <v>326</v>
      </c>
      <c r="BK117" s="12" t="s">
        <v>326</v>
      </c>
      <c r="BP117" s="12" t="s">
        <v>37</v>
      </c>
      <c r="BQ117" s="12" t="s">
        <v>37</v>
      </c>
      <c r="BR117" s="13" t="s">
        <v>37</v>
      </c>
      <c r="BT117" s="12" t="s">
        <v>37</v>
      </c>
      <c r="BU117" s="12" t="s">
        <v>37</v>
      </c>
      <c r="BV117" s="12" t="s">
        <v>37</v>
      </c>
      <c r="CA117" s="12" t="s">
        <v>37</v>
      </c>
      <c r="CB117" s="12" t="s">
        <v>37</v>
      </c>
      <c r="CC117" s="13" t="s">
        <v>37</v>
      </c>
      <c r="CE117" s="12" t="s">
        <v>37</v>
      </c>
      <c r="CF117" s="12" t="s">
        <v>37</v>
      </c>
      <c r="CG117" s="13" t="s">
        <v>37</v>
      </c>
      <c r="CJ117" s="12"/>
      <c r="CN117" s="12" t="s">
        <v>37</v>
      </c>
      <c r="CO117" s="12" t="s">
        <v>37</v>
      </c>
      <c r="CP117" s="13" t="s">
        <v>37</v>
      </c>
      <c r="CR117" s="12" t="s">
        <v>37</v>
      </c>
      <c r="CS117" s="12" t="s">
        <v>37</v>
      </c>
      <c r="CT117" s="13" t="s">
        <v>37</v>
      </c>
      <c r="CX117" s="72"/>
      <c r="CY117" s="72"/>
      <c r="DA117" s="12" t="s">
        <v>37</v>
      </c>
      <c r="DB117" s="12" t="s">
        <v>37</v>
      </c>
      <c r="DC117" s="13" t="s">
        <v>37</v>
      </c>
      <c r="DE117" s="12" t="s">
        <v>37</v>
      </c>
      <c r="DF117" s="12" t="s">
        <v>37</v>
      </c>
      <c r="DG117" s="13" t="s">
        <v>37</v>
      </c>
      <c r="DM117" s="15"/>
      <c r="DO117" s="108"/>
      <c r="DP117" s="72"/>
      <c r="DS117" s="108"/>
      <c r="DT117" s="72"/>
      <c r="DX117" s="19"/>
      <c r="DY117" s="19"/>
      <c r="DZ117" s="12" t="s">
        <v>47</v>
      </c>
      <c r="EA117" s="19">
        <f>0.17*("2006/10/31"-"2006/04/01")/("2006/09/27"-"2006/04/05")*10^4/10^3/'[3]classess-1'!$I$6</f>
        <v>1.0679983859531741</v>
      </c>
      <c r="EB117" s="50">
        <f t="shared" si="364"/>
        <v>6.1409661363513326</v>
      </c>
      <c r="EC117" s="72">
        <v>3</v>
      </c>
      <c r="EE117" s="19">
        <f>0.16*("2006/10/31"-"2006/04/01")/("2006/09/27"-"2006/04/05")*10^4/10^3/'[3]classess-1'!$I$7</f>
        <v>1.9745850203174469</v>
      </c>
      <c r="EF117" s="50">
        <f t="shared" si="365"/>
        <v>2.9483306562877405</v>
      </c>
      <c r="EG117" s="13">
        <v>3</v>
      </c>
      <c r="EI117" s="19">
        <f>EE117-EA117</f>
        <v>0.90658663436427278</v>
      </c>
      <c r="EJ117" s="12">
        <f t="shared" si="366"/>
        <v>4.8168516038289946</v>
      </c>
      <c r="EK117" s="19">
        <f t="shared" si="367"/>
        <v>15.468039582206638</v>
      </c>
      <c r="EL117" s="19">
        <f t="shared" si="368"/>
        <v>15.468039582206638</v>
      </c>
      <c r="EM117" s="12" t="s">
        <v>39</v>
      </c>
      <c r="EN117" s="12">
        <v>45</v>
      </c>
      <c r="EO117" s="50">
        <f t="shared" si="398"/>
        <v>18.337337943808201</v>
      </c>
      <c r="EP117" s="13">
        <v>3</v>
      </c>
      <c r="ER117" s="12">
        <v>-32</v>
      </c>
      <c r="ES117" s="50">
        <f t="shared" si="399"/>
        <v>7.2580497122942136</v>
      </c>
      <c r="ET117" s="13">
        <v>3</v>
      </c>
      <c r="EV117" s="19">
        <f t="shared" si="400"/>
        <v>-77</v>
      </c>
      <c r="EW117" s="12">
        <f t="shared" si="401"/>
        <v>13.945200760325434</v>
      </c>
      <c r="EX117" s="19">
        <f t="shared" si="402"/>
        <v>129.64574949718735</v>
      </c>
      <c r="EY117" s="19">
        <f t="shared" si="403"/>
        <v>129.64574949718738</v>
      </c>
      <c r="FB117" s="12" t="s">
        <v>37</v>
      </c>
      <c r="FC117" s="12" t="s">
        <v>37</v>
      </c>
      <c r="FD117" s="11" t="s">
        <v>37</v>
      </c>
      <c r="FE117" s="12" t="s">
        <v>37</v>
      </c>
      <c r="FF117" s="20" t="s">
        <v>37</v>
      </c>
      <c r="FG117" s="11" t="s">
        <v>37</v>
      </c>
      <c r="FI117" s="12" t="s">
        <v>37</v>
      </c>
      <c r="FJ117" s="12" t="s">
        <v>37</v>
      </c>
      <c r="FK117" s="11" t="s">
        <v>37</v>
      </c>
      <c r="FL117" s="13" t="s">
        <v>37</v>
      </c>
      <c r="FM117" s="11" t="s">
        <v>37</v>
      </c>
      <c r="FN117" s="11" t="s">
        <v>37</v>
      </c>
      <c r="FP117" s="12" t="s">
        <v>37</v>
      </c>
      <c r="FQ117" s="12" t="s">
        <v>37</v>
      </c>
      <c r="FR117" s="11" t="s">
        <v>37</v>
      </c>
      <c r="FS117" s="13" t="s">
        <v>37</v>
      </c>
      <c r="FT117" s="11" t="s">
        <v>37</v>
      </c>
      <c r="FU117" s="11" t="s">
        <v>37</v>
      </c>
      <c r="FW117" s="12" t="s">
        <v>37</v>
      </c>
      <c r="FX117" s="12" t="s">
        <v>37</v>
      </c>
      <c r="FY117" s="11" t="s">
        <v>37</v>
      </c>
      <c r="FZ117" s="13" t="s">
        <v>37</v>
      </c>
      <c r="GA117" s="11" t="s">
        <v>37</v>
      </c>
      <c r="GB117" s="11" t="s">
        <v>37</v>
      </c>
      <c r="HA117" s="17" t="s">
        <v>63</v>
      </c>
      <c r="HB117" s="34" t="s">
        <v>327</v>
      </c>
      <c r="HC117" s="12">
        <v>0.84</v>
      </c>
      <c r="HD117" s="12">
        <f t="shared" ref="HD117:HD119" si="452">0.12*SQRT(3)</f>
        <v>0.20784609690826525</v>
      </c>
      <c r="HE117" s="13">
        <v>3</v>
      </c>
      <c r="HF117" s="19">
        <f t="shared" si="404"/>
        <v>0.24743582965269673</v>
      </c>
      <c r="HG117" s="12">
        <v>1.1100000000000001</v>
      </c>
      <c r="HH117" s="12">
        <f t="shared" ref="HH117:HH119" si="453">0.07*SQRT(3)</f>
        <v>0.12124355652982141</v>
      </c>
      <c r="HI117" s="13">
        <v>3</v>
      </c>
      <c r="HJ117" s="19">
        <f t="shared" si="405"/>
        <v>0.1092284293061454</v>
      </c>
      <c r="HK117" s="19">
        <f t="shared" si="375"/>
        <v>0.27871340246902065</v>
      </c>
      <c r="HL117" s="19">
        <f t="shared" si="376"/>
        <v>2.4385113188201989E-2</v>
      </c>
      <c r="IK117" s="12" t="s">
        <v>37</v>
      </c>
      <c r="IL117" s="12" t="s">
        <v>37</v>
      </c>
      <c r="IM117" s="12" t="s">
        <v>37</v>
      </c>
      <c r="IO117" s="12" t="s">
        <v>37</v>
      </c>
      <c r="IP117" s="12" t="s">
        <v>37</v>
      </c>
      <c r="IQ117" s="12" t="s">
        <v>37</v>
      </c>
      <c r="IW117" s="12" t="s">
        <v>37</v>
      </c>
      <c r="IX117" s="12" t="s">
        <v>37</v>
      </c>
      <c r="IY117" s="13" t="s">
        <v>37</v>
      </c>
      <c r="JA117" s="12" t="s">
        <v>37</v>
      </c>
      <c r="JB117" s="12" t="s">
        <v>37</v>
      </c>
      <c r="JC117" s="13" t="s">
        <v>37</v>
      </c>
      <c r="JH117" s="12" t="s">
        <v>37</v>
      </c>
      <c r="JI117" s="12" t="s">
        <v>37</v>
      </c>
      <c r="JJ117" s="13" t="s">
        <v>37</v>
      </c>
      <c r="JL117" s="12" t="s">
        <v>37</v>
      </c>
      <c r="JM117" s="12" t="s">
        <v>37</v>
      </c>
      <c r="JN117" s="12" t="s">
        <v>37</v>
      </c>
      <c r="JS117" s="12" t="s">
        <v>37</v>
      </c>
      <c r="JT117" s="12" t="s">
        <v>37</v>
      </c>
      <c r="JU117" s="13" t="s">
        <v>37</v>
      </c>
      <c r="JW117" s="12" t="s">
        <v>37</v>
      </c>
      <c r="JX117" s="12" t="s">
        <v>37</v>
      </c>
      <c r="JY117" s="12" t="s">
        <v>37</v>
      </c>
      <c r="KE117" s="11" t="s">
        <v>37</v>
      </c>
      <c r="KF117" s="11" t="s">
        <v>37</v>
      </c>
      <c r="KG117" s="13" t="s">
        <v>37</v>
      </c>
      <c r="KH117" s="11" t="s">
        <v>37</v>
      </c>
      <c r="KI117" s="11" t="s">
        <v>37</v>
      </c>
      <c r="KJ117" s="11" t="s">
        <v>37</v>
      </c>
      <c r="KK117" s="12" t="s">
        <v>42</v>
      </c>
      <c r="KL117" s="32" t="s">
        <v>327</v>
      </c>
      <c r="KM117" s="12">
        <f t="shared" ref="KM117:KM119" si="454">12.44*10^3/0.84/15/100</f>
        <v>9.8730158730158717</v>
      </c>
      <c r="KN117" s="12">
        <f t="shared" ref="KN117:KN119" si="455">SQRT((1/(1500*0.97))^2*(0.97*SQRT(3))^2+(((-12.44*10^3)/(1500*0.84)^2))^2*(0.12*SQRT(3))^2)</f>
        <v>1.9964352069321424E-3</v>
      </c>
      <c r="KO117" s="11">
        <v>3</v>
      </c>
      <c r="KP117" s="19">
        <f t="shared" si="406"/>
        <v>2.0221128301724274E-4</v>
      </c>
      <c r="KQ117" s="12">
        <f t="shared" ref="KQ117:KQ119" si="456">16.23*10^3/1.11/15/100</f>
        <v>9.7477477477477468</v>
      </c>
      <c r="KR117" s="12">
        <f t="shared" ref="KR117:KR119" si="457">SQRT((1/(1500*1.11))^2*(0.5*SQRT(3))^2+(((-16.23*10^3)/(1500*1.11)^2))^2*(0.07*SQRT(3))^2)</f>
        <v>8.7999224783610419E-4</v>
      </c>
      <c r="KS117" s="13">
        <v>3</v>
      </c>
      <c r="KT117" s="19">
        <f t="shared" si="407"/>
        <v>9.0276469047881306E-5</v>
      </c>
      <c r="KU117" s="19">
        <f t="shared" si="382"/>
        <v>-1.2769108253553993E-2</v>
      </c>
      <c r="KV117" s="19">
        <f t="shared" si="383"/>
        <v>1.6346414614410839E-8</v>
      </c>
      <c r="KX117" s="12" t="s">
        <v>37</v>
      </c>
      <c r="KY117" s="12" t="s">
        <v>37</v>
      </c>
      <c r="KZ117" s="13" t="s">
        <v>37</v>
      </c>
      <c r="LB117" s="12" t="s">
        <v>37</v>
      </c>
      <c r="LC117" s="12" t="s">
        <v>37</v>
      </c>
      <c r="LD117" s="13" t="s">
        <v>37</v>
      </c>
      <c r="LI117" s="12" t="s">
        <v>37</v>
      </c>
      <c r="LJ117" s="12" t="s">
        <v>37</v>
      </c>
      <c r="LK117" s="12" t="s">
        <v>37</v>
      </c>
      <c r="LM117" s="12" t="s">
        <v>37</v>
      </c>
      <c r="LN117" s="12" t="s">
        <v>37</v>
      </c>
      <c r="LO117" s="12" t="s">
        <v>37</v>
      </c>
      <c r="LT117" s="12" t="str">
        <f t="shared" si="408"/>
        <v>0-15</v>
      </c>
      <c r="LU117" s="12">
        <f t="shared" si="385"/>
        <v>10.71945337620579</v>
      </c>
      <c r="LV117" s="29">
        <f t="shared" si="386"/>
        <v>3.1818490825917668E-3</v>
      </c>
      <c r="LW117" s="13">
        <f t="shared" si="409"/>
        <v>3</v>
      </c>
      <c r="LX117" s="19">
        <f t="shared" si="410"/>
        <v>2.9682941572884569E-4</v>
      </c>
      <c r="LY117" s="12">
        <f t="shared" si="388"/>
        <v>9.602587800369685</v>
      </c>
      <c r="LZ117" s="29">
        <f t="shared" si="389"/>
        <v>1.1684280262255905E-3</v>
      </c>
      <c r="MA117" s="13">
        <f t="shared" si="411"/>
        <v>3</v>
      </c>
      <c r="MB117" s="19">
        <f t="shared" si="412"/>
        <v>1.2167845277921935E-4</v>
      </c>
      <c r="MC117" s="19">
        <f t="shared" si="391"/>
        <v>-0.11002753863014396</v>
      </c>
      <c r="MD117" s="19">
        <f t="shared" si="392"/>
        <v>3.4304449304224206E-8</v>
      </c>
      <c r="MF117" s="12" t="s">
        <v>37</v>
      </c>
      <c r="MG117" s="12" t="s">
        <v>37</v>
      </c>
      <c r="MH117" s="12" t="s">
        <v>37</v>
      </c>
      <c r="MJ117" s="12" t="s">
        <v>37</v>
      </c>
      <c r="MK117" s="12" t="s">
        <v>37</v>
      </c>
      <c r="ML117" s="12" t="s">
        <v>37</v>
      </c>
      <c r="MQ117" s="12" t="s">
        <v>37</v>
      </c>
      <c r="MR117" s="12" t="s">
        <v>37</v>
      </c>
      <c r="MS117" s="12" t="s">
        <v>37</v>
      </c>
      <c r="MU117" s="12" t="s">
        <v>37</v>
      </c>
      <c r="MV117" s="12" t="s">
        <v>37</v>
      </c>
      <c r="MW117" s="12" t="s">
        <v>37</v>
      </c>
      <c r="NA117" s="12" t="s">
        <v>177</v>
      </c>
      <c r="NB117" s="12" t="s">
        <v>327</v>
      </c>
      <c r="NC117" s="12">
        <v>0.06</v>
      </c>
      <c r="ND117" s="12">
        <f t="shared" ref="ND117:ND121" si="458">0.01*SQRT(3)</f>
        <v>1.7320508075688773E-2</v>
      </c>
      <c r="NE117" s="13">
        <v>3</v>
      </c>
      <c r="NF117" s="19">
        <f t="shared" si="413"/>
        <v>0.28867513459481292</v>
      </c>
      <c r="NG117" s="12">
        <v>0.02</v>
      </c>
      <c r="NH117" s="12">
        <f t="shared" si="437"/>
        <v>1.7320508075688772E-3</v>
      </c>
      <c r="NI117" s="13">
        <v>3</v>
      </c>
      <c r="NJ117" s="19">
        <f t="shared" si="414"/>
        <v>8.6602540378443851E-2</v>
      </c>
      <c r="NK117" s="19">
        <f t="shared" si="415"/>
        <v>-1.0986122886681096</v>
      </c>
      <c r="NL117" s="19">
        <f t="shared" si="438"/>
        <v>3.0277777777777778E-2</v>
      </c>
      <c r="NM117" s="12" t="s">
        <v>177</v>
      </c>
      <c r="NN117" s="12" t="s">
        <v>327</v>
      </c>
      <c r="NO117" s="12">
        <v>0.01</v>
      </c>
      <c r="NP117" s="12">
        <f t="shared" si="439"/>
        <v>1.7320508075688773E-2</v>
      </c>
      <c r="NQ117" s="13">
        <v>3</v>
      </c>
      <c r="NR117" s="19">
        <f t="shared" si="440"/>
        <v>1.7320508075688772</v>
      </c>
      <c r="NS117" s="12">
        <v>0.04</v>
      </c>
      <c r="NT117" s="12">
        <f t="shared" ref="NT117:NT119" si="459">0.02*SQRT(3)</f>
        <v>3.4641016151377546E-2</v>
      </c>
      <c r="NU117" s="13">
        <v>3</v>
      </c>
      <c r="NV117" s="19">
        <f t="shared" si="442"/>
        <v>0.8660254037844386</v>
      </c>
      <c r="NW117" s="19">
        <f t="shared" si="417"/>
        <v>1.3862943611198906</v>
      </c>
      <c r="NX117" s="19">
        <f t="shared" si="418"/>
        <v>1.25</v>
      </c>
      <c r="OA117" s="11" t="s">
        <v>37</v>
      </c>
      <c r="OB117" s="11" t="s">
        <v>37</v>
      </c>
      <c r="OC117" s="13" t="s">
        <v>37</v>
      </c>
      <c r="OE117" s="11" t="s">
        <v>37</v>
      </c>
      <c r="OF117" s="11" t="s">
        <v>37</v>
      </c>
      <c r="OG117" s="13" t="s">
        <v>37</v>
      </c>
      <c r="OM117" s="11" t="s">
        <v>37</v>
      </c>
      <c r="ON117" s="11" t="s">
        <v>37</v>
      </c>
      <c r="OO117" s="11" t="s">
        <v>37</v>
      </c>
      <c r="OP117" s="11" t="s">
        <v>37</v>
      </c>
      <c r="OQ117" s="11" t="s">
        <v>37</v>
      </c>
      <c r="OR117" s="11" t="s">
        <v>37</v>
      </c>
      <c r="OW117" s="12" t="s">
        <v>37</v>
      </c>
      <c r="OX117" s="12" t="s">
        <v>37</v>
      </c>
      <c r="OY117" s="13" t="s">
        <v>37</v>
      </c>
      <c r="OZ117" s="12" t="s">
        <v>37</v>
      </c>
      <c r="PA117" s="12" t="s">
        <v>37</v>
      </c>
      <c r="PB117" s="13" t="s">
        <v>37</v>
      </c>
      <c r="PG117" s="11" t="s">
        <v>37</v>
      </c>
      <c r="PH117" s="11" t="s">
        <v>37</v>
      </c>
      <c r="PI117" s="13" t="s">
        <v>37</v>
      </c>
      <c r="PJ117" s="11" t="s">
        <v>37</v>
      </c>
      <c r="PK117" s="11" t="s">
        <v>37</v>
      </c>
      <c r="PL117" s="13" t="s">
        <v>37</v>
      </c>
      <c r="PQ117" s="12" t="s">
        <v>37</v>
      </c>
      <c r="PR117" s="12" t="s">
        <v>37</v>
      </c>
      <c r="PS117" s="12" t="s">
        <v>37</v>
      </c>
      <c r="PT117" s="12" t="s">
        <v>37</v>
      </c>
      <c r="PU117" s="12" t="s">
        <v>37</v>
      </c>
      <c r="PV117" s="12" t="s">
        <v>37</v>
      </c>
      <c r="PW117" s="12"/>
      <c r="PX117" s="12"/>
      <c r="PZ117" s="12" t="s">
        <v>37</v>
      </c>
      <c r="QA117" s="12" t="s">
        <v>37</v>
      </c>
      <c r="QB117" s="11" t="s">
        <v>37</v>
      </c>
      <c r="QD117" s="12" t="s">
        <v>37</v>
      </c>
      <c r="QE117" s="12" t="s">
        <v>37</v>
      </c>
      <c r="QF117" s="12" t="s">
        <v>37</v>
      </c>
      <c r="QK117" s="12" t="s">
        <v>37</v>
      </c>
      <c r="QL117" s="12" t="s">
        <v>37</v>
      </c>
      <c r="QM117" s="12" t="s">
        <v>37</v>
      </c>
      <c r="QN117" s="12" t="s">
        <v>37</v>
      </c>
      <c r="QO117" s="12" t="s">
        <v>37</v>
      </c>
      <c r="QP117" s="12" t="s">
        <v>37</v>
      </c>
      <c r="QQ117" s="12"/>
      <c r="QR117" s="12"/>
      <c r="QU117" s="11" t="s">
        <v>37</v>
      </c>
      <c r="QV117" s="11" t="s">
        <v>37</v>
      </c>
      <c r="QW117" s="13" t="s">
        <v>37</v>
      </c>
      <c r="QX117" s="11" t="s">
        <v>37</v>
      </c>
      <c r="QY117" s="11" t="s">
        <v>37</v>
      </c>
      <c r="QZ117" s="13" t="s">
        <v>37</v>
      </c>
      <c r="RC117" s="12" t="s">
        <v>37</v>
      </c>
      <c r="RD117" s="12" t="s">
        <v>37</v>
      </c>
      <c r="RE117" s="13" t="s">
        <v>37</v>
      </c>
      <c r="RF117" s="12" t="s">
        <v>37</v>
      </c>
      <c r="RG117" s="12" t="s">
        <v>37</v>
      </c>
      <c r="RH117" s="13" t="s">
        <v>37</v>
      </c>
      <c r="RK117" s="11" t="s">
        <v>37</v>
      </c>
      <c r="RL117" s="11" t="s">
        <v>37</v>
      </c>
      <c r="RM117" s="11" t="s">
        <v>37</v>
      </c>
      <c r="RN117" s="11" t="s">
        <v>37</v>
      </c>
      <c r="RO117" s="11" t="s">
        <v>37</v>
      </c>
      <c r="RP117" s="11" t="s">
        <v>37</v>
      </c>
      <c r="RS117" s="11" t="s">
        <v>37</v>
      </c>
      <c r="RT117" s="11" t="s">
        <v>37</v>
      </c>
      <c r="RU117" s="11" t="s">
        <v>37</v>
      </c>
      <c r="RV117" s="11" t="s">
        <v>37</v>
      </c>
      <c r="RW117" s="11" t="s">
        <v>37</v>
      </c>
      <c r="RX117" s="11" t="s">
        <v>37</v>
      </c>
      <c r="SA117" s="11" t="s">
        <v>37</v>
      </c>
      <c r="SB117" s="11" t="s">
        <v>37</v>
      </c>
      <c r="SC117" s="13" t="s">
        <v>37</v>
      </c>
      <c r="SD117" s="11" t="s">
        <v>37</v>
      </c>
      <c r="SE117" s="11" t="s">
        <v>37</v>
      </c>
      <c r="SF117" s="13" t="s">
        <v>37</v>
      </c>
      <c r="SG117" s="12" t="s">
        <v>177</v>
      </c>
      <c r="SH117" s="12" t="s">
        <v>327</v>
      </c>
      <c r="SI117" s="12">
        <v>0.06</v>
      </c>
      <c r="SJ117" s="12">
        <f t="shared" si="443"/>
        <v>1.7320508075688773E-2</v>
      </c>
      <c r="SK117" s="13">
        <v>3</v>
      </c>
      <c r="SL117" s="19">
        <f t="shared" si="419"/>
        <v>0.28867513459481292</v>
      </c>
      <c r="SM117" s="12">
        <v>0.15</v>
      </c>
      <c r="SN117" s="12">
        <f t="shared" ref="SN117:SN119" si="460">0.02*SQRT(3)</f>
        <v>3.4641016151377546E-2</v>
      </c>
      <c r="SO117" s="13">
        <v>3</v>
      </c>
      <c r="SP117" s="19">
        <f t="shared" si="445"/>
        <v>0.23094010767585033</v>
      </c>
      <c r="SQ117" s="19">
        <f t="shared" si="420"/>
        <v>0.91629073187415511</v>
      </c>
      <c r="SR117" s="19">
        <f t="shared" si="421"/>
        <v>4.5555555555555557E-2</v>
      </c>
      <c r="SU117" s="12" t="s">
        <v>37</v>
      </c>
      <c r="SV117" s="12" t="s">
        <v>37</v>
      </c>
      <c r="SW117" s="11" t="s">
        <v>37</v>
      </c>
      <c r="SX117" s="12" t="s">
        <v>37</v>
      </c>
      <c r="SY117" s="12" t="s">
        <v>37</v>
      </c>
      <c r="SZ117" s="11" t="s">
        <v>37</v>
      </c>
      <c r="TE117" s="12" t="s">
        <v>37</v>
      </c>
      <c r="TF117" s="12" t="s">
        <v>37</v>
      </c>
      <c r="TG117" s="11" t="s">
        <v>37</v>
      </c>
      <c r="TH117" s="12" t="s">
        <v>37</v>
      </c>
      <c r="TI117" s="12" t="s">
        <v>37</v>
      </c>
      <c r="TJ117" s="11" t="s">
        <v>37</v>
      </c>
      <c r="TO117" s="12" t="s">
        <v>37</v>
      </c>
      <c r="TP117" s="12" t="s">
        <v>37</v>
      </c>
      <c r="TQ117" s="11" t="s">
        <v>37</v>
      </c>
      <c r="TR117" s="12" t="s">
        <v>37</v>
      </c>
      <c r="TS117" s="12" t="s">
        <v>37</v>
      </c>
      <c r="TT117" s="11" t="s">
        <v>37</v>
      </c>
      <c r="TY117" s="12" t="s">
        <v>37</v>
      </c>
      <c r="TZ117" s="12" t="s">
        <v>37</v>
      </c>
      <c r="UA117" s="12" t="s">
        <v>37</v>
      </c>
      <c r="UB117" s="12" t="s">
        <v>37</v>
      </c>
      <c r="UC117" s="12" t="s">
        <v>37</v>
      </c>
      <c r="UD117" s="12" t="s">
        <v>37</v>
      </c>
      <c r="UE117" s="12"/>
      <c r="UF117" s="12"/>
      <c r="UI117" s="12" t="s">
        <v>37</v>
      </c>
      <c r="UJ117" s="12" t="s">
        <v>37</v>
      </c>
      <c r="UK117" s="12" t="s">
        <v>37</v>
      </c>
      <c r="UL117" s="12" t="s">
        <v>37</v>
      </c>
      <c r="UM117" s="12" t="s">
        <v>37</v>
      </c>
      <c r="UN117" s="12" t="s">
        <v>37</v>
      </c>
      <c r="UO117" s="12"/>
      <c r="UP117" s="12"/>
      <c r="UR117" s="12" t="s">
        <v>37</v>
      </c>
      <c r="US117" s="12" t="s">
        <v>37</v>
      </c>
      <c r="UT117" s="12" t="s">
        <v>37</v>
      </c>
      <c r="UU117" s="12" t="s">
        <v>37</v>
      </c>
      <c r="UV117" s="12" t="s">
        <v>37</v>
      </c>
      <c r="UW117" s="12" t="s">
        <v>37</v>
      </c>
      <c r="UX117" s="12"/>
      <c r="UY117" s="12"/>
      <c r="VB117" s="12" t="s">
        <v>37</v>
      </c>
      <c r="VC117" s="12" t="s">
        <v>37</v>
      </c>
      <c r="VD117" s="12" t="s">
        <v>37</v>
      </c>
      <c r="VE117" s="12" t="s">
        <v>37</v>
      </c>
      <c r="VF117" s="12" t="s">
        <v>37</v>
      </c>
      <c r="VG117" s="12" t="s">
        <v>37</v>
      </c>
      <c r="VI117" s="12" t="s">
        <v>37</v>
      </c>
      <c r="VJ117" s="12" t="s">
        <v>37</v>
      </c>
      <c r="VK117" s="12" t="s">
        <v>37</v>
      </c>
      <c r="VL117" s="12" t="s">
        <v>37</v>
      </c>
      <c r="VM117" s="12" t="s">
        <v>37</v>
      </c>
      <c r="VN117" s="12" t="s">
        <v>37</v>
      </c>
      <c r="VQ117" s="13" t="s">
        <v>37</v>
      </c>
      <c r="VR117" s="13" t="s">
        <v>37</v>
      </c>
      <c r="VS117" s="13" t="s">
        <v>37</v>
      </c>
      <c r="VT117" s="13" t="s">
        <v>37</v>
      </c>
      <c r="VU117" s="13" t="s">
        <v>37</v>
      </c>
      <c r="VV117" s="13" t="s">
        <v>37</v>
      </c>
      <c r="WA117" s="13" t="s">
        <v>37</v>
      </c>
      <c r="WB117" s="13" t="s">
        <v>37</v>
      </c>
      <c r="WC117" s="13" t="s">
        <v>37</v>
      </c>
      <c r="WD117" s="13" t="s">
        <v>37</v>
      </c>
      <c r="WE117" s="13" t="s">
        <v>37</v>
      </c>
      <c r="WF117" s="13" t="s">
        <v>37</v>
      </c>
    </row>
    <row r="118" spans="1:604" ht="18" customHeight="1" x14ac:dyDescent="0.3">
      <c r="A118" s="11">
        <v>28</v>
      </c>
      <c r="B118" s="16" t="s">
        <v>176</v>
      </c>
      <c r="C118" s="12" t="s">
        <v>26</v>
      </c>
      <c r="D118" s="12" t="s">
        <v>119</v>
      </c>
      <c r="E118" s="40" t="s">
        <v>37</v>
      </c>
      <c r="F118" s="14">
        <v>0</v>
      </c>
      <c r="G118" s="14">
        <v>0</v>
      </c>
      <c r="H118" s="12" t="s">
        <v>82</v>
      </c>
      <c r="I118" s="29">
        <v>47.4</v>
      </c>
      <c r="J118" s="29">
        <v>-98.41</v>
      </c>
      <c r="K118" s="12" t="s">
        <v>194</v>
      </c>
      <c r="L118" s="12" t="s">
        <v>195</v>
      </c>
      <c r="M118" s="13" t="s">
        <v>37</v>
      </c>
      <c r="N118" s="14">
        <v>20</v>
      </c>
      <c r="O118" s="14">
        <v>290</v>
      </c>
      <c r="P118" s="14" t="s">
        <v>16</v>
      </c>
      <c r="Q118" s="75">
        <v>5</v>
      </c>
      <c r="R118" s="11" t="s">
        <v>999</v>
      </c>
      <c r="S118" s="12" t="s">
        <v>37</v>
      </c>
      <c r="T118" s="12" t="s">
        <v>138</v>
      </c>
      <c r="U118" s="12" t="s">
        <v>158</v>
      </c>
      <c r="V118" s="12" t="s">
        <v>871</v>
      </c>
      <c r="W118" s="23" t="s">
        <v>37</v>
      </c>
      <c r="X118" s="12" t="s">
        <v>37</v>
      </c>
      <c r="Y118" s="12" t="s">
        <v>69</v>
      </c>
      <c r="Z118" s="12" t="s">
        <v>37</v>
      </c>
      <c r="AB118" s="12" t="s">
        <v>37</v>
      </c>
      <c r="AC118" s="12" t="s">
        <v>42</v>
      </c>
      <c r="AD118" s="32" t="s">
        <v>327</v>
      </c>
      <c r="AE118" s="12">
        <f t="shared" si="446"/>
        <v>105.83333333333334</v>
      </c>
      <c r="AF118" s="12" t="s">
        <v>42</v>
      </c>
      <c r="AG118" s="32" t="s">
        <v>327</v>
      </c>
      <c r="AH118" s="12">
        <f t="shared" si="447"/>
        <v>9.8730158730158717</v>
      </c>
      <c r="AJ118" s="12" t="str">
        <f t="shared" si="356"/>
        <v>0-15</v>
      </c>
      <c r="AK118" s="19">
        <f t="shared" si="357"/>
        <v>10.71945337620579</v>
      </c>
      <c r="AL118" s="32" t="s">
        <v>180</v>
      </c>
      <c r="AM118" s="54" t="s">
        <v>317</v>
      </c>
      <c r="AN118" s="32" t="s">
        <v>886</v>
      </c>
      <c r="AO118" s="12" t="s">
        <v>37</v>
      </c>
      <c r="AP118" s="12" t="s">
        <v>108</v>
      </c>
      <c r="AQ118" s="12" t="s">
        <v>975</v>
      </c>
      <c r="AR118" s="12" t="s">
        <v>42</v>
      </c>
      <c r="AS118" s="32" t="s">
        <v>327</v>
      </c>
      <c r="AT118" s="12">
        <f t="shared" si="448"/>
        <v>105.83333333333334</v>
      </c>
      <c r="AU118" s="12">
        <f t="shared" si="449"/>
        <v>2.2997342020000547E-2</v>
      </c>
      <c r="AV118" s="13">
        <v>3</v>
      </c>
      <c r="AW118" s="52">
        <f t="shared" si="426"/>
        <v>2.1729771987402088E-4</v>
      </c>
      <c r="AX118" s="12">
        <f t="shared" si="450"/>
        <v>93.603603603603588</v>
      </c>
      <c r="AY118" s="12">
        <f t="shared" si="451"/>
        <v>7.6364737602224427E-3</v>
      </c>
      <c r="AZ118" s="13">
        <v>3</v>
      </c>
      <c r="BA118" s="52">
        <f t="shared" si="397"/>
        <v>8.1583117168882704E-5</v>
      </c>
      <c r="BB118" s="52">
        <f t="shared" si="360"/>
        <v>-0.12279664688369792</v>
      </c>
      <c r="BC118" s="19">
        <f t="shared" si="361"/>
        <v>1.7958034689813364E-8</v>
      </c>
      <c r="BE118" s="12" t="s">
        <v>326</v>
      </c>
      <c r="BF118" s="12" t="s">
        <v>326</v>
      </c>
      <c r="BG118" s="12" t="s">
        <v>326</v>
      </c>
      <c r="BI118" s="12" t="s">
        <v>326</v>
      </c>
      <c r="BJ118" s="12" t="s">
        <v>326</v>
      </c>
      <c r="BK118" s="12" t="s">
        <v>326</v>
      </c>
      <c r="BP118" s="12" t="s">
        <v>37</v>
      </c>
      <c r="BQ118" s="12" t="s">
        <v>37</v>
      </c>
      <c r="BR118" s="13" t="s">
        <v>37</v>
      </c>
      <c r="BT118" s="12" t="s">
        <v>37</v>
      </c>
      <c r="BU118" s="12" t="s">
        <v>37</v>
      </c>
      <c r="BV118" s="12" t="s">
        <v>37</v>
      </c>
      <c r="CA118" s="12" t="s">
        <v>37</v>
      </c>
      <c r="CB118" s="12" t="s">
        <v>37</v>
      </c>
      <c r="CC118" s="13" t="s">
        <v>37</v>
      </c>
      <c r="CE118" s="12" t="s">
        <v>37</v>
      </c>
      <c r="CF118" s="12" t="s">
        <v>37</v>
      </c>
      <c r="CG118" s="13" t="s">
        <v>37</v>
      </c>
      <c r="CJ118" s="12"/>
      <c r="CN118" s="12" t="s">
        <v>37</v>
      </c>
      <c r="CO118" s="12" t="s">
        <v>37</v>
      </c>
      <c r="CP118" s="13" t="s">
        <v>37</v>
      </c>
      <c r="CR118" s="12" t="s">
        <v>37</v>
      </c>
      <c r="CS118" s="12" t="s">
        <v>37</v>
      </c>
      <c r="CT118" s="13" t="s">
        <v>37</v>
      </c>
      <c r="CX118" s="72"/>
      <c r="CY118" s="72"/>
      <c r="DA118" s="12" t="s">
        <v>37</v>
      </c>
      <c r="DB118" s="12" t="s">
        <v>37</v>
      </c>
      <c r="DC118" s="13" t="s">
        <v>37</v>
      </c>
      <c r="DE118" s="12" t="s">
        <v>37</v>
      </c>
      <c r="DF118" s="12" t="s">
        <v>37</v>
      </c>
      <c r="DG118" s="13" t="s">
        <v>37</v>
      </c>
      <c r="DM118" s="15"/>
      <c r="DO118" s="108"/>
      <c r="DP118" s="72"/>
      <c r="DS118" s="108"/>
      <c r="DT118" s="72"/>
      <c r="DX118" s="19"/>
      <c r="DY118" s="19"/>
      <c r="DZ118" s="12" t="s">
        <v>47</v>
      </c>
      <c r="EA118" s="19">
        <f>0.05*("2007/10/31"-"2007/04/01")/("2007/09/14"-"2007/04/11")*10^4/10^3/'[3]classess-1'!$I$6</f>
        <v>0.35237503307278556</v>
      </c>
      <c r="EB118" s="50">
        <f t="shared" si="364"/>
        <v>2.0261483293014391</v>
      </c>
      <c r="EC118" s="72">
        <v>3</v>
      </c>
      <c r="EE118" s="19">
        <f>0.21*("2007/10/31"-"2007/04/01")/("2007/09/14"-"2007/04/11")*10^4/10^3/'[3]classess-1'!$I$7</f>
        <v>2.9072916465010485</v>
      </c>
      <c r="EF118" s="50">
        <f t="shared" si="365"/>
        <v>4.3409916513851954</v>
      </c>
      <c r="EG118" s="13">
        <v>3</v>
      </c>
      <c r="EI118" s="19">
        <f t="shared" si="429"/>
        <v>2.5549166134282628</v>
      </c>
      <c r="EJ118" s="12">
        <f t="shared" si="366"/>
        <v>3.3874389713858299</v>
      </c>
      <c r="EK118" s="19">
        <f t="shared" si="367"/>
        <v>7.6498285232423253</v>
      </c>
      <c r="EL118" s="19">
        <f t="shared" si="368"/>
        <v>7.6498285232423262</v>
      </c>
      <c r="EM118" s="12" t="s">
        <v>39</v>
      </c>
      <c r="EN118" s="12">
        <v>37</v>
      </c>
      <c r="EO118" s="50">
        <f t="shared" si="398"/>
        <v>15.077366753797854</v>
      </c>
      <c r="EP118" s="13">
        <v>3</v>
      </c>
      <c r="ER118" s="12">
        <v>-39</v>
      </c>
      <c r="ES118" s="50">
        <f t="shared" si="399"/>
        <v>8.8457480868585723</v>
      </c>
      <c r="ET118" s="13">
        <v>3</v>
      </c>
      <c r="EV118" s="19">
        <f t="shared" si="400"/>
        <v>-76</v>
      </c>
      <c r="EW118" s="12">
        <f t="shared" si="401"/>
        <v>12.360708868116969</v>
      </c>
      <c r="EX118" s="19">
        <f t="shared" si="402"/>
        <v>101.85808248156366</v>
      </c>
      <c r="EY118" s="19">
        <f t="shared" si="403"/>
        <v>101.85808248156366</v>
      </c>
      <c r="FB118" s="12" t="s">
        <v>37</v>
      </c>
      <c r="FC118" s="12" t="s">
        <v>37</v>
      </c>
      <c r="FD118" s="11" t="s">
        <v>37</v>
      </c>
      <c r="FE118" s="12" t="s">
        <v>37</v>
      </c>
      <c r="FF118" s="20" t="s">
        <v>37</v>
      </c>
      <c r="FG118" s="11" t="s">
        <v>37</v>
      </c>
      <c r="FI118" s="12" t="s">
        <v>37</v>
      </c>
      <c r="FJ118" s="12" t="s">
        <v>37</v>
      </c>
      <c r="FK118" s="11" t="s">
        <v>37</v>
      </c>
      <c r="FL118" s="13" t="s">
        <v>37</v>
      </c>
      <c r="FM118" s="11" t="s">
        <v>37</v>
      </c>
      <c r="FN118" s="11" t="s">
        <v>37</v>
      </c>
      <c r="FP118" s="12" t="s">
        <v>37</v>
      </c>
      <c r="FQ118" s="12" t="s">
        <v>37</v>
      </c>
      <c r="FR118" s="11" t="s">
        <v>37</v>
      </c>
      <c r="FS118" s="13" t="s">
        <v>37</v>
      </c>
      <c r="FT118" s="11" t="s">
        <v>37</v>
      </c>
      <c r="FU118" s="11" t="s">
        <v>37</v>
      </c>
      <c r="FW118" s="12" t="s">
        <v>37</v>
      </c>
      <c r="FX118" s="12" t="s">
        <v>37</v>
      </c>
      <c r="FY118" s="11" t="s">
        <v>37</v>
      </c>
      <c r="FZ118" s="13" t="s">
        <v>37</v>
      </c>
      <c r="GA118" s="11" t="s">
        <v>37</v>
      </c>
      <c r="GB118" s="11" t="s">
        <v>37</v>
      </c>
      <c r="HA118" s="17" t="s">
        <v>63</v>
      </c>
      <c r="HB118" s="34" t="s">
        <v>327</v>
      </c>
      <c r="HC118" s="12">
        <v>0.84</v>
      </c>
      <c r="HD118" s="12">
        <f t="shared" si="452"/>
        <v>0.20784609690826525</v>
      </c>
      <c r="HE118" s="13">
        <v>3</v>
      </c>
      <c r="HF118" s="19">
        <f t="shared" si="404"/>
        <v>0.24743582965269673</v>
      </c>
      <c r="HG118" s="12">
        <v>1.1100000000000001</v>
      </c>
      <c r="HH118" s="12">
        <f t="shared" si="453"/>
        <v>0.12124355652982141</v>
      </c>
      <c r="HI118" s="13">
        <v>3</v>
      </c>
      <c r="HJ118" s="19">
        <f t="shared" si="405"/>
        <v>0.1092284293061454</v>
      </c>
      <c r="HK118" s="19">
        <f t="shared" si="375"/>
        <v>0.27871340246902065</v>
      </c>
      <c r="HL118" s="19">
        <f t="shared" si="376"/>
        <v>2.4385113188201989E-2</v>
      </c>
      <c r="IK118" s="12" t="s">
        <v>37</v>
      </c>
      <c r="IL118" s="12" t="s">
        <v>37</v>
      </c>
      <c r="IM118" s="12" t="s">
        <v>37</v>
      </c>
      <c r="IO118" s="12" t="s">
        <v>37</v>
      </c>
      <c r="IP118" s="12" t="s">
        <v>37</v>
      </c>
      <c r="IQ118" s="12" t="s">
        <v>37</v>
      </c>
      <c r="IW118" s="12" t="s">
        <v>37</v>
      </c>
      <c r="IX118" s="12" t="s">
        <v>37</v>
      </c>
      <c r="IY118" s="13" t="s">
        <v>37</v>
      </c>
      <c r="JA118" s="12" t="s">
        <v>37</v>
      </c>
      <c r="JB118" s="12" t="s">
        <v>37</v>
      </c>
      <c r="JC118" s="13" t="s">
        <v>37</v>
      </c>
      <c r="JH118" s="12" t="s">
        <v>37</v>
      </c>
      <c r="JI118" s="12" t="s">
        <v>37</v>
      </c>
      <c r="JJ118" s="13" t="s">
        <v>37</v>
      </c>
      <c r="JL118" s="12" t="s">
        <v>37</v>
      </c>
      <c r="JM118" s="12" t="s">
        <v>37</v>
      </c>
      <c r="JN118" s="12" t="s">
        <v>37</v>
      </c>
      <c r="JS118" s="12" t="s">
        <v>37</v>
      </c>
      <c r="JT118" s="12" t="s">
        <v>37</v>
      </c>
      <c r="JU118" s="13" t="s">
        <v>37</v>
      </c>
      <c r="JW118" s="12" t="s">
        <v>37</v>
      </c>
      <c r="JX118" s="12" t="s">
        <v>37</v>
      </c>
      <c r="JY118" s="12" t="s">
        <v>37</v>
      </c>
      <c r="KE118" s="11" t="s">
        <v>37</v>
      </c>
      <c r="KF118" s="11" t="s">
        <v>37</v>
      </c>
      <c r="KG118" s="13" t="s">
        <v>37</v>
      </c>
      <c r="KH118" s="11" t="s">
        <v>37</v>
      </c>
      <c r="KI118" s="11" t="s">
        <v>37</v>
      </c>
      <c r="KJ118" s="11" t="s">
        <v>37</v>
      </c>
      <c r="KK118" s="12" t="s">
        <v>42</v>
      </c>
      <c r="KL118" s="32" t="s">
        <v>327</v>
      </c>
      <c r="KM118" s="12">
        <f t="shared" si="454"/>
        <v>9.8730158730158717</v>
      </c>
      <c r="KN118" s="12">
        <f t="shared" si="455"/>
        <v>1.9964352069321424E-3</v>
      </c>
      <c r="KO118" s="11">
        <v>3</v>
      </c>
      <c r="KP118" s="19">
        <f t="shared" si="406"/>
        <v>2.0221128301724274E-4</v>
      </c>
      <c r="KQ118" s="12">
        <f t="shared" si="456"/>
        <v>9.7477477477477468</v>
      </c>
      <c r="KR118" s="12">
        <f t="shared" si="457"/>
        <v>8.7999224783610419E-4</v>
      </c>
      <c r="KS118" s="13">
        <v>3</v>
      </c>
      <c r="KT118" s="19">
        <f t="shared" si="407"/>
        <v>9.0276469047881306E-5</v>
      </c>
      <c r="KU118" s="19">
        <f t="shared" si="382"/>
        <v>-1.2769108253553993E-2</v>
      </c>
      <c r="KV118" s="19">
        <f t="shared" si="383"/>
        <v>1.6346414614410839E-8</v>
      </c>
      <c r="KX118" s="12" t="s">
        <v>37</v>
      </c>
      <c r="KY118" s="12" t="s">
        <v>37</v>
      </c>
      <c r="KZ118" s="13" t="s">
        <v>37</v>
      </c>
      <c r="LB118" s="12" t="s">
        <v>37</v>
      </c>
      <c r="LC118" s="12" t="s">
        <v>37</v>
      </c>
      <c r="LD118" s="13" t="s">
        <v>37</v>
      </c>
      <c r="LI118" s="12" t="s">
        <v>37</v>
      </c>
      <c r="LJ118" s="12" t="s">
        <v>37</v>
      </c>
      <c r="LK118" s="12" t="s">
        <v>37</v>
      </c>
      <c r="LM118" s="12" t="s">
        <v>37</v>
      </c>
      <c r="LN118" s="12" t="s">
        <v>37</v>
      </c>
      <c r="LO118" s="12" t="s">
        <v>37</v>
      </c>
      <c r="LT118" s="12" t="str">
        <f t="shared" si="408"/>
        <v>0-15</v>
      </c>
      <c r="LU118" s="12">
        <f t="shared" si="385"/>
        <v>10.71945337620579</v>
      </c>
      <c r="LV118" s="29">
        <f t="shared" si="386"/>
        <v>3.1818490825917668E-3</v>
      </c>
      <c r="LW118" s="13">
        <f t="shared" si="409"/>
        <v>3</v>
      </c>
      <c r="LX118" s="19">
        <f t="shared" si="410"/>
        <v>2.9682941572884569E-4</v>
      </c>
      <c r="LY118" s="12">
        <f t="shared" si="388"/>
        <v>9.602587800369685</v>
      </c>
      <c r="LZ118" s="29">
        <f t="shared" si="389"/>
        <v>1.1684280262255905E-3</v>
      </c>
      <c r="MA118" s="13">
        <f t="shared" si="411"/>
        <v>3</v>
      </c>
      <c r="MB118" s="19">
        <f t="shared" si="412"/>
        <v>1.2167845277921935E-4</v>
      </c>
      <c r="MC118" s="19">
        <f t="shared" si="391"/>
        <v>-0.11002753863014396</v>
      </c>
      <c r="MD118" s="19">
        <f t="shared" si="392"/>
        <v>3.4304449304224206E-8</v>
      </c>
      <c r="MF118" s="12" t="s">
        <v>37</v>
      </c>
      <c r="MG118" s="12" t="s">
        <v>37</v>
      </c>
      <c r="MH118" s="12" t="s">
        <v>37</v>
      </c>
      <c r="MJ118" s="12" t="s">
        <v>37</v>
      </c>
      <c r="MK118" s="12" t="s">
        <v>37</v>
      </c>
      <c r="ML118" s="12" t="s">
        <v>37</v>
      </c>
      <c r="MQ118" s="12" t="s">
        <v>37</v>
      </c>
      <c r="MR118" s="12" t="s">
        <v>37</v>
      </c>
      <c r="MS118" s="12" t="s">
        <v>37</v>
      </c>
      <c r="MU118" s="12" t="s">
        <v>37</v>
      </c>
      <c r="MV118" s="12" t="s">
        <v>37</v>
      </c>
      <c r="MW118" s="12" t="s">
        <v>37</v>
      </c>
      <c r="NA118" s="12" t="s">
        <v>177</v>
      </c>
      <c r="NB118" s="12" t="s">
        <v>327</v>
      </c>
      <c r="NC118" s="12">
        <v>0.06</v>
      </c>
      <c r="ND118" s="12">
        <f t="shared" si="458"/>
        <v>1.7320508075688773E-2</v>
      </c>
      <c r="NE118" s="13">
        <v>3</v>
      </c>
      <c r="NF118" s="19">
        <f t="shared" si="413"/>
        <v>0.28867513459481292</v>
      </c>
      <c r="NG118" s="12">
        <v>0.02</v>
      </c>
      <c r="NH118" s="12">
        <f t="shared" si="437"/>
        <v>1.7320508075688772E-3</v>
      </c>
      <c r="NI118" s="13">
        <v>3</v>
      </c>
      <c r="NJ118" s="19">
        <f t="shared" si="414"/>
        <v>8.6602540378443851E-2</v>
      </c>
      <c r="NK118" s="19">
        <f t="shared" si="415"/>
        <v>-1.0986122886681096</v>
      </c>
      <c r="NL118" s="19">
        <f t="shared" si="438"/>
        <v>3.0277777777777778E-2</v>
      </c>
      <c r="NM118" s="12" t="s">
        <v>177</v>
      </c>
      <c r="NN118" s="12" t="s">
        <v>327</v>
      </c>
      <c r="NO118" s="12">
        <v>0.01</v>
      </c>
      <c r="NP118" s="12">
        <f t="shared" si="439"/>
        <v>1.7320508075688773E-2</v>
      </c>
      <c r="NQ118" s="13">
        <v>3</v>
      </c>
      <c r="NR118" s="19">
        <f t="shared" si="440"/>
        <v>1.7320508075688772</v>
      </c>
      <c r="NS118" s="12">
        <v>0.04</v>
      </c>
      <c r="NT118" s="12">
        <f t="shared" si="459"/>
        <v>3.4641016151377546E-2</v>
      </c>
      <c r="NU118" s="13">
        <v>3</v>
      </c>
      <c r="NV118" s="19">
        <f t="shared" si="442"/>
        <v>0.8660254037844386</v>
      </c>
      <c r="NW118" s="19">
        <f t="shared" si="417"/>
        <v>1.3862943611198906</v>
      </c>
      <c r="NX118" s="19">
        <f t="shared" si="418"/>
        <v>1.25</v>
      </c>
      <c r="OA118" s="11" t="s">
        <v>37</v>
      </c>
      <c r="OB118" s="11" t="s">
        <v>37</v>
      </c>
      <c r="OC118" s="13" t="s">
        <v>37</v>
      </c>
      <c r="OE118" s="11" t="s">
        <v>37</v>
      </c>
      <c r="OF118" s="11" t="s">
        <v>37</v>
      </c>
      <c r="OG118" s="13" t="s">
        <v>37</v>
      </c>
      <c r="OM118" s="11" t="s">
        <v>37</v>
      </c>
      <c r="ON118" s="11" t="s">
        <v>37</v>
      </c>
      <c r="OO118" s="11" t="s">
        <v>37</v>
      </c>
      <c r="OP118" s="11" t="s">
        <v>37</v>
      </c>
      <c r="OQ118" s="11" t="s">
        <v>37</v>
      </c>
      <c r="OR118" s="11" t="s">
        <v>37</v>
      </c>
      <c r="OW118" s="12" t="s">
        <v>37</v>
      </c>
      <c r="OX118" s="12" t="s">
        <v>37</v>
      </c>
      <c r="OY118" s="13" t="s">
        <v>37</v>
      </c>
      <c r="OZ118" s="12" t="s">
        <v>37</v>
      </c>
      <c r="PA118" s="12" t="s">
        <v>37</v>
      </c>
      <c r="PB118" s="13" t="s">
        <v>37</v>
      </c>
      <c r="PG118" s="11" t="s">
        <v>37</v>
      </c>
      <c r="PH118" s="11" t="s">
        <v>37</v>
      </c>
      <c r="PI118" s="13" t="s">
        <v>37</v>
      </c>
      <c r="PJ118" s="11" t="s">
        <v>37</v>
      </c>
      <c r="PK118" s="11" t="s">
        <v>37</v>
      </c>
      <c r="PL118" s="13" t="s">
        <v>37</v>
      </c>
      <c r="PQ118" s="12" t="s">
        <v>37</v>
      </c>
      <c r="PR118" s="12" t="s">
        <v>37</v>
      </c>
      <c r="PS118" s="12" t="s">
        <v>37</v>
      </c>
      <c r="PT118" s="12" t="s">
        <v>37</v>
      </c>
      <c r="PU118" s="12" t="s">
        <v>37</v>
      </c>
      <c r="PV118" s="12" t="s">
        <v>37</v>
      </c>
      <c r="PW118" s="12"/>
      <c r="PX118" s="12"/>
      <c r="PZ118" s="12" t="s">
        <v>37</v>
      </c>
      <c r="QA118" s="12" t="s">
        <v>37</v>
      </c>
      <c r="QB118" s="11" t="s">
        <v>37</v>
      </c>
      <c r="QD118" s="12" t="s">
        <v>37</v>
      </c>
      <c r="QE118" s="12" t="s">
        <v>37</v>
      </c>
      <c r="QF118" s="12" t="s">
        <v>37</v>
      </c>
      <c r="QK118" s="12" t="s">
        <v>37</v>
      </c>
      <c r="QL118" s="12" t="s">
        <v>37</v>
      </c>
      <c r="QM118" s="12" t="s">
        <v>37</v>
      </c>
      <c r="QN118" s="12" t="s">
        <v>37</v>
      </c>
      <c r="QO118" s="12" t="s">
        <v>37</v>
      </c>
      <c r="QP118" s="12" t="s">
        <v>37</v>
      </c>
      <c r="QQ118" s="12"/>
      <c r="QR118" s="12"/>
      <c r="QU118" s="11" t="s">
        <v>37</v>
      </c>
      <c r="QV118" s="11" t="s">
        <v>37</v>
      </c>
      <c r="QW118" s="13" t="s">
        <v>37</v>
      </c>
      <c r="QX118" s="11" t="s">
        <v>37</v>
      </c>
      <c r="QY118" s="11" t="s">
        <v>37</v>
      </c>
      <c r="QZ118" s="13" t="s">
        <v>37</v>
      </c>
      <c r="RC118" s="12" t="s">
        <v>37</v>
      </c>
      <c r="RD118" s="12" t="s">
        <v>37</v>
      </c>
      <c r="RE118" s="13" t="s">
        <v>37</v>
      </c>
      <c r="RF118" s="12" t="s">
        <v>37</v>
      </c>
      <c r="RG118" s="12" t="s">
        <v>37</v>
      </c>
      <c r="RH118" s="13" t="s">
        <v>37</v>
      </c>
      <c r="RK118" s="11" t="s">
        <v>37</v>
      </c>
      <c r="RL118" s="11" t="s">
        <v>37</v>
      </c>
      <c r="RM118" s="11" t="s">
        <v>37</v>
      </c>
      <c r="RN118" s="11" t="s">
        <v>37</v>
      </c>
      <c r="RO118" s="11" t="s">
        <v>37</v>
      </c>
      <c r="RP118" s="11" t="s">
        <v>37</v>
      </c>
      <c r="RS118" s="11" t="s">
        <v>37</v>
      </c>
      <c r="RT118" s="11" t="s">
        <v>37</v>
      </c>
      <c r="RU118" s="11" t="s">
        <v>37</v>
      </c>
      <c r="RV118" s="11" t="s">
        <v>37</v>
      </c>
      <c r="RW118" s="11" t="s">
        <v>37</v>
      </c>
      <c r="RX118" s="11" t="s">
        <v>37</v>
      </c>
      <c r="SA118" s="11" t="s">
        <v>37</v>
      </c>
      <c r="SB118" s="11" t="s">
        <v>37</v>
      </c>
      <c r="SC118" s="13" t="s">
        <v>37</v>
      </c>
      <c r="SD118" s="11" t="s">
        <v>37</v>
      </c>
      <c r="SE118" s="11" t="s">
        <v>37</v>
      </c>
      <c r="SF118" s="13" t="s">
        <v>37</v>
      </c>
      <c r="SG118" s="12" t="s">
        <v>177</v>
      </c>
      <c r="SH118" s="12" t="s">
        <v>327</v>
      </c>
      <c r="SI118" s="12">
        <v>0.06</v>
      </c>
      <c r="SJ118" s="12">
        <f t="shared" si="443"/>
        <v>1.7320508075688773E-2</v>
      </c>
      <c r="SK118" s="13">
        <v>3</v>
      </c>
      <c r="SL118" s="19">
        <f t="shared" si="419"/>
        <v>0.28867513459481292</v>
      </c>
      <c r="SM118" s="12">
        <v>0.15</v>
      </c>
      <c r="SN118" s="12">
        <f t="shared" si="460"/>
        <v>3.4641016151377546E-2</v>
      </c>
      <c r="SO118" s="13">
        <v>3</v>
      </c>
      <c r="SP118" s="19">
        <f t="shared" si="445"/>
        <v>0.23094010767585033</v>
      </c>
      <c r="SQ118" s="19">
        <f t="shared" si="420"/>
        <v>0.91629073187415511</v>
      </c>
      <c r="SR118" s="19">
        <f t="shared" si="421"/>
        <v>4.5555555555555557E-2</v>
      </c>
      <c r="SU118" s="12" t="s">
        <v>37</v>
      </c>
      <c r="SV118" s="12" t="s">
        <v>37</v>
      </c>
      <c r="SW118" s="11" t="s">
        <v>37</v>
      </c>
      <c r="SX118" s="12" t="s">
        <v>37</v>
      </c>
      <c r="SY118" s="12" t="s">
        <v>37</v>
      </c>
      <c r="SZ118" s="11" t="s">
        <v>37</v>
      </c>
      <c r="TE118" s="12" t="s">
        <v>37</v>
      </c>
      <c r="TF118" s="12" t="s">
        <v>37</v>
      </c>
      <c r="TG118" s="11" t="s">
        <v>37</v>
      </c>
      <c r="TH118" s="12" t="s">
        <v>37</v>
      </c>
      <c r="TI118" s="12" t="s">
        <v>37</v>
      </c>
      <c r="TJ118" s="11" t="s">
        <v>37</v>
      </c>
      <c r="TO118" s="12" t="s">
        <v>37</v>
      </c>
      <c r="TP118" s="12" t="s">
        <v>37</v>
      </c>
      <c r="TQ118" s="11" t="s">
        <v>37</v>
      </c>
      <c r="TR118" s="12" t="s">
        <v>37</v>
      </c>
      <c r="TS118" s="12" t="s">
        <v>37</v>
      </c>
      <c r="TT118" s="11" t="s">
        <v>37</v>
      </c>
      <c r="TY118" s="12" t="s">
        <v>37</v>
      </c>
      <c r="TZ118" s="12" t="s">
        <v>37</v>
      </c>
      <c r="UA118" s="12" t="s">
        <v>37</v>
      </c>
      <c r="UB118" s="12" t="s">
        <v>37</v>
      </c>
      <c r="UC118" s="12" t="s">
        <v>37</v>
      </c>
      <c r="UD118" s="12" t="s">
        <v>37</v>
      </c>
      <c r="UE118" s="12"/>
      <c r="UF118" s="12"/>
      <c r="UI118" s="12" t="s">
        <v>37</v>
      </c>
      <c r="UJ118" s="12" t="s">
        <v>37</v>
      </c>
      <c r="UK118" s="12" t="s">
        <v>37</v>
      </c>
      <c r="UL118" s="12" t="s">
        <v>37</v>
      </c>
      <c r="UM118" s="12" t="s">
        <v>37</v>
      </c>
      <c r="UN118" s="12" t="s">
        <v>37</v>
      </c>
      <c r="UO118" s="12"/>
      <c r="UP118" s="12"/>
      <c r="UR118" s="12" t="s">
        <v>37</v>
      </c>
      <c r="US118" s="12" t="s">
        <v>37</v>
      </c>
      <c r="UT118" s="12" t="s">
        <v>37</v>
      </c>
      <c r="UU118" s="12" t="s">
        <v>37</v>
      </c>
      <c r="UV118" s="12" t="s">
        <v>37</v>
      </c>
      <c r="UW118" s="12" t="s">
        <v>37</v>
      </c>
      <c r="UX118" s="12"/>
      <c r="UY118" s="12"/>
      <c r="VB118" s="12" t="s">
        <v>37</v>
      </c>
      <c r="VC118" s="12" t="s">
        <v>37</v>
      </c>
      <c r="VD118" s="12" t="s">
        <v>37</v>
      </c>
      <c r="VE118" s="12" t="s">
        <v>37</v>
      </c>
      <c r="VF118" s="12" t="s">
        <v>37</v>
      </c>
      <c r="VG118" s="12" t="s">
        <v>37</v>
      </c>
      <c r="VI118" s="12" t="s">
        <v>37</v>
      </c>
      <c r="VJ118" s="12" t="s">
        <v>37</v>
      </c>
      <c r="VK118" s="12" t="s">
        <v>37</v>
      </c>
      <c r="VL118" s="12" t="s">
        <v>37</v>
      </c>
      <c r="VM118" s="12" t="s">
        <v>37</v>
      </c>
      <c r="VN118" s="12" t="s">
        <v>37</v>
      </c>
      <c r="VQ118" s="13" t="s">
        <v>37</v>
      </c>
      <c r="VR118" s="13" t="s">
        <v>37</v>
      </c>
      <c r="VS118" s="13" t="s">
        <v>37</v>
      </c>
      <c r="VT118" s="13" t="s">
        <v>37</v>
      </c>
      <c r="VU118" s="13" t="s">
        <v>37</v>
      </c>
      <c r="VV118" s="13" t="s">
        <v>37</v>
      </c>
      <c r="WA118" s="13" t="s">
        <v>37</v>
      </c>
      <c r="WB118" s="13" t="s">
        <v>37</v>
      </c>
      <c r="WC118" s="13" t="s">
        <v>37</v>
      </c>
      <c r="WD118" s="13" t="s">
        <v>37</v>
      </c>
      <c r="WE118" s="13" t="s">
        <v>37</v>
      </c>
      <c r="WF118" s="13" t="s">
        <v>37</v>
      </c>
    </row>
    <row r="119" spans="1:604" ht="18" customHeight="1" x14ac:dyDescent="0.3">
      <c r="A119" s="11">
        <v>28</v>
      </c>
      <c r="B119" s="16" t="s">
        <v>176</v>
      </c>
      <c r="C119" s="12" t="s">
        <v>26</v>
      </c>
      <c r="D119" s="12" t="s">
        <v>119</v>
      </c>
      <c r="E119" s="40" t="s">
        <v>37</v>
      </c>
      <c r="F119" s="14">
        <v>0</v>
      </c>
      <c r="G119" s="14">
        <v>0</v>
      </c>
      <c r="H119" s="12" t="s">
        <v>82</v>
      </c>
      <c r="I119" s="29">
        <v>47.35</v>
      </c>
      <c r="J119" s="29">
        <v>-98.2</v>
      </c>
      <c r="K119" s="12" t="s">
        <v>196</v>
      </c>
      <c r="L119" s="12" t="s">
        <v>197</v>
      </c>
      <c r="M119" s="13" t="s">
        <v>37</v>
      </c>
      <c r="N119" s="14">
        <v>19</v>
      </c>
      <c r="O119" s="14">
        <v>380</v>
      </c>
      <c r="P119" s="14" t="s">
        <v>16</v>
      </c>
      <c r="Q119" s="75">
        <v>6</v>
      </c>
      <c r="R119" s="11" t="s">
        <v>999</v>
      </c>
      <c r="S119" s="12" t="s">
        <v>37</v>
      </c>
      <c r="T119" s="12" t="s">
        <v>138</v>
      </c>
      <c r="U119" s="12" t="s">
        <v>158</v>
      </c>
      <c r="V119" s="12" t="s">
        <v>871</v>
      </c>
      <c r="W119" s="23" t="s">
        <v>37</v>
      </c>
      <c r="X119" s="12" t="s">
        <v>37</v>
      </c>
      <c r="Y119" s="12" t="s">
        <v>69</v>
      </c>
      <c r="Z119" s="12" t="s">
        <v>37</v>
      </c>
      <c r="AB119" s="12" t="s">
        <v>37</v>
      </c>
      <c r="AC119" s="12" t="s">
        <v>42</v>
      </c>
      <c r="AD119" s="32" t="s">
        <v>327</v>
      </c>
      <c r="AE119" s="12">
        <f t="shared" si="446"/>
        <v>105.83333333333334</v>
      </c>
      <c r="AF119" s="12" t="s">
        <v>42</v>
      </c>
      <c r="AG119" s="32" t="s">
        <v>327</v>
      </c>
      <c r="AH119" s="12">
        <f t="shared" si="447"/>
        <v>9.8730158730158717</v>
      </c>
      <c r="AJ119" s="12" t="str">
        <f t="shared" si="356"/>
        <v>0-15</v>
      </c>
      <c r="AK119" s="19">
        <f t="shared" si="357"/>
        <v>10.71945337620579</v>
      </c>
      <c r="AL119" s="32" t="s">
        <v>181</v>
      </c>
      <c r="AM119" s="54" t="s">
        <v>317</v>
      </c>
      <c r="AN119" s="32" t="s">
        <v>886</v>
      </c>
      <c r="AO119" s="12" t="s">
        <v>37</v>
      </c>
      <c r="AP119" s="12" t="s">
        <v>108</v>
      </c>
      <c r="AQ119" s="12" t="s">
        <v>975</v>
      </c>
      <c r="AR119" s="12" t="s">
        <v>42</v>
      </c>
      <c r="AS119" s="32" t="s">
        <v>327</v>
      </c>
      <c r="AT119" s="12">
        <f t="shared" si="448"/>
        <v>105.83333333333334</v>
      </c>
      <c r="AU119" s="12">
        <f t="shared" si="449"/>
        <v>2.2997342020000547E-2</v>
      </c>
      <c r="AV119" s="13">
        <v>3</v>
      </c>
      <c r="AW119" s="52">
        <f t="shared" si="426"/>
        <v>2.1729771987402088E-4</v>
      </c>
      <c r="AX119" s="12">
        <f t="shared" si="450"/>
        <v>93.603603603603588</v>
      </c>
      <c r="AY119" s="12">
        <f t="shared" si="451"/>
        <v>7.6364737602224427E-3</v>
      </c>
      <c r="AZ119" s="13">
        <v>3</v>
      </c>
      <c r="BA119" s="52">
        <f t="shared" si="397"/>
        <v>8.1583117168882704E-5</v>
      </c>
      <c r="BB119" s="52">
        <f t="shared" si="360"/>
        <v>-0.12279664688369792</v>
      </c>
      <c r="BC119" s="19">
        <f t="shared" si="361"/>
        <v>1.7958034689813364E-8</v>
      </c>
      <c r="BE119" s="12" t="s">
        <v>326</v>
      </c>
      <c r="BF119" s="12" t="s">
        <v>326</v>
      </c>
      <c r="BG119" s="12" t="s">
        <v>326</v>
      </c>
      <c r="BI119" s="12" t="s">
        <v>326</v>
      </c>
      <c r="BJ119" s="12" t="s">
        <v>326</v>
      </c>
      <c r="BK119" s="12" t="s">
        <v>326</v>
      </c>
      <c r="BP119" s="12" t="s">
        <v>37</v>
      </c>
      <c r="BQ119" s="12" t="s">
        <v>37</v>
      </c>
      <c r="BR119" s="13" t="s">
        <v>37</v>
      </c>
      <c r="BT119" s="12" t="s">
        <v>37</v>
      </c>
      <c r="BU119" s="12" t="s">
        <v>37</v>
      </c>
      <c r="BV119" s="12" t="s">
        <v>37</v>
      </c>
      <c r="CA119" s="12" t="s">
        <v>37</v>
      </c>
      <c r="CB119" s="12" t="s">
        <v>37</v>
      </c>
      <c r="CC119" s="13" t="s">
        <v>37</v>
      </c>
      <c r="CE119" s="12" t="s">
        <v>37</v>
      </c>
      <c r="CF119" s="12" t="s">
        <v>37</v>
      </c>
      <c r="CG119" s="13" t="s">
        <v>37</v>
      </c>
      <c r="CJ119" s="12"/>
      <c r="CN119" s="12" t="s">
        <v>37</v>
      </c>
      <c r="CO119" s="12" t="s">
        <v>37</v>
      </c>
      <c r="CP119" s="13" t="s">
        <v>37</v>
      </c>
      <c r="CR119" s="12" t="s">
        <v>37</v>
      </c>
      <c r="CS119" s="12" t="s">
        <v>37</v>
      </c>
      <c r="CT119" s="13" t="s">
        <v>37</v>
      </c>
      <c r="CX119" s="72"/>
      <c r="CY119" s="72"/>
      <c r="DA119" s="12" t="s">
        <v>37</v>
      </c>
      <c r="DB119" s="12" t="s">
        <v>37</v>
      </c>
      <c r="DC119" s="13" t="s">
        <v>37</v>
      </c>
      <c r="DE119" s="12" t="s">
        <v>37</v>
      </c>
      <c r="DF119" s="12" t="s">
        <v>37</v>
      </c>
      <c r="DG119" s="13" t="s">
        <v>37</v>
      </c>
      <c r="DM119" s="15"/>
      <c r="DO119" s="108"/>
      <c r="DP119" s="72"/>
      <c r="DS119" s="108"/>
      <c r="DT119" s="72"/>
      <c r="DX119" s="19"/>
      <c r="DY119" s="19"/>
      <c r="DZ119" s="12" t="s">
        <v>47</v>
      </c>
      <c r="EA119" s="19">
        <f>0.03*("2008/10/31"-"2008/04/01")/("2008/08/22"-"2008/04/02")*10^4/10^3/'[3]classess-1'!$I$6</f>
        <v>0.2322697401099488</v>
      </c>
      <c r="EB119" s="50">
        <f t="shared" si="364"/>
        <v>1.3355456593141879</v>
      </c>
      <c r="EC119" s="72">
        <v>3</v>
      </c>
      <c r="EE119" s="19">
        <f>0.21*("2008/10/31"-"2008/04/01")/("2008/08/22"-"2008/04/02")*10^4/10^3/'[3]classess-1'!$I$7</f>
        <v>3.1939260341842504</v>
      </c>
      <c r="EF119" s="50">
        <f t="shared" si="365"/>
        <v>4.7689767437752844</v>
      </c>
      <c r="EG119" s="13">
        <v>3</v>
      </c>
      <c r="EI119" s="19">
        <f t="shared" si="429"/>
        <v>2.9616562940743014</v>
      </c>
      <c r="EJ119" s="12">
        <f t="shared" si="366"/>
        <v>3.5019152895795811</v>
      </c>
      <c r="EK119" s="19">
        <f t="shared" si="367"/>
        <v>8.1756071302608255</v>
      </c>
      <c r="EL119" s="19">
        <f t="shared" si="368"/>
        <v>8.1756071302608273</v>
      </c>
      <c r="EM119" s="12" t="s">
        <v>39</v>
      </c>
      <c r="EN119" s="12">
        <v>24</v>
      </c>
      <c r="EO119" s="50">
        <f t="shared" si="398"/>
        <v>9.7799135700310398</v>
      </c>
      <c r="EP119" s="13">
        <v>3</v>
      </c>
      <c r="ER119" s="12">
        <v>-36</v>
      </c>
      <c r="ES119" s="50">
        <f t="shared" si="399"/>
        <v>8.1653059263309906</v>
      </c>
      <c r="ET119" s="13">
        <v>3</v>
      </c>
      <c r="EV119" s="19">
        <f t="shared" si="400"/>
        <v>-60</v>
      </c>
      <c r="EW119" s="12">
        <f t="shared" si="401"/>
        <v>9.008854819227949</v>
      </c>
      <c r="EX119" s="19">
        <f t="shared" si="402"/>
        <v>54.106310102617762</v>
      </c>
      <c r="EY119" s="19">
        <f t="shared" si="403"/>
        <v>54.106310102617755</v>
      </c>
      <c r="FB119" s="12" t="s">
        <v>37</v>
      </c>
      <c r="FC119" s="12" t="s">
        <v>37</v>
      </c>
      <c r="FD119" s="11" t="s">
        <v>37</v>
      </c>
      <c r="FE119" s="12" t="s">
        <v>37</v>
      </c>
      <c r="FF119" s="20" t="s">
        <v>37</v>
      </c>
      <c r="FG119" s="11" t="s">
        <v>37</v>
      </c>
      <c r="FI119" s="12" t="s">
        <v>37</v>
      </c>
      <c r="FJ119" s="12" t="s">
        <v>37</v>
      </c>
      <c r="FK119" s="11" t="s">
        <v>37</v>
      </c>
      <c r="FL119" s="13" t="s">
        <v>37</v>
      </c>
      <c r="FM119" s="11" t="s">
        <v>37</v>
      </c>
      <c r="FN119" s="11" t="s">
        <v>37</v>
      </c>
      <c r="FP119" s="12" t="s">
        <v>37</v>
      </c>
      <c r="FQ119" s="12" t="s">
        <v>37</v>
      </c>
      <c r="FR119" s="11" t="s">
        <v>37</v>
      </c>
      <c r="FS119" s="13" t="s">
        <v>37</v>
      </c>
      <c r="FT119" s="11" t="s">
        <v>37</v>
      </c>
      <c r="FU119" s="11" t="s">
        <v>37</v>
      </c>
      <c r="FW119" s="12" t="s">
        <v>37</v>
      </c>
      <c r="FX119" s="12" t="s">
        <v>37</v>
      </c>
      <c r="FY119" s="11" t="s">
        <v>37</v>
      </c>
      <c r="FZ119" s="13" t="s">
        <v>37</v>
      </c>
      <c r="GA119" s="11" t="s">
        <v>37</v>
      </c>
      <c r="GB119" s="11" t="s">
        <v>37</v>
      </c>
      <c r="HA119" s="17" t="s">
        <v>63</v>
      </c>
      <c r="HB119" s="34" t="s">
        <v>327</v>
      </c>
      <c r="HC119" s="12">
        <v>0.84</v>
      </c>
      <c r="HD119" s="12">
        <f t="shared" si="452"/>
        <v>0.20784609690826525</v>
      </c>
      <c r="HE119" s="13">
        <v>3</v>
      </c>
      <c r="HF119" s="19">
        <f t="shared" si="404"/>
        <v>0.24743582965269673</v>
      </c>
      <c r="HG119" s="12">
        <v>1.1100000000000001</v>
      </c>
      <c r="HH119" s="12">
        <f t="shared" si="453"/>
        <v>0.12124355652982141</v>
      </c>
      <c r="HI119" s="13">
        <v>3</v>
      </c>
      <c r="HJ119" s="19">
        <f t="shared" si="405"/>
        <v>0.1092284293061454</v>
      </c>
      <c r="HK119" s="19">
        <f t="shared" si="375"/>
        <v>0.27871340246902065</v>
      </c>
      <c r="HL119" s="19">
        <f t="shared" si="376"/>
        <v>2.4385113188201989E-2</v>
      </c>
      <c r="IK119" s="12" t="s">
        <v>37</v>
      </c>
      <c r="IL119" s="12" t="s">
        <v>37</v>
      </c>
      <c r="IM119" s="12" t="s">
        <v>37</v>
      </c>
      <c r="IO119" s="12" t="s">
        <v>37</v>
      </c>
      <c r="IP119" s="12" t="s">
        <v>37</v>
      </c>
      <c r="IQ119" s="12" t="s">
        <v>37</v>
      </c>
      <c r="IW119" s="12" t="s">
        <v>37</v>
      </c>
      <c r="IX119" s="12" t="s">
        <v>37</v>
      </c>
      <c r="IY119" s="13" t="s">
        <v>37</v>
      </c>
      <c r="JA119" s="12" t="s">
        <v>37</v>
      </c>
      <c r="JB119" s="12" t="s">
        <v>37</v>
      </c>
      <c r="JC119" s="13" t="s">
        <v>37</v>
      </c>
      <c r="JH119" s="12" t="s">
        <v>37</v>
      </c>
      <c r="JI119" s="12" t="s">
        <v>37</v>
      </c>
      <c r="JJ119" s="13" t="s">
        <v>37</v>
      </c>
      <c r="JL119" s="12" t="s">
        <v>37</v>
      </c>
      <c r="JM119" s="12" t="s">
        <v>37</v>
      </c>
      <c r="JN119" s="12" t="s">
        <v>37</v>
      </c>
      <c r="JS119" s="12" t="s">
        <v>37</v>
      </c>
      <c r="JT119" s="12" t="s">
        <v>37</v>
      </c>
      <c r="JU119" s="13" t="s">
        <v>37</v>
      </c>
      <c r="JW119" s="12" t="s">
        <v>37</v>
      </c>
      <c r="JX119" s="12" t="s">
        <v>37</v>
      </c>
      <c r="JY119" s="12" t="s">
        <v>37</v>
      </c>
      <c r="KE119" s="11" t="s">
        <v>37</v>
      </c>
      <c r="KF119" s="11" t="s">
        <v>37</v>
      </c>
      <c r="KG119" s="13" t="s">
        <v>37</v>
      </c>
      <c r="KH119" s="11" t="s">
        <v>37</v>
      </c>
      <c r="KI119" s="11" t="s">
        <v>37</v>
      </c>
      <c r="KJ119" s="11" t="s">
        <v>37</v>
      </c>
      <c r="KK119" s="12" t="s">
        <v>42</v>
      </c>
      <c r="KL119" s="32" t="s">
        <v>327</v>
      </c>
      <c r="KM119" s="12">
        <f t="shared" si="454"/>
        <v>9.8730158730158717</v>
      </c>
      <c r="KN119" s="12">
        <f t="shared" si="455"/>
        <v>1.9964352069321424E-3</v>
      </c>
      <c r="KO119" s="11">
        <v>3</v>
      </c>
      <c r="KP119" s="19">
        <f t="shared" si="406"/>
        <v>2.0221128301724274E-4</v>
      </c>
      <c r="KQ119" s="12">
        <f t="shared" si="456"/>
        <v>9.7477477477477468</v>
      </c>
      <c r="KR119" s="12">
        <f t="shared" si="457"/>
        <v>8.7999224783610419E-4</v>
      </c>
      <c r="KS119" s="13">
        <v>3</v>
      </c>
      <c r="KT119" s="19">
        <f t="shared" si="407"/>
        <v>9.0276469047881306E-5</v>
      </c>
      <c r="KU119" s="19">
        <f t="shared" si="382"/>
        <v>-1.2769108253553993E-2</v>
      </c>
      <c r="KV119" s="19">
        <f t="shared" si="383"/>
        <v>1.6346414614410839E-8</v>
      </c>
      <c r="KX119" s="12" t="s">
        <v>37</v>
      </c>
      <c r="KY119" s="12" t="s">
        <v>37</v>
      </c>
      <c r="KZ119" s="13" t="s">
        <v>37</v>
      </c>
      <c r="LB119" s="12" t="s">
        <v>37</v>
      </c>
      <c r="LC119" s="12" t="s">
        <v>37</v>
      </c>
      <c r="LD119" s="13" t="s">
        <v>37</v>
      </c>
      <c r="LI119" s="12" t="s">
        <v>37</v>
      </c>
      <c r="LJ119" s="12" t="s">
        <v>37</v>
      </c>
      <c r="LK119" s="12" t="s">
        <v>37</v>
      </c>
      <c r="LM119" s="12" t="s">
        <v>37</v>
      </c>
      <c r="LN119" s="12" t="s">
        <v>37</v>
      </c>
      <c r="LO119" s="12" t="s">
        <v>37</v>
      </c>
      <c r="LT119" s="12" t="str">
        <f t="shared" si="408"/>
        <v>0-15</v>
      </c>
      <c r="LU119" s="12">
        <f t="shared" si="385"/>
        <v>10.71945337620579</v>
      </c>
      <c r="LV119" s="29">
        <f t="shared" si="386"/>
        <v>3.1818490825917668E-3</v>
      </c>
      <c r="LW119" s="13">
        <f t="shared" si="409"/>
        <v>3</v>
      </c>
      <c r="LX119" s="19">
        <f t="shared" si="410"/>
        <v>2.9682941572884569E-4</v>
      </c>
      <c r="LY119" s="12">
        <f t="shared" si="388"/>
        <v>9.602587800369685</v>
      </c>
      <c r="LZ119" s="29">
        <f t="shared" si="389"/>
        <v>1.1684280262255905E-3</v>
      </c>
      <c r="MA119" s="13">
        <f t="shared" si="411"/>
        <v>3</v>
      </c>
      <c r="MB119" s="19">
        <f t="shared" si="412"/>
        <v>1.2167845277921935E-4</v>
      </c>
      <c r="MC119" s="19">
        <f t="shared" si="391"/>
        <v>-0.11002753863014396</v>
      </c>
      <c r="MD119" s="19">
        <f t="shared" si="392"/>
        <v>3.4304449304224206E-8</v>
      </c>
      <c r="MF119" s="12" t="s">
        <v>37</v>
      </c>
      <c r="MG119" s="12" t="s">
        <v>37</v>
      </c>
      <c r="MH119" s="12" t="s">
        <v>37</v>
      </c>
      <c r="MJ119" s="12" t="s">
        <v>37</v>
      </c>
      <c r="MK119" s="12" t="s">
        <v>37</v>
      </c>
      <c r="ML119" s="12" t="s">
        <v>37</v>
      </c>
      <c r="MQ119" s="12" t="s">
        <v>37</v>
      </c>
      <c r="MR119" s="12" t="s">
        <v>37</v>
      </c>
      <c r="MS119" s="12" t="s">
        <v>37</v>
      </c>
      <c r="MU119" s="12" t="s">
        <v>37</v>
      </c>
      <c r="MV119" s="12" t="s">
        <v>37</v>
      </c>
      <c r="MW119" s="12" t="s">
        <v>37</v>
      </c>
      <c r="NA119" s="12" t="s">
        <v>177</v>
      </c>
      <c r="NB119" s="12" t="s">
        <v>327</v>
      </c>
      <c r="NC119" s="12">
        <v>0.06</v>
      </c>
      <c r="ND119" s="12">
        <f t="shared" si="458"/>
        <v>1.7320508075688773E-2</v>
      </c>
      <c r="NE119" s="13">
        <v>3</v>
      </c>
      <c r="NF119" s="19">
        <f t="shared" si="413"/>
        <v>0.28867513459481292</v>
      </c>
      <c r="NG119" s="12">
        <v>0.02</v>
      </c>
      <c r="NH119" s="12">
        <f t="shared" si="437"/>
        <v>1.7320508075688772E-3</v>
      </c>
      <c r="NI119" s="13">
        <v>3</v>
      </c>
      <c r="NJ119" s="19">
        <f t="shared" si="414"/>
        <v>8.6602540378443851E-2</v>
      </c>
      <c r="NK119" s="19">
        <f t="shared" si="415"/>
        <v>-1.0986122886681096</v>
      </c>
      <c r="NL119" s="19">
        <f t="shared" si="438"/>
        <v>3.0277777777777778E-2</v>
      </c>
      <c r="NM119" s="12" t="s">
        <v>177</v>
      </c>
      <c r="NN119" s="12" t="s">
        <v>327</v>
      </c>
      <c r="NO119" s="12">
        <v>0.01</v>
      </c>
      <c r="NP119" s="12">
        <f t="shared" si="439"/>
        <v>1.7320508075688773E-2</v>
      </c>
      <c r="NQ119" s="13">
        <v>3</v>
      </c>
      <c r="NR119" s="19">
        <f t="shared" si="440"/>
        <v>1.7320508075688772</v>
      </c>
      <c r="NS119" s="12">
        <v>0.04</v>
      </c>
      <c r="NT119" s="12">
        <f t="shared" si="459"/>
        <v>3.4641016151377546E-2</v>
      </c>
      <c r="NU119" s="13">
        <v>3</v>
      </c>
      <c r="NV119" s="19">
        <f t="shared" si="442"/>
        <v>0.8660254037844386</v>
      </c>
      <c r="NW119" s="19">
        <f t="shared" si="417"/>
        <v>1.3862943611198906</v>
      </c>
      <c r="NX119" s="19">
        <f t="shared" si="418"/>
        <v>1.25</v>
      </c>
      <c r="OA119" s="11" t="s">
        <v>37</v>
      </c>
      <c r="OB119" s="11" t="s">
        <v>37</v>
      </c>
      <c r="OC119" s="13" t="s">
        <v>37</v>
      </c>
      <c r="OE119" s="11" t="s">
        <v>37</v>
      </c>
      <c r="OF119" s="11" t="s">
        <v>37</v>
      </c>
      <c r="OG119" s="13" t="s">
        <v>37</v>
      </c>
      <c r="OM119" s="11" t="s">
        <v>37</v>
      </c>
      <c r="ON119" s="11" t="s">
        <v>37</v>
      </c>
      <c r="OO119" s="11" t="s">
        <v>37</v>
      </c>
      <c r="OP119" s="11" t="s">
        <v>37</v>
      </c>
      <c r="OQ119" s="11" t="s">
        <v>37</v>
      </c>
      <c r="OR119" s="11" t="s">
        <v>37</v>
      </c>
      <c r="OW119" s="12" t="s">
        <v>37</v>
      </c>
      <c r="OX119" s="12" t="s">
        <v>37</v>
      </c>
      <c r="OY119" s="13" t="s">
        <v>37</v>
      </c>
      <c r="OZ119" s="12" t="s">
        <v>37</v>
      </c>
      <c r="PA119" s="12" t="s">
        <v>37</v>
      </c>
      <c r="PB119" s="13" t="s">
        <v>37</v>
      </c>
      <c r="PG119" s="11" t="s">
        <v>37</v>
      </c>
      <c r="PH119" s="11" t="s">
        <v>37</v>
      </c>
      <c r="PI119" s="13" t="s">
        <v>37</v>
      </c>
      <c r="PJ119" s="11" t="s">
        <v>37</v>
      </c>
      <c r="PK119" s="11" t="s">
        <v>37</v>
      </c>
      <c r="PL119" s="13" t="s">
        <v>37</v>
      </c>
      <c r="PQ119" s="12" t="s">
        <v>37</v>
      </c>
      <c r="PR119" s="12" t="s">
        <v>37</v>
      </c>
      <c r="PS119" s="12" t="s">
        <v>37</v>
      </c>
      <c r="PT119" s="12" t="s">
        <v>37</v>
      </c>
      <c r="PU119" s="12" t="s">
        <v>37</v>
      </c>
      <c r="PV119" s="12" t="s">
        <v>37</v>
      </c>
      <c r="PW119" s="12"/>
      <c r="PX119" s="12"/>
      <c r="PZ119" s="12" t="s">
        <v>37</v>
      </c>
      <c r="QA119" s="12" t="s">
        <v>37</v>
      </c>
      <c r="QB119" s="11" t="s">
        <v>37</v>
      </c>
      <c r="QD119" s="12" t="s">
        <v>37</v>
      </c>
      <c r="QE119" s="12" t="s">
        <v>37</v>
      </c>
      <c r="QF119" s="12" t="s">
        <v>37</v>
      </c>
      <c r="QK119" s="12" t="s">
        <v>37</v>
      </c>
      <c r="QL119" s="12" t="s">
        <v>37</v>
      </c>
      <c r="QM119" s="12" t="s">
        <v>37</v>
      </c>
      <c r="QN119" s="12" t="s">
        <v>37</v>
      </c>
      <c r="QO119" s="12" t="s">
        <v>37</v>
      </c>
      <c r="QP119" s="12" t="s">
        <v>37</v>
      </c>
      <c r="QQ119" s="12"/>
      <c r="QR119" s="12"/>
      <c r="QU119" s="11" t="s">
        <v>37</v>
      </c>
      <c r="QV119" s="11" t="s">
        <v>37</v>
      </c>
      <c r="QW119" s="13" t="s">
        <v>37</v>
      </c>
      <c r="QX119" s="11" t="s">
        <v>37</v>
      </c>
      <c r="QY119" s="11" t="s">
        <v>37</v>
      </c>
      <c r="QZ119" s="13" t="s">
        <v>37</v>
      </c>
      <c r="RC119" s="12" t="s">
        <v>37</v>
      </c>
      <c r="RD119" s="12" t="s">
        <v>37</v>
      </c>
      <c r="RE119" s="13" t="s">
        <v>37</v>
      </c>
      <c r="RF119" s="12" t="s">
        <v>37</v>
      </c>
      <c r="RG119" s="12" t="s">
        <v>37</v>
      </c>
      <c r="RH119" s="13" t="s">
        <v>37</v>
      </c>
      <c r="RK119" s="11" t="s">
        <v>37</v>
      </c>
      <c r="RL119" s="11" t="s">
        <v>37</v>
      </c>
      <c r="RM119" s="11" t="s">
        <v>37</v>
      </c>
      <c r="RN119" s="11" t="s">
        <v>37</v>
      </c>
      <c r="RO119" s="11" t="s">
        <v>37</v>
      </c>
      <c r="RP119" s="11" t="s">
        <v>37</v>
      </c>
      <c r="RS119" s="11" t="s">
        <v>37</v>
      </c>
      <c r="RT119" s="11" t="s">
        <v>37</v>
      </c>
      <c r="RU119" s="11" t="s">
        <v>37</v>
      </c>
      <c r="RV119" s="11" t="s">
        <v>37</v>
      </c>
      <c r="RW119" s="11" t="s">
        <v>37</v>
      </c>
      <c r="RX119" s="11" t="s">
        <v>37</v>
      </c>
      <c r="SA119" s="11" t="s">
        <v>37</v>
      </c>
      <c r="SB119" s="11" t="s">
        <v>37</v>
      </c>
      <c r="SC119" s="13" t="s">
        <v>37</v>
      </c>
      <c r="SD119" s="11" t="s">
        <v>37</v>
      </c>
      <c r="SE119" s="11" t="s">
        <v>37</v>
      </c>
      <c r="SF119" s="13" t="s">
        <v>37</v>
      </c>
      <c r="SG119" s="12" t="s">
        <v>177</v>
      </c>
      <c r="SH119" s="12" t="s">
        <v>327</v>
      </c>
      <c r="SI119" s="12">
        <v>0.06</v>
      </c>
      <c r="SJ119" s="12">
        <f t="shared" si="443"/>
        <v>1.7320508075688773E-2</v>
      </c>
      <c r="SK119" s="13">
        <v>3</v>
      </c>
      <c r="SL119" s="19">
        <f t="shared" si="419"/>
        <v>0.28867513459481292</v>
      </c>
      <c r="SM119" s="12">
        <v>0.15</v>
      </c>
      <c r="SN119" s="12">
        <f t="shared" si="460"/>
        <v>3.4641016151377546E-2</v>
      </c>
      <c r="SO119" s="13">
        <v>3</v>
      </c>
      <c r="SP119" s="19">
        <f t="shared" si="445"/>
        <v>0.23094010767585033</v>
      </c>
      <c r="SQ119" s="19">
        <f t="shared" si="420"/>
        <v>0.91629073187415511</v>
      </c>
      <c r="SR119" s="19">
        <f t="shared" si="421"/>
        <v>4.5555555555555557E-2</v>
      </c>
      <c r="SU119" s="12" t="s">
        <v>37</v>
      </c>
      <c r="SV119" s="12" t="s">
        <v>37</v>
      </c>
      <c r="SW119" s="11" t="s">
        <v>37</v>
      </c>
      <c r="SX119" s="12" t="s">
        <v>37</v>
      </c>
      <c r="SY119" s="12" t="s">
        <v>37</v>
      </c>
      <c r="SZ119" s="11" t="s">
        <v>37</v>
      </c>
      <c r="TE119" s="12" t="s">
        <v>37</v>
      </c>
      <c r="TF119" s="12" t="s">
        <v>37</v>
      </c>
      <c r="TG119" s="11" t="s">
        <v>37</v>
      </c>
      <c r="TH119" s="12" t="s">
        <v>37</v>
      </c>
      <c r="TI119" s="12" t="s">
        <v>37</v>
      </c>
      <c r="TJ119" s="11" t="s">
        <v>37</v>
      </c>
      <c r="TO119" s="12" t="s">
        <v>37</v>
      </c>
      <c r="TP119" s="12" t="s">
        <v>37</v>
      </c>
      <c r="TQ119" s="11" t="s">
        <v>37</v>
      </c>
      <c r="TR119" s="12" t="s">
        <v>37</v>
      </c>
      <c r="TS119" s="12" t="s">
        <v>37</v>
      </c>
      <c r="TT119" s="11" t="s">
        <v>37</v>
      </c>
      <c r="TY119" s="12" t="s">
        <v>37</v>
      </c>
      <c r="TZ119" s="12" t="s">
        <v>37</v>
      </c>
      <c r="UA119" s="12" t="s">
        <v>37</v>
      </c>
      <c r="UB119" s="12" t="s">
        <v>37</v>
      </c>
      <c r="UC119" s="12" t="s">
        <v>37</v>
      </c>
      <c r="UD119" s="12" t="s">
        <v>37</v>
      </c>
      <c r="UE119" s="12"/>
      <c r="UF119" s="12"/>
      <c r="UI119" s="12" t="s">
        <v>37</v>
      </c>
      <c r="UJ119" s="12" t="s">
        <v>37</v>
      </c>
      <c r="UK119" s="12" t="s">
        <v>37</v>
      </c>
      <c r="UL119" s="12" t="s">
        <v>37</v>
      </c>
      <c r="UM119" s="12" t="s">
        <v>37</v>
      </c>
      <c r="UN119" s="12" t="s">
        <v>37</v>
      </c>
      <c r="UO119" s="12"/>
      <c r="UP119" s="12"/>
      <c r="UR119" s="12" t="s">
        <v>37</v>
      </c>
      <c r="US119" s="12" t="s">
        <v>37</v>
      </c>
      <c r="UT119" s="12" t="s">
        <v>37</v>
      </c>
      <c r="UU119" s="12" t="s">
        <v>37</v>
      </c>
      <c r="UV119" s="12" t="s">
        <v>37</v>
      </c>
      <c r="UW119" s="12" t="s">
        <v>37</v>
      </c>
      <c r="UX119" s="12"/>
      <c r="UY119" s="12"/>
      <c r="VB119" s="12" t="s">
        <v>37</v>
      </c>
      <c r="VC119" s="12" t="s">
        <v>37</v>
      </c>
      <c r="VD119" s="12" t="s">
        <v>37</v>
      </c>
      <c r="VE119" s="12" t="s">
        <v>37</v>
      </c>
      <c r="VF119" s="12" t="s">
        <v>37</v>
      </c>
      <c r="VG119" s="12" t="s">
        <v>37</v>
      </c>
      <c r="VI119" s="12" t="s">
        <v>37</v>
      </c>
      <c r="VJ119" s="12" t="s">
        <v>37</v>
      </c>
      <c r="VK119" s="12" t="s">
        <v>37</v>
      </c>
      <c r="VL119" s="12" t="s">
        <v>37</v>
      </c>
      <c r="VM119" s="12" t="s">
        <v>37</v>
      </c>
      <c r="VN119" s="12" t="s">
        <v>37</v>
      </c>
      <c r="VQ119" s="13" t="s">
        <v>37</v>
      </c>
      <c r="VR119" s="13" t="s">
        <v>37</v>
      </c>
      <c r="VS119" s="13" t="s">
        <v>37</v>
      </c>
      <c r="VT119" s="13" t="s">
        <v>37</v>
      </c>
      <c r="VU119" s="13" t="s">
        <v>37</v>
      </c>
      <c r="VV119" s="13" t="s">
        <v>37</v>
      </c>
      <c r="WA119" s="13" t="s">
        <v>37</v>
      </c>
      <c r="WB119" s="13" t="s">
        <v>37</v>
      </c>
      <c r="WC119" s="13" t="s">
        <v>37</v>
      </c>
      <c r="WD119" s="13" t="s">
        <v>37</v>
      </c>
      <c r="WE119" s="13" t="s">
        <v>37</v>
      </c>
      <c r="WF119" s="13" t="s">
        <v>37</v>
      </c>
    </row>
    <row r="120" spans="1:604" ht="18" customHeight="1" x14ac:dyDescent="0.3">
      <c r="A120" s="11">
        <v>28</v>
      </c>
      <c r="B120" s="16" t="s">
        <v>176</v>
      </c>
      <c r="C120" s="12" t="s">
        <v>26</v>
      </c>
      <c r="D120" s="12" t="s">
        <v>119</v>
      </c>
      <c r="E120" s="40" t="s">
        <v>37</v>
      </c>
      <c r="F120" s="14">
        <v>0</v>
      </c>
      <c r="G120" s="14">
        <v>0</v>
      </c>
      <c r="H120" s="12" t="s">
        <v>82</v>
      </c>
      <c r="I120" s="29">
        <v>47.67</v>
      </c>
      <c r="J120" s="29">
        <v>-96.31</v>
      </c>
      <c r="K120" s="12" t="s">
        <v>198</v>
      </c>
      <c r="L120" s="12" t="s">
        <v>199</v>
      </c>
      <c r="M120" s="13" t="s">
        <v>37</v>
      </c>
      <c r="N120" s="14">
        <v>19</v>
      </c>
      <c r="O120" s="14">
        <v>570</v>
      </c>
      <c r="P120" s="14" t="s">
        <v>16</v>
      </c>
      <c r="Q120" s="75">
        <v>5</v>
      </c>
      <c r="R120" s="11" t="s">
        <v>999</v>
      </c>
      <c r="S120" s="12" t="s">
        <v>37</v>
      </c>
      <c r="T120" s="12" t="s">
        <v>138</v>
      </c>
      <c r="U120" s="12" t="s">
        <v>158</v>
      </c>
      <c r="V120" s="12" t="s">
        <v>275</v>
      </c>
      <c r="W120" s="23" t="s">
        <v>37</v>
      </c>
      <c r="X120" s="12" t="s">
        <v>37</v>
      </c>
      <c r="Y120" s="12" t="s">
        <v>69</v>
      </c>
      <c r="Z120" s="12" t="s">
        <v>37</v>
      </c>
      <c r="AB120" s="12" t="s">
        <v>37</v>
      </c>
      <c r="AC120" s="12" t="s">
        <v>42</v>
      </c>
      <c r="AD120" s="32" t="s">
        <v>327</v>
      </c>
      <c r="AE120" s="12">
        <f>133.89*10^3/0.82/15/100</f>
        <v>108.85365853658537</v>
      </c>
      <c r="AF120" s="12" t="s">
        <v>42</v>
      </c>
      <c r="AG120" s="32" t="s">
        <v>327</v>
      </c>
      <c r="AH120" s="12">
        <f>9.13*10^3/0.82/15/100</f>
        <v>7.4227642276422765</v>
      </c>
      <c r="AJ120" s="12" t="str">
        <f t="shared" si="356"/>
        <v>0-15</v>
      </c>
      <c r="AK120" s="19">
        <f t="shared" si="357"/>
        <v>14.664841182913472</v>
      </c>
      <c r="AL120" s="32" t="s">
        <v>178</v>
      </c>
      <c r="AM120" s="54" t="s">
        <v>317</v>
      </c>
      <c r="AN120" s="32" t="s">
        <v>886</v>
      </c>
      <c r="AO120" s="12" t="s">
        <v>37</v>
      </c>
      <c r="AP120" s="12" t="s">
        <v>108</v>
      </c>
      <c r="AQ120" s="12" t="s">
        <v>975</v>
      </c>
      <c r="AR120" s="12" t="s">
        <v>42</v>
      </c>
      <c r="AS120" s="32" t="s">
        <v>327</v>
      </c>
      <c r="AT120" s="12">
        <f>133.89*10^3/0.82/15/100</f>
        <v>108.85365853658537</v>
      </c>
      <c r="AU120" s="12">
        <f>SQRT((1/(1500*0.82))^2*(9.61*SQRT(3))^2+(((-133.89*10^3)/(1500*0.82)^2))^2*(0.07*SQRT(3))^2)</f>
        <v>1.7270220770266173E-2</v>
      </c>
      <c r="AV120" s="13">
        <v>3</v>
      </c>
      <c r="AW120" s="52">
        <f t="shared" si="426"/>
        <v>1.5865540030941363E-4</v>
      </c>
      <c r="AX120" s="12">
        <f>134.42*10^3/1.22/15/100</f>
        <v>73.453551912568315</v>
      </c>
      <c r="AY120" s="12">
        <f>SQRT((1/(1500*1.22))^2*(6.85*SQRT(3))^2+(((-134.42*10^3)/(1500*1.22)^2))^2*(0.06*SQRT(3))^2)</f>
        <v>7.7093364519227126E-3</v>
      </c>
      <c r="AZ120" s="13">
        <v>3</v>
      </c>
      <c r="BA120" s="52">
        <f t="shared" si="397"/>
        <v>1.0495525745438598E-4</v>
      </c>
      <c r="BB120" s="52">
        <f t="shared" si="360"/>
        <v>-0.39335113823647172</v>
      </c>
      <c r="BC120" s="19">
        <f t="shared" si="361"/>
        <v>1.2062380704885577E-8</v>
      </c>
      <c r="BE120" s="12" t="s">
        <v>326</v>
      </c>
      <c r="BF120" s="12" t="s">
        <v>326</v>
      </c>
      <c r="BG120" s="12" t="s">
        <v>326</v>
      </c>
      <c r="BI120" s="12" t="s">
        <v>326</v>
      </c>
      <c r="BJ120" s="12" t="s">
        <v>326</v>
      </c>
      <c r="BK120" s="12" t="s">
        <v>326</v>
      </c>
      <c r="BP120" s="12" t="s">
        <v>37</v>
      </c>
      <c r="BQ120" s="12" t="s">
        <v>37</v>
      </c>
      <c r="BR120" s="13" t="s">
        <v>37</v>
      </c>
      <c r="BT120" s="12" t="s">
        <v>37</v>
      </c>
      <c r="BU120" s="12" t="s">
        <v>37</v>
      </c>
      <c r="BV120" s="12" t="s">
        <v>37</v>
      </c>
      <c r="CA120" s="12" t="s">
        <v>37</v>
      </c>
      <c r="CB120" s="12" t="s">
        <v>37</v>
      </c>
      <c r="CC120" s="13" t="s">
        <v>37</v>
      </c>
      <c r="CE120" s="12" t="s">
        <v>37</v>
      </c>
      <c r="CF120" s="12" t="s">
        <v>37</v>
      </c>
      <c r="CG120" s="13" t="s">
        <v>37</v>
      </c>
      <c r="CI120" s="52"/>
      <c r="CJ120" s="12"/>
      <c r="CK120" s="73"/>
      <c r="CL120" s="73"/>
      <c r="CN120" s="12" t="s">
        <v>37</v>
      </c>
      <c r="CO120" s="12" t="s">
        <v>37</v>
      </c>
      <c r="CP120" s="13" t="s">
        <v>37</v>
      </c>
      <c r="CR120" s="12" t="s">
        <v>37</v>
      </c>
      <c r="CS120" s="12" t="s">
        <v>37</v>
      </c>
      <c r="CT120" s="13" t="s">
        <v>37</v>
      </c>
      <c r="CV120" s="52"/>
      <c r="CW120" s="52"/>
      <c r="CX120" s="73"/>
      <c r="CY120" s="73"/>
      <c r="DA120" s="12" t="s">
        <v>37</v>
      </c>
      <c r="DB120" s="12" t="s">
        <v>37</v>
      </c>
      <c r="DC120" s="13" t="s">
        <v>37</v>
      </c>
      <c r="DE120" s="12" t="s">
        <v>37</v>
      </c>
      <c r="DF120" s="12" t="s">
        <v>37</v>
      </c>
      <c r="DG120" s="13" t="s">
        <v>37</v>
      </c>
      <c r="DM120" s="15"/>
      <c r="DO120" s="108"/>
      <c r="DP120" s="72"/>
      <c r="DS120" s="108"/>
      <c r="DT120" s="72"/>
      <c r="DX120" s="19"/>
      <c r="DY120" s="19"/>
      <c r="DZ120" s="12" t="s">
        <v>47</v>
      </c>
      <c r="EA120" s="19">
        <f>(0.004*7/5*10^4/10^3)/'[3]classess-1'!$I$4</f>
        <v>7.2775325769365226E-2</v>
      </c>
      <c r="EB120" s="50">
        <f t="shared" si="364"/>
        <v>0.41845644805235027</v>
      </c>
      <c r="EC120" s="72">
        <v>3</v>
      </c>
      <c r="EE120" s="19">
        <f>0.08*7/5*10^4/10^3/'[3]classess-1'!$I$5</f>
        <v>1.917612896672684</v>
      </c>
      <c r="EF120" s="50">
        <f t="shared" si="365"/>
        <v>2.8632633348164851</v>
      </c>
      <c r="EG120" s="13">
        <v>3</v>
      </c>
      <c r="EI120" s="19">
        <f t="shared" si="429"/>
        <v>1.8448375709033187</v>
      </c>
      <c r="EJ120" s="12">
        <f t="shared" si="366"/>
        <v>2.0461406016475272</v>
      </c>
      <c r="EK120" s="19">
        <f t="shared" si="367"/>
        <v>2.7911275744736699</v>
      </c>
      <c r="EL120" s="19">
        <f t="shared" si="368"/>
        <v>2.7911275744736699</v>
      </c>
      <c r="EM120" s="12" t="s">
        <v>39</v>
      </c>
      <c r="EN120" s="12">
        <v>60</v>
      </c>
      <c r="EO120" s="50">
        <f t="shared" si="398"/>
        <v>24.4497839250776</v>
      </c>
      <c r="EP120" s="13">
        <v>3</v>
      </c>
      <c r="ER120" s="12">
        <v>-38</v>
      </c>
      <c r="ES120" s="50">
        <f t="shared" si="399"/>
        <v>8.6189340333493778</v>
      </c>
      <c r="ET120" s="13">
        <v>3</v>
      </c>
      <c r="EV120" s="19">
        <f t="shared" si="400"/>
        <v>-98</v>
      </c>
      <c r="EW120" s="12">
        <f t="shared" si="401"/>
        <v>18.331365986393529</v>
      </c>
      <c r="EX120" s="19">
        <f t="shared" si="402"/>
        <v>224.0259859514037</v>
      </c>
      <c r="EY120" s="19">
        <f t="shared" si="403"/>
        <v>224.02598595140373</v>
      </c>
      <c r="FB120" s="12" t="s">
        <v>37</v>
      </c>
      <c r="FC120" s="12" t="s">
        <v>37</v>
      </c>
      <c r="FD120" s="11" t="s">
        <v>37</v>
      </c>
      <c r="FE120" s="12" t="s">
        <v>37</v>
      </c>
      <c r="FF120" s="20" t="s">
        <v>37</v>
      </c>
      <c r="FG120" s="11" t="s">
        <v>37</v>
      </c>
      <c r="FI120" s="12" t="s">
        <v>37</v>
      </c>
      <c r="FJ120" s="12" t="s">
        <v>37</v>
      </c>
      <c r="FK120" s="11" t="s">
        <v>37</v>
      </c>
      <c r="FL120" s="13" t="s">
        <v>37</v>
      </c>
      <c r="FM120" s="11" t="s">
        <v>37</v>
      </c>
      <c r="FN120" s="11" t="s">
        <v>37</v>
      </c>
      <c r="FP120" s="12" t="s">
        <v>37</v>
      </c>
      <c r="FQ120" s="12" t="s">
        <v>37</v>
      </c>
      <c r="FR120" s="11" t="s">
        <v>37</v>
      </c>
      <c r="FS120" s="13" t="s">
        <v>37</v>
      </c>
      <c r="FT120" s="11" t="s">
        <v>37</v>
      </c>
      <c r="FU120" s="11" t="s">
        <v>37</v>
      </c>
      <c r="FW120" s="12" t="s">
        <v>37</v>
      </c>
      <c r="FX120" s="12" t="s">
        <v>37</v>
      </c>
      <c r="FY120" s="11" t="s">
        <v>37</v>
      </c>
      <c r="FZ120" s="13" t="s">
        <v>37</v>
      </c>
      <c r="GA120" s="11" t="s">
        <v>37</v>
      </c>
      <c r="GB120" s="11" t="s">
        <v>37</v>
      </c>
      <c r="HA120" s="17" t="s">
        <v>63</v>
      </c>
      <c r="HB120" s="34" t="s">
        <v>327</v>
      </c>
      <c r="HC120" s="12">
        <v>0.82</v>
      </c>
      <c r="HD120" s="12">
        <f>0.07*SQRT(3)</f>
        <v>0.12124355652982141</v>
      </c>
      <c r="HE120" s="13">
        <v>3</v>
      </c>
      <c r="HF120" s="19">
        <f t="shared" si="404"/>
        <v>0.1478579957680749</v>
      </c>
      <c r="HG120" s="12">
        <v>1.22</v>
      </c>
      <c r="HH120" s="12">
        <f>0.06*SQRT(3)</f>
        <v>0.10392304845413262</v>
      </c>
      <c r="HI120" s="13">
        <v>3</v>
      </c>
      <c r="HJ120" s="19">
        <f t="shared" si="405"/>
        <v>8.5182826601748057E-2</v>
      </c>
      <c r="HK120" s="19">
        <f t="shared" si="375"/>
        <v>0.39730179746900346</v>
      </c>
      <c r="HL120" s="19">
        <f t="shared" si="376"/>
        <v>9.7060336201385093E-3</v>
      </c>
      <c r="IK120" s="12" t="s">
        <v>37</v>
      </c>
      <c r="IL120" s="12" t="s">
        <v>37</v>
      </c>
      <c r="IM120" s="12" t="s">
        <v>37</v>
      </c>
      <c r="IO120" s="12" t="s">
        <v>37</v>
      </c>
      <c r="IP120" s="12" t="s">
        <v>37</v>
      </c>
      <c r="IQ120" s="12" t="s">
        <v>37</v>
      </c>
      <c r="IW120" s="12" t="s">
        <v>37</v>
      </c>
      <c r="IX120" s="12" t="s">
        <v>37</v>
      </c>
      <c r="IY120" s="13" t="s">
        <v>37</v>
      </c>
      <c r="JA120" s="12" t="s">
        <v>37</v>
      </c>
      <c r="JB120" s="12" t="s">
        <v>37</v>
      </c>
      <c r="JC120" s="13" t="s">
        <v>37</v>
      </c>
      <c r="JH120" s="12" t="s">
        <v>37</v>
      </c>
      <c r="JI120" s="12" t="s">
        <v>37</v>
      </c>
      <c r="JJ120" s="13" t="s">
        <v>37</v>
      </c>
      <c r="JL120" s="12" t="s">
        <v>37</v>
      </c>
      <c r="JM120" s="12" t="s">
        <v>37</v>
      </c>
      <c r="JN120" s="12" t="s">
        <v>37</v>
      </c>
      <c r="JS120" s="12" t="s">
        <v>37</v>
      </c>
      <c r="JT120" s="12" t="s">
        <v>37</v>
      </c>
      <c r="JU120" s="13" t="s">
        <v>37</v>
      </c>
      <c r="JW120" s="12" t="s">
        <v>37</v>
      </c>
      <c r="JX120" s="12" t="s">
        <v>37</v>
      </c>
      <c r="JY120" s="12" t="s">
        <v>37</v>
      </c>
      <c r="KE120" s="11" t="s">
        <v>37</v>
      </c>
      <c r="KF120" s="11" t="s">
        <v>37</v>
      </c>
      <c r="KG120" s="13" t="s">
        <v>37</v>
      </c>
      <c r="KH120" s="11" t="s">
        <v>37</v>
      </c>
      <c r="KI120" s="11" t="s">
        <v>37</v>
      </c>
      <c r="KJ120" s="11" t="s">
        <v>37</v>
      </c>
      <c r="KK120" s="12" t="s">
        <v>42</v>
      </c>
      <c r="KL120" s="32" t="s">
        <v>327</v>
      </c>
      <c r="KM120" s="12">
        <f>9.13*10^3/0.82/15/100</f>
        <v>7.4227642276422765</v>
      </c>
      <c r="KN120" s="12">
        <f>SQRT((1/(1500*0.82))^2*(1.26*SQRT(3))^2+(((-9.13*10^3)/(1500*0.82)^2))^2*(0.07*SQRT(3))^2)</f>
        <v>1.9192386252599991E-3</v>
      </c>
      <c r="KO120" s="11">
        <v>3</v>
      </c>
      <c r="KP120" s="19">
        <f t="shared" si="406"/>
        <v>2.5856117295397577E-4</v>
      </c>
      <c r="KQ120" s="12">
        <f>9.45*10^3/1.22/15/100</f>
        <v>5.1639344262295079</v>
      </c>
      <c r="KR120" s="12">
        <f>SQRT((1/(1500*1.22))^2*(0.68*SQRT(3))^2+(((-9.45*10^3)/(1500*1.22)^2))^2*(0.06*SQRT(3))^2)</f>
        <v>7.072641017732427E-4</v>
      </c>
      <c r="KS120" s="13">
        <v>3</v>
      </c>
      <c r="KT120" s="19">
        <f t="shared" si="407"/>
        <v>1.3696225462910415E-4</v>
      </c>
      <c r="KU120" s="19">
        <f t="shared" si="382"/>
        <v>-0.36285275057022925</v>
      </c>
      <c r="KV120" s="19">
        <f t="shared" si="383"/>
        <v>2.8537513117474448E-8</v>
      </c>
      <c r="KX120" s="12" t="s">
        <v>37</v>
      </c>
      <c r="KY120" s="12" t="s">
        <v>37</v>
      </c>
      <c r="KZ120" s="13" t="s">
        <v>37</v>
      </c>
      <c r="LB120" s="12" t="s">
        <v>37</v>
      </c>
      <c r="LC120" s="12" t="s">
        <v>37</v>
      </c>
      <c r="LD120" s="13" t="s">
        <v>37</v>
      </c>
      <c r="LI120" s="12" t="s">
        <v>37</v>
      </c>
      <c r="LJ120" s="12" t="s">
        <v>37</v>
      </c>
      <c r="LK120" s="12" t="s">
        <v>37</v>
      </c>
      <c r="LM120" s="12" t="s">
        <v>37</v>
      </c>
      <c r="LN120" s="12" t="s">
        <v>37</v>
      </c>
      <c r="LO120" s="12" t="s">
        <v>37</v>
      </c>
      <c r="LT120" s="12" t="str">
        <f t="shared" si="408"/>
        <v>0-15</v>
      </c>
      <c r="LU120" s="12">
        <f t="shared" si="385"/>
        <v>14.664841182913472</v>
      </c>
      <c r="LV120" s="29">
        <f t="shared" si="386"/>
        <v>4.4486809398084507E-3</v>
      </c>
      <c r="LW120" s="13">
        <f t="shared" si="409"/>
        <v>3</v>
      </c>
      <c r="LX120" s="19">
        <f t="shared" si="410"/>
        <v>3.0335691224476179E-4</v>
      </c>
      <c r="LY120" s="12">
        <f t="shared" si="388"/>
        <v>14.224338624338627</v>
      </c>
      <c r="LZ120" s="29">
        <f t="shared" si="389"/>
        <v>2.4544410689016885E-3</v>
      </c>
      <c r="MA120" s="13">
        <f t="shared" si="411"/>
        <v>3</v>
      </c>
      <c r="MB120" s="19">
        <f t="shared" si="412"/>
        <v>1.7255221024491113E-4</v>
      </c>
      <c r="MC120" s="19">
        <f t="shared" si="391"/>
        <v>-3.0498387666242601E-2</v>
      </c>
      <c r="MD120" s="19">
        <f t="shared" si="392"/>
        <v>4.0599893822360037E-8</v>
      </c>
      <c r="MF120" s="12" t="s">
        <v>37</v>
      </c>
      <c r="MG120" s="12" t="s">
        <v>37</v>
      </c>
      <c r="MH120" s="12" t="s">
        <v>37</v>
      </c>
      <c r="MJ120" s="12" t="s">
        <v>37</v>
      </c>
      <c r="MK120" s="12" t="s">
        <v>37</v>
      </c>
      <c r="ML120" s="12" t="s">
        <v>37</v>
      </c>
      <c r="MQ120" s="12" t="s">
        <v>37</v>
      </c>
      <c r="MR120" s="12" t="s">
        <v>37</v>
      </c>
      <c r="MS120" s="12" t="s">
        <v>37</v>
      </c>
      <c r="MU120" s="12" t="s">
        <v>37</v>
      </c>
      <c r="MV120" s="12" t="s">
        <v>37</v>
      </c>
      <c r="MW120" s="12" t="s">
        <v>37</v>
      </c>
      <c r="NA120" s="12" t="s">
        <v>177</v>
      </c>
      <c r="NB120" s="12" t="s">
        <v>327</v>
      </c>
      <c r="NC120" s="12">
        <v>0.03</v>
      </c>
      <c r="ND120" s="12">
        <f t="shared" si="458"/>
        <v>1.7320508075688773E-2</v>
      </c>
      <c r="NE120" s="13">
        <v>3</v>
      </c>
      <c r="NF120" s="19">
        <f t="shared" si="413"/>
        <v>0.57735026918962584</v>
      </c>
      <c r="NG120" s="12">
        <v>0.04</v>
      </c>
      <c r="NH120" s="12">
        <f>0.02*SQRT(3)</f>
        <v>3.4641016151377546E-2</v>
      </c>
      <c r="NI120" s="13">
        <v>3</v>
      </c>
      <c r="NJ120" s="19">
        <f t="shared" si="414"/>
        <v>0.8660254037844386</v>
      </c>
      <c r="NK120" s="19">
        <f t="shared" si="415"/>
        <v>0.28768207245178101</v>
      </c>
      <c r="NL120" s="19">
        <f t="shared" si="438"/>
        <v>0.3611111111111111</v>
      </c>
      <c r="NM120" s="12" t="s">
        <v>177</v>
      </c>
      <c r="NN120" s="12" t="s">
        <v>327</v>
      </c>
      <c r="NO120" s="12">
        <v>0.01</v>
      </c>
      <c r="NP120" s="12">
        <f t="shared" si="439"/>
        <v>1.7320508075688773E-2</v>
      </c>
      <c r="NQ120" s="13">
        <v>3</v>
      </c>
      <c r="NR120" s="19">
        <f t="shared" si="440"/>
        <v>1.7320508075688772</v>
      </c>
      <c r="NS120" s="12">
        <v>0.03</v>
      </c>
      <c r="NT120" s="12">
        <f>0.01*SQRT(3)</f>
        <v>1.7320508075688773E-2</v>
      </c>
      <c r="NU120" s="13">
        <v>3</v>
      </c>
      <c r="NV120" s="19">
        <f t="shared" si="442"/>
        <v>0.57735026918962584</v>
      </c>
      <c r="NW120" s="19">
        <f t="shared" si="417"/>
        <v>1.0986122886681098</v>
      </c>
      <c r="NX120" s="19">
        <f t="shared" si="418"/>
        <v>1.1111111111111112</v>
      </c>
      <c r="OA120" s="11" t="s">
        <v>37</v>
      </c>
      <c r="OB120" s="11" t="s">
        <v>37</v>
      </c>
      <c r="OC120" s="13" t="s">
        <v>37</v>
      </c>
      <c r="OE120" s="11" t="s">
        <v>37</v>
      </c>
      <c r="OF120" s="11" t="s">
        <v>37</v>
      </c>
      <c r="OG120" s="13" t="s">
        <v>37</v>
      </c>
      <c r="OM120" s="11" t="s">
        <v>37</v>
      </c>
      <c r="ON120" s="11" t="s">
        <v>37</v>
      </c>
      <c r="OO120" s="11" t="s">
        <v>37</v>
      </c>
      <c r="OP120" s="11" t="s">
        <v>37</v>
      </c>
      <c r="OQ120" s="11" t="s">
        <v>37</v>
      </c>
      <c r="OR120" s="11" t="s">
        <v>37</v>
      </c>
      <c r="OW120" s="12" t="s">
        <v>37</v>
      </c>
      <c r="OX120" s="12" t="s">
        <v>37</v>
      </c>
      <c r="OY120" s="13" t="s">
        <v>37</v>
      </c>
      <c r="OZ120" s="12" t="s">
        <v>37</v>
      </c>
      <c r="PA120" s="12" t="s">
        <v>37</v>
      </c>
      <c r="PB120" s="13" t="s">
        <v>37</v>
      </c>
      <c r="PG120" s="11" t="s">
        <v>37</v>
      </c>
      <c r="PH120" s="11" t="s">
        <v>37</v>
      </c>
      <c r="PI120" s="13" t="s">
        <v>37</v>
      </c>
      <c r="PJ120" s="11" t="s">
        <v>37</v>
      </c>
      <c r="PK120" s="11" t="s">
        <v>37</v>
      </c>
      <c r="PL120" s="13" t="s">
        <v>37</v>
      </c>
      <c r="PQ120" s="12" t="s">
        <v>37</v>
      </c>
      <c r="PR120" s="12" t="s">
        <v>37</v>
      </c>
      <c r="PS120" s="12" t="s">
        <v>37</v>
      </c>
      <c r="PT120" s="12" t="s">
        <v>37</v>
      </c>
      <c r="PU120" s="12" t="s">
        <v>37</v>
      </c>
      <c r="PV120" s="12" t="s">
        <v>37</v>
      </c>
      <c r="PW120" s="12"/>
      <c r="PX120" s="12"/>
      <c r="PZ120" s="12" t="s">
        <v>37</v>
      </c>
      <c r="QA120" s="12" t="s">
        <v>37</v>
      </c>
      <c r="QB120" s="11" t="s">
        <v>37</v>
      </c>
      <c r="QD120" s="12" t="s">
        <v>37</v>
      </c>
      <c r="QE120" s="12" t="s">
        <v>37</v>
      </c>
      <c r="QF120" s="12" t="s">
        <v>37</v>
      </c>
      <c r="QK120" s="12" t="s">
        <v>37</v>
      </c>
      <c r="QL120" s="12" t="s">
        <v>37</v>
      </c>
      <c r="QM120" s="12" t="s">
        <v>37</v>
      </c>
      <c r="QN120" s="12" t="s">
        <v>37</v>
      </c>
      <c r="QO120" s="12" t="s">
        <v>37</v>
      </c>
      <c r="QP120" s="12" t="s">
        <v>37</v>
      </c>
      <c r="QQ120" s="12"/>
      <c r="QR120" s="12"/>
      <c r="QU120" s="11" t="s">
        <v>37</v>
      </c>
      <c r="QV120" s="11" t="s">
        <v>37</v>
      </c>
      <c r="QW120" s="13" t="s">
        <v>37</v>
      </c>
      <c r="QX120" s="11" t="s">
        <v>37</v>
      </c>
      <c r="QY120" s="11" t="s">
        <v>37</v>
      </c>
      <c r="QZ120" s="13" t="s">
        <v>37</v>
      </c>
      <c r="RC120" s="12" t="s">
        <v>37</v>
      </c>
      <c r="RD120" s="12" t="s">
        <v>37</v>
      </c>
      <c r="RE120" s="13" t="s">
        <v>37</v>
      </c>
      <c r="RF120" s="12" t="s">
        <v>37</v>
      </c>
      <c r="RG120" s="12" t="s">
        <v>37</v>
      </c>
      <c r="RH120" s="13" t="s">
        <v>37</v>
      </c>
      <c r="RK120" s="11" t="s">
        <v>37</v>
      </c>
      <c r="RL120" s="11" t="s">
        <v>37</v>
      </c>
      <c r="RM120" s="11" t="s">
        <v>37</v>
      </c>
      <c r="RN120" s="11" t="s">
        <v>37</v>
      </c>
      <c r="RO120" s="11" t="s">
        <v>37</v>
      </c>
      <c r="RP120" s="11" t="s">
        <v>37</v>
      </c>
      <c r="RS120" s="11" t="s">
        <v>37</v>
      </c>
      <c r="RT120" s="11" t="s">
        <v>37</v>
      </c>
      <c r="RU120" s="11" t="s">
        <v>37</v>
      </c>
      <c r="RV120" s="11" t="s">
        <v>37</v>
      </c>
      <c r="RW120" s="11" t="s">
        <v>37</v>
      </c>
      <c r="RX120" s="11" t="s">
        <v>37</v>
      </c>
      <c r="SA120" s="11" t="s">
        <v>37</v>
      </c>
      <c r="SB120" s="11" t="s">
        <v>37</v>
      </c>
      <c r="SC120" s="13" t="s">
        <v>37</v>
      </c>
      <c r="SD120" s="11" t="s">
        <v>37</v>
      </c>
      <c r="SE120" s="11" t="s">
        <v>37</v>
      </c>
      <c r="SF120" s="13" t="s">
        <v>37</v>
      </c>
      <c r="SG120" s="12" t="s">
        <v>177</v>
      </c>
      <c r="SH120" s="12" t="s">
        <v>327</v>
      </c>
      <c r="SI120" s="12">
        <v>0.05</v>
      </c>
      <c r="SJ120" s="12">
        <f>0.02*SQRT(3)</f>
        <v>3.4641016151377546E-2</v>
      </c>
      <c r="SK120" s="13">
        <v>3</v>
      </c>
      <c r="SL120" s="19">
        <f t="shared" si="419"/>
        <v>0.69282032302755092</v>
      </c>
      <c r="SM120" s="12">
        <v>0.13</v>
      </c>
      <c r="SN120" s="12">
        <f>0.04*SQRT(3)</f>
        <v>6.9282032302755092E-2</v>
      </c>
      <c r="SO120" s="13">
        <v>3</v>
      </c>
      <c r="SP120" s="19">
        <f t="shared" si="445"/>
        <v>0.53293871002119297</v>
      </c>
      <c r="SQ120" s="19">
        <f t="shared" si="420"/>
        <v>0.95551144502743635</v>
      </c>
      <c r="SR120" s="19">
        <f t="shared" si="421"/>
        <v>0.25467455621301771</v>
      </c>
      <c r="SU120" s="12" t="s">
        <v>37</v>
      </c>
      <c r="SV120" s="12" t="s">
        <v>37</v>
      </c>
      <c r="SW120" s="11" t="s">
        <v>37</v>
      </c>
      <c r="SX120" s="12" t="s">
        <v>37</v>
      </c>
      <c r="SY120" s="12" t="s">
        <v>37</v>
      </c>
      <c r="SZ120" s="11" t="s">
        <v>37</v>
      </c>
      <c r="TE120" s="12" t="s">
        <v>37</v>
      </c>
      <c r="TF120" s="12" t="s">
        <v>37</v>
      </c>
      <c r="TG120" s="11" t="s">
        <v>37</v>
      </c>
      <c r="TH120" s="12" t="s">
        <v>37</v>
      </c>
      <c r="TI120" s="12" t="s">
        <v>37</v>
      </c>
      <c r="TJ120" s="11" t="s">
        <v>37</v>
      </c>
      <c r="TO120" s="12" t="s">
        <v>37</v>
      </c>
      <c r="TP120" s="12" t="s">
        <v>37</v>
      </c>
      <c r="TQ120" s="11" t="s">
        <v>37</v>
      </c>
      <c r="TR120" s="12" t="s">
        <v>37</v>
      </c>
      <c r="TS120" s="12" t="s">
        <v>37</v>
      </c>
      <c r="TT120" s="11" t="s">
        <v>37</v>
      </c>
      <c r="TY120" s="12" t="s">
        <v>37</v>
      </c>
      <c r="TZ120" s="12" t="s">
        <v>37</v>
      </c>
      <c r="UA120" s="12" t="s">
        <v>37</v>
      </c>
      <c r="UB120" s="12" t="s">
        <v>37</v>
      </c>
      <c r="UC120" s="12" t="s">
        <v>37</v>
      </c>
      <c r="UD120" s="12" t="s">
        <v>37</v>
      </c>
      <c r="UE120" s="12"/>
      <c r="UF120" s="12"/>
      <c r="UI120" s="12" t="s">
        <v>37</v>
      </c>
      <c r="UJ120" s="12" t="s">
        <v>37</v>
      </c>
      <c r="UK120" s="12" t="s">
        <v>37</v>
      </c>
      <c r="UL120" s="12" t="s">
        <v>37</v>
      </c>
      <c r="UM120" s="12" t="s">
        <v>37</v>
      </c>
      <c r="UN120" s="12" t="s">
        <v>37</v>
      </c>
      <c r="UO120" s="12"/>
      <c r="UP120" s="12"/>
      <c r="UR120" s="12" t="s">
        <v>37</v>
      </c>
      <c r="US120" s="12" t="s">
        <v>37</v>
      </c>
      <c r="UT120" s="12" t="s">
        <v>37</v>
      </c>
      <c r="UU120" s="12" t="s">
        <v>37</v>
      </c>
      <c r="UV120" s="12" t="s">
        <v>37</v>
      </c>
      <c r="UW120" s="12" t="s">
        <v>37</v>
      </c>
      <c r="UX120" s="12"/>
      <c r="UY120" s="12"/>
      <c r="VB120" s="12" t="s">
        <v>37</v>
      </c>
      <c r="VC120" s="12" t="s">
        <v>37</v>
      </c>
      <c r="VD120" s="12" t="s">
        <v>37</v>
      </c>
      <c r="VE120" s="12" t="s">
        <v>37</v>
      </c>
      <c r="VF120" s="12" t="s">
        <v>37</v>
      </c>
      <c r="VG120" s="12" t="s">
        <v>37</v>
      </c>
      <c r="VI120" s="12" t="s">
        <v>37</v>
      </c>
      <c r="VJ120" s="12" t="s">
        <v>37</v>
      </c>
      <c r="VK120" s="12" t="s">
        <v>37</v>
      </c>
      <c r="VL120" s="12" t="s">
        <v>37</v>
      </c>
      <c r="VM120" s="12" t="s">
        <v>37</v>
      </c>
      <c r="VN120" s="12" t="s">
        <v>37</v>
      </c>
      <c r="VQ120" s="13" t="s">
        <v>37</v>
      </c>
      <c r="VR120" s="13" t="s">
        <v>37</v>
      </c>
      <c r="VS120" s="13" t="s">
        <v>37</v>
      </c>
      <c r="VT120" s="13" t="s">
        <v>37</v>
      </c>
      <c r="VU120" s="13" t="s">
        <v>37</v>
      </c>
      <c r="VV120" s="13" t="s">
        <v>37</v>
      </c>
      <c r="WA120" s="13" t="s">
        <v>37</v>
      </c>
      <c r="WB120" s="13" t="s">
        <v>37</v>
      </c>
      <c r="WC120" s="13" t="s">
        <v>37</v>
      </c>
      <c r="WD120" s="13" t="s">
        <v>37</v>
      </c>
      <c r="WE120" s="13" t="s">
        <v>37</v>
      </c>
      <c r="WF120" s="13" t="s">
        <v>37</v>
      </c>
    </row>
    <row r="121" spans="1:604" ht="18" customHeight="1" x14ac:dyDescent="0.3">
      <c r="A121" s="11">
        <v>28</v>
      </c>
      <c r="B121" s="16" t="s">
        <v>176</v>
      </c>
      <c r="C121" s="12" t="s">
        <v>26</v>
      </c>
      <c r="D121" s="12" t="s">
        <v>119</v>
      </c>
      <c r="E121" s="40" t="s">
        <v>37</v>
      </c>
      <c r="F121" s="14">
        <v>0</v>
      </c>
      <c r="G121" s="14">
        <v>0</v>
      </c>
      <c r="H121" s="12" t="s">
        <v>82</v>
      </c>
      <c r="I121" s="29">
        <v>46.58</v>
      </c>
      <c r="J121" s="29">
        <v>-96.15</v>
      </c>
      <c r="K121" s="12" t="s">
        <v>200</v>
      </c>
      <c r="L121" s="12" t="s">
        <v>201</v>
      </c>
      <c r="M121" s="13" t="s">
        <v>37</v>
      </c>
      <c r="N121" s="14">
        <v>21</v>
      </c>
      <c r="O121" s="14">
        <v>360</v>
      </c>
      <c r="P121" s="14" t="s">
        <v>16</v>
      </c>
      <c r="Q121" s="75">
        <v>6</v>
      </c>
      <c r="R121" s="11" t="s">
        <v>999</v>
      </c>
      <c r="S121" s="12" t="s">
        <v>37</v>
      </c>
      <c r="T121" s="12" t="s">
        <v>138</v>
      </c>
      <c r="U121" s="12" t="s">
        <v>158</v>
      </c>
      <c r="V121" s="12" t="s">
        <v>275</v>
      </c>
      <c r="W121" s="23" t="s">
        <v>37</v>
      </c>
      <c r="X121" s="12" t="s">
        <v>37</v>
      </c>
      <c r="Y121" s="12" t="s">
        <v>69</v>
      </c>
      <c r="Z121" s="12" t="s">
        <v>37</v>
      </c>
      <c r="AB121" s="12" t="s">
        <v>37</v>
      </c>
      <c r="AC121" s="12" t="s">
        <v>42</v>
      </c>
      <c r="AD121" s="32" t="s">
        <v>327</v>
      </c>
      <c r="AE121" s="12">
        <f>133.89*10^3/0.82/15/100</f>
        <v>108.85365853658537</v>
      </c>
      <c r="AF121" s="12" t="s">
        <v>42</v>
      </c>
      <c r="AG121" s="32" t="s">
        <v>327</v>
      </c>
      <c r="AH121" s="12">
        <f>9.13*10^3/0.82/15/100</f>
        <v>7.4227642276422765</v>
      </c>
      <c r="AJ121" s="12" t="str">
        <f t="shared" si="356"/>
        <v>0-15</v>
      </c>
      <c r="AK121" s="19">
        <f t="shared" si="357"/>
        <v>14.664841182913472</v>
      </c>
      <c r="AL121" s="32" t="s">
        <v>179</v>
      </c>
      <c r="AM121" s="54" t="s">
        <v>317</v>
      </c>
      <c r="AN121" s="32" t="s">
        <v>886</v>
      </c>
      <c r="AO121" s="12" t="s">
        <v>37</v>
      </c>
      <c r="AP121" s="12" t="s">
        <v>108</v>
      </c>
      <c r="AQ121" s="12" t="s">
        <v>975</v>
      </c>
      <c r="AR121" s="12" t="s">
        <v>42</v>
      </c>
      <c r="AS121" s="32" t="s">
        <v>327</v>
      </c>
      <c r="AT121" s="12">
        <f>133.89*10^3/0.82/15/100</f>
        <v>108.85365853658537</v>
      </c>
      <c r="AU121" s="12">
        <f>SQRT((1/(1500*0.82))^2*(9.61*SQRT(3))^2+(((-133.89*10^3)/(1500*0.82)^2))^2*(0.07*SQRT(3))^2)</f>
        <v>1.7270220770266173E-2</v>
      </c>
      <c r="AV121" s="13">
        <v>3</v>
      </c>
      <c r="AW121" s="52">
        <f t="shared" si="426"/>
        <v>1.5865540030941363E-4</v>
      </c>
      <c r="AX121" s="12">
        <f>134.42*10^3/1.22/15/100</f>
        <v>73.453551912568315</v>
      </c>
      <c r="AY121" s="12">
        <f>SQRT((1/(1500*1.22))^2*(6.85*SQRT(3))^2+(((-134.42*10^3)/(1500*1.22)^2))^2*(0.06*SQRT(3))^2)</f>
        <v>7.7093364519227126E-3</v>
      </c>
      <c r="AZ121" s="13">
        <v>3</v>
      </c>
      <c r="BA121" s="52">
        <f t="shared" si="397"/>
        <v>1.0495525745438598E-4</v>
      </c>
      <c r="BB121" s="52">
        <f t="shared" si="360"/>
        <v>-0.39335113823647172</v>
      </c>
      <c r="BC121" s="19">
        <f t="shared" si="361"/>
        <v>1.2062380704885577E-8</v>
      </c>
      <c r="BE121" s="12" t="s">
        <v>326</v>
      </c>
      <c r="BF121" s="12" t="s">
        <v>326</v>
      </c>
      <c r="BG121" s="12" t="s">
        <v>326</v>
      </c>
      <c r="BI121" s="12" t="s">
        <v>326</v>
      </c>
      <c r="BJ121" s="12" t="s">
        <v>326</v>
      </c>
      <c r="BK121" s="12" t="s">
        <v>326</v>
      </c>
      <c r="BP121" s="12" t="s">
        <v>37</v>
      </c>
      <c r="BQ121" s="12" t="s">
        <v>37</v>
      </c>
      <c r="BR121" s="13" t="s">
        <v>37</v>
      </c>
      <c r="BT121" s="12" t="s">
        <v>37</v>
      </c>
      <c r="BU121" s="12" t="s">
        <v>37</v>
      </c>
      <c r="BV121" s="12" t="s">
        <v>37</v>
      </c>
      <c r="CA121" s="12" t="s">
        <v>37</v>
      </c>
      <c r="CB121" s="12" t="s">
        <v>37</v>
      </c>
      <c r="CC121" s="13" t="s">
        <v>37</v>
      </c>
      <c r="CE121" s="12" t="s">
        <v>37</v>
      </c>
      <c r="CF121" s="12" t="s">
        <v>37</v>
      </c>
      <c r="CG121" s="13" t="s">
        <v>37</v>
      </c>
      <c r="CI121" s="52"/>
      <c r="CJ121" s="12"/>
      <c r="CK121" s="73"/>
      <c r="CL121" s="73"/>
      <c r="CN121" s="12" t="s">
        <v>37</v>
      </c>
      <c r="CO121" s="12" t="s">
        <v>37</v>
      </c>
      <c r="CP121" s="13" t="s">
        <v>37</v>
      </c>
      <c r="CR121" s="12" t="s">
        <v>37</v>
      </c>
      <c r="CS121" s="12" t="s">
        <v>37</v>
      </c>
      <c r="CT121" s="13" t="s">
        <v>37</v>
      </c>
      <c r="CV121" s="52"/>
      <c r="CW121" s="52"/>
      <c r="CX121" s="73"/>
      <c r="CY121" s="73"/>
      <c r="DA121" s="12" t="s">
        <v>37</v>
      </c>
      <c r="DB121" s="12" t="s">
        <v>37</v>
      </c>
      <c r="DC121" s="13" t="s">
        <v>37</v>
      </c>
      <c r="DE121" s="12" t="s">
        <v>37</v>
      </c>
      <c r="DF121" s="12" t="s">
        <v>37</v>
      </c>
      <c r="DG121" s="13" t="s">
        <v>37</v>
      </c>
      <c r="DM121" s="15"/>
      <c r="DO121" s="108"/>
      <c r="DP121" s="72"/>
      <c r="DS121" s="108"/>
      <c r="DT121" s="72"/>
      <c r="DX121" s="19"/>
      <c r="DY121" s="19"/>
      <c r="DZ121" s="12" t="s">
        <v>47</v>
      </c>
      <c r="EA121" s="19">
        <f>0.02*("2006/10/31"-"2006/04/01")/("2006/09/27"-"2006/04/05")*10^4/10^3/'[3]classess-1'!$I$4</f>
        <v>0.31634988548724063</v>
      </c>
      <c r="EB121" s="50">
        <f t="shared" si="364"/>
        <v>1.8190045599010327</v>
      </c>
      <c r="EC121" s="72">
        <v>3</v>
      </c>
      <c r="EE121" s="19">
        <f>0.17*("2006/10/31"-"2006/04/01")/("2006/09/27"-"2006/04/05")*10^4/10^3/'[3]classess-1'!$I$5</f>
        <v>3.5426919892100956</v>
      </c>
      <c r="EF121" s="50">
        <f t="shared" si="365"/>
        <v>5.2897329262094335</v>
      </c>
      <c r="EG121" s="13">
        <v>3</v>
      </c>
      <c r="EI121" s="19">
        <f t="shared" si="429"/>
        <v>3.226342103722855</v>
      </c>
      <c r="EJ121" s="12">
        <f t="shared" si="366"/>
        <v>3.9553793762144336</v>
      </c>
      <c r="EK121" s="19">
        <f t="shared" si="367"/>
        <v>10.430017339854988</v>
      </c>
      <c r="EL121" s="19">
        <f t="shared" si="368"/>
        <v>10.430017339854988</v>
      </c>
      <c r="EM121" s="12" t="s">
        <v>39</v>
      </c>
      <c r="EN121" s="12">
        <v>41</v>
      </c>
      <c r="EO121" s="50">
        <f t="shared" si="398"/>
        <v>16.707352348803028</v>
      </c>
      <c r="EP121" s="13">
        <v>3</v>
      </c>
      <c r="ER121" s="12">
        <v>-31</v>
      </c>
      <c r="ES121" s="50">
        <f t="shared" si="399"/>
        <v>7.0312356587850191</v>
      </c>
      <c r="ET121" s="13">
        <v>3</v>
      </c>
      <c r="EV121" s="19">
        <f t="shared" si="400"/>
        <v>-72</v>
      </c>
      <c r="EW121" s="12">
        <f t="shared" si="401"/>
        <v>12.817447042925982</v>
      </c>
      <c r="EX121" s="19">
        <f t="shared" si="402"/>
        <v>109.52463246547468</v>
      </c>
      <c r="EY121" s="19">
        <f t="shared" si="403"/>
        <v>109.52463246547468</v>
      </c>
      <c r="FB121" s="12" t="s">
        <v>37</v>
      </c>
      <c r="FC121" s="12" t="s">
        <v>37</v>
      </c>
      <c r="FD121" s="11" t="s">
        <v>37</v>
      </c>
      <c r="FE121" s="12" t="s">
        <v>37</v>
      </c>
      <c r="FF121" s="20" t="s">
        <v>37</v>
      </c>
      <c r="FG121" s="11" t="s">
        <v>37</v>
      </c>
      <c r="FI121" s="12" t="s">
        <v>37</v>
      </c>
      <c r="FJ121" s="12" t="s">
        <v>37</v>
      </c>
      <c r="FK121" s="11" t="s">
        <v>37</v>
      </c>
      <c r="FL121" s="13" t="s">
        <v>37</v>
      </c>
      <c r="FM121" s="11" t="s">
        <v>37</v>
      </c>
      <c r="FN121" s="11" t="s">
        <v>37</v>
      </c>
      <c r="FP121" s="12" t="s">
        <v>37</v>
      </c>
      <c r="FQ121" s="12" t="s">
        <v>37</v>
      </c>
      <c r="FR121" s="11" t="s">
        <v>37</v>
      </c>
      <c r="FS121" s="13" t="s">
        <v>37</v>
      </c>
      <c r="FT121" s="11" t="s">
        <v>37</v>
      </c>
      <c r="FU121" s="11" t="s">
        <v>37</v>
      </c>
      <c r="FW121" s="12" t="s">
        <v>37</v>
      </c>
      <c r="FX121" s="12" t="s">
        <v>37</v>
      </c>
      <c r="FY121" s="11" t="s">
        <v>37</v>
      </c>
      <c r="FZ121" s="13" t="s">
        <v>37</v>
      </c>
      <c r="GA121" s="11" t="s">
        <v>37</v>
      </c>
      <c r="GB121" s="11" t="s">
        <v>37</v>
      </c>
      <c r="HA121" s="17" t="s">
        <v>63</v>
      </c>
      <c r="HB121" s="34" t="s">
        <v>327</v>
      </c>
      <c r="HC121" s="12">
        <v>0.82</v>
      </c>
      <c r="HD121" s="12">
        <f>0.07*SQRT(3)</f>
        <v>0.12124355652982141</v>
      </c>
      <c r="HE121" s="13">
        <v>3</v>
      </c>
      <c r="HF121" s="19">
        <f t="shared" si="404"/>
        <v>0.1478579957680749</v>
      </c>
      <c r="HG121" s="12">
        <v>1.22</v>
      </c>
      <c r="HH121" s="12">
        <f>0.06*SQRT(3)</f>
        <v>0.10392304845413262</v>
      </c>
      <c r="HI121" s="13">
        <v>3</v>
      </c>
      <c r="HJ121" s="19">
        <f t="shared" si="405"/>
        <v>8.5182826601748057E-2</v>
      </c>
      <c r="HK121" s="19">
        <f t="shared" si="375"/>
        <v>0.39730179746900346</v>
      </c>
      <c r="HL121" s="19">
        <f t="shared" si="376"/>
        <v>9.7060336201385093E-3</v>
      </c>
      <c r="IK121" s="12" t="s">
        <v>37</v>
      </c>
      <c r="IL121" s="12" t="s">
        <v>37</v>
      </c>
      <c r="IM121" s="12" t="s">
        <v>37</v>
      </c>
      <c r="IO121" s="12" t="s">
        <v>37</v>
      </c>
      <c r="IP121" s="12" t="s">
        <v>37</v>
      </c>
      <c r="IQ121" s="12" t="s">
        <v>37</v>
      </c>
      <c r="IW121" s="12" t="s">
        <v>37</v>
      </c>
      <c r="IX121" s="12" t="s">
        <v>37</v>
      </c>
      <c r="IY121" s="13" t="s">
        <v>37</v>
      </c>
      <c r="JA121" s="12" t="s">
        <v>37</v>
      </c>
      <c r="JB121" s="12" t="s">
        <v>37</v>
      </c>
      <c r="JC121" s="13" t="s">
        <v>37</v>
      </c>
      <c r="JH121" s="12" t="s">
        <v>37</v>
      </c>
      <c r="JI121" s="12" t="s">
        <v>37</v>
      </c>
      <c r="JJ121" s="13" t="s">
        <v>37</v>
      </c>
      <c r="JL121" s="12" t="s">
        <v>37</v>
      </c>
      <c r="JM121" s="12" t="s">
        <v>37</v>
      </c>
      <c r="JN121" s="12" t="s">
        <v>37</v>
      </c>
      <c r="JS121" s="12" t="s">
        <v>37</v>
      </c>
      <c r="JT121" s="12" t="s">
        <v>37</v>
      </c>
      <c r="JU121" s="13" t="s">
        <v>37</v>
      </c>
      <c r="JW121" s="12" t="s">
        <v>37</v>
      </c>
      <c r="JX121" s="12" t="s">
        <v>37</v>
      </c>
      <c r="JY121" s="12" t="s">
        <v>37</v>
      </c>
      <c r="KE121" s="11" t="s">
        <v>37</v>
      </c>
      <c r="KF121" s="11" t="s">
        <v>37</v>
      </c>
      <c r="KG121" s="13" t="s">
        <v>37</v>
      </c>
      <c r="KH121" s="11" t="s">
        <v>37</v>
      </c>
      <c r="KI121" s="11" t="s">
        <v>37</v>
      </c>
      <c r="KJ121" s="11" t="s">
        <v>37</v>
      </c>
      <c r="KK121" s="12" t="s">
        <v>42</v>
      </c>
      <c r="KL121" s="32" t="s">
        <v>327</v>
      </c>
      <c r="KM121" s="12">
        <f>9.13*10^3/0.82/15/100</f>
        <v>7.4227642276422765</v>
      </c>
      <c r="KN121" s="12">
        <f>SQRT((1/(1500*0.82))^2*(1.26*SQRT(3))^2+(((-9.13*10^3)/(1500*0.82)^2))^2*(0.07*SQRT(3))^2)</f>
        <v>1.9192386252599991E-3</v>
      </c>
      <c r="KO121" s="11">
        <v>3</v>
      </c>
      <c r="KP121" s="19">
        <f t="shared" si="406"/>
        <v>2.5856117295397577E-4</v>
      </c>
      <c r="KQ121" s="12">
        <f>9.45*10^3/1.22/15/100</f>
        <v>5.1639344262295079</v>
      </c>
      <c r="KR121" s="12">
        <f>SQRT((1/(1500*1.22))^2*(0.68*SQRT(3))^2+(((-9.45*10^3)/(1500*1.22)^2))^2*(0.06*SQRT(3))^2)</f>
        <v>7.072641017732427E-4</v>
      </c>
      <c r="KS121" s="13">
        <v>3</v>
      </c>
      <c r="KT121" s="19">
        <f t="shared" si="407"/>
        <v>1.3696225462910415E-4</v>
      </c>
      <c r="KU121" s="19">
        <f t="shared" si="382"/>
        <v>-0.36285275057022925</v>
      </c>
      <c r="KV121" s="19">
        <f t="shared" si="383"/>
        <v>2.8537513117474448E-8</v>
      </c>
      <c r="KX121" s="12" t="s">
        <v>37</v>
      </c>
      <c r="KY121" s="12" t="s">
        <v>37</v>
      </c>
      <c r="KZ121" s="13" t="s">
        <v>37</v>
      </c>
      <c r="LB121" s="12" t="s">
        <v>37</v>
      </c>
      <c r="LC121" s="12" t="s">
        <v>37</v>
      </c>
      <c r="LD121" s="13" t="s">
        <v>37</v>
      </c>
      <c r="LI121" s="12" t="s">
        <v>37</v>
      </c>
      <c r="LJ121" s="12" t="s">
        <v>37</v>
      </c>
      <c r="LK121" s="12" t="s">
        <v>37</v>
      </c>
      <c r="LM121" s="12" t="s">
        <v>37</v>
      </c>
      <c r="LN121" s="12" t="s">
        <v>37</v>
      </c>
      <c r="LO121" s="12" t="s">
        <v>37</v>
      </c>
      <c r="LT121" s="12" t="str">
        <f t="shared" si="408"/>
        <v>0-15</v>
      </c>
      <c r="LU121" s="12">
        <f t="shared" si="385"/>
        <v>14.664841182913472</v>
      </c>
      <c r="LV121" s="29">
        <f t="shared" si="386"/>
        <v>4.4486809398084507E-3</v>
      </c>
      <c r="LW121" s="13">
        <f t="shared" si="409"/>
        <v>3</v>
      </c>
      <c r="LX121" s="19">
        <f t="shared" si="410"/>
        <v>3.0335691224476179E-4</v>
      </c>
      <c r="LY121" s="12">
        <f t="shared" si="388"/>
        <v>14.224338624338627</v>
      </c>
      <c r="LZ121" s="29">
        <f t="shared" si="389"/>
        <v>2.4544410689016885E-3</v>
      </c>
      <c r="MA121" s="13">
        <f t="shared" si="411"/>
        <v>3</v>
      </c>
      <c r="MB121" s="19">
        <f t="shared" si="412"/>
        <v>1.7255221024491113E-4</v>
      </c>
      <c r="MC121" s="19">
        <f t="shared" si="391"/>
        <v>-3.0498387666242601E-2</v>
      </c>
      <c r="MD121" s="19">
        <f t="shared" si="392"/>
        <v>4.0599893822360037E-8</v>
      </c>
      <c r="MF121" s="12" t="s">
        <v>37</v>
      </c>
      <c r="MG121" s="12" t="s">
        <v>37</v>
      </c>
      <c r="MH121" s="12" t="s">
        <v>37</v>
      </c>
      <c r="MJ121" s="12" t="s">
        <v>37</v>
      </c>
      <c r="MK121" s="12" t="s">
        <v>37</v>
      </c>
      <c r="ML121" s="12" t="s">
        <v>37</v>
      </c>
      <c r="MQ121" s="12" t="s">
        <v>37</v>
      </c>
      <c r="MR121" s="12" t="s">
        <v>37</v>
      </c>
      <c r="MS121" s="12" t="s">
        <v>37</v>
      </c>
      <c r="MU121" s="12" t="s">
        <v>37</v>
      </c>
      <c r="MV121" s="12" t="s">
        <v>37</v>
      </c>
      <c r="MW121" s="12" t="s">
        <v>37</v>
      </c>
      <c r="NA121" s="12" t="s">
        <v>177</v>
      </c>
      <c r="NB121" s="12" t="s">
        <v>327</v>
      </c>
      <c r="NC121" s="12">
        <v>0.03</v>
      </c>
      <c r="ND121" s="12">
        <f t="shared" si="458"/>
        <v>1.7320508075688773E-2</v>
      </c>
      <c r="NE121" s="13">
        <v>3</v>
      </c>
      <c r="NF121" s="19">
        <f t="shared" si="413"/>
        <v>0.57735026918962584</v>
      </c>
      <c r="NG121" s="12">
        <v>0.04</v>
      </c>
      <c r="NH121" s="12">
        <f>0.02*SQRT(3)</f>
        <v>3.4641016151377546E-2</v>
      </c>
      <c r="NI121" s="13">
        <v>3</v>
      </c>
      <c r="NJ121" s="19">
        <f t="shared" si="414"/>
        <v>0.8660254037844386</v>
      </c>
      <c r="NK121" s="19">
        <f t="shared" si="415"/>
        <v>0.28768207245178101</v>
      </c>
      <c r="NL121" s="19">
        <f t="shared" si="438"/>
        <v>0.3611111111111111</v>
      </c>
      <c r="NM121" s="12" t="s">
        <v>177</v>
      </c>
      <c r="NN121" s="12" t="s">
        <v>327</v>
      </c>
      <c r="NO121" s="12">
        <v>0.01</v>
      </c>
      <c r="NP121" s="12">
        <f t="shared" si="439"/>
        <v>1.7320508075688773E-2</v>
      </c>
      <c r="NQ121" s="13">
        <v>3</v>
      </c>
      <c r="NR121" s="19">
        <f t="shared" si="440"/>
        <v>1.7320508075688772</v>
      </c>
      <c r="NS121" s="12">
        <v>0.03</v>
      </c>
      <c r="NT121" s="12">
        <f>0.01*SQRT(3)</f>
        <v>1.7320508075688773E-2</v>
      </c>
      <c r="NU121" s="13">
        <v>3</v>
      </c>
      <c r="NV121" s="19">
        <f t="shared" si="442"/>
        <v>0.57735026918962584</v>
      </c>
      <c r="NW121" s="19">
        <f t="shared" si="417"/>
        <v>1.0986122886681098</v>
      </c>
      <c r="NX121" s="19">
        <f t="shared" si="418"/>
        <v>1.1111111111111112</v>
      </c>
      <c r="OA121" s="11" t="s">
        <v>37</v>
      </c>
      <c r="OB121" s="11" t="s">
        <v>37</v>
      </c>
      <c r="OC121" s="13" t="s">
        <v>37</v>
      </c>
      <c r="OE121" s="11" t="s">
        <v>37</v>
      </c>
      <c r="OF121" s="11" t="s">
        <v>37</v>
      </c>
      <c r="OG121" s="13" t="s">
        <v>37</v>
      </c>
      <c r="OM121" s="11" t="s">
        <v>37</v>
      </c>
      <c r="ON121" s="11" t="s">
        <v>37</v>
      </c>
      <c r="OO121" s="11" t="s">
        <v>37</v>
      </c>
      <c r="OP121" s="11" t="s">
        <v>37</v>
      </c>
      <c r="OQ121" s="11" t="s">
        <v>37</v>
      </c>
      <c r="OR121" s="11" t="s">
        <v>37</v>
      </c>
      <c r="OW121" s="12" t="s">
        <v>37</v>
      </c>
      <c r="OX121" s="12" t="s">
        <v>37</v>
      </c>
      <c r="OY121" s="13" t="s">
        <v>37</v>
      </c>
      <c r="OZ121" s="12" t="s">
        <v>37</v>
      </c>
      <c r="PA121" s="12" t="s">
        <v>37</v>
      </c>
      <c r="PB121" s="13" t="s">
        <v>37</v>
      </c>
      <c r="PG121" s="11" t="s">
        <v>37</v>
      </c>
      <c r="PH121" s="11" t="s">
        <v>37</v>
      </c>
      <c r="PI121" s="13" t="s">
        <v>37</v>
      </c>
      <c r="PJ121" s="11" t="s">
        <v>37</v>
      </c>
      <c r="PK121" s="11" t="s">
        <v>37</v>
      </c>
      <c r="PL121" s="13" t="s">
        <v>37</v>
      </c>
      <c r="PQ121" s="12" t="s">
        <v>37</v>
      </c>
      <c r="PR121" s="12" t="s">
        <v>37</v>
      </c>
      <c r="PS121" s="12" t="s">
        <v>37</v>
      </c>
      <c r="PT121" s="12" t="s">
        <v>37</v>
      </c>
      <c r="PU121" s="12" t="s">
        <v>37</v>
      </c>
      <c r="PV121" s="12" t="s">
        <v>37</v>
      </c>
      <c r="PW121" s="12"/>
      <c r="PX121" s="12"/>
      <c r="PZ121" s="12" t="s">
        <v>37</v>
      </c>
      <c r="QA121" s="12" t="s">
        <v>37</v>
      </c>
      <c r="QB121" s="11" t="s">
        <v>37</v>
      </c>
      <c r="QD121" s="12" t="s">
        <v>37</v>
      </c>
      <c r="QE121" s="12" t="s">
        <v>37</v>
      </c>
      <c r="QF121" s="12" t="s">
        <v>37</v>
      </c>
      <c r="QK121" s="12" t="s">
        <v>37</v>
      </c>
      <c r="QL121" s="12" t="s">
        <v>37</v>
      </c>
      <c r="QM121" s="12" t="s">
        <v>37</v>
      </c>
      <c r="QN121" s="12" t="s">
        <v>37</v>
      </c>
      <c r="QO121" s="12" t="s">
        <v>37</v>
      </c>
      <c r="QP121" s="12" t="s">
        <v>37</v>
      </c>
      <c r="QQ121" s="12"/>
      <c r="QR121" s="12"/>
      <c r="QU121" s="11" t="s">
        <v>37</v>
      </c>
      <c r="QV121" s="11" t="s">
        <v>37</v>
      </c>
      <c r="QW121" s="13" t="s">
        <v>37</v>
      </c>
      <c r="QX121" s="11" t="s">
        <v>37</v>
      </c>
      <c r="QY121" s="11" t="s">
        <v>37</v>
      </c>
      <c r="QZ121" s="13" t="s">
        <v>37</v>
      </c>
      <c r="RC121" s="12" t="s">
        <v>37</v>
      </c>
      <c r="RD121" s="12" t="s">
        <v>37</v>
      </c>
      <c r="RE121" s="13" t="s">
        <v>37</v>
      </c>
      <c r="RF121" s="12" t="s">
        <v>37</v>
      </c>
      <c r="RG121" s="12" t="s">
        <v>37</v>
      </c>
      <c r="RH121" s="13" t="s">
        <v>37</v>
      </c>
      <c r="RK121" s="11" t="s">
        <v>37</v>
      </c>
      <c r="RL121" s="11" t="s">
        <v>37</v>
      </c>
      <c r="RM121" s="11" t="s">
        <v>37</v>
      </c>
      <c r="RN121" s="11" t="s">
        <v>37</v>
      </c>
      <c r="RO121" s="11" t="s">
        <v>37</v>
      </c>
      <c r="RP121" s="11" t="s">
        <v>37</v>
      </c>
      <c r="RS121" s="11" t="s">
        <v>37</v>
      </c>
      <c r="RT121" s="11" t="s">
        <v>37</v>
      </c>
      <c r="RU121" s="11" t="s">
        <v>37</v>
      </c>
      <c r="RV121" s="11" t="s">
        <v>37</v>
      </c>
      <c r="RW121" s="11" t="s">
        <v>37</v>
      </c>
      <c r="RX121" s="11" t="s">
        <v>37</v>
      </c>
      <c r="SA121" s="11" t="s">
        <v>37</v>
      </c>
      <c r="SB121" s="11" t="s">
        <v>37</v>
      </c>
      <c r="SC121" s="13" t="s">
        <v>37</v>
      </c>
      <c r="SD121" s="11" t="s">
        <v>37</v>
      </c>
      <c r="SE121" s="11" t="s">
        <v>37</v>
      </c>
      <c r="SF121" s="13" t="s">
        <v>37</v>
      </c>
      <c r="SG121" s="12" t="s">
        <v>177</v>
      </c>
      <c r="SH121" s="12" t="s">
        <v>327</v>
      </c>
      <c r="SI121" s="12">
        <v>0.05</v>
      </c>
      <c r="SJ121" s="12">
        <f>0.02*SQRT(3)</f>
        <v>3.4641016151377546E-2</v>
      </c>
      <c r="SK121" s="13">
        <v>3</v>
      </c>
      <c r="SL121" s="19">
        <f t="shared" si="419"/>
        <v>0.69282032302755092</v>
      </c>
      <c r="SM121" s="12">
        <v>0.13</v>
      </c>
      <c r="SN121" s="12">
        <f>0.04*SQRT(3)</f>
        <v>6.9282032302755092E-2</v>
      </c>
      <c r="SO121" s="13">
        <v>3</v>
      </c>
      <c r="SP121" s="19">
        <f t="shared" si="445"/>
        <v>0.53293871002119297</v>
      </c>
      <c r="SQ121" s="19">
        <f t="shared" si="420"/>
        <v>0.95551144502743635</v>
      </c>
      <c r="SR121" s="19">
        <f t="shared" si="421"/>
        <v>0.25467455621301771</v>
      </c>
      <c r="SU121" s="12" t="s">
        <v>37</v>
      </c>
      <c r="SV121" s="12" t="s">
        <v>37</v>
      </c>
      <c r="SW121" s="11" t="s">
        <v>37</v>
      </c>
      <c r="SX121" s="12" t="s">
        <v>37</v>
      </c>
      <c r="SY121" s="12" t="s">
        <v>37</v>
      </c>
      <c r="SZ121" s="11" t="s">
        <v>37</v>
      </c>
      <c r="TE121" s="12" t="s">
        <v>37</v>
      </c>
      <c r="TF121" s="12" t="s">
        <v>37</v>
      </c>
      <c r="TG121" s="11" t="s">
        <v>37</v>
      </c>
      <c r="TH121" s="12" t="s">
        <v>37</v>
      </c>
      <c r="TI121" s="12" t="s">
        <v>37</v>
      </c>
      <c r="TJ121" s="11" t="s">
        <v>37</v>
      </c>
      <c r="TO121" s="12" t="s">
        <v>37</v>
      </c>
      <c r="TP121" s="12" t="s">
        <v>37</v>
      </c>
      <c r="TQ121" s="11" t="s">
        <v>37</v>
      </c>
      <c r="TR121" s="12" t="s">
        <v>37</v>
      </c>
      <c r="TS121" s="12" t="s">
        <v>37</v>
      </c>
      <c r="TT121" s="11" t="s">
        <v>37</v>
      </c>
      <c r="TY121" s="12" t="s">
        <v>37</v>
      </c>
      <c r="TZ121" s="12" t="s">
        <v>37</v>
      </c>
      <c r="UA121" s="12" t="s">
        <v>37</v>
      </c>
      <c r="UB121" s="12" t="s">
        <v>37</v>
      </c>
      <c r="UC121" s="12" t="s">
        <v>37</v>
      </c>
      <c r="UD121" s="12" t="s">
        <v>37</v>
      </c>
      <c r="UE121" s="12"/>
      <c r="UF121" s="12"/>
      <c r="UI121" s="12" t="s">
        <v>37</v>
      </c>
      <c r="UJ121" s="12" t="s">
        <v>37</v>
      </c>
      <c r="UK121" s="12" t="s">
        <v>37</v>
      </c>
      <c r="UL121" s="12" t="s">
        <v>37</v>
      </c>
      <c r="UM121" s="12" t="s">
        <v>37</v>
      </c>
      <c r="UN121" s="12" t="s">
        <v>37</v>
      </c>
      <c r="UO121" s="12"/>
      <c r="UP121" s="12"/>
      <c r="UR121" s="12" t="s">
        <v>37</v>
      </c>
      <c r="US121" s="12" t="s">
        <v>37</v>
      </c>
      <c r="UT121" s="12" t="s">
        <v>37</v>
      </c>
      <c r="UU121" s="12" t="s">
        <v>37</v>
      </c>
      <c r="UV121" s="12" t="s">
        <v>37</v>
      </c>
      <c r="UW121" s="12" t="s">
        <v>37</v>
      </c>
      <c r="UX121" s="12"/>
      <c r="UY121" s="12"/>
      <c r="VB121" s="12" t="s">
        <v>37</v>
      </c>
      <c r="VC121" s="12" t="s">
        <v>37</v>
      </c>
      <c r="VD121" s="12" t="s">
        <v>37</v>
      </c>
      <c r="VE121" s="12" t="s">
        <v>37</v>
      </c>
      <c r="VF121" s="12" t="s">
        <v>37</v>
      </c>
      <c r="VG121" s="12" t="s">
        <v>37</v>
      </c>
      <c r="VI121" s="12" t="s">
        <v>37</v>
      </c>
      <c r="VJ121" s="12" t="s">
        <v>37</v>
      </c>
      <c r="VK121" s="12" t="s">
        <v>37</v>
      </c>
      <c r="VL121" s="12" t="s">
        <v>37</v>
      </c>
      <c r="VM121" s="12" t="s">
        <v>37</v>
      </c>
      <c r="VN121" s="12" t="s">
        <v>37</v>
      </c>
      <c r="VQ121" s="13" t="s">
        <v>37</v>
      </c>
      <c r="VR121" s="13" t="s">
        <v>37</v>
      </c>
      <c r="VS121" s="13" t="s">
        <v>37</v>
      </c>
      <c r="VT121" s="13" t="s">
        <v>37</v>
      </c>
      <c r="VU121" s="13" t="s">
        <v>37</v>
      </c>
      <c r="VV121" s="13" t="s">
        <v>37</v>
      </c>
      <c r="WA121" s="13" t="s">
        <v>37</v>
      </c>
      <c r="WB121" s="13" t="s">
        <v>37</v>
      </c>
      <c r="WC121" s="13" t="s">
        <v>37</v>
      </c>
      <c r="WD121" s="13" t="s">
        <v>37</v>
      </c>
      <c r="WE121" s="13" t="s">
        <v>37</v>
      </c>
      <c r="WF121" s="13" t="s">
        <v>37</v>
      </c>
    </row>
    <row r="122" spans="1:604" ht="18" customHeight="1" x14ac:dyDescent="0.3">
      <c r="A122" s="11">
        <v>28</v>
      </c>
      <c r="B122" s="16" t="s">
        <v>176</v>
      </c>
      <c r="C122" s="12" t="s">
        <v>26</v>
      </c>
      <c r="D122" s="12" t="s">
        <v>119</v>
      </c>
      <c r="E122" s="40" t="s">
        <v>37</v>
      </c>
      <c r="F122" s="14">
        <v>0</v>
      </c>
      <c r="G122" s="14">
        <v>0</v>
      </c>
      <c r="H122" s="12" t="s">
        <v>82</v>
      </c>
      <c r="I122" s="29">
        <v>46.06</v>
      </c>
      <c r="J122" s="29">
        <v>-96.22</v>
      </c>
      <c r="K122" s="12" t="s">
        <v>202</v>
      </c>
      <c r="L122" s="12" t="s">
        <v>203</v>
      </c>
      <c r="M122" s="13" t="s">
        <v>37</v>
      </c>
      <c r="N122" s="14">
        <v>19</v>
      </c>
      <c r="O122" s="14">
        <v>570</v>
      </c>
      <c r="P122" s="14" t="s">
        <v>16</v>
      </c>
      <c r="Q122" s="75">
        <v>3</v>
      </c>
      <c r="R122" s="11" t="s">
        <v>999</v>
      </c>
      <c r="S122" s="12" t="s">
        <v>37</v>
      </c>
      <c r="T122" s="12" t="s">
        <v>138</v>
      </c>
      <c r="U122" s="12" t="s">
        <v>158</v>
      </c>
      <c r="V122" s="12" t="s">
        <v>871</v>
      </c>
      <c r="W122" s="23" t="s">
        <v>37</v>
      </c>
      <c r="X122" s="12" t="s">
        <v>37</v>
      </c>
      <c r="Y122" s="12" t="s">
        <v>69</v>
      </c>
      <c r="Z122" s="12" t="s">
        <v>37</v>
      </c>
      <c r="AB122" s="12" t="s">
        <v>37</v>
      </c>
      <c r="AC122" s="12" t="s">
        <v>42</v>
      </c>
      <c r="AD122" s="32" t="s">
        <v>327</v>
      </c>
      <c r="AE122" s="12">
        <f>121.43*10^3/0.84/15/100</f>
        <v>96.373015873015888</v>
      </c>
      <c r="AF122" s="12" t="s">
        <v>42</v>
      </c>
      <c r="AG122" s="32" t="s">
        <v>327</v>
      </c>
      <c r="AH122" s="12">
        <f>9.4*10^3/0.84/15/100</f>
        <v>7.4603174603174605</v>
      </c>
      <c r="AJ122" s="12" t="str">
        <f t="shared" si="356"/>
        <v>0-15</v>
      </c>
      <c r="AK122" s="19">
        <f t="shared" si="357"/>
        <v>12.91808510638298</v>
      </c>
      <c r="AL122" s="32" t="s">
        <v>178</v>
      </c>
      <c r="AM122" s="54" t="s">
        <v>317</v>
      </c>
      <c r="AN122" s="32" t="s">
        <v>886</v>
      </c>
      <c r="AO122" s="12" t="s">
        <v>37</v>
      </c>
      <c r="AP122" s="12" t="s">
        <v>108</v>
      </c>
      <c r="AQ122" s="12" t="s">
        <v>975</v>
      </c>
      <c r="AR122" s="12" t="s">
        <v>42</v>
      </c>
      <c r="AS122" s="32" t="s">
        <v>327</v>
      </c>
      <c r="AT122" s="12">
        <f>121.43*10^3/0.84/15/100</f>
        <v>96.373015873015888</v>
      </c>
      <c r="AU122" s="12">
        <f>SQRT((1/(1500*0.84))^2*(9.15*SQRT(3))^2+(((-121.43*10^3)/(1500*0.84)^2))^2*(0.13*SQRT(3))^2)</f>
        <v>2.1326282023838253E-2</v>
      </c>
      <c r="AV122" s="13">
        <v>3</v>
      </c>
      <c r="AW122" s="52">
        <f t="shared" si="426"/>
        <v>2.2128893477753599E-4</v>
      </c>
      <c r="AX122" s="12">
        <f>129.11*10^3/1.16/15/100</f>
        <v>74.201149425287383</v>
      </c>
      <c r="AY122" s="12">
        <f>SQRT((1/(1500*1.16))^2*(15.02*SQRT(3))^2+(((-129.11*10^3)/(1500*1.16)^2))^2*(0.06*SQRT(3))^2)</f>
        <v>1.5594358757041705E-2</v>
      </c>
      <c r="AZ122" s="13">
        <v>3</v>
      </c>
      <c r="BA122" s="52">
        <f t="shared" si="397"/>
        <v>2.1016330444777754E-4</v>
      </c>
      <c r="BB122" s="52">
        <f t="shared" si="360"/>
        <v>-0.26144660314215123</v>
      </c>
      <c r="BC122" s="19">
        <f t="shared" si="361"/>
        <v>3.10458023971286E-8</v>
      </c>
      <c r="BE122" s="12" t="s">
        <v>326</v>
      </c>
      <c r="BF122" s="12" t="s">
        <v>326</v>
      </c>
      <c r="BG122" s="12" t="s">
        <v>326</v>
      </c>
      <c r="BI122" s="12" t="s">
        <v>326</v>
      </c>
      <c r="BJ122" s="12" t="s">
        <v>326</v>
      </c>
      <c r="BK122" s="12" t="s">
        <v>326</v>
      </c>
      <c r="BP122" s="12" t="s">
        <v>37</v>
      </c>
      <c r="BQ122" s="12" t="s">
        <v>37</v>
      </c>
      <c r="BR122" s="13" t="s">
        <v>37</v>
      </c>
      <c r="BT122" s="12" t="s">
        <v>37</v>
      </c>
      <c r="BU122" s="12" t="s">
        <v>37</v>
      </c>
      <c r="BV122" s="12" t="s">
        <v>37</v>
      </c>
      <c r="CA122" s="12" t="s">
        <v>37</v>
      </c>
      <c r="CB122" s="12" t="s">
        <v>37</v>
      </c>
      <c r="CC122" s="13" t="s">
        <v>37</v>
      </c>
      <c r="CE122" s="12" t="s">
        <v>37</v>
      </c>
      <c r="CF122" s="12" t="s">
        <v>37</v>
      </c>
      <c r="CG122" s="13" t="s">
        <v>37</v>
      </c>
      <c r="CI122" s="52"/>
      <c r="CJ122" s="12"/>
      <c r="CK122" s="73"/>
      <c r="CL122" s="73"/>
      <c r="CN122" s="12" t="s">
        <v>37</v>
      </c>
      <c r="CO122" s="12" t="s">
        <v>37</v>
      </c>
      <c r="CP122" s="13" t="s">
        <v>37</v>
      </c>
      <c r="CR122" s="12" t="s">
        <v>37</v>
      </c>
      <c r="CS122" s="12" t="s">
        <v>37</v>
      </c>
      <c r="CT122" s="13" t="s">
        <v>37</v>
      </c>
      <c r="CV122" s="52"/>
      <c r="CW122" s="52"/>
      <c r="CX122" s="73"/>
      <c r="CY122" s="73"/>
      <c r="DA122" s="12" t="s">
        <v>37</v>
      </c>
      <c r="DB122" s="12" t="s">
        <v>37</v>
      </c>
      <c r="DC122" s="13" t="s">
        <v>37</v>
      </c>
      <c r="DE122" s="12" t="s">
        <v>37</v>
      </c>
      <c r="DF122" s="12" t="s">
        <v>37</v>
      </c>
      <c r="DG122" s="13" t="s">
        <v>37</v>
      </c>
      <c r="DM122" s="15"/>
      <c r="DO122" s="108"/>
      <c r="DP122" s="72"/>
      <c r="DS122" s="108"/>
      <c r="DT122" s="72"/>
      <c r="DX122" s="19"/>
      <c r="DY122" s="19"/>
      <c r="DZ122" s="12" t="s">
        <v>47</v>
      </c>
      <c r="EA122" s="19">
        <f>0.003*7/5*10^4/10^3/'[3]classess-1'!$I$6</f>
        <v>2.1678509076928559E-2</v>
      </c>
      <c r="EB122" s="50">
        <f t="shared" si="364"/>
        <v>0.12465092820265757</v>
      </c>
      <c r="EC122" s="72">
        <v>3</v>
      </c>
      <c r="EE122" s="19">
        <f>0.1*7/5*10^4/10^3/'[3]classess-1'!$I$7</f>
        <v>1.4195226818596671</v>
      </c>
      <c r="EF122" s="50">
        <f t="shared" si="365"/>
        <v>2.1195452194556825</v>
      </c>
      <c r="EG122" s="13">
        <v>3</v>
      </c>
      <c r="EI122" s="19">
        <f t="shared" si="429"/>
        <v>1.3978441727827386</v>
      </c>
      <c r="EJ122" s="12">
        <f t="shared" si="366"/>
        <v>1.5013343716872702</v>
      </c>
      <c r="EK122" s="19">
        <f t="shared" si="367"/>
        <v>1.5026699304064071</v>
      </c>
      <c r="EL122" s="19">
        <f t="shared" si="368"/>
        <v>1.5026699304064071</v>
      </c>
      <c r="EM122" s="12" t="s">
        <v>39</v>
      </c>
      <c r="EN122" s="12">
        <v>65</v>
      </c>
      <c r="EO122" s="50">
        <f t="shared" si="398"/>
        <v>26.487265918834066</v>
      </c>
      <c r="EP122" s="13">
        <v>3</v>
      </c>
      <c r="ER122" s="12">
        <v>-38</v>
      </c>
      <c r="ES122" s="50">
        <f t="shared" si="399"/>
        <v>8.6189340333493778</v>
      </c>
      <c r="ET122" s="13">
        <v>3</v>
      </c>
      <c r="EV122" s="19">
        <f t="shared" si="400"/>
        <v>-103</v>
      </c>
      <c r="EW122" s="12">
        <f t="shared" si="401"/>
        <v>19.695954911177278</v>
      </c>
      <c r="EX122" s="19">
        <f t="shared" si="402"/>
        <v>258.62042657541889</v>
      </c>
      <c r="EY122" s="19">
        <f t="shared" si="403"/>
        <v>258.62042657541889</v>
      </c>
      <c r="FB122" s="12" t="s">
        <v>37</v>
      </c>
      <c r="FC122" s="12" t="s">
        <v>37</v>
      </c>
      <c r="FD122" s="11" t="s">
        <v>37</v>
      </c>
      <c r="FE122" s="12" t="s">
        <v>37</v>
      </c>
      <c r="FF122" s="20" t="s">
        <v>37</v>
      </c>
      <c r="FG122" s="11" t="s">
        <v>37</v>
      </c>
      <c r="FI122" s="12" t="s">
        <v>37</v>
      </c>
      <c r="FJ122" s="12" t="s">
        <v>37</v>
      </c>
      <c r="FK122" s="11" t="s">
        <v>37</v>
      </c>
      <c r="FL122" s="13" t="s">
        <v>37</v>
      </c>
      <c r="FM122" s="11" t="s">
        <v>37</v>
      </c>
      <c r="FN122" s="11" t="s">
        <v>37</v>
      </c>
      <c r="FP122" s="12" t="s">
        <v>37</v>
      </c>
      <c r="FQ122" s="12" t="s">
        <v>37</v>
      </c>
      <c r="FR122" s="11" t="s">
        <v>37</v>
      </c>
      <c r="FS122" s="13" t="s">
        <v>37</v>
      </c>
      <c r="FT122" s="11" t="s">
        <v>37</v>
      </c>
      <c r="FU122" s="11" t="s">
        <v>37</v>
      </c>
      <c r="FW122" s="12" t="s">
        <v>37</v>
      </c>
      <c r="FX122" s="12" t="s">
        <v>37</v>
      </c>
      <c r="FY122" s="11" t="s">
        <v>37</v>
      </c>
      <c r="FZ122" s="13" t="s">
        <v>37</v>
      </c>
      <c r="GA122" s="11" t="s">
        <v>37</v>
      </c>
      <c r="GB122" s="11" t="s">
        <v>37</v>
      </c>
      <c r="HA122" s="17" t="s">
        <v>63</v>
      </c>
      <c r="HB122" s="34" t="s">
        <v>327</v>
      </c>
      <c r="HC122" s="12">
        <v>0.84</v>
      </c>
      <c r="HD122" s="12">
        <f>0.13*SQRT(3)</f>
        <v>0.22516660498395405</v>
      </c>
      <c r="HE122" s="13">
        <v>3</v>
      </c>
      <c r="HF122" s="19">
        <f t="shared" si="404"/>
        <v>0.26805548212375485</v>
      </c>
      <c r="HG122" s="12">
        <v>1.1599999999999999</v>
      </c>
      <c r="HH122" s="12">
        <f>0.06*SQRT(3)</f>
        <v>0.10392304845413262</v>
      </c>
      <c r="HI122" s="13">
        <v>3</v>
      </c>
      <c r="HJ122" s="19">
        <f t="shared" si="405"/>
        <v>8.9588834874252274E-2</v>
      </c>
      <c r="HK122" s="19">
        <f t="shared" si="375"/>
        <v>0.32277339226305102</v>
      </c>
      <c r="HL122" s="19">
        <f t="shared" si="376"/>
        <v>2.6626633610241562E-2</v>
      </c>
      <c r="IK122" s="12" t="s">
        <v>37</v>
      </c>
      <c r="IL122" s="12" t="s">
        <v>37</v>
      </c>
      <c r="IM122" s="12" t="s">
        <v>37</v>
      </c>
      <c r="IO122" s="12" t="s">
        <v>37</v>
      </c>
      <c r="IP122" s="12" t="s">
        <v>37</v>
      </c>
      <c r="IQ122" s="12" t="s">
        <v>37</v>
      </c>
      <c r="IW122" s="12" t="s">
        <v>37</v>
      </c>
      <c r="IX122" s="12" t="s">
        <v>37</v>
      </c>
      <c r="IY122" s="13" t="s">
        <v>37</v>
      </c>
      <c r="JA122" s="12" t="s">
        <v>37</v>
      </c>
      <c r="JB122" s="12" t="s">
        <v>37</v>
      </c>
      <c r="JC122" s="13" t="s">
        <v>37</v>
      </c>
      <c r="JH122" s="12" t="s">
        <v>37</v>
      </c>
      <c r="JI122" s="12" t="s">
        <v>37</v>
      </c>
      <c r="JJ122" s="13" t="s">
        <v>37</v>
      </c>
      <c r="JL122" s="12" t="s">
        <v>37</v>
      </c>
      <c r="JM122" s="12" t="s">
        <v>37</v>
      </c>
      <c r="JN122" s="12" t="s">
        <v>37</v>
      </c>
      <c r="JS122" s="12" t="s">
        <v>37</v>
      </c>
      <c r="JT122" s="12" t="s">
        <v>37</v>
      </c>
      <c r="JU122" s="13" t="s">
        <v>37</v>
      </c>
      <c r="JW122" s="12" t="s">
        <v>37</v>
      </c>
      <c r="JX122" s="12" t="s">
        <v>37</v>
      </c>
      <c r="JY122" s="12" t="s">
        <v>37</v>
      </c>
      <c r="KE122" s="11" t="s">
        <v>37</v>
      </c>
      <c r="KF122" s="11" t="s">
        <v>37</v>
      </c>
      <c r="KG122" s="13" t="s">
        <v>37</v>
      </c>
      <c r="KH122" s="11" t="s">
        <v>37</v>
      </c>
      <c r="KI122" s="11" t="s">
        <v>37</v>
      </c>
      <c r="KJ122" s="11" t="s">
        <v>37</v>
      </c>
      <c r="KK122" s="12" t="s">
        <v>42</v>
      </c>
      <c r="KL122" s="32" t="s">
        <v>327</v>
      </c>
      <c r="KM122" s="12">
        <f>9.4*10^3/0.84/15/100</f>
        <v>7.4603174603174605</v>
      </c>
      <c r="KN122" s="12">
        <f>SQRT((1/(1500*0.84))^2*(1.52*SQRT(3))^2+(((-9.45*10^3)/(1500*0.84)^2))^2*(0.13*SQRT(3))^2)</f>
        <v>2.4823736141832168E-3</v>
      </c>
      <c r="KO122" s="11">
        <v>3</v>
      </c>
      <c r="KP122" s="19">
        <f t="shared" si="406"/>
        <v>3.327436972203035E-4</v>
      </c>
      <c r="KQ122" s="12">
        <f>8.4*10^3/1.16/15/100</f>
        <v>4.8275862068965516</v>
      </c>
      <c r="KR122" s="12">
        <f>SQRT((1/(1500*1.16))^2*(1.16*SQRT(3))^2+(((-8.4*10^3)/(1500*1.16)^2))^2*(0.06*SQRT(3))^2)</f>
        <v>1.190154867113976E-3</v>
      </c>
      <c r="KS122" s="13">
        <v>3</v>
      </c>
      <c r="KT122" s="19">
        <f t="shared" si="407"/>
        <v>2.4653207961646646E-4</v>
      </c>
      <c r="KU122" s="19">
        <f t="shared" si="382"/>
        <v>-0.43525137568974132</v>
      </c>
      <c r="KV122" s="19">
        <f t="shared" si="383"/>
        <v>5.7165478106618925E-8</v>
      </c>
      <c r="KX122" s="12" t="s">
        <v>37</v>
      </c>
      <c r="KY122" s="12" t="s">
        <v>37</v>
      </c>
      <c r="KZ122" s="13" t="s">
        <v>37</v>
      </c>
      <c r="LB122" s="12" t="s">
        <v>37</v>
      </c>
      <c r="LC122" s="12" t="s">
        <v>37</v>
      </c>
      <c r="LD122" s="13" t="s">
        <v>37</v>
      </c>
      <c r="LI122" s="12" t="s">
        <v>37</v>
      </c>
      <c r="LJ122" s="12" t="s">
        <v>37</v>
      </c>
      <c r="LK122" s="12" t="s">
        <v>37</v>
      </c>
      <c r="LM122" s="12" t="s">
        <v>37</v>
      </c>
      <c r="LN122" s="12" t="s">
        <v>37</v>
      </c>
      <c r="LO122" s="12" t="s">
        <v>37</v>
      </c>
      <c r="LT122" s="12" t="str">
        <f t="shared" si="408"/>
        <v>0-15</v>
      </c>
      <c r="LU122" s="12">
        <f t="shared" si="385"/>
        <v>12.91808510638298</v>
      </c>
      <c r="LV122" s="12">
        <f t="shared" si="386"/>
        <v>5.1621799648922818E-3</v>
      </c>
      <c r="LW122" s="13">
        <f t="shared" si="409"/>
        <v>3</v>
      </c>
      <c r="LX122" s="19">
        <f t="shared" si="410"/>
        <v>3.9960875953213741E-4</v>
      </c>
      <c r="LY122" s="12">
        <f t="shared" si="388"/>
        <v>15.370238095238101</v>
      </c>
      <c r="LZ122" s="29">
        <f t="shared" si="389"/>
        <v>4.9792616578230135E-3</v>
      </c>
      <c r="MA122" s="13">
        <f t="shared" si="411"/>
        <v>3</v>
      </c>
      <c r="MB122" s="19">
        <f t="shared" si="412"/>
        <v>3.239547511866881E-4</v>
      </c>
      <c r="MC122" s="19">
        <f t="shared" si="391"/>
        <v>0.17380477254759025</v>
      </c>
      <c r="MD122" s="19">
        <f t="shared" si="392"/>
        <v>8.8211280503747532E-8</v>
      </c>
      <c r="MF122" s="12" t="s">
        <v>37</v>
      </c>
      <c r="MG122" s="12" t="s">
        <v>37</v>
      </c>
      <c r="MH122" s="12" t="s">
        <v>37</v>
      </c>
      <c r="MJ122" s="12" t="s">
        <v>37</v>
      </c>
      <c r="MK122" s="12" t="s">
        <v>37</v>
      </c>
      <c r="ML122" s="12" t="s">
        <v>37</v>
      </c>
      <c r="MQ122" s="12" t="s">
        <v>37</v>
      </c>
      <c r="MR122" s="12" t="s">
        <v>37</v>
      </c>
      <c r="MS122" s="12" t="s">
        <v>37</v>
      </c>
      <c r="MU122" s="12" t="s">
        <v>37</v>
      </c>
      <c r="MV122" s="12" t="s">
        <v>37</v>
      </c>
      <c r="MW122" s="12" t="s">
        <v>37</v>
      </c>
      <c r="NA122" s="12" t="s">
        <v>177</v>
      </c>
      <c r="NB122" s="12" t="s">
        <v>327</v>
      </c>
      <c r="NC122" s="12">
        <v>0.02</v>
      </c>
      <c r="ND122" s="12">
        <f t="shared" ref="ND122:ND127" si="461">0.001*SQRT(3)</f>
        <v>1.7320508075688772E-3</v>
      </c>
      <c r="NE122" s="13">
        <v>3</v>
      </c>
      <c r="NF122" s="19">
        <f t="shared" si="413"/>
        <v>8.6602540378443851E-2</v>
      </c>
      <c r="NG122" s="12">
        <v>0.01</v>
      </c>
      <c r="NH122" s="12">
        <f t="shared" ref="NH122:NH127" si="462">0.001*SQRT(3)</f>
        <v>1.7320508075688772E-3</v>
      </c>
      <c r="NI122" s="13">
        <v>3</v>
      </c>
      <c r="NJ122" s="19">
        <f t="shared" si="414"/>
        <v>0.1732050807568877</v>
      </c>
      <c r="NK122" s="19">
        <f t="shared" si="415"/>
        <v>-0.69314718055994529</v>
      </c>
      <c r="NL122" s="19">
        <f t="shared" si="438"/>
        <v>1.2499999999999997E-2</v>
      </c>
      <c r="NM122" s="12" t="s">
        <v>177</v>
      </c>
      <c r="NN122" s="12" t="s">
        <v>327</v>
      </c>
      <c r="NO122" s="12">
        <v>3.0000000000000001E-3</v>
      </c>
      <c r="NP122" s="29">
        <f>0.001*SQRT(3)</f>
        <v>1.7320508075688772E-3</v>
      </c>
      <c r="NQ122" s="13">
        <v>3</v>
      </c>
      <c r="NR122" s="19">
        <f t="shared" si="440"/>
        <v>0.57735026918962573</v>
      </c>
      <c r="NS122" s="12">
        <v>0.03</v>
      </c>
      <c r="NT122" s="12">
        <f>0.01*SQRT(3)</f>
        <v>1.7320508075688773E-2</v>
      </c>
      <c r="NU122" s="13">
        <v>3</v>
      </c>
      <c r="NV122" s="19">
        <f t="shared" si="442"/>
        <v>0.57735026918962584</v>
      </c>
      <c r="NW122" s="19">
        <f t="shared" si="417"/>
        <v>2.3025850929940459</v>
      </c>
      <c r="NX122" s="19">
        <f t="shared" si="418"/>
        <v>0.22222222222222221</v>
      </c>
      <c r="OA122" s="11" t="s">
        <v>37</v>
      </c>
      <c r="OB122" s="11" t="s">
        <v>37</v>
      </c>
      <c r="OC122" s="13" t="s">
        <v>37</v>
      </c>
      <c r="OE122" s="11" t="s">
        <v>37</v>
      </c>
      <c r="OF122" s="11" t="s">
        <v>37</v>
      </c>
      <c r="OG122" s="13" t="s">
        <v>37</v>
      </c>
      <c r="OM122" s="11" t="s">
        <v>37</v>
      </c>
      <c r="ON122" s="11" t="s">
        <v>37</v>
      </c>
      <c r="OO122" s="11" t="s">
        <v>37</v>
      </c>
      <c r="OP122" s="11" t="s">
        <v>37</v>
      </c>
      <c r="OQ122" s="11" t="s">
        <v>37</v>
      </c>
      <c r="OR122" s="11" t="s">
        <v>37</v>
      </c>
      <c r="OW122" s="12" t="s">
        <v>37</v>
      </c>
      <c r="OX122" s="12" t="s">
        <v>37</v>
      </c>
      <c r="OY122" s="13" t="s">
        <v>37</v>
      </c>
      <c r="OZ122" s="12" t="s">
        <v>37</v>
      </c>
      <c r="PA122" s="12" t="s">
        <v>37</v>
      </c>
      <c r="PB122" s="13" t="s">
        <v>37</v>
      </c>
      <c r="PG122" s="11" t="s">
        <v>37</v>
      </c>
      <c r="PH122" s="11" t="s">
        <v>37</v>
      </c>
      <c r="PI122" s="13" t="s">
        <v>37</v>
      </c>
      <c r="PJ122" s="11" t="s">
        <v>37</v>
      </c>
      <c r="PK122" s="11" t="s">
        <v>37</v>
      </c>
      <c r="PL122" s="13" t="s">
        <v>37</v>
      </c>
      <c r="PQ122" s="12" t="s">
        <v>37</v>
      </c>
      <c r="PR122" s="12" t="s">
        <v>37</v>
      </c>
      <c r="PS122" s="12" t="s">
        <v>37</v>
      </c>
      <c r="PT122" s="12" t="s">
        <v>37</v>
      </c>
      <c r="PU122" s="12" t="s">
        <v>37</v>
      </c>
      <c r="PV122" s="12" t="s">
        <v>37</v>
      </c>
      <c r="PW122" s="12"/>
      <c r="PX122" s="12"/>
      <c r="PZ122" s="12" t="s">
        <v>37</v>
      </c>
      <c r="QA122" s="12" t="s">
        <v>37</v>
      </c>
      <c r="QB122" s="11" t="s">
        <v>37</v>
      </c>
      <c r="QD122" s="12" t="s">
        <v>37</v>
      </c>
      <c r="QE122" s="12" t="s">
        <v>37</v>
      </c>
      <c r="QF122" s="12" t="s">
        <v>37</v>
      </c>
      <c r="QK122" s="12" t="s">
        <v>37</v>
      </c>
      <c r="QL122" s="12" t="s">
        <v>37</v>
      </c>
      <c r="QM122" s="12" t="s">
        <v>37</v>
      </c>
      <c r="QN122" s="12" t="s">
        <v>37</v>
      </c>
      <c r="QO122" s="12" t="s">
        <v>37</v>
      </c>
      <c r="QP122" s="12" t="s">
        <v>37</v>
      </c>
      <c r="QQ122" s="12"/>
      <c r="QR122" s="12"/>
      <c r="QU122" s="11" t="s">
        <v>37</v>
      </c>
      <c r="QV122" s="11" t="s">
        <v>37</v>
      </c>
      <c r="QW122" s="13" t="s">
        <v>37</v>
      </c>
      <c r="QX122" s="11" t="s">
        <v>37</v>
      </c>
      <c r="QY122" s="11" t="s">
        <v>37</v>
      </c>
      <c r="QZ122" s="13" t="s">
        <v>37</v>
      </c>
      <c r="RC122" s="12" t="s">
        <v>37</v>
      </c>
      <c r="RD122" s="12" t="s">
        <v>37</v>
      </c>
      <c r="RE122" s="13" t="s">
        <v>37</v>
      </c>
      <c r="RF122" s="12" t="s">
        <v>37</v>
      </c>
      <c r="RG122" s="12" t="s">
        <v>37</v>
      </c>
      <c r="RH122" s="13" t="s">
        <v>37</v>
      </c>
      <c r="RK122" s="11" t="s">
        <v>37</v>
      </c>
      <c r="RL122" s="11" t="s">
        <v>37</v>
      </c>
      <c r="RM122" s="11" t="s">
        <v>37</v>
      </c>
      <c r="RN122" s="11" t="s">
        <v>37</v>
      </c>
      <c r="RO122" s="11" t="s">
        <v>37</v>
      </c>
      <c r="RP122" s="11" t="s">
        <v>37</v>
      </c>
      <c r="RS122" s="11" t="s">
        <v>37</v>
      </c>
      <c r="RT122" s="11" t="s">
        <v>37</v>
      </c>
      <c r="RU122" s="11" t="s">
        <v>37</v>
      </c>
      <c r="RV122" s="11" t="s">
        <v>37</v>
      </c>
      <c r="RW122" s="11" t="s">
        <v>37</v>
      </c>
      <c r="RX122" s="11" t="s">
        <v>37</v>
      </c>
      <c r="SA122" s="11" t="s">
        <v>37</v>
      </c>
      <c r="SB122" s="11" t="s">
        <v>37</v>
      </c>
      <c r="SC122" s="13" t="s">
        <v>37</v>
      </c>
      <c r="SD122" s="11" t="s">
        <v>37</v>
      </c>
      <c r="SE122" s="11" t="s">
        <v>37</v>
      </c>
      <c r="SF122" s="13" t="s">
        <v>37</v>
      </c>
      <c r="SG122" s="12" t="s">
        <v>177</v>
      </c>
      <c r="SH122" s="12" t="s">
        <v>327</v>
      </c>
      <c r="SI122" s="12">
        <v>0.03</v>
      </c>
      <c r="SJ122" s="12">
        <f>0.01*SQRT(3)</f>
        <v>1.7320508075688773E-2</v>
      </c>
      <c r="SK122" s="13">
        <v>3</v>
      </c>
      <c r="SL122" s="19">
        <f t="shared" si="419"/>
        <v>0.57735026918962584</v>
      </c>
      <c r="SM122" s="12">
        <v>0.06</v>
      </c>
      <c r="SN122" s="12">
        <f>0.01*SQRT(3)</f>
        <v>1.7320508075688773E-2</v>
      </c>
      <c r="SO122" s="13">
        <v>3</v>
      </c>
      <c r="SP122" s="19">
        <f t="shared" si="445"/>
        <v>0.28867513459481292</v>
      </c>
      <c r="SQ122" s="19">
        <f t="shared" si="420"/>
        <v>0.69314718055994529</v>
      </c>
      <c r="SR122" s="19">
        <f t="shared" si="421"/>
        <v>0.1388888888888889</v>
      </c>
      <c r="SU122" s="12" t="s">
        <v>37</v>
      </c>
      <c r="SV122" s="12" t="s">
        <v>37</v>
      </c>
      <c r="SW122" s="11" t="s">
        <v>37</v>
      </c>
      <c r="SX122" s="12" t="s">
        <v>37</v>
      </c>
      <c r="SY122" s="12" t="s">
        <v>37</v>
      </c>
      <c r="SZ122" s="11" t="s">
        <v>37</v>
      </c>
      <c r="TE122" s="12" t="s">
        <v>37</v>
      </c>
      <c r="TF122" s="12" t="s">
        <v>37</v>
      </c>
      <c r="TG122" s="11" t="s">
        <v>37</v>
      </c>
      <c r="TH122" s="12" t="s">
        <v>37</v>
      </c>
      <c r="TI122" s="12" t="s">
        <v>37</v>
      </c>
      <c r="TJ122" s="11" t="s">
        <v>37</v>
      </c>
      <c r="TO122" s="12" t="s">
        <v>37</v>
      </c>
      <c r="TP122" s="12" t="s">
        <v>37</v>
      </c>
      <c r="TQ122" s="11" t="s">
        <v>37</v>
      </c>
      <c r="TR122" s="12" t="s">
        <v>37</v>
      </c>
      <c r="TS122" s="12" t="s">
        <v>37</v>
      </c>
      <c r="TT122" s="11" t="s">
        <v>37</v>
      </c>
      <c r="TY122" s="12" t="s">
        <v>37</v>
      </c>
      <c r="TZ122" s="12" t="s">
        <v>37</v>
      </c>
      <c r="UA122" s="12" t="s">
        <v>37</v>
      </c>
      <c r="UB122" s="12" t="s">
        <v>37</v>
      </c>
      <c r="UC122" s="12" t="s">
        <v>37</v>
      </c>
      <c r="UD122" s="12" t="s">
        <v>37</v>
      </c>
      <c r="UE122" s="12"/>
      <c r="UF122" s="12"/>
      <c r="UI122" s="12" t="s">
        <v>37</v>
      </c>
      <c r="UJ122" s="12" t="s">
        <v>37</v>
      </c>
      <c r="UK122" s="12" t="s">
        <v>37</v>
      </c>
      <c r="UL122" s="12" t="s">
        <v>37</v>
      </c>
      <c r="UM122" s="12" t="s">
        <v>37</v>
      </c>
      <c r="UN122" s="12" t="s">
        <v>37</v>
      </c>
      <c r="UO122" s="12"/>
      <c r="UP122" s="12"/>
      <c r="UR122" s="12" t="s">
        <v>37</v>
      </c>
      <c r="US122" s="12" t="s">
        <v>37</v>
      </c>
      <c r="UT122" s="12" t="s">
        <v>37</v>
      </c>
      <c r="UU122" s="12" t="s">
        <v>37</v>
      </c>
      <c r="UV122" s="12" t="s">
        <v>37</v>
      </c>
      <c r="UW122" s="12" t="s">
        <v>37</v>
      </c>
      <c r="UX122" s="12"/>
      <c r="UY122" s="12"/>
      <c r="VB122" s="12" t="s">
        <v>37</v>
      </c>
      <c r="VC122" s="12" t="s">
        <v>37</v>
      </c>
      <c r="VD122" s="12" t="s">
        <v>37</v>
      </c>
      <c r="VE122" s="12" t="s">
        <v>37</v>
      </c>
      <c r="VF122" s="12" t="s">
        <v>37</v>
      </c>
      <c r="VG122" s="12" t="s">
        <v>37</v>
      </c>
      <c r="VI122" s="12" t="s">
        <v>37</v>
      </c>
      <c r="VJ122" s="12" t="s">
        <v>37</v>
      </c>
      <c r="VK122" s="12" t="s">
        <v>37</v>
      </c>
      <c r="VL122" s="12" t="s">
        <v>37</v>
      </c>
      <c r="VM122" s="12" t="s">
        <v>37</v>
      </c>
      <c r="VN122" s="12" t="s">
        <v>37</v>
      </c>
      <c r="VQ122" s="13" t="s">
        <v>37</v>
      </c>
      <c r="VR122" s="13" t="s">
        <v>37</v>
      </c>
      <c r="VS122" s="13" t="s">
        <v>37</v>
      </c>
      <c r="VT122" s="13" t="s">
        <v>37</v>
      </c>
      <c r="VU122" s="13" t="s">
        <v>37</v>
      </c>
      <c r="VV122" s="13" t="s">
        <v>37</v>
      </c>
      <c r="WA122" s="13" t="s">
        <v>37</v>
      </c>
      <c r="WB122" s="13" t="s">
        <v>37</v>
      </c>
      <c r="WC122" s="13" t="s">
        <v>37</v>
      </c>
      <c r="WD122" s="13" t="s">
        <v>37</v>
      </c>
      <c r="WE122" s="13" t="s">
        <v>37</v>
      </c>
      <c r="WF122" s="13" t="s">
        <v>37</v>
      </c>
    </row>
    <row r="123" spans="1:604" ht="18" customHeight="1" x14ac:dyDescent="0.3">
      <c r="A123" s="11">
        <v>28</v>
      </c>
      <c r="B123" s="16" t="s">
        <v>176</v>
      </c>
      <c r="C123" s="12" t="s">
        <v>26</v>
      </c>
      <c r="D123" s="12" t="s">
        <v>119</v>
      </c>
      <c r="E123" s="40" t="s">
        <v>37</v>
      </c>
      <c r="F123" s="14">
        <v>0</v>
      </c>
      <c r="G123" s="14">
        <v>0</v>
      </c>
      <c r="H123" s="12" t="s">
        <v>82</v>
      </c>
      <c r="I123" s="29">
        <v>45.93</v>
      </c>
      <c r="J123" s="29">
        <v>-96</v>
      </c>
      <c r="K123" s="12" t="s">
        <v>204</v>
      </c>
      <c r="L123" s="12" t="s">
        <v>205</v>
      </c>
      <c r="M123" s="13" t="s">
        <v>37</v>
      </c>
      <c r="N123" s="14">
        <v>21</v>
      </c>
      <c r="O123" s="14">
        <v>360</v>
      </c>
      <c r="P123" s="14" t="s">
        <v>16</v>
      </c>
      <c r="Q123" s="75">
        <v>4</v>
      </c>
      <c r="R123" s="11" t="s">
        <v>999</v>
      </c>
      <c r="S123" s="12" t="s">
        <v>37</v>
      </c>
      <c r="T123" s="12" t="s">
        <v>138</v>
      </c>
      <c r="U123" s="12" t="s">
        <v>158</v>
      </c>
      <c r="V123" s="12" t="s">
        <v>871</v>
      </c>
      <c r="W123" s="23" t="s">
        <v>37</v>
      </c>
      <c r="X123" s="12" t="s">
        <v>37</v>
      </c>
      <c r="Y123" s="12" t="s">
        <v>69</v>
      </c>
      <c r="Z123" s="12" t="s">
        <v>37</v>
      </c>
      <c r="AB123" s="12" t="s">
        <v>37</v>
      </c>
      <c r="AC123" s="12" t="s">
        <v>42</v>
      </c>
      <c r="AD123" s="32" t="s">
        <v>327</v>
      </c>
      <c r="AE123" s="12">
        <f>121.43*10^3/0.84/15/100</f>
        <v>96.373015873015888</v>
      </c>
      <c r="AF123" s="12" t="s">
        <v>42</v>
      </c>
      <c r="AG123" s="32" t="s">
        <v>327</v>
      </c>
      <c r="AH123" s="12">
        <f>9.4*10^3/0.84/15/100</f>
        <v>7.4603174603174605</v>
      </c>
      <c r="AJ123" s="12" t="str">
        <f t="shared" si="356"/>
        <v>0-15</v>
      </c>
      <c r="AK123" s="19">
        <f t="shared" si="357"/>
        <v>12.91808510638298</v>
      </c>
      <c r="AL123" s="32" t="s">
        <v>179</v>
      </c>
      <c r="AM123" s="54" t="s">
        <v>317</v>
      </c>
      <c r="AN123" s="32" t="s">
        <v>886</v>
      </c>
      <c r="AO123" s="12" t="s">
        <v>37</v>
      </c>
      <c r="AP123" s="12" t="s">
        <v>108</v>
      </c>
      <c r="AQ123" s="12" t="s">
        <v>975</v>
      </c>
      <c r="AR123" s="12" t="s">
        <v>42</v>
      </c>
      <c r="AS123" s="32" t="s">
        <v>327</v>
      </c>
      <c r="AT123" s="12">
        <f>121.43*10^3/0.84/15/100</f>
        <v>96.373015873015888</v>
      </c>
      <c r="AU123" s="12">
        <f>SQRT((1/(1500*0.84))^2*(9.15*SQRT(3))^2+(((-121.43*10^3)/(1500*0.84)^2))^2*(0.13*SQRT(3))^2)</f>
        <v>2.1326282023838253E-2</v>
      </c>
      <c r="AV123" s="13">
        <v>3</v>
      </c>
      <c r="AW123" s="52">
        <f t="shared" si="426"/>
        <v>2.2128893477753599E-4</v>
      </c>
      <c r="AX123" s="12">
        <f>129.11*10^3/1.16/15/100</f>
        <v>74.201149425287383</v>
      </c>
      <c r="AY123" s="12">
        <f>SQRT((1/(1500*1.16))^2*(15.02*SQRT(3))^2+(((-129.11*10^3)/(1500*1.16)^2))^2*(0.06*SQRT(3))^2)</f>
        <v>1.5594358757041705E-2</v>
      </c>
      <c r="AZ123" s="13">
        <v>3</v>
      </c>
      <c r="BA123" s="52">
        <f t="shared" si="397"/>
        <v>2.1016330444777754E-4</v>
      </c>
      <c r="BB123" s="52">
        <f t="shared" si="360"/>
        <v>-0.26144660314215123</v>
      </c>
      <c r="BC123" s="19">
        <f t="shared" si="361"/>
        <v>3.10458023971286E-8</v>
      </c>
      <c r="BE123" s="12" t="s">
        <v>326</v>
      </c>
      <c r="BF123" s="12" t="s">
        <v>326</v>
      </c>
      <c r="BG123" s="12" t="s">
        <v>326</v>
      </c>
      <c r="BI123" s="12" t="s">
        <v>326</v>
      </c>
      <c r="BJ123" s="12" t="s">
        <v>326</v>
      </c>
      <c r="BK123" s="12" t="s">
        <v>326</v>
      </c>
      <c r="BP123" s="12" t="s">
        <v>37</v>
      </c>
      <c r="BQ123" s="12" t="s">
        <v>37</v>
      </c>
      <c r="BR123" s="13" t="s">
        <v>37</v>
      </c>
      <c r="BT123" s="12" t="s">
        <v>37</v>
      </c>
      <c r="BU123" s="12" t="s">
        <v>37</v>
      </c>
      <c r="BV123" s="12" t="s">
        <v>37</v>
      </c>
      <c r="CA123" s="12" t="s">
        <v>37</v>
      </c>
      <c r="CB123" s="12" t="s">
        <v>37</v>
      </c>
      <c r="CC123" s="13" t="s">
        <v>37</v>
      </c>
      <c r="CE123" s="12" t="s">
        <v>37</v>
      </c>
      <c r="CF123" s="12" t="s">
        <v>37</v>
      </c>
      <c r="CG123" s="13" t="s">
        <v>37</v>
      </c>
      <c r="CI123" s="52"/>
      <c r="CJ123" s="12"/>
      <c r="CK123" s="73"/>
      <c r="CL123" s="73"/>
      <c r="CN123" s="12" t="s">
        <v>37</v>
      </c>
      <c r="CO123" s="12" t="s">
        <v>37</v>
      </c>
      <c r="CP123" s="13" t="s">
        <v>37</v>
      </c>
      <c r="CR123" s="12" t="s">
        <v>37</v>
      </c>
      <c r="CS123" s="12" t="s">
        <v>37</v>
      </c>
      <c r="CT123" s="13" t="s">
        <v>37</v>
      </c>
      <c r="CV123" s="52"/>
      <c r="CW123" s="52"/>
      <c r="CX123" s="73"/>
      <c r="CY123" s="73"/>
      <c r="DA123" s="12" t="s">
        <v>37</v>
      </c>
      <c r="DB123" s="12" t="s">
        <v>37</v>
      </c>
      <c r="DC123" s="13" t="s">
        <v>37</v>
      </c>
      <c r="DE123" s="12" t="s">
        <v>37</v>
      </c>
      <c r="DF123" s="12" t="s">
        <v>37</v>
      </c>
      <c r="DG123" s="13" t="s">
        <v>37</v>
      </c>
      <c r="DM123" s="15"/>
      <c r="DO123" s="108"/>
      <c r="DP123" s="72"/>
      <c r="DS123" s="108"/>
      <c r="DT123" s="72"/>
      <c r="DX123" s="19"/>
      <c r="DY123" s="19"/>
      <c r="DZ123" s="12" t="s">
        <v>47</v>
      </c>
      <c r="EA123" s="19">
        <f>0.01*("2006/10/31"-"2006/04/01")/("2006/09/27"-"2006/04/05")*10^4/10^3/'[3]classess-1'!$I$6</f>
        <v>6.2823434467833755E-2</v>
      </c>
      <c r="EB123" s="50">
        <f t="shared" si="364"/>
        <v>0.36123330213831362</v>
      </c>
      <c r="EC123" s="72">
        <v>3</v>
      </c>
      <c r="EE123" s="19">
        <f>0.2*("2006/10/31"-"2006/04/01")/("2006/09/27"-"2006/04/05")*10^4/10^3/'[3]classess-1'!$I$7</f>
        <v>2.4682312753968088</v>
      </c>
      <c r="EF123" s="50">
        <f t="shared" si="365"/>
        <v>3.6854133203596762</v>
      </c>
      <c r="EG123" s="13">
        <v>3</v>
      </c>
      <c r="EI123" s="19">
        <f t="shared" si="429"/>
        <v>2.4054078409289752</v>
      </c>
      <c r="EJ123" s="12">
        <f t="shared" si="366"/>
        <v>2.6184690985820591</v>
      </c>
      <c r="EK123" s="19">
        <f t="shared" si="367"/>
        <v>4.5709202801527606</v>
      </c>
      <c r="EL123" s="19">
        <f t="shared" si="368"/>
        <v>4.5709202801527615</v>
      </c>
      <c r="EM123" s="12" t="s">
        <v>39</v>
      </c>
      <c r="EN123" s="12">
        <v>50</v>
      </c>
      <c r="EO123" s="50">
        <f t="shared" si="398"/>
        <v>20.374819937564666</v>
      </c>
      <c r="EP123" s="13">
        <v>3</v>
      </c>
      <c r="ER123" s="12">
        <v>-34</v>
      </c>
      <c r="ES123" s="50">
        <f t="shared" si="399"/>
        <v>7.7116778193126017</v>
      </c>
      <c r="ET123" s="13">
        <v>3</v>
      </c>
      <c r="EV123" s="19">
        <f t="shared" si="400"/>
        <v>-84</v>
      </c>
      <c r="EW123" s="12">
        <f t="shared" si="401"/>
        <v>15.404597727254364</v>
      </c>
      <c r="EX123" s="19">
        <f t="shared" si="402"/>
        <v>158.20108742568686</v>
      </c>
      <c r="EY123" s="19">
        <f t="shared" si="403"/>
        <v>158.20108742568686</v>
      </c>
      <c r="FB123" s="12" t="s">
        <v>37</v>
      </c>
      <c r="FC123" s="12" t="s">
        <v>37</v>
      </c>
      <c r="FD123" s="11" t="s">
        <v>37</v>
      </c>
      <c r="FE123" s="12" t="s">
        <v>37</v>
      </c>
      <c r="FF123" s="20" t="s">
        <v>37</v>
      </c>
      <c r="FG123" s="11" t="s">
        <v>37</v>
      </c>
      <c r="FI123" s="12" t="s">
        <v>37</v>
      </c>
      <c r="FJ123" s="12" t="s">
        <v>37</v>
      </c>
      <c r="FK123" s="11" t="s">
        <v>37</v>
      </c>
      <c r="FL123" s="13" t="s">
        <v>37</v>
      </c>
      <c r="FM123" s="11" t="s">
        <v>37</v>
      </c>
      <c r="FN123" s="11" t="s">
        <v>37</v>
      </c>
      <c r="FP123" s="12" t="s">
        <v>37</v>
      </c>
      <c r="FQ123" s="12" t="s">
        <v>37</v>
      </c>
      <c r="FR123" s="11" t="s">
        <v>37</v>
      </c>
      <c r="FS123" s="13" t="s">
        <v>37</v>
      </c>
      <c r="FT123" s="11" t="s">
        <v>37</v>
      </c>
      <c r="FU123" s="11" t="s">
        <v>37</v>
      </c>
      <c r="FW123" s="12" t="s">
        <v>37</v>
      </c>
      <c r="FX123" s="12" t="s">
        <v>37</v>
      </c>
      <c r="FY123" s="11" t="s">
        <v>37</v>
      </c>
      <c r="FZ123" s="13" t="s">
        <v>37</v>
      </c>
      <c r="GA123" s="11" t="s">
        <v>37</v>
      </c>
      <c r="GB123" s="11" t="s">
        <v>37</v>
      </c>
      <c r="HA123" s="17" t="s">
        <v>63</v>
      </c>
      <c r="HB123" s="34" t="s">
        <v>327</v>
      </c>
      <c r="HC123" s="12">
        <v>0.84</v>
      </c>
      <c r="HD123" s="12">
        <f>0.13*SQRT(3)</f>
        <v>0.22516660498395405</v>
      </c>
      <c r="HE123" s="13">
        <v>3</v>
      </c>
      <c r="HF123" s="19">
        <f t="shared" si="404"/>
        <v>0.26805548212375485</v>
      </c>
      <c r="HG123" s="12">
        <v>1.1599999999999999</v>
      </c>
      <c r="HH123" s="12">
        <f>0.06*SQRT(3)</f>
        <v>0.10392304845413262</v>
      </c>
      <c r="HI123" s="13">
        <v>3</v>
      </c>
      <c r="HJ123" s="19">
        <f t="shared" si="405"/>
        <v>8.9588834874252274E-2</v>
      </c>
      <c r="HK123" s="19">
        <f t="shared" si="375"/>
        <v>0.32277339226305102</v>
      </c>
      <c r="HL123" s="19">
        <f t="shared" si="376"/>
        <v>2.6626633610241562E-2</v>
      </c>
      <c r="IK123" s="12" t="s">
        <v>37</v>
      </c>
      <c r="IL123" s="12" t="s">
        <v>37</v>
      </c>
      <c r="IM123" s="12" t="s">
        <v>37</v>
      </c>
      <c r="IO123" s="12" t="s">
        <v>37</v>
      </c>
      <c r="IP123" s="12" t="s">
        <v>37</v>
      </c>
      <c r="IQ123" s="12" t="s">
        <v>37</v>
      </c>
      <c r="IW123" s="12" t="s">
        <v>37</v>
      </c>
      <c r="IX123" s="12" t="s">
        <v>37</v>
      </c>
      <c r="IY123" s="13" t="s">
        <v>37</v>
      </c>
      <c r="JA123" s="12" t="s">
        <v>37</v>
      </c>
      <c r="JB123" s="12" t="s">
        <v>37</v>
      </c>
      <c r="JC123" s="13" t="s">
        <v>37</v>
      </c>
      <c r="JH123" s="12" t="s">
        <v>37</v>
      </c>
      <c r="JI123" s="12" t="s">
        <v>37</v>
      </c>
      <c r="JJ123" s="13" t="s">
        <v>37</v>
      </c>
      <c r="JL123" s="12" t="s">
        <v>37</v>
      </c>
      <c r="JM123" s="12" t="s">
        <v>37</v>
      </c>
      <c r="JN123" s="12" t="s">
        <v>37</v>
      </c>
      <c r="JS123" s="12" t="s">
        <v>37</v>
      </c>
      <c r="JT123" s="12" t="s">
        <v>37</v>
      </c>
      <c r="JU123" s="13" t="s">
        <v>37</v>
      </c>
      <c r="JW123" s="12" t="s">
        <v>37</v>
      </c>
      <c r="JX123" s="12" t="s">
        <v>37</v>
      </c>
      <c r="JY123" s="12" t="s">
        <v>37</v>
      </c>
      <c r="KE123" s="11" t="s">
        <v>37</v>
      </c>
      <c r="KF123" s="11" t="s">
        <v>37</v>
      </c>
      <c r="KG123" s="13" t="s">
        <v>37</v>
      </c>
      <c r="KH123" s="11" t="s">
        <v>37</v>
      </c>
      <c r="KI123" s="11" t="s">
        <v>37</v>
      </c>
      <c r="KJ123" s="11" t="s">
        <v>37</v>
      </c>
      <c r="KK123" s="12" t="s">
        <v>42</v>
      </c>
      <c r="KL123" s="32" t="s">
        <v>327</v>
      </c>
      <c r="KM123" s="12">
        <f>9.4*10^3/0.84/15/100</f>
        <v>7.4603174603174605</v>
      </c>
      <c r="KN123" s="12">
        <f>SQRT((1/(1500*0.84))^2*(1.52*SQRT(3))^2+(((-9.45*10^3)/(1500*0.84)^2))^2*(0.13*SQRT(3))^2)</f>
        <v>2.4823736141832168E-3</v>
      </c>
      <c r="KO123" s="11">
        <v>3</v>
      </c>
      <c r="KP123" s="19">
        <f t="shared" si="406"/>
        <v>3.327436972203035E-4</v>
      </c>
      <c r="KQ123" s="12">
        <f>8.4*10^3/1.16/15/100</f>
        <v>4.8275862068965516</v>
      </c>
      <c r="KR123" s="12">
        <f>SQRT((1/(1500*1.16))^2*(1.16*SQRT(3))^2+(((-8.4*10^3)/(1500*1.16)^2))^2*(0.06*SQRT(3))^2)</f>
        <v>1.190154867113976E-3</v>
      </c>
      <c r="KS123" s="13">
        <v>3</v>
      </c>
      <c r="KT123" s="19">
        <f t="shared" si="407"/>
        <v>2.4653207961646646E-4</v>
      </c>
      <c r="KU123" s="19">
        <f t="shared" si="382"/>
        <v>-0.43525137568974132</v>
      </c>
      <c r="KV123" s="19">
        <f t="shared" si="383"/>
        <v>5.7165478106618925E-8</v>
      </c>
      <c r="KX123" s="12" t="s">
        <v>37</v>
      </c>
      <c r="KY123" s="12" t="s">
        <v>37</v>
      </c>
      <c r="KZ123" s="13" t="s">
        <v>37</v>
      </c>
      <c r="LB123" s="12" t="s">
        <v>37</v>
      </c>
      <c r="LC123" s="12" t="s">
        <v>37</v>
      </c>
      <c r="LD123" s="13" t="s">
        <v>37</v>
      </c>
      <c r="LI123" s="12" t="s">
        <v>37</v>
      </c>
      <c r="LJ123" s="12" t="s">
        <v>37</v>
      </c>
      <c r="LK123" s="12" t="s">
        <v>37</v>
      </c>
      <c r="LM123" s="12" t="s">
        <v>37</v>
      </c>
      <c r="LN123" s="12" t="s">
        <v>37</v>
      </c>
      <c r="LO123" s="12" t="s">
        <v>37</v>
      </c>
      <c r="LT123" s="12" t="str">
        <f t="shared" si="408"/>
        <v>0-15</v>
      </c>
      <c r="LU123" s="12">
        <f t="shared" si="385"/>
        <v>12.91808510638298</v>
      </c>
      <c r="LV123" s="12">
        <f t="shared" si="386"/>
        <v>5.1621799648922818E-3</v>
      </c>
      <c r="LW123" s="13">
        <f t="shared" si="409"/>
        <v>3</v>
      </c>
      <c r="LX123" s="19">
        <f t="shared" si="410"/>
        <v>3.9960875953213741E-4</v>
      </c>
      <c r="LY123" s="12">
        <f t="shared" si="388"/>
        <v>15.370238095238101</v>
      </c>
      <c r="LZ123" s="29">
        <f t="shared" si="389"/>
        <v>4.9792616578230135E-3</v>
      </c>
      <c r="MA123" s="13">
        <f t="shared" si="411"/>
        <v>3</v>
      </c>
      <c r="MB123" s="19">
        <f t="shared" si="412"/>
        <v>3.239547511866881E-4</v>
      </c>
      <c r="MC123" s="19">
        <f t="shared" si="391"/>
        <v>0.17380477254759025</v>
      </c>
      <c r="MD123" s="19">
        <f t="shared" si="392"/>
        <v>8.8211280503747532E-8</v>
      </c>
      <c r="MF123" s="12" t="s">
        <v>37</v>
      </c>
      <c r="MG123" s="12" t="s">
        <v>37</v>
      </c>
      <c r="MH123" s="12" t="s">
        <v>37</v>
      </c>
      <c r="MJ123" s="12" t="s">
        <v>37</v>
      </c>
      <c r="MK123" s="12" t="s">
        <v>37</v>
      </c>
      <c r="ML123" s="12" t="s">
        <v>37</v>
      </c>
      <c r="MQ123" s="12" t="s">
        <v>37</v>
      </c>
      <c r="MR123" s="12" t="s">
        <v>37</v>
      </c>
      <c r="MS123" s="12" t="s">
        <v>37</v>
      </c>
      <c r="MU123" s="12" t="s">
        <v>37</v>
      </c>
      <c r="MV123" s="12" t="s">
        <v>37</v>
      </c>
      <c r="MW123" s="12" t="s">
        <v>37</v>
      </c>
      <c r="NA123" s="12" t="s">
        <v>177</v>
      </c>
      <c r="NB123" s="12" t="s">
        <v>327</v>
      </c>
      <c r="NC123" s="12">
        <v>0.02</v>
      </c>
      <c r="ND123" s="12">
        <f t="shared" si="461"/>
        <v>1.7320508075688772E-3</v>
      </c>
      <c r="NE123" s="13">
        <v>3</v>
      </c>
      <c r="NF123" s="19">
        <f t="shared" si="413"/>
        <v>8.6602540378443851E-2</v>
      </c>
      <c r="NG123" s="12">
        <v>0.01</v>
      </c>
      <c r="NH123" s="12">
        <f t="shared" si="462"/>
        <v>1.7320508075688772E-3</v>
      </c>
      <c r="NI123" s="13">
        <v>3</v>
      </c>
      <c r="NJ123" s="19">
        <f t="shared" si="414"/>
        <v>0.1732050807568877</v>
      </c>
      <c r="NK123" s="19">
        <f t="shared" si="415"/>
        <v>-0.69314718055994529</v>
      </c>
      <c r="NL123" s="19">
        <f t="shared" si="438"/>
        <v>1.2499999999999997E-2</v>
      </c>
      <c r="NM123" s="12" t="s">
        <v>177</v>
      </c>
      <c r="NN123" s="12" t="s">
        <v>327</v>
      </c>
      <c r="NO123" s="12">
        <v>3.0000000000000001E-3</v>
      </c>
      <c r="NP123" s="29">
        <f t="shared" ref="NP123:NP127" si="463">0.001*SQRT(3)</f>
        <v>1.7320508075688772E-3</v>
      </c>
      <c r="NQ123" s="13">
        <v>3</v>
      </c>
      <c r="NR123" s="19">
        <f t="shared" si="440"/>
        <v>0.57735026918962573</v>
      </c>
      <c r="NS123" s="12">
        <v>0.03</v>
      </c>
      <c r="NT123" s="12">
        <f t="shared" ref="NT123" si="464">0.01*SQRT(3)</f>
        <v>1.7320508075688773E-2</v>
      </c>
      <c r="NU123" s="13">
        <v>3</v>
      </c>
      <c r="NV123" s="19">
        <f t="shared" si="442"/>
        <v>0.57735026918962584</v>
      </c>
      <c r="NW123" s="19">
        <f t="shared" si="417"/>
        <v>2.3025850929940459</v>
      </c>
      <c r="NX123" s="19">
        <f t="shared" si="418"/>
        <v>0.22222222222222221</v>
      </c>
      <c r="OA123" s="11" t="s">
        <v>37</v>
      </c>
      <c r="OB123" s="11" t="s">
        <v>37</v>
      </c>
      <c r="OC123" s="13" t="s">
        <v>37</v>
      </c>
      <c r="OE123" s="11" t="s">
        <v>37</v>
      </c>
      <c r="OF123" s="11" t="s">
        <v>37</v>
      </c>
      <c r="OG123" s="13" t="s">
        <v>37</v>
      </c>
      <c r="OM123" s="11" t="s">
        <v>37</v>
      </c>
      <c r="ON123" s="11" t="s">
        <v>37</v>
      </c>
      <c r="OO123" s="11" t="s">
        <v>37</v>
      </c>
      <c r="OP123" s="11" t="s">
        <v>37</v>
      </c>
      <c r="OQ123" s="11" t="s">
        <v>37</v>
      </c>
      <c r="OR123" s="11" t="s">
        <v>37</v>
      </c>
      <c r="OW123" s="12" t="s">
        <v>37</v>
      </c>
      <c r="OX123" s="12" t="s">
        <v>37</v>
      </c>
      <c r="OY123" s="13" t="s">
        <v>37</v>
      </c>
      <c r="OZ123" s="12" t="s">
        <v>37</v>
      </c>
      <c r="PA123" s="12" t="s">
        <v>37</v>
      </c>
      <c r="PB123" s="13" t="s">
        <v>37</v>
      </c>
      <c r="PG123" s="11" t="s">
        <v>37</v>
      </c>
      <c r="PH123" s="11" t="s">
        <v>37</v>
      </c>
      <c r="PI123" s="13" t="s">
        <v>37</v>
      </c>
      <c r="PJ123" s="11" t="s">
        <v>37</v>
      </c>
      <c r="PK123" s="11" t="s">
        <v>37</v>
      </c>
      <c r="PL123" s="13" t="s">
        <v>37</v>
      </c>
      <c r="PQ123" s="12" t="s">
        <v>37</v>
      </c>
      <c r="PR123" s="12" t="s">
        <v>37</v>
      </c>
      <c r="PS123" s="12" t="s">
        <v>37</v>
      </c>
      <c r="PT123" s="12" t="s">
        <v>37</v>
      </c>
      <c r="PU123" s="12" t="s">
        <v>37</v>
      </c>
      <c r="PV123" s="12" t="s">
        <v>37</v>
      </c>
      <c r="PW123" s="12"/>
      <c r="PX123" s="12"/>
      <c r="PZ123" s="12" t="s">
        <v>37</v>
      </c>
      <c r="QA123" s="12" t="s">
        <v>37</v>
      </c>
      <c r="QB123" s="11" t="s">
        <v>37</v>
      </c>
      <c r="QD123" s="12" t="s">
        <v>37</v>
      </c>
      <c r="QE123" s="12" t="s">
        <v>37</v>
      </c>
      <c r="QF123" s="12" t="s">
        <v>37</v>
      </c>
      <c r="QK123" s="12" t="s">
        <v>37</v>
      </c>
      <c r="QL123" s="12" t="s">
        <v>37</v>
      </c>
      <c r="QM123" s="12" t="s">
        <v>37</v>
      </c>
      <c r="QN123" s="12" t="s">
        <v>37</v>
      </c>
      <c r="QO123" s="12" t="s">
        <v>37</v>
      </c>
      <c r="QP123" s="12" t="s">
        <v>37</v>
      </c>
      <c r="QQ123" s="12"/>
      <c r="QR123" s="12"/>
      <c r="QU123" s="11" t="s">
        <v>37</v>
      </c>
      <c r="QV123" s="11" t="s">
        <v>37</v>
      </c>
      <c r="QW123" s="13" t="s">
        <v>37</v>
      </c>
      <c r="QX123" s="11" t="s">
        <v>37</v>
      </c>
      <c r="QY123" s="11" t="s">
        <v>37</v>
      </c>
      <c r="QZ123" s="13" t="s">
        <v>37</v>
      </c>
      <c r="RC123" s="12" t="s">
        <v>37</v>
      </c>
      <c r="RD123" s="12" t="s">
        <v>37</v>
      </c>
      <c r="RE123" s="13" t="s">
        <v>37</v>
      </c>
      <c r="RF123" s="12" t="s">
        <v>37</v>
      </c>
      <c r="RG123" s="12" t="s">
        <v>37</v>
      </c>
      <c r="RH123" s="13" t="s">
        <v>37</v>
      </c>
      <c r="RK123" s="11" t="s">
        <v>37</v>
      </c>
      <c r="RL123" s="11" t="s">
        <v>37</v>
      </c>
      <c r="RM123" s="11" t="s">
        <v>37</v>
      </c>
      <c r="RN123" s="11" t="s">
        <v>37</v>
      </c>
      <c r="RO123" s="11" t="s">
        <v>37</v>
      </c>
      <c r="RP123" s="11" t="s">
        <v>37</v>
      </c>
      <c r="RS123" s="11" t="s">
        <v>37</v>
      </c>
      <c r="RT123" s="11" t="s">
        <v>37</v>
      </c>
      <c r="RU123" s="11" t="s">
        <v>37</v>
      </c>
      <c r="RV123" s="11" t="s">
        <v>37</v>
      </c>
      <c r="RW123" s="11" t="s">
        <v>37</v>
      </c>
      <c r="RX123" s="11" t="s">
        <v>37</v>
      </c>
      <c r="SA123" s="11" t="s">
        <v>37</v>
      </c>
      <c r="SB123" s="11" t="s">
        <v>37</v>
      </c>
      <c r="SC123" s="13" t="s">
        <v>37</v>
      </c>
      <c r="SD123" s="11" t="s">
        <v>37</v>
      </c>
      <c r="SE123" s="11" t="s">
        <v>37</v>
      </c>
      <c r="SF123" s="13" t="s">
        <v>37</v>
      </c>
      <c r="SG123" s="12" t="s">
        <v>177</v>
      </c>
      <c r="SH123" s="12" t="s">
        <v>327</v>
      </c>
      <c r="SI123" s="12">
        <v>0.03</v>
      </c>
      <c r="SJ123" s="12">
        <f>0.01*SQRT(3)</f>
        <v>1.7320508075688773E-2</v>
      </c>
      <c r="SK123" s="13">
        <v>3</v>
      </c>
      <c r="SL123" s="19">
        <f t="shared" si="419"/>
        <v>0.57735026918962584</v>
      </c>
      <c r="SM123" s="12">
        <v>0.06</v>
      </c>
      <c r="SN123" s="12">
        <f>0.01*SQRT(3)</f>
        <v>1.7320508075688773E-2</v>
      </c>
      <c r="SO123" s="13">
        <v>3</v>
      </c>
      <c r="SP123" s="19">
        <f t="shared" si="445"/>
        <v>0.28867513459481292</v>
      </c>
      <c r="SQ123" s="19">
        <f t="shared" si="420"/>
        <v>0.69314718055994529</v>
      </c>
      <c r="SR123" s="19">
        <f t="shared" si="421"/>
        <v>0.1388888888888889</v>
      </c>
      <c r="SU123" s="12" t="s">
        <v>37</v>
      </c>
      <c r="SV123" s="12" t="s">
        <v>37</v>
      </c>
      <c r="SW123" s="11" t="s">
        <v>37</v>
      </c>
      <c r="SX123" s="12" t="s">
        <v>37</v>
      </c>
      <c r="SY123" s="12" t="s">
        <v>37</v>
      </c>
      <c r="SZ123" s="11" t="s">
        <v>37</v>
      </c>
      <c r="TE123" s="12" t="s">
        <v>37</v>
      </c>
      <c r="TF123" s="12" t="s">
        <v>37</v>
      </c>
      <c r="TG123" s="11" t="s">
        <v>37</v>
      </c>
      <c r="TH123" s="12" t="s">
        <v>37</v>
      </c>
      <c r="TI123" s="12" t="s">
        <v>37</v>
      </c>
      <c r="TJ123" s="11" t="s">
        <v>37</v>
      </c>
      <c r="TO123" s="12" t="s">
        <v>37</v>
      </c>
      <c r="TP123" s="12" t="s">
        <v>37</v>
      </c>
      <c r="TQ123" s="11" t="s">
        <v>37</v>
      </c>
      <c r="TR123" s="12" t="s">
        <v>37</v>
      </c>
      <c r="TS123" s="12" t="s">
        <v>37</v>
      </c>
      <c r="TT123" s="11" t="s">
        <v>37</v>
      </c>
      <c r="TY123" s="12" t="s">
        <v>37</v>
      </c>
      <c r="TZ123" s="12" t="s">
        <v>37</v>
      </c>
      <c r="UA123" s="12" t="s">
        <v>37</v>
      </c>
      <c r="UB123" s="12" t="s">
        <v>37</v>
      </c>
      <c r="UC123" s="12" t="s">
        <v>37</v>
      </c>
      <c r="UD123" s="12" t="s">
        <v>37</v>
      </c>
      <c r="UE123" s="12"/>
      <c r="UF123" s="12"/>
      <c r="UI123" s="12" t="s">
        <v>37</v>
      </c>
      <c r="UJ123" s="12" t="s">
        <v>37</v>
      </c>
      <c r="UK123" s="12" t="s">
        <v>37</v>
      </c>
      <c r="UL123" s="12" t="s">
        <v>37</v>
      </c>
      <c r="UM123" s="12" t="s">
        <v>37</v>
      </c>
      <c r="UN123" s="12" t="s">
        <v>37</v>
      </c>
      <c r="UO123" s="12"/>
      <c r="UP123" s="12"/>
      <c r="UR123" s="12" t="s">
        <v>37</v>
      </c>
      <c r="US123" s="12" t="s">
        <v>37</v>
      </c>
      <c r="UT123" s="12" t="s">
        <v>37</v>
      </c>
      <c r="UU123" s="12" t="s">
        <v>37</v>
      </c>
      <c r="UV123" s="12" t="s">
        <v>37</v>
      </c>
      <c r="UW123" s="12" t="s">
        <v>37</v>
      </c>
      <c r="UX123" s="12"/>
      <c r="UY123" s="12"/>
      <c r="VB123" s="12" t="s">
        <v>37</v>
      </c>
      <c r="VC123" s="12" t="s">
        <v>37</v>
      </c>
      <c r="VD123" s="12" t="s">
        <v>37</v>
      </c>
      <c r="VE123" s="12" t="s">
        <v>37</v>
      </c>
      <c r="VF123" s="12" t="s">
        <v>37</v>
      </c>
      <c r="VG123" s="12" t="s">
        <v>37</v>
      </c>
      <c r="VI123" s="12" t="s">
        <v>37</v>
      </c>
      <c r="VJ123" s="12" t="s">
        <v>37</v>
      </c>
      <c r="VK123" s="12" t="s">
        <v>37</v>
      </c>
      <c r="VL123" s="12" t="s">
        <v>37</v>
      </c>
      <c r="VM123" s="12" t="s">
        <v>37</v>
      </c>
      <c r="VN123" s="12" t="s">
        <v>37</v>
      </c>
      <c r="VQ123" s="13" t="s">
        <v>37</v>
      </c>
      <c r="VR123" s="13" t="s">
        <v>37</v>
      </c>
      <c r="VS123" s="13" t="s">
        <v>37</v>
      </c>
      <c r="VT123" s="13" t="s">
        <v>37</v>
      </c>
      <c r="VU123" s="13" t="s">
        <v>37</v>
      </c>
      <c r="VV123" s="13" t="s">
        <v>37</v>
      </c>
      <c r="WA123" s="13" t="s">
        <v>37</v>
      </c>
      <c r="WB123" s="13" t="s">
        <v>37</v>
      </c>
      <c r="WC123" s="13" t="s">
        <v>37</v>
      </c>
      <c r="WD123" s="13" t="s">
        <v>37</v>
      </c>
      <c r="WE123" s="13" t="s">
        <v>37</v>
      </c>
      <c r="WF123" s="13" t="s">
        <v>37</v>
      </c>
    </row>
    <row r="124" spans="1:604" ht="18" customHeight="1" x14ac:dyDescent="0.3">
      <c r="A124" s="11">
        <v>28</v>
      </c>
      <c r="B124" s="16" t="s">
        <v>176</v>
      </c>
      <c r="C124" s="12" t="s">
        <v>26</v>
      </c>
      <c r="D124" s="12" t="s">
        <v>119</v>
      </c>
      <c r="E124" s="40" t="s">
        <v>37</v>
      </c>
      <c r="F124" s="14">
        <v>0</v>
      </c>
      <c r="G124" s="14">
        <v>0</v>
      </c>
      <c r="H124" s="12" t="s">
        <v>82</v>
      </c>
      <c r="I124" s="29">
        <v>43.15</v>
      </c>
      <c r="J124" s="29">
        <v>-95.17</v>
      </c>
      <c r="K124" s="12" t="s">
        <v>206</v>
      </c>
      <c r="L124" s="12" t="s">
        <v>207</v>
      </c>
      <c r="M124" s="13" t="s">
        <v>37</v>
      </c>
      <c r="N124" s="14">
        <v>23</v>
      </c>
      <c r="O124" s="14">
        <v>760</v>
      </c>
      <c r="P124" s="14" t="s">
        <v>16</v>
      </c>
      <c r="Q124" s="75">
        <v>5</v>
      </c>
      <c r="R124" s="11" t="s">
        <v>999</v>
      </c>
      <c r="S124" s="12" t="s">
        <v>37</v>
      </c>
      <c r="T124" s="12" t="s">
        <v>138</v>
      </c>
      <c r="U124" s="12" t="s">
        <v>158</v>
      </c>
      <c r="V124" s="12" t="s">
        <v>275</v>
      </c>
      <c r="W124" s="23" t="s">
        <v>37</v>
      </c>
      <c r="X124" s="12" t="s">
        <v>37</v>
      </c>
      <c r="Y124" s="12" t="s">
        <v>69</v>
      </c>
      <c r="Z124" s="12" t="s">
        <v>37</v>
      </c>
      <c r="AB124" s="12" t="s">
        <v>37</v>
      </c>
      <c r="AC124" s="12" t="s">
        <v>42</v>
      </c>
      <c r="AD124" s="32" t="s">
        <v>327</v>
      </c>
      <c r="AE124" s="12">
        <f>142.06*10^3/1.03/15/100</f>
        <v>91.948220064724921</v>
      </c>
      <c r="AF124" s="12" t="s">
        <v>42</v>
      </c>
      <c r="AG124" s="32" t="s">
        <v>327</v>
      </c>
      <c r="AH124" s="12">
        <f>8.46*10^3/1.03/15/100</f>
        <v>5.4757281553398061</v>
      </c>
      <c r="AJ124" s="12" t="str">
        <f t="shared" si="356"/>
        <v>0-15</v>
      </c>
      <c r="AK124" s="19">
        <f t="shared" si="357"/>
        <v>16.791962174940899</v>
      </c>
      <c r="AL124" s="32" t="s">
        <v>178</v>
      </c>
      <c r="AM124" s="54" t="s">
        <v>317</v>
      </c>
      <c r="AN124" s="32" t="s">
        <v>886</v>
      </c>
      <c r="AO124" s="12" t="s">
        <v>37</v>
      </c>
      <c r="AP124" s="12" t="s">
        <v>108</v>
      </c>
      <c r="AQ124" s="12" t="s">
        <v>975</v>
      </c>
      <c r="AR124" s="12" t="s">
        <v>42</v>
      </c>
      <c r="AS124" s="32" t="s">
        <v>327</v>
      </c>
      <c r="AT124" s="12">
        <f>142.06*10^3/1.03/15/100</f>
        <v>91.948220064724921</v>
      </c>
      <c r="AU124" s="12">
        <f>SQRT((1/(1500*1.03))^2*(13.16*SQRT(3))^2+(((-142.06*10^3)/(1500*1.03)^2))^2*(0.12*SQRT(3))^2)</f>
        <v>1.9252700296627283E-2</v>
      </c>
      <c r="AV124" s="13">
        <v>3</v>
      </c>
      <c r="AW124" s="52">
        <f t="shared" si="426"/>
        <v>2.0938632942622238E-4</v>
      </c>
      <c r="AX124" s="12">
        <f>136.34*10^3/1.23/15/100</f>
        <v>73.897018970189706</v>
      </c>
      <c r="AY124" s="12">
        <f>SQRT((1/(1500*1.23))^2*(4.83*SQRT(3))^2+(((-136.34*10^3)/(1500*1.23)^2))^2*(0.03*SQRT(3))^2)</f>
        <v>4.9891231615210056E-3</v>
      </c>
      <c r="AZ124" s="13">
        <v>3</v>
      </c>
      <c r="BA124" s="52">
        <f t="shared" si="397"/>
        <v>6.7514538895454415E-5</v>
      </c>
      <c r="BB124" s="52">
        <f t="shared" si="360"/>
        <v>-0.21855310477780635</v>
      </c>
      <c r="BC124" s="19">
        <f t="shared" si="361"/>
        <v>1.6133615970950784E-8</v>
      </c>
      <c r="BE124" s="12" t="s">
        <v>326</v>
      </c>
      <c r="BF124" s="12" t="s">
        <v>326</v>
      </c>
      <c r="BG124" s="12" t="s">
        <v>326</v>
      </c>
      <c r="BI124" s="12" t="s">
        <v>326</v>
      </c>
      <c r="BJ124" s="12" t="s">
        <v>326</v>
      </c>
      <c r="BK124" s="12" t="s">
        <v>326</v>
      </c>
      <c r="BP124" s="12" t="s">
        <v>37</v>
      </c>
      <c r="BQ124" s="12" t="s">
        <v>37</v>
      </c>
      <c r="BR124" s="13" t="s">
        <v>37</v>
      </c>
      <c r="BT124" s="12" t="s">
        <v>37</v>
      </c>
      <c r="BU124" s="12" t="s">
        <v>37</v>
      </c>
      <c r="BV124" s="12" t="s">
        <v>37</v>
      </c>
      <c r="CA124" s="12" t="s">
        <v>37</v>
      </c>
      <c r="CB124" s="12" t="s">
        <v>37</v>
      </c>
      <c r="CC124" s="13" t="s">
        <v>37</v>
      </c>
      <c r="CE124" s="12" t="s">
        <v>37</v>
      </c>
      <c r="CF124" s="12" t="s">
        <v>37</v>
      </c>
      <c r="CG124" s="13" t="s">
        <v>37</v>
      </c>
      <c r="CI124" s="52"/>
      <c r="CJ124" s="52"/>
      <c r="CK124" s="73"/>
      <c r="CL124" s="73"/>
      <c r="CN124" s="12" t="s">
        <v>37</v>
      </c>
      <c r="CO124" s="12" t="s">
        <v>37</v>
      </c>
      <c r="CP124" s="13" t="s">
        <v>37</v>
      </c>
      <c r="CR124" s="12" t="s">
        <v>37</v>
      </c>
      <c r="CS124" s="12" t="s">
        <v>37</v>
      </c>
      <c r="CT124" s="13" t="s">
        <v>37</v>
      </c>
      <c r="CV124" s="52"/>
      <c r="CW124" s="52"/>
      <c r="CX124" s="73"/>
      <c r="CY124" s="73"/>
      <c r="DA124" s="12" t="s">
        <v>37</v>
      </c>
      <c r="DB124" s="12" t="s">
        <v>37</v>
      </c>
      <c r="DC124" s="13" t="s">
        <v>37</v>
      </c>
      <c r="DE124" s="12" t="s">
        <v>37</v>
      </c>
      <c r="DF124" s="12" t="s">
        <v>37</v>
      </c>
      <c r="DG124" s="13" t="s">
        <v>37</v>
      </c>
      <c r="DI124" s="52"/>
      <c r="DJ124" s="52"/>
      <c r="DK124" s="73"/>
      <c r="DL124" s="73"/>
      <c r="DM124" s="15"/>
      <c r="DO124" s="108"/>
      <c r="DP124" s="72"/>
      <c r="DS124" s="108"/>
      <c r="DT124" s="72"/>
      <c r="DX124" s="19"/>
      <c r="DY124" s="19"/>
      <c r="DZ124" s="12" t="s">
        <v>47</v>
      </c>
      <c r="EA124" s="19">
        <f>0.11*7/5*10^4/10^3/'[3]classess-1'!$I$4</f>
        <v>2.0013214586575439</v>
      </c>
      <c r="EB124" s="50">
        <f t="shared" si="364"/>
        <v>11.507552321439633</v>
      </c>
      <c r="EC124" s="72">
        <v>3</v>
      </c>
      <c r="EE124" s="19">
        <f>0.13*7/5*10^4/10^3/'[3]classess-1'!$I$5</f>
        <v>3.1161209570931105</v>
      </c>
      <c r="EF124" s="50">
        <f t="shared" si="365"/>
        <v>4.6528029190767866</v>
      </c>
      <c r="EG124" s="13">
        <v>3</v>
      </c>
      <c r="EI124" s="19">
        <f t="shared" si="429"/>
        <v>1.1147994984355667</v>
      </c>
      <c r="EJ124" s="12">
        <f t="shared" si="366"/>
        <v>8.7770249924003334</v>
      </c>
      <c r="EK124" s="19">
        <f t="shared" si="367"/>
        <v>51.357445144813383</v>
      </c>
      <c r="EL124" s="19">
        <f t="shared" si="368"/>
        <v>51.357445144813383</v>
      </c>
      <c r="EM124" s="12" t="s">
        <v>39</v>
      </c>
      <c r="EN124" s="12">
        <v>15</v>
      </c>
      <c r="EO124" s="50">
        <f t="shared" si="398"/>
        <v>6.1124459812694001</v>
      </c>
      <c r="EP124" s="13">
        <v>3</v>
      </c>
      <c r="ER124" s="12">
        <v>-35</v>
      </c>
      <c r="ES124" s="50">
        <f t="shared" si="399"/>
        <v>7.9384918728217961</v>
      </c>
      <c r="ET124" s="13">
        <v>3</v>
      </c>
      <c r="EV124" s="19">
        <f t="shared" si="400"/>
        <v>-50</v>
      </c>
      <c r="EW124" s="12">
        <f t="shared" si="401"/>
        <v>7.0845482950147973</v>
      </c>
      <c r="EX124" s="19">
        <f t="shared" si="402"/>
        <v>33.460549696264714</v>
      </c>
      <c r="EY124" s="19">
        <f t="shared" si="403"/>
        <v>33.460549696264714</v>
      </c>
      <c r="FB124" s="12" t="s">
        <v>37</v>
      </c>
      <c r="FC124" s="12" t="s">
        <v>37</v>
      </c>
      <c r="FD124" s="11" t="s">
        <v>37</v>
      </c>
      <c r="FE124" s="12" t="s">
        <v>37</v>
      </c>
      <c r="FF124" s="20" t="s">
        <v>37</v>
      </c>
      <c r="FG124" s="11" t="s">
        <v>37</v>
      </c>
      <c r="FI124" s="12" t="s">
        <v>37</v>
      </c>
      <c r="FJ124" s="12" t="s">
        <v>37</v>
      </c>
      <c r="FK124" s="11" t="s">
        <v>37</v>
      </c>
      <c r="FL124" s="13" t="s">
        <v>37</v>
      </c>
      <c r="FM124" s="11" t="s">
        <v>37</v>
      </c>
      <c r="FN124" s="11" t="s">
        <v>37</v>
      </c>
      <c r="FP124" s="12" t="s">
        <v>37</v>
      </c>
      <c r="FQ124" s="12" t="s">
        <v>37</v>
      </c>
      <c r="FR124" s="11" t="s">
        <v>37</v>
      </c>
      <c r="FS124" s="13" t="s">
        <v>37</v>
      </c>
      <c r="FT124" s="11" t="s">
        <v>37</v>
      </c>
      <c r="FU124" s="11" t="s">
        <v>37</v>
      </c>
      <c r="FW124" s="12" t="s">
        <v>37</v>
      </c>
      <c r="FX124" s="12" t="s">
        <v>37</v>
      </c>
      <c r="FY124" s="11" t="s">
        <v>37</v>
      </c>
      <c r="FZ124" s="13" t="s">
        <v>37</v>
      </c>
      <c r="GA124" s="11" t="s">
        <v>37</v>
      </c>
      <c r="GB124" s="11" t="s">
        <v>37</v>
      </c>
      <c r="HA124" s="17" t="s">
        <v>63</v>
      </c>
      <c r="HB124" s="34" t="s">
        <v>327</v>
      </c>
      <c r="HC124" s="12">
        <v>1.03</v>
      </c>
      <c r="HD124" s="12">
        <f>0.12*SQRT(3)</f>
        <v>0.20784609690826525</v>
      </c>
      <c r="HE124" s="13">
        <v>3</v>
      </c>
      <c r="HF124" s="19">
        <f t="shared" si="404"/>
        <v>0.20179232709540315</v>
      </c>
      <c r="HG124" s="12">
        <v>1.23</v>
      </c>
      <c r="HH124" s="12">
        <f>0.03*SQRT(3)</f>
        <v>5.1961524227066312E-2</v>
      </c>
      <c r="HI124" s="13">
        <v>3</v>
      </c>
      <c r="HJ124" s="19">
        <f t="shared" si="405"/>
        <v>4.2245141648021393E-2</v>
      </c>
      <c r="HK124" s="19">
        <f t="shared" si="375"/>
        <v>0.17745536714278165</v>
      </c>
      <c r="HL124" s="19">
        <f t="shared" si="376"/>
        <v>1.4168265089146525E-2</v>
      </c>
      <c r="IK124" s="12" t="s">
        <v>37</v>
      </c>
      <c r="IL124" s="12" t="s">
        <v>37</v>
      </c>
      <c r="IM124" s="12" t="s">
        <v>37</v>
      </c>
      <c r="IO124" s="12" t="s">
        <v>37</v>
      </c>
      <c r="IP124" s="12" t="s">
        <v>37</v>
      </c>
      <c r="IQ124" s="12" t="s">
        <v>37</v>
      </c>
      <c r="IW124" s="12" t="s">
        <v>37</v>
      </c>
      <c r="IX124" s="12" t="s">
        <v>37</v>
      </c>
      <c r="IY124" s="13" t="s">
        <v>37</v>
      </c>
      <c r="JA124" s="12" t="s">
        <v>37</v>
      </c>
      <c r="JB124" s="12" t="s">
        <v>37</v>
      </c>
      <c r="JC124" s="13" t="s">
        <v>37</v>
      </c>
      <c r="JH124" s="12" t="s">
        <v>37</v>
      </c>
      <c r="JI124" s="12" t="s">
        <v>37</v>
      </c>
      <c r="JJ124" s="13" t="s">
        <v>37</v>
      </c>
      <c r="JL124" s="12" t="s">
        <v>37</v>
      </c>
      <c r="JM124" s="12" t="s">
        <v>37</v>
      </c>
      <c r="JN124" s="12" t="s">
        <v>37</v>
      </c>
      <c r="JS124" s="12" t="s">
        <v>37</v>
      </c>
      <c r="JT124" s="12" t="s">
        <v>37</v>
      </c>
      <c r="JU124" s="13" t="s">
        <v>37</v>
      </c>
      <c r="JW124" s="12" t="s">
        <v>37</v>
      </c>
      <c r="JX124" s="12" t="s">
        <v>37</v>
      </c>
      <c r="JY124" s="12" t="s">
        <v>37</v>
      </c>
      <c r="KE124" s="11" t="s">
        <v>37</v>
      </c>
      <c r="KF124" s="11" t="s">
        <v>37</v>
      </c>
      <c r="KG124" s="13" t="s">
        <v>37</v>
      </c>
      <c r="KH124" s="11" t="s">
        <v>37</v>
      </c>
      <c r="KI124" s="11" t="s">
        <v>37</v>
      </c>
      <c r="KJ124" s="11" t="s">
        <v>37</v>
      </c>
      <c r="KK124" s="12" t="s">
        <v>42</v>
      </c>
      <c r="KL124" s="32" t="s">
        <v>327</v>
      </c>
      <c r="KM124" s="12">
        <f>8.46*10^3/1.03/15/100</f>
        <v>5.4757281553398061</v>
      </c>
      <c r="KN124" s="12">
        <f>SQRT((1/(1500*1.03))^2*(0.82*SQRT(3))^2+(((-8.42*10^3)/(1500*1.03)^2))^2*(0.12*SQRT(3))^2)</f>
        <v>1.175834966550536E-3</v>
      </c>
      <c r="KO124" s="11">
        <v>3</v>
      </c>
      <c r="KP124" s="19">
        <f t="shared" si="406"/>
        <v>2.1473581835940639E-4</v>
      </c>
      <c r="KQ124" s="12">
        <f>7.81*10^3/1.23/15/100</f>
        <v>4.2330623306233068</v>
      </c>
      <c r="KR124" s="12">
        <f>SQRT((1/(1500*1.23))^2*(0.5*SQRT(3))^2+(((-7.81*10^3)/(1500*1.23)^2))^2*(0.03*SQRT(3))^2)</f>
        <v>4.8429353661140777E-4</v>
      </c>
      <c r="KS124" s="13">
        <v>3</v>
      </c>
      <c r="KT124" s="19">
        <f t="shared" si="407"/>
        <v>1.144073719651789E-4</v>
      </c>
      <c r="KU124" s="19">
        <f t="shared" si="382"/>
        <v>-0.25739957690931897</v>
      </c>
      <c r="KV124" s="19">
        <f t="shared" si="383"/>
        <v>1.9733506148820921E-8</v>
      </c>
      <c r="KX124" s="12" t="s">
        <v>37</v>
      </c>
      <c r="KY124" s="12" t="s">
        <v>37</v>
      </c>
      <c r="KZ124" s="13" t="s">
        <v>37</v>
      </c>
      <c r="LB124" s="12" t="s">
        <v>37</v>
      </c>
      <c r="LC124" s="12" t="s">
        <v>37</v>
      </c>
      <c r="LD124" s="13" t="s">
        <v>37</v>
      </c>
      <c r="LI124" s="12" t="s">
        <v>37</v>
      </c>
      <c r="LJ124" s="12" t="s">
        <v>37</v>
      </c>
      <c r="LK124" s="12" t="s">
        <v>37</v>
      </c>
      <c r="LM124" s="12" t="s">
        <v>37</v>
      </c>
      <c r="LN124" s="12" t="s">
        <v>37</v>
      </c>
      <c r="LO124" s="12" t="s">
        <v>37</v>
      </c>
      <c r="LT124" s="12" t="str">
        <f t="shared" si="408"/>
        <v>0-15</v>
      </c>
      <c r="LU124" s="12">
        <f t="shared" si="385"/>
        <v>16.791962174940899</v>
      </c>
      <c r="LV124" s="12">
        <f t="shared" si="386"/>
        <v>5.0363040893459483E-3</v>
      </c>
      <c r="LW124" s="13">
        <f t="shared" si="409"/>
        <v>3</v>
      </c>
      <c r="LX124" s="19">
        <f t="shared" si="410"/>
        <v>2.9992350130836776E-4</v>
      </c>
      <c r="LY124" s="12">
        <f t="shared" si="388"/>
        <v>17.457106274007682</v>
      </c>
      <c r="LZ124" s="29">
        <f t="shared" si="389"/>
        <v>2.3190541764532453E-3</v>
      </c>
      <c r="MA124" s="13">
        <f t="shared" si="411"/>
        <v>3</v>
      </c>
      <c r="MB124" s="19">
        <f t="shared" si="412"/>
        <v>1.3284298898415614E-4</v>
      </c>
      <c r="MC124" s="19">
        <f t="shared" si="391"/>
        <v>3.8846472131512544E-2</v>
      </c>
      <c r="MD124" s="19">
        <f t="shared" si="392"/>
        <v>3.5867122119771695E-8</v>
      </c>
      <c r="MF124" s="12" t="s">
        <v>37</v>
      </c>
      <c r="MG124" s="12" t="s">
        <v>37</v>
      </c>
      <c r="MH124" s="12" t="s">
        <v>37</v>
      </c>
      <c r="MJ124" s="12" t="s">
        <v>37</v>
      </c>
      <c r="MK124" s="12" t="s">
        <v>37</v>
      </c>
      <c r="ML124" s="12" t="s">
        <v>37</v>
      </c>
      <c r="MQ124" s="12" t="s">
        <v>37</v>
      </c>
      <c r="MR124" s="12" t="s">
        <v>37</v>
      </c>
      <c r="MS124" s="12" t="s">
        <v>37</v>
      </c>
      <c r="MU124" s="12" t="s">
        <v>37</v>
      </c>
      <c r="MV124" s="12" t="s">
        <v>37</v>
      </c>
      <c r="MW124" s="12" t="s">
        <v>37</v>
      </c>
      <c r="NA124" s="12" t="s">
        <v>177</v>
      </c>
      <c r="NB124" s="12" t="s">
        <v>327</v>
      </c>
      <c r="NC124" s="12">
        <v>0.01</v>
      </c>
      <c r="ND124" s="12">
        <f>0.001*SQRT(3)</f>
        <v>1.7320508075688772E-3</v>
      </c>
      <c r="NE124" s="13">
        <v>3</v>
      </c>
      <c r="NF124" s="19">
        <f t="shared" si="413"/>
        <v>0.1732050807568877</v>
      </c>
      <c r="NG124" s="12">
        <v>0.02</v>
      </c>
      <c r="NH124" s="12">
        <f t="shared" si="462"/>
        <v>1.7320508075688772E-3</v>
      </c>
      <c r="NI124" s="13">
        <v>3</v>
      </c>
      <c r="NJ124" s="19">
        <f t="shared" si="414"/>
        <v>8.6602540378443851E-2</v>
      </c>
      <c r="NK124" s="19">
        <f t="shared" si="415"/>
        <v>0.69314718055994529</v>
      </c>
      <c r="NL124" s="19">
        <f t="shared" si="438"/>
        <v>1.2499999999999997E-2</v>
      </c>
      <c r="NM124" s="12" t="s">
        <v>177</v>
      </c>
      <c r="NN124" s="12" t="s">
        <v>327</v>
      </c>
      <c r="NO124" s="12">
        <v>0.01</v>
      </c>
      <c r="NP124" s="12">
        <f t="shared" si="463"/>
        <v>1.7320508075688772E-3</v>
      </c>
      <c r="NQ124" s="13">
        <v>3</v>
      </c>
      <c r="NR124" s="19">
        <f t="shared" si="440"/>
        <v>0.1732050807568877</v>
      </c>
      <c r="NS124" s="12">
        <v>0.02</v>
      </c>
      <c r="NT124" s="12">
        <f>0.001*SQRT(3)</f>
        <v>1.7320508075688772E-3</v>
      </c>
      <c r="NU124" s="13">
        <v>3</v>
      </c>
      <c r="NV124" s="19">
        <f t="shared" si="442"/>
        <v>8.6602540378443851E-2</v>
      </c>
      <c r="NW124" s="19">
        <f t="shared" si="417"/>
        <v>0.69314718055994529</v>
      </c>
      <c r="NX124" s="19">
        <f t="shared" si="418"/>
        <v>1.2499999999999997E-2</v>
      </c>
      <c r="OA124" s="11" t="s">
        <v>37</v>
      </c>
      <c r="OB124" s="11" t="s">
        <v>37</v>
      </c>
      <c r="OC124" s="13" t="s">
        <v>37</v>
      </c>
      <c r="OE124" s="11" t="s">
        <v>37</v>
      </c>
      <c r="OF124" s="11" t="s">
        <v>37</v>
      </c>
      <c r="OG124" s="13" t="s">
        <v>37</v>
      </c>
      <c r="OM124" s="11" t="s">
        <v>37</v>
      </c>
      <c r="ON124" s="11" t="s">
        <v>37</v>
      </c>
      <c r="OO124" s="11" t="s">
        <v>37</v>
      </c>
      <c r="OP124" s="11" t="s">
        <v>37</v>
      </c>
      <c r="OQ124" s="11" t="s">
        <v>37</v>
      </c>
      <c r="OR124" s="11" t="s">
        <v>37</v>
      </c>
      <c r="OW124" s="12" t="s">
        <v>37</v>
      </c>
      <c r="OX124" s="12" t="s">
        <v>37</v>
      </c>
      <c r="OY124" s="13" t="s">
        <v>37</v>
      </c>
      <c r="OZ124" s="12" t="s">
        <v>37</v>
      </c>
      <c r="PA124" s="12" t="s">
        <v>37</v>
      </c>
      <c r="PB124" s="13" t="s">
        <v>37</v>
      </c>
      <c r="PG124" s="11" t="s">
        <v>37</v>
      </c>
      <c r="PH124" s="11" t="s">
        <v>37</v>
      </c>
      <c r="PI124" s="13" t="s">
        <v>37</v>
      </c>
      <c r="PJ124" s="11" t="s">
        <v>37</v>
      </c>
      <c r="PK124" s="11" t="s">
        <v>37</v>
      </c>
      <c r="PL124" s="13" t="s">
        <v>37</v>
      </c>
      <c r="PQ124" s="12" t="s">
        <v>37</v>
      </c>
      <c r="PR124" s="12" t="s">
        <v>37</v>
      </c>
      <c r="PS124" s="12" t="s">
        <v>37</v>
      </c>
      <c r="PT124" s="12" t="s">
        <v>37</v>
      </c>
      <c r="PU124" s="12" t="s">
        <v>37</v>
      </c>
      <c r="PV124" s="12" t="s">
        <v>37</v>
      </c>
      <c r="PW124" s="12"/>
      <c r="PX124" s="12"/>
      <c r="PZ124" s="12" t="s">
        <v>37</v>
      </c>
      <c r="QA124" s="12" t="s">
        <v>37</v>
      </c>
      <c r="QB124" s="11" t="s">
        <v>37</v>
      </c>
      <c r="QD124" s="12" t="s">
        <v>37</v>
      </c>
      <c r="QE124" s="12" t="s">
        <v>37</v>
      </c>
      <c r="QF124" s="12" t="s">
        <v>37</v>
      </c>
      <c r="QK124" s="12" t="s">
        <v>37</v>
      </c>
      <c r="QL124" s="12" t="s">
        <v>37</v>
      </c>
      <c r="QM124" s="12" t="s">
        <v>37</v>
      </c>
      <c r="QN124" s="12" t="s">
        <v>37</v>
      </c>
      <c r="QO124" s="12" t="s">
        <v>37</v>
      </c>
      <c r="QP124" s="12" t="s">
        <v>37</v>
      </c>
      <c r="QQ124" s="12"/>
      <c r="QR124" s="12"/>
      <c r="QU124" s="11" t="s">
        <v>37</v>
      </c>
      <c r="QV124" s="11" t="s">
        <v>37</v>
      </c>
      <c r="QW124" s="13" t="s">
        <v>37</v>
      </c>
      <c r="QX124" s="11" t="s">
        <v>37</v>
      </c>
      <c r="QY124" s="11" t="s">
        <v>37</v>
      </c>
      <c r="QZ124" s="13" t="s">
        <v>37</v>
      </c>
      <c r="RC124" s="12" t="s">
        <v>37</v>
      </c>
      <c r="RD124" s="12" t="s">
        <v>37</v>
      </c>
      <c r="RE124" s="13" t="s">
        <v>37</v>
      </c>
      <c r="RF124" s="12" t="s">
        <v>37</v>
      </c>
      <c r="RG124" s="12" t="s">
        <v>37</v>
      </c>
      <c r="RH124" s="13" t="s">
        <v>37</v>
      </c>
      <c r="RK124" s="11" t="s">
        <v>37</v>
      </c>
      <c r="RL124" s="11" t="s">
        <v>37</v>
      </c>
      <c r="RM124" s="11" t="s">
        <v>37</v>
      </c>
      <c r="RN124" s="11" t="s">
        <v>37</v>
      </c>
      <c r="RO124" s="11" t="s">
        <v>37</v>
      </c>
      <c r="RP124" s="11" t="s">
        <v>37</v>
      </c>
      <c r="RS124" s="11" t="s">
        <v>37</v>
      </c>
      <c r="RT124" s="11" t="s">
        <v>37</v>
      </c>
      <c r="RU124" s="11" t="s">
        <v>37</v>
      </c>
      <c r="RV124" s="11" t="s">
        <v>37</v>
      </c>
      <c r="RW124" s="11" t="s">
        <v>37</v>
      </c>
      <c r="RX124" s="11" t="s">
        <v>37</v>
      </c>
      <c r="SA124" s="11" t="s">
        <v>37</v>
      </c>
      <c r="SB124" s="11" t="s">
        <v>37</v>
      </c>
      <c r="SC124" s="13" t="s">
        <v>37</v>
      </c>
      <c r="SD124" s="11" t="s">
        <v>37</v>
      </c>
      <c r="SE124" s="11" t="s">
        <v>37</v>
      </c>
      <c r="SF124" s="13" t="s">
        <v>37</v>
      </c>
      <c r="SG124" s="12" t="s">
        <v>177</v>
      </c>
      <c r="SH124" s="12" t="s">
        <v>327</v>
      </c>
      <c r="SI124" s="12">
        <v>7.0000000000000007E-2</v>
      </c>
      <c r="SJ124" s="12">
        <f>0.03*SQRT(3)</f>
        <v>5.1961524227066312E-2</v>
      </c>
      <c r="SK124" s="13">
        <v>3</v>
      </c>
      <c r="SL124" s="19">
        <f t="shared" si="419"/>
        <v>0.74230748895809007</v>
      </c>
      <c r="SM124" s="12">
        <v>0.09</v>
      </c>
      <c r="SN124" s="12">
        <f>0.03*SQRT(3)</f>
        <v>5.1961524227066312E-2</v>
      </c>
      <c r="SO124" s="13">
        <v>3</v>
      </c>
      <c r="SP124" s="19">
        <f t="shared" si="445"/>
        <v>0.57735026918962573</v>
      </c>
      <c r="SQ124" s="19">
        <f t="shared" si="420"/>
        <v>0.251314428280906</v>
      </c>
      <c r="SR124" s="19">
        <f t="shared" si="421"/>
        <v>0.29478458049886613</v>
      </c>
      <c r="SU124" s="12" t="s">
        <v>37</v>
      </c>
      <c r="SV124" s="12" t="s">
        <v>37</v>
      </c>
      <c r="SW124" s="11" t="s">
        <v>37</v>
      </c>
      <c r="SX124" s="12" t="s">
        <v>37</v>
      </c>
      <c r="SY124" s="12" t="s">
        <v>37</v>
      </c>
      <c r="SZ124" s="11" t="s">
        <v>37</v>
      </c>
      <c r="TE124" s="12" t="s">
        <v>37</v>
      </c>
      <c r="TF124" s="12" t="s">
        <v>37</v>
      </c>
      <c r="TG124" s="11" t="s">
        <v>37</v>
      </c>
      <c r="TH124" s="12" t="s">
        <v>37</v>
      </c>
      <c r="TI124" s="12" t="s">
        <v>37</v>
      </c>
      <c r="TJ124" s="11" t="s">
        <v>37</v>
      </c>
      <c r="TO124" s="12" t="s">
        <v>37</v>
      </c>
      <c r="TP124" s="12" t="s">
        <v>37</v>
      </c>
      <c r="TQ124" s="11" t="s">
        <v>37</v>
      </c>
      <c r="TR124" s="12" t="s">
        <v>37</v>
      </c>
      <c r="TS124" s="12" t="s">
        <v>37</v>
      </c>
      <c r="TT124" s="11" t="s">
        <v>37</v>
      </c>
      <c r="TY124" s="12" t="s">
        <v>37</v>
      </c>
      <c r="TZ124" s="12" t="s">
        <v>37</v>
      </c>
      <c r="UA124" s="12" t="s">
        <v>37</v>
      </c>
      <c r="UB124" s="12" t="s">
        <v>37</v>
      </c>
      <c r="UC124" s="12" t="s">
        <v>37</v>
      </c>
      <c r="UD124" s="12" t="s">
        <v>37</v>
      </c>
      <c r="UE124" s="12"/>
      <c r="UF124" s="12"/>
      <c r="UI124" s="12" t="s">
        <v>37</v>
      </c>
      <c r="UJ124" s="12" t="s">
        <v>37</v>
      </c>
      <c r="UK124" s="12" t="s">
        <v>37</v>
      </c>
      <c r="UL124" s="12" t="s">
        <v>37</v>
      </c>
      <c r="UM124" s="12" t="s">
        <v>37</v>
      </c>
      <c r="UN124" s="12" t="s">
        <v>37</v>
      </c>
      <c r="UO124" s="12"/>
      <c r="UP124" s="12"/>
      <c r="UR124" s="12" t="s">
        <v>37</v>
      </c>
      <c r="US124" s="12" t="s">
        <v>37</v>
      </c>
      <c r="UT124" s="12" t="s">
        <v>37</v>
      </c>
      <c r="UU124" s="12" t="s">
        <v>37</v>
      </c>
      <c r="UV124" s="12" t="s">
        <v>37</v>
      </c>
      <c r="UW124" s="12" t="s">
        <v>37</v>
      </c>
      <c r="UX124" s="12"/>
      <c r="UY124" s="12"/>
      <c r="VB124" s="12" t="s">
        <v>37</v>
      </c>
      <c r="VC124" s="12" t="s">
        <v>37</v>
      </c>
      <c r="VD124" s="12" t="s">
        <v>37</v>
      </c>
      <c r="VE124" s="12" t="s">
        <v>37</v>
      </c>
      <c r="VF124" s="12" t="s">
        <v>37</v>
      </c>
      <c r="VG124" s="12" t="s">
        <v>37</v>
      </c>
      <c r="VI124" s="12" t="s">
        <v>37</v>
      </c>
      <c r="VJ124" s="12" t="s">
        <v>37</v>
      </c>
      <c r="VK124" s="12" t="s">
        <v>37</v>
      </c>
      <c r="VL124" s="12" t="s">
        <v>37</v>
      </c>
      <c r="VM124" s="12" t="s">
        <v>37</v>
      </c>
      <c r="VN124" s="12" t="s">
        <v>37</v>
      </c>
      <c r="VQ124" s="13" t="s">
        <v>37</v>
      </c>
      <c r="VR124" s="13" t="s">
        <v>37</v>
      </c>
      <c r="VS124" s="13" t="s">
        <v>37</v>
      </c>
      <c r="VT124" s="13" t="s">
        <v>37</v>
      </c>
      <c r="VU124" s="13" t="s">
        <v>37</v>
      </c>
      <c r="VV124" s="13" t="s">
        <v>37</v>
      </c>
      <c r="WA124" s="13" t="s">
        <v>37</v>
      </c>
      <c r="WB124" s="13" t="s">
        <v>37</v>
      </c>
      <c r="WC124" s="13" t="s">
        <v>37</v>
      </c>
      <c r="WD124" s="13" t="s">
        <v>37</v>
      </c>
      <c r="WE124" s="13" t="s">
        <v>37</v>
      </c>
      <c r="WF124" s="13" t="s">
        <v>37</v>
      </c>
    </row>
    <row r="125" spans="1:604" ht="18" customHeight="1" x14ac:dyDescent="0.3">
      <c r="A125" s="11">
        <v>28</v>
      </c>
      <c r="B125" s="16" t="s">
        <v>176</v>
      </c>
      <c r="C125" s="12" t="s">
        <v>26</v>
      </c>
      <c r="D125" s="12" t="s">
        <v>119</v>
      </c>
      <c r="E125" s="40" t="s">
        <v>37</v>
      </c>
      <c r="F125" s="14">
        <v>0</v>
      </c>
      <c r="G125" s="14">
        <v>0</v>
      </c>
      <c r="H125" s="12" t="s">
        <v>82</v>
      </c>
      <c r="I125" s="29">
        <v>42.96</v>
      </c>
      <c r="J125" s="29">
        <v>-94.88</v>
      </c>
      <c r="K125" s="12" t="s">
        <v>208</v>
      </c>
      <c r="L125" s="12" t="s">
        <v>209</v>
      </c>
      <c r="M125" s="13" t="s">
        <v>37</v>
      </c>
      <c r="N125" s="14">
        <v>22</v>
      </c>
      <c r="O125" s="14">
        <v>660</v>
      </c>
      <c r="P125" s="14" t="s">
        <v>16</v>
      </c>
      <c r="Q125" s="75">
        <v>6</v>
      </c>
      <c r="R125" s="11" t="s">
        <v>999</v>
      </c>
      <c r="S125" s="12" t="s">
        <v>37</v>
      </c>
      <c r="T125" s="12" t="s">
        <v>138</v>
      </c>
      <c r="U125" s="12" t="s">
        <v>158</v>
      </c>
      <c r="V125" s="12" t="s">
        <v>275</v>
      </c>
      <c r="W125" s="23" t="s">
        <v>37</v>
      </c>
      <c r="X125" s="12" t="s">
        <v>37</v>
      </c>
      <c r="Y125" s="12" t="s">
        <v>69</v>
      </c>
      <c r="Z125" s="12" t="s">
        <v>37</v>
      </c>
      <c r="AB125" s="12" t="s">
        <v>37</v>
      </c>
      <c r="AC125" s="12" t="s">
        <v>42</v>
      </c>
      <c r="AD125" s="32" t="s">
        <v>327</v>
      </c>
      <c r="AE125" s="12">
        <f>142.06*10^3/1.03/15/100</f>
        <v>91.948220064724921</v>
      </c>
      <c r="AF125" s="12" t="s">
        <v>42</v>
      </c>
      <c r="AG125" s="32" t="s">
        <v>327</v>
      </c>
      <c r="AH125" s="12">
        <f>8.46*10^3/1.03/15/100</f>
        <v>5.4757281553398061</v>
      </c>
      <c r="AJ125" s="12" t="str">
        <f t="shared" si="356"/>
        <v>0-15</v>
      </c>
      <c r="AK125" s="19">
        <f t="shared" si="357"/>
        <v>16.791962174940899</v>
      </c>
      <c r="AL125" s="32" t="s">
        <v>179</v>
      </c>
      <c r="AM125" s="54" t="s">
        <v>317</v>
      </c>
      <c r="AN125" s="32" t="s">
        <v>886</v>
      </c>
      <c r="AO125" s="12" t="s">
        <v>37</v>
      </c>
      <c r="AP125" s="12" t="s">
        <v>108</v>
      </c>
      <c r="AQ125" s="12" t="s">
        <v>975</v>
      </c>
      <c r="AR125" s="12" t="s">
        <v>42</v>
      </c>
      <c r="AS125" s="32" t="s">
        <v>327</v>
      </c>
      <c r="AT125" s="12">
        <f>142.06*10^3/1.03/15/100</f>
        <v>91.948220064724921</v>
      </c>
      <c r="AU125" s="12">
        <f>SQRT((1/(1500*1.03))^2*(13.16*SQRT(3))^2+(((-142.06*10^3)/(1500*1.03)^2))^2*(0.12*SQRT(3))^2)</f>
        <v>1.9252700296627283E-2</v>
      </c>
      <c r="AV125" s="13">
        <v>3</v>
      </c>
      <c r="AW125" s="52">
        <f t="shared" si="426"/>
        <v>2.0938632942622238E-4</v>
      </c>
      <c r="AX125" s="12">
        <f>136.34*10^3/1.23/15/100</f>
        <v>73.897018970189706</v>
      </c>
      <c r="AY125" s="12">
        <f>SQRT((1/(1500*1.23))^2*(4.83*SQRT(3))^2+(((-136.34*10^3)/(1500*1.23)^2))^2*(0.03*SQRT(3))^2)</f>
        <v>4.9891231615210056E-3</v>
      </c>
      <c r="AZ125" s="13">
        <v>3</v>
      </c>
      <c r="BA125" s="52">
        <f t="shared" si="397"/>
        <v>6.7514538895454415E-5</v>
      </c>
      <c r="BB125" s="52">
        <f t="shared" si="360"/>
        <v>-0.21855310477780635</v>
      </c>
      <c r="BC125" s="19">
        <f t="shared" si="361"/>
        <v>1.6133615970950784E-8</v>
      </c>
      <c r="BE125" s="12" t="s">
        <v>326</v>
      </c>
      <c r="BF125" s="12" t="s">
        <v>326</v>
      </c>
      <c r="BG125" s="12" t="s">
        <v>326</v>
      </c>
      <c r="BI125" s="12" t="s">
        <v>326</v>
      </c>
      <c r="BJ125" s="12" t="s">
        <v>326</v>
      </c>
      <c r="BK125" s="12" t="s">
        <v>326</v>
      </c>
      <c r="BP125" s="12" t="s">
        <v>37</v>
      </c>
      <c r="BQ125" s="12" t="s">
        <v>37</v>
      </c>
      <c r="BR125" s="13" t="s">
        <v>37</v>
      </c>
      <c r="BT125" s="12" t="s">
        <v>37</v>
      </c>
      <c r="BU125" s="12" t="s">
        <v>37</v>
      </c>
      <c r="BV125" s="12" t="s">
        <v>37</v>
      </c>
      <c r="CA125" s="12" t="s">
        <v>37</v>
      </c>
      <c r="CB125" s="12" t="s">
        <v>37</v>
      </c>
      <c r="CC125" s="13" t="s">
        <v>37</v>
      </c>
      <c r="CE125" s="12" t="s">
        <v>37</v>
      </c>
      <c r="CF125" s="12" t="s">
        <v>37</v>
      </c>
      <c r="CG125" s="13" t="s">
        <v>37</v>
      </c>
      <c r="CI125" s="52"/>
      <c r="CJ125" s="52"/>
      <c r="CK125" s="73"/>
      <c r="CL125" s="73"/>
      <c r="CN125" s="12" t="s">
        <v>37</v>
      </c>
      <c r="CO125" s="12" t="s">
        <v>37</v>
      </c>
      <c r="CP125" s="13" t="s">
        <v>37</v>
      </c>
      <c r="CR125" s="12" t="s">
        <v>37</v>
      </c>
      <c r="CS125" s="12" t="s">
        <v>37</v>
      </c>
      <c r="CT125" s="13" t="s">
        <v>37</v>
      </c>
      <c r="CV125" s="52"/>
      <c r="CW125" s="52"/>
      <c r="CX125" s="73"/>
      <c r="CY125" s="73"/>
      <c r="DA125" s="12" t="s">
        <v>37</v>
      </c>
      <c r="DB125" s="12" t="s">
        <v>37</v>
      </c>
      <c r="DC125" s="13" t="s">
        <v>37</v>
      </c>
      <c r="DE125" s="12" t="s">
        <v>37</v>
      </c>
      <c r="DF125" s="12" t="s">
        <v>37</v>
      </c>
      <c r="DG125" s="13" t="s">
        <v>37</v>
      </c>
      <c r="DI125" s="52"/>
      <c r="DJ125" s="52"/>
      <c r="DK125" s="73"/>
      <c r="DL125" s="73"/>
      <c r="DM125" s="15"/>
      <c r="DO125" s="108"/>
      <c r="DP125" s="72"/>
      <c r="DS125" s="108"/>
      <c r="DT125" s="72"/>
      <c r="DX125" s="19"/>
      <c r="DY125" s="19"/>
      <c r="DZ125" s="12" t="s">
        <v>47</v>
      </c>
      <c r="EA125" s="19">
        <f>0.13*("2006/10/31"-"2006/04/01")/("2006/09/27"-"2006/04/05")*10^4/10^3/'[3]classess-1'!$I$4</f>
        <v>2.0562742556670646</v>
      </c>
      <c r="EB125" s="50">
        <f t="shared" si="364"/>
        <v>11.823529639356714</v>
      </c>
      <c r="EC125" s="72">
        <v>3</v>
      </c>
      <c r="EE125" s="19">
        <f>0.19*("2006/10/31"-"2006/04/01")/("2006/09/27"-"2006/04/05")*10^4/10^3/'[3]classess-1'!$I$5</f>
        <v>3.9594792820583411</v>
      </c>
      <c r="EF125" s="50">
        <f t="shared" si="365"/>
        <v>5.9120544469399539</v>
      </c>
      <c r="EG125" s="13">
        <v>3</v>
      </c>
      <c r="EI125" s="19">
        <f t="shared" si="429"/>
        <v>1.9032050263912765</v>
      </c>
      <c r="EJ125" s="12">
        <f t="shared" si="366"/>
        <v>9.3474125006958264</v>
      </c>
      <c r="EK125" s="19">
        <f t="shared" si="367"/>
        <v>58.249413638776396</v>
      </c>
      <c r="EL125" s="19">
        <f t="shared" si="368"/>
        <v>58.249413638776396</v>
      </c>
      <c r="EM125" s="12" t="s">
        <v>39</v>
      </c>
      <c r="EN125" s="12">
        <v>17</v>
      </c>
      <c r="EO125" s="50">
        <f t="shared" si="398"/>
        <v>6.9274387787719869</v>
      </c>
      <c r="EP125" s="13">
        <v>3</v>
      </c>
      <c r="ER125" s="12">
        <v>-37</v>
      </c>
      <c r="ES125" s="50">
        <f t="shared" si="399"/>
        <v>8.3921199798401851</v>
      </c>
      <c r="ET125" s="13">
        <v>3</v>
      </c>
      <c r="EV125" s="19">
        <f t="shared" si="400"/>
        <v>-54</v>
      </c>
      <c r="EW125" s="12">
        <f t="shared" si="401"/>
        <v>7.6947087595849508</v>
      </c>
      <c r="EX125" s="19">
        <f t="shared" si="402"/>
        <v>39.472361929888912</v>
      </c>
      <c r="EY125" s="19">
        <f t="shared" si="403"/>
        <v>39.472361929888919</v>
      </c>
      <c r="FB125" s="12" t="s">
        <v>37</v>
      </c>
      <c r="FC125" s="12" t="s">
        <v>37</v>
      </c>
      <c r="FD125" s="11" t="s">
        <v>37</v>
      </c>
      <c r="FE125" s="12" t="s">
        <v>37</v>
      </c>
      <c r="FF125" s="20" t="s">
        <v>37</v>
      </c>
      <c r="FG125" s="11" t="s">
        <v>37</v>
      </c>
      <c r="FI125" s="12" t="s">
        <v>37</v>
      </c>
      <c r="FJ125" s="12" t="s">
        <v>37</v>
      </c>
      <c r="FK125" s="11" t="s">
        <v>37</v>
      </c>
      <c r="FL125" s="13" t="s">
        <v>37</v>
      </c>
      <c r="FM125" s="11" t="s">
        <v>37</v>
      </c>
      <c r="FN125" s="11" t="s">
        <v>37</v>
      </c>
      <c r="FP125" s="12" t="s">
        <v>37</v>
      </c>
      <c r="FQ125" s="12" t="s">
        <v>37</v>
      </c>
      <c r="FR125" s="11" t="s">
        <v>37</v>
      </c>
      <c r="FS125" s="13" t="s">
        <v>37</v>
      </c>
      <c r="FT125" s="11" t="s">
        <v>37</v>
      </c>
      <c r="FU125" s="11" t="s">
        <v>37</v>
      </c>
      <c r="FW125" s="12" t="s">
        <v>37</v>
      </c>
      <c r="FX125" s="12" t="s">
        <v>37</v>
      </c>
      <c r="FY125" s="11" t="s">
        <v>37</v>
      </c>
      <c r="FZ125" s="13" t="s">
        <v>37</v>
      </c>
      <c r="GA125" s="11" t="s">
        <v>37</v>
      </c>
      <c r="GB125" s="11" t="s">
        <v>37</v>
      </c>
      <c r="HA125" s="17" t="s">
        <v>63</v>
      </c>
      <c r="HB125" s="34" t="s">
        <v>327</v>
      </c>
      <c r="HC125" s="12">
        <v>1.03</v>
      </c>
      <c r="HD125" s="12">
        <f>0.12*SQRT(3)</f>
        <v>0.20784609690826525</v>
      </c>
      <c r="HE125" s="13">
        <v>3</v>
      </c>
      <c r="HF125" s="19">
        <f t="shared" si="404"/>
        <v>0.20179232709540315</v>
      </c>
      <c r="HG125" s="12">
        <v>1.23</v>
      </c>
      <c r="HH125" s="12">
        <f>0.03*SQRT(3)</f>
        <v>5.1961524227066312E-2</v>
      </c>
      <c r="HI125" s="13">
        <v>3</v>
      </c>
      <c r="HJ125" s="19">
        <f t="shared" si="405"/>
        <v>4.2245141648021393E-2</v>
      </c>
      <c r="HK125" s="19">
        <f t="shared" si="375"/>
        <v>0.17745536714278165</v>
      </c>
      <c r="HL125" s="19">
        <f t="shared" si="376"/>
        <v>1.4168265089146525E-2</v>
      </c>
      <c r="IK125" s="12" t="s">
        <v>37</v>
      </c>
      <c r="IL125" s="12" t="s">
        <v>37</v>
      </c>
      <c r="IM125" s="12" t="s">
        <v>37</v>
      </c>
      <c r="IO125" s="12" t="s">
        <v>37</v>
      </c>
      <c r="IP125" s="12" t="s">
        <v>37</v>
      </c>
      <c r="IQ125" s="12" t="s">
        <v>37</v>
      </c>
      <c r="IW125" s="12" t="s">
        <v>37</v>
      </c>
      <c r="IX125" s="12" t="s">
        <v>37</v>
      </c>
      <c r="IY125" s="13" t="s">
        <v>37</v>
      </c>
      <c r="JA125" s="12" t="s">
        <v>37</v>
      </c>
      <c r="JB125" s="12" t="s">
        <v>37</v>
      </c>
      <c r="JC125" s="13" t="s">
        <v>37</v>
      </c>
      <c r="JH125" s="12" t="s">
        <v>37</v>
      </c>
      <c r="JI125" s="12" t="s">
        <v>37</v>
      </c>
      <c r="JJ125" s="13" t="s">
        <v>37</v>
      </c>
      <c r="JL125" s="12" t="s">
        <v>37</v>
      </c>
      <c r="JM125" s="12" t="s">
        <v>37</v>
      </c>
      <c r="JN125" s="12" t="s">
        <v>37</v>
      </c>
      <c r="JS125" s="12" t="s">
        <v>37</v>
      </c>
      <c r="JT125" s="12" t="s">
        <v>37</v>
      </c>
      <c r="JU125" s="13" t="s">
        <v>37</v>
      </c>
      <c r="JW125" s="12" t="s">
        <v>37</v>
      </c>
      <c r="JX125" s="12" t="s">
        <v>37</v>
      </c>
      <c r="JY125" s="12" t="s">
        <v>37</v>
      </c>
      <c r="KE125" s="11" t="s">
        <v>37</v>
      </c>
      <c r="KF125" s="11" t="s">
        <v>37</v>
      </c>
      <c r="KG125" s="13" t="s">
        <v>37</v>
      </c>
      <c r="KH125" s="11" t="s">
        <v>37</v>
      </c>
      <c r="KI125" s="11" t="s">
        <v>37</v>
      </c>
      <c r="KJ125" s="11" t="s">
        <v>37</v>
      </c>
      <c r="KK125" s="12" t="s">
        <v>42</v>
      </c>
      <c r="KL125" s="32" t="s">
        <v>327</v>
      </c>
      <c r="KM125" s="12">
        <f>8.46*10^3/1.03/15/100</f>
        <v>5.4757281553398061</v>
      </c>
      <c r="KN125" s="12">
        <f>SQRT((1/(1500*1.03))^2*(0.82*SQRT(3))^2+(((-8.42*10^3)/(1500*1.03)^2))^2*(0.12*SQRT(3))^2)</f>
        <v>1.175834966550536E-3</v>
      </c>
      <c r="KO125" s="11">
        <v>3</v>
      </c>
      <c r="KP125" s="19">
        <f t="shared" si="406"/>
        <v>2.1473581835940639E-4</v>
      </c>
      <c r="KQ125" s="12">
        <f>7.81*10^3/1.23/15/100</f>
        <v>4.2330623306233068</v>
      </c>
      <c r="KR125" s="12">
        <f>SQRT((1/(1500*1.23))^2*(0.5*SQRT(3))^2+(((-7.81*10^3)/(1500*1.23)^2))^2*(0.03*SQRT(3))^2)</f>
        <v>4.8429353661140777E-4</v>
      </c>
      <c r="KS125" s="13">
        <v>3</v>
      </c>
      <c r="KT125" s="19">
        <f t="shared" si="407"/>
        <v>1.144073719651789E-4</v>
      </c>
      <c r="KU125" s="19">
        <f t="shared" si="382"/>
        <v>-0.25739957690931897</v>
      </c>
      <c r="KV125" s="19">
        <f t="shared" si="383"/>
        <v>1.9733506148820921E-8</v>
      </c>
      <c r="KX125" s="12" t="s">
        <v>37</v>
      </c>
      <c r="KY125" s="12" t="s">
        <v>37</v>
      </c>
      <c r="KZ125" s="13" t="s">
        <v>37</v>
      </c>
      <c r="LB125" s="12" t="s">
        <v>37</v>
      </c>
      <c r="LC125" s="12" t="s">
        <v>37</v>
      </c>
      <c r="LD125" s="13" t="s">
        <v>37</v>
      </c>
      <c r="LI125" s="12" t="s">
        <v>37</v>
      </c>
      <c r="LJ125" s="12" t="s">
        <v>37</v>
      </c>
      <c r="LK125" s="12" t="s">
        <v>37</v>
      </c>
      <c r="LM125" s="12" t="s">
        <v>37</v>
      </c>
      <c r="LN125" s="12" t="s">
        <v>37</v>
      </c>
      <c r="LO125" s="12" t="s">
        <v>37</v>
      </c>
      <c r="LT125" s="12" t="str">
        <f t="shared" si="408"/>
        <v>0-15</v>
      </c>
      <c r="LU125" s="12">
        <f t="shared" si="385"/>
        <v>16.791962174940899</v>
      </c>
      <c r="LV125" s="12">
        <f t="shared" si="386"/>
        <v>5.0363040893459483E-3</v>
      </c>
      <c r="LW125" s="13">
        <f t="shared" si="409"/>
        <v>3</v>
      </c>
      <c r="LX125" s="19">
        <f t="shared" si="410"/>
        <v>2.9992350130836776E-4</v>
      </c>
      <c r="LY125" s="12">
        <f t="shared" si="388"/>
        <v>17.457106274007682</v>
      </c>
      <c r="LZ125" s="29">
        <f t="shared" si="389"/>
        <v>2.3190541764532453E-3</v>
      </c>
      <c r="MA125" s="13">
        <f t="shared" si="411"/>
        <v>3</v>
      </c>
      <c r="MB125" s="19">
        <f t="shared" si="412"/>
        <v>1.3284298898415614E-4</v>
      </c>
      <c r="MC125" s="19">
        <f t="shared" si="391"/>
        <v>3.8846472131512544E-2</v>
      </c>
      <c r="MD125" s="19">
        <f t="shared" si="392"/>
        <v>3.5867122119771695E-8</v>
      </c>
      <c r="MF125" s="12" t="s">
        <v>37</v>
      </c>
      <c r="MG125" s="12" t="s">
        <v>37</v>
      </c>
      <c r="MH125" s="12" t="s">
        <v>37</v>
      </c>
      <c r="MJ125" s="12" t="s">
        <v>37</v>
      </c>
      <c r="MK125" s="12" t="s">
        <v>37</v>
      </c>
      <c r="ML125" s="12" t="s">
        <v>37</v>
      </c>
      <c r="MQ125" s="12" t="s">
        <v>37</v>
      </c>
      <c r="MR125" s="12" t="s">
        <v>37</v>
      </c>
      <c r="MS125" s="12" t="s">
        <v>37</v>
      </c>
      <c r="MU125" s="12" t="s">
        <v>37</v>
      </c>
      <c r="MV125" s="12" t="s">
        <v>37</v>
      </c>
      <c r="MW125" s="12" t="s">
        <v>37</v>
      </c>
      <c r="NA125" s="12" t="s">
        <v>177</v>
      </c>
      <c r="NB125" s="12" t="s">
        <v>327</v>
      </c>
      <c r="NC125" s="12">
        <v>0.01</v>
      </c>
      <c r="ND125" s="12">
        <f t="shared" si="461"/>
        <v>1.7320508075688772E-3</v>
      </c>
      <c r="NE125" s="13">
        <v>3</v>
      </c>
      <c r="NF125" s="19">
        <f t="shared" si="413"/>
        <v>0.1732050807568877</v>
      </c>
      <c r="NG125" s="12">
        <v>0.02</v>
      </c>
      <c r="NH125" s="12">
        <f t="shared" si="462"/>
        <v>1.7320508075688772E-3</v>
      </c>
      <c r="NI125" s="13">
        <v>3</v>
      </c>
      <c r="NJ125" s="19">
        <f t="shared" si="414"/>
        <v>8.6602540378443851E-2</v>
      </c>
      <c r="NK125" s="19">
        <f t="shared" si="415"/>
        <v>0.69314718055994529</v>
      </c>
      <c r="NL125" s="19">
        <f t="shared" si="438"/>
        <v>1.2499999999999997E-2</v>
      </c>
      <c r="NM125" s="12" t="s">
        <v>177</v>
      </c>
      <c r="NN125" s="12" t="s">
        <v>327</v>
      </c>
      <c r="NO125" s="12">
        <v>0.01</v>
      </c>
      <c r="NP125" s="12">
        <f t="shared" si="463"/>
        <v>1.7320508075688772E-3</v>
      </c>
      <c r="NQ125" s="13">
        <v>3</v>
      </c>
      <c r="NR125" s="19">
        <f t="shared" si="440"/>
        <v>0.1732050807568877</v>
      </c>
      <c r="NS125" s="12">
        <v>0.02</v>
      </c>
      <c r="NT125" s="12">
        <f>0.001*SQRT(3)</f>
        <v>1.7320508075688772E-3</v>
      </c>
      <c r="NU125" s="13">
        <v>3</v>
      </c>
      <c r="NV125" s="19">
        <f t="shared" si="442"/>
        <v>8.6602540378443851E-2</v>
      </c>
      <c r="NW125" s="19">
        <f t="shared" si="417"/>
        <v>0.69314718055994529</v>
      </c>
      <c r="NX125" s="19">
        <f t="shared" si="418"/>
        <v>1.2499999999999997E-2</v>
      </c>
      <c r="OA125" s="11" t="s">
        <v>37</v>
      </c>
      <c r="OB125" s="11" t="s">
        <v>37</v>
      </c>
      <c r="OC125" s="13" t="s">
        <v>37</v>
      </c>
      <c r="OE125" s="11" t="s">
        <v>37</v>
      </c>
      <c r="OF125" s="11" t="s">
        <v>37</v>
      </c>
      <c r="OG125" s="13" t="s">
        <v>37</v>
      </c>
      <c r="OM125" s="11" t="s">
        <v>37</v>
      </c>
      <c r="ON125" s="11" t="s">
        <v>37</v>
      </c>
      <c r="OO125" s="11" t="s">
        <v>37</v>
      </c>
      <c r="OP125" s="11" t="s">
        <v>37</v>
      </c>
      <c r="OQ125" s="11" t="s">
        <v>37</v>
      </c>
      <c r="OR125" s="11" t="s">
        <v>37</v>
      </c>
      <c r="OW125" s="12" t="s">
        <v>37</v>
      </c>
      <c r="OX125" s="12" t="s">
        <v>37</v>
      </c>
      <c r="OY125" s="13" t="s">
        <v>37</v>
      </c>
      <c r="OZ125" s="12" t="s">
        <v>37</v>
      </c>
      <c r="PA125" s="12" t="s">
        <v>37</v>
      </c>
      <c r="PB125" s="13" t="s">
        <v>37</v>
      </c>
      <c r="PG125" s="11" t="s">
        <v>37</v>
      </c>
      <c r="PH125" s="11" t="s">
        <v>37</v>
      </c>
      <c r="PI125" s="13" t="s">
        <v>37</v>
      </c>
      <c r="PJ125" s="11" t="s">
        <v>37</v>
      </c>
      <c r="PK125" s="11" t="s">
        <v>37</v>
      </c>
      <c r="PL125" s="13" t="s">
        <v>37</v>
      </c>
      <c r="PQ125" s="12" t="s">
        <v>37</v>
      </c>
      <c r="PR125" s="12" t="s">
        <v>37</v>
      </c>
      <c r="PS125" s="12" t="s">
        <v>37</v>
      </c>
      <c r="PT125" s="12" t="s">
        <v>37</v>
      </c>
      <c r="PU125" s="12" t="s">
        <v>37</v>
      </c>
      <c r="PV125" s="12" t="s">
        <v>37</v>
      </c>
      <c r="PW125" s="12"/>
      <c r="PX125" s="12"/>
      <c r="PZ125" s="12" t="s">
        <v>37</v>
      </c>
      <c r="QA125" s="12" t="s">
        <v>37</v>
      </c>
      <c r="QB125" s="11" t="s">
        <v>37</v>
      </c>
      <c r="QD125" s="12" t="s">
        <v>37</v>
      </c>
      <c r="QE125" s="12" t="s">
        <v>37</v>
      </c>
      <c r="QF125" s="12" t="s">
        <v>37</v>
      </c>
      <c r="QK125" s="12" t="s">
        <v>37</v>
      </c>
      <c r="QL125" s="12" t="s">
        <v>37</v>
      </c>
      <c r="QM125" s="12" t="s">
        <v>37</v>
      </c>
      <c r="QN125" s="12" t="s">
        <v>37</v>
      </c>
      <c r="QO125" s="12" t="s">
        <v>37</v>
      </c>
      <c r="QP125" s="12" t="s">
        <v>37</v>
      </c>
      <c r="QQ125" s="12"/>
      <c r="QR125" s="12"/>
      <c r="QU125" s="11" t="s">
        <v>37</v>
      </c>
      <c r="QV125" s="11" t="s">
        <v>37</v>
      </c>
      <c r="QW125" s="13" t="s">
        <v>37</v>
      </c>
      <c r="QX125" s="11" t="s">
        <v>37</v>
      </c>
      <c r="QY125" s="11" t="s">
        <v>37</v>
      </c>
      <c r="QZ125" s="13" t="s">
        <v>37</v>
      </c>
      <c r="RC125" s="12" t="s">
        <v>37</v>
      </c>
      <c r="RD125" s="12" t="s">
        <v>37</v>
      </c>
      <c r="RE125" s="13" t="s">
        <v>37</v>
      </c>
      <c r="RF125" s="12" t="s">
        <v>37</v>
      </c>
      <c r="RG125" s="12" t="s">
        <v>37</v>
      </c>
      <c r="RH125" s="13" t="s">
        <v>37</v>
      </c>
      <c r="RK125" s="11" t="s">
        <v>37</v>
      </c>
      <c r="RL125" s="11" t="s">
        <v>37</v>
      </c>
      <c r="RM125" s="11" t="s">
        <v>37</v>
      </c>
      <c r="RN125" s="11" t="s">
        <v>37</v>
      </c>
      <c r="RO125" s="11" t="s">
        <v>37</v>
      </c>
      <c r="RP125" s="11" t="s">
        <v>37</v>
      </c>
      <c r="RS125" s="11" t="s">
        <v>37</v>
      </c>
      <c r="RT125" s="11" t="s">
        <v>37</v>
      </c>
      <c r="RU125" s="11" t="s">
        <v>37</v>
      </c>
      <c r="RV125" s="11" t="s">
        <v>37</v>
      </c>
      <c r="RW125" s="11" t="s">
        <v>37</v>
      </c>
      <c r="RX125" s="11" t="s">
        <v>37</v>
      </c>
      <c r="SA125" s="11" t="s">
        <v>37</v>
      </c>
      <c r="SB125" s="11" t="s">
        <v>37</v>
      </c>
      <c r="SC125" s="13" t="s">
        <v>37</v>
      </c>
      <c r="SD125" s="11" t="s">
        <v>37</v>
      </c>
      <c r="SE125" s="11" t="s">
        <v>37</v>
      </c>
      <c r="SF125" s="13" t="s">
        <v>37</v>
      </c>
      <c r="SG125" s="12" t="s">
        <v>177</v>
      </c>
      <c r="SH125" s="12" t="s">
        <v>327</v>
      </c>
      <c r="SI125" s="12">
        <v>7.0000000000000007E-2</v>
      </c>
      <c r="SJ125" s="12">
        <f t="shared" ref="SJ125" si="465">0.03*SQRT(3)</f>
        <v>5.1961524227066312E-2</v>
      </c>
      <c r="SK125" s="13">
        <v>3</v>
      </c>
      <c r="SL125" s="19">
        <f t="shared" si="419"/>
        <v>0.74230748895809007</v>
      </c>
      <c r="SM125" s="12">
        <v>0.09</v>
      </c>
      <c r="SN125" s="12">
        <f t="shared" ref="SN125" si="466">0.03*SQRT(3)</f>
        <v>5.1961524227066312E-2</v>
      </c>
      <c r="SO125" s="13">
        <v>3</v>
      </c>
      <c r="SP125" s="19">
        <f t="shared" si="445"/>
        <v>0.57735026918962573</v>
      </c>
      <c r="SQ125" s="19">
        <f t="shared" si="420"/>
        <v>0.251314428280906</v>
      </c>
      <c r="SR125" s="19">
        <f t="shared" si="421"/>
        <v>0.29478458049886613</v>
      </c>
      <c r="SU125" s="12" t="s">
        <v>37</v>
      </c>
      <c r="SV125" s="12" t="s">
        <v>37</v>
      </c>
      <c r="SW125" s="11" t="s">
        <v>37</v>
      </c>
      <c r="SX125" s="12" t="s">
        <v>37</v>
      </c>
      <c r="SY125" s="12" t="s">
        <v>37</v>
      </c>
      <c r="SZ125" s="11" t="s">
        <v>37</v>
      </c>
      <c r="TE125" s="12" t="s">
        <v>37</v>
      </c>
      <c r="TF125" s="12" t="s">
        <v>37</v>
      </c>
      <c r="TG125" s="11" t="s">
        <v>37</v>
      </c>
      <c r="TH125" s="12" t="s">
        <v>37</v>
      </c>
      <c r="TI125" s="12" t="s">
        <v>37</v>
      </c>
      <c r="TJ125" s="11" t="s">
        <v>37</v>
      </c>
      <c r="TO125" s="12" t="s">
        <v>37</v>
      </c>
      <c r="TP125" s="12" t="s">
        <v>37</v>
      </c>
      <c r="TQ125" s="11" t="s">
        <v>37</v>
      </c>
      <c r="TR125" s="12" t="s">
        <v>37</v>
      </c>
      <c r="TS125" s="12" t="s">
        <v>37</v>
      </c>
      <c r="TT125" s="11" t="s">
        <v>37</v>
      </c>
      <c r="TY125" s="12" t="s">
        <v>37</v>
      </c>
      <c r="TZ125" s="12" t="s">
        <v>37</v>
      </c>
      <c r="UA125" s="12" t="s">
        <v>37</v>
      </c>
      <c r="UB125" s="12" t="s">
        <v>37</v>
      </c>
      <c r="UC125" s="12" t="s">
        <v>37</v>
      </c>
      <c r="UD125" s="12" t="s">
        <v>37</v>
      </c>
      <c r="UE125" s="12"/>
      <c r="UF125" s="12"/>
      <c r="UI125" s="12" t="s">
        <v>37</v>
      </c>
      <c r="UJ125" s="12" t="s">
        <v>37</v>
      </c>
      <c r="UK125" s="12" t="s">
        <v>37</v>
      </c>
      <c r="UL125" s="12" t="s">
        <v>37</v>
      </c>
      <c r="UM125" s="12" t="s">
        <v>37</v>
      </c>
      <c r="UN125" s="12" t="s">
        <v>37</v>
      </c>
      <c r="UO125" s="12"/>
      <c r="UP125" s="12"/>
      <c r="UR125" s="12" t="s">
        <v>37</v>
      </c>
      <c r="US125" s="12" t="s">
        <v>37</v>
      </c>
      <c r="UT125" s="12" t="s">
        <v>37</v>
      </c>
      <c r="UU125" s="12" t="s">
        <v>37</v>
      </c>
      <c r="UV125" s="12" t="s">
        <v>37</v>
      </c>
      <c r="UW125" s="12" t="s">
        <v>37</v>
      </c>
      <c r="UX125" s="12"/>
      <c r="UY125" s="12"/>
      <c r="VB125" s="12" t="s">
        <v>37</v>
      </c>
      <c r="VC125" s="12" t="s">
        <v>37</v>
      </c>
      <c r="VD125" s="12" t="s">
        <v>37</v>
      </c>
      <c r="VE125" s="12" t="s">
        <v>37</v>
      </c>
      <c r="VF125" s="12" t="s">
        <v>37</v>
      </c>
      <c r="VG125" s="12" t="s">
        <v>37</v>
      </c>
      <c r="VI125" s="12" t="s">
        <v>37</v>
      </c>
      <c r="VJ125" s="12" t="s">
        <v>37</v>
      </c>
      <c r="VK125" s="12" t="s">
        <v>37</v>
      </c>
      <c r="VL125" s="12" t="s">
        <v>37</v>
      </c>
      <c r="VM125" s="12" t="s">
        <v>37</v>
      </c>
      <c r="VN125" s="12" t="s">
        <v>37</v>
      </c>
      <c r="VQ125" s="13" t="s">
        <v>37</v>
      </c>
      <c r="VR125" s="13" t="s">
        <v>37</v>
      </c>
      <c r="VS125" s="13" t="s">
        <v>37</v>
      </c>
      <c r="VT125" s="13" t="s">
        <v>37</v>
      </c>
      <c r="VU125" s="13" t="s">
        <v>37</v>
      </c>
      <c r="VV125" s="13" t="s">
        <v>37</v>
      </c>
      <c r="WA125" s="13" t="s">
        <v>37</v>
      </c>
      <c r="WB125" s="13" t="s">
        <v>37</v>
      </c>
      <c r="WC125" s="13" t="s">
        <v>37</v>
      </c>
      <c r="WD125" s="13" t="s">
        <v>37</v>
      </c>
      <c r="WE125" s="13" t="s">
        <v>37</v>
      </c>
      <c r="WF125" s="13" t="s">
        <v>37</v>
      </c>
    </row>
    <row r="126" spans="1:604" ht="18" customHeight="1" x14ac:dyDescent="0.3">
      <c r="A126" s="11">
        <v>28</v>
      </c>
      <c r="B126" s="16" t="s">
        <v>176</v>
      </c>
      <c r="C126" s="12" t="s">
        <v>26</v>
      </c>
      <c r="D126" s="12" t="s">
        <v>119</v>
      </c>
      <c r="E126" s="40" t="s">
        <v>37</v>
      </c>
      <c r="F126" s="14">
        <v>0</v>
      </c>
      <c r="G126" s="14">
        <v>0</v>
      </c>
      <c r="H126" s="12" t="s">
        <v>82</v>
      </c>
      <c r="I126" s="29">
        <v>43.03</v>
      </c>
      <c r="J126" s="29">
        <v>-94.4</v>
      </c>
      <c r="K126" s="12" t="s">
        <v>210</v>
      </c>
      <c r="L126" s="12" t="s">
        <v>211</v>
      </c>
      <c r="M126" s="13" t="s">
        <v>37</v>
      </c>
      <c r="N126" s="14">
        <v>23</v>
      </c>
      <c r="O126" s="14">
        <v>760</v>
      </c>
      <c r="P126" s="14" t="s">
        <v>16</v>
      </c>
      <c r="Q126" s="75">
        <v>3</v>
      </c>
      <c r="R126" s="11" t="s">
        <v>999</v>
      </c>
      <c r="S126" s="12" t="s">
        <v>37</v>
      </c>
      <c r="T126" s="12" t="s">
        <v>138</v>
      </c>
      <c r="U126" s="12" t="s">
        <v>158</v>
      </c>
      <c r="V126" s="12" t="s">
        <v>871</v>
      </c>
      <c r="W126" s="23" t="s">
        <v>37</v>
      </c>
      <c r="X126" s="12" t="s">
        <v>37</v>
      </c>
      <c r="Y126" s="12" t="s">
        <v>69</v>
      </c>
      <c r="Z126" s="12" t="s">
        <v>37</v>
      </c>
      <c r="AB126" s="12" t="s">
        <v>37</v>
      </c>
      <c r="AC126" s="12" t="s">
        <v>42</v>
      </c>
      <c r="AD126" s="32" t="s">
        <v>327</v>
      </c>
      <c r="AE126" s="12">
        <f>169.38*10^3/0.69/15/100</f>
        <v>163.6521739130435</v>
      </c>
      <c r="AF126" s="12" t="s">
        <v>42</v>
      </c>
      <c r="AG126" s="32" t="s">
        <v>327</v>
      </c>
      <c r="AH126" s="12">
        <f>9.09*10^3/0.69/15/100</f>
        <v>8.7826086956521756</v>
      </c>
      <c r="AJ126" s="12" t="str">
        <f t="shared" si="356"/>
        <v>0-15</v>
      </c>
      <c r="AK126" s="19">
        <f t="shared" si="357"/>
        <v>18.633663366336631</v>
      </c>
      <c r="AL126" s="32" t="s">
        <v>178</v>
      </c>
      <c r="AM126" s="54" t="s">
        <v>317</v>
      </c>
      <c r="AN126" s="32" t="s">
        <v>886</v>
      </c>
      <c r="AO126" s="12" t="s">
        <v>37</v>
      </c>
      <c r="AP126" s="12" t="s">
        <v>108</v>
      </c>
      <c r="AQ126" s="12" t="s">
        <v>975</v>
      </c>
      <c r="AR126" s="12" t="s">
        <v>42</v>
      </c>
      <c r="AS126" s="32" t="s">
        <v>327</v>
      </c>
      <c r="AT126" s="12">
        <f>169.38*10^3/0.69/15/100</f>
        <v>163.6521739130435</v>
      </c>
      <c r="AU126" s="12">
        <f>SQRT((1/(1500*0.69))^2*(10.17*SQRT(3))^2+(((-169.38*10^3)/(1500*0.69)^2))^2*(0.05*SQRT(3))^2)</f>
        <v>2.1844125519026765E-2</v>
      </c>
      <c r="AV126" s="13">
        <v>3</v>
      </c>
      <c r="AW126" s="52">
        <f t="shared" si="426"/>
        <v>1.3347898165186385E-4</v>
      </c>
      <c r="AX126" s="12">
        <f>155.37*10^3/1.09/15/100</f>
        <v>95.0275229357798</v>
      </c>
      <c r="AY126" s="12">
        <f>SQRT((1/(1500*1.09))^2*(20.1*SQRT(3))^2+(((-155.37*10^3)/(1500*1.09)^2))^2*(0.11*SQRT(3))^2)</f>
        <v>2.4000387740025778E-2</v>
      </c>
      <c r="AZ126" s="13">
        <v>3</v>
      </c>
      <c r="BA126" s="52">
        <f t="shared" si="397"/>
        <v>2.5256248925109196E-4</v>
      </c>
      <c r="BB126" s="52">
        <f t="shared" si="360"/>
        <v>-0.54357672002142776</v>
      </c>
      <c r="BC126" s="19">
        <f t="shared" si="361"/>
        <v>2.7201483173175514E-8</v>
      </c>
      <c r="BE126" s="12" t="s">
        <v>326</v>
      </c>
      <c r="BF126" s="12" t="s">
        <v>326</v>
      </c>
      <c r="BG126" s="12" t="s">
        <v>326</v>
      </c>
      <c r="BI126" s="12" t="s">
        <v>326</v>
      </c>
      <c r="BJ126" s="12" t="s">
        <v>326</v>
      </c>
      <c r="BK126" s="12" t="s">
        <v>326</v>
      </c>
      <c r="BP126" s="12" t="s">
        <v>37</v>
      </c>
      <c r="BQ126" s="12" t="s">
        <v>37</v>
      </c>
      <c r="BR126" s="13" t="s">
        <v>37</v>
      </c>
      <c r="BT126" s="12" t="s">
        <v>37</v>
      </c>
      <c r="BU126" s="12" t="s">
        <v>37</v>
      </c>
      <c r="BV126" s="12" t="s">
        <v>37</v>
      </c>
      <c r="CA126" s="12" t="s">
        <v>37</v>
      </c>
      <c r="CB126" s="12" t="s">
        <v>37</v>
      </c>
      <c r="CC126" s="13" t="s">
        <v>37</v>
      </c>
      <c r="CE126" s="12" t="s">
        <v>37</v>
      </c>
      <c r="CF126" s="12" t="s">
        <v>37</v>
      </c>
      <c r="CG126" s="13" t="s">
        <v>37</v>
      </c>
      <c r="CI126" s="13"/>
      <c r="CJ126" s="13"/>
      <c r="CN126" s="12" t="s">
        <v>37</v>
      </c>
      <c r="CO126" s="12" t="s">
        <v>37</v>
      </c>
      <c r="CP126" s="13" t="s">
        <v>37</v>
      </c>
      <c r="CR126" s="12" t="s">
        <v>37</v>
      </c>
      <c r="CS126" s="12" t="s">
        <v>37</v>
      </c>
      <c r="CT126" s="13" t="s">
        <v>37</v>
      </c>
      <c r="CV126" s="13"/>
      <c r="CW126" s="13"/>
      <c r="CX126" s="72"/>
      <c r="CY126" s="72"/>
      <c r="DA126" s="12" t="s">
        <v>37</v>
      </c>
      <c r="DB126" s="12" t="s">
        <v>37</v>
      </c>
      <c r="DC126" s="13" t="s">
        <v>37</v>
      </c>
      <c r="DE126" s="12" t="s">
        <v>37</v>
      </c>
      <c r="DF126" s="12" t="s">
        <v>37</v>
      </c>
      <c r="DG126" s="13" t="s">
        <v>37</v>
      </c>
      <c r="DI126" s="52"/>
      <c r="DJ126" s="52"/>
      <c r="DK126" s="73"/>
      <c r="DL126" s="73"/>
      <c r="DM126" s="15"/>
      <c r="DO126" s="108"/>
      <c r="DP126" s="72"/>
      <c r="DS126" s="108"/>
      <c r="DT126" s="72"/>
      <c r="DX126" s="19"/>
      <c r="DY126" s="19"/>
      <c r="DZ126" s="12" t="s">
        <v>47</v>
      </c>
      <c r="EA126" s="19">
        <f>0.02*7/5*10^4/10^3/'[3]classess-1'!$I$6</f>
        <v>0.1445233938461904</v>
      </c>
      <c r="EB126" s="50">
        <f t="shared" si="364"/>
        <v>0.83100618801771708</v>
      </c>
      <c r="EC126" s="72">
        <v>3</v>
      </c>
      <c r="EE126" s="19">
        <f>0.16*7/5*10^4/10^3/'[3]classess-1'!$I$7</f>
        <v>2.2712362909754678</v>
      </c>
      <c r="EF126" s="50">
        <f t="shared" si="365"/>
        <v>3.3912723511290923</v>
      </c>
      <c r="EG126" s="13">
        <v>3</v>
      </c>
      <c r="EI126" s="19">
        <f t="shared" si="429"/>
        <v>2.1267128971292775</v>
      </c>
      <c r="EJ126" s="12">
        <f t="shared" si="366"/>
        <v>2.4689369619389212</v>
      </c>
      <c r="EK126" s="19">
        <f t="shared" si="367"/>
        <v>4.0637664813521264</v>
      </c>
      <c r="EL126" s="19">
        <f t="shared" si="368"/>
        <v>4.0637664813521264</v>
      </c>
      <c r="EM126" s="12" t="s">
        <v>39</v>
      </c>
      <c r="EN126" s="12">
        <v>43</v>
      </c>
      <c r="EO126" s="50">
        <f t="shared" si="398"/>
        <v>17.522345146305614</v>
      </c>
      <c r="EP126" s="13">
        <v>3</v>
      </c>
      <c r="ER126" s="12">
        <v>-31</v>
      </c>
      <c r="ES126" s="50">
        <f t="shared" si="399"/>
        <v>7.0312356587850191</v>
      </c>
      <c r="ET126" s="13">
        <v>3</v>
      </c>
      <c r="EV126" s="19">
        <f t="shared" si="400"/>
        <v>-74</v>
      </c>
      <c r="EW126" s="12">
        <f t="shared" si="401"/>
        <v>13.350484154434811</v>
      </c>
      <c r="EX126" s="19">
        <f t="shared" si="402"/>
        <v>118.82361810520997</v>
      </c>
      <c r="EY126" s="19">
        <f t="shared" si="403"/>
        <v>118.82361810520997</v>
      </c>
      <c r="FB126" s="12" t="s">
        <v>37</v>
      </c>
      <c r="FC126" s="12" t="s">
        <v>37</v>
      </c>
      <c r="FD126" s="11" t="s">
        <v>37</v>
      </c>
      <c r="FE126" s="12" t="s">
        <v>37</v>
      </c>
      <c r="FF126" s="20" t="s">
        <v>37</v>
      </c>
      <c r="FG126" s="11" t="s">
        <v>37</v>
      </c>
      <c r="FI126" s="12" t="s">
        <v>37</v>
      </c>
      <c r="FJ126" s="12" t="s">
        <v>37</v>
      </c>
      <c r="FK126" s="11" t="s">
        <v>37</v>
      </c>
      <c r="FL126" s="13" t="s">
        <v>37</v>
      </c>
      <c r="FM126" s="11" t="s">
        <v>37</v>
      </c>
      <c r="FN126" s="11" t="s">
        <v>37</v>
      </c>
      <c r="FP126" s="12" t="s">
        <v>37</v>
      </c>
      <c r="FQ126" s="12" t="s">
        <v>37</v>
      </c>
      <c r="FR126" s="11" t="s">
        <v>37</v>
      </c>
      <c r="FS126" s="13" t="s">
        <v>37</v>
      </c>
      <c r="FT126" s="11" t="s">
        <v>37</v>
      </c>
      <c r="FU126" s="11" t="s">
        <v>37</v>
      </c>
      <c r="FW126" s="12" t="s">
        <v>37</v>
      </c>
      <c r="FX126" s="12" t="s">
        <v>37</v>
      </c>
      <c r="FY126" s="11" t="s">
        <v>37</v>
      </c>
      <c r="FZ126" s="13" t="s">
        <v>37</v>
      </c>
      <c r="GA126" s="11" t="s">
        <v>37</v>
      </c>
      <c r="GB126" s="11" t="s">
        <v>37</v>
      </c>
      <c r="HA126" s="17" t="s">
        <v>63</v>
      </c>
      <c r="HB126" s="34" t="s">
        <v>327</v>
      </c>
      <c r="HC126" s="12">
        <v>0.69</v>
      </c>
      <c r="HD126" s="12">
        <f>0.05*SQRT(3)</f>
        <v>8.6602540378443865E-2</v>
      </c>
      <c r="HE126" s="13">
        <v>3</v>
      </c>
      <c r="HF126" s="19">
        <f t="shared" si="404"/>
        <v>0.12551092808470127</v>
      </c>
      <c r="HG126" s="12">
        <v>1.0900000000000001</v>
      </c>
      <c r="HH126" s="12">
        <f>0.11*SQRT(3)</f>
        <v>0.1905255888325765</v>
      </c>
      <c r="HI126" s="13">
        <v>3</v>
      </c>
      <c r="HJ126" s="19">
        <f t="shared" si="405"/>
        <v>0.1747941181950243</v>
      </c>
      <c r="HK126" s="19">
        <f t="shared" si="375"/>
        <v>0.45724137763188438</v>
      </c>
      <c r="HL126" s="19">
        <f t="shared" si="376"/>
        <v>1.5435325608086393E-2</v>
      </c>
      <c r="IK126" s="12" t="s">
        <v>37</v>
      </c>
      <c r="IL126" s="12" t="s">
        <v>37</v>
      </c>
      <c r="IM126" s="12" t="s">
        <v>37</v>
      </c>
      <c r="IO126" s="12" t="s">
        <v>37</v>
      </c>
      <c r="IP126" s="12" t="s">
        <v>37</v>
      </c>
      <c r="IQ126" s="12" t="s">
        <v>37</v>
      </c>
      <c r="IW126" s="12" t="s">
        <v>37</v>
      </c>
      <c r="IX126" s="12" t="s">
        <v>37</v>
      </c>
      <c r="IY126" s="13" t="s">
        <v>37</v>
      </c>
      <c r="JA126" s="12" t="s">
        <v>37</v>
      </c>
      <c r="JB126" s="12" t="s">
        <v>37</v>
      </c>
      <c r="JC126" s="13" t="s">
        <v>37</v>
      </c>
      <c r="JH126" s="12" t="s">
        <v>37</v>
      </c>
      <c r="JI126" s="12" t="s">
        <v>37</v>
      </c>
      <c r="JJ126" s="13" t="s">
        <v>37</v>
      </c>
      <c r="JL126" s="12" t="s">
        <v>37</v>
      </c>
      <c r="JM126" s="12" t="s">
        <v>37</v>
      </c>
      <c r="JN126" s="12" t="s">
        <v>37</v>
      </c>
      <c r="JS126" s="12" t="s">
        <v>37</v>
      </c>
      <c r="JT126" s="12" t="s">
        <v>37</v>
      </c>
      <c r="JU126" s="13" t="s">
        <v>37</v>
      </c>
      <c r="JW126" s="12" t="s">
        <v>37</v>
      </c>
      <c r="JX126" s="12" t="s">
        <v>37</v>
      </c>
      <c r="JY126" s="12" t="s">
        <v>37</v>
      </c>
      <c r="KE126" s="11" t="s">
        <v>37</v>
      </c>
      <c r="KF126" s="11" t="s">
        <v>37</v>
      </c>
      <c r="KG126" s="13" t="s">
        <v>37</v>
      </c>
      <c r="KH126" s="11" t="s">
        <v>37</v>
      </c>
      <c r="KI126" s="11" t="s">
        <v>37</v>
      </c>
      <c r="KJ126" s="11" t="s">
        <v>37</v>
      </c>
      <c r="KK126" s="12" t="s">
        <v>42</v>
      </c>
      <c r="KL126" s="32" t="s">
        <v>327</v>
      </c>
      <c r="KM126" s="12">
        <f>9.09*10^3/0.69/15/100</f>
        <v>8.7826086956521756</v>
      </c>
      <c r="KN126" s="12">
        <f>SQRT((1/(1500*0.69))^2*(0.88*SQRT(3))^2+(((-9.09*10^3)/(1500*0.69)^2))^2*(0.05*SQRT(3))^2)</f>
        <v>1.6458354035564977E-3</v>
      </c>
      <c r="KO126" s="11">
        <v>3</v>
      </c>
      <c r="KP126" s="19">
        <f t="shared" si="406"/>
        <v>1.8739710040494771E-4</v>
      </c>
      <c r="KQ126" s="12">
        <f>9.94*10^3/1.09/15/100</f>
        <v>6.0795107033639146</v>
      </c>
      <c r="KR126" s="12">
        <f>SQRT((1/(1500*1.09))^2*(1.12*SQRT(3))^2+(((-9.94*10^3)/(1500*1.09)^2))^2*(0.11*SQRT(3))^2)</f>
        <v>1.3818927745983345E-3</v>
      </c>
      <c r="KS126" s="13">
        <v>3</v>
      </c>
      <c r="KT126" s="19">
        <f t="shared" si="407"/>
        <v>2.2730328837709021E-4</v>
      </c>
      <c r="KU126" s="19">
        <f t="shared" si="382"/>
        <v>-0.36784926515278932</v>
      </c>
      <c r="KV126" s="19">
        <f t="shared" si="383"/>
        <v>2.8928152715740228E-8</v>
      </c>
      <c r="KX126" s="12" t="s">
        <v>37</v>
      </c>
      <c r="KY126" s="12" t="s">
        <v>37</v>
      </c>
      <c r="KZ126" s="13" t="s">
        <v>37</v>
      </c>
      <c r="LB126" s="12" t="s">
        <v>37</v>
      </c>
      <c r="LC126" s="12" t="s">
        <v>37</v>
      </c>
      <c r="LD126" s="13" t="s">
        <v>37</v>
      </c>
      <c r="LI126" s="12" t="s">
        <v>37</v>
      </c>
      <c r="LJ126" s="12" t="s">
        <v>37</v>
      </c>
      <c r="LK126" s="12" t="s">
        <v>37</v>
      </c>
      <c r="LM126" s="12" t="s">
        <v>37</v>
      </c>
      <c r="LN126" s="12" t="s">
        <v>37</v>
      </c>
      <c r="LO126" s="12" t="s">
        <v>37</v>
      </c>
      <c r="LT126" s="12" t="str">
        <f t="shared" si="408"/>
        <v>0-15</v>
      </c>
      <c r="LU126" s="12">
        <f t="shared" si="385"/>
        <v>18.633663366336631</v>
      </c>
      <c r="LV126" s="29">
        <f t="shared" si="386"/>
        <v>4.2871322494176618E-3</v>
      </c>
      <c r="LW126" s="13">
        <f t="shared" si="409"/>
        <v>3</v>
      </c>
      <c r="LX126" s="19">
        <f t="shared" si="410"/>
        <v>2.3007457874133045E-4</v>
      </c>
      <c r="LY126" s="12">
        <f t="shared" si="388"/>
        <v>15.630784708249493</v>
      </c>
      <c r="LZ126" s="12">
        <f t="shared" si="389"/>
        <v>5.3111234249600299E-3</v>
      </c>
      <c r="MA126" s="13">
        <f t="shared" si="411"/>
        <v>3</v>
      </c>
      <c r="MB126" s="19">
        <f t="shared" si="412"/>
        <v>3.3978610313511429E-4</v>
      </c>
      <c r="MC126" s="19">
        <f t="shared" si="391"/>
        <v>-0.17572745486863842</v>
      </c>
      <c r="MD126" s="19">
        <f t="shared" si="392"/>
        <v>5.6129635888915735E-8</v>
      </c>
      <c r="MF126" s="12" t="s">
        <v>37</v>
      </c>
      <c r="MG126" s="12" t="s">
        <v>37</v>
      </c>
      <c r="MH126" s="12" t="s">
        <v>37</v>
      </c>
      <c r="MJ126" s="12" t="s">
        <v>37</v>
      </c>
      <c r="MK126" s="12" t="s">
        <v>37</v>
      </c>
      <c r="ML126" s="12" t="s">
        <v>37</v>
      </c>
      <c r="MQ126" s="12" t="s">
        <v>37</v>
      </c>
      <c r="MR126" s="12" t="s">
        <v>37</v>
      </c>
      <c r="MS126" s="12" t="s">
        <v>37</v>
      </c>
      <c r="MU126" s="12" t="s">
        <v>37</v>
      </c>
      <c r="MV126" s="12" t="s">
        <v>37</v>
      </c>
      <c r="MW126" s="12" t="s">
        <v>37</v>
      </c>
      <c r="NA126" s="12" t="s">
        <v>177</v>
      </c>
      <c r="NB126" s="12" t="s">
        <v>327</v>
      </c>
      <c r="NC126" s="12">
        <v>0.01</v>
      </c>
      <c r="ND126" s="12">
        <f t="shared" si="461"/>
        <v>1.7320508075688772E-3</v>
      </c>
      <c r="NE126" s="13">
        <v>3</v>
      </c>
      <c r="NF126" s="19">
        <f t="shared" si="413"/>
        <v>0.1732050807568877</v>
      </c>
      <c r="NG126" s="12">
        <v>0.02</v>
      </c>
      <c r="NH126" s="12">
        <f t="shared" si="462"/>
        <v>1.7320508075688772E-3</v>
      </c>
      <c r="NI126" s="13">
        <v>3</v>
      </c>
      <c r="NJ126" s="19">
        <f t="shared" si="414"/>
        <v>8.6602540378443851E-2</v>
      </c>
      <c r="NK126" s="19">
        <f t="shared" si="415"/>
        <v>0.69314718055994529</v>
      </c>
      <c r="NL126" s="19">
        <f t="shared" si="438"/>
        <v>1.2499999999999997E-2</v>
      </c>
      <c r="NM126" s="12" t="s">
        <v>177</v>
      </c>
      <c r="NN126" s="12" t="s">
        <v>327</v>
      </c>
      <c r="NO126" s="12">
        <v>0.01</v>
      </c>
      <c r="NP126" s="12">
        <f t="shared" si="463"/>
        <v>1.7320508075688772E-3</v>
      </c>
      <c r="NQ126" s="13">
        <v>3</v>
      </c>
      <c r="NR126" s="19">
        <f t="shared" si="440"/>
        <v>0.1732050807568877</v>
      </c>
      <c r="NS126" s="12">
        <v>0.05</v>
      </c>
      <c r="NT126" s="12">
        <f>0.01*SQRT(3)</f>
        <v>1.7320508075688773E-2</v>
      </c>
      <c r="NU126" s="13">
        <v>3</v>
      </c>
      <c r="NV126" s="19">
        <f t="shared" si="442"/>
        <v>0.34641016151377546</v>
      </c>
      <c r="NW126" s="19">
        <f t="shared" si="417"/>
        <v>1.6094379124341003</v>
      </c>
      <c r="NX126" s="19">
        <f t="shared" si="418"/>
        <v>4.9999999999999989E-2</v>
      </c>
      <c r="OA126" s="11" t="s">
        <v>37</v>
      </c>
      <c r="OB126" s="11" t="s">
        <v>37</v>
      </c>
      <c r="OC126" s="13" t="s">
        <v>37</v>
      </c>
      <c r="OE126" s="11" t="s">
        <v>37</v>
      </c>
      <c r="OF126" s="11" t="s">
        <v>37</v>
      </c>
      <c r="OG126" s="13" t="s">
        <v>37</v>
      </c>
      <c r="OM126" s="11" t="s">
        <v>37</v>
      </c>
      <c r="ON126" s="11" t="s">
        <v>37</v>
      </c>
      <c r="OO126" s="11" t="s">
        <v>37</v>
      </c>
      <c r="OP126" s="11" t="s">
        <v>37</v>
      </c>
      <c r="OQ126" s="11" t="s">
        <v>37</v>
      </c>
      <c r="OR126" s="11" t="s">
        <v>37</v>
      </c>
      <c r="OW126" s="12" t="s">
        <v>37</v>
      </c>
      <c r="OX126" s="12" t="s">
        <v>37</v>
      </c>
      <c r="OY126" s="13" t="s">
        <v>37</v>
      </c>
      <c r="OZ126" s="12" t="s">
        <v>37</v>
      </c>
      <c r="PA126" s="12" t="s">
        <v>37</v>
      </c>
      <c r="PB126" s="13" t="s">
        <v>37</v>
      </c>
      <c r="PG126" s="11" t="s">
        <v>37</v>
      </c>
      <c r="PH126" s="11" t="s">
        <v>37</v>
      </c>
      <c r="PI126" s="13" t="s">
        <v>37</v>
      </c>
      <c r="PJ126" s="11" t="s">
        <v>37</v>
      </c>
      <c r="PK126" s="11" t="s">
        <v>37</v>
      </c>
      <c r="PL126" s="13" t="s">
        <v>37</v>
      </c>
      <c r="PQ126" s="12" t="s">
        <v>37</v>
      </c>
      <c r="PR126" s="12" t="s">
        <v>37</v>
      </c>
      <c r="PS126" s="12" t="s">
        <v>37</v>
      </c>
      <c r="PT126" s="12" t="s">
        <v>37</v>
      </c>
      <c r="PU126" s="12" t="s">
        <v>37</v>
      </c>
      <c r="PV126" s="12" t="s">
        <v>37</v>
      </c>
      <c r="PW126" s="12"/>
      <c r="PX126" s="12"/>
      <c r="PZ126" s="12" t="s">
        <v>37</v>
      </c>
      <c r="QA126" s="12" t="s">
        <v>37</v>
      </c>
      <c r="QB126" s="11" t="s">
        <v>37</v>
      </c>
      <c r="QD126" s="12" t="s">
        <v>37</v>
      </c>
      <c r="QE126" s="12" t="s">
        <v>37</v>
      </c>
      <c r="QF126" s="12" t="s">
        <v>37</v>
      </c>
      <c r="QK126" s="12" t="s">
        <v>37</v>
      </c>
      <c r="QL126" s="12" t="s">
        <v>37</v>
      </c>
      <c r="QM126" s="12" t="s">
        <v>37</v>
      </c>
      <c r="QN126" s="12" t="s">
        <v>37</v>
      </c>
      <c r="QO126" s="12" t="s">
        <v>37</v>
      </c>
      <c r="QP126" s="12" t="s">
        <v>37</v>
      </c>
      <c r="QQ126" s="12"/>
      <c r="QR126" s="12"/>
      <c r="QU126" s="11" t="s">
        <v>37</v>
      </c>
      <c r="QV126" s="11" t="s">
        <v>37</v>
      </c>
      <c r="QW126" s="13" t="s">
        <v>37</v>
      </c>
      <c r="QX126" s="11" t="s">
        <v>37</v>
      </c>
      <c r="QY126" s="11" t="s">
        <v>37</v>
      </c>
      <c r="QZ126" s="13" t="s">
        <v>37</v>
      </c>
      <c r="RC126" s="12" t="s">
        <v>37</v>
      </c>
      <c r="RD126" s="12" t="s">
        <v>37</v>
      </c>
      <c r="RE126" s="13" t="s">
        <v>37</v>
      </c>
      <c r="RF126" s="12" t="s">
        <v>37</v>
      </c>
      <c r="RG126" s="12" t="s">
        <v>37</v>
      </c>
      <c r="RH126" s="13" t="s">
        <v>37</v>
      </c>
      <c r="RK126" s="11" t="s">
        <v>37</v>
      </c>
      <c r="RL126" s="11" t="s">
        <v>37</v>
      </c>
      <c r="RM126" s="11" t="s">
        <v>37</v>
      </c>
      <c r="RN126" s="11" t="s">
        <v>37</v>
      </c>
      <c r="RO126" s="11" t="s">
        <v>37</v>
      </c>
      <c r="RP126" s="11" t="s">
        <v>37</v>
      </c>
      <c r="RS126" s="11" t="s">
        <v>37</v>
      </c>
      <c r="RT126" s="11" t="s">
        <v>37</v>
      </c>
      <c r="RU126" s="11" t="s">
        <v>37</v>
      </c>
      <c r="RV126" s="11" t="s">
        <v>37</v>
      </c>
      <c r="RW126" s="11" t="s">
        <v>37</v>
      </c>
      <c r="RX126" s="11" t="s">
        <v>37</v>
      </c>
      <c r="SA126" s="11" t="s">
        <v>37</v>
      </c>
      <c r="SB126" s="11" t="s">
        <v>37</v>
      </c>
      <c r="SC126" s="13" t="s">
        <v>37</v>
      </c>
      <c r="SD126" s="11" t="s">
        <v>37</v>
      </c>
      <c r="SE126" s="11" t="s">
        <v>37</v>
      </c>
      <c r="SF126" s="13" t="s">
        <v>37</v>
      </c>
      <c r="SG126" s="12" t="s">
        <v>177</v>
      </c>
      <c r="SH126" s="12" t="s">
        <v>327</v>
      </c>
      <c r="SI126" s="12">
        <v>0.03</v>
      </c>
      <c r="SJ126" s="12">
        <f>0.01*SQRT(3)</f>
        <v>1.7320508075688773E-2</v>
      </c>
      <c r="SK126" s="13">
        <v>3</v>
      </c>
      <c r="SL126" s="19">
        <f t="shared" si="419"/>
        <v>0.57735026918962584</v>
      </c>
      <c r="SM126" s="12">
        <v>0.12</v>
      </c>
      <c r="SN126" s="12">
        <f>0.02*SQRT(3)</f>
        <v>3.4641016151377546E-2</v>
      </c>
      <c r="SO126" s="13">
        <v>3</v>
      </c>
      <c r="SP126" s="19">
        <f t="shared" si="445"/>
        <v>0.28867513459481292</v>
      </c>
      <c r="SQ126" s="19">
        <f t="shared" si="420"/>
        <v>1.3862943611198906</v>
      </c>
      <c r="SR126" s="19">
        <f t="shared" si="421"/>
        <v>0.1388888888888889</v>
      </c>
      <c r="SU126" s="12" t="s">
        <v>37</v>
      </c>
      <c r="SV126" s="12" t="s">
        <v>37</v>
      </c>
      <c r="SW126" s="11" t="s">
        <v>37</v>
      </c>
      <c r="SX126" s="12" t="s">
        <v>37</v>
      </c>
      <c r="SY126" s="12" t="s">
        <v>37</v>
      </c>
      <c r="SZ126" s="11" t="s">
        <v>37</v>
      </c>
      <c r="TE126" s="12" t="s">
        <v>37</v>
      </c>
      <c r="TF126" s="12" t="s">
        <v>37</v>
      </c>
      <c r="TG126" s="11" t="s">
        <v>37</v>
      </c>
      <c r="TH126" s="12" t="s">
        <v>37</v>
      </c>
      <c r="TI126" s="12" t="s">
        <v>37</v>
      </c>
      <c r="TJ126" s="11" t="s">
        <v>37</v>
      </c>
      <c r="TO126" s="12" t="s">
        <v>37</v>
      </c>
      <c r="TP126" s="12" t="s">
        <v>37</v>
      </c>
      <c r="TQ126" s="11" t="s">
        <v>37</v>
      </c>
      <c r="TR126" s="12" t="s">
        <v>37</v>
      </c>
      <c r="TS126" s="12" t="s">
        <v>37</v>
      </c>
      <c r="TT126" s="11" t="s">
        <v>37</v>
      </c>
      <c r="TY126" s="12" t="s">
        <v>37</v>
      </c>
      <c r="TZ126" s="12" t="s">
        <v>37</v>
      </c>
      <c r="UA126" s="12" t="s">
        <v>37</v>
      </c>
      <c r="UB126" s="12" t="s">
        <v>37</v>
      </c>
      <c r="UC126" s="12" t="s">
        <v>37</v>
      </c>
      <c r="UD126" s="12" t="s">
        <v>37</v>
      </c>
      <c r="UE126" s="12"/>
      <c r="UF126" s="12"/>
      <c r="UI126" s="12" t="s">
        <v>37</v>
      </c>
      <c r="UJ126" s="12" t="s">
        <v>37</v>
      </c>
      <c r="UK126" s="12" t="s">
        <v>37</v>
      </c>
      <c r="UL126" s="12" t="s">
        <v>37</v>
      </c>
      <c r="UM126" s="12" t="s">
        <v>37</v>
      </c>
      <c r="UN126" s="12" t="s">
        <v>37</v>
      </c>
      <c r="UO126" s="12"/>
      <c r="UP126" s="12"/>
      <c r="UR126" s="12" t="s">
        <v>37</v>
      </c>
      <c r="US126" s="12" t="s">
        <v>37</v>
      </c>
      <c r="UT126" s="12" t="s">
        <v>37</v>
      </c>
      <c r="UU126" s="12" t="s">
        <v>37</v>
      </c>
      <c r="UV126" s="12" t="s">
        <v>37</v>
      </c>
      <c r="UW126" s="12" t="s">
        <v>37</v>
      </c>
      <c r="UX126" s="12"/>
      <c r="UY126" s="12"/>
      <c r="VB126" s="12" t="s">
        <v>37</v>
      </c>
      <c r="VC126" s="12" t="s">
        <v>37</v>
      </c>
      <c r="VD126" s="12" t="s">
        <v>37</v>
      </c>
      <c r="VE126" s="12" t="s">
        <v>37</v>
      </c>
      <c r="VF126" s="12" t="s">
        <v>37</v>
      </c>
      <c r="VG126" s="12" t="s">
        <v>37</v>
      </c>
      <c r="VI126" s="12" t="s">
        <v>37</v>
      </c>
      <c r="VJ126" s="12" t="s">
        <v>37</v>
      </c>
      <c r="VK126" s="12" t="s">
        <v>37</v>
      </c>
      <c r="VL126" s="12" t="s">
        <v>37</v>
      </c>
      <c r="VM126" s="12" t="s">
        <v>37</v>
      </c>
      <c r="VN126" s="12" t="s">
        <v>37</v>
      </c>
      <c r="VQ126" s="13" t="s">
        <v>37</v>
      </c>
      <c r="VR126" s="13" t="s">
        <v>37</v>
      </c>
      <c r="VS126" s="13" t="s">
        <v>37</v>
      </c>
      <c r="VT126" s="13" t="s">
        <v>37</v>
      </c>
      <c r="VU126" s="13" t="s">
        <v>37</v>
      </c>
      <c r="VV126" s="13" t="s">
        <v>37</v>
      </c>
      <c r="WA126" s="13" t="s">
        <v>37</v>
      </c>
      <c r="WB126" s="13" t="s">
        <v>37</v>
      </c>
      <c r="WC126" s="13" t="s">
        <v>37</v>
      </c>
      <c r="WD126" s="13" t="s">
        <v>37</v>
      </c>
      <c r="WE126" s="13" t="s">
        <v>37</v>
      </c>
      <c r="WF126" s="13" t="s">
        <v>37</v>
      </c>
    </row>
    <row r="127" spans="1:604" ht="18" customHeight="1" x14ac:dyDescent="0.3">
      <c r="A127" s="11">
        <v>28</v>
      </c>
      <c r="B127" s="16" t="s">
        <v>176</v>
      </c>
      <c r="C127" s="12" t="s">
        <v>26</v>
      </c>
      <c r="D127" s="12" t="s">
        <v>119</v>
      </c>
      <c r="E127" s="40" t="s">
        <v>37</v>
      </c>
      <c r="F127" s="14">
        <v>0</v>
      </c>
      <c r="G127" s="14">
        <v>0</v>
      </c>
      <c r="H127" s="12" t="s">
        <v>82</v>
      </c>
      <c r="I127" s="29">
        <v>43.15</v>
      </c>
      <c r="J127" s="29">
        <v>-93.76</v>
      </c>
      <c r="K127" s="12" t="s">
        <v>206</v>
      </c>
      <c r="L127" s="12" t="s">
        <v>212</v>
      </c>
      <c r="M127" s="13" t="s">
        <v>37</v>
      </c>
      <c r="N127" s="14">
        <v>22</v>
      </c>
      <c r="O127" s="14">
        <v>660</v>
      </c>
      <c r="P127" s="14" t="s">
        <v>16</v>
      </c>
      <c r="Q127" s="75">
        <v>4</v>
      </c>
      <c r="R127" s="11" t="s">
        <v>999</v>
      </c>
      <c r="S127" s="12" t="s">
        <v>37</v>
      </c>
      <c r="T127" s="12" t="s">
        <v>138</v>
      </c>
      <c r="U127" s="12" t="s">
        <v>158</v>
      </c>
      <c r="V127" s="12" t="s">
        <v>871</v>
      </c>
      <c r="W127" s="23" t="s">
        <v>37</v>
      </c>
      <c r="X127" s="12" t="s">
        <v>37</v>
      </c>
      <c r="Y127" s="12" t="s">
        <v>69</v>
      </c>
      <c r="Z127" s="12" t="s">
        <v>37</v>
      </c>
      <c r="AB127" s="12" t="s">
        <v>37</v>
      </c>
      <c r="AC127" s="12" t="s">
        <v>42</v>
      </c>
      <c r="AD127" s="32" t="s">
        <v>327</v>
      </c>
      <c r="AE127" s="12">
        <f>169.38*10^3/0.69/15/100</f>
        <v>163.6521739130435</v>
      </c>
      <c r="AF127" s="12" t="s">
        <v>42</v>
      </c>
      <c r="AG127" s="32" t="s">
        <v>327</v>
      </c>
      <c r="AH127" s="12">
        <f>9.09*10^3/0.69/15/100</f>
        <v>8.7826086956521756</v>
      </c>
      <c r="AJ127" s="12" t="str">
        <f t="shared" si="356"/>
        <v>0-15</v>
      </c>
      <c r="AK127" s="19">
        <f t="shared" si="357"/>
        <v>18.633663366336631</v>
      </c>
      <c r="AL127" s="32" t="s">
        <v>179</v>
      </c>
      <c r="AM127" s="54" t="s">
        <v>317</v>
      </c>
      <c r="AN127" s="32" t="s">
        <v>886</v>
      </c>
      <c r="AO127" s="12" t="s">
        <v>37</v>
      </c>
      <c r="AP127" s="12" t="s">
        <v>108</v>
      </c>
      <c r="AQ127" s="12" t="s">
        <v>975</v>
      </c>
      <c r="AR127" s="12" t="s">
        <v>42</v>
      </c>
      <c r="AS127" s="32" t="s">
        <v>327</v>
      </c>
      <c r="AT127" s="12">
        <f>169.38*10^3/0.69/15/100</f>
        <v>163.6521739130435</v>
      </c>
      <c r="AU127" s="12">
        <f>SQRT((1/(1500*0.69))^2*(10.17*SQRT(3))^2+(((-169.38*10^3)/(1500*0.69)^2))^2*(0.05*SQRT(3))^2)</f>
        <v>2.1844125519026765E-2</v>
      </c>
      <c r="AV127" s="13">
        <v>3</v>
      </c>
      <c r="AW127" s="52">
        <f t="shared" si="426"/>
        <v>1.3347898165186385E-4</v>
      </c>
      <c r="AX127" s="12">
        <f>155.37*10^3/1.09/15/100</f>
        <v>95.0275229357798</v>
      </c>
      <c r="AY127" s="12">
        <f>SQRT((1/(1500*1.09))^2*(20.1*SQRT(3))^2+(((-155.37*10^3)/(1500*1.09)^2))^2*(0.11*SQRT(3))^2)</f>
        <v>2.4000387740025778E-2</v>
      </c>
      <c r="AZ127" s="13">
        <v>3</v>
      </c>
      <c r="BA127" s="52">
        <f>AY127/AX127</f>
        <v>2.5256248925109196E-4</v>
      </c>
      <c r="BB127" s="52">
        <f t="shared" si="360"/>
        <v>-0.54357672002142776</v>
      </c>
      <c r="BC127" s="19">
        <f t="shared" si="361"/>
        <v>2.7201483173175514E-8</v>
      </c>
      <c r="BE127" s="12" t="s">
        <v>326</v>
      </c>
      <c r="BF127" s="12" t="s">
        <v>326</v>
      </c>
      <c r="BG127" s="12" t="s">
        <v>326</v>
      </c>
      <c r="BI127" s="12" t="s">
        <v>326</v>
      </c>
      <c r="BJ127" s="12" t="s">
        <v>326</v>
      </c>
      <c r="BK127" s="12" t="s">
        <v>326</v>
      </c>
      <c r="BP127" s="12" t="s">
        <v>37</v>
      </c>
      <c r="BQ127" s="12" t="s">
        <v>37</v>
      </c>
      <c r="BR127" s="13" t="s">
        <v>37</v>
      </c>
      <c r="BT127" s="12" t="s">
        <v>37</v>
      </c>
      <c r="BU127" s="12" t="s">
        <v>37</v>
      </c>
      <c r="BV127" s="12" t="s">
        <v>37</v>
      </c>
      <c r="CA127" s="12" t="s">
        <v>37</v>
      </c>
      <c r="CB127" s="12" t="s">
        <v>37</v>
      </c>
      <c r="CC127" s="13" t="s">
        <v>37</v>
      </c>
      <c r="CE127" s="12" t="s">
        <v>37</v>
      </c>
      <c r="CF127" s="12" t="s">
        <v>37</v>
      </c>
      <c r="CG127" s="13" t="s">
        <v>37</v>
      </c>
      <c r="CI127" s="13"/>
      <c r="CJ127" s="13"/>
      <c r="CN127" s="12" t="s">
        <v>37</v>
      </c>
      <c r="CO127" s="12" t="s">
        <v>37</v>
      </c>
      <c r="CP127" s="13" t="s">
        <v>37</v>
      </c>
      <c r="CR127" s="12" t="s">
        <v>37</v>
      </c>
      <c r="CS127" s="12" t="s">
        <v>37</v>
      </c>
      <c r="CT127" s="13" t="s">
        <v>37</v>
      </c>
      <c r="CV127" s="13"/>
      <c r="CW127" s="13"/>
      <c r="CX127" s="72"/>
      <c r="CY127" s="72"/>
      <c r="DA127" s="12" t="s">
        <v>37</v>
      </c>
      <c r="DB127" s="12" t="s">
        <v>37</v>
      </c>
      <c r="DC127" s="13" t="s">
        <v>37</v>
      </c>
      <c r="DE127" s="12" t="s">
        <v>37</v>
      </c>
      <c r="DF127" s="12" t="s">
        <v>37</v>
      </c>
      <c r="DG127" s="13" t="s">
        <v>37</v>
      </c>
      <c r="DI127" s="52"/>
      <c r="DJ127" s="52"/>
      <c r="DK127" s="73"/>
      <c r="DL127" s="73"/>
      <c r="DM127" s="15"/>
      <c r="DO127" s="108"/>
      <c r="DP127" s="72"/>
      <c r="DS127" s="108"/>
      <c r="DT127" s="72"/>
      <c r="DX127" s="19"/>
      <c r="DY127" s="19"/>
      <c r="DZ127" s="12" t="s">
        <v>47</v>
      </c>
      <c r="EA127" s="19">
        <f>0.04*("2006/10/31"-"2006/04/01")/("2006/09/27"-"2006/04/05")*10^4/10^3/'[3]classess-1'!$I$6</f>
        <v>0.25129373787133502</v>
      </c>
      <c r="EB127" s="50">
        <f t="shared" si="364"/>
        <v>1.4449332085532545</v>
      </c>
      <c r="EC127" s="72">
        <v>3</v>
      </c>
      <c r="EE127" s="19">
        <f>0.22*("2006/10/31"-"2006/04/01")/("2006/09/27"-"2006/04/05")*10^4/10^3/'[3]classess-1'!$I$7</f>
        <v>2.7150544029364894</v>
      </c>
      <c r="EF127" s="50">
        <f t="shared" si="365"/>
        <v>4.0539546523956433</v>
      </c>
      <c r="EG127" s="13">
        <v>3</v>
      </c>
      <c r="EI127" s="19">
        <f t="shared" si="429"/>
        <v>2.4637606650651542</v>
      </c>
      <c r="EJ127" s="12">
        <f t="shared" si="366"/>
        <v>3.0432203585067814</v>
      </c>
      <c r="EK127" s="19">
        <f t="shared" si="367"/>
        <v>6.1741267669534281</v>
      </c>
      <c r="EL127" s="19">
        <f t="shared" si="368"/>
        <v>6.1741267669534281</v>
      </c>
      <c r="EM127" s="12" t="s">
        <v>39</v>
      </c>
      <c r="EN127" s="12">
        <v>40</v>
      </c>
      <c r="EO127" s="50">
        <f t="shared" si="398"/>
        <v>16.299855950051732</v>
      </c>
      <c r="EP127" s="13">
        <v>3</v>
      </c>
      <c r="ER127" s="12">
        <v>-30</v>
      </c>
      <c r="ES127" s="50">
        <f t="shared" si="399"/>
        <v>6.8044216052758255</v>
      </c>
      <c r="ET127" s="13">
        <v>3</v>
      </c>
      <c r="EV127" s="19">
        <f t="shared" si="400"/>
        <v>-70</v>
      </c>
      <c r="EW127" s="12">
        <f t="shared" si="401"/>
        <v>12.489704907938803</v>
      </c>
      <c r="EX127" s="19">
        <f t="shared" si="402"/>
        <v>103.99515245826042</v>
      </c>
      <c r="EY127" s="19">
        <f t="shared" si="403"/>
        <v>103.99515245826043</v>
      </c>
      <c r="FB127" s="12" t="s">
        <v>37</v>
      </c>
      <c r="FC127" s="12" t="s">
        <v>37</v>
      </c>
      <c r="FD127" s="11" t="s">
        <v>37</v>
      </c>
      <c r="FE127" s="12" t="s">
        <v>37</v>
      </c>
      <c r="FF127" s="20" t="s">
        <v>37</v>
      </c>
      <c r="FG127" s="11" t="s">
        <v>37</v>
      </c>
      <c r="FI127" s="12" t="s">
        <v>37</v>
      </c>
      <c r="FJ127" s="12" t="s">
        <v>37</v>
      </c>
      <c r="FK127" s="11" t="s">
        <v>37</v>
      </c>
      <c r="FL127" s="13" t="s">
        <v>37</v>
      </c>
      <c r="FM127" s="11" t="s">
        <v>37</v>
      </c>
      <c r="FN127" s="11" t="s">
        <v>37</v>
      </c>
      <c r="FP127" s="12" t="s">
        <v>37</v>
      </c>
      <c r="FQ127" s="12" t="s">
        <v>37</v>
      </c>
      <c r="FR127" s="11" t="s">
        <v>37</v>
      </c>
      <c r="FS127" s="13" t="s">
        <v>37</v>
      </c>
      <c r="FT127" s="11" t="s">
        <v>37</v>
      </c>
      <c r="FU127" s="11" t="s">
        <v>37</v>
      </c>
      <c r="FW127" s="12" t="s">
        <v>37</v>
      </c>
      <c r="FX127" s="12" t="s">
        <v>37</v>
      </c>
      <c r="FY127" s="11" t="s">
        <v>37</v>
      </c>
      <c r="FZ127" s="13" t="s">
        <v>37</v>
      </c>
      <c r="GA127" s="11" t="s">
        <v>37</v>
      </c>
      <c r="GB127" s="11" t="s">
        <v>37</v>
      </c>
      <c r="HA127" s="17" t="s">
        <v>63</v>
      </c>
      <c r="HB127" s="34" t="s">
        <v>327</v>
      </c>
      <c r="HC127" s="12">
        <v>0.69</v>
      </c>
      <c r="HD127" s="12">
        <f>0.05*SQRT(3)</f>
        <v>8.6602540378443865E-2</v>
      </c>
      <c r="HE127" s="13">
        <v>3</v>
      </c>
      <c r="HF127" s="19">
        <f t="shared" si="404"/>
        <v>0.12551092808470127</v>
      </c>
      <c r="HG127" s="12">
        <v>1.0900000000000001</v>
      </c>
      <c r="HH127" s="12">
        <f>0.11*SQRT(3)</f>
        <v>0.1905255888325765</v>
      </c>
      <c r="HI127" s="13">
        <v>3</v>
      </c>
      <c r="HJ127" s="19">
        <f t="shared" si="405"/>
        <v>0.1747941181950243</v>
      </c>
      <c r="HK127" s="19">
        <f t="shared" si="375"/>
        <v>0.45724137763188438</v>
      </c>
      <c r="HL127" s="19">
        <f t="shared" si="376"/>
        <v>1.5435325608086393E-2</v>
      </c>
      <c r="IK127" s="12" t="s">
        <v>37</v>
      </c>
      <c r="IL127" s="12" t="s">
        <v>37</v>
      </c>
      <c r="IM127" s="12" t="s">
        <v>37</v>
      </c>
      <c r="IO127" s="12" t="s">
        <v>37</v>
      </c>
      <c r="IP127" s="12" t="s">
        <v>37</v>
      </c>
      <c r="IQ127" s="12" t="s">
        <v>37</v>
      </c>
      <c r="IW127" s="12" t="s">
        <v>37</v>
      </c>
      <c r="IX127" s="12" t="s">
        <v>37</v>
      </c>
      <c r="IY127" s="13" t="s">
        <v>37</v>
      </c>
      <c r="JA127" s="12" t="s">
        <v>37</v>
      </c>
      <c r="JB127" s="12" t="s">
        <v>37</v>
      </c>
      <c r="JC127" s="13" t="s">
        <v>37</v>
      </c>
      <c r="JH127" s="12" t="s">
        <v>37</v>
      </c>
      <c r="JI127" s="12" t="s">
        <v>37</v>
      </c>
      <c r="JJ127" s="13" t="s">
        <v>37</v>
      </c>
      <c r="JL127" s="12" t="s">
        <v>37</v>
      </c>
      <c r="JM127" s="12" t="s">
        <v>37</v>
      </c>
      <c r="JN127" s="12" t="s">
        <v>37</v>
      </c>
      <c r="JS127" s="12" t="s">
        <v>37</v>
      </c>
      <c r="JT127" s="12" t="s">
        <v>37</v>
      </c>
      <c r="JU127" s="13" t="s">
        <v>37</v>
      </c>
      <c r="JW127" s="12" t="s">
        <v>37</v>
      </c>
      <c r="JX127" s="12" t="s">
        <v>37</v>
      </c>
      <c r="JY127" s="12" t="s">
        <v>37</v>
      </c>
      <c r="KE127" s="11" t="s">
        <v>37</v>
      </c>
      <c r="KF127" s="11" t="s">
        <v>37</v>
      </c>
      <c r="KG127" s="13" t="s">
        <v>37</v>
      </c>
      <c r="KH127" s="11" t="s">
        <v>37</v>
      </c>
      <c r="KI127" s="11" t="s">
        <v>37</v>
      </c>
      <c r="KJ127" s="11" t="s">
        <v>37</v>
      </c>
      <c r="KK127" s="12" t="s">
        <v>42</v>
      </c>
      <c r="KL127" s="32" t="s">
        <v>327</v>
      </c>
      <c r="KM127" s="12">
        <f>9.09*10^3/0.69/15/100</f>
        <v>8.7826086956521756</v>
      </c>
      <c r="KN127" s="12">
        <f>SQRT((1/(1500*0.69))^2*(0.88*SQRT(3))^2+(((-9.09*10^3)/(1500*0.69)^2))^2*(0.05*SQRT(3))^2)</f>
        <v>1.6458354035564977E-3</v>
      </c>
      <c r="KO127" s="11">
        <v>3</v>
      </c>
      <c r="KP127" s="19">
        <f t="shared" si="406"/>
        <v>1.8739710040494771E-4</v>
      </c>
      <c r="KQ127" s="12">
        <f>9.94*10^3/1.09/15/100</f>
        <v>6.0795107033639146</v>
      </c>
      <c r="KR127" s="12">
        <f>SQRT((1/(1500*1.09))^2*(1.12*SQRT(3))^2+(((-9.94*10^3)/(1500*1.09)^2))^2*(0.11*SQRT(3))^2)</f>
        <v>1.3818927745983345E-3</v>
      </c>
      <c r="KS127" s="13">
        <v>3</v>
      </c>
      <c r="KT127" s="19">
        <f>KR127/KQ127</f>
        <v>2.2730328837709021E-4</v>
      </c>
      <c r="KU127" s="19">
        <f t="shared" si="382"/>
        <v>-0.36784926515278932</v>
      </c>
      <c r="KV127" s="19">
        <f t="shared" si="383"/>
        <v>2.8928152715740228E-8</v>
      </c>
      <c r="KX127" s="12" t="s">
        <v>37</v>
      </c>
      <c r="KY127" s="12" t="s">
        <v>37</v>
      </c>
      <c r="KZ127" s="13" t="s">
        <v>37</v>
      </c>
      <c r="LB127" s="12" t="s">
        <v>37</v>
      </c>
      <c r="LC127" s="12" t="s">
        <v>37</v>
      </c>
      <c r="LD127" s="13" t="s">
        <v>37</v>
      </c>
      <c r="LI127" s="12" t="s">
        <v>37</v>
      </c>
      <c r="LJ127" s="12" t="s">
        <v>37</v>
      </c>
      <c r="LK127" s="12" t="s">
        <v>37</v>
      </c>
      <c r="LM127" s="12" t="s">
        <v>37</v>
      </c>
      <c r="LN127" s="12" t="s">
        <v>37</v>
      </c>
      <c r="LO127" s="12" t="s">
        <v>37</v>
      </c>
      <c r="LT127" s="12" t="str">
        <f t="shared" si="408"/>
        <v>0-15</v>
      </c>
      <c r="LU127" s="12">
        <f t="shared" si="385"/>
        <v>18.633663366336631</v>
      </c>
      <c r="LV127" s="29">
        <f t="shared" si="386"/>
        <v>4.2871322494176618E-3</v>
      </c>
      <c r="LW127" s="13">
        <f t="shared" si="409"/>
        <v>3</v>
      </c>
      <c r="LX127" s="19">
        <f t="shared" si="410"/>
        <v>2.3007457874133045E-4</v>
      </c>
      <c r="LY127" s="12">
        <f t="shared" si="388"/>
        <v>15.630784708249493</v>
      </c>
      <c r="LZ127" s="12">
        <f t="shared" si="389"/>
        <v>5.3111234249600299E-3</v>
      </c>
      <c r="MA127" s="13">
        <f t="shared" si="411"/>
        <v>3</v>
      </c>
      <c r="MB127" s="19">
        <f>LZ127/LY127</f>
        <v>3.3978610313511429E-4</v>
      </c>
      <c r="MC127" s="19">
        <f t="shared" si="391"/>
        <v>-0.17572745486863842</v>
      </c>
      <c r="MD127" s="19">
        <f t="shared" si="392"/>
        <v>5.6129635888915735E-8</v>
      </c>
      <c r="MF127" s="12" t="s">
        <v>37</v>
      </c>
      <c r="MG127" s="12" t="s">
        <v>37</v>
      </c>
      <c r="MH127" s="12" t="s">
        <v>37</v>
      </c>
      <c r="MJ127" s="12" t="s">
        <v>37</v>
      </c>
      <c r="MK127" s="12" t="s">
        <v>37</v>
      </c>
      <c r="ML127" s="12" t="s">
        <v>37</v>
      </c>
      <c r="MQ127" s="12" t="s">
        <v>37</v>
      </c>
      <c r="MR127" s="12" t="s">
        <v>37</v>
      </c>
      <c r="MS127" s="12" t="s">
        <v>37</v>
      </c>
      <c r="MU127" s="12" t="s">
        <v>37</v>
      </c>
      <c r="MV127" s="12" t="s">
        <v>37</v>
      </c>
      <c r="MW127" s="12" t="s">
        <v>37</v>
      </c>
      <c r="NA127" s="12" t="s">
        <v>177</v>
      </c>
      <c r="NB127" s="12" t="s">
        <v>327</v>
      </c>
      <c r="NC127" s="12">
        <v>0.01</v>
      </c>
      <c r="ND127" s="12">
        <f t="shared" si="461"/>
        <v>1.7320508075688772E-3</v>
      </c>
      <c r="NE127" s="13">
        <v>3</v>
      </c>
      <c r="NF127" s="19">
        <f t="shared" si="413"/>
        <v>0.1732050807568877</v>
      </c>
      <c r="NG127" s="12">
        <v>0.02</v>
      </c>
      <c r="NH127" s="12">
        <f t="shared" si="462"/>
        <v>1.7320508075688772E-3</v>
      </c>
      <c r="NI127" s="13">
        <v>3</v>
      </c>
      <c r="NJ127" s="19">
        <f t="shared" si="414"/>
        <v>8.6602540378443851E-2</v>
      </c>
      <c r="NK127" s="19">
        <f t="shared" si="415"/>
        <v>0.69314718055994529</v>
      </c>
      <c r="NL127" s="19">
        <f t="shared" si="438"/>
        <v>1.2499999999999997E-2</v>
      </c>
      <c r="NM127" s="12" t="s">
        <v>177</v>
      </c>
      <c r="NN127" s="12" t="s">
        <v>327</v>
      </c>
      <c r="NO127" s="12">
        <v>0.01</v>
      </c>
      <c r="NP127" s="12">
        <f t="shared" si="463"/>
        <v>1.7320508075688772E-3</v>
      </c>
      <c r="NQ127" s="13">
        <v>3</v>
      </c>
      <c r="NR127" s="19">
        <f t="shared" si="440"/>
        <v>0.1732050807568877</v>
      </c>
      <c r="NS127" s="12">
        <v>0.05</v>
      </c>
      <c r="NT127" s="12">
        <f>0.01*SQRT(3)</f>
        <v>1.7320508075688773E-2</v>
      </c>
      <c r="NU127" s="13">
        <v>3</v>
      </c>
      <c r="NV127" s="19">
        <f t="shared" si="442"/>
        <v>0.34641016151377546</v>
      </c>
      <c r="NW127" s="19">
        <f t="shared" si="417"/>
        <v>1.6094379124341003</v>
      </c>
      <c r="NX127" s="19">
        <f t="shared" si="418"/>
        <v>4.9999999999999989E-2</v>
      </c>
      <c r="OA127" s="11" t="s">
        <v>37</v>
      </c>
      <c r="OB127" s="11" t="s">
        <v>37</v>
      </c>
      <c r="OC127" s="13" t="s">
        <v>37</v>
      </c>
      <c r="OE127" s="11" t="s">
        <v>37</v>
      </c>
      <c r="OF127" s="11" t="s">
        <v>37</v>
      </c>
      <c r="OG127" s="13" t="s">
        <v>37</v>
      </c>
      <c r="OM127" s="11" t="s">
        <v>37</v>
      </c>
      <c r="ON127" s="11" t="s">
        <v>37</v>
      </c>
      <c r="OO127" s="11" t="s">
        <v>37</v>
      </c>
      <c r="OP127" s="11" t="s">
        <v>37</v>
      </c>
      <c r="OQ127" s="11" t="s">
        <v>37</v>
      </c>
      <c r="OR127" s="11" t="s">
        <v>37</v>
      </c>
      <c r="OW127" s="12" t="s">
        <v>37</v>
      </c>
      <c r="OX127" s="12" t="s">
        <v>37</v>
      </c>
      <c r="OY127" s="13" t="s">
        <v>37</v>
      </c>
      <c r="OZ127" s="12" t="s">
        <v>37</v>
      </c>
      <c r="PA127" s="12" t="s">
        <v>37</v>
      </c>
      <c r="PB127" s="13" t="s">
        <v>37</v>
      </c>
      <c r="PG127" s="11" t="s">
        <v>37</v>
      </c>
      <c r="PH127" s="11" t="s">
        <v>37</v>
      </c>
      <c r="PI127" s="13" t="s">
        <v>37</v>
      </c>
      <c r="PJ127" s="11" t="s">
        <v>37</v>
      </c>
      <c r="PK127" s="11" t="s">
        <v>37</v>
      </c>
      <c r="PL127" s="13" t="s">
        <v>37</v>
      </c>
      <c r="PQ127" s="12" t="s">
        <v>37</v>
      </c>
      <c r="PR127" s="12" t="s">
        <v>37</v>
      </c>
      <c r="PS127" s="12" t="s">
        <v>37</v>
      </c>
      <c r="PT127" s="12" t="s">
        <v>37</v>
      </c>
      <c r="PU127" s="12" t="s">
        <v>37</v>
      </c>
      <c r="PV127" s="12" t="s">
        <v>37</v>
      </c>
      <c r="PW127" s="12"/>
      <c r="PX127" s="12"/>
      <c r="PZ127" s="12" t="s">
        <v>37</v>
      </c>
      <c r="QA127" s="12" t="s">
        <v>37</v>
      </c>
      <c r="QB127" s="11" t="s">
        <v>37</v>
      </c>
      <c r="QD127" s="12" t="s">
        <v>37</v>
      </c>
      <c r="QE127" s="12" t="s">
        <v>37</v>
      </c>
      <c r="QF127" s="12" t="s">
        <v>37</v>
      </c>
      <c r="QK127" s="12" t="s">
        <v>37</v>
      </c>
      <c r="QL127" s="12" t="s">
        <v>37</v>
      </c>
      <c r="QM127" s="12" t="s">
        <v>37</v>
      </c>
      <c r="QN127" s="12" t="s">
        <v>37</v>
      </c>
      <c r="QO127" s="12" t="s">
        <v>37</v>
      </c>
      <c r="QP127" s="12" t="s">
        <v>37</v>
      </c>
      <c r="QQ127" s="12"/>
      <c r="QR127" s="12"/>
      <c r="QU127" s="11" t="s">
        <v>37</v>
      </c>
      <c r="QV127" s="11" t="s">
        <v>37</v>
      </c>
      <c r="QW127" s="13" t="s">
        <v>37</v>
      </c>
      <c r="QX127" s="11" t="s">
        <v>37</v>
      </c>
      <c r="QY127" s="11" t="s">
        <v>37</v>
      </c>
      <c r="QZ127" s="13" t="s">
        <v>37</v>
      </c>
      <c r="RC127" s="12" t="s">
        <v>37</v>
      </c>
      <c r="RD127" s="12" t="s">
        <v>37</v>
      </c>
      <c r="RE127" s="13" t="s">
        <v>37</v>
      </c>
      <c r="RF127" s="12" t="s">
        <v>37</v>
      </c>
      <c r="RG127" s="12" t="s">
        <v>37</v>
      </c>
      <c r="RH127" s="13" t="s">
        <v>37</v>
      </c>
      <c r="RK127" s="11" t="s">
        <v>37</v>
      </c>
      <c r="RL127" s="11" t="s">
        <v>37</v>
      </c>
      <c r="RM127" s="11" t="s">
        <v>37</v>
      </c>
      <c r="RN127" s="11" t="s">
        <v>37</v>
      </c>
      <c r="RO127" s="11" t="s">
        <v>37</v>
      </c>
      <c r="RP127" s="11" t="s">
        <v>37</v>
      </c>
      <c r="RS127" s="11" t="s">
        <v>37</v>
      </c>
      <c r="RT127" s="11" t="s">
        <v>37</v>
      </c>
      <c r="RU127" s="11" t="s">
        <v>37</v>
      </c>
      <c r="RV127" s="11" t="s">
        <v>37</v>
      </c>
      <c r="RW127" s="11" t="s">
        <v>37</v>
      </c>
      <c r="RX127" s="11" t="s">
        <v>37</v>
      </c>
      <c r="SA127" s="11" t="s">
        <v>37</v>
      </c>
      <c r="SB127" s="11" t="s">
        <v>37</v>
      </c>
      <c r="SC127" s="13" t="s">
        <v>37</v>
      </c>
      <c r="SD127" s="11" t="s">
        <v>37</v>
      </c>
      <c r="SE127" s="11" t="s">
        <v>37</v>
      </c>
      <c r="SF127" s="13" t="s">
        <v>37</v>
      </c>
      <c r="SG127" s="12" t="s">
        <v>177</v>
      </c>
      <c r="SH127" s="12" t="s">
        <v>327</v>
      </c>
      <c r="SI127" s="12">
        <v>0.03</v>
      </c>
      <c r="SJ127" s="12">
        <f>0.01*SQRT(3)</f>
        <v>1.7320508075688773E-2</v>
      </c>
      <c r="SK127" s="13">
        <v>3</v>
      </c>
      <c r="SL127" s="19">
        <f>SJ127/SI127</f>
        <v>0.57735026918962584</v>
      </c>
      <c r="SM127" s="12">
        <v>0.12</v>
      </c>
      <c r="SN127" s="12">
        <f>0.02*SQRT(3)</f>
        <v>3.4641016151377546E-2</v>
      </c>
      <c r="SO127" s="13">
        <v>3</v>
      </c>
      <c r="SP127" s="19">
        <f>SN127/SM127</f>
        <v>0.28867513459481292</v>
      </c>
      <c r="SQ127" s="19">
        <f t="shared" si="420"/>
        <v>1.3862943611198906</v>
      </c>
      <c r="SR127" s="19">
        <f t="shared" si="421"/>
        <v>0.1388888888888889</v>
      </c>
      <c r="SU127" s="12" t="s">
        <v>37</v>
      </c>
      <c r="SV127" s="12" t="s">
        <v>37</v>
      </c>
      <c r="SW127" s="11" t="s">
        <v>37</v>
      </c>
      <c r="SX127" s="12" t="s">
        <v>37</v>
      </c>
      <c r="SY127" s="12" t="s">
        <v>37</v>
      </c>
      <c r="SZ127" s="11" t="s">
        <v>37</v>
      </c>
      <c r="TE127" s="12" t="s">
        <v>37</v>
      </c>
      <c r="TF127" s="12" t="s">
        <v>37</v>
      </c>
      <c r="TG127" s="11" t="s">
        <v>37</v>
      </c>
      <c r="TH127" s="12" t="s">
        <v>37</v>
      </c>
      <c r="TI127" s="12" t="s">
        <v>37</v>
      </c>
      <c r="TJ127" s="11" t="s">
        <v>37</v>
      </c>
      <c r="TO127" s="12" t="s">
        <v>37</v>
      </c>
      <c r="TP127" s="12" t="s">
        <v>37</v>
      </c>
      <c r="TQ127" s="11" t="s">
        <v>37</v>
      </c>
      <c r="TR127" s="12" t="s">
        <v>37</v>
      </c>
      <c r="TS127" s="12" t="s">
        <v>37</v>
      </c>
      <c r="TT127" s="11" t="s">
        <v>37</v>
      </c>
      <c r="TY127" s="12" t="s">
        <v>37</v>
      </c>
      <c r="TZ127" s="12" t="s">
        <v>37</v>
      </c>
      <c r="UA127" s="12" t="s">
        <v>37</v>
      </c>
      <c r="UB127" s="12" t="s">
        <v>37</v>
      </c>
      <c r="UC127" s="12" t="s">
        <v>37</v>
      </c>
      <c r="UD127" s="12" t="s">
        <v>37</v>
      </c>
      <c r="UE127" s="12"/>
      <c r="UF127" s="12"/>
      <c r="UI127" s="12" t="s">
        <v>37</v>
      </c>
      <c r="UJ127" s="12" t="s">
        <v>37</v>
      </c>
      <c r="UK127" s="12" t="s">
        <v>37</v>
      </c>
      <c r="UL127" s="12" t="s">
        <v>37</v>
      </c>
      <c r="UM127" s="12" t="s">
        <v>37</v>
      </c>
      <c r="UN127" s="12" t="s">
        <v>37</v>
      </c>
      <c r="UO127" s="12"/>
      <c r="UP127" s="12"/>
      <c r="UR127" s="12" t="s">
        <v>37</v>
      </c>
      <c r="US127" s="12" t="s">
        <v>37</v>
      </c>
      <c r="UT127" s="12" t="s">
        <v>37</v>
      </c>
      <c r="UU127" s="12" t="s">
        <v>37</v>
      </c>
      <c r="UV127" s="12" t="s">
        <v>37</v>
      </c>
      <c r="UW127" s="12" t="s">
        <v>37</v>
      </c>
      <c r="UX127" s="12"/>
      <c r="UY127" s="12"/>
      <c r="VB127" s="12" t="s">
        <v>37</v>
      </c>
      <c r="VC127" s="12" t="s">
        <v>37</v>
      </c>
      <c r="VD127" s="12" t="s">
        <v>37</v>
      </c>
      <c r="VE127" s="12" t="s">
        <v>37</v>
      </c>
      <c r="VF127" s="12" t="s">
        <v>37</v>
      </c>
      <c r="VG127" s="12" t="s">
        <v>37</v>
      </c>
      <c r="VI127" s="12" t="s">
        <v>37</v>
      </c>
      <c r="VJ127" s="12" t="s">
        <v>37</v>
      </c>
      <c r="VK127" s="12" t="s">
        <v>37</v>
      </c>
      <c r="VL127" s="12" t="s">
        <v>37</v>
      </c>
      <c r="VM127" s="12" t="s">
        <v>37</v>
      </c>
      <c r="VN127" s="12" t="s">
        <v>37</v>
      </c>
      <c r="VQ127" s="13" t="s">
        <v>37</v>
      </c>
      <c r="VR127" s="13" t="s">
        <v>37</v>
      </c>
      <c r="VS127" s="13" t="s">
        <v>37</v>
      </c>
      <c r="VT127" s="13" t="s">
        <v>37</v>
      </c>
      <c r="VU127" s="13" t="s">
        <v>37</v>
      </c>
      <c r="VV127" s="13" t="s">
        <v>37</v>
      </c>
      <c r="WA127" s="13" t="s">
        <v>37</v>
      </c>
      <c r="WB127" s="13" t="s">
        <v>37</v>
      </c>
      <c r="WC127" s="13" t="s">
        <v>37</v>
      </c>
      <c r="WD127" s="13" t="s">
        <v>37</v>
      </c>
      <c r="WE127" s="13" t="s">
        <v>37</v>
      </c>
      <c r="WF127" s="13" t="s">
        <v>37</v>
      </c>
    </row>
    <row r="128" spans="1:604" ht="18" customHeight="1" x14ac:dyDescent="0.4">
      <c r="A128" s="11">
        <v>29</v>
      </c>
      <c r="B128" s="16" t="s">
        <v>912</v>
      </c>
      <c r="C128" s="12" t="s">
        <v>26</v>
      </c>
      <c r="D128" s="12" t="s">
        <v>54</v>
      </c>
      <c r="E128" s="40">
        <v>1.25</v>
      </c>
      <c r="F128" s="14">
        <v>0</v>
      </c>
      <c r="G128" s="14">
        <v>0</v>
      </c>
      <c r="H128" s="12" t="s">
        <v>123</v>
      </c>
      <c r="I128" s="29">
        <v>61.783000000000001</v>
      </c>
      <c r="J128" s="29">
        <v>24.3</v>
      </c>
      <c r="K128" s="12" t="s">
        <v>706</v>
      </c>
      <c r="L128" s="12" t="s">
        <v>709</v>
      </c>
      <c r="M128" s="13" t="s">
        <v>37</v>
      </c>
      <c r="N128" s="14">
        <v>3.5</v>
      </c>
      <c r="O128" s="14">
        <v>700</v>
      </c>
      <c r="P128" s="14" t="s">
        <v>84</v>
      </c>
      <c r="Q128" s="75">
        <f>1/12</f>
        <v>8.3333333333333329E-2</v>
      </c>
      <c r="R128" s="11" t="s">
        <v>1000</v>
      </c>
      <c r="S128" s="12" t="s">
        <v>85</v>
      </c>
      <c r="T128" s="12" t="s">
        <v>473</v>
      </c>
      <c r="U128" s="12" t="s">
        <v>158</v>
      </c>
      <c r="V128" s="12" t="s">
        <v>275</v>
      </c>
      <c r="W128" s="23" t="s">
        <v>927</v>
      </c>
      <c r="X128" s="12" t="s">
        <v>280</v>
      </c>
      <c r="Y128" s="12" t="s">
        <v>69</v>
      </c>
      <c r="Z128" s="12" t="s">
        <v>37</v>
      </c>
      <c r="AB128" s="12" t="s">
        <v>37</v>
      </c>
      <c r="AE128" s="12" t="s">
        <v>37</v>
      </c>
      <c r="AH128" s="12" t="s">
        <v>37</v>
      </c>
      <c r="AK128" s="12" t="s">
        <v>37</v>
      </c>
      <c r="AL128" s="32" t="s">
        <v>530</v>
      </c>
      <c r="AM128" s="12" t="s">
        <v>317</v>
      </c>
      <c r="AN128" s="32" t="s">
        <v>880</v>
      </c>
      <c r="AO128" s="12" t="s">
        <v>37</v>
      </c>
      <c r="AP128" s="12" t="s">
        <v>108</v>
      </c>
      <c r="AQ128" s="12" t="s">
        <v>975</v>
      </c>
      <c r="AT128" s="12" t="s">
        <v>326</v>
      </c>
      <c r="AU128" s="12" t="s">
        <v>326</v>
      </c>
      <c r="AV128" s="13" t="s">
        <v>326</v>
      </c>
      <c r="AX128" s="12" t="s">
        <v>326</v>
      </c>
      <c r="AY128" s="12" t="s">
        <v>326</v>
      </c>
      <c r="AZ128" s="13" t="s">
        <v>326</v>
      </c>
      <c r="BE128" s="12" t="s">
        <v>326</v>
      </c>
      <c r="BF128" s="12" t="s">
        <v>326</v>
      </c>
      <c r="BG128" s="12" t="s">
        <v>326</v>
      </c>
      <c r="BI128" s="12" t="s">
        <v>326</v>
      </c>
      <c r="BJ128" s="12" t="s">
        <v>326</v>
      </c>
      <c r="BK128" s="12" t="s">
        <v>326</v>
      </c>
      <c r="BP128" s="12" t="s">
        <v>37</v>
      </c>
      <c r="BQ128" s="12" t="s">
        <v>37</v>
      </c>
      <c r="BR128" s="13" t="s">
        <v>37</v>
      </c>
      <c r="BT128" s="12" t="s">
        <v>37</v>
      </c>
      <c r="BU128" s="12" t="s">
        <v>37</v>
      </c>
      <c r="BV128" s="12" t="s">
        <v>37</v>
      </c>
      <c r="BZ128" s="12" t="s">
        <v>581</v>
      </c>
      <c r="CA128" s="12">
        <f>-(CN128-DA128)</f>
        <v>-30804.409295502097</v>
      </c>
      <c r="CB128" s="12">
        <f>SQRT(CO128^2+DB128^2)</f>
        <v>7508.6897887327168</v>
      </c>
      <c r="CC128" s="13">
        <v>48</v>
      </c>
      <c r="CD128" s="19">
        <f t="shared" ref="CD128:CD133" si="467">CB128/ABS(CA128)</f>
        <v>0.24375373397694391</v>
      </c>
      <c r="CE128" s="12">
        <f>-(CR128-DE128)</f>
        <v>-23917.078756679508</v>
      </c>
      <c r="CF128" s="12">
        <f>SQRT(CS128^2+DF128^2)</f>
        <v>4465.2242350151555</v>
      </c>
      <c r="CG128" s="13">
        <v>48</v>
      </c>
      <c r="CH128" s="19">
        <f t="shared" ref="CH128:CH133" si="468">CF128/ABS(CE128)</f>
        <v>0.18669605433180747</v>
      </c>
      <c r="CI128" s="75">
        <f t="shared" ref="CI128:CI132" si="469">CE128-CA128</f>
        <v>6887.330538822589</v>
      </c>
      <c r="CJ128" s="12">
        <f t="shared" ref="CJ128:CJ133" si="470">SQRT(((CC128-1)*CB128^2+(CG128-1)*CF128^2)/(CC128+CG128-2))</f>
        <v>6177.3234419279706</v>
      </c>
      <c r="CK128" s="72">
        <f t="shared" ref="CK128:CK133" si="471">(((CC128+CG128)/(CC128*CG128))*(((CC128-1)*CB128^2)+(CG128-1)*CF128^2)/(CC128+CG128-2))</f>
        <v>1589971.8710913677</v>
      </c>
      <c r="CL128" s="72">
        <f t="shared" ref="CL128:CL133" si="472">(CB128^2/CC128)+(CF128^2/CG128)</f>
        <v>1589971.8710913677</v>
      </c>
      <c r="CM128" s="12" t="s">
        <v>581</v>
      </c>
      <c r="CN128" s="12">
        <f>517.87*10^4/10^6*("2008/09/30"-"2008/05/01")*24/'[6]classess-1'!$I$75</f>
        <v>25786.496613792402</v>
      </c>
      <c r="CO128" s="12">
        <f>SQRT((1/[7]Classess!$I$75)^2*(139.13*10^4/10^6*("2008/09/30"-"2008/05/01")*24)^2+(-CN128/([7]Classess!$I$75)^2)^2*([7]Classess!$J$75)^2)</f>
        <v>7450.7457504082913</v>
      </c>
      <c r="CP128" s="13">
        <v>48</v>
      </c>
      <c r="CQ128" s="19">
        <f t="shared" ref="CQ128:CQ133" si="473">CO128/ABS(CN128)</f>
        <v>0.28893982234186544</v>
      </c>
      <c r="CR128" s="12">
        <f>463.77*10^4/10^6*("2008/09/30"-"2008/05/01")*24/'[6]classess-1'!$I$76</f>
        <v>19674.213717161841</v>
      </c>
      <c r="CS128" s="12">
        <f>SQRT((1/[7]Classess!$I$76)^2*(92.75*10^4/10^6*("2008/09/30"-"2008/05/01")*24)^2+(-CR128/([7]Classess!$I$76)^2)^2*([7]Classess!$J$76)^2)</f>
        <v>4051.362841738935</v>
      </c>
      <c r="CT128" s="13">
        <v>48</v>
      </c>
      <c r="CU128" s="19">
        <f t="shared" ref="CU128:CU133" si="474">CS128/ABS(CR128)</f>
        <v>0.20592247802029953</v>
      </c>
      <c r="CV128" s="75">
        <f t="shared" ref="CV128:CV133" si="475">CR128-CN128</f>
        <v>-6112.2828966305606</v>
      </c>
      <c r="CW128" s="12">
        <f t="shared" ref="CW128:CW133" si="476">SQRT(((CP128-1)*CO128^2+(CT128-1)*CS128^2)/(CP128+CT128-2))</f>
        <v>5996.9639448912058</v>
      </c>
      <c r="CX128" s="72">
        <f t="shared" ref="CX128:CX133" si="477">(((CP128+CT128)/(CP128*CT128))*(((CP128-1)*CO128^2)+(CT128-1)*CS128^2)/(CP128+CT128-2))</f>
        <v>1498482.3565135451</v>
      </c>
      <c r="CY128" s="72">
        <f t="shared" ref="CY128:CY133" si="478">(CO128^2/CP128)+(CS128^2/CT128)</f>
        <v>1498482.3565135456</v>
      </c>
      <c r="CZ128" s="12" t="s">
        <v>581</v>
      </c>
      <c r="DA128" s="12">
        <f>-349.28*10^4/10^6*("2008/09/30"-"2008/05/01")*24/'[6]classess-1'!$I$23</f>
        <v>-5017.9126817096931</v>
      </c>
      <c r="DB128" s="12">
        <f>SQRT((1/[7]Classess!$I$23)^2*(59.79*10^4/10^6*("2008/09/30"-"2008/05/01")*24)^2+(-DA128/([7]Classess!$I$23)^2)^2*([7]Classess!$J$23)^2)</f>
        <v>931.02637244697166</v>
      </c>
      <c r="DC128" s="13">
        <v>48</v>
      </c>
      <c r="DD128" s="19">
        <f t="shared" ref="DD128:DD133" si="479">DB128/ABS(DA128)</f>
        <v>0.18554056865926855</v>
      </c>
      <c r="DE128" s="12">
        <f>-163.77*10^4/10^6*("2008/09/30"-"2008/05/01")*24/'[6]classess-1'!$I$24</f>
        <v>-4242.8650395176674</v>
      </c>
      <c r="DF128" s="12">
        <f>SQRT((1/[7]Classess!$I$24)^2*(69.57*10^4/10^6*("2008/09/30"-"2008/05/01")*24)^2+(-DE128/([7]Classess!$I$24)^2)^2*([7]Classess!$J$24)^2)</f>
        <v>1877.4148698526124</v>
      </c>
      <c r="DG128" s="13">
        <v>48</v>
      </c>
      <c r="DH128" s="19">
        <f t="shared" ref="DH128:DH133" si="480">DF128/ABS(DE128)</f>
        <v>0.44248752962126708</v>
      </c>
      <c r="DI128" s="19">
        <f>DE128-DA128</f>
        <v>775.04764219202571</v>
      </c>
      <c r="DJ128" s="12">
        <f t="shared" ref="DJ128:DJ133" si="481">SQRT(((DC128-1)*DB128^2+(DG128-1)*DF128^2)/(DC128+DG128-2))</f>
        <v>1481.8057733278454</v>
      </c>
      <c r="DK128" s="72">
        <f t="shared" ref="DK128:DK133" si="482">(((DC128+DG128)/(DC128*DG128))*(((DC128-1)*DB128^2)+(DG128-1)*DF128^2)/(DC128+DG128-2))</f>
        <v>91489.51457782225</v>
      </c>
      <c r="DL128" s="72">
        <f t="shared" ref="DL128:DL133" si="483">(DB128^2/DC128)+(DF128^2/DG128)</f>
        <v>91489.51457782225</v>
      </c>
      <c r="DM128" s="15" t="s">
        <v>47</v>
      </c>
      <c r="DN128" s="19">
        <f>109.81*10^4/10^6*("2008/09/30"-"2008/05/01")/'[1]classes-1'!$I$67</f>
        <v>214.33232862768773</v>
      </c>
      <c r="DO128" s="12">
        <f>SQRT((1/[2]Classes!$I$67)^2*(60.7476635514*10^4/10^6*("2008/09/30"-"2008/05/01"))^2+(-DN128/([2]Classes!$I$67)^2)^2*([2]Classes!$J$67)^2)</f>
        <v>127.05286261842672</v>
      </c>
      <c r="DP128" s="13">
        <v>18</v>
      </c>
      <c r="DQ128" s="19">
        <f>DO128/ABS(DN128)</f>
        <v>0.59278440836206103</v>
      </c>
      <c r="DR128" s="19">
        <f>47.9*10^4/10^6*("2008/09/30"-"2008/05/01")/'[1]classes-1'!$I$68</f>
        <v>74.807487646490884</v>
      </c>
      <c r="DS128" s="12">
        <f>SQRT((1/[2]Classes!$I$68)^2*(9.3457943925234*10^4/10^6*("2008/09/30"-"2008/05/01"))^2+(-DR128/([2]Classes!$I$68)^2)^2*([2]Classes!$J$68)^2)</f>
        <v>46.844140538456692</v>
      </c>
      <c r="DT128" s="13">
        <v>18</v>
      </c>
      <c r="DU128" s="19">
        <f t="shared" ref="DU128:DU133" si="484">DS128/ABS(DR128)</f>
        <v>0.62619587974699331</v>
      </c>
      <c r="DV128" s="19">
        <f>DR128-DN128</f>
        <v>-139.52484098119686</v>
      </c>
      <c r="DW128" s="12">
        <f t="shared" ref="DW128:DW171" si="485">SQRT(((DP128-1)*DO128^2+(DT128-1)*DS128^2)/(DP128+DT128-2))</f>
        <v>95.751771269056675</v>
      </c>
      <c r="DX128" s="72">
        <f t="shared" si="345"/>
        <v>1018.711300129083</v>
      </c>
      <c r="DY128" s="72">
        <f t="shared" si="346"/>
        <v>1018.711300129083</v>
      </c>
      <c r="DZ128" s="15" t="s">
        <v>47</v>
      </c>
      <c r="EA128" s="19">
        <f>297.948717948718*10^4/10^9*("2008/09/30"-"2008/05/01")/'[3]classess-1'!$I$28</f>
        <v>0.61975925336567961</v>
      </c>
      <c r="EB128" s="19">
        <f>SQRT((1/[5]Classess!$I$28)^2*(143.589743589744*10^4/10^9*("2008/09/30"-"2008/05/01"))^2+(-EA128/([5]Classess!$I$28)^2)^2*([5]Classess!$J$28)^2)</f>
        <v>0.31937151793647711</v>
      </c>
      <c r="EC128" s="72">
        <v>18</v>
      </c>
      <c r="ED128" s="52">
        <f t="shared" ref="ED128:ED132" si="486">EB128/ABS(EA128)</f>
        <v>0.51531544902652182</v>
      </c>
      <c r="EE128" s="19">
        <f>269.230769230769*10^4/10^9*("2008/09/30"-"2008/05/01")/'[3]classess-1'!$I$23</f>
        <v>0.85760492742086802</v>
      </c>
      <c r="EF128" s="19">
        <f>SQRT((1/[5]Classess!$I$23)^2*(143.589743589744*10^4/10^9*("2008/09/30"-"2008/05/01"))^2+(-EE128/([5]Classess!$I$23)^2)^2*([5]Classess!$I$23)^2)</f>
        <v>1.8545293886198424</v>
      </c>
      <c r="EG128" s="13">
        <v>18</v>
      </c>
      <c r="EH128" s="52">
        <f t="shared" ref="EH128:EH133" si="487">EF128/ABS(EE128)</f>
        <v>2.1624518811909015</v>
      </c>
      <c r="EI128" s="19">
        <f>EE128-EA128</f>
        <v>0.23784567405518842</v>
      </c>
      <c r="EJ128" s="12">
        <f t="shared" si="366"/>
        <v>1.3306534897793145</v>
      </c>
      <c r="EK128" s="19">
        <f t="shared" si="367"/>
        <v>0.19673763442909642</v>
      </c>
      <c r="EL128" s="19">
        <f t="shared" si="368"/>
        <v>0.19673763442909645</v>
      </c>
      <c r="EM128" s="12" t="s">
        <v>39</v>
      </c>
      <c r="EN128" s="12">
        <v>-7.08</v>
      </c>
      <c r="EO128" s="50">
        <f t="shared" si="398"/>
        <v>2.8850745031591569</v>
      </c>
      <c r="EP128" s="13">
        <v>18</v>
      </c>
      <c r="ER128" s="12">
        <v>-15.22</v>
      </c>
      <c r="ES128" s="50">
        <f t="shared" si="399"/>
        <v>3.4521098944099355</v>
      </c>
      <c r="ET128" s="13">
        <v>18</v>
      </c>
      <c r="EV128" s="19">
        <f t="shared" ref="EV128:EV133" si="488">ER128-EN128</f>
        <v>-8.14</v>
      </c>
      <c r="EW128" s="12">
        <f t="shared" ref="EW128:EW146" si="489">SQRT(((EP128-1)*EO128^2+(ET128-1)*ES128^2)/(EP128+ET128-2))</f>
        <v>3.1812511384565378</v>
      </c>
      <c r="EX128" s="19">
        <f t="shared" ref="EX128:EX146" si="490">(((EP128+ET128)/(EP128*ET128))*(((EP128-1)*EO128^2)+(ET128-1)*ES128^2)/(EP128+ET128-2))</f>
        <v>1.1244843117701129</v>
      </c>
      <c r="EY128" s="19">
        <f t="shared" ref="EY128:EY146" si="491">(EO128^2/EP128)+(ES128^2/ET128)</f>
        <v>1.1244843117701131</v>
      </c>
      <c r="FB128" s="12" t="s">
        <v>37</v>
      </c>
      <c r="FC128" s="12" t="s">
        <v>37</v>
      </c>
      <c r="FD128" s="11" t="s">
        <v>37</v>
      </c>
      <c r="FE128" s="12" t="s">
        <v>37</v>
      </c>
      <c r="FF128" s="20" t="s">
        <v>37</v>
      </c>
      <c r="FG128" s="11" t="s">
        <v>37</v>
      </c>
      <c r="FI128" s="12" t="s">
        <v>37</v>
      </c>
      <c r="FJ128" s="12" t="s">
        <v>37</v>
      </c>
      <c r="FK128" s="11" t="s">
        <v>37</v>
      </c>
      <c r="FL128" s="13" t="s">
        <v>37</v>
      </c>
      <c r="FM128" s="11" t="s">
        <v>37</v>
      </c>
      <c r="FN128" s="11" t="s">
        <v>37</v>
      </c>
      <c r="FP128" s="12" t="s">
        <v>37</v>
      </c>
      <c r="FQ128" s="12" t="s">
        <v>37</v>
      </c>
      <c r="FR128" s="11" t="s">
        <v>37</v>
      </c>
      <c r="FS128" s="13" t="s">
        <v>37</v>
      </c>
      <c r="FT128" s="11" t="s">
        <v>37</v>
      </c>
      <c r="FU128" s="11" t="s">
        <v>37</v>
      </c>
      <c r="FW128" s="12" t="s">
        <v>37</v>
      </c>
      <c r="FX128" s="12" t="s">
        <v>37</v>
      </c>
      <c r="FY128" s="11" t="s">
        <v>37</v>
      </c>
      <c r="FZ128" s="13" t="s">
        <v>37</v>
      </c>
      <c r="GA128" s="11" t="s">
        <v>37</v>
      </c>
      <c r="GB128" s="11" t="s">
        <v>37</v>
      </c>
      <c r="GO128" s="12" t="s">
        <v>660</v>
      </c>
      <c r="GP128" s="12" t="s">
        <v>330</v>
      </c>
      <c r="GQ128" s="12">
        <v>16.48</v>
      </c>
      <c r="GR128" s="50">
        <f t="shared" ref="GR128:GR133" si="492">ABS(GQ128)*GT$474</f>
        <v>1.5743271082727199</v>
      </c>
      <c r="GS128" s="13">
        <v>48</v>
      </c>
      <c r="GU128" s="12">
        <v>17.12</v>
      </c>
      <c r="GV128" s="50">
        <f t="shared" ref="GV128:GV133" si="493">ABS(GU128)*GX$474</f>
        <v>1.8221874410519563</v>
      </c>
      <c r="GW128" s="13">
        <v>48</v>
      </c>
      <c r="GY128" s="19">
        <f t="shared" ref="GY128:GY134" si="494">LN(GU128/GQ128)</f>
        <v>3.8099846232270383E-2</v>
      </c>
      <c r="GZ128" s="19">
        <f t="shared" ref="GZ128:GZ133" si="495">GV128^2/(GW128*GU128^2)+GR128^2/(GS128*GQ128^2)</f>
        <v>4.261366097393375E-4</v>
      </c>
      <c r="IK128" s="12" t="s">
        <v>37</v>
      </c>
      <c r="IL128" s="12" t="s">
        <v>37</v>
      </c>
      <c r="IM128" s="12" t="s">
        <v>37</v>
      </c>
      <c r="IO128" s="12" t="s">
        <v>37</v>
      </c>
      <c r="IP128" s="12" t="s">
        <v>37</v>
      </c>
      <c r="IQ128" s="12" t="s">
        <v>37</v>
      </c>
      <c r="IW128" s="12" t="s">
        <v>37</v>
      </c>
      <c r="IX128" s="12" t="s">
        <v>37</v>
      </c>
      <c r="IY128" s="13" t="s">
        <v>37</v>
      </c>
      <c r="JA128" s="12" t="s">
        <v>37</v>
      </c>
      <c r="JB128" s="12" t="s">
        <v>37</v>
      </c>
      <c r="JC128" s="13" t="s">
        <v>37</v>
      </c>
      <c r="JH128" s="12" t="s">
        <v>37</v>
      </c>
      <c r="JI128" s="12" t="s">
        <v>37</v>
      </c>
      <c r="JJ128" s="13" t="s">
        <v>37</v>
      </c>
      <c r="JL128" s="12" t="s">
        <v>37</v>
      </c>
      <c r="JM128" s="12" t="s">
        <v>37</v>
      </c>
      <c r="JN128" s="12" t="s">
        <v>37</v>
      </c>
      <c r="JS128" s="12" t="s">
        <v>37</v>
      </c>
      <c r="JT128" s="12" t="s">
        <v>37</v>
      </c>
      <c r="JU128" s="13" t="s">
        <v>37</v>
      </c>
      <c r="JW128" s="12" t="s">
        <v>37</v>
      </c>
      <c r="JX128" s="12" t="s">
        <v>37</v>
      </c>
      <c r="JY128" s="12" t="s">
        <v>37</v>
      </c>
      <c r="KE128" s="11" t="s">
        <v>37</v>
      </c>
      <c r="KF128" s="11" t="s">
        <v>37</v>
      </c>
      <c r="KG128" s="13" t="s">
        <v>37</v>
      </c>
      <c r="KH128" s="11" t="s">
        <v>37</v>
      </c>
      <c r="KI128" s="11" t="s">
        <v>37</v>
      </c>
      <c r="KJ128" s="11" t="s">
        <v>37</v>
      </c>
      <c r="KM128" s="12" t="s">
        <v>37</v>
      </c>
      <c r="KN128" s="12" t="s">
        <v>37</v>
      </c>
      <c r="KO128" s="11" t="s">
        <v>37</v>
      </c>
      <c r="KQ128" s="12" t="s">
        <v>37</v>
      </c>
      <c r="KR128" s="12" t="s">
        <v>37</v>
      </c>
      <c r="KS128" s="13" t="s">
        <v>37</v>
      </c>
      <c r="KX128" s="12" t="s">
        <v>37</v>
      </c>
      <c r="KY128" s="12" t="s">
        <v>37</v>
      </c>
      <c r="KZ128" s="13" t="s">
        <v>37</v>
      </c>
      <c r="LB128" s="12" t="s">
        <v>37</v>
      </c>
      <c r="LC128" s="12" t="s">
        <v>37</v>
      </c>
      <c r="LD128" s="13" t="s">
        <v>37</v>
      </c>
      <c r="LI128" s="12" t="s">
        <v>37</v>
      </c>
      <c r="LJ128" s="12" t="s">
        <v>37</v>
      </c>
      <c r="LK128" s="12" t="s">
        <v>37</v>
      </c>
      <c r="LM128" s="12" t="s">
        <v>37</v>
      </c>
      <c r="LN128" s="12" t="s">
        <v>37</v>
      </c>
      <c r="LO128" s="12" t="s">
        <v>37</v>
      </c>
      <c r="LU128" s="12" t="s">
        <v>37</v>
      </c>
      <c r="LV128" s="12" t="s">
        <v>37</v>
      </c>
      <c r="LW128" s="13" t="s">
        <v>37</v>
      </c>
      <c r="LY128" s="12" t="s">
        <v>37</v>
      </c>
      <c r="LZ128" s="12" t="s">
        <v>37</v>
      </c>
      <c r="MA128" s="12" t="s">
        <v>37</v>
      </c>
      <c r="MF128" s="12" t="s">
        <v>37</v>
      </c>
      <c r="MG128" s="12" t="s">
        <v>37</v>
      </c>
      <c r="MH128" s="12" t="s">
        <v>37</v>
      </c>
      <c r="MJ128" s="12" t="s">
        <v>37</v>
      </c>
      <c r="MK128" s="12" t="s">
        <v>37</v>
      </c>
      <c r="ML128" s="12" t="s">
        <v>37</v>
      </c>
      <c r="MQ128" s="12" t="s">
        <v>37</v>
      </c>
      <c r="MR128" s="12" t="s">
        <v>37</v>
      </c>
      <c r="MS128" s="12" t="s">
        <v>37</v>
      </c>
      <c r="MU128" s="12" t="s">
        <v>37</v>
      </c>
      <c r="MV128" s="12" t="s">
        <v>37</v>
      </c>
      <c r="MW128" s="12" t="s">
        <v>37</v>
      </c>
      <c r="NC128" s="12" t="s">
        <v>37</v>
      </c>
      <c r="ND128" s="12" t="s">
        <v>37</v>
      </c>
      <c r="NE128" s="13" t="s">
        <v>37</v>
      </c>
      <c r="NG128" s="12" t="s">
        <v>37</v>
      </c>
      <c r="NH128" s="12" t="s">
        <v>37</v>
      </c>
      <c r="NI128" s="13" t="s">
        <v>37</v>
      </c>
      <c r="NO128" s="12" t="s">
        <v>37</v>
      </c>
      <c r="NP128" s="12" t="s">
        <v>37</v>
      </c>
      <c r="NQ128" s="13" t="s">
        <v>37</v>
      </c>
      <c r="NS128" s="12" t="s">
        <v>37</v>
      </c>
      <c r="NT128" s="12" t="s">
        <v>37</v>
      </c>
      <c r="NU128" s="13" t="s">
        <v>37</v>
      </c>
      <c r="OA128" s="12" t="s">
        <v>37</v>
      </c>
      <c r="OB128" s="12" t="s">
        <v>37</v>
      </c>
      <c r="OC128" s="13" t="s">
        <v>37</v>
      </c>
      <c r="OE128" s="12" t="s">
        <v>37</v>
      </c>
      <c r="OF128" s="12" t="s">
        <v>37</v>
      </c>
      <c r="OG128" s="13" t="s">
        <v>37</v>
      </c>
      <c r="OM128" s="12" t="s">
        <v>37</v>
      </c>
      <c r="ON128" s="12" t="s">
        <v>37</v>
      </c>
      <c r="OO128" s="12" t="s">
        <v>37</v>
      </c>
      <c r="OP128" s="12" t="s">
        <v>37</v>
      </c>
      <c r="OQ128" s="12" t="s">
        <v>37</v>
      </c>
      <c r="OR128" s="12" t="s">
        <v>37</v>
      </c>
      <c r="OS128" s="12"/>
      <c r="OT128" s="12"/>
      <c r="OW128" s="12" t="s">
        <v>37</v>
      </c>
      <c r="OX128" s="12" t="s">
        <v>37</v>
      </c>
      <c r="OY128" s="13" t="s">
        <v>37</v>
      </c>
      <c r="OZ128" s="12" t="s">
        <v>37</v>
      </c>
      <c r="PA128" s="12" t="s">
        <v>37</v>
      </c>
      <c r="PB128" s="13" t="s">
        <v>37</v>
      </c>
      <c r="PG128" s="11" t="s">
        <v>37</v>
      </c>
      <c r="PH128" s="11" t="s">
        <v>37</v>
      </c>
      <c r="PI128" s="13" t="s">
        <v>37</v>
      </c>
      <c r="PJ128" s="11" t="s">
        <v>37</v>
      </c>
      <c r="PK128" s="11" t="s">
        <v>37</v>
      </c>
      <c r="PL128" s="13" t="s">
        <v>37</v>
      </c>
      <c r="PQ128" s="12" t="s">
        <v>37</v>
      </c>
      <c r="PR128" s="12" t="s">
        <v>37</v>
      </c>
      <c r="PS128" s="12" t="s">
        <v>37</v>
      </c>
      <c r="PT128" s="12" t="s">
        <v>37</v>
      </c>
      <c r="PU128" s="12" t="s">
        <v>37</v>
      </c>
      <c r="PV128" s="12" t="s">
        <v>37</v>
      </c>
      <c r="PW128" s="12"/>
      <c r="PX128" s="12"/>
      <c r="PZ128" s="12" t="s">
        <v>37</v>
      </c>
      <c r="QA128" s="12" t="s">
        <v>37</v>
      </c>
      <c r="QB128" s="11" t="s">
        <v>37</v>
      </c>
      <c r="QD128" s="12" t="s">
        <v>37</v>
      </c>
      <c r="QE128" s="12" t="s">
        <v>37</v>
      </c>
      <c r="QF128" s="12" t="s">
        <v>37</v>
      </c>
      <c r="QK128" s="12" t="s">
        <v>37</v>
      </c>
      <c r="QL128" s="12" t="s">
        <v>37</v>
      </c>
      <c r="QM128" s="12" t="s">
        <v>37</v>
      </c>
      <c r="QN128" s="12" t="s">
        <v>37</v>
      </c>
      <c r="QO128" s="12" t="s">
        <v>37</v>
      </c>
      <c r="QP128" s="12" t="s">
        <v>37</v>
      </c>
      <c r="QQ128" s="12"/>
      <c r="QR128" s="12"/>
      <c r="QU128" s="12" t="s">
        <v>37</v>
      </c>
      <c r="QV128" s="12" t="s">
        <v>37</v>
      </c>
      <c r="QW128" s="12" t="s">
        <v>37</v>
      </c>
      <c r="QX128" s="12" t="s">
        <v>37</v>
      </c>
      <c r="QY128" s="12" t="s">
        <v>37</v>
      </c>
      <c r="QZ128" s="12" t="s">
        <v>37</v>
      </c>
      <c r="RC128" s="12" t="s">
        <v>37</v>
      </c>
      <c r="RD128" s="12" t="s">
        <v>37</v>
      </c>
      <c r="RE128" s="13" t="s">
        <v>37</v>
      </c>
      <c r="RF128" s="12" t="s">
        <v>37</v>
      </c>
      <c r="RG128" s="12" t="s">
        <v>37</v>
      </c>
      <c r="RH128" s="13" t="s">
        <v>37</v>
      </c>
      <c r="RK128" s="12" t="s">
        <v>37</v>
      </c>
      <c r="RL128" s="12" t="s">
        <v>37</v>
      </c>
      <c r="RM128" s="11" t="s">
        <v>37</v>
      </c>
      <c r="RN128" s="12" t="s">
        <v>37</v>
      </c>
      <c r="RO128" s="12" t="s">
        <v>37</v>
      </c>
      <c r="RP128" s="11" t="s">
        <v>37</v>
      </c>
      <c r="RS128" s="12" t="s">
        <v>37</v>
      </c>
      <c r="RT128" s="12" t="s">
        <v>37</v>
      </c>
      <c r="RU128" s="12" t="s">
        <v>37</v>
      </c>
      <c r="RV128" s="12" t="s">
        <v>37</v>
      </c>
      <c r="RW128" s="12" t="s">
        <v>37</v>
      </c>
      <c r="RX128" s="12" t="s">
        <v>37</v>
      </c>
      <c r="SA128" s="12" t="s">
        <v>37</v>
      </c>
      <c r="SB128" s="12" t="s">
        <v>37</v>
      </c>
      <c r="SC128" s="12" t="s">
        <v>37</v>
      </c>
      <c r="SD128" s="12" t="s">
        <v>37</v>
      </c>
      <c r="SE128" s="12" t="s">
        <v>37</v>
      </c>
      <c r="SF128" s="12" t="s">
        <v>37</v>
      </c>
      <c r="SI128" s="12" t="s">
        <v>37</v>
      </c>
      <c r="SJ128" s="12" t="s">
        <v>37</v>
      </c>
      <c r="SK128" s="13" t="s">
        <v>37</v>
      </c>
      <c r="SM128" s="12" t="s">
        <v>37</v>
      </c>
      <c r="SN128" s="12" t="s">
        <v>37</v>
      </c>
      <c r="SO128" s="13" t="s">
        <v>37</v>
      </c>
      <c r="SU128" s="12" t="s">
        <v>37</v>
      </c>
      <c r="SV128" s="12" t="s">
        <v>37</v>
      </c>
      <c r="SW128" s="11" t="s">
        <v>37</v>
      </c>
      <c r="SX128" s="12" t="s">
        <v>37</v>
      </c>
      <c r="SY128" s="12" t="s">
        <v>37</v>
      </c>
      <c r="SZ128" s="11" t="s">
        <v>37</v>
      </c>
      <c r="TE128" s="12" t="s">
        <v>37</v>
      </c>
      <c r="TF128" s="12" t="s">
        <v>37</v>
      </c>
      <c r="TG128" s="11" t="s">
        <v>37</v>
      </c>
      <c r="TH128" s="12" t="s">
        <v>37</v>
      </c>
      <c r="TI128" s="12" t="s">
        <v>37</v>
      </c>
      <c r="TJ128" s="11" t="s">
        <v>37</v>
      </c>
      <c r="TO128" s="12" t="s">
        <v>37</v>
      </c>
      <c r="TP128" s="12" t="s">
        <v>37</v>
      </c>
      <c r="TQ128" s="11" t="s">
        <v>37</v>
      </c>
      <c r="TR128" s="12" t="s">
        <v>37</v>
      </c>
      <c r="TS128" s="12" t="s">
        <v>37</v>
      </c>
      <c r="TT128" s="11" t="s">
        <v>37</v>
      </c>
      <c r="TY128" s="12" t="s">
        <v>37</v>
      </c>
      <c r="TZ128" s="12" t="s">
        <v>37</v>
      </c>
      <c r="UA128" s="12" t="s">
        <v>37</v>
      </c>
      <c r="UB128" s="12" t="s">
        <v>37</v>
      </c>
      <c r="UC128" s="12" t="s">
        <v>37</v>
      </c>
      <c r="UD128" s="12" t="s">
        <v>37</v>
      </c>
      <c r="UE128" s="12"/>
      <c r="UF128" s="12"/>
      <c r="UI128" s="12" t="s">
        <v>37</v>
      </c>
      <c r="UJ128" s="12" t="s">
        <v>37</v>
      </c>
      <c r="UK128" s="12" t="s">
        <v>37</v>
      </c>
      <c r="UL128" s="12" t="s">
        <v>37</v>
      </c>
      <c r="UM128" s="12" t="s">
        <v>37</v>
      </c>
      <c r="UN128" s="12" t="s">
        <v>37</v>
      </c>
      <c r="UO128" s="12"/>
      <c r="UP128" s="12"/>
      <c r="UR128" s="12" t="s">
        <v>37</v>
      </c>
      <c r="US128" s="12" t="s">
        <v>37</v>
      </c>
      <c r="UT128" s="12" t="s">
        <v>37</v>
      </c>
      <c r="UU128" s="12" t="s">
        <v>37</v>
      </c>
      <c r="UV128" s="12" t="s">
        <v>37</v>
      </c>
      <c r="UW128" s="12" t="s">
        <v>37</v>
      </c>
      <c r="UX128" s="12"/>
      <c r="UY128" s="12"/>
      <c r="VB128" s="12" t="s">
        <v>37</v>
      </c>
      <c r="VC128" s="12" t="s">
        <v>37</v>
      </c>
      <c r="VD128" s="12" t="s">
        <v>37</v>
      </c>
      <c r="VE128" s="12" t="s">
        <v>37</v>
      </c>
      <c r="VF128" s="12" t="s">
        <v>37</v>
      </c>
      <c r="VG128" s="12" t="s">
        <v>37</v>
      </c>
      <c r="VI128" s="12" t="s">
        <v>37</v>
      </c>
      <c r="VJ128" s="12" t="s">
        <v>37</v>
      </c>
      <c r="VK128" s="12" t="s">
        <v>37</v>
      </c>
      <c r="VL128" s="12" t="s">
        <v>37</v>
      </c>
      <c r="VM128" s="12" t="s">
        <v>37</v>
      </c>
      <c r="VN128" s="12" t="s">
        <v>37</v>
      </c>
      <c r="VQ128" s="13" t="s">
        <v>37</v>
      </c>
      <c r="VR128" s="13" t="s">
        <v>37</v>
      </c>
      <c r="VS128" s="13" t="s">
        <v>37</v>
      </c>
      <c r="VT128" s="13" t="s">
        <v>37</v>
      </c>
      <c r="VU128" s="13" t="s">
        <v>37</v>
      </c>
      <c r="VV128" s="13" t="s">
        <v>37</v>
      </c>
      <c r="WA128" s="13" t="s">
        <v>37</v>
      </c>
      <c r="WB128" s="13" t="s">
        <v>37</v>
      </c>
      <c r="WC128" s="13" t="s">
        <v>37</v>
      </c>
      <c r="WD128" s="13" t="s">
        <v>37</v>
      </c>
      <c r="WE128" s="13" t="s">
        <v>37</v>
      </c>
      <c r="WF128" s="13" t="s">
        <v>37</v>
      </c>
    </row>
    <row r="129" spans="1:604" ht="18" customHeight="1" x14ac:dyDescent="0.4">
      <c r="A129" s="11">
        <v>29</v>
      </c>
      <c r="B129" s="16" t="s">
        <v>225</v>
      </c>
      <c r="C129" s="12" t="s">
        <v>26</v>
      </c>
      <c r="D129" s="12" t="s">
        <v>54</v>
      </c>
      <c r="E129" s="40">
        <v>1.25</v>
      </c>
      <c r="F129" s="14">
        <v>0</v>
      </c>
      <c r="G129" s="14">
        <v>0</v>
      </c>
      <c r="H129" s="12" t="s">
        <v>123</v>
      </c>
      <c r="I129" s="29">
        <v>61.783000000000001</v>
      </c>
      <c r="J129" s="29">
        <v>24.3</v>
      </c>
      <c r="K129" s="12" t="s">
        <v>706</v>
      </c>
      <c r="L129" s="12" t="s">
        <v>709</v>
      </c>
      <c r="M129" s="13" t="s">
        <v>37</v>
      </c>
      <c r="N129" s="14">
        <v>3.5</v>
      </c>
      <c r="O129" s="14">
        <v>700</v>
      </c>
      <c r="P129" s="14" t="s">
        <v>84</v>
      </c>
      <c r="Q129" s="75">
        <v>47</v>
      </c>
      <c r="R129" s="11" t="s">
        <v>1000</v>
      </c>
      <c r="S129" s="12" t="s">
        <v>85</v>
      </c>
      <c r="T129" s="12" t="s">
        <v>473</v>
      </c>
      <c r="U129" s="12" t="s">
        <v>158</v>
      </c>
      <c r="V129" s="12" t="s">
        <v>275</v>
      </c>
      <c r="W129" s="23" t="s">
        <v>228</v>
      </c>
      <c r="X129" s="12" t="s">
        <v>280</v>
      </c>
      <c r="Y129" s="12" t="s">
        <v>69</v>
      </c>
      <c r="Z129" s="12" t="s">
        <v>37</v>
      </c>
      <c r="AB129" s="12" t="s">
        <v>37</v>
      </c>
      <c r="AE129" s="12" t="s">
        <v>37</v>
      </c>
      <c r="AH129" s="12" t="s">
        <v>37</v>
      </c>
      <c r="AK129" s="12" t="s">
        <v>37</v>
      </c>
      <c r="AL129" s="32" t="s">
        <v>530</v>
      </c>
      <c r="AM129" s="12" t="s">
        <v>317</v>
      </c>
      <c r="AN129" s="32" t="s">
        <v>880</v>
      </c>
      <c r="AO129" s="12" t="s">
        <v>37</v>
      </c>
      <c r="AP129" s="12" t="s">
        <v>108</v>
      </c>
      <c r="AQ129" s="12" t="s">
        <v>975</v>
      </c>
      <c r="AT129" s="12" t="s">
        <v>326</v>
      </c>
      <c r="AU129" s="12" t="s">
        <v>326</v>
      </c>
      <c r="AV129" s="13" t="s">
        <v>326</v>
      </c>
      <c r="AX129" s="12" t="s">
        <v>326</v>
      </c>
      <c r="AY129" s="12" t="s">
        <v>326</v>
      </c>
      <c r="AZ129" s="13" t="s">
        <v>326</v>
      </c>
      <c r="BE129" s="12" t="s">
        <v>326</v>
      </c>
      <c r="BF129" s="12" t="s">
        <v>326</v>
      </c>
      <c r="BG129" s="12" t="s">
        <v>326</v>
      </c>
      <c r="BI129" s="12" t="s">
        <v>326</v>
      </c>
      <c r="BJ129" s="12" t="s">
        <v>326</v>
      </c>
      <c r="BK129" s="12" t="s">
        <v>326</v>
      </c>
      <c r="BP129" s="12" t="s">
        <v>37</v>
      </c>
      <c r="BQ129" s="12" t="s">
        <v>37</v>
      </c>
      <c r="BR129" s="13" t="s">
        <v>37</v>
      </c>
      <c r="BT129" s="12" t="s">
        <v>37</v>
      </c>
      <c r="BU129" s="12" t="s">
        <v>37</v>
      </c>
      <c r="BV129" s="12" t="s">
        <v>37</v>
      </c>
      <c r="BZ129" s="12" t="s">
        <v>581</v>
      </c>
      <c r="CA129" s="12">
        <f t="shared" ref="CA129:CA133" si="496">-(CN129-DA129)</f>
        <v>-30804.409295502097</v>
      </c>
      <c r="CB129" s="12">
        <f t="shared" ref="CB129:CB133" si="497">SQRT(CO129^2+DB129^2)</f>
        <v>7508.6897887327168</v>
      </c>
      <c r="CC129" s="13">
        <v>48</v>
      </c>
      <c r="CD129" s="19">
        <f t="shared" si="467"/>
        <v>0.24375373397694391</v>
      </c>
      <c r="CE129" s="12">
        <f t="shared" ref="CE129:CE133" si="498">-(CR129-DE129)</f>
        <v>-22424.619825270362</v>
      </c>
      <c r="CF129" s="12">
        <f t="shared" ref="CF129:CF132" si="499">SQRT(CS129^2+DF129^2)</f>
        <v>7078.0868325420652</v>
      </c>
      <c r="CG129" s="13">
        <v>48</v>
      </c>
      <c r="CH129" s="19">
        <f t="shared" si="468"/>
        <v>0.31563910058201972</v>
      </c>
      <c r="CI129" s="75">
        <f>CE129-CA129</f>
        <v>8379.7894702317353</v>
      </c>
      <c r="CJ129" s="12">
        <f t="shared" si="470"/>
        <v>7296.565478100787</v>
      </c>
      <c r="CK129" s="72">
        <f t="shared" si="471"/>
        <v>2218327.8240088401</v>
      </c>
      <c r="CL129" s="72">
        <f t="shared" si="472"/>
        <v>2218327.8240088401</v>
      </c>
      <c r="CM129" s="12" t="s">
        <v>581</v>
      </c>
      <c r="CN129" s="12">
        <f>517.87*10^4/10^6*("2008/09/30"-"2008/05/01")*24/'[6]classess-1'!$I$75</f>
        <v>25786.496613792402</v>
      </c>
      <c r="CO129" s="12">
        <f>SQRT((1/[7]Classess!$I$75)^2*(139.13*10^4/10^6*("2008/09/30"-"2008/05/01")*24)^2+(-CN129/([7]Classess!$I$75)^2)^2*([7]Classess!$J$75)^2)</f>
        <v>7450.7457504082913</v>
      </c>
      <c r="CP129" s="13">
        <v>48</v>
      </c>
      <c r="CQ129" s="19">
        <f t="shared" si="473"/>
        <v>0.28893982234186544</v>
      </c>
      <c r="CR129" s="12">
        <f>803.86*10^4/10^6*("2008/09/30"-"2008/05/01")*24/'[6]classess-1'!$I$76</f>
        <v>34101.631064272638</v>
      </c>
      <c r="CS129" s="12">
        <f>SQRT((1/[7]Classess!$I$76)^2*(154.49*10^4/10^6*("2008/09/30"-"2008/05/01")*24)^2+(-CR129/([7]Classess!$I$76)^2)^2*([7]Classess!$J$76)^2)</f>
        <v>6764.0540443406962</v>
      </c>
      <c r="CT129" s="13">
        <v>48</v>
      </c>
      <c r="CU129" s="19">
        <f t="shared" si="474"/>
        <v>0.19834986870839774</v>
      </c>
      <c r="CV129" s="75">
        <f t="shared" si="475"/>
        <v>8315.1344504802364</v>
      </c>
      <c r="CW129" s="12">
        <f t="shared" si="476"/>
        <v>7115.6882784446416</v>
      </c>
      <c r="CX129" s="72">
        <f t="shared" si="477"/>
        <v>2109709.1531664361</v>
      </c>
      <c r="CY129" s="72">
        <f t="shared" si="478"/>
        <v>2109709.1531664366</v>
      </c>
      <c r="CZ129" s="12" t="s">
        <v>581</v>
      </c>
      <c r="DA129" s="12">
        <f>-349.28*10^4/10^6*("2008/09/30"-"2008/05/01")*24/'[6]classess-1'!$I$23</f>
        <v>-5017.9126817096931</v>
      </c>
      <c r="DB129" s="12">
        <f>DB128</f>
        <v>931.02637244697166</v>
      </c>
      <c r="DC129" s="13">
        <v>48</v>
      </c>
      <c r="DD129" s="19">
        <f t="shared" si="479"/>
        <v>0.18554056865926855</v>
      </c>
      <c r="DE129" s="12">
        <f>450.72*10^4/10^6*("2008/09/30"-"2008/05/01")*24/'[6]classess-1'!$I$24</f>
        <v>11677.011239002279</v>
      </c>
      <c r="DF129" s="12">
        <f>SQRT((1/[7]Classess!$I$24)^2*(57.97*10^4/10^6*("2008/09/30"-"2008/05/01")*24)^2+(-DE129/([7]Classess!$I$24)^2)^2*([7]Classess!$J$24)^2)</f>
        <v>2084.9187260523231</v>
      </c>
      <c r="DG129" s="13">
        <v>48</v>
      </c>
      <c r="DH129" s="19">
        <f t="shared" si="480"/>
        <v>0.17854900396845599</v>
      </c>
      <c r="DI129" s="19">
        <f>DE129-DA129</f>
        <v>16694.923920711972</v>
      </c>
      <c r="DJ129" s="12">
        <f t="shared" si="481"/>
        <v>1614.5736589631656</v>
      </c>
      <c r="DK129" s="72">
        <f t="shared" si="482"/>
        <v>108618.67084240433</v>
      </c>
      <c r="DL129" s="72">
        <f t="shared" si="483"/>
        <v>108618.67084240435</v>
      </c>
      <c r="DM129" s="15" t="s">
        <v>47</v>
      </c>
      <c r="DN129" s="19">
        <f>109.81*10^4/10^6*("2008/09/30"-"2008/05/01")/'[1]classes-1'!$I$67</f>
        <v>214.33232862768773</v>
      </c>
      <c r="DO129" s="12">
        <f>DO128</f>
        <v>127.05286261842672</v>
      </c>
      <c r="DP129" s="13">
        <v>18</v>
      </c>
      <c r="DQ129" s="19">
        <f t="shared" ref="DQ129:DQ133" si="500">DO129/ABS(DN129)</f>
        <v>0.59278440836206103</v>
      </c>
      <c r="DR129" s="19">
        <f>2.37*10^4/10^6*("2008/09/30"-"2008/05/01")/'[1]classes-1'!$I$68</f>
        <v>3.701330808396313</v>
      </c>
      <c r="DS129" s="12">
        <f>SQRT((1/[2]Classes!$I$68)^2*(7.00934579439252*10^4/10^6*("2008/09/30"-"2008/05/01"))^2+(-DR129/([2]Classes!$I$68)^2)^2*([2]Classes!$J$68)^2)</f>
        <v>11.16614647740138</v>
      </c>
      <c r="DT129" s="13">
        <v>18</v>
      </c>
      <c r="DU129" s="19">
        <f t="shared" si="484"/>
        <v>3.0167923526509566</v>
      </c>
      <c r="DV129" s="19">
        <f t="shared" ref="DV129:DV133" si="501">DR129-DN129</f>
        <v>-210.63099781929142</v>
      </c>
      <c r="DW129" s="12">
        <f t="shared" si="485"/>
        <v>90.186231561950734</v>
      </c>
      <c r="DX129" s="72">
        <f t="shared" si="345"/>
        <v>903.72848481619974</v>
      </c>
      <c r="DY129" s="72">
        <f t="shared" si="346"/>
        <v>903.72848481619985</v>
      </c>
      <c r="DZ129" s="15" t="s">
        <v>47</v>
      </c>
      <c r="EA129" s="19">
        <f>297.948717948718*10^4/10^9*("2008/09/30"-"2008/05/01")/'[3]classess-1'!$I$28</f>
        <v>0.61975925336567961</v>
      </c>
      <c r="EB129" s="19">
        <f>EB128</f>
        <v>0.31937151793647711</v>
      </c>
      <c r="EC129" s="72">
        <v>18</v>
      </c>
      <c r="ED129" s="52">
        <f t="shared" si="486"/>
        <v>0.51531544902652182</v>
      </c>
      <c r="EE129" s="19">
        <f>394.871794871795*10^4/10^9*("2008/09/30"-"2008/05/01")/'[3]classess-1'!$I$23</f>
        <v>1.2578205602172745</v>
      </c>
      <c r="EF129" s="19">
        <f>SQRT((1/[5]Classess!$I$23)^2*(129.23076923077*10^4/10^9*("2008/09/30"-"2008/05/01"))^2+(-EE129/([5]Classess!$I$23)^2)^2*([5]Classess!$J$23)^2)</f>
        <v>0.63959090137404107</v>
      </c>
      <c r="EG129" s="13">
        <v>18</v>
      </c>
      <c r="EH129" s="52">
        <f t="shared" si="487"/>
        <v>0.50849137118855714</v>
      </c>
      <c r="EI129" s="19">
        <f t="shared" ref="EI129:EI133" si="502">EE129-EA129</f>
        <v>0.6380613068515949</v>
      </c>
      <c r="EJ129" s="12">
        <f t="shared" si="366"/>
        <v>0.5055070165633252</v>
      </c>
      <c r="EK129" s="19">
        <f t="shared" si="367"/>
        <v>2.8393038199417103E-2</v>
      </c>
      <c r="EL129" s="19">
        <f t="shared" si="368"/>
        <v>2.8393038199417103E-2</v>
      </c>
      <c r="EM129" s="12" t="s">
        <v>39</v>
      </c>
      <c r="EN129" s="12">
        <v>-7.08</v>
      </c>
      <c r="EO129" s="50">
        <f t="shared" si="398"/>
        <v>2.8850745031591569</v>
      </c>
      <c r="EP129" s="13">
        <v>18</v>
      </c>
      <c r="ER129" s="12">
        <v>-36.11</v>
      </c>
      <c r="ES129" s="50">
        <f t="shared" si="399"/>
        <v>8.190255472217002</v>
      </c>
      <c r="ET129" s="13">
        <v>18</v>
      </c>
      <c r="EV129" s="19">
        <f t="shared" si="488"/>
        <v>-29.03</v>
      </c>
      <c r="EW129" s="12">
        <f t="shared" si="489"/>
        <v>6.1401929769739159</v>
      </c>
      <c r="EX129" s="19">
        <f t="shared" si="490"/>
        <v>4.1891077549421993</v>
      </c>
      <c r="EY129" s="19">
        <f t="shared" si="491"/>
        <v>4.1891077549422002</v>
      </c>
      <c r="FB129" s="12" t="s">
        <v>37</v>
      </c>
      <c r="FC129" s="12" t="s">
        <v>37</v>
      </c>
      <c r="FD129" s="11" t="s">
        <v>37</v>
      </c>
      <c r="FE129" s="12" t="s">
        <v>37</v>
      </c>
      <c r="FF129" s="20" t="s">
        <v>37</v>
      </c>
      <c r="FG129" s="11" t="s">
        <v>37</v>
      </c>
      <c r="FI129" s="12" t="s">
        <v>37</v>
      </c>
      <c r="FJ129" s="12" t="s">
        <v>37</v>
      </c>
      <c r="FK129" s="11" t="s">
        <v>37</v>
      </c>
      <c r="FL129" s="13" t="s">
        <v>37</v>
      </c>
      <c r="FM129" s="11" t="s">
        <v>37</v>
      </c>
      <c r="FN129" s="11" t="s">
        <v>37</v>
      </c>
      <c r="FP129" s="12" t="s">
        <v>37</v>
      </c>
      <c r="FQ129" s="12" t="s">
        <v>37</v>
      </c>
      <c r="FR129" s="11" t="s">
        <v>37</v>
      </c>
      <c r="FS129" s="13" t="s">
        <v>37</v>
      </c>
      <c r="FT129" s="11" t="s">
        <v>37</v>
      </c>
      <c r="FU129" s="11" t="s">
        <v>37</v>
      </c>
      <c r="FW129" s="12" t="s">
        <v>37</v>
      </c>
      <c r="FX129" s="12" t="s">
        <v>37</v>
      </c>
      <c r="FY129" s="11" t="s">
        <v>37</v>
      </c>
      <c r="FZ129" s="13" t="s">
        <v>37</v>
      </c>
      <c r="GA129" s="11" t="s">
        <v>37</v>
      </c>
      <c r="GB129" s="11" t="s">
        <v>37</v>
      </c>
      <c r="GO129" s="12" t="s">
        <v>660</v>
      </c>
      <c r="GP129" s="12" t="s">
        <v>330</v>
      </c>
      <c r="GQ129" s="12">
        <v>16.48</v>
      </c>
      <c r="GR129" s="50">
        <f t="shared" si="492"/>
        <v>1.5743271082727199</v>
      </c>
      <c r="GS129" s="13">
        <v>48</v>
      </c>
      <c r="GU129" s="12">
        <v>14.13</v>
      </c>
      <c r="GV129" s="50">
        <f t="shared" si="493"/>
        <v>1.5039432559616905</v>
      </c>
      <c r="GW129" s="13">
        <v>48</v>
      </c>
      <c r="GY129" s="19">
        <f t="shared" si="494"/>
        <v>-0.15384732778488952</v>
      </c>
      <c r="GZ129" s="19">
        <f t="shared" si="495"/>
        <v>4.2613660973933739E-4</v>
      </c>
      <c r="IK129" s="12" t="s">
        <v>37</v>
      </c>
      <c r="IL129" s="12" t="s">
        <v>37</v>
      </c>
      <c r="IM129" s="12" t="s">
        <v>37</v>
      </c>
      <c r="IO129" s="12" t="s">
        <v>37</v>
      </c>
      <c r="IP129" s="12" t="s">
        <v>37</v>
      </c>
      <c r="IQ129" s="12" t="s">
        <v>37</v>
      </c>
      <c r="IW129" s="12" t="s">
        <v>37</v>
      </c>
      <c r="IX129" s="12" t="s">
        <v>37</v>
      </c>
      <c r="IY129" s="13" t="s">
        <v>37</v>
      </c>
      <c r="JA129" s="12" t="s">
        <v>37</v>
      </c>
      <c r="JB129" s="12" t="s">
        <v>37</v>
      </c>
      <c r="JC129" s="13" t="s">
        <v>37</v>
      </c>
      <c r="JH129" s="12" t="s">
        <v>37</v>
      </c>
      <c r="JI129" s="12" t="s">
        <v>37</v>
      </c>
      <c r="JJ129" s="13" t="s">
        <v>37</v>
      </c>
      <c r="JL129" s="12" t="s">
        <v>37</v>
      </c>
      <c r="JM129" s="12" t="s">
        <v>37</v>
      </c>
      <c r="JN129" s="12" t="s">
        <v>37</v>
      </c>
      <c r="JS129" s="12" t="s">
        <v>37</v>
      </c>
      <c r="JT129" s="12" t="s">
        <v>37</v>
      </c>
      <c r="JU129" s="13" t="s">
        <v>37</v>
      </c>
      <c r="JW129" s="12" t="s">
        <v>37</v>
      </c>
      <c r="JX129" s="12" t="s">
        <v>37</v>
      </c>
      <c r="JY129" s="12" t="s">
        <v>37</v>
      </c>
      <c r="KE129" s="11" t="s">
        <v>37</v>
      </c>
      <c r="KF129" s="11" t="s">
        <v>37</v>
      </c>
      <c r="KG129" s="13" t="s">
        <v>37</v>
      </c>
      <c r="KH129" s="11" t="s">
        <v>37</v>
      </c>
      <c r="KI129" s="11" t="s">
        <v>37</v>
      </c>
      <c r="KJ129" s="11" t="s">
        <v>37</v>
      </c>
      <c r="KM129" s="12" t="s">
        <v>37</v>
      </c>
      <c r="KN129" s="12" t="s">
        <v>37</v>
      </c>
      <c r="KO129" s="11" t="s">
        <v>37</v>
      </c>
      <c r="KQ129" s="12" t="s">
        <v>37</v>
      </c>
      <c r="KR129" s="12" t="s">
        <v>37</v>
      </c>
      <c r="KS129" s="13" t="s">
        <v>37</v>
      </c>
      <c r="KX129" s="12" t="s">
        <v>37</v>
      </c>
      <c r="KY129" s="12" t="s">
        <v>37</v>
      </c>
      <c r="KZ129" s="13" t="s">
        <v>37</v>
      </c>
      <c r="LB129" s="12" t="s">
        <v>37</v>
      </c>
      <c r="LC129" s="12" t="s">
        <v>37</v>
      </c>
      <c r="LD129" s="13" t="s">
        <v>37</v>
      </c>
      <c r="LI129" s="12" t="s">
        <v>37</v>
      </c>
      <c r="LJ129" s="12" t="s">
        <v>37</v>
      </c>
      <c r="LK129" s="12" t="s">
        <v>37</v>
      </c>
      <c r="LM129" s="12" t="s">
        <v>37</v>
      </c>
      <c r="LN129" s="12" t="s">
        <v>37</v>
      </c>
      <c r="LO129" s="12" t="s">
        <v>37</v>
      </c>
      <c r="LU129" s="12" t="s">
        <v>37</v>
      </c>
      <c r="LV129" s="12" t="s">
        <v>37</v>
      </c>
      <c r="LW129" s="13" t="s">
        <v>37</v>
      </c>
      <c r="LY129" s="12" t="s">
        <v>37</v>
      </c>
      <c r="LZ129" s="12" t="s">
        <v>37</v>
      </c>
      <c r="MA129" s="12" t="s">
        <v>37</v>
      </c>
      <c r="MF129" s="12" t="s">
        <v>37</v>
      </c>
      <c r="MG129" s="12" t="s">
        <v>37</v>
      </c>
      <c r="MH129" s="12" t="s">
        <v>37</v>
      </c>
      <c r="MJ129" s="12" t="s">
        <v>37</v>
      </c>
      <c r="MK129" s="12" t="s">
        <v>37</v>
      </c>
      <c r="ML129" s="12" t="s">
        <v>37</v>
      </c>
      <c r="MQ129" s="12" t="s">
        <v>37</v>
      </c>
      <c r="MR129" s="12" t="s">
        <v>37</v>
      </c>
      <c r="MS129" s="12" t="s">
        <v>37</v>
      </c>
      <c r="MU129" s="12" t="s">
        <v>37</v>
      </c>
      <c r="MV129" s="12" t="s">
        <v>37</v>
      </c>
      <c r="MW129" s="12" t="s">
        <v>37</v>
      </c>
      <c r="NC129" s="12" t="s">
        <v>37</v>
      </c>
      <c r="ND129" s="12" t="s">
        <v>37</v>
      </c>
      <c r="NE129" s="13" t="s">
        <v>37</v>
      </c>
      <c r="NG129" s="12" t="s">
        <v>37</v>
      </c>
      <c r="NH129" s="12" t="s">
        <v>37</v>
      </c>
      <c r="NI129" s="13" t="s">
        <v>37</v>
      </c>
      <c r="NO129" s="12" t="s">
        <v>37</v>
      </c>
      <c r="NP129" s="12" t="s">
        <v>37</v>
      </c>
      <c r="NQ129" s="13" t="s">
        <v>37</v>
      </c>
      <c r="NS129" s="12" t="s">
        <v>37</v>
      </c>
      <c r="NT129" s="12" t="s">
        <v>37</v>
      </c>
      <c r="NU129" s="13" t="s">
        <v>37</v>
      </c>
      <c r="OA129" s="12" t="s">
        <v>37</v>
      </c>
      <c r="OB129" s="12" t="s">
        <v>37</v>
      </c>
      <c r="OC129" s="13" t="s">
        <v>37</v>
      </c>
      <c r="OE129" s="12" t="s">
        <v>37</v>
      </c>
      <c r="OF129" s="12" t="s">
        <v>37</v>
      </c>
      <c r="OG129" s="13" t="s">
        <v>37</v>
      </c>
      <c r="OM129" s="12" t="s">
        <v>37</v>
      </c>
      <c r="ON129" s="12" t="s">
        <v>37</v>
      </c>
      <c r="OO129" s="12" t="s">
        <v>37</v>
      </c>
      <c r="OP129" s="12" t="s">
        <v>37</v>
      </c>
      <c r="OQ129" s="12" t="s">
        <v>37</v>
      </c>
      <c r="OR129" s="12" t="s">
        <v>37</v>
      </c>
      <c r="OS129" s="12"/>
      <c r="OT129" s="12"/>
      <c r="OW129" s="12" t="s">
        <v>37</v>
      </c>
      <c r="OX129" s="12" t="s">
        <v>37</v>
      </c>
      <c r="OY129" s="13" t="s">
        <v>37</v>
      </c>
      <c r="OZ129" s="12" t="s">
        <v>37</v>
      </c>
      <c r="PA129" s="12" t="s">
        <v>37</v>
      </c>
      <c r="PB129" s="13" t="s">
        <v>37</v>
      </c>
      <c r="PG129" s="11" t="s">
        <v>37</v>
      </c>
      <c r="PH129" s="11" t="s">
        <v>37</v>
      </c>
      <c r="PI129" s="13" t="s">
        <v>37</v>
      </c>
      <c r="PJ129" s="11" t="s">
        <v>37</v>
      </c>
      <c r="PK129" s="11" t="s">
        <v>37</v>
      </c>
      <c r="PL129" s="13" t="s">
        <v>37</v>
      </c>
      <c r="PQ129" s="12" t="s">
        <v>37</v>
      </c>
      <c r="PR129" s="12" t="s">
        <v>37</v>
      </c>
      <c r="PS129" s="12" t="s">
        <v>37</v>
      </c>
      <c r="PT129" s="12" t="s">
        <v>37</v>
      </c>
      <c r="PU129" s="12" t="s">
        <v>37</v>
      </c>
      <c r="PV129" s="12" t="s">
        <v>37</v>
      </c>
      <c r="PW129" s="12"/>
      <c r="PX129" s="12"/>
      <c r="PZ129" s="12" t="s">
        <v>37</v>
      </c>
      <c r="QA129" s="12" t="s">
        <v>37</v>
      </c>
      <c r="QB129" s="11" t="s">
        <v>37</v>
      </c>
      <c r="QD129" s="12" t="s">
        <v>37</v>
      </c>
      <c r="QE129" s="12" t="s">
        <v>37</v>
      </c>
      <c r="QF129" s="12" t="s">
        <v>37</v>
      </c>
      <c r="QK129" s="12" t="s">
        <v>37</v>
      </c>
      <c r="QL129" s="12" t="s">
        <v>37</v>
      </c>
      <c r="QM129" s="12" t="s">
        <v>37</v>
      </c>
      <c r="QN129" s="12" t="s">
        <v>37</v>
      </c>
      <c r="QO129" s="12" t="s">
        <v>37</v>
      </c>
      <c r="QP129" s="12" t="s">
        <v>37</v>
      </c>
      <c r="QQ129" s="12"/>
      <c r="QR129" s="12"/>
      <c r="QU129" s="12" t="s">
        <v>37</v>
      </c>
      <c r="QV129" s="12" t="s">
        <v>37</v>
      </c>
      <c r="QW129" s="12" t="s">
        <v>37</v>
      </c>
      <c r="QX129" s="12" t="s">
        <v>37</v>
      </c>
      <c r="QY129" s="12" t="s">
        <v>37</v>
      </c>
      <c r="QZ129" s="12" t="s">
        <v>37</v>
      </c>
      <c r="RC129" s="12" t="s">
        <v>37</v>
      </c>
      <c r="RD129" s="12" t="s">
        <v>37</v>
      </c>
      <c r="RE129" s="13" t="s">
        <v>37</v>
      </c>
      <c r="RF129" s="12" t="s">
        <v>37</v>
      </c>
      <c r="RG129" s="12" t="s">
        <v>37</v>
      </c>
      <c r="RH129" s="13" t="s">
        <v>37</v>
      </c>
      <c r="RK129" s="12" t="s">
        <v>37</v>
      </c>
      <c r="RL129" s="12" t="s">
        <v>37</v>
      </c>
      <c r="RM129" s="11" t="s">
        <v>37</v>
      </c>
      <c r="RN129" s="12" t="s">
        <v>37</v>
      </c>
      <c r="RO129" s="12" t="s">
        <v>37</v>
      </c>
      <c r="RP129" s="11" t="s">
        <v>37</v>
      </c>
      <c r="RS129" s="12" t="s">
        <v>37</v>
      </c>
      <c r="RT129" s="12" t="s">
        <v>37</v>
      </c>
      <c r="RU129" s="12" t="s">
        <v>37</v>
      </c>
      <c r="RV129" s="12" t="s">
        <v>37</v>
      </c>
      <c r="RW129" s="12" t="s">
        <v>37</v>
      </c>
      <c r="RX129" s="12" t="s">
        <v>37</v>
      </c>
      <c r="SA129" s="12" t="s">
        <v>37</v>
      </c>
      <c r="SB129" s="12" t="s">
        <v>37</v>
      </c>
      <c r="SC129" s="12" t="s">
        <v>37</v>
      </c>
      <c r="SD129" s="12" t="s">
        <v>37</v>
      </c>
      <c r="SE129" s="12" t="s">
        <v>37</v>
      </c>
      <c r="SF129" s="12" t="s">
        <v>37</v>
      </c>
      <c r="SI129" s="12" t="s">
        <v>37</v>
      </c>
      <c r="SJ129" s="12" t="s">
        <v>37</v>
      </c>
      <c r="SK129" s="13" t="s">
        <v>37</v>
      </c>
      <c r="SM129" s="12" t="s">
        <v>37</v>
      </c>
      <c r="SN129" s="12" t="s">
        <v>37</v>
      </c>
      <c r="SO129" s="13" t="s">
        <v>37</v>
      </c>
      <c r="SU129" s="12" t="s">
        <v>37</v>
      </c>
      <c r="SV129" s="12" t="s">
        <v>37</v>
      </c>
      <c r="SW129" s="11" t="s">
        <v>37</v>
      </c>
      <c r="SX129" s="12" t="s">
        <v>37</v>
      </c>
      <c r="SY129" s="12" t="s">
        <v>37</v>
      </c>
      <c r="SZ129" s="11" t="s">
        <v>37</v>
      </c>
      <c r="TE129" s="12" t="s">
        <v>37</v>
      </c>
      <c r="TF129" s="12" t="s">
        <v>37</v>
      </c>
      <c r="TG129" s="11" t="s">
        <v>37</v>
      </c>
      <c r="TH129" s="12" t="s">
        <v>37</v>
      </c>
      <c r="TI129" s="12" t="s">
        <v>37</v>
      </c>
      <c r="TJ129" s="11" t="s">
        <v>37</v>
      </c>
      <c r="TO129" s="12" t="s">
        <v>37</v>
      </c>
      <c r="TP129" s="12" t="s">
        <v>37</v>
      </c>
      <c r="TQ129" s="11" t="s">
        <v>37</v>
      </c>
      <c r="TR129" s="12" t="s">
        <v>37</v>
      </c>
      <c r="TS129" s="12" t="s">
        <v>37</v>
      </c>
      <c r="TT129" s="11" t="s">
        <v>37</v>
      </c>
      <c r="TY129" s="12" t="s">
        <v>37</v>
      </c>
      <c r="TZ129" s="12" t="s">
        <v>37</v>
      </c>
      <c r="UA129" s="12" t="s">
        <v>37</v>
      </c>
      <c r="UB129" s="12" t="s">
        <v>37</v>
      </c>
      <c r="UC129" s="12" t="s">
        <v>37</v>
      </c>
      <c r="UD129" s="12" t="s">
        <v>37</v>
      </c>
      <c r="UE129" s="12"/>
      <c r="UF129" s="12"/>
      <c r="UI129" s="12" t="s">
        <v>37</v>
      </c>
      <c r="UJ129" s="12" t="s">
        <v>37</v>
      </c>
      <c r="UK129" s="12" t="s">
        <v>37</v>
      </c>
      <c r="UL129" s="12" t="s">
        <v>37</v>
      </c>
      <c r="UM129" s="12" t="s">
        <v>37</v>
      </c>
      <c r="UN129" s="12" t="s">
        <v>37</v>
      </c>
      <c r="UO129" s="12"/>
      <c r="UP129" s="12"/>
      <c r="UR129" s="12" t="s">
        <v>37</v>
      </c>
      <c r="US129" s="12" t="s">
        <v>37</v>
      </c>
      <c r="UT129" s="12" t="s">
        <v>37</v>
      </c>
      <c r="UU129" s="12" t="s">
        <v>37</v>
      </c>
      <c r="UV129" s="12" t="s">
        <v>37</v>
      </c>
      <c r="UW129" s="12" t="s">
        <v>37</v>
      </c>
      <c r="UX129" s="12"/>
      <c r="UY129" s="12"/>
      <c r="VB129" s="12" t="s">
        <v>37</v>
      </c>
      <c r="VC129" s="12" t="s">
        <v>37</v>
      </c>
      <c r="VD129" s="12" t="s">
        <v>37</v>
      </c>
      <c r="VE129" s="12" t="s">
        <v>37</v>
      </c>
      <c r="VF129" s="12" t="s">
        <v>37</v>
      </c>
      <c r="VG129" s="12" t="s">
        <v>37</v>
      </c>
      <c r="VI129" s="12" t="s">
        <v>37</v>
      </c>
      <c r="VJ129" s="12" t="s">
        <v>37</v>
      </c>
      <c r="VK129" s="12" t="s">
        <v>37</v>
      </c>
      <c r="VL129" s="12" t="s">
        <v>37</v>
      </c>
      <c r="VM129" s="12" t="s">
        <v>37</v>
      </c>
      <c r="VN129" s="12" t="s">
        <v>37</v>
      </c>
      <c r="VQ129" s="13" t="s">
        <v>37</v>
      </c>
      <c r="VR129" s="13" t="s">
        <v>37</v>
      </c>
      <c r="VS129" s="13" t="s">
        <v>37</v>
      </c>
      <c r="VT129" s="13" t="s">
        <v>37</v>
      </c>
      <c r="VU129" s="13" t="s">
        <v>37</v>
      </c>
      <c r="VV129" s="13" t="s">
        <v>37</v>
      </c>
      <c r="WA129" s="13" t="s">
        <v>37</v>
      </c>
      <c r="WB129" s="13" t="s">
        <v>37</v>
      </c>
      <c r="WC129" s="13" t="s">
        <v>37</v>
      </c>
      <c r="WD129" s="13" t="s">
        <v>37</v>
      </c>
      <c r="WE129" s="13" t="s">
        <v>37</v>
      </c>
      <c r="WF129" s="13" t="s">
        <v>37</v>
      </c>
    </row>
    <row r="130" spans="1:604" ht="18" customHeight="1" x14ac:dyDescent="0.4">
      <c r="A130" s="11">
        <v>29</v>
      </c>
      <c r="B130" s="16" t="s">
        <v>225</v>
      </c>
      <c r="C130" s="12" t="s">
        <v>26</v>
      </c>
      <c r="D130" s="12" t="s">
        <v>54</v>
      </c>
      <c r="E130" s="40">
        <v>1.25</v>
      </c>
      <c r="F130" s="14">
        <v>0</v>
      </c>
      <c r="G130" s="14">
        <v>0</v>
      </c>
      <c r="H130" s="12" t="s">
        <v>123</v>
      </c>
      <c r="I130" s="29">
        <v>62.216999999999999</v>
      </c>
      <c r="J130" s="29">
        <v>23.382999999999999</v>
      </c>
      <c r="K130" s="12" t="s">
        <v>715</v>
      </c>
      <c r="L130" s="12" t="s">
        <v>716</v>
      </c>
      <c r="M130" s="13" t="s">
        <v>37</v>
      </c>
      <c r="N130" s="14">
        <v>3.5</v>
      </c>
      <c r="O130" s="14">
        <v>700</v>
      </c>
      <c r="P130" s="14" t="s">
        <v>84</v>
      </c>
      <c r="Q130" s="75">
        <f>1/12</f>
        <v>8.3333333333333329E-2</v>
      </c>
      <c r="R130" s="11" t="s">
        <v>1000</v>
      </c>
      <c r="S130" s="12" t="s">
        <v>85</v>
      </c>
      <c r="T130" s="12" t="s">
        <v>473</v>
      </c>
      <c r="U130" s="12" t="s">
        <v>158</v>
      </c>
      <c r="V130" s="12" t="s">
        <v>275</v>
      </c>
      <c r="W130" s="23" t="s">
        <v>228</v>
      </c>
      <c r="X130" s="12" t="s">
        <v>280</v>
      </c>
      <c r="Y130" s="12" t="s">
        <v>69</v>
      </c>
      <c r="Z130" s="12" t="s">
        <v>37</v>
      </c>
      <c r="AB130" s="12" t="s">
        <v>37</v>
      </c>
      <c r="AE130" s="12" t="s">
        <v>37</v>
      </c>
      <c r="AH130" s="12" t="s">
        <v>37</v>
      </c>
      <c r="AK130" s="12" t="s">
        <v>37</v>
      </c>
      <c r="AL130" s="32" t="s">
        <v>530</v>
      </c>
      <c r="AM130" s="12" t="s">
        <v>317</v>
      </c>
      <c r="AN130" s="32" t="s">
        <v>880</v>
      </c>
      <c r="AO130" s="12" t="s">
        <v>37</v>
      </c>
      <c r="AP130" s="12" t="s">
        <v>108</v>
      </c>
      <c r="AQ130" s="12" t="s">
        <v>975</v>
      </c>
      <c r="AT130" s="12" t="s">
        <v>326</v>
      </c>
      <c r="AU130" s="12" t="s">
        <v>326</v>
      </c>
      <c r="AV130" s="13" t="s">
        <v>326</v>
      </c>
      <c r="AX130" s="12" t="s">
        <v>326</v>
      </c>
      <c r="AY130" s="12" t="s">
        <v>326</v>
      </c>
      <c r="AZ130" s="13" t="s">
        <v>326</v>
      </c>
      <c r="BE130" s="12" t="s">
        <v>326</v>
      </c>
      <c r="BF130" s="12" t="s">
        <v>326</v>
      </c>
      <c r="BG130" s="12" t="s">
        <v>326</v>
      </c>
      <c r="BI130" s="12" t="s">
        <v>326</v>
      </c>
      <c r="BJ130" s="12" t="s">
        <v>326</v>
      </c>
      <c r="BK130" s="12" t="s">
        <v>326</v>
      </c>
      <c r="BP130" s="12" t="s">
        <v>37</v>
      </c>
      <c r="BQ130" s="12" t="s">
        <v>37</v>
      </c>
      <c r="BR130" s="13" t="s">
        <v>37</v>
      </c>
      <c r="BT130" s="12" t="s">
        <v>37</v>
      </c>
      <c r="BU130" s="12" t="s">
        <v>37</v>
      </c>
      <c r="BV130" s="12" t="s">
        <v>37</v>
      </c>
      <c r="BZ130" s="12" t="s">
        <v>581</v>
      </c>
      <c r="CA130" s="12">
        <f t="shared" si="496"/>
        <v>-39843.491213361398</v>
      </c>
      <c r="CB130" s="12">
        <f t="shared" si="497"/>
        <v>12909.471724359584</v>
      </c>
      <c r="CC130" s="13">
        <v>66</v>
      </c>
      <c r="CD130" s="19">
        <f t="shared" si="467"/>
        <v>0.32400453201325968</v>
      </c>
      <c r="CE130" s="12">
        <f t="shared" si="498"/>
        <v>-35035.77220338145</v>
      </c>
      <c r="CF130" s="12">
        <f t="shared" si="499"/>
        <v>6481.9820713073177</v>
      </c>
      <c r="CG130" s="13">
        <v>66</v>
      </c>
      <c r="CH130" s="19">
        <f t="shared" si="468"/>
        <v>0.18501039548035747</v>
      </c>
      <c r="CI130" s="75">
        <f t="shared" si="469"/>
        <v>4807.7190099799482</v>
      </c>
      <c r="CJ130" s="12">
        <f t="shared" si="470"/>
        <v>10214.464052871035</v>
      </c>
      <c r="CK130" s="72">
        <f t="shared" si="471"/>
        <v>3161675.0268907445</v>
      </c>
      <c r="CL130" s="72">
        <f t="shared" si="472"/>
        <v>3161675.0268907445</v>
      </c>
      <c r="CM130" s="12" t="s">
        <v>581</v>
      </c>
      <c r="CN130" s="12">
        <f>711.11*10^4/10^6*("2008/09/30"-"2008/05/01")*24/'[6]classess-1'!$I$75</f>
        <v>35408.568959456847</v>
      </c>
      <c r="CO130" s="12">
        <f>SQRT((1/[7]Classess!$I$75)^2*(247.34*10^4/10^6*("2008/09/30"-"2008/05/01")*24)^2+(-CN130/([7]Classess!$I$75)^2)^2*([7]Classess!$J$75)^2)</f>
        <v>12878.668982057387</v>
      </c>
      <c r="CP130" s="13">
        <v>66</v>
      </c>
      <c r="CQ130" s="19">
        <f t="shared" si="473"/>
        <v>0.3637161670330023</v>
      </c>
      <c r="CR130" s="12">
        <f>633.82*10^4/10^6*("2008/09/30"-"2008/05/01")*24/'[6]classess-1'!$I$76</f>
        <v>26888.134502472181</v>
      </c>
      <c r="CS130" s="12">
        <f>SQRT((1/[7]Classess!$I$76)^2*(139.13*10^4/10^6*("2008/09/30"-"2008/05/01")*24)^2+(-CR130/([7]Classess!$I$76)^2)^2*([7]Classess!$J$76)^2)</f>
        <v>6047.8746396959068</v>
      </c>
      <c r="CT130" s="13">
        <v>66</v>
      </c>
      <c r="CU130" s="19">
        <f t="shared" si="474"/>
        <v>0.22492726816506536</v>
      </c>
      <c r="CV130" s="75">
        <f t="shared" si="475"/>
        <v>-8520.4344569846653</v>
      </c>
      <c r="CW130" s="12">
        <f t="shared" si="476"/>
        <v>10060.738104306361</v>
      </c>
      <c r="CX130" s="72">
        <f t="shared" si="477"/>
        <v>3067225.7940436965</v>
      </c>
      <c r="CY130" s="72">
        <f t="shared" si="478"/>
        <v>3067225.794043696</v>
      </c>
      <c r="CZ130" s="12" t="s">
        <v>581</v>
      </c>
      <c r="DA130" s="12">
        <f>-308.7*10^4/10^6*("2008/09/30"-"2008/05/01")*24/'[6]classess-1'!$I$23</f>
        <v>-4434.9222539045541</v>
      </c>
      <c r="DB130" s="12">
        <f>SQRT((1/[7]Classess!$I$23)^2*(57.97*10^4/10^6*("2008/09/30"-"2008/05/01")*24)^2+(-DA130/([7]Classess!$I$23)^2)^2*([7]Classess!$J$23)^2)</f>
        <v>891.2605974868037</v>
      </c>
      <c r="DC130" s="13">
        <v>66</v>
      </c>
      <c r="DD130" s="19">
        <f t="shared" si="479"/>
        <v>0.20096419879787703</v>
      </c>
      <c r="DE130" s="12">
        <f>-314.49*10^4/10^6*("2008/09/30"-"2008/05/01")*24/'[6]classess-1'!$I$24</f>
        <v>-8147.6377009092694</v>
      </c>
      <c r="DF130" s="12">
        <f>SQRT((1/[7]Classess!$I$24)^2*(81.16*10^4/10^6*("2008/09/30"-"2008/05/01")*24)^2+(-DE130/([7]Classess!$I$24)^2)^2*([7]Classess!$J$24)^2)</f>
        <v>2332.2315312319697</v>
      </c>
      <c r="DG130" s="13">
        <v>66</v>
      </c>
      <c r="DH130" s="19">
        <f t="shared" si="480"/>
        <v>0.28624634732736026</v>
      </c>
      <c r="DI130" s="19">
        <f t="shared" ref="DI130:DI133" si="503">DE130-DA130</f>
        <v>-3712.7154470047153</v>
      </c>
      <c r="DJ130" s="12">
        <f t="shared" si="481"/>
        <v>1765.4531100973982</v>
      </c>
      <c r="DK130" s="72">
        <f t="shared" si="482"/>
        <v>94449.232847047751</v>
      </c>
      <c r="DL130" s="72">
        <f t="shared" si="483"/>
        <v>94449.232847047766</v>
      </c>
      <c r="DM130" s="15" t="s">
        <v>47</v>
      </c>
      <c r="DN130" s="19">
        <f>163.55*10^4/10^6*("2008/09/30"-"2008/05/01")/'[1]classes-1'!$I$67</f>
        <v>319.22459108513186</v>
      </c>
      <c r="DO130" s="12">
        <f>SQRT((1/[2]Classes!$I$67)^2*(51.401869158878*10^4/10^6*("2008/09/30"-"2008/05/01"))^2+(-DN130/([2]Classes!$I$67)^2)^2*([2]Classes!$J$67)^2)</f>
        <v>121.19295255477282</v>
      </c>
      <c r="DP130" s="13">
        <v>18</v>
      </c>
      <c r="DQ130" s="19">
        <f t="shared" si="500"/>
        <v>0.37964792168048445</v>
      </c>
      <c r="DR130" s="19">
        <f>142.52*10^4/10^6*("2008/09/30"-"2008/05/01")/'[1]classes-1'!$I$68</f>
        <v>222.57960625006015</v>
      </c>
      <c r="DS130" s="12">
        <f>SQRT((1/[2]Classes!$I$68)^2*(39.719626168224*10^4/10^6*("2008/09/30"-"2008/05/01"))^2+(-DR130/([2]Classes!$I$68)^2)^2*([2]Classes!$J$68)^2)</f>
        <v>146.24752567167019</v>
      </c>
      <c r="DT130" s="13">
        <v>18</v>
      </c>
      <c r="DU130" s="19">
        <f t="shared" si="484"/>
        <v>0.65705716770550116</v>
      </c>
      <c r="DV130" s="19">
        <f t="shared" si="501"/>
        <v>-96.64498483507171</v>
      </c>
      <c r="DW130" s="12">
        <f t="shared" si="485"/>
        <v>134.30575288130672</v>
      </c>
      <c r="DX130" s="72">
        <f t="shared" si="345"/>
        <v>2004.2261396682914</v>
      </c>
      <c r="DY130" s="72">
        <f t="shared" si="346"/>
        <v>2004.2261396682914</v>
      </c>
      <c r="DZ130" s="15" t="s">
        <v>47</v>
      </c>
      <c r="EA130" s="19">
        <f>154.358974358974*10^4/10^9*("2008/09/30"-"2008/05/01")/'[3]classess-1'!$I$22</f>
        <v>0.32108009511715851</v>
      </c>
      <c r="EB130" s="19">
        <f>SQRT((1/[5]Classess!$I$22)^2*(100.512820512822*10^4/10^9*("2008/09/30"-"2008/05/01"))^2+(-EA130/([5]Classess!$I$22)^2)*([5]Classess!$J$22)^2)</f>
        <v>0.19494609457370263</v>
      </c>
      <c r="EC130" s="72">
        <v>18</v>
      </c>
      <c r="ED130" s="52">
        <f t="shared" si="486"/>
        <v>0.60715720948870711</v>
      </c>
      <c r="EE130" s="19">
        <f>344.615384615385*10^4/10^9*("2008/09/30"-"2008/05/01")/'[3]classess-1'!$I$23</f>
        <v>1.0977343070987131</v>
      </c>
      <c r="EF130" s="19">
        <f>SQRT((1/[5]Classess!$I$23)^2*(100.51282051282*10^4/10^9*("2008/09/30"-"2008/05/01"))^2+(-EE130/([5]Classess!$I$23)^2)^2*([5]Classess!$J$23)^2)</f>
        <v>0.53387084501368376</v>
      </c>
      <c r="EG130" s="13">
        <v>18</v>
      </c>
      <c r="EH130" s="52">
        <f t="shared" si="487"/>
        <v>0.48633885409365796</v>
      </c>
      <c r="EI130" s="19">
        <f t="shared" si="502"/>
        <v>0.7766542119815546</v>
      </c>
      <c r="EJ130" s="12">
        <f t="shared" si="366"/>
        <v>0.40188434837970721</v>
      </c>
      <c r="EK130" s="19">
        <f t="shared" si="367"/>
        <v>1.7945669941397988E-2</v>
      </c>
      <c r="EL130" s="19">
        <f t="shared" si="368"/>
        <v>1.7945669941397988E-2</v>
      </c>
      <c r="EM130" s="12" t="s">
        <v>39</v>
      </c>
      <c r="EN130" s="12">
        <v>-12.04</v>
      </c>
      <c r="EO130" s="50">
        <f t="shared" si="398"/>
        <v>4.9062566409655712</v>
      </c>
      <c r="EP130" s="13">
        <v>18</v>
      </c>
      <c r="ER130" s="12">
        <v>-15.22</v>
      </c>
      <c r="ES130" s="50">
        <f t="shared" si="399"/>
        <v>3.4521098944099355</v>
      </c>
      <c r="ET130" s="13">
        <v>18</v>
      </c>
      <c r="EV130" s="19">
        <f t="shared" si="488"/>
        <v>-3.1800000000000015</v>
      </c>
      <c r="EW130" s="12">
        <f t="shared" si="489"/>
        <v>4.2419580944477602</v>
      </c>
      <c r="EX130" s="19">
        <f t="shared" si="490"/>
        <v>1.9993564972278748</v>
      </c>
      <c r="EY130" s="19">
        <f t="shared" si="491"/>
        <v>1.9993564972278748</v>
      </c>
      <c r="FB130" s="12" t="s">
        <v>37</v>
      </c>
      <c r="FC130" s="12" t="s">
        <v>37</v>
      </c>
      <c r="FD130" s="11" t="s">
        <v>37</v>
      </c>
      <c r="FE130" s="12" t="s">
        <v>37</v>
      </c>
      <c r="FF130" s="20" t="s">
        <v>37</v>
      </c>
      <c r="FG130" s="11" t="s">
        <v>37</v>
      </c>
      <c r="FI130" s="12" t="s">
        <v>37</v>
      </c>
      <c r="FJ130" s="12" t="s">
        <v>37</v>
      </c>
      <c r="FK130" s="11" t="s">
        <v>37</v>
      </c>
      <c r="FL130" s="13" t="s">
        <v>37</v>
      </c>
      <c r="FM130" s="11" t="s">
        <v>37</v>
      </c>
      <c r="FN130" s="11" t="s">
        <v>37</v>
      </c>
      <c r="FP130" s="12" t="s">
        <v>37</v>
      </c>
      <c r="FQ130" s="12" t="s">
        <v>37</v>
      </c>
      <c r="FR130" s="11" t="s">
        <v>37</v>
      </c>
      <c r="FS130" s="13" t="s">
        <v>37</v>
      </c>
      <c r="FT130" s="11" t="s">
        <v>37</v>
      </c>
      <c r="FU130" s="11" t="s">
        <v>37</v>
      </c>
      <c r="FW130" s="12" t="s">
        <v>37</v>
      </c>
      <c r="FX130" s="12" t="s">
        <v>37</v>
      </c>
      <c r="FY130" s="11" t="s">
        <v>37</v>
      </c>
      <c r="FZ130" s="13" t="s">
        <v>37</v>
      </c>
      <c r="GA130" s="11" t="s">
        <v>37</v>
      </c>
      <c r="GB130" s="11" t="s">
        <v>37</v>
      </c>
      <c r="GO130" s="12" t="s">
        <v>660</v>
      </c>
      <c r="GP130" s="12" t="s">
        <v>330</v>
      </c>
      <c r="GQ130" s="12">
        <v>15.52</v>
      </c>
      <c r="GR130" s="50">
        <f t="shared" si="492"/>
        <v>1.4826187330335321</v>
      </c>
      <c r="GS130" s="13">
        <v>51</v>
      </c>
      <c r="GU130" s="12">
        <v>15.04</v>
      </c>
      <c r="GV130" s="50">
        <f t="shared" si="493"/>
        <v>1.6008001818587276</v>
      </c>
      <c r="GW130" s="13">
        <v>51</v>
      </c>
      <c r="GY130" s="19">
        <f t="shared" si="494"/>
        <v>-3.1416196233378928E-2</v>
      </c>
      <c r="GZ130" s="19">
        <f t="shared" si="495"/>
        <v>4.0106975034290564E-4</v>
      </c>
      <c r="IK130" s="12" t="s">
        <v>37</v>
      </c>
      <c r="IL130" s="12" t="s">
        <v>37</v>
      </c>
      <c r="IM130" s="12" t="s">
        <v>37</v>
      </c>
      <c r="IO130" s="12" t="s">
        <v>37</v>
      </c>
      <c r="IP130" s="12" t="s">
        <v>37</v>
      </c>
      <c r="IQ130" s="12" t="s">
        <v>37</v>
      </c>
      <c r="IW130" s="12" t="s">
        <v>37</v>
      </c>
      <c r="IX130" s="12" t="s">
        <v>37</v>
      </c>
      <c r="IY130" s="13" t="s">
        <v>37</v>
      </c>
      <c r="JA130" s="12" t="s">
        <v>37</v>
      </c>
      <c r="JB130" s="12" t="s">
        <v>37</v>
      </c>
      <c r="JC130" s="13" t="s">
        <v>37</v>
      </c>
      <c r="JH130" s="12" t="s">
        <v>37</v>
      </c>
      <c r="JI130" s="12" t="s">
        <v>37</v>
      </c>
      <c r="JJ130" s="13" t="s">
        <v>37</v>
      </c>
      <c r="JL130" s="12" t="s">
        <v>37</v>
      </c>
      <c r="JM130" s="12" t="s">
        <v>37</v>
      </c>
      <c r="JN130" s="12" t="s">
        <v>37</v>
      </c>
      <c r="JS130" s="12" t="s">
        <v>37</v>
      </c>
      <c r="JT130" s="12" t="s">
        <v>37</v>
      </c>
      <c r="JU130" s="13" t="s">
        <v>37</v>
      </c>
      <c r="JW130" s="12" t="s">
        <v>37</v>
      </c>
      <c r="JX130" s="12" t="s">
        <v>37</v>
      </c>
      <c r="JY130" s="12" t="s">
        <v>37</v>
      </c>
      <c r="KE130" s="11" t="s">
        <v>37</v>
      </c>
      <c r="KF130" s="11" t="s">
        <v>37</v>
      </c>
      <c r="KG130" s="13" t="s">
        <v>37</v>
      </c>
      <c r="KH130" s="11" t="s">
        <v>37</v>
      </c>
      <c r="KI130" s="11" t="s">
        <v>37</v>
      </c>
      <c r="KJ130" s="11" t="s">
        <v>37</v>
      </c>
      <c r="KM130" s="12" t="s">
        <v>37</v>
      </c>
      <c r="KN130" s="12" t="s">
        <v>37</v>
      </c>
      <c r="KO130" s="11" t="s">
        <v>37</v>
      </c>
      <c r="KQ130" s="12" t="s">
        <v>37</v>
      </c>
      <c r="KR130" s="12" t="s">
        <v>37</v>
      </c>
      <c r="KS130" s="13" t="s">
        <v>37</v>
      </c>
      <c r="KX130" s="12" t="s">
        <v>37</v>
      </c>
      <c r="KY130" s="12" t="s">
        <v>37</v>
      </c>
      <c r="KZ130" s="13" t="s">
        <v>37</v>
      </c>
      <c r="LB130" s="12" t="s">
        <v>37</v>
      </c>
      <c r="LC130" s="12" t="s">
        <v>37</v>
      </c>
      <c r="LD130" s="13" t="s">
        <v>37</v>
      </c>
      <c r="LI130" s="12" t="s">
        <v>37</v>
      </c>
      <c r="LJ130" s="12" t="s">
        <v>37</v>
      </c>
      <c r="LK130" s="12" t="s">
        <v>37</v>
      </c>
      <c r="LM130" s="12" t="s">
        <v>37</v>
      </c>
      <c r="LN130" s="12" t="s">
        <v>37</v>
      </c>
      <c r="LO130" s="12" t="s">
        <v>37</v>
      </c>
      <c r="LU130" s="12" t="s">
        <v>37</v>
      </c>
      <c r="LV130" s="12" t="s">
        <v>37</v>
      </c>
      <c r="LW130" s="13" t="s">
        <v>37</v>
      </c>
      <c r="LY130" s="12" t="s">
        <v>37</v>
      </c>
      <c r="LZ130" s="12" t="s">
        <v>37</v>
      </c>
      <c r="MA130" s="12" t="s">
        <v>37</v>
      </c>
      <c r="MF130" s="12" t="s">
        <v>37</v>
      </c>
      <c r="MG130" s="12" t="s">
        <v>37</v>
      </c>
      <c r="MH130" s="12" t="s">
        <v>37</v>
      </c>
      <c r="MJ130" s="12" t="s">
        <v>37</v>
      </c>
      <c r="MK130" s="12" t="s">
        <v>37</v>
      </c>
      <c r="ML130" s="12" t="s">
        <v>37</v>
      </c>
      <c r="MQ130" s="12" t="s">
        <v>37</v>
      </c>
      <c r="MR130" s="12" t="s">
        <v>37</v>
      </c>
      <c r="MS130" s="12" t="s">
        <v>37</v>
      </c>
      <c r="MU130" s="12" t="s">
        <v>37</v>
      </c>
      <c r="MV130" s="12" t="s">
        <v>37</v>
      </c>
      <c r="MW130" s="12" t="s">
        <v>37</v>
      </c>
      <c r="NC130" s="12" t="s">
        <v>37</v>
      </c>
      <c r="ND130" s="12" t="s">
        <v>37</v>
      </c>
      <c r="NE130" s="13" t="s">
        <v>37</v>
      </c>
      <c r="NG130" s="12" t="s">
        <v>37</v>
      </c>
      <c r="NH130" s="12" t="s">
        <v>37</v>
      </c>
      <c r="NI130" s="13" t="s">
        <v>37</v>
      </c>
      <c r="NO130" s="12" t="s">
        <v>37</v>
      </c>
      <c r="NP130" s="12" t="s">
        <v>37</v>
      </c>
      <c r="NQ130" s="13" t="s">
        <v>37</v>
      </c>
      <c r="NS130" s="12" t="s">
        <v>37</v>
      </c>
      <c r="NT130" s="12" t="s">
        <v>37</v>
      </c>
      <c r="NU130" s="13" t="s">
        <v>37</v>
      </c>
      <c r="OA130" s="12" t="s">
        <v>37</v>
      </c>
      <c r="OB130" s="12" t="s">
        <v>37</v>
      </c>
      <c r="OC130" s="13" t="s">
        <v>37</v>
      </c>
      <c r="OE130" s="12" t="s">
        <v>37</v>
      </c>
      <c r="OF130" s="12" t="s">
        <v>37</v>
      </c>
      <c r="OG130" s="13" t="s">
        <v>37</v>
      </c>
      <c r="OM130" s="12" t="s">
        <v>37</v>
      </c>
      <c r="ON130" s="12" t="s">
        <v>37</v>
      </c>
      <c r="OO130" s="12" t="s">
        <v>37</v>
      </c>
      <c r="OP130" s="12" t="s">
        <v>37</v>
      </c>
      <c r="OQ130" s="12" t="s">
        <v>37</v>
      </c>
      <c r="OR130" s="12" t="s">
        <v>37</v>
      </c>
      <c r="OS130" s="12"/>
      <c r="OT130" s="12"/>
      <c r="OW130" s="12" t="s">
        <v>37</v>
      </c>
      <c r="OX130" s="12" t="s">
        <v>37</v>
      </c>
      <c r="OY130" s="13" t="s">
        <v>37</v>
      </c>
      <c r="OZ130" s="12" t="s">
        <v>37</v>
      </c>
      <c r="PA130" s="12" t="s">
        <v>37</v>
      </c>
      <c r="PB130" s="13" t="s">
        <v>37</v>
      </c>
      <c r="PG130" s="11" t="s">
        <v>37</v>
      </c>
      <c r="PH130" s="11" t="s">
        <v>37</v>
      </c>
      <c r="PI130" s="13" t="s">
        <v>37</v>
      </c>
      <c r="PJ130" s="11" t="s">
        <v>37</v>
      </c>
      <c r="PK130" s="11" t="s">
        <v>37</v>
      </c>
      <c r="PL130" s="13" t="s">
        <v>37</v>
      </c>
      <c r="PQ130" s="12" t="s">
        <v>37</v>
      </c>
      <c r="PR130" s="12" t="s">
        <v>37</v>
      </c>
      <c r="PS130" s="12" t="s">
        <v>37</v>
      </c>
      <c r="PT130" s="12" t="s">
        <v>37</v>
      </c>
      <c r="PU130" s="12" t="s">
        <v>37</v>
      </c>
      <c r="PV130" s="12" t="s">
        <v>37</v>
      </c>
      <c r="PW130" s="12"/>
      <c r="PX130" s="12"/>
      <c r="PZ130" s="12" t="s">
        <v>37</v>
      </c>
      <c r="QA130" s="12" t="s">
        <v>37</v>
      </c>
      <c r="QB130" s="11" t="s">
        <v>37</v>
      </c>
      <c r="QD130" s="12" t="s">
        <v>37</v>
      </c>
      <c r="QE130" s="12" t="s">
        <v>37</v>
      </c>
      <c r="QF130" s="12" t="s">
        <v>37</v>
      </c>
      <c r="QK130" s="12" t="s">
        <v>37</v>
      </c>
      <c r="QL130" s="12" t="s">
        <v>37</v>
      </c>
      <c r="QM130" s="12" t="s">
        <v>37</v>
      </c>
      <c r="QN130" s="12" t="s">
        <v>37</v>
      </c>
      <c r="QO130" s="12" t="s">
        <v>37</v>
      </c>
      <c r="QP130" s="12" t="s">
        <v>37</v>
      </c>
      <c r="QQ130" s="12"/>
      <c r="QR130" s="12"/>
      <c r="QU130" s="12" t="s">
        <v>37</v>
      </c>
      <c r="QV130" s="12" t="s">
        <v>37</v>
      </c>
      <c r="QW130" s="12" t="s">
        <v>37</v>
      </c>
      <c r="QX130" s="12" t="s">
        <v>37</v>
      </c>
      <c r="QY130" s="12" t="s">
        <v>37</v>
      </c>
      <c r="QZ130" s="12" t="s">
        <v>37</v>
      </c>
      <c r="RC130" s="12" t="s">
        <v>37</v>
      </c>
      <c r="RD130" s="12" t="s">
        <v>37</v>
      </c>
      <c r="RE130" s="13" t="s">
        <v>37</v>
      </c>
      <c r="RF130" s="12" t="s">
        <v>37</v>
      </c>
      <c r="RG130" s="12" t="s">
        <v>37</v>
      </c>
      <c r="RH130" s="13" t="s">
        <v>37</v>
      </c>
      <c r="RK130" s="12" t="s">
        <v>37</v>
      </c>
      <c r="RL130" s="12" t="s">
        <v>37</v>
      </c>
      <c r="RM130" s="11" t="s">
        <v>37</v>
      </c>
      <c r="RN130" s="12" t="s">
        <v>37</v>
      </c>
      <c r="RO130" s="12" t="s">
        <v>37</v>
      </c>
      <c r="RP130" s="11" t="s">
        <v>37</v>
      </c>
      <c r="RS130" s="12" t="s">
        <v>37</v>
      </c>
      <c r="RT130" s="12" t="s">
        <v>37</v>
      </c>
      <c r="RU130" s="12" t="s">
        <v>37</v>
      </c>
      <c r="RV130" s="12" t="s">
        <v>37</v>
      </c>
      <c r="RW130" s="12" t="s">
        <v>37</v>
      </c>
      <c r="RX130" s="12" t="s">
        <v>37</v>
      </c>
      <c r="SA130" s="12" t="s">
        <v>37</v>
      </c>
      <c r="SB130" s="12" t="s">
        <v>37</v>
      </c>
      <c r="SC130" s="12" t="s">
        <v>37</v>
      </c>
      <c r="SD130" s="12" t="s">
        <v>37</v>
      </c>
      <c r="SE130" s="12" t="s">
        <v>37</v>
      </c>
      <c r="SF130" s="12" t="s">
        <v>37</v>
      </c>
      <c r="SI130" s="12" t="s">
        <v>37</v>
      </c>
      <c r="SJ130" s="12" t="s">
        <v>37</v>
      </c>
      <c r="SK130" s="13" t="s">
        <v>37</v>
      </c>
      <c r="SM130" s="12" t="s">
        <v>37</v>
      </c>
      <c r="SN130" s="12" t="s">
        <v>37</v>
      </c>
      <c r="SO130" s="13" t="s">
        <v>37</v>
      </c>
      <c r="SU130" s="12" t="s">
        <v>37</v>
      </c>
      <c r="SV130" s="12" t="s">
        <v>37</v>
      </c>
      <c r="SW130" s="11" t="s">
        <v>37</v>
      </c>
      <c r="SX130" s="12" t="s">
        <v>37</v>
      </c>
      <c r="SY130" s="12" t="s">
        <v>37</v>
      </c>
      <c r="SZ130" s="11" t="s">
        <v>37</v>
      </c>
      <c r="TE130" s="12" t="s">
        <v>37</v>
      </c>
      <c r="TF130" s="12" t="s">
        <v>37</v>
      </c>
      <c r="TG130" s="11" t="s">
        <v>37</v>
      </c>
      <c r="TH130" s="12" t="s">
        <v>37</v>
      </c>
      <c r="TI130" s="12" t="s">
        <v>37</v>
      </c>
      <c r="TJ130" s="11" t="s">
        <v>37</v>
      </c>
      <c r="TO130" s="12" t="s">
        <v>37</v>
      </c>
      <c r="TP130" s="12" t="s">
        <v>37</v>
      </c>
      <c r="TQ130" s="11" t="s">
        <v>37</v>
      </c>
      <c r="TR130" s="12" t="s">
        <v>37</v>
      </c>
      <c r="TS130" s="12" t="s">
        <v>37</v>
      </c>
      <c r="TT130" s="11" t="s">
        <v>37</v>
      </c>
      <c r="TY130" s="12" t="s">
        <v>37</v>
      </c>
      <c r="TZ130" s="12" t="s">
        <v>37</v>
      </c>
      <c r="UA130" s="12" t="s">
        <v>37</v>
      </c>
      <c r="UB130" s="12" t="s">
        <v>37</v>
      </c>
      <c r="UC130" s="12" t="s">
        <v>37</v>
      </c>
      <c r="UD130" s="12" t="s">
        <v>37</v>
      </c>
      <c r="UE130" s="12"/>
      <c r="UF130" s="12"/>
      <c r="UI130" s="12" t="s">
        <v>37</v>
      </c>
      <c r="UJ130" s="12" t="s">
        <v>37</v>
      </c>
      <c r="UK130" s="12" t="s">
        <v>37</v>
      </c>
      <c r="UL130" s="12" t="s">
        <v>37</v>
      </c>
      <c r="UM130" s="12" t="s">
        <v>37</v>
      </c>
      <c r="UN130" s="12" t="s">
        <v>37</v>
      </c>
      <c r="UO130" s="12"/>
      <c r="UP130" s="12"/>
      <c r="UR130" s="12" t="s">
        <v>37</v>
      </c>
      <c r="US130" s="12" t="s">
        <v>37</v>
      </c>
      <c r="UT130" s="12" t="s">
        <v>37</v>
      </c>
      <c r="UU130" s="12" t="s">
        <v>37</v>
      </c>
      <c r="UV130" s="12" t="s">
        <v>37</v>
      </c>
      <c r="UW130" s="12" t="s">
        <v>37</v>
      </c>
      <c r="UX130" s="12"/>
      <c r="UY130" s="12"/>
      <c r="VB130" s="12" t="s">
        <v>37</v>
      </c>
      <c r="VC130" s="12" t="s">
        <v>37</v>
      </c>
      <c r="VD130" s="12" t="s">
        <v>37</v>
      </c>
      <c r="VE130" s="12" t="s">
        <v>37</v>
      </c>
      <c r="VF130" s="12" t="s">
        <v>37</v>
      </c>
      <c r="VG130" s="12" t="s">
        <v>37</v>
      </c>
      <c r="VI130" s="12" t="s">
        <v>37</v>
      </c>
      <c r="VJ130" s="12" t="s">
        <v>37</v>
      </c>
      <c r="VK130" s="12" t="s">
        <v>37</v>
      </c>
      <c r="VL130" s="12" t="s">
        <v>37</v>
      </c>
      <c r="VM130" s="12" t="s">
        <v>37</v>
      </c>
      <c r="VN130" s="12" t="s">
        <v>37</v>
      </c>
      <c r="VQ130" s="13" t="s">
        <v>37</v>
      </c>
      <c r="VR130" s="13" t="s">
        <v>37</v>
      </c>
      <c r="VS130" s="13" t="s">
        <v>37</v>
      </c>
      <c r="VT130" s="13" t="s">
        <v>37</v>
      </c>
      <c r="VU130" s="13" t="s">
        <v>37</v>
      </c>
      <c r="VV130" s="13" t="s">
        <v>37</v>
      </c>
      <c r="WA130" s="13" t="s">
        <v>37</v>
      </c>
      <c r="WB130" s="13" t="s">
        <v>37</v>
      </c>
      <c r="WC130" s="13" t="s">
        <v>37</v>
      </c>
      <c r="WD130" s="13" t="s">
        <v>37</v>
      </c>
      <c r="WE130" s="13" t="s">
        <v>37</v>
      </c>
      <c r="WF130" s="13" t="s">
        <v>37</v>
      </c>
    </row>
    <row r="131" spans="1:604" ht="18" customHeight="1" x14ac:dyDescent="0.4">
      <c r="A131" s="11">
        <v>29</v>
      </c>
      <c r="B131" s="16" t="s">
        <v>225</v>
      </c>
      <c r="C131" s="12" t="s">
        <v>26</v>
      </c>
      <c r="D131" s="12" t="s">
        <v>54</v>
      </c>
      <c r="E131" s="40">
        <v>1.25</v>
      </c>
      <c r="F131" s="14">
        <v>0</v>
      </c>
      <c r="G131" s="14">
        <v>0</v>
      </c>
      <c r="H131" s="12" t="s">
        <v>123</v>
      </c>
      <c r="I131" s="29">
        <v>62.216999999999999</v>
      </c>
      <c r="J131" s="29">
        <v>23.382999999999999</v>
      </c>
      <c r="K131" s="12" t="s">
        <v>715</v>
      </c>
      <c r="L131" s="12" t="s">
        <v>716</v>
      </c>
      <c r="M131" s="13" t="s">
        <v>37</v>
      </c>
      <c r="N131" s="14">
        <v>3.5</v>
      </c>
      <c r="O131" s="14">
        <v>700</v>
      </c>
      <c r="P131" s="14" t="s">
        <v>84</v>
      </c>
      <c r="Q131" s="75">
        <v>29</v>
      </c>
      <c r="R131" s="11" t="s">
        <v>1000</v>
      </c>
      <c r="S131" s="12" t="s">
        <v>85</v>
      </c>
      <c r="T131" s="12" t="s">
        <v>473</v>
      </c>
      <c r="U131" s="12" t="s">
        <v>158</v>
      </c>
      <c r="V131" s="12" t="s">
        <v>275</v>
      </c>
      <c r="W131" s="23" t="s">
        <v>228</v>
      </c>
      <c r="X131" s="12" t="s">
        <v>280</v>
      </c>
      <c r="Y131" s="12" t="s">
        <v>69</v>
      </c>
      <c r="Z131" s="12" t="s">
        <v>37</v>
      </c>
      <c r="AB131" s="12" t="s">
        <v>37</v>
      </c>
      <c r="AE131" s="12" t="s">
        <v>37</v>
      </c>
      <c r="AH131" s="12" t="s">
        <v>37</v>
      </c>
      <c r="AK131" s="12" t="s">
        <v>37</v>
      </c>
      <c r="AL131" s="32" t="s">
        <v>530</v>
      </c>
      <c r="AM131" s="12" t="s">
        <v>317</v>
      </c>
      <c r="AN131" s="32" t="s">
        <v>880</v>
      </c>
      <c r="AO131" s="12" t="s">
        <v>37</v>
      </c>
      <c r="AP131" s="12" t="s">
        <v>108</v>
      </c>
      <c r="AQ131" s="12" t="s">
        <v>975</v>
      </c>
      <c r="AT131" s="12" t="s">
        <v>326</v>
      </c>
      <c r="AU131" s="12" t="s">
        <v>326</v>
      </c>
      <c r="AV131" s="13" t="s">
        <v>326</v>
      </c>
      <c r="AX131" s="12" t="s">
        <v>326</v>
      </c>
      <c r="AY131" s="12" t="s">
        <v>326</v>
      </c>
      <c r="AZ131" s="13" t="s">
        <v>326</v>
      </c>
      <c r="BE131" s="12" t="s">
        <v>326</v>
      </c>
      <c r="BF131" s="12" t="s">
        <v>326</v>
      </c>
      <c r="BG131" s="12" t="s">
        <v>326</v>
      </c>
      <c r="BI131" s="12" t="s">
        <v>326</v>
      </c>
      <c r="BJ131" s="12" t="s">
        <v>326</v>
      </c>
      <c r="BK131" s="12" t="s">
        <v>326</v>
      </c>
      <c r="BP131" s="12" t="s">
        <v>37</v>
      </c>
      <c r="BQ131" s="12" t="s">
        <v>37</v>
      </c>
      <c r="BR131" s="13" t="s">
        <v>37</v>
      </c>
      <c r="BT131" s="12" t="s">
        <v>37</v>
      </c>
      <c r="BU131" s="12" t="s">
        <v>37</v>
      </c>
      <c r="BV131" s="12" t="s">
        <v>37</v>
      </c>
      <c r="BZ131" s="12" t="s">
        <v>581</v>
      </c>
      <c r="CA131" s="12">
        <f t="shared" si="496"/>
        <v>-39843.491213361398</v>
      </c>
      <c r="CB131" s="12">
        <f t="shared" si="497"/>
        <v>12909.471724359584</v>
      </c>
      <c r="CC131" s="13">
        <v>66</v>
      </c>
      <c r="CD131" s="19">
        <f t="shared" si="467"/>
        <v>0.32400453201325968</v>
      </c>
      <c r="CE131" s="12">
        <f t="shared" si="498"/>
        <v>-47094.824204889017</v>
      </c>
      <c r="CF131" s="12">
        <f t="shared" si="499"/>
        <v>13325.726368768714</v>
      </c>
      <c r="CG131" s="13">
        <v>66</v>
      </c>
      <c r="CH131" s="19">
        <f t="shared" si="468"/>
        <v>0.28295522053112027</v>
      </c>
      <c r="CI131" s="75">
        <f t="shared" si="469"/>
        <v>-7251.332991527619</v>
      </c>
      <c r="CJ131" s="12">
        <f t="shared" si="470"/>
        <v>13119.250044444947</v>
      </c>
      <c r="CK131" s="72">
        <f t="shared" si="471"/>
        <v>5215597.6281414777</v>
      </c>
      <c r="CL131" s="72">
        <f t="shared" si="472"/>
        <v>5215597.6281414758</v>
      </c>
      <c r="CM131" s="12" t="s">
        <v>581</v>
      </c>
      <c r="CN131" s="12">
        <f>711.11*10^4/10^6*("2008/09/30"-"2008/05/01")*24/'[6]classess-1'!$I$75</f>
        <v>35408.568959456847</v>
      </c>
      <c r="CO131" s="12">
        <f>SQRT((1/[7]Classess!$I$75)^2*(247.34*10^4/10^6*("2008/09/30"-"2008/05/01")*24)^2+(-CN131/([7]Classess!$I$75)^2)^2*([7]Classess!$J$75)^2)</f>
        <v>12878.668982057387</v>
      </c>
      <c r="CP131" s="13">
        <v>66</v>
      </c>
      <c r="CQ131" s="19">
        <f t="shared" si="473"/>
        <v>0.3637161670330023</v>
      </c>
      <c r="CR131" s="12">
        <f>1236.71*10^4/10^6*("2008/09/30"-"2008/05/01")*24/'[6]classess-1'!$I$76</f>
        <v>52464.145688921722</v>
      </c>
      <c r="CS131" s="12">
        <f>SQRT((1/[7]Classess!$I$76)^2*(293.72*10^4/10^6*("2008/09/30"-"2008/05/01")*24)^2+(-CR131/([7]Classess!$I$76)^2)^2*([7]Classess!$J$76)^2)</f>
        <v>12723.425553607172</v>
      </c>
      <c r="CT131" s="13">
        <v>66</v>
      </c>
      <c r="CU131" s="19">
        <f t="shared" si="474"/>
        <v>0.24251658702399947</v>
      </c>
      <c r="CV131" s="75">
        <f>CR131-CN131</f>
        <v>17055.576729464876</v>
      </c>
      <c r="CW131" s="12">
        <f t="shared" si="476"/>
        <v>12801.282603075189</v>
      </c>
      <c r="CX131" s="72">
        <f t="shared" si="477"/>
        <v>4965843.5237513799</v>
      </c>
      <c r="CY131" s="72">
        <f t="shared" si="478"/>
        <v>4965843.5237513799</v>
      </c>
      <c r="CZ131" s="12" t="s">
        <v>581</v>
      </c>
      <c r="DA131" s="12">
        <f>-308.7*10^4/10^6*("2008/09/30"-"2008/05/01")*24/'[6]classess-1'!$I$23</f>
        <v>-4434.9222539045541</v>
      </c>
      <c r="DB131" s="12">
        <f>DB130</f>
        <v>891.2605974868037</v>
      </c>
      <c r="DC131" s="13">
        <v>66</v>
      </c>
      <c r="DD131" s="19">
        <f t="shared" si="479"/>
        <v>0.20096419879787703</v>
      </c>
      <c r="DE131" s="12">
        <f>207.25*10^4/10^6*("2008/09/30"-"2008/05/01")*24/'[6]classess-1'!$I$24</f>
        <v>5369.3214840327073</v>
      </c>
      <c r="DF131" s="12">
        <f>SQRT((1/[7]Classess!$I$24)^2*(150.72*10^4/10^6*("2008/09/30"-"2008/05/01")*24)^2+(-DE131/([7]Classess!$I$24)^2)^2*([7]Classess!$J$24)^2)</f>
        <v>3960.9879370068538</v>
      </c>
      <c r="DG131" s="13">
        <v>66</v>
      </c>
      <c r="DH131" s="19">
        <f t="shared" si="480"/>
        <v>0.73770735255581976</v>
      </c>
      <c r="DI131" s="19">
        <f>DE131-DA131</f>
        <v>9804.2437379372604</v>
      </c>
      <c r="DJ131" s="12">
        <f t="shared" si="481"/>
        <v>2870.8684130195124</v>
      </c>
      <c r="DK131" s="72">
        <f t="shared" si="482"/>
        <v>249754.10439009615</v>
      </c>
      <c r="DL131" s="72">
        <f t="shared" si="483"/>
        <v>249754.10439009615</v>
      </c>
      <c r="DM131" s="15" t="s">
        <v>47</v>
      </c>
      <c r="DN131" s="19">
        <f>163.55*10^4/10^6*("2008/09/30"-"2008/05/01")/'[1]classes-1'!$I$67</f>
        <v>319.22459108513186</v>
      </c>
      <c r="DO131" s="12">
        <f>DO130</f>
        <v>121.19295255477282</v>
      </c>
      <c r="DP131" s="13">
        <v>18</v>
      </c>
      <c r="DQ131" s="19">
        <f t="shared" si="500"/>
        <v>0.37964792168048445</v>
      </c>
      <c r="DR131" s="19">
        <f>3.5*10^4/10^6*("2008/09/30"-"2008/05/01")/'[1]classes-1'!$I$68</f>
        <v>5.4661003499523613</v>
      </c>
      <c r="DS131" s="12">
        <f>SQRT((1/[2]Classes!$I$68)^2*(7.00934579439252*10^4/10^6*("2008/09/30"-"2008/05/01"))^2+(-DR131/[2]Classes!$I$68)^2*([2]Classes!$J$68)^2)</f>
        <v>11.395301936593999</v>
      </c>
      <c r="DT131" s="13">
        <v>18</v>
      </c>
      <c r="DU131" s="19">
        <f t="shared" si="484"/>
        <v>2.0847224176360597</v>
      </c>
      <c r="DV131" s="19">
        <f t="shared" si="501"/>
        <v>-313.75849073517952</v>
      </c>
      <c r="DW131" s="12">
        <f t="shared" si="485"/>
        <v>86.074341865533768</v>
      </c>
      <c r="DX131" s="72">
        <f t="shared" si="345"/>
        <v>823.19914750941984</v>
      </c>
      <c r="DY131" s="72">
        <f t="shared" si="346"/>
        <v>823.19914750941984</v>
      </c>
      <c r="DZ131" s="15" t="s">
        <v>47</v>
      </c>
      <c r="EA131" s="19">
        <f>154.358974358974*10^4/10^9*("2008/09/30"-"2008/05/01")/'[3]classess-1'!$I$22</f>
        <v>0.32108009511715851</v>
      </c>
      <c r="EB131" s="19">
        <f>EB130</f>
        <v>0.19494609457370263</v>
      </c>
      <c r="EC131" s="72">
        <v>18</v>
      </c>
      <c r="ED131" s="52">
        <f t="shared" si="486"/>
        <v>0.60715720948870711</v>
      </c>
      <c r="EE131" s="19">
        <f>218.974358974359*10^4/10^9*("2008/09/30"-"2008/05/01")/'[3]classess-1'!$I$23</f>
        <v>0.69751867430230663</v>
      </c>
      <c r="EF131" s="19">
        <f>SQRT((1/[5]Classess!$I$23)^2*(50.25641025641*10^4/10^9*("2008/09/30"-"2008/05/01"))^2+(-EE131/([5]Classess!$I$23)^2)^2*([5]Classess!$J$23)^2)</f>
        <v>0.31514419303530533</v>
      </c>
      <c r="EG131" s="13">
        <v>18</v>
      </c>
      <c r="EH131" s="52">
        <f t="shared" si="487"/>
        <v>0.45180753526137268</v>
      </c>
      <c r="EI131" s="19">
        <f t="shared" si="502"/>
        <v>0.37643857918514811</v>
      </c>
      <c r="EJ131" s="12">
        <f t="shared" si="366"/>
        <v>0.26203038201076301</v>
      </c>
      <c r="EK131" s="19">
        <f t="shared" si="367"/>
        <v>7.6288801218562666E-3</v>
      </c>
      <c r="EL131" s="19">
        <f t="shared" si="368"/>
        <v>7.6288801218562657E-3</v>
      </c>
      <c r="EM131" s="12" t="s">
        <v>39</v>
      </c>
      <c r="EN131" s="12">
        <v>-12.04</v>
      </c>
      <c r="EO131" s="50">
        <f t="shared" si="398"/>
        <v>4.9062566409655712</v>
      </c>
      <c r="EP131" s="13">
        <v>18</v>
      </c>
      <c r="ER131" s="12">
        <v>-24.07</v>
      </c>
      <c r="ES131" s="50">
        <f t="shared" si="399"/>
        <v>5.459414267966304</v>
      </c>
      <c r="ET131" s="13">
        <v>18</v>
      </c>
      <c r="EV131" s="19">
        <f t="shared" si="488"/>
        <v>-12.030000000000001</v>
      </c>
      <c r="EW131" s="12">
        <f t="shared" si="489"/>
        <v>5.1902099368085697</v>
      </c>
      <c r="EX131" s="19">
        <f t="shared" si="490"/>
        <v>2.9931421320162679</v>
      </c>
      <c r="EY131" s="19">
        <f t="shared" si="491"/>
        <v>2.9931421320162679</v>
      </c>
      <c r="FB131" s="12" t="s">
        <v>37</v>
      </c>
      <c r="FC131" s="12" t="s">
        <v>37</v>
      </c>
      <c r="FD131" s="11" t="s">
        <v>37</v>
      </c>
      <c r="FE131" s="12" t="s">
        <v>37</v>
      </c>
      <c r="FF131" s="20" t="s">
        <v>37</v>
      </c>
      <c r="FG131" s="11" t="s">
        <v>37</v>
      </c>
      <c r="FI131" s="12" t="s">
        <v>37</v>
      </c>
      <c r="FJ131" s="12" t="s">
        <v>37</v>
      </c>
      <c r="FK131" s="11" t="s">
        <v>37</v>
      </c>
      <c r="FL131" s="13" t="s">
        <v>37</v>
      </c>
      <c r="FM131" s="11" t="s">
        <v>37</v>
      </c>
      <c r="FN131" s="11" t="s">
        <v>37</v>
      </c>
      <c r="FP131" s="12" t="s">
        <v>37</v>
      </c>
      <c r="FQ131" s="12" t="s">
        <v>37</v>
      </c>
      <c r="FR131" s="11" t="s">
        <v>37</v>
      </c>
      <c r="FS131" s="13" t="s">
        <v>37</v>
      </c>
      <c r="FT131" s="11" t="s">
        <v>37</v>
      </c>
      <c r="FU131" s="11" t="s">
        <v>37</v>
      </c>
      <c r="FW131" s="12" t="s">
        <v>37</v>
      </c>
      <c r="FX131" s="12" t="s">
        <v>37</v>
      </c>
      <c r="FY131" s="11" t="s">
        <v>37</v>
      </c>
      <c r="FZ131" s="13" t="s">
        <v>37</v>
      </c>
      <c r="GA131" s="11" t="s">
        <v>37</v>
      </c>
      <c r="GB131" s="11" t="s">
        <v>37</v>
      </c>
      <c r="GO131" s="12" t="s">
        <v>660</v>
      </c>
      <c r="GP131" s="12" t="s">
        <v>330</v>
      </c>
      <c r="GQ131" s="12">
        <v>15.52</v>
      </c>
      <c r="GR131" s="50">
        <f t="shared" si="492"/>
        <v>1.4826187330335321</v>
      </c>
      <c r="GS131" s="13">
        <v>51</v>
      </c>
      <c r="GU131" s="12">
        <v>14.32</v>
      </c>
      <c r="GV131" s="50">
        <f t="shared" si="493"/>
        <v>1.5241661305995333</v>
      </c>
      <c r="GW131" s="13">
        <v>51</v>
      </c>
      <c r="GY131" s="19">
        <f t="shared" si="494"/>
        <v>-8.0472353222573081E-2</v>
      </c>
      <c r="GZ131" s="19">
        <f t="shared" si="495"/>
        <v>4.0106975034290564E-4</v>
      </c>
      <c r="IK131" s="12" t="s">
        <v>37</v>
      </c>
      <c r="IL131" s="12" t="s">
        <v>37</v>
      </c>
      <c r="IM131" s="12" t="s">
        <v>37</v>
      </c>
      <c r="IO131" s="12" t="s">
        <v>37</v>
      </c>
      <c r="IP131" s="12" t="s">
        <v>37</v>
      </c>
      <c r="IQ131" s="12" t="s">
        <v>37</v>
      </c>
      <c r="IW131" s="12" t="s">
        <v>37</v>
      </c>
      <c r="IX131" s="12" t="s">
        <v>37</v>
      </c>
      <c r="IY131" s="13" t="s">
        <v>37</v>
      </c>
      <c r="JA131" s="12" t="s">
        <v>37</v>
      </c>
      <c r="JB131" s="12" t="s">
        <v>37</v>
      </c>
      <c r="JC131" s="13" t="s">
        <v>37</v>
      </c>
      <c r="JH131" s="12" t="s">
        <v>37</v>
      </c>
      <c r="JI131" s="12" t="s">
        <v>37</v>
      </c>
      <c r="JJ131" s="13" t="s">
        <v>37</v>
      </c>
      <c r="JL131" s="12" t="s">
        <v>37</v>
      </c>
      <c r="JM131" s="12" t="s">
        <v>37</v>
      </c>
      <c r="JN131" s="12" t="s">
        <v>37</v>
      </c>
      <c r="JS131" s="12" t="s">
        <v>37</v>
      </c>
      <c r="JT131" s="12" t="s">
        <v>37</v>
      </c>
      <c r="JU131" s="13" t="s">
        <v>37</v>
      </c>
      <c r="JW131" s="12" t="s">
        <v>37</v>
      </c>
      <c r="JX131" s="12" t="s">
        <v>37</v>
      </c>
      <c r="JY131" s="12" t="s">
        <v>37</v>
      </c>
      <c r="KE131" s="11" t="s">
        <v>37</v>
      </c>
      <c r="KF131" s="11" t="s">
        <v>37</v>
      </c>
      <c r="KG131" s="13" t="s">
        <v>37</v>
      </c>
      <c r="KH131" s="11" t="s">
        <v>37</v>
      </c>
      <c r="KI131" s="11" t="s">
        <v>37</v>
      </c>
      <c r="KJ131" s="11" t="s">
        <v>37</v>
      </c>
      <c r="KM131" s="12" t="s">
        <v>37</v>
      </c>
      <c r="KN131" s="12" t="s">
        <v>37</v>
      </c>
      <c r="KO131" s="11" t="s">
        <v>37</v>
      </c>
      <c r="KQ131" s="12" t="s">
        <v>37</v>
      </c>
      <c r="KR131" s="12" t="s">
        <v>37</v>
      </c>
      <c r="KS131" s="13" t="s">
        <v>37</v>
      </c>
      <c r="KX131" s="12" t="s">
        <v>37</v>
      </c>
      <c r="KY131" s="12" t="s">
        <v>37</v>
      </c>
      <c r="KZ131" s="13" t="s">
        <v>37</v>
      </c>
      <c r="LB131" s="12" t="s">
        <v>37</v>
      </c>
      <c r="LC131" s="12" t="s">
        <v>37</v>
      </c>
      <c r="LD131" s="13" t="s">
        <v>37</v>
      </c>
      <c r="LI131" s="12" t="s">
        <v>37</v>
      </c>
      <c r="LJ131" s="12" t="s">
        <v>37</v>
      </c>
      <c r="LK131" s="12" t="s">
        <v>37</v>
      </c>
      <c r="LM131" s="12" t="s">
        <v>37</v>
      </c>
      <c r="LN131" s="12" t="s">
        <v>37</v>
      </c>
      <c r="LO131" s="12" t="s">
        <v>37</v>
      </c>
      <c r="LU131" s="12" t="s">
        <v>37</v>
      </c>
      <c r="LV131" s="12" t="s">
        <v>37</v>
      </c>
      <c r="LW131" s="13" t="s">
        <v>37</v>
      </c>
      <c r="LY131" s="12" t="s">
        <v>37</v>
      </c>
      <c r="LZ131" s="12" t="s">
        <v>37</v>
      </c>
      <c r="MA131" s="12" t="s">
        <v>37</v>
      </c>
      <c r="MF131" s="12" t="s">
        <v>37</v>
      </c>
      <c r="MG131" s="12" t="s">
        <v>37</v>
      </c>
      <c r="MH131" s="12" t="s">
        <v>37</v>
      </c>
      <c r="MJ131" s="12" t="s">
        <v>37</v>
      </c>
      <c r="MK131" s="12" t="s">
        <v>37</v>
      </c>
      <c r="ML131" s="12" t="s">
        <v>37</v>
      </c>
      <c r="MQ131" s="12" t="s">
        <v>37</v>
      </c>
      <c r="MR131" s="12" t="s">
        <v>37</v>
      </c>
      <c r="MS131" s="12" t="s">
        <v>37</v>
      </c>
      <c r="MU131" s="12" t="s">
        <v>37</v>
      </c>
      <c r="MV131" s="12" t="s">
        <v>37</v>
      </c>
      <c r="MW131" s="12" t="s">
        <v>37</v>
      </c>
      <c r="NC131" s="12" t="s">
        <v>37</v>
      </c>
      <c r="ND131" s="12" t="s">
        <v>37</v>
      </c>
      <c r="NE131" s="13" t="s">
        <v>37</v>
      </c>
      <c r="NG131" s="12" t="s">
        <v>37</v>
      </c>
      <c r="NH131" s="12" t="s">
        <v>37</v>
      </c>
      <c r="NI131" s="13" t="s">
        <v>37</v>
      </c>
      <c r="NO131" s="12" t="s">
        <v>37</v>
      </c>
      <c r="NP131" s="12" t="s">
        <v>37</v>
      </c>
      <c r="NQ131" s="13" t="s">
        <v>37</v>
      </c>
      <c r="NS131" s="12" t="s">
        <v>37</v>
      </c>
      <c r="NT131" s="12" t="s">
        <v>37</v>
      </c>
      <c r="NU131" s="13" t="s">
        <v>37</v>
      </c>
      <c r="OA131" s="12" t="s">
        <v>37</v>
      </c>
      <c r="OB131" s="12" t="s">
        <v>37</v>
      </c>
      <c r="OC131" s="13" t="s">
        <v>37</v>
      </c>
      <c r="OE131" s="12" t="s">
        <v>37</v>
      </c>
      <c r="OF131" s="12" t="s">
        <v>37</v>
      </c>
      <c r="OG131" s="13" t="s">
        <v>37</v>
      </c>
      <c r="OM131" s="12" t="s">
        <v>37</v>
      </c>
      <c r="ON131" s="12" t="s">
        <v>37</v>
      </c>
      <c r="OO131" s="12" t="s">
        <v>37</v>
      </c>
      <c r="OP131" s="12" t="s">
        <v>37</v>
      </c>
      <c r="OQ131" s="12" t="s">
        <v>37</v>
      </c>
      <c r="OR131" s="12" t="s">
        <v>37</v>
      </c>
      <c r="OS131" s="12"/>
      <c r="OT131" s="12"/>
      <c r="OW131" s="12" t="s">
        <v>37</v>
      </c>
      <c r="OX131" s="12" t="s">
        <v>37</v>
      </c>
      <c r="OY131" s="13" t="s">
        <v>37</v>
      </c>
      <c r="OZ131" s="12" t="s">
        <v>37</v>
      </c>
      <c r="PA131" s="12" t="s">
        <v>37</v>
      </c>
      <c r="PB131" s="13" t="s">
        <v>37</v>
      </c>
      <c r="PG131" s="11" t="s">
        <v>37</v>
      </c>
      <c r="PH131" s="11" t="s">
        <v>37</v>
      </c>
      <c r="PI131" s="13" t="s">
        <v>37</v>
      </c>
      <c r="PJ131" s="11" t="s">
        <v>37</v>
      </c>
      <c r="PK131" s="11" t="s">
        <v>37</v>
      </c>
      <c r="PL131" s="13" t="s">
        <v>37</v>
      </c>
      <c r="PQ131" s="12" t="s">
        <v>37</v>
      </c>
      <c r="PR131" s="12" t="s">
        <v>37</v>
      </c>
      <c r="PS131" s="12" t="s">
        <v>37</v>
      </c>
      <c r="PT131" s="12" t="s">
        <v>37</v>
      </c>
      <c r="PU131" s="12" t="s">
        <v>37</v>
      </c>
      <c r="PV131" s="12" t="s">
        <v>37</v>
      </c>
      <c r="PW131" s="12"/>
      <c r="PX131" s="12"/>
      <c r="PZ131" s="12" t="s">
        <v>37</v>
      </c>
      <c r="QA131" s="12" t="s">
        <v>37</v>
      </c>
      <c r="QB131" s="11" t="s">
        <v>37</v>
      </c>
      <c r="QD131" s="12" t="s">
        <v>37</v>
      </c>
      <c r="QE131" s="12" t="s">
        <v>37</v>
      </c>
      <c r="QF131" s="12" t="s">
        <v>37</v>
      </c>
      <c r="QK131" s="12" t="s">
        <v>37</v>
      </c>
      <c r="QL131" s="12" t="s">
        <v>37</v>
      </c>
      <c r="QM131" s="12" t="s">
        <v>37</v>
      </c>
      <c r="QN131" s="12" t="s">
        <v>37</v>
      </c>
      <c r="QO131" s="12" t="s">
        <v>37</v>
      </c>
      <c r="QP131" s="12" t="s">
        <v>37</v>
      </c>
      <c r="QQ131" s="12"/>
      <c r="QR131" s="12"/>
      <c r="QU131" s="12" t="s">
        <v>37</v>
      </c>
      <c r="QV131" s="12" t="s">
        <v>37</v>
      </c>
      <c r="QW131" s="12" t="s">
        <v>37</v>
      </c>
      <c r="QX131" s="12" t="s">
        <v>37</v>
      </c>
      <c r="QY131" s="12" t="s">
        <v>37</v>
      </c>
      <c r="QZ131" s="12" t="s">
        <v>37</v>
      </c>
      <c r="RC131" s="12" t="s">
        <v>37</v>
      </c>
      <c r="RD131" s="12" t="s">
        <v>37</v>
      </c>
      <c r="RE131" s="13" t="s">
        <v>37</v>
      </c>
      <c r="RF131" s="12" t="s">
        <v>37</v>
      </c>
      <c r="RG131" s="12" t="s">
        <v>37</v>
      </c>
      <c r="RH131" s="13" t="s">
        <v>37</v>
      </c>
      <c r="RK131" s="12" t="s">
        <v>37</v>
      </c>
      <c r="RL131" s="12" t="s">
        <v>37</v>
      </c>
      <c r="RM131" s="11" t="s">
        <v>37</v>
      </c>
      <c r="RN131" s="12" t="s">
        <v>37</v>
      </c>
      <c r="RO131" s="12" t="s">
        <v>37</v>
      </c>
      <c r="RP131" s="11" t="s">
        <v>37</v>
      </c>
      <c r="RS131" s="12" t="s">
        <v>37</v>
      </c>
      <c r="RT131" s="12" t="s">
        <v>37</v>
      </c>
      <c r="RU131" s="12" t="s">
        <v>37</v>
      </c>
      <c r="RV131" s="12" t="s">
        <v>37</v>
      </c>
      <c r="RW131" s="12" t="s">
        <v>37</v>
      </c>
      <c r="RX131" s="12" t="s">
        <v>37</v>
      </c>
      <c r="SA131" s="12" t="s">
        <v>37</v>
      </c>
      <c r="SB131" s="12" t="s">
        <v>37</v>
      </c>
      <c r="SC131" s="12" t="s">
        <v>37</v>
      </c>
      <c r="SD131" s="12" t="s">
        <v>37</v>
      </c>
      <c r="SE131" s="12" t="s">
        <v>37</v>
      </c>
      <c r="SF131" s="12" t="s">
        <v>37</v>
      </c>
      <c r="SI131" s="12" t="s">
        <v>37</v>
      </c>
      <c r="SJ131" s="12" t="s">
        <v>37</v>
      </c>
      <c r="SK131" s="13" t="s">
        <v>37</v>
      </c>
      <c r="SM131" s="12" t="s">
        <v>37</v>
      </c>
      <c r="SN131" s="12" t="s">
        <v>37</v>
      </c>
      <c r="SO131" s="13" t="s">
        <v>37</v>
      </c>
      <c r="SU131" s="12" t="s">
        <v>37</v>
      </c>
      <c r="SV131" s="12" t="s">
        <v>37</v>
      </c>
      <c r="SW131" s="11" t="s">
        <v>37</v>
      </c>
      <c r="SX131" s="12" t="s">
        <v>37</v>
      </c>
      <c r="SY131" s="12" t="s">
        <v>37</v>
      </c>
      <c r="SZ131" s="11" t="s">
        <v>37</v>
      </c>
      <c r="TE131" s="12" t="s">
        <v>37</v>
      </c>
      <c r="TF131" s="12" t="s">
        <v>37</v>
      </c>
      <c r="TG131" s="11" t="s">
        <v>37</v>
      </c>
      <c r="TH131" s="12" t="s">
        <v>37</v>
      </c>
      <c r="TI131" s="12" t="s">
        <v>37</v>
      </c>
      <c r="TJ131" s="11" t="s">
        <v>37</v>
      </c>
      <c r="TO131" s="12" t="s">
        <v>37</v>
      </c>
      <c r="TP131" s="12" t="s">
        <v>37</v>
      </c>
      <c r="TQ131" s="11" t="s">
        <v>37</v>
      </c>
      <c r="TR131" s="12" t="s">
        <v>37</v>
      </c>
      <c r="TS131" s="12" t="s">
        <v>37</v>
      </c>
      <c r="TT131" s="11" t="s">
        <v>37</v>
      </c>
      <c r="TY131" s="12" t="s">
        <v>37</v>
      </c>
      <c r="TZ131" s="12" t="s">
        <v>37</v>
      </c>
      <c r="UA131" s="12" t="s">
        <v>37</v>
      </c>
      <c r="UB131" s="12" t="s">
        <v>37</v>
      </c>
      <c r="UC131" s="12" t="s">
        <v>37</v>
      </c>
      <c r="UD131" s="12" t="s">
        <v>37</v>
      </c>
      <c r="UE131" s="12"/>
      <c r="UF131" s="12"/>
      <c r="UI131" s="12" t="s">
        <v>37</v>
      </c>
      <c r="UJ131" s="12" t="s">
        <v>37</v>
      </c>
      <c r="UK131" s="12" t="s">
        <v>37</v>
      </c>
      <c r="UL131" s="12" t="s">
        <v>37</v>
      </c>
      <c r="UM131" s="12" t="s">
        <v>37</v>
      </c>
      <c r="UN131" s="12" t="s">
        <v>37</v>
      </c>
      <c r="UO131" s="12"/>
      <c r="UP131" s="12"/>
      <c r="UR131" s="12" t="s">
        <v>37</v>
      </c>
      <c r="US131" s="12" t="s">
        <v>37</v>
      </c>
      <c r="UT131" s="12" t="s">
        <v>37</v>
      </c>
      <c r="UU131" s="12" t="s">
        <v>37</v>
      </c>
      <c r="UV131" s="12" t="s">
        <v>37</v>
      </c>
      <c r="UW131" s="12" t="s">
        <v>37</v>
      </c>
      <c r="UX131" s="12"/>
      <c r="UY131" s="12"/>
      <c r="VB131" s="12" t="s">
        <v>37</v>
      </c>
      <c r="VC131" s="12" t="s">
        <v>37</v>
      </c>
      <c r="VD131" s="12" t="s">
        <v>37</v>
      </c>
      <c r="VE131" s="12" t="s">
        <v>37</v>
      </c>
      <c r="VF131" s="12" t="s">
        <v>37</v>
      </c>
      <c r="VG131" s="12" t="s">
        <v>37</v>
      </c>
      <c r="VI131" s="12" t="s">
        <v>37</v>
      </c>
      <c r="VJ131" s="12" t="s">
        <v>37</v>
      </c>
      <c r="VK131" s="12" t="s">
        <v>37</v>
      </c>
      <c r="VL131" s="12" t="s">
        <v>37</v>
      </c>
      <c r="VM131" s="12" t="s">
        <v>37</v>
      </c>
      <c r="VN131" s="12" t="s">
        <v>37</v>
      </c>
      <c r="VQ131" s="13" t="s">
        <v>37</v>
      </c>
      <c r="VR131" s="13" t="s">
        <v>37</v>
      </c>
      <c r="VS131" s="13" t="s">
        <v>37</v>
      </c>
      <c r="VT131" s="13" t="s">
        <v>37</v>
      </c>
      <c r="VU131" s="13" t="s">
        <v>37</v>
      </c>
      <c r="VV131" s="13" t="s">
        <v>37</v>
      </c>
      <c r="WA131" s="13" t="s">
        <v>37</v>
      </c>
      <c r="WB131" s="13" t="s">
        <v>37</v>
      </c>
      <c r="WC131" s="13" t="s">
        <v>37</v>
      </c>
      <c r="WD131" s="13" t="s">
        <v>37</v>
      </c>
      <c r="WE131" s="13" t="s">
        <v>37</v>
      </c>
      <c r="WF131" s="13" t="s">
        <v>37</v>
      </c>
    </row>
    <row r="132" spans="1:604" ht="18" customHeight="1" x14ac:dyDescent="0.4">
      <c r="A132" s="11">
        <v>29</v>
      </c>
      <c r="B132" s="16" t="s">
        <v>225</v>
      </c>
      <c r="C132" s="12" t="s">
        <v>26</v>
      </c>
      <c r="D132" s="12" t="s">
        <v>54</v>
      </c>
      <c r="E132" s="40">
        <v>1.25</v>
      </c>
      <c r="F132" s="14">
        <v>0</v>
      </c>
      <c r="G132" s="14">
        <v>0</v>
      </c>
      <c r="H132" s="12" t="s">
        <v>123</v>
      </c>
      <c r="I132" s="29">
        <v>67.983000000000004</v>
      </c>
      <c r="J132" s="29">
        <v>24.2</v>
      </c>
      <c r="K132" s="12" t="s">
        <v>717</v>
      </c>
      <c r="L132" s="12" t="s">
        <v>668</v>
      </c>
      <c r="M132" s="13" t="s">
        <v>37</v>
      </c>
      <c r="N132" s="14">
        <v>-1.4</v>
      </c>
      <c r="O132" s="14">
        <v>511</v>
      </c>
      <c r="P132" s="14" t="s">
        <v>84</v>
      </c>
      <c r="Q132" s="75">
        <f>2/12</f>
        <v>0.16666666666666666</v>
      </c>
      <c r="R132" s="11" t="s">
        <v>1000</v>
      </c>
      <c r="S132" s="12" t="s">
        <v>85</v>
      </c>
      <c r="T132" s="12" t="s">
        <v>473</v>
      </c>
      <c r="U132" s="12" t="s">
        <v>158</v>
      </c>
      <c r="V132" s="12" t="s">
        <v>275</v>
      </c>
      <c r="W132" s="23" t="s">
        <v>228</v>
      </c>
      <c r="X132" s="12" t="s">
        <v>280</v>
      </c>
      <c r="Y132" s="12" t="s">
        <v>69</v>
      </c>
      <c r="Z132" s="12" t="s">
        <v>37</v>
      </c>
      <c r="AB132" s="12" t="s">
        <v>37</v>
      </c>
      <c r="AE132" s="12" t="s">
        <v>37</v>
      </c>
      <c r="AH132" s="12" t="s">
        <v>37</v>
      </c>
      <c r="AK132" s="12" t="s">
        <v>37</v>
      </c>
      <c r="AL132" s="32" t="s">
        <v>530</v>
      </c>
      <c r="AM132" s="12" t="s">
        <v>317</v>
      </c>
      <c r="AN132" s="32" t="s">
        <v>880</v>
      </c>
      <c r="AO132" s="12" t="s">
        <v>37</v>
      </c>
      <c r="AP132" s="12" t="s">
        <v>108</v>
      </c>
      <c r="AQ132" s="12" t="s">
        <v>975</v>
      </c>
      <c r="AT132" s="12" t="s">
        <v>326</v>
      </c>
      <c r="AU132" s="12" t="s">
        <v>326</v>
      </c>
      <c r="AV132" s="13" t="s">
        <v>326</v>
      </c>
      <c r="AX132" s="12" t="s">
        <v>326</v>
      </c>
      <c r="AY132" s="12" t="s">
        <v>326</v>
      </c>
      <c r="AZ132" s="13" t="s">
        <v>326</v>
      </c>
      <c r="BE132" s="12" t="s">
        <v>326</v>
      </c>
      <c r="BF132" s="12" t="s">
        <v>326</v>
      </c>
      <c r="BG132" s="12" t="s">
        <v>326</v>
      </c>
      <c r="BI132" s="12" t="s">
        <v>326</v>
      </c>
      <c r="BJ132" s="12" t="s">
        <v>326</v>
      </c>
      <c r="BK132" s="12" t="s">
        <v>326</v>
      </c>
      <c r="BP132" s="12" t="s">
        <v>37</v>
      </c>
      <c r="BQ132" s="12" t="s">
        <v>37</v>
      </c>
      <c r="BR132" s="13" t="s">
        <v>37</v>
      </c>
      <c r="BT132" s="12" t="s">
        <v>37</v>
      </c>
      <c r="BU132" s="12" t="s">
        <v>37</v>
      </c>
      <c r="BV132" s="12" t="s">
        <v>37</v>
      </c>
      <c r="BZ132" s="12" t="s">
        <v>581</v>
      </c>
      <c r="CA132" s="12">
        <f t="shared" si="496"/>
        <v>-16584.165556391476</v>
      </c>
      <c r="CB132" s="12">
        <f t="shared" si="497"/>
        <v>3505.6021221629076</v>
      </c>
      <c r="CC132" s="13">
        <v>57</v>
      </c>
      <c r="CD132" s="19">
        <f t="shared" si="467"/>
        <v>0.2113824847106559</v>
      </c>
      <c r="CE132" s="12">
        <f t="shared" si="498"/>
        <v>-18655.544302064984</v>
      </c>
      <c r="CF132" s="12">
        <f t="shared" si="499"/>
        <v>9333.8389055230891</v>
      </c>
      <c r="CG132" s="13">
        <v>57</v>
      </c>
      <c r="CH132" s="19">
        <f t="shared" si="468"/>
        <v>0.50032519847142309</v>
      </c>
      <c r="CI132" s="75">
        <f t="shared" si="469"/>
        <v>-2071.3787456735081</v>
      </c>
      <c r="CJ132" s="12">
        <f t="shared" si="470"/>
        <v>7050.1700317499271</v>
      </c>
      <c r="CK132" s="72">
        <f t="shared" si="471"/>
        <v>1744031.4904064829</v>
      </c>
      <c r="CL132" s="72">
        <f t="shared" si="472"/>
        <v>1744031.4904064832</v>
      </c>
      <c r="CM132" s="12" t="s">
        <v>581</v>
      </c>
      <c r="CN132" s="12">
        <f>247.34*10^4/10^6*("2008/09/30"-"2008/05/01")*24/'[6]classess-1'!$I$75</f>
        <v>12315.894090129594</v>
      </c>
      <c r="CO132" s="12">
        <f>SQRT((1/[7]Classess!$I$75)^2*(61.84*10^4/10^6*("2008/09/30"-"2008/05/01")*24)^2+(-CN132/([7]Classess!$I$75)^2)^2*([7]Classess!$J$75)^2)</f>
        <v>3346.1883831600085</v>
      </c>
      <c r="CP132" s="13">
        <v>57</v>
      </c>
      <c r="CQ132" s="19">
        <f t="shared" si="473"/>
        <v>0.27169674882489986</v>
      </c>
      <c r="CR132" s="12">
        <f>293.72*10^4/10^6*("2008/09/30"-"2008/05/01")*24/'[6]classess-1'!$I$76</f>
        <v>12460.292931851514</v>
      </c>
      <c r="CS132" s="12">
        <f>SQRT((1/[7]Classess!$I$76)^2*(46.376811594202*10^4/10^6*("2008/09/30"-"2008/05/01")*24)^2+(-CR132/([7]Classess!$I$76)^2)^2*([7]Classess!$J$76)^2)</f>
        <v>2060.2193631794362</v>
      </c>
      <c r="CT132" s="13">
        <v>57</v>
      </c>
      <c r="CU132" s="19">
        <f t="shared" si="474"/>
        <v>0.16534277118903187</v>
      </c>
      <c r="CV132" s="75">
        <f t="shared" si="475"/>
        <v>144.39884172192069</v>
      </c>
      <c r="CW132" s="12">
        <f t="shared" si="476"/>
        <v>2778.6220073999339</v>
      </c>
      <c r="CX132" s="72">
        <f t="shared" si="477"/>
        <v>270903.16701779776</v>
      </c>
      <c r="CY132" s="72">
        <f t="shared" si="478"/>
        <v>270903.16701779782</v>
      </c>
      <c r="CZ132" s="12" t="s">
        <v>581</v>
      </c>
      <c r="DA132" s="12">
        <f>-297.1*10^4/10^6*("2008/09/30"-"2008/05/01")*24/'[6]classess-1'!$I$23</f>
        <v>-4268.271466261881</v>
      </c>
      <c r="DB132" s="12">
        <f>SQRT((1/[7]Classess!$I$23)^2*(69.57*10^4/10^6*("2008/09/30"-"2008/05/01")*24)^2+(-DA132/([7]Classess!$I$23)^2)^2*([7]Classess!$J$23)^2)</f>
        <v>1045.11699982255</v>
      </c>
      <c r="DC132" s="13">
        <v>57</v>
      </c>
      <c r="DD132" s="19">
        <f t="shared" si="479"/>
        <v>0.24485719994231187</v>
      </c>
      <c r="DE132" s="12">
        <f>-239.13*10^4/10^6*("2008/09/30"-"2008/05/01")*24/'[6]classess-1'!$I$24</f>
        <v>-6195.2513702134684</v>
      </c>
      <c r="DF132" s="12">
        <f>SQRT((1/[7]Classess!$I$24)^2*(350.14*10^4/10^6*("2008/09/30"-"2008/05/01")*24)^2+(-DE132/([7]Classess!$I$24)^2)^2*([7]Classess!$J$24)^2)</f>
        <v>9103.6281168464357</v>
      </c>
      <c r="DG132" s="13">
        <v>57</v>
      </c>
      <c r="DH132" s="19">
        <f t="shared" si="480"/>
        <v>1.4694525811521275</v>
      </c>
      <c r="DI132" s="19">
        <f t="shared" si="503"/>
        <v>-1926.9799039515874</v>
      </c>
      <c r="DJ132" s="12">
        <f t="shared" si="481"/>
        <v>6479.5182858432872</v>
      </c>
      <c r="DK132" s="72">
        <f t="shared" si="482"/>
        <v>1473128.323388685</v>
      </c>
      <c r="DL132" s="72">
        <f t="shared" si="483"/>
        <v>1473128.3233886855</v>
      </c>
      <c r="DM132" s="15" t="s">
        <v>47</v>
      </c>
      <c r="DN132" s="19">
        <f>225.47*10^4/10^6*("2008/09/30"-"2008/05/01")/'[1]classes-1'!$I$67</f>
        <v>440.08296271455015</v>
      </c>
      <c r="DO132" s="12">
        <f>SQRT((1/[2]Classes!$I$67)^2*(32.710280373832*10^4/10^6*("2008/09/30"-"2008/05/01"))^2+(-DN132/([2]Classes!$I$67)^2)^2*([2]Classes!$J$67)^2)</f>
        <v>113.40347895786114</v>
      </c>
      <c r="DP132" s="13">
        <v>21</v>
      </c>
      <c r="DQ132" s="19">
        <f t="shared" si="500"/>
        <v>0.25768659222424328</v>
      </c>
      <c r="DR132" s="19">
        <f>161.21*10^4/10^6*("2008/09/30"-"2008/05/01")/'[1]classes-1'!$I$68</f>
        <v>251.76858211880577</v>
      </c>
      <c r="DS132" s="12">
        <f>SQRT((1/[2]Classes!$I$68)^2*(39.719626168224*10^4/10^6*("2008/09/30"-"2008/05/01"))^2+(-DR132/([2]Classes!$I$68)^2)^2*([2]Classes!$J$68)^2)</f>
        <v>162.14335017466513</v>
      </c>
      <c r="DT132" s="13">
        <v>21</v>
      </c>
      <c r="DU132" s="19">
        <f t="shared" si="484"/>
        <v>0.6440174099965823</v>
      </c>
      <c r="DV132" s="19">
        <f t="shared" si="501"/>
        <v>-188.31438059574438</v>
      </c>
      <c r="DW132" s="12">
        <f t="shared" si="485"/>
        <v>139.91214215644428</v>
      </c>
      <c r="DX132" s="72">
        <f t="shared" si="345"/>
        <v>1864.324525981435</v>
      </c>
      <c r="DY132" s="72">
        <f t="shared" si="346"/>
        <v>1864.3245259814348</v>
      </c>
      <c r="DZ132" s="15" t="s">
        <v>47</v>
      </c>
      <c r="EA132" s="19">
        <f>305.128205128205*10^4/10^9*("2008/09/30"-"2008/05/01")/'[3]classess-1'!$I$22</f>
        <v>0.6346932112781053</v>
      </c>
      <c r="EB132" s="19">
        <f>SQRT(([5]Classess!$I$22)^2*(50.2564102564099*10^4/10^9*("2008/09/30"-"2008/05/01"))^2+(-EA132/([5]Classess!$I$22)^2)^2*([5]Classess!$J$22)^2)</f>
        <v>0.12856385073753784</v>
      </c>
      <c r="EC132" s="72">
        <v>21</v>
      </c>
      <c r="ED132" s="52">
        <f t="shared" si="486"/>
        <v>0.20256062055342303</v>
      </c>
      <c r="EE132" s="19">
        <f>236.923076923077*10^4/10^9*("2008/09/30"-"2008/05/01")/'[3]classess-1'!$I$23</f>
        <v>0.75469233613036468</v>
      </c>
      <c r="EF132" s="19">
        <f>SQRT((1/[5]Classess!$I$23)^2*(64.615384615384*10^4/10^9*("2008/09/30"-"2008/05/01"))^2+(-EE132/([5]Classess!$I$23)^2)^2*([5]Classess!$J$23)^2)</f>
        <v>0.35864660190524744</v>
      </c>
      <c r="EG132" s="13">
        <v>21</v>
      </c>
      <c r="EH132" s="52">
        <f t="shared" si="487"/>
        <v>0.47522226573040915</v>
      </c>
      <c r="EI132" s="19">
        <f t="shared" si="502"/>
        <v>0.11999912485225939</v>
      </c>
      <c r="EJ132" s="12">
        <f t="shared" si="366"/>
        <v>0.26940308904562038</v>
      </c>
      <c r="EK132" s="19">
        <f t="shared" si="367"/>
        <v>6.9121927987926155E-3</v>
      </c>
      <c r="EL132" s="19">
        <f t="shared" si="368"/>
        <v>6.9121927987926164E-3</v>
      </c>
      <c r="EM132" s="12" t="s">
        <v>39</v>
      </c>
      <c r="EN132" s="12">
        <v>-4.96</v>
      </c>
      <c r="EO132" s="50">
        <f t="shared" si="398"/>
        <v>2.0211821378064148</v>
      </c>
      <c r="EP132" s="13">
        <v>21</v>
      </c>
      <c r="ER132" s="12">
        <v>-10.09</v>
      </c>
      <c r="ES132" s="50">
        <f t="shared" si="399"/>
        <v>2.2885537999077692</v>
      </c>
      <c r="ET132" s="13">
        <v>21</v>
      </c>
      <c r="EV132" s="19">
        <f t="shared" si="488"/>
        <v>-5.13</v>
      </c>
      <c r="EW132" s="12">
        <f t="shared" si="489"/>
        <v>2.1590108532913859</v>
      </c>
      <c r="EX132" s="19">
        <f t="shared" si="490"/>
        <v>0.44393598710761895</v>
      </c>
      <c r="EY132" s="19">
        <f t="shared" si="491"/>
        <v>0.44393598710761895</v>
      </c>
      <c r="FB132" s="12" t="s">
        <v>37</v>
      </c>
      <c r="FC132" s="12" t="s">
        <v>37</v>
      </c>
      <c r="FD132" s="11" t="s">
        <v>37</v>
      </c>
      <c r="FE132" s="12" t="s">
        <v>37</v>
      </c>
      <c r="FF132" s="20" t="s">
        <v>37</v>
      </c>
      <c r="FG132" s="11" t="s">
        <v>37</v>
      </c>
      <c r="FI132" s="12" t="s">
        <v>37</v>
      </c>
      <c r="FJ132" s="12" t="s">
        <v>37</v>
      </c>
      <c r="FK132" s="11" t="s">
        <v>37</v>
      </c>
      <c r="FL132" s="13" t="s">
        <v>37</v>
      </c>
      <c r="FM132" s="11" t="s">
        <v>37</v>
      </c>
      <c r="FN132" s="11" t="s">
        <v>37</v>
      </c>
      <c r="FP132" s="12" t="s">
        <v>37</v>
      </c>
      <c r="FQ132" s="12" t="s">
        <v>37</v>
      </c>
      <c r="FR132" s="11" t="s">
        <v>37</v>
      </c>
      <c r="FS132" s="13" t="s">
        <v>37</v>
      </c>
      <c r="FT132" s="11" t="s">
        <v>37</v>
      </c>
      <c r="FU132" s="11" t="s">
        <v>37</v>
      </c>
      <c r="FW132" s="12" t="s">
        <v>37</v>
      </c>
      <c r="FX132" s="12" t="s">
        <v>37</v>
      </c>
      <c r="FY132" s="11" t="s">
        <v>37</v>
      </c>
      <c r="FZ132" s="13" t="s">
        <v>37</v>
      </c>
      <c r="GA132" s="11" t="s">
        <v>37</v>
      </c>
      <c r="GB132" s="11" t="s">
        <v>37</v>
      </c>
      <c r="GO132" s="12" t="s">
        <v>660</v>
      </c>
      <c r="GP132" s="12" t="s">
        <v>330</v>
      </c>
      <c r="GQ132" s="12">
        <v>10.24</v>
      </c>
      <c r="GR132" s="50">
        <f t="shared" si="492"/>
        <v>0.97822266921800072</v>
      </c>
      <c r="GS132" s="13">
        <v>33</v>
      </c>
      <c r="GU132" s="12">
        <v>11.2</v>
      </c>
      <c r="GV132" s="50">
        <f t="shared" si="493"/>
        <v>1.1920852418096908</v>
      </c>
      <c r="GW132" s="13">
        <v>33</v>
      </c>
      <c r="GY132" s="19">
        <f t="shared" si="494"/>
        <v>8.9612158689687138E-2</v>
      </c>
      <c r="GZ132" s="19">
        <f t="shared" si="495"/>
        <v>6.1983506871176339E-4</v>
      </c>
      <c r="IK132" s="12" t="s">
        <v>37</v>
      </c>
      <c r="IL132" s="12" t="s">
        <v>37</v>
      </c>
      <c r="IM132" s="12" t="s">
        <v>37</v>
      </c>
      <c r="IO132" s="12" t="s">
        <v>37</v>
      </c>
      <c r="IP132" s="12" t="s">
        <v>37</v>
      </c>
      <c r="IQ132" s="12" t="s">
        <v>37</v>
      </c>
      <c r="IW132" s="12" t="s">
        <v>37</v>
      </c>
      <c r="IX132" s="12" t="s">
        <v>37</v>
      </c>
      <c r="IY132" s="13" t="s">
        <v>37</v>
      </c>
      <c r="JA132" s="12" t="s">
        <v>37</v>
      </c>
      <c r="JB132" s="12" t="s">
        <v>37</v>
      </c>
      <c r="JC132" s="13" t="s">
        <v>37</v>
      </c>
      <c r="JH132" s="12" t="s">
        <v>37</v>
      </c>
      <c r="JI132" s="12" t="s">
        <v>37</v>
      </c>
      <c r="JJ132" s="13" t="s">
        <v>37</v>
      </c>
      <c r="JL132" s="12" t="s">
        <v>37</v>
      </c>
      <c r="JM132" s="12" t="s">
        <v>37</v>
      </c>
      <c r="JN132" s="12" t="s">
        <v>37</v>
      </c>
      <c r="JS132" s="12" t="s">
        <v>37</v>
      </c>
      <c r="JT132" s="12" t="s">
        <v>37</v>
      </c>
      <c r="JU132" s="13" t="s">
        <v>37</v>
      </c>
      <c r="JW132" s="12" t="s">
        <v>37</v>
      </c>
      <c r="JX132" s="12" t="s">
        <v>37</v>
      </c>
      <c r="JY132" s="12" t="s">
        <v>37</v>
      </c>
      <c r="KE132" s="11" t="s">
        <v>37</v>
      </c>
      <c r="KF132" s="11" t="s">
        <v>37</v>
      </c>
      <c r="KG132" s="13" t="s">
        <v>37</v>
      </c>
      <c r="KH132" s="11" t="s">
        <v>37</v>
      </c>
      <c r="KI132" s="11" t="s">
        <v>37</v>
      </c>
      <c r="KJ132" s="11" t="s">
        <v>37</v>
      </c>
      <c r="KM132" s="12" t="s">
        <v>37</v>
      </c>
      <c r="KN132" s="12" t="s">
        <v>37</v>
      </c>
      <c r="KO132" s="11" t="s">
        <v>37</v>
      </c>
      <c r="KQ132" s="12" t="s">
        <v>37</v>
      </c>
      <c r="KR132" s="12" t="s">
        <v>37</v>
      </c>
      <c r="KS132" s="13" t="s">
        <v>37</v>
      </c>
      <c r="KX132" s="12" t="s">
        <v>37</v>
      </c>
      <c r="KY132" s="12" t="s">
        <v>37</v>
      </c>
      <c r="KZ132" s="13" t="s">
        <v>37</v>
      </c>
      <c r="LB132" s="12" t="s">
        <v>37</v>
      </c>
      <c r="LC132" s="12" t="s">
        <v>37</v>
      </c>
      <c r="LD132" s="13" t="s">
        <v>37</v>
      </c>
      <c r="LI132" s="12" t="s">
        <v>37</v>
      </c>
      <c r="LJ132" s="12" t="s">
        <v>37</v>
      </c>
      <c r="LK132" s="12" t="s">
        <v>37</v>
      </c>
      <c r="LM132" s="12" t="s">
        <v>37</v>
      </c>
      <c r="LN132" s="12" t="s">
        <v>37</v>
      </c>
      <c r="LO132" s="12" t="s">
        <v>37</v>
      </c>
      <c r="LU132" s="12" t="s">
        <v>37</v>
      </c>
      <c r="LV132" s="12" t="s">
        <v>37</v>
      </c>
      <c r="LW132" s="13" t="s">
        <v>37</v>
      </c>
      <c r="LY132" s="12" t="s">
        <v>37</v>
      </c>
      <c r="LZ132" s="12" t="s">
        <v>37</v>
      </c>
      <c r="MA132" s="12" t="s">
        <v>37</v>
      </c>
      <c r="MF132" s="12" t="s">
        <v>37</v>
      </c>
      <c r="MG132" s="12" t="s">
        <v>37</v>
      </c>
      <c r="MH132" s="12" t="s">
        <v>37</v>
      </c>
      <c r="MJ132" s="12" t="s">
        <v>37</v>
      </c>
      <c r="MK132" s="12" t="s">
        <v>37</v>
      </c>
      <c r="ML132" s="12" t="s">
        <v>37</v>
      </c>
      <c r="MQ132" s="12" t="s">
        <v>37</v>
      </c>
      <c r="MR132" s="12" t="s">
        <v>37</v>
      </c>
      <c r="MS132" s="12" t="s">
        <v>37</v>
      </c>
      <c r="MU132" s="12" t="s">
        <v>37</v>
      </c>
      <c r="MV132" s="12" t="s">
        <v>37</v>
      </c>
      <c r="MW132" s="12" t="s">
        <v>37</v>
      </c>
      <c r="NC132" s="12" t="s">
        <v>37</v>
      </c>
      <c r="ND132" s="12" t="s">
        <v>37</v>
      </c>
      <c r="NE132" s="13" t="s">
        <v>37</v>
      </c>
      <c r="NG132" s="12" t="s">
        <v>37</v>
      </c>
      <c r="NH132" s="12" t="s">
        <v>37</v>
      </c>
      <c r="NI132" s="13" t="s">
        <v>37</v>
      </c>
      <c r="NO132" s="12" t="s">
        <v>37</v>
      </c>
      <c r="NP132" s="12" t="s">
        <v>37</v>
      </c>
      <c r="NQ132" s="13" t="s">
        <v>37</v>
      </c>
      <c r="NS132" s="12" t="s">
        <v>37</v>
      </c>
      <c r="NT132" s="12" t="s">
        <v>37</v>
      </c>
      <c r="NU132" s="13" t="s">
        <v>37</v>
      </c>
      <c r="OA132" s="12" t="s">
        <v>37</v>
      </c>
      <c r="OB132" s="12" t="s">
        <v>37</v>
      </c>
      <c r="OC132" s="13" t="s">
        <v>37</v>
      </c>
      <c r="OE132" s="12" t="s">
        <v>37</v>
      </c>
      <c r="OF132" s="12" t="s">
        <v>37</v>
      </c>
      <c r="OG132" s="13" t="s">
        <v>37</v>
      </c>
      <c r="OM132" s="12" t="s">
        <v>37</v>
      </c>
      <c r="ON132" s="12" t="s">
        <v>37</v>
      </c>
      <c r="OO132" s="12" t="s">
        <v>37</v>
      </c>
      <c r="OP132" s="12" t="s">
        <v>37</v>
      </c>
      <c r="OQ132" s="12" t="s">
        <v>37</v>
      </c>
      <c r="OR132" s="12" t="s">
        <v>37</v>
      </c>
      <c r="OS132" s="12"/>
      <c r="OT132" s="12"/>
      <c r="OW132" s="12" t="s">
        <v>37</v>
      </c>
      <c r="OX132" s="12" t="s">
        <v>37</v>
      </c>
      <c r="OY132" s="13" t="s">
        <v>37</v>
      </c>
      <c r="OZ132" s="12" t="s">
        <v>37</v>
      </c>
      <c r="PA132" s="12" t="s">
        <v>37</v>
      </c>
      <c r="PB132" s="13" t="s">
        <v>37</v>
      </c>
      <c r="PG132" s="11" t="s">
        <v>37</v>
      </c>
      <c r="PH132" s="11" t="s">
        <v>37</v>
      </c>
      <c r="PI132" s="13" t="s">
        <v>37</v>
      </c>
      <c r="PJ132" s="11" t="s">
        <v>37</v>
      </c>
      <c r="PK132" s="11" t="s">
        <v>37</v>
      </c>
      <c r="PL132" s="13" t="s">
        <v>37</v>
      </c>
      <c r="PQ132" s="12" t="s">
        <v>37</v>
      </c>
      <c r="PR132" s="12" t="s">
        <v>37</v>
      </c>
      <c r="PS132" s="12" t="s">
        <v>37</v>
      </c>
      <c r="PT132" s="12" t="s">
        <v>37</v>
      </c>
      <c r="PU132" s="12" t="s">
        <v>37</v>
      </c>
      <c r="PV132" s="12" t="s">
        <v>37</v>
      </c>
      <c r="PW132" s="12"/>
      <c r="PX132" s="12"/>
      <c r="PZ132" s="12" t="s">
        <v>37</v>
      </c>
      <c r="QA132" s="12" t="s">
        <v>37</v>
      </c>
      <c r="QB132" s="11" t="s">
        <v>37</v>
      </c>
      <c r="QD132" s="12" t="s">
        <v>37</v>
      </c>
      <c r="QE132" s="12" t="s">
        <v>37</v>
      </c>
      <c r="QF132" s="12" t="s">
        <v>37</v>
      </c>
      <c r="QK132" s="12" t="s">
        <v>37</v>
      </c>
      <c r="QL132" s="12" t="s">
        <v>37</v>
      </c>
      <c r="QM132" s="12" t="s">
        <v>37</v>
      </c>
      <c r="QN132" s="12" t="s">
        <v>37</v>
      </c>
      <c r="QO132" s="12" t="s">
        <v>37</v>
      </c>
      <c r="QP132" s="12" t="s">
        <v>37</v>
      </c>
      <c r="QQ132" s="12"/>
      <c r="QR132" s="12"/>
      <c r="QU132" s="12" t="s">
        <v>37</v>
      </c>
      <c r="QV132" s="12" t="s">
        <v>37</v>
      </c>
      <c r="QW132" s="12" t="s">
        <v>37</v>
      </c>
      <c r="QX132" s="12" t="s">
        <v>37</v>
      </c>
      <c r="QY132" s="12" t="s">
        <v>37</v>
      </c>
      <c r="QZ132" s="12" t="s">
        <v>37</v>
      </c>
      <c r="RC132" s="12" t="s">
        <v>37</v>
      </c>
      <c r="RD132" s="12" t="s">
        <v>37</v>
      </c>
      <c r="RE132" s="13" t="s">
        <v>37</v>
      </c>
      <c r="RF132" s="12" t="s">
        <v>37</v>
      </c>
      <c r="RG132" s="12" t="s">
        <v>37</v>
      </c>
      <c r="RH132" s="13" t="s">
        <v>37</v>
      </c>
      <c r="RK132" s="12" t="s">
        <v>37</v>
      </c>
      <c r="RL132" s="12" t="s">
        <v>37</v>
      </c>
      <c r="RM132" s="11" t="s">
        <v>37</v>
      </c>
      <c r="RN132" s="12" t="s">
        <v>37</v>
      </c>
      <c r="RO132" s="12" t="s">
        <v>37</v>
      </c>
      <c r="RP132" s="11" t="s">
        <v>37</v>
      </c>
      <c r="RS132" s="12" t="s">
        <v>37</v>
      </c>
      <c r="RT132" s="12" t="s">
        <v>37</v>
      </c>
      <c r="RU132" s="12" t="s">
        <v>37</v>
      </c>
      <c r="RV132" s="12" t="s">
        <v>37</v>
      </c>
      <c r="RW132" s="12" t="s">
        <v>37</v>
      </c>
      <c r="RX132" s="12" t="s">
        <v>37</v>
      </c>
      <c r="SA132" s="12" t="s">
        <v>37</v>
      </c>
      <c r="SB132" s="12" t="s">
        <v>37</v>
      </c>
      <c r="SC132" s="12" t="s">
        <v>37</v>
      </c>
      <c r="SD132" s="12" t="s">
        <v>37</v>
      </c>
      <c r="SE132" s="12" t="s">
        <v>37</v>
      </c>
      <c r="SF132" s="12" t="s">
        <v>37</v>
      </c>
      <c r="SI132" s="12" t="s">
        <v>37</v>
      </c>
      <c r="SJ132" s="12" t="s">
        <v>37</v>
      </c>
      <c r="SK132" s="13" t="s">
        <v>37</v>
      </c>
      <c r="SM132" s="12" t="s">
        <v>37</v>
      </c>
      <c r="SN132" s="12" t="s">
        <v>37</v>
      </c>
      <c r="SO132" s="13" t="s">
        <v>37</v>
      </c>
      <c r="SU132" s="12" t="s">
        <v>37</v>
      </c>
      <c r="SV132" s="12" t="s">
        <v>37</v>
      </c>
      <c r="SW132" s="11" t="s">
        <v>37</v>
      </c>
      <c r="SX132" s="12" t="s">
        <v>37</v>
      </c>
      <c r="SY132" s="12" t="s">
        <v>37</v>
      </c>
      <c r="SZ132" s="11" t="s">
        <v>37</v>
      </c>
      <c r="TE132" s="12" t="s">
        <v>37</v>
      </c>
      <c r="TF132" s="12" t="s">
        <v>37</v>
      </c>
      <c r="TG132" s="11" t="s">
        <v>37</v>
      </c>
      <c r="TH132" s="12" t="s">
        <v>37</v>
      </c>
      <c r="TI132" s="12" t="s">
        <v>37</v>
      </c>
      <c r="TJ132" s="11" t="s">
        <v>37</v>
      </c>
      <c r="TO132" s="12" t="s">
        <v>37</v>
      </c>
      <c r="TP132" s="12" t="s">
        <v>37</v>
      </c>
      <c r="TQ132" s="11" t="s">
        <v>37</v>
      </c>
      <c r="TR132" s="12" t="s">
        <v>37</v>
      </c>
      <c r="TS132" s="12" t="s">
        <v>37</v>
      </c>
      <c r="TT132" s="11" t="s">
        <v>37</v>
      </c>
      <c r="TY132" s="12" t="s">
        <v>37</v>
      </c>
      <c r="TZ132" s="12" t="s">
        <v>37</v>
      </c>
      <c r="UA132" s="12" t="s">
        <v>37</v>
      </c>
      <c r="UB132" s="12" t="s">
        <v>37</v>
      </c>
      <c r="UC132" s="12" t="s">
        <v>37</v>
      </c>
      <c r="UD132" s="12" t="s">
        <v>37</v>
      </c>
      <c r="UE132" s="12"/>
      <c r="UF132" s="12"/>
      <c r="UI132" s="12" t="s">
        <v>37</v>
      </c>
      <c r="UJ132" s="12" t="s">
        <v>37</v>
      </c>
      <c r="UK132" s="12" t="s">
        <v>37</v>
      </c>
      <c r="UL132" s="12" t="s">
        <v>37</v>
      </c>
      <c r="UM132" s="12" t="s">
        <v>37</v>
      </c>
      <c r="UN132" s="12" t="s">
        <v>37</v>
      </c>
      <c r="UO132" s="12"/>
      <c r="UP132" s="12"/>
      <c r="UR132" s="12" t="s">
        <v>37</v>
      </c>
      <c r="US132" s="12" t="s">
        <v>37</v>
      </c>
      <c r="UT132" s="12" t="s">
        <v>37</v>
      </c>
      <c r="UU132" s="12" t="s">
        <v>37</v>
      </c>
      <c r="UV132" s="12" t="s">
        <v>37</v>
      </c>
      <c r="UW132" s="12" t="s">
        <v>37</v>
      </c>
      <c r="UX132" s="12"/>
      <c r="UY132" s="12"/>
      <c r="VB132" s="12" t="s">
        <v>37</v>
      </c>
      <c r="VC132" s="12" t="s">
        <v>37</v>
      </c>
      <c r="VD132" s="12" t="s">
        <v>37</v>
      </c>
      <c r="VE132" s="12" t="s">
        <v>37</v>
      </c>
      <c r="VF132" s="12" t="s">
        <v>37</v>
      </c>
      <c r="VG132" s="12" t="s">
        <v>37</v>
      </c>
      <c r="VI132" s="12" t="s">
        <v>37</v>
      </c>
      <c r="VJ132" s="12" t="s">
        <v>37</v>
      </c>
      <c r="VK132" s="12" t="s">
        <v>37</v>
      </c>
      <c r="VL132" s="12" t="s">
        <v>37</v>
      </c>
      <c r="VM132" s="12" t="s">
        <v>37</v>
      </c>
      <c r="VN132" s="12" t="s">
        <v>37</v>
      </c>
      <c r="VQ132" s="13" t="s">
        <v>37</v>
      </c>
      <c r="VR132" s="13" t="s">
        <v>37</v>
      </c>
      <c r="VS132" s="13" t="s">
        <v>37</v>
      </c>
      <c r="VT132" s="13" t="s">
        <v>37</v>
      </c>
      <c r="VU132" s="13" t="s">
        <v>37</v>
      </c>
      <c r="VV132" s="13" t="s">
        <v>37</v>
      </c>
      <c r="WA132" s="13" t="s">
        <v>37</v>
      </c>
      <c r="WB132" s="13" t="s">
        <v>37</v>
      </c>
      <c r="WC132" s="13" t="s">
        <v>37</v>
      </c>
      <c r="WD132" s="13" t="s">
        <v>37</v>
      </c>
      <c r="WE132" s="13" t="s">
        <v>37</v>
      </c>
      <c r="WF132" s="13" t="s">
        <v>37</v>
      </c>
    </row>
    <row r="133" spans="1:604" ht="18" customHeight="1" x14ac:dyDescent="0.4">
      <c r="A133" s="11">
        <v>29</v>
      </c>
      <c r="B133" s="16" t="s">
        <v>225</v>
      </c>
      <c r="C133" s="12" t="s">
        <v>26</v>
      </c>
      <c r="D133" s="12" t="s">
        <v>54</v>
      </c>
      <c r="E133" s="40">
        <v>1.25</v>
      </c>
      <c r="F133" s="14">
        <v>0</v>
      </c>
      <c r="G133" s="14">
        <v>0</v>
      </c>
      <c r="H133" s="12" t="s">
        <v>123</v>
      </c>
      <c r="I133" s="29">
        <v>67.983000000000004</v>
      </c>
      <c r="J133" s="29">
        <v>24.2</v>
      </c>
      <c r="K133" s="12" t="s">
        <v>717</v>
      </c>
      <c r="L133" s="12" t="s">
        <v>668</v>
      </c>
      <c r="M133" s="13" t="s">
        <v>37</v>
      </c>
      <c r="N133" s="14">
        <v>-1.4</v>
      </c>
      <c r="O133" s="14">
        <v>511</v>
      </c>
      <c r="P133" s="14" t="s">
        <v>84</v>
      </c>
      <c r="Q133" s="75">
        <v>36</v>
      </c>
      <c r="R133" s="11" t="s">
        <v>1000</v>
      </c>
      <c r="S133" s="12" t="s">
        <v>85</v>
      </c>
      <c r="T133" s="12" t="s">
        <v>473</v>
      </c>
      <c r="U133" s="12" t="s">
        <v>158</v>
      </c>
      <c r="V133" s="12" t="s">
        <v>275</v>
      </c>
      <c r="W133" s="23" t="s">
        <v>228</v>
      </c>
      <c r="X133" s="12" t="s">
        <v>280</v>
      </c>
      <c r="Y133" s="12" t="s">
        <v>69</v>
      </c>
      <c r="Z133" s="12" t="s">
        <v>37</v>
      </c>
      <c r="AB133" s="12" t="s">
        <v>37</v>
      </c>
      <c r="AE133" s="12" t="s">
        <v>37</v>
      </c>
      <c r="AH133" s="12" t="s">
        <v>37</v>
      </c>
      <c r="AK133" s="12" t="s">
        <v>37</v>
      </c>
      <c r="AL133" s="32" t="s">
        <v>530</v>
      </c>
      <c r="AM133" s="12" t="s">
        <v>317</v>
      </c>
      <c r="AN133" s="32" t="s">
        <v>880</v>
      </c>
      <c r="AO133" s="12" t="s">
        <v>37</v>
      </c>
      <c r="AP133" s="12" t="s">
        <v>108</v>
      </c>
      <c r="AQ133" s="12" t="s">
        <v>975</v>
      </c>
      <c r="AT133" s="12" t="s">
        <v>326</v>
      </c>
      <c r="AU133" s="12" t="s">
        <v>326</v>
      </c>
      <c r="AV133" s="13" t="s">
        <v>326</v>
      </c>
      <c r="AX133" s="12" t="s">
        <v>326</v>
      </c>
      <c r="AY133" s="12" t="s">
        <v>326</v>
      </c>
      <c r="AZ133" s="13" t="s">
        <v>326</v>
      </c>
      <c r="BE133" s="12" t="s">
        <v>326</v>
      </c>
      <c r="BF133" s="12" t="s">
        <v>326</v>
      </c>
      <c r="BG133" s="12" t="s">
        <v>326</v>
      </c>
      <c r="BI133" s="12" t="s">
        <v>326</v>
      </c>
      <c r="BJ133" s="12" t="s">
        <v>326</v>
      </c>
      <c r="BK133" s="12" t="s">
        <v>326</v>
      </c>
      <c r="BP133" s="12" t="s">
        <v>37</v>
      </c>
      <c r="BQ133" s="12" t="s">
        <v>37</v>
      </c>
      <c r="BR133" s="13" t="s">
        <v>37</v>
      </c>
      <c r="BT133" s="12" t="s">
        <v>37</v>
      </c>
      <c r="BU133" s="12" t="s">
        <v>37</v>
      </c>
      <c r="BV133" s="12" t="s">
        <v>37</v>
      </c>
      <c r="BZ133" s="12" t="s">
        <v>581</v>
      </c>
      <c r="CA133" s="12">
        <f t="shared" si="496"/>
        <v>-16584.165556391476</v>
      </c>
      <c r="CB133" s="12">
        <f t="shared" si="497"/>
        <v>3505.6021221629076</v>
      </c>
      <c r="CC133" s="13">
        <v>57</v>
      </c>
      <c r="CD133" s="19">
        <f t="shared" si="467"/>
        <v>0.2113824847106559</v>
      </c>
      <c r="CE133" s="12">
        <f t="shared" si="498"/>
        <v>-16893.314446670054</v>
      </c>
      <c r="CF133" s="12">
        <f>SQRT(CS133^2+DF133^2)</f>
        <v>9325.4215781383391</v>
      </c>
      <c r="CG133" s="13">
        <v>57</v>
      </c>
      <c r="CH133" s="19">
        <f t="shared" si="468"/>
        <v>0.55201846905635088</v>
      </c>
      <c r="CI133" s="75">
        <f>CE133-CA133</f>
        <v>-309.14889027857862</v>
      </c>
      <c r="CJ133" s="12">
        <f t="shared" si="470"/>
        <v>7044.5984218023823</v>
      </c>
      <c r="CK133" s="72">
        <f t="shared" si="471"/>
        <v>1741276.0324372144</v>
      </c>
      <c r="CL133" s="72">
        <f t="shared" si="472"/>
        <v>1741276.0324372144</v>
      </c>
      <c r="CM133" s="12" t="s">
        <v>581</v>
      </c>
      <c r="CN133" s="12">
        <f>247.34*10^4/10^6*("2008/09/30"-"2008/05/01")*24/'[6]classess-1'!$I$75</f>
        <v>12315.894090129594</v>
      </c>
      <c r="CO133" s="12">
        <f>SQRT((1/[7]Classess!$I$75)^2*(61.84*10^4/10^6*("2008/09/30"-"2008/05/01")*24)^2+(-CN133/([7]Classess!$I$75)^2)^2*([7]Classess!$J$75)^2)</f>
        <v>3346.1883831600085</v>
      </c>
      <c r="CP133" s="13">
        <v>57</v>
      </c>
      <c r="CQ133" s="19">
        <f t="shared" si="473"/>
        <v>0.27169674882489986</v>
      </c>
      <c r="CR133" s="12">
        <f>262.8*10^4/10^6*("2008/09/30"-"2008/05/01")*24/'[6]classess-1'!$I$76</f>
        <v>11148.593839338751</v>
      </c>
      <c r="CS133" s="12">
        <f>SQRT((1/[7]Classess!$I$76)^2*(46.376811594202*10^4/10^6*("2008/09/30"-"2008/05/01")*24)^2+(-CR133/([7]Classess!$I$76)^2)^2*([7]Classess!$J$76)^2)</f>
        <v>2042.0451589318177</v>
      </c>
      <c r="CT133" s="13">
        <v>57</v>
      </c>
      <c r="CU133" s="19">
        <f t="shared" si="474"/>
        <v>0.18316616322735604</v>
      </c>
      <c r="CV133" s="75">
        <f t="shared" si="475"/>
        <v>-1167.3002507908423</v>
      </c>
      <c r="CW133" s="12">
        <f t="shared" si="476"/>
        <v>2771.9059441755835</v>
      </c>
      <c r="CX133" s="72">
        <f t="shared" si="477"/>
        <v>269595.17766161164</v>
      </c>
      <c r="CY133" s="72">
        <f t="shared" si="478"/>
        <v>269595.1776616117</v>
      </c>
      <c r="CZ133" s="12" t="s">
        <v>581</v>
      </c>
      <c r="DA133" s="12">
        <f>-297.1*10^4/10^6*("2008/09/30"-"2008/05/01")*24/'[6]classess-1'!$I$23</f>
        <v>-4268.271466261881</v>
      </c>
      <c r="DB133" s="12">
        <f>DB132</f>
        <v>1045.11699982255</v>
      </c>
      <c r="DC133" s="13">
        <v>57</v>
      </c>
      <c r="DD133" s="19">
        <f t="shared" si="479"/>
        <v>0.24485719994231187</v>
      </c>
      <c r="DE133" s="12">
        <f>-221.74*10^4/10^6*("2008/09/30"-"2008/05/01")*24/'[6]classess-1'!$I$24</f>
        <v>-5744.7206073313027</v>
      </c>
      <c r="DF133" s="12">
        <f>SQRT((1/[7]Classess!$I$24)^2*(350.14*10^4/10^6*("2008/09/30"-"2008/05/01")*24)^2+(-DE133/([7]Classess!$I$24)^2)^2*([7]Classess!$J$24)^2)</f>
        <v>9099.0955143295014</v>
      </c>
      <c r="DG133" s="13">
        <v>57</v>
      </c>
      <c r="DH133" s="19">
        <f t="shared" si="480"/>
        <v>1.5839056650931655</v>
      </c>
      <c r="DI133" s="19">
        <f t="shared" si="503"/>
        <v>-1476.4491410694218</v>
      </c>
      <c r="DJ133" s="12">
        <f t="shared" si="481"/>
        <v>6476.334176145072</v>
      </c>
      <c r="DK133" s="72">
        <f t="shared" si="482"/>
        <v>1471680.8547756022</v>
      </c>
      <c r="DL133" s="72">
        <f t="shared" si="483"/>
        <v>1471680.8547756025</v>
      </c>
      <c r="DM133" s="15" t="s">
        <v>47</v>
      </c>
      <c r="DN133" s="19">
        <f>225.47*10^4/10^6*("2008/09/30"-"2008/05/01")/'[1]classes-1'!$I$67</f>
        <v>440.08296271455015</v>
      </c>
      <c r="DO133" s="12">
        <f>DO132</f>
        <v>113.40347895786114</v>
      </c>
      <c r="DP133" s="13">
        <v>21</v>
      </c>
      <c r="DQ133" s="19">
        <f t="shared" si="500"/>
        <v>0.25768659222424328</v>
      </c>
      <c r="DR133" s="19">
        <f>16.36*10^4/10^6*("2008/09/30"-"2008/05/01")/'[1]classes-1'!$I$68</f>
        <v>25.550114778634466</v>
      </c>
      <c r="DS133" s="12">
        <f>SQRT((1/[2]Classes!$I$68)^2*(7.0093457943924*10^4/10^6*("2008/09/30"-"2008/05/01"))^2+(-DR133/([2]Classes!$I$68)^2)^2*([2]Classes!$J$68)^2)</f>
        <v>18.733958929588759</v>
      </c>
      <c r="DT133" s="13">
        <v>21</v>
      </c>
      <c r="DU133" s="19">
        <f t="shared" si="484"/>
        <v>0.73322406149245489</v>
      </c>
      <c r="DV133" s="19">
        <f t="shared" si="501"/>
        <v>-414.5328479359157</v>
      </c>
      <c r="DW133" s="12">
        <f t="shared" si="485"/>
        <v>81.275181503708666</v>
      </c>
      <c r="DX133" s="72">
        <f t="shared" si="345"/>
        <v>629.11001223436062</v>
      </c>
      <c r="DY133" s="72">
        <f t="shared" si="346"/>
        <v>629.11001223436062</v>
      </c>
      <c r="DZ133" s="15" t="s">
        <v>47</v>
      </c>
      <c r="EA133" s="19">
        <f>305.128205128205*10^4/10^9*("2008/09/30"-"2008/05/01")/'[3]classess-1'!$I$22</f>
        <v>0.6346932112781053</v>
      </c>
      <c r="EB133" s="19">
        <f>EB132</f>
        <v>0.12856385073753784</v>
      </c>
      <c r="EC133" s="72">
        <v>21</v>
      </c>
      <c r="ED133" s="52">
        <f>EB133/ABS(EA133)</f>
        <v>0.20256062055342303</v>
      </c>
      <c r="EE133" s="19">
        <f>(244.102564102564*10^4/10^9*("2008/09/30"-"2008/05/01"))/'[3]classess-1'!$I$23</f>
        <v>0.77756180086158733</v>
      </c>
      <c r="EF133" s="19">
        <f>SQRT((1/[5]Classess!$I$23)^2*(93.333333333334*10^4/10^9*("2008/09/30"-"2008/05/01"))^2+(-EE133/([5]Classess!$I$23)^2)^2*([5]Classess!$J$23)^2)</f>
        <v>0.42421666014248416</v>
      </c>
      <c r="EG133" s="13">
        <v>21</v>
      </c>
      <c r="EH133" s="52">
        <f t="shared" si="487"/>
        <v>0.54557291738409142</v>
      </c>
      <c r="EI133" s="19">
        <f t="shared" si="502"/>
        <v>0.14286858958348203</v>
      </c>
      <c r="EJ133" s="12">
        <f t="shared" si="366"/>
        <v>0.31343933899473103</v>
      </c>
      <c r="EK133" s="19">
        <f t="shared" si="367"/>
        <v>9.3565923075670382E-3</v>
      </c>
      <c r="EL133" s="19">
        <f t="shared" si="368"/>
        <v>9.3565923075670382E-3</v>
      </c>
      <c r="EM133" s="12" t="s">
        <v>39</v>
      </c>
      <c r="EN133" s="12">
        <v>-4.96</v>
      </c>
      <c r="EO133" s="50">
        <f t="shared" si="398"/>
        <v>2.0211821378064148</v>
      </c>
      <c r="EP133" s="13">
        <v>21</v>
      </c>
      <c r="ER133" s="12">
        <v>-14.16</v>
      </c>
      <c r="ES133" s="50">
        <f t="shared" si="399"/>
        <v>3.2116869976901894</v>
      </c>
      <c r="ET133" s="13">
        <v>21</v>
      </c>
      <c r="EV133" s="19">
        <f t="shared" si="488"/>
        <v>-9.1999999999999993</v>
      </c>
      <c r="EW133" s="12">
        <f t="shared" si="489"/>
        <v>2.683291878022211</v>
      </c>
      <c r="EX133" s="19">
        <f t="shared" si="490"/>
        <v>0.6857195526342823</v>
      </c>
      <c r="EY133" s="19">
        <f t="shared" si="491"/>
        <v>0.68571955263428241</v>
      </c>
      <c r="FB133" s="12" t="s">
        <v>37</v>
      </c>
      <c r="FC133" s="12" t="s">
        <v>37</v>
      </c>
      <c r="FD133" s="11" t="s">
        <v>37</v>
      </c>
      <c r="FE133" s="12" t="s">
        <v>37</v>
      </c>
      <c r="FF133" s="20" t="s">
        <v>37</v>
      </c>
      <c r="FG133" s="11" t="s">
        <v>37</v>
      </c>
      <c r="FI133" s="12" t="s">
        <v>37</v>
      </c>
      <c r="FJ133" s="12" t="s">
        <v>37</v>
      </c>
      <c r="FK133" s="11" t="s">
        <v>37</v>
      </c>
      <c r="FL133" s="13" t="s">
        <v>37</v>
      </c>
      <c r="FM133" s="11" t="s">
        <v>37</v>
      </c>
      <c r="FN133" s="11" t="s">
        <v>37</v>
      </c>
      <c r="FP133" s="12" t="s">
        <v>37</v>
      </c>
      <c r="FQ133" s="12" t="s">
        <v>37</v>
      </c>
      <c r="FR133" s="11" t="s">
        <v>37</v>
      </c>
      <c r="FS133" s="13" t="s">
        <v>37</v>
      </c>
      <c r="FT133" s="11" t="s">
        <v>37</v>
      </c>
      <c r="FU133" s="11" t="s">
        <v>37</v>
      </c>
      <c r="FW133" s="12" t="s">
        <v>37</v>
      </c>
      <c r="FX133" s="12" t="s">
        <v>37</v>
      </c>
      <c r="FY133" s="11" t="s">
        <v>37</v>
      </c>
      <c r="FZ133" s="13" t="s">
        <v>37</v>
      </c>
      <c r="GA133" s="11" t="s">
        <v>37</v>
      </c>
      <c r="GB133" s="11" t="s">
        <v>37</v>
      </c>
      <c r="GO133" s="12" t="s">
        <v>660</v>
      </c>
      <c r="GP133" s="12" t="s">
        <v>330</v>
      </c>
      <c r="GQ133" s="12">
        <v>10.24</v>
      </c>
      <c r="GR133" s="50">
        <f t="shared" si="492"/>
        <v>0.97822266921800072</v>
      </c>
      <c r="GS133" s="13">
        <v>33</v>
      </c>
      <c r="GU133" s="12">
        <v>11.04</v>
      </c>
      <c r="GV133" s="50">
        <f t="shared" si="493"/>
        <v>1.1750554526409809</v>
      </c>
      <c r="GW133" s="13">
        <v>33</v>
      </c>
      <c r="GY133" s="19">
        <f t="shared" si="494"/>
        <v>7.5223421237587532E-2</v>
      </c>
      <c r="GZ133" s="19">
        <f t="shared" si="495"/>
        <v>6.198350687117635E-4</v>
      </c>
      <c r="IK133" s="12" t="s">
        <v>37</v>
      </c>
      <c r="IL133" s="12" t="s">
        <v>37</v>
      </c>
      <c r="IM133" s="12" t="s">
        <v>37</v>
      </c>
      <c r="IO133" s="12" t="s">
        <v>37</v>
      </c>
      <c r="IP133" s="12" t="s">
        <v>37</v>
      </c>
      <c r="IQ133" s="12" t="s">
        <v>37</v>
      </c>
      <c r="IW133" s="12" t="s">
        <v>37</v>
      </c>
      <c r="IX133" s="12" t="s">
        <v>37</v>
      </c>
      <c r="IY133" s="13" t="s">
        <v>37</v>
      </c>
      <c r="JA133" s="12" t="s">
        <v>37</v>
      </c>
      <c r="JB133" s="12" t="s">
        <v>37</v>
      </c>
      <c r="JC133" s="13" t="s">
        <v>37</v>
      </c>
      <c r="JH133" s="12" t="s">
        <v>37</v>
      </c>
      <c r="JI133" s="12" t="s">
        <v>37</v>
      </c>
      <c r="JJ133" s="13" t="s">
        <v>37</v>
      </c>
      <c r="JL133" s="12" t="s">
        <v>37</v>
      </c>
      <c r="JM133" s="12" t="s">
        <v>37</v>
      </c>
      <c r="JN133" s="12" t="s">
        <v>37</v>
      </c>
      <c r="JS133" s="12" t="s">
        <v>37</v>
      </c>
      <c r="JT133" s="12" t="s">
        <v>37</v>
      </c>
      <c r="JU133" s="13" t="s">
        <v>37</v>
      </c>
      <c r="JW133" s="12" t="s">
        <v>37</v>
      </c>
      <c r="JX133" s="12" t="s">
        <v>37</v>
      </c>
      <c r="JY133" s="12" t="s">
        <v>37</v>
      </c>
      <c r="KE133" s="11" t="s">
        <v>37</v>
      </c>
      <c r="KF133" s="11" t="s">
        <v>37</v>
      </c>
      <c r="KG133" s="13" t="s">
        <v>37</v>
      </c>
      <c r="KH133" s="11" t="s">
        <v>37</v>
      </c>
      <c r="KI133" s="11" t="s">
        <v>37</v>
      </c>
      <c r="KJ133" s="11" t="s">
        <v>37</v>
      </c>
      <c r="KM133" s="12" t="s">
        <v>37</v>
      </c>
      <c r="KN133" s="12" t="s">
        <v>37</v>
      </c>
      <c r="KO133" s="11" t="s">
        <v>37</v>
      </c>
      <c r="KQ133" s="12" t="s">
        <v>37</v>
      </c>
      <c r="KR133" s="12" t="s">
        <v>37</v>
      </c>
      <c r="KS133" s="13" t="s">
        <v>37</v>
      </c>
      <c r="KX133" s="12" t="s">
        <v>37</v>
      </c>
      <c r="KY133" s="12" t="s">
        <v>37</v>
      </c>
      <c r="KZ133" s="13" t="s">
        <v>37</v>
      </c>
      <c r="LB133" s="12" t="s">
        <v>37</v>
      </c>
      <c r="LC133" s="12" t="s">
        <v>37</v>
      </c>
      <c r="LD133" s="13" t="s">
        <v>37</v>
      </c>
      <c r="LI133" s="12" t="s">
        <v>37</v>
      </c>
      <c r="LJ133" s="12" t="s">
        <v>37</v>
      </c>
      <c r="LK133" s="12" t="s">
        <v>37</v>
      </c>
      <c r="LM133" s="12" t="s">
        <v>37</v>
      </c>
      <c r="LN133" s="12" t="s">
        <v>37</v>
      </c>
      <c r="LO133" s="12" t="s">
        <v>37</v>
      </c>
      <c r="LU133" s="12" t="s">
        <v>37</v>
      </c>
      <c r="LV133" s="12" t="s">
        <v>37</v>
      </c>
      <c r="LW133" s="13" t="s">
        <v>37</v>
      </c>
      <c r="LY133" s="12" t="s">
        <v>37</v>
      </c>
      <c r="LZ133" s="12" t="s">
        <v>37</v>
      </c>
      <c r="MA133" s="12" t="s">
        <v>37</v>
      </c>
      <c r="MF133" s="12" t="s">
        <v>37</v>
      </c>
      <c r="MG133" s="12" t="s">
        <v>37</v>
      </c>
      <c r="MH133" s="12" t="s">
        <v>37</v>
      </c>
      <c r="MJ133" s="12" t="s">
        <v>37</v>
      </c>
      <c r="MK133" s="12" t="s">
        <v>37</v>
      </c>
      <c r="ML133" s="12" t="s">
        <v>37</v>
      </c>
      <c r="MQ133" s="12" t="s">
        <v>37</v>
      </c>
      <c r="MR133" s="12" t="s">
        <v>37</v>
      </c>
      <c r="MS133" s="12" t="s">
        <v>37</v>
      </c>
      <c r="MU133" s="12" t="s">
        <v>37</v>
      </c>
      <c r="MV133" s="12" t="s">
        <v>37</v>
      </c>
      <c r="MW133" s="12" t="s">
        <v>37</v>
      </c>
      <c r="NC133" s="12" t="s">
        <v>37</v>
      </c>
      <c r="ND133" s="12" t="s">
        <v>37</v>
      </c>
      <c r="NE133" s="13" t="s">
        <v>37</v>
      </c>
      <c r="NG133" s="12" t="s">
        <v>37</v>
      </c>
      <c r="NH133" s="12" t="s">
        <v>37</v>
      </c>
      <c r="NI133" s="13" t="s">
        <v>37</v>
      </c>
      <c r="NO133" s="12" t="s">
        <v>37</v>
      </c>
      <c r="NP133" s="12" t="s">
        <v>37</v>
      </c>
      <c r="NQ133" s="13" t="s">
        <v>37</v>
      </c>
      <c r="NS133" s="12" t="s">
        <v>37</v>
      </c>
      <c r="NT133" s="12" t="s">
        <v>37</v>
      </c>
      <c r="NU133" s="13" t="s">
        <v>37</v>
      </c>
      <c r="OA133" s="12" t="s">
        <v>37</v>
      </c>
      <c r="OB133" s="12" t="s">
        <v>37</v>
      </c>
      <c r="OC133" s="13" t="s">
        <v>37</v>
      </c>
      <c r="OE133" s="12" t="s">
        <v>37</v>
      </c>
      <c r="OF133" s="12" t="s">
        <v>37</v>
      </c>
      <c r="OG133" s="13" t="s">
        <v>37</v>
      </c>
      <c r="OM133" s="12" t="s">
        <v>37</v>
      </c>
      <c r="ON133" s="12" t="s">
        <v>37</v>
      </c>
      <c r="OO133" s="12" t="s">
        <v>37</v>
      </c>
      <c r="OP133" s="12" t="s">
        <v>37</v>
      </c>
      <c r="OQ133" s="12" t="s">
        <v>37</v>
      </c>
      <c r="OR133" s="12" t="s">
        <v>37</v>
      </c>
      <c r="OS133" s="12"/>
      <c r="OT133" s="12"/>
      <c r="OW133" s="12" t="s">
        <v>37</v>
      </c>
      <c r="OX133" s="12" t="s">
        <v>37</v>
      </c>
      <c r="OY133" s="13" t="s">
        <v>37</v>
      </c>
      <c r="OZ133" s="12" t="s">
        <v>37</v>
      </c>
      <c r="PA133" s="12" t="s">
        <v>37</v>
      </c>
      <c r="PB133" s="13" t="s">
        <v>37</v>
      </c>
      <c r="PG133" s="11" t="s">
        <v>37</v>
      </c>
      <c r="PH133" s="11" t="s">
        <v>37</v>
      </c>
      <c r="PI133" s="13" t="s">
        <v>37</v>
      </c>
      <c r="PJ133" s="11" t="s">
        <v>37</v>
      </c>
      <c r="PK133" s="11" t="s">
        <v>37</v>
      </c>
      <c r="PL133" s="13" t="s">
        <v>37</v>
      </c>
      <c r="PQ133" s="12" t="s">
        <v>37</v>
      </c>
      <c r="PR133" s="12" t="s">
        <v>37</v>
      </c>
      <c r="PS133" s="12" t="s">
        <v>37</v>
      </c>
      <c r="PT133" s="12" t="s">
        <v>37</v>
      </c>
      <c r="PU133" s="12" t="s">
        <v>37</v>
      </c>
      <c r="PV133" s="12" t="s">
        <v>37</v>
      </c>
      <c r="PW133" s="12"/>
      <c r="PX133" s="12"/>
      <c r="PZ133" s="12" t="s">
        <v>37</v>
      </c>
      <c r="QA133" s="12" t="s">
        <v>37</v>
      </c>
      <c r="QB133" s="11" t="s">
        <v>37</v>
      </c>
      <c r="QD133" s="12" t="s">
        <v>37</v>
      </c>
      <c r="QE133" s="12" t="s">
        <v>37</v>
      </c>
      <c r="QF133" s="12" t="s">
        <v>37</v>
      </c>
      <c r="QK133" s="12" t="s">
        <v>37</v>
      </c>
      <c r="QL133" s="12" t="s">
        <v>37</v>
      </c>
      <c r="QM133" s="12" t="s">
        <v>37</v>
      </c>
      <c r="QN133" s="12" t="s">
        <v>37</v>
      </c>
      <c r="QO133" s="12" t="s">
        <v>37</v>
      </c>
      <c r="QP133" s="12" t="s">
        <v>37</v>
      </c>
      <c r="QQ133" s="12"/>
      <c r="QR133" s="12"/>
      <c r="QU133" s="12" t="s">
        <v>37</v>
      </c>
      <c r="QV133" s="12" t="s">
        <v>37</v>
      </c>
      <c r="QW133" s="12" t="s">
        <v>37</v>
      </c>
      <c r="QX133" s="12" t="s">
        <v>37</v>
      </c>
      <c r="QY133" s="12" t="s">
        <v>37</v>
      </c>
      <c r="QZ133" s="12" t="s">
        <v>37</v>
      </c>
      <c r="RC133" s="12" t="s">
        <v>37</v>
      </c>
      <c r="RD133" s="12" t="s">
        <v>37</v>
      </c>
      <c r="RE133" s="13" t="s">
        <v>37</v>
      </c>
      <c r="RF133" s="12" t="s">
        <v>37</v>
      </c>
      <c r="RG133" s="12" t="s">
        <v>37</v>
      </c>
      <c r="RH133" s="13" t="s">
        <v>37</v>
      </c>
      <c r="RK133" s="12" t="s">
        <v>37</v>
      </c>
      <c r="RL133" s="12" t="s">
        <v>37</v>
      </c>
      <c r="RM133" s="11" t="s">
        <v>37</v>
      </c>
      <c r="RN133" s="12" t="s">
        <v>37</v>
      </c>
      <c r="RO133" s="12" t="s">
        <v>37</v>
      </c>
      <c r="RP133" s="11" t="s">
        <v>37</v>
      </c>
      <c r="RS133" s="12" t="s">
        <v>37</v>
      </c>
      <c r="RT133" s="12" t="s">
        <v>37</v>
      </c>
      <c r="RU133" s="12" t="s">
        <v>37</v>
      </c>
      <c r="RV133" s="12" t="s">
        <v>37</v>
      </c>
      <c r="RW133" s="12" t="s">
        <v>37</v>
      </c>
      <c r="RX133" s="12" t="s">
        <v>37</v>
      </c>
      <c r="SA133" s="12" t="s">
        <v>37</v>
      </c>
      <c r="SB133" s="12" t="s">
        <v>37</v>
      </c>
      <c r="SC133" s="12" t="s">
        <v>37</v>
      </c>
      <c r="SD133" s="12" t="s">
        <v>37</v>
      </c>
      <c r="SE133" s="12" t="s">
        <v>37</v>
      </c>
      <c r="SF133" s="12" t="s">
        <v>37</v>
      </c>
      <c r="SI133" s="12" t="s">
        <v>37</v>
      </c>
      <c r="SJ133" s="12" t="s">
        <v>37</v>
      </c>
      <c r="SK133" s="13" t="s">
        <v>37</v>
      </c>
      <c r="SM133" s="12" t="s">
        <v>37</v>
      </c>
      <c r="SN133" s="12" t="s">
        <v>37</v>
      </c>
      <c r="SO133" s="13" t="s">
        <v>37</v>
      </c>
      <c r="SU133" s="12" t="s">
        <v>37</v>
      </c>
      <c r="SV133" s="12" t="s">
        <v>37</v>
      </c>
      <c r="SW133" s="11" t="s">
        <v>37</v>
      </c>
      <c r="SX133" s="12" t="s">
        <v>37</v>
      </c>
      <c r="SY133" s="12" t="s">
        <v>37</v>
      </c>
      <c r="SZ133" s="11" t="s">
        <v>37</v>
      </c>
      <c r="TE133" s="12" t="s">
        <v>37</v>
      </c>
      <c r="TF133" s="12" t="s">
        <v>37</v>
      </c>
      <c r="TG133" s="11" t="s">
        <v>37</v>
      </c>
      <c r="TH133" s="12" t="s">
        <v>37</v>
      </c>
      <c r="TI133" s="12" t="s">
        <v>37</v>
      </c>
      <c r="TJ133" s="11" t="s">
        <v>37</v>
      </c>
      <c r="TO133" s="12" t="s">
        <v>37</v>
      </c>
      <c r="TP133" s="12" t="s">
        <v>37</v>
      </c>
      <c r="TQ133" s="11" t="s">
        <v>37</v>
      </c>
      <c r="TR133" s="12" t="s">
        <v>37</v>
      </c>
      <c r="TS133" s="12" t="s">
        <v>37</v>
      </c>
      <c r="TT133" s="11" t="s">
        <v>37</v>
      </c>
      <c r="TY133" s="12" t="s">
        <v>37</v>
      </c>
      <c r="TZ133" s="12" t="s">
        <v>37</v>
      </c>
      <c r="UA133" s="12" t="s">
        <v>37</v>
      </c>
      <c r="UB133" s="12" t="s">
        <v>37</v>
      </c>
      <c r="UC133" s="12" t="s">
        <v>37</v>
      </c>
      <c r="UD133" s="12" t="s">
        <v>37</v>
      </c>
      <c r="UE133" s="12"/>
      <c r="UF133" s="12"/>
      <c r="UI133" s="12" t="s">
        <v>37</v>
      </c>
      <c r="UJ133" s="12" t="s">
        <v>37</v>
      </c>
      <c r="UK133" s="12" t="s">
        <v>37</v>
      </c>
      <c r="UL133" s="12" t="s">
        <v>37</v>
      </c>
      <c r="UM133" s="12" t="s">
        <v>37</v>
      </c>
      <c r="UN133" s="12" t="s">
        <v>37</v>
      </c>
      <c r="UO133" s="12"/>
      <c r="UP133" s="12"/>
      <c r="UR133" s="12" t="s">
        <v>37</v>
      </c>
      <c r="US133" s="12" t="s">
        <v>37</v>
      </c>
      <c r="UT133" s="12" t="s">
        <v>37</v>
      </c>
      <c r="UU133" s="12" t="s">
        <v>37</v>
      </c>
      <c r="UV133" s="12" t="s">
        <v>37</v>
      </c>
      <c r="UW133" s="12" t="s">
        <v>37</v>
      </c>
      <c r="UX133" s="12"/>
      <c r="UY133" s="12"/>
      <c r="VB133" s="12" t="s">
        <v>37</v>
      </c>
      <c r="VC133" s="12" t="s">
        <v>37</v>
      </c>
      <c r="VD133" s="12" t="s">
        <v>37</v>
      </c>
      <c r="VE133" s="12" t="s">
        <v>37</v>
      </c>
      <c r="VF133" s="12" t="s">
        <v>37</v>
      </c>
      <c r="VG133" s="12" t="s">
        <v>37</v>
      </c>
      <c r="VI133" s="12" t="s">
        <v>37</v>
      </c>
      <c r="VJ133" s="12" t="s">
        <v>37</v>
      </c>
      <c r="VK133" s="12" t="s">
        <v>37</v>
      </c>
      <c r="VL133" s="12" t="s">
        <v>37</v>
      </c>
      <c r="VM133" s="12" t="s">
        <v>37</v>
      </c>
      <c r="VN133" s="12" t="s">
        <v>37</v>
      </c>
      <c r="VQ133" s="13" t="s">
        <v>37</v>
      </c>
      <c r="VR133" s="13" t="s">
        <v>37</v>
      </c>
      <c r="VS133" s="13" t="s">
        <v>37</v>
      </c>
      <c r="VT133" s="13" t="s">
        <v>37</v>
      </c>
      <c r="VU133" s="13" t="s">
        <v>37</v>
      </c>
      <c r="VV133" s="13" t="s">
        <v>37</v>
      </c>
      <c r="WA133" s="13" t="s">
        <v>37</v>
      </c>
      <c r="WB133" s="13" t="s">
        <v>37</v>
      </c>
      <c r="WC133" s="13" t="s">
        <v>37</v>
      </c>
      <c r="WD133" s="13" t="s">
        <v>37</v>
      </c>
      <c r="WE133" s="13" t="s">
        <v>37</v>
      </c>
      <c r="WF133" s="13" t="s">
        <v>37</v>
      </c>
    </row>
    <row r="134" spans="1:604" ht="18" customHeight="1" x14ac:dyDescent="0.4">
      <c r="A134" s="11">
        <v>31</v>
      </c>
      <c r="B134" s="16" t="s">
        <v>229</v>
      </c>
      <c r="C134" s="12" t="s">
        <v>26</v>
      </c>
      <c r="D134" s="12" t="s">
        <v>54</v>
      </c>
      <c r="E134" s="40" t="s">
        <v>37</v>
      </c>
      <c r="F134" s="14">
        <v>0</v>
      </c>
      <c r="G134" s="14">
        <v>0</v>
      </c>
      <c r="H134" s="12" t="s">
        <v>230</v>
      </c>
      <c r="I134" s="29">
        <v>45.982999999999997</v>
      </c>
      <c r="J134" s="29">
        <v>14.5</v>
      </c>
      <c r="K134" s="12" t="s">
        <v>718</v>
      </c>
      <c r="L134" s="12" t="s">
        <v>719</v>
      </c>
      <c r="M134" s="13" t="s">
        <v>37</v>
      </c>
      <c r="N134" s="13">
        <v>10</v>
      </c>
      <c r="O134" s="13">
        <v>1400</v>
      </c>
      <c r="P134" s="14" t="s">
        <v>679</v>
      </c>
      <c r="Q134" s="75" t="s">
        <v>326</v>
      </c>
      <c r="R134" s="11" t="s">
        <v>999</v>
      </c>
      <c r="S134" s="12" t="s">
        <v>93</v>
      </c>
      <c r="T134" s="12" t="s">
        <v>37</v>
      </c>
      <c r="U134" s="12" t="s">
        <v>158</v>
      </c>
      <c r="V134" s="12" t="s">
        <v>275</v>
      </c>
      <c r="W134" s="23" t="s">
        <v>49</v>
      </c>
      <c r="X134" s="12" t="s">
        <v>49</v>
      </c>
      <c r="Y134" s="12" t="s">
        <v>69</v>
      </c>
      <c r="Z134" s="12" t="s">
        <v>37</v>
      </c>
      <c r="AA134" s="32" t="s">
        <v>372</v>
      </c>
      <c r="AB134" s="12">
        <v>4.58</v>
      </c>
      <c r="AC134" s="12" t="s">
        <v>42</v>
      </c>
      <c r="AD134" s="32" t="s">
        <v>372</v>
      </c>
      <c r="AE134" s="12">
        <v>454</v>
      </c>
      <c r="AF134" s="12" t="s">
        <v>42</v>
      </c>
      <c r="AG134" s="32" t="s">
        <v>372</v>
      </c>
      <c r="AH134" s="12">
        <v>27.5</v>
      </c>
      <c r="AJ134" s="12" t="str">
        <f t="shared" ref="AJ134:AJ144" si="504">AD134</f>
        <v>0-20</v>
      </c>
      <c r="AK134" s="19">
        <f t="shared" ref="AK134:AK144" si="505">AE134/AH134</f>
        <v>16.509090909090908</v>
      </c>
      <c r="AL134" s="32" t="s">
        <v>231</v>
      </c>
      <c r="AM134" s="13" t="s">
        <v>344</v>
      </c>
      <c r="AO134" s="13" t="s">
        <v>318</v>
      </c>
      <c r="AP134" s="12" t="s">
        <v>167</v>
      </c>
      <c r="AQ134" s="12" t="s">
        <v>975</v>
      </c>
      <c r="AR134" s="12" t="s">
        <v>42</v>
      </c>
      <c r="AS134" s="32" t="s">
        <v>372</v>
      </c>
      <c r="AT134" s="12">
        <v>454</v>
      </c>
      <c r="AU134" s="12">
        <v>2.1</v>
      </c>
      <c r="AV134" s="13">
        <v>3</v>
      </c>
      <c r="AW134" s="19">
        <f>AU134/AT134</f>
        <v>4.6255506607929516E-3</v>
      </c>
      <c r="AX134" s="12">
        <v>404</v>
      </c>
      <c r="AY134" s="12">
        <v>7.8</v>
      </c>
      <c r="AZ134" s="13">
        <v>3</v>
      </c>
      <c r="BA134" s="19">
        <f>AY134/AX134</f>
        <v>1.9306930693069307E-2</v>
      </c>
      <c r="BB134" s="52">
        <f t="shared" ref="BB134:BB144" si="506">LN(AX134/AT134)</f>
        <v>-0.11668232008019788</v>
      </c>
      <c r="BC134" s="19">
        <f t="shared" ref="BC134:BC144" si="507">AY134^2/(AZ134*AX134^2)+AU134^2/(AV134*AT134^2)</f>
        <v>1.313844305675146E-4</v>
      </c>
      <c r="BE134" s="12" t="s">
        <v>326</v>
      </c>
      <c r="BF134" s="12" t="s">
        <v>326</v>
      </c>
      <c r="BG134" s="12" t="s">
        <v>326</v>
      </c>
      <c r="BI134" s="12" t="s">
        <v>326</v>
      </c>
      <c r="BJ134" s="12" t="s">
        <v>326</v>
      </c>
      <c r="BK134" s="12" t="s">
        <v>326</v>
      </c>
      <c r="BP134" s="12" t="s">
        <v>37</v>
      </c>
      <c r="BQ134" s="12" t="s">
        <v>37</v>
      </c>
      <c r="BR134" s="13" t="s">
        <v>37</v>
      </c>
      <c r="BT134" s="12" t="s">
        <v>37</v>
      </c>
      <c r="BU134" s="12" t="s">
        <v>37</v>
      </c>
      <c r="BV134" s="12" t="s">
        <v>37</v>
      </c>
      <c r="CA134" s="12" t="s">
        <v>37</v>
      </c>
      <c r="CB134" s="12" t="s">
        <v>37</v>
      </c>
      <c r="CC134" s="13" t="s">
        <v>37</v>
      </c>
      <c r="CE134" s="12" t="s">
        <v>37</v>
      </c>
      <c r="CF134" s="12" t="s">
        <v>37</v>
      </c>
      <c r="CG134" s="13" t="s">
        <v>37</v>
      </c>
      <c r="CI134" s="52"/>
      <c r="CJ134" s="52"/>
      <c r="CK134" s="73"/>
      <c r="CL134" s="73"/>
      <c r="CN134" s="12" t="s">
        <v>37</v>
      </c>
      <c r="CO134" s="12" t="s">
        <v>37</v>
      </c>
      <c r="CP134" s="13" t="s">
        <v>37</v>
      </c>
      <c r="CR134" s="12" t="s">
        <v>37</v>
      </c>
      <c r="CS134" s="12" t="s">
        <v>37</v>
      </c>
      <c r="CT134" s="13" t="s">
        <v>37</v>
      </c>
      <c r="CV134" s="52"/>
      <c r="CW134" s="52"/>
      <c r="CX134" s="73"/>
      <c r="CY134" s="73"/>
      <c r="DA134" s="12" t="s">
        <v>37</v>
      </c>
      <c r="DB134" s="12" t="s">
        <v>37</v>
      </c>
      <c r="DC134" s="13" t="s">
        <v>37</v>
      </c>
      <c r="DE134" s="12" t="s">
        <v>37</v>
      </c>
      <c r="DF134" s="12" t="s">
        <v>37</v>
      </c>
      <c r="DG134" s="13" t="s">
        <v>37</v>
      </c>
      <c r="DI134" s="52"/>
      <c r="DJ134" s="52"/>
      <c r="DK134" s="73"/>
      <c r="DL134" s="73"/>
      <c r="DM134" s="12" t="s">
        <v>47</v>
      </c>
      <c r="DN134" s="19">
        <f>0.31*10^4/10^3</f>
        <v>3.1</v>
      </c>
      <c r="DO134" s="12">
        <f>0.01*10^4/10^3</f>
        <v>0.1</v>
      </c>
      <c r="DP134" s="13">
        <v>3</v>
      </c>
      <c r="DQ134" s="19">
        <f t="shared" ref="DQ134:DQ144" si="508">DO134/ABS(DN134)</f>
        <v>3.2258064516129031E-2</v>
      </c>
      <c r="DR134" s="19">
        <f>-0.281*10^4/10^3</f>
        <v>-2.8100000000000005</v>
      </c>
      <c r="DS134" s="12">
        <f>0.01*10^4/10^3</f>
        <v>0.1</v>
      </c>
      <c r="DT134" s="13">
        <v>3</v>
      </c>
      <c r="DU134" s="19">
        <f>DS134/ABS(DR134)</f>
        <v>3.5587188612099641E-2</v>
      </c>
      <c r="DV134" s="19">
        <f t="shared" ref="DV134:DV171" si="509">DR134-DN134</f>
        <v>-5.91</v>
      </c>
      <c r="DW134" s="12">
        <f t="shared" si="485"/>
        <v>0.1</v>
      </c>
      <c r="DX134" s="72">
        <f t="shared" si="345"/>
        <v>6.666666666666668E-3</v>
      </c>
      <c r="DY134" s="72">
        <f t="shared" si="346"/>
        <v>6.666666666666668E-3</v>
      </c>
      <c r="DZ134" s="11" t="s">
        <v>47</v>
      </c>
      <c r="EC134" s="19"/>
      <c r="EG134" s="19"/>
      <c r="EH134" s="52"/>
      <c r="EM134" s="12" t="s">
        <v>39</v>
      </c>
      <c r="EN134" s="12">
        <v>-24.4</v>
      </c>
      <c r="EO134" s="12">
        <f>13.8*SQRT(3)</f>
        <v>23.902301144450508</v>
      </c>
      <c r="EP134" s="13">
        <v>3</v>
      </c>
      <c r="EQ134" s="19">
        <f t="shared" ref="EQ134:EQ182" si="510">EO134/ABS(EN134)</f>
        <v>0.9796025059201029</v>
      </c>
      <c r="ER134" s="12">
        <v>-57.4</v>
      </c>
      <c r="ES134" s="12">
        <f>16.4*SQRT(3)</f>
        <v>28.405633244129582</v>
      </c>
      <c r="ET134" s="13">
        <v>3</v>
      </c>
      <c r="EU134" s="19">
        <f t="shared" ref="EU134:EU182" si="511">ES134/ABS(ER134)</f>
        <v>0.49487165930539345</v>
      </c>
      <c r="EV134" s="19">
        <f t="shared" ref="EV134:EV146" si="512">ER134-EN134</f>
        <v>-33</v>
      </c>
      <c r="EW134" s="12">
        <f t="shared" si="489"/>
        <v>26.250714275996376</v>
      </c>
      <c r="EX134" s="19">
        <f t="shared" si="490"/>
        <v>459.39999999999992</v>
      </c>
      <c r="EY134" s="19">
        <f t="shared" si="491"/>
        <v>459.39999999999986</v>
      </c>
      <c r="FB134" s="12" t="s">
        <v>37</v>
      </c>
      <c r="FC134" s="12" t="s">
        <v>37</v>
      </c>
      <c r="FD134" s="11" t="s">
        <v>37</v>
      </c>
      <c r="FE134" s="12" t="s">
        <v>37</v>
      </c>
      <c r="FF134" s="20" t="s">
        <v>37</v>
      </c>
      <c r="FG134" s="11" t="s">
        <v>37</v>
      </c>
      <c r="FI134" s="12" t="s">
        <v>37</v>
      </c>
      <c r="FJ134" s="12" t="s">
        <v>37</v>
      </c>
      <c r="FK134" s="11" t="s">
        <v>37</v>
      </c>
      <c r="FL134" s="13" t="s">
        <v>37</v>
      </c>
      <c r="FM134" s="11" t="s">
        <v>37</v>
      </c>
      <c r="FN134" s="11" t="s">
        <v>37</v>
      </c>
      <c r="FP134" s="12" t="s">
        <v>37</v>
      </c>
      <c r="FQ134" s="12" t="s">
        <v>37</v>
      </c>
      <c r="FR134" s="11" t="s">
        <v>37</v>
      </c>
      <c r="FS134" s="13" t="s">
        <v>37</v>
      </c>
      <c r="FT134" s="11" t="s">
        <v>37</v>
      </c>
      <c r="FU134" s="11" t="s">
        <v>37</v>
      </c>
      <c r="FW134" s="12" t="s">
        <v>37</v>
      </c>
      <c r="FX134" s="12" t="s">
        <v>37</v>
      </c>
      <c r="FY134" s="11" t="s">
        <v>37</v>
      </c>
      <c r="FZ134" s="13" t="s">
        <v>37</v>
      </c>
      <c r="GA134" s="11" t="s">
        <v>37</v>
      </c>
      <c r="GB134" s="11" t="s">
        <v>37</v>
      </c>
      <c r="GC134" s="12" t="s">
        <v>170</v>
      </c>
      <c r="GD134" s="12" t="s">
        <v>372</v>
      </c>
      <c r="GE134" s="12">
        <v>8.14</v>
      </c>
      <c r="GF134" s="12">
        <v>0.28999999999999998</v>
      </c>
      <c r="GG134" s="13">
        <v>3</v>
      </c>
      <c r="GH134" s="19">
        <f>GF134/GE134</f>
        <v>3.5626535626535623E-2</v>
      </c>
      <c r="GI134" s="12">
        <v>4.7699999999999996</v>
      </c>
      <c r="GJ134" s="12">
        <v>0.41</v>
      </c>
      <c r="GK134" s="13">
        <v>3</v>
      </c>
      <c r="GL134" s="19">
        <f>GJ134/GI134</f>
        <v>8.5953878406708595E-2</v>
      </c>
      <c r="GM134" s="19">
        <f>LN(GI134/GE134)</f>
        <v>-0.53444387511419933</v>
      </c>
      <c r="GN134" s="19">
        <f>GJ134^2/(GK134*GI134^2)+GF134^2/(GG134*GE134^2)</f>
        <v>2.8857730846346859E-3</v>
      </c>
      <c r="GO134" s="12" t="s">
        <v>660</v>
      </c>
      <c r="GP134" s="12" t="s">
        <v>330</v>
      </c>
      <c r="GQ134" s="12">
        <v>8.68</v>
      </c>
      <c r="GR134" s="12">
        <v>1.08</v>
      </c>
      <c r="GS134" s="13">
        <v>3</v>
      </c>
      <c r="GT134" s="19">
        <f t="shared" ref="GT134" si="513">GR134/GQ134</f>
        <v>0.12442396313364057</v>
      </c>
      <c r="GU134" s="12">
        <v>9.36</v>
      </c>
      <c r="GV134" s="12">
        <v>1.18</v>
      </c>
      <c r="GW134" s="13">
        <v>3</v>
      </c>
      <c r="GX134" s="19">
        <f>GV134/GU134</f>
        <v>0.12606837606837606</v>
      </c>
      <c r="GY134" s="19">
        <f t="shared" si="494"/>
        <v>7.5423761817241877E-2</v>
      </c>
      <c r="GZ134" s="19">
        <f t="shared" ref="GZ134" si="514">GV134^2/(GW134*GU134^2)+GR134^2/(GS134*GQ134^2)</f>
        <v>1.0458186015466348E-2</v>
      </c>
      <c r="HA134" s="17" t="s">
        <v>63</v>
      </c>
      <c r="HB134" s="34" t="s">
        <v>372</v>
      </c>
      <c r="HC134" s="12">
        <v>0.16</v>
      </c>
      <c r="HD134" s="12">
        <v>0.05</v>
      </c>
      <c r="HE134" s="13">
        <v>3</v>
      </c>
      <c r="HF134" s="19">
        <f t="shared" ref="HF134" si="515">HD134/HC134</f>
        <v>0.3125</v>
      </c>
      <c r="HG134" s="12">
        <v>0.21</v>
      </c>
      <c r="HH134" s="12">
        <v>0.01</v>
      </c>
      <c r="HI134" s="13">
        <v>3</v>
      </c>
      <c r="HJ134" s="19">
        <f t="shared" ref="HJ134" si="516">HH134/HG134</f>
        <v>4.7619047619047623E-2</v>
      </c>
      <c r="HK134" s="19">
        <f t="shared" ref="HK134:HK144" si="517">LN(HG134/HC134)</f>
        <v>0.27193371548364176</v>
      </c>
      <c r="HL134" s="19">
        <f t="shared" ref="HL134:HL144" si="518">HH134^2/(HI134*HG134^2)+HD134^2/(HE134*HC134^2)</f>
        <v>3.3307941232048374E-2</v>
      </c>
      <c r="IK134" s="12" t="s">
        <v>37</v>
      </c>
      <c r="IL134" s="12" t="s">
        <v>37</v>
      </c>
      <c r="IM134" s="12" t="s">
        <v>37</v>
      </c>
      <c r="IO134" s="12" t="s">
        <v>37</v>
      </c>
      <c r="IP134" s="12" t="s">
        <v>37</v>
      </c>
      <c r="IQ134" s="12" t="s">
        <v>37</v>
      </c>
      <c r="IV134" s="32" t="s">
        <v>372</v>
      </c>
      <c r="IW134" s="12">
        <v>4.58</v>
      </c>
      <c r="IX134" s="12">
        <v>0.16</v>
      </c>
      <c r="IY134" s="13">
        <v>3</v>
      </c>
      <c r="IZ134" s="19">
        <f t="shared" ref="IZ134:IZ144" si="519">IX134/IW134</f>
        <v>3.4934497816593885E-2</v>
      </c>
      <c r="JA134" s="12">
        <v>4.28</v>
      </c>
      <c r="JB134" s="12">
        <v>0.14000000000000001</v>
      </c>
      <c r="JC134" s="13">
        <v>3</v>
      </c>
      <c r="JD134" s="19">
        <f t="shared" ref="JD134:JD144" si="520">JB134/JA134</f>
        <v>3.2710280373831779E-2</v>
      </c>
      <c r="JE134" s="19">
        <f t="shared" ref="JE134:JE144" si="521">LN(JA134/IW134)</f>
        <v>-6.7745988532388085E-2</v>
      </c>
      <c r="JF134" s="19">
        <f t="shared" ref="JF134:JF144" si="522">JB134^2/(JC134*JA134^2)+IX134^2/(IY134*IW134^2)</f>
        <v>7.6346052661076247E-4</v>
      </c>
      <c r="JH134" s="12" t="s">
        <v>37</v>
      </c>
      <c r="JI134" s="12" t="s">
        <v>37</v>
      </c>
      <c r="JJ134" s="13" t="s">
        <v>37</v>
      </c>
      <c r="JL134" s="12" t="s">
        <v>37</v>
      </c>
      <c r="JM134" s="12" t="s">
        <v>37</v>
      </c>
      <c r="JN134" s="12" t="s">
        <v>37</v>
      </c>
      <c r="JS134" s="12" t="s">
        <v>37</v>
      </c>
      <c r="JT134" s="12" t="s">
        <v>37</v>
      </c>
      <c r="JU134" s="13" t="s">
        <v>37</v>
      </c>
      <c r="JW134" s="12" t="s">
        <v>37</v>
      </c>
      <c r="JX134" s="12" t="s">
        <v>37</v>
      </c>
      <c r="JY134" s="12" t="s">
        <v>37</v>
      </c>
      <c r="KE134" s="11" t="s">
        <v>37</v>
      </c>
      <c r="KF134" s="11" t="s">
        <v>37</v>
      </c>
      <c r="KG134" s="13" t="s">
        <v>37</v>
      </c>
      <c r="KH134" s="11" t="s">
        <v>37</v>
      </c>
      <c r="KI134" s="11" t="s">
        <v>37</v>
      </c>
      <c r="KJ134" s="11" t="s">
        <v>37</v>
      </c>
      <c r="KK134" s="12" t="s">
        <v>42</v>
      </c>
      <c r="KL134" s="32" t="s">
        <v>372</v>
      </c>
      <c r="KM134" s="12">
        <v>27.5</v>
      </c>
      <c r="KN134" s="12">
        <v>0.1</v>
      </c>
      <c r="KO134" s="11">
        <v>3</v>
      </c>
      <c r="KP134" s="19">
        <f t="shared" ref="KP134:KP144" si="523">KN134/KM134</f>
        <v>3.6363636363636364E-3</v>
      </c>
      <c r="KQ134" s="12">
        <v>20.9</v>
      </c>
      <c r="KR134" s="12">
        <v>0.01</v>
      </c>
      <c r="KS134" s="13">
        <v>3</v>
      </c>
      <c r="KT134" s="19">
        <f t="shared" ref="KT134:KT144" si="524">KR134/KQ134</f>
        <v>4.7846889952153117E-4</v>
      </c>
      <c r="KU134" s="19">
        <f t="shared" ref="KU134:KU144" si="525">LN(KQ134/KM134)</f>
        <v>-0.27443684570176041</v>
      </c>
      <c r="KV134" s="19">
        <f t="shared" ref="KV134:KV144" si="526">KR134^2/(KS134*KQ134^2)+KN134^2/(KO134*KM134^2)</f>
        <v>4.4840243278923717E-6</v>
      </c>
      <c r="KX134" s="12" t="s">
        <v>37</v>
      </c>
      <c r="KY134" s="12" t="s">
        <v>37</v>
      </c>
      <c r="KZ134" s="13" t="s">
        <v>37</v>
      </c>
      <c r="LB134" s="12" t="s">
        <v>37</v>
      </c>
      <c r="LC134" s="12" t="s">
        <v>37</v>
      </c>
      <c r="LD134" s="13" t="s">
        <v>37</v>
      </c>
      <c r="LI134" s="12" t="s">
        <v>37</v>
      </c>
      <c r="LJ134" s="12" t="s">
        <v>37</v>
      </c>
      <c r="LK134" s="12" t="s">
        <v>37</v>
      </c>
      <c r="LM134" s="12" t="s">
        <v>37</v>
      </c>
      <c r="LN134" s="12" t="s">
        <v>37</v>
      </c>
      <c r="LO134" s="12" t="s">
        <v>37</v>
      </c>
      <c r="LT134" s="12" t="str">
        <f t="shared" ref="LT134:LT144" si="527">KL134</f>
        <v>0-20</v>
      </c>
      <c r="LU134" s="12">
        <f t="shared" ref="LU134:LU144" si="528">AT134/KM134</f>
        <v>16.509090909090908</v>
      </c>
      <c r="LV134" s="12">
        <f t="shared" ref="LV134:LV144" si="529">SQRT((1/KM134)^2*AU134^2+AT134^2*(-1/KM134^2)^2*KN134^2)</f>
        <v>9.7135848138820383E-2</v>
      </c>
      <c r="LW134" s="13">
        <f t="shared" ref="LW134:LW144" si="530">KO134</f>
        <v>3</v>
      </c>
      <c r="LX134" s="19">
        <f t="shared" ref="LX134:LX144" si="531">LV134/LU134</f>
        <v>5.8837793476157725E-3</v>
      </c>
      <c r="LY134" s="12">
        <f t="shared" ref="LY134:LY144" si="532">AX134/KQ134</f>
        <v>19.330143540669859</v>
      </c>
      <c r="LZ134" s="12">
        <f t="shared" ref="LZ134:LZ144" si="533">SQRT((1/KQ134)^2*AY134^2+AX134^2*(-1/KQ134^2)^2*KR134^2)</f>
        <v>0.3733203279033509</v>
      </c>
      <c r="MA134" s="13">
        <f t="shared" ref="MA134:MA144" si="534">KS134</f>
        <v>3</v>
      </c>
      <c r="MB134" s="19">
        <f t="shared" ref="MB134:MB144" si="535">LZ134/LY134</f>
        <v>1.9312858547475328E-2</v>
      </c>
      <c r="MC134" s="19">
        <f t="shared" ref="MC134:MC144" si="536">LN(LY134/LU134)</f>
        <v>0.15775452562156247</v>
      </c>
      <c r="MD134" s="19">
        <f t="shared" ref="MD134:MD144" si="537">LZ134^2/(MA134*LY134^2)+LV134^2/(LW134*LU134^2)</f>
        <v>1.3586845489540694E-4</v>
      </c>
      <c r="MF134" s="12" t="s">
        <v>37</v>
      </c>
      <c r="MG134" s="12" t="s">
        <v>37</v>
      </c>
      <c r="MH134" s="12" t="s">
        <v>37</v>
      </c>
      <c r="MJ134" s="12" t="s">
        <v>37</v>
      </c>
      <c r="MK134" s="12" t="s">
        <v>37</v>
      </c>
      <c r="ML134" s="12" t="s">
        <v>37</v>
      </c>
      <c r="MQ134" s="12" t="s">
        <v>37</v>
      </c>
      <c r="MR134" s="12" t="s">
        <v>37</v>
      </c>
      <c r="MS134" s="12" t="s">
        <v>37</v>
      </c>
      <c r="MU134" s="12" t="s">
        <v>37</v>
      </c>
      <c r="MV134" s="12" t="s">
        <v>37</v>
      </c>
      <c r="MW134" s="12" t="s">
        <v>37</v>
      </c>
      <c r="NC134" s="12" t="s">
        <v>37</v>
      </c>
      <c r="ND134" s="12" t="s">
        <v>37</v>
      </c>
      <c r="NE134" s="13" t="s">
        <v>37</v>
      </c>
      <c r="NG134" s="12" t="s">
        <v>37</v>
      </c>
      <c r="NH134" s="12" t="s">
        <v>37</v>
      </c>
      <c r="NI134" s="13" t="s">
        <v>37</v>
      </c>
      <c r="NO134" s="12" t="s">
        <v>37</v>
      </c>
      <c r="NP134" s="12" t="s">
        <v>37</v>
      </c>
      <c r="NQ134" s="13" t="s">
        <v>37</v>
      </c>
      <c r="NS134" s="12" t="s">
        <v>37</v>
      </c>
      <c r="NT134" s="12" t="s">
        <v>37</v>
      </c>
      <c r="NU134" s="13" t="s">
        <v>37</v>
      </c>
      <c r="OA134" s="12" t="s">
        <v>37</v>
      </c>
      <c r="OB134" s="12" t="s">
        <v>37</v>
      </c>
      <c r="OC134" s="13" t="s">
        <v>37</v>
      </c>
      <c r="OE134" s="12" t="s">
        <v>37</v>
      </c>
      <c r="OF134" s="12" t="s">
        <v>37</v>
      </c>
      <c r="OG134" s="13" t="s">
        <v>37</v>
      </c>
      <c r="OM134" s="12" t="s">
        <v>37</v>
      </c>
      <c r="ON134" s="12" t="s">
        <v>37</v>
      </c>
      <c r="OO134" s="12" t="s">
        <v>37</v>
      </c>
      <c r="OP134" s="12" t="s">
        <v>37</v>
      </c>
      <c r="OQ134" s="12" t="s">
        <v>37</v>
      </c>
      <c r="OR134" s="12" t="s">
        <v>37</v>
      </c>
      <c r="OS134" s="12"/>
      <c r="OT134" s="12"/>
      <c r="OW134" s="12" t="s">
        <v>37</v>
      </c>
      <c r="OX134" s="12" t="s">
        <v>37</v>
      </c>
      <c r="OY134" s="13" t="s">
        <v>37</v>
      </c>
      <c r="OZ134" s="12" t="s">
        <v>37</v>
      </c>
      <c r="PA134" s="12" t="s">
        <v>37</v>
      </c>
      <c r="PB134" s="13" t="s">
        <v>37</v>
      </c>
      <c r="PG134" s="11" t="s">
        <v>37</v>
      </c>
      <c r="PH134" s="11" t="s">
        <v>37</v>
      </c>
      <c r="PI134" s="13" t="s">
        <v>37</v>
      </c>
      <c r="PJ134" s="11" t="s">
        <v>37</v>
      </c>
      <c r="PK134" s="11" t="s">
        <v>37</v>
      </c>
      <c r="PL134" s="13" t="s">
        <v>37</v>
      </c>
      <c r="PQ134" s="12" t="s">
        <v>37</v>
      </c>
      <c r="PR134" s="12" t="s">
        <v>37</v>
      </c>
      <c r="PS134" s="12" t="s">
        <v>37</v>
      </c>
      <c r="PT134" s="12" t="s">
        <v>37</v>
      </c>
      <c r="PU134" s="12" t="s">
        <v>37</v>
      </c>
      <c r="PV134" s="12" t="s">
        <v>37</v>
      </c>
      <c r="PW134" s="12"/>
      <c r="PX134" s="12"/>
      <c r="PZ134" s="12" t="s">
        <v>37</v>
      </c>
      <c r="QA134" s="12" t="s">
        <v>37</v>
      </c>
      <c r="QB134" s="11" t="s">
        <v>37</v>
      </c>
      <c r="QD134" s="12" t="s">
        <v>37</v>
      </c>
      <c r="QE134" s="12" t="s">
        <v>37</v>
      </c>
      <c r="QF134" s="12" t="s">
        <v>37</v>
      </c>
      <c r="QK134" s="12" t="s">
        <v>37</v>
      </c>
      <c r="QL134" s="12" t="s">
        <v>37</v>
      </c>
      <c r="QM134" s="12" t="s">
        <v>37</v>
      </c>
      <c r="QN134" s="12" t="s">
        <v>37</v>
      </c>
      <c r="QO134" s="12" t="s">
        <v>37</v>
      </c>
      <c r="QP134" s="12" t="s">
        <v>37</v>
      </c>
      <c r="QQ134" s="12"/>
      <c r="QR134" s="12"/>
      <c r="QU134" s="12" t="s">
        <v>37</v>
      </c>
      <c r="QV134" s="12" t="s">
        <v>37</v>
      </c>
      <c r="QW134" s="12" t="s">
        <v>37</v>
      </c>
      <c r="QX134" s="12" t="s">
        <v>37</v>
      </c>
      <c r="QY134" s="12" t="s">
        <v>37</v>
      </c>
      <c r="QZ134" s="12" t="s">
        <v>37</v>
      </c>
      <c r="RC134" s="12" t="s">
        <v>37</v>
      </c>
      <c r="RD134" s="12" t="s">
        <v>37</v>
      </c>
      <c r="RE134" s="13" t="s">
        <v>37</v>
      </c>
      <c r="RF134" s="12" t="s">
        <v>37</v>
      </c>
      <c r="RG134" s="12" t="s">
        <v>37</v>
      </c>
      <c r="RH134" s="13" t="s">
        <v>37</v>
      </c>
      <c r="RK134" s="12" t="s">
        <v>37</v>
      </c>
      <c r="RL134" s="12" t="s">
        <v>37</v>
      </c>
      <c r="RM134" s="11" t="s">
        <v>37</v>
      </c>
      <c r="RN134" s="12" t="s">
        <v>37</v>
      </c>
      <c r="RO134" s="12" t="s">
        <v>37</v>
      </c>
      <c r="RP134" s="11" t="s">
        <v>37</v>
      </c>
      <c r="RS134" s="12" t="s">
        <v>37</v>
      </c>
      <c r="RT134" s="12" t="s">
        <v>37</v>
      </c>
      <c r="RU134" s="12" t="s">
        <v>37</v>
      </c>
      <c r="RV134" s="12" t="s">
        <v>37</v>
      </c>
      <c r="RW134" s="12" t="s">
        <v>37</v>
      </c>
      <c r="RX134" s="12" t="s">
        <v>37</v>
      </c>
      <c r="SA134" s="12" t="s">
        <v>37</v>
      </c>
      <c r="SB134" s="12" t="s">
        <v>37</v>
      </c>
      <c r="SC134" s="12" t="s">
        <v>37</v>
      </c>
      <c r="SD134" s="12" t="s">
        <v>37</v>
      </c>
      <c r="SE134" s="12" t="s">
        <v>37</v>
      </c>
      <c r="SF134" s="12" t="s">
        <v>37</v>
      </c>
      <c r="SI134" s="12" t="s">
        <v>37</v>
      </c>
      <c r="SJ134" s="12" t="s">
        <v>37</v>
      </c>
      <c r="SK134" s="13" t="s">
        <v>37</v>
      </c>
      <c r="SM134" s="12" t="s">
        <v>37</v>
      </c>
      <c r="SN134" s="12" t="s">
        <v>37</v>
      </c>
      <c r="SO134" s="13" t="s">
        <v>37</v>
      </c>
      <c r="SU134" s="12" t="s">
        <v>37</v>
      </c>
      <c r="SV134" s="12" t="s">
        <v>37</v>
      </c>
      <c r="SW134" s="11" t="s">
        <v>37</v>
      </c>
      <c r="SX134" s="12" t="s">
        <v>37</v>
      </c>
      <c r="SY134" s="12" t="s">
        <v>37</v>
      </c>
      <c r="SZ134" s="11" t="s">
        <v>37</v>
      </c>
      <c r="TE134" s="12" t="s">
        <v>37</v>
      </c>
      <c r="TF134" s="12" t="s">
        <v>37</v>
      </c>
      <c r="TG134" s="11" t="s">
        <v>37</v>
      </c>
      <c r="TH134" s="12" t="s">
        <v>37</v>
      </c>
      <c r="TI134" s="12" t="s">
        <v>37</v>
      </c>
      <c r="TJ134" s="11" t="s">
        <v>37</v>
      </c>
      <c r="TO134" s="12" t="s">
        <v>37</v>
      </c>
      <c r="TP134" s="12" t="s">
        <v>37</v>
      </c>
      <c r="TQ134" s="11" t="s">
        <v>37</v>
      </c>
      <c r="TR134" s="12" t="s">
        <v>37</v>
      </c>
      <c r="TS134" s="12" t="s">
        <v>37</v>
      </c>
      <c r="TT134" s="11" t="s">
        <v>37</v>
      </c>
      <c r="TY134" s="12" t="s">
        <v>37</v>
      </c>
      <c r="TZ134" s="12" t="s">
        <v>37</v>
      </c>
      <c r="UA134" s="12" t="s">
        <v>37</v>
      </c>
      <c r="UB134" s="12" t="s">
        <v>37</v>
      </c>
      <c r="UC134" s="12" t="s">
        <v>37</v>
      </c>
      <c r="UD134" s="12" t="s">
        <v>37</v>
      </c>
      <c r="UE134" s="12"/>
      <c r="UF134" s="12"/>
      <c r="UI134" s="12" t="s">
        <v>37</v>
      </c>
      <c r="UJ134" s="12" t="s">
        <v>37</v>
      </c>
      <c r="UK134" s="12" t="s">
        <v>37</v>
      </c>
      <c r="UL134" s="12" t="s">
        <v>37</v>
      </c>
      <c r="UM134" s="12" t="s">
        <v>37</v>
      </c>
      <c r="UN134" s="12" t="s">
        <v>37</v>
      </c>
      <c r="UO134" s="12"/>
      <c r="UP134" s="12"/>
      <c r="UR134" s="12" t="s">
        <v>37</v>
      </c>
      <c r="US134" s="12" t="s">
        <v>37</v>
      </c>
      <c r="UT134" s="12" t="s">
        <v>37</v>
      </c>
      <c r="UU134" s="12" t="s">
        <v>37</v>
      </c>
      <c r="UV134" s="12" t="s">
        <v>37</v>
      </c>
      <c r="UW134" s="12" t="s">
        <v>37</v>
      </c>
      <c r="UX134" s="12"/>
      <c r="UY134" s="12"/>
      <c r="VB134" s="12" t="s">
        <v>37</v>
      </c>
      <c r="VC134" s="12" t="s">
        <v>37</v>
      </c>
      <c r="VD134" s="12" t="s">
        <v>37</v>
      </c>
      <c r="VE134" s="12" t="s">
        <v>37</v>
      </c>
      <c r="VF134" s="12" t="s">
        <v>37</v>
      </c>
      <c r="VG134" s="12" t="s">
        <v>37</v>
      </c>
      <c r="VI134" s="12" t="s">
        <v>37</v>
      </c>
      <c r="VJ134" s="12" t="s">
        <v>37</v>
      </c>
      <c r="VK134" s="12" t="s">
        <v>37</v>
      </c>
      <c r="VL134" s="12" t="s">
        <v>37</v>
      </c>
      <c r="VM134" s="12" t="s">
        <v>37</v>
      </c>
      <c r="VN134" s="12" t="s">
        <v>37</v>
      </c>
      <c r="VQ134" s="13" t="s">
        <v>37</v>
      </c>
      <c r="VR134" s="13" t="s">
        <v>37</v>
      </c>
      <c r="VS134" s="13" t="s">
        <v>37</v>
      </c>
      <c r="VT134" s="13" t="s">
        <v>37</v>
      </c>
      <c r="VU134" s="13" t="s">
        <v>37</v>
      </c>
      <c r="VV134" s="13" t="s">
        <v>37</v>
      </c>
      <c r="WA134" s="13" t="s">
        <v>37</v>
      </c>
      <c r="WB134" s="13" t="s">
        <v>37</v>
      </c>
      <c r="WC134" s="13" t="s">
        <v>37</v>
      </c>
      <c r="WD134" s="13" t="s">
        <v>37</v>
      </c>
      <c r="WE134" s="13" t="s">
        <v>37</v>
      </c>
      <c r="WF134" s="13" t="s">
        <v>37</v>
      </c>
    </row>
    <row r="135" spans="1:604" ht="18" customHeight="1" x14ac:dyDescent="0.4">
      <c r="A135" s="11">
        <v>32</v>
      </c>
      <c r="B135" s="16" t="s">
        <v>904</v>
      </c>
      <c r="C135" s="12" t="s">
        <v>26</v>
      </c>
      <c r="D135" s="12" t="s">
        <v>54</v>
      </c>
      <c r="E135" s="40">
        <v>0.9</v>
      </c>
      <c r="F135" s="14">
        <v>0</v>
      </c>
      <c r="G135" s="14">
        <v>0</v>
      </c>
      <c r="H135" s="12" t="s">
        <v>233</v>
      </c>
      <c r="I135" s="29">
        <v>57.133000000000003</v>
      </c>
      <c r="J135" s="29">
        <v>14.75</v>
      </c>
      <c r="K135" s="12" t="s">
        <v>720</v>
      </c>
      <c r="L135" s="12" t="s">
        <v>721</v>
      </c>
      <c r="M135" s="13" t="s">
        <v>37</v>
      </c>
      <c r="N135" s="14">
        <v>5.6</v>
      </c>
      <c r="O135" s="14">
        <v>766.95984703632928</v>
      </c>
      <c r="P135" s="14" t="s">
        <v>84</v>
      </c>
      <c r="Q135" s="75">
        <v>30</v>
      </c>
      <c r="R135" s="11" t="s">
        <v>1000</v>
      </c>
      <c r="S135" s="12" t="s">
        <v>93</v>
      </c>
      <c r="T135" s="12" t="s">
        <v>37</v>
      </c>
      <c r="U135" s="12" t="s">
        <v>158</v>
      </c>
      <c r="V135" s="12" t="s">
        <v>275</v>
      </c>
      <c r="W135" s="23" t="s">
        <v>376</v>
      </c>
      <c r="X135" s="12" t="s">
        <v>280</v>
      </c>
      <c r="Y135" s="12" t="s">
        <v>69</v>
      </c>
      <c r="Z135" s="12" t="s">
        <v>37</v>
      </c>
      <c r="AA135" s="32" t="s">
        <v>345</v>
      </c>
      <c r="AB135" s="12">
        <v>3.9</v>
      </c>
      <c r="AC135" s="12" t="s">
        <v>42</v>
      </c>
      <c r="AD135" s="32" t="s">
        <v>345</v>
      </c>
      <c r="AE135" s="12">
        <v>450</v>
      </c>
      <c r="AF135" s="12" t="s">
        <v>42</v>
      </c>
      <c r="AG135" s="12" t="s">
        <v>345</v>
      </c>
      <c r="AH135" s="12">
        <v>10</v>
      </c>
      <c r="AJ135" s="12" t="str">
        <f t="shared" si="504"/>
        <v>0-10</v>
      </c>
      <c r="AK135" s="19">
        <f t="shared" si="505"/>
        <v>45</v>
      </c>
      <c r="AL135" s="32" t="s">
        <v>234</v>
      </c>
      <c r="AM135" s="13" t="s">
        <v>344</v>
      </c>
      <c r="AO135" s="13" t="s">
        <v>318</v>
      </c>
      <c r="AP135" s="12" t="s">
        <v>167</v>
      </c>
      <c r="AQ135" s="12" t="s">
        <v>975</v>
      </c>
      <c r="AR135" s="12" t="s">
        <v>42</v>
      </c>
      <c r="AS135" s="32" t="s">
        <v>345</v>
      </c>
      <c r="AT135" s="12">
        <v>450</v>
      </c>
      <c r="AU135" s="12">
        <f>5*SQRT(3)</f>
        <v>8.6602540378443855</v>
      </c>
      <c r="AV135" s="13">
        <v>3</v>
      </c>
      <c r="AW135" s="19">
        <f t="shared" ref="AW135:AW144" si="538">AU135/AT135</f>
        <v>1.9245008972987525E-2</v>
      </c>
      <c r="AX135" s="12">
        <v>490</v>
      </c>
      <c r="AY135" s="12">
        <f>7*SQRT(3)</f>
        <v>12.124355652982141</v>
      </c>
      <c r="AZ135" s="13">
        <v>3</v>
      </c>
      <c r="BA135" s="19">
        <f t="shared" ref="BA135:BA144" si="539">AY135/AX135</f>
        <v>2.4743582965269677E-2</v>
      </c>
      <c r="BB135" s="52">
        <f t="shared" si="506"/>
        <v>8.515780834030677E-2</v>
      </c>
      <c r="BC135" s="19">
        <f t="shared" si="507"/>
        <v>3.27538422776518E-4</v>
      </c>
      <c r="BE135" s="12" t="s">
        <v>326</v>
      </c>
      <c r="BF135" s="12" t="s">
        <v>326</v>
      </c>
      <c r="BG135" s="12" t="s">
        <v>326</v>
      </c>
      <c r="BI135" s="12" t="s">
        <v>326</v>
      </c>
      <c r="BJ135" s="12" t="s">
        <v>326</v>
      </c>
      <c r="BK135" s="12" t="s">
        <v>326</v>
      </c>
      <c r="BP135" s="12" t="s">
        <v>37</v>
      </c>
      <c r="BQ135" s="12" t="s">
        <v>37</v>
      </c>
      <c r="BR135" s="13" t="s">
        <v>37</v>
      </c>
      <c r="BT135" s="12" t="s">
        <v>37</v>
      </c>
      <c r="BU135" s="12" t="s">
        <v>37</v>
      </c>
      <c r="BV135" s="12" t="s">
        <v>37</v>
      </c>
      <c r="CA135" s="12" t="s">
        <v>37</v>
      </c>
      <c r="CB135" s="12" t="s">
        <v>37</v>
      </c>
      <c r="CC135" s="13" t="s">
        <v>37</v>
      </c>
      <c r="CE135" s="12" t="s">
        <v>37</v>
      </c>
      <c r="CF135" s="12" t="s">
        <v>37</v>
      </c>
      <c r="CG135" s="13" t="s">
        <v>37</v>
      </c>
      <c r="CI135" s="52"/>
      <c r="CJ135" s="52"/>
      <c r="CK135" s="73"/>
      <c r="CL135" s="73"/>
      <c r="CN135" s="12" t="s">
        <v>37</v>
      </c>
      <c r="CO135" s="12" t="s">
        <v>37</v>
      </c>
      <c r="CP135" s="13" t="s">
        <v>37</v>
      </c>
      <c r="CR135" s="12" t="s">
        <v>37</v>
      </c>
      <c r="CS135" s="12" t="s">
        <v>37</v>
      </c>
      <c r="CT135" s="13" t="s">
        <v>37</v>
      </c>
      <c r="CV135" s="52"/>
      <c r="CW135" s="52"/>
      <c r="CX135" s="73"/>
      <c r="CY135" s="73"/>
      <c r="CZ135" s="12" t="s">
        <v>47</v>
      </c>
      <c r="DA135" s="12">
        <v>2000</v>
      </c>
      <c r="DB135" s="50">
        <f t="shared" ref="DB135:DB140" si="540">ABS(DA135)*DD$474</f>
        <v>5999.3131173724232</v>
      </c>
      <c r="DC135" s="13">
        <v>3</v>
      </c>
      <c r="DE135" s="12">
        <v>-6800</v>
      </c>
      <c r="DF135" s="50">
        <f t="shared" ref="DF135:DF140" si="541">ABS(DE135)*DH$474</f>
        <v>6481.3710012383399</v>
      </c>
      <c r="DG135" s="13">
        <v>3</v>
      </c>
      <c r="DI135" s="19">
        <f t="shared" ref="DI135:DI140" si="542">DE135-DA135</f>
        <v>-8800</v>
      </c>
      <c r="DJ135" s="12">
        <f t="shared" ref="DJ135:DJ140" si="543">SQRT(((DC135-1)*DB135^2+(DG135-1)*DF135^2)/(DC135+DG135-2))</f>
        <v>6244.9951135277161</v>
      </c>
      <c r="DK135" s="72">
        <f t="shared" ref="DK135:DK140" si="544">(((DC135+DG135)/(DC135*DG135))*(((DC135-1)*DB135^2)+(DG135-1)*DF135^2)/(DC135+DG135-2))</f>
        <v>25999975.978656698</v>
      </c>
      <c r="DL135" s="72">
        <f t="shared" ref="DL135:DL140" si="545">(DB135^2/DC135)+(DF135^2/DG135)</f>
        <v>25999975.978656702</v>
      </c>
      <c r="DM135" s="12" t="s">
        <v>47</v>
      </c>
      <c r="DN135" s="19">
        <v>106</v>
      </c>
      <c r="DO135" s="12">
        <f>44.2*SQRT(3)</f>
        <v>76.556645694544372</v>
      </c>
      <c r="DP135" s="13">
        <v>3</v>
      </c>
      <c r="DQ135" s="19">
        <f t="shared" si="508"/>
        <v>0.72223250655230542</v>
      </c>
      <c r="DR135" s="19">
        <v>1</v>
      </c>
      <c r="DS135" s="12">
        <f>1.2*SQRT(3)</f>
        <v>2.0784609690826525</v>
      </c>
      <c r="DT135" s="13">
        <v>3</v>
      </c>
      <c r="DU135" s="19">
        <f t="shared" ref="DU135:DU144" si="546">DS135/ABS(DR135)</f>
        <v>2.0784609690826525</v>
      </c>
      <c r="DV135" s="19">
        <f t="shared" si="509"/>
        <v>-105</v>
      </c>
      <c r="DW135" s="12">
        <f t="shared" si="485"/>
        <v>54.153670235728249</v>
      </c>
      <c r="DX135" s="72">
        <f t="shared" si="345"/>
        <v>1955.0799999999995</v>
      </c>
      <c r="DY135" s="72">
        <f t="shared" si="346"/>
        <v>1955.0799999999997</v>
      </c>
      <c r="DZ135" s="11" t="s">
        <v>47</v>
      </c>
      <c r="EA135" s="19">
        <v>0.2</v>
      </c>
      <c r="EB135" s="19">
        <f>0.3*SQRT(3)</f>
        <v>0.51961524227066314</v>
      </c>
      <c r="EC135" s="72">
        <v>3</v>
      </c>
      <c r="ED135" s="52">
        <f t="shared" ref="ED135:ED144" si="547">EB135/ABS(EA135)</f>
        <v>2.5980762113533156</v>
      </c>
      <c r="EE135" s="19">
        <v>0.9</v>
      </c>
      <c r="EF135" s="19">
        <f>0.6*SQRT(3)</f>
        <v>1.0392304845413263</v>
      </c>
      <c r="EG135" s="13">
        <v>3</v>
      </c>
      <c r="EH135" s="52">
        <f t="shared" ref="EH135:EH144" si="548">EF135/ABS(EE135)</f>
        <v>1.1547005383792515</v>
      </c>
      <c r="EI135" s="19">
        <f t="shared" ref="EI135:EI137" si="549">EE135-EA135</f>
        <v>0.7</v>
      </c>
      <c r="EJ135" s="12">
        <f t="shared" ref="EJ135:EJ154" si="550">SQRT(((EC135-1)*EB135^2+(EG135-1)*EF135^2)/(EC135+EG135-2))</f>
        <v>0.82158383625774911</v>
      </c>
      <c r="EK135" s="19">
        <f t="shared" ref="EK135:EK154" si="551">(((EC135+EG135)/(EC135*EG135))*(((EC135-1)*EB135^2)+(EG135-1)*EF135^2)/(EC135+EG135-2))</f>
        <v>0.44999999999999996</v>
      </c>
      <c r="EL135" s="19">
        <f t="shared" ref="EL135:EL154" si="552">(EB135^2/EC135)+(EF135^2/EG135)</f>
        <v>0.4499999999999999</v>
      </c>
      <c r="EM135" s="12" t="s">
        <v>39</v>
      </c>
      <c r="EN135" s="12">
        <v>-6.8927332639611532</v>
      </c>
      <c r="EO135" s="12">
        <v>1.3328157064282187</v>
      </c>
      <c r="EP135" s="13">
        <v>3</v>
      </c>
      <c r="EQ135" s="19">
        <f t="shared" si="510"/>
        <v>0.19336533932001729</v>
      </c>
      <c r="ER135" s="12">
        <v>-25.764809902740932</v>
      </c>
      <c r="ES135" s="12">
        <v>2.3806323207959159</v>
      </c>
      <c r="ET135" s="13">
        <v>3</v>
      </c>
      <c r="EU135" s="19">
        <f t="shared" si="511"/>
        <v>9.2398598312291746E-2</v>
      </c>
      <c r="EV135" s="19">
        <f t="shared" si="512"/>
        <v>-18.872076638779781</v>
      </c>
      <c r="EW135" s="12">
        <f t="shared" si="489"/>
        <v>1.9292236721178677</v>
      </c>
      <c r="EX135" s="19">
        <f t="shared" si="490"/>
        <v>2.4812693180399665</v>
      </c>
      <c r="EY135" s="19">
        <f t="shared" si="491"/>
        <v>2.481269318039967</v>
      </c>
      <c r="FB135" s="12" t="s">
        <v>37</v>
      </c>
      <c r="FC135" s="12" t="s">
        <v>37</v>
      </c>
      <c r="FD135" s="11" t="s">
        <v>37</v>
      </c>
      <c r="FE135" s="12" t="s">
        <v>37</v>
      </c>
      <c r="FF135" s="20" t="s">
        <v>37</v>
      </c>
      <c r="FG135" s="11" t="s">
        <v>37</v>
      </c>
      <c r="FI135" s="12" t="s">
        <v>37</v>
      </c>
      <c r="FJ135" s="12" t="s">
        <v>37</v>
      </c>
      <c r="FK135" s="11" t="s">
        <v>37</v>
      </c>
      <c r="FL135" s="13" t="s">
        <v>37</v>
      </c>
      <c r="FM135" s="11" t="s">
        <v>37</v>
      </c>
      <c r="FN135" s="11" t="s">
        <v>37</v>
      </c>
      <c r="FP135" s="12" t="s">
        <v>37</v>
      </c>
      <c r="FQ135" s="12" t="s">
        <v>37</v>
      </c>
      <c r="FR135" s="11" t="s">
        <v>37</v>
      </c>
      <c r="FS135" s="13" t="s">
        <v>37</v>
      </c>
      <c r="FT135" s="11" t="s">
        <v>37</v>
      </c>
      <c r="FU135" s="11" t="s">
        <v>37</v>
      </c>
      <c r="FW135" s="12" t="s">
        <v>37</v>
      </c>
      <c r="FX135" s="12" t="s">
        <v>37</v>
      </c>
      <c r="FY135" s="11" t="s">
        <v>37</v>
      </c>
      <c r="FZ135" s="13" t="s">
        <v>37</v>
      </c>
      <c r="GA135" s="11" t="s">
        <v>37</v>
      </c>
      <c r="GB135" s="11" t="s">
        <v>37</v>
      </c>
      <c r="HA135" s="17" t="s">
        <v>63</v>
      </c>
      <c r="HB135" s="34" t="s">
        <v>345</v>
      </c>
      <c r="HC135" s="12">
        <v>0.03</v>
      </c>
      <c r="HD135" s="50">
        <f t="shared" ref="HD135:HD144" si="553">ABS(HC135)*HF$474</f>
        <v>5.1723522943947289E-3</v>
      </c>
      <c r="HE135" s="13">
        <v>3</v>
      </c>
      <c r="HG135" s="12">
        <v>0.17</v>
      </c>
      <c r="HH135" s="50">
        <f t="shared" ref="HH135:HH144" si="554">ABS(HG135)*HJ$474</f>
        <v>1.9015268394407866E-2</v>
      </c>
      <c r="HI135" s="13">
        <v>3</v>
      </c>
      <c r="HK135" s="19">
        <f t="shared" si="517"/>
        <v>1.7346010553881064</v>
      </c>
      <c r="HL135" s="19">
        <f t="shared" si="518"/>
        <v>1.4079080937294361E-2</v>
      </c>
      <c r="IK135" s="12" t="s">
        <v>37</v>
      </c>
      <c r="IL135" s="12" t="s">
        <v>37</v>
      </c>
      <c r="IM135" s="12" t="s">
        <v>37</v>
      </c>
      <c r="IO135" s="12" t="s">
        <v>37</v>
      </c>
      <c r="IP135" s="12" t="s">
        <v>37</v>
      </c>
      <c r="IQ135" s="12" t="s">
        <v>37</v>
      </c>
      <c r="IV135" s="32" t="s">
        <v>345</v>
      </c>
      <c r="IW135" s="12">
        <v>3.9</v>
      </c>
      <c r="IX135" s="12">
        <f>0.1*SQRT(3)</f>
        <v>0.17320508075688773</v>
      </c>
      <c r="IY135" s="13">
        <v>3</v>
      </c>
      <c r="IZ135" s="19">
        <f t="shared" si="519"/>
        <v>4.441155916843275E-2</v>
      </c>
      <c r="JA135" s="12">
        <v>3.2</v>
      </c>
      <c r="JB135" s="12">
        <f>0.1*SQRT(3)</f>
        <v>0.17320508075688773</v>
      </c>
      <c r="JC135" s="13">
        <v>3</v>
      </c>
      <c r="JD135" s="19">
        <f t="shared" si="520"/>
        <v>5.4126587736527412E-2</v>
      </c>
      <c r="JE135" s="19">
        <f t="shared" si="521"/>
        <v>-0.19782574332991978</v>
      </c>
      <c r="JF135" s="19">
        <f t="shared" si="522"/>
        <v>1.6340246959237342E-3</v>
      </c>
      <c r="JH135" s="12" t="s">
        <v>37</v>
      </c>
      <c r="JI135" s="12" t="s">
        <v>37</v>
      </c>
      <c r="JJ135" s="13" t="s">
        <v>37</v>
      </c>
      <c r="JL135" s="12" t="s">
        <v>37</v>
      </c>
      <c r="JM135" s="12" t="s">
        <v>37</v>
      </c>
      <c r="JN135" s="12" t="s">
        <v>37</v>
      </c>
      <c r="JS135" s="12" t="s">
        <v>37</v>
      </c>
      <c r="JT135" s="12" t="s">
        <v>37</v>
      </c>
      <c r="JU135" s="13" t="s">
        <v>37</v>
      </c>
      <c r="JW135" s="12" t="s">
        <v>37</v>
      </c>
      <c r="JX135" s="12" t="s">
        <v>37</v>
      </c>
      <c r="JY135" s="12" t="s">
        <v>37</v>
      </c>
      <c r="KE135" s="11" t="s">
        <v>37</v>
      </c>
      <c r="KF135" s="11" t="s">
        <v>37</v>
      </c>
      <c r="KG135" s="13" t="s">
        <v>37</v>
      </c>
      <c r="KH135" s="11" t="s">
        <v>37</v>
      </c>
      <c r="KI135" s="11" t="s">
        <v>37</v>
      </c>
      <c r="KJ135" s="11" t="s">
        <v>37</v>
      </c>
      <c r="KK135" s="12" t="s">
        <v>42</v>
      </c>
      <c r="KL135" s="12" t="s">
        <v>345</v>
      </c>
      <c r="KM135" s="12">
        <v>10</v>
      </c>
      <c r="KN135" s="12">
        <f>0.8*SQRT(3)</f>
        <v>1.3856406460551018</v>
      </c>
      <c r="KO135" s="11">
        <v>3</v>
      </c>
      <c r="KP135" s="19">
        <f t="shared" si="523"/>
        <v>0.13856406460551018</v>
      </c>
      <c r="KQ135" s="12">
        <v>18</v>
      </c>
      <c r="KR135" s="12">
        <f>0.7*SQRT(3)</f>
        <v>1.2124355652982139</v>
      </c>
      <c r="KS135" s="13">
        <v>3</v>
      </c>
      <c r="KT135" s="19">
        <f t="shared" si="524"/>
        <v>6.7357531405456333E-2</v>
      </c>
      <c r="KU135" s="19">
        <f t="shared" si="525"/>
        <v>0.58778666490211906</v>
      </c>
      <c r="KV135" s="19">
        <f t="shared" si="526"/>
        <v>7.9123456790123441E-3</v>
      </c>
      <c r="KX135" s="12" t="s">
        <v>37</v>
      </c>
      <c r="KY135" s="12" t="s">
        <v>37</v>
      </c>
      <c r="KZ135" s="13" t="s">
        <v>37</v>
      </c>
      <c r="LB135" s="12" t="s">
        <v>37</v>
      </c>
      <c r="LC135" s="12" t="s">
        <v>37</v>
      </c>
      <c r="LD135" s="13" t="s">
        <v>37</v>
      </c>
      <c r="LI135" s="12" t="s">
        <v>37</v>
      </c>
      <c r="LJ135" s="12" t="s">
        <v>37</v>
      </c>
      <c r="LK135" s="12" t="s">
        <v>37</v>
      </c>
      <c r="LM135" s="12" t="s">
        <v>37</v>
      </c>
      <c r="LN135" s="12" t="s">
        <v>37</v>
      </c>
      <c r="LO135" s="12" t="s">
        <v>37</v>
      </c>
      <c r="LT135" s="12" t="str">
        <f t="shared" si="527"/>
        <v>0-10</v>
      </c>
      <c r="LU135" s="12">
        <f t="shared" si="528"/>
        <v>45</v>
      </c>
      <c r="LV135" s="12">
        <f t="shared" si="529"/>
        <v>6.2952362942148561</v>
      </c>
      <c r="LW135" s="13">
        <f t="shared" si="530"/>
        <v>3</v>
      </c>
      <c r="LX135" s="19">
        <f t="shared" si="531"/>
        <v>0.13989413987144125</v>
      </c>
      <c r="LY135" s="12">
        <f t="shared" si="532"/>
        <v>27.222222222222221</v>
      </c>
      <c r="LZ135" s="12">
        <f t="shared" si="533"/>
        <v>1.9534257598792568</v>
      </c>
      <c r="MA135" s="13">
        <f t="shared" si="534"/>
        <v>3</v>
      </c>
      <c r="MB135" s="19">
        <f t="shared" si="535"/>
        <v>7.1758497301686985E-2</v>
      </c>
      <c r="MC135" s="19">
        <f t="shared" si="536"/>
        <v>-0.50262885656181211</v>
      </c>
      <c r="MD135" s="19">
        <f t="shared" si="537"/>
        <v>8.2398841017888615E-3</v>
      </c>
      <c r="MF135" s="12" t="s">
        <v>37</v>
      </c>
      <c r="MG135" s="12" t="s">
        <v>37</v>
      </c>
      <c r="MH135" s="12" t="s">
        <v>37</v>
      </c>
      <c r="MJ135" s="12" t="s">
        <v>37</v>
      </c>
      <c r="MK135" s="12" t="s">
        <v>37</v>
      </c>
      <c r="ML135" s="12" t="s">
        <v>37</v>
      </c>
      <c r="MQ135" s="12" t="s">
        <v>37</v>
      </c>
      <c r="MR135" s="12" t="s">
        <v>37</v>
      </c>
      <c r="MS135" s="12" t="s">
        <v>37</v>
      </c>
      <c r="MU135" s="12" t="s">
        <v>37</v>
      </c>
      <c r="MV135" s="12" t="s">
        <v>37</v>
      </c>
      <c r="MW135" s="12" t="s">
        <v>37</v>
      </c>
      <c r="NC135" s="12" t="s">
        <v>37</v>
      </c>
      <c r="ND135" s="12" t="s">
        <v>37</v>
      </c>
      <c r="NE135" s="13" t="s">
        <v>37</v>
      </c>
      <c r="NG135" s="12" t="s">
        <v>37</v>
      </c>
      <c r="NH135" s="12" t="s">
        <v>37</v>
      </c>
      <c r="NI135" s="13" t="s">
        <v>37</v>
      </c>
      <c r="NO135" s="12" t="s">
        <v>37</v>
      </c>
      <c r="NP135" s="12" t="s">
        <v>37</v>
      </c>
      <c r="NQ135" s="13" t="s">
        <v>37</v>
      </c>
      <c r="NS135" s="12" t="s">
        <v>37</v>
      </c>
      <c r="NT135" s="12" t="s">
        <v>37</v>
      </c>
      <c r="NU135" s="13" t="s">
        <v>37</v>
      </c>
      <c r="OA135" s="12" t="s">
        <v>37</v>
      </c>
      <c r="OB135" s="12" t="s">
        <v>37</v>
      </c>
      <c r="OC135" s="13" t="s">
        <v>37</v>
      </c>
      <c r="OE135" s="12" t="s">
        <v>37</v>
      </c>
      <c r="OF135" s="12" t="s">
        <v>37</v>
      </c>
      <c r="OG135" s="13" t="s">
        <v>37</v>
      </c>
      <c r="OM135" s="12" t="s">
        <v>37</v>
      </c>
      <c r="ON135" s="12" t="s">
        <v>37</v>
      </c>
      <c r="OO135" s="12" t="s">
        <v>37</v>
      </c>
      <c r="OP135" s="12" t="s">
        <v>37</v>
      </c>
      <c r="OQ135" s="12" t="s">
        <v>37</v>
      </c>
      <c r="OR135" s="12" t="s">
        <v>37</v>
      </c>
      <c r="OS135" s="12"/>
      <c r="OT135" s="12"/>
      <c r="OW135" s="12" t="s">
        <v>37</v>
      </c>
      <c r="OX135" s="12" t="s">
        <v>37</v>
      </c>
      <c r="OY135" s="13" t="s">
        <v>37</v>
      </c>
      <c r="OZ135" s="12" t="s">
        <v>37</v>
      </c>
      <c r="PA135" s="12" t="s">
        <v>37</v>
      </c>
      <c r="PB135" s="13" t="s">
        <v>37</v>
      </c>
      <c r="PG135" s="11" t="s">
        <v>37</v>
      </c>
      <c r="PH135" s="11" t="s">
        <v>37</v>
      </c>
      <c r="PI135" s="13" t="s">
        <v>37</v>
      </c>
      <c r="PJ135" s="11" t="s">
        <v>37</v>
      </c>
      <c r="PK135" s="11" t="s">
        <v>37</v>
      </c>
      <c r="PL135" s="13" t="s">
        <v>37</v>
      </c>
      <c r="PQ135" s="12" t="s">
        <v>37</v>
      </c>
      <c r="PR135" s="12" t="s">
        <v>37</v>
      </c>
      <c r="PS135" s="12" t="s">
        <v>37</v>
      </c>
      <c r="PT135" s="12" t="s">
        <v>37</v>
      </c>
      <c r="PU135" s="12" t="s">
        <v>37</v>
      </c>
      <c r="PV135" s="12" t="s">
        <v>37</v>
      </c>
      <c r="PW135" s="12"/>
      <c r="PX135" s="12"/>
      <c r="PZ135" s="12" t="s">
        <v>37</v>
      </c>
      <c r="QA135" s="12" t="s">
        <v>37</v>
      </c>
      <c r="QB135" s="11" t="s">
        <v>37</v>
      </c>
      <c r="QD135" s="12" t="s">
        <v>37</v>
      </c>
      <c r="QE135" s="12" t="s">
        <v>37</v>
      </c>
      <c r="QF135" s="12" t="s">
        <v>37</v>
      </c>
      <c r="QK135" s="12" t="s">
        <v>37</v>
      </c>
      <c r="QL135" s="12" t="s">
        <v>37</v>
      </c>
      <c r="QM135" s="12" t="s">
        <v>37</v>
      </c>
      <c r="QN135" s="12" t="s">
        <v>37</v>
      </c>
      <c r="QO135" s="12" t="s">
        <v>37</v>
      </c>
      <c r="QP135" s="12" t="s">
        <v>37</v>
      </c>
      <c r="QQ135" s="12"/>
      <c r="QR135" s="12"/>
      <c r="QU135" s="12" t="s">
        <v>37</v>
      </c>
      <c r="QV135" s="12" t="s">
        <v>37</v>
      </c>
      <c r="QW135" s="12" t="s">
        <v>37</v>
      </c>
      <c r="QX135" s="12" t="s">
        <v>37</v>
      </c>
      <c r="QY135" s="12" t="s">
        <v>37</v>
      </c>
      <c r="QZ135" s="12" t="s">
        <v>37</v>
      </c>
      <c r="RC135" s="12" t="s">
        <v>37</v>
      </c>
      <c r="RD135" s="12" t="s">
        <v>37</v>
      </c>
      <c r="RE135" s="13" t="s">
        <v>37</v>
      </c>
      <c r="RF135" s="12" t="s">
        <v>37</v>
      </c>
      <c r="RG135" s="12" t="s">
        <v>37</v>
      </c>
      <c r="RH135" s="13" t="s">
        <v>37</v>
      </c>
      <c r="RK135" s="12" t="s">
        <v>37</v>
      </c>
      <c r="RL135" s="12" t="s">
        <v>37</v>
      </c>
      <c r="RM135" s="11" t="s">
        <v>37</v>
      </c>
      <c r="RN135" s="12" t="s">
        <v>37</v>
      </c>
      <c r="RO135" s="12" t="s">
        <v>37</v>
      </c>
      <c r="RP135" s="11" t="s">
        <v>37</v>
      </c>
      <c r="RS135" s="12" t="s">
        <v>37</v>
      </c>
      <c r="RT135" s="12" t="s">
        <v>37</v>
      </c>
      <c r="RU135" s="12" t="s">
        <v>37</v>
      </c>
      <c r="RV135" s="12" t="s">
        <v>37</v>
      </c>
      <c r="RW135" s="12" t="s">
        <v>37</v>
      </c>
      <c r="RX135" s="12" t="s">
        <v>37</v>
      </c>
      <c r="SA135" s="12" t="s">
        <v>37</v>
      </c>
      <c r="SB135" s="12" t="s">
        <v>37</v>
      </c>
      <c r="SC135" s="12" t="s">
        <v>37</v>
      </c>
      <c r="SD135" s="12" t="s">
        <v>37</v>
      </c>
      <c r="SE135" s="12" t="s">
        <v>37</v>
      </c>
      <c r="SF135" s="12" t="s">
        <v>37</v>
      </c>
      <c r="SI135" s="12" t="s">
        <v>37</v>
      </c>
      <c r="SJ135" s="12" t="s">
        <v>37</v>
      </c>
      <c r="SK135" s="13" t="s">
        <v>37</v>
      </c>
      <c r="SM135" s="12" t="s">
        <v>37</v>
      </c>
      <c r="SN135" s="12" t="s">
        <v>37</v>
      </c>
      <c r="SO135" s="13" t="s">
        <v>37</v>
      </c>
      <c r="SU135" s="12" t="s">
        <v>37</v>
      </c>
      <c r="SV135" s="12" t="s">
        <v>37</v>
      </c>
      <c r="SW135" s="11" t="s">
        <v>37</v>
      </c>
      <c r="SX135" s="12" t="s">
        <v>37</v>
      </c>
      <c r="SY135" s="12" t="s">
        <v>37</v>
      </c>
      <c r="SZ135" s="11" t="s">
        <v>37</v>
      </c>
      <c r="TE135" s="12" t="s">
        <v>37</v>
      </c>
      <c r="TF135" s="12" t="s">
        <v>37</v>
      </c>
      <c r="TG135" s="11" t="s">
        <v>37</v>
      </c>
      <c r="TH135" s="12" t="s">
        <v>37</v>
      </c>
      <c r="TI135" s="12" t="s">
        <v>37</v>
      </c>
      <c r="TJ135" s="11" t="s">
        <v>37</v>
      </c>
      <c r="TO135" s="12" t="s">
        <v>37</v>
      </c>
      <c r="TP135" s="12" t="s">
        <v>37</v>
      </c>
      <c r="TQ135" s="11" t="s">
        <v>37</v>
      </c>
      <c r="TR135" s="12" t="s">
        <v>37</v>
      </c>
      <c r="TS135" s="12" t="s">
        <v>37</v>
      </c>
      <c r="TT135" s="11" t="s">
        <v>37</v>
      </c>
      <c r="TY135" s="12" t="s">
        <v>37</v>
      </c>
      <c r="TZ135" s="12" t="s">
        <v>37</v>
      </c>
      <c r="UA135" s="12" t="s">
        <v>37</v>
      </c>
      <c r="UB135" s="12" t="s">
        <v>37</v>
      </c>
      <c r="UC135" s="12" t="s">
        <v>37</v>
      </c>
      <c r="UD135" s="12" t="s">
        <v>37</v>
      </c>
      <c r="UE135" s="12"/>
      <c r="UF135" s="12"/>
      <c r="UI135" s="12" t="s">
        <v>37</v>
      </c>
      <c r="UJ135" s="12" t="s">
        <v>37</v>
      </c>
      <c r="UK135" s="12" t="s">
        <v>37</v>
      </c>
      <c r="UL135" s="12" t="s">
        <v>37</v>
      </c>
      <c r="UM135" s="12" t="s">
        <v>37</v>
      </c>
      <c r="UN135" s="12" t="s">
        <v>37</v>
      </c>
      <c r="UO135" s="12"/>
      <c r="UP135" s="12"/>
      <c r="UR135" s="12" t="s">
        <v>37</v>
      </c>
      <c r="US135" s="12" t="s">
        <v>37</v>
      </c>
      <c r="UT135" s="12" t="s">
        <v>37</v>
      </c>
      <c r="UU135" s="12" t="s">
        <v>37</v>
      </c>
      <c r="UV135" s="12" t="s">
        <v>37</v>
      </c>
      <c r="UW135" s="12" t="s">
        <v>37</v>
      </c>
      <c r="UX135" s="12"/>
      <c r="UY135" s="12"/>
      <c r="VB135" s="12" t="s">
        <v>37</v>
      </c>
      <c r="VC135" s="12" t="s">
        <v>37</v>
      </c>
      <c r="VD135" s="12" t="s">
        <v>37</v>
      </c>
      <c r="VE135" s="12" t="s">
        <v>37</v>
      </c>
      <c r="VF135" s="12" t="s">
        <v>37</v>
      </c>
      <c r="VG135" s="12" t="s">
        <v>37</v>
      </c>
      <c r="VI135" s="12" t="s">
        <v>37</v>
      </c>
      <c r="VJ135" s="12" t="s">
        <v>37</v>
      </c>
      <c r="VK135" s="12" t="s">
        <v>37</v>
      </c>
      <c r="VL135" s="12" t="s">
        <v>37</v>
      </c>
      <c r="VM135" s="12" t="s">
        <v>37</v>
      </c>
      <c r="VN135" s="12" t="s">
        <v>37</v>
      </c>
      <c r="VQ135" s="13" t="s">
        <v>37</v>
      </c>
      <c r="VR135" s="13" t="s">
        <v>37</v>
      </c>
      <c r="VS135" s="13" t="s">
        <v>37</v>
      </c>
      <c r="VT135" s="13" t="s">
        <v>37</v>
      </c>
      <c r="VU135" s="13" t="s">
        <v>37</v>
      </c>
      <c r="VV135" s="13" t="s">
        <v>37</v>
      </c>
      <c r="WA135" s="13" t="s">
        <v>37</v>
      </c>
      <c r="WB135" s="13" t="s">
        <v>37</v>
      </c>
      <c r="WC135" s="13" t="s">
        <v>37</v>
      </c>
      <c r="WD135" s="13" t="s">
        <v>37</v>
      </c>
      <c r="WE135" s="13" t="s">
        <v>37</v>
      </c>
      <c r="WF135" s="13" t="s">
        <v>37</v>
      </c>
    </row>
    <row r="136" spans="1:604" ht="18" customHeight="1" x14ac:dyDescent="0.4">
      <c r="A136" s="11">
        <v>32</v>
      </c>
      <c r="B136" s="16" t="s">
        <v>232</v>
      </c>
      <c r="C136" s="12" t="s">
        <v>26</v>
      </c>
      <c r="D136" s="12" t="s">
        <v>54</v>
      </c>
      <c r="E136" s="40">
        <v>0.9</v>
      </c>
      <c r="F136" s="14">
        <v>0</v>
      </c>
      <c r="G136" s="14">
        <v>0</v>
      </c>
      <c r="H136" s="12" t="s">
        <v>233</v>
      </c>
      <c r="I136" s="29">
        <v>57.133000000000003</v>
      </c>
      <c r="J136" s="29">
        <v>14.75</v>
      </c>
      <c r="K136" s="12" t="s">
        <v>720</v>
      </c>
      <c r="L136" s="12" t="s">
        <v>721</v>
      </c>
      <c r="M136" s="13" t="s">
        <v>37</v>
      </c>
      <c r="N136" s="14">
        <v>5.6</v>
      </c>
      <c r="O136" s="14">
        <v>789.59847036328836</v>
      </c>
      <c r="P136" s="14" t="s">
        <v>84</v>
      </c>
      <c r="Q136" s="75">
        <v>31</v>
      </c>
      <c r="R136" s="11" t="s">
        <v>1000</v>
      </c>
      <c r="S136" s="12" t="s">
        <v>93</v>
      </c>
      <c r="T136" s="12" t="s">
        <v>37</v>
      </c>
      <c r="U136" s="12" t="s">
        <v>158</v>
      </c>
      <c r="V136" s="12" t="s">
        <v>275</v>
      </c>
      <c r="W136" s="23" t="s">
        <v>376</v>
      </c>
      <c r="X136" s="12" t="s">
        <v>280</v>
      </c>
      <c r="Y136" s="12" t="s">
        <v>69</v>
      </c>
      <c r="Z136" s="12" t="s">
        <v>37</v>
      </c>
      <c r="AA136" s="32" t="s">
        <v>345</v>
      </c>
      <c r="AB136" s="12">
        <v>3.9</v>
      </c>
      <c r="AC136" s="12" t="s">
        <v>42</v>
      </c>
      <c r="AD136" s="32" t="s">
        <v>345</v>
      </c>
      <c r="AE136" s="12">
        <v>450</v>
      </c>
      <c r="AF136" s="12" t="s">
        <v>42</v>
      </c>
      <c r="AG136" s="12" t="s">
        <v>345</v>
      </c>
      <c r="AH136" s="12">
        <v>10</v>
      </c>
      <c r="AJ136" s="12" t="str">
        <f t="shared" si="504"/>
        <v>0-10</v>
      </c>
      <c r="AK136" s="19">
        <f t="shared" si="505"/>
        <v>45</v>
      </c>
      <c r="AL136" s="32" t="s">
        <v>235</v>
      </c>
      <c r="AM136" s="13" t="s">
        <v>344</v>
      </c>
      <c r="AO136" s="13" t="s">
        <v>318</v>
      </c>
      <c r="AP136" s="12" t="s">
        <v>167</v>
      </c>
      <c r="AQ136" s="12" t="s">
        <v>975</v>
      </c>
      <c r="AR136" s="12" t="s">
        <v>42</v>
      </c>
      <c r="AS136" s="32" t="s">
        <v>345</v>
      </c>
      <c r="AT136" s="12">
        <v>450</v>
      </c>
      <c r="AU136" s="12">
        <f t="shared" ref="AU136:AU140" si="555">5*SQRT(3)</f>
        <v>8.6602540378443855</v>
      </c>
      <c r="AV136" s="13">
        <v>3</v>
      </c>
      <c r="AW136" s="19">
        <f t="shared" si="538"/>
        <v>1.9245008972987525E-2</v>
      </c>
      <c r="AX136" s="12">
        <v>490</v>
      </c>
      <c r="AY136" s="12">
        <f>7*SQRT(3)</f>
        <v>12.124355652982141</v>
      </c>
      <c r="AZ136" s="13">
        <v>3</v>
      </c>
      <c r="BA136" s="19">
        <f t="shared" si="539"/>
        <v>2.4743582965269677E-2</v>
      </c>
      <c r="BB136" s="52">
        <f t="shared" si="506"/>
        <v>8.515780834030677E-2</v>
      </c>
      <c r="BC136" s="19">
        <f t="shared" si="507"/>
        <v>3.27538422776518E-4</v>
      </c>
      <c r="BE136" s="12" t="s">
        <v>326</v>
      </c>
      <c r="BF136" s="12" t="s">
        <v>326</v>
      </c>
      <c r="BG136" s="12" t="s">
        <v>326</v>
      </c>
      <c r="BI136" s="12" t="s">
        <v>326</v>
      </c>
      <c r="BJ136" s="12" t="s">
        <v>326</v>
      </c>
      <c r="BK136" s="12" t="s">
        <v>326</v>
      </c>
      <c r="BP136" s="12" t="s">
        <v>37</v>
      </c>
      <c r="BQ136" s="12" t="s">
        <v>37</v>
      </c>
      <c r="BR136" s="13" t="s">
        <v>37</v>
      </c>
      <c r="BT136" s="12" t="s">
        <v>37</v>
      </c>
      <c r="BU136" s="12" t="s">
        <v>37</v>
      </c>
      <c r="BV136" s="12" t="s">
        <v>37</v>
      </c>
      <c r="CA136" s="12" t="s">
        <v>37</v>
      </c>
      <c r="CB136" s="12" t="s">
        <v>37</v>
      </c>
      <c r="CC136" s="13" t="s">
        <v>37</v>
      </c>
      <c r="CE136" s="12" t="s">
        <v>37</v>
      </c>
      <c r="CF136" s="12" t="s">
        <v>37</v>
      </c>
      <c r="CG136" s="13" t="s">
        <v>37</v>
      </c>
      <c r="CI136" s="52"/>
      <c r="CJ136" s="52"/>
      <c r="CK136" s="73"/>
      <c r="CL136" s="73"/>
      <c r="CN136" s="12" t="s">
        <v>37</v>
      </c>
      <c r="CO136" s="12" t="s">
        <v>37</v>
      </c>
      <c r="CP136" s="13" t="s">
        <v>37</v>
      </c>
      <c r="CR136" s="12" t="s">
        <v>37</v>
      </c>
      <c r="CS136" s="12" t="s">
        <v>37</v>
      </c>
      <c r="CT136" s="13" t="s">
        <v>37</v>
      </c>
      <c r="CV136" s="52"/>
      <c r="CW136" s="52"/>
      <c r="CX136" s="73"/>
      <c r="CY136" s="73"/>
      <c r="CZ136" s="12" t="s">
        <v>47</v>
      </c>
      <c r="DA136" s="12">
        <v>2000</v>
      </c>
      <c r="DB136" s="50">
        <f t="shared" si="540"/>
        <v>5999.3131173724232</v>
      </c>
      <c r="DC136" s="13">
        <v>3</v>
      </c>
      <c r="DE136" s="12">
        <v>-6800</v>
      </c>
      <c r="DF136" s="50">
        <f t="shared" si="541"/>
        <v>6481.3710012383399</v>
      </c>
      <c r="DG136" s="13">
        <v>3</v>
      </c>
      <c r="DI136" s="19">
        <f t="shared" si="542"/>
        <v>-8800</v>
      </c>
      <c r="DJ136" s="12">
        <f t="shared" si="543"/>
        <v>6244.9951135277161</v>
      </c>
      <c r="DK136" s="72">
        <f t="shared" si="544"/>
        <v>25999975.978656698</v>
      </c>
      <c r="DL136" s="72">
        <f t="shared" si="545"/>
        <v>25999975.978656702</v>
      </c>
      <c r="DM136" s="12" t="s">
        <v>47</v>
      </c>
      <c r="DN136" s="19">
        <v>122</v>
      </c>
      <c r="DO136" s="12">
        <f>33.4*SQRT(3)</f>
        <v>57.850496972800492</v>
      </c>
      <c r="DP136" s="13">
        <v>3</v>
      </c>
      <c r="DQ136" s="19">
        <f t="shared" si="508"/>
        <v>0.47418440141639751</v>
      </c>
      <c r="DR136" s="19">
        <v>0</v>
      </c>
      <c r="DS136" s="12">
        <f>1.4*SQRT(3)</f>
        <v>2.4248711305964279</v>
      </c>
      <c r="DT136" s="13">
        <v>3</v>
      </c>
      <c r="DV136" s="19">
        <f t="shared" si="509"/>
        <v>-122</v>
      </c>
      <c r="DW136" s="12">
        <f t="shared" si="485"/>
        <v>40.94239856188203</v>
      </c>
      <c r="DX136" s="72">
        <f t="shared" si="345"/>
        <v>1117.5199999999995</v>
      </c>
      <c r="DY136" s="72">
        <f t="shared" si="346"/>
        <v>1117.5199999999998</v>
      </c>
      <c r="DZ136" s="11" t="s">
        <v>47</v>
      </c>
      <c r="EA136" s="19">
        <v>0.3</v>
      </c>
      <c r="EB136" s="19">
        <f>0.5*SQRT(3)</f>
        <v>0.8660254037844386</v>
      </c>
      <c r="EC136" s="72">
        <v>3</v>
      </c>
      <c r="ED136" s="52">
        <f t="shared" si="547"/>
        <v>2.8867513459481287</v>
      </c>
      <c r="EE136" s="19">
        <v>0.7</v>
      </c>
      <c r="EF136" s="19">
        <f>0.5*SQRT(3)</f>
        <v>0.8660254037844386</v>
      </c>
      <c r="EG136" s="13">
        <v>3</v>
      </c>
      <c r="EH136" s="52">
        <f t="shared" si="548"/>
        <v>1.2371791482634837</v>
      </c>
      <c r="EI136" s="19">
        <f t="shared" si="549"/>
        <v>0.39999999999999997</v>
      </c>
      <c r="EJ136" s="12">
        <f t="shared" si="550"/>
        <v>0.8660254037844386</v>
      </c>
      <c r="EK136" s="19">
        <f t="shared" si="551"/>
        <v>0.49999999999999989</v>
      </c>
      <c r="EL136" s="19">
        <f t="shared" si="552"/>
        <v>0.49999999999999994</v>
      </c>
      <c r="EM136" s="12" t="s">
        <v>39</v>
      </c>
      <c r="EN136" s="12">
        <v>-7.2545662413056524</v>
      </c>
      <c r="EO136" s="12">
        <v>1.3531236339616048</v>
      </c>
      <c r="EP136" s="13">
        <v>3</v>
      </c>
      <c r="EQ136" s="19">
        <f t="shared" si="510"/>
        <v>0.18652026722938492</v>
      </c>
      <c r="ER136" s="12">
        <v>-28.596491228070171</v>
      </c>
      <c r="ES136" s="12">
        <v>2.2785559654849021</v>
      </c>
      <c r="ET136" s="13">
        <v>3</v>
      </c>
      <c r="EU136" s="19">
        <f t="shared" si="511"/>
        <v>7.9679564437202116E-2</v>
      </c>
      <c r="EV136" s="19">
        <f t="shared" si="512"/>
        <v>-21.341924986764518</v>
      </c>
      <c r="EW136" s="12">
        <f t="shared" si="489"/>
        <v>1.8738677723671291</v>
      </c>
      <c r="EX136" s="19">
        <f t="shared" si="490"/>
        <v>2.3409202855440978</v>
      </c>
      <c r="EY136" s="19">
        <f t="shared" si="491"/>
        <v>2.3409202855440978</v>
      </c>
      <c r="FB136" s="12" t="s">
        <v>37</v>
      </c>
      <c r="FC136" s="12" t="s">
        <v>37</v>
      </c>
      <c r="FD136" s="11" t="s">
        <v>37</v>
      </c>
      <c r="FE136" s="12" t="s">
        <v>37</v>
      </c>
      <c r="FF136" s="20" t="s">
        <v>37</v>
      </c>
      <c r="FG136" s="11" t="s">
        <v>37</v>
      </c>
      <c r="FI136" s="12" t="s">
        <v>37</v>
      </c>
      <c r="FJ136" s="12" t="s">
        <v>37</v>
      </c>
      <c r="FK136" s="11" t="s">
        <v>37</v>
      </c>
      <c r="FL136" s="13" t="s">
        <v>37</v>
      </c>
      <c r="FM136" s="11" t="s">
        <v>37</v>
      </c>
      <c r="FN136" s="11" t="s">
        <v>37</v>
      </c>
      <c r="FP136" s="12" t="s">
        <v>37</v>
      </c>
      <c r="FQ136" s="12" t="s">
        <v>37</v>
      </c>
      <c r="FR136" s="11" t="s">
        <v>37</v>
      </c>
      <c r="FS136" s="13" t="s">
        <v>37</v>
      </c>
      <c r="FT136" s="11" t="s">
        <v>37</v>
      </c>
      <c r="FU136" s="11" t="s">
        <v>37</v>
      </c>
      <c r="FW136" s="12" t="s">
        <v>37</v>
      </c>
      <c r="FX136" s="12" t="s">
        <v>37</v>
      </c>
      <c r="FY136" s="11" t="s">
        <v>37</v>
      </c>
      <c r="FZ136" s="13" t="s">
        <v>37</v>
      </c>
      <c r="GA136" s="11" t="s">
        <v>37</v>
      </c>
      <c r="GB136" s="11" t="s">
        <v>37</v>
      </c>
      <c r="HA136" s="17" t="s">
        <v>63</v>
      </c>
      <c r="HB136" s="34" t="s">
        <v>345</v>
      </c>
      <c r="HC136" s="12">
        <v>0.03</v>
      </c>
      <c r="HD136" s="50">
        <f t="shared" si="553"/>
        <v>5.1723522943947289E-3</v>
      </c>
      <c r="HE136" s="13">
        <v>3</v>
      </c>
      <c r="HG136" s="12">
        <v>0.17</v>
      </c>
      <c r="HH136" s="50">
        <f t="shared" si="554"/>
        <v>1.9015268394407866E-2</v>
      </c>
      <c r="HI136" s="13">
        <v>3</v>
      </c>
      <c r="HK136" s="19">
        <f t="shared" si="517"/>
        <v>1.7346010553881064</v>
      </c>
      <c r="HL136" s="19">
        <f t="shared" si="518"/>
        <v>1.4079080937294361E-2</v>
      </c>
      <c r="IK136" s="12" t="s">
        <v>37</v>
      </c>
      <c r="IL136" s="12" t="s">
        <v>37</v>
      </c>
      <c r="IM136" s="12" t="s">
        <v>37</v>
      </c>
      <c r="IO136" s="12" t="s">
        <v>37</v>
      </c>
      <c r="IP136" s="12" t="s">
        <v>37</v>
      </c>
      <c r="IQ136" s="12" t="s">
        <v>37</v>
      </c>
      <c r="IV136" s="32" t="s">
        <v>345</v>
      </c>
      <c r="IW136" s="12">
        <v>3.9</v>
      </c>
      <c r="IX136" s="12">
        <f t="shared" ref="IX136:IX140" si="556">0.1*SQRT(3)</f>
        <v>0.17320508075688773</v>
      </c>
      <c r="IY136" s="13">
        <v>3</v>
      </c>
      <c r="IZ136" s="19">
        <f t="shared" si="519"/>
        <v>4.441155916843275E-2</v>
      </c>
      <c r="JA136" s="12">
        <v>3.2</v>
      </c>
      <c r="JB136" s="12">
        <f>0.1*SQRT(3)</f>
        <v>0.17320508075688773</v>
      </c>
      <c r="JC136" s="13">
        <v>3</v>
      </c>
      <c r="JD136" s="19">
        <f t="shared" si="520"/>
        <v>5.4126587736527412E-2</v>
      </c>
      <c r="JE136" s="19">
        <f t="shared" si="521"/>
        <v>-0.19782574332991978</v>
      </c>
      <c r="JF136" s="19">
        <f t="shared" si="522"/>
        <v>1.6340246959237342E-3</v>
      </c>
      <c r="JH136" s="12" t="s">
        <v>37</v>
      </c>
      <c r="JI136" s="12" t="s">
        <v>37</v>
      </c>
      <c r="JJ136" s="13" t="s">
        <v>37</v>
      </c>
      <c r="JL136" s="12" t="s">
        <v>37</v>
      </c>
      <c r="JM136" s="12" t="s">
        <v>37</v>
      </c>
      <c r="JN136" s="12" t="s">
        <v>37</v>
      </c>
      <c r="JS136" s="12" t="s">
        <v>37</v>
      </c>
      <c r="JT136" s="12" t="s">
        <v>37</v>
      </c>
      <c r="JU136" s="13" t="s">
        <v>37</v>
      </c>
      <c r="JW136" s="12" t="s">
        <v>37</v>
      </c>
      <c r="JX136" s="12" t="s">
        <v>37</v>
      </c>
      <c r="JY136" s="12" t="s">
        <v>37</v>
      </c>
      <c r="KE136" s="11" t="s">
        <v>37</v>
      </c>
      <c r="KF136" s="11" t="s">
        <v>37</v>
      </c>
      <c r="KG136" s="13" t="s">
        <v>37</v>
      </c>
      <c r="KH136" s="11" t="s">
        <v>37</v>
      </c>
      <c r="KI136" s="11" t="s">
        <v>37</v>
      </c>
      <c r="KJ136" s="11" t="s">
        <v>37</v>
      </c>
      <c r="KK136" s="12" t="s">
        <v>42</v>
      </c>
      <c r="KL136" s="12" t="s">
        <v>345</v>
      </c>
      <c r="KM136" s="12">
        <v>10</v>
      </c>
      <c r="KN136" s="12">
        <f t="shared" ref="KN136:KN140" si="557">0.8*SQRT(3)</f>
        <v>1.3856406460551018</v>
      </c>
      <c r="KO136" s="11">
        <v>3</v>
      </c>
      <c r="KP136" s="19">
        <f t="shared" si="523"/>
        <v>0.13856406460551018</v>
      </c>
      <c r="KQ136" s="12">
        <v>18</v>
      </c>
      <c r="KR136" s="12">
        <f>0.7*SQRT(3)</f>
        <v>1.2124355652982139</v>
      </c>
      <c r="KS136" s="13">
        <v>3</v>
      </c>
      <c r="KT136" s="19">
        <f t="shared" si="524"/>
        <v>6.7357531405456333E-2</v>
      </c>
      <c r="KU136" s="19">
        <f t="shared" si="525"/>
        <v>0.58778666490211906</v>
      </c>
      <c r="KV136" s="19">
        <f t="shared" si="526"/>
        <v>7.9123456790123441E-3</v>
      </c>
      <c r="KX136" s="12" t="s">
        <v>37</v>
      </c>
      <c r="KY136" s="12" t="s">
        <v>37</v>
      </c>
      <c r="KZ136" s="13" t="s">
        <v>37</v>
      </c>
      <c r="LB136" s="12" t="s">
        <v>37</v>
      </c>
      <c r="LC136" s="12" t="s">
        <v>37</v>
      </c>
      <c r="LD136" s="13" t="s">
        <v>37</v>
      </c>
      <c r="LI136" s="12" t="s">
        <v>37</v>
      </c>
      <c r="LJ136" s="12" t="s">
        <v>37</v>
      </c>
      <c r="LK136" s="12" t="s">
        <v>37</v>
      </c>
      <c r="LM136" s="12" t="s">
        <v>37</v>
      </c>
      <c r="LN136" s="12" t="s">
        <v>37</v>
      </c>
      <c r="LO136" s="12" t="s">
        <v>37</v>
      </c>
      <c r="LT136" s="12" t="str">
        <f t="shared" si="527"/>
        <v>0-10</v>
      </c>
      <c r="LU136" s="12">
        <f t="shared" si="528"/>
        <v>45</v>
      </c>
      <c r="LV136" s="12">
        <f t="shared" si="529"/>
        <v>6.2952362942148561</v>
      </c>
      <c r="LW136" s="13">
        <f t="shared" si="530"/>
        <v>3</v>
      </c>
      <c r="LX136" s="19">
        <f t="shared" si="531"/>
        <v>0.13989413987144125</v>
      </c>
      <c r="LY136" s="12">
        <f t="shared" si="532"/>
        <v>27.222222222222221</v>
      </c>
      <c r="LZ136" s="12">
        <f t="shared" si="533"/>
        <v>1.9534257598792568</v>
      </c>
      <c r="MA136" s="13">
        <f t="shared" si="534"/>
        <v>3</v>
      </c>
      <c r="MB136" s="19">
        <f t="shared" si="535"/>
        <v>7.1758497301686985E-2</v>
      </c>
      <c r="MC136" s="19">
        <f t="shared" si="536"/>
        <v>-0.50262885656181211</v>
      </c>
      <c r="MD136" s="19">
        <f t="shared" si="537"/>
        <v>8.2398841017888615E-3</v>
      </c>
      <c r="MF136" s="12" t="s">
        <v>37</v>
      </c>
      <c r="MG136" s="12" t="s">
        <v>37</v>
      </c>
      <c r="MH136" s="12" t="s">
        <v>37</v>
      </c>
      <c r="MJ136" s="12" t="s">
        <v>37</v>
      </c>
      <c r="MK136" s="12" t="s">
        <v>37</v>
      </c>
      <c r="ML136" s="12" t="s">
        <v>37</v>
      </c>
      <c r="MQ136" s="12" t="s">
        <v>37</v>
      </c>
      <c r="MR136" s="12" t="s">
        <v>37</v>
      </c>
      <c r="MS136" s="12" t="s">
        <v>37</v>
      </c>
      <c r="MU136" s="12" t="s">
        <v>37</v>
      </c>
      <c r="MV136" s="12" t="s">
        <v>37</v>
      </c>
      <c r="MW136" s="12" t="s">
        <v>37</v>
      </c>
      <c r="NC136" s="12" t="s">
        <v>37</v>
      </c>
      <c r="ND136" s="12" t="s">
        <v>37</v>
      </c>
      <c r="NE136" s="13" t="s">
        <v>37</v>
      </c>
      <c r="NG136" s="12" t="s">
        <v>37</v>
      </c>
      <c r="NH136" s="12" t="s">
        <v>37</v>
      </c>
      <c r="NI136" s="13" t="s">
        <v>37</v>
      </c>
      <c r="NO136" s="12" t="s">
        <v>37</v>
      </c>
      <c r="NP136" s="12" t="s">
        <v>37</v>
      </c>
      <c r="NQ136" s="13" t="s">
        <v>37</v>
      </c>
      <c r="NS136" s="12" t="s">
        <v>37</v>
      </c>
      <c r="NT136" s="12" t="s">
        <v>37</v>
      </c>
      <c r="NU136" s="13" t="s">
        <v>37</v>
      </c>
      <c r="OA136" s="12" t="s">
        <v>37</v>
      </c>
      <c r="OB136" s="12" t="s">
        <v>37</v>
      </c>
      <c r="OC136" s="13" t="s">
        <v>37</v>
      </c>
      <c r="OE136" s="12" t="s">
        <v>37</v>
      </c>
      <c r="OF136" s="12" t="s">
        <v>37</v>
      </c>
      <c r="OG136" s="13" t="s">
        <v>37</v>
      </c>
      <c r="OM136" s="12" t="s">
        <v>37</v>
      </c>
      <c r="ON136" s="12" t="s">
        <v>37</v>
      </c>
      <c r="OO136" s="12" t="s">
        <v>37</v>
      </c>
      <c r="OP136" s="12" t="s">
        <v>37</v>
      </c>
      <c r="OQ136" s="12" t="s">
        <v>37</v>
      </c>
      <c r="OR136" s="12" t="s">
        <v>37</v>
      </c>
      <c r="OS136" s="12"/>
      <c r="OT136" s="12"/>
      <c r="OW136" s="12" t="s">
        <v>37</v>
      </c>
      <c r="OX136" s="12" t="s">
        <v>37</v>
      </c>
      <c r="OY136" s="13" t="s">
        <v>37</v>
      </c>
      <c r="OZ136" s="12" t="s">
        <v>37</v>
      </c>
      <c r="PA136" s="12" t="s">
        <v>37</v>
      </c>
      <c r="PB136" s="13" t="s">
        <v>37</v>
      </c>
      <c r="PG136" s="11" t="s">
        <v>37</v>
      </c>
      <c r="PH136" s="11" t="s">
        <v>37</v>
      </c>
      <c r="PI136" s="13" t="s">
        <v>37</v>
      </c>
      <c r="PJ136" s="11" t="s">
        <v>37</v>
      </c>
      <c r="PK136" s="11" t="s">
        <v>37</v>
      </c>
      <c r="PL136" s="13" t="s">
        <v>37</v>
      </c>
      <c r="PQ136" s="12" t="s">
        <v>37</v>
      </c>
      <c r="PR136" s="12" t="s">
        <v>37</v>
      </c>
      <c r="PS136" s="12" t="s">
        <v>37</v>
      </c>
      <c r="PT136" s="12" t="s">
        <v>37</v>
      </c>
      <c r="PU136" s="12" t="s">
        <v>37</v>
      </c>
      <c r="PV136" s="12" t="s">
        <v>37</v>
      </c>
      <c r="PW136" s="12"/>
      <c r="PX136" s="12"/>
      <c r="PZ136" s="12" t="s">
        <v>37</v>
      </c>
      <c r="QA136" s="12" t="s">
        <v>37</v>
      </c>
      <c r="QB136" s="11" t="s">
        <v>37</v>
      </c>
      <c r="QD136" s="12" t="s">
        <v>37</v>
      </c>
      <c r="QE136" s="12" t="s">
        <v>37</v>
      </c>
      <c r="QF136" s="12" t="s">
        <v>37</v>
      </c>
      <c r="QK136" s="12" t="s">
        <v>37</v>
      </c>
      <c r="QL136" s="12" t="s">
        <v>37</v>
      </c>
      <c r="QM136" s="12" t="s">
        <v>37</v>
      </c>
      <c r="QN136" s="12" t="s">
        <v>37</v>
      </c>
      <c r="QO136" s="12" t="s">
        <v>37</v>
      </c>
      <c r="QP136" s="12" t="s">
        <v>37</v>
      </c>
      <c r="QQ136" s="12"/>
      <c r="QR136" s="12"/>
      <c r="QU136" s="12" t="s">
        <v>37</v>
      </c>
      <c r="QV136" s="12" t="s">
        <v>37</v>
      </c>
      <c r="QW136" s="12" t="s">
        <v>37</v>
      </c>
      <c r="QX136" s="12" t="s">
        <v>37</v>
      </c>
      <c r="QY136" s="12" t="s">
        <v>37</v>
      </c>
      <c r="QZ136" s="12" t="s">
        <v>37</v>
      </c>
      <c r="RC136" s="12" t="s">
        <v>37</v>
      </c>
      <c r="RD136" s="12" t="s">
        <v>37</v>
      </c>
      <c r="RE136" s="13" t="s">
        <v>37</v>
      </c>
      <c r="RF136" s="12" t="s">
        <v>37</v>
      </c>
      <c r="RG136" s="12" t="s">
        <v>37</v>
      </c>
      <c r="RH136" s="13" t="s">
        <v>37</v>
      </c>
      <c r="RK136" s="12" t="s">
        <v>37</v>
      </c>
      <c r="RL136" s="12" t="s">
        <v>37</v>
      </c>
      <c r="RM136" s="11" t="s">
        <v>37</v>
      </c>
      <c r="RN136" s="12" t="s">
        <v>37</v>
      </c>
      <c r="RO136" s="12" t="s">
        <v>37</v>
      </c>
      <c r="RP136" s="11" t="s">
        <v>37</v>
      </c>
      <c r="RS136" s="12" t="s">
        <v>37</v>
      </c>
      <c r="RT136" s="12" t="s">
        <v>37</v>
      </c>
      <c r="RU136" s="12" t="s">
        <v>37</v>
      </c>
      <c r="RV136" s="12" t="s">
        <v>37</v>
      </c>
      <c r="RW136" s="12" t="s">
        <v>37</v>
      </c>
      <c r="RX136" s="12" t="s">
        <v>37</v>
      </c>
      <c r="SA136" s="12" t="s">
        <v>37</v>
      </c>
      <c r="SB136" s="12" t="s">
        <v>37</v>
      </c>
      <c r="SC136" s="12" t="s">
        <v>37</v>
      </c>
      <c r="SD136" s="12" t="s">
        <v>37</v>
      </c>
      <c r="SE136" s="12" t="s">
        <v>37</v>
      </c>
      <c r="SF136" s="12" t="s">
        <v>37</v>
      </c>
      <c r="SI136" s="12" t="s">
        <v>37</v>
      </c>
      <c r="SJ136" s="12" t="s">
        <v>37</v>
      </c>
      <c r="SK136" s="13" t="s">
        <v>37</v>
      </c>
      <c r="SM136" s="12" t="s">
        <v>37</v>
      </c>
      <c r="SN136" s="12" t="s">
        <v>37</v>
      </c>
      <c r="SO136" s="13" t="s">
        <v>37</v>
      </c>
      <c r="SU136" s="12" t="s">
        <v>37</v>
      </c>
      <c r="SV136" s="12" t="s">
        <v>37</v>
      </c>
      <c r="SW136" s="11" t="s">
        <v>37</v>
      </c>
      <c r="SX136" s="12" t="s">
        <v>37</v>
      </c>
      <c r="SY136" s="12" t="s">
        <v>37</v>
      </c>
      <c r="SZ136" s="11" t="s">
        <v>37</v>
      </c>
      <c r="TE136" s="12" t="s">
        <v>37</v>
      </c>
      <c r="TF136" s="12" t="s">
        <v>37</v>
      </c>
      <c r="TG136" s="11" t="s">
        <v>37</v>
      </c>
      <c r="TH136" s="12" t="s">
        <v>37</v>
      </c>
      <c r="TI136" s="12" t="s">
        <v>37</v>
      </c>
      <c r="TJ136" s="11" t="s">
        <v>37</v>
      </c>
      <c r="TO136" s="12" t="s">
        <v>37</v>
      </c>
      <c r="TP136" s="12" t="s">
        <v>37</v>
      </c>
      <c r="TQ136" s="11" t="s">
        <v>37</v>
      </c>
      <c r="TR136" s="12" t="s">
        <v>37</v>
      </c>
      <c r="TS136" s="12" t="s">
        <v>37</v>
      </c>
      <c r="TT136" s="11" t="s">
        <v>37</v>
      </c>
      <c r="TY136" s="12" t="s">
        <v>37</v>
      </c>
      <c r="TZ136" s="12" t="s">
        <v>37</v>
      </c>
      <c r="UA136" s="12" t="s">
        <v>37</v>
      </c>
      <c r="UB136" s="12" t="s">
        <v>37</v>
      </c>
      <c r="UC136" s="12" t="s">
        <v>37</v>
      </c>
      <c r="UD136" s="12" t="s">
        <v>37</v>
      </c>
      <c r="UE136" s="12"/>
      <c r="UF136" s="12"/>
      <c r="UI136" s="12" t="s">
        <v>37</v>
      </c>
      <c r="UJ136" s="12" t="s">
        <v>37</v>
      </c>
      <c r="UK136" s="12" t="s">
        <v>37</v>
      </c>
      <c r="UL136" s="12" t="s">
        <v>37</v>
      </c>
      <c r="UM136" s="12" t="s">
        <v>37</v>
      </c>
      <c r="UN136" s="12" t="s">
        <v>37</v>
      </c>
      <c r="UO136" s="12"/>
      <c r="UP136" s="12"/>
      <c r="UR136" s="12" t="s">
        <v>37</v>
      </c>
      <c r="US136" s="12" t="s">
        <v>37</v>
      </c>
      <c r="UT136" s="12" t="s">
        <v>37</v>
      </c>
      <c r="UU136" s="12" t="s">
        <v>37</v>
      </c>
      <c r="UV136" s="12" t="s">
        <v>37</v>
      </c>
      <c r="UW136" s="12" t="s">
        <v>37</v>
      </c>
      <c r="UX136" s="12"/>
      <c r="UY136" s="12"/>
      <c r="VB136" s="12" t="s">
        <v>37</v>
      </c>
      <c r="VC136" s="12" t="s">
        <v>37</v>
      </c>
      <c r="VD136" s="12" t="s">
        <v>37</v>
      </c>
      <c r="VE136" s="12" t="s">
        <v>37</v>
      </c>
      <c r="VF136" s="12" t="s">
        <v>37</v>
      </c>
      <c r="VG136" s="12" t="s">
        <v>37</v>
      </c>
      <c r="VI136" s="12" t="s">
        <v>37</v>
      </c>
      <c r="VJ136" s="12" t="s">
        <v>37</v>
      </c>
      <c r="VK136" s="12" t="s">
        <v>37</v>
      </c>
      <c r="VL136" s="12" t="s">
        <v>37</v>
      </c>
      <c r="VM136" s="12" t="s">
        <v>37</v>
      </c>
      <c r="VN136" s="12" t="s">
        <v>37</v>
      </c>
      <c r="VQ136" s="13" t="s">
        <v>37</v>
      </c>
      <c r="VR136" s="13" t="s">
        <v>37</v>
      </c>
      <c r="VS136" s="13" t="s">
        <v>37</v>
      </c>
      <c r="VT136" s="13" t="s">
        <v>37</v>
      </c>
      <c r="VU136" s="13" t="s">
        <v>37</v>
      </c>
      <c r="VV136" s="13" t="s">
        <v>37</v>
      </c>
      <c r="WA136" s="13" t="s">
        <v>37</v>
      </c>
      <c r="WB136" s="13" t="s">
        <v>37</v>
      </c>
      <c r="WC136" s="13" t="s">
        <v>37</v>
      </c>
      <c r="WD136" s="13" t="s">
        <v>37</v>
      </c>
      <c r="WE136" s="13" t="s">
        <v>37</v>
      </c>
      <c r="WF136" s="13" t="s">
        <v>37</v>
      </c>
    </row>
    <row r="137" spans="1:604" ht="18" customHeight="1" x14ac:dyDescent="0.4">
      <c r="A137" s="11">
        <v>32</v>
      </c>
      <c r="B137" s="16" t="s">
        <v>232</v>
      </c>
      <c r="C137" s="12" t="s">
        <v>26</v>
      </c>
      <c r="D137" s="12" t="s">
        <v>54</v>
      </c>
      <c r="E137" s="40">
        <v>0.9</v>
      </c>
      <c r="F137" s="14">
        <v>0</v>
      </c>
      <c r="G137" s="14">
        <v>0</v>
      </c>
      <c r="H137" s="12" t="s">
        <v>233</v>
      </c>
      <c r="I137" s="29">
        <v>57.133000000000003</v>
      </c>
      <c r="J137" s="29">
        <v>14.75</v>
      </c>
      <c r="K137" s="12" t="s">
        <v>720</v>
      </c>
      <c r="L137" s="12" t="s">
        <v>721</v>
      </c>
      <c r="M137" s="13" t="s">
        <v>37</v>
      </c>
      <c r="N137" s="14">
        <v>5.6</v>
      </c>
      <c r="O137" s="14">
        <v>766.95984703632928</v>
      </c>
      <c r="P137" s="14" t="s">
        <v>84</v>
      </c>
      <c r="Q137" s="75">
        <v>40</v>
      </c>
      <c r="R137" s="11" t="s">
        <v>1000</v>
      </c>
      <c r="S137" s="12" t="s">
        <v>93</v>
      </c>
      <c r="T137" s="12" t="s">
        <v>37</v>
      </c>
      <c r="U137" s="12" t="s">
        <v>158</v>
      </c>
      <c r="V137" s="12" t="s">
        <v>275</v>
      </c>
      <c r="W137" s="23" t="s">
        <v>376</v>
      </c>
      <c r="X137" s="12" t="s">
        <v>280</v>
      </c>
      <c r="Y137" s="12" t="s">
        <v>69</v>
      </c>
      <c r="Z137" s="12" t="s">
        <v>37</v>
      </c>
      <c r="AA137" s="32" t="s">
        <v>345</v>
      </c>
      <c r="AB137" s="12">
        <v>3.9</v>
      </c>
      <c r="AC137" s="12" t="s">
        <v>42</v>
      </c>
      <c r="AD137" s="32" t="s">
        <v>345</v>
      </c>
      <c r="AE137" s="12">
        <v>450</v>
      </c>
      <c r="AF137" s="12" t="s">
        <v>42</v>
      </c>
      <c r="AG137" s="12" t="s">
        <v>345</v>
      </c>
      <c r="AH137" s="12">
        <v>10</v>
      </c>
      <c r="AJ137" s="12" t="str">
        <f t="shared" si="504"/>
        <v>0-10</v>
      </c>
      <c r="AK137" s="19">
        <f t="shared" si="505"/>
        <v>45</v>
      </c>
      <c r="AL137" s="32" t="s">
        <v>234</v>
      </c>
      <c r="AM137" s="13" t="s">
        <v>344</v>
      </c>
      <c r="AO137" s="13" t="s">
        <v>318</v>
      </c>
      <c r="AP137" s="12" t="s">
        <v>167</v>
      </c>
      <c r="AQ137" s="12" t="s">
        <v>975</v>
      </c>
      <c r="AR137" s="12" t="s">
        <v>42</v>
      </c>
      <c r="AS137" s="32" t="s">
        <v>345</v>
      </c>
      <c r="AT137" s="12">
        <v>450</v>
      </c>
      <c r="AU137" s="12">
        <f t="shared" si="555"/>
        <v>8.6602540378443855</v>
      </c>
      <c r="AV137" s="13">
        <v>3</v>
      </c>
      <c r="AW137" s="19">
        <f t="shared" si="538"/>
        <v>1.9245008972987525E-2</v>
      </c>
      <c r="AX137" s="12">
        <v>480</v>
      </c>
      <c r="AY137" s="12">
        <f>16*SQRT(3)</f>
        <v>27.712812921102035</v>
      </c>
      <c r="AZ137" s="13">
        <v>3</v>
      </c>
      <c r="BA137" s="19">
        <f t="shared" si="539"/>
        <v>5.7735026918962574E-2</v>
      </c>
      <c r="BB137" s="52">
        <f t="shared" si="506"/>
        <v>6.4538521137571164E-2</v>
      </c>
      <c r="BC137" s="19">
        <f t="shared" si="507"/>
        <v>1.2345679012345677E-3</v>
      </c>
      <c r="BE137" s="12" t="s">
        <v>326</v>
      </c>
      <c r="BF137" s="12" t="s">
        <v>326</v>
      </c>
      <c r="BG137" s="12" t="s">
        <v>326</v>
      </c>
      <c r="BI137" s="12" t="s">
        <v>326</v>
      </c>
      <c r="BJ137" s="12" t="s">
        <v>326</v>
      </c>
      <c r="BK137" s="12" t="s">
        <v>326</v>
      </c>
      <c r="BP137" s="12" t="s">
        <v>37</v>
      </c>
      <c r="BQ137" s="12" t="s">
        <v>37</v>
      </c>
      <c r="BR137" s="13" t="s">
        <v>37</v>
      </c>
      <c r="BT137" s="12" t="s">
        <v>37</v>
      </c>
      <c r="BU137" s="12" t="s">
        <v>37</v>
      </c>
      <c r="BV137" s="12" t="s">
        <v>37</v>
      </c>
      <c r="CA137" s="12" t="s">
        <v>37</v>
      </c>
      <c r="CB137" s="12" t="s">
        <v>37</v>
      </c>
      <c r="CC137" s="13" t="s">
        <v>37</v>
      </c>
      <c r="CE137" s="12" t="s">
        <v>37</v>
      </c>
      <c r="CF137" s="12" t="s">
        <v>37</v>
      </c>
      <c r="CG137" s="13" t="s">
        <v>37</v>
      </c>
      <c r="CN137" s="12" t="s">
        <v>37</v>
      </c>
      <c r="CO137" s="12" t="s">
        <v>37</v>
      </c>
      <c r="CP137" s="13" t="s">
        <v>37</v>
      </c>
      <c r="CR137" s="12" t="s">
        <v>37</v>
      </c>
      <c r="CS137" s="12" t="s">
        <v>37</v>
      </c>
      <c r="CT137" s="13" t="s">
        <v>37</v>
      </c>
      <c r="CX137" s="72"/>
      <c r="CY137" s="72"/>
      <c r="CZ137" s="12" t="s">
        <v>47</v>
      </c>
      <c r="DA137" s="12">
        <v>2000</v>
      </c>
      <c r="DB137" s="50">
        <f t="shared" si="540"/>
        <v>5999.3131173724232</v>
      </c>
      <c r="DC137" s="13">
        <v>3</v>
      </c>
      <c r="DE137" s="12">
        <v>-8000</v>
      </c>
      <c r="DF137" s="50">
        <f t="shared" si="541"/>
        <v>7625.1423543980472</v>
      </c>
      <c r="DG137" s="13">
        <v>3</v>
      </c>
      <c r="DI137" s="19">
        <f t="shared" si="542"/>
        <v>-10000</v>
      </c>
      <c r="DJ137" s="12">
        <f t="shared" si="543"/>
        <v>6860.5595181847893</v>
      </c>
      <c r="DK137" s="72">
        <f t="shared" si="544"/>
        <v>31378184.601703942</v>
      </c>
      <c r="DL137" s="72">
        <f t="shared" si="545"/>
        <v>31378184.601703938</v>
      </c>
      <c r="DM137" s="12" t="s">
        <v>47</v>
      </c>
      <c r="DN137" s="19">
        <v>106</v>
      </c>
      <c r="DO137" s="12">
        <f>44.2*SQRT(3)</f>
        <v>76.556645694544372</v>
      </c>
      <c r="DP137" s="13">
        <v>3</v>
      </c>
      <c r="DQ137" s="19">
        <f t="shared" si="508"/>
        <v>0.72223250655230542</v>
      </c>
      <c r="DR137" s="19">
        <v>4</v>
      </c>
      <c r="DS137" s="12">
        <f>2.4*SQRT(3)</f>
        <v>4.1569219381653051</v>
      </c>
      <c r="DT137" s="13">
        <v>3</v>
      </c>
      <c r="DU137" s="19">
        <f t="shared" si="546"/>
        <v>1.0392304845413263</v>
      </c>
      <c r="DV137" s="19">
        <f t="shared" si="509"/>
        <v>-102</v>
      </c>
      <c r="DW137" s="12">
        <f t="shared" si="485"/>
        <v>54.213466961632321</v>
      </c>
      <c r="DX137" s="72">
        <f t="shared" si="345"/>
        <v>1959.3999999999996</v>
      </c>
      <c r="DY137" s="72">
        <f t="shared" si="346"/>
        <v>1959.3999999999996</v>
      </c>
      <c r="DZ137" s="11" t="s">
        <v>47</v>
      </c>
      <c r="EA137" s="19">
        <v>0.2</v>
      </c>
      <c r="EB137" s="19">
        <f>0.3*SQRT(3)</f>
        <v>0.51961524227066314</v>
      </c>
      <c r="EC137" s="72">
        <v>3</v>
      </c>
      <c r="ED137" s="52">
        <f t="shared" si="547"/>
        <v>2.5980762113533156</v>
      </c>
      <c r="EE137" s="19">
        <v>0.6</v>
      </c>
      <c r="EF137" s="19">
        <f>0.3*SQRT(3)</f>
        <v>0.51961524227066314</v>
      </c>
      <c r="EG137" s="13">
        <v>3</v>
      </c>
      <c r="EH137" s="52">
        <f t="shared" si="548"/>
        <v>0.8660254037844386</v>
      </c>
      <c r="EI137" s="19">
        <f t="shared" si="549"/>
        <v>0.39999999999999997</v>
      </c>
      <c r="EJ137" s="12">
        <f t="shared" si="550"/>
        <v>0.51961524227066314</v>
      </c>
      <c r="EK137" s="19">
        <f t="shared" si="551"/>
        <v>0.17999999999999997</v>
      </c>
      <c r="EL137" s="19">
        <f t="shared" si="552"/>
        <v>0.17999999999999997</v>
      </c>
      <c r="EM137" s="12" t="s">
        <v>39</v>
      </c>
      <c r="EN137" s="12">
        <v>-6.8927332639611532</v>
      </c>
      <c r="EO137" s="12">
        <v>1.3328157064282187</v>
      </c>
      <c r="EP137" s="13">
        <v>3</v>
      </c>
      <c r="EQ137" s="19">
        <f t="shared" si="510"/>
        <v>0.19336533932001729</v>
      </c>
      <c r="ER137" s="12">
        <v>-20.420000000000002</v>
      </c>
      <c r="ES137" s="12">
        <v>3.03</v>
      </c>
      <c r="ET137" s="13">
        <v>3</v>
      </c>
      <c r="EU137" s="19">
        <f t="shared" si="511"/>
        <v>0.14838393731635649</v>
      </c>
      <c r="EV137" s="19">
        <f t="shared" si="512"/>
        <v>-13.527266736038849</v>
      </c>
      <c r="EW137" s="12">
        <f t="shared" si="489"/>
        <v>2.3406513737955246</v>
      </c>
      <c r="EX137" s="19">
        <f t="shared" si="490"/>
        <v>3.6524325691005837</v>
      </c>
      <c r="EY137" s="19">
        <f t="shared" si="491"/>
        <v>3.6524325691005837</v>
      </c>
      <c r="FB137" s="12" t="s">
        <v>37</v>
      </c>
      <c r="FC137" s="12" t="s">
        <v>37</v>
      </c>
      <c r="FD137" s="11" t="s">
        <v>37</v>
      </c>
      <c r="FE137" s="12" t="s">
        <v>37</v>
      </c>
      <c r="FF137" s="20" t="s">
        <v>37</v>
      </c>
      <c r="FG137" s="11" t="s">
        <v>37</v>
      </c>
      <c r="FI137" s="12" t="s">
        <v>37</v>
      </c>
      <c r="FJ137" s="12" t="s">
        <v>37</v>
      </c>
      <c r="FK137" s="11" t="s">
        <v>37</v>
      </c>
      <c r="FL137" s="13" t="s">
        <v>37</v>
      </c>
      <c r="FM137" s="11" t="s">
        <v>37</v>
      </c>
      <c r="FN137" s="11" t="s">
        <v>37</v>
      </c>
      <c r="FP137" s="12" t="s">
        <v>37</v>
      </c>
      <c r="FQ137" s="12" t="s">
        <v>37</v>
      </c>
      <c r="FR137" s="11" t="s">
        <v>37</v>
      </c>
      <c r="FS137" s="13" t="s">
        <v>37</v>
      </c>
      <c r="FT137" s="11" t="s">
        <v>37</v>
      </c>
      <c r="FU137" s="11" t="s">
        <v>37</v>
      </c>
      <c r="FW137" s="12" t="s">
        <v>37</v>
      </c>
      <c r="FX137" s="12" t="s">
        <v>37</v>
      </c>
      <c r="FY137" s="11" t="s">
        <v>37</v>
      </c>
      <c r="FZ137" s="13" t="s">
        <v>37</v>
      </c>
      <c r="GA137" s="11" t="s">
        <v>37</v>
      </c>
      <c r="GB137" s="11" t="s">
        <v>37</v>
      </c>
      <c r="HA137" s="17" t="s">
        <v>63</v>
      </c>
      <c r="HB137" s="34" t="s">
        <v>345</v>
      </c>
      <c r="HC137" s="12">
        <v>0.03</v>
      </c>
      <c r="HD137" s="50">
        <f t="shared" si="553"/>
        <v>5.1723522943947289E-3</v>
      </c>
      <c r="HE137" s="13">
        <v>3</v>
      </c>
      <c r="HG137" s="12">
        <v>0.13</v>
      </c>
      <c r="HH137" s="50">
        <f t="shared" si="554"/>
        <v>1.4541087595723661E-2</v>
      </c>
      <c r="HI137" s="13">
        <v>3</v>
      </c>
      <c r="HK137" s="19">
        <f t="shared" si="517"/>
        <v>1.4663370687934272</v>
      </c>
      <c r="HL137" s="19">
        <f t="shared" si="518"/>
        <v>1.4079080937294361E-2</v>
      </c>
      <c r="IK137" s="12" t="s">
        <v>37</v>
      </c>
      <c r="IL137" s="12" t="s">
        <v>37</v>
      </c>
      <c r="IM137" s="12" t="s">
        <v>37</v>
      </c>
      <c r="IO137" s="12" t="s">
        <v>37</v>
      </c>
      <c r="IP137" s="12" t="s">
        <v>37</v>
      </c>
      <c r="IQ137" s="12" t="s">
        <v>37</v>
      </c>
      <c r="IV137" s="32" t="s">
        <v>345</v>
      </c>
      <c r="IW137" s="12">
        <v>3.9</v>
      </c>
      <c r="IX137" s="12">
        <f t="shared" si="556"/>
        <v>0.17320508075688773</v>
      </c>
      <c r="IY137" s="13">
        <v>3</v>
      </c>
      <c r="IZ137" s="19">
        <f t="shared" si="519"/>
        <v>4.441155916843275E-2</v>
      </c>
      <c r="JA137" s="12">
        <v>3.3</v>
      </c>
      <c r="JB137" s="12">
        <f>0.1*SQRT(3)</f>
        <v>0.17320508075688773</v>
      </c>
      <c r="JC137" s="13">
        <v>3</v>
      </c>
      <c r="JD137" s="19">
        <f t="shared" si="520"/>
        <v>5.2486388108147798E-2</v>
      </c>
      <c r="JE137" s="19">
        <f t="shared" si="521"/>
        <v>-0.16705408466316621</v>
      </c>
      <c r="JF137" s="19">
        <f t="shared" si="522"/>
        <v>1.5757358414701073E-3</v>
      </c>
      <c r="JH137" s="12" t="s">
        <v>37</v>
      </c>
      <c r="JI137" s="12" t="s">
        <v>37</v>
      </c>
      <c r="JJ137" s="13" t="s">
        <v>37</v>
      </c>
      <c r="JL137" s="12" t="s">
        <v>37</v>
      </c>
      <c r="JM137" s="12" t="s">
        <v>37</v>
      </c>
      <c r="JN137" s="12" t="s">
        <v>37</v>
      </c>
      <c r="JS137" s="12" t="s">
        <v>37</v>
      </c>
      <c r="JT137" s="12" t="s">
        <v>37</v>
      </c>
      <c r="JU137" s="13" t="s">
        <v>37</v>
      </c>
      <c r="JW137" s="12" t="s">
        <v>37</v>
      </c>
      <c r="JX137" s="12" t="s">
        <v>37</v>
      </c>
      <c r="JY137" s="12" t="s">
        <v>37</v>
      </c>
      <c r="KE137" s="11" t="s">
        <v>37</v>
      </c>
      <c r="KF137" s="11" t="s">
        <v>37</v>
      </c>
      <c r="KG137" s="13" t="s">
        <v>37</v>
      </c>
      <c r="KH137" s="11" t="s">
        <v>37</v>
      </c>
      <c r="KI137" s="11" t="s">
        <v>37</v>
      </c>
      <c r="KJ137" s="11" t="s">
        <v>37</v>
      </c>
      <c r="KK137" s="12" t="s">
        <v>42</v>
      </c>
      <c r="KL137" s="12" t="s">
        <v>345</v>
      </c>
      <c r="KM137" s="12">
        <v>10</v>
      </c>
      <c r="KN137" s="12">
        <f t="shared" si="557"/>
        <v>1.3856406460551018</v>
      </c>
      <c r="KO137" s="11">
        <v>3</v>
      </c>
      <c r="KP137" s="19">
        <f t="shared" si="523"/>
        <v>0.13856406460551018</v>
      </c>
      <c r="KQ137" s="12">
        <v>19</v>
      </c>
      <c r="KR137" s="12">
        <f>0.9*SQRT(3)</f>
        <v>1.5588457268119895</v>
      </c>
      <c r="KS137" s="13">
        <v>3</v>
      </c>
      <c r="KT137" s="19">
        <f t="shared" si="524"/>
        <v>8.2044511937473127E-2</v>
      </c>
      <c r="KU137" s="19">
        <f t="shared" si="525"/>
        <v>0.64185388617239469</v>
      </c>
      <c r="KV137" s="19">
        <f t="shared" si="526"/>
        <v>8.64376731301939E-3</v>
      </c>
      <c r="KX137" s="12" t="s">
        <v>37</v>
      </c>
      <c r="KY137" s="12" t="s">
        <v>37</v>
      </c>
      <c r="KZ137" s="13" t="s">
        <v>37</v>
      </c>
      <c r="LB137" s="12" t="s">
        <v>37</v>
      </c>
      <c r="LC137" s="12" t="s">
        <v>37</v>
      </c>
      <c r="LD137" s="13" t="s">
        <v>37</v>
      </c>
      <c r="LI137" s="12" t="s">
        <v>37</v>
      </c>
      <c r="LJ137" s="12" t="s">
        <v>37</v>
      </c>
      <c r="LK137" s="12" t="s">
        <v>37</v>
      </c>
      <c r="LM137" s="12" t="s">
        <v>37</v>
      </c>
      <c r="LN137" s="12" t="s">
        <v>37</v>
      </c>
      <c r="LO137" s="12" t="s">
        <v>37</v>
      </c>
      <c r="LT137" s="12" t="str">
        <f t="shared" si="527"/>
        <v>0-10</v>
      </c>
      <c r="LU137" s="12">
        <f t="shared" si="528"/>
        <v>45</v>
      </c>
      <c r="LV137" s="12">
        <f t="shared" si="529"/>
        <v>6.2952362942148561</v>
      </c>
      <c r="LW137" s="13">
        <f t="shared" si="530"/>
        <v>3</v>
      </c>
      <c r="LX137" s="19">
        <f t="shared" si="531"/>
        <v>0.13989413987144125</v>
      </c>
      <c r="LY137" s="12">
        <f t="shared" si="532"/>
        <v>25.263157894736842</v>
      </c>
      <c r="LZ137" s="12">
        <f t="shared" si="533"/>
        <v>2.5344670946031327</v>
      </c>
      <c r="MA137" s="13">
        <f t="shared" si="534"/>
        <v>3</v>
      </c>
      <c r="MB137" s="19">
        <f t="shared" si="535"/>
        <v>0.10032265582804066</v>
      </c>
      <c r="MC137" s="19">
        <f t="shared" si="536"/>
        <v>-0.57731536503482361</v>
      </c>
      <c r="MD137" s="19">
        <f t="shared" si="537"/>
        <v>9.8783352142539568E-3</v>
      </c>
      <c r="MF137" s="12" t="s">
        <v>37</v>
      </c>
      <c r="MG137" s="12" t="s">
        <v>37</v>
      </c>
      <c r="MH137" s="12" t="s">
        <v>37</v>
      </c>
      <c r="MJ137" s="12" t="s">
        <v>37</v>
      </c>
      <c r="MK137" s="12" t="s">
        <v>37</v>
      </c>
      <c r="ML137" s="12" t="s">
        <v>37</v>
      </c>
      <c r="MQ137" s="12" t="s">
        <v>37</v>
      </c>
      <c r="MR137" s="12" t="s">
        <v>37</v>
      </c>
      <c r="MS137" s="12" t="s">
        <v>37</v>
      </c>
      <c r="MU137" s="12" t="s">
        <v>37</v>
      </c>
      <c r="MV137" s="12" t="s">
        <v>37</v>
      </c>
      <c r="MW137" s="12" t="s">
        <v>37</v>
      </c>
      <c r="NC137" s="12" t="s">
        <v>37</v>
      </c>
      <c r="ND137" s="12" t="s">
        <v>37</v>
      </c>
      <c r="NE137" s="13" t="s">
        <v>37</v>
      </c>
      <c r="NG137" s="12" t="s">
        <v>37</v>
      </c>
      <c r="NH137" s="12" t="s">
        <v>37</v>
      </c>
      <c r="NI137" s="13" t="s">
        <v>37</v>
      </c>
      <c r="NO137" s="12" t="s">
        <v>37</v>
      </c>
      <c r="NP137" s="12" t="s">
        <v>37</v>
      </c>
      <c r="NQ137" s="13" t="s">
        <v>37</v>
      </c>
      <c r="NS137" s="12" t="s">
        <v>37</v>
      </c>
      <c r="NT137" s="12" t="s">
        <v>37</v>
      </c>
      <c r="NU137" s="13" t="s">
        <v>37</v>
      </c>
      <c r="OA137" s="12" t="s">
        <v>37</v>
      </c>
      <c r="OB137" s="12" t="s">
        <v>37</v>
      </c>
      <c r="OC137" s="13" t="s">
        <v>37</v>
      </c>
      <c r="OE137" s="12" t="s">
        <v>37</v>
      </c>
      <c r="OF137" s="12" t="s">
        <v>37</v>
      </c>
      <c r="OG137" s="13" t="s">
        <v>37</v>
      </c>
      <c r="OM137" s="12" t="s">
        <v>37</v>
      </c>
      <c r="ON137" s="12" t="s">
        <v>37</v>
      </c>
      <c r="OO137" s="12" t="s">
        <v>37</v>
      </c>
      <c r="OP137" s="12" t="s">
        <v>37</v>
      </c>
      <c r="OQ137" s="12" t="s">
        <v>37</v>
      </c>
      <c r="OR137" s="12" t="s">
        <v>37</v>
      </c>
      <c r="OS137" s="12"/>
      <c r="OT137" s="12"/>
      <c r="OW137" s="12" t="s">
        <v>37</v>
      </c>
      <c r="OX137" s="12" t="s">
        <v>37</v>
      </c>
      <c r="OY137" s="13" t="s">
        <v>37</v>
      </c>
      <c r="OZ137" s="12" t="s">
        <v>37</v>
      </c>
      <c r="PA137" s="12" t="s">
        <v>37</v>
      </c>
      <c r="PB137" s="13" t="s">
        <v>37</v>
      </c>
      <c r="PG137" s="11" t="s">
        <v>37</v>
      </c>
      <c r="PH137" s="11" t="s">
        <v>37</v>
      </c>
      <c r="PI137" s="13" t="s">
        <v>37</v>
      </c>
      <c r="PJ137" s="11" t="s">
        <v>37</v>
      </c>
      <c r="PK137" s="11" t="s">
        <v>37</v>
      </c>
      <c r="PL137" s="13" t="s">
        <v>37</v>
      </c>
      <c r="PQ137" s="12" t="s">
        <v>37</v>
      </c>
      <c r="PR137" s="12" t="s">
        <v>37</v>
      </c>
      <c r="PS137" s="12" t="s">
        <v>37</v>
      </c>
      <c r="PT137" s="12" t="s">
        <v>37</v>
      </c>
      <c r="PU137" s="12" t="s">
        <v>37</v>
      </c>
      <c r="PV137" s="12" t="s">
        <v>37</v>
      </c>
      <c r="PW137" s="12"/>
      <c r="PX137" s="12"/>
      <c r="PZ137" s="12" t="s">
        <v>37</v>
      </c>
      <c r="QA137" s="12" t="s">
        <v>37</v>
      </c>
      <c r="QB137" s="11" t="s">
        <v>37</v>
      </c>
      <c r="QD137" s="12" t="s">
        <v>37</v>
      </c>
      <c r="QE137" s="12" t="s">
        <v>37</v>
      </c>
      <c r="QF137" s="12" t="s">
        <v>37</v>
      </c>
      <c r="QK137" s="12" t="s">
        <v>37</v>
      </c>
      <c r="QL137" s="12" t="s">
        <v>37</v>
      </c>
      <c r="QM137" s="12" t="s">
        <v>37</v>
      </c>
      <c r="QN137" s="12" t="s">
        <v>37</v>
      </c>
      <c r="QO137" s="12" t="s">
        <v>37</v>
      </c>
      <c r="QP137" s="12" t="s">
        <v>37</v>
      </c>
      <c r="QQ137" s="12"/>
      <c r="QR137" s="12"/>
      <c r="QU137" s="12" t="s">
        <v>37</v>
      </c>
      <c r="QV137" s="12" t="s">
        <v>37</v>
      </c>
      <c r="QW137" s="12" t="s">
        <v>37</v>
      </c>
      <c r="QX137" s="12" t="s">
        <v>37</v>
      </c>
      <c r="QY137" s="12" t="s">
        <v>37</v>
      </c>
      <c r="QZ137" s="12" t="s">
        <v>37</v>
      </c>
      <c r="RC137" s="12" t="s">
        <v>37</v>
      </c>
      <c r="RD137" s="12" t="s">
        <v>37</v>
      </c>
      <c r="RE137" s="13" t="s">
        <v>37</v>
      </c>
      <c r="RF137" s="12" t="s">
        <v>37</v>
      </c>
      <c r="RG137" s="12" t="s">
        <v>37</v>
      </c>
      <c r="RH137" s="13" t="s">
        <v>37</v>
      </c>
      <c r="RK137" s="12" t="s">
        <v>37</v>
      </c>
      <c r="RL137" s="12" t="s">
        <v>37</v>
      </c>
      <c r="RM137" s="11" t="s">
        <v>37</v>
      </c>
      <c r="RN137" s="12" t="s">
        <v>37</v>
      </c>
      <c r="RO137" s="12" t="s">
        <v>37</v>
      </c>
      <c r="RP137" s="11" t="s">
        <v>37</v>
      </c>
      <c r="RS137" s="12" t="s">
        <v>37</v>
      </c>
      <c r="RT137" s="12" t="s">
        <v>37</v>
      </c>
      <c r="RU137" s="12" t="s">
        <v>37</v>
      </c>
      <c r="RV137" s="12" t="s">
        <v>37</v>
      </c>
      <c r="RW137" s="12" t="s">
        <v>37</v>
      </c>
      <c r="RX137" s="12" t="s">
        <v>37</v>
      </c>
      <c r="SA137" s="12" t="s">
        <v>37</v>
      </c>
      <c r="SB137" s="12" t="s">
        <v>37</v>
      </c>
      <c r="SC137" s="12" t="s">
        <v>37</v>
      </c>
      <c r="SD137" s="12" t="s">
        <v>37</v>
      </c>
      <c r="SE137" s="12" t="s">
        <v>37</v>
      </c>
      <c r="SF137" s="12" t="s">
        <v>37</v>
      </c>
      <c r="SI137" s="12" t="s">
        <v>37</v>
      </c>
      <c r="SJ137" s="12" t="s">
        <v>37</v>
      </c>
      <c r="SK137" s="13" t="s">
        <v>37</v>
      </c>
      <c r="SM137" s="12" t="s">
        <v>37</v>
      </c>
      <c r="SN137" s="12" t="s">
        <v>37</v>
      </c>
      <c r="SO137" s="13" t="s">
        <v>37</v>
      </c>
      <c r="SU137" s="12" t="s">
        <v>37</v>
      </c>
      <c r="SV137" s="12" t="s">
        <v>37</v>
      </c>
      <c r="SW137" s="11" t="s">
        <v>37</v>
      </c>
      <c r="SX137" s="12" t="s">
        <v>37</v>
      </c>
      <c r="SY137" s="12" t="s">
        <v>37</v>
      </c>
      <c r="SZ137" s="11" t="s">
        <v>37</v>
      </c>
      <c r="TE137" s="12" t="s">
        <v>37</v>
      </c>
      <c r="TF137" s="12" t="s">
        <v>37</v>
      </c>
      <c r="TG137" s="11" t="s">
        <v>37</v>
      </c>
      <c r="TH137" s="12" t="s">
        <v>37</v>
      </c>
      <c r="TI137" s="12" t="s">
        <v>37</v>
      </c>
      <c r="TJ137" s="11" t="s">
        <v>37</v>
      </c>
      <c r="TO137" s="12" t="s">
        <v>37</v>
      </c>
      <c r="TP137" s="12" t="s">
        <v>37</v>
      </c>
      <c r="TQ137" s="11" t="s">
        <v>37</v>
      </c>
      <c r="TR137" s="12" t="s">
        <v>37</v>
      </c>
      <c r="TS137" s="12" t="s">
        <v>37</v>
      </c>
      <c r="TT137" s="11" t="s">
        <v>37</v>
      </c>
      <c r="TY137" s="12" t="s">
        <v>37</v>
      </c>
      <c r="TZ137" s="12" t="s">
        <v>37</v>
      </c>
      <c r="UA137" s="12" t="s">
        <v>37</v>
      </c>
      <c r="UB137" s="12" t="s">
        <v>37</v>
      </c>
      <c r="UC137" s="12" t="s">
        <v>37</v>
      </c>
      <c r="UD137" s="12" t="s">
        <v>37</v>
      </c>
      <c r="UE137" s="12"/>
      <c r="UF137" s="12"/>
      <c r="UI137" s="12" t="s">
        <v>37</v>
      </c>
      <c r="UJ137" s="12" t="s">
        <v>37</v>
      </c>
      <c r="UK137" s="12" t="s">
        <v>37</v>
      </c>
      <c r="UL137" s="12" t="s">
        <v>37</v>
      </c>
      <c r="UM137" s="12" t="s">
        <v>37</v>
      </c>
      <c r="UN137" s="12" t="s">
        <v>37</v>
      </c>
      <c r="UO137" s="12"/>
      <c r="UP137" s="12"/>
      <c r="UR137" s="12" t="s">
        <v>37</v>
      </c>
      <c r="US137" s="12" t="s">
        <v>37</v>
      </c>
      <c r="UT137" s="12" t="s">
        <v>37</v>
      </c>
      <c r="UU137" s="12" t="s">
        <v>37</v>
      </c>
      <c r="UV137" s="12" t="s">
        <v>37</v>
      </c>
      <c r="UW137" s="12" t="s">
        <v>37</v>
      </c>
      <c r="UX137" s="12"/>
      <c r="UY137" s="12"/>
      <c r="VB137" s="12" t="s">
        <v>37</v>
      </c>
      <c r="VC137" s="12" t="s">
        <v>37</v>
      </c>
      <c r="VD137" s="12" t="s">
        <v>37</v>
      </c>
      <c r="VE137" s="12" t="s">
        <v>37</v>
      </c>
      <c r="VF137" s="12" t="s">
        <v>37</v>
      </c>
      <c r="VG137" s="12" t="s">
        <v>37</v>
      </c>
      <c r="VI137" s="12" t="s">
        <v>37</v>
      </c>
      <c r="VJ137" s="12" t="s">
        <v>37</v>
      </c>
      <c r="VK137" s="12" t="s">
        <v>37</v>
      </c>
      <c r="VL137" s="12" t="s">
        <v>37</v>
      </c>
      <c r="VM137" s="12" t="s">
        <v>37</v>
      </c>
      <c r="VN137" s="12" t="s">
        <v>37</v>
      </c>
      <c r="VQ137" s="13" t="s">
        <v>37</v>
      </c>
      <c r="VR137" s="13" t="s">
        <v>37</v>
      </c>
      <c r="VS137" s="13" t="s">
        <v>37</v>
      </c>
      <c r="VT137" s="13" t="s">
        <v>37</v>
      </c>
      <c r="VU137" s="13" t="s">
        <v>37</v>
      </c>
      <c r="VV137" s="13" t="s">
        <v>37</v>
      </c>
      <c r="WA137" s="13" t="s">
        <v>37</v>
      </c>
      <c r="WB137" s="13" t="s">
        <v>37</v>
      </c>
      <c r="WC137" s="13" t="s">
        <v>37</v>
      </c>
      <c r="WD137" s="13" t="s">
        <v>37</v>
      </c>
      <c r="WE137" s="13" t="s">
        <v>37</v>
      </c>
      <c r="WF137" s="13" t="s">
        <v>37</v>
      </c>
    </row>
    <row r="138" spans="1:604" ht="18" customHeight="1" x14ac:dyDescent="0.4">
      <c r="A138" s="11">
        <v>32</v>
      </c>
      <c r="B138" s="16" t="s">
        <v>232</v>
      </c>
      <c r="C138" s="12" t="s">
        <v>26</v>
      </c>
      <c r="D138" s="12" t="s">
        <v>54</v>
      </c>
      <c r="E138" s="40">
        <v>0.9</v>
      </c>
      <c r="F138" s="14">
        <v>0</v>
      </c>
      <c r="G138" s="14">
        <v>0</v>
      </c>
      <c r="H138" s="12" t="s">
        <v>233</v>
      </c>
      <c r="I138" s="29">
        <v>57.133000000000003</v>
      </c>
      <c r="J138" s="29">
        <v>14.75</v>
      </c>
      <c r="K138" s="12" t="s">
        <v>720</v>
      </c>
      <c r="L138" s="12" t="s">
        <v>721</v>
      </c>
      <c r="M138" s="13" t="s">
        <v>37</v>
      </c>
      <c r="N138" s="14">
        <v>5.6</v>
      </c>
      <c r="O138" s="14">
        <v>789.59847036328836</v>
      </c>
      <c r="P138" s="14" t="s">
        <v>84</v>
      </c>
      <c r="Q138" s="75">
        <v>41</v>
      </c>
      <c r="R138" s="11" t="s">
        <v>1000</v>
      </c>
      <c r="S138" s="12" t="s">
        <v>93</v>
      </c>
      <c r="T138" s="12" t="s">
        <v>37</v>
      </c>
      <c r="U138" s="12" t="s">
        <v>158</v>
      </c>
      <c r="V138" s="12" t="s">
        <v>275</v>
      </c>
      <c r="W138" s="23" t="s">
        <v>376</v>
      </c>
      <c r="X138" s="12" t="s">
        <v>280</v>
      </c>
      <c r="Y138" s="12" t="s">
        <v>69</v>
      </c>
      <c r="Z138" s="12" t="s">
        <v>37</v>
      </c>
      <c r="AA138" s="32" t="s">
        <v>345</v>
      </c>
      <c r="AB138" s="12">
        <v>3.9</v>
      </c>
      <c r="AC138" s="12" t="s">
        <v>42</v>
      </c>
      <c r="AD138" s="32" t="s">
        <v>345</v>
      </c>
      <c r="AE138" s="12">
        <v>450</v>
      </c>
      <c r="AF138" s="12" t="s">
        <v>42</v>
      </c>
      <c r="AG138" s="12" t="s">
        <v>345</v>
      </c>
      <c r="AH138" s="12">
        <v>10</v>
      </c>
      <c r="AJ138" s="12" t="str">
        <f t="shared" si="504"/>
        <v>0-10</v>
      </c>
      <c r="AK138" s="19">
        <f t="shared" si="505"/>
        <v>45</v>
      </c>
      <c r="AL138" s="32" t="s">
        <v>235</v>
      </c>
      <c r="AM138" s="13" t="s">
        <v>344</v>
      </c>
      <c r="AO138" s="13" t="s">
        <v>318</v>
      </c>
      <c r="AP138" s="12" t="s">
        <v>167</v>
      </c>
      <c r="AQ138" s="12" t="s">
        <v>975</v>
      </c>
      <c r="AR138" s="12" t="s">
        <v>42</v>
      </c>
      <c r="AS138" s="32" t="s">
        <v>345</v>
      </c>
      <c r="AT138" s="12">
        <v>450</v>
      </c>
      <c r="AU138" s="12">
        <f t="shared" si="555"/>
        <v>8.6602540378443855</v>
      </c>
      <c r="AV138" s="13">
        <v>3</v>
      </c>
      <c r="AW138" s="19">
        <f t="shared" si="538"/>
        <v>1.9245008972987525E-2</v>
      </c>
      <c r="AX138" s="12">
        <v>480</v>
      </c>
      <c r="AY138" s="12">
        <f>16*SQRT(3)</f>
        <v>27.712812921102035</v>
      </c>
      <c r="AZ138" s="13">
        <v>3</v>
      </c>
      <c r="BA138" s="19">
        <f t="shared" si="539"/>
        <v>5.7735026918962574E-2</v>
      </c>
      <c r="BB138" s="52">
        <f t="shared" si="506"/>
        <v>6.4538521137571164E-2</v>
      </c>
      <c r="BC138" s="19">
        <f t="shared" si="507"/>
        <v>1.2345679012345677E-3</v>
      </c>
      <c r="BE138" s="12" t="s">
        <v>326</v>
      </c>
      <c r="BF138" s="12" t="s">
        <v>326</v>
      </c>
      <c r="BG138" s="12" t="s">
        <v>326</v>
      </c>
      <c r="BI138" s="12" t="s">
        <v>326</v>
      </c>
      <c r="BJ138" s="12" t="s">
        <v>326</v>
      </c>
      <c r="BK138" s="12" t="s">
        <v>326</v>
      </c>
      <c r="BP138" s="12" t="s">
        <v>37</v>
      </c>
      <c r="BQ138" s="12" t="s">
        <v>37</v>
      </c>
      <c r="BR138" s="13" t="s">
        <v>37</v>
      </c>
      <c r="BT138" s="12" t="s">
        <v>37</v>
      </c>
      <c r="BU138" s="12" t="s">
        <v>37</v>
      </c>
      <c r="BV138" s="12" t="s">
        <v>37</v>
      </c>
      <c r="CA138" s="12" t="s">
        <v>37</v>
      </c>
      <c r="CB138" s="12" t="s">
        <v>37</v>
      </c>
      <c r="CC138" s="13" t="s">
        <v>37</v>
      </c>
      <c r="CE138" s="12" t="s">
        <v>37</v>
      </c>
      <c r="CF138" s="12" t="s">
        <v>37</v>
      </c>
      <c r="CG138" s="13" t="s">
        <v>37</v>
      </c>
      <c r="CN138" s="12" t="s">
        <v>37</v>
      </c>
      <c r="CO138" s="12" t="s">
        <v>37</v>
      </c>
      <c r="CP138" s="13" t="s">
        <v>37</v>
      </c>
      <c r="CR138" s="12" t="s">
        <v>37</v>
      </c>
      <c r="CS138" s="12" t="s">
        <v>37</v>
      </c>
      <c r="CT138" s="13" t="s">
        <v>37</v>
      </c>
      <c r="CX138" s="72"/>
      <c r="CY138" s="72"/>
      <c r="CZ138" s="12" t="s">
        <v>47</v>
      </c>
      <c r="DA138" s="12">
        <v>2000</v>
      </c>
      <c r="DB138" s="50">
        <f t="shared" si="540"/>
        <v>5999.3131173724232</v>
      </c>
      <c r="DC138" s="13">
        <v>3</v>
      </c>
      <c r="DE138" s="12">
        <v>-8000</v>
      </c>
      <c r="DF138" s="50">
        <f t="shared" si="541"/>
        <v>7625.1423543980472</v>
      </c>
      <c r="DG138" s="13">
        <v>3</v>
      </c>
      <c r="DI138" s="19">
        <f t="shared" si="542"/>
        <v>-10000</v>
      </c>
      <c r="DJ138" s="12">
        <f t="shared" si="543"/>
        <v>6860.5595181847893</v>
      </c>
      <c r="DK138" s="72">
        <f t="shared" si="544"/>
        <v>31378184.601703942</v>
      </c>
      <c r="DL138" s="72">
        <f t="shared" si="545"/>
        <v>31378184.601703938</v>
      </c>
      <c r="DM138" s="12" t="s">
        <v>47</v>
      </c>
      <c r="DN138" s="19">
        <v>122</v>
      </c>
      <c r="DO138" s="12">
        <f>33.4*SQRT(3)</f>
        <v>57.850496972800492</v>
      </c>
      <c r="DP138" s="13">
        <v>3</v>
      </c>
      <c r="DQ138" s="19">
        <f t="shared" si="508"/>
        <v>0.47418440141639751</v>
      </c>
      <c r="DR138" s="19">
        <v>5</v>
      </c>
      <c r="DS138" s="12">
        <f>4*SQRT(3)</f>
        <v>6.9282032302755088</v>
      </c>
      <c r="DT138" s="13">
        <v>3</v>
      </c>
      <c r="DU138" s="19">
        <f t="shared" si="546"/>
        <v>1.3856406460551018</v>
      </c>
      <c r="DV138" s="19">
        <f t="shared" si="509"/>
        <v>-117</v>
      </c>
      <c r="DW138" s="12">
        <f t="shared" si="485"/>
        <v>41.198786389892597</v>
      </c>
      <c r="DX138" s="72">
        <f t="shared" si="345"/>
        <v>1131.5599999999995</v>
      </c>
      <c r="DY138" s="72">
        <f t="shared" si="346"/>
        <v>1131.5599999999997</v>
      </c>
      <c r="DZ138" s="11" t="s">
        <v>47</v>
      </c>
      <c r="EA138" s="19">
        <v>0.3</v>
      </c>
      <c r="EB138" s="19">
        <f>0.5*SQRT(3)</f>
        <v>0.8660254037844386</v>
      </c>
      <c r="EC138" s="72">
        <v>3</v>
      </c>
      <c r="ED138" s="52">
        <f t="shared" si="547"/>
        <v>2.8867513459481287</v>
      </c>
      <c r="EE138" s="19">
        <v>0.4</v>
      </c>
      <c r="EF138" s="19">
        <f>0.4*SQRT(3)</f>
        <v>0.69282032302755092</v>
      </c>
      <c r="EG138" s="13">
        <v>3</v>
      </c>
      <c r="EH138" s="52">
        <f t="shared" si="548"/>
        <v>1.7320508075688772</v>
      </c>
      <c r="EI138" s="19">
        <f t="shared" ref="EI138:EI154" si="558">EE138-EA138</f>
        <v>0.10000000000000003</v>
      </c>
      <c r="EJ138" s="12">
        <f t="shared" si="550"/>
        <v>0.78421935706790613</v>
      </c>
      <c r="EK138" s="19">
        <f t="shared" si="551"/>
        <v>0.41</v>
      </c>
      <c r="EL138" s="19">
        <f t="shared" si="552"/>
        <v>0.41</v>
      </c>
      <c r="EM138" s="12" t="s">
        <v>39</v>
      </c>
      <c r="EN138" s="12">
        <v>-7.2545662413056524</v>
      </c>
      <c r="EO138" s="12">
        <v>1.3531236339616048</v>
      </c>
      <c r="EP138" s="13">
        <v>3</v>
      </c>
      <c r="EQ138" s="19">
        <f t="shared" si="510"/>
        <v>0.18652026722938492</v>
      </c>
      <c r="ER138" s="12">
        <v>-22.46</v>
      </c>
      <c r="ES138" s="12">
        <v>2.21</v>
      </c>
      <c r="ET138" s="13">
        <v>3</v>
      </c>
      <c r="EU138" s="19">
        <f t="shared" si="511"/>
        <v>9.8397150489759569E-2</v>
      </c>
      <c r="EV138" s="19">
        <f t="shared" si="512"/>
        <v>-15.205433758694348</v>
      </c>
      <c r="EW138" s="12">
        <f t="shared" si="489"/>
        <v>1.8323541645633712</v>
      </c>
      <c r="EX138" s="19">
        <f t="shared" si="490"/>
        <v>2.2383478562618198</v>
      </c>
      <c r="EY138" s="19">
        <f t="shared" si="491"/>
        <v>2.2383478562618198</v>
      </c>
      <c r="FB138" s="12" t="s">
        <v>37</v>
      </c>
      <c r="FC138" s="12" t="s">
        <v>37</v>
      </c>
      <c r="FD138" s="11" t="s">
        <v>37</v>
      </c>
      <c r="FE138" s="12" t="s">
        <v>37</v>
      </c>
      <c r="FF138" s="20" t="s">
        <v>37</v>
      </c>
      <c r="FG138" s="11" t="s">
        <v>37</v>
      </c>
      <c r="FI138" s="12" t="s">
        <v>37</v>
      </c>
      <c r="FJ138" s="12" t="s">
        <v>37</v>
      </c>
      <c r="FK138" s="11" t="s">
        <v>37</v>
      </c>
      <c r="FL138" s="13" t="s">
        <v>37</v>
      </c>
      <c r="FM138" s="11" t="s">
        <v>37</v>
      </c>
      <c r="FN138" s="11" t="s">
        <v>37</v>
      </c>
      <c r="FP138" s="12" t="s">
        <v>37</v>
      </c>
      <c r="FQ138" s="12" t="s">
        <v>37</v>
      </c>
      <c r="FR138" s="11" t="s">
        <v>37</v>
      </c>
      <c r="FS138" s="13" t="s">
        <v>37</v>
      </c>
      <c r="FT138" s="11" t="s">
        <v>37</v>
      </c>
      <c r="FU138" s="11" t="s">
        <v>37</v>
      </c>
      <c r="FW138" s="12" t="s">
        <v>37</v>
      </c>
      <c r="FX138" s="12" t="s">
        <v>37</v>
      </c>
      <c r="FY138" s="11" t="s">
        <v>37</v>
      </c>
      <c r="FZ138" s="13" t="s">
        <v>37</v>
      </c>
      <c r="GA138" s="11" t="s">
        <v>37</v>
      </c>
      <c r="GB138" s="11" t="s">
        <v>37</v>
      </c>
      <c r="HA138" s="17" t="s">
        <v>63</v>
      </c>
      <c r="HB138" s="34" t="s">
        <v>345</v>
      </c>
      <c r="HC138" s="12">
        <v>0.03</v>
      </c>
      <c r="HD138" s="50">
        <f t="shared" si="553"/>
        <v>5.1723522943947289E-3</v>
      </c>
      <c r="HE138" s="13">
        <v>3</v>
      </c>
      <c r="HG138" s="12">
        <v>0.13</v>
      </c>
      <c r="HH138" s="50">
        <f t="shared" si="554"/>
        <v>1.4541087595723661E-2</v>
      </c>
      <c r="HI138" s="13">
        <v>3</v>
      </c>
      <c r="HK138" s="19">
        <f t="shared" si="517"/>
        <v>1.4663370687934272</v>
      </c>
      <c r="HL138" s="19">
        <f t="shared" si="518"/>
        <v>1.4079080937294361E-2</v>
      </c>
      <c r="IK138" s="12" t="s">
        <v>37</v>
      </c>
      <c r="IL138" s="12" t="s">
        <v>37</v>
      </c>
      <c r="IM138" s="12" t="s">
        <v>37</v>
      </c>
      <c r="IO138" s="12" t="s">
        <v>37</v>
      </c>
      <c r="IP138" s="12" t="s">
        <v>37</v>
      </c>
      <c r="IQ138" s="12" t="s">
        <v>37</v>
      </c>
      <c r="IV138" s="32" t="s">
        <v>345</v>
      </c>
      <c r="IW138" s="12">
        <v>3.9</v>
      </c>
      <c r="IX138" s="12">
        <f t="shared" si="556"/>
        <v>0.17320508075688773</v>
      </c>
      <c r="IY138" s="13">
        <v>3</v>
      </c>
      <c r="IZ138" s="19">
        <f t="shared" si="519"/>
        <v>4.441155916843275E-2</v>
      </c>
      <c r="JA138" s="12">
        <v>3.3</v>
      </c>
      <c r="JB138" s="12">
        <f>0.1*SQRT(3)</f>
        <v>0.17320508075688773</v>
      </c>
      <c r="JC138" s="13">
        <v>3</v>
      </c>
      <c r="JD138" s="19">
        <f t="shared" si="520"/>
        <v>5.2486388108147798E-2</v>
      </c>
      <c r="JE138" s="19">
        <f t="shared" si="521"/>
        <v>-0.16705408466316621</v>
      </c>
      <c r="JF138" s="19">
        <f t="shared" si="522"/>
        <v>1.5757358414701073E-3</v>
      </c>
      <c r="JH138" s="12" t="s">
        <v>37</v>
      </c>
      <c r="JI138" s="12" t="s">
        <v>37</v>
      </c>
      <c r="JJ138" s="13" t="s">
        <v>37</v>
      </c>
      <c r="JL138" s="12" t="s">
        <v>37</v>
      </c>
      <c r="JM138" s="12" t="s">
        <v>37</v>
      </c>
      <c r="JN138" s="12" t="s">
        <v>37</v>
      </c>
      <c r="JS138" s="12" t="s">
        <v>37</v>
      </c>
      <c r="JT138" s="12" t="s">
        <v>37</v>
      </c>
      <c r="JU138" s="13" t="s">
        <v>37</v>
      </c>
      <c r="JW138" s="12" t="s">
        <v>37</v>
      </c>
      <c r="JX138" s="12" t="s">
        <v>37</v>
      </c>
      <c r="JY138" s="12" t="s">
        <v>37</v>
      </c>
      <c r="KE138" s="11" t="s">
        <v>37</v>
      </c>
      <c r="KF138" s="11" t="s">
        <v>37</v>
      </c>
      <c r="KG138" s="13" t="s">
        <v>37</v>
      </c>
      <c r="KH138" s="11" t="s">
        <v>37</v>
      </c>
      <c r="KI138" s="11" t="s">
        <v>37</v>
      </c>
      <c r="KJ138" s="11" t="s">
        <v>37</v>
      </c>
      <c r="KK138" s="12" t="s">
        <v>42</v>
      </c>
      <c r="KL138" s="12" t="s">
        <v>345</v>
      </c>
      <c r="KM138" s="12">
        <v>10</v>
      </c>
      <c r="KN138" s="12">
        <f t="shared" si="557"/>
        <v>1.3856406460551018</v>
      </c>
      <c r="KO138" s="11">
        <v>3</v>
      </c>
      <c r="KP138" s="19">
        <f t="shared" si="523"/>
        <v>0.13856406460551018</v>
      </c>
      <c r="KQ138" s="12">
        <v>19</v>
      </c>
      <c r="KR138" s="12">
        <f>0.9*SQRT(3)</f>
        <v>1.5588457268119895</v>
      </c>
      <c r="KS138" s="13">
        <v>3</v>
      </c>
      <c r="KT138" s="19">
        <f t="shared" si="524"/>
        <v>8.2044511937473127E-2</v>
      </c>
      <c r="KU138" s="19">
        <f t="shared" si="525"/>
        <v>0.64185388617239469</v>
      </c>
      <c r="KV138" s="19">
        <f t="shared" si="526"/>
        <v>8.64376731301939E-3</v>
      </c>
      <c r="KX138" s="12" t="s">
        <v>37</v>
      </c>
      <c r="KY138" s="12" t="s">
        <v>37</v>
      </c>
      <c r="KZ138" s="13" t="s">
        <v>37</v>
      </c>
      <c r="LB138" s="12" t="s">
        <v>37</v>
      </c>
      <c r="LC138" s="12" t="s">
        <v>37</v>
      </c>
      <c r="LD138" s="13" t="s">
        <v>37</v>
      </c>
      <c r="LI138" s="12" t="s">
        <v>37</v>
      </c>
      <c r="LJ138" s="12" t="s">
        <v>37</v>
      </c>
      <c r="LK138" s="12" t="s">
        <v>37</v>
      </c>
      <c r="LM138" s="12" t="s">
        <v>37</v>
      </c>
      <c r="LN138" s="12" t="s">
        <v>37</v>
      </c>
      <c r="LO138" s="12" t="s">
        <v>37</v>
      </c>
      <c r="LT138" s="12" t="str">
        <f t="shared" si="527"/>
        <v>0-10</v>
      </c>
      <c r="LU138" s="12">
        <f t="shared" si="528"/>
        <v>45</v>
      </c>
      <c r="LV138" s="12">
        <f t="shared" si="529"/>
        <v>6.2952362942148561</v>
      </c>
      <c r="LW138" s="13">
        <f t="shared" si="530"/>
        <v>3</v>
      </c>
      <c r="LX138" s="19">
        <f t="shared" si="531"/>
        <v>0.13989413987144125</v>
      </c>
      <c r="LY138" s="12">
        <f t="shared" si="532"/>
        <v>25.263157894736842</v>
      </c>
      <c r="LZ138" s="12">
        <f t="shared" si="533"/>
        <v>2.5344670946031327</v>
      </c>
      <c r="MA138" s="13">
        <f t="shared" si="534"/>
        <v>3</v>
      </c>
      <c r="MB138" s="19">
        <f t="shared" si="535"/>
        <v>0.10032265582804066</v>
      </c>
      <c r="MC138" s="19">
        <f t="shared" si="536"/>
        <v>-0.57731536503482361</v>
      </c>
      <c r="MD138" s="19">
        <f t="shared" si="537"/>
        <v>9.8783352142539568E-3</v>
      </c>
      <c r="MF138" s="12" t="s">
        <v>37</v>
      </c>
      <c r="MG138" s="12" t="s">
        <v>37</v>
      </c>
      <c r="MH138" s="12" t="s">
        <v>37</v>
      </c>
      <c r="MJ138" s="12" t="s">
        <v>37</v>
      </c>
      <c r="MK138" s="12" t="s">
        <v>37</v>
      </c>
      <c r="ML138" s="12" t="s">
        <v>37</v>
      </c>
      <c r="MQ138" s="12" t="s">
        <v>37</v>
      </c>
      <c r="MR138" s="12" t="s">
        <v>37</v>
      </c>
      <c r="MS138" s="12" t="s">
        <v>37</v>
      </c>
      <c r="MU138" s="12" t="s">
        <v>37</v>
      </c>
      <c r="MV138" s="12" t="s">
        <v>37</v>
      </c>
      <c r="MW138" s="12" t="s">
        <v>37</v>
      </c>
      <c r="NC138" s="12" t="s">
        <v>37</v>
      </c>
      <c r="ND138" s="12" t="s">
        <v>37</v>
      </c>
      <c r="NE138" s="13" t="s">
        <v>37</v>
      </c>
      <c r="NG138" s="12" t="s">
        <v>37</v>
      </c>
      <c r="NH138" s="12" t="s">
        <v>37</v>
      </c>
      <c r="NI138" s="13" t="s">
        <v>37</v>
      </c>
      <c r="NO138" s="12" t="s">
        <v>37</v>
      </c>
      <c r="NP138" s="12" t="s">
        <v>37</v>
      </c>
      <c r="NQ138" s="13" t="s">
        <v>37</v>
      </c>
      <c r="NS138" s="12" t="s">
        <v>37</v>
      </c>
      <c r="NT138" s="12" t="s">
        <v>37</v>
      </c>
      <c r="NU138" s="13" t="s">
        <v>37</v>
      </c>
      <c r="OA138" s="12" t="s">
        <v>37</v>
      </c>
      <c r="OB138" s="12" t="s">
        <v>37</v>
      </c>
      <c r="OC138" s="13" t="s">
        <v>37</v>
      </c>
      <c r="OE138" s="12" t="s">
        <v>37</v>
      </c>
      <c r="OF138" s="12" t="s">
        <v>37</v>
      </c>
      <c r="OG138" s="13" t="s">
        <v>37</v>
      </c>
      <c r="OM138" s="12" t="s">
        <v>37</v>
      </c>
      <c r="ON138" s="12" t="s">
        <v>37</v>
      </c>
      <c r="OO138" s="12" t="s">
        <v>37</v>
      </c>
      <c r="OP138" s="12" t="s">
        <v>37</v>
      </c>
      <c r="OQ138" s="12" t="s">
        <v>37</v>
      </c>
      <c r="OR138" s="12" t="s">
        <v>37</v>
      </c>
      <c r="OS138" s="12"/>
      <c r="OT138" s="12"/>
      <c r="OW138" s="12" t="s">
        <v>37</v>
      </c>
      <c r="OX138" s="12" t="s">
        <v>37</v>
      </c>
      <c r="OY138" s="13" t="s">
        <v>37</v>
      </c>
      <c r="OZ138" s="12" t="s">
        <v>37</v>
      </c>
      <c r="PA138" s="12" t="s">
        <v>37</v>
      </c>
      <c r="PB138" s="13" t="s">
        <v>37</v>
      </c>
      <c r="PG138" s="11" t="s">
        <v>37</v>
      </c>
      <c r="PH138" s="11" t="s">
        <v>37</v>
      </c>
      <c r="PI138" s="13" t="s">
        <v>37</v>
      </c>
      <c r="PJ138" s="11" t="s">
        <v>37</v>
      </c>
      <c r="PK138" s="11" t="s">
        <v>37</v>
      </c>
      <c r="PL138" s="13" t="s">
        <v>37</v>
      </c>
      <c r="PQ138" s="12" t="s">
        <v>37</v>
      </c>
      <c r="PR138" s="12" t="s">
        <v>37</v>
      </c>
      <c r="PS138" s="12" t="s">
        <v>37</v>
      </c>
      <c r="PT138" s="12" t="s">
        <v>37</v>
      </c>
      <c r="PU138" s="12" t="s">
        <v>37</v>
      </c>
      <c r="PV138" s="12" t="s">
        <v>37</v>
      </c>
      <c r="PW138" s="12"/>
      <c r="PX138" s="12"/>
      <c r="PZ138" s="12" t="s">
        <v>37</v>
      </c>
      <c r="QA138" s="12" t="s">
        <v>37</v>
      </c>
      <c r="QB138" s="11" t="s">
        <v>37</v>
      </c>
      <c r="QD138" s="12" t="s">
        <v>37</v>
      </c>
      <c r="QE138" s="12" t="s">
        <v>37</v>
      </c>
      <c r="QF138" s="12" t="s">
        <v>37</v>
      </c>
      <c r="QK138" s="12" t="s">
        <v>37</v>
      </c>
      <c r="QL138" s="12" t="s">
        <v>37</v>
      </c>
      <c r="QM138" s="12" t="s">
        <v>37</v>
      </c>
      <c r="QN138" s="12" t="s">
        <v>37</v>
      </c>
      <c r="QO138" s="12" t="s">
        <v>37</v>
      </c>
      <c r="QP138" s="12" t="s">
        <v>37</v>
      </c>
      <c r="QQ138" s="12"/>
      <c r="QR138" s="12"/>
      <c r="QU138" s="12" t="s">
        <v>37</v>
      </c>
      <c r="QV138" s="12" t="s">
        <v>37</v>
      </c>
      <c r="QW138" s="12" t="s">
        <v>37</v>
      </c>
      <c r="QX138" s="12" t="s">
        <v>37</v>
      </c>
      <c r="QY138" s="12" t="s">
        <v>37</v>
      </c>
      <c r="QZ138" s="12" t="s">
        <v>37</v>
      </c>
      <c r="RC138" s="12" t="s">
        <v>37</v>
      </c>
      <c r="RD138" s="12" t="s">
        <v>37</v>
      </c>
      <c r="RE138" s="13" t="s">
        <v>37</v>
      </c>
      <c r="RF138" s="12" t="s">
        <v>37</v>
      </c>
      <c r="RG138" s="12" t="s">
        <v>37</v>
      </c>
      <c r="RH138" s="13" t="s">
        <v>37</v>
      </c>
      <c r="RK138" s="12" t="s">
        <v>37</v>
      </c>
      <c r="RL138" s="12" t="s">
        <v>37</v>
      </c>
      <c r="RM138" s="11" t="s">
        <v>37</v>
      </c>
      <c r="RN138" s="12" t="s">
        <v>37</v>
      </c>
      <c r="RO138" s="12" t="s">
        <v>37</v>
      </c>
      <c r="RP138" s="11" t="s">
        <v>37</v>
      </c>
      <c r="RS138" s="12" t="s">
        <v>37</v>
      </c>
      <c r="RT138" s="12" t="s">
        <v>37</v>
      </c>
      <c r="RU138" s="12" t="s">
        <v>37</v>
      </c>
      <c r="RV138" s="12" t="s">
        <v>37</v>
      </c>
      <c r="RW138" s="12" t="s">
        <v>37</v>
      </c>
      <c r="RX138" s="12" t="s">
        <v>37</v>
      </c>
      <c r="SA138" s="12" t="s">
        <v>37</v>
      </c>
      <c r="SB138" s="12" t="s">
        <v>37</v>
      </c>
      <c r="SC138" s="12" t="s">
        <v>37</v>
      </c>
      <c r="SD138" s="12" t="s">
        <v>37</v>
      </c>
      <c r="SE138" s="12" t="s">
        <v>37</v>
      </c>
      <c r="SF138" s="12" t="s">
        <v>37</v>
      </c>
      <c r="SI138" s="12" t="s">
        <v>37</v>
      </c>
      <c r="SJ138" s="12" t="s">
        <v>37</v>
      </c>
      <c r="SK138" s="13" t="s">
        <v>37</v>
      </c>
      <c r="SM138" s="12" t="s">
        <v>37</v>
      </c>
      <c r="SN138" s="12" t="s">
        <v>37</v>
      </c>
      <c r="SO138" s="13" t="s">
        <v>37</v>
      </c>
      <c r="SU138" s="12" t="s">
        <v>37</v>
      </c>
      <c r="SV138" s="12" t="s">
        <v>37</v>
      </c>
      <c r="SW138" s="11" t="s">
        <v>37</v>
      </c>
      <c r="SX138" s="12" t="s">
        <v>37</v>
      </c>
      <c r="SY138" s="12" t="s">
        <v>37</v>
      </c>
      <c r="SZ138" s="11" t="s">
        <v>37</v>
      </c>
      <c r="TE138" s="12" t="s">
        <v>37</v>
      </c>
      <c r="TF138" s="12" t="s">
        <v>37</v>
      </c>
      <c r="TG138" s="11" t="s">
        <v>37</v>
      </c>
      <c r="TH138" s="12" t="s">
        <v>37</v>
      </c>
      <c r="TI138" s="12" t="s">
        <v>37</v>
      </c>
      <c r="TJ138" s="11" t="s">
        <v>37</v>
      </c>
      <c r="TO138" s="12" t="s">
        <v>37</v>
      </c>
      <c r="TP138" s="12" t="s">
        <v>37</v>
      </c>
      <c r="TQ138" s="11" t="s">
        <v>37</v>
      </c>
      <c r="TR138" s="12" t="s">
        <v>37</v>
      </c>
      <c r="TS138" s="12" t="s">
        <v>37</v>
      </c>
      <c r="TT138" s="11" t="s">
        <v>37</v>
      </c>
      <c r="TY138" s="12" t="s">
        <v>37</v>
      </c>
      <c r="TZ138" s="12" t="s">
        <v>37</v>
      </c>
      <c r="UA138" s="12" t="s">
        <v>37</v>
      </c>
      <c r="UB138" s="12" t="s">
        <v>37</v>
      </c>
      <c r="UC138" s="12" t="s">
        <v>37</v>
      </c>
      <c r="UD138" s="12" t="s">
        <v>37</v>
      </c>
      <c r="UE138" s="12"/>
      <c r="UF138" s="12"/>
      <c r="UI138" s="12" t="s">
        <v>37</v>
      </c>
      <c r="UJ138" s="12" t="s">
        <v>37</v>
      </c>
      <c r="UK138" s="12" t="s">
        <v>37</v>
      </c>
      <c r="UL138" s="12" t="s">
        <v>37</v>
      </c>
      <c r="UM138" s="12" t="s">
        <v>37</v>
      </c>
      <c r="UN138" s="12" t="s">
        <v>37</v>
      </c>
      <c r="UO138" s="12"/>
      <c r="UP138" s="12"/>
      <c r="UR138" s="12" t="s">
        <v>37</v>
      </c>
      <c r="US138" s="12" t="s">
        <v>37</v>
      </c>
      <c r="UT138" s="12" t="s">
        <v>37</v>
      </c>
      <c r="UU138" s="12" t="s">
        <v>37</v>
      </c>
      <c r="UV138" s="12" t="s">
        <v>37</v>
      </c>
      <c r="UW138" s="12" t="s">
        <v>37</v>
      </c>
      <c r="UX138" s="12"/>
      <c r="UY138" s="12"/>
      <c r="VB138" s="12" t="s">
        <v>37</v>
      </c>
      <c r="VC138" s="12" t="s">
        <v>37</v>
      </c>
      <c r="VD138" s="12" t="s">
        <v>37</v>
      </c>
      <c r="VE138" s="12" t="s">
        <v>37</v>
      </c>
      <c r="VF138" s="12" t="s">
        <v>37</v>
      </c>
      <c r="VG138" s="12" t="s">
        <v>37</v>
      </c>
      <c r="VI138" s="12" t="s">
        <v>37</v>
      </c>
      <c r="VJ138" s="12" t="s">
        <v>37</v>
      </c>
      <c r="VK138" s="12" t="s">
        <v>37</v>
      </c>
      <c r="VL138" s="12" t="s">
        <v>37</v>
      </c>
      <c r="VM138" s="12" t="s">
        <v>37</v>
      </c>
      <c r="VN138" s="12" t="s">
        <v>37</v>
      </c>
      <c r="VQ138" s="13" t="s">
        <v>37</v>
      </c>
      <c r="VR138" s="13" t="s">
        <v>37</v>
      </c>
      <c r="VS138" s="13" t="s">
        <v>37</v>
      </c>
      <c r="VT138" s="13" t="s">
        <v>37</v>
      </c>
      <c r="VU138" s="13" t="s">
        <v>37</v>
      </c>
      <c r="VV138" s="13" t="s">
        <v>37</v>
      </c>
      <c r="WA138" s="13" t="s">
        <v>37</v>
      </c>
      <c r="WB138" s="13" t="s">
        <v>37</v>
      </c>
      <c r="WC138" s="13" t="s">
        <v>37</v>
      </c>
      <c r="WD138" s="13" t="s">
        <v>37</v>
      </c>
      <c r="WE138" s="13" t="s">
        <v>37</v>
      </c>
      <c r="WF138" s="13" t="s">
        <v>37</v>
      </c>
    </row>
    <row r="139" spans="1:604" ht="18" customHeight="1" x14ac:dyDescent="0.4">
      <c r="A139" s="11">
        <v>32</v>
      </c>
      <c r="B139" s="16" t="s">
        <v>232</v>
      </c>
      <c r="C139" s="12" t="s">
        <v>26</v>
      </c>
      <c r="D139" s="12" t="s">
        <v>54</v>
      </c>
      <c r="E139" s="40">
        <v>0.9</v>
      </c>
      <c r="F139" s="14">
        <v>0</v>
      </c>
      <c r="G139" s="14">
        <v>0</v>
      </c>
      <c r="H139" s="12" t="s">
        <v>233</v>
      </c>
      <c r="I139" s="29">
        <v>57.133000000000003</v>
      </c>
      <c r="J139" s="29">
        <v>14.75</v>
      </c>
      <c r="K139" s="12" t="s">
        <v>720</v>
      </c>
      <c r="L139" s="12" t="s">
        <v>721</v>
      </c>
      <c r="M139" s="13" t="s">
        <v>37</v>
      </c>
      <c r="N139" s="14">
        <v>5.6</v>
      </c>
      <c r="O139" s="14">
        <v>766.95984703632928</v>
      </c>
      <c r="P139" s="14" t="s">
        <v>84</v>
      </c>
      <c r="Q139" s="75">
        <v>40</v>
      </c>
      <c r="R139" s="11" t="s">
        <v>1000</v>
      </c>
      <c r="S139" s="12" t="s">
        <v>93</v>
      </c>
      <c r="T139" s="12" t="s">
        <v>37</v>
      </c>
      <c r="U139" s="12" t="s">
        <v>158</v>
      </c>
      <c r="V139" s="12" t="s">
        <v>275</v>
      </c>
      <c r="W139" s="23" t="s">
        <v>376</v>
      </c>
      <c r="X139" s="12" t="s">
        <v>280</v>
      </c>
      <c r="Y139" s="12" t="s">
        <v>69</v>
      </c>
      <c r="Z139" s="12" t="s">
        <v>37</v>
      </c>
      <c r="AA139" s="32" t="s">
        <v>345</v>
      </c>
      <c r="AB139" s="12">
        <v>3.9</v>
      </c>
      <c r="AC139" s="12" t="s">
        <v>42</v>
      </c>
      <c r="AD139" s="32" t="s">
        <v>345</v>
      </c>
      <c r="AE139" s="12">
        <v>450</v>
      </c>
      <c r="AF139" s="12" t="s">
        <v>42</v>
      </c>
      <c r="AG139" s="12" t="s">
        <v>345</v>
      </c>
      <c r="AH139" s="12">
        <v>10</v>
      </c>
      <c r="AJ139" s="12" t="str">
        <f t="shared" si="504"/>
        <v>0-10</v>
      </c>
      <c r="AK139" s="19">
        <f t="shared" si="505"/>
        <v>45</v>
      </c>
      <c r="AL139" s="32" t="s">
        <v>234</v>
      </c>
      <c r="AM139" s="13" t="s">
        <v>344</v>
      </c>
      <c r="AO139" s="13" t="s">
        <v>318</v>
      </c>
      <c r="AP139" s="12" t="s">
        <v>167</v>
      </c>
      <c r="AQ139" s="12" t="s">
        <v>975</v>
      </c>
      <c r="AR139" s="12" t="s">
        <v>42</v>
      </c>
      <c r="AS139" s="32" t="s">
        <v>345</v>
      </c>
      <c r="AT139" s="12">
        <v>450</v>
      </c>
      <c r="AU139" s="12">
        <f t="shared" si="555"/>
        <v>8.6602540378443855</v>
      </c>
      <c r="AV139" s="13">
        <v>3</v>
      </c>
      <c r="AW139" s="19">
        <f t="shared" si="538"/>
        <v>1.9245008972987525E-2</v>
      </c>
      <c r="AX139" s="12">
        <v>510</v>
      </c>
      <c r="AY139" s="12">
        <f>4*SQRT(3)</f>
        <v>6.9282032302755088</v>
      </c>
      <c r="AZ139" s="13">
        <v>3</v>
      </c>
      <c r="BA139" s="19">
        <f t="shared" si="539"/>
        <v>1.3584712216226489E-2</v>
      </c>
      <c r="BB139" s="52">
        <f t="shared" si="506"/>
        <v>0.12516314295400599</v>
      </c>
      <c r="BC139" s="19">
        <f t="shared" si="507"/>
        <v>1.8497159212268782E-4</v>
      </c>
      <c r="BE139" s="12" t="s">
        <v>326</v>
      </c>
      <c r="BF139" s="12" t="s">
        <v>326</v>
      </c>
      <c r="BG139" s="12" t="s">
        <v>326</v>
      </c>
      <c r="BI139" s="12" t="s">
        <v>326</v>
      </c>
      <c r="BJ139" s="12" t="s">
        <v>326</v>
      </c>
      <c r="BK139" s="12" t="s">
        <v>326</v>
      </c>
      <c r="BP139" s="12" t="s">
        <v>37</v>
      </c>
      <c r="BQ139" s="12" t="s">
        <v>37</v>
      </c>
      <c r="BR139" s="13" t="s">
        <v>37</v>
      </c>
      <c r="BT139" s="12" t="s">
        <v>37</v>
      </c>
      <c r="BU139" s="12" t="s">
        <v>37</v>
      </c>
      <c r="BV139" s="12" t="s">
        <v>37</v>
      </c>
      <c r="CA139" s="12" t="s">
        <v>37</v>
      </c>
      <c r="CB139" s="12" t="s">
        <v>37</v>
      </c>
      <c r="CC139" s="13" t="s">
        <v>37</v>
      </c>
      <c r="CE139" s="12" t="s">
        <v>37</v>
      </c>
      <c r="CF139" s="12" t="s">
        <v>37</v>
      </c>
      <c r="CG139" s="13" t="s">
        <v>37</v>
      </c>
      <c r="CI139" s="52"/>
      <c r="CJ139" s="52"/>
      <c r="CK139" s="73"/>
      <c r="CL139" s="73"/>
      <c r="CN139" s="12" t="s">
        <v>37</v>
      </c>
      <c r="CO139" s="12" t="s">
        <v>37</v>
      </c>
      <c r="CP139" s="13" t="s">
        <v>37</v>
      </c>
      <c r="CR139" s="12" t="s">
        <v>37</v>
      </c>
      <c r="CS139" s="12" t="s">
        <v>37</v>
      </c>
      <c r="CT139" s="13" t="s">
        <v>37</v>
      </c>
      <c r="CV139" s="52"/>
      <c r="CW139" s="52"/>
      <c r="CX139" s="73"/>
      <c r="CY139" s="73"/>
      <c r="CZ139" s="12" t="s">
        <v>47</v>
      </c>
      <c r="DA139" s="12">
        <v>2000</v>
      </c>
      <c r="DB139" s="50">
        <f t="shared" si="540"/>
        <v>5999.3131173724232</v>
      </c>
      <c r="DC139" s="13">
        <v>3</v>
      </c>
      <c r="DE139" s="12">
        <v>-2000</v>
      </c>
      <c r="DF139" s="50">
        <f t="shared" si="541"/>
        <v>1906.2855885995118</v>
      </c>
      <c r="DG139" s="13">
        <v>3</v>
      </c>
      <c r="DI139" s="19">
        <f t="shared" si="542"/>
        <v>-4000</v>
      </c>
      <c r="DJ139" s="12">
        <f t="shared" si="543"/>
        <v>4451.1617935983304</v>
      </c>
      <c r="DK139" s="72">
        <f t="shared" si="544"/>
        <v>13208560.875193002</v>
      </c>
      <c r="DL139" s="72">
        <f t="shared" si="545"/>
        <v>13208560.875193004</v>
      </c>
      <c r="DM139" s="12" t="s">
        <v>47</v>
      </c>
      <c r="DN139" s="19">
        <v>106</v>
      </c>
      <c r="DO139" s="12">
        <f>44.2*SQRT(3)</f>
        <v>76.556645694544372</v>
      </c>
      <c r="DP139" s="13">
        <v>3</v>
      </c>
      <c r="DQ139" s="19">
        <f t="shared" si="508"/>
        <v>0.72223250655230542</v>
      </c>
      <c r="DR139" s="19">
        <v>5</v>
      </c>
      <c r="DS139" s="12">
        <f>1.9*SQRT(3)</f>
        <v>3.2908965343808667</v>
      </c>
      <c r="DT139" s="13">
        <v>3</v>
      </c>
      <c r="DU139" s="19">
        <f t="shared" si="546"/>
        <v>0.65817930687617332</v>
      </c>
      <c r="DV139" s="19">
        <f t="shared" si="509"/>
        <v>-101</v>
      </c>
      <c r="DW139" s="12">
        <f t="shared" si="485"/>
        <v>54.183715265751196</v>
      </c>
      <c r="DX139" s="72">
        <f t="shared" si="345"/>
        <v>1957.2499999999995</v>
      </c>
      <c r="DY139" s="72">
        <f t="shared" si="346"/>
        <v>1957.2499999999995</v>
      </c>
      <c r="DZ139" s="11" t="s">
        <v>47</v>
      </c>
      <c r="EA139" s="19">
        <v>0.2</v>
      </c>
      <c r="EB139" s="19">
        <f>0.3*SQRT(3)</f>
        <v>0.51961524227066314</v>
      </c>
      <c r="EC139" s="72">
        <v>3</v>
      </c>
      <c r="ED139" s="52">
        <f t="shared" si="547"/>
        <v>2.5980762113533156</v>
      </c>
      <c r="EE139" s="19">
        <v>0.3</v>
      </c>
      <c r="EF139" s="19">
        <f>0.3*SQRT(3)</f>
        <v>0.51961524227066314</v>
      </c>
      <c r="EG139" s="13">
        <v>3</v>
      </c>
      <c r="EH139" s="52">
        <f t="shared" si="548"/>
        <v>1.7320508075688772</v>
      </c>
      <c r="EI139" s="19">
        <f t="shared" si="558"/>
        <v>9.9999999999999978E-2</v>
      </c>
      <c r="EJ139" s="12">
        <f t="shared" si="550"/>
        <v>0.51961524227066314</v>
      </c>
      <c r="EK139" s="19">
        <f t="shared" si="551"/>
        <v>0.17999999999999997</v>
      </c>
      <c r="EL139" s="19">
        <f t="shared" si="552"/>
        <v>0.17999999999999997</v>
      </c>
      <c r="EM139" s="12" t="s">
        <v>39</v>
      </c>
      <c r="EN139" s="12">
        <v>-6.8927332639611532</v>
      </c>
      <c r="EO139" s="12">
        <v>1.3328157064282187</v>
      </c>
      <c r="EP139" s="13">
        <v>3</v>
      </c>
      <c r="EQ139" s="19">
        <f t="shared" si="510"/>
        <v>0.19336533932001729</v>
      </c>
      <c r="ER139" s="12">
        <v>-16.070318436140084</v>
      </c>
      <c r="ES139" s="12">
        <v>1.1726469643872839</v>
      </c>
      <c r="ET139" s="13">
        <v>3</v>
      </c>
      <c r="EU139" s="19">
        <f t="shared" si="511"/>
        <v>7.2969740397312313E-2</v>
      </c>
      <c r="EV139" s="19">
        <f t="shared" si="512"/>
        <v>-9.1775851721789312</v>
      </c>
      <c r="EW139" s="12">
        <f t="shared" si="489"/>
        <v>1.2552885346382447</v>
      </c>
      <c r="EX139" s="19">
        <f t="shared" si="490"/>
        <v>1.0504995367961545</v>
      </c>
      <c r="EY139" s="19">
        <f t="shared" si="491"/>
        <v>1.0504995367961545</v>
      </c>
      <c r="FB139" s="12" t="s">
        <v>37</v>
      </c>
      <c r="FC139" s="12" t="s">
        <v>37</v>
      </c>
      <c r="FD139" s="11" t="s">
        <v>37</v>
      </c>
      <c r="FE139" s="12" t="s">
        <v>37</v>
      </c>
      <c r="FF139" s="20" t="s">
        <v>37</v>
      </c>
      <c r="FG139" s="11" t="s">
        <v>37</v>
      </c>
      <c r="FI139" s="12" t="s">
        <v>37</v>
      </c>
      <c r="FJ139" s="12" t="s">
        <v>37</v>
      </c>
      <c r="FK139" s="11" t="s">
        <v>37</v>
      </c>
      <c r="FL139" s="13" t="s">
        <v>37</v>
      </c>
      <c r="FM139" s="11" t="s">
        <v>37</v>
      </c>
      <c r="FN139" s="11" t="s">
        <v>37</v>
      </c>
      <c r="FP139" s="12" t="s">
        <v>37</v>
      </c>
      <c r="FQ139" s="12" t="s">
        <v>37</v>
      </c>
      <c r="FR139" s="11" t="s">
        <v>37</v>
      </c>
      <c r="FS139" s="13" t="s">
        <v>37</v>
      </c>
      <c r="FT139" s="11" t="s">
        <v>37</v>
      </c>
      <c r="FU139" s="11" t="s">
        <v>37</v>
      </c>
      <c r="FW139" s="12" t="s">
        <v>37</v>
      </c>
      <c r="FX139" s="12" t="s">
        <v>37</v>
      </c>
      <c r="FY139" s="11" t="s">
        <v>37</v>
      </c>
      <c r="FZ139" s="13" t="s">
        <v>37</v>
      </c>
      <c r="GA139" s="11" t="s">
        <v>37</v>
      </c>
      <c r="GB139" s="11" t="s">
        <v>37</v>
      </c>
      <c r="HA139" s="17" t="s">
        <v>63</v>
      </c>
      <c r="HB139" s="34" t="s">
        <v>345</v>
      </c>
      <c r="HC139" s="12">
        <v>0.03</v>
      </c>
      <c r="HD139" s="50">
        <f t="shared" si="553"/>
        <v>5.1723522943947289E-3</v>
      </c>
      <c r="HE139" s="13">
        <v>3</v>
      </c>
      <c r="HG139" s="12">
        <v>0.1</v>
      </c>
      <c r="HH139" s="50">
        <f t="shared" si="554"/>
        <v>1.1185451996710508E-2</v>
      </c>
      <c r="HI139" s="13">
        <v>3</v>
      </c>
      <c r="HK139" s="19">
        <f t="shared" si="517"/>
        <v>1.2039728043259361</v>
      </c>
      <c r="HL139" s="19">
        <f t="shared" si="518"/>
        <v>1.4079080937294359E-2</v>
      </c>
      <c r="IK139" s="12" t="s">
        <v>37</v>
      </c>
      <c r="IL139" s="12" t="s">
        <v>37</v>
      </c>
      <c r="IM139" s="12" t="s">
        <v>37</v>
      </c>
      <c r="IO139" s="12" t="s">
        <v>37</v>
      </c>
      <c r="IP139" s="12" t="s">
        <v>37</v>
      </c>
      <c r="IQ139" s="12" t="s">
        <v>37</v>
      </c>
      <c r="IV139" s="32" t="s">
        <v>345</v>
      </c>
      <c r="IW139" s="12">
        <v>3.9</v>
      </c>
      <c r="IX139" s="12">
        <f t="shared" si="556"/>
        <v>0.17320508075688773</v>
      </c>
      <c r="IY139" s="13">
        <v>3</v>
      </c>
      <c r="IZ139" s="19">
        <f t="shared" si="519"/>
        <v>4.441155916843275E-2</v>
      </c>
      <c r="JA139" s="12">
        <v>2.7</v>
      </c>
      <c r="JB139" s="12">
        <f>0.04*SQRT(3)</f>
        <v>6.9282032302755092E-2</v>
      </c>
      <c r="JC139" s="13">
        <v>3</v>
      </c>
      <c r="JD139" s="19">
        <f t="shared" si="520"/>
        <v>2.5660011963983365E-2</v>
      </c>
      <c r="JE139" s="19">
        <f t="shared" si="521"/>
        <v>-0.36772478012531723</v>
      </c>
      <c r="JF139" s="19">
        <f t="shared" si="522"/>
        <v>8.7694093392099088E-4</v>
      </c>
      <c r="JH139" s="12" t="s">
        <v>37</v>
      </c>
      <c r="JI139" s="12" t="s">
        <v>37</v>
      </c>
      <c r="JJ139" s="13" t="s">
        <v>37</v>
      </c>
      <c r="JL139" s="12" t="s">
        <v>37</v>
      </c>
      <c r="JM139" s="12" t="s">
        <v>37</v>
      </c>
      <c r="JN139" s="12" t="s">
        <v>37</v>
      </c>
      <c r="JS139" s="12" t="s">
        <v>37</v>
      </c>
      <c r="JT139" s="12" t="s">
        <v>37</v>
      </c>
      <c r="JU139" s="13" t="s">
        <v>37</v>
      </c>
      <c r="JW139" s="12" t="s">
        <v>37</v>
      </c>
      <c r="JX139" s="12" t="s">
        <v>37</v>
      </c>
      <c r="JY139" s="12" t="s">
        <v>37</v>
      </c>
      <c r="KE139" s="11" t="s">
        <v>37</v>
      </c>
      <c r="KF139" s="11" t="s">
        <v>37</v>
      </c>
      <c r="KG139" s="13" t="s">
        <v>37</v>
      </c>
      <c r="KH139" s="11" t="s">
        <v>37</v>
      </c>
      <c r="KI139" s="11" t="s">
        <v>37</v>
      </c>
      <c r="KJ139" s="11" t="s">
        <v>37</v>
      </c>
      <c r="KK139" s="12" t="s">
        <v>42</v>
      </c>
      <c r="KL139" s="12" t="s">
        <v>345</v>
      </c>
      <c r="KM139" s="12">
        <v>10</v>
      </c>
      <c r="KN139" s="12">
        <f t="shared" si="557"/>
        <v>1.3856406460551018</v>
      </c>
      <c r="KO139" s="11">
        <v>3</v>
      </c>
      <c r="KP139" s="19">
        <f t="shared" si="523"/>
        <v>0.13856406460551018</v>
      </c>
      <c r="KQ139" s="12">
        <v>13</v>
      </c>
      <c r="KR139" s="12">
        <f>0.6*SQRT(3)</f>
        <v>1.0392304845413263</v>
      </c>
      <c r="KS139" s="13">
        <v>3</v>
      </c>
      <c r="KT139" s="19">
        <f t="shared" si="524"/>
        <v>7.9940806503178946E-2</v>
      </c>
      <c r="KU139" s="19">
        <f t="shared" si="525"/>
        <v>0.26236426446749106</v>
      </c>
      <c r="KV139" s="19">
        <f t="shared" si="526"/>
        <v>8.5301775147928992E-3</v>
      </c>
      <c r="KX139" s="12" t="s">
        <v>37</v>
      </c>
      <c r="KY139" s="12" t="s">
        <v>37</v>
      </c>
      <c r="KZ139" s="13" t="s">
        <v>37</v>
      </c>
      <c r="LB139" s="12" t="s">
        <v>37</v>
      </c>
      <c r="LC139" s="12" t="s">
        <v>37</v>
      </c>
      <c r="LD139" s="13" t="s">
        <v>37</v>
      </c>
      <c r="LI139" s="12" t="s">
        <v>37</v>
      </c>
      <c r="LJ139" s="12" t="s">
        <v>37</v>
      </c>
      <c r="LK139" s="12" t="s">
        <v>37</v>
      </c>
      <c r="LM139" s="12" t="s">
        <v>37</v>
      </c>
      <c r="LN139" s="12" t="s">
        <v>37</v>
      </c>
      <c r="LO139" s="12" t="s">
        <v>37</v>
      </c>
      <c r="LT139" s="12" t="str">
        <f t="shared" si="527"/>
        <v>0-10</v>
      </c>
      <c r="LU139" s="12">
        <f t="shared" si="528"/>
        <v>45</v>
      </c>
      <c r="LV139" s="12">
        <f t="shared" si="529"/>
        <v>6.2952362942148561</v>
      </c>
      <c r="LW139" s="13">
        <f t="shared" si="530"/>
        <v>3</v>
      </c>
      <c r="LX139" s="19">
        <f t="shared" si="531"/>
        <v>0.13989413987144125</v>
      </c>
      <c r="LY139" s="12">
        <f t="shared" si="532"/>
        <v>39.230769230769234</v>
      </c>
      <c r="LZ139" s="12">
        <f t="shared" si="533"/>
        <v>3.1810994292313799</v>
      </c>
      <c r="MA139" s="13">
        <f t="shared" si="534"/>
        <v>3</v>
      </c>
      <c r="MB139" s="19">
        <f t="shared" si="535"/>
        <v>8.1086848196093991E-2</v>
      </c>
      <c r="MC139" s="19">
        <f t="shared" si="536"/>
        <v>-0.13720112151348501</v>
      </c>
      <c r="MD139" s="19">
        <f t="shared" si="537"/>
        <v>8.7151491069155859E-3</v>
      </c>
      <c r="MF139" s="12" t="s">
        <v>37</v>
      </c>
      <c r="MG139" s="12" t="s">
        <v>37</v>
      </c>
      <c r="MH139" s="12" t="s">
        <v>37</v>
      </c>
      <c r="MJ139" s="12" t="s">
        <v>37</v>
      </c>
      <c r="MK139" s="12" t="s">
        <v>37</v>
      </c>
      <c r="ML139" s="12" t="s">
        <v>37</v>
      </c>
      <c r="MQ139" s="12" t="s">
        <v>37</v>
      </c>
      <c r="MR139" s="12" t="s">
        <v>37</v>
      </c>
      <c r="MS139" s="12" t="s">
        <v>37</v>
      </c>
      <c r="MU139" s="12" t="s">
        <v>37</v>
      </c>
      <c r="MV139" s="12" t="s">
        <v>37</v>
      </c>
      <c r="MW139" s="12" t="s">
        <v>37</v>
      </c>
      <c r="NC139" s="12" t="s">
        <v>37</v>
      </c>
      <c r="ND139" s="12" t="s">
        <v>37</v>
      </c>
      <c r="NE139" s="13" t="s">
        <v>37</v>
      </c>
      <c r="NG139" s="12" t="s">
        <v>37</v>
      </c>
      <c r="NH139" s="12" t="s">
        <v>37</v>
      </c>
      <c r="NI139" s="13" t="s">
        <v>37</v>
      </c>
      <c r="NO139" s="12" t="s">
        <v>37</v>
      </c>
      <c r="NP139" s="12" t="s">
        <v>37</v>
      </c>
      <c r="NQ139" s="13" t="s">
        <v>37</v>
      </c>
      <c r="NS139" s="12" t="s">
        <v>37</v>
      </c>
      <c r="NT139" s="12" t="s">
        <v>37</v>
      </c>
      <c r="NU139" s="13" t="s">
        <v>37</v>
      </c>
      <c r="OA139" s="12" t="s">
        <v>37</v>
      </c>
      <c r="OB139" s="12" t="s">
        <v>37</v>
      </c>
      <c r="OC139" s="13" t="s">
        <v>37</v>
      </c>
      <c r="OE139" s="12" t="s">
        <v>37</v>
      </c>
      <c r="OF139" s="12" t="s">
        <v>37</v>
      </c>
      <c r="OG139" s="13" t="s">
        <v>37</v>
      </c>
      <c r="OM139" s="12" t="s">
        <v>37</v>
      </c>
      <c r="ON139" s="12" t="s">
        <v>37</v>
      </c>
      <c r="OO139" s="12" t="s">
        <v>37</v>
      </c>
      <c r="OP139" s="12" t="s">
        <v>37</v>
      </c>
      <c r="OQ139" s="12" t="s">
        <v>37</v>
      </c>
      <c r="OR139" s="12" t="s">
        <v>37</v>
      </c>
      <c r="OS139" s="12"/>
      <c r="OT139" s="12"/>
      <c r="OW139" s="12" t="s">
        <v>37</v>
      </c>
      <c r="OX139" s="12" t="s">
        <v>37</v>
      </c>
      <c r="OY139" s="13" t="s">
        <v>37</v>
      </c>
      <c r="OZ139" s="12" t="s">
        <v>37</v>
      </c>
      <c r="PA139" s="12" t="s">
        <v>37</v>
      </c>
      <c r="PB139" s="13" t="s">
        <v>37</v>
      </c>
      <c r="PG139" s="11" t="s">
        <v>37</v>
      </c>
      <c r="PH139" s="11" t="s">
        <v>37</v>
      </c>
      <c r="PI139" s="13" t="s">
        <v>37</v>
      </c>
      <c r="PJ139" s="11" t="s">
        <v>37</v>
      </c>
      <c r="PK139" s="11" t="s">
        <v>37</v>
      </c>
      <c r="PL139" s="13" t="s">
        <v>37</v>
      </c>
      <c r="PQ139" s="12" t="s">
        <v>37</v>
      </c>
      <c r="PR139" s="12" t="s">
        <v>37</v>
      </c>
      <c r="PS139" s="12" t="s">
        <v>37</v>
      </c>
      <c r="PT139" s="12" t="s">
        <v>37</v>
      </c>
      <c r="PU139" s="12" t="s">
        <v>37</v>
      </c>
      <c r="PV139" s="12" t="s">
        <v>37</v>
      </c>
      <c r="PW139" s="12"/>
      <c r="PX139" s="12"/>
      <c r="PZ139" s="12" t="s">
        <v>37</v>
      </c>
      <c r="QA139" s="12" t="s">
        <v>37</v>
      </c>
      <c r="QB139" s="11" t="s">
        <v>37</v>
      </c>
      <c r="QD139" s="12" t="s">
        <v>37</v>
      </c>
      <c r="QE139" s="12" t="s">
        <v>37</v>
      </c>
      <c r="QF139" s="12" t="s">
        <v>37</v>
      </c>
      <c r="QK139" s="12" t="s">
        <v>37</v>
      </c>
      <c r="QL139" s="12" t="s">
        <v>37</v>
      </c>
      <c r="QM139" s="12" t="s">
        <v>37</v>
      </c>
      <c r="QN139" s="12" t="s">
        <v>37</v>
      </c>
      <c r="QO139" s="12" t="s">
        <v>37</v>
      </c>
      <c r="QP139" s="12" t="s">
        <v>37</v>
      </c>
      <c r="QQ139" s="12"/>
      <c r="QR139" s="12"/>
      <c r="QU139" s="12" t="s">
        <v>37</v>
      </c>
      <c r="QV139" s="12" t="s">
        <v>37</v>
      </c>
      <c r="QW139" s="12" t="s">
        <v>37</v>
      </c>
      <c r="QX139" s="12" t="s">
        <v>37</v>
      </c>
      <c r="QY139" s="12" t="s">
        <v>37</v>
      </c>
      <c r="QZ139" s="12" t="s">
        <v>37</v>
      </c>
      <c r="RC139" s="12" t="s">
        <v>37</v>
      </c>
      <c r="RD139" s="12" t="s">
        <v>37</v>
      </c>
      <c r="RE139" s="13" t="s">
        <v>37</v>
      </c>
      <c r="RF139" s="12" t="s">
        <v>37</v>
      </c>
      <c r="RG139" s="12" t="s">
        <v>37</v>
      </c>
      <c r="RH139" s="13" t="s">
        <v>37</v>
      </c>
      <c r="RK139" s="12" t="s">
        <v>37</v>
      </c>
      <c r="RL139" s="12" t="s">
        <v>37</v>
      </c>
      <c r="RM139" s="11" t="s">
        <v>37</v>
      </c>
      <c r="RN139" s="12" t="s">
        <v>37</v>
      </c>
      <c r="RO139" s="12" t="s">
        <v>37</v>
      </c>
      <c r="RP139" s="11" t="s">
        <v>37</v>
      </c>
      <c r="RS139" s="12" t="s">
        <v>37</v>
      </c>
      <c r="RT139" s="12" t="s">
        <v>37</v>
      </c>
      <c r="RU139" s="12" t="s">
        <v>37</v>
      </c>
      <c r="RV139" s="12" t="s">
        <v>37</v>
      </c>
      <c r="RW139" s="12" t="s">
        <v>37</v>
      </c>
      <c r="RX139" s="12" t="s">
        <v>37</v>
      </c>
      <c r="SA139" s="12" t="s">
        <v>37</v>
      </c>
      <c r="SB139" s="12" t="s">
        <v>37</v>
      </c>
      <c r="SC139" s="12" t="s">
        <v>37</v>
      </c>
      <c r="SD139" s="12" t="s">
        <v>37</v>
      </c>
      <c r="SE139" s="12" t="s">
        <v>37</v>
      </c>
      <c r="SF139" s="12" t="s">
        <v>37</v>
      </c>
      <c r="SI139" s="12" t="s">
        <v>37</v>
      </c>
      <c r="SJ139" s="12" t="s">
        <v>37</v>
      </c>
      <c r="SK139" s="13" t="s">
        <v>37</v>
      </c>
      <c r="SM139" s="12" t="s">
        <v>37</v>
      </c>
      <c r="SN139" s="12" t="s">
        <v>37</v>
      </c>
      <c r="SO139" s="13" t="s">
        <v>37</v>
      </c>
      <c r="SU139" s="12" t="s">
        <v>37</v>
      </c>
      <c r="SV139" s="12" t="s">
        <v>37</v>
      </c>
      <c r="SW139" s="11" t="s">
        <v>37</v>
      </c>
      <c r="SX139" s="12" t="s">
        <v>37</v>
      </c>
      <c r="SY139" s="12" t="s">
        <v>37</v>
      </c>
      <c r="SZ139" s="11" t="s">
        <v>37</v>
      </c>
      <c r="TE139" s="12" t="s">
        <v>37</v>
      </c>
      <c r="TF139" s="12" t="s">
        <v>37</v>
      </c>
      <c r="TG139" s="11" t="s">
        <v>37</v>
      </c>
      <c r="TH139" s="12" t="s">
        <v>37</v>
      </c>
      <c r="TI139" s="12" t="s">
        <v>37</v>
      </c>
      <c r="TJ139" s="11" t="s">
        <v>37</v>
      </c>
      <c r="TO139" s="12" t="s">
        <v>37</v>
      </c>
      <c r="TP139" s="12" t="s">
        <v>37</v>
      </c>
      <c r="TQ139" s="11" t="s">
        <v>37</v>
      </c>
      <c r="TR139" s="12" t="s">
        <v>37</v>
      </c>
      <c r="TS139" s="12" t="s">
        <v>37</v>
      </c>
      <c r="TT139" s="11" t="s">
        <v>37</v>
      </c>
      <c r="TY139" s="12" t="s">
        <v>37</v>
      </c>
      <c r="TZ139" s="12" t="s">
        <v>37</v>
      </c>
      <c r="UA139" s="12" t="s">
        <v>37</v>
      </c>
      <c r="UB139" s="12" t="s">
        <v>37</v>
      </c>
      <c r="UC139" s="12" t="s">
        <v>37</v>
      </c>
      <c r="UD139" s="12" t="s">
        <v>37</v>
      </c>
      <c r="UE139" s="12"/>
      <c r="UF139" s="12"/>
      <c r="UI139" s="12" t="s">
        <v>37</v>
      </c>
      <c r="UJ139" s="12" t="s">
        <v>37</v>
      </c>
      <c r="UK139" s="12" t="s">
        <v>37</v>
      </c>
      <c r="UL139" s="12" t="s">
        <v>37</v>
      </c>
      <c r="UM139" s="12" t="s">
        <v>37</v>
      </c>
      <c r="UN139" s="12" t="s">
        <v>37</v>
      </c>
      <c r="UO139" s="12"/>
      <c r="UP139" s="12"/>
      <c r="UR139" s="12" t="s">
        <v>37</v>
      </c>
      <c r="US139" s="12" t="s">
        <v>37</v>
      </c>
      <c r="UT139" s="12" t="s">
        <v>37</v>
      </c>
      <c r="UU139" s="12" t="s">
        <v>37</v>
      </c>
      <c r="UV139" s="12" t="s">
        <v>37</v>
      </c>
      <c r="UW139" s="12" t="s">
        <v>37</v>
      </c>
      <c r="UX139" s="12"/>
      <c r="UY139" s="12"/>
      <c r="VB139" s="12" t="s">
        <v>37</v>
      </c>
      <c r="VC139" s="12" t="s">
        <v>37</v>
      </c>
      <c r="VD139" s="12" t="s">
        <v>37</v>
      </c>
      <c r="VE139" s="12" t="s">
        <v>37</v>
      </c>
      <c r="VF139" s="12" t="s">
        <v>37</v>
      </c>
      <c r="VG139" s="12" t="s">
        <v>37</v>
      </c>
      <c r="VI139" s="12" t="s">
        <v>37</v>
      </c>
      <c r="VJ139" s="12" t="s">
        <v>37</v>
      </c>
      <c r="VK139" s="12" t="s">
        <v>37</v>
      </c>
      <c r="VL139" s="12" t="s">
        <v>37</v>
      </c>
      <c r="VM139" s="12" t="s">
        <v>37</v>
      </c>
      <c r="VN139" s="12" t="s">
        <v>37</v>
      </c>
      <c r="VQ139" s="13" t="s">
        <v>37</v>
      </c>
      <c r="VR139" s="13" t="s">
        <v>37</v>
      </c>
      <c r="VS139" s="13" t="s">
        <v>37</v>
      </c>
      <c r="VT139" s="13" t="s">
        <v>37</v>
      </c>
      <c r="VU139" s="13" t="s">
        <v>37</v>
      </c>
      <c r="VV139" s="13" t="s">
        <v>37</v>
      </c>
      <c r="WA139" s="13" t="s">
        <v>37</v>
      </c>
      <c r="WB139" s="13" t="s">
        <v>37</v>
      </c>
      <c r="WC139" s="13" t="s">
        <v>37</v>
      </c>
      <c r="WD139" s="13" t="s">
        <v>37</v>
      </c>
      <c r="WE139" s="13" t="s">
        <v>37</v>
      </c>
      <c r="WF139" s="13" t="s">
        <v>37</v>
      </c>
    </row>
    <row r="140" spans="1:604" ht="18" customHeight="1" x14ac:dyDescent="0.4">
      <c r="A140" s="11">
        <v>32</v>
      </c>
      <c r="B140" s="16" t="s">
        <v>232</v>
      </c>
      <c r="C140" s="12" t="s">
        <v>26</v>
      </c>
      <c r="D140" s="12" t="s">
        <v>54</v>
      </c>
      <c r="E140" s="40">
        <v>0.9</v>
      </c>
      <c r="F140" s="14">
        <v>0</v>
      </c>
      <c r="G140" s="14">
        <v>0</v>
      </c>
      <c r="H140" s="12" t="s">
        <v>233</v>
      </c>
      <c r="I140" s="29">
        <v>57.133000000000003</v>
      </c>
      <c r="J140" s="29">
        <v>14.75</v>
      </c>
      <c r="K140" s="12" t="s">
        <v>720</v>
      </c>
      <c r="L140" s="12" t="s">
        <v>721</v>
      </c>
      <c r="M140" s="13" t="s">
        <v>37</v>
      </c>
      <c r="N140" s="14">
        <v>5.6</v>
      </c>
      <c r="O140" s="14">
        <v>789.59847036328836</v>
      </c>
      <c r="P140" s="14" t="s">
        <v>84</v>
      </c>
      <c r="Q140" s="75">
        <v>41</v>
      </c>
      <c r="R140" s="11" t="s">
        <v>1000</v>
      </c>
      <c r="S140" s="12" t="s">
        <v>93</v>
      </c>
      <c r="T140" s="12" t="s">
        <v>37</v>
      </c>
      <c r="U140" s="12" t="s">
        <v>158</v>
      </c>
      <c r="V140" s="12" t="s">
        <v>275</v>
      </c>
      <c r="W140" s="23" t="s">
        <v>376</v>
      </c>
      <c r="X140" s="12" t="s">
        <v>280</v>
      </c>
      <c r="Y140" s="12" t="s">
        <v>69</v>
      </c>
      <c r="Z140" s="12" t="s">
        <v>37</v>
      </c>
      <c r="AA140" s="32" t="s">
        <v>345</v>
      </c>
      <c r="AB140" s="12">
        <v>3.9</v>
      </c>
      <c r="AC140" s="12" t="s">
        <v>42</v>
      </c>
      <c r="AD140" s="32" t="s">
        <v>345</v>
      </c>
      <c r="AE140" s="12">
        <v>450</v>
      </c>
      <c r="AF140" s="12" t="s">
        <v>42</v>
      </c>
      <c r="AG140" s="12" t="s">
        <v>345</v>
      </c>
      <c r="AH140" s="12">
        <v>10</v>
      </c>
      <c r="AJ140" s="12" t="str">
        <f t="shared" si="504"/>
        <v>0-10</v>
      </c>
      <c r="AK140" s="19">
        <f t="shared" si="505"/>
        <v>45</v>
      </c>
      <c r="AL140" s="32" t="s">
        <v>235</v>
      </c>
      <c r="AM140" s="13" t="s">
        <v>344</v>
      </c>
      <c r="AO140" s="13" t="s">
        <v>318</v>
      </c>
      <c r="AP140" s="12" t="s">
        <v>167</v>
      </c>
      <c r="AQ140" s="12" t="s">
        <v>975</v>
      </c>
      <c r="AR140" s="12" t="s">
        <v>42</v>
      </c>
      <c r="AS140" s="32" t="s">
        <v>345</v>
      </c>
      <c r="AT140" s="12">
        <v>450</v>
      </c>
      <c r="AU140" s="12">
        <f t="shared" si="555"/>
        <v>8.6602540378443855</v>
      </c>
      <c r="AV140" s="13">
        <v>3</v>
      </c>
      <c r="AW140" s="19">
        <f t="shared" si="538"/>
        <v>1.9245008972987525E-2</v>
      </c>
      <c r="AX140" s="12">
        <v>510</v>
      </c>
      <c r="AY140" s="12">
        <f>4*SQRT(3)</f>
        <v>6.9282032302755088</v>
      </c>
      <c r="AZ140" s="13">
        <v>3</v>
      </c>
      <c r="BA140" s="19">
        <f t="shared" si="539"/>
        <v>1.3584712216226489E-2</v>
      </c>
      <c r="BB140" s="52">
        <f t="shared" si="506"/>
        <v>0.12516314295400599</v>
      </c>
      <c r="BC140" s="19">
        <f t="shared" si="507"/>
        <v>1.8497159212268782E-4</v>
      </c>
      <c r="BE140" s="12" t="s">
        <v>326</v>
      </c>
      <c r="BF140" s="12" t="s">
        <v>326</v>
      </c>
      <c r="BG140" s="12" t="s">
        <v>326</v>
      </c>
      <c r="BI140" s="12" t="s">
        <v>326</v>
      </c>
      <c r="BJ140" s="12" t="s">
        <v>326</v>
      </c>
      <c r="BK140" s="12" t="s">
        <v>326</v>
      </c>
      <c r="BP140" s="12" t="s">
        <v>37</v>
      </c>
      <c r="BQ140" s="12" t="s">
        <v>37</v>
      </c>
      <c r="BR140" s="13" t="s">
        <v>37</v>
      </c>
      <c r="BT140" s="12" t="s">
        <v>37</v>
      </c>
      <c r="BU140" s="12" t="s">
        <v>37</v>
      </c>
      <c r="BV140" s="12" t="s">
        <v>37</v>
      </c>
      <c r="CA140" s="12" t="s">
        <v>37</v>
      </c>
      <c r="CB140" s="12" t="s">
        <v>37</v>
      </c>
      <c r="CC140" s="13" t="s">
        <v>37</v>
      </c>
      <c r="CE140" s="12" t="s">
        <v>37</v>
      </c>
      <c r="CF140" s="12" t="s">
        <v>37</v>
      </c>
      <c r="CG140" s="13" t="s">
        <v>37</v>
      </c>
      <c r="CI140" s="52"/>
      <c r="CJ140" s="52"/>
      <c r="CK140" s="73"/>
      <c r="CL140" s="73"/>
      <c r="CN140" s="12" t="s">
        <v>37</v>
      </c>
      <c r="CO140" s="12" t="s">
        <v>37</v>
      </c>
      <c r="CP140" s="13" t="s">
        <v>37</v>
      </c>
      <c r="CR140" s="12" t="s">
        <v>37</v>
      </c>
      <c r="CS140" s="12" t="s">
        <v>37</v>
      </c>
      <c r="CT140" s="13" t="s">
        <v>37</v>
      </c>
      <c r="CV140" s="52"/>
      <c r="CW140" s="52"/>
      <c r="CX140" s="73"/>
      <c r="CY140" s="73"/>
      <c r="CZ140" s="12" t="s">
        <v>47</v>
      </c>
      <c r="DA140" s="12">
        <v>2000</v>
      </c>
      <c r="DB140" s="50">
        <f t="shared" si="540"/>
        <v>5999.3131173724232</v>
      </c>
      <c r="DC140" s="13">
        <v>3</v>
      </c>
      <c r="DE140" s="12">
        <v>-1999</v>
      </c>
      <c r="DF140" s="50">
        <f t="shared" si="541"/>
        <v>1905.332445805212</v>
      </c>
      <c r="DG140" s="13">
        <v>3</v>
      </c>
      <c r="DI140" s="19">
        <f t="shared" si="542"/>
        <v>-3999</v>
      </c>
      <c r="DJ140" s="12">
        <f t="shared" si="543"/>
        <v>4450.9577401563192</v>
      </c>
      <c r="DK140" s="72">
        <f t="shared" si="544"/>
        <v>13207349.869771631</v>
      </c>
      <c r="DL140" s="72">
        <f t="shared" si="545"/>
        <v>13207349.869771631</v>
      </c>
      <c r="DM140" s="12" t="s">
        <v>47</v>
      </c>
      <c r="DN140" s="19">
        <v>122</v>
      </c>
      <c r="DO140" s="12">
        <f>33.4*SQRT(3)</f>
        <v>57.850496972800492</v>
      </c>
      <c r="DP140" s="13">
        <v>3</v>
      </c>
      <c r="DQ140" s="19">
        <f t="shared" si="508"/>
        <v>0.47418440141639751</v>
      </c>
      <c r="DR140" s="19">
        <v>16</v>
      </c>
      <c r="DS140" s="12">
        <f>7.1*SQRT(3)</f>
        <v>12.297560733739028</v>
      </c>
      <c r="DT140" s="13">
        <v>3</v>
      </c>
      <c r="DU140" s="19">
        <f t="shared" si="546"/>
        <v>0.76859754585868922</v>
      </c>
      <c r="DV140" s="19">
        <f t="shared" si="509"/>
        <v>-106</v>
      </c>
      <c r="DW140" s="12">
        <f t="shared" si="485"/>
        <v>41.820509322579987</v>
      </c>
      <c r="DX140" s="72">
        <f t="shared" si="345"/>
        <v>1165.9699999999996</v>
      </c>
      <c r="DY140" s="72">
        <f t="shared" si="346"/>
        <v>1165.9699999999998</v>
      </c>
      <c r="DZ140" s="11" t="s">
        <v>47</v>
      </c>
      <c r="EA140" s="19">
        <v>0.3</v>
      </c>
      <c r="EB140" s="19">
        <f>0.5*SQRT(3)</f>
        <v>0.8660254037844386</v>
      </c>
      <c r="EC140" s="72">
        <v>3</v>
      </c>
      <c r="ED140" s="52">
        <f t="shared" si="547"/>
        <v>2.8867513459481287</v>
      </c>
      <c r="EE140" s="19">
        <v>0.4</v>
      </c>
      <c r="EF140" s="19">
        <f t="shared" ref="EF140" si="559">0.6*SQRT(3)</f>
        <v>1.0392304845413263</v>
      </c>
      <c r="EG140" s="13">
        <v>3</v>
      </c>
      <c r="EH140" s="52">
        <f t="shared" si="548"/>
        <v>2.5980762113533156</v>
      </c>
      <c r="EI140" s="19">
        <f t="shared" si="558"/>
        <v>0.10000000000000003</v>
      </c>
      <c r="EJ140" s="12">
        <f t="shared" si="550"/>
        <v>0.9565563234854495</v>
      </c>
      <c r="EK140" s="19">
        <f t="shared" si="551"/>
        <v>0.60999999999999988</v>
      </c>
      <c r="EL140" s="19">
        <f t="shared" si="552"/>
        <v>0.60999999999999988</v>
      </c>
      <c r="EM140" s="12" t="s">
        <v>39</v>
      </c>
      <c r="EN140" s="12">
        <v>-7.2545662413056524</v>
      </c>
      <c r="EO140" s="12">
        <v>1.3531236339616048</v>
      </c>
      <c r="EP140" s="13">
        <v>3</v>
      </c>
      <c r="EQ140" s="19">
        <f t="shared" si="510"/>
        <v>0.18652026722938492</v>
      </c>
      <c r="ER140" s="12">
        <v>-18.404147413501633</v>
      </c>
      <c r="ES140" s="12">
        <v>1.4652840768454194</v>
      </c>
      <c r="ET140" s="13">
        <v>3</v>
      </c>
      <c r="EU140" s="19">
        <f t="shared" si="511"/>
        <v>7.9617058259947374E-2</v>
      </c>
      <c r="EV140" s="19">
        <f t="shared" si="512"/>
        <v>-11.14958117219598</v>
      </c>
      <c r="EW140" s="12">
        <f t="shared" si="489"/>
        <v>1.4103192891402627</v>
      </c>
      <c r="EX140" s="19">
        <f t="shared" si="490"/>
        <v>1.3260003315473972</v>
      </c>
      <c r="EY140" s="19">
        <f t="shared" si="491"/>
        <v>1.3260003315473974</v>
      </c>
      <c r="FB140" s="12" t="s">
        <v>37</v>
      </c>
      <c r="FC140" s="12" t="s">
        <v>37</v>
      </c>
      <c r="FD140" s="11" t="s">
        <v>37</v>
      </c>
      <c r="FE140" s="12" t="s">
        <v>37</v>
      </c>
      <c r="FF140" s="20" t="s">
        <v>37</v>
      </c>
      <c r="FG140" s="11" t="s">
        <v>37</v>
      </c>
      <c r="FI140" s="12" t="s">
        <v>37</v>
      </c>
      <c r="FJ140" s="12" t="s">
        <v>37</v>
      </c>
      <c r="FK140" s="11" t="s">
        <v>37</v>
      </c>
      <c r="FL140" s="13" t="s">
        <v>37</v>
      </c>
      <c r="FM140" s="11" t="s">
        <v>37</v>
      </c>
      <c r="FN140" s="11" t="s">
        <v>37</v>
      </c>
      <c r="FP140" s="12" t="s">
        <v>37</v>
      </c>
      <c r="FQ140" s="12" t="s">
        <v>37</v>
      </c>
      <c r="FR140" s="11" t="s">
        <v>37</v>
      </c>
      <c r="FS140" s="13" t="s">
        <v>37</v>
      </c>
      <c r="FT140" s="11" t="s">
        <v>37</v>
      </c>
      <c r="FU140" s="11" t="s">
        <v>37</v>
      </c>
      <c r="FW140" s="12" t="s">
        <v>37</v>
      </c>
      <c r="FX140" s="12" t="s">
        <v>37</v>
      </c>
      <c r="FY140" s="11" t="s">
        <v>37</v>
      </c>
      <c r="FZ140" s="13" t="s">
        <v>37</v>
      </c>
      <c r="GA140" s="11" t="s">
        <v>37</v>
      </c>
      <c r="GB140" s="11" t="s">
        <v>37</v>
      </c>
      <c r="HA140" s="17" t="s">
        <v>63</v>
      </c>
      <c r="HB140" s="34" t="s">
        <v>345</v>
      </c>
      <c r="HC140" s="12">
        <v>0.03</v>
      </c>
      <c r="HD140" s="50">
        <f t="shared" si="553"/>
        <v>5.1723522943947289E-3</v>
      </c>
      <c r="HE140" s="13">
        <v>3</v>
      </c>
      <c r="HG140" s="12">
        <v>0.1</v>
      </c>
      <c r="HH140" s="50">
        <f t="shared" si="554"/>
        <v>1.1185451996710508E-2</v>
      </c>
      <c r="HI140" s="13">
        <v>3</v>
      </c>
      <c r="HK140" s="19">
        <f t="shared" si="517"/>
        <v>1.2039728043259361</v>
      </c>
      <c r="HL140" s="19">
        <f t="shared" si="518"/>
        <v>1.4079080937294359E-2</v>
      </c>
      <c r="IK140" s="12" t="s">
        <v>37</v>
      </c>
      <c r="IL140" s="12" t="s">
        <v>37</v>
      </c>
      <c r="IM140" s="12" t="s">
        <v>37</v>
      </c>
      <c r="IO140" s="12" t="s">
        <v>37</v>
      </c>
      <c r="IP140" s="12" t="s">
        <v>37</v>
      </c>
      <c r="IQ140" s="12" t="s">
        <v>37</v>
      </c>
      <c r="IV140" s="32" t="s">
        <v>345</v>
      </c>
      <c r="IW140" s="12">
        <v>3.9</v>
      </c>
      <c r="IX140" s="12">
        <f t="shared" si="556"/>
        <v>0.17320508075688773</v>
      </c>
      <c r="IY140" s="13">
        <v>3</v>
      </c>
      <c r="IZ140" s="19">
        <f t="shared" si="519"/>
        <v>4.441155916843275E-2</v>
      </c>
      <c r="JA140" s="12">
        <v>2.7</v>
      </c>
      <c r="JB140" s="12">
        <f>0.04*SQRT(3)</f>
        <v>6.9282032302755092E-2</v>
      </c>
      <c r="JC140" s="13">
        <v>3</v>
      </c>
      <c r="JD140" s="19">
        <f t="shared" si="520"/>
        <v>2.5660011963983365E-2</v>
      </c>
      <c r="JE140" s="19">
        <f t="shared" si="521"/>
        <v>-0.36772478012531723</v>
      </c>
      <c r="JF140" s="19">
        <f t="shared" si="522"/>
        <v>8.7694093392099088E-4</v>
      </c>
      <c r="JH140" s="12" t="s">
        <v>37</v>
      </c>
      <c r="JI140" s="12" t="s">
        <v>37</v>
      </c>
      <c r="JJ140" s="13" t="s">
        <v>37</v>
      </c>
      <c r="JL140" s="12" t="s">
        <v>37</v>
      </c>
      <c r="JM140" s="12" t="s">
        <v>37</v>
      </c>
      <c r="JN140" s="12" t="s">
        <v>37</v>
      </c>
      <c r="JS140" s="12" t="s">
        <v>37</v>
      </c>
      <c r="JT140" s="12" t="s">
        <v>37</v>
      </c>
      <c r="JU140" s="13" t="s">
        <v>37</v>
      </c>
      <c r="JW140" s="12" t="s">
        <v>37</v>
      </c>
      <c r="JX140" s="12" t="s">
        <v>37</v>
      </c>
      <c r="JY140" s="12" t="s">
        <v>37</v>
      </c>
      <c r="KE140" s="11" t="s">
        <v>37</v>
      </c>
      <c r="KF140" s="11" t="s">
        <v>37</v>
      </c>
      <c r="KG140" s="13" t="s">
        <v>37</v>
      </c>
      <c r="KH140" s="11" t="s">
        <v>37</v>
      </c>
      <c r="KI140" s="11" t="s">
        <v>37</v>
      </c>
      <c r="KJ140" s="11" t="s">
        <v>37</v>
      </c>
      <c r="KK140" s="12" t="s">
        <v>42</v>
      </c>
      <c r="KL140" s="12" t="s">
        <v>345</v>
      </c>
      <c r="KM140" s="12">
        <v>10</v>
      </c>
      <c r="KN140" s="12">
        <f t="shared" si="557"/>
        <v>1.3856406460551018</v>
      </c>
      <c r="KO140" s="11">
        <v>3</v>
      </c>
      <c r="KP140" s="19">
        <f t="shared" si="523"/>
        <v>0.13856406460551018</v>
      </c>
      <c r="KQ140" s="12">
        <v>13</v>
      </c>
      <c r="KR140" s="12">
        <f>0.6*SQRT(3)</f>
        <v>1.0392304845413263</v>
      </c>
      <c r="KS140" s="13">
        <v>3</v>
      </c>
      <c r="KT140" s="19">
        <f t="shared" si="524"/>
        <v>7.9940806503178946E-2</v>
      </c>
      <c r="KU140" s="19">
        <f t="shared" si="525"/>
        <v>0.26236426446749106</v>
      </c>
      <c r="KV140" s="19">
        <f t="shared" si="526"/>
        <v>8.5301775147928992E-3</v>
      </c>
      <c r="KX140" s="12" t="s">
        <v>37</v>
      </c>
      <c r="KY140" s="12" t="s">
        <v>37</v>
      </c>
      <c r="KZ140" s="13" t="s">
        <v>37</v>
      </c>
      <c r="LB140" s="12" t="s">
        <v>37</v>
      </c>
      <c r="LC140" s="12" t="s">
        <v>37</v>
      </c>
      <c r="LD140" s="13" t="s">
        <v>37</v>
      </c>
      <c r="LI140" s="12" t="s">
        <v>37</v>
      </c>
      <c r="LJ140" s="12" t="s">
        <v>37</v>
      </c>
      <c r="LK140" s="12" t="s">
        <v>37</v>
      </c>
      <c r="LM140" s="12" t="s">
        <v>37</v>
      </c>
      <c r="LN140" s="12" t="s">
        <v>37</v>
      </c>
      <c r="LO140" s="12" t="s">
        <v>37</v>
      </c>
      <c r="LT140" s="12" t="str">
        <f t="shared" si="527"/>
        <v>0-10</v>
      </c>
      <c r="LU140" s="12">
        <f t="shared" si="528"/>
        <v>45</v>
      </c>
      <c r="LV140" s="12">
        <f t="shared" si="529"/>
        <v>6.2952362942148561</v>
      </c>
      <c r="LW140" s="13">
        <f t="shared" si="530"/>
        <v>3</v>
      </c>
      <c r="LX140" s="19">
        <f t="shared" si="531"/>
        <v>0.13989413987144125</v>
      </c>
      <c r="LY140" s="12">
        <f t="shared" si="532"/>
        <v>39.230769230769234</v>
      </c>
      <c r="LZ140" s="12">
        <f t="shared" si="533"/>
        <v>3.1810994292313799</v>
      </c>
      <c r="MA140" s="13">
        <f t="shared" si="534"/>
        <v>3</v>
      </c>
      <c r="MB140" s="19">
        <f t="shared" si="535"/>
        <v>8.1086848196093991E-2</v>
      </c>
      <c r="MC140" s="19">
        <f t="shared" si="536"/>
        <v>-0.13720112151348501</v>
      </c>
      <c r="MD140" s="19">
        <f t="shared" si="537"/>
        <v>8.7151491069155859E-3</v>
      </c>
      <c r="MF140" s="12" t="s">
        <v>37</v>
      </c>
      <c r="MG140" s="12" t="s">
        <v>37</v>
      </c>
      <c r="MH140" s="12" t="s">
        <v>37</v>
      </c>
      <c r="MJ140" s="12" t="s">
        <v>37</v>
      </c>
      <c r="MK140" s="12" t="s">
        <v>37</v>
      </c>
      <c r="ML140" s="12" t="s">
        <v>37</v>
      </c>
      <c r="MQ140" s="12" t="s">
        <v>37</v>
      </c>
      <c r="MR140" s="12" t="s">
        <v>37</v>
      </c>
      <c r="MS140" s="12" t="s">
        <v>37</v>
      </c>
      <c r="MU140" s="12" t="s">
        <v>37</v>
      </c>
      <c r="MV140" s="12" t="s">
        <v>37</v>
      </c>
      <c r="MW140" s="12" t="s">
        <v>37</v>
      </c>
      <c r="NC140" s="12" t="s">
        <v>37</v>
      </c>
      <c r="ND140" s="12" t="s">
        <v>37</v>
      </c>
      <c r="NE140" s="13" t="s">
        <v>37</v>
      </c>
      <c r="NG140" s="12" t="s">
        <v>37</v>
      </c>
      <c r="NH140" s="12" t="s">
        <v>37</v>
      </c>
      <c r="NI140" s="13" t="s">
        <v>37</v>
      </c>
      <c r="NO140" s="12" t="s">
        <v>37</v>
      </c>
      <c r="NP140" s="12" t="s">
        <v>37</v>
      </c>
      <c r="NQ140" s="13" t="s">
        <v>37</v>
      </c>
      <c r="NS140" s="12" t="s">
        <v>37</v>
      </c>
      <c r="NT140" s="12" t="s">
        <v>37</v>
      </c>
      <c r="NU140" s="13" t="s">
        <v>37</v>
      </c>
      <c r="OA140" s="12" t="s">
        <v>37</v>
      </c>
      <c r="OB140" s="12" t="s">
        <v>37</v>
      </c>
      <c r="OC140" s="13" t="s">
        <v>37</v>
      </c>
      <c r="OE140" s="12" t="s">
        <v>37</v>
      </c>
      <c r="OF140" s="12" t="s">
        <v>37</v>
      </c>
      <c r="OG140" s="13" t="s">
        <v>37</v>
      </c>
      <c r="OM140" s="12" t="s">
        <v>37</v>
      </c>
      <c r="ON140" s="12" t="s">
        <v>37</v>
      </c>
      <c r="OO140" s="12" t="s">
        <v>37</v>
      </c>
      <c r="OP140" s="12" t="s">
        <v>37</v>
      </c>
      <c r="OQ140" s="12" t="s">
        <v>37</v>
      </c>
      <c r="OR140" s="12" t="s">
        <v>37</v>
      </c>
      <c r="OS140" s="12"/>
      <c r="OT140" s="12"/>
      <c r="OW140" s="12" t="s">
        <v>37</v>
      </c>
      <c r="OX140" s="12" t="s">
        <v>37</v>
      </c>
      <c r="OY140" s="13" t="s">
        <v>37</v>
      </c>
      <c r="OZ140" s="12" t="s">
        <v>37</v>
      </c>
      <c r="PA140" s="12" t="s">
        <v>37</v>
      </c>
      <c r="PB140" s="13" t="s">
        <v>37</v>
      </c>
      <c r="PG140" s="11" t="s">
        <v>37</v>
      </c>
      <c r="PH140" s="11" t="s">
        <v>37</v>
      </c>
      <c r="PI140" s="13" t="s">
        <v>37</v>
      </c>
      <c r="PJ140" s="11" t="s">
        <v>37</v>
      </c>
      <c r="PK140" s="11" t="s">
        <v>37</v>
      </c>
      <c r="PL140" s="13" t="s">
        <v>37</v>
      </c>
      <c r="PQ140" s="12" t="s">
        <v>37</v>
      </c>
      <c r="PR140" s="12" t="s">
        <v>37</v>
      </c>
      <c r="PS140" s="12" t="s">
        <v>37</v>
      </c>
      <c r="PT140" s="12" t="s">
        <v>37</v>
      </c>
      <c r="PU140" s="12" t="s">
        <v>37</v>
      </c>
      <c r="PV140" s="12" t="s">
        <v>37</v>
      </c>
      <c r="PW140" s="12"/>
      <c r="PX140" s="12"/>
      <c r="PZ140" s="12" t="s">
        <v>37</v>
      </c>
      <c r="QA140" s="12" t="s">
        <v>37</v>
      </c>
      <c r="QB140" s="11" t="s">
        <v>37</v>
      </c>
      <c r="QD140" s="12" t="s">
        <v>37</v>
      </c>
      <c r="QE140" s="12" t="s">
        <v>37</v>
      </c>
      <c r="QF140" s="12" t="s">
        <v>37</v>
      </c>
      <c r="QK140" s="12" t="s">
        <v>37</v>
      </c>
      <c r="QL140" s="12" t="s">
        <v>37</v>
      </c>
      <c r="QM140" s="12" t="s">
        <v>37</v>
      </c>
      <c r="QN140" s="12" t="s">
        <v>37</v>
      </c>
      <c r="QO140" s="12" t="s">
        <v>37</v>
      </c>
      <c r="QP140" s="12" t="s">
        <v>37</v>
      </c>
      <c r="QQ140" s="12"/>
      <c r="QR140" s="12"/>
      <c r="QU140" s="12" t="s">
        <v>37</v>
      </c>
      <c r="QV140" s="12" t="s">
        <v>37</v>
      </c>
      <c r="QW140" s="12" t="s">
        <v>37</v>
      </c>
      <c r="QX140" s="12" t="s">
        <v>37</v>
      </c>
      <c r="QY140" s="12" t="s">
        <v>37</v>
      </c>
      <c r="QZ140" s="12" t="s">
        <v>37</v>
      </c>
      <c r="RC140" s="12" t="s">
        <v>37</v>
      </c>
      <c r="RD140" s="12" t="s">
        <v>37</v>
      </c>
      <c r="RE140" s="13" t="s">
        <v>37</v>
      </c>
      <c r="RF140" s="12" t="s">
        <v>37</v>
      </c>
      <c r="RG140" s="12" t="s">
        <v>37</v>
      </c>
      <c r="RH140" s="13" t="s">
        <v>37</v>
      </c>
      <c r="RK140" s="12" t="s">
        <v>37</v>
      </c>
      <c r="RL140" s="12" t="s">
        <v>37</v>
      </c>
      <c r="RM140" s="11" t="s">
        <v>37</v>
      </c>
      <c r="RN140" s="12" t="s">
        <v>37</v>
      </c>
      <c r="RO140" s="12" t="s">
        <v>37</v>
      </c>
      <c r="RP140" s="11" t="s">
        <v>37</v>
      </c>
      <c r="RS140" s="12" t="s">
        <v>37</v>
      </c>
      <c r="RT140" s="12" t="s">
        <v>37</v>
      </c>
      <c r="RU140" s="12" t="s">
        <v>37</v>
      </c>
      <c r="RV140" s="12" t="s">
        <v>37</v>
      </c>
      <c r="RW140" s="12" t="s">
        <v>37</v>
      </c>
      <c r="RX140" s="12" t="s">
        <v>37</v>
      </c>
      <c r="SA140" s="12" t="s">
        <v>37</v>
      </c>
      <c r="SB140" s="12" t="s">
        <v>37</v>
      </c>
      <c r="SC140" s="12" t="s">
        <v>37</v>
      </c>
      <c r="SD140" s="12" t="s">
        <v>37</v>
      </c>
      <c r="SE140" s="12" t="s">
        <v>37</v>
      </c>
      <c r="SF140" s="12" t="s">
        <v>37</v>
      </c>
      <c r="SI140" s="12" t="s">
        <v>37</v>
      </c>
      <c r="SJ140" s="12" t="s">
        <v>37</v>
      </c>
      <c r="SK140" s="13" t="s">
        <v>37</v>
      </c>
      <c r="SM140" s="12" t="s">
        <v>37</v>
      </c>
      <c r="SN140" s="12" t="s">
        <v>37</v>
      </c>
      <c r="SO140" s="13" t="s">
        <v>37</v>
      </c>
      <c r="SU140" s="12" t="s">
        <v>37</v>
      </c>
      <c r="SV140" s="12" t="s">
        <v>37</v>
      </c>
      <c r="SW140" s="11" t="s">
        <v>37</v>
      </c>
      <c r="SX140" s="12" t="s">
        <v>37</v>
      </c>
      <c r="SY140" s="12" t="s">
        <v>37</v>
      </c>
      <c r="SZ140" s="11" t="s">
        <v>37</v>
      </c>
      <c r="TE140" s="12" t="s">
        <v>37</v>
      </c>
      <c r="TF140" s="12" t="s">
        <v>37</v>
      </c>
      <c r="TG140" s="11" t="s">
        <v>37</v>
      </c>
      <c r="TH140" s="12" t="s">
        <v>37</v>
      </c>
      <c r="TI140" s="12" t="s">
        <v>37</v>
      </c>
      <c r="TJ140" s="11" t="s">
        <v>37</v>
      </c>
      <c r="TO140" s="12" t="s">
        <v>37</v>
      </c>
      <c r="TP140" s="12" t="s">
        <v>37</v>
      </c>
      <c r="TQ140" s="11" t="s">
        <v>37</v>
      </c>
      <c r="TR140" s="12" t="s">
        <v>37</v>
      </c>
      <c r="TS140" s="12" t="s">
        <v>37</v>
      </c>
      <c r="TT140" s="11" t="s">
        <v>37</v>
      </c>
      <c r="TY140" s="12" t="s">
        <v>37</v>
      </c>
      <c r="TZ140" s="12" t="s">
        <v>37</v>
      </c>
      <c r="UA140" s="12" t="s">
        <v>37</v>
      </c>
      <c r="UB140" s="12" t="s">
        <v>37</v>
      </c>
      <c r="UC140" s="12" t="s">
        <v>37</v>
      </c>
      <c r="UD140" s="12" t="s">
        <v>37</v>
      </c>
      <c r="UE140" s="12"/>
      <c r="UF140" s="12"/>
      <c r="UI140" s="12" t="s">
        <v>37</v>
      </c>
      <c r="UJ140" s="12" t="s">
        <v>37</v>
      </c>
      <c r="UK140" s="12" t="s">
        <v>37</v>
      </c>
      <c r="UL140" s="12" t="s">
        <v>37</v>
      </c>
      <c r="UM140" s="12" t="s">
        <v>37</v>
      </c>
      <c r="UN140" s="12" t="s">
        <v>37</v>
      </c>
      <c r="UO140" s="12"/>
      <c r="UP140" s="12"/>
      <c r="UR140" s="12" t="s">
        <v>37</v>
      </c>
      <c r="US140" s="12" t="s">
        <v>37</v>
      </c>
      <c r="UT140" s="12" t="s">
        <v>37</v>
      </c>
      <c r="UU140" s="12" t="s">
        <v>37</v>
      </c>
      <c r="UV140" s="12" t="s">
        <v>37</v>
      </c>
      <c r="UW140" s="12" t="s">
        <v>37</v>
      </c>
      <c r="UX140" s="12"/>
      <c r="UY140" s="12"/>
      <c r="VB140" s="12" t="s">
        <v>37</v>
      </c>
      <c r="VC140" s="12" t="s">
        <v>37</v>
      </c>
      <c r="VD140" s="12" t="s">
        <v>37</v>
      </c>
      <c r="VE140" s="12" t="s">
        <v>37</v>
      </c>
      <c r="VF140" s="12" t="s">
        <v>37</v>
      </c>
      <c r="VG140" s="12" t="s">
        <v>37</v>
      </c>
      <c r="VI140" s="12" t="s">
        <v>37</v>
      </c>
      <c r="VJ140" s="12" t="s">
        <v>37</v>
      </c>
      <c r="VK140" s="12" t="s">
        <v>37</v>
      </c>
      <c r="VL140" s="12" t="s">
        <v>37</v>
      </c>
      <c r="VM140" s="12" t="s">
        <v>37</v>
      </c>
      <c r="VN140" s="12" t="s">
        <v>37</v>
      </c>
      <c r="VQ140" s="13" t="s">
        <v>37</v>
      </c>
      <c r="VR140" s="13" t="s">
        <v>37</v>
      </c>
      <c r="VS140" s="13" t="s">
        <v>37</v>
      </c>
      <c r="VT140" s="13" t="s">
        <v>37</v>
      </c>
      <c r="VU140" s="13" t="s">
        <v>37</v>
      </c>
      <c r="VV140" s="13" t="s">
        <v>37</v>
      </c>
      <c r="WA140" s="13" t="s">
        <v>37</v>
      </c>
      <c r="WB140" s="13" t="s">
        <v>37</v>
      </c>
      <c r="WC140" s="13" t="s">
        <v>37</v>
      </c>
      <c r="WD140" s="13" t="s">
        <v>37</v>
      </c>
      <c r="WE140" s="13" t="s">
        <v>37</v>
      </c>
      <c r="WF140" s="13" t="s">
        <v>37</v>
      </c>
    </row>
    <row r="141" spans="1:604" ht="18" customHeight="1" x14ac:dyDescent="0.4">
      <c r="A141" s="11">
        <v>33</v>
      </c>
      <c r="B141" s="16" t="s">
        <v>236</v>
      </c>
      <c r="C141" s="12" t="s">
        <v>26</v>
      </c>
      <c r="D141" s="12" t="s">
        <v>54</v>
      </c>
      <c r="E141" s="40">
        <v>0.9</v>
      </c>
      <c r="F141" s="14">
        <v>0</v>
      </c>
      <c r="G141" s="14">
        <v>0</v>
      </c>
      <c r="H141" s="12" t="s">
        <v>233</v>
      </c>
      <c r="I141" s="29">
        <v>57.133000000000003</v>
      </c>
      <c r="J141" s="29">
        <v>14.75</v>
      </c>
      <c r="K141" s="12" t="s">
        <v>720</v>
      </c>
      <c r="L141" s="12" t="s">
        <v>721</v>
      </c>
      <c r="M141" s="13" t="s">
        <v>37</v>
      </c>
      <c r="N141" s="14">
        <v>5.6</v>
      </c>
      <c r="O141" s="14">
        <v>766.95984703632928</v>
      </c>
      <c r="P141" s="14" t="s">
        <v>84</v>
      </c>
      <c r="Q141" s="75">
        <v>60</v>
      </c>
      <c r="R141" s="11" t="s">
        <v>1000</v>
      </c>
      <c r="S141" s="12" t="s">
        <v>93</v>
      </c>
      <c r="T141" s="12" t="s">
        <v>37</v>
      </c>
      <c r="U141" s="12" t="s">
        <v>158</v>
      </c>
      <c r="V141" s="12" t="s">
        <v>275</v>
      </c>
      <c r="W141" s="23" t="s">
        <v>376</v>
      </c>
      <c r="X141" s="12" t="s">
        <v>280</v>
      </c>
      <c r="Y141" s="12" t="s">
        <v>69</v>
      </c>
      <c r="Z141" s="12" t="s">
        <v>37</v>
      </c>
      <c r="AA141" s="32" t="s">
        <v>345</v>
      </c>
      <c r="AB141" s="12">
        <v>4.2</v>
      </c>
      <c r="AC141" s="12" t="s">
        <v>42</v>
      </c>
      <c r="AD141" s="32" t="s">
        <v>345</v>
      </c>
      <c r="AE141" s="12">
        <v>540</v>
      </c>
      <c r="AF141" s="12" t="s">
        <v>42</v>
      </c>
      <c r="AG141" s="12" t="s">
        <v>345</v>
      </c>
      <c r="AH141" s="12">
        <v>25</v>
      </c>
      <c r="AJ141" s="12" t="str">
        <f t="shared" si="504"/>
        <v>0-10</v>
      </c>
      <c r="AK141" s="19">
        <f t="shared" si="505"/>
        <v>21.6</v>
      </c>
      <c r="AL141" s="32" t="s">
        <v>234</v>
      </c>
      <c r="AM141" s="13" t="s">
        <v>344</v>
      </c>
      <c r="AO141" s="13" t="s">
        <v>318</v>
      </c>
      <c r="AP141" s="12" t="s">
        <v>167</v>
      </c>
      <c r="AQ141" s="12" t="s">
        <v>975</v>
      </c>
      <c r="AR141" s="12" t="s">
        <v>42</v>
      </c>
      <c r="AS141" s="32" t="s">
        <v>345</v>
      </c>
      <c r="AT141" s="12">
        <v>540</v>
      </c>
      <c r="AU141" s="12">
        <f>10*SQRT(8)</f>
        <v>28.284271247461902</v>
      </c>
      <c r="AV141" s="13">
        <v>8</v>
      </c>
      <c r="AW141" s="19">
        <f t="shared" si="538"/>
        <v>5.2378280087892408E-2</v>
      </c>
      <c r="AX141" s="12">
        <v>530</v>
      </c>
      <c r="AY141" s="12">
        <f>20*SQRT(13)</f>
        <v>72.111025509279784</v>
      </c>
      <c r="AZ141" s="13">
        <v>13</v>
      </c>
      <c r="BA141" s="19">
        <f t="shared" si="539"/>
        <v>0.1360585386967543</v>
      </c>
      <c r="BB141" s="52">
        <f t="shared" si="506"/>
        <v>-1.8692133012152522E-2</v>
      </c>
      <c r="BC141" s="19">
        <f t="shared" si="507"/>
        <v>1.7669298321434973E-3</v>
      </c>
      <c r="BE141" s="12" t="s">
        <v>326</v>
      </c>
      <c r="BF141" s="12" t="s">
        <v>326</v>
      </c>
      <c r="BG141" s="12" t="s">
        <v>326</v>
      </c>
      <c r="BI141" s="12" t="s">
        <v>326</v>
      </c>
      <c r="BJ141" s="12" t="s">
        <v>326</v>
      </c>
      <c r="BK141" s="12" t="s">
        <v>326</v>
      </c>
      <c r="BP141" s="12" t="s">
        <v>37</v>
      </c>
      <c r="BQ141" s="12" t="s">
        <v>37</v>
      </c>
      <c r="BR141" s="13" t="s">
        <v>37</v>
      </c>
      <c r="BT141" s="12" t="s">
        <v>37</v>
      </c>
      <c r="BU141" s="12" t="s">
        <v>37</v>
      </c>
      <c r="BV141" s="12" t="s">
        <v>37</v>
      </c>
      <c r="CA141" s="12" t="s">
        <v>37</v>
      </c>
      <c r="CB141" s="12" t="s">
        <v>37</v>
      </c>
      <c r="CC141" s="13" t="s">
        <v>37</v>
      </c>
      <c r="CE141" s="12" t="s">
        <v>37</v>
      </c>
      <c r="CF141" s="12" t="s">
        <v>37</v>
      </c>
      <c r="CG141" s="13" t="s">
        <v>37</v>
      </c>
      <c r="CI141" s="52"/>
      <c r="CJ141" s="52"/>
      <c r="CK141" s="73"/>
      <c r="CL141" s="73"/>
      <c r="CN141" s="12" t="s">
        <v>37</v>
      </c>
      <c r="CO141" s="12" t="s">
        <v>37</v>
      </c>
      <c r="CP141" s="13" t="s">
        <v>37</v>
      </c>
      <c r="CR141" s="12" t="s">
        <v>37</v>
      </c>
      <c r="CS141" s="12" t="s">
        <v>37</v>
      </c>
      <c r="CT141" s="13" t="s">
        <v>37</v>
      </c>
      <c r="CV141" s="52"/>
      <c r="CW141" s="52"/>
      <c r="CX141" s="73"/>
      <c r="CY141" s="73"/>
      <c r="DA141" s="12" t="s">
        <v>37</v>
      </c>
      <c r="DB141" s="12" t="s">
        <v>37</v>
      </c>
      <c r="DC141" s="13" t="s">
        <v>37</v>
      </c>
      <c r="DE141" s="12" t="s">
        <v>37</v>
      </c>
      <c r="DF141" s="12" t="s">
        <v>37</v>
      </c>
      <c r="DG141" s="13" t="s">
        <v>37</v>
      </c>
      <c r="DM141" s="12" t="s">
        <v>47</v>
      </c>
      <c r="DN141" s="19">
        <v>51</v>
      </c>
      <c r="DO141" s="12">
        <f>19.3*SQRT(10)</f>
        <v>61.031958841249725</v>
      </c>
      <c r="DP141" s="13">
        <v>3</v>
      </c>
      <c r="DQ141" s="19">
        <f t="shared" si="508"/>
        <v>1.1967050753186221</v>
      </c>
      <c r="DR141" s="19">
        <v>5</v>
      </c>
      <c r="DS141" s="12">
        <f>1.9*SQRT(10)</f>
        <v>6.008327554319921</v>
      </c>
      <c r="DT141" s="13">
        <v>10</v>
      </c>
      <c r="DU141" s="19">
        <f t="shared" si="546"/>
        <v>1.2016655108639842</v>
      </c>
      <c r="DV141" s="19">
        <f t="shared" si="509"/>
        <v>-46</v>
      </c>
      <c r="DW141" s="12">
        <f t="shared" si="485"/>
        <v>26.585539473384948</v>
      </c>
      <c r="DX141" s="72">
        <f t="shared" si="345"/>
        <v>306.27606060606064</v>
      </c>
      <c r="DY141" s="72">
        <f t="shared" si="346"/>
        <v>1245.2433333333333</v>
      </c>
      <c r="DZ141" s="11" t="s">
        <v>47</v>
      </c>
      <c r="EA141" s="19">
        <v>1</v>
      </c>
      <c r="EB141" s="19">
        <f>0.5*SQRT(10)</f>
        <v>1.5811388300841898</v>
      </c>
      <c r="EC141" s="72">
        <v>10</v>
      </c>
      <c r="ED141" s="52">
        <f t="shared" si="547"/>
        <v>1.5811388300841898</v>
      </c>
      <c r="EE141" s="19">
        <v>2</v>
      </c>
      <c r="EF141" s="19">
        <f>0.9*SQRT(10)</f>
        <v>2.8460498941515415</v>
      </c>
      <c r="EG141" s="13">
        <v>10</v>
      </c>
      <c r="EH141" s="52">
        <f t="shared" si="548"/>
        <v>1.4230249470757708</v>
      </c>
      <c r="EI141" s="19">
        <f t="shared" si="558"/>
        <v>1</v>
      </c>
      <c r="EJ141" s="12">
        <f t="shared" si="550"/>
        <v>2.3021728866442679</v>
      </c>
      <c r="EK141" s="19">
        <f t="shared" si="551"/>
        <v>1.06</v>
      </c>
      <c r="EL141" s="19">
        <f t="shared" si="552"/>
        <v>1.0600000000000003</v>
      </c>
      <c r="EM141" s="12" t="s">
        <v>39</v>
      </c>
      <c r="EN141" s="12">
        <v>-0.59</v>
      </c>
      <c r="EO141" s="12">
        <v>1.75</v>
      </c>
      <c r="EP141" s="13">
        <v>4</v>
      </c>
      <c r="EQ141" s="19">
        <f t="shared" si="510"/>
        <v>2.9661016949152543</v>
      </c>
      <c r="ER141" s="12">
        <v>-18.989999999999998</v>
      </c>
      <c r="ES141" s="12">
        <v>2.77</v>
      </c>
      <c r="ET141" s="13">
        <v>4</v>
      </c>
      <c r="EU141" s="19">
        <f t="shared" si="511"/>
        <v>0.14586624539231174</v>
      </c>
      <c r="EV141" s="19">
        <f t="shared" si="512"/>
        <v>-18.399999999999999</v>
      </c>
      <c r="EW141" s="12">
        <f t="shared" si="489"/>
        <v>2.3168297304722243</v>
      </c>
      <c r="EX141" s="19">
        <f t="shared" si="490"/>
        <v>2.6838500000000001</v>
      </c>
      <c r="EY141" s="19">
        <f t="shared" si="491"/>
        <v>2.6838500000000001</v>
      </c>
      <c r="FB141" s="12" t="s">
        <v>37</v>
      </c>
      <c r="FC141" s="12" t="s">
        <v>37</v>
      </c>
      <c r="FD141" s="11" t="s">
        <v>37</v>
      </c>
      <c r="FE141" s="12" t="s">
        <v>37</v>
      </c>
      <c r="FF141" s="20" t="s">
        <v>37</v>
      </c>
      <c r="FG141" s="11" t="s">
        <v>37</v>
      </c>
      <c r="FI141" s="12" t="s">
        <v>37</v>
      </c>
      <c r="FJ141" s="12" t="s">
        <v>37</v>
      </c>
      <c r="FK141" s="11" t="s">
        <v>37</v>
      </c>
      <c r="FL141" s="13" t="s">
        <v>37</v>
      </c>
      <c r="FM141" s="11" t="s">
        <v>37</v>
      </c>
      <c r="FN141" s="11" t="s">
        <v>37</v>
      </c>
      <c r="FP141" s="12" t="s">
        <v>37</v>
      </c>
      <c r="FQ141" s="12" t="s">
        <v>37</v>
      </c>
      <c r="FR141" s="11" t="s">
        <v>37</v>
      </c>
      <c r="FS141" s="13" t="s">
        <v>37</v>
      </c>
      <c r="FT141" s="11" t="s">
        <v>37</v>
      </c>
      <c r="FU141" s="11" t="s">
        <v>37</v>
      </c>
      <c r="FW141" s="12" t="s">
        <v>37</v>
      </c>
      <c r="FX141" s="12" t="s">
        <v>37</v>
      </c>
      <c r="FY141" s="11" t="s">
        <v>37</v>
      </c>
      <c r="FZ141" s="13" t="s">
        <v>37</v>
      </c>
      <c r="GA141" s="11" t="s">
        <v>37</v>
      </c>
      <c r="GB141" s="11" t="s">
        <v>37</v>
      </c>
      <c r="HA141" s="17" t="s">
        <v>63</v>
      </c>
      <c r="HB141" s="34" t="s">
        <v>345</v>
      </c>
      <c r="HC141" s="12">
        <v>0.1</v>
      </c>
      <c r="HD141" s="50">
        <f t="shared" si="553"/>
        <v>1.7241174314649096E-2</v>
      </c>
      <c r="HE141" s="13">
        <v>3</v>
      </c>
      <c r="HG141" s="12">
        <v>0.3</v>
      </c>
      <c r="HH141" s="50">
        <f t="shared" si="554"/>
        <v>3.3556355990131521E-2</v>
      </c>
      <c r="HI141" s="13">
        <v>3</v>
      </c>
      <c r="HK141" s="19">
        <f t="shared" si="517"/>
        <v>1.0986122886681096</v>
      </c>
      <c r="HL141" s="19">
        <f t="shared" si="518"/>
        <v>1.4079080937294357E-2</v>
      </c>
      <c r="IK141" s="12" t="s">
        <v>37</v>
      </c>
      <c r="IL141" s="12" t="s">
        <v>37</v>
      </c>
      <c r="IM141" s="12" t="s">
        <v>37</v>
      </c>
      <c r="IO141" s="12" t="s">
        <v>37</v>
      </c>
      <c r="IP141" s="12" t="s">
        <v>37</v>
      </c>
      <c r="IQ141" s="12" t="s">
        <v>37</v>
      </c>
      <c r="IV141" s="32" t="s">
        <v>345</v>
      </c>
      <c r="IW141" s="12">
        <v>4.2</v>
      </c>
      <c r="IX141" s="12">
        <v>0.4</v>
      </c>
      <c r="IY141" s="13">
        <v>4</v>
      </c>
      <c r="IZ141" s="19">
        <f t="shared" si="519"/>
        <v>9.5238095238095233E-2</v>
      </c>
      <c r="JA141" s="12">
        <v>3.4</v>
      </c>
      <c r="JB141" s="12">
        <v>0.2</v>
      </c>
      <c r="JC141" s="13">
        <v>4</v>
      </c>
      <c r="JD141" s="19">
        <f t="shared" si="520"/>
        <v>5.8823529411764712E-2</v>
      </c>
      <c r="JE141" s="19">
        <f t="shared" si="521"/>
        <v>-0.21130909366720704</v>
      </c>
      <c r="JF141" s="19">
        <f t="shared" si="522"/>
        <v>3.1326255992593123E-3</v>
      </c>
      <c r="JH141" s="12" t="s">
        <v>37</v>
      </c>
      <c r="JI141" s="12" t="s">
        <v>37</v>
      </c>
      <c r="JJ141" s="13" t="s">
        <v>37</v>
      </c>
      <c r="JL141" s="12" t="s">
        <v>37</v>
      </c>
      <c r="JM141" s="12" t="s">
        <v>37</v>
      </c>
      <c r="JN141" s="12" t="s">
        <v>37</v>
      </c>
      <c r="JS141" s="12" t="s">
        <v>37</v>
      </c>
      <c r="JT141" s="12" t="s">
        <v>37</v>
      </c>
      <c r="JU141" s="13" t="s">
        <v>37</v>
      </c>
      <c r="JW141" s="12" t="s">
        <v>37</v>
      </c>
      <c r="JX141" s="12" t="s">
        <v>37</v>
      </c>
      <c r="JY141" s="12" t="s">
        <v>37</v>
      </c>
      <c r="KE141" s="11" t="s">
        <v>37</v>
      </c>
      <c r="KF141" s="11" t="s">
        <v>37</v>
      </c>
      <c r="KG141" s="13" t="s">
        <v>37</v>
      </c>
      <c r="KH141" s="11" t="s">
        <v>37</v>
      </c>
      <c r="KI141" s="11" t="s">
        <v>37</v>
      </c>
      <c r="KJ141" s="11" t="s">
        <v>37</v>
      </c>
      <c r="KK141" s="12" t="s">
        <v>42</v>
      </c>
      <c r="KL141" s="12" t="s">
        <v>345</v>
      </c>
      <c r="KM141" s="12">
        <v>25</v>
      </c>
      <c r="KN141" s="12">
        <f>1*SQRT(8)</f>
        <v>2.8284271247461903</v>
      </c>
      <c r="KO141" s="11">
        <v>8</v>
      </c>
      <c r="KP141" s="19">
        <f t="shared" si="523"/>
        <v>0.11313708498984761</v>
      </c>
      <c r="KQ141" s="12">
        <v>26</v>
      </c>
      <c r="KR141" s="12">
        <f>3*SQRT(8)</f>
        <v>8.4852813742385713</v>
      </c>
      <c r="KS141" s="13">
        <v>8</v>
      </c>
      <c r="KT141" s="19">
        <f t="shared" si="524"/>
        <v>0.32635697593225277</v>
      </c>
      <c r="KU141" s="19">
        <f t="shared" si="525"/>
        <v>3.9220713153281329E-2</v>
      </c>
      <c r="KV141" s="19">
        <f t="shared" si="526"/>
        <v>1.4913609467455624E-2</v>
      </c>
      <c r="KX141" s="12" t="s">
        <v>37</v>
      </c>
      <c r="KY141" s="12" t="s">
        <v>37</v>
      </c>
      <c r="KZ141" s="13" t="s">
        <v>37</v>
      </c>
      <c r="LB141" s="12" t="s">
        <v>37</v>
      </c>
      <c r="LC141" s="12" t="s">
        <v>37</v>
      </c>
      <c r="LD141" s="13" t="s">
        <v>37</v>
      </c>
      <c r="LI141" s="12" t="s">
        <v>37</v>
      </c>
      <c r="LJ141" s="12" t="s">
        <v>37</v>
      </c>
      <c r="LK141" s="12" t="s">
        <v>37</v>
      </c>
      <c r="LM141" s="12" t="s">
        <v>37</v>
      </c>
      <c r="LN141" s="12" t="s">
        <v>37</v>
      </c>
      <c r="LO141" s="12" t="s">
        <v>37</v>
      </c>
      <c r="LT141" s="12" t="str">
        <f t="shared" si="527"/>
        <v>0-10</v>
      </c>
      <c r="LU141" s="12">
        <f t="shared" si="528"/>
        <v>21.6</v>
      </c>
      <c r="LV141" s="12">
        <f t="shared" si="529"/>
        <v>2.6929478271960638</v>
      </c>
      <c r="LW141" s="13">
        <f t="shared" si="530"/>
        <v>8</v>
      </c>
      <c r="LX141" s="19">
        <f t="shared" si="531"/>
        <v>0.12467351051833628</v>
      </c>
      <c r="LY141" s="12">
        <f t="shared" si="532"/>
        <v>20.384615384615383</v>
      </c>
      <c r="LZ141" s="12">
        <f t="shared" si="533"/>
        <v>7.2076495355501971</v>
      </c>
      <c r="MA141" s="13">
        <f t="shared" si="534"/>
        <v>8</v>
      </c>
      <c r="MB141" s="19">
        <f t="shared" si="535"/>
        <v>0.35358280740434933</v>
      </c>
      <c r="MC141" s="19">
        <f t="shared" si="536"/>
        <v>-5.7912846165433948E-2</v>
      </c>
      <c r="MD141" s="19">
        <f t="shared" si="537"/>
        <v>1.7570535739613362E-2</v>
      </c>
      <c r="MF141" s="12" t="s">
        <v>37</v>
      </c>
      <c r="MG141" s="12" t="s">
        <v>37</v>
      </c>
      <c r="MH141" s="12" t="s">
        <v>37</v>
      </c>
      <c r="MJ141" s="12" t="s">
        <v>37</v>
      </c>
      <c r="MK141" s="12" t="s">
        <v>37</v>
      </c>
      <c r="ML141" s="12" t="s">
        <v>37</v>
      </c>
      <c r="MQ141" s="12" t="s">
        <v>37</v>
      </c>
      <c r="MR141" s="12" t="s">
        <v>37</v>
      </c>
      <c r="MS141" s="12" t="s">
        <v>37</v>
      </c>
      <c r="MU141" s="12" t="s">
        <v>37</v>
      </c>
      <c r="MV141" s="12" t="s">
        <v>37</v>
      </c>
      <c r="MW141" s="12" t="s">
        <v>37</v>
      </c>
      <c r="NC141" s="12" t="s">
        <v>37</v>
      </c>
      <c r="ND141" s="12" t="s">
        <v>37</v>
      </c>
      <c r="NE141" s="13" t="s">
        <v>37</v>
      </c>
      <c r="NG141" s="12" t="s">
        <v>37</v>
      </c>
      <c r="NH141" s="12" t="s">
        <v>37</v>
      </c>
      <c r="NI141" s="13" t="s">
        <v>37</v>
      </c>
      <c r="NO141" s="12" t="s">
        <v>37</v>
      </c>
      <c r="NP141" s="12" t="s">
        <v>37</v>
      </c>
      <c r="NQ141" s="13" t="s">
        <v>37</v>
      </c>
      <c r="NS141" s="12" t="s">
        <v>37</v>
      </c>
      <c r="NT141" s="12" t="s">
        <v>37</v>
      </c>
      <c r="NU141" s="13" t="s">
        <v>37</v>
      </c>
      <c r="OA141" s="12" t="s">
        <v>37</v>
      </c>
      <c r="OB141" s="12" t="s">
        <v>37</v>
      </c>
      <c r="OC141" s="13" t="s">
        <v>37</v>
      </c>
      <c r="OE141" s="12" t="s">
        <v>37</v>
      </c>
      <c r="OF141" s="12" t="s">
        <v>37</v>
      </c>
      <c r="OG141" s="13" t="s">
        <v>37</v>
      </c>
      <c r="OM141" s="12" t="s">
        <v>37</v>
      </c>
      <c r="ON141" s="12" t="s">
        <v>37</v>
      </c>
      <c r="OO141" s="12" t="s">
        <v>37</v>
      </c>
      <c r="OP141" s="12" t="s">
        <v>37</v>
      </c>
      <c r="OQ141" s="12" t="s">
        <v>37</v>
      </c>
      <c r="OR141" s="12" t="s">
        <v>37</v>
      </c>
      <c r="OS141" s="12"/>
      <c r="OT141" s="12"/>
      <c r="OW141" s="12" t="s">
        <v>37</v>
      </c>
      <c r="OX141" s="12" t="s">
        <v>37</v>
      </c>
      <c r="OY141" s="13" t="s">
        <v>37</v>
      </c>
      <c r="OZ141" s="12" t="s">
        <v>37</v>
      </c>
      <c r="PA141" s="12" t="s">
        <v>37</v>
      </c>
      <c r="PB141" s="13" t="s">
        <v>37</v>
      </c>
      <c r="PG141" s="11" t="s">
        <v>37</v>
      </c>
      <c r="PH141" s="11" t="s">
        <v>37</v>
      </c>
      <c r="PI141" s="13" t="s">
        <v>37</v>
      </c>
      <c r="PJ141" s="11" t="s">
        <v>37</v>
      </c>
      <c r="PK141" s="11" t="s">
        <v>37</v>
      </c>
      <c r="PL141" s="13" t="s">
        <v>37</v>
      </c>
      <c r="PQ141" s="12" t="s">
        <v>37</v>
      </c>
      <c r="PR141" s="12" t="s">
        <v>37</v>
      </c>
      <c r="PS141" s="12" t="s">
        <v>37</v>
      </c>
      <c r="PT141" s="12" t="s">
        <v>37</v>
      </c>
      <c r="PU141" s="12" t="s">
        <v>37</v>
      </c>
      <c r="PV141" s="12" t="s">
        <v>37</v>
      </c>
      <c r="PW141" s="12"/>
      <c r="PX141" s="12"/>
      <c r="PZ141" s="12" t="s">
        <v>37</v>
      </c>
      <c r="QA141" s="12" t="s">
        <v>37</v>
      </c>
      <c r="QB141" s="11" t="s">
        <v>37</v>
      </c>
      <c r="QD141" s="12" t="s">
        <v>37</v>
      </c>
      <c r="QE141" s="12" t="s">
        <v>37</v>
      </c>
      <c r="QF141" s="12" t="s">
        <v>37</v>
      </c>
      <c r="QK141" s="12" t="s">
        <v>37</v>
      </c>
      <c r="QL141" s="12" t="s">
        <v>37</v>
      </c>
      <c r="QM141" s="12" t="s">
        <v>37</v>
      </c>
      <c r="QN141" s="12" t="s">
        <v>37</v>
      </c>
      <c r="QO141" s="12" t="s">
        <v>37</v>
      </c>
      <c r="QP141" s="12" t="s">
        <v>37</v>
      </c>
      <c r="QQ141" s="12"/>
      <c r="QR141" s="12"/>
      <c r="QU141" s="12" t="s">
        <v>37</v>
      </c>
      <c r="QV141" s="12" t="s">
        <v>37</v>
      </c>
      <c r="QW141" s="12" t="s">
        <v>37</v>
      </c>
      <c r="QX141" s="12" t="s">
        <v>37</v>
      </c>
      <c r="QY141" s="12" t="s">
        <v>37</v>
      </c>
      <c r="QZ141" s="12" t="s">
        <v>37</v>
      </c>
      <c r="RC141" s="12" t="s">
        <v>37</v>
      </c>
      <c r="RD141" s="12" t="s">
        <v>37</v>
      </c>
      <c r="RE141" s="13" t="s">
        <v>37</v>
      </c>
      <c r="RF141" s="12" t="s">
        <v>37</v>
      </c>
      <c r="RG141" s="12" t="s">
        <v>37</v>
      </c>
      <c r="RH141" s="13" t="s">
        <v>37</v>
      </c>
      <c r="RK141" s="12" t="s">
        <v>37</v>
      </c>
      <c r="RL141" s="12" t="s">
        <v>37</v>
      </c>
      <c r="RM141" s="11" t="s">
        <v>37</v>
      </c>
      <c r="RN141" s="12" t="s">
        <v>37</v>
      </c>
      <c r="RO141" s="12" t="s">
        <v>37</v>
      </c>
      <c r="RP141" s="11" t="s">
        <v>37</v>
      </c>
      <c r="RS141" s="12" t="s">
        <v>37</v>
      </c>
      <c r="RT141" s="12" t="s">
        <v>37</v>
      </c>
      <c r="RU141" s="12" t="s">
        <v>37</v>
      </c>
      <c r="RV141" s="12" t="s">
        <v>37</v>
      </c>
      <c r="RW141" s="12" t="s">
        <v>37</v>
      </c>
      <c r="RX141" s="12" t="s">
        <v>37</v>
      </c>
      <c r="SA141" s="12" t="s">
        <v>37</v>
      </c>
      <c r="SB141" s="12" t="s">
        <v>37</v>
      </c>
      <c r="SC141" s="12" t="s">
        <v>37</v>
      </c>
      <c r="SD141" s="12" t="s">
        <v>37</v>
      </c>
      <c r="SE141" s="12" t="s">
        <v>37</v>
      </c>
      <c r="SF141" s="12" t="s">
        <v>37</v>
      </c>
      <c r="SI141" s="12" t="s">
        <v>37</v>
      </c>
      <c r="SJ141" s="12" t="s">
        <v>37</v>
      </c>
      <c r="SK141" s="13" t="s">
        <v>37</v>
      </c>
      <c r="SM141" s="12" t="s">
        <v>37</v>
      </c>
      <c r="SN141" s="12" t="s">
        <v>37</v>
      </c>
      <c r="SO141" s="13" t="s">
        <v>37</v>
      </c>
      <c r="SU141" s="12" t="s">
        <v>37</v>
      </c>
      <c r="SV141" s="12" t="s">
        <v>37</v>
      </c>
      <c r="SW141" s="11" t="s">
        <v>37</v>
      </c>
      <c r="SX141" s="12" t="s">
        <v>37</v>
      </c>
      <c r="SY141" s="12" t="s">
        <v>37</v>
      </c>
      <c r="SZ141" s="11" t="s">
        <v>37</v>
      </c>
      <c r="TE141" s="12" t="s">
        <v>37</v>
      </c>
      <c r="TF141" s="12" t="s">
        <v>37</v>
      </c>
      <c r="TG141" s="11" t="s">
        <v>37</v>
      </c>
      <c r="TH141" s="12" t="s">
        <v>37</v>
      </c>
      <c r="TI141" s="12" t="s">
        <v>37</v>
      </c>
      <c r="TJ141" s="11" t="s">
        <v>37</v>
      </c>
      <c r="TO141" s="12" t="s">
        <v>37</v>
      </c>
      <c r="TP141" s="12" t="s">
        <v>37</v>
      </c>
      <c r="TQ141" s="11" t="s">
        <v>37</v>
      </c>
      <c r="TR141" s="12" t="s">
        <v>37</v>
      </c>
      <c r="TS141" s="12" t="s">
        <v>37</v>
      </c>
      <c r="TT141" s="11" t="s">
        <v>37</v>
      </c>
      <c r="TY141" s="12" t="s">
        <v>37</v>
      </c>
      <c r="TZ141" s="12" t="s">
        <v>37</v>
      </c>
      <c r="UA141" s="12" t="s">
        <v>37</v>
      </c>
      <c r="UB141" s="12" t="s">
        <v>37</v>
      </c>
      <c r="UC141" s="12" t="s">
        <v>37</v>
      </c>
      <c r="UD141" s="12" t="s">
        <v>37</v>
      </c>
      <c r="UE141" s="12"/>
      <c r="UF141" s="12"/>
      <c r="UI141" s="12" t="s">
        <v>37</v>
      </c>
      <c r="UJ141" s="12" t="s">
        <v>37</v>
      </c>
      <c r="UK141" s="12" t="s">
        <v>37</v>
      </c>
      <c r="UL141" s="12" t="s">
        <v>37</v>
      </c>
      <c r="UM141" s="12" t="s">
        <v>37</v>
      </c>
      <c r="UN141" s="12" t="s">
        <v>37</v>
      </c>
      <c r="UO141" s="12"/>
      <c r="UP141" s="12"/>
      <c r="UR141" s="12" t="s">
        <v>37</v>
      </c>
      <c r="US141" s="12" t="s">
        <v>37</v>
      </c>
      <c r="UT141" s="12" t="s">
        <v>37</v>
      </c>
      <c r="UU141" s="12" t="s">
        <v>37</v>
      </c>
      <c r="UV141" s="12" t="s">
        <v>37</v>
      </c>
      <c r="UW141" s="12" t="s">
        <v>37</v>
      </c>
      <c r="UX141" s="12"/>
      <c r="UY141" s="12"/>
      <c r="VB141" s="12" t="s">
        <v>37</v>
      </c>
      <c r="VC141" s="12" t="s">
        <v>37</v>
      </c>
      <c r="VD141" s="12" t="s">
        <v>37</v>
      </c>
      <c r="VE141" s="12" t="s">
        <v>37</v>
      </c>
      <c r="VF141" s="12" t="s">
        <v>37</v>
      </c>
      <c r="VG141" s="12" t="s">
        <v>37</v>
      </c>
      <c r="VI141" s="12" t="s">
        <v>37</v>
      </c>
      <c r="VJ141" s="12" t="s">
        <v>37</v>
      </c>
      <c r="VK141" s="12" t="s">
        <v>37</v>
      </c>
      <c r="VL141" s="12" t="s">
        <v>37</v>
      </c>
      <c r="VM141" s="12" t="s">
        <v>37</v>
      </c>
      <c r="VN141" s="12" t="s">
        <v>37</v>
      </c>
      <c r="VQ141" s="13" t="s">
        <v>37</v>
      </c>
      <c r="VR141" s="13" t="s">
        <v>37</v>
      </c>
      <c r="VS141" s="13" t="s">
        <v>37</v>
      </c>
      <c r="VT141" s="13" t="s">
        <v>37</v>
      </c>
      <c r="VU141" s="13" t="s">
        <v>37</v>
      </c>
      <c r="VV141" s="13" t="s">
        <v>37</v>
      </c>
      <c r="WA141" s="13" t="s">
        <v>37</v>
      </c>
      <c r="WB141" s="13" t="s">
        <v>37</v>
      </c>
      <c r="WC141" s="13" t="s">
        <v>37</v>
      </c>
      <c r="WD141" s="13" t="s">
        <v>37</v>
      </c>
      <c r="WE141" s="13" t="s">
        <v>37</v>
      </c>
      <c r="WF141" s="13" t="s">
        <v>37</v>
      </c>
    </row>
    <row r="142" spans="1:604" ht="18" customHeight="1" x14ac:dyDescent="0.4">
      <c r="A142" s="11">
        <v>33</v>
      </c>
      <c r="B142" s="16" t="s">
        <v>236</v>
      </c>
      <c r="C142" s="12" t="s">
        <v>26</v>
      </c>
      <c r="D142" s="12" t="s">
        <v>54</v>
      </c>
      <c r="E142" s="40">
        <v>0.9</v>
      </c>
      <c r="F142" s="14">
        <v>0</v>
      </c>
      <c r="G142" s="14">
        <v>0</v>
      </c>
      <c r="H142" s="12" t="s">
        <v>233</v>
      </c>
      <c r="I142" s="29">
        <v>57.133000000000003</v>
      </c>
      <c r="J142" s="29">
        <v>14.75</v>
      </c>
      <c r="K142" s="12" t="s">
        <v>720</v>
      </c>
      <c r="L142" s="12" t="s">
        <v>721</v>
      </c>
      <c r="M142" s="13" t="s">
        <v>37</v>
      </c>
      <c r="N142" s="14">
        <v>5.6</v>
      </c>
      <c r="O142" s="14">
        <v>789.59847036328836</v>
      </c>
      <c r="P142" s="14" t="s">
        <v>84</v>
      </c>
      <c r="Q142" s="75">
        <v>61</v>
      </c>
      <c r="R142" s="11" t="s">
        <v>1000</v>
      </c>
      <c r="S142" s="12" t="s">
        <v>93</v>
      </c>
      <c r="T142" s="12" t="s">
        <v>37</v>
      </c>
      <c r="U142" s="12" t="s">
        <v>158</v>
      </c>
      <c r="V142" s="12" t="s">
        <v>275</v>
      </c>
      <c r="W142" s="23" t="s">
        <v>376</v>
      </c>
      <c r="X142" s="12" t="s">
        <v>280</v>
      </c>
      <c r="Y142" s="12" t="s">
        <v>69</v>
      </c>
      <c r="Z142" s="12" t="s">
        <v>37</v>
      </c>
      <c r="AA142" s="32" t="s">
        <v>345</v>
      </c>
      <c r="AB142" s="12">
        <v>4.2</v>
      </c>
      <c r="AC142" s="12" t="s">
        <v>42</v>
      </c>
      <c r="AD142" s="32" t="s">
        <v>345</v>
      </c>
      <c r="AE142" s="12">
        <v>540</v>
      </c>
      <c r="AF142" s="12" t="s">
        <v>42</v>
      </c>
      <c r="AG142" s="12" t="s">
        <v>345</v>
      </c>
      <c r="AH142" s="12">
        <v>25</v>
      </c>
      <c r="AJ142" s="12" t="str">
        <f t="shared" si="504"/>
        <v>0-10</v>
      </c>
      <c r="AK142" s="19">
        <f t="shared" si="505"/>
        <v>21.6</v>
      </c>
      <c r="AL142" s="32" t="s">
        <v>235</v>
      </c>
      <c r="AM142" s="13" t="s">
        <v>344</v>
      </c>
      <c r="AO142" s="13" t="s">
        <v>318</v>
      </c>
      <c r="AP142" s="12" t="s">
        <v>167</v>
      </c>
      <c r="AQ142" s="12" t="s">
        <v>975</v>
      </c>
      <c r="AR142" s="12" t="s">
        <v>42</v>
      </c>
      <c r="AS142" s="32" t="s">
        <v>345</v>
      </c>
      <c r="AT142" s="12">
        <v>540</v>
      </c>
      <c r="AU142" s="12">
        <f t="shared" ref="AU142:AU144" si="560">10*SQRT(8)</f>
        <v>28.284271247461902</v>
      </c>
      <c r="AV142" s="13">
        <v>8</v>
      </c>
      <c r="AW142" s="19">
        <f t="shared" si="538"/>
        <v>5.2378280087892408E-2</v>
      </c>
      <c r="AX142" s="12">
        <v>530</v>
      </c>
      <c r="AY142" s="12">
        <f>20*SQRT(13)</f>
        <v>72.111025509279784</v>
      </c>
      <c r="AZ142" s="13">
        <v>13</v>
      </c>
      <c r="BA142" s="19">
        <f t="shared" si="539"/>
        <v>0.1360585386967543</v>
      </c>
      <c r="BB142" s="52">
        <f t="shared" si="506"/>
        <v>-1.8692133012152522E-2</v>
      </c>
      <c r="BC142" s="19">
        <f t="shared" si="507"/>
        <v>1.7669298321434973E-3</v>
      </c>
      <c r="BE142" s="12" t="s">
        <v>326</v>
      </c>
      <c r="BF142" s="12" t="s">
        <v>326</v>
      </c>
      <c r="BG142" s="12" t="s">
        <v>326</v>
      </c>
      <c r="BI142" s="12" t="s">
        <v>326</v>
      </c>
      <c r="BJ142" s="12" t="s">
        <v>326</v>
      </c>
      <c r="BK142" s="12" t="s">
        <v>326</v>
      </c>
      <c r="BP142" s="12" t="s">
        <v>37</v>
      </c>
      <c r="BQ142" s="12" t="s">
        <v>37</v>
      </c>
      <c r="BR142" s="13" t="s">
        <v>37</v>
      </c>
      <c r="BT142" s="12" t="s">
        <v>37</v>
      </c>
      <c r="BU142" s="12" t="s">
        <v>37</v>
      </c>
      <c r="BV142" s="12" t="s">
        <v>37</v>
      </c>
      <c r="CA142" s="12" t="s">
        <v>37</v>
      </c>
      <c r="CB142" s="12" t="s">
        <v>37</v>
      </c>
      <c r="CC142" s="13" t="s">
        <v>37</v>
      </c>
      <c r="CE142" s="12" t="s">
        <v>37</v>
      </c>
      <c r="CF142" s="12" t="s">
        <v>37</v>
      </c>
      <c r="CG142" s="13" t="s">
        <v>37</v>
      </c>
      <c r="CI142" s="52"/>
      <c r="CJ142" s="52"/>
      <c r="CK142" s="73"/>
      <c r="CL142" s="73"/>
      <c r="CN142" s="12" t="s">
        <v>37</v>
      </c>
      <c r="CO142" s="12" t="s">
        <v>37</v>
      </c>
      <c r="CP142" s="13" t="s">
        <v>37</v>
      </c>
      <c r="CR142" s="12" t="s">
        <v>37</v>
      </c>
      <c r="CS142" s="12" t="s">
        <v>37</v>
      </c>
      <c r="CT142" s="13" t="s">
        <v>37</v>
      </c>
      <c r="CV142" s="52"/>
      <c r="CW142" s="52"/>
      <c r="CX142" s="73"/>
      <c r="CY142" s="73"/>
      <c r="DA142" s="12" t="s">
        <v>37</v>
      </c>
      <c r="DB142" s="12" t="s">
        <v>37</v>
      </c>
      <c r="DC142" s="13" t="s">
        <v>37</v>
      </c>
      <c r="DE142" s="12" t="s">
        <v>37</v>
      </c>
      <c r="DF142" s="12" t="s">
        <v>37</v>
      </c>
      <c r="DG142" s="13" t="s">
        <v>37</v>
      </c>
      <c r="DM142" s="12" t="s">
        <v>47</v>
      </c>
      <c r="DN142" s="19">
        <v>101</v>
      </c>
      <c r="DO142" s="12">
        <f>42.2*SQRT(10)</f>
        <v>133.44811725910563</v>
      </c>
      <c r="DP142" s="13">
        <v>3</v>
      </c>
      <c r="DQ142" s="19">
        <f t="shared" si="508"/>
        <v>1.3212684877139171</v>
      </c>
      <c r="DR142" s="19">
        <v>13</v>
      </c>
      <c r="DS142" s="12">
        <f>8.2*SQRT(10)</f>
        <v>25.93067681338071</v>
      </c>
      <c r="DT142" s="13">
        <v>10</v>
      </c>
      <c r="DU142" s="19">
        <f t="shared" si="546"/>
        <v>1.9946674471831316</v>
      </c>
      <c r="DV142" s="19">
        <f t="shared" si="509"/>
        <v>-88</v>
      </c>
      <c r="DW142" s="12">
        <f t="shared" si="485"/>
        <v>61.547025627859263</v>
      </c>
      <c r="DX142" s="72">
        <f t="shared" si="345"/>
        <v>1641.4824242424247</v>
      </c>
      <c r="DY142" s="72">
        <f t="shared" si="346"/>
        <v>6003.3733333333348</v>
      </c>
      <c r="DZ142" s="11" t="s">
        <v>47</v>
      </c>
      <c r="EA142" s="19">
        <v>1</v>
      </c>
      <c r="EB142" s="19">
        <f>0.5*SQRT(10)</f>
        <v>1.5811388300841898</v>
      </c>
      <c r="EC142" s="72">
        <v>10</v>
      </c>
      <c r="ED142" s="52">
        <f t="shared" si="547"/>
        <v>1.5811388300841898</v>
      </c>
      <c r="EE142" s="19">
        <v>2</v>
      </c>
      <c r="EF142" s="19">
        <f>1.4*SQRT(10)</f>
        <v>4.4271887242357311</v>
      </c>
      <c r="EG142" s="13">
        <v>10</v>
      </c>
      <c r="EH142" s="52">
        <f t="shared" si="548"/>
        <v>2.2135943621178655</v>
      </c>
      <c r="EI142" s="19">
        <f t="shared" si="558"/>
        <v>1</v>
      </c>
      <c r="EJ142" s="12">
        <f t="shared" si="550"/>
        <v>3.3241540277189325</v>
      </c>
      <c r="EK142" s="19">
        <f t="shared" si="551"/>
        <v>2.21</v>
      </c>
      <c r="EL142" s="19">
        <f t="shared" si="552"/>
        <v>2.2100000000000004</v>
      </c>
      <c r="EM142" s="12" t="s">
        <v>39</v>
      </c>
      <c r="EN142" s="12">
        <v>-2.0499999999999998</v>
      </c>
      <c r="EO142" s="12">
        <v>1.38</v>
      </c>
      <c r="EP142" s="13">
        <v>4</v>
      </c>
      <c r="EQ142" s="19">
        <f t="shared" si="510"/>
        <v>0.67317073170731712</v>
      </c>
      <c r="ER142" s="12">
        <v>-16.7</v>
      </c>
      <c r="ES142" s="12">
        <v>1.42</v>
      </c>
      <c r="ET142" s="13">
        <v>4</v>
      </c>
      <c r="EU142" s="19">
        <f t="shared" si="511"/>
        <v>8.5029940119760478E-2</v>
      </c>
      <c r="EV142" s="19">
        <f t="shared" si="512"/>
        <v>-14.649999999999999</v>
      </c>
      <c r="EW142" s="12">
        <f t="shared" si="489"/>
        <v>1.4001428498549711</v>
      </c>
      <c r="EX142" s="19">
        <f t="shared" si="490"/>
        <v>0.98019999999999996</v>
      </c>
      <c r="EY142" s="19">
        <f t="shared" si="491"/>
        <v>0.98019999999999996</v>
      </c>
      <c r="FB142" s="12" t="s">
        <v>37</v>
      </c>
      <c r="FC142" s="12" t="s">
        <v>37</v>
      </c>
      <c r="FD142" s="11" t="s">
        <v>37</v>
      </c>
      <c r="FE142" s="12" t="s">
        <v>37</v>
      </c>
      <c r="FF142" s="20" t="s">
        <v>37</v>
      </c>
      <c r="FG142" s="11" t="s">
        <v>37</v>
      </c>
      <c r="FI142" s="12" t="s">
        <v>37</v>
      </c>
      <c r="FJ142" s="12" t="s">
        <v>37</v>
      </c>
      <c r="FK142" s="11" t="s">
        <v>37</v>
      </c>
      <c r="FL142" s="13" t="s">
        <v>37</v>
      </c>
      <c r="FM142" s="11" t="s">
        <v>37</v>
      </c>
      <c r="FN142" s="11" t="s">
        <v>37</v>
      </c>
      <c r="FP142" s="12" t="s">
        <v>37</v>
      </c>
      <c r="FQ142" s="12" t="s">
        <v>37</v>
      </c>
      <c r="FR142" s="11" t="s">
        <v>37</v>
      </c>
      <c r="FS142" s="13" t="s">
        <v>37</v>
      </c>
      <c r="FT142" s="11" t="s">
        <v>37</v>
      </c>
      <c r="FU142" s="11" t="s">
        <v>37</v>
      </c>
      <c r="FW142" s="12" t="s">
        <v>37</v>
      </c>
      <c r="FX142" s="12" t="s">
        <v>37</v>
      </c>
      <c r="FY142" s="11" t="s">
        <v>37</v>
      </c>
      <c r="FZ142" s="13" t="s">
        <v>37</v>
      </c>
      <c r="GA142" s="11" t="s">
        <v>37</v>
      </c>
      <c r="GB142" s="11" t="s">
        <v>37</v>
      </c>
      <c r="HA142" s="17" t="s">
        <v>63</v>
      </c>
      <c r="HB142" s="34" t="s">
        <v>345</v>
      </c>
      <c r="HC142" s="12">
        <v>0.1</v>
      </c>
      <c r="HD142" s="50">
        <f t="shared" si="553"/>
        <v>1.7241174314649096E-2</v>
      </c>
      <c r="HE142" s="13">
        <v>3</v>
      </c>
      <c r="HG142" s="12">
        <v>0.3</v>
      </c>
      <c r="HH142" s="50">
        <f t="shared" si="554"/>
        <v>3.3556355990131521E-2</v>
      </c>
      <c r="HI142" s="13">
        <v>3</v>
      </c>
      <c r="HK142" s="19">
        <f t="shared" si="517"/>
        <v>1.0986122886681096</v>
      </c>
      <c r="HL142" s="19">
        <f t="shared" si="518"/>
        <v>1.4079080937294357E-2</v>
      </c>
      <c r="IK142" s="12" t="s">
        <v>37</v>
      </c>
      <c r="IL142" s="12" t="s">
        <v>37</v>
      </c>
      <c r="IM142" s="12" t="s">
        <v>37</v>
      </c>
      <c r="IO142" s="12" t="s">
        <v>37</v>
      </c>
      <c r="IP142" s="12" t="s">
        <v>37</v>
      </c>
      <c r="IQ142" s="12" t="s">
        <v>37</v>
      </c>
      <c r="IV142" s="32" t="s">
        <v>345</v>
      </c>
      <c r="IW142" s="12">
        <v>4.2</v>
      </c>
      <c r="IX142" s="12">
        <v>0.4</v>
      </c>
      <c r="IY142" s="13">
        <v>4</v>
      </c>
      <c r="IZ142" s="19">
        <f t="shared" si="519"/>
        <v>9.5238095238095233E-2</v>
      </c>
      <c r="JA142" s="12">
        <v>3.4</v>
      </c>
      <c r="JB142" s="12">
        <v>0.2</v>
      </c>
      <c r="JC142" s="13">
        <v>4</v>
      </c>
      <c r="JD142" s="19">
        <f t="shared" si="520"/>
        <v>5.8823529411764712E-2</v>
      </c>
      <c r="JE142" s="19">
        <f t="shared" si="521"/>
        <v>-0.21130909366720704</v>
      </c>
      <c r="JF142" s="19">
        <f t="shared" si="522"/>
        <v>3.1326255992593123E-3</v>
      </c>
      <c r="JH142" s="12" t="s">
        <v>37</v>
      </c>
      <c r="JI142" s="12" t="s">
        <v>37</v>
      </c>
      <c r="JJ142" s="13" t="s">
        <v>37</v>
      </c>
      <c r="JL142" s="12" t="s">
        <v>37</v>
      </c>
      <c r="JM142" s="12" t="s">
        <v>37</v>
      </c>
      <c r="JN142" s="12" t="s">
        <v>37</v>
      </c>
      <c r="JS142" s="12" t="s">
        <v>37</v>
      </c>
      <c r="JT142" s="12" t="s">
        <v>37</v>
      </c>
      <c r="JU142" s="13" t="s">
        <v>37</v>
      </c>
      <c r="JW142" s="12" t="s">
        <v>37</v>
      </c>
      <c r="JX142" s="12" t="s">
        <v>37</v>
      </c>
      <c r="JY142" s="12" t="s">
        <v>37</v>
      </c>
      <c r="KE142" s="11" t="s">
        <v>37</v>
      </c>
      <c r="KF142" s="11" t="s">
        <v>37</v>
      </c>
      <c r="KG142" s="13" t="s">
        <v>37</v>
      </c>
      <c r="KH142" s="11" t="s">
        <v>37</v>
      </c>
      <c r="KI142" s="11" t="s">
        <v>37</v>
      </c>
      <c r="KJ142" s="11" t="s">
        <v>37</v>
      </c>
      <c r="KK142" s="12" t="s">
        <v>42</v>
      </c>
      <c r="KL142" s="12" t="s">
        <v>345</v>
      </c>
      <c r="KM142" s="12">
        <v>25</v>
      </c>
      <c r="KN142" s="12">
        <f t="shared" ref="KN142:KN144" si="561">1*SQRT(8)</f>
        <v>2.8284271247461903</v>
      </c>
      <c r="KO142" s="11">
        <v>8</v>
      </c>
      <c r="KP142" s="19">
        <f t="shared" si="523"/>
        <v>0.11313708498984761</v>
      </c>
      <c r="KQ142" s="12">
        <v>26</v>
      </c>
      <c r="KR142" s="12">
        <f>3*SQRT(8)</f>
        <v>8.4852813742385713</v>
      </c>
      <c r="KS142" s="13">
        <v>8</v>
      </c>
      <c r="KT142" s="19">
        <f t="shared" si="524"/>
        <v>0.32635697593225277</v>
      </c>
      <c r="KU142" s="19">
        <f t="shared" si="525"/>
        <v>3.9220713153281329E-2</v>
      </c>
      <c r="KV142" s="19">
        <f t="shared" si="526"/>
        <v>1.4913609467455624E-2</v>
      </c>
      <c r="KX142" s="12" t="s">
        <v>37</v>
      </c>
      <c r="KY142" s="12" t="s">
        <v>37</v>
      </c>
      <c r="KZ142" s="13" t="s">
        <v>37</v>
      </c>
      <c r="LB142" s="12" t="s">
        <v>37</v>
      </c>
      <c r="LC142" s="12" t="s">
        <v>37</v>
      </c>
      <c r="LD142" s="13" t="s">
        <v>37</v>
      </c>
      <c r="LI142" s="12" t="s">
        <v>37</v>
      </c>
      <c r="LJ142" s="12" t="s">
        <v>37</v>
      </c>
      <c r="LK142" s="12" t="s">
        <v>37</v>
      </c>
      <c r="LM142" s="12" t="s">
        <v>37</v>
      </c>
      <c r="LN142" s="12" t="s">
        <v>37</v>
      </c>
      <c r="LO142" s="12" t="s">
        <v>37</v>
      </c>
      <c r="LT142" s="12" t="str">
        <f t="shared" si="527"/>
        <v>0-10</v>
      </c>
      <c r="LU142" s="12">
        <f t="shared" si="528"/>
        <v>21.6</v>
      </c>
      <c r="LV142" s="12">
        <f t="shared" si="529"/>
        <v>2.6929478271960638</v>
      </c>
      <c r="LW142" s="13">
        <f t="shared" si="530"/>
        <v>8</v>
      </c>
      <c r="LX142" s="19">
        <f t="shared" si="531"/>
        <v>0.12467351051833628</v>
      </c>
      <c r="LY142" s="12">
        <f t="shared" si="532"/>
        <v>20.384615384615383</v>
      </c>
      <c r="LZ142" s="12">
        <f t="shared" si="533"/>
        <v>7.2076495355501971</v>
      </c>
      <c r="MA142" s="13">
        <f t="shared" si="534"/>
        <v>8</v>
      </c>
      <c r="MB142" s="19">
        <f t="shared" si="535"/>
        <v>0.35358280740434933</v>
      </c>
      <c r="MC142" s="19">
        <f t="shared" si="536"/>
        <v>-5.7912846165433948E-2</v>
      </c>
      <c r="MD142" s="19">
        <f t="shared" si="537"/>
        <v>1.7570535739613362E-2</v>
      </c>
      <c r="MF142" s="12" t="s">
        <v>37</v>
      </c>
      <c r="MG142" s="12" t="s">
        <v>37</v>
      </c>
      <c r="MH142" s="12" t="s">
        <v>37</v>
      </c>
      <c r="MJ142" s="12" t="s">
        <v>37</v>
      </c>
      <c r="MK142" s="12" t="s">
        <v>37</v>
      </c>
      <c r="ML142" s="12" t="s">
        <v>37</v>
      </c>
      <c r="MQ142" s="12" t="s">
        <v>37</v>
      </c>
      <c r="MR142" s="12" t="s">
        <v>37</v>
      </c>
      <c r="MS142" s="12" t="s">
        <v>37</v>
      </c>
      <c r="MU142" s="12" t="s">
        <v>37</v>
      </c>
      <c r="MV142" s="12" t="s">
        <v>37</v>
      </c>
      <c r="MW142" s="12" t="s">
        <v>37</v>
      </c>
      <c r="NC142" s="12" t="s">
        <v>37</v>
      </c>
      <c r="ND142" s="12" t="s">
        <v>37</v>
      </c>
      <c r="NE142" s="13" t="s">
        <v>37</v>
      </c>
      <c r="NG142" s="12" t="s">
        <v>37</v>
      </c>
      <c r="NH142" s="12" t="s">
        <v>37</v>
      </c>
      <c r="NI142" s="13" t="s">
        <v>37</v>
      </c>
      <c r="NO142" s="12" t="s">
        <v>37</v>
      </c>
      <c r="NP142" s="12" t="s">
        <v>37</v>
      </c>
      <c r="NQ142" s="13" t="s">
        <v>37</v>
      </c>
      <c r="NS142" s="12" t="s">
        <v>37</v>
      </c>
      <c r="NT142" s="12" t="s">
        <v>37</v>
      </c>
      <c r="NU142" s="13" t="s">
        <v>37</v>
      </c>
      <c r="OA142" s="12" t="s">
        <v>37</v>
      </c>
      <c r="OB142" s="12" t="s">
        <v>37</v>
      </c>
      <c r="OC142" s="13" t="s">
        <v>37</v>
      </c>
      <c r="OE142" s="12" t="s">
        <v>37</v>
      </c>
      <c r="OF142" s="12" t="s">
        <v>37</v>
      </c>
      <c r="OG142" s="13" t="s">
        <v>37</v>
      </c>
      <c r="OM142" s="12" t="s">
        <v>37</v>
      </c>
      <c r="ON142" s="12" t="s">
        <v>37</v>
      </c>
      <c r="OO142" s="12" t="s">
        <v>37</v>
      </c>
      <c r="OP142" s="12" t="s">
        <v>37</v>
      </c>
      <c r="OQ142" s="12" t="s">
        <v>37</v>
      </c>
      <c r="OR142" s="12" t="s">
        <v>37</v>
      </c>
      <c r="OS142" s="12"/>
      <c r="OT142" s="12"/>
      <c r="OW142" s="12" t="s">
        <v>37</v>
      </c>
      <c r="OX142" s="12" t="s">
        <v>37</v>
      </c>
      <c r="OY142" s="13" t="s">
        <v>37</v>
      </c>
      <c r="OZ142" s="12" t="s">
        <v>37</v>
      </c>
      <c r="PA142" s="12" t="s">
        <v>37</v>
      </c>
      <c r="PB142" s="13" t="s">
        <v>37</v>
      </c>
      <c r="PG142" s="11" t="s">
        <v>37</v>
      </c>
      <c r="PH142" s="11" t="s">
        <v>37</v>
      </c>
      <c r="PI142" s="13" t="s">
        <v>37</v>
      </c>
      <c r="PJ142" s="11" t="s">
        <v>37</v>
      </c>
      <c r="PK142" s="11" t="s">
        <v>37</v>
      </c>
      <c r="PL142" s="13" t="s">
        <v>37</v>
      </c>
      <c r="PQ142" s="12" t="s">
        <v>37</v>
      </c>
      <c r="PR142" s="12" t="s">
        <v>37</v>
      </c>
      <c r="PS142" s="12" t="s">
        <v>37</v>
      </c>
      <c r="PT142" s="12" t="s">
        <v>37</v>
      </c>
      <c r="PU142" s="12" t="s">
        <v>37</v>
      </c>
      <c r="PV142" s="12" t="s">
        <v>37</v>
      </c>
      <c r="PW142" s="12"/>
      <c r="PX142" s="12"/>
      <c r="PZ142" s="12" t="s">
        <v>37</v>
      </c>
      <c r="QA142" s="12" t="s">
        <v>37</v>
      </c>
      <c r="QB142" s="11" t="s">
        <v>37</v>
      </c>
      <c r="QD142" s="12" t="s">
        <v>37</v>
      </c>
      <c r="QE142" s="12" t="s">
        <v>37</v>
      </c>
      <c r="QF142" s="12" t="s">
        <v>37</v>
      </c>
      <c r="QK142" s="12" t="s">
        <v>37</v>
      </c>
      <c r="QL142" s="12" t="s">
        <v>37</v>
      </c>
      <c r="QM142" s="12" t="s">
        <v>37</v>
      </c>
      <c r="QN142" s="12" t="s">
        <v>37</v>
      </c>
      <c r="QO142" s="12" t="s">
        <v>37</v>
      </c>
      <c r="QP142" s="12" t="s">
        <v>37</v>
      </c>
      <c r="QQ142" s="12"/>
      <c r="QR142" s="12"/>
      <c r="QU142" s="12" t="s">
        <v>37</v>
      </c>
      <c r="QV142" s="12" t="s">
        <v>37</v>
      </c>
      <c r="QW142" s="12" t="s">
        <v>37</v>
      </c>
      <c r="QX142" s="12" t="s">
        <v>37</v>
      </c>
      <c r="QY142" s="12" t="s">
        <v>37</v>
      </c>
      <c r="QZ142" s="12" t="s">
        <v>37</v>
      </c>
      <c r="RC142" s="12" t="s">
        <v>37</v>
      </c>
      <c r="RD142" s="12" t="s">
        <v>37</v>
      </c>
      <c r="RE142" s="13" t="s">
        <v>37</v>
      </c>
      <c r="RF142" s="12" t="s">
        <v>37</v>
      </c>
      <c r="RG142" s="12" t="s">
        <v>37</v>
      </c>
      <c r="RH142" s="13" t="s">
        <v>37</v>
      </c>
      <c r="RK142" s="12" t="s">
        <v>37</v>
      </c>
      <c r="RL142" s="12" t="s">
        <v>37</v>
      </c>
      <c r="RM142" s="11" t="s">
        <v>37</v>
      </c>
      <c r="RN142" s="12" t="s">
        <v>37</v>
      </c>
      <c r="RO142" s="12" t="s">
        <v>37</v>
      </c>
      <c r="RP142" s="11" t="s">
        <v>37</v>
      </c>
      <c r="RS142" s="12" t="s">
        <v>37</v>
      </c>
      <c r="RT142" s="12" t="s">
        <v>37</v>
      </c>
      <c r="RU142" s="12" t="s">
        <v>37</v>
      </c>
      <c r="RV142" s="12" t="s">
        <v>37</v>
      </c>
      <c r="RW142" s="12" t="s">
        <v>37</v>
      </c>
      <c r="RX142" s="12" t="s">
        <v>37</v>
      </c>
      <c r="SA142" s="12" t="s">
        <v>37</v>
      </c>
      <c r="SB142" s="12" t="s">
        <v>37</v>
      </c>
      <c r="SC142" s="12" t="s">
        <v>37</v>
      </c>
      <c r="SD142" s="12" t="s">
        <v>37</v>
      </c>
      <c r="SE142" s="12" t="s">
        <v>37</v>
      </c>
      <c r="SF142" s="12" t="s">
        <v>37</v>
      </c>
      <c r="SI142" s="12" t="s">
        <v>37</v>
      </c>
      <c r="SJ142" s="12" t="s">
        <v>37</v>
      </c>
      <c r="SK142" s="13" t="s">
        <v>37</v>
      </c>
      <c r="SM142" s="12" t="s">
        <v>37</v>
      </c>
      <c r="SN142" s="12" t="s">
        <v>37</v>
      </c>
      <c r="SO142" s="13" t="s">
        <v>37</v>
      </c>
      <c r="SU142" s="12" t="s">
        <v>37</v>
      </c>
      <c r="SV142" s="12" t="s">
        <v>37</v>
      </c>
      <c r="SW142" s="11" t="s">
        <v>37</v>
      </c>
      <c r="SX142" s="12" t="s">
        <v>37</v>
      </c>
      <c r="SY142" s="12" t="s">
        <v>37</v>
      </c>
      <c r="SZ142" s="11" t="s">
        <v>37</v>
      </c>
      <c r="TE142" s="12" t="s">
        <v>37</v>
      </c>
      <c r="TF142" s="12" t="s">
        <v>37</v>
      </c>
      <c r="TG142" s="11" t="s">
        <v>37</v>
      </c>
      <c r="TH142" s="12" t="s">
        <v>37</v>
      </c>
      <c r="TI142" s="12" t="s">
        <v>37</v>
      </c>
      <c r="TJ142" s="11" t="s">
        <v>37</v>
      </c>
      <c r="TO142" s="12" t="s">
        <v>37</v>
      </c>
      <c r="TP142" s="12" t="s">
        <v>37</v>
      </c>
      <c r="TQ142" s="11" t="s">
        <v>37</v>
      </c>
      <c r="TR142" s="12" t="s">
        <v>37</v>
      </c>
      <c r="TS142" s="12" t="s">
        <v>37</v>
      </c>
      <c r="TT142" s="11" t="s">
        <v>37</v>
      </c>
      <c r="TY142" s="12" t="s">
        <v>37</v>
      </c>
      <c r="TZ142" s="12" t="s">
        <v>37</v>
      </c>
      <c r="UA142" s="12" t="s">
        <v>37</v>
      </c>
      <c r="UB142" s="12" t="s">
        <v>37</v>
      </c>
      <c r="UC142" s="12" t="s">
        <v>37</v>
      </c>
      <c r="UD142" s="12" t="s">
        <v>37</v>
      </c>
      <c r="UE142" s="12"/>
      <c r="UF142" s="12"/>
      <c r="UI142" s="12" t="s">
        <v>37</v>
      </c>
      <c r="UJ142" s="12" t="s">
        <v>37</v>
      </c>
      <c r="UK142" s="12" t="s">
        <v>37</v>
      </c>
      <c r="UL142" s="12" t="s">
        <v>37</v>
      </c>
      <c r="UM142" s="12" t="s">
        <v>37</v>
      </c>
      <c r="UN142" s="12" t="s">
        <v>37</v>
      </c>
      <c r="UO142" s="12"/>
      <c r="UP142" s="12"/>
      <c r="UR142" s="12" t="s">
        <v>37</v>
      </c>
      <c r="US142" s="12" t="s">
        <v>37</v>
      </c>
      <c r="UT142" s="12" t="s">
        <v>37</v>
      </c>
      <c r="UU142" s="12" t="s">
        <v>37</v>
      </c>
      <c r="UV142" s="12" t="s">
        <v>37</v>
      </c>
      <c r="UW142" s="12" t="s">
        <v>37</v>
      </c>
      <c r="UX142" s="12"/>
      <c r="UY142" s="12"/>
      <c r="VB142" s="12" t="s">
        <v>37</v>
      </c>
      <c r="VC142" s="12" t="s">
        <v>37</v>
      </c>
      <c r="VD142" s="12" t="s">
        <v>37</v>
      </c>
      <c r="VE142" s="12" t="s">
        <v>37</v>
      </c>
      <c r="VF142" s="12" t="s">
        <v>37</v>
      </c>
      <c r="VG142" s="12" t="s">
        <v>37</v>
      </c>
      <c r="VI142" s="12" t="s">
        <v>37</v>
      </c>
      <c r="VJ142" s="12" t="s">
        <v>37</v>
      </c>
      <c r="VK142" s="12" t="s">
        <v>37</v>
      </c>
      <c r="VL142" s="12" t="s">
        <v>37</v>
      </c>
      <c r="VM142" s="12" t="s">
        <v>37</v>
      </c>
      <c r="VN142" s="12" t="s">
        <v>37</v>
      </c>
      <c r="VQ142" s="13" t="s">
        <v>37</v>
      </c>
      <c r="VR142" s="13" t="s">
        <v>37</v>
      </c>
      <c r="VS142" s="13" t="s">
        <v>37</v>
      </c>
      <c r="VT142" s="13" t="s">
        <v>37</v>
      </c>
      <c r="VU142" s="13" t="s">
        <v>37</v>
      </c>
      <c r="VV142" s="13" t="s">
        <v>37</v>
      </c>
      <c r="WA142" s="13" t="s">
        <v>37</v>
      </c>
      <c r="WB142" s="13" t="s">
        <v>37</v>
      </c>
      <c r="WC142" s="13" t="s">
        <v>37</v>
      </c>
      <c r="WD142" s="13" t="s">
        <v>37</v>
      </c>
      <c r="WE142" s="13" t="s">
        <v>37</v>
      </c>
      <c r="WF142" s="13" t="s">
        <v>37</v>
      </c>
    </row>
    <row r="143" spans="1:604" ht="18" customHeight="1" x14ac:dyDescent="0.4">
      <c r="A143" s="11">
        <v>33</v>
      </c>
      <c r="B143" s="16" t="s">
        <v>236</v>
      </c>
      <c r="C143" s="12" t="s">
        <v>26</v>
      </c>
      <c r="D143" s="12" t="s">
        <v>54</v>
      </c>
      <c r="E143" s="40">
        <v>0.9</v>
      </c>
      <c r="F143" s="14">
        <v>0</v>
      </c>
      <c r="G143" s="14">
        <v>0</v>
      </c>
      <c r="H143" s="12" t="s">
        <v>233</v>
      </c>
      <c r="I143" s="29">
        <v>57.133000000000003</v>
      </c>
      <c r="J143" s="29">
        <v>14.75</v>
      </c>
      <c r="K143" s="12" t="s">
        <v>720</v>
      </c>
      <c r="L143" s="12" t="s">
        <v>721</v>
      </c>
      <c r="M143" s="13" t="s">
        <v>37</v>
      </c>
      <c r="N143" s="14">
        <v>5.6</v>
      </c>
      <c r="O143" s="14">
        <v>766.95984703632928</v>
      </c>
      <c r="P143" s="14" t="s">
        <v>84</v>
      </c>
      <c r="Q143" s="75">
        <v>20</v>
      </c>
      <c r="R143" s="11" t="s">
        <v>1000</v>
      </c>
      <c r="S143" s="12" t="s">
        <v>93</v>
      </c>
      <c r="T143" s="12" t="s">
        <v>37</v>
      </c>
      <c r="U143" s="12" t="s">
        <v>158</v>
      </c>
      <c r="V143" s="12" t="s">
        <v>275</v>
      </c>
      <c r="W143" s="23" t="s">
        <v>376</v>
      </c>
      <c r="X143" s="12" t="s">
        <v>280</v>
      </c>
      <c r="Y143" s="12" t="s">
        <v>69</v>
      </c>
      <c r="Z143" s="12" t="s">
        <v>37</v>
      </c>
      <c r="AA143" s="32" t="s">
        <v>345</v>
      </c>
      <c r="AB143" s="12">
        <v>4.2</v>
      </c>
      <c r="AC143" s="12" t="s">
        <v>42</v>
      </c>
      <c r="AD143" s="32" t="s">
        <v>345</v>
      </c>
      <c r="AE143" s="12">
        <v>540</v>
      </c>
      <c r="AF143" s="12" t="s">
        <v>42</v>
      </c>
      <c r="AG143" s="12" t="s">
        <v>345</v>
      </c>
      <c r="AH143" s="12">
        <v>25</v>
      </c>
      <c r="AJ143" s="12" t="str">
        <f t="shared" si="504"/>
        <v>0-10</v>
      </c>
      <c r="AK143" s="19">
        <f t="shared" si="505"/>
        <v>21.6</v>
      </c>
      <c r="AL143" s="32" t="s">
        <v>234</v>
      </c>
      <c r="AM143" s="13" t="s">
        <v>344</v>
      </c>
      <c r="AO143" s="13" t="s">
        <v>318</v>
      </c>
      <c r="AP143" s="12" t="s">
        <v>167</v>
      </c>
      <c r="AQ143" s="12" t="s">
        <v>975</v>
      </c>
      <c r="AR143" s="12" t="s">
        <v>42</v>
      </c>
      <c r="AS143" s="32" t="s">
        <v>345</v>
      </c>
      <c r="AT143" s="12">
        <v>540</v>
      </c>
      <c r="AU143" s="12">
        <f t="shared" si="560"/>
        <v>28.284271247461902</v>
      </c>
      <c r="AV143" s="13">
        <v>8</v>
      </c>
      <c r="AW143" s="19">
        <f t="shared" si="538"/>
        <v>5.2378280087892408E-2</v>
      </c>
      <c r="AX143" s="12">
        <v>520</v>
      </c>
      <c r="AY143" s="12">
        <f>60*SQRT(12)</f>
        <v>207.84609690826525</v>
      </c>
      <c r="AZ143" s="13">
        <v>12</v>
      </c>
      <c r="BA143" s="19">
        <f t="shared" si="539"/>
        <v>0.3997040325158947</v>
      </c>
      <c r="BB143" s="52">
        <f t="shared" si="506"/>
        <v>-3.7740327982847086E-2</v>
      </c>
      <c r="BC143" s="19">
        <f t="shared" si="507"/>
        <v>1.3656544995576333E-2</v>
      </c>
      <c r="BE143" s="12" t="s">
        <v>326</v>
      </c>
      <c r="BF143" s="12" t="s">
        <v>326</v>
      </c>
      <c r="BG143" s="12" t="s">
        <v>326</v>
      </c>
      <c r="BI143" s="12" t="s">
        <v>326</v>
      </c>
      <c r="BJ143" s="12" t="s">
        <v>326</v>
      </c>
      <c r="BK143" s="12" t="s">
        <v>326</v>
      </c>
      <c r="BP143" s="12" t="s">
        <v>37</v>
      </c>
      <c r="BQ143" s="12" t="s">
        <v>37</v>
      </c>
      <c r="BR143" s="13" t="s">
        <v>37</v>
      </c>
      <c r="BT143" s="12" t="s">
        <v>37</v>
      </c>
      <c r="BU143" s="12" t="s">
        <v>37</v>
      </c>
      <c r="BV143" s="12" t="s">
        <v>37</v>
      </c>
      <c r="CA143" s="12" t="s">
        <v>37</v>
      </c>
      <c r="CB143" s="12" t="s">
        <v>37</v>
      </c>
      <c r="CC143" s="13" t="s">
        <v>37</v>
      </c>
      <c r="CE143" s="12" t="s">
        <v>37</v>
      </c>
      <c r="CF143" s="12" t="s">
        <v>37</v>
      </c>
      <c r="CG143" s="13" t="s">
        <v>37</v>
      </c>
      <c r="CI143" s="52"/>
      <c r="CJ143" s="52"/>
      <c r="CK143" s="73"/>
      <c r="CL143" s="73"/>
      <c r="CN143" s="12" t="s">
        <v>37</v>
      </c>
      <c r="CO143" s="12" t="s">
        <v>37</v>
      </c>
      <c r="CP143" s="13" t="s">
        <v>37</v>
      </c>
      <c r="CR143" s="12" t="s">
        <v>37</v>
      </c>
      <c r="CS143" s="12" t="s">
        <v>37</v>
      </c>
      <c r="CT143" s="13" t="s">
        <v>37</v>
      </c>
      <c r="CV143" s="52"/>
      <c r="CW143" s="52"/>
      <c r="CX143" s="73"/>
      <c r="CY143" s="73"/>
      <c r="DA143" s="12" t="s">
        <v>37</v>
      </c>
      <c r="DB143" s="12" t="s">
        <v>37</v>
      </c>
      <c r="DC143" s="13" t="s">
        <v>37</v>
      </c>
      <c r="DE143" s="12" t="s">
        <v>37</v>
      </c>
      <c r="DF143" s="12" t="s">
        <v>37</v>
      </c>
      <c r="DG143" s="13" t="s">
        <v>37</v>
      </c>
      <c r="DI143" s="52"/>
      <c r="DJ143" s="52"/>
      <c r="DK143" s="73"/>
      <c r="DL143" s="73"/>
      <c r="DM143" s="12" t="s">
        <v>47</v>
      </c>
      <c r="DN143" s="19">
        <v>51</v>
      </c>
      <c r="DO143" s="12">
        <f>19.3*SQRT(10)</f>
        <v>61.031958841249725</v>
      </c>
      <c r="DP143" s="13">
        <v>3</v>
      </c>
      <c r="DQ143" s="19">
        <f t="shared" si="508"/>
        <v>1.1967050753186221</v>
      </c>
      <c r="DR143" s="19">
        <v>1</v>
      </c>
      <c r="DS143" s="12">
        <f>1.8*SQRT(10)</f>
        <v>5.6920997883030831</v>
      </c>
      <c r="DT143" s="13">
        <v>10</v>
      </c>
      <c r="DU143" s="19">
        <f t="shared" si="546"/>
        <v>5.6920997883030831</v>
      </c>
      <c r="DV143" s="19">
        <f t="shared" si="509"/>
        <v>-50</v>
      </c>
      <c r="DW143" s="12">
        <f t="shared" si="485"/>
        <v>26.528543804054465</v>
      </c>
      <c r="DX143" s="72">
        <f t="shared" si="345"/>
        <v>304.96424242424251</v>
      </c>
      <c r="DY143" s="72">
        <f t="shared" si="346"/>
        <v>1244.8733333333334</v>
      </c>
      <c r="DZ143" s="11" t="s">
        <v>47</v>
      </c>
      <c r="EA143" s="19">
        <v>1</v>
      </c>
      <c r="EB143" s="19">
        <f>0.5*SQRT(10)</f>
        <v>1.5811388300841898</v>
      </c>
      <c r="EC143" s="72">
        <v>10</v>
      </c>
      <c r="ED143" s="52">
        <f t="shared" si="547"/>
        <v>1.5811388300841898</v>
      </c>
      <c r="EE143" s="19">
        <v>11</v>
      </c>
      <c r="EF143" s="19">
        <f>4.4*SQRT(10)</f>
        <v>13.914021704740872</v>
      </c>
      <c r="EG143" s="13">
        <v>10</v>
      </c>
      <c r="EH143" s="52">
        <f t="shared" si="548"/>
        <v>1.264911064067352</v>
      </c>
      <c r="EI143" s="19">
        <f t="shared" si="558"/>
        <v>10</v>
      </c>
      <c r="EJ143" s="12">
        <f t="shared" si="550"/>
        <v>9.9020199959402238</v>
      </c>
      <c r="EK143" s="19">
        <f t="shared" si="551"/>
        <v>19.61000000000001</v>
      </c>
      <c r="EL143" s="19">
        <f t="shared" si="552"/>
        <v>19.610000000000007</v>
      </c>
      <c r="EM143" s="12" t="s">
        <v>39</v>
      </c>
      <c r="EN143" s="12">
        <v>-0.59</v>
      </c>
      <c r="EO143" s="12">
        <v>1.75</v>
      </c>
      <c r="EP143" s="13">
        <v>4</v>
      </c>
      <c r="EQ143" s="19">
        <f t="shared" si="510"/>
        <v>2.9661016949152543</v>
      </c>
      <c r="ER143" s="12">
        <v>-17.329999999999998</v>
      </c>
      <c r="ES143" s="12">
        <v>1.8</v>
      </c>
      <c r="ET143" s="13">
        <v>4</v>
      </c>
      <c r="EU143" s="19">
        <f t="shared" si="511"/>
        <v>0.103866128101558</v>
      </c>
      <c r="EV143" s="19">
        <f t="shared" si="512"/>
        <v>-16.739999999999998</v>
      </c>
      <c r="EW143" s="12">
        <f t="shared" si="489"/>
        <v>1.775176047607673</v>
      </c>
      <c r="EX143" s="19">
        <f t="shared" si="490"/>
        <v>1.5756249999999998</v>
      </c>
      <c r="EY143" s="19">
        <f t="shared" si="491"/>
        <v>1.5756250000000001</v>
      </c>
      <c r="FB143" s="12" t="s">
        <v>37</v>
      </c>
      <c r="FC143" s="12" t="s">
        <v>37</v>
      </c>
      <c r="FD143" s="11" t="s">
        <v>37</v>
      </c>
      <c r="FE143" s="12" t="s">
        <v>37</v>
      </c>
      <c r="FF143" s="20" t="s">
        <v>37</v>
      </c>
      <c r="FG143" s="11" t="s">
        <v>37</v>
      </c>
      <c r="FI143" s="12" t="s">
        <v>37</v>
      </c>
      <c r="FJ143" s="12" t="s">
        <v>37</v>
      </c>
      <c r="FK143" s="11" t="s">
        <v>37</v>
      </c>
      <c r="FL143" s="13" t="s">
        <v>37</v>
      </c>
      <c r="FM143" s="11" t="s">
        <v>37</v>
      </c>
      <c r="FN143" s="11" t="s">
        <v>37</v>
      </c>
      <c r="FP143" s="12" t="s">
        <v>37</v>
      </c>
      <c r="FQ143" s="12" t="s">
        <v>37</v>
      </c>
      <c r="FR143" s="11" t="s">
        <v>37</v>
      </c>
      <c r="FS143" s="13" t="s">
        <v>37</v>
      </c>
      <c r="FT143" s="11" t="s">
        <v>37</v>
      </c>
      <c r="FU143" s="11" t="s">
        <v>37</v>
      </c>
      <c r="FW143" s="12" t="s">
        <v>37</v>
      </c>
      <c r="FX143" s="12" t="s">
        <v>37</v>
      </c>
      <c r="FY143" s="11" t="s">
        <v>37</v>
      </c>
      <c r="FZ143" s="13" t="s">
        <v>37</v>
      </c>
      <c r="GA143" s="11" t="s">
        <v>37</v>
      </c>
      <c r="GB143" s="11" t="s">
        <v>37</v>
      </c>
      <c r="HA143" s="17" t="s">
        <v>63</v>
      </c>
      <c r="HB143" s="34" t="s">
        <v>345</v>
      </c>
      <c r="HC143" s="12">
        <v>0.1</v>
      </c>
      <c r="HD143" s="50">
        <f t="shared" si="553"/>
        <v>1.7241174314649096E-2</v>
      </c>
      <c r="HE143" s="13">
        <v>3</v>
      </c>
      <c r="HG143" s="12">
        <v>0.6</v>
      </c>
      <c r="HH143" s="50">
        <f t="shared" si="554"/>
        <v>6.7112711980263043E-2</v>
      </c>
      <c r="HI143" s="13">
        <v>3</v>
      </c>
      <c r="HK143" s="19">
        <f t="shared" si="517"/>
        <v>1.791759469228055</v>
      </c>
      <c r="HL143" s="19">
        <f t="shared" si="518"/>
        <v>1.4079080937294357E-2</v>
      </c>
      <c r="IK143" s="12" t="s">
        <v>37</v>
      </c>
      <c r="IL143" s="12" t="s">
        <v>37</v>
      </c>
      <c r="IM143" s="12" t="s">
        <v>37</v>
      </c>
      <c r="IO143" s="12" t="s">
        <v>37</v>
      </c>
      <c r="IP143" s="12" t="s">
        <v>37</v>
      </c>
      <c r="IQ143" s="12" t="s">
        <v>37</v>
      </c>
      <c r="IV143" s="32" t="s">
        <v>345</v>
      </c>
      <c r="IW143" s="12">
        <v>4.2</v>
      </c>
      <c r="IX143" s="12">
        <v>0.4</v>
      </c>
      <c r="IY143" s="13">
        <v>4</v>
      </c>
      <c r="IZ143" s="19">
        <f t="shared" si="519"/>
        <v>9.5238095238095233E-2</v>
      </c>
      <c r="JA143" s="12">
        <v>4.5</v>
      </c>
      <c r="JB143" s="12">
        <v>0.2</v>
      </c>
      <c r="JC143" s="13">
        <v>4</v>
      </c>
      <c r="JD143" s="19">
        <f t="shared" si="520"/>
        <v>4.4444444444444446E-2</v>
      </c>
      <c r="JE143" s="19">
        <f t="shared" si="521"/>
        <v>6.8992871486951421E-2</v>
      </c>
      <c r="JF143" s="19">
        <f t="shared" si="522"/>
        <v>2.7614008566389523E-3</v>
      </c>
      <c r="JH143" s="12" t="s">
        <v>37</v>
      </c>
      <c r="JI143" s="12" t="s">
        <v>37</v>
      </c>
      <c r="JJ143" s="13" t="s">
        <v>37</v>
      </c>
      <c r="JL143" s="12" t="s">
        <v>37</v>
      </c>
      <c r="JM143" s="12" t="s">
        <v>37</v>
      </c>
      <c r="JN143" s="12" t="s">
        <v>37</v>
      </c>
      <c r="JS143" s="12" t="s">
        <v>37</v>
      </c>
      <c r="JT143" s="12" t="s">
        <v>37</v>
      </c>
      <c r="JU143" s="13" t="s">
        <v>37</v>
      </c>
      <c r="JW143" s="12" t="s">
        <v>37</v>
      </c>
      <c r="JX143" s="12" t="s">
        <v>37</v>
      </c>
      <c r="JY143" s="12" t="s">
        <v>37</v>
      </c>
      <c r="KE143" s="11" t="s">
        <v>37</v>
      </c>
      <c r="KF143" s="11" t="s">
        <v>37</v>
      </c>
      <c r="KG143" s="13" t="s">
        <v>37</v>
      </c>
      <c r="KH143" s="11" t="s">
        <v>37</v>
      </c>
      <c r="KI143" s="11" t="s">
        <v>37</v>
      </c>
      <c r="KJ143" s="11" t="s">
        <v>37</v>
      </c>
      <c r="KK143" s="12" t="s">
        <v>42</v>
      </c>
      <c r="KL143" s="12" t="s">
        <v>345</v>
      </c>
      <c r="KM143" s="12">
        <v>25</v>
      </c>
      <c r="KN143" s="12">
        <f t="shared" si="561"/>
        <v>2.8284271247461903</v>
      </c>
      <c r="KO143" s="11">
        <v>8</v>
      </c>
      <c r="KP143" s="19">
        <f t="shared" si="523"/>
        <v>0.11313708498984761</v>
      </c>
      <c r="KQ143" s="12">
        <v>32</v>
      </c>
      <c r="KR143" s="12">
        <f>4*SQRT(8)</f>
        <v>11.313708498984761</v>
      </c>
      <c r="KS143" s="13">
        <v>8</v>
      </c>
      <c r="KT143" s="19">
        <f t="shared" si="524"/>
        <v>0.35355339059327379</v>
      </c>
      <c r="KU143" s="19">
        <f t="shared" si="525"/>
        <v>0.24686007793152581</v>
      </c>
      <c r="KV143" s="19">
        <f t="shared" si="526"/>
        <v>1.7225000000000004E-2</v>
      </c>
      <c r="KX143" s="12" t="s">
        <v>37</v>
      </c>
      <c r="KY143" s="12" t="s">
        <v>37</v>
      </c>
      <c r="KZ143" s="13" t="s">
        <v>37</v>
      </c>
      <c r="LB143" s="12" t="s">
        <v>37</v>
      </c>
      <c r="LC143" s="12" t="s">
        <v>37</v>
      </c>
      <c r="LD143" s="13" t="s">
        <v>37</v>
      </c>
      <c r="LI143" s="12" t="s">
        <v>37</v>
      </c>
      <c r="LJ143" s="12" t="s">
        <v>37</v>
      </c>
      <c r="LK143" s="12" t="s">
        <v>37</v>
      </c>
      <c r="LM143" s="12" t="s">
        <v>37</v>
      </c>
      <c r="LN143" s="12" t="s">
        <v>37</v>
      </c>
      <c r="LO143" s="12" t="s">
        <v>37</v>
      </c>
      <c r="LT143" s="12" t="str">
        <f t="shared" si="527"/>
        <v>0-10</v>
      </c>
      <c r="LU143" s="12">
        <f t="shared" si="528"/>
        <v>21.6</v>
      </c>
      <c r="LV143" s="12">
        <f t="shared" si="529"/>
        <v>2.6929478271960638</v>
      </c>
      <c r="LW143" s="13">
        <f t="shared" si="530"/>
        <v>8</v>
      </c>
      <c r="LX143" s="19">
        <f t="shared" si="531"/>
        <v>0.12467351051833628</v>
      </c>
      <c r="LY143" s="12">
        <f t="shared" si="532"/>
        <v>16.25</v>
      </c>
      <c r="LZ143" s="12">
        <f t="shared" si="533"/>
        <v>8.6715230784447552</v>
      </c>
      <c r="MA143" s="13">
        <f t="shared" si="534"/>
        <v>8</v>
      </c>
      <c r="MB143" s="19">
        <f t="shared" si="535"/>
        <v>0.53363218944275415</v>
      </c>
      <c r="MC143" s="19">
        <f t="shared" si="536"/>
        <v>-0.28460040591437291</v>
      </c>
      <c r="MD143" s="19">
        <f t="shared" si="537"/>
        <v>3.7538349729304143E-2</v>
      </c>
      <c r="MF143" s="12" t="s">
        <v>37</v>
      </c>
      <c r="MG143" s="12" t="s">
        <v>37</v>
      </c>
      <c r="MH143" s="12" t="s">
        <v>37</v>
      </c>
      <c r="MJ143" s="12" t="s">
        <v>37</v>
      </c>
      <c r="MK143" s="12" t="s">
        <v>37</v>
      </c>
      <c r="ML143" s="12" t="s">
        <v>37</v>
      </c>
      <c r="MQ143" s="12" t="s">
        <v>37</v>
      </c>
      <c r="MR143" s="12" t="s">
        <v>37</v>
      </c>
      <c r="MS143" s="12" t="s">
        <v>37</v>
      </c>
      <c r="MU143" s="12" t="s">
        <v>37</v>
      </c>
      <c r="MV143" s="12" t="s">
        <v>37</v>
      </c>
      <c r="MW143" s="12" t="s">
        <v>37</v>
      </c>
      <c r="NC143" s="12" t="s">
        <v>37</v>
      </c>
      <c r="ND143" s="12" t="s">
        <v>37</v>
      </c>
      <c r="NE143" s="13" t="s">
        <v>37</v>
      </c>
      <c r="NG143" s="12" t="s">
        <v>37</v>
      </c>
      <c r="NH143" s="12" t="s">
        <v>37</v>
      </c>
      <c r="NI143" s="13" t="s">
        <v>37</v>
      </c>
      <c r="NO143" s="12" t="s">
        <v>37</v>
      </c>
      <c r="NP143" s="12" t="s">
        <v>37</v>
      </c>
      <c r="NQ143" s="13" t="s">
        <v>37</v>
      </c>
      <c r="NS143" s="12" t="s">
        <v>37</v>
      </c>
      <c r="NT143" s="12" t="s">
        <v>37</v>
      </c>
      <c r="NU143" s="13" t="s">
        <v>37</v>
      </c>
      <c r="OA143" s="12" t="s">
        <v>37</v>
      </c>
      <c r="OB143" s="12" t="s">
        <v>37</v>
      </c>
      <c r="OC143" s="13" t="s">
        <v>37</v>
      </c>
      <c r="OE143" s="12" t="s">
        <v>37</v>
      </c>
      <c r="OF143" s="12" t="s">
        <v>37</v>
      </c>
      <c r="OG143" s="13" t="s">
        <v>37</v>
      </c>
      <c r="OM143" s="12" t="s">
        <v>37</v>
      </c>
      <c r="ON143" s="12" t="s">
        <v>37</v>
      </c>
      <c r="OO143" s="12" t="s">
        <v>37</v>
      </c>
      <c r="OP143" s="12" t="s">
        <v>37</v>
      </c>
      <c r="OQ143" s="12" t="s">
        <v>37</v>
      </c>
      <c r="OR143" s="12" t="s">
        <v>37</v>
      </c>
      <c r="OS143" s="12"/>
      <c r="OT143" s="12"/>
      <c r="OW143" s="12" t="s">
        <v>37</v>
      </c>
      <c r="OX143" s="12" t="s">
        <v>37</v>
      </c>
      <c r="OY143" s="13" t="s">
        <v>37</v>
      </c>
      <c r="OZ143" s="12" t="s">
        <v>37</v>
      </c>
      <c r="PA143" s="12" t="s">
        <v>37</v>
      </c>
      <c r="PB143" s="13" t="s">
        <v>37</v>
      </c>
      <c r="PG143" s="11" t="s">
        <v>37</v>
      </c>
      <c r="PH143" s="11" t="s">
        <v>37</v>
      </c>
      <c r="PI143" s="13" t="s">
        <v>37</v>
      </c>
      <c r="PJ143" s="11" t="s">
        <v>37</v>
      </c>
      <c r="PK143" s="11" t="s">
        <v>37</v>
      </c>
      <c r="PL143" s="13" t="s">
        <v>37</v>
      </c>
      <c r="PQ143" s="12" t="s">
        <v>37</v>
      </c>
      <c r="PR143" s="12" t="s">
        <v>37</v>
      </c>
      <c r="PS143" s="12" t="s">
        <v>37</v>
      </c>
      <c r="PT143" s="12" t="s">
        <v>37</v>
      </c>
      <c r="PU143" s="12" t="s">
        <v>37</v>
      </c>
      <c r="PV143" s="12" t="s">
        <v>37</v>
      </c>
      <c r="PW143" s="12"/>
      <c r="PX143" s="12"/>
      <c r="PZ143" s="12" t="s">
        <v>37</v>
      </c>
      <c r="QA143" s="12" t="s">
        <v>37</v>
      </c>
      <c r="QB143" s="11" t="s">
        <v>37</v>
      </c>
      <c r="QD143" s="12" t="s">
        <v>37</v>
      </c>
      <c r="QE143" s="12" t="s">
        <v>37</v>
      </c>
      <c r="QF143" s="12" t="s">
        <v>37</v>
      </c>
      <c r="QK143" s="12" t="s">
        <v>37</v>
      </c>
      <c r="QL143" s="12" t="s">
        <v>37</v>
      </c>
      <c r="QM143" s="12" t="s">
        <v>37</v>
      </c>
      <c r="QN143" s="12" t="s">
        <v>37</v>
      </c>
      <c r="QO143" s="12" t="s">
        <v>37</v>
      </c>
      <c r="QP143" s="12" t="s">
        <v>37</v>
      </c>
      <c r="QQ143" s="12"/>
      <c r="QR143" s="12"/>
      <c r="QU143" s="12" t="s">
        <v>37</v>
      </c>
      <c r="QV143" s="12" t="s">
        <v>37</v>
      </c>
      <c r="QW143" s="12" t="s">
        <v>37</v>
      </c>
      <c r="QX143" s="12" t="s">
        <v>37</v>
      </c>
      <c r="QY143" s="12" t="s">
        <v>37</v>
      </c>
      <c r="QZ143" s="12" t="s">
        <v>37</v>
      </c>
      <c r="RC143" s="12" t="s">
        <v>37</v>
      </c>
      <c r="RD143" s="12" t="s">
        <v>37</v>
      </c>
      <c r="RE143" s="13" t="s">
        <v>37</v>
      </c>
      <c r="RF143" s="12" t="s">
        <v>37</v>
      </c>
      <c r="RG143" s="12" t="s">
        <v>37</v>
      </c>
      <c r="RH143" s="13" t="s">
        <v>37</v>
      </c>
      <c r="RK143" s="12" t="s">
        <v>37</v>
      </c>
      <c r="RL143" s="12" t="s">
        <v>37</v>
      </c>
      <c r="RM143" s="11" t="s">
        <v>37</v>
      </c>
      <c r="RN143" s="12" t="s">
        <v>37</v>
      </c>
      <c r="RO143" s="12" t="s">
        <v>37</v>
      </c>
      <c r="RP143" s="11" t="s">
        <v>37</v>
      </c>
      <c r="RS143" s="12" t="s">
        <v>37</v>
      </c>
      <c r="RT143" s="12" t="s">
        <v>37</v>
      </c>
      <c r="RU143" s="12" t="s">
        <v>37</v>
      </c>
      <c r="RV143" s="12" t="s">
        <v>37</v>
      </c>
      <c r="RW143" s="12" t="s">
        <v>37</v>
      </c>
      <c r="RX143" s="12" t="s">
        <v>37</v>
      </c>
      <c r="SA143" s="12" t="s">
        <v>37</v>
      </c>
      <c r="SB143" s="12" t="s">
        <v>37</v>
      </c>
      <c r="SC143" s="12" t="s">
        <v>37</v>
      </c>
      <c r="SD143" s="12" t="s">
        <v>37</v>
      </c>
      <c r="SE143" s="12" t="s">
        <v>37</v>
      </c>
      <c r="SF143" s="12" t="s">
        <v>37</v>
      </c>
      <c r="SI143" s="12" t="s">
        <v>37</v>
      </c>
      <c r="SJ143" s="12" t="s">
        <v>37</v>
      </c>
      <c r="SK143" s="13" t="s">
        <v>37</v>
      </c>
      <c r="SM143" s="12" t="s">
        <v>37</v>
      </c>
      <c r="SN143" s="12" t="s">
        <v>37</v>
      </c>
      <c r="SO143" s="13" t="s">
        <v>37</v>
      </c>
      <c r="SU143" s="12" t="s">
        <v>37</v>
      </c>
      <c r="SV143" s="12" t="s">
        <v>37</v>
      </c>
      <c r="SW143" s="11" t="s">
        <v>37</v>
      </c>
      <c r="SX143" s="12" t="s">
        <v>37</v>
      </c>
      <c r="SY143" s="12" t="s">
        <v>37</v>
      </c>
      <c r="SZ143" s="11" t="s">
        <v>37</v>
      </c>
      <c r="TE143" s="12" t="s">
        <v>37</v>
      </c>
      <c r="TF143" s="12" t="s">
        <v>37</v>
      </c>
      <c r="TG143" s="11" t="s">
        <v>37</v>
      </c>
      <c r="TH143" s="12" t="s">
        <v>37</v>
      </c>
      <c r="TI143" s="12" t="s">
        <v>37</v>
      </c>
      <c r="TJ143" s="11" t="s">
        <v>37</v>
      </c>
      <c r="TO143" s="12" t="s">
        <v>37</v>
      </c>
      <c r="TP143" s="12" t="s">
        <v>37</v>
      </c>
      <c r="TQ143" s="11" t="s">
        <v>37</v>
      </c>
      <c r="TR143" s="12" t="s">
        <v>37</v>
      </c>
      <c r="TS143" s="12" t="s">
        <v>37</v>
      </c>
      <c r="TT143" s="11" t="s">
        <v>37</v>
      </c>
      <c r="TY143" s="12" t="s">
        <v>37</v>
      </c>
      <c r="TZ143" s="12" t="s">
        <v>37</v>
      </c>
      <c r="UA143" s="12" t="s">
        <v>37</v>
      </c>
      <c r="UB143" s="12" t="s">
        <v>37</v>
      </c>
      <c r="UC143" s="12" t="s">
        <v>37</v>
      </c>
      <c r="UD143" s="12" t="s">
        <v>37</v>
      </c>
      <c r="UE143" s="12"/>
      <c r="UF143" s="12"/>
      <c r="UI143" s="12" t="s">
        <v>37</v>
      </c>
      <c r="UJ143" s="12" t="s">
        <v>37</v>
      </c>
      <c r="UK143" s="12" t="s">
        <v>37</v>
      </c>
      <c r="UL143" s="12" t="s">
        <v>37</v>
      </c>
      <c r="UM143" s="12" t="s">
        <v>37</v>
      </c>
      <c r="UN143" s="12" t="s">
        <v>37</v>
      </c>
      <c r="UO143" s="12"/>
      <c r="UP143" s="12"/>
      <c r="UR143" s="12" t="s">
        <v>37</v>
      </c>
      <c r="US143" s="12" t="s">
        <v>37</v>
      </c>
      <c r="UT143" s="12" t="s">
        <v>37</v>
      </c>
      <c r="UU143" s="12" t="s">
        <v>37</v>
      </c>
      <c r="UV143" s="12" t="s">
        <v>37</v>
      </c>
      <c r="UW143" s="12" t="s">
        <v>37</v>
      </c>
      <c r="UX143" s="12"/>
      <c r="UY143" s="12"/>
      <c r="VB143" s="12" t="s">
        <v>37</v>
      </c>
      <c r="VC143" s="12" t="s">
        <v>37</v>
      </c>
      <c r="VD143" s="12" t="s">
        <v>37</v>
      </c>
      <c r="VE143" s="12" t="s">
        <v>37</v>
      </c>
      <c r="VF143" s="12" t="s">
        <v>37</v>
      </c>
      <c r="VG143" s="12" t="s">
        <v>37</v>
      </c>
      <c r="VI143" s="12" t="s">
        <v>37</v>
      </c>
      <c r="VJ143" s="12" t="s">
        <v>37</v>
      </c>
      <c r="VK143" s="12" t="s">
        <v>37</v>
      </c>
      <c r="VL143" s="12" t="s">
        <v>37</v>
      </c>
      <c r="VM143" s="12" t="s">
        <v>37</v>
      </c>
      <c r="VN143" s="12" t="s">
        <v>37</v>
      </c>
      <c r="VQ143" s="13" t="s">
        <v>37</v>
      </c>
      <c r="VR143" s="13" t="s">
        <v>37</v>
      </c>
      <c r="VS143" s="13" t="s">
        <v>37</v>
      </c>
      <c r="VT143" s="13" t="s">
        <v>37</v>
      </c>
      <c r="VU143" s="13" t="s">
        <v>37</v>
      </c>
      <c r="VV143" s="13" t="s">
        <v>37</v>
      </c>
      <c r="WA143" s="13" t="s">
        <v>37</v>
      </c>
      <c r="WB143" s="13" t="s">
        <v>37</v>
      </c>
      <c r="WC143" s="13" t="s">
        <v>37</v>
      </c>
      <c r="WD143" s="13" t="s">
        <v>37</v>
      </c>
      <c r="WE143" s="13" t="s">
        <v>37</v>
      </c>
      <c r="WF143" s="13" t="s">
        <v>37</v>
      </c>
    </row>
    <row r="144" spans="1:604" ht="18" customHeight="1" x14ac:dyDescent="0.4">
      <c r="A144" s="11">
        <v>33</v>
      </c>
      <c r="B144" s="16" t="s">
        <v>236</v>
      </c>
      <c r="C144" s="12" t="s">
        <v>26</v>
      </c>
      <c r="D144" s="12" t="s">
        <v>54</v>
      </c>
      <c r="E144" s="40">
        <v>0.9</v>
      </c>
      <c r="F144" s="14">
        <v>0</v>
      </c>
      <c r="G144" s="14">
        <v>0</v>
      </c>
      <c r="H144" s="12" t="s">
        <v>233</v>
      </c>
      <c r="I144" s="29">
        <v>57.133000000000003</v>
      </c>
      <c r="J144" s="29">
        <v>14.75</v>
      </c>
      <c r="K144" s="12" t="s">
        <v>720</v>
      </c>
      <c r="L144" s="12" t="s">
        <v>721</v>
      </c>
      <c r="M144" s="13" t="s">
        <v>37</v>
      </c>
      <c r="N144" s="14">
        <v>5.6</v>
      </c>
      <c r="O144" s="14">
        <v>789.59847036328836</v>
      </c>
      <c r="P144" s="14" t="s">
        <v>84</v>
      </c>
      <c r="Q144" s="75">
        <v>21</v>
      </c>
      <c r="R144" s="11" t="s">
        <v>1000</v>
      </c>
      <c r="S144" s="12" t="s">
        <v>93</v>
      </c>
      <c r="T144" s="12" t="s">
        <v>37</v>
      </c>
      <c r="U144" s="12" t="s">
        <v>158</v>
      </c>
      <c r="V144" s="12" t="s">
        <v>275</v>
      </c>
      <c r="W144" s="23" t="s">
        <v>376</v>
      </c>
      <c r="X144" s="12" t="s">
        <v>280</v>
      </c>
      <c r="Y144" s="12" t="s">
        <v>69</v>
      </c>
      <c r="Z144" s="12" t="s">
        <v>37</v>
      </c>
      <c r="AA144" s="32" t="s">
        <v>345</v>
      </c>
      <c r="AB144" s="12">
        <v>4.2</v>
      </c>
      <c r="AC144" s="12" t="s">
        <v>42</v>
      </c>
      <c r="AD144" s="32" t="s">
        <v>345</v>
      </c>
      <c r="AE144" s="12">
        <v>540</v>
      </c>
      <c r="AF144" s="12" t="s">
        <v>42</v>
      </c>
      <c r="AG144" s="12" t="s">
        <v>345</v>
      </c>
      <c r="AH144" s="12">
        <v>25</v>
      </c>
      <c r="AJ144" s="12" t="str">
        <f t="shared" si="504"/>
        <v>0-10</v>
      </c>
      <c r="AK144" s="19">
        <f t="shared" si="505"/>
        <v>21.6</v>
      </c>
      <c r="AL144" s="32" t="s">
        <v>235</v>
      </c>
      <c r="AM144" s="13" t="s">
        <v>344</v>
      </c>
      <c r="AO144" s="13" t="s">
        <v>318</v>
      </c>
      <c r="AP144" s="12" t="s">
        <v>167</v>
      </c>
      <c r="AQ144" s="12" t="s">
        <v>975</v>
      </c>
      <c r="AR144" s="12" t="s">
        <v>42</v>
      </c>
      <c r="AS144" s="32" t="s">
        <v>345</v>
      </c>
      <c r="AT144" s="12">
        <v>540</v>
      </c>
      <c r="AU144" s="12">
        <f t="shared" si="560"/>
        <v>28.284271247461902</v>
      </c>
      <c r="AV144" s="13">
        <v>8</v>
      </c>
      <c r="AW144" s="19">
        <f t="shared" si="538"/>
        <v>5.2378280087892408E-2</v>
      </c>
      <c r="AX144" s="12">
        <v>520</v>
      </c>
      <c r="AY144" s="12">
        <f>60*SQRT(12)</f>
        <v>207.84609690826525</v>
      </c>
      <c r="AZ144" s="13">
        <v>12</v>
      </c>
      <c r="BA144" s="19">
        <f t="shared" si="539"/>
        <v>0.3997040325158947</v>
      </c>
      <c r="BB144" s="52">
        <f t="shared" si="506"/>
        <v>-3.7740327982847086E-2</v>
      </c>
      <c r="BC144" s="19">
        <f t="shared" si="507"/>
        <v>1.3656544995576333E-2</v>
      </c>
      <c r="BE144" s="12" t="s">
        <v>326</v>
      </c>
      <c r="BF144" s="12" t="s">
        <v>326</v>
      </c>
      <c r="BG144" s="12" t="s">
        <v>326</v>
      </c>
      <c r="BI144" s="12" t="s">
        <v>326</v>
      </c>
      <c r="BJ144" s="12" t="s">
        <v>326</v>
      </c>
      <c r="BK144" s="12" t="s">
        <v>326</v>
      </c>
      <c r="BP144" s="12" t="s">
        <v>37</v>
      </c>
      <c r="BQ144" s="12" t="s">
        <v>37</v>
      </c>
      <c r="BR144" s="13" t="s">
        <v>37</v>
      </c>
      <c r="BT144" s="12" t="s">
        <v>37</v>
      </c>
      <c r="BU144" s="12" t="s">
        <v>37</v>
      </c>
      <c r="BV144" s="12" t="s">
        <v>37</v>
      </c>
      <c r="CA144" s="12" t="s">
        <v>37</v>
      </c>
      <c r="CB144" s="12" t="s">
        <v>37</v>
      </c>
      <c r="CC144" s="13" t="s">
        <v>37</v>
      </c>
      <c r="CE144" s="12" t="s">
        <v>37</v>
      </c>
      <c r="CF144" s="12" t="s">
        <v>37</v>
      </c>
      <c r="CG144" s="13" t="s">
        <v>37</v>
      </c>
      <c r="CI144" s="52"/>
      <c r="CJ144" s="52"/>
      <c r="CK144" s="73"/>
      <c r="CL144" s="73"/>
      <c r="CN144" s="12" t="s">
        <v>37</v>
      </c>
      <c r="CO144" s="12" t="s">
        <v>37</v>
      </c>
      <c r="CP144" s="13" t="s">
        <v>37</v>
      </c>
      <c r="CR144" s="12" t="s">
        <v>37</v>
      </c>
      <c r="CS144" s="12" t="s">
        <v>37</v>
      </c>
      <c r="CT144" s="13" t="s">
        <v>37</v>
      </c>
      <c r="CV144" s="52"/>
      <c r="CW144" s="52"/>
      <c r="CX144" s="73"/>
      <c r="CY144" s="73"/>
      <c r="DA144" s="12" t="s">
        <v>37</v>
      </c>
      <c r="DB144" s="12" t="s">
        <v>37</v>
      </c>
      <c r="DC144" s="13" t="s">
        <v>37</v>
      </c>
      <c r="DE144" s="12" t="s">
        <v>37</v>
      </c>
      <c r="DF144" s="12" t="s">
        <v>37</v>
      </c>
      <c r="DG144" s="13" t="s">
        <v>37</v>
      </c>
      <c r="DI144" s="52"/>
      <c r="DJ144" s="52"/>
      <c r="DK144" s="73"/>
      <c r="DL144" s="73"/>
      <c r="DM144" s="12" t="s">
        <v>47</v>
      </c>
      <c r="DN144" s="19">
        <v>101</v>
      </c>
      <c r="DO144" s="12">
        <f>42.2*SQRT(10)</f>
        <v>133.44811725910563</v>
      </c>
      <c r="DP144" s="13">
        <v>3</v>
      </c>
      <c r="DQ144" s="19">
        <f t="shared" si="508"/>
        <v>1.3212684877139171</v>
      </c>
      <c r="DR144" s="19">
        <v>17</v>
      </c>
      <c r="DS144" s="12">
        <f>7.9*SQRT(10)</f>
        <v>24.981993515330199</v>
      </c>
      <c r="DT144" s="13">
        <v>10</v>
      </c>
      <c r="DU144" s="19">
        <f t="shared" si="546"/>
        <v>1.4695290303135411</v>
      </c>
      <c r="DV144" s="19">
        <f t="shared" si="509"/>
        <v>-84</v>
      </c>
      <c r="DW144" s="12">
        <f t="shared" si="485"/>
        <v>61.225143379319114</v>
      </c>
      <c r="DX144" s="72">
        <f t="shared" si="345"/>
        <v>1624.3578787878794</v>
      </c>
      <c r="DY144" s="72">
        <f t="shared" si="346"/>
        <v>5998.5433333333349</v>
      </c>
      <c r="DZ144" s="11" t="s">
        <v>47</v>
      </c>
      <c r="EA144" s="19">
        <v>1</v>
      </c>
      <c r="EB144" s="19">
        <f>0.5*SQRT(10)</f>
        <v>1.5811388300841898</v>
      </c>
      <c r="EC144" s="72">
        <v>10</v>
      </c>
      <c r="ED144" s="52">
        <f t="shared" si="547"/>
        <v>1.5811388300841898</v>
      </c>
      <c r="EE144" s="19">
        <v>6</v>
      </c>
      <c r="EF144" s="19">
        <f>2.7*SQRT(10)</f>
        <v>8.538149682454625</v>
      </c>
      <c r="EG144" s="13">
        <v>10</v>
      </c>
      <c r="EH144" s="52">
        <f t="shared" si="548"/>
        <v>1.4230249470757708</v>
      </c>
      <c r="EI144" s="19">
        <f t="shared" si="558"/>
        <v>5</v>
      </c>
      <c r="EJ144" s="12">
        <f t="shared" si="550"/>
        <v>6.1400325732035013</v>
      </c>
      <c r="EK144" s="19">
        <f t="shared" si="551"/>
        <v>7.5400000000000018</v>
      </c>
      <c r="EL144" s="19">
        <f t="shared" si="552"/>
        <v>7.5400000000000018</v>
      </c>
      <c r="EM144" s="12" t="s">
        <v>39</v>
      </c>
      <c r="EN144" s="12">
        <v>-2.0499999999999998</v>
      </c>
      <c r="EO144" s="12">
        <v>1.38</v>
      </c>
      <c r="EP144" s="13">
        <v>4</v>
      </c>
      <c r="EQ144" s="19">
        <f t="shared" si="510"/>
        <v>0.67317073170731712</v>
      </c>
      <c r="ER144" s="12">
        <v>-21.37</v>
      </c>
      <c r="ES144" s="12">
        <v>1.45</v>
      </c>
      <c r="ET144" s="13">
        <v>4</v>
      </c>
      <c r="EU144" s="19">
        <f t="shared" si="511"/>
        <v>6.7852129153018248E-2</v>
      </c>
      <c r="EV144" s="19">
        <f t="shared" si="512"/>
        <v>-19.32</v>
      </c>
      <c r="EW144" s="12">
        <f t="shared" si="489"/>
        <v>1.4154327960026925</v>
      </c>
      <c r="EX144" s="19">
        <f t="shared" si="490"/>
        <v>1.0017249999999998</v>
      </c>
      <c r="EY144" s="19">
        <f t="shared" si="491"/>
        <v>1.001725</v>
      </c>
      <c r="FB144" s="12" t="s">
        <v>37</v>
      </c>
      <c r="FC144" s="12" t="s">
        <v>37</v>
      </c>
      <c r="FD144" s="11" t="s">
        <v>37</v>
      </c>
      <c r="FE144" s="12" t="s">
        <v>37</v>
      </c>
      <c r="FF144" s="20" t="s">
        <v>37</v>
      </c>
      <c r="FG144" s="11" t="s">
        <v>37</v>
      </c>
      <c r="FI144" s="12" t="s">
        <v>37</v>
      </c>
      <c r="FJ144" s="12" t="s">
        <v>37</v>
      </c>
      <c r="FK144" s="11" t="s">
        <v>37</v>
      </c>
      <c r="FL144" s="13" t="s">
        <v>37</v>
      </c>
      <c r="FM144" s="11" t="s">
        <v>37</v>
      </c>
      <c r="FN144" s="11" t="s">
        <v>37</v>
      </c>
      <c r="FP144" s="12" t="s">
        <v>37</v>
      </c>
      <c r="FQ144" s="12" t="s">
        <v>37</v>
      </c>
      <c r="FR144" s="11" t="s">
        <v>37</v>
      </c>
      <c r="FS144" s="13" t="s">
        <v>37</v>
      </c>
      <c r="FT144" s="11" t="s">
        <v>37</v>
      </c>
      <c r="FU144" s="11" t="s">
        <v>37</v>
      </c>
      <c r="FW144" s="12" t="s">
        <v>37</v>
      </c>
      <c r="FX144" s="12" t="s">
        <v>37</v>
      </c>
      <c r="FY144" s="11" t="s">
        <v>37</v>
      </c>
      <c r="FZ144" s="13" t="s">
        <v>37</v>
      </c>
      <c r="GA144" s="11" t="s">
        <v>37</v>
      </c>
      <c r="GB144" s="11" t="s">
        <v>37</v>
      </c>
      <c r="HA144" s="17" t="s">
        <v>63</v>
      </c>
      <c r="HB144" s="34" t="s">
        <v>345</v>
      </c>
      <c r="HC144" s="12">
        <v>0.1</v>
      </c>
      <c r="HD144" s="50">
        <f t="shared" si="553"/>
        <v>1.7241174314649096E-2</v>
      </c>
      <c r="HE144" s="13">
        <v>3</v>
      </c>
      <c r="HG144" s="12">
        <v>0.6</v>
      </c>
      <c r="HH144" s="50">
        <f t="shared" si="554"/>
        <v>6.7112711980263043E-2</v>
      </c>
      <c r="HI144" s="13">
        <v>3</v>
      </c>
      <c r="HK144" s="19">
        <f t="shared" si="517"/>
        <v>1.791759469228055</v>
      </c>
      <c r="HL144" s="19">
        <f t="shared" si="518"/>
        <v>1.4079080937294357E-2</v>
      </c>
      <c r="IK144" s="12" t="s">
        <v>37</v>
      </c>
      <c r="IL144" s="12" t="s">
        <v>37</v>
      </c>
      <c r="IM144" s="12" t="s">
        <v>37</v>
      </c>
      <c r="IO144" s="12" t="s">
        <v>37</v>
      </c>
      <c r="IP144" s="12" t="s">
        <v>37</v>
      </c>
      <c r="IQ144" s="12" t="s">
        <v>37</v>
      </c>
      <c r="IV144" s="32" t="s">
        <v>345</v>
      </c>
      <c r="IW144" s="12">
        <v>4.2</v>
      </c>
      <c r="IX144" s="12">
        <v>0.4</v>
      </c>
      <c r="IY144" s="13">
        <v>4</v>
      </c>
      <c r="IZ144" s="19">
        <f t="shared" si="519"/>
        <v>9.5238095238095233E-2</v>
      </c>
      <c r="JA144" s="12">
        <v>4.5</v>
      </c>
      <c r="JB144" s="12">
        <v>0.2</v>
      </c>
      <c r="JC144" s="13">
        <v>4</v>
      </c>
      <c r="JD144" s="19">
        <f t="shared" si="520"/>
        <v>4.4444444444444446E-2</v>
      </c>
      <c r="JE144" s="19">
        <f t="shared" si="521"/>
        <v>6.8992871486951421E-2</v>
      </c>
      <c r="JF144" s="19">
        <f t="shared" si="522"/>
        <v>2.7614008566389523E-3</v>
      </c>
      <c r="JH144" s="12" t="s">
        <v>37</v>
      </c>
      <c r="JI144" s="12" t="s">
        <v>37</v>
      </c>
      <c r="JJ144" s="13" t="s">
        <v>37</v>
      </c>
      <c r="JL144" s="12" t="s">
        <v>37</v>
      </c>
      <c r="JM144" s="12" t="s">
        <v>37</v>
      </c>
      <c r="JN144" s="12" t="s">
        <v>37</v>
      </c>
      <c r="JS144" s="12" t="s">
        <v>37</v>
      </c>
      <c r="JT144" s="12" t="s">
        <v>37</v>
      </c>
      <c r="JU144" s="13" t="s">
        <v>37</v>
      </c>
      <c r="JW144" s="12" t="s">
        <v>37</v>
      </c>
      <c r="JX144" s="12" t="s">
        <v>37</v>
      </c>
      <c r="JY144" s="12" t="s">
        <v>37</v>
      </c>
      <c r="KE144" s="11" t="s">
        <v>37</v>
      </c>
      <c r="KF144" s="11" t="s">
        <v>37</v>
      </c>
      <c r="KG144" s="13" t="s">
        <v>37</v>
      </c>
      <c r="KH144" s="11" t="s">
        <v>37</v>
      </c>
      <c r="KI144" s="11" t="s">
        <v>37</v>
      </c>
      <c r="KJ144" s="11" t="s">
        <v>37</v>
      </c>
      <c r="KK144" s="12" t="s">
        <v>42</v>
      </c>
      <c r="KL144" s="12" t="s">
        <v>345</v>
      </c>
      <c r="KM144" s="12">
        <v>25</v>
      </c>
      <c r="KN144" s="12">
        <f t="shared" si="561"/>
        <v>2.8284271247461903</v>
      </c>
      <c r="KO144" s="11">
        <v>8</v>
      </c>
      <c r="KP144" s="19">
        <f t="shared" si="523"/>
        <v>0.11313708498984761</v>
      </c>
      <c r="KQ144" s="12">
        <v>32</v>
      </c>
      <c r="KR144" s="12">
        <f>4*SQRT(8)</f>
        <v>11.313708498984761</v>
      </c>
      <c r="KS144" s="13">
        <v>8</v>
      </c>
      <c r="KT144" s="19">
        <f t="shared" si="524"/>
        <v>0.35355339059327379</v>
      </c>
      <c r="KU144" s="19">
        <f t="shared" si="525"/>
        <v>0.24686007793152581</v>
      </c>
      <c r="KV144" s="19">
        <f t="shared" si="526"/>
        <v>1.7225000000000004E-2</v>
      </c>
      <c r="KX144" s="12" t="s">
        <v>37</v>
      </c>
      <c r="KY144" s="12" t="s">
        <v>37</v>
      </c>
      <c r="KZ144" s="13" t="s">
        <v>37</v>
      </c>
      <c r="LB144" s="12" t="s">
        <v>37</v>
      </c>
      <c r="LC144" s="12" t="s">
        <v>37</v>
      </c>
      <c r="LD144" s="13" t="s">
        <v>37</v>
      </c>
      <c r="LI144" s="12" t="s">
        <v>37</v>
      </c>
      <c r="LJ144" s="12" t="s">
        <v>37</v>
      </c>
      <c r="LK144" s="12" t="s">
        <v>37</v>
      </c>
      <c r="LM144" s="12" t="s">
        <v>37</v>
      </c>
      <c r="LN144" s="12" t="s">
        <v>37</v>
      </c>
      <c r="LO144" s="12" t="s">
        <v>37</v>
      </c>
      <c r="LT144" s="12" t="str">
        <f t="shared" si="527"/>
        <v>0-10</v>
      </c>
      <c r="LU144" s="12">
        <f t="shared" si="528"/>
        <v>21.6</v>
      </c>
      <c r="LV144" s="12">
        <f t="shared" si="529"/>
        <v>2.6929478271960638</v>
      </c>
      <c r="LW144" s="13">
        <f t="shared" si="530"/>
        <v>8</v>
      </c>
      <c r="LX144" s="19">
        <f t="shared" si="531"/>
        <v>0.12467351051833628</v>
      </c>
      <c r="LY144" s="12">
        <f t="shared" si="532"/>
        <v>16.25</v>
      </c>
      <c r="LZ144" s="12">
        <f t="shared" si="533"/>
        <v>8.6715230784447552</v>
      </c>
      <c r="MA144" s="13">
        <f t="shared" si="534"/>
        <v>8</v>
      </c>
      <c r="MB144" s="19">
        <f t="shared" si="535"/>
        <v>0.53363218944275415</v>
      </c>
      <c r="MC144" s="19">
        <f t="shared" si="536"/>
        <v>-0.28460040591437291</v>
      </c>
      <c r="MD144" s="19">
        <f t="shared" si="537"/>
        <v>3.7538349729304143E-2</v>
      </c>
      <c r="MF144" s="12" t="s">
        <v>37</v>
      </c>
      <c r="MG144" s="12" t="s">
        <v>37</v>
      </c>
      <c r="MH144" s="12" t="s">
        <v>37</v>
      </c>
      <c r="MJ144" s="12" t="s">
        <v>37</v>
      </c>
      <c r="MK144" s="12" t="s">
        <v>37</v>
      </c>
      <c r="ML144" s="12" t="s">
        <v>37</v>
      </c>
      <c r="MQ144" s="12" t="s">
        <v>37</v>
      </c>
      <c r="MR144" s="12" t="s">
        <v>37</v>
      </c>
      <c r="MS144" s="12" t="s">
        <v>37</v>
      </c>
      <c r="MU144" s="12" t="s">
        <v>37</v>
      </c>
      <c r="MV144" s="12" t="s">
        <v>37</v>
      </c>
      <c r="MW144" s="12" t="s">
        <v>37</v>
      </c>
      <c r="NC144" s="12" t="s">
        <v>37</v>
      </c>
      <c r="ND144" s="12" t="s">
        <v>37</v>
      </c>
      <c r="NE144" s="13" t="s">
        <v>37</v>
      </c>
      <c r="NG144" s="12" t="s">
        <v>37</v>
      </c>
      <c r="NH144" s="12" t="s">
        <v>37</v>
      </c>
      <c r="NI144" s="13" t="s">
        <v>37</v>
      </c>
      <c r="NO144" s="12" t="s">
        <v>37</v>
      </c>
      <c r="NP144" s="12" t="s">
        <v>37</v>
      </c>
      <c r="NQ144" s="13" t="s">
        <v>37</v>
      </c>
      <c r="NS144" s="12" t="s">
        <v>37</v>
      </c>
      <c r="NT144" s="12" t="s">
        <v>37</v>
      </c>
      <c r="NU144" s="13" t="s">
        <v>37</v>
      </c>
      <c r="OA144" s="12" t="s">
        <v>37</v>
      </c>
      <c r="OB144" s="12" t="s">
        <v>37</v>
      </c>
      <c r="OC144" s="13" t="s">
        <v>37</v>
      </c>
      <c r="OE144" s="12" t="s">
        <v>37</v>
      </c>
      <c r="OF144" s="12" t="s">
        <v>37</v>
      </c>
      <c r="OG144" s="13" t="s">
        <v>37</v>
      </c>
      <c r="OM144" s="12" t="s">
        <v>37</v>
      </c>
      <c r="ON144" s="12" t="s">
        <v>37</v>
      </c>
      <c r="OO144" s="12" t="s">
        <v>37</v>
      </c>
      <c r="OP144" s="12" t="s">
        <v>37</v>
      </c>
      <c r="OQ144" s="12" t="s">
        <v>37</v>
      </c>
      <c r="OR144" s="12" t="s">
        <v>37</v>
      </c>
      <c r="OS144" s="12"/>
      <c r="OT144" s="12"/>
      <c r="OW144" s="12" t="s">
        <v>37</v>
      </c>
      <c r="OX144" s="12" t="s">
        <v>37</v>
      </c>
      <c r="OY144" s="13" t="s">
        <v>37</v>
      </c>
      <c r="OZ144" s="12" t="s">
        <v>37</v>
      </c>
      <c r="PA144" s="12" t="s">
        <v>37</v>
      </c>
      <c r="PB144" s="13" t="s">
        <v>37</v>
      </c>
      <c r="PG144" s="11" t="s">
        <v>37</v>
      </c>
      <c r="PH144" s="11" t="s">
        <v>37</v>
      </c>
      <c r="PI144" s="13" t="s">
        <v>37</v>
      </c>
      <c r="PJ144" s="11" t="s">
        <v>37</v>
      </c>
      <c r="PK144" s="11" t="s">
        <v>37</v>
      </c>
      <c r="PL144" s="13" t="s">
        <v>37</v>
      </c>
      <c r="PQ144" s="12" t="s">
        <v>37</v>
      </c>
      <c r="PR144" s="12" t="s">
        <v>37</v>
      </c>
      <c r="PS144" s="12" t="s">
        <v>37</v>
      </c>
      <c r="PT144" s="12" t="s">
        <v>37</v>
      </c>
      <c r="PU144" s="12" t="s">
        <v>37</v>
      </c>
      <c r="PV144" s="12" t="s">
        <v>37</v>
      </c>
      <c r="PW144" s="12"/>
      <c r="PX144" s="12"/>
      <c r="PZ144" s="12" t="s">
        <v>37</v>
      </c>
      <c r="QA144" s="12" t="s">
        <v>37</v>
      </c>
      <c r="QB144" s="11" t="s">
        <v>37</v>
      </c>
      <c r="QD144" s="12" t="s">
        <v>37</v>
      </c>
      <c r="QE144" s="12" t="s">
        <v>37</v>
      </c>
      <c r="QF144" s="12" t="s">
        <v>37</v>
      </c>
      <c r="QK144" s="12" t="s">
        <v>37</v>
      </c>
      <c r="QL144" s="12" t="s">
        <v>37</v>
      </c>
      <c r="QM144" s="12" t="s">
        <v>37</v>
      </c>
      <c r="QN144" s="12" t="s">
        <v>37</v>
      </c>
      <c r="QO144" s="12" t="s">
        <v>37</v>
      </c>
      <c r="QP144" s="12" t="s">
        <v>37</v>
      </c>
      <c r="QQ144" s="12"/>
      <c r="QR144" s="12"/>
      <c r="QU144" s="12" t="s">
        <v>37</v>
      </c>
      <c r="QV144" s="12" t="s">
        <v>37</v>
      </c>
      <c r="QW144" s="12" t="s">
        <v>37</v>
      </c>
      <c r="QX144" s="12" t="s">
        <v>37</v>
      </c>
      <c r="QY144" s="12" t="s">
        <v>37</v>
      </c>
      <c r="QZ144" s="12" t="s">
        <v>37</v>
      </c>
      <c r="RC144" s="12" t="s">
        <v>37</v>
      </c>
      <c r="RD144" s="12" t="s">
        <v>37</v>
      </c>
      <c r="RE144" s="13" t="s">
        <v>37</v>
      </c>
      <c r="RF144" s="12" t="s">
        <v>37</v>
      </c>
      <c r="RG144" s="12" t="s">
        <v>37</v>
      </c>
      <c r="RH144" s="13" t="s">
        <v>37</v>
      </c>
      <c r="RK144" s="12" t="s">
        <v>37</v>
      </c>
      <c r="RL144" s="12" t="s">
        <v>37</v>
      </c>
      <c r="RM144" s="11" t="s">
        <v>37</v>
      </c>
      <c r="RN144" s="12" t="s">
        <v>37</v>
      </c>
      <c r="RO144" s="12" t="s">
        <v>37</v>
      </c>
      <c r="RP144" s="11" t="s">
        <v>37</v>
      </c>
      <c r="RS144" s="12" t="s">
        <v>37</v>
      </c>
      <c r="RT144" s="12" t="s">
        <v>37</v>
      </c>
      <c r="RU144" s="12" t="s">
        <v>37</v>
      </c>
      <c r="RV144" s="12" t="s">
        <v>37</v>
      </c>
      <c r="RW144" s="12" t="s">
        <v>37</v>
      </c>
      <c r="RX144" s="12" t="s">
        <v>37</v>
      </c>
      <c r="SA144" s="12" t="s">
        <v>37</v>
      </c>
      <c r="SB144" s="12" t="s">
        <v>37</v>
      </c>
      <c r="SC144" s="12" t="s">
        <v>37</v>
      </c>
      <c r="SD144" s="12" t="s">
        <v>37</v>
      </c>
      <c r="SE144" s="12" t="s">
        <v>37</v>
      </c>
      <c r="SF144" s="12" t="s">
        <v>37</v>
      </c>
      <c r="SI144" s="12" t="s">
        <v>37</v>
      </c>
      <c r="SJ144" s="12" t="s">
        <v>37</v>
      </c>
      <c r="SK144" s="13" t="s">
        <v>37</v>
      </c>
      <c r="SM144" s="12" t="s">
        <v>37</v>
      </c>
      <c r="SN144" s="12" t="s">
        <v>37</v>
      </c>
      <c r="SO144" s="13" t="s">
        <v>37</v>
      </c>
      <c r="SU144" s="12" t="s">
        <v>37</v>
      </c>
      <c r="SV144" s="12" t="s">
        <v>37</v>
      </c>
      <c r="SW144" s="11" t="s">
        <v>37</v>
      </c>
      <c r="SX144" s="12" t="s">
        <v>37</v>
      </c>
      <c r="SY144" s="12" t="s">
        <v>37</v>
      </c>
      <c r="SZ144" s="11" t="s">
        <v>37</v>
      </c>
      <c r="TE144" s="12" t="s">
        <v>37</v>
      </c>
      <c r="TF144" s="12" t="s">
        <v>37</v>
      </c>
      <c r="TG144" s="11" t="s">
        <v>37</v>
      </c>
      <c r="TH144" s="12" t="s">
        <v>37</v>
      </c>
      <c r="TI144" s="12" t="s">
        <v>37</v>
      </c>
      <c r="TJ144" s="11" t="s">
        <v>37</v>
      </c>
      <c r="TO144" s="12" t="s">
        <v>37</v>
      </c>
      <c r="TP144" s="12" t="s">
        <v>37</v>
      </c>
      <c r="TQ144" s="11" t="s">
        <v>37</v>
      </c>
      <c r="TR144" s="12" t="s">
        <v>37</v>
      </c>
      <c r="TS144" s="12" t="s">
        <v>37</v>
      </c>
      <c r="TT144" s="11" t="s">
        <v>37</v>
      </c>
      <c r="TY144" s="12" t="s">
        <v>37</v>
      </c>
      <c r="TZ144" s="12" t="s">
        <v>37</v>
      </c>
      <c r="UA144" s="12" t="s">
        <v>37</v>
      </c>
      <c r="UB144" s="12" t="s">
        <v>37</v>
      </c>
      <c r="UC144" s="12" t="s">
        <v>37</v>
      </c>
      <c r="UD144" s="12" t="s">
        <v>37</v>
      </c>
      <c r="UE144" s="12"/>
      <c r="UF144" s="12"/>
      <c r="UI144" s="12" t="s">
        <v>37</v>
      </c>
      <c r="UJ144" s="12" t="s">
        <v>37</v>
      </c>
      <c r="UK144" s="12" t="s">
        <v>37</v>
      </c>
      <c r="UL144" s="12" t="s">
        <v>37</v>
      </c>
      <c r="UM144" s="12" t="s">
        <v>37</v>
      </c>
      <c r="UN144" s="12" t="s">
        <v>37</v>
      </c>
      <c r="UO144" s="12"/>
      <c r="UP144" s="12"/>
      <c r="UR144" s="12" t="s">
        <v>37</v>
      </c>
      <c r="US144" s="12" t="s">
        <v>37</v>
      </c>
      <c r="UT144" s="12" t="s">
        <v>37</v>
      </c>
      <c r="UU144" s="12" t="s">
        <v>37</v>
      </c>
      <c r="UV144" s="12" t="s">
        <v>37</v>
      </c>
      <c r="UW144" s="12" t="s">
        <v>37</v>
      </c>
      <c r="UX144" s="12"/>
      <c r="UY144" s="12"/>
      <c r="VB144" s="12" t="s">
        <v>37</v>
      </c>
      <c r="VC144" s="12" t="s">
        <v>37</v>
      </c>
      <c r="VD144" s="12" t="s">
        <v>37</v>
      </c>
      <c r="VE144" s="12" t="s">
        <v>37</v>
      </c>
      <c r="VF144" s="12" t="s">
        <v>37</v>
      </c>
      <c r="VG144" s="12" t="s">
        <v>37</v>
      </c>
      <c r="VI144" s="12" t="s">
        <v>37</v>
      </c>
      <c r="VJ144" s="12" t="s">
        <v>37</v>
      </c>
      <c r="VK144" s="12" t="s">
        <v>37</v>
      </c>
      <c r="VL144" s="12" t="s">
        <v>37</v>
      </c>
      <c r="VM144" s="12" t="s">
        <v>37</v>
      </c>
      <c r="VN144" s="12" t="s">
        <v>37</v>
      </c>
      <c r="VQ144" s="13" t="s">
        <v>37</v>
      </c>
      <c r="VR144" s="13" t="s">
        <v>37</v>
      </c>
      <c r="VS144" s="13" t="s">
        <v>37</v>
      </c>
      <c r="VT144" s="13" t="s">
        <v>37</v>
      </c>
      <c r="VU144" s="13" t="s">
        <v>37</v>
      </c>
      <c r="VV144" s="13" t="s">
        <v>37</v>
      </c>
      <c r="WA144" s="13" t="s">
        <v>37</v>
      </c>
      <c r="WB144" s="13" t="s">
        <v>37</v>
      </c>
      <c r="WC144" s="13" t="s">
        <v>37</v>
      </c>
      <c r="WD144" s="13" t="s">
        <v>37</v>
      </c>
      <c r="WE144" s="13" t="s">
        <v>37</v>
      </c>
      <c r="WF144" s="13" t="s">
        <v>37</v>
      </c>
    </row>
    <row r="145" spans="1:604" ht="18" customHeight="1" x14ac:dyDescent="0.3">
      <c r="A145" s="11">
        <v>34</v>
      </c>
      <c r="B145" s="16" t="s">
        <v>237</v>
      </c>
      <c r="C145" s="12" t="s">
        <v>26</v>
      </c>
      <c r="D145" s="12" t="s">
        <v>54</v>
      </c>
      <c r="E145" s="40">
        <v>1.6</v>
      </c>
      <c r="F145" s="14">
        <v>0</v>
      </c>
      <c r="G145" s="14">
        <v>0</v>
      </c>
      <c r="H145" s="12" t="s">
        <v>113</v>
      </c>
      <c r="I145" s="29">
        <v>58.436999999999998</v>
      </c>
      <c r="J145" s="29">
        <v>25.236999999999998</v>
      </c>
      <c r="K145" s="12" t="s">
        <v>722</v>
      </c>
      <c r="L145" s="12" t="s">
        <v>723</v>
      </c>
      <c r="M145" s="13" t="s">
        <v>37</v>
      </c>
      <c r="N145" s="14">
        <v>11.7</v>
      </c>
      <c r="O145" s="14">
        <v>760</v>
      </c>
      <c r="P145" s="16" t="s">
        <v>16</v>
      </c>
      <c r="Q145" s="75">
        <v>40</v>
      </c>
      <c r="R145" s="11" t="s">
        <v>1000</v>
      </c>
      <c r="S145" s="12" t="s">
        <v>93</v>
      </c>
      <c r="T145" s="12" t="s">
        <v>141</v>
      </c>
      <c r="U145" s="12" t="s">
        <v>158</v>
      </c>
      <c r="V145" s="12" t="s">
        <v>275</v>
      </c>
      <c r="W145" s="23" t="s">
        <v>49</v>
      </c>
      <c r="X145" s="12" t="s">
        <v>49</v>
      </c>
      <c r="Y145" s="12" t="s">
        <v>69</v>
      </c>
      <c r="Z145" s="12" t="s">
        <v>37</v>
      </c>
      <c r="AB145" s="12" t="s">
        <v>37</v>
      </c>
      <c r="AE145" s="12" t="s">
        <v>37</v>
      </c>
      <c r="AH145" s="12" t="s">
        <v>37</v>
      </c>
      <c r="AK145" s="12" t="s">
        <v>37</v>
      </c>
      <c r="AL145" s="32" t="s">
        <v>531</v>
      </c>
      <c r="AM145" s="13" t="s">
        <v>344</v>
      </c>
      <c r="AO145" s="12" t="s">
        <v>37</v>
      </c>
      <c r="AP145" s="12" t="s">
        <v>238</v>
      </c>
      <c r="AQ145" s="12" t="s">
        <v>975</v>
      </c>
      <c r="AT145" s="12" t="s">
        <v>326</v>
      </c>
      <c r="AU145" s="12" t="s">
        <v>326</v>
      </c>
      <c r="AV145" s="13" t="s">
        <v>326</v>
      </c>
      <c r="AX145" s="12" t="s">
        <v>326</v>
      </c>
      <c r="AY145" s="12" t="s">
        <v>326</v>
      </c>
      <c r="AZ145" s="13" t="s">
        <v>326</v>
      </c>
      <c r="BE145" s="12" t="s">
        <v>326</v>
      </c>
      <c r="BF145" s="12" t="s">
        <v>326</v>
      </c>
      <c r="BG145" s="12" t="s">
        <v>326</v>
      </c>
      <c r="BI145" s="12" t="s">
        <v>326</v>
      </c>
      <c r="BJ145" s="12" t="s">
        <v>326</v>
      </c>
      <c r="BK145" s="12" t="s">
        <v>326</v>
      </c>
      <c r="BP145" s="12" t="s">
        <v>37</v>
      </c>
      <c r="BQ145" s="12" t="s">
        <v>37</v>
      </c>
      <c r="BR145" s="13" t="s">
        <v>37</v>
      </c>
      <c r="BT145" s="12" t="s">
        <v>37</v>
      </c>
      <c r="BU145" s="12" t="s">
        <v>37</v>
      </c>
      <c r="BV145" s="12" t="s">
        <v>37</v>
      </c>
      <c r="CA145" s="12" t="s">
        <v>37</v>
      </c>
      <c r="CB145" s="12" t="s">
        <v>37</v>
      </c>
      <c r="CC145" s="13" t="s">
        <v>37</v>
      </c>
      <c r="CE145" s="12" t="s">
        <v>37</v>
      </c>
      <c r="CF145" s="12" t="s">
        <v>37</v>
      </c>
      <c r="CG145" s="13" t="s">
        <v>37</v>
      </c>
      <c r="CI145" s="52"/>
      <c r="CJ145" s="52"/>
      <c r="CK145" s="73"/>
      <c r="CL145" s="73"/>
      <c r="CN145" s="12" t="s">
        <v>37</v>
      </c>
      <c r="CO145" s="12" t="s">
        <v>37</v>
      </c>
      <c r="CP145" s="13" t="s">
        <v>37</v>
      </c>
      <c r="CR145" s="12" t="s">
        <v>37</v>
      </c>
      <c r="CS145" s="12" t="s">
        <v>37</v>
      </c>
      <c r="CT145" s="13" t="s">
        <v>37</v>
      </c>
      <c r="CV145" s="52"/>
      <c r="CW145" s="52"/>
      <c r="CX145" s="73"/>
      <c r="CY145" s="73"/>
      <c r="DA145" s="12" t="s">
        <v>37</v>
      </c>
      <c r="DB145" s="12" t="s">
        <v>37</v>
      </c>
      <c r="DC145" s="13" t="s">
        <v>37</v>
      </c>
      <c r="DE145" s="12" t="s">
        <v>37</v>
      </c>
      <c r="DF145" s="12" t="s">
        <v>37</v>
      </c>
      <c r="DG145" s="13" t="s">
        <v>37</v>
      </c>
      <c r="DI145" s="52"/>
      <c r="DJ145" s="52"/>
      <c r="DK145" s="73"/>
      <c r="DL145" s="73"/>
      <c r="DM145" s="12" t="s">
        <v>47</v>
      </c>
      <c r="DN145" s="19">
        <f>2090.1*16/12*365*24*10^4/10^9</f>
        <v>244.12367999999998</v>
      </c>
      <c r="DO145" s="50">
        <f>ABS(DN145)*DQ$474</f>
        <v>272.16843482550502</v>
      </c>
      <c r="DP145" s="13">
        <v>4</v>
      </c>
      <c r="DR145" s="19">
        <f>1630*16/12*365*24*10^4/10^9</f>
        <v>190.38399999999999</v>
      </c>
      <c r="DS145" s="50">
        <f>ABS(DR145)*DU$474</f>
        <v>711.50618703703014</v>
      </c>
      <c r="DT145" s="13">
        <v>6</v>
      </c>
      <c r="DV145" s="19">
        <f t="shared" si="509"/>
        <v>-53.739679999999993</v>
      </c>
      <c r="DW145" s="12">
        <f t="shared" si="485"/>
        <v>586.66773408228721</v>
      </c>
      <c r="DX145" s="72">
        <f t="shared" si="345"/>
        <v>143407.92925551886</v>
      </c>
      <c r="DY145" s="72">
        <f t="shared" si="346"/>
        <v>102892.42326083686</v>
      </c>
      <c r="DZ145" s="11" t="s">
        <v>47</v>
      </c>
      <c r="EA145" s="19">
        <f>-0.5*44/28*365*24*10^4/10^9</f>
        <v>-6.8828571428571433E-2</v>
      </c>
      <c r="EB145" s="50">
        <f>ABS(EA145)*ED$474</f>
        <v>0.39576270143804132</v>
      </c>
      <c r="EC145" s="72">
        <v>4</v>
      </c>
      <c r="EE145" s="19">
        <f>1.4*44/28*365*24*10^4/10^9</f>
        <v>0.19271999999999997</v>
      </c>
      <c r="EF145" s="50">
        <f>ABS(EE145)*EH$474</f>
        <v>0.28775782163506208</v>
      </c>
      <c r="EG145" s="13">
        <v>4</v>
      </c>
      <c r="EI145" s="19">
        <f t="shared" si="558"/>
        <v>0.26154857142857141</v>
      </c>
      <c r="EJ145" s="12">
        <f t="shared" si="550"/>
        <v>0.34600049115694365</v>
      </c>
      <c r="EK145" s="19">
        <f t="shared" si="551"/>
        <v>5.985816994042311E-2</v>
      </c>
      <c r="EL145" s="19">
        <f t="shared" si="552"/>
        <v>5.985816994042311E-2</v>
      </c>
      <c r="EM145" s="12" t="s">
        <v>39</v>
      </c>
      <c r="EN145" s="12">
        <f>-AVERAGEA(7,4,3,6)</f>
        <v>-5</v>
      </c>
      <c r="EO145" s="50">
        <f>ABS(EN145)*EQ$474</f>
        <v>2.0374819937564665</v>
      </c>
      <c r="EP145" s="13">
        <v>4</v>
      </c>
      <c r="ER145" s="12">
        <f>-AVERAGEA(15,1,0,4,13,13)</f>
        <v>-7.666666666666667</v>
      </c>
      <c r="ES145" s="50">
        <f>ABS(ER145)*EU$474</f>
        <v>1.7389077435704887</v>
      </c>
      <c r="ET145" s="13">
        <v>6</v>
      </c>
      <c r="EV145" s="19">
        <f t="shared" si="512"/>
        <v>-2.666666666666667</v>
      </c>
      <c r="EW145" s="12">
        <f t="shared" si="489"/>
        <v>1.8565087977132144</v>
      </c>
      <c r="EX145" s="19">
        <f t="shared" si="490"/>
        <v>1.436093714994402</v>
      </c>
      <c r="EY145" s="19">
        <f t="shared" si="491"/>
        <v>1.5417999088286911</v>
      </c>
      <c r="FB145" s="12" t="s">
        <v>37</v>
      </c>
      <c r="FC145" s="12" t="s">
        <v>37</v>
      </c>
      <c r="FD145" s="11" t="s">
        <v>37</v>
      </c>
      <c r="FE145" s="12" t="s">
        <v>37</v>
      </c>
      <c r="FF145" s="20" t="s">
        <v>37</v>
      </c>
      <c r="FG145" s="11" t="s">
        <v>37</v>
      </c>
      <c r="FI145" s="12" t="s">
        <v>37</v>
      </c>
      <c r="FJ145" s="12" t="s">
        <v>37</v>
      </c>
      <c r="FK145" s="11" t="s">
        <v>37</v>
      </c>
      <c r="FL145" s="13" t="s">
        <v>37</v>
      </c>
      <c r="FM145" s="11" t="s">
        <v>37</v>
      </c>
      <c r="FN145" s="11" t="s">
        <v>37</v>
      </c>
      <c r="FP145" s="12" t="s">
        <v>37</v>
      </c>
      <c r="FQ145" s="12" t="s">
        <v>37</v>
      </c>
      <c r="FR145" s="11" t="s">
        <v>37</v>
      </c>
      <c r="FS145" s="13" t="s">
        <v>37</v>
      </c>
      <c r="FT145" s="11" t="s">
        <v>37</v>
      </c>
      <c r="FU145" s="11" t="s">
        <v>37</v>
      </c>
      <c r="FW145" s="12" t="s">
        <v>37</v>
      </c>
      <c r="FX145" s="12" t="s">
        <v>37</v>
      </c>
      <c r="FY145" s="11" t="s">
        <v>37</v>
      </c>
      <c r="FZ145" s="13" t="s">
        <v>37</v>
      </c>
      <c r="GA145" s="11" t="s">
        <v>37</v>
      </c>
      <c r="GB145" s="11" t="s">
        <v>37</v>
      </c>
      <c r="IK145" s="12" t="s">
        <v>37</v>
      </c>
      <c r="IL145" s="12" t="s">
        <v>37</v>
      </c>
      <c r="IM145" s="12" t="s">
        <v>37</v>
      </c>
      <c r="IO145" s="12" t="s">
        <v>37</v>
      </c>
      <c r="IP145" s="12" t="s">
        <v>37</v>
      </c>
      <c r="IQ145" s="12" t="s">
        <v>37</v>
      </c>
      <c r="IW145" s="12" t="s">
        <v>37</v>
      </c>
      <c r="IX145" s="12" t="s">
        <v>37</v>
      </c>
      <c r="IY145" s="13" t="s">
        <v>37</v>
      </c>
      <c r="JA145" s="12" t="s">
        <v>37</v>
      </c>
      <c r="JB145" s="12" t="s">
        <v>37</v>
      </c>
      <c r="JC145" s="13" t="s">
        <v>37</v>
      </c>
      <c r="JH145" s="12" t="s">
        <v>37</v>
      </c>
      <c r="JI145" s="12" t="s">
        <v>37</v>
      </c>
      <c r="JJ145" s="13" t="s">
        <v>37</v>
      </c>
      <c r="JL145" s="12" t="s">
        <v>37</v>
      </c>
      <c r="JM145" s="12" t="s">
        <v>37</v>
      </c>
      <c r="JN145" s="12" t="s">
        <v>37</v>
      </c>
      <c r="JS145" s="12" t="s">
        <v>37</v>
      </c>
      <c r="JT145" s="12" t="s">
        <v>37</v>
      </c>
      <c r="JU145" s="13" t="s">
        <v>37</v>
      </c>
      <c r="JW145" s="12" t="s">
        <v>37</v>
      </c>
      <c r="JX145" s="12" t="s">
        <v>37</v>
      </c>
      <c r="JY145" s="12" t="s">
        <v>37</v>
      </c>
      <c r="KE145" s="11" t="s">
        <v>37</v>
      </c>
      <c r="KF145" s="11" t="s">
        <v>37</v>
      </c>
      <c r="KG145" s="13" t="s">
        <v>37</v>
      </c>
      <c r="KH145" s="11" t="s">
        <v>37</v>
      </c>
      <c r="KI145" s="11" t="s">
        <v>37</v>
      </c>
      <c r="KJ145" s="11" t="s">
        <v>37</v>
      </c>
      <c r="KM145" s="12" t="s">
        <v>37</v>
      </c>
      <c r="KN145" s="12" t="s">
        <v>37</v>
      </c>
      <c r="KO145" s="11" t="s">
        <v>37</v>
      </c>
      <c r="KQ145" s="12" t="s">
        <v>37</v>
      </c>
      <c r="KR145" s="12" t="s">
        <v>37</v>
      </c>
      <c r="KS145" s="13" t="s">
        <v>37</v>
      </c>
      <c r="KX145" s="12" t="s">
        <v>37</v>
      </c>
      <c r="KY145" s="12" t="s">
        <v>37</v>
      </c>
      <c r="KZ145" s="13" t="s">
        <v>37</v>
      </c>
      <c r="LB145" s="12" t="s">
        <v>37</v>
      </c>
      <c r="LC145" s="12" t="s">
        <v>37</v>
      </c>
      <c r="LD145" s="13" t="s">
        <v>37</v>
      </c>
      <c r="LI145" s="12" t="s">
        <v>37</v>
      </c>
      <c r="LJ145" s="12" t="s">
        <v>37</v>
      </c>
      <c r="LK145" s="12" t="s">
        <v>37</v>
      </c>
      <c r="LM145" s="12" t="s">
        <v>37</v>
      </c>
      <c r="LN145" s="12" t="s">
        <v>37</v>
      </c>
      <c r="LO145" s="12" t="s">
        <v>37</v>
      </c>
      <c r="LU145" s="12" t="s">
        <v>37</v>
      </c>
      <c r="LV145" s="12" t="s">
        <v>37</v>
      </c>
      <c r="LW145" s="13" t="s">
        <v>37</v>
      </c>
      <c r="LY145" s="12" t="s">
        <v>37</v>
      </c>
      <c r="LZ145" s="12" t="s">
        <v>37</v>
      </c>
      <c r="MA145" s="12" t="s">
        <v>37</v>
      </c>
      <c r="MF145" s="12" t="s">
        <v>37</v>
      </c>
      <c r="MG145" s="12" t="s">
        <v>37</v>
      </c>
      <c r="MH145" s="12" t="s">
        <v>37</v>
      </c>
      <c r="MJ145" s="12" t="s">
        <v>37</v>
      </c>
      <c r="MK145" s="12" t="s">
        <v>37</v>
      </c>
      <c r="ML145" s="12" t="s">
        <v>37</v>
      </c>
      <c r="MQ145" s="12" t="s">
        <v>37</v>
      </c>
      <c r="MR145" s="12" t="s">
        <v>37</v>
      </c>
      <c r="MS145" s="12" t="s">
        <v>37</v>
      </c>
      <c r="MU145" s="12" t="s">
        <v>37</v>
      </c>
      <c r="MV145" s="12" t="s">
        <v>37</v>
      </c>
      <c r="MW145" s="12" t="s">
        <v>37</v>
      </c>
      <c r="NC145" s="12" t="s">
        <v>37</v>
      </c>
      <c r="ND145" s="12" t="s">
        <v>37</v>
      </c>
      <c r="NE145" s="13" t="s">
        <v>37</v>
      </c>
      <c r="NG145" s="12" t="s">
        <v>37</v>
      </c>
      <c r="NH145" s="12" t="s">
        <v>37</v>
      </c>
      <c r="NI145" s="13" t="s">
        <v>37</v>
      </c>
      <c r="NO145" s="12" t="s">
        <v>37</v>
      </c>
      <c r="NP145" s="12" t="s">
        <v>37</v>
      </c>
      <c r="NQ145" s="13" t="s">
        <v>37</v>
      </c>
      <c r="NS145" s="12" t="s">
        <v>37</v>
      </c>
      <c r="NT145" s="12" t="s">
        <v>37</v>
      </c>
      <c r="NU145" s="13" t="s">
        <v>37</v>
      </c>
      <c r="OA145" s="12" t="s">
        <v>37</v>
      </c>
      <c r="OB145" s="12" t="s">
        <v>37</v>
      </c>
      <c r="OC145" s="13" t="s">
        <v>37</v>
      </c>
      <c r="OE145" s="12" t="s">
        <v>37</v>
      </c>
      <c r="OF145" s="12" t="s">
        <v>37</v>
      </c>
      <c r="OG145" s="13" t="s">
        <v>37</v>
      </c>
      <c r="OM145" s="12" t="s">
        <v>37</v>
      </c>
      <c r="ON145" s="12" t="s">
        <v>37</v>
      </c>
      <c r="OO145" s="12" t="s">
        <v>37</v>
      </c>
      <c r="OP145" s="12" t="s">
        <v>37</v>
      </c>
      <c r="OQ145" s="12" t="s">
        <v>37</v>
      </c>
      <c r="OR145" s="12" t="s">
        <v>37</v>
      </c>
      <c r="OS145" s="12"/>
      <c r="OT145" s="12"/>
      <c r="OW145" s="12" t="s">
        <v>37</v>
      </c>
      <c r="OX145" s="12" t="s">
        <v>37</v>
      </c>
      <c r="OY145" s="13" t="s">
        <v>37</v>
      </c>
      <c r="OZ145" s="12" t="s">
        <v>37</v>
      </c>
      <c r="PA145" s="12" t="s">
        <v>37</v>
      </c>
      <c r="PB145" s="13" t="s">
        <v>37</v>
      </c>
      <c r="PG145" s="11" t="s">
        <v>37</v>
      </c>
      <c r="PH145" s="11" t="s">
        <v>37</v>
      </c>
      <c r="PI145" s="13" t="s">
        <v>37</v>
      </c>
      <c r="PJ145" s="11" t="s">
        <v>37</v>
      </c>
      <c r="PK145" s="11" t="s">
        <v>37</v>
      </c>
      <c r="PL145" s="13" t="s">
        <v>37</v>
      </c>
      <c r="PQ145" s="12" t="s">
        <v>37</v>
      </c>
      <c r="PR145" s="12" t="s">
        <v>37</v>
      </c>
      <c r="PS145" s="12" t="s">
        <v>37</v>
      </c>
      <c r="PT145" s="12" t="s">
        <v>37</v>
      </c>
      <c r="PU145" s="12" t="s">
        <v>37</v>
      </c>
      <c r="PV145" s="12" t="s">
        <v>37</v>
      </c>
      <c r="PW145" s="12"/>
      <c r="PX145" s="12"/>
      <c r="PZ145" s="12" t="s">
        <v>37</v>
      </c>
      <c r="QA145" s="12" t="s">
        <v>37</v>
      </c>
      <c r="QB145" s="11" t="s">
        <v>37</v>
      </c>
      <c r="QD145" s="12" t="s">
        <v>37</v>
      </c>
      <c r="QE145" s="12" t="s">
        <v>37</v>
      </c>
      <c r="QF145" s="12" t="s">
        <v>37</v>
      </c>
      <c r="QK145" s="12" t="s">
        <v>37</v>
      </c>
      <c r="QL145" s="12" t="s">
        <v>37</v>
      </c>
      <c r="QM145" s="12" t="s">
        <v>37</v>
      </c>
      <c r="QN145" s="12" t="s">
        <v>37</v>
      </c>
      <c r="QO145" s="12" t="s">
        <v>37</v>
      </c>
      <c r="QP145" s="12" t="s">
        <v>37</v>
      </c>
      <c r="QQ145" s="12"/>
      <c r="QR145" s="12"/>
      <c r="QU145" s="12" t="s">
        <v>37</v>
      </c>
      <c r="QV145" s="12" t="s">
        <v>37</v>
      </c>
      <c r="QW145" s="12" t="s">
        <v>37</v>
      </c>
      <c r="QX145" s="12" t="s">
        <v>37</v>
      </c>
      <c r="QY145" s="12" t="s">
        <v>37</v>
      </c>
      <c r="QZ145" s="12" t="s">
        <v>37</v>
      </c>
      <c r="RC145" s="12" t="s">
        <v>37</v>
      </c>
      <c r="RD145" s="12" t="s">
        <v>37</v>
      </c>
      <c r="RE145" s="13" t="s">
        <v>37</v>
      </c>
      <c r="RF145" s="12" t="s">
        <v>37</v>
      </c>
      <c r="RG145" s="12" t="s">
        <v>37</v>
      </c>
      <c r="RH145" s="13" t="s">
        <v>37</v>
      </c>
      <c r="RK145" s="12" t="s">
        <v>37</v>
      </c>
      <c r="RL145" s="12" t="s">
        <v>37</v>
      </c>
      <c r="RM145" s="11" t="s">
        <v>37</v>
      </c>
      <c r="RN145" s="12" t="s">
        <v>37</v>
      </c>
      <c r="RO145" s="12" t="s">
        <v>37</v>
      </c>
      <c r="RP145" s="11" t="s">
        <v>37</v>
      </c>
      <c r="RS145" s="12" t="s">
        <v>37</v>
      </c>
      <c r="RT145" s="12" t="s">
        <v>37</v>
      </c>
      <c r="RU145" s="12" t="s">
        <v>37</v>
      </c>
      <c r="RV145" s="12" t="s">
        <v>37</v>
      </c>
      <c r="RW145" s="12" t="s">
        <v>37</v>
      </c>
      <c r="RX145" s="12" t="s">
        <v>37</v>
      </c>
      <c r="SA145" s="12" t="s">
        <v>37</v>
      </c>
      <c r="SB145" s="12" t="s">
        <v>37</v>
      </c>
      <c r="SC145" s="12" t="s">
        <v>37</v>
      </c>
      <c r="SD145" s="12" t="s">
        <v>37</v>
      </c>
      <c r="SE145" s="12" t="s">
        <v>37</v>
      </c>
      <c r="SF145" s="12" t="s">
        <v>37</v>
      </c>
      <c r="SI145" s="12" t="s">
        <v>37</v>
      </c>
      <c r="SJ145" s="12" t="s">
        <v>37</v>
      </c>
      <c r="SK145" s="13" t="s">
        <v>37</v>
      </c>
      <c r="SM145" s="12" t="s">
        <v>37</v>
      </c>
      <c r="SN145" s="12" t="s">
        <v>37</v>
      </c>
      <c r="SO145" s="13" t="s">
        <v>37</v>
      </c>
      <c r="SU145" s="12" t="s">
        <v>37</v>
      </c>
      <c r="SV145" s="12" t="s">
        <v>37</v>
      </c>
      <c r="SW145" s="11" t="s">
        <v>37</v>
      </c>
      <c r="SX145" s="12" t="s">
        <v>37</v>
      </c>
      <c r="SY145" s="12" t="s">
        <v>37</v>
      </c>
      <c r="SZ145" s="11" t="s">
        <v>37</v>
      </c>
      <c r="TE145" s="12" t="s">
        <v>37</v>
      </c>
      <c r="TF145" s="12" t="s">
        <v>37</v>
      </c>
      <c r="TG145" s="11" t="s">
        <v>37</v>
      </c>
      <c r="TH145" s="12" t="s">
        <v>37</v>
      </c>
      <c r="TI145" s="12" t="s">
        <v>37</v>
      </c>
      <c r="TJ145" s="11" t="s">
        <v>37</v>
      </c>
      <c r="TO145" s="12" t="s">
        <v>37</v>
      </c>
      <c r="TP145" s="12" t="s">
        <v>37</v>
      </c>
      <c r="TQ145" s="11" t="s">
        <v>37</v>
      </c>
      <c r="TR145" s="12" t="s">
        <v>37</v>
      </c>
      <c r="TS145" s="12" t="s">
        <v>37</v>
      </c>
      <c r="TT145" s="11" t="s">
        <v>37</v>
      </c>
      <c r="TY145" s="12" t="s">
        <v>37</v>
      </c>
      <c r="TZ145" s="12" t="s">
        <v>37</v>
      </c>
      <c r="UA145" s="12" t="s">
        <v>37</v>
      </c>
      <c r="UB145" s="12" t="s">
        <v>37</v>
      </c>
      <c r="UC145" s="12" t="s">
        <v>37</v>
      </c>
      <c r="UD145" s="12" t="s">
        <v>37</v>
      </c>
      <c r="UE145" s="12"/>
      <c r="UF145" s="12"/>
      <c r="UI145" s="12" t="s">
        <v>37</v>
      </c>
      <c r="UJ145" s="12" t="s">
        <v>37</v>
      </c>
      <c r="UK145" s="12" t="s">
        <v>37</v>
      </c>
      <c r="UL145" s="12" t="s">
        <v>37</v>
      </c>
      <c r="UM145" s="12" t="s">
        <v>37</v>
      </c>
      <c r="UN145" s="12" t="s">
        <v>37</v>
      </c>
      <c r="UO145" s="12"/>
      <c r="UP145" s="12"/>
      <c r="UR145" s="12" t="s">
        <v>37</v>
      </c>
      <c r="US145" s="12" t="s">
        <v>37</v>
      </c>
      <c r="UT145" s="12" t="s">
        <v>37</v>
      </c>
      <c r="UU145" s="12" t="s">
        <v>37</v>
      </c>
      <c r="UV145" s="12" t="s">
        <v>37</v>
      </c>
      <c r="UW145" s="12" t="s">
        <v>37</v>
      </c>
      <c r="UX145" s="12"/>
      <c r="UY145" s="12"/>
      <c r="VB145" s="12" t="s">
        <v>37</v>
      </c>
      <c r="VC145" s="12" t="s">
        <v>37</v>
      </c>
      <c r="VD145" s="12" t="s">
        <v>37</v>
      </c>
      <c r="VE145" s="12" t="s">
        <v>37</v>
      </c>
      <c r="VF145" s="12" t="s">
        <v>37</v>
      </c>
      <c r="VG145" s="12" t="s">
        <v>37</v>
      </c>
      <c r="VI145" s="12" t="s">
        <v>37</v>
      </c>
      <c r="VJ145" s="12" t="s">
        <v>37</v>
      </c>
      <c r="VK145" s="12" t="s">
        <v>37</v>
      </c>
      <c r="VL145" s="12" t="s">
        <v>37</v>
      </c>
      <c r="VM145" s="12" t="s">
        <v>37</v>
      </c>
      <c r="VN145" s="12" t="s">
        <v>37</v>
      </c>
      <c r="VQ145" s="13" t="s">
        <v>37</v>
      </c>
      <c r="VR145" s="13" t="s">
        <v>37</v>
      </c>
      <c r="VS145" s="13" t="s">
        <v>37</v>
      </c>
      <c r="VT145" s="13" t="s">
        <v>37</v>
      </c>
      <c r="VU145" s="13" t="s">
        <v>37</v>
      </c>
      <c r="VV145" s="13" t="s">
        <v>37</v>
      </c>
      <c r="WA145" s="13" t="s">
        <v>37</v>
      </c>
      <c r="WB145" s="13" t="s">
        <v>37</v>
      </c>
      <c r="WC145" s="13" t="s">
        <v>37</v>
      </c>
      <c r="WD145" s="13" t="s">
        <v>37</v>
      </c>
      <c r="WE145" s="13" t="s">
        <v>37</v>
      </c>
      <c r="WF145" s="13" t="s">
        <v>37</v>
      </c>
    </row>
    <row r="146" spans="1:604" ht="18" customHeight="1" x14ac:dyDescent="0.3">
      <c r="A146" s="11">
        <v>34</v>
      </c>
      <c r="B146" s="16" t="s">
        <v>237</v>
      </c>
      <c r="C146" s="12" t="s">
        <v>26</v>
      </c>
      <c r="D146" s="12" t="s">
        <v>1050</v>
      </c>
      <c r="E146" s="40">
        <v>1.6</v>
      </c>
      <c r="F146" s="14">
        <v>0</v>
      </c>
      <c r="G146" s="14">
        <v>0</v>
      </c>
      <c r="H146" s="12" t="s">
        <v>113</v>
      </c>
      <c r="I146" s="29">
        <v>58.436999999999998</v>
      </c>
      <c r="J146" s="29">
        <v>25.236999999999998</v>
      </c>
      <c r="K146" s="12" t="s">
        <v>722</v>
      </c>
      <c r="L146" s="12" t="s">
        <v>723</v>
      </c>
      <c r="M146" s="13" t="s">
        <v>37</v>
      </c>
      <c r="N146" s="14">
        <v>11.7</v>
      </c>
      <c r="O146" s="14">
        <v>760</v>
      </c>
      <c r="P146" s="16" t="s">
        <v>16</v>
      </c>
      <c r="Q146" s="75" t="s">
        <v>326</v>
      </c>
      <c r="R146" s="11" t="s">
        <v>999</v>
      </c>
      <c r="S146" s="12" t="s">
        <v>93</v>
      </c>
      <c r="T146" s="12" t="s">
        <v>141</v>
      </c>
      <c r="U146" s="12" t="s">
        <v>158</v>
      </c>
      <c r="V146" s="12" t="s">
        <v>275</v>
      </c>
      <c r="W146" s="23" t="s">
        <v>49</v>
      </c>
      <c r="X146" s="12" t="s">
        <v>49</v>
      </c>
      <c r="Y146" s="12" t="s">
        <v>69</v>
      </c>
      <c r="Z146" s="12" t="s">
        <v>37</v>
      </c>
      <c r="AB146" s="12" t="s">
        <v>37</v>
      </c>
      <c r="AE146" s="12" t="s">
        <v>37</v>
      </c>
      <c r="AH146" s="12" t="s">
        <v>37</v>
      </c>
      <c r="AK146" s="12" t="s">
        <v>37</v>
      </c>
      <c r="AL146" s="32" t="s">
        <v>531</v>
      </c>
      <c r="AM146" s="13" t="s">
        <v>344</v>
      </c>
      <c r="AO146" s="12" t="s">
        <v>37</v>
      </c>
      <c r="AP146" s="12" t="s">
        <v>238</v>
      </c>
      <c r="AQ146" s="12" t="s">
        <v>975</v>
      </c>
      <c r="AT146" s="12" t="s">
        <v>326</v>
      </c>
      <c r="AU146" s="12" t="s">
        <v>326</v>
      </c>
      <c r="AV146" s="13" t="s">
        <v>326</v>
      </c>
      <c r="AX146" s="12" t="s">
        <v>326</v>
      </c>
      <c r="AY146" s="12" t="s">
        <v>326</v>
      </c>
      <c r="AZ146" s="13" t="s">
        <v>326</v>
      </c>
      <c r="BE146" s="12" t="s">
        <v>326</v>
      </c>
      <c r="BF146" s="12" t="s">
        <v>326</v>
      </c>
      <c r="BG146" s="12" t="s">
        <v>326</v>
      </c>
      <c r="BI146" s="12" t="s">
        <v>326</v>
      </c>
      <c r="BJ146" s="12" t="s">
        <v>326</v>
      </c>
      <c r="BK146" s="12" t="s">
        <v>326</v>
      </c>
      <c r="BP146" s="12" t="s">
        <v>37</v>
      </c>
      <c r="BQ146" s="12" t="s">
        <v>37</v>
      </c>
      <c r="BR146" s="13" t="s">
        <v>37</v>
      </c>
      <c r="BT146" s="12" t="s">
        <v>37</v>
      </c>
      <c r="BU146" s="12" t="s">
        <v>37</v>
      </c>
      <c r="BV146" s="12" t="s">
        <v>37</v>
      </c>
      <c r="CA146" s="12" t="s">
        <v>37</v>
      </c>
      <c r="CB146" s="12" t="s">
        <v>37</v>
      </c>
      <c r="CC146" s="13" t="s">
        <v>37</v>
      </c>
      <c r="CE146" s="12" t="s">
        <v>37</v>
      </c>
      <c r="CF146" s="12" t="s">
        <v>37</v>
      </c>
      <c r="CG146" s="13" t="s">
        <v>37</v>
      </c>
      <c r="CN146" s="12" t="s">
        <v>37</v>
      </c>
      <c r="CO146" s="12" t="s">
        <v>37</v>
      </c>
      <c r="CP146" s="13" t="s">
        <v>37</v>
      </c>
      <c r="CR146" s="12" t="s">
        <v>37</v>
      </c>
      <c r="CS146" s="12" t="s">
        <v>37</v>
      </c>
      <c r="CT146" s="13" t="s">
        <v>37</v>
      </c>
      <c r="CX146" s="72"/>
      <c r="CY146" s="72"/>
      <c r="DA146" s="12" t="s">
        <v>37</v>
      </c>
      <c r="DB146" s="12" t="s">
        <v>37</v>
      </c>
      <c r="DC146" s="13" t="s">
        <v>37</v>
      </c>
      <c r="DE146" s="12" t="s">
        <v>37</v>
      </c>
      <c r="DF146" s="12" t="s">
        <v>37</v>
      </c>
      <c r="DG146" s="13" t="s">
        <v>37</v>
      </c>
      <c r="DI146" s="52"/>
      <c r="DJ146" s="52"/>
      <c r="DK146" s="73"/>
      <c r="DL146" s="73"/>
      <c r="DM146" s="12" t="s">
        <v>47</v>
      </c>
      <c r="DN146" s="19">
        <f>2090.1*16/12*365*24*10^4/10^9</f>
        <v>244.12367999999998</v>
      </c>
      <c r="DO146" s="50">
        <f>ABS(DN146)*DQ$474</f>
        <v>272.16843482550502</v>
      </c>
      <c r="DP146" s="13">
        <v>4</v>
      </c>
      <c r="DR146" s="19">
        <f>57.4*16/12*365*24*10^4/10^9</f>
        <v>6.7043200000000001</v>
      </c>
      <c r="DS146" s="50">
        <f>ABS(DR146)*DU$474</f>
        <v>25.055493948420573</v>
      </c>
      <c r="DT146" s="13">
        <v>6</v>
      </c>
      <c r="DV146" s="19">
        <f t="shared" si="509"/>
        <v>-237.41935999999998</v>
      </c>
      <c r="DW146" s="12">
        <f t="shared" si="485"/>
        <v>167.84139076487219</v>
      </c>
      <c r="DX146" s="72">
        <f t="shared" si="345"/>
        <v>11737.805189119386</v>
      </c>
      <c r="DY146" s="72">
        <f t="shared" si="346"/>
        <v>18623.543858341181</v>
      </c>
      <c r="DZ146" s="11" t="s">
        <v>47</v>
      </c>
      <c r="EA146" s="19">
        <f>-0.5*44/28*365*24*10^4/10^9</f>
        <v>-6.8828571428571433E-2</v>
      </c>
      <c r="EB146" s="50">
        <f>ABS(EA146)*ED$474</f>
        <v>0.39576270143804132</v>
      </c>
      <c r="EC146" s="72">
        <v>4</v>
      </c>
      <c r="EE146" s="19">
        <f>33.4*44/28*365*24*10^4/10^9</f>
        <v>4.5977485714285713</v>
      </c>
      <c r="EF146" s="50">
        <f>ABS(EE146)*EH$474</f>
        <v>6.8650794590079105</v>
      </c>
      <c r="EG146" s="13">
        <v>4</v>
      </c>
      <c r="EI146" s="19">
        <f t="shared" si="558"/>
        <v>4.6665771428571423</v>
      </c>
      <c r="EJ146" s="12">
        <f t="shared" si="550"/>
        <v>4.8624039370635321</v>
      </c>
      <c r="EK146" s="19">
        <f t="shared" si="551"/>
        <v>11.82148602358547</v>
      </c>
      <c r="EL146" s="19">
        <f t="shared" si="552"/>
        <v>11.82148602358547</v>
      </c>
      <c r="EM146" s="12" t="s">
        <v>39</v>
      </c>
      <c r="EN146" s="12">
        <f>-AVERAGEA(7,4,3,6)</f>
        <v>-5</v>
      </c>
      <c r="EO146" s="50">
        <f>ABS(EN146)*EQ$474</f>
        <v>2.0374819937564665</v>
      </c>
      <c r="EP146" s="13">
        <v>4</v>
      </c>
      <c r="ER146" s="12">
        <f>-AVERAGEA(33, 41, 81, 60, 57)</f>
        <v>-54.4</v>
      </c>
      <c r="ES146" s="50">
        <f>ABS(ER146)*EU$474</f>
        <v>12.338684510900162</v>
      </c>
      <c r="ET146" s="13">
        <v>6</v>
      </c>
      <c r="EV146" s="19">
        <f t="shared" si="512"/>
        <v>-49.4</v>
      </c>
      <c r="EW146" s="12">
        <f t="shared" si="489"/>
        <v>9.8340586478973879</v>
      </c>
      <c r="EX146" s="19">
        <f t="shared" si="490"/>
        <v>40.29529562095226</v>
      </c>
      <c r="EY146" s="19">
        <f t="shared" si="491"/>
        <v>26.411689128641719</v>
      </c>
      <c r="FB146" s="12" t="s">
        <v>37</v>
      </c>
      <c r="FC146" s="12" t="s">
        <v>37</v>
      </c>
      <c r="FD146" s="11" t="s">
        <v>37</v>
      </c>
      <c r="FE146" s="12" t="s">
        <v>37</v>
      </c>
      <c r="FF146" s="20" t="s">
        <v>37</v>
      </c>
      <c r="FG146" s="11" t="s">
        <v>37</v>
      </c>
      <c r="FI146" s="12" t="s">
        <v>37</v>
      </c>
      <c r="FJ146" s="12" t="s">
        <v>37</v>
      </c>
      <c r="FK146" s="11" t="s">
        <v>37</v>
      </c>
      <c r="FL146" s="13" t="s">
        <v>37</v>
      </c>
      <c r="FM146" s="11" t="s">
        <v>37</v>
      </c>
      <c r="FN146" s="11" t="s">
        <v>37</v>
      </c>
      <c r="FP146" s="12" t="s">
        <v>37</v>
      </c>
      <c r="FQ146" s="12" t="s">
        <v>37</v>
      </c>
      <c r="FR146" s="11" t="s">
        <v>37</v>
      </c>
      <c r="FS146" s="13" t="s">
        <v>37</v>
      </c>
      <c r="FT146" s="11" t="s">
        <v>37</v>
      </c>
      <c r="FU146" s="11" t="s">
        <v>37</v>
      </c>
      <c r="FW146" s="12" t="s">
        <v>37</v>
      </c>
      <c r="FX146" s="12" t="s">
        <v>37</v>
      </c>
      <c r="FY146" s="11" t="s">
        <v>37</v>
      </c>
      <c r="FZ146" s="13" t="s">
        <v>37</v>
      </c>
      <c r="GA146" s="11" t="s">
        <v>37</v>
      </c>
      <c r="GB146" s="11" t="s">
        <v>37</v>
      </c>
      <c r="IK146" s="12" t="s">
        <v>37</v>
      </c>
      <c r="IL146" s="12" t="s">
        <v>37</v>
      </c>
      <c r="IM146" s="12" t="s">
        <v>37</v>
      </c>
      <c r="IO146" s="12" t="s">
        <v>37</v>
      </c>
      <c r="IP146" s="12" t="s">
        <v>37</v>
      </c>
      <c r="IQ146" s="12" t="s">
        <v>37</v>
      </c>
      <c r="IW146" s="12" t="s">
        <v>37</v>
      </c>
      <c r="IX146" s="12" t="s">
        <v>37</v>
      </c>
      <c r="IY146" s="13" t="s">
        <v>37</v>
      </c>
      <c r="JA146" s="12" t="s">
        <v>37</v>
      </c>
      <c r="JB146" s="12" t="s">
        <v>37</v>
      </c>
      <c r="JC146" s="13" t="s">
        <v>37</v>
      </c>
      <c r="JH146" s="12" t="s">
        <v>37</v>
      </c>
      <c r="JI146" s="12" t="s">
        <v>37</v>
      </c>
      <c r="JJ146" s="13" t="s">
        <v>37</v>
      </c>
      <c r="JL146" s="12" t="s">
        <v>37</v>
      </c>
      <c r="JM146" s="12" t="s">
        <v>37</v>
      </c>
      <c r="JN146" s="12" t="s">
        <v>37</v>
      </c>
      <c r="JS146" s="12" t="s">
        <v>37</v>
      </c>
      <c r="JT146" s="12" t="s">
        <v>37</v>
      </c>
      <c r="JU146" s="13" t="s">
        <v>37</v>
      </c>
      <c r="JW146" s="12" t="s">
        <v>37</v>
      </c>
      <c r="JX146" s="12" t="s">
        <v>37</v>
      </c>
      <c r="JY146" s="12" t="s">
        <v>37</v>
      </c>
      <c r="KE146" s="11" t="s">
        <v>37</v>
      </c>
      <c r="KF146" s="11" t="s">
        <v>37</v>
      </c>
      <c r="KG146" s="13" t="s">
        <v>37</v>
      </c>
      <c r="KH146" s="11" t="s">
        <v>37</v>
      </c>
      <c r="KI146" s="11" t="s">
        <v>37</v>
      </c>
      <c r="KJ146" s="11" t="s">
        <v>37</v>
      </c>
      <c r="KM146" s="12" t="s">
        <v>37</v>
      </c>
      <c r="KN146" s="12" t="s">
        <v>37</v>
      </c>
      <c r="KO146" s="11" t="s">
        <v>37</v>
      </c>
      <c r="KQ146" s="12" t="s">
        <v>37</v>
      </c>
      <c r="KR146" s="12" t="s">
        <v>37</v>
      </c>
      <c r="KS146" s="13" t="s">
        <v>37</v>
      </c>
      <c r="KX146" s="12" t="s">
        <v>37</v>
      </c>
      <c r="KY146" s="12" t="s">
        <v>37</v>
      </c>
      <c r="KZ146" s="13" t="s">
        <v>37</v>
      </c>
      <c r="LB146" s="12" t="s">
        <v>37</v>
      </c>
      <c r="LC146" s="12" t="s">
        <v>37</v>
      </c>
      <c r="LD146" s="13" t="s">
        <v>37</v>
      </c>
      <c r="LI146" s="12" t="s">
        <v>37</v>
      </c>
      <c r="LJ146" s="12" t="s">
        <v>37</v>
      </c>
      <c r="LK146" s="12" t="s">
        <v>37</v>
      </c>
      <c r="LM146" s="12" t="s">
        <v>37</v>
      </c>
      <c r="LN146" s="12" t="s">
        <v>37</v>
      </c>
      <c r="LO146" s="12" t="s">
        <v>37</v>
      </c>
      <c r="LU146" s="12" t="s">
        <v>37</v>
      </c>
      <c r="LV146" s="12" t="s">
        <v>37</v>
      </c>
      <c r="LW146" s="13" t="s">
        <v>37</v>
      </c>
      <c r="LY146" s="12" t="s">
        <v>37</v>
      </c>
      <c r="LZ146" s="12" t="s">
        <v>37</v>
      </c>
      <c r="MA146" s="12" t="s">
        <v>37</v>
      </c>
      <c r="MF146" s="12" t="s">
        <v>37</v>
      </c>
      <c r="MG146" s="12" t="s">
        <v>37</v>
      </c>
      <c r="MH146" s="12" t="s">
        <v>37</v>
      </c>
      <c r="MJ146" s="12" t="s">
        <v>37</v>
      </c>
      <c r="MK146" s="12" t="s">
        <v>37</v>
      </c>
      <c r="ML146" s="12" t="s">
        <v>37</v>
      </c>
      <c r="MQ146" s="12" t="s">
        <v>37</v>
      </c>
      <c r="MR146" s="12" t="s">
        <v>37</v>
      </c>
      <c r="MS146" s="12" t="s">
        <v>37</v>
      </c>
      <c r="MU146" s="12" t="s">
        <v>37</v>
      </c>
      <c r="MV146" s="12" t="s">
        <v>37</v>
      </c>
      <c r="MW146" s="12" t="s">
        <v>37</v>
      </c>
      <c r="NC146" s="12" t="s">
        <v>37</v>
      </c>
      <c r="ND146" s="12" t="s">
        <v>37</v>
      </c>
      <c r="NE146" s="13" t="s">
        <v>37</v>
      </c>
      <c r="NG146" s="12" t="s">
        <v>37</v>
      </c>
      <c r="NH146" s="12" t="s">
        <v>37</v>
      </c>
      <c r="NI146" s="13" t="s">
        <v>37</v>
      </c>
      <c r="NO146" s="12" t="s">
        <v>37</v>
      </c>
      <c r="NP146" s="12" t="s">
        <v>37</v>
      </c>
      <c r="NQ146" s="13" t="s">
        <v>37</v>
      </c>
      <c r="NS146" s="12" t="s">
        <v>37</v>
      </c>
      <c r="NT146" s="12" t="s">
        <v>37</v>
      </c>
      <c r="NU146" s="13" t="s">
        <v>37</v>
      </c>
      <c r="OA146" s="12" t="s">
        <v>37</v>
      </c>
      <c r="OB146" s="12" t="s">
        <v>37</v>
      </c>
      <c r="OC146" s="13" t="s">
        <v>37</v>
      </c>
      <c r="OE146" s="12" t="s">
        <v>37</v>
      </c>
      <c r="OF146" s="12" t="s">
        <v>37</v>
      </c>
      <c r="OG146" s="13" t="s">
        <v>37</v>
      </c>
      <c r="OM146" s="12" t="s">
        <v>37</v>
      </c>
      <c r="ON146" s="12" t="s">
        <v>37</v>
      </c>
      <c r="OO146" s="12" t="s">
        <v>37</v>
      </c>
      <c r="OP146" s="12" t="s">
        <v>37</v>
      </c>
      <c r="OQ146" s="12" t="s">
        <v>37</v>
      </c>
      <c r="OR146" s="12" t="s">
        <v>37</v>
      </c>
      <c r="OS146" s="12"/>
      <c r="OT146" s="12"/>
      <c r="OW146" s="12" t="s">
        <v>37</v>
      </c>
      <c r="OX146" s="12" t="s">
        <v>37</v>
      </c>
      <c r="OY146" s="13" t="s">
        <v>37</v>
      </c>
      <c r="OZ146" s="12" t="s">
        <v>37</v>
      </c>
      <c r="PA146" s="12" t="s">
        <v>37</v>
      </c>
      <c r="PB146" s="13" t="s">
        <v>37</v>
      </c>
      <c r="PG146" s="11" t="s">
        <v>37</v>
      </c>
      <c r="PH146" s="11" t="s">
        <v>37</v>
      </c>
      <c r="PI146" s="13" t="s">
        <v>37</v>
      </c>
      <c r="PJ146" s="11" t="s">
        <v>37</v>
      </c>
      <c r="PK146" s="11" t="s">
        <v>37</v>
      </c>
      <c r="PL146" s="13" t="s">
        <v>37</v>
      </c>
      <c r="PQ146" s="12" t="s">
        <v>37</v>
      </c>
      <c r="PR146" s="12" t="s">
        <v>37</v>
      </c>
      <c r="PS146" s="12" t="s">
        <v>37</v>
      </c>
      <c r="PT146" s="12" t="s">
        <v>37</v>
      </c>
      <c r="PU146" s="12" t="s">
        <v>37</v>
      </c>
      <c r="PV146" s="12" t="s">
        <v>37</v>
      </c>
      <c r="PW146" s="12"/>
      <c r="PX146" s="12"/>
      <c r="PZ146" s="12" t="s">
        <v>37</v>
      </c>
      <c r="QA146" s="12" t="s">
        <v>37</v>
      </c>
      <c r="QB146" s="11" t="s">
        <v>37</v>
      </c>
      <c r="QD146" s="12" t="s">
        <v>37</v>
      </c>
      <c r="QE146" s="12" t="s">
        <v>37</v>
      </c>
      <c r="QF146" s="12" t="s">
        <v>37</v>
      </c>
      <c r="QK146" s="12" t="s">
        <v>37</v>
      </c>
      <c r="QL146" s="12" t="s">
        <v>37</v>
      </c>
      <c r="QM146" s="12" t="s">
        <v>37</v>
      </c>
      <c r="QN146" s="12" t="s">
        <v>37</v>
      </c>
      <c r="QO146" s="12" t="s">
        <v>37</v>
      </c>
      <c r="QP146" s="12" t="s">
        <v>37</v>
      </c>
      <c r="QQ146" s="12"/>
      <c r="QR146" s="12"/>
      <c r="QU146" s="12" t="s">
        <v>37</v>
      </c>
      <c r="QV146" s="12" t="s">
        <v>37</v>
      </c>
      <c r="QW146" s="12" t="s">
        <v>37</v>
      </c>
      <c r="QX146" s="12" t="s">
        <v>37</v>
      </c>
      <c r="QY146" s="12" t="s">
        <v>37</v>
      </c>
      <c r="QZ146" s="12" t="s">
        <v>37</v>
      </c>
      <c r="RC146" s="12" t="s">
        <v>37</v>
      </c>
      <c r="RD146" s="12" t="s">
        <v>37</v>
      </c>
      <c r="RE146" s="13" t="s">
        <v>37</v>
      </c>
      <c r="RF146" s="12" t="s">
        <v>37</v>
      </c>
      <c r="RG146" s="12" t="s">
        <v>37</v>
      </c>
      <c r="RH146" s="13" t="s">
        <v>37</v>
      </c>
      <c r="RK146" s="12" t="s">
        <v>37</v>
      </c>
      <c r="RL146" s="12" t="s">
        <v>37</v>
      </c>
      <c r="RM146" s="11" t="s">
        <v>37</v>
      </c>
      <c r="RN146" s="12" t="s">
        <v>37</v>
      </c>
      <c r="RO146" s="12" t="s">
        <v>37</v>
      </c>
      <c r="RP146" s="11" t="s">
        <v>37</v>
      </c>
      <c r="RS146" s="12" t="s">
        <v>37</v>
      </c>
      <c r="RT146" s="12" t="s">
        <v>37</v>
      </c>
      <c r="RU146" s="12" t="s">
        <v>37</v>
      </c>
      <c r="RV146" s="12" t="s">
        <v>37</v>
      </c>
      <c r="RW146" s="12" t="s">
        <v>37</v>
      </c>
      <c r="RX146" s="12" t="s">
        <v>37</v>
      </c>
      <c r="SA146" s="12" t="s">
        <v>37</v>
      </c>
      <c r="SB146" s="12" t="s">
        <v>37</v>
      </c>
      <c r="SC146" s="12" t="s">
        <v>37</v>
      </c>
      <c r="SD146" s="12" t="s">
        <v>37</v>
      </c>
      <c r="SE146" s="12" t="s">
        <v>37</v>
      </c>
      <c r="SF146" s="12" t="s">
        <v>37</v>
      </c>
      <c r="SI146" s="12" t="s">
        <v>37</v>
      </c>
      <c r="SJ146" s="12" t="s">
        <v>37</v>
      </c>
      <c r="SK146" s="13" t="s">
        <v>37</v>
      </c>
      <c r="SM146" s="12" t="s">
        <v>37</v>
      </c>
      <c r="SN146" s="12" t="s">
        <v>37</v>
      </c>
      <c r="SO146" s="13" t="s">
        <v>37</v>
      </c>
      <c r="SU146" s="12" t="s">
        <v>37</v>
      </c>
      <c r="SV146" s="12" t="s">
        <v>37</v>
      </c>
      <c r="SW146" s="11" t="s">
        <v>37</v>
      </c>
      <c r="SX146" s="12" t="s">
        <v>37</v>
      </c>
      <c r="SY146" s="12" t="s">
        <v>37</v>
      </c>
      <c r="SZ146" s="11" t="s">
        <v>37</v>
      </c>
      <c r="TE146" s="12" t="s">
        <v>37</v>
      </c>
      <c r="TF146" s="12" t="s">
        <v>37</v>
      </c>
      <c r="TG146" s="11" t="s">
        <v>37</v>
      </c>
      <c r="TH146" s="12" t="s">
        <v>37</v>
      </c>
      <c r="TI146" s="12" t="s">
        <v>37</v>
      </c>
      <c r="TJ146" s="11" t="s">
        <v>37</v>
      </c>
      <c r="TO146" s="12" t="s">
        <v>37</v>
      </c>
      <c r="TP146" s="12" t="s">
        <v>37</v>
      </c>
      <c r="TQ146" s="11" t="s">
        <v>37</v>
      </c>
      <c r="TR146" s="12" t="s">
        <v>37</v>
      </c>
      <c r="TS146" s="12" t="s">
        <v>37</v>
      </c>
      <c r="TT146" s="11" t="s">
        <v>37</v>
      </c>
      <c r="TY146" s="12" t="s">
        <v>37</v>
      </c>
      <c r="TZ146" s="12" t="s">
        <v>37</v>
      </c>
      <c r="UA146" s="12" t="s">
        <v>37</v>
      </c>
      <c r="UB146" s="12" t="s">
        <v>37</v>
      </c>
      <c r="UC146" s="12" t="s">
        <v>37</v>
      </c>
      <c r="UD146" s="12" t="s">
        <v>37</v>
      </c>
      <c r="UE146" s="12"/>
      <c r="UF146" s="12"/>
      <c r="UI146" s="12" t="s">
        <v>37</v>
      </c>
      <c r="UJ146" s="12" t="s">
        <v>37</v>
      </c>
      <c r="UK146" s="12" t="s">
        <v>37</v>
      </c>
      <c r="UL146" s="12" t="s">
        <v>37</v>
      </c>
      <c r="UM146" s="12" t="s">
        <v>37</v>
      </c>
      <c r="UN146" s="12" t="s">
        <v>37</v>
      </c>
      <c r="UO146" s="12"/>
      <c r="UP146" s="12"/>
      <c r="UR146" s="12" t="s">
        <v>37</v>
      </c>
      <c r="US146" s="12" t="s">
        <v>37</v>
      </c>
      <c r="UT146" s="12" t="s">
        <v>37</v>
      </c>
      <c r="UU146" s="12" t="s">
        <v>37</v>
      </c>
      <c r="UV146" s="12" t="s">
        <v>37</v>
      </c>
      <c r="UW146" s="12" t="s">
        <v>37</v>
      </c>
      <c r="UX146" s="12"/>
      <c r="UY146" s="12"/>
      <c r="VB146" s="12" t="s">
        <v>37</v>
      </c>
      <c r="VC146" s="12" t="s">
        <v>37</v>
      </c>
      <c r="VD146" s="12" t="s">
        <v>37</v>
      </c>
      <c r="VE146" s="12" t="s">
        <v>37</v>
      </c>
      <c r="VF146" s="12" t="s">
        <v>37</v>
      </c>
      <c r="VG146" s="12" t="s">
        <v>37</v>
      </c>
      <c r="VI146" s="12" t="s">
        <v>37</v>
      </c>
      <c r="VJ146" s="12" t="s">
        <v>37</v>
      </c>
      <c r="VK146" s="12" t="s">
        <v>37</v>
      </c>
      <c r="VL146" s="12" t="s">
        <v>37</v>
      </c>
      <c r="VM146" s="12" t="s">
        <v>37</v>
      </c>
      <c r="VN146" s="12" t="s">
        <v>37</v>
      </c>
      <c r="VQ146" s="13" t="s">
        <v>37</v>
      </c>
      <c r="VR146" s="13" t="s">
        <v>37</v>
      </c>
      <c r="VS146" s="13" t="s">
        <v>37</v>
      </c>
      <c r="VT146" s="13" t="s">
        <v>37</v>
      </c>
      <c r="VU146" s="13" t="s">
        <v>37</v>
      </c>
      <c r="VV146" s="13" t="s">
        <v>37</v>
      </c>
      <c r="WA146" s="13" t="s">
        <v>37</v>
      </c>
      <c r="WB146" s="13" t="s">
        <v>37</v>
      </c>
      <c r="WC146" s="13" t="s">
        <v>37</v>
      </c>
      <c r="WD146" s="13" t="s">
        <v>37</v>
      </c>
      <c r="WE146" s="13" t="s">
        <v>37</v>
      </c>
      <c r="WF146" s="13" t="s">
        <v>37</v>
      </c>
    </row>
    <row r="147" spans="1:604" ht="18" customHeight="1" x14ac:dyDescent="0.4">
      <c r="A147" s="11">
        <v>35</v>
      </c>
      <c r="B147" s="16" t="s">
        <v>239</v>
      </c>
      <c r="C147" s="12" t="s">
        <v>26</v>
      </c>
      <c r="D147" s="12" t="s">
        <v>54</v>
      </c>
      <c r="E147" s="40" t="s">
        <v>37</v>
      </c>
      <c r="F147" s="14">
        <v>0</v>
      </c>
      <c r="G147" s="14">
        <v>0</v>
      </c>
      <c r="H147" s="12" t="s">
        <v>37</v>
      </c>
      <c r="I147" s="29">
        <v>60.35</v>
      </c>
      <c r="J147" s="29">
        <v>25.05</v>
      </c>
      <c r="K147" s="12" t="s">
        <v>724</v>
      </c>
      <c r="L147" s="12" t="s">
        <v>725</v>
      </c>
      <c r="M147" s="12" t="s">
        <v>37</v>
      </c>
      <c r="N147" s="12" t="s">
        <v>37</v>
      </c>
      <c r="O147" s="12" t="s">
        <v>37</v>
      </c>
      <c r="P147" s="12" t="s">
        <v>16</v>
      </c>
      <c r="Q147" s="75" t="s">
        <v>326</v>
      </c>
      <c r="R147" s="11" t="s">
        <v>37</v>
      </c>
      <c r="S147" s="12" t="s">
        <v>93</v>
      </c>
      <c r="T147" s="12" t="s">
        <v>141</v>
      </c>
      <c r="U147" s="12" t="s">
        <v>158</v>
      </c>
      <c r="V147" s="12" t="s">
        <v>37</v>
      </c>
      <c r="W147" s="23" t="s">
        <v>49</v>
      </c>
      <c r="X147" s="12" t="s">
        <v>49</v>
      </c>
      <c r="Y147" s="12" t="s">
        <v>69</v>
      </c>
      <c r="Z147" s="12" t="s">
        <v>37</v>
      </c>
      <c r="AB147" s="12" t="s">
        <v>37</v>
      </c>
      <c r="AC147" s="13"/>
      <c r="AE147" s="12" t="s">
        <v>37</v>
      </c>
      <c r="AH147" s="12" t="s">
        <v>37</v>
      </c>
      <c r="AK147" s="12" t="s">
        <v>37</v>
      </c>
      <c r="AL147" s="32" t="s">
        <v>37</v>
      </c>
      <c r="AM147" s="13" t="s">
        <v>344</v>
      </c>
      <c r="AO147" s="12" t="s">
        <v>37</v>
      </c>
      <c r="AP147" s="12" t="s">
        <v>37</v>
      </c>
      <c r="AQ147" s="12" t="s">
        <v>37</v>
      </c>
      <c r="AR147" s="13"/>
      <c r="AT147" s="12" t="s">
        <v>326</v>
      </c>
      <c r="AU147" s="12" t="s">
        <v>326</v>
      </c>
      <c r="AV147" s="13" t="s">
        <v>326</v>
      </c>
      <c r="AX147" s="12" t="s">
        <v>326</v>
      </c>
      <c r="AY147" s="12" t="s">
        <v>326</v>
      </c>
      <c r="AZ147" s="13" t="s">
        <v>326</v>
      </c>
      <c r="BE147" s="12" t="s">
        <v>326</v>
      </c>
      <c r="BF147" s="12" t="s">
        <v>326</v>
      </c>
      <c r="BG147" s="12" t="s">
        <v>326</v>
      </c>
      <c r="BI147" s="12" t="s">
        <v>326</v>
      </c>
      <c r="BJ147" s="12" t="s">
        <v>326</v>
      </c>
      <c r="BK147" s="12" t="s">
        <v>326</v>
      </c>
      <c r="BO147" s="13"/>
      <c r="BP147" s="12" t="s">
        <v>37</v>
      </c>
      <c r="BQ147" s="12" t="s">
        <v>37</v>
      </c>
      <c r="BR147" s="13" t="s">
        <v>37</v>
      </c>
      <c r="BT147" s="12" t="s">
        <v>37</v>
      </c>
      <c r="BU147" s="12" t="s">
        <v>37</v>
      </c>
      <c r="BV147" s="12" t="s">
        <v>37</v>
      </c>
      <c r="CA147" s="12" t="s">
        <v>37</v>
      </c>
      <c r="CB147" s="12" t="s">
        <v>37</v>
      </c>
      <c r="CC147" s="13" t="s">
        <v>37</v>
      </c>
      <c r="CE147" s="12" t="s">
        <v>37</v>
      </c>
      <c r="CF147" s="12" t="s">
        <v>37</v>
      </c>
      <c r="CG147" s="13" t="s">
        <v>37</v>
      </c>
      <c r="CN147" s="12" t="s">
        <v>37</v>
      </c>
      <c r="CO147" s="12" t="s">
        <v>37</v>
      </c>
      <c r="CP147" s="13" t="s">
        <v>37</v>
      </c>
      <c r="CR147" s="12" t="s">
        <v>37</v>
      </c>
      <c r="CS147" s="12" t="s">
        <v>37</v>
      </c>
      <c r="CT147" s="13" t="s">
        <v>37</v>
      </c>
      <c r="CX147" s="72"/>
      <c r="CY147" s="72"/>
      <c r="CZ147" s="12" t="s">
        <v>47</v>
      </c>
      <c r="DA147" s="12">
        <v>-55</v>
      </c>
      <c r="DB147" s="12">
        <v>450</v>
      </c>
      <c r="DC147" s="13">
        <v>6</v>
      </c>
      <c r="DD147" s="19">
        <f t="shared" ref="DD147:DD151" si="562">DB147/ABS(DA147)</f>
        <v>8.1818181818181817</v>
      </c>
      <c r="DE147" s="12">
        <v>-910</v>
      </c>
      <c r="DF147" s="12">
        <v>180</v>
      </c>
      <c r="DG147" s="13">
        <v>2</v>
      </c>
      <c r="DH147" s="19">
        <f>DF147/ABS(DE147)</f>
        <v>0.19780219780219779</v>
      </c>
      <c r="DI147" s="19">
        <f t="shared" ref="DI147:DI151" si="563">DE147-DA147</f>
        <v>-855</v>
      </c>
      <c r="DJ147" s="12">
        <f t="shared" ref="DJ147:DJ151" si="564">SQRT(((DC147-1)*DB147^2+(DG147-1)*DF147^2)/(DC147+DG147-2))</f>
        <v>417.31283229730667</v>
      </c>
      <c r="DK147" s="72">
        <f t="shared" ref="DK147:DK151" si="565">(((DC147+DG147)/(DC147*DG147))*(((DC147-1)*DB147^2)+(DG147-1)*DF147^2)/(DC147+DG147-2))</f>
        <v>116100</v>
      </c>
      <c r="DL147" s="72">
        <f t="shared" ref="DL147:DL151" si="566">(DB147^2/DC147)+(DF147^2/DG147)</f>
        <v>49950</v>
      </c>
      <c r="DM147" s="12" t="s">
        <v>47</v>
      </c>
      <c r="DN147" s="19">
        <v>66.3</v>
      </c>
      <c r="DO147" s="12">
        <v>102</v>
      </c>
      <c r="DP147" s="13">
        <v>14</v>
      </c>
      <c r="DQ147" s="19">
        <f t="shared" ref="DQ147:DQ152" si="567">DO147/ABS(DN147)</f>
        <v>1.5384615384615385</v>
      </c>
      <c r="DR147" s="19">
        <v>5.0999999999999996</v>
      </c>
      <c r="DS147" s="12">
        <v>30.6</v>
      </c>
      <c r="DT147" s="13">
        <v>40</v>
      </c>
      <c r="DU147" s="19">
        <f t="shared" ref="DU147:DU152" si="568">DS147/ABS(DR147)</f>
        <v>6.0000000000000009</v>
      </c>
      <c r="DV147" s="19">
        <f t="shared" si="509"/>
        <v>-61.199999999999996</v>
      </c>
      <c r="DW147" s="12">
        <f t="shared" si="485"/>
        <v>57.474081114881692</v>
      </c>
      <c r="DX147" s="72">
        <f t="shared" si="345"/>
        <v>318.52960714285717</v>
      </c>
      <c r="DY147" s="72">
        <f t="shared" si="346"/>
        <v>766.5518571428571</v>
      </c>
      <c r="DZ147" s="12" t="s">
        <v>47</v>
      </c>
      <c r="EA147" s="19">
        <v>0</v>
      </c>
      <c r="EB147" s="19">
        <v>1.71</v>
      </c>
      <c r="EC147" s="72">
        <v>7</v>
      </c>
      <c r="ED147" s="52"/>
      <c r="EE147" s="19">
        <v>3.4241884673332552</v>
      </c>
      <c r="EF147" s="19">
        <v>13.696753869332952</v>
      </c>
      <c r="EG147" s="13">
        <v>44</v>
      </c>
      <c r="EH147" s="52">
        <f t="shared" ref="EH147:EH153" si="569">EF147/ABS(EE147)</f>
        <v>3.9999999999999796</v>
      </c>
      <c r="EI147" s="19">
        <f t="shared" si="558"/>
        <v>3.4241884673332552</v>
      </c>
      <c r="EJ147" s="12">
        <f t="shared" si="550"/>
        <v>12.844748360635801</v>
      </c>
      <c r="EK147" s="19">
        <f t="shared" si="551"/>
        <v>27.31936877548981</v>
      </c>
      <c r="EL147" s="19">
        <f t="shared" si="552"/>
        <v>4.6813891749987349</v>
      </c>
      <c r="EN147" s="12" t="s">
        <v>37</v>
      </c>
      <c r="EO147" s="12" t="s">
        <v>37</v>
      </c>
      <c r="EP147" s="13" t="s">
        <v>37</v>
      </c>
      <c r="ER147" s="12" t="s">
        <v>37</v>
      </c>
      <c r="ES147" s="12" t="s">
        <v>37</v>
      </c>
      <c r="ET147" s="13" t="s">
        <v>37</v>
      </c>
      <c r="FB147" s="12" t="s">
        <v>37</v>
      </c>
      <c r="FC147" s="12" t="s">
        <v>37</v>
      </c>
      <c r="FD147" s="11" t="s">
        <v>37</v>
      </c>
      <c r="FE147" s="12" t="s">
        <v>37</v>
      </c>
      <c r="FF147" s="20" t="s">
        <v>37</v>
      </c>
      <c r="FG147" s="11" t="s">
        <v>37</v>
      </c>
      <c r="FI147" s="12" t="s">
        <v>37</v>
      </c>
      <c r="FJ147" s="12" t="s">
        <v>37</v>
      </c>
      <c r="FK147" s="11" t="s">
        <v>37</v>
      </c>
      <c r="FL147" s="13" t="s">
        <v>37</v>
      </c>
      <c r="FM147" s="11" t="s">
        <v>37</v>
      </c>
      <c r="FN147" s="11" t="s">
        <v>37</v>
      </c>
      <c r="FP147" s="12" t="s">
        <v>37</v>
      </c>
      <c r="FQ147" s="12" t="s">
        <v>37</v>
      </c>
      <c r="FR147" s="11" t="s">
        <v>37</v>
      </c>
      <c r="FS147" s="13" t="s">
        <v>37</v>
      </c>
      <c r="FT147" s="11" t="s">
        <v>37</v>
      </c>
      <c r="FU147" s="11" t="s">
        <v>37</v>
      </c>
      <c r="FW147" s="12" t="s">
        <v>37</v>
      </c>
      <c r="FX147" s="12" t="s">
        <v>37</v>
      </c>
      <c r="FY147" s="11" t="s">
        <v>37</v>
      </c>
      <c r="FZ147" s="13" t="s">
        <v>37</v>
      </c>
      <c r="GA147" s="11" t="s">
        <v>37</v>
      </c>
      <c r="GB147" s="11" t="s">
        <v>37</v>
      </c>
      <c r="IK147" s="12" t="s">
        <v>37</v>
      </c>
      <c r="IL147" s="12" t="s">
        <v>37</v>
      </c>
      <c r="IM147" s="12" t="s">
        <v>37</v>
      </c>
      <c r="IO147" s="12" t="s">
        <v>37</v>
      </c>
      <c r="IP147" s="12" t="s">
        <v>37</v>
      </c>
      <c r="IQ147" s="12" t="s">
        <v>37</v>
      </c>
      <c r="IW147" s="12" t="s">
        <v>37</v>
      </c>
      <c r="IX147" s="12" t="s">
        <v>37</v>
      </c>
      <c r="IY147" s="13" t="s">
        <v>37</v>
      </c>
      <c r="JA147" s="12" t="s">
        <v>37</v>
      </c>
      <c r="JB147" s="12" t="s">
        <v>37</v>
      </c>
      <c r="JC147" s="13" t="s">
        <v>37</v>
      </c>
      <c r="JH147" s="12" t="s">
        <v>37</v>
      </c>
      <c r="JI147" s="12" t="s">
        <v>37</v>
      </c>
      <c r="JJ147" s="13" t="s">
        <v>37</v>
      </c>
      <c r="JL147" s="12" t="s">
        <v>37</v>
      </c>
      <c r="JM147" s="12" t="s">
        <v>37</v>
      </c>
      <c r="JN147" s="12" t="s">
        <v>37</v>
      </c>
      <c r="JS147" s="12" t="s">
        <v>37</v>
      </c>
      <c r="JT147" s="12" t="s">
        <v>37</v>
      </c>
      <c r="JU147" s="13" t="s">
        <v>37</v>
      </c>
      <c r="JW147" s="12" t="s">
        <v>37</v>
      </c>
      <c r="JX147" s="12" t="s">
        <v>37</v>
      </c>
      <c r="JY147" s="12" t="s">
        <v>37</v>
      </c>
      <c r="KE147" s="11" t="s">
        <v>37</v>
      </c>
      <c r="KF147" s="11" t="s">
        <v>37</v>
      </c>
      <c r="KG147" s="13" t="s">
        <v>37</v>
      </c>
      <c r="KH147" s="11" t="s">
        <v>37</v>
      </c>
      <c r="KI147" s="11" t="s">
        <v>37</v>
      </c>
      <c r="KJ147" s="11" t="s">
        <v>37</v>
      </c>
      <c r="KM147" s="12" t="s">
        <v>37</v>
      </c>
      <c r="KN147" s="12" t="s">
        <v>37</v>
      </c>
      <c r="KO147" s="11" t="s">
        <v>37</v>
      </c>
      <c r="KQ147" s="12" t="s">
        <v>37</v>
      </c>
      <c r="KR147" s="12" t="s">
        <v>37</v>
      </c>
      <c r="KS147" s="13" t="s">
        <v>37</v>
      </c>
      <c r="KX147" s="12" t="s">
        <v>37</v>
      </c>
      <c r="KY147" s="12" t="s">
        <v>37</v>
      </c>
      <c r="KZ147" s="13" t="s">
        <v>37</v>
      </c>
      <c r="LB147" s="12" t="s">
        <v>37</v>
      </c>
      <c r="LC147" s="12" t="s">
        <v>37</v>
      </c>
      <c r="LD147" s="13" t="s">
        <v>37</v>
      </c>
      <c r="LI147" s="12" t="s">
        <v>37</v>
      </c>
      <c r="LJ147" s="12" t="s">
        <v>37</v>
      </c>
      <c r="LK147" s="12" t="s">
        <v>37</v>
      </c>
      <c r="LM147" s="12" t="s">
        <v>37</v>
      </c>
      <c r="LN147" s="12" t="s">
        <v>37</v>
      </c>
      <c r="LO147" s="12" t="s">
        <v>37</v>
      </c>
      <c r="LU147" s="12" t="s">
        <v>37</v>
      </c>
      <c r="LV147" s="12" t="s">
        <v>37</v>
      </c>
      <c r="LW147" s="13" t="s">
        <v>37</v>
      </c>
      <c r="LY147" s="12" t="s">
        <v>37</v>
      </c>
      <c r="LZ147" s="12" t="s">
        <v>37</v>
      </c>
      <c r="MA147" s="12" t="s">
        <v>37</v>
      </c>
      <c r="MF147" s="12" t="s">
        <v>37</v>
      </c>
      <c r="MG147" s="12" t="s">
        <v>37</v>
      </c>
      <c r="MH147" s="12" t="s">
        <v>37</v>
      </c>
      <c r="MJ147" s="12" t="s">
        <v>37</v>
      </c>
      <c r="MK147" s="12" t="s">
        <v>37</v>
      </c>
      <c r="ML147" s="12" t="s">
        <v>37</v>
      </c>
      <c r="MQ147" s="12" t="s">
        <v>37</v>
      </c>
      <c r="MR147" s="12" t="s">
        <v>37</v>
      </c>
      <c r="MS147" s="12" t="s">
        <v>37</v>
      </c>
      <c r="MU147" s="12" t="s">
        <v>37</v>
      </c>
      <c r="MV147" s="12" t="s">
        <v>37</v>
      </c>
      <c r="MW147" s="12" t="s">
        <v>37</v>
      </c>
      <c r="NC147" s="12" t="s">
        <v>37</v>
      </c>
      <c r="ND147" s="12" t="s">
        <v>37</v>
      </c>
      <c r="NE147" s="13" t="s">
        <v>37</v>
      </c>
      <c r="NG147" s="12" t="s">
        <v>37</v>
      </c>
      <c r="NH147" s="12" t="s">
        <v>37</v>
      </c>
      <c r="NI147" s="13" t="s">
        <v>37</v>
      </c>
      <c r="NO147" s="12" t="s">
        <v>37</v>
      </c>
      <c r="NP147" s="12" t="s">
        <v>37</v>
      </c>
      <c r="NQ147" s="13" t="s">
        <v>37</v>
      </c>
      <c r="NS147" s="12" t="s">
        <v>37</v>
      </c>
      <c r="NT147" s="12" t="s">
        <v>37</v>
      </c>
      <c r="NU147" s="13" t="s">
        <v>37</v>
      </c>
      <c r="OA147" s="12" t="s">
        <v>37</v>
      </c>
      <c r="OB147" s="12" t="s">
        <v>37</v>
      </c>
      <c r="OC147" s="13" t="s">
        <v>37</v>
      </c>
      <c r="OE147" s="12" t="s">
        <v>37</v>
      </c>
      <c r="OF147" s="12" t="s">
        <v>37</v>
      </c>
      <c r="OG147" s="13" t="s">
        <v>37</v>
      </c>
      <c r="OM147" s="12" t="s">
        <v>37</v>
      </c>
      <c r="ON147" s="12" t="s">
        <v>37</v>
      </c>
      <c r="OO147" s="12" t="s">
        <v>37</v>
      </c>
      <c r="OP147" s="12" t="s">
        <v>37</v>
      </c>
      <c r="OQ147" s="12" t="s">
        <v>37</v>
      </c>
      <c r="OR147" s="12" t="s">
        <v>37</v>
      </c>
      <c r="OS147" s="12"/>
      <c r="OT147" s="12"/>
      <c r="OW147" s="12" t="s">
        <v>37</v>
      </c>
      <c r="OX147" s="12" t="s">
        <v>37</v>
      </c>
      <c r="OY147" s="13" t="s">
        <v>37</v>
      </c>
      <c r="OZ147" s="12" t="s">
        <v>37</v>
      </c>
      <c r="PA147" s="12" t="s">
        <v>37</v>
      </c>
      <c r="PB147" s="13" t="s">
        <v>37</v>
      </c>
      <c r="PG147" s="11" t="s">
        <v>37</v>
      </c>
      <c r="PH147" s="11" t="s">
        <v>37</v>
      </c>
      <c r="PI147" s="13" t="s">
        <v>37</v>
      </c>
      <c r="PJ147" s="11" t="s">
        <v>37</v>
      </c>
      <c r="PK147" s="11" t="s">
        <v>37</v>
      </c>
      <c r="PL147" s="13" t="s">
        <v>37</v>
      </c>
      <c r="PQ147" s="12" t="s">
        <v>37</v>
      </c>
      <c r="PR147" s="12" t="s">
        <v>37</v>
      </c>
      <c r="PS147" s="12" t="s">
        <v>37</v>
      </c>
      <c r="PT147" s="12" t="s">
        <v>37</v>
      </c>
      <c r="PU147" s="12" t="s">
        <v>37</v>
      </c>
      <c r="PV147" s="12" t="s">
        <v>37</v>
      </c>
      <c r="PW147" s="12"/>
      <c r="PX147" s="12"/>
      <c r="PZ147" s="12" t="s">
        <v>37</v>
      </c>
      <c r="QA147" s="12" t="s">
        <v>37</v>
      </c>
      <c r="QB147" s="11" t="s">
        <v>37</v>
      </c>
      <c r="QD147" s="12" t="s">
        <v>37</v>
      </c>
      <c r="QE147" s="12" t="s">
        <v>37</v>
      </c>
      <c r="QF147" s="12" t="s">
        <v>37</v>
      </c>
      <c r="QK147" s="12" t="s">
        <v>37</v>
      </c>
      <c r="QL147" s="12" t="s">
        <v>37</v>
      </c>
      <c r="QM147" s="12" t="s">
        <v>37</v>
      </c>
      <c r="QN147" s="12" t="s">
        <v>37</v>
      </c>
      <c r="QO147" s="12" t="s">
        <v>37</v>
      </c>
      <c r="QP147" s="12" t="s">
        <v>37</v>
      </c>
      <c r="QQ147" s="12"/>
      <c r="QR147" s="12"/>
      <c r="QU147" s="12" t="s">
        <v>37</v>
      </c>
      <c r="QV147" s="12" t="s">
        <v>37</v>
      </c>
      <c r="QW147" s="12" t="s">
        <v>37</v>
      </c>
      <c r="QX147" s="12" t="s">
        <v>37</v>
      </c>
      <c r="QY147" s="12" t="s">
        <v>37</v>
      </c>
      <c r="QZ147" s="12" t="s">
        <v>37</v>
      </c>
      <c r="RC147" s="12" t="s">
        <v>37</v>
      </c>
      <c r="RD147" s="12" t="s">
        <v>37</v>
      </c>
      <c r="RE147" s="13" t="s">
        <v>37</v>
      </c>
      <c r="RF147" s="12" t="s">
        <v>37</v>
      </c>
      <c r="RG147" s="12" t="s">
        <v>37</v>
      </c>
      <c r="RH147" s="13" t="s">
        <v>37</v>
      </c>
      <c r="RK147" s="12" t="s">
        <v>37</v>
      </c>
      <c r="RL147" s="12" t="s">
        <v>37</v>
      </c>
      <c r="RM147" s="11" t="s">
        <v>37</v>
      </c>
      <c r="RN147" s="12" t="s">
        <v>37</v>
      </c>
      <c r="RO147" s="12" t="s">
        <v>37</v>
      </c>
      <c r="RP147" s="11" t="s">
        <v>37</v>
      </c>
      <c r="RS147" s="12" t="s">
        <v>37</v>
      </c>
      <c r="RT147" s="12" t="s">
        <v>37</v>
      </c>
      <c r="RU147" s="12" t="s">
        <v>37</v>
      </c>
      <c r="RV147" s="12" t="s">
        <v>37</v>
      </c>
      <c r="RW147" s="12" t="s">
        <v>37</v>
      </c>
      <c r="RX147" s="12" t="s">
        <v>37</v>
      </c>
      <c r="SA147" s="12" t="s">
        <v>37</v>
      </c>
      <c r="SB147" s="12" t="s">
        <v>37</v>
      </c>
      <c r="SC147" s="12" t="s">
        <v>37</v>
      </c>
      <c r="SD147" s="12" t="s">
        <v>37</v>
      </c>
      <c r="SE147" s="12" t="s">
        <v>37</v>
      </c>
      <c r="SF147" s="12" t="s">
        <v>37</v>
      </c>
      <c r="SI147" s="12" t="s">
        <v>37</v>
      </c>
      <c r="SJ147" s="12" t="s">
        <v>37</v>
      </c>
      <c r="SK147" s="13" t="s">
        <v>37</v>
      </c>
      <c r="SM147" s="12" t="s">
        <v>37</v>
      </c>
      <c r="SN147" s="12" t="s">
        <v>37</v>
      </c>
      <c r="SO147" s="13" t="s">
        <v>37</v>
      </c>
      <c r="SU147" s="12" t="s">
        <v>37</v>
      </c>
      <c r="SV147" s="12" t="s">
        <v>37</v>
      </c>
      <c r="SW147" s="11" t="s">
        <v>37</v>
      </c>
      <c r="SX147" s="12" t="s">
        <v>37</v>
      </c>
      <c r="SY147" s="12" t="s">
        <v>37</v>
      </c>
      <c r="SZ147" s="11" t="s">
        <v>37</v>
      </c>
      <c r="TE147" s="12" t="s">
        <v>37</v>
      </c>
      <c r="TF147" s="12" t="s">
        <v>37</v>
      </c>
      <c r="TG147" s="11" t="s">
        <v>37</v>
      </c>
      <c r="TH147" s="12" t="s">
        <v>37</v>
      </c>
      <c r="TI147" s="12" t="s">
        <v>37</v>
      </c>
      <c r="TJ147" s="11" t="s">
        <v>37</v>
      </c>
      <c r="TO147" s="12" t="s">
        <v>37</v>
      </c>
      <c r="TP147" s="12" t="s">
        <v>37</v>
      </c>
      <c r="TQ147" s="11" t="s">
        <v>37</v>
      </c>
      <c r="TR147" s="12" t="s">
        <v>37</v>
      </c>
      <c r="TS147" s="12" t="s">
        <v>37</v>
      </c>
      <c r="TT147" s="11" t="s">
        <v>37</v>
      </c>
      <c r="TY147" s="12" t="s">
        <v>37</v>
      </c>
      <c r="TZ147" s="12" t="s">
        <v>37</v>
      </c>
      <c r="UA147" s="12" t="s">
        <v>37</v>
      </c>
      <c r="UB147" s="12" t="s">
        <v>37</v>
      </c>
      <c r="UC147" s="12" t="s">
        <v>37</v>
      </c>
      <c r="UD147" s="12" t="s">
        <v>37</v>
      </c>
      <c r="UE147" s="12"/>
      <c r="UF147" s="12"/>
      <c r="UI147" s="12" t="s">
        <v>37</v>
      </c>
      <c r="UJ147" s="12" t="s">
        <v>37</v>
      </c>
      <c r="UK147" s="12" t="s">
        <v>37</v>
      </c>
      <c r="UL147" s="12" t="s">
        <v>37</v>
      </c>
      <c r="UM147" s="12" t="s">
        <v>37</v>
      </c>
      <c r="UN147" s="12" t="s">
        <v>37</v>
      </c>
      <c r="UO147" s="12"/>
      <c r="UP147" s="12"/>
      <c r="UR147" s="12" t="s">
        <v>37</v>
      </c>
      <c r="US147" s="12" t="s">
        <v>37</v>
      </c>
      <c r="UT147" s="12" t="s">
        <v>37</v>
      </c>
      <c r="UU147" s="12" t="s">
        <v>37</v>
      </c>
      <c r="UV147" s="12" t="s">
        <v>37</v>
      </c>
      <c r="UW147" s="12" t="s">
        <v>37</v>
      </c>
      <c r="UX147" s="12"/>
      <c r="UY147" s="12"/>
      <c r="VB147" s="12" t="s">
        <v>37</v>
      </c>
      <c r="VC147" s="12" t="s">
        <v>37</v>
      </c>
      <c r="VD147" s="12" t="s">
        <v>37</v>
      </c>
      <c r="VE147" s="12" t="s">
        <v>37</v>
      </c>
      <c r="VF147" s="12" t="s">
        <v>37</v>
      </c>
      <c r="VG147" s="12" t="s">
        <v>37</v>
      </c>
      <c r="VI147" s="12" t="s">
        <v>37</v>
      </c>
      <c r="VJ147" s="12" t="s">
        <v>37</v>
      </c>
      <c r="VK147" s="12" t="s">
        <v>37</v>
      </c>
      <c r="VL147" s="12" t="s">
        <v>37</v>
      </c>
      <c r="VM147" s="12" t="s">
        <v>37</v>
      </c>
      <c r="VN147" s="12" t="s">
        <v>37</v>
      </c>
      <c r="VQ147" s="13" t="s">
        <v>37</v>
      </c>
      <c r="VR147" s="13" t="s">
        <v>37</v>
      </c>
      <c r="VS147" s="13" t="s">
        <v>37</v>
      </c>
      <c r="VT147" s="13" t="s">
        <v>37</v>
      </c>
      <c r="VU147" s="13" t="s">
        <v>37</v>
      </c>
      <c r="VV147" s="13" t="s">
        <v>37</v>
      </c>
      <c r="WA147" s="13" t="s">
        <v>37</v>
      </c>
      <c r="WB147" s="13" t="s">
        <v>37</v>
      </c>
      <c r="WC147" s="13" t="s">
        <v>37</v>
      </c>
      <c r="WD147" s="13" t="s">
        <v>37</v>
      </c>
      <c r="WE147" s="13" t="s">
        <v>37</v>
      </c>
      <c r="WF147" s="13" t="s">
        <v>37</v>
      </c>
    </row>
    <row r="148" spans="1:604" ht="18" customHeight="1" x14ac:dyDescent="0.4">
      <c r="A148" s="11">
        <v>35</v>
      </c>
      <c r="B148" s="16" t="s">
        <v>239</v>
      </c>
      <c r="C148" s="12" t="s">
        <v>26</v>
      </c>
      <c r="D148" s="12" t="s">
        <v>54</v>
      </c>
      <c r="E148" s="40" t="s">
        <v>37</v>
      </c>
      <c r="F148" s="14">
        <v>0</v>
      </c>
      <c r="G148" s="14">
        <v>0</v>
      </c>
      <c r="H148" s="12" t="s">
        <v>37</v>
      </c>
      <c r="I148" s="29">
        <v>62.85</v>
      </c>
      <c r="J148" s="29">
        <v>30.882999999999999</v>
      </c>
      <c r="K148" s="12" t="s">
        <v>726</v>
      </c>
      <c r="L148" s="12" t="s">
        <v>727</v>
      </c>
      <c r="M148" s="12" t="s">
        <v>37</v>
      </c>
      <c r="N148" s="12" t="s">
        <v>37</v>
      </c>
      <c r="O148" s="12" t="s">
        <v>37</v>
      </c>
      <c r="P148" s="12" t="s">
        <v>16</v>
      </c>
      <c r="Q148" s="75" t="s">
        <v>326</v>
      </c>
      <c r="R148" s="11" t="s">
        <v>37</v>
      </c>
      <c r="S148" s="12" t="s">
        <v>85</v>
      </c>
      <c r="T148" s="12" t="s">
        <v>138</v>
      </c>
      <c r="U148" s="12" t="s">
        <v>158</v>
      </c>
      <c r="V148" s="12" t="s">
        <v>37</v>
      </c>
      <c r="W148" s="23" t="s">
        <v>49</v>
      </c>
      <c r="X148" s="12" t="s">
        <v>49</v>
      </c>
      <c r="Y148" s="12" t="s">
        <v>69</v>
      </c>
      <c r="Z148" s="12" t="s">
        <v>37</v>
      </c>
      <c r="AB148" s="12" t="s">
        <v>37</v>
      </c>
      <c r="AC148" s="13"/>
      <c r="AE148" s="12" t="s">
        <v>37</v>
      </c>
      <c r="AH148" s="12" t="s">
        <v>37</v>
      </c>
      <c r="AK148" s="12" t="s">
        <v>37</v>
      </c>
      <c r="AL148" s="32" t="s">
        <v>37</v>
      </c>
      <c r="AM148" s="13" t="s">
        <v>344</v>
      </c>
      <c r="AO148" s="12" t="s">
        <v>37</v>
      </c>
      <c r="AP148" s="12" t="s">
        <v>37</v>
      </c>
      <c r="AQ148" s="12" t="s">
        <v>37</v>
      </c>
      <c r="AR148" s="13"/>
      <c r="AT148" s="12" t="s">
        <v>326</v>
      </c>
      <c r="AU148" s="12" t="s">
        <v>326</v>
      </c>
      <c r="AV148" s="13" t="s">
        <v>326</v>
      </c>
      <c r="AX148" s="12" t="s">
        <v>326</v>
      </c>
      <c r="AY148" s="12" t="s">
        <v>326</v>
      </c>
      <c r="AZ148" s="13" t="s">
        <v>326</v>
      </c>
      <c r="BE148" s="12" t="s">
        <v>326</v>
      </c>
      <c r="BF148" s="12" t="s">
        <v>326</v>
      </c>
      <c r="BG148" s="12" t="s">
        <v>326</v>
      </c>
      <c r="BI148" s="12" t="s">
        <v>326</v>
      </c>
      <c r="BJ148" s="12" t="s">
        <v>326</v>
      </c>
      <c r="BK148" s="12" t="s">
        <v>326</v>
      </c>
      <c r="BO148" s="13"/>
      <c r="BP148" s="12" t="s">
        <v>37</v>
      </c>
      <c r="BQ148" s="12" t="s">
        <v>37</v>
      </c>
      <c r="BR148" s="13" t="s">
        <v>37</v>
      </c>
      <c r="BT148" s="12" t="s">
        <v>37</v>
      </c>
      <c r="BU148" s="12" t="s">
        <v>37</v>
      </c>
      <c r="BV148" s="12" t="s">
        <v>37</v>
      </c>
      <c r="CA148" s="12" t="s">
        <v>37</v>
      </c>
      <c r="CB148" s="12" t="s">
        <v>37</v>
      </c>
      <c r="CC148" s="13" t="s">
        <v>37</v>
      </c>
      <c r="CE148" s="12" t="s">
        <v>37</v>
      </c>
      <c r="CF148" s="12" t="s">
        <v>37</v>
      </c>
      <c r="CG148" s="13" t="s">
        <v>37</v>
      </c>
      <c r="CI148" s="52"/>
      <c r="CJ148" s="52"/>
      <c r="CK148" s="73"/>
      <c r="CL148" s="73"/>
      <c r="CN148" s="12" t="s">
        <v>37</v>
      </c>
      <c r="CO148" s="12" t="s">
        <v>37</v>
      </c>
      <c r="CP148" s="13" t="s">
        <v>37</v>
      </c>
      <c r="CR148" s="12" t="s">
        <v>37</v>
      </c>
      <c r="CS148" s="12" t="s">
        <v>37</v>
      </c>
      <c r="CT148" s="13" t="s">
        <v>37</v>
      </c>
      <c r="CV148" s="52"/>
      <c r="CW148" s="52"/>
      <c r="CX148" s="73"/>
      <c r="CY148" s="73"/>
      <c r="CZ148" s="12" t="s">
        <v>47</v>
      </c>
      <c r="DA148" s="12">
        <v>-100</v>
      </c>
      <c r="DB148" s="12">
        <v>270</v>
      </c>
      <c r="DC148" s="13">
        <v>16</v>
      </c>
      <c r="DD148" s="19">
        <f t="shared" si="562"/>
        <v>2.7</v>
      </c>
      <c r="DE148" s="12">
        <v>-910</v>
      </c>
      <c r="DF148" s="12">
        <v>180</v>
      </c>
      <c r="DG148" s="13">
        <v>2</v>
      </c>
      <c r="DH148" s="19">
        <f t="shared" ref="DH148:DH151" si="570">DF148/ABS(DE148)</f>
        <v>0.19780219780219779</v>
      </c>
      <c r="DI148" s="19">
        <f t="shared" si="563"/>
        <v>-810</v>
      </c>
      <c r="DJ148" s="12">
        <f t="shared" si="564"/>
        <v>265.2710877574109</v>
      </c>
      <c r="DK148" s="72">
        <f t="shared" si="565"/>
        <v>39582.421875</v>
      </c>
      <c r="DL148" s="72">
        <f t="shared" si="566"/>
        <v>20756.25</v>
      </c>
      <c r="DM148" s="12" t="s">
        <v>47</v>
      </c>
      <c r="DN148" s="19">
        <v>178.6</v>
      </c>
      <c r="DO148" s="12">
        <v>265.3</v>
      </c>
      <c r="DP148" s="13">
        <v>39</v>
      </c>
      <c r="DQ148" s="19">
        <f t="shared" si="567"/>
        <v>1.4854423292273238</v>
      </c>
      <c r="DR148" s="19">
        <v>5.0999999999999996</v>
      </c>
      <c r="DS148" s="12">
        <v>30.6</v>
      </c>
      <c r="DT148" s="13">
        <v>40</v>
      </c>
      <c r="DU148" s="19">
        <f t="shared" si="568"/>
        <v>6.0000000000000009</v>
      </c>
      <c r="DV148" s="19">
        <f t="shared" si="509"/>
        <v>-173.5</v>
      </c>
      <c r="DW148" s="12">
        <f t="shared" si="485"/>
        <v>187.64132197969008</v>
      </c>
      <c r="DX148" s="72">
        <f t="shared" si="345"/>
        <v>1783.0333278388282</v>
      </c>
      <c r="DY148" s="72">
        <f t="shared" si="346"/>
        <v>1828.1292564102569</v>
      </c>
      <c r="DZ148" s="12" t="s">
        <v>47</v>
      </c>
      <c r="EA148" s="19">
        <v>0.43</v>
      </c>
      <c r="EB148" s="19">
        <v>0.86</v>
      </c>
      <c r="EC148" s="72">
        <v>17</v>
      </c>
      <c r="ED148" s="52">
        <f t="shared" ref="ED148:ED161" si="571">EB148/ABS(EA148)</f>
        <v>2</v>
      </c>
      <c r="EE148" s="19">
        <v>3.4241884673332552</v>
      </c>
      <c r="EF148" s="19">
        <v>13.696753869332952</v>
      </c>
      <c r="EG148" s="13">
        <v>44</v>
      </c>
      <c r="EH148" s="52">
        <f t="shared" si="569"/>
        <v>3.9999999999999796</v>
      </c>
      <c r="EI148" s="19">
        <f t="shared" si="558"/>
        <v>2.9941884673332551</v>
      </c>
      <c r="EJ148" s="12">
        <f t="shared" si="550"/>
        <v>11.70157128515679</v>
      </c>
      <c r="EK148" s="19">
        <f t="shared" si="551"/>
        <v>11.166487971975885</v>
      </c>
      <c r="EL148" s="19">
        <f t="shared" si="552"/>
        <v>4.3071664859231049</v>
      </c>
      <c r="EN148" s="12" t="s">
        <v>37</v>
      </c>
      <c r="EO148" s="12" t="s">
        <v>37</v>
      </c>
      <c r="EP148" s="13" t="s">
        <v>37</v>
      </c>
      <c r="ER148" s="12" t="s">
        <v>37</v>
      </c>
      <c r="ES148" s="12" t="s">
        <v>37</v>
      </c>
      <c r="ET148" s="13" t="s">
        <v>37</v>
      </c>
      <c r="FB148" s="12" t="s">
        <v>37</v>
      </c>
      <c r="FC148" s="12" t="s">
        <v>37</v>
      </c>
      <c r="FD148" s="11" t="s">
        <v>37</v>
      </c>
      <c r="FE148" s="12" t="s">
        <v>37</v>
      </c>
      <c r="FF148" s="20" t="s">
        <v>37</v>
      </c>
      <c r="FG148" s="11" t="s">
        <v>37</v>
      </c>
      <c r="FI148" s="12" t="s">
        <v>37</v>
      </c>
      <c r="FJ148" s="12" t="s">
        <v>37</v>
      </c>
      <c r="FK148" s="11" t="s">
        <v>37</v>
      </c>
      <c r="FL148" s="13" t="s">
        <v>37</v>
      </c>
      <c r="FM148" s="11" t="s">
        <v>37</v>
      </c>
      <c r="FN148" s="11" t="s">
        <v>37</v>
      </c>
      <c r="FP148" s="12" t="s">
        <v>37</v>
      </c>
      <c r="FQ148" s="12" t="s">
        <v>37</v>
      </c>
      <c r="FR148" s="11" t="s">
        <v>37</v>
      </c>
      <c r="FS148" s="13" t="s">
        <v>37</v>
      </c>
      <c r="FT148" s="11" t="s">
        <v>37</v>
      </c>
      <c r="FU148" s="11" t="s">
        <v>37</v>
      </c>
      <c r="FW148" s="12" t="s">
        <v>37</v>
      </c>
      <c r="FX148" s="12" t="s">
        <v>37</v>
      </c>
      <c r="FY148" s="11" t="s">
        <v>37</v>
      </c>
      <c r="FZ148" s="13" t="s">
        <v>37</v>
      </c>
      <c r="GA148" s="11" t="s">
        <v>37</v>
      </c>
      <c r="GB148" s="11" t="s">
        <v>37</v>
      </c>
      <c r="IK148" s="12" t="s">
        <v>37</v>
      </c>
      <c r="IL148" s="12" t="s">
        <v>37</v>
      </c>
      <c r="IM148" s="12" t="s">
        <v>37</v>
      </c>
      <c r="IO148" s="12" t="s">
        <v>37</v>
      </c>
      <c r="IP148" s="12" t="s">
        <v>37</v>
      </c>
      <c r="IQ148" s="12" t="s">
        <v>37</v>
      </c>
      <c r="IW148" s="12" t="s">
        <v>37</v>
      </c>
      <c r="IX148" s="12" t="s">
        <v>37</v>
      </c>
      <c r="IY148" s="13" t="s">
        <v>37</v>
      </c>
      <c r="JA148" s="12" t="s">
        <v>37</v>
      </c>
      <c r="JB148" s="12" t="s">
        <v>37</v>
      </c>
      <c r="JC148" s="13" t="s">
        <v>37</v>
      </c>
      <c r="JH148" s="12" t="s">
        <v>37</v>
      </c>
      <c r="JI148" s="12" t="s">
        <v>37</v>
      </c>
      <c r="JJ148" s="13" t="s">
        <v>37</v>
      </c>
      <c r="JL148" s="12" t="s">
        <v>37</v>
      </c>
      <c r="JM148" s="12" t="s">
        <v>37</v>
      </c>
      <c r="JN148" s="12" t="s">
        <v>37</v>
      </c>
      <c r="JS148" s="12" t="s">
        <v>37</v>
      </c>
      <c r="JT148" s="12" t="s">
        <v>37</v>
      </c>
      <c r="JU148" s="13" t="s">
        <v>37</v>
      </c>
      <c r="JW148" s="12" t="s">
        <v>37</v>
      </c>
      <c r="JX148" s="12" t="s">
        <v>37</v>
      </c>
      <c r="JY148" s="12" t="s">
        <v>37</v>
      </c>
      <c r="KE148" s="11" t="s">
        <v>37</v>
      </c>
      <c r="KF148" s="11" t="s">
        <v>37</v>
      </c>
      <c r="KG148" s="13" t="s">
        <v>37</v>
      </c>
      <c r="KH148" s="11" t="s">
        <v>37</v>
      </c>
      <c r="KI148" s="11" t="s">
        <v>37</v>
      </c>
      <c r="KJ148" s="11" t="s">
        <v>37</v>
      </c>
      <c r="KM148" s="12" t="s">
        <v>37</v>
      </c>
      <c r="KN148" s="12" t="s">
        <v>37</v>
      </c>
      <c r="KO148" s="11" t="s">
        <v>37</v>
      </c>
      <c r="KQ148" s="12" t="s">
        <v>37</v>
      </c>
      <c r="KR148" s="12" t="s">
        <v>37</v>
      </c>
      <c r="KS148" s="13" t="s">
        <v>37</v>
      </c>
      <c r="KX148" s="12" t="s">
        <v>37</v>
      </c>
      <c r="KY148" s="12" t="s">
        <v>37</v>
      </c>
      <c r="KZ148" s="13" t="s">
        <v>37</v>
      </c>
      <c r="LB148" s="12" t="s">
        <v>37</v>
      </c>
      <c r="LC148" s="12" t="s">
        <v>37</v>
      </c>
      <c r="LD148" s="13" t="s">
        <v>37</v>
      </c>
      <c r="LI148" s="12" t="s">
        <v>37</v>
      </c>
      <c r="LJ148" s="12" t="s">
        <v>37</v>
      </c>
      <c r="LK148" s="12" t="s">
        <v>37</v>
      </c>
      <c r="LM148" s="12" t="s">
        <v>37</v>
      </c>
      <c r="LN148" s="12" t="s">
        <v>37</v>
      </c>
      <c r="LO148" s="12" t="s">
        <v>37</v>
      </c>
      <c r="LU148" s="12" t="s">
        <v>37</v>
      </c>
      <c r="LV148" s="12" t="s">
        <v>37</v>
      </c>
      <c r="LW148" s="13" t="s">
        <v>37</v>
      </c>
      <c r="LY148" s="12" t="s">
        <v>37</v>
      </c>
      <c r="LZ148" s="12" t="s">
        <v>37</v>
      </c>
      <c r="MA148" s="12" t="s">
        <v>37</v>
      </c>
      <c r="MF148" s="12" t="s">
        <v>37</v>
      </c>
      <c r="MG148" s="12" t="s">
        <v>37</v>
      </c>
      <c r="MH148" s="12" t="s">
        <v>37</v>
      </c>
      <c r="MJ148" s="12" t="s">
        <v>37</v>
      </c>
      <c r="MK148" s="12" t="s">
        <v>37</v>
      </c>
      <c r="ML148" s="12" t="s">
        <v>37</v>
      </c>
      <c r="MQ148" s="12" t="s">
        <v>37</v>
      </c>
      <c r="MR148" s="12" t="s">
        <v>37</v>
      </c>
      <c r="MS148" s="12" t="s">
        <v>37</v>
      </c>
      <c r="MU148" s="12" t="s">
        <v>37</v>
      </c>
      <c r="MV148" s="12" t="s">
        <v>37</v>
      </c>
      <c r="MW148" s="12" t="s">
        <v>37</v>
      </c>
      <c r="NC148" s="12" t="s">
        <v>37</v>
      </c>
      <c r="ND148" s="12" t="s">
        <v>37</v>
      </c>
      <c r="NE148" s="13" t="s">
        <v>37</v>
      </c>
      <c r="NG148" s="12" t="s">
        <v>37</v>
      </c>
      <c r="NH148" s="12" t="s">
        <v>37</v>
      </c>
      <c r="NI148" s="13" t="s">
        <v>37</v>
      </c>
      <c r="NO148" s="12" t="s">
        <v>37</v>
      </c>
      <c r="NP148" s="12" t="s">
        <v>37</v>
      </c>
      <c r="NQ148" s="13" t="s">
        <v>37</v>
      </c>
      <c r="NS148" s="12" t="s">
        <v>37</v>
      </c>
      <c r="NT148" s="12" t="s">
        <v>37</v>
      </c>
      <c r="NU148" s="13" t="s">
        <v>37</v>
      </c>
      <c r="OA148" s="12" t="s">
        <v>37</v>
      </c>
      <c r="OB148" s="12" t="s">
        <v>37</v>
      </c>
      <c r="OC148" s="13" t="s">
        <v>37</v>
      </c>
      <c r="OE148" s="12" t="s">
        <v>37</v>
      </c>
      <c r="OF148" s="12" t="s">
        <v>37</v>
      </c>
      <c r="OG148" s="13" t="s">
        <v>37</v>
      </c>
      <c r="OM148" s="12" t="s">
        <v>37</v>
      </c>
      <c r="ON148" s="12" t="s">
        <v>37</v>
      </c>
      <c r="OO148" s="12" t="s">
        <v>37</v>
      </c>
      <c r="OP148" s="12" t="s">
        <v>37</v>
      </c>
      <c r="OQ148" s="12" t="s">
        <v>37</v>
      </c>
      <c r="OR148" s="12" t="s">
        <v>37</v>
      </c>
      <c r="OS148" s="12"/>
      <c r="OT148" s="12"/>
      <c r="OW148" s="12" t="s">
        <v>37</v>
      </c>
      <c r="OX148" s="12" t="s">
        <v>37</v>
      </c>
      <c r="OY148" s="13" t="s">
        <v>37</v>
      </c>
      <c r="OZ148" s="12" t="s">
        <v>37</v>
      </c>
      <c r="PA148" s="12" t="s">
        <v>37</v>
      </c>
      <c r="PB148" s="13" t="s">
        <v>37</v>
      </c>
      <c r="PG148" s="11" t="s">
        <v>37</v>
      </c>
      <c r="PH148" s="11" t="s">
        <v>37</v>
      </c>
      <c r="PI148" s="13" t="s">
        <v>37</v>
      </c>
      <c r="PJ148" s="11" t="s">
        <v>37</v>
      </c>
      <c r="PK148" s="11" t="s">
        <v>37</v>
      </c>
      <c r="PL148" s="13" t="s">
        <v>37</v>
      </c>
      <c r="PQ148" s="12" t="s">
        <v>37</v>
      </c>
      <c r="PR148" s="12" t="s">
        <v>37</v>
      </c>
      <c r="PS148" s="12" t="s">
        <v>37</v>
      </c>
      <c r="PT148" s="12" t="s">
        <v>37</v>
      </c>
      <c r="PU148" s="12" t="s">
        <v>37</v>
      </c>
      <c r="PV148" s="12" t="s">
        <v>37</v>
      </c>
      <c r="PW148" s="12"/>
      <c r="PX148" s="12"/>
      <c r="PZ148" s="12" t="s">
        <v>37</v>
      </c>
      <c r="QA148" s="12" t="s">
        <v>37</v>
      </c>
      <c r="QB148" s="11" t="s">
        <v>37</v>
      </c>
      <c r="QD148" s="12" t="s">
        <v>37</v>
      </c>
      <c r="QE148" s="12" t="s">
        <v>37</v>
      </c>
      <c r="QF148" s="12" t="s">
        <v>37</v>
      </c>
      <c r="QK148" s="12" t="s">
        <v>37</v>
      </c>
      <c r="QL148" s="12" t="s">
        <v>37</v>
      </c>
      <c r="QM148" s="12" t="s">
        <v>37</v>
      </c>
      <c r="QN148" s="12" t="s">
        <v>37</v>
      </c>
      <c r="QO148" s="12" t="s">
        <v>37</v>
      </c>
      <c r="QP148" s="12" t="s">
        <v>37</v>
      </c>
      <c r="QQ148" s="12"/>
      <c r="QR148" s="12"/>
      <c r="QU148" s="12" t="s">
        <v>37</v>
      </c>
      <c r="QV148" s="12" t="s">
        <v>37</v>
      </c>
      <c r="QW148" s="12" t="s">
        <v>37</v>
      </c>
      <c r="QX148" s="12" t="s">
        <v>37</v>
      </c>
      <c r="QY148" s="12" t="s">
        <v>37</v>
      </c>
      <c r="QZ148" s="12" t="s">
        <v>37</v>
      </c>
      <c r="RC148" s="12" t="s">
        <v>37</v>
      </c>
      <c r="RD148" s="12" t="s">
        <v>37</v>
      </c>
      <c r="RE148" s="13" t="s">
        <v>37</v>
      </c>
      <c r="RF148" s="12" t="s">
        <v>37</v>
      </c>
      <c r="RG148" s="12" t="s">
        <v>37</v>
      </c>
      <c r="RH148" s="13" t="s">
        <v>37</v>
      </c>
      <c r="RK148" s="12" t="s">
        <v>37</v>
      </c>
      <c r="RL148" s="12" t="s">
        <v>37</v>
      </c>
      <c r="RM148" s="11" t="s">
        <v>37</v>
      </c>
      <c r="RN148" s="12" t="s">
        <v>37</v>
      </c>
      <c r="RO148" s="12" t="s">
        <v>37</v>
      </c>
      <c r="RP148" s="11" t="s">
        <v>37</v>
      </c>
      <c r="RS148" s="12" t="s">
        <v>37</v>
      </c>
      <c r="RT148" s="12" t="s">
        <v>37</v>
      </c>
      <c r="RU148" s="12" t="s">
        <v>37</v>
      </c>
      <c r="RV148" s="12" t="s">
        <v>37</v>
      </c>
      <c r="RW148" s="12" t="s">
        <v>37</v>
      </c>
      <c r="RX148" s="12" t="s">
        <v>37</v>
      </c>
      <c r="SA148" s="12" t="s">
        <v>37</v>
      </c>
      <c r="SB148" s="12" t="s">
        <v>37</v>
      </c>
      <c r="SC148" s="12" t="s">
        <v>37</v>
      </c>
      <c r="SD148" s="12" t="s">
        <v>37</v>
      </c>
      <c r="SE148" s="12" t="s">
        <v>37</v>
      </c>
      <c r="SF148" s="12" t="s">
        <v>37</v>
      </c>
      <c r="SI148" s="12" t="s">
        <v>37</v>
      </c>
      <c r="SJ148" s="12" t="s">
        <v>37</v>
      </c>
      <c r="SK148" s="13" t="s">
        <v>37</v>
      </c>
      <c r="SM148" s="12" t="s">
        <v>37</v>
      </c>
      <c r="SN148" s="12" t="s">
        <v>37</v>
      </c>
      <c r="SO148" s="13" t="s">
        <v>37</v>
      </c>
      <c r="SU148" s="12" t="s">
        <v>37</v>
      </c>
      <c r="SV148" s="12" t="s">
        <v>37</v>
      </c>
      <c r="SW148" s="11" t="s">
        <v>37</v>
      </c>
      <c r="SX148" s="12" t="s">
        <v>37</v>
      </c>
      <c r="SY148" s="12" t="s">
        <v>37</v>
      </c>
      <c r="SZ148" s="11" t="s">
        <v>37</v>
      </c>
      <c r="TE148" s="12" t="s">
        <v>37</v>
      </c>
      <c r="TF148" s="12" t="s">
        <v>37</v>
      </c>
      <c r="TG148" s="11" t="s">
        <v>37</v>
      </c>
      <c r="TH148" s="12" t="s">
        <v>37</v>
      </c>
      <c r="TI148" s="12" t="s">
        <v>37</v>
      </c>
      <c r="TJ148" s="11" t="s">
        <v>37</v>
      </c>
      <c r="TO148" s="12" t="s">
        <v>37</v>
      </c>
      <c r="TP148" s="12" t="s">
        <v>37</v>
      </c>
      <c r="TQ148" s="11" t="s">
        <v>37</v>
      </c>
      <c r="TR148" s="12" t="s">
        <v>37</v>
      </c>
      <c r="TS148" s="12" t="s">
        <v>37</v>
      </c>
      <c r="TT148" s="11" t="s">
        <v>37</v>
      </c>
      <c r="TY148" s="12" t="s">
        <v>37</v>
      </c>
      <c r="TZ148" s="12" t="s">
        <v>37</v>
      </c>
      <c r="UA148" s="12" t="s">
        <v>37</v>
      </c>
      <c r="UB148" s="12" t="s">
        <v>37</v>
      </c>
      <c r="UC148" s="12" t="s">
        <v>37</v>
      </c>
      <c r="UD148" s="12" t="s">
        <v>37</v>
      </c>
      <c r="UE148" s="12"/>
      <c r="UF148" s="12"/>
      <c r="UI148" s="12" t="s">
        <v>37</v>
      </c>
      <c r="UJ148" s="12" t="s">
        <v>37</v>
      </c>
      <c r="UK148" s="12" t="s">
        <v>37</v>
      </c>
      <c r="UL148" s="12" t="s">
        <v>37</v>
      </c>
      <c r="UM148" s="12" t="s">
        <v>37</v>
      </c>
      <c r="UN148" s="12" t="s">
        <v>37</v>
      </c>
      <c r="UO148" s="12"/>
      <c r="UP148" s="12"/>
      <c r="UR148" s="12" t="s">
        <v>37</v>
      </c>
      <c r="US148" s="12" t="s">
        <v>37</v>
      </c>
      <c r="UT148" s="12" t="s">
        <v>37</v>
      </c>
      <c r="UU148" s="12" t="s">
        <v>37</v>
      </c>
      <c r="UV148" s="12" t="s">
        <v>37</v>
      </c>
      <c r="UW148" s="12" t="s">
        <v>37</v>
      </c>
      <c r="UX148" s="12"/>
      <c r="UY148" s="12"/>
      <c r="VB148" s="12" t="s">
        <v>37</v>
      </c>
      <c r="VC148" s="12" t="s">
        <v>37</v>
      </c>
      <c r="VD148" s="12" t="s">
        <v>37</v>
      </c>
      <c r="VE148" s="12" t="s">
        <v>37</v>
      </c>
      <c r="VF148" s="12" t="s">
        <v>37</v>
      </c>
      <c r="VG148" s="12" t="s">
        <v>37</v>
      </c>
      <c r="VI148" s="12" t="s">
        <v>37</v>
      </c>
      <c r="VJ148" s="12" t="s">
        <v>37</v>
      </c>
      <c r="VK148" s="12" t="s">
        <v>37</v>
      </c>
      <c r="VL148" s="12" t="s">
        <v>37</v>
      </c>
      <c r="VM148" s="12" t="s">
        <v>37</v>
      </c>
      <c r="VN148" s="12" t="s">
        <v>37</v>
      </c>
      <c r="VQ148" s="13" t="s">
        <v>37</v>
      </c>
      <c r="VR148" s="13" t="s">
        <v>37</v>
      </c>
      <c r="VS148" s="13" t="s">
        <v>37</v>
      </c>
      <c r="VT148" s="13" t="s">
        <v>37</v>
      </c>
      <c r="VU148" s="13" t="s">
        <v>37</v>
      </c>
      <c r="VV148" s="13" t="s">
        <v>37</v>
      </c>
      <c r="WA148" s="13" t="s">
        <v>37</v>
      </c>
      <c r="WB148" s="13" t="s">
        <v>37</v>
      </c>
      <c r="WC148" s="13" t="s">
        <v>37</v>
      </c>
      <c r="WD148" s="13" t="s">
        <v>37</v>
      </c>
      <c r="WE148" s="13" t="s">
        <v>37</v>
      </c>
      <c r="WF148" s="13" t="s">
        <v>37</v>
      </c>
    </row>
    <row r="149" spans="1:604" ht="18" customHeight="1" x14ac:dyDescent="0.4">
      <c r="A149" s="11">
        <v>35</v>
      </c>
      <c r="B149" s="16" t="s">
        <v>239</v>
      </c>
      <c r="C149" s="12" t="s">
        <v>26</v>
      </c>
      <c r="D149" s="12" t="s">
        <v>974</v>
      </c>
      <c r="E149" s="40" t="s">
        <v>37</v>
      </c>
      <c r="F149" s="14">
        <v>0</v>
      </c>
      <c r="G149" s="14">
        <v>0</v>
      </c>
      <c r="H149" s="12" t="s">
        <v>37</v>
      </c>
      <c r="I149" s="29">
        <v>60.883000000000003</v>
      </c>
      <c r="J149" s="29">
        <v>23.5</v>
      </c>
      <c r="K149" s="12" t="s">
        <v>728</v>
      </c>
      <c r="L149" s="12" t="s">
        <v>729</v>
      </c>
      <c r="M149" s="12" t="s">
        <v>37</v>
      </c>
      <c r="N149" s="12" t="s">
        <v>37</v>
      </c>
      <c r="O149" s="12" t="s">
        <v>37</v>
      </c>
      <c r="P149" s="12" t="s">
        <v>16</v>
      </c>
      <c r="Q149" s="75" t="s">
        <v>326</v>
      </c>
      <c r="R149" s="11" t="s">
        <v>37</v>
      </c>
      <c r="S149" s="12" t="s">
        <v>37</v>
      </c>
      <c r="T149" s="12" t="s">
        <v>138</v>
      </c>
      <c r="U149" s="12" t="s">
        <v>158</v>
      </c>
      <c r="V149" s="12" t="s">
        <v>37</v>
      </c>
      <c r="W149" s="23" t="s">
        <v>37</v>
      </c>
      <c r="X149" s="12" t="s">
        <v>37</v>
      </c>
      <c r="Y149" s="12" t="s">
        <v>37</v>
      </c>
      <c r="Z149" s="12" t="s">
        <v>37</v>
      </c>
      <c r="AB149" s="12" t="s">
        <v>37</v>
      </c>
      <c r="AC149" s="13"/>
      <c r="AE149" s="12" t="s">
        <v>37</v>
      </c>
      <c r="AH149" s="12" t="s">
        <v>37</v>
      </c>
      <c r="AK149" s="12" t="s">
        <v>37</v>
      </c>
      <c r="AL149" s="32" t="s">
        <v>37</v>
      </c>
      <c r="AM149" s="13" t="s">
        <v>344</v>
      </c>
      <c r="AO149" s="12" t="s">
        <v>37</v>
      </c>
      <c r="AP149" s="12" t="s">
        <v>37</v>
      </c>
      <c r="AQ149" s="12" t="s">
        <v>37</v>
      </c>
      <c r="AR149" s="13"/>
      <c r="AT149" s="12" t="s">
        <v>326</v>
      </c>
      <c r="AU149" s="12" t="s">
        <v>326</v>
      </c>
      <c r="AV149" s="13" t="s">
        <v>326</v>
      </c>
      <c r="AX149" s="12" t="s">
        <v>326</v>
      </c>
      <c r="AY149" s="12" t="s">
        <v>326</v>
      </c>
      <c r="AZ149" s="13" t="s">
        <v>326</v>
      </c>
      <c r="BE149" s="12" t="s">
        <v>326</v>
      </c>
      <c r="BF149" s="12" t="s">
        <v>326</v>
      </c>
      <c r="BG149" s="12" t="s">
        <v>326</v>
      </c>
      <c r="BI149" s="12" t="s">
        <v>326</v>
      </c>
      <c r="BJ149" s="12" t="s">
        <v>326</v>
      </c>
      <c r="BK149" s="12" t="s">
        <v>326</v>
      </c>
      <c r="BO149" s="13"/>
      <c r="BP149" s="12" t="s">
        <v>37</v>
      </c>
      <c r="BQ149" s="12" t="s">
        <v>37</v>
      </c>
      <c r="BR149" s="13" t="s">
        <v>37</v>
      </c>
      <c r="BT149" s="12" t="s">
        <v>37</v>
      </c>
      <c r="BU149" s="12" t="s">
        <v>37</v>
      </c>
      <c r="BV149" s="12" t="s">
        <v>37</v>
      </c>
      <c r="CA149" s="12" t="s">
        <v>37</v>
      </c>
      <c r="CB149" s="12" t="s">
        <v>37</v>
      </c>
      <c r="CC149" s="13" t="s">
        <v>37</v>
      </c>
      <c r="CE149" s="12" t="s">
        <v>37</v>
      </c>
      <c r="CF149" s="12" t="s">
        <v>37</v>
      </c>
      <c r="CG149" s="13" t="s">
        <v>37</v>
      </c>
      <c r="CI149" s="52"/>
      <c r="CJ149" s="52"/>
      <c r="CK149" s="73"/>
      <c r="CL149" s="73"/>
      <c r="CN149" s="12" t="s">
        <v>37</v>
      </c>
      <c r="CO149" s="12" t="s">
        <v>37</v>
      </c>
      <c r="CP149" s="13" t="s">
        <v>37</v>
      </c>
      <c r="CR149" s="12" t="s">
        <v>37</v>
      </c>
      <c r="CS149" s="12" t="s">
        <v>37</v>
      </c>
      <c r="CT149" s="13" t="s">
        <v>37</v>
      </c>
      <c r="CV149" s="52"/>
      <c r="CW149" s="52"/>
      <c r="CX149" s="73"/>
      <c r="CY149" s="73"/>
      <c r="CZ149" s="12" t="s">
        <v>47</v>
      </c>
      <c r="DA149" s="12">
        <f>AVERAGEA(DA147:DA148)</f>
        <v>-77.5</v>
      </c>
      <c r="DB149" s="12">
        <f>SQRT(DB147^2+DB148^2)/2</f>
        <v>262.39283526803854</v>
      </c>
      <c r="DC149" s="13">
        <v>16</v>
      </c>
      <c r="DD149" s="19">
        <f t="shared" si="562"/>
        <v>3.385714003458562</v>
      </c>
      <c r="DE149" s="12">
        <v>1790</v>
      </c>
      <c r="DF149" s="12">
        <v>2340</v>
      </c>
      <c r="DG149" s="13">
        <v>4</v>
      </c>
      <c r="DH149" s="19">
        <f t="shared" si="570"/>
        <v>1.3072625698324023</v>
      </c>
      <c r="DI149" s="75">
        <f t="shared" si="563"/>
        <v>1867.5</v>
      </c>
      <c r="DJ149" s="12">
        <f t="shared" si="564"/>
        <v>984.87308827076799</v>
      </c>
      <c r="DK149" s="72">
        <f t="shared" si="565"/>
        <v>303117.1875</v>
      </c>
      <c r="DL149" s="72">
        <f t="shared" si="566"/>
        <v>1373203.125</v>
      </c>
      <c r="DM149" s="12" t="s">
        <v>47</v>
      </c>
      <c r="DN149" s="19">
        <f>AVERAGEA(DN147:DN148)</f>
        <v>122.44999999999999</v>
      </c>
      <c r="DO149" s="12">
        <f>SQRT(DO147^2+DO148^2)/2</f>
        <v>142.11622884104406</v>
      </c>
      <c r="DP149" s="13">
        <v>39</v>
      </c>
      <c r="DQ149" s="19">
        <f t="shared" si="567"/>
        <v>1.1606061971502171</v>
      </c>
      <c r="DR149" s="19">
        <v>0.51</v>
      </c>
      <c r="DS149" s="12">
        <v>1.02</v>
      </c>
      <c r="DT149" s="13">
        <v>10</v>
      </c>
      <c r="DU149" s="19">
        <f t="shared" si="568"/>
        <v>2</v>
      </c>
      <c r="DV149" s="19">
        <f t="shared" si="509"/>
        <v>-121.93999999999998</v>
      </c>
      <c r="DW149" s="12">
        <f t="shared" si="485"/>
        <v>127.78774111284464</v>
      </c>
      <c r="DX149" s="72">
        <f t="shared" si="345"/>
        <v>2051.6811080960179</v>
      </c>
      <c r="DY149" s="72">
        <f t="shared" si="346"/>
        <v>517.97641179487186</v>
      </c>
      <c r="DZ149" s="12" t="s">
        <v>47</v>
      </c>
      <c r="EA149" s="19">
        <f>AVERAGEA(EA147:EA148)</f>
        <v>0.215</v>
      </c>
      <c r="EB149" s="19">
        <f>SQRT(EB147^2+EB148^2)/2</f>
        <v>0.95703970659529058</v>
      </c>
      <c r="EC149" s="72">
        <v>17</v>
      </c>
      <c r="ED149" s="52">
        <f t="shared" si="571"/>
        <v>4.4513474725362352</v>
      </c>
      <c r="EE149" s="19">
        <v>12.840706752499663</v>
      </c>
      <c r="EF149" s="19">
        <v>31.673743322832479</v>
      </c>
      <c r="EG149" s="13">
        <v>14</v>
      </c>
      <c r="EH149" s="52">
        <f t="shared" si="569"/>
        <v>2.4666666666666646</v>
      </c>
      <c r="EI149" s="19">
        <f t="shared" si="558"/>
        <v>12.625706752499664</v>
      </c>
      <c r="EJ149" s="12">
        <f t="shared" si="550"/>
        <v>21.218561335293515</v>
      </c>
      <c r="EK149" s="19">
        <f t="shared" si="551"/>
        <v>58.64305756020169</v>
      </c>
      <c r="EL149" s="19">
        <f t="shared" si="552"/>
        <v>71.712879089796118</v>
      </c>
      <c r="EN149" s="12" t="s">
        <v>37</v>
      </c>
      <c r="EO149" s="12" t="s">
        <v>37</v>
      </c>
      <c r="EP149" s="13" t="s">
        <v>37</v>
      </c>
      <c r="ER149" s="12" t="s">
        <v>37</v>
      </c>
      <c r="ES149" s="12" t="s">
        <v>37</v>
      </c>
      <c r="ET149" s="13" t="s">
        <v>37</v>
      </c>
      <c r="FB149" s="12" t="s">
        <v>37</v>
      </c>
      <c r="FC149" s="12" t="s">
        <v>37</v>
      </c>
      <c r="FD149" s="11" t="s">
        <v>37</v>
      </c>
      <c r="FE149" s="12" t="s">
        <v>37</v>
      </c>
      <c r="FF149" s="20" t="s">
        <v>37</v>
      </c>
      <c r="FG149" s="11" t="s">
        <v>37</v>
      </c>
      <c r="FI149" s="12" t="s">
        <v>37</v>
      </c>
      <c r="FJ149" s="12" t="s">
        <v>37</v>
      </c>
      <c r="FK149" s="11" t="s">
        <v>37</v>
      </c>
      <c r="FL149" s="13" t="s">
        <v>37</v>
      </c>
      <c r="FM149" s="11" t="s">
        <v>37</v>
      </c>
      <c r="FN149" s="11" t="s">
        <v>37</v>
      </c>
      <c r="FP149" s="12" t="s">
        <v>37</v>
      </c>
      <c r="FQ149" s="12" t="s">
        <v>37</v>
      </c>
      <c r="FR149" s="11" t="s">
        <v>37</v>
      </c>
      <c r="FS149" s="13" t="s">
        <v>37</v>
      </c>
      <c r="FT149" s="11" t="s">
        <v>37</v>
      </c>
      <c r="FU149" s="11" t="s">
        <v>37</v>
      </c>
      <c r="FW149" s="12" t="s">
        <v>37</v>
      </c>
      <c r="FX149" s="12" t="s">
        <v>37</v>
      </c>
      <c r="FY149" s="11" t="s">
        <v>37</v>
      </c>
      <c r="FZ149" s="13" t="s">
        <v>37</v>
      </c>
      <c r="GA149" s="11" t="s">
        <v>37</v>
      </c>
      <c r="GB149" s="11" t="s">
        <v>37</v>
      </c>
      <c r="IK149" s="12" t="s">
        <v>37</v>
      </c>
      <c r="IL149" s="12" t="s">
        <v>37</v>
      </c>
      <c r="IM149" s="12" t="s">
        <v>37</v>
      </c>
      <c r="IO149" s="12" t="s">
        <v>37</v>
      </c>
      <c r="IP149" s="12" t="s">
        <v>37</v>
      </c>
      <c r="IQ149" s="12" t="s">
        <v>37</v>
      </c>
      <c r="IW149" s="12" t="s">
        <v>37</v>
      </c>
      <c r="IX149" s="12" t="s">
        <v>37</v>
      </c>
      <c r="IY149" s="13" t="s">
        <v>37</v>
      </c>
      <c r="JA149" s="12" t="s">
        <v>37</v>
      </c>
      <c r="JB149" s="12" t="s">
        <v>37</v>
      </c>
      <c r="JC149" s="13" t="s">
        <v>37</v>
      </c>
      <c r="JH149" s="12" t="s">
        <v>37</v>
      </c>
      <c r="JI149" s="12" t="s">
        <v>37</v>
      </c>
      <c r="JJ149" s="13" t="s">
        <v>37</v>
      </c>
      <c r="JL149" s="12" t="s">
        <v>37</v>
      </c>
      <c r="JM149" s="12" t="s">
        <v>37</v>
      </c>
      <c r="JN149" s="12" t="s">
        <v>37</v>
      </c>
      <c r="JS149" s="12" t="s">
        <v>37</v>
      </c>
      <c r="JT149" s="12" t="s">
        <v>37</v>
      </c>
      <c r="JU149" s="13" t="s">
        <v>37</v>
      </c>
      <c r="JW149" s="12" t="s">
        <v>37</v>
      </c>
      <c r="JX149" s="12" t="s">
        <v>37</v>
      </c>
      <c r="JY149" s="12" t="s">
        <v>37</v>
      </c>
      <c r="KE149" s="11" t="s">
        <v>37</v>
      </c>
      <c r="KF149" s="11" t="s">
        <v>37</v>
      </c>
      <c r="KG149" s="13" t="s">
        <v>37</v>
      </c>
      <c r="KH149" s="11" t="s">
        <v>37</v>
      </c>
      <c r="KI149" s="11" t="s">
        <v>37</v>
      </c>
      <c r="KJ149" s="11" t="s">
        <v>37</v>
      </c>
      <c r="KM149" s="12" t="s">
        <v>37</v>
      </c>
      <c r="KN149" s="12" t="s">
        <v>37</v>
      </c>
      <c r="KO149" s="11" t="s">
        <v>37</v>
      </c>
      <c r="KQ149" s="12" t="s">
        <v>37</v>
      </c>
      <c r="KR149" s="12" t="s">
        <v>37</v>
      </c>
      <c r="KS149" s="13" t="s">
        <v>37</v>
      </c>
      <c r="KX149" s="12" t="s">
        <v>37</v>
      </c>
      <c r="KY149" s="12" t="s">
        <v>37</v>
      </c>
      <c r="KZ149" s="13" t="s">
        <v>37</v>
      </c>
      <c r="LB149" s="12" t="s">
        <v>37</v>
      </c>
      <c r="LC149" s="12" t="s">
        <v>37</v>
      </c>
      <c r="LD149" s="13" t="s">
        <v>37</v>
      </c>
      <c r="LI149" s="12" t="s">
        <v>37</v>
      </c>
      <c r="LJ149" s="12" t="s">
        <v>37</v>
      </c>
      <c r="LK149" s="12" t="s">
        <v>37</v>
      </c>
      <c r="LM149" s="12" t="s">
        <v>37</v>
      </c>
      <c r="LN149" s="12" t="s">
        <v>37</v>
      </c>
      <c r="LO149" s="12" t="s">
        <v>37</v>
      </c>
      <c r="LU149" s="12" t="s">
        <v>37</v>
      </c>
      <c r="LV149" s="12" t="s">
        <v>37</v>
      </c>
      <c r="LW149" s="13" t="s">
        <v>37</v>
      </c>
      <c r="LY149" s="12" t="s">
        <v>37</v>
      </c>
      <c r="LZ149" s="12" t="s">
        <v>37</v>
      </c>
      <c r="MA149" s="12" t="s">
        <v>37</v>
      </c>
      <c r="MF149" s="12" t="s">
        <v>37</v>
      </c>
      <c r="MG149" s="12" t="s">
        <v>37</v>
      </c>
      <c r="MH149" s="12" t="s">
        <v>37</v>
      </c>
      <c r="MJ149" s="12" t="s">
        <v>37</v>
      </c>
      <c r="MK149" s="12" t="s">
        <v>37</v>
      </c>
      <c r="ML149" s="12" t="s">
        <v>37</v>
      </c>
      <c r="MQ149" s="12" t="s">
        <v>37</v>
      </c>
      <c r="MR149" s="12" t="s">
        <v>37</v>
      </c>
      <c r="MS149" s="12" t="s">
        <v>37</v>
      </c>
      <c r="MU149" s="12" t="s">
        <v>37</v>
      </c>
      <c r="MV149" s="12" t="s">
        <v>37</v>
      </c>
      <c r="MW149" s="12" t="s">
        <v>37</v>
      </c>
      <c r="NC149" s="12" t="s">
        <v>37</v>
      </c>
      <c r="ND149" s="12" t="s">
        <v>37</v>
      </c>
      <c r="NE149" s="13" t="s">
        <v>37</v>
      </c>
      <c r="NG149" s="12" t="s">
        <v>37</v>
      </c>
      <c r="NH149" s="12" t="s">
        <v>37</v>
      </c>
      <c r="NI149" s="13" t="s">
        <v>37</v>
      </c>
      <c r="NO149" s="12" t="s">
        <v>37</v>
      </c>
      <c r="NP149" s="12" t="s">
        <v>37</v>
      </c>
      <c r="NQ149" s="13" t="s">
        <v>37</v>
      </c>
      <c r="NS149" s="12" t="s">
        <v>37</v>
      </c>
      <c r="NT149" s="12" t="s">
        <v>37</v>
      </c>
      <c r="NU149" s="13" t="s">
        <v>37</v>
      </c>
      <c r="OA149" s="12" t="s">
        <v>37</v>
      </c>
      <c r="OB149" s="12" t="s">
        <v>37</v>
      </c>
      <c r="OC149" s="13" t="s">
        <v>37</v>
      </c>
      <c r="OE149" s="12" t="s">
        <v>37</v>
      </c>
      <c r="OF149" s="12" t="s">
        <v>37</v>
      </c>
      <c r="OG149" s="13" t="s">
        <v>37</v>
      </c>
      <c r="OM149" s="12" t="s">
        <v>37</v>
      </c>
      <c r="ON149" s="12" t="s">
        <v>37</v>
      </c>
      <c r="OO149" s="12" t="s">
        <v>37</v>
      </c>
      <c r="OP149" s="12" t="s">
        <v>37</v>
      </c>
      <c r="OQ149" s="12" t="s">
        <v>37</v>
      </c>
      <c r="OR149" s="12" t="s">
        <v>37</v>
      </c>
      <c r="OS149" s="12"/>
      <c r="OT149" s="12"/>
      <c r="OW149" s="12" t="s">
        <v>37</v>
      </c>
      <c r="OX149" s="12" t="s">
        <v>37</v>
      </c>
      <c r="OY149" s="13" t="s">
        <v>37</v>
      </c>
      <c r="OZ149" s="12" t="s">
        <v>37</v>
      </c>
      <c r="PA149" s="12" t="s">
        <v>37</v>
      </c>
      <c r="PB149" s="13" t="s">
        <v>37</v>
      </c>
      <c r="PG149" s="11" t="s">
        <v>37</v>
      </c>
      <c r="PH149" s="11" t="s">
        <v>37</v>
      </c>
      <c r="PI149" s="13" t="s">
        <v>37</v>
      </c>
      <c r="PJ149" s="11" t="s">
        <v>37</v>
      </c>
      <c r="PK149" s="11" t="s">
        <v>37</v>
      </c>
      <c r="PL149" s="13" t="s">
        <v>37</v>
      </c>
      <c r="PQ149" s="12" t="s">
        <v>37</v>
      </c>
      <c r="PR149" s="12" t="s">
        <v>37</v>
      </c>
      <c r="PS149" s="12" t="s">
        <v>37</v>
      </c>
      <c r="PT149" s="12" t="s">
        <v>37</v>
      </c>
      <c r="PU149" s="12" t="s">
        <v>37</v>
      </c>
      <c r="PV149" s="12" t="s">
        <v>37</v>
      </c>
      <c r="PW149" s="12"/>
      <c r="PX149" s="12"/>
      <c r="PZ149" s="12" t="s">
        <v>37</v>
      </c>
      <c r="QA149" s="12" t="s">
        <v>37</v>
      </c>
      <c r="QB149" s="11" t="s">
        <v>37</v>
      </c>
      <c r="QD149" s="12" t="s">
        <v>37</v>
      </c>
      <c r="QE149" s="12" t="s">
        <v>37</v>
      </c>
      <c r="QF149" s="12" t="s">
        <v>37</v>
      </c>
      <c r="QK149" s="12" t="s">
        <v>37</v>
      </c>
      <c r="QL149" s="12" t="s">
        <v>37</v>
      </c>
      <c r="QM149" s="12" t="s">
        <v>37</v>
      </c>
      <c r="QN149" s="12" t="s">
        <v>37</v>
      </c>
      <c r="QO149" s="12" t="s">
        <v>37</v>
      </c>
      <c r="QP149" s="12" t="s">
        <v>37</v>
      </c>
      <c r="QQ149" s="12"/>
      <c r="QR149" s="12"/>
      <c r="QU149" s="12" t="s">
        <v>37</v>
      </c>
      <c r="QV149" s="12" t="s">
        <v>37</v>
      </c>
      <c r="QW149" s="12" t="s">
        <v>37</v>
      </c>
      <c r="QX149" s="12" t="s">
        <v>37</v>
      </c>
      <c r="QY149" s="12" t="s">
        <v>37</v>
      </c>
      <c r="QZ149" s="12" t="s">
        <v>37</v>
      </c>
      <c r="RC149" s="12" t="s">
        <v>37</v>
      </c>
      <c r="RD149" s="12" t="s">
        <v>37</v>
      </c>
      <c r="RE149" s="13" t="s">
        <v>37</v>
      </c>
      <c r="RF149" s="12" t="s">
        <v>37</v>
      </c>
      <c r="RG149" s="12" t="s">
        <v>37</v>
      </c>
      <c r="RH149" s="13" t="s">
        <v>37</v>
      </c>
      <c r="RK149" s="12" t="s">
        <v>37</v>
      </c>
      <c r="RL149" s="12" t="s">
        <v>37</v>
      </c>
      <c r="RM149" s="11" t="s">
        <v>37</v>
      </c>
      <c r="RN149" s="12" t="s">
        <v>37</v>
      </c>
      <c r="RO149" s="12" t="s">
        <v>37</v>
      </c>
      <c r="RP149" s="11" t="s">
        <v>37</v>
      </c>
      <c r="RS149" s="12" t="s">
        <v>37</v>
      </c>
      <c r="RT149" s="12" t="s">
        <v>37</v>
      </c>
      <c r="RU149" s="12" t="s">
        <v>37</v>
      </c>
      <c r="RV149" s="12" t="s">
        <v>37</v>
      </c>
      <c r="RW149" s="12" t="s">
        <v>37</v>
      </c>
      <c r="RX149" s="12" t="s">
        <v>37</v>
      </c>
      <c r="SA149" s="12" t="s">
        <v>37</v>
      </c>
      <c r="SB149" s="12" t="s">
        <v>37</v>
      </c>
      <c r="SC149" s="12" t="s">
        <v>37</v>
      </c>
      <c r="SD149" s="12" t="s">
        <v>37</v>
      </c>
      <c r="SE149" s="12" t="s">
        <v>37</v>
      </c>
      <c r="SF149" s="12" t="s">
        <v>37</v>
      </c>
      <c r="SI149" s="12" t="s">
        <v>37</v>
      </c>
      <c r="SJ149" s="12" t="s">
        <v>37</v>
      </c>
      <c r="SK149" s="13" t="s">
        <v>37</v>
      </c>
      <c r="SM149" s="12" t="s">
        <v>37</v>
      </c>
      <c r="SN149" s="12" t="s">
        <v>37</v>
      </c>
      <c r="SO149" s="13" t="s">
        <v>37</v>
      </c>
      <c r="SU149" s="12" t="s">
        <v>37</v>
      </c>
      <c r="SV149" s="12" t="s">
        <v>37</v>
      </c>
      <c r="SW149" s="11" t="s">
        <v>37</v>
      </c>
      <c r="SX149" s="12" t="s">
        <v>37</v>
      </c>
      <c r="SY149" s="12" t="s">
        <v>37</v>
      </c>
      <c r="SZ149" s="11" t="s">
        <v>37</v>
      </c>
      <c r="TE149" s="12" t="s">
        <v>37</v>
      </c>
      <c r="TF149" s="12" t="s">
        <v>37</v>
      </c>
      <c r="TG149" s="11" t="s">
        <v>37</v>
      </c>
      <c r="TH149" s="12" t="s">
        <v>37</v>
      </c>
      <c r="TI149" s="12" t="s">
        <v>37</v>
      </c>
      <c r="TJ149" s="11" t="s">
        <v>37</v>
      </c>
      <c r="TO149" s="12" t="s">
        <v>37</v>
      </c>
      <c r="TP149" s="12" t="s">
        <v>37</v>
      </c>
      <c r="TQ149" s="11" t="s">
        <v>37</v>
      </c>
      <c r="TR149" s="12" t="s">
        <v>37</v>
      </c>
      <c r="TS149" s="12" t="s">
        <v>37</v>
      </c>
      <c r="TT149" s="11" t="s">
        <v>37</v>
      </c>
      <c r="TY149" s="12" t="s">
        <v>37</v>
      </c>
      <c r="TZ149" s="12" t="s">
        <v>37</v>
      </c>
      <c r="UA149" s="12" t="s">
        <v>37</v>
      </c>
      <c r="UB149" s="12" t="s">
        <v>37</v>
      </c>
      <c r="UC149" s="12" t="s">
        <v>37</v>
      </c>
      <c r="UD149" s="12" t="s">
        <v>37</v>
      </c>
      <c r="UE149" s="12"/>
      <c r="UF149" s="12"/>
      <c r="UI149" s="12" t="s">
        <v>37</v>
      </c>
      <c r="UJ149" s="12" t="s">
        <v>37</v>
      </c>
      <c r="UK149" s="12" t="s">
        <v>37</v>
      </c>
      <c r="UL149" s="12" t="s">
        <v>37</v>
      </c>
      <c r="UM149" s="12" t="s">
        <v>37</v>
      </c>
      <c r="UN149" s="12" t="s">
        <v>37</v>
      </c>
      <c r="UO149" s="12"/>
      <c r="UP149" s="12"/>
      <c r="UR149" s="12" t="s">
        <v>37</v>
      </c>
      <c r="US149" s="12" t="s">
        <v>37</v>
      </c>
      <c r="UT149" s="12" t="s">
        <v>37</v>
      </c>
      <c r="UU149" s="12" t="s">
        <v>37</v>
      </c>
      <c r="UV149" s="12" t="s">
        <v>37</v>
      </c>
      <c r="UW149" s="12" t="s">
        <v>37</v>
      </c>
      <c r="UX149" s="12"/>
      <c r="UY149" s="12"/>
      <c r="VB149" s="12" t="s">
        <v>37</v>
      </c>
      <c r="VC149" s="12" t="s">
        <v>37</v>
      </c>
      <c r="VD149" s="12" t="s">
        <v>37</v>
      </c>
      <c r="VE149" s="12" t="s">
        <v>37</v>
      </c>
      <c r="VF149" s="12" t="s">
        <v>37</v>
      </c>
      <c r="VG149" s="12" t="s">
        <v>37</v>
      </c>
      <c r="VI149" s="12" t="s">
        <v>37</v>
      </c>
      <c r="VJ149" s="12" t="s">
        <v>37</v>
      </c>
      <c r="VK149" s="12" t="s">
        <v>37</v>
      </c>
      <c r="VL149" s="12" t="s">
        <v>37</v>
      </c>
      <c r="VM149" s="12" t="s">
        <v>37</v>
      </c>
      <c r="VN149" s="12" t="s">
        <v>37</v>
      </c>
      <c r="VQ149" s="13" t="s">
        <v>37</v>
      </c>
      <c r="VR149" s="13" t="s">
        <v>37</v>
      </c>
      <c r="VS149" s="13" t="s">
        <v>37</v>
      </c>
      <c r="VT149" s="13" t="s">
        <v>37</v>
      </c>
      <c r="VU149" s="13" t="s">
        <v>37</v>
      </c>
      <c r="VV149" s="13" t="s">
        <v>37</v>
      </c>
      <c r="WA149" s="13" t="s">
        <v>37</v>
      </c>
      <c r="WB149" s="13" t="s">
        <v>37</v>
      </c>
      <c r="WC149" s="13" t="s">
        <v>37</v>
      </c>
      <c r="WD149" s="13" t="s">
        <v>37</v>
      </c>
      <c r="WE149" s="13" t="s">
        <v>37</v>
      </c>
      <c r="WF149" s="13" t="s">
        <v>37</v>
      </c>
    </row>
    <row r="150" spans="1:604" ht="18" customHeight="1" x14ac:dyDescent="0.4">
      <c r="A150" s="11">
        <v>35</v>
      </c>
      <c r="B150" s="16" t="s">
        <v>906</v>
      </c>
      <c r="C150" s="12" t="s">
        <v>26</v>
      </c>
      <c r="D150" s="12" t="s">
        <v>119</v>
      </c>
      <c r="E150" s="40" t="s">
        <v>37</v>
      </c>
      <c r="F150" s="14">
        <v>0</v>
      </c>
      <c r="G150" s="14">
        <v>0</v>
      </c>
      <c r="H150" s="12" t="s">
        <v>37</v>
      </c>
      <c r="I150" s="29">
        <v>67.283000000000001</v>
      </c>
      <c r="J150" s="29">
        <v>14.467000000000001</v>
      </c>
      <c r="K150" s="12" t="s">
        <v>730</v>
      </c>
      <c r="L150" s="12" t="s">
        <v>731</v>
      </c>
      <c r="M150" s="12" t="s">
        <v>37</v>
      </c>
      <c r="N150" s="12" t="s">
        <v>37</v>
      </c>
      <c r="O150" s="12" t="s">
        <v>37</v>
      </c>
      <c r="P150" s="12" t="s">
        <v>16</v>
      </c>
      <c r="Q150" s="75" t="s">
        <v>326</v>
      </c>
      <c r="R150" s="11" t="s">
        <v>37</v>
      </c>
      <c r="S150" s="12" t="s">
        <v>37</v>
      </c>
      <c r="T150" s="12" t="s">
        <v>138</v>
      </c>
      <c r="U150" s="12" t="s">
        <v>158</v>
      </c>
      <c r="V150" s="12" t="s">
        <v>37</v>
      </c>
      <c r="W150" s="23" t="s">
        <v>37</v>
      </c>
      <c r="X150" s="12" t="s">
        <v>37</v>
      </c>
      <c r="Y150" s="12" t="s">
        <v>37</v>
      </c>
      <c r="Z150" s="12" t="s">
        <v>37</v>
      </c>
      <c r="AB150" s="12" t="s">
        <v>37</v>
      </c>
      <c r="AC150" s="13"/>
      <c r="AE150" s="12" t="s">
        <v>37</v>
      </c>
      <c r="AH150" s="12" t="s">
        <v>37</v>
      </c>
      <c r="AK150" s="12" t="s">
        <v>37</v>
      </c>
      <c r="AL150" s="32" t="s">
        <v>37</v>
      </c>
      <c r="AM150" s="13" t="s">
        <v>344</v>
      </c>
      <c r="AO150" s="12" t="s">
        <v>37</v>
      </c>
      <c r="AP150" s="12" t="s">
        <v>37</v>
      </c>
      <c r="AQ150" s="12" t="s">
        <v>37</v>
      </c>
      <c r="AR150" s="13"/>
      <c r="AT150" s="12" t="s">
        <v>326</v>
      </c>
      <c r="AU150" s="12" t="s">
        <v>326</v>
      </c>
      <c r="AV150" s="13" t="s">
        <v>326</v>
      </c>
      <c r="AX150" s="12" t="s">
        <v>326</v>
      </c>
      <c r="AY150" s="12" t="s">
        <v>326</v>
      </c>
      <c r="AZ150" s="13" t="s">
        <v>326</v>
      </c>
      <c r="BE150" s="12" t="s">
        <v>326</v>
      </c>
      <c r="BF150" s="12" t="s">
        <v>326</v>
      </c>
      <c r="BG150" s="12" t="s">
        <v>326</v>
      </c>
      <c r="BI150" s="12" t="s">
        <v>326</v>
      </c>
      <c r="BJ150" s="12" t="s">
        <v>326</v>
      </c>
      <c r="BK150" s="12" t="s">
        <v>326</v>
      </c>
      <c r="BO150" s="13"/>
      <c r="BP150" s="12" t="s">
        <v>37</v>
      </c>
      <c r="BQ150" s="12" t="s">
        <v>37</v>
      </c>
      <c r="BR150" s="13" t="s">
        <v>37</v>
      </c>
      <c r="BT150" s="12" t="s">
        <v>37</v>
      </c>
      <c r="BU150" s="12" t="s">
        <v>37</v>
      </c>
      <c r="BV150" s="12" t="s">
        <v>37</v>
      </c>
      <c r="CA150" s="12" t="s">
        <v>37</v>
      </c>
      <c r="CB150" s="12" t="s">
        <v>37</v>
      </c>
      <c r="CC150" s="13" t="s">
        <v>37</v>
      </c>
      <c r="CE150" s="12" t="s">
        <v>37</v>
      </c>
      <c r="CF150" s="12" t="s">
        <v>37</v>
      </c>
      <c r="CG150" s="13" t="s">
        <v>37</v>
      </c>
      <c r="CI150" s="52"/>
      <c r="CJ150" s="52"/>
      <c r="CK150" s="73"/>
      <c r="CL150" s="73"/>
      <c r="CN150" s="12" t="s">
        <v>37</v>
      </c>
      <c r="CO150" s="12" t="s">
        <v>37</v>
      </c>
      <c r="CP150" s="13" t="s">
        <v>37</v>
      </c>
      <c r="CR150" s="12" t="s">
        <v>37</v>
      </c>
      <c r="CS150" s="12" t="s">
        <v>37</v>
      </c>
      <c r="CT150" s="13" t="s">
        <v>37</v>
      </c>
      <c r="CV150" s="52"/>
      <c r="CW150" s="52"/>
      <c r="CX150" s="73"/>
      <c r="CY150" s="73"/>
      <c r="CZ150" s="12" t="s">
        <v>47</v>
      </c>
      <c r="DA150" s="12">
        <v>-77.5</v>
      </c>
      <c r="DB150" s="12">
        <v>262.39283526803854</v>
      </c>
      <c r="DC150" s="13">
        <v>16</v>
      </c>
      <c r="DD150" s="19">
        <f t="shared" si="562"/>
        <v>3.385714003458562</v>
      </c>
      <c r="DE150" s="12">
        <v>1700</v>
      </c>
      <c r="DF150" s="12">
        <v>2340</v>
      </c>
      <c r="DG150" s="13">
        <v>3</v>
      </c>
      <c r="DH150" s="19">
        <f t="shared" si="570"/>
        <v>1.3764705882352941</v>
      </c>
      <c r="DI150" s="75">
        <f t="shared" si="563"/>
        <v>1777.5</v>
      </c>
      <c r="DJ150" s="12">
        <f t="shared" si="564"/>
        <v>839.60600003461002</v>
      </c>
      <c r="DK150" s="72">
        <f t="shared" si="565"/>
        <v>279038.05147058825</v>
      </c>
      <c r="DL150" s="72">
        <f t="shared" si="566"/>
        <v>1829503.125</v>
      </c>
      <c r="DM150" s="12" t="s">
        <v>47</v>
      </c>
      <c r="DN150" s="19">
        <v>122.44999999999999</v>
      </c>
      <c r="DO150" s="12">
        <v>142.11622884104406</v>
      </c>
      <c r="DP150" s="13">
        <v>39</v>
      </c>
      <c r="DQ150" s="19">
        <f t="shared" si="567"/>
        <v>1.1606061971502171</v>
      </c>
      <c r="DR150" s="19">
        <v>-0.51</v>
      </c>
      <c r="DS150" s="12">
        <v>2.04</v>
      </c>
      <c r="DT150" s="13">
        <v>5</v>
      </c>
      <c r="DU150" s="19">
        <f t="shared" si="568"/>
        <v>4</v>
      </c>
      <c r="DV150" s="19">
        <f t="shared" si="509"/>
        <v>-122.96</v>
      </c>
      <c r="DW150" s="12">
        <f t="shared" si="485"/>
        <v>135.18096349144798</v>
      </c>
      <c r="DX150" s="72">
        <f t="shared" si="345"/>
        <v>4123.3399342612947</v>
      </c>
      <c r="DY150" s="72">
        <f t="shared" si="346"/>
        <v>518.70469179487179</v>
      </c>
      <c r="DZ150" s="12" t="s">
        <v>47</v>
      </c>
      <c r="EA150" s="19">
        <v>0.215</v>
      </c>
      <c r="EB150" s="19">
        <v>0.95703970659529058</v>
      </c>
      <c r="EC150" s="72">
        <v>17</v>
      </c>
      <c r="ED150" s="52">
        <f t="shared" si="571"/>
        <v>4.4513474725362352</v>
      </c>
      <c r="EE150" s="19">
        <v>17.120942336666211</v>
      </c>
      <c r="EF150" s="19">
        <v>30.817696205999184</v>
      </c>
      <c r="EG150" s="13">
        <v>5</v>
      </c>
      <c r="EH150" s="52">
        <f t="shared" si="569"/>
        <v>1.8000000000000003</v>
      </c>
      <c r="EI150" s="19">
        <f t="shared" si="558"/>
        <v>16.905942336666211</v>
      </c>
      <c r="EJ150" s="12">
        <f t="shared" si="550"/>
        <v>13.808650183455706</v>
      </c>
      <c r="EK150" s="19">
        <f t="shared" si="551"/>
        <v>49.352165147754455</v>
      </c>
      <c r="EL150" s="19">
        <f t="shared" si="552"/>
        <v>189.99995783022777</v>
      </c>
      <c r="EN150" s="12" t="s">
        <v>37</v>
      </c>
      <c r="EO150" s="12" t="s">
        <v>37</v>
      </c>
      <c r="EP150" s="13" t="s">
        <v>37</v>
      </c>
      <c r="ER150" s="12" t="s">
        <v>37</v>
      </c>
      <c r="ES150" s="12" t="s">
        <v>37</v>
      </c>
      <c r="ET150" s="13" t="s">
        <v>37</v>
      </c>
      <c r="FB150" s="12" t="s">
        <v>37</v>
      </c>
      <c r="FC150" s="12" t="s">
        <v>37</v>
      </c>
      <c r="FD150" s="11" t="s">
        <v>37</v>
      </c>
      <c r="FE150" s="12" t="s">
        <v>37</v>
      </c>
      <c r="FF150" s="20" t="s">
        <v>37</v>
      </c>
      <c r="FG150" s="11" t="s">
        <v>37</v>
      </c>
      <c r="FI150" s="12" t="s">
        <v>37</v>
      </c>
      <c r="FJ150" s="12" t="s">
        <v>37</v>
      </c>
      <c r="FK150" s="11" t="s">
        <v>37</v>
      </c>
      <c r="FL150" s="13" t="s">
        <v>37</v>
      </c>
      <c r="FM150" s="11" t="s">
        <v>37</v>
      </c>
      <c r="FN150" s="11" t="s">
        <v>37</v>
      </c>
      <c r="FP150" s="12" t="s">
        <v>37</v>
      </c>
      <c r="FQ150" s="12" t="s">
        <v>37</v>
      </c>
      <c r="FR150" s="11" t="s">
        <v>37</v>
      </c>
      <c r="FS150" s="13" t="s">
        <v>37</v>
      </c>
      <c r="FT150" s="11" t="s">
        <v>37</v>
      </c>
      <c r="FU150" s="11" t="s">
        <v>37</v>
      </c>
      <c r="FW150" s="12" t="s">
        <v>37</v>
      </c>
      <c r="FX150" s="12" t="s">
        <v>37</v>
      </c>
      <c r="FY150" s="11" t="s">
        <v>37</v>
      </c>
      <c r="FZ150" s="13" t="s">
        <v>37</v>
      </c>
      <c r="GA150" s="11" t="s">
        <v>37</v>
      </c>
      <c r="GB150" s="11" t="s">
        <v>37</v>
      </c>
      <c r="IK150" s="12" t="s">
        <v>37</v>
      </c>
      <c r="IL150" s="12" t="s">
        <v>37</v>
      </c>
      <c r="IM150" s="12" t="s">
        <v>37</v>
      </c>
      <c r="IO150" s="12" t="s">
        <v>37</v>
      </c>
      <c r="IP150" s="12" t="s">
        <v>37</v>
      </c>
      <c r="IQ150" s="12" t="s">
        <v>37</v>
      </c>
      <c r="IW150" s="12" t="s">
        <v>37</v>
      </c>
      <c r="IX150" s="12" t="s">
        <v>37</v>
      </c>
      <c r="IY150" s="13" t="s">
        <v>37</v>
      </c>
      <c r="JA150" s="12" t="s">
        <v>37</v>
      </c>
      <c r="JB150" s="12" t="s">
        <v>37</v>
      </c>
      <c r="JC150" s="13" t="s">
        <v>37</v>
      </c>
      <c r="JH150" s="12" t="s">
        <v>37</v>
      </c>
      <c r="JI150" s="12" t="s">
        <v>37</v>
      </c>
      <c r="JJ150" s="13" t="s">
        <v>37</v>
      </c>
      <c r="JL150" s="12" t="s">
        <v>37</v>
      </c>
      <c r="JM150" s="12" t="s">
        <v>37</v>
      </c>
      <c r="JN150" s="12" t="s">
        <v>37</v>
      </c>
      <c r="JS150" s="12" t="s">
        <v>37</v>
      </c>
      <c r="JT150" s="12" t="s">
        <v>37</v>
      </c>
      <c r="JU150" s="13" t="s">
        <v>37</v>
      </c>
      <c r="JW150" s="12" t="s">
        <v>37</v>
      </c>
      <c r="JX150" s="12" t="s">
        <v>37</v>
      </c>
      <c r="JY150" s="12" t="s">
        <v>37</v>
      </c>
      <c r="KE150" s="11" t="s">
        <v>37</v>
      </c>
      <c r="KF150" s="11" t="s">
        <v>37</v>
      </c>
      <c r="KG150" s="13" t="s">
        <v>37</v>
      </c>
      <c r="KH150" s="11" t="s">
        <v>37</v>
      </c>
      <c r="KI150" s="11" t="s">
        <v>37</v>
      </c>
      <c r="KJ150" s="11" t="s">
        <v>37</v>
      </c>
      <c r="KM150" s="12" t="s">
        <v>37</v>
      </c>
      <c r="KN150" s="12" t="s">
        <v>37</v>
      </c>
      <c r="KO150" s="11" t="s">
        <v>37</v>
      </c>
      <c r="KQ150" s="12" t="s">
        <v>37</v>
      </c>
      <c r="KR150" s="12" t="s">
        <v>37</v>
      </c>
      <c r="KS150" s="13" t="s">
        <v>37</v>
      </c>
      <c r="KX150" s="12" t="s">
        <v>37</v>
      </c>
      <c r="KY150" s="12" t="s">
        <v>37</v>
      </c>
      <c r="KZ150" s="13" t="s">
        <v>37</v>
      </c>
      <c r="LB150" s="12" t="s">
        <v>37</v>
      </c>
      <c r="LC150" s="12" t="s">
        <v>37</v>
      </c>
      <c r="LD150" s="13" t="s">
        <v>37</v>
      </c>
      <c r="LI150" s="12" t="s">
        <v>37</v>
      </c>
      <c r="LJ150" s="12" t="s">
        <v>37</v>
      </c>
      <c r="LK150" s="12" t="s">
        <v>37</v>
      </c>
      <c r="LM150" s="12" t="s">
        <v>37</v>
      </c>
      <c r="LN150" s="12" t="s">
        <v>37</v>
      </c>
      <c r="LO150" s="12" t="s">
        <v>37</v>
      </c>
      <c r="LU150" s="12" t="s">
        <v>37</v>
      </c>
      <c r="LV150" s="12" t="s">
        <v>37</v>
      </c>
      <c r="LW150" s="13" t="s">
        <v>37</v>
      </c>
      <c r="LY150" s="12" t="s">
        <v>37</v>
      </c>
      <c r="LZ150" s="12" t="s">
        <v>37</v>
      </c>
      <c r="MA150" s="12" t="s">
        <v>37</v>
      </c>
      <c r="MF150" s="12" t="s">
        <v>37</v>
      </c>
      <c r="MG150" s="12" t="s">
        <v>37</v>
      </c>
      <c r="MH150" s="12" t="s">
        <v>37</v>
      </c>
      <c r="MJ150" s="12" t="s">
        <v>37</v>
      </c>
      <c r="MK150" s="12" t="s">
        <v>37</v>
      </c>
      <c r="ML150" s="12" t="s">
        <v>37</v>
      </c>
      <c r="MQ150" s="12" t="s">
        <v>37</v>
      </c>
      <c r="MR150" s="12" t="s">
        <v>37</v>
      </c>
      <c r="MS150" s="12" t="s">
        <v>37</v>
      </c>
      <c r="MU150" s="12" t="s">
        <v>37</v>
      </c>
      <c r="MV150" s="12" t="s">
        <v>37</v>
      </c>
      <c r="MW150" s="12" t="s">
        <v>37</v>
      </c>
      <c r="NC150" s="12" t="s">
        <v>37</v>
      </c>
      <c r="ND150" s="12" t="s">
        <v>37</v>
      </c>
      <c r="NE150" s="13" t="s">
        <v>37</v>
      </c>
      <c r="NG150" s="12" t="s">
        <v>37</v>
      </c>
      <c r="NH150" s="12" t="s">
        <v>37</v>
      </c>
      <c r="NI150" s="13" t="s">
        <v>37</v>
      </c>
      <c r="NO150" s="12" t="s">
        <v>37</v>
      </c>
      <c r="NP150" s="12" t="s">
        <v>37</v>
      </c>
      <c r="NQ150" s="13" t="s">
        <v>37</v>
      </c>
      <c r="NS150" s="12" t="s">
        <v>37</v>
      </c>
      <c r="NT150" s="12" t="s">
        <v>37</v>
      </c>
      <c r="NU150" s="13" t="s">
        <v>37</v>
      </c>
      <c r="OA150" s="12" t="s">
        <v>37</v>
      </c>
      <c r="OB150" s="12" t="s">
        <v>37</v>
      </c>
      <c r="OC150" s="13" t="s">
        <v>37</v>
      </c>
      <c r="OE150" s="12" t="s">
        <v>37</v>
      </c>
      <c r="OF150" s="12" t="s">
        <v>37</v>
      </c>
      <c r="OG150" s="13" t="s">
        <v>37</v>
      </c>
      <c r="OM150" s="12" t="s">
        <v>37</v>
      </c>
      <c r="ON150" s="12" t="s">
        <v>37</v>
      </c>
      <c r="OO150" s="12" t="s">
        <v>37</v>
      </c>
      <c r="OP150" s="12" t="s">
        <v>37</v>
      </c>
      <c r="OQ150" s="12" t="s">
        <v>37</v>
      </c>
      <c r="OR150" s="12" t="s">
        <v>37</v>
      </c>
      <c r="OS150" s="12"/>
      <c r="OT150" s="12"/>
      <c r="OW150" s="12" t="s">
        <v>37</v>
      </c>
      <c r="OX150" s="12" t="s">
        <v>37</v>
      </c>
      <c r="OY150" s="13" t="s">
        <v>37</v>
      </c>
      <c r="OZ150" s="12" t="s">
        <v>37</v>
      </c>
      <c r="PA150" s="12" t="s">
        <v>37</v>
      </c>
      <c r="PB150" s="13" t="s">
        <v>37</v>
      </c>
      <c r="PG150" s="11" t="s">
        <v>37</v>
      </c>
      <c r="PH150" s="11" t="s">
        <v>37</v>
      </c>
      <c r="PI150" s="13" t="s">
        <v>37</v>
      </c>
      <c r="PJ150" s="11" t="s">
        <v>37</v>
      </c>
      <c r="PK150" s="11" t="s">
        <v>37</v>
      </c>
      <c r="PL150" s="13" t="s">
        <v>37</v>
      </c>
      <c r="PQ150" s="12" t="s">
        <v>37</v>
      </c>
      <c r="PR150" s="12" t="s">
        <v>37</v>
      </c>
      <c r="PS150" s="12" t="s">
        <v>37</v>
      </c>
      <c r="PT150" s="12" t="s">
        <v>37</v>
      </c>
      <c r="PU150" s="12" t="s">
        <v>37</v>
      </c>
      <c r="PV150" s="12" t="s">
        <v>37</v>
      </c>
      <c r="PW150" s="12"/>
      <c r="PX150" s="12"/>
      <c r="PZ150" s="12" t="s">
        <v>37</v>
      </c>
      <c r="QA150" s="12" t="s">
        <v>37</v>
      </c>
      <c r="QB150" s="11" t="s">
        <v>37</v>
      </c>
      <c r="QD150" s="12" t="s">
        <v>37</v>
      </c>
      <c r="QE150" s="12" t="s">
        <v>37</v>
      </c>
      <c r="QF150" s="12" t="s">
        <v>37</v>
      </c>
      <c r="QK150" s="12" t="s">
        <v>37</v>
      </c>
      <c r="QL150" s="12" t="s">
        <v>37</v>
      </c>
      <c r="QM150" s="12" t="s">
        <v>37</v>
      </c>
      <c r="QN150" s="12" t="s">
        <v>37</v>
      </c>
      <c r="QO150" s="12" t="s">
        <v>37</v>
      </c>
      <c r="QP150" s="12" t="s">
        <v>37</v>
      </c>
      <c r="QQ150" s="12"/>
      <c r="QR150" s="12"/>
      <c r="QU150" s="12" t="s">
        <v>37</v>
      </c>
      <c r="QV150" s="12" t="s">
        <v>37</v>
      </c>
      <c r="QW150" s="12" t="s">
        <v>37</v>
      </c>
      <c r="QX150" s="12" t="s">
        <v>37</v>
      </c>
      <c r="QY150" s="12" t="s">
        <v>37</v>
      </c>
      <c r="QZ150" s="12" t="s">
        <v>37</v>
      </c>
      <c r="RC150" s="12" t="s">
        <v>37</v>
      </c>
      <c r="RD150" s="12" t="s">
        <v>37</v>
      </c>
      <c r="RE150" s="13" t="s">
        <v>37</v>
      </c>
      <c r="RF150" s="12" t="s">
        <v>37</v>
      </c>
      <c r="RG150" s="12" t="s">
        <v>37</v>
      </c>
      <c r="RH150" s="13" t="s">
        <v>37</v>
      </c>
      <c r="RK150" s="12" t="s">
        <v>37</v>
      </c>
      <c r="RL150" s="12" t="s">
        <v>37</v>
      </c>
      <c r="RM150" s="11" t="s">
        <v>37</v>
      </c>
      <c r="RN150" s="12" t="s">
        <v>37</v>
      </c>
      <c r="RO150" s="12" t="s">
        <v>37</v>
      </c>
      <c r="RP150" s="11" t="s">
        <v>37</v>
      </c>
      <c r="RS150" s="12" t="s">
        <v>37</v>
      </c>
      <c r="RT150" s="12" t="s">
        <v>37</v>
      </c>
      <c r="RU150" s="12" t="s">
        <v>37</v>
      </c>
      <c r="RV150" s="12" t="s">
        <v>37</v>
      </c>
      <c r="RW150" s="12" t="s">
        <v>37</v>
      </c>
      <c r="RX150" s="12" t="s">
        <v>37</v>
      </c>
      <c r="SA150" s="12" t="s">
        <v>37</v>
      </c>
      <c r="SB150" s="12" t="s">
        <v>37</v>
      </c>
      <c r="SC150" s="12" t="s">
        <v>37</v>
      </c>
      <c r="SD150" s="12" t="s">
        <v>37</v>
      </c>
      <c r="SE150" s="12" t="s">
        <v>37</v>
      </c>
      <c r="SF150" s="12" t="s">
        <v>37</v>
      </c>
      <c r="SI150" s="12" t="s">
        <v>37</v>
      </c>
      <c r="SJ150" s="12" t="s">
        <v>37</v>
      </c>
      <c r="SK150" s="13" t="s">
        <v>37</v>
      </c>
      <c r="SM150" s="12" t="s">
        <v>37</v>
      </c>
      <c r="SN150" s="12" t="s">
        <v>37</v>
      </c>
      <c r="SO150" s="13" t="s">
        <v>37</v>
      </c>
      <c r="SU150" s="12" t="s">
        <v>37</v>
      </c>
      <c r="SV150" s="12" t="s">
        <v>37</v>
      </c>
      <c r="SW150" s="11" t="s">
        <v>37</v>
      </c>
      <c r="SX150" s="12" t="s">
        <v>37</v>
      </c>
      <c r="SY150" s="12" t="s">
        <v>37</v>
      </c>
      <c r="SZ150" s="11" t="s">
        <v>37</v>
      </c>
      <c r="TE150" s="12" t="s">
        <v>37</v>
      </c>
      <c r="TF150" s="12" t="s">
        <v>37</v>
      </c>
      <c r="TG150" s="11" t="s">
        <v>37</v>
      </c>
      <c r="TH150" s="12" t="s">
        <v>37</v>
      </c>
      <c r="TI150" s="12" t="s">
        <v>37</v>
      </c>
      <c r="TJ150" s="11" t="s">
        <v>37</v>
      </c>
      <c r="TO150" s="12" t="s">
        <v>37</v>
      </c>
      <c r="TP150" s="12" t="s">
        <v>37</v>
      </c>
      <c r="TQ150" s="11" t="s">
        <v>37</v>
      </c>
      <c r="TR150" s="12" t="s">
        <v>37</v>
      </c>
      <c r="TS150" s="12" t="s">
        <v>37</v>
      </c>
      <c r="TT150" s="11" t="s">
        <v>37</v>
      </c>
      <c r="TY150" s="12" t="s">
        <v>37</v>
      </c>
      <c r="TZ150" s="12" t="s">
        <v>37</v>
      </c>
      <c r="UA150" s="12" t="s">
        <v>37</v>
      </c>
      <c r="UB150" s="12" t="s">
        <v>37</v>
      </c>
      <c r="UC150" s="12" t="s">
        <v>37</v>
      </c>
      <c r="UD150" s="12" t="s">
        <v>37</v>
      </c>
      <c r="UE150" s="12"/>
      <c r="UF150" s="12"/>
      <c r="UI150" s="12" t="s">
        <v>37</v>
      </c>
      <c r="UJ150" s="12" t="s">
        <v>37</v>
      </c>
      <c r="UK150" s="12" t="s">
        <v>37</v>
      </c>
      <c r="UL150" s="12" t="s">
        <v>37</v>
      </c>
      <c r="UM150" s="12" t="s">
        <v>37</v>
      </c>
      <c r="UN150" s="12" t="s">
        <v>37</v>
      </c>
      <c r="UO150" s="12"/>
      <c r="UP150" s="12"/>
      <c r="UR150" s="12" t="s">
        <v>37</v>
      </c>
      <c r="US150" s="12" t="s">
        <v>37</v>
      </c>
      <c r="UT150" s="12" t="s">
        <v>37</v>
      </c>
      <c r="UU150" s="12" t="s">
        <v>37</v>
      </c>
      <c r="UV150" s="12" t="s">
        <v>37</v>
      </c>
      <c r="UW150" s="12" t="s">
        <v>37</v>
      </c>
      <c r="UX150" s="12"/>
      <c r="UY150" s="12"/>
      <c r="VB150" s="12" t="s">
        <v>37</v>
      </c>
      <c r="VC150" s="12" t="s">
        <v>37</v>
      </c>
      <c r="VD150" s="12" t="s">
        <v>37</v>
      </c>
      <c r="VE150" s="12" t="s">
        <v>37</v>
      </c>
      <c r="VF150" s="12" t="s">
        <v>37</v>
      </c>
      <c r="VG150" s="12" t="s">
        <v>37</v>
      </c>
      <c r="VI150" s="12" t="s">
        <v>37</v>
      </c>
      <c r="VJ150" s="12" t="s">
        <v>37</v>
      </c>
      <c r="VK150" s="12" t="s">
        <v>37</v>
      </c>
      <c r="VL150" s="12" t="s">
        <v>37</v>
      </c>
      <c r="VM150" s="12" t="s">
        <v>37</v>
      </c>
      <c r="VN150" s="12" t="s">
        <v>37</v>
      </c>
      <c r="VQ150" s="13" t="s">
        <v>37</v>
      </c>
      <c r="VR150" s="13" t="s">
        <v>37</v>
      </c>
      <c r="VS150" s="13" t="s">
        <v>37</v>
      </c>
      <c r="VT150" s="13" t="s">
        <v>37</v>
      </c>
      <c r="VU150" s="13" t="s">
        <v>37</v>
      </c>
      <c r="VV150" s="13" t="s">
        <v>37</v>
      </c>
      <c r="WA150" s="13" t="s">
        <v>37</v>
      </c>
      <c r="WB150" s="13" t="s">
        <v>37</v>
      </c>
      <c r="WC150" s="13" t="s">
        <v>37</v>
      </c>
      <c r="WD150" s="13" t="s">
        <v>37</v>
      </c>
      <c r="WE150" s="13" t="s">
        <v>37</v>
      </c>
      <c r="WF150" s="13" t="s">
        <v>37</v>
      </c>
    </row>
    <row r="151" spans="1:604" ht="18" customHeight="1" x14ac:dyDescent="0.4">
      <c r="A151" s="11">
        <v>35</v>
      </c>
      <c r="B151" s="16" t="s">
        <v>239</v>
      </c>
      <c r="C151" s="12" t="s">
        <v>26</v>
      </c>
      <c r="D151" s="12" t="s">
        <v>1050</v>
      </c>
      <c r="E151" s="40" t="s">
        <v>37</v>
      </c>
      <c r="F151" s="14">
        <v>0</v>
      </c>
      <c r="G151" s="14">
        <v>0</v>
      </c>
      <c r="H151" s="12" t="s">
        <v>37</v>
      </c>
      <c r="I151" s="29">
        <v>60.35</v>
      </c>
      <c r="J151" s="29">
        <v>25.05</v>
      </c>
      <c r="K151" s="12" t="s">
        <v>724</v>
      </c>
      <c r="L151" s="12" t="s">
        <v>725</v>
      </c>
      <c r="M151" s="12" t="s">
        <v>37</v>
      </c>
      <c r="N151" s="12" t="s">
        <v>37</v>
      </c>
      <c r="O151" s="12" t="s">
        <v>37</v>
      </c>
      <c r="P151" s="12" t="s">
        <v>16</v>
      </c>
      <c r="Q151" s="75" t="s">
        <v>326</v>
      </c>
      <c r="R151" s="11" t="s">
        <v>37</v>
      </c>
      <c r="S151" s="12" t="s">
        <v>37</v>
      </c>
      <c r="T151" s="12" t="s">
        <v>37</v>
      </c>
      <c r="U151" s="12" t="s">
        <v>158</v>
      </c>
      <c r="V151" s="12" t="s">
        <v>37</v>
      </c>
      <c r="W151" s="23" t="s">
        <v>37</v>
      </c>
      <c r="X151" s="12" t="s">
        <v>37</v>
      </c>
      <c r="Y151" s="12" t="s">
        <v>37</v>
      </c>
      <c r="Z151" s="12" t="s">
        <v>37</v>
      </c>
      <c r="AB151" s="12" t="s">
        <v>37</v>
      </c>
      <c r="AE151" s="12" t="s">
        <v>37</v>
      </c>
      <c r="AH151" s="12" t="s">
        <v>37</v>
      </c>
      <c r="AK151" s="12" t="s">
        <v>37</v>
      </c>
      <c r="AL151" s="32" t="s">
        <v>37</v>
      </c>
      <c r="AM151" s="13" t="s">
        <v>344</v>
      </c>
      <c r="AO151" s="12" t="s">
        <v>37</v>
      </c>
      <c r="AP151" s="12" t="s">
        <v>37</v>
      </c>
      <c r="AQ151" s="12" t="s">
        <v>37</v>
      </c>
      <c r="AT151" s="12" t="s">
        <v>326</v>
      </c>
      <c r="AU151" s="12" t="s">
        <v>326</v>
      </c>
      <c r="AV151" s="13" t="s">
        <v>326</v>
      </c>
      <c r="AX151" s="12" t="s">
        <v>326</v>
      </c>
      <c r="AY151" s="12" t="s">
        <v>326</v>
      </c>
      <c r="AZ151" s="13" t="s">
        <v>326</v>
      </c>
      <c r="BE151" s="12" t="s">
        <v>326</v>
      </c>
      <c r="BF151" s="12" t="s">
        <v>326</v>
      </c>
      <c r="BG151" s="12" t="s">
        <v>326</v>
      </c>
      <c r="BI151" s="12" t="s">
        <v>326</v>
      </c>
      <c r="BJ151" s="12" t="s">
        <v>326</v>
      </c>
      <c r="BK151" s="12" t="s">
        <v>326</v>
      </c>
      <c r="BP151" s="12" t="s">
        <v>37</v>
      </c>
      <c r="BQ151" s="12" t="s">
        <v>37</v>
      </c>
      <c r="BR151" s="13" t="s">
        <v>37</v>
      </c>
      <c r="BT151" s="12" t="s">
        <v>37</v>
      </c>
      <c r="BU151" s="12" t="s">
        <v>37</v>
      </c>
      <c r="BV151" s="12" t="s">
        <v>37</v>
      </c>
      <c r="CA151" s="12" t="s">
        <v>37</v>
      </c>
      <c r="CB151" s="12" t="s">
        <v>37</v>
      </c>
      <c r="CC151" s="13" t="s">
        <v>37</v>
      </c>
      <c r="CE151" s="12" t="s">
        <v>37</v>
      </c>
      <c r="CF151" s="12" t="s">
        <v>37</v>
      </c>
      <c r="CG151" s="13" t="s">
        <v>37</v>
      </c>
      <c r="CI151" s="52"/>
      <c r="CJ151" s="52"/>
      <c r="CK151" s="73"/>
      <c r="CL151" s="73"/>
      <c r="CN151" s="12" t="s">
        <v>37</v>
      </c>
      <c r="CO151" s="12" t="s">
        <v>37</v>
      </c>
      <c r="CP151" s="13" t="s">
        <v>37</v>
      </c>
      <c r="CR151" s="12" t="s">
        <v>37</v>
      </c>
      <c r="CS151" s="12" t="s">
        <v>37</v>
      </c>
      <c r="CT151" s="13" t="s">
        <v>37</v>
      </c>
      <c r="CV151" s="52"/>
      <c r="CW151" s="52"/>
      <c r="CX151" s="73"/>
      <c r="CY151" s="73"/>
      <c r="CZ151" s="12" t="s">
        <v>47</v>
      </c>
      <c r="DA151" s="12">
        <v>-77.5</v>
      </c>
      <c r="DB151" s="12">
        <v>262.39283526803854</v>
      </c>
      <c r="DC151" s="13">
        <v>16</v>
      </c>
      <c r="DD151" s="19">
        <f t="shared" si="562"/>
        <v>3.385714003458562</v>
      </c>
      <c r="DE151" s="16">
        <v>665</v>
      </c>
      <c r="DF151" s="12">
        <v>360</v>
      </c>
      <c r="DG151" s="13">
        <v>16</v>
      </c>
      <c r="DH151" s="19">
        <f t="shared" si="570"/>
        <v>0.54135338345864659</v>
      </c>
      <c r="DI151" s="75">
        <f t="shared" si="563"/>
        <v>742.5</v>
      </c>
      <c r="DJ151" s="12">
        <f t="shared" si="564"/>
        <v>315</v>
      </c>
      <c r="DK151" s="72">
        <f t="shared" si="565"/>
        <v>12403.125</v>
      </c>
      <c r="DL151" s="72">
        <f t="shared" si="566"/>
        <v>12403.125</v>
      </c>
      <c r="DM151" s="12" t="s">
        <v>47</v>
      </c>
      <c r="DN151" s="19">
        <v>122.44999999999999</v>
      </c>
      <c r="DO151" s="12">
        <v>142.11622884104406</v>
      </c>
      <c r="DP151" s="13">
        <v>39</v>
      </c>
      <c r="DQ151" s="19">
        <f t="shared" si="567"/>
        <v>1.1606061971502171</v>
      </c>
      <c r="DR151" s="19">
        <v>1.02</v>
      </c>
      <c r="DS151" s="12">
        <v>4.08</v>
      </c>
      <c r="DT151" s="13">
        <v>16</v>
      </c>
      <c r="DU151" s="19">
        <f t="shared" si="568"/>
        <v>4</v>
      </c>
      <c r="DV151" s="19">
        <f t="shared" si="509"/>
        <v>-121.42999999999999</v>
      </c>
      <c r="DW151" s="12">
        <f t="shared" si="485"/>
        <v>120.35611867240816</v>
      </c>
      <c r="DX151" s="72">
        <f t="shared" si="345"/>
        <v>1276.7752269291245</v>
      </c>
      <c r="DY151" s="72">
        <f t="shared" si="346"/>
        <v>518.91277179487179</v>
      </c>
      <c r="DZ151" s="12" t="s">
        <v>47</v>
      </c>
      <c r="EA151" s="19">
        <v>0.215</v>
      </c>
      <c r="EB151" s="19">
        <v>0.95703970659529058</v>
      </c>
      <c r="EC151" s="72">
        <v>17</v>
      </c>
      <c r="ED151" s="52">
        <f t="shared" si="571"/>
        <v>4.4513474725362352</v>
      </c>
      <c r="EE151" s="19">
        <v>0.85604711683331214</v>
      </c>
      <c r="EF151" s="19">
        <v>3.4241884673332414</v>
      </c>
      <c r="EG151" s="13">
        <v>7</v>
      </c>
      <c r="EH151" s="52">
        <f t="shared" si="569"/>
        <v>3.9999999999999916</v>
      </c>
      <c r="EI151" s="19">
        <f t="shared" si="558"/>
        <v>0.64104711683331217</v>
      </c>
      <c r="EJ151" s="12">
        <f t="shared" si="550"/>
        <v>1.9656736060203133</v>
      </c>
      <c r="EK151" s="19">
        <f t="shared" si="551"/>
        <v>0.77926844882115665</v>
      </c>
      <c r="EL151" s="19">
        <f t="shared" si="552"/>
        <v>1.7288874640076095</v>
      </c>
      <c r="EN151" s="12" t="s">
        <v>37</v>
      </c>
      <c r="EO151" s="12" t="s">
        <v>37</v>
      </c>
      <c r="EP151" s="13" t="s">
        <v>37</v>
      </c>
      <c r="ER151" s="12" t="s">
        <v>37</v>
      </c>
      <c r="ES151" s="12" t="s">
        <v>37</v>
      </c>
      <c r="ET151" s="13" t="s">
        <v>37</v>
      </c>
      <c r="FB151" s="12" t="s">
        <v>37</v>
      </c>
      <c r="FC151" s="12" t="s">
        <v>37</v>
      </c>
      <c r="FD151" s="11" t="s">
        <v>37</v>
      </c>
      <c r="FE151" s="12" t="s">
        <v>37</v>
      </c>
      <c r="FF151" s="20" t="s">
        <v>37</v>
      </c>
      <c r="FG151" s="11" t="s">
        <v>37</v>
      </c>
      <c r="FI151" s="12" t="s">
        <v>37</v>
      </c>
      <c r="FJ151" s="12" t="s">
        <v>37</v>
      </c>
      <c r="FK151" s="11" t="s">
        <v>37</v>
      </c>
      <c r="FL151" s="13" t="s">
        <v>37</v>
      </c>
      <c r="FM151" s="11" t="s">
        <v>37</v>
      </c>
      <c r="FN151" s="11" t="s">
        <v>37</v>
      </c>
      <c r="FP151" s="12" t="s">
        <v>37</v>
      </c>
      <c r="FQ151" s="12" t="s">
        <v>37</v>
      </c>
      <c r="FR151" s="11" t="s">
        <v>37</v>
      </c>
      <c r="FS151" s="13" t="s">
        <v>37</v>
      </c>
      <c r="FT151" s="11" t="s">
        <v>37</v>
      </c>
      <c r="FU151" s="11" t="s">
        <v>37</v>
      </c>
      <c r="FW151" s="12" t="s">
        <v>37</v>
      </c>
      <c r="FX151" s="12" t="s">
        <v>37</v>
      </c>
      <c r="FY151" s="11" t="s">
        <v>37</v>
      </c>
      <c r="FZ151" s="13" t="s">
        <v>37</v>
      </c>
      <c r="GA151" s="11" t="s">
        <v>37</v>
      </c>
      <c r="GB151" s="11" t="s">
        <v>37</v>
      </c>
      <c r="IK151" s="12" t="s">
        <v>37</v>
      </c>
      <c r="IL151" s="12" t="s">
        <v>37</v>
      </c>
      <c r="IM151" s="12" t="s">
        <v>37</v>
      </c>
      <c r="IO151" s="12" t="s">
        <v>37</v>
      </c>
      <c r="IP151" s="12" t="s">
        <v>37</v>
      </c>
      <c r="IQ151" s="12" t="s">
        <v>37</v>
      </c>
      <c r="IW151" s="12" t="s">
        <v>37</v>
      </c>
      <c r="IX151" s="12" t="s">
        <v>37</v>
      </c>
      <c r="IY151" s="13" t="s">
        <v>37</v>
      </c>
      <c r="JA151" s="12" t="s">
        <v>37</v>
      </c>
      <c r="JB151" s="12" t="s">
        <v>37</v>
      </c>
      <c r="JC151" s="13" t="s">
        <v>37</v>
      </c>
      <c r="JH151" s="12" t="s">
        <v>37</v>
      </c>
      <c r="JI151" s="12" t="s">
        <v>37</v>
      </c>
      <c r="JJ151" s="13" t="s">
        <v>37</v>
      </c>
      <c r="JL151" s="12" t="s">
        <v>37</v>
      </c>
      <c r="JM151" s="12" t="s">
        <v>37</v>
      </c>
      <c r="JN151" s="12" t="s">
        <v>37</v>
      </c>
      <c r="JS151" s="12" t="s">
        <v>37</v>
      </c>
      <c r="JT151" s="12" t="s">
        <v>37</v>
      </c>
      <c r="JU151" s="13" t="s">
        <v>37</v>
      </c>
      <c r="JW151" s="12" t="s">
        <v>37</v>
      </c>
      <c r="JX151" s="12" t="s">
        <v>37</v>
      </c>
      <c r="JY151" s="12" t="s">
        <v>37</v>
      </c>
      <c r="KE151" s="11" t="s">
        <v>37</v>
      </c>
      <c r="KF151" s="11" t="s">
        <v>37</v>
      </c>
      <c r="KG151" s="13" t="s">
        <v>37</v>
      </c>
      <c r="KH151" s="11" t="s">
        <v>37</v>
      </c>
      <c r="KI151" s="11" t="s">
        <v>37</v>
      </c>
      <c r="KJ151" s="11" t="s">
        <v>37</v>
      </c>
      <c r="KM151" s="12" t="s">
        <v>37</v>
      </c>
      <c r="KN151" s="12" t="s">
        <v>37</v>
      </c>
      <c r="KO151" s="11" t="s">
        <v>37</v>
      </c>
      <c r="KQ151" s="12" t="s">
        <v>37</v>
      </c>
      <c r="KR151" s="12" t="s">
        <v>37</v>
      </c>
      <c r="KS151" s="13" t="s">
        <v>37</v>
      </c>
      <c r="KX151" s="12" t="s">
        <v>37</v>
      </c>
      <c r="KY151" s="12" t="s">
        <v>37</v>
      </c>
      <c r="KZ151" s="13" t="s">
        <v>37</v>
      </c>
      <c r="LB151" s="12" t="s">
        <v>37</v>
      </c>
      <c r="LC151" s="12" t="s">
        <v>37</v>
      </c>
      <c r="LD151" s="13" t="s">
        <v>37</v>
      </c>
      <c r="LI151" s="12" t="s">
        <v>37</v>
      </c>
      <c r="LJ151" s="12" t="s">
        <v>37</v>
      </c>
      <c r="LK151" s="12" t="s">
        <v>37</v>
      </c>
      <c r="LM151" s="12" t="s">
        <v>37</v>
      </c>
      <c r="LN151" s="12" t="s">
        <v>37</v>
      </c>
      <c r="LO151" s="12" t="s">
        <v>37</v>
      </c>
      <c r="LU151" s="12" t="s">
        <v>37</v>
      </c>
      <c r="LV151" s="12" t="s">
        <v>37</v>
      </c>
      <c r="LW151" s="13" t="s">
        <v>37</v>
      </c>
      <c r="LY151" s="12" t="s">
        <v>37</v>
      </c>
      <c r="LZ151" s="12" t="s">
        <v>37</v>
      </c>
      <c r="MA151" s="12" t="s">
        <v>37</v>
      </c>
      <c r="MF151" s="12" t="s">
        <v>37</v>
      </c>
      <c r="MG151" s="12" t="s">
        <v>37</v>
      </c>
      <c r="MH151" s="12" t="s">
        <v>37</v>
      </c>
      <c r="MJ151" s="12" t="s">
        <v>37</v>
      </c>
      <c r="MK151" s="12" t="s">
        <v>37</v>
      </c>
      <c r="ML151" s="12" t="s">
        <v>37</v>
      </c>
      <c r="MQ151" s="12" t="s">
        <v>37</v>
      </c>
      <c r="MR151" s="12" t="s">
        <v>37</v>
      </c>
      <c r="MS151" s="12" t="s">
        <v>37</v>
      </c>
      <c r="MU151" s="12" t="s">
        <v>37</v>
      </c>
      <c r="MV151" s="12" t="s">
        <v>37</v>
      </c>
      <c r="MW151" s="12" t="s">
        <v>37</v>
      </c>
      <c r="NC151" s="12" t="s">
        <v>37</v>
      </c>
      <c r="ND151" s="12" t="s">
        <v>37</v>
      </c>
      <c r="NE151" s="13" t="s">
        <v>37</v>
      </c>
      <c r="NG151" s="12" t="s">
        <v>37</v>
      </c>
      <c r="NH151" s="12" t="s">
        <v>37</v>
      </c>
      <c r="NI151" s="13" t="s">
        <v>37</v>
      </c>
      <c r="NO151" s="12" t="s">
        <v>37</v>
      </c>
      <c r="NP151" s="12" t="s">
        <v>37</v>
      </c>
      <c r="NQ151" s="13" t="s">
        <v>37</v>
      </c>
      <c r="NS151" s="12" t="s">
        <v>37</v>
      </c>
      <c r="NT151" s="12" t="s">
        <v>37</v>
      </c>
      <c r="NU151" s="13" t="s">
        <v>37</v>
      </c>
      <c r="OA151" s="12" t="s">
        <v>37</v>
      </c>
      <c r="OB151" s="12" t="s">
        <v>37</v>
      </c>
      <c r="OC151" s="13" t="s">
        <v>37</v>
      </c>
      <c r="OE151" s="12" t="s">
        <v>37</v>
      </c>
      <c r="OF151" s="12" t="s">
        <v>37</v>
      </c>
      <c r="OG151" s="13" t="s">
        <v>37</v>
      </c>
      <c r="OM151" s="12" t="s">
        <v>37</v>
      </c>
      <c r="ON151" s="12" t="s">
        <v>37</v>
      </c>
      <c r="OO151" s="12" t="s">
        <v>37</v>
      </c>
      <c r="OP151" s="12" t="s">
        <v>37</v>
      </c>
      <c r="OQ151" s="12" t="s">
        <v>37</v>
      </c>
      <c r="OR151" s="12" t="s">
        <v>37</v>
      </c>
      <c r="OS151" s="12"/>
      <c r="OT151" s="12"/>
      <c r="OW151" s="12" t="s">
        <v>37</v>
      </c>
      <c r="OX151" s="12" t="s">
        <v>37</v>
      </c>
      <c r="OY151" s="13" t="s">
        <v>37</v>
      </c>
      <c r="OZ151" s="12" t="s">
        <v>37</v>
      </c>
      <c r="PA151" s="12" t="s">
        <v>37</v>
      </c>
      <c r="PB151" s="13" t="s">
        <v>37</v>
      </c>
      <c r="PG151" s="11" t="s">
        <v>37</v>
      </c>
      <c r="PH151" s="11" t="s">
        <v>37</v>
      </c>
      <c r="PI151" s="13" t="s">
        <v>37</v>
      </c>
      <c r="PJ151" s="11" t="s">
        <v>37</v>
      </c>
      <c r="PK151" s="11" t="s">
        <v>37</v>
      </c>
      <c r="PL151" s="13" t="s">
        <v>37</v>
      </c>
      <c r="PQ151" s="12" t="s">
        <v>37</v>
      </c>
      <c r="PR151" s="12" t="s">
        <v>37</v>
      </c>
      <c r="PS151" s="12" t="s">
        <v>37</v>
      </c>
      <c r="PT151" s="12" t="s">
        <v>37</v>
      </c>
      <c r="PU151" s="12" t="s">
        <v>37</v>
      </c>
      <c r="PV151" s="12" t="s">
        <v>37</v>
      </c>
      <c r="PW151" s="12"/>
      <c r="PX151" s="12"/>
      <c r="PZ151" s="12" t="s">
        <v>37</v>
      </c>
      <c r="QA151" s="12" t="s">
        <v>37</v>
      </c>
      <c r="QB151" s="11" t="s">
        <v>37</v>
      </c>
      <c r="QD151" s="12" t="s">
        <v>37</v>
      </c>
      <c r="QE151" s="12" t="s">
        <v>37</v>
      </c>
      <c r="QF151" s="12" t="s">
        <v>37</v>
      </c>
      <c r="QK151" s="12" t="s">
        <v>37</v>
      </c>
      <c r="QL151" s="12" t="s">
        <v>37</v>
      </c>
      <c r="QM151" s="12" t="s">
        <v>37</v>
      </c>
      <c r="QN151" s="12" t="s">
        <v>37</v>
      </c>
      <c r="QO151" s="12" t="s">
        <v>37</v>
      </c>
      <c r="QP151" s="12" t="s">
        <v>37</v>
      </c>
      <c r="QQ151" s="12"/>
      <c r="QR151" s="12"/>
      <c r="QU151" s="12" t="s">
        <v>37</v>
      </c>
      <c r="QV151" s="12" t="s">
        <v>37</v>
      </c>
      <c r="QW151" s="12" t="s">
        <v>37</v>
      </c>
      <c r="QX151" s="12" t="s">
        <v>37</v>
      </c>
      <c r="QY151" s="12" t="s">
        <v>37</v>
      </c>
      <c r="QZ151" s="12" t="s">
        <v>37</v>
      </c>
      <c r="RC151" s="12" t="s">
        <v>37</v>
      </c>
      <c r="RD151" s="12" t="s">
        <v>37</v>
      </c>
      <c r="RE151" s="13" t="s">
        <v>37</v>
      </c>
      <c r="RF151" s="12" t="s">
        <v>37</v>
      </c>
      <c r="RG151" s="12" t="s">
        <v>37</v>
      </c>
      <c r="RH151" s="13" t="s">
        <v>37</v>
      </c>
      <c r="RK151" s="12" t="s">
        <v>37</v>
      </c>
      <c r="RL151" s="12" t="s">
        <v>37</v>
      </c>
      <c r="RM151" s="11" t="s">
        <v>37</v>
      </c>
      <c r="RN151" s="12" t="s">
        <v>37</v>
      </c>
      <c r="RO151" s="12" t="s">
        <v>37</v>
      </c>
      <c r="RP151" s="11" t="s">
        <v>37</v>
      </c>
      <c r="RS151" s="12" t="s">
        <v>37</v>
      </c>
      <c r="RT151" s="12" t="s">
        <v>37</v>
      </c>
      <c r="RU151" s="12" t="s">
        <v>37</v>
      </c>
      <c r="RV151" s="12" t="s">
        <v>37</v>
      </c>
      <c r="RW151" s="12" t="s">
        <v>37</v>
      </c>
      <c r="RX151" s="12" t="s">
        <v>37</v>
      </c>
      <c r="SA151" s="12" t="s">
        <v>37</v>
      </c>
      <c r="SB151" s="12" t="s">
        <v>37</v>
      </c>
      <c r="SC151" s="12" t="s">
        <v>37</v>
      </c>
      <c r="SD151" s="12" t="s">
        <v>37</v>
      </c>
      <c r="SE151" s="12" t="s">
        <v>37</v>
      </c>
      <c r="SF151" s="12" t="s">
        <v>37</v>
      </c>
      <c r="SI151" s="12" t="s">
        <v>37</v>
      </c>
      <c r="SJ151" s="12" t="s">
        <v>37</v>
      </c>
      <c r="SK151" s="13" t="s">
        <v>37</v>
      </c>
      <c r="SM151" s="12" t="s">
        <v>37</v>
      </c>
      <c r="SN151" s="12" t="s">
        <v>37</v>
      </c>
      <c r="SO151" s="13" t="s">
        <v>37</v>
      </c>
      <c r="SU151" s="12" t="s">
        <v>37</v>
      </c>
      <c r="SV151" s="12" t="s">
        <v>37</v>
      </c>
      <c r="SW151" s="11" t="s">
        <v>37</v>
      </c>
      <c r="SX151" s="12" t="s">
        <v>37</v>
      </c>
      <c r="SY151" s="12" t="s">
        <v>37</v>
      </c>
      <c r="SZ151" s="11" t="s">
        <v>37</v>
      </c>
      <c r="TE151" s="12" t="s">
        <v>37</v>
      </c>
      <c r="TF151" s="12" t="s">
        <v>37</v>
      </c>
      <c r="TG151" s="11" t="s">
        <v>37</v>
      </c>
      <c r="TH151" s="12" t="s">
        <v>37</v>
      </c>
      <c r="TI151" s="12" t="s">
        <v>37</v>
      </c>
      <c r="TJ151" s="11" t="s">
        <v>37</v>
      </c>
      <c r="TO151" s="12" t="s">
        <v>37</v>
      </c>
      <c r="TP151" s="12" t="s">
        <v>37</v>
      </c>
      <c r="TQ151" s="11" t="s">
        <v>37</v>
      </c>
      <c r="TR151" s="12" t="s">
        <v>37</v>
      </c>
      <c r="TS151" s="12" t="s">
        <v>37</v>
      </c>
      <c r="TT151" s="11" t="s">
        <v>37</v>
      </c>
      <c r="TY151" s="12" t="s">
        <v>37</v>
      </c>
      <c r="TZ151" s="12" t="s">
        <v>37</v>
      </c>
      <c r="UA151" s="12" t="s">
        <v>37</v>
      </c>
      <c r="UB151" s="12" t="s">
        <v>37</v>
      </c>
      <c r="UC151" s="12" t="s">
        <v>37</v>
      </c>
      <c r="UD151" s="12" t="s">
        <v>37</v>
      </c>
      <c r="UE151" s="12"/>
      <c r="UF151" s="12"/>
      <c r="UI151" s="12" t="s">
        <v>37</v>
      </c>
      <c r="UJ151" s="12" t="s">
        <v>37</v>
      </c>
      <c r="UK151" s="12" t="s">
        <v>37</v>
      </c>
      <c r="UL151" s="12" t="s">
        <v>37</v>
      </c>
      <c r="UM151" s="12" t="s">
        <v>37</v>
      </c>
      <c r="UN151" s="12" t="s">
        <v>37</v>
      </c>
      <c r="UO151" s="12"/>
      <c r="UP151" s="12"/>
      <c r="UR151" s="12" t="s">
        <v>37</v>
      </c>
      <c r="US151" s="12" t="s">
        <v>37</v>
      </c>
      <c r="UT151" s="12" t="s">
        <v>37</v>
      </c>
      <c r="UU151" s="12" t="s">
        <v>37</v>
      </c>
      <c r="UV151" s="12" t="s">
        <v>37</v>
      </c>
      <c r="UW151" s="12" t="s">
        <v>37</v>
      </c>
      <c r="UX151" s="12"/>
      <c r="UY151" s="12"/>
      <c r="VB151" s="12" t="s">
        <v>37</v>
      </c>
      <c r="VC151" s="12" t="s">
        <v>37</v>
      </c>
      <c r="VD151" s="12" t="s">
        <v>37</v>
      </c>
      <c r="VE151" s="12" t="s">
        <v>37</v>
      </c>
      <c r="VF151" s="12" t="s">
        <v>37</v>
      </c>
      <c r="VG151" s="12" t="s">
        <v>37</v>
      </c>
      <c r="VI151" s="12" t="s">
        <v>37</v>
      </c>
      <c r="VJ151" s="12" t="s">
        <v>37</v>
      </c>
      <c r="VK151" s="12" t="s">
        <v>37</v>
      </c>
      <c r="VL151" s="12" t="s">
        <v>37</v>
      </c>
      <c r="VM151" s="12" t="s">
        <v>37</v>
      </c>
      <c r="VN151" s="12" t="s">
        <v>37</v>
      </c>
      <c r="VQ151" s="13" t="s">
        <v>37</v>
      </c>
      <c r="VR151" s="13" t="s">
        <v>37</v>
      </c>
      <c r="VS151" s="13" t="s">
        <v>37</v>
      </c>
      <c r="VT151" s="13" t="s">
        <v>37</v>
      </c>
      <c r="VU151" s="13" t="s">
        <v>37</v>
      </c>
      <c r="VV151" s="13" t="s">
        <v>37</v>
      </c>
      <c r="WA151" s="13" t="s">
        <v>37</v>
      </c>
      <c r="WB151" s="13" t="s">
        <v>37</v>
      </c>
      <c r="WC151" s="13" t="s">
        <v>37</v>
      </c>
      <c r="WD151" s="13" t="s">
        <v>37</v>
      </c>
      <c r="WE151" s="13" t="s">
        <v>37</v>
      </c>
      <c r="WF151" s="13" t="s">
        <v>37</v>
      </c>
    </row>
    <row r="152" spans="1:604" ht="18" customHeight="1" x14ac:dyDescent="0.4">
      <c r="A152" s="11">
        <v>36</v>
      </c>
      <c r="B152" s="16" t="s">
        <v>240</v>
      </c>
      <c r="C152" s="12" t="s">
        <v>26</v>
      </c>
      <c r="D152" s="12" t="s">
        <v>54</v>
      </c>
      <c r="E152" s="40" t="s">
        <v>37</v>
      </c>
      <c r="F152" s="14">
        <v>0</v>
      </c>
      <c r="G152" s="14">
        <v>0</v>
      </c>
      <c r="H152" s="12" t="s">
        <v>88</v>
      </c>
      <c r="I152" s="29">
        <v>64.082999999999998</v>
      </c>
      <c r="J152" s="29">
        <v>18.167000000000002</v>
      </c>
      <c r="K152" s="12" t="s">
        <v>732</v>
      </c>
      <c r="L152" s="12" t="s">
        <v>733</v>
      </c>
      <c r="M152" s="12" t="s">
        <v>37</v>
      </c>
      <c r="N152" s="14">
        <v>26.3</v>
      </c>
      <c r="O152" s="14" t="s">
        <v>37</v>
      </c>
      <c r="P152" s="14" t="s">
        <v>89</v>
      </c>
      <c r="Q152" s="75" t="s">
        <v>326</v>
      </c>
      <c r="R152" s="11" t="s">
        <v>1000</v>
      </c>
      <c r="S152" s="12" t="s">
        <v>105</v>
      </c>
      <c r="T152" s="12" t="s">
        <v>141</v>
      </c>
      <c r="U152" s="12" t="s">
        <v>158</v>
      </c>
      <c r="V152" s="12" t="s">
        <v>37</v>
      </c>
      <c r="W152" s="23" t="s">
        <v>49</v>
      </c>
      <c r="X152" s="12" t="s">
        <v>49</v>
      </c>
      <c r="Y152" s="12" t="s">
        <v>37</v>
      </c>
      <c r="Z152" s="12" t="s">
        <v>37</v>
      </c>
      <c r="AB152" s="12" t="s">
        <v>37</v>
      </c>
      <c r="AE152" s="12" t="s">
        <v>37</v>
      </c>
      <c r="AH152" s="12" t="s">
        <v>37</v>
      </c>
      <c r="AK152" s="12" t="s">
        <v>37</v>
      </c>
      <c r="AL152" s="32" t="s">
        <v>37</v>
      </c>
      <c r="AM152" s="13" t="s">
        <v>344</v>
      </c>
      <c r="AO152" s="12" t="s">
        <v>37</v>
      </c>
      <c r="AP152" s="12" t="s">
        <v>37</v>
      </c>
      <c r="AQ152" s="12" t="s">
        <v>37</v>
      </c>
      <c r="AT152" s="12" t="s">
        <v>326</v>
      </c>
      <c r="AU152" s="12" t="s">
        <v>326</v>
      </c>
      <c r="AV152" s="13" t="s">
        <v>326</v>
      </c>
      <c r="AX152" s="12" t="s">
        <v>326</v>
      </c>
      <c r="AY152" s="12" t="s">
        <v>326</v>
      </c>
      <c r="AZ152" s="13" t="s">
        <v>326</v>
      </c>
      <c r="BE152" s="12" t="s">
        <v>326</v>
      </c>
      <c r="BF152" s="12" t="s">
        <v>326</v>
      </c>
      <c r="BG152" s="12" t="s">
        <v>326</v>
      </c>
      <c r="BI152" s="12" t="s">
        <v>326</v>
      </c>
      <c r="BJ152" s="12" t="s">
        <v>326</v>
      </c>
      <c r="BK152" s="12" t="s">
        <v>326</v>
      </c>
      <c r="BP152" s="12" t="s">
        <v>37</v>
      </c>
      <c r="BQ152" s="12" t="s">
        <v>37</v>
      </c>
      <c r="BR152" s="13" t="s">
        <v>37</v>
      </c>
      <c r="BT152" s="12" t="s">
        <v>37</v>
      </c>
      <c r="BU152" s="12" t="s">
        <v>37</v>
      </c>
      <c r="BV152" s="12" t="s">
        <v>37</v>
      </c>
      <c r="CA152" s="12" t="s">
        <v>37</v>
      </c>
      <c r="CB152" s="12" t="s">
        <v>37</v>
      </c>
      <c r="CC152" s="13" t="s">
        <v>37</v>
      </c>
      <c r="CE152" s="12" t="s">
        <v>37</v>
      </c>
      <c r="CF152" s="12" t="s">
        <v>37</v>
      </c>
      <c r="CG152" s="13" t="s">
        <v>37</v>
      </c>
      <c r="CI152" s="52"/>
      <c r="CJ152" s="52"/>
      <c r="CK152" s="73"/>
      <c r="CL152" s="73"/>
      <c r="CN152" s="12" t="s">
        <v>37</v>
      </c>
      <c r="CO152" s="12" t="s">
        <v>37</v>
      </c>
      <c r="CP152" s="13" t="s">
        <v>37</v>
      </c>
      <c r="CR152" s="12" t="s">
        <v>37</v>
      </c>
      <c r="CS152" s="12" t="s">
        <v>37</v>
      </c>
      <c r="CT152" s="13" t="s">
        <v>37</v>
      </c>
      <c r="CV152" s="52"/>
      <c r="CW152" s="52"/>
      <c r="CX152" s="73"/>
      <c r="CY152" s="73"/>
      <c r="DA152" s="12" t="s">
        <v>37</v>
      </c>
      <c r="DB152" s="12" t="s">
        <v>37</v>
      </c>
      <c r="DC152" s="13" t="s">
        <v>37</v>
      </c>
      <c r="DE152" s="12" t="s">
        <v>37</v>
      </c>
      <c r="DF152" s="12" t="s">
        <v>37</v>
      </c>
      <c r="DG152" s="13" t="s">
        <v>37</v>
      </c>
      <c r="DI152" s="52"/>
      <c r="DJ152" s="52"/>
      <c r="DK152" s="73"/>
      <c r="DL152" s="73"/>
      <c r="DM152" s="12" t="s">
        <v>47</v>
      </c>
      <c r="DN152" s="19">
        <v>38.133333333333333</v>
      </c>
      <c r="DO152" s="12">
        <v>12.933333333333332</v>
      </c>
      <c r="DP152" s="13">
        <v>8</v>
      </c>
      <c r="DQ152" s="19">
        <f t="shared" si="567"/>
        <v>0.33916083916083911</v>
      </c>
      <c r="DR152" s="19">
        <v>4.9333333333333336</v>
      </c>
      <c r="DS152" s="12">
        <v>2.5333333333333332</v>
      </c>
      <c r="DT152" s="13">
        <v>7</v>
      </c>
      <c r="DU152" s="19">
        <f t="shared" si="568"/>
        <v>0.51351351351351349</v>
      </c>
      <c r="DV152" s="19">
        <f t="shared" si="509"/>
        <v>-33.200000000000003</v>
      </c>
      <c r="DW152" s="12">
        <f t="shared" si="485"/>
        <v>9.6452636620836394</v>
      </c>
      <c r="DX152" s="72">
        <f t="shared" si="345"/>
        <v>24.91904761904761</v>
      </c>
      <c r="DY152" s="72">
        <f t="shared" si="346"/>
        <v>21.825714285714284</v>
      </c>
      <c r="DZ152" s="11" t="s">
        <v>47</v>
      </c>
      <c r="EA152" s="19">
        <f>2.7*44/28</f>
        <v>4.2428571428571429</v>
      </c>
      <c r="EB152" s="19">
        <f>1.9*44/28</f>
        <v>2.9857142857142853</v>
      </c>
      <c r="EC152" s="72">
        <v>7</v>
      </c>
      <c r="ED152" s="52">
        <f t="shared" si="571"/>
        <v>0.70370370370370361</v>
      </c>
      <c r="EE152" s="19">
        <f>2.4*44/28</f>
        <v>3.7714285714285714</v>
      </c>
      <c r="EF152" s="19">
        <f>1.1*44/28</f>
        <v>1.7285714285714289</v>
      </c>
      <c r="EG152" s="13">
        <v>10</v>
      </c>
      <c r="EH152" s="52">
        <f t="shared" si="569"/>
        <v>0.45833333333333343</v>
      </c>
      <c r="EI152" s="19">
        <f t="shared" si="558"/>
        <v>-0.47142857142857153</v>
      </c>
      <c r="EJ152" s="12">
        <f t="shared" si="550"/>
        <v>2.3148588355602655</v>
      </c>
      <c r="EK152" s="19">
        <f t="shared" si="551"/>
        <v>1.3013673469387756</v>
      </c>
      <c r="EL152" s="19">
        <f t="shared" si="552"/>
        <v>1.5722944606413991</v>
      </c>
      <c r="EM152" s="12" t="s">
        <v>39</v>
      </c>
      <c r="EN152" s="12">
        <v>-18.3</v>
      </c>
      <c r="EO152" s="12">
        <v>5.8</v>
      </c>
      <c r="EP152" s="13">
        <v>12</v>
      </c>
      <c r="EQ152" s="19">
        <f t="shared" si="510"/>
        <v>0.31693989071038248</v>
      </c>
      <c r="ER152" s="12">
        <v>-39.6</v>
      </c>
      <c r="ES152" s="12">
        <v>3.6</v>
      </c>
      <c r="ET152" s="13">
        <v>23</v>
      </c>
      <c r="EU152" s="19">
        <f t="shared" si="511"/>
        <v>9.0909090909090912E-2</v>
      </c>
      <c r="EV152" s="19">
        <f t="shared" ref="EV152:EV155" si="572">ER152-EN152</f>
        <v>-21.3</v>
      </c>
      <c r="EW152" s="12">
        <f t="shared" ref="EW152:EW155" si="573">SQRT(((EP152-1)*EO152^2+(ET152-1)*ES152^2)/(EP152+ET152-2))</f>
        <v>4.4557079497351859</v>
      </c>
      <c r="EX152" s="19">
        <f t="shared" ref="EX152:EX155" si="574">(((EP152+ET152)/(EP152*ET152))*(((EP152-1)*EO152^2)+(ET152-1)*ES152^2)/(EP152+ET152-2))</f>
        <v>2.5176328502415464</v>
      </c>
      <c r="EY152" s="19">
        <f t="shared" ref="EY152:EY155" si="575">(EO152^2/EP152)+(ES152^2/ET152)</f>
        <v>3.3668115942028987</v>
      </c>
      <c r="FB152" s="12" t="s">
        <v>37</v>
      </c>
      <c r="FC152" s="12" t="s">
        <v>37</v>
      </c>
      <c r="FD152" s="11" t="s">
        <v>37</v>
      </c>
      <c r="FE152" s="12" t="s">
        <v>37</v>
      </c>
      <c r="FF152" s="20" t="s">
        <v>37</v>
      </c>
      <c r="FG152" s="11" t="s">
        <v>37</v>
      </c>
      <c r="FI152" s="12" t="s">
        <v>37</v>
      </c>
      <c r="FJ152" s="12" t="s">
        <v>37</v>
      </c>
      <c r="FK152" s="11" t="s">
        <v>37</v>
      </c>
      <c r="FL152" s="13" t="s">
        <v>37</v>
      </c>
      <c r="FM152" s="11" t="s">
        <v>37</v>
      </c>
      <c r="FN152" s="11" t="s">
        <v>37</v>
      </c>
      <c r="FP152" s="12" t="s">
        <v>37</v>
      </c>
      <c r="FQ152" s="12" t="s">
        <v>37</v>
      </c>
      <c r="FR152" s="11" t="s">
        <v>37</v>
      </c>
      <c r="FS152" s="13" t="s">
        <v>37</v>
      </c>
      <c r="FT152" s="11" t="s">
        <v>37</v>
      </c>
      <c r="FU152" s="11" t="s">
        <v>37</v>
      </c>
      <c r="FW152" s="12" t="s">
        <v>37</v>
      </c>
      <c r="FX152" s="12" t="s">
        <v>37</v>
      </c>
      <c r="FY152" s="11" t="s">
        <v>37</v>
      </c>
      <c r="FZ152" s="13" t="s">
        <v>37</v>
      </c>
      <c r="GA152" s="11" t="s">
        <v>37</v>
      </c>
      <c r="GB152" s="11" t="s">
        <v>37</v>
      </c>
      <c r="GO152" s="12" t="s">
        <v>660</v>
      </c>
      <c r="GP152" s="12" t="s">
        <v>345</v>
      </c>
      <c r="GQ152" s="12">
        <v>26.3</v>
      </c>
      <c r="GR152" s="12">
        <v>0.3</v>
      </c>
      <c r="GS152" s="13">
        <v>8</v>
      </c>
      <c r="GT152" s="19">
        <f t="shared" ref="GT152:GT155" si="576">GR152/GQ152</f>
        <v>1.1406844106463877E-2</v>
      </c>
      <c r="GU152" s="12">
        <v>28.8</v>
      </c>
      <c r="GV152" s="12">
        <v>0.5</v>
      </c>
      <c r="GW152" s="13">
        <v>14</v>
      </c>
      <c r="GX152" s="19">
        <f>GV152/GU152</f>
        <v>1.7361111111111112E-2</v>
      </c>
      <c r="GY152" s="19">
        <f t="shared" ref="GY152:GY155" si="577">LN(GU152/GQ152)</f>
        <v>9.0806447958181408E-2</v>
      </c>
      <c r="GZ152" s="19">
        <f t="shared" ref="GZ152:GZ155" si="578">GV152^2/(GW152*GU152^2)+GR152^2/(GS152*GQ152^2)</f>
        <v>3.7793667202385187E-5</v>
      </c>
      <c r="IK152" s="12" t="s">
        <v>37</v>
      </c>
      <c r="IL152" s="12" t="s">
        <v>37</v>
      </c>
      <c r="IM152" s="12" t="s">
        <v>37</v>
      </c>
      <c r="IO152" s="12" t="s">
        <v>37</v>
      </c>
      <c r="IP152" s="12" t="s">
        <v>37</v>
      </c>
      <c r="IQ152" s="12" t="s">
        <v>37</v>
      </c>
      <c r="IW152" s="12" t="s">
        <v>37</v>
      </c>
      <c r="IX152" s="12" t="s">
        <v>37</v>
      </c>
      <c r="IY152" s="13" t="s">
        <v>37</v>
      </c>
      <c r="JA152" s="12" t="s">
        <v>37</v>
      </c>
      <c r="JB152" s="12" t="s">
        <v>37</v>
      </c>
      <c r="JC152" s="13" t="s">
        <v>37</v>
      </c>
      <c r="JH152" s="12" t="s">
        <v>37</v>
      </c>
      <c r="JI152" s="12" t="s">
        <v>37</v>
      </c>
      <c r="JJ152" s="13" t="s">
        <v>37</v>
      </c>
      <c r="JL152" s="12" t="s">
        <v>37</v>
      </c>
      <c r="JM152" s="12" t="s">
        <v>37</v>
      </c>
      <c r="JN152" s="12" t="s">
        <v>37</v>
      </c>
      <c r="JS152" s="12" t="s">
        <v>37</v>
      </c>
      <c r="JT152" s="12" t="s">
        <v>37</v>
      </c>
      <c r="JU152" s="13" t="s">
        <v>37</v>
      </c>
      <c r="JW152" s="12" t="s">
        <v>37</v>
      </c>
      <c r="JX152" s="12" t="s">
        <v>37</v>
      </c>
      <c r="JY152" s="12" t="s">
        <v>37</v>
      </c>
      <c r="KE152" s="11" t="s">
        <v>37</v>
      </c>
      <c r="KF152" s="11" t="s">
        <v>37</v>
      </c>
      <c r="KG152" s="13" t="s">
        <v>37</v>
      </c>
      <c r="KH152" s="11" t="s">
        <v>37</v>
      </c>
      <c r="KI152" s="11" t="s">
        <v>37</v>
      </c>
      <c r="KJ152" s="11" t="s">
        <v>37</v>
      </c>
      <c r="KM152" s="12" t="s">
        <v>37</v>
      </c>
      <c r="KN152" s="12" t="s">
        <v>37</v>
      </c>
      <c r="KO152" s="11" t="s">
        <v>37</v>
      </c>
      <c r="KQ152" s="12" t="s">
        <v>37</v>
      </c>
      <c r="KR152" s="12" t="s">
        <v>37</v>
      </c>
      <c r="KS152" s="13" t="s">
        <v>37</v>
      </c>
      <c r="KX152" s="12" t="s">
        <v>37</v>
      </c>
      <c r="KY152" s="12" t="s">
        <v>37</v>
      </c>
      <c r="KZ152" s="13" t="s">
        <v>37</v>
      </c>
      <c r="LB152" s="12" t="s">
        <v>37</v>
      </c>
      <c r="LC152" s="12" t="s">
        <v>37</v>
      </c>
      <c r="LD152" s="13" t="s">
        <v>37</v>
      </c>
      <c r="LI152" s="12" t="s">
        <v>37</v>
      </c>
      <c r="LJ152" s="12" t="s">
        <v>37</v>
      </c>
      <c r="LK152" s="12" t="s">
        <v>37</v>
      </c>
      <c r="LM152" s="12" t="s">
        <v>37</v>
      </c>
      <c r="LN152" s="12" t="s">
        <v>37</v>
      </c>
      <c r="LO152" s="12" t="s">
        <v>37</v>
      </c>
      <c r="LU152" s="12" t="s">
        <v>37</v>
      </c>
      <c r="LV152" s="12" t="s">
        <v>37</v>
      </c>
      <c r="LW152" s="13" t="s">
        <v>37</v>
      </c>
      <c r="LY152" s="12" t="s">
        <v>37</v>
      </c>
      <c r="LZ152" s="12" t="s">
        <v>37</v>
      </c>
      <c r="MA152" s="12" t="s">
        <v>37</v>
      </c>
      <c r="MF152" s="12" t="s">
        <v>37</v>
      </c>
      <c r="MG152" s="12" t="s">
        <v>37</v>
      </c>
      <c r="MH152" s="12" t="s">
        <v>37</v>
      </c>
      <c r="MJ152" s="12" t="s">
        <v>37</v>
      </c>
      <c r="MK152" s="12" t="s">
        <v>37</v>
      </c>
      <c r="ML152" s="12" t="s">
        <v>37</v>
      </c>
      <c r="MQ152" s="12" t="s">
        <v>37</v>
      </c>
      <c r="MR152" s="12" t="s">
        <v>37</v>
      </c>
      <c r="MS152" s="12" t="s">
        <v>37</v>
      </c>
      <c r="MU152" s="12" t="s">
        <v>37</v>
      </c>
      <c r="MV152" s="12" t="s">
        <v>37</v>
      </c>
      <c r="MW152" s="12" t="s">
        <v>37</v>
      </c>
      <c r="NC152" s="12" t="s">
        <v>37</v>
      </c>
      <c r="ND152" s="12" t="s">
        <v>37</v>
      </c>
      <c r="NE152" s="13" t="s">
        <v>37</v>
      </c>
      <c r="NG152" s="12" t="s">
        <v>37</v>
      </c>
      <c r="NH152" s="12" t="s">
        <v>37</v>
      </c>
      <c r="NI152" s="13" t="s">
        <v>37</v>
      </c>
      <c r="NO152" s="12" t="s">
        <v>37</v>
      </c>
      <c r="NP152" s="12" t="s">
        <v>37</v>
      </c>
      <c r="NQ152" s="13" t="s">
        <v>37</v>
      </c>
      <c r="NS152" s="12" t="s">
        <v>37</v>
      </c>
      <c r="NT152" s="12" t="s">
        <v>37</v>
      </c>
      <c r="NU152" s="13" t="s">
        <v>37</v>
      </c>
      <c r="OA152" s="12" t="s">
        <v>37</v>
      </c>
      <c r="OB152" s="12" t="s">
        <v>37</v>
      </c>
      <c r="OC152" s="13" t="s">
        <v>37</v>
      </c>
      <c r="OE152" s="12" t="s">
        <v>37</v>
      </c>
      <c r="OF152" s="12" t="s">
        <v>37</v>
      </c>
      <c r="OG152" s="13" t="s">
        <v>37</v>
      </c>
      <c r="OM152" s="12" t="s">
        <v>37</v>
      </c>
      <c r="ON152" s="12" t="s">
        <v>37</v>
      </c>
      <c r="OO152" s="12" t="s">
        <v>37</v>
      </c>
      <c r="OP152" s="12" t="s">
        <v>37</v>
      </c>
      <c r="OQ152" s="12" t="s">
        <v>37</v>
      </c>
      <c r="OR152" s="12" t="s">
        <v>37</v>
      </c>
      <c r="OS152" s="12"/>
      <c r="OT152" s="12"/>
      <c r="OW152" s="12" t="s">
        <v>37</v>
      </c>
      <c r="OX152" s="12" t="s">
        <v>37</v>
      </c>
      <c r="OY152" s="13" t="s">
        <v>37</v>
      </c>
      <c r="OZ152" s="12" t="s">
        <v>37</v>
      </c>
      <c r="PA152" s="12" t="s">
        <v>37</v>
      </c>
      <c r="PB152" s="13" t="s">
        <v>37</v>
      </c>
      <c r="PG152" s="11" t="s">
        <v>37</v>
      </c>
      <c r="PH152" s="11" t="s">
        <v>37</v>
      </c>
      <c r="PI152" s="13" t="s">
        <v>37</v>
      </c>
      <c r="PJ152" s="11" t="s">
        <v>37</v>
      </c>
      <c r="PK152" s="11" t="s">
        <v>37</v>
      </c>
      <c r="PL152" s="13" t="s">
        <v>37</v>
      </c>
      <c r="PQ152" s="12" t="s">
        <v>37</v>
      </c>
      <c r="PR152" s="12" t="s">
        <v>37</v>
      </c>
      <c r="PS152" s="12" t="s">
        <v>37</v>
      </c>
      <c r="PT152" s="12" t="s">
        <v>37</v>
      </c>
      <c r="PU152" s="12" t="s">
        <v>37</v>
      </c>
      <c r="PV152" s="12" t="s">
        <v>37</v>
      </c>
      <c r="PW152" s="12"/>
      <c r="PX152" s="12"/>
      <c r="PZ152" s="12" t="s">
        <v>37</v>
      </c>
      <c r="QA152" s="12" t="s">
        <v>37</v>
      </c>
      <c r="QB152" s="11" t="s">
        <v>37</v>
      </c>
      <c r="QD152" s="12" t="s">
        <v>37</v>
      </c>
      <c r="QE152" s="12" t="s">
        <v>37</v>
      </c>
      <c r="QF152" s="12" t="s">
        <v>37</v>
      </c>
      <c r="QK152" s="12" t="s">
        <v>37</v>
      </c>
      <c r="QL152" s="12" t="s">
        <v>37</v>
      </c>
      <c r="QM152" s="12" t="s">
        <v>37</v>
      </c>
      <c r="QN152" s="12" t="s">
        <v>37</v>
      </c>
      <c r="QO152" s="12" t="s">
        <v>37</v>
      </c>
      <c r="QP152" s="12" t="s">
        <v>37</v>
      </c>
      <c r="QQ152" s="12"/>
      <c r="QR152" s="12"/>
      <c r="QU152" s="12" t="s">
        <v>37</v>
      </c>
      <c r="QV152" s="12" t="s">
        <v>37</v>
      </c>
      <c r="QW152" s="12" t="s">
        <v>37</v>
      </c>
      <c r="QX152" s="12" t="s">
        <v>37</v>
      </c>
      <c r="QY152" s="12" t="s">
        <v>37</v>
      </c>
      <c r="QZ152" s="12" t="s">
        <v>37</v>
      </c>
      <c r="RC152" s="12" t="s">
        <v>37</v>
      </c>
      <c r="RD152" s="12" t="s">
        <v>37</v>
      </c>
      <c r="RE152" s="13" t="s">
        <v>37</v>
      </c>
      <c r="RF152" s="12" t="s">
        <v>37</v>
      </c>
      <c r="RG152" s="12" t="s">
        <v>37</v>
      </c>
      <c r="RH152" s="13" t="s">
        <v>37</v>
      </c>
      <c r="RK152" s="12" t="s">
        <v>37</v>
      </c>
      <c r="RL152" s="12" t="s">
        <v>37</v>
      </c>
      <c r="RM152" s="11" t="s">
        <v>37</v>
      </c>
      <c r="RN152" s="12" t="s">
        <v>37</v>
      </c>
      <c r="RO152" s="12" t="s">
        <v>37</v>
      </c>
      <c r="RP152" s="11" t="s">
        <v>37</v>
      </c>
      <c r="RS152" s="12" t="s">
        <v>37</v>
      </c>
      <c r="RT152" s="12" t="s">
        <v>37</v>
      </c>
      <c r="RU152" s="12" t="s">
        <v>37</v>
      </c>
      <c r="RV152" s="12" t="s">
        <v>37</v>
      </c>
      <c r="RW152" s="12" t="s">
        <v>37</v>
      </c>
      <c r="RX152" s="12" t="s">
        <v>37</v>
      </c>
      <c r="SA152" s="12" t="s">
        <v>37</v>
      </c>
      <c r="SB152" s="12" t="s">
        <v>37</v>
      </c>
      <c r="SC152" s="12" t="s">
        <v>37</v>
      </c>
      <c r="SD152" s="12" t="s">
        <v>37</v>
      </c>
      <c r="SE152" s="12" t="s">
        <v>37</v>
      </c>
      <c r="SF152" s="12" t="s">
        <v>37</v>
      </c>
      <c r="SI152" s="12" t="s">
        <v>37</v>
      </c>
      <c r="SJ152" s="12" t="s">
        <v>37</v>
      </c>
      <c r="SK152" s="13" t="s">
        <v>37</v>
      </c>
      <c r="SM152" s="12" t="s">
        <v>37</v>
      </c>
      <c r="SN152" s="12" t="s">
        <v>37</v>
      </c>
      <c r="SO152" s="13" t="s">
        <v>37</v>
      </c>
      <c r="SU152" s="12" t="s">
        <v>37</v>
      </c>
      <c r="SV152" s="12" t="s">
        <v>37</v>
      </c>
      <c r="SW152" s="11" t="s">
        <v>37</v>
      </c>
      <c r="SX152" s="12" t="s">
        <v>37</v>
      </c>
      <c r="SY152" s="12" t="s">
        <v>37</v>
      </c>
      <c r="SZ152" s="11" t="s">
        <v>37</v>
      </c>
      <c r="TE152" s="12" t="s">
        <v>37</v>
      </c>
      <c r="TF152" s="12" t="s">
        <v>37</v>
      </c>
      <c r="TG152" s="11" t="s">
        <v>37</v>
      </c>
      <c r="TH152" s="12" t="s">
        <v>37</v>
      </c>
      <c r="TI152" s="12" t="s">
        <v>37</v>
      </c>
      <c r="TJ152" s="11" t="s">
        <v>37</v>
      </c>
      <c r="TO152" s="12" t="s">
        <v>37</v>
      </c>
      <c r="TP152" s="12" t="s">
        <v>37</v>
      </c>
      <c r="TQ152" s="11" t="s">
        <v>37</v>
      </c>
      <c r="TR152" s="12" t="s">
        <v>37</v>
      </c>
      <c r="TS152" s="12" t="s">
        <v>37</v>
      </c>
      <c r="TT152" s="11" t="s">
        <v>37</v>
      </c>
      <c r="TY152" s="12" t="s">
        <v>37</v>
      </c>
      <c r="TZ152" s="12" t="s">
        <v>37</v>
      </c>
      <c r="UA152" s="12" t="s">
        <v>37</v>
      </c>
      <c r="UB152" s="12" t="s">
        <v>37</v>
      </c>
      <c r="UC152" s="12" t="s">
        <v>37</v>
      </c>
      <c r="UD152" s="12" t="s">
        <v>37</v>
      </c>
      <c r="UE152" s="12"/>
      <c r="UF152" s="12"/>
      <c r="UI152" s="12" t="s">
        <v>37</v>
      </c>
      <c r="UJ152" s="12" t="s">
        <v>37</v>
      </c>
      <c r="UK152" s="12" t="s">
        <v>37</v>
      </c>
      <c r="UL152" s="12" t="s">
        <v>37</v>
      </c>
      <c r="UM152" s="12" t="s">
        <v>37</v>
      </c>
      <c r="UN152" s="12" t="s">
        <v>37</v>
      </c>
      <c r="UO152" s="12"/>
      <c r="UP152" s="12"/>
      <c r="UR152" s="12" t="s">
        <v>37</v>
      </c>
      <c r="US152" s="12" t="s">
        <v>37</v>
      </c>
      <c r="UT152" s="12" t="s">
        <v>37</v>
      </c>
      <c r="UU152" s="12" t="s">
        <v>37</v>
      </c>
      <c r="UV152" s="12" t="s">
        <v>37</v>
      </c>
      <c r="UW152" s="12" t="s">
        <v>37</v>
      </c>
      <c r="UX152" s="12"/>
      <c r="UY152" s="12"/>
      <c r="VB152" s="12" t="s">
        <v>37</v>
      </c>
      <c r="VC152" s="12" t="s">
        <v>37</v>
      </c>
      <c r="VD152" s="12" t="s">
        <v>37</v>
      </c>
      <c r="VE152" s="12" t="s">
        <v>37</v>
      </c>
      <c r="VF152" s="12" t="s">
        <v>37</v>
      </c>
      <c r="VG152" s="12" t="s">
        <v>37</v>
      </c>
      <c r="VI152" s="12" t="s">
        <v>37</v>
      </c>
      <c r="VJ152" s="12" t="s">
        <v>37</v>
      </c>
      <c r="VK152" s="12" t="s">
        <v>37</v>
      </c>
      <c r="VL152" s="12" t="s">
        <v>37</v>
      </c>
      <c r="VM152" s="12" t="s">
        <v>37</v>
      </c>
      <c r="VN152" s="12" t="s">
        <v>37</v>
      </c>
      <c r="VQ152" s="13" t="s">
        <v>37</v>
      </c>
      <c r="VR152" s="13" t="s">
        <v>37</v>
      </c>
      <c r="VS152" s="13" t="s">
        <v>37</v>
      </c>
      <c r="VT152" s="13" t="s">
        <v>37</v>
      </c>
      <c r="VU152" s="13" t="s">
        <v>37</v>
      </c>
      <c r="VV152" s="13" t="s">
        <v>37</v>
      </c>
      <c r="WA152" s="13" t="s">
        <v>37</v>
      </c>
      <c r="WB152" s="13" t="s">
        <v>37</v>
      </c>
      <c r="WC152" s="13" t="s">
        <v>37</v>
      </c>
      <c r="WD152" s="13" t="s">
        <v>37</v>
      </c>
      <c r="WE152" s="13" t="s">
        <v>37</v>
      </c>
      <c r="WF152" s="13" t="s">
        <v>37</v>
      </c>
    </row>
    <row r="153" spans="1:604" ht="18" customHeight="1" x14ac:dyDescent="0.4">
      <c r="A153" s="11">
        <v>36</v>
      </c>
      <c r="B153" s="16" t="s">
        <v>922</v>
      </c>
      <c r="C153" s="12" t="s">
        <v>26</v>
      </c>
      <c r="D153" s="12" t="s">
        <v>119</v>
      </c>
      <c r="E153" s="40" t="s">
        <v>37</v>
      </c>
      <c r="F153" s="14">
        <v>0</v>
      </c>
      <c r="G153" s="14">
        <v>0</v>
      </c>
      <c r="H153" s="12" t="s">
        <v>88</v>
      </c>
      <c r="I153" s="29">
        <v>64.082999999999998</v>
      </c>
      <c r="J153" s="29">
        <v>18.167000000000002</v>
      </c>
      <c r="K153" s="12" t="s">
        <v>732</v>
      </c>
      <c r="L153" s="12" t="s">
        <v>733</v>
      </c>
      <c r="M153" s="12" t="s">
        <v>37</v>
      </c>
      <c r="N153" s="14">
        <v>26.3</v>
      </c>
      <c r="O153" s="14" t="s">
        <v>37</v>
      </c>
      <c r="P153" s="14" t="s">
        <v>89</v>
      </c>
      <c r="Q153" s="75" t="s">
        <v>326</v>
      </c>
      <c r="R153" s="11" t="s">
        <v>999</v>
      </c>
      <c r="S153" s="12" t="s">
        <v>105</v>
      </c>
      <c r="T153" s="12" t="s">
        <v>141</v>
      </c>
      <c r="U153" s="12" t="s">
        <v>158</v>
      </c>
      <c r="V153" s="12" t="s">
        <v>37</v>
      </c>
      <c r="W153" s="23" t="s">
        <v>49</v>
      </c>
      <c r="X153" s="12" t="s">
        <v>49</v>
      </c>
      <c r="Y153" s="12" t="s">
        <v>37</v>
      </c>
      <c r="Z153" s="12" t="s">
        <v>37</v>
      </c>
      <c r="AB153" s="12" t="s">
        <v>37</v>
      </c>
      <c r="AE153" s="12" t="s">
        <v>37</v>
      </c>
      <c r="AH153" s="12" t="s">
        <v>37</v>
      </c>
      <c r="AK153" s="12" t="s">
        <v>37</v>
      </c>
      <c r="AL153" s="32" t="s">
        <v>37</v>
      </c>
      <c r="AM153" s="13" t="s">
        <v>344</v>
      </c>
      <c r="AO153" s="12" t="s">
        <v>37</v>
      </c>
      <c r="AP153" s="12" t="s">
        <v>37</v>
      </c>
      <c r="AQ153" s="12" t="s">
        <v>37</v>
      </c>
      <c r="AT153" s="12" t="s">
        <v>326</v>
      </c>
      <c r="AU153" s="12" t="s">
        <v>326</v>
      </c>
      <c r="AV153" s="13" t="s">
        <v>326</v>
      </c>
      <c r="AX153" s="12" t="s">
        <v>326</v>
      </c>
      <c r="AY153" s="12" t="s">
        <v>326</v>
      </c>
      <c r="AZ153" s="13" t="s">
        <v>326</v>
      </c>
      <c r="BE153" s="12" t="s">
        <v>326</v>
      </c>
      <c r="BF153" s="12" t="s">
        <v>326</v>
      </c>
      <c r="BG153" s="12" t="s">
        <v>326</v>
      </c>
      <c r="BI153" s="12" t="s">
        <v>326</v>
      </c>
      <c r="BJ153" s="12" t="s">
        <v>326</v>
      </c>
      <c r="BK153" s="12" t="s">
        <v>326</v>
      </c>
      <c r="BP153" s="12" t="s">
        <v>37</v>
      </c>
      <c r="BQ153" s="12" t="s">
        <v>37</v>
      </c>
      <c r="BR153" s="13" t="s">
        <v>37</v>
      </c>
      <c r="BT153" s="12" t="s">
        <v>37</v>
      </c>
      <c r="BU153" s="12" t="s">
        <v>37</v>
      </c>
      <c r="BV153" s="12" t="s">
        <v>37</v>
      </c>
      <c r="CA153" s="12" t="s">
        <v>37</v>
      </c>
      <c r="CB153" s="12" t="s">
        <v>37</v>
      </c>
      <c r="CC153" s="13" t="s">
        <v>37</v>
      </c>
      <c r="CE153" s="12" t="s">
        <v>37</v>
      </c>
      <c r="CF153" s="12" t="s">
        <v>37</v>
      </c>
      <c r="CG153" s="13" t="s">
        <v>37</v>
      </c>
      <c r="CI153" s="52"/>
      <c r="CJ153" s="52"/>
      <c r="CK153" s="73"/>
      <c r="CL153" s="73"/>
      <c r="CN153" s="12" t="s">
        <v>37</v>
      </c>
      <c r="CO153" s="12" t="s">
        <v>37</v>
      </c>
      <c r="CP153" s="13" t="s">
        <v>37</v>
      </c>
      <c r="CR153" s="12" t="s">
        <v>37</v>
      </c>
      <c r="CS153" s="12" t="s">
        <v>37</v>
      </c>
      <c r="CT153" s="13" t="s">
        <v>37</v>
      </c>
      <c r="CV153" s="52"/>
      <c r="CW153" s="52"/>
      <c r="CX153" s="73"/>
      <c r="CY153" s="73"/>
      <c r="DA153" s="12" t="s">
        <v>37</v>
      </c>
      <c r="DB153" s="12" t="s">
        <v>37</v>
      </c>
      <c r="DC153" s="13" t="s">
        <v>37</v>
      </c>
      <c r="DE153" s="12" t="s">
        <v>37</v>
      </c>
      <c r="DF153" s="12" t="s">
        <v>37</v>
      </c>
      <c r="DG153" s="13" t="s">
        <v>37</v>
      </c>
      <c r="DI153" s="52"/>
      <c r="DJ153" s="52"/>
      <c r="DK153" s="73"/>
      <c r="DL153" s="73"/>
      <c r="DM153" s="12" t="s">
        <v>47</v>
      </c>
      <c r="DN153" s="19">
        <v>38.133333333333333</v>
      </c>
      <c r="DO153" s="12">
        <v>12.933333333333332</v>
      </c>
      <c r="DP153" s="13">
        <v>8</v>
      </c>
      <c r="DQ153" s="19">
        <f t="shared" ref="DQ153:DQ161" si="579">DO153/ABS(DN153)</f>
        <v>0.33916083916083911</v>
      </c>
      <c r="DR153" s="19">
        <f>5.2*16/12</f>
        <v>6.9333333333333336</v>
      </c>
      <c r="DS153" s="12">
        <f>5.1*16/12</f>
        <v>6.8</v>
      </c>
      <c r="DT153" s="13">
        <v>5</v>
      </c>
      <c r="DU153" s="19">
        <f t="shared" ref="DU153:DU161" si="580">DS153/ABS(DR153)</f>
        <v>0.98076923076923073</v>
      </c>
      <c r="DV153" s="19">
        <f t="shared" si="509"/>
        <v>-31.2</v>
      </c>
      <c r="DW153" s="12">
        <f t="shared" si="485"/>
        <v>11.10224292563435</v>
      </c>
      <c r="DX153" s="72">
        <f t="shared" si="345"/>
        <v>40.059434343434333</v>
      </c>
      <c r="DY153" s="72">
        <f t="shared" si="346"/>
        <v>30.156888888888886</v>
      </c>
      <c r="DZ153" s="11" t="s">
        <v>47</v>
      </c>
      <c r="EA153" s="19">
        <f t="shared" ref="EA153:EA155" si="581">2.7*44/28</f>
        <v>4.2428571428571429</v>
      </c>
      <c r="EB153" s="19">
        <f t="shared" ref="EB153:EB155" si="582">1.9*44/28</f>
        <v>2.9857142857142853</v>
      </c>
      <c r="EC153" s="72">
        <v>7</v>
      </c>
      <c r="ED153" s="52">
        <f t="shared" si="571"/>
        <v>0.70370370370370361</v>
      </c>
      <c r="EE153" s="19">
        <f>5*44/28</f>
        <v>7.8571428571428568</v>
      </c>
      <c r="EF153" s="19">
        <f>2.7*44/28</f>
        <v>4.2428571428571429</v>
      </c>
      <c r="EG153" s="13">
        <v>8</v>
      </c>
      <c r="EH153" s="52">
        <f t="shared" si="569"/>
        <v>0.54</v>
      </c>
      <c r="EI153" s="19">
        <f t="shared" si="558"/>
        <v>3.6142857142857139</v>
      </c>
      <c r="EJ153" s="12">
        <f t="shared" si="550"/>
        <v>3.7158682174029232</v>
      </c>
      <c r="EK153" s="19">
        <f t="shared" si="551"/>
        <v>3.6984848060103159</v>
      </c>
      <c r="EL153" s="19">
        <f t="shared" si="552"/>
        <v>3.5237281341107867</v>
      </c>
      <c r="EM153" s="12" t="s">
        <v>39</v>
      </c>
      <c r="EN153" s="12">
        <v>-18.3</v>
      </c>
      <c r="EO153" s="12">
        <v>5.8</v>
      </c>
      <c r="EP153" s="13">
        <v>12</v>
      </c>
      <c r="EQ153" s="19">
        <f t="shared" si="510"/>
        <v>0.31693989071038248</v>
      </c>
      <c r="ER153" s="12">
        <v>-55.5</v>
      </c>
      <c r="ES153" s="12">
        <v>4.4000000000000004</v>
      </c>
      <c r="ET153" s="13">
        <v>25</v>
      </c>
      <c r="EU153" s="19">
        <f t="shared" si="511"/>
        <v>7.9279279279279288E-2</v>
      </c>
      <c r="EV153" s="19">
        <f t="shared" si="572"/>
        <v>-37.200000000000003</v>
      </c>
      <c r="EW153" s="12">
        <f t="shared" si="573"/>
        <v>4.883441409498019</v>
      </c>
      <c r="EX153" s="19">
        <f t="shared" si="574"/>
        <v>2.9412533333333335</v>
      </c>
      <c r="EY153" s="19">
        <f t="shared" si="575"/>
        <v>3.5777333333333332</v>
      </c>
      <c r="FB153" s="12" t="s">
        <v>37</v>
      </c>
      <c r="FC153" s="12" t="s">
        <v>37</v>
      </c>
      <c r="FD153" s="11" t="s">
        <v>37</v>
      </c>
      <c r="FE153" s="12" t="s">
        <v>37</v>
      </c>
      <c r="FF153" s="20" t="s">
        <v>37</v>
      </c>
      <c r="FG153" s="11" t="s">
        <v>37</v>
      </c>
      <c r="FI153" s="12" t="s">
        <v>37</v>
      </c>
      <c r="FJ153" s="12" t="s">
        <v>37</v>
      </c>
      <c r="FK153" s="11" t="s">
        <v>37</v>
      </c>
      <c r="FL153" s="13" t="s">
        <v>37</v>
      </c>
      <c r="FM153" s="11" t="s">
        <v>37</v>
      </c>
      <c r="FN153" s="11" t="s">
        <v>37</v>
      </c>
      <c r="FP153" s="12" t="s">
        <v>37</v>
      </c>
      <c r="FQ153" s="12" t="s">
        <v>37</v>
      </c>
      <c r="FR153" s="11" t="s">
        <v>37</v>
      </c>
      <c r="FS153" s="13" t="s">
        <v>37</v>
      </c>
      <c r="FT153" s="11" t="s">
        <v>37</v>
      </c>
      <c r="FU153" s="11" t="s">
        <v>37</v>
      </c>
      <c r="FW153" s="12" t="s">
        <v>37</v>
      </c>
      <c r="FX153" s="12" t="s">
        <v>37</v>
      </c>
      <c r="FY153" s="11" t="s">
        <v>37</v>
      </c>
      <c r="FZ153" s="13" t="s">
        <v>37</v>
      </c>
      <c r="GA153" s="11" t="s">
        <v>37</v>
      </c>
      <c r="GB153" s="11" t="s">
        <v>37</v>
      </c>
      <c r="GO153" s="12" t="s">
        <v>660</v>
      </c>
      <c r="GP153" s="12" t="s">
        <v>345</v>
      </c>
      <c r="GQ153" s="12">
        <v>26.3</v>
      </c>
      <c r="GR153" s="12">
        <v>0.3</v>
      </c>
      <c r="GS153" s="13">
        <v>8</v>
      </c>
      <c r="GT153" s="19">
        <f t="shared" si="576"/>
        <v>1.1406844106463877E-2</v>
      </c>
      <c r="GU153" s="12">
        <v>29.5</v>
      </c>
      <c r="GV153" s="12">
        <v>0.3</v>
      </c>
      <c r="GW153" s="13">
        <v>20</v>
      </c>
      <c r="GX153" s="19">
        <f t="shared" ref="GX153:GX155" si="583">GV153/GU153</f>
        <v>1.0169491525423728E-2</v>
      </c>
      <c r="GY153" s="19">
        <f t="shared" si="577"/>
        <v>0.1148213241620552</v>
      </c>
      <c r="GZ153" s="19">
        <f t="shared" si="578"/>
        <v>2.1435439452929464E-5</v>
      </c>
      <c r="IK153" s="12" t="s">
        <v>37</v>
      </c>
      <c r="IL153" s="12" t="s">
        <v>37</v>
      </c>
      <c r="IM153" s="12" t="s">
        <v>37</v>
      </c>
      <c r="IO153" s="12" t="s">
        <v>37</v>
      </c>
      <c r="IP153" s="12" t="s">
        <v>37</v>
      </c>
      <c r="IQ153" s="12" t="s">
        <v>37</v>
      </c>
      <c r="IW153" s="12" t="s">
        <v>37</v>
      </c>
      <c r="IX153" s="12" t="s">
        <v>37</v>
      </c>
      <c r="IY153" s="13" t="s">
        <v>37</v>
      </c>
      <c r="JA153" s="12" t="s">
        <v>37</v>
      </c>
      <c r="JB153" s="12" t="s">
        <v>37</v>
      </c>
      <c r="JC153" s="13" t="s">
        <v>37</v>
      </c>
      <c r="JH153" s="12" t="s">
        <v>37</v>
      </c>
      <c r="JI153" s="12" t="s">
        <v>37</v>
      </c>
      <c r="JJ153" s="13" t="s">
        <v>37</v>
      </c>
      <c r="JL153" s="12" t="s">
        <v>37</v>
      </c>
      <c r="JM153" s="12" t="s">
        <v>37</v>
      </c>
      <c r="JN153" s="12" t="s">
        <v>37</v>
      </c>
      <c r="JS153" s="12" t="s">
        <v>37</v>
      </c>
      <c r="JT153" s="12" t="s">
        <v>37</v>
      </c>
      <c r="JU153" s="13" t="s">
        <v>37</v>
      </c>
      <c r="JW153" s="12" t="s">
        <v>37</v>
      </c>
      <c r="JX153" s="12" t="s">
        <v>37</v>
      </c>
      <c r="JY153" s="12" t="s">
        <v>37</v>
      </c>
      <c r="KE153" s="11" t="s">
        <v>37</v>
      </c>
      <c r="KF153" s="11" t="s">
        <v>37</v>
      </c>
      <c r="KG153" s="13" t="s">
        <v>37</v>
      </c>
      <c r="KH153" s="11" t="s">
        <v>37</v>
      </c>
      <c r="KI153" s="11" t="s">
        <v>37</v>
      </c>
      <c r="KJ153" s="11" t="s">
        <v>37</v>
      </c>
      <c r="KM153" s="12" t="s">
        <v>37</v>
      </c>
      <c r="KN153" s="12" t="s">
        <v>37</v>
      </c>
      <c r="KO153" s="11" t="s">
        <v>37</v>
      </c>
      <c r="KQ153" s="12" t="s">
        <v>37</v>
      </c>
      <c r="KR153" s="12" t="s">
        <v>37</v>
      </c>
      <c r="KS153" s="13" t="s">
        <v>37</v>
      </c>
      <c r="KX153" s="12" t="s">
        <v>37</v>
      </c>
      <c r="KY153" s="12" t="s">
        <v>37</v>
      </c>
      <c r="KZ153" s="13" t="s">
        <v>37</v>
      </c>
      <c r="LB153" s="12" t="s">
        <v>37</v>
      </c>
      <c r="LC153" s="12" t="s">
        <v>37</v>
      </c>
      <c r="LD153" s="13" t="s">
        <v>37</v>
      </c>
      <c r="LI153" s="12" t="s">
        <v>37</v>
      </c>
      <c r="LJ153" s="12" t="s">
        <v>37</v>
      </c>
      <c r="LK153" s="12" t="s">
        <v>37</v>
      </c>
      <c r="LM153" s="12" t="s">
        <v>37</v>
      </c>
      <c r="LN153" s="12" t="s">
        <v>37</v>
      </c>
      <c r="LO153" s="12" t="s">
        <v>37</v>
      </c>
      <c r="LU153" s="12" t="s">
        <v>37</v>
      </c>
      <c r="LV153" s="12" t="s">
        <v>37</v>
      </c>
      <c r="LW153" s="13" t="s">
        <v>37</v>
      </c>
      <c r="LY153" s="12" t="s">
        <v>37</v>
      </c>
      <c r="LZ153" s="12" t="s">
        <v>37</v>
      </c>
      <c r="MA153" s="12" t="s">
        <v>37</v>
      </c>
      <c r="MF153" s="12" t="s">
        <v>37</v>
      </c>
      <c r="MG153" s="12" t="s">
        <v>37</v>
      </c>
      <c r="MH153" s="12" t="s">
        <v>37</v>
      </c>
      <c r="MJ153" s="12" t="s">
        <v>37</v>
      </c>
      <c r="MK153" s="12" t="s">
        <v>37</v>
      </c>
      <c r="ML153" s="12" t="s">
        <v>37</v>
      </c>
      <c r="MQ153" s="12" t="s">
        <v>37</v>
      </c>
      <c r="MR153" s="12" t="s">
        <v>37</v>
      </c>
      <c r="MS153" s="12" t="s">
        <v>37</v>
      </c>
      <c r="MU153" s="12" t="s">
        <v>37</v>
      </c>
      <c r="MV153" s="12" t="s">
        <v>37</v>
      </c>
      <c r="MW153" s="12" t="s">
        <v>37</v>
      </c>
      <c r="NC153" s="12" t="s">
        <v>37</v>
      </c>
      <c r="ND153" s="12" t="s">
        <v>37</v>
      </c>
      <c r="NE153" s="13" t="s">
        <v>37</v>
      </c>
      <c r="NG153" s="12" t="s">
        <v>37</v>
      </c>
      <c r="NH153" s="12" t="s">
        <v>37</v>
      </c>
      <c r="NI153" s="13" t="s">
        <v>37</v>
      </c>
      <c r="NO153" s="12" t="s">
        <v>37</v>
      </c>
      <c r="NP153" s="12" t="s">
        <v>37</v>
      </c>
      <c r="NQ153" s="13" t="s">
        <v>37</v>
      </c>
      <c r="NS153" s="12" t="s">
        <v>37</v>
      </c>
      <c r="NT153" s="12" t="s">
        <v>37</v>
      </c>
      <c r="NU153" s="13" t="s">
        <v>37</v>
      </c>
      <c r="OA153" s="12" t="s">
        <v>37</v>
      </c>
      <c r="OB153" s="12" t="s">
        <v>37</v>
      </c>
      <c r="OC153" s="13" t="s">
        <v>37</v>
      </c>
      <c r="OE153" s="12" t="s">
        <v>37</v>
      </c>
      <c r="OF153" s="12" t="s">
        <v>37</v>
      </c>
      <c r="OG153" s="13" t="s">
        <v>37</v>
      </c>
      <c r="OM153" s="12" t="s">
        <v>37</v>
      </c>
      <c r="ON153" s="12" t="s">
        <v>37</v>
      </c>
      <c r="OO153" s="12" t="s">
        <v>37</v>
      </c>
      <c r="OP153" s="12" t="s">
        <v>37</v>
      </c>
      <c r="OQ153" s="12" t="s">
        <v>37</v>
      </c>
      <c r="OR153" s="12" t="s">
        <v>37</v>
      </c>
      <c r="OS153" s="12"/>
      <c r="OT153" s="12"/>
      <c r="OW153" s="12" t="s">
        <v>37</v>
      </c>
      <c r="OX153" s="12" t="s">
        <v>37</v>
      </c>
      <c r="OY153" s="13" t="s">
        <v>37</v>
      </c>
      <c r="OZ153" s="12" t="s">
        <v>37</v>
      </c>
      <c r="PA153" s="12" t="s">
        <v>37</v>
      </c>
      <c r="PB153" s="13" t="s">
        <v>37</v>
      </c>
      <c r="PG153" s="11" t="s">
        <v>37</v>
      </c>
      <c r="PH153" s="11" t="s">
        <v>37</v>
      </c>
      <c r="PI153" s="13" t="s">
        <v>37</v>
      </c>
      <c r="PJ153" s="11" t="s">
        <v>37</v>
      </c>
      <c r="PK153" s="11" t="s">
        <v>37</v>
      </c>
      <c r="PL153" s="13" t="s">
        <v>37</v>
      </c>
      <c r="PQ153" s="12" t="s">
        <v>37</v>
      </c>
      <c r="PR153" s="12" t="s">
        <v>37</v>
      </c>
      <c r="PS153" s="12" t="s">
        <v>37</v>
      </c>
      <c r="PT153" s="12" t="s">
        <v>37</v>
      </c>
      <c r="PU153" s="12" t="s">
        <v>37</v>
      </c>
      <c r="PV153" s="12" t="s">
        <v>37</v>
      </c>
      <c r="PW153" s="12"/>
      <c r="PX153" s="12"/>
      <c r="PZ153" s="12" t="s">
        <v>37</v>
      </c>
      <c r="QA153" s="12" t="s">
        <v>37</v>
      </c>
      <c r="QB153" s="11" t="s">
        <v>37</v>
      </c>
      <c r="QD153" s="12" t="s">
        <v>37</v>
      </c>
      <c r="QE153" s="12" t="s">
        <v>37</v>
      </c>
      <c r="QF153" s="12" t="s">
        <v>37</v>
      </c>
      <c r="QK153" s="12" t="s">
        <v>37</v>
      </c>
      <c r="QL153" s="12" t="s">
        <v>37</v>
      </c>
      <c r="QM153" s="12" t="s">
        <v>37</v>
      </c>
      <c r="QN153" s="12" t="s">
        <v>37</v>
      </c>
      <c r="QO153" s="12" t="s">
        <v>37</v>
      </c>
      <c r="QP153" s="12" t="s">
        <v>37</v>
      </c>
      <c r="QQ153" s="12"/>
      <c r="QR153" s="12"/>
      <c r="QU153" s="12" t="s">
        <v>37</v>
      </c>
      <c r="QV153" s="12" t="s">
        <v>37</v>
      </c>
      <c r="QW153" s="12" t="s">
        <v>37</v>
      </c>
      <c r="QX153" s="12" t="s">
        <v>37</v>
      </c>
      <c r="QY153" s="12" t="s">
        <v>37</v>
      </c>
      <c r="QZ153" s="12" t="s">
        <v>37</v>
      </c>
      <c r="RC153" s="12" t="s">
        <v>37</v>
      </c>
      <c r="RD153" s="12" t="s">
        <v>37</v>
      </c>
      <c r="RE153" s="13" t="s">
        <v>37</v>
      </c>
      <c r="RF153" s="12" t="s">
        <v>37</v>
      </c>
      <c r="RG153" s="12" t="s">
        <v>37</v>
      </c>
      <c r="RH153" s="13" t="s">
        <v>37</v>
      </c>
      <c r="RK153" s="12" t="s">
        <v>37</v>
      </c>
      <c r="RL153" s="12" t="s">
        <v>37</v>
      </c>
      <c r="RM153" s="11" t="s">
        <v>37</v>
      </c>
      <c r="RN153" s="12" t="s">
        <v>37</v>
      </c>
      <c r="RO153" s="12" t="s">
        <v>37</v>
      </c>
      <c r="RP153" s="11" t="s">
        <v>37</v>
      </c>
      <c r="RS153" s="12" t="s">
        <v>37</v>
      </c>
      <c r="RT153" s="12" t="s">
        <v>37</v>
      </c>
      <c r="RU153" s="12" t="s">
        <v>37</v>
      </c>
      <c r="RV153" s="12" t="s">
        <v>37</v>
      </c>
      <c r="RW153" s="12" t="s">
        <v>37</v>
      </c>
      <c r="RX153" s="12" t="s">
        <v>37</v>
      </c>
      <c r="SA153" s="12" t="s">
        <v>37</v>
      </c>
      <c r="SB153" s="12" t="s">
        <v>37</v>
      </c>
      <c r="SC153" s="12" t="s">
        <v>37</v>
      </c>
      <c r="SD153" s="12" t="s">
        <v>37</v>
      </c>
      <c r="SE153" s="12" t="s">
        <v>37</v>
      </c>
      <c r="SF153" s="12" t="s">
        <v>37</v>
      </c>
      <c r="SI153" s="12" t="s">
        <v>37</v>
      </c>
      <c r="SJ153" s="12" t="s">
        <v>37</v>
      </c>
      <c r="SK153" s="13" t="s">
        <v>37</v>
      </c>
      <c r="SM153" s="12" t="s">
        <v>37</v>
      </c>
      <c r="SN153" s="12" t="s">
        <v>37</v>
      </c>
      <c r="SO153" s="13" t="s">
        <v>37</v>
      </c>
      <c r="SU153" s="12" t="s">
        <v>37</v>
      </c>
      <c r="SV153" s="12" t="s">
        <v>37</v>
      </c>
      <c r="SW153" s="11" t="s">
        <v>37</v>
      </c>
      <c r="SX153" s="12" t="s">
        <v>37</v>
      </c>
      <c r="SY153" s="12" t="s">
        <v>37</v>
      </c>
      <c r="SZ153" s="11" t="s">
        <v>37</v>
      </c>
      <c r="TE153" s="12" t="s">
        <v>37</v>
      </c>
      <c r="TF153" s="12" t="s">
        <v>37</v>
      </c>
      <c r="TG153" s="11" t="s">
        <v>37</v>
      </c>
      <c r="TH153" s="12" t="s">
        <v>37</v>
      </c>
      <c r="TI153" s="12" t="s">
        <v>37</v>
      </c>
      <c r="TJ153" s="11" t="s">
        <v>37</v>
      </c>
      <c r="TO153" s="12" t="s">
        <v>37</v>
      </c>
      <c r="TP153" s="12" t="s">
        <v>37</v>
      </c>
      <c r="TQ153" s="11" t="s">
        <v>37</v>
      </c>
      <c r="TR153" s="12" t="s">
        <v>37</v>
      </c>
      <c r="TS153" s="12" t="s">
        <v>37</v>
      </c>
      <c r="TT153" s="11" t="s">
        <v>37</v>
      </c>
      <c r="TY153" s="12" t="s">
        <v>37</v>
      </c>
      <c r="TZ153" s="12" t="s">
        <v>37</v>
      </c>
      <c r="UA153" s="12" t="s">
        <v>37</v>
      </c>
      <c r="UB153" s="12" t="s">
        <v>37</v>
      </c>
      <c r="UC153" s="12" t="s">
        <v>37</v>
      </c>
      <c r="UD153" s="12" t="s">
        <v>37</v>
      </c>
      <c r="UE153" s="12"/>
      <c r="UF153" s="12"/>
      <c r="UI153" s="12" t="s">
        <v>37</v>
      </c>
      <c r="UJ153" s="12" t="s">
        <v>37</v>
      </c>
      <c r="UK153" s="12" t="s">
        <v>37</v>
      </c>
      <c r="UL153" s="12" t="s">
        <v>37</v>
      </c>
      <c r="UM153" s="12" t="s">
        <v>37</v>
      </c>
      <c r="UN153" s="12" t="s">
        <v>37</v>
      </c>
      <c r="UO153" s="12"/>
      <c r="UP153" s="12"/>
      <c r="UR153" s="12" t="s">
        <v>37</v>
      </c>
      <c r="US153" s="12" t="s">
        <v>37</v>
      </c>
      <c r="UT153" s="12" t="s">
        <v>37</v>
      </c>
      <c r="UU153" s="12" t="s">
        <v>37</v>
      </c>
      <c r="UV153" s="12" t="s">
        <v>37</v>
      </c>
      <c r="UW153" s="12" t="s">
        <v>37</v>
      </c>
      <c r="UX153" s="12"/>
      <c r="UY153" s="12"/>
      <c r="VB153" s="12" t="s">
        <v>37</v>
      </c>
      <c r="VC153" s="12" t="s">
        <v>37</v>
      </c>
      <c r="VD153" s="12" t="s">
        <v>37</v>
      </c>
      <c r="VE153" s="12" t="s">
        <v>37</v>
      </c>
      <c r="VF153" s="12" t="s">
        <v>37</v>
      </c>
      <c r="VG153" s="12" t="s">
        <v>37</v>
      </c>
      <c r="VI153" s="12" t="s">
        <v>37</v>
      </c>
      <c r="VJ153" s="12" t="s">
        <v>37</v>
      </c>
      <c r="VK153" s="12" t="s">
        <v>37</v>
      </c>
      <c r="VL153" s="12" t="s">
        <v>37</v>
      </c>
      <c r="VM153" s="12" t="s">
        <v>37</v>
      </c>
      <c r="VN153" s="12" t="s">
        <v>37</v>
      </c>
      <c r="VQ153" s="13" t="s">
        <v>37</v>
      </c>
      <c r="VR153" s="13" t="s">
        <v>37</v>
      </c>
      <c r="VS153" s="13" t="s">
        <v>37</v>
      </c>
      <c r="VT153" s="13" t="s">
        <v>37</v>
      </c>
      <c r="VU153" s="13" t="s">
        <v>37</v>
      </c>
      <c r="VV153" s="13" t="s">
        <v>37</v>
      </c>
      <c r="WA153" s="13" t="s">
        <v>37</v>
      </c>
      <c r="WB153" s="13" t="s">
        <v>37</v>
      </c>
      <c r="WC153" s="13" t="s">
        <v>37</v>
      </c>
      <c r="WD153" s="13" t="s">
        <v>37</v>
      </c>
      <c r="WE153" s="13" t="s">
        <v>37</v>
      </c>
      <c r="WF153" s="13" t="s">
        <v>37</v>
      </c>
    </row>
    <row r="154" spans="1:604" ht="18" customHeight="1" x14ac:dyDescent="0.4">
      <c r="A154" s="11">
        <v>36</v>
      </c>
      <c r="B154" s="16" t="s">
        <v>240</v>
      </c>
      <c r="C154" s="12" t="s">
        <v>26</v>
      </c>
      <c r="D154" s="12" t="s">
        <v>119</v>
      </c>
      <c r="E154" s="40" t="s">
        <v>37</v>
      </c>
      <c r="F154" s="14">
        <v>0</v>
      </c>
      <c r="G154" s="14">
        <v>0</v>
      </c>
      <c r="H154" s="12" t="s">
        <v>88</v>
      </c>
      <c r="I154" s="29">
        <v>64.082999999999998</v>
      </c>
      <c r="J154" s="29">
        <v>18.167000000000002</v>
      </c>
      <c r="K154" s="12" t="s">
        <v>732</v>
      </c>
      <c r="L154" s="12" t="s">
        <v>733</v>
      </c>
      <c r="M154" s="12" t="s">
        <v>37</v>
      </c>
      <c r="N154" s="14">
        <v>26.3</v>
      </c>
      <c r="O154" s="14" t="s">
        <v>37</v>
      </c>
      <c r="P154" s="14" t="s">
        <v>89</v>
      </c>
      <c r="Q154" s="75" t="s">
        <v>326</v>
      </c>
      <c r="R154" s="11" t="s">
        <v>999</v>
      </c>
      <c r="S154" s="12" t="s">
        <v>105</v>
      </c>
      <c r="T154" s="12" t="s">
        <v>141</v>
      </c>
      <c r="U154" s="12" t="s">
        <v>158</v>
      </c>
      <c r="V154" s="12" t="s">
        <v>37</v>
      </c>
      <c r="W154" s="23" t="s">
        <v>49</v>
      </c>
      <c r="X154" s="12" t="s">
        <v>49</v>
      </c>
      <c r="Y154" s="12" t="s">
        <v>37</v>
      </c>
      <c r="Z154" s="12" t="s">
        <v>37</v>
      </c>
      <c r="AB154" s="12" t="s">
        <v>37</v>
      </c>
      <c r="AE154" s="12" t="s">
        <v>37</v>
      </c>
      <c r="AH154" s="12" t="s">
        <v>37</v>
      </c>
      <c r="AK154" s="12" t="s">
        <v>37</v>
      </c>
      <c r="AL154" s="32" t="s">
        <v>37</v>
      </c>
      <c r="AM154" s="13" t="s">
        <v>344</v>
      </c>
      <c r="AO154" s="12" t="s">
        <v>37</v>
      </c>
      <c r="AP154" s="12" t="s">
        <v>37</v>
      </c>
      <c r="AQ154" s="12" t="s">
        <v>37</v>
      </c>
      <c r="AT154" s="12" t="s">
        <v>326</v>
      </c>
      <c r="AU154" s="12" t="s">
        <v>326</v>
      </c>
      <c r="AV154" s="13" t="s">
        <v>326</v>
      </c>
      <c r="AX154" s="12" t="s">
        <v>326</v>
      </c>
      <c r="AY154" s="12" t="s">
        <v>326</v>
      </c>
      <c r="AZ154" s="13" t="s">
        <v>326</v>
      </c>
      <c r="BE154" s="12" t="s">
        <v>326</v>
      </c>
      <c r="BF154" s="12" t="s">
        <v>326</v>
      </c>
      <c r="BG154" s="12" t="s">
        <v>326</v>
      </c>
      <c r="BI154" s="12" t="s">
        <v>326</v>
      </c>
      <c r="BJ154" s="12" t="s">
        <v>326</v>
      </c>
      <c r="BK154" s="12" t="s">
        <v>326</v>
      </c>
      <c r="BP154" s="12" t="s">
        <v>37</v>
      </c>
      <c r="BQ154" s="12" t="s">
        <v>37</v>
      </c>
      <c r="BR154" s="13" t="s">
        <v>37</v>
      </c>
      <c r="BT154" s="12" t="s">
        <v>37</v>
      </c>
      <c r="BU154" s="12" t="s">
        <v>37</v>
      </c>
      <c r="BV154" s="12" t="s">
        <v>37</v>
      </c>
      <c r="CA154" s="12" t="s">
        <v>37</v>
      </c>
      <c r="CB154" s="12" t="s">
        <v>37</v>
      </c>
      <c r="CC154" s="13" t="s">
        <v>37</v>
      </c>
      <c r="CE154" s="12" t="s">
        <v>37</v>
      </c>
      <c r="CF154" s="12" t="s">
        <v>37</v>
      </c>
      <c r="CG154" s="13" t="s">
        <v>37</v>
      </c>
      <c r="CI154" s="52"/>
      <c r="CJ154" s="52"/>
      <c r="CK154" s="73"/>
      <c r="CL154" s="73"/>
      <c r="CN154" s="12" t="s">
        <v>37</v>
      </c>
      <c r="CO154" s="12" t="s">
        <v>37</v>
      </c>
      <c r="CP154" s="13" t="s">
        <v>37</v>
      </c>
      <c r="CR154" s="12" t="s">
        <v>37</v>
      </c>
      <c r="CS154" s="12" t="s">
        <v>37</v>
      </c>
      <c r="CT154" s="13" t="s">
        <v>37</v>
      </c>
      <c r="CV154" s="52"/>
      <c r="CW154" s="52"/>
      <c r="CX154" s="73"/>
      <c r="CY154" s="73"/>
      <c r="DA154" s="12" t="s">
        <v>37</v>
      </c>
      <c r="DB154" s="12" t="s">
        <v>37</v>
      </c>
      <c r="DC154" s="13" t="s">
        <v>37</v>
      </c>
      <c r="DE154" s="12" t="s">
        <v>37</v>
      </c>
      <c r="DF154" s="12" t="s">
        <v>37</v>
      </c>
      <c r="DG154" s="13" t="s">
        <v>37</v>
      </c>
      <c r="DI154" s="52"/>
      <c r="DJ154" s="52"/>
      <c r="DK154" s="73"/>
      <c r="DL154" s="73"/>
      <c r="DM154" s="12" t="s">
        <v>47</v>
      </c>
      <c r="DN154" s="19">
        <v>38.133333333333333</v>
      </c>
      <c r="DO154" s="12">
        <v>12.933333333333332</v>
      </c>
      <c r="DP154" s="13">
        <v>8</v>
      </c>
      <c r="DQ154" s="19">
        <f t="shared" si="579"/>
        <v>0.33916083916083911</v>
      </c>
      <c r="DR154" s="19">
        <f>-0.2*16/12</f>
        <v>-0.26666666666666666</v>
      </c>
      <c r="DS154" s="50">
        <f>ABS(DR154)*DU$474</f>
        <v>0.9965910119016026</v>
      </c>
      <c r="DT154" s="13">
        <v>1</v>
      </c>
      <c r="DV154" s="19">
        <f t="shared" si="509"/>
        <v>-38.4</v>
      </c>
      <c r="DW154" s="12">
        <f t="shared" si="485"/>
        <v>12.933333333333332</v>
      </c>
      <c r="DX154" s="72">
        <f t="shared" si="345"/>
        <v>188.17999999999998</v>
      </c>
      <c r="DY154" s="72">
        <f t="shared" si="346"/>
        <v>21.902082533891946</v>
      </c>
      <c r="DZ154" s="11" t="s">
        <v>47</v>
      </c>
      <c r="EA154" s="19">
        <f t="shared" si="581"/>
        <v>4.2428571428571429</v>
      </c>
      <c r="EB154" s="19">
        <f t="shared" si="582"/>
        <v>2.9857142857142853</v>
      </c>
      <c r="EC154" s="72">
        <v>7</v>
      </c>
      <c r="ED154" s="52">
        <f t="shared" si="571"/>
        <v>0.70370370370370361</v>
      </c>
      <c r="EE154" s="19">
        <f>1.2*44/28</f>
        <v>1.8857142857142857</v>
      </c>
      <c r="EF154" s="50">
        <f>ABS(EE154)*EH$474</f>
        <v>2.8156342625739934</v>
      </c>
      <c r="EG154" s="13">
        <v>1</v>
      </c>
      <c r="EI154" s="19">
        <f t="shared" si="558"/>
        <v>-2.3571428571428572</v>
      </c>
      <c r="EJ154" s="12">
        <f t="shared" si="550"/>
        <v>2.9857142857142853</v>
      </c>
      <c r="EK154" s="19">
        <f t="shared" si="551"/>
        <v>10.187988338192417</v>
      </c>
      <c r="EL154" s="19">
        <f t="shared" si="552"/>
        <v>9.2012948428546473</v>
      </c>
      <c r="EM154" s="12" t="s">
        <v>39</v>
      </c>
      <c r="EN154" s="12">
        <v>-18.3</v>
      </c>
      <c r="EO154" s="12">
        <v>5.8</v>
      </c>
      <c r="EP154" s="13">
        <v>12</v>
      </c>
      <c r="EQ154" s="19">
        <f t="shared" si="510"/>
        <v>0.31693989071038248</v>
      </c>
      <c r="ER154" s="12">
        <v>-65.5</v>
      </c>
      <c r="ES154" s="12">
        <v>5</v>
      </c>
      <c r="ET154" s="13">
        <v>7</v>
      </c>
      <c r="EU154" s="19">
        <f t="shared" si="511"/>
        <v>7.6335877862595422E-2</v>
      </c>
      <c r="EV154" s="19">
        <f t="shared" si="572"/>
        <v>-47.2</v>
      </c>
      <c r="EW154" s="12">
        <f t="shared" si="573"/>
        <v>5.5308759012740571</v>
      </c>
      <c r="EX154" s="19">
        <f t="shared" si="574"/>
        <v>6.9192997198879542</v>
      </c>
      <c r="EY154" s="19">
        <f t="shared" si="575"/>
        <v>6.3747619047619049</v>
      </c>
      <c r="FB154" s="12" t="s">
        <v>37</v>
      </c>
      <c r="FC154" s="12" t="s">
        <v>37</v>
      </c>
      <c r="FD154" s="11" t="s">
        <v>37</v>
      </c>
      <c r="FE154" s="12" t="s">
        <v>37</v>
      </c>
      <c r="FF154" s="20" t="s">
        <v>37</v>
      </c>
      <c r="FG154" s="11" t="s">
        <v>37</v>
      </c>
      <c r="FI154" s="12" t="s">
        <v>37</v>
      </c>
      <c r="FJ154" s="12" t="s">
        <v>37</v>
      </c>
      <c r="FK154" s="11" t="s">
        <v>37</v>
      </c>
      <c r="FL154" s="13" t="s">
        <v>37</v>
      </c>
      <c r="FM154" s="11" t="s">
        <v>37</v>
      </c>
      <c r="FN154" s="11" t="s">
        <v>37</v>
      </c>
      <c r="FP154" s="12" t="s">
        <v>37</v>
      </c>
      <c r="FQ154" s="12" t="s">
        <v>37</v>
      </c>
      <c r="FR154" s="11" t="s">
        <v>37</v>
      </c>
      <c r="FS154" s="13" t="s">
        <v>37</v>
      </c>
      <c r="FT154" s="11" t="s">
        <v>37</v>
      </c>
      <c r="FU154" s="11" t="s">
        <v>37</v>
      </c>
      <c r="FW154" s="12" t="s">
        <v>37</v>
      </c>
      <c r="FX154" s="12" t="s">
        <v>37</v>
      </c>
      <c r="FY154" s="11" t="s">
        <v>37</v>
      </c>
      <c r="FZ154" s="13" t="s">
        <v>37</v>
      </c>
      <c r="GA154" s="11" t="s">
        <v>37</v>
      </c>
      <c r="GB154" s="11" t="s">
        <v>37</v>
      </c>
      <c r="GO154" s="12" t="s">
        <v>660</v>
      </c>
      <c r="GP154" s="12" t="s">
        <v>345</v>
      </c>
      <c r="GQ154" s="12">
        <v>26.3</v>
      </c>
      <c r="GR154" s="12">
        <v>0.3</v>
      </c>
      <c r="GS154" s="13">
        <v>8</v>
      </c>
      <c r="GT154" s="19">
        <f t="shared" si="576"/>
        <v>1.1406844106463877E-2</v>
      </c>
      <c r="GU154" s="12">
        <v>27.5</v>
      </c>
      <c r="GV154" s="12">
        <v>0.3</v>
      </c>
      <c r="GW154" s="13">
        <v>5</v>
      </c>
      <c r="GX154" s="19">
        <f t="shared" si="583"/>
        <v>1.0909090909090908E-2</v>
      </c>
      <c r="GY154" s="19">
        <f t="shared" si="577"/>
        <v>4.4617065488806694E-2</v>
      </c>
      <c r="GZ154" s="19">
        <f t="shared" si="578"/>
        <v>4.0066164451208191E-5</v>
      </c>
      <c r="IK154" s="12" t="s">
        <v>37</v>
      </c>
      <c r="IL154" s="12" t="s">
        <v>37</v>
      </c>
      <c r="IM154" s="12" t="s">
        <v>37</v>
      </c>
      <c r="IO154" s="12" t="s">
        <v>37</v>
      </c>
      <c r="IP154" s="12" t="s">
        <v>37</v>
      </c>
      <c r="IQ154" s="12" t="s">
        <v>37</v>
      </c>
      <c r="IW154" s="12" t="s">
        <v>37</v>
      </c>
      <c r="IX154" s="12" t="s">
        <v>37</v>
      </c>
      <c r="IY154" s="13" t="s">
        <v>37</v>
      </c>
      <c r="JA154" s="12" t="s">
        <v>37</v>
      </c>
      <c r="JB154" s="12" t="s">
        <v>37</v>
      </c>
      <c r="JC154" s="13" t="s">
        <v>37</v>
      </c>
      <c r="JH154" s="12" t="s">
        <v>37</v>
      </c>
      <c r="JI154" s="12" t="s">
        <v>37</v>
      </c>
      <c r="JJ154" s="13" t="s">
        <v>37</v>
      </c>
      <c r="JL154" s="12" t="s">
        <v>37</v>
      </c>
      <c r="JM154" s="12" t="s">
        <v>37</v>
      </c>
      <c r="JN154" s="12" t="s">
        <v>37</v>
      </c>
      <c r="JS154" s="12" t="s">
        <v>37</v>
      </c>
      <c r="JT154" s="12" t="s">
        <v>37</v>
      </c>
      <c r="JU154" s="13" t="s">
        <v>37</v>
      </c>
      <c r="JW154" s="12" t="s">
        <v>37</v>
      </c>
      <c r="JX154" s="12" t="s">
        <v>37</v>
      </c>
      <c r="JY154" s="12" t="s">
        <v>37</v>
      </c>
      <c r="KE154" s="11" t="s">
        <v>37</v>
      </c>
      <c r="KF154" s="11" t="s">
        <v>37</v>
      </c>
      <c r="KG154" s="13" t="s">
        <v>37</v>
      </c>
      <c r="KH154" s="11" t="s">
        <v>37</v>
      </c>
      <c r="KI154" s="11" t="s">
        <v>37</v>
      </c>
      <c r="KJ154" s="11" t="s">
        <v>37</v>
      </c>
      <c r="KM154" s="12" t="s">
        <v>37</v>
      </c>
      <c r="KN154" s="12" t="s">
        <v>37</v>
      </c>
      <c r="KO154" s="11" t="s">
        <v>37</v>
      </c>
      <c r="KQ154" s="12" t="s">
        <v>37</v>
      </c>
      <c r="KR154" s="12" t="s">
        <v>37</v>
      </c>
      <c r="KS154" s="13" t="s">
        <v>37</v>
      </c>
      <c r="KX154" s="12" t="s">
        <v>37</v>
      </c>
      <c r="KY154" s="12" t="s">
        <v>37</v>
      </c>
      <c r="KZ154" s="13" t="s">
        <v>37</v>
      </c>
      <c r="LB154" s="12" t="s">
        <v>37</v>
      </c>
      <c r="LC154" s="12" t="s">
        <v>37</v>
      </c>
      <c r="LD154" s="13" t="s">
        <v>37</v>
      </c>
      <c r="LI154" s="12" t="s">
        <v>37</v>
      </c>
      <c r="LJ154" s="12" t="s">
        <v>37</v>
      </c>
      <c r="LK154" s="12" t="s">
        <v>37</v>
      </c>
      <c r="LM154" s="12" t="s">
        <v>37</v>
      </c>
      <c r="LN154" s="12" t="s">
        <v>37</v>
      </c>
      <c r="LO154" s="12" t="s">
        <v>37</v>
      </c>
      <c r="LU154" s="12" t="s">
        <v>37</v>
      </c>
      <c r="LV154" s="12" t="s">
        <v>37</v>
      </c>
      <c r="LW154" s="13" t="s">
        <v>37</v>
      </c>
      <c r="LY154" s="12" t="s">
        <v>37</v>
      </c>
      <c r="LZ154" s="12" t="s">
        <v>37</v>
      </c>
      <c r="MA154" s="12" t="s">
        <v>37</v>
      </c>
      <c r="MF154" s="12" t="s">
        <v>37</v>
      </c>
      <c r="MG154" s="12" t="s">
        <v>37</v>
      </c>
      <c r="MH154" s="12" t="s">
        <v>37</v>
      </c>
      <c r="MJ154" s="12" t="s">
        <v>37</v>
      </c>
      <c r="MK154" s="12" t="s">
        <v>37</v>
      </c>
      <c r="ML154" s="12" t="s">
        <v>37</v>
      </c>
      <c r="MQ154" s="12" t="s">
        <v>37</v>
      </c>
      <c r="MR154" s="12" t="s">
        <v>37</v>
      </c>
      <c r="MS154" s="12" t="s">
        <v>37</v>
      </c>
      <c r="MU154" s="12" t="s">
        <v>37</v>
      </c>
      <c r="MV154" s="12" t="s">
        <v>37</v>
      </c>
      <c r="MW154" s="12" t="s">
        <v>37</v>
      </c>
      <c r="NC154" s="12" t="s">
        <v>37</v>
      </c>
      <c r="ND154" s="12" t="s">
        <v>37</v>
      </c>
      <c r="NE154" s="13" t="s">
        <v>37</v>
      </c>
      <c r="NG154" s="12" t="s">
        <v>37</v>
      </c>
      <c r="NH154" s="12" t="s">
        <v>37</v>
      </c>
      <c r="NI154" s="13" t="s">
        <v>37</v>
      </c>
      <c r="NO154" s="12" t="s">
        <v>37</v>
      </c>
      <c r="NP154" s="12" t="s">
        <v>37</v>
      </c>
      <c r="NQ154" s="13" t="s">
        <v>37</v>
      </c>
      <c r="NS154" s="12" t="s">
        <v>37</v>
      </c>
      <c r="NT154" s="12" t="s">
        <v>37</v>
      </c>
      <c r="NU154" s="13" t="s">
        <v>37</v>
      </c>
      <c r="OA154" s="12" t="s">
        <v>37</v>
      </c>
      <c r="OB154" s="12" t="s">
        <v>37</v>
      </c>
      <c r="OC154" s="13" t="s">
        <v>37</v>
      </c>
      <c r="OE154" s="12" t="s">
        <v>37</v>
      </c>
      <c r="OF154" s="12" t="s">
        <v>37</v>
      </c>
      <c r="OG154" s="13" t="s">
        <v>37</v>
      </c>
      <c r="OM154" s="12" t="s">
        <v>37</v>
      </c>
      <c r="ON154" s="12" t="s">
        <v>37</v>
      </c>
      <c r="OO154" s="12" t="s">
        <v>37</v>
      </c>
      <c r="OP154" s="12" t="s">
        <v>37</v>
      </c>
      <c r="OQ154" s="12" t="s">
        <v>37</v>
      </c>
      <c r="OR154" s="12" t="s">
        <v>37</v>
      </c>
      <c r="OS154" s="12"/>
      <c r="OT154" s="12"/>
      <c r="OW154" s="12" t="s">
        <v>37</v>
      </c>
      <c r="OX154" s="12" t="s">
        <v>37</v>
      </c>
      <c r="OY154" s="13" t="s">
        <v>37</v>
      </c>
      <c r="OZ154" s="12" t="s">
        <v>37</v>
      </c>
      <c r="PA154" s="12" t="s">
        <v>37</v>
      </c>
      <c r="PB154" s="13" t="s">
        <v>37</v>
      </c>
      <c r="PG154" s="11" t="s">
        <v>37</v>
      </c>
      <c r="PH154" s="11" t="s">
        <v>37</v>
      </c>
      <c r="PI154" s="13" t="s">
        <v>37</v>
      </c>
      <c r="PJ154" s="11" t="s">
        <v>37</v>
      </c>
      <c r="PK154" s="11" t="s">
        <v>37</v>
      </c>
      <c r="PL154" s="13" t="s">
        <v>37</v>
      </c>
      <c r="PQ154" s="12" t="s">
        <v>37</v>
      </c>
      <c r="PR154" s="12" t="s">
        <v>37</v>
      </c>
      <c r="PS154" s="12" t="s">
        <v>37</v>
      </c>
      <c r="PT154" s="12" t="s">
        <v>37</v>
      </c>
      <c r="PU154" s="12" t="s">
        <v>37</v>
      </c>
      <c r="PV154" s="12" t="s">
        <v>37</v>
      </c>
      <c r="PW154" s="12"/>
      <c r="PX154" s="12"/>
      <c r="PZ154" s="12" t="s">
        <v>37</v>
      </c>
      <c r="QA154" s="12" t="s">
        <v>37</v>
      </c>
      <c r="QB154" s="11" t="s">
        <v>37</v>
      </c>
      <c r="QD154" s="12" t="s">
        <v>37</v>
      </c>
      <c r="QE154" s="12" t="s">
        <v>37</v>
      </c>
      <c r="QF154" s="12" t="s">
        <v>37</v>
      </c>
      <c r="QK154" s="12" t="s">
        <v>37</v>
      </c>
      <c r="QL154" s="12" t="s">
        <v>37</v>
      </c>
      <c r="QM154" s="12" t="s">
        <v>37</v>
      </c>
      <c r="QN154" s="12" t="s">
        <v>37</v>
      </c>
      <c r="QO154" s="12" t="s">
        <v>37</v>
      </c>
      <c r="QP154" s="12" t="s">
        <v>37</v>
      </c>
      <c r="QQ154" s="12"/>
      <c r="QR154" s="12"/>
      <c r="QU154" s="12" t="s">
        <v>37</v>
      </c>
      <c r="QV154" s="12" t="s">
        <v>37</v>
      </c>
      <c r="QW154" s="12" t="s">
        <v>37</v>
      </c>
      <c r="QX154" s="12" t="s">
        <v>37</v>
      </c>
      <c r="QY154" s="12" t="s">
        <v>37</v>
      </c>
      <c r="QZ154" s="12" t="s">
        <v>37</v>
      </c>
      <c r="RC154" s="12" t="s">
        <v>37</v>
      </c>
      <c r="RD154" s="12" t="s">
        <v>37</v>
      </c>
      <c r="RE154" s="13" t="s">
        <v>37</v>
      </c>
      <c r="RF154" s="12" t="s">
        <v>37</v>
      </c>
      <c r="RG154" s="12" t="s">
        <v>37</v>
      </c>
      <c r="RH154" s="13" t="s">
        <v>37</v>
      </c>
      <c r="RK154" s="12" t="s">
        <v>37</v>
      </c>
      <c r="RL154" s="12" t="s">
        <v>37</v>
      </c>
      <c r="RM154" s="11" t="s">
        <v>37</v>
      </c>
      <c r="RN154" s="12" t="s">
        <v>37</v>
      </c>
      <c r="RO154" s="12" t="s">
        <v>37</v>
      </c>
      <c r="RP154" s="11" t="s">
        <v>37</v>
      </c>
      <c r="RS154" s="12" t="s">
        <v>37</v>
      </c>
      <c r="RT154" s="12" t="s">
        <v>37</v>
      </c>
      <c r="RU154" s="12" t="s">
        <v>37</v>
      </c>
      <c r="RV154" s="12" t="s">
        <v>37</v>
      </c>
      <c r="RW154" s="12" t="s">
        <v>37</v>
      </c>
      <c r="RX154" s="12" t="s">
        <v>37</v>
      </c>
      <c r="SA154" s="12" t="s">
        <v>37</v>
      </c>
      <c r="SB154" s="12" t="s">
        <v>37</v>
      </c>
      <c r="SC154" s="12" t="s">
        <v>37</v>
      </c>
      <c r="SD154" s="12" t="s">
        <v>37</v>
      </c>
      <c r="SE154" s="12" t="s">
        <v>37</v>
      </c>
      <c r="SF154" s="12" t="s">
        <v>37</v>
      </c>
      <c r="SI154" s="12" t="s">
        <v>37</v>
      </c>
      <c r="SJ154" s="12" t="s">
        <v>37</v>
      </c>
      <c r="SK154" s="13" t="s">
        <v>37</v>
      </c>
      <c r="SM154" s="12" t="s">
        <v>37</v>
      </c>
      <c r="SN154" s="12" t="s">
        <v>37</v>
      </c>
      <c r="SO154" s="13" t="s">
        <v>37</v>
      </c>
      <c r="SU154" s="12" t="s">
        <v>37</v>
      </c>
      <c r="SV154" s="12" t="s">
        <v>37</v>
      </c>
      <c r="SW154" s="11" t="s">
        <v>37</v>
      </c>
      <c r="SX154" s="12" t="s">
        <v>37</v>
      </c>
      <c r="SY154" s="12" t="s">
        <v>37</v>
      </c>
      <c r="SZ154" s="11" t="s">
        <v>37</v>
      </c>
      <c r="TE154" s="12" t="s">
        <v>37</v>
      </c>
      <c r="TF154" s="12" t="s">
        <v>37</v>
      </c>
      <c r="TG154" s="11" t="s">
        <v>37</v>
      </c>
      <c r="TH154" s="12" t="s">
        <v>37</v>
      </c>
      <c r="TI154" s="12" t="s">
        <v>37</v>
      </c>
      <c r="TJ154" s="11" t="s">
        <v>37</v>
      </c>
      <c r="TO154" s="12" t="s">
        <v>37</v>
      </c>
      <c r="TP154" s="12" t="s">
        <v>37</v>
      </c>
      <c r="TQ154" s="11" t="s">
        <v>37</v>
      </c>
      <c r="TR154" s="12" t="s">
        <v>37</v>
      </c>
      <c r="TS154" s="12" t="s">
        <v>37</v>
      </c>
      <c r="TT154" s="11" t="s">
        <v>37</v>
      </c>
      <c r="TY154" s="12" t="s">
        <v>37</v>
      </c>
      <c r="TZ154" s="12" t="s">
        <v>37</v>
      </c>
      <c r="UA154" s="12" t="s">
        <v>37</v>
      </c>
      <c r="UB154" s="12" t="s">
        <v>37</v>
      </c>
      <c r="UC154" s="12" t="s">
        <v>37</v>
      </c>
      <c r="UD154" s="12" t="s">
        <v>37</v>
      </c>
      <c r="UE154" s="12"/>
      <c r="UF154" s="12"/>
      <c r="UI154" s="12" t="s">
        <v>37</v>
      </c>
      <c r="UJ154" s="12" t="s">
        <v>37</v>
      </c>
      <c r="UK154" s="12" t="s">
        <v>37</v>
      </c>
      <c r="UL154" s="12" t="s">
        <v>37</v>
      </c>
      <c r="UM154" s="12" t="s">
        <v>37</v>
      </c>
      <c r="UN154" s="12" t="s">
        <v>37</v>
      </c>
      <c r="UO154" s="12"/>
      <c r="UP154" s="12"/>
      <c r="UR154" s="12" t="s">
        <v>37</v>
      </c>
      <c r="US154" s="12" t="s">
        <v>37</v>
      </c>
      <c r="UT154" s="12" t="s">
        <v>37</v>
      </c>
      <c r="UU154" s="12" t="s">
        <v>37</v>
      </c>
      <c r="UV154" s="12" t="s">
        <v>37</v>
      </c>
      <c r="UW154" s="12" t="s">
        <v>37</v>
      </c>
      <c r="UX154" s="12"/>
      <c r="UY154" s="12"/>
      <c r="VB154" s="12" t="s">
        <v>37</v>
      </c>
      <c r="VC154" s="12" t="s">
        <v>37</v>
      </c>
      <c r="VD154" s="12" t="s">
        <v>37</v>
      </c>
      <c r="VE154" s="12" t="s">
        <v>37</v>
      </c>
      <c r="VF154" s="12" t="s">
        <v>37</v>
      </c>
      <c r="VG154" s="12" t="s">
        <v>37</v>
      </c>
      <c r="VI154" s="12" t="s">
        <v>37</v>
      </c>
      <c r="VJ154" s="12" t="s">
        <v>37</v>
      </c>
      <c r="VK154" s="12" t="s">
        <v>37</v>
      </c>
      <c r="VL154" s="12" t="s">
        <v>37</v>
      </c>
      <c r="VM154" s="12" t="s">
        <v>37</v>
      </c>
      <c r="VN154" s="12" t="s">
        <v>37</v>
      </c>
      <c r="VQ154" s="13" t="s">
        <v>37</v>
      </c>
      <c r="VR154" s="13" t="s">
        <v>37</v>
      </c>
      <c r="VS154" s="13" t="s">
        <v>37</v>
      </c>
      <c r="VT154" s="13" t="s">
        <v>37</v>
      </c>
      <c r="VU154" s="13" t="s">
        <v>37</v>
      </c>
      <c r="VV154" s="13" t="s">
        <v>37</v>
      </c>
      <c r="WA154" s="13" t="s">
        <v>37</v>
      </c>
      <c r="WB154" s="13" t="s">
        <v>37</v>
      </c>
      <c r="WC154" s="13" t="s">
        <v>37</v>
      </c>
      <c r="WD154" s="13" t="s">
        <v>37</v>
      </c>
      <c r="WE154" s="13" t="s">
        <v>37</v>
      </c>
      <c r="WF154" s="13" t="s">
        <v>37</v>
      </c>
    </row>
    <row r="155" spans="1:604" ht="18" customHeight="1" x14ac:dyDescent="0.4">
      <c r="A155" s="11">
        <v>36</v>
      </c>
      <c r="B155" s="16" t="s">
        <v>240</v>
      </c>
      <c r="C155" s="12" t="s">
        <v>26</v>
      </c>
      <c r="D155" s="12" t="s">
        <v>119</v>
      </c>
      <c r="E155" s="40" t="s">
        <v>37</v>
      </c>
      <c r="F155" s="14">
        <v>0</v>
      </c>
      <c r="G155" s="14">
        <v>0</v>
      </c>
      <c r="H155" s="12" t="s">
        <v>88</v>
      </c>
      <c r="I155" s="29">
        <v>64.082999999999998</v>
      </c>
      <c r="J155" s="29">
        <v>18.167000000000002</v>
      </c>
      <c r="K155" s="12" t="s">
        <v>732</v>
      </c>
      <c r="L155" s="12" t="s">
        <v>733</v>
      </c>
      <c r="M155" s="12" t="s">
        <v>37</v>
      </c>
      <c r="N155" s="14">
        <v>26.3</v>
      </c>
      <c r="O155" s="14" t="s">
        <v>37</v>
      </c>
      <c r="P155" s="14" t="s">
        <v>89</v>
      </c>
      <c r="Q155" s="75" t="s">
        <v>326</v>
      </c>
      <c r="R155" s="11" t="s">
        <v>999</v>
      </c>
      <c r="S155" s="12" t="s">
        <v>105</v>
      </c>
      <c r="T155" s="12" t="s">
        <v>141</v>
      </c>
      <c r="U155" s="12" t="s">
        <v>158</v>
      </c>
      <c r="V155" s="12" t="s">
        <v>37</v>
      </c>
      <c r="W155" s="23" t="s">
        <v>49</v>
      </c>
      <c r="X155" s="12" t="s">
        <v>49</v>
      </c>
      <c r="Y155" s="12" t="s">
        <v>37</v>
      </c>
      <c r="Z155" s="12" t="s">
        <v>37</v>
      </c>
      <c r="AB155" s="12" t="s">
        <v>37</v>
      </c>
      <c r="AE155" s="12" t="s">
        <v>37</v>
      </c>
      <c r="AH155" s="12" t="s">
        <v>37</v>
      </c>
      <c r="AK155" s="12" t="s">
        <v>37</v>
      </c>
      <c r="AL155" s="32" t="s">
        <v>37</v>
      </c>
      <c r="AM155" s="13" t="s">
        <v>344</v>
      </c>
      <c r="AO155" s="12" t="s">
        <v>37</v>
      </c>
      <c r="AP155" s="12" t="s">
        <v>37</v>
      </c>
      <c r="AQ155" s="12" t="s">
        <v>37</v>
      </c>
      <c r="AT155" s="12" t="s">
        <v>326</v>
      </c>
      <c r="AU155" s="12" t="s">
        <v>326</v>
      </c>
      <c r="AV155" s="13" t="s">
        <v>326</v>
      </c>
      <c r="AX155" s="12" t="s">
        <v>326</v>
      </c>
      <c r="AY155" s="12" t="s">
        <v>326</v>
      </c>
      <c r="AZ155" s="13" t="s">
        <v>326</v>
      </c>
      <c r="BE155" s="12" t="s">
        <v>326</v>
      </c>
      <c r="BF155" s="12" t="s">
        <v>326</v>
      </c>
      <c r="BG155" s="12" t="s">
        <v>326</v>
      </c>
      <c r="BI155" s="12" t="s">
        <v>326</v>
      </c>
      <c r="BJ155" s="12" t="s">
        <v>326</v>
      </c>
      <c r="BK155" s="12" t="s">
        <v>326</v>
      </c>
      <c r="BP155" s="12" t="s">
        <v>37</v>
      </c>
      <c r="BQ155" s="12" t="s">
        <v>37</v>
      </c>
      <c r="BR155" s="13" t="s">
        <v>37</v>
      </c>
      <c r="BT155" s="12" t="s">
        <v>37</v>
      </c>
      <c r="BU155" s="12" t="s">
        <v>37</v>
      </c>
      <c r="BV155" s="12" t="s">
        <v>37</v>
      </c>
      <c r="CA155" s="12" t="s">
        <v>37</v>
      </c>
      <c r="CB155" s="12" t="s">
        <v>37</v>
      </c>
      <c r="CC155" s="13" t="s">
        <v>37</v>
      </c>
      <c r="CE155" s="12" t="s">
        <v>37</v>
      </c>
      <c r="CF155" s="12" t="s">
        <v>37</v>
      </c>
      <c r="CG155" s="13" t="s">
        <v>37</v>
      </c>
      <c r="CI155" s="52"/>
      <c r="CJ155" s="52"/>
      <c r="CK155" s="73"/>
      <c r="CL155" s="73"/>
      <c r="CN155" s="12" t="s">
        <v>37</v>
      </c>
      <c r="CO155" s="12" t="s">
        <v>37</v>
      </c>
      <c r="CP155" s="13" t="s">
        <v>37</v>
      </c>
      <c r="CR155" s="12" t="s">
        <v>37</v>
      </c>
      <c r="CS155" s="12" t="s">
        <v>37</v>
      </c>
      <c r="CT155" s="13" t="s">
        <v>37</v>
      </c>
      <c r="CV155" s="52"/>
      <c r="CW155" s="52"/>
      <c r="CX155" s="73"/>
      <c r="CY155" s="73"/>
      <c r="DA155" s="12" t="s">
        <v>37</v>
      </c>
      <c r="DB155" s="12" t="s">
        <v>37</v>
      </c>
      <c r="DC155" s="13" t="s">
        <v>37</v>
      </c>
      <c r="DE155" s="12" t="s">
        <v>37</v>
      </c>
      <c r="DF155" s="12" t="s">
        <v>37</v>
      </c>
      <c r="DG155" s="13" t="s">
        <v>37</v>
      </c>
      <c r="DI155" s="52"/>
      <c r="DJ155" s="52"/>
      <c r="DK155" s="73"/>
      <c r="DL155" s="73"/>
      <c r="DM155" s="12" t="s">
        <v>47</v>
      </c>
      <c r="DN155" s="19">
        <v>38.133333333333333</v>
      </c>
      <c r="DO155" s="12">
        <v>12.933333333333332</v>
      </c>
      <c r="DP155" s="13">
        <v>8</v>
      </c>
      <c r="DQ155" s="19">
        <f t="shared" si="579"/>
        <v>0.33916083916083911</v>
      </c>
      <c r="DR155" s="19">
        <f>2*16/12</f>
        <v>2.6666666666666665</v>
      </c>
      <c r="DS155" s="12">
        <f>2.7*16/12</f>
        <v>3.6</v>
      </c>
      <c r="DT155" s="13">
        <v>5</v>
      </c>
      <c r="DU155" s="19">
        <f t="shared" si="580"/>
        <v>1.35</v>
      </c>
      <c r="DV155" s="19">
        <f t="shared" si="509"/>
        <v>-35.466666666666669</v>
      </c>
      <c r="DW155" s="12">
        <f t="shared" si="485"/>
        <v>10.543148476521601</v>
      </c>
      <c r="DX155" s="72">
        <f t="shared" si="345"/>
        <v>36.126343434343426</v>
      </c>
      <c r="DY155" s="72">
        <f t="shared" si="346"/>
        <v>23.500888888888884</v>
      </c>
      <c r="DZ155" s="11" t="s">
        <v>47</v>
      </c>
      <c r="EA155" s="19">
        <f t="shared" si="581"/>
        <v>4.2428571428571429</v>
      </c>
      <c r="EB155" s="19">
        <f t="shared" si="582"/>
        <v>2.9857142857142853</v>
      </c>
      <c r="EC155" s="72">
        <v>7</v>
      </c>
      <c r="ED155" s="52">
        <f t="shared" si="571"/>
        <v>0.70370370370370361</v>
      </c>
      <c r="EE155" s="19" t="s">
        <v>37</v>
      </c>
      <c r="EF155" s="19" t="s">
        <v>37</v>
      </c>
      <c r="EG155" s="12" t="s">
        <v>37</v>
      </c>
      <c r="EM155" s="12" t="s">
        <v>39</v>
      </c>
      <c r="EN155" s="12">
        <v>-18.3</v>
      </c>
      <c r="EO155" s="12">
        <v>5.8</v>
      </c>
      <c r="EP155" s="13">
        <v>12</v>
      </c>
      <c r="EQ155" s="19">
        <f t="shared" si="510"/>
        <v>0.31693989071038248</v>
      </c>
      <c r="ER155" s="12">
        <v>-78.599999999999994</v>
      </c>
      <c r="ES155" s="12">
        <v>7.5</v>
      </c>
      <c r="ET155" s="13">
        <v>8</v>
      </c>
      <c r="EU155" s="19">
        <f t="shared" si="511"/>
        <v>9.5419847328244281E-2</v>
      </c>
      <c r="EV155" s="19">
        <f t="shared" si="572"/>
        <v>-60.3</v>
      </c>
      <c r="EW155" s="12">
        <f t="shared" si="573"/>
        <v>6.5140446558016301</v>
      </c>
      <c r="EX155" s="19">
        <f t="shared" si="574"/>
        <v>8.8401620370370377</v>
      </c>
      <c r="EY155" s="19">
        <f t="shared" si="575"/>
        <v>9.8345833333333328</v>
      </c>
      <c r="FB155" s="12" t="s">
        <v>37</v>
      </c>
      <c r="FC155" s="12" t="s">
        <v>37</v>
      </c>
      <c r="FD155" s="11" t="s">
        <v>37</v>
      </c>
      <c r="FE155" s="12" t="s">
        <v>37</v>
      </c>
      <c r="FF155" s="20" t="s">
        <v>37</v>
      </c>
      <c r="FG155" s="11" t="s">
        <v>37</v>
      </c>
      <c r="FI155" s="12" t="s">
        <v>37</v>
      </c>
      <c r="FJ155" s="12" t="s">
        <v>37</v>
      </c>
      <c r="FK155" s="11" t="s">
        <v>37</v>
      </c>
      <c r="FL155" s="13" t="s">
        <v>37</v>
      </c>
      <c r="FM155" s="11" t="s">
        <v>37</v>
      </c>
      <c r="FN155" s="11" t="s">
        <v>37</v>
      </c>
      <c r="FP155" s="12" t="s">
        <v>37</v>
      </c>
      <c r="FQ155" s="12" t="s">
        <v>37</v>
      </c>
      <c r="FR155" s="11" t="s">
        <v>37</v>
      </c>
      <c r="FS155" s="13" t="s">
        <v>37</v>
      </c>
      <c r="FT155" s="11" t="s">
        <v>37</v>
      </c>
      <c r="FU155" s="11" t="s">
        <v>37</v>
      </c>
      <c r="FW155" s="12" t="s">
        <v>37</v>
      </c>
      <c r="FX155" s="12" t="s">
        <v>37</v>
      </c>
      <c r="FY155" s="11" t="s">
        <v>37</v>
      </c>
      <c r="FZ155" s="13" t="s">
        <v>37</v>
      </c>
      <c r="GA155" s="11" t="s">
        <v>37</v>
      </c>
      <c r="GB155" s="11" t="s">
        <v>37</v>
      </c>
      <c r="GO155" s="12" t="s">
        <v>660</v>
      </c>
      <c r="GP155" s="12" t="s">
        <v>345</v>
      </c>
      <c r="GQ155" s="12">
        <v>26.3</v>
      </c>
      <c r="GR155" s="12">
        <v>0.3</v>
      </c>
      <c r="GS155" s="13">
        <v>8</v>
      </c>
      <c r="GT155" s="19">
        <f t="shared" si="576"/>
        <v>1.1406844106463877E-2</v>
      </c>
      <c r="GU155" s="12">
        <v>30.5</v>
      </c>
      <c r="GV155" s="12">
        <v>0.7</v>
      </c>
      <c r="GW155" s="13">
        <v>8</v>
      </c>
      <c r="GX155" s="19">
        <f t="shared" si="583"/>
        <v>2.2950819672131147E-2</v>
      </c>
      <c r="GY155" s="19">
        <f t="shared" si="577"/>
        <v>0.1481577444296471</v>
      </c>
      <c r="GZ155" s="19">
        <f t="shared" si="578"/>
        <v>8.2107027011481463E-5</v>
      </c>
      <c r="IK155" s="12" t="s">
        <v>37</v>
      </c>
      <c r="IL155" s="12" t="s">
        <v>37</v>
      </c>
      <c r="IM155" s="12" t="s">
        <v>37</v>
      </c>
      <c r="IO155" s="12" t="s">
        <v>37</v>
      </c>
      <c r="IP155" s="12" t="s">
        <v>37</v>
      </c>
      <c r="IQ155" s="12" t="s">
        <v>37</v>
      </c>
      <c r="IW155" s="12" t="s">
        <v>37</v>
      </c>
      <c r="IX155" s="12" t="s">
        <v>37</v>
      </c>
      <c r="IY155" s="13" t="s">
        <v>37</v>
      </c>
      <c r="JA155" s="12" t="s">
        <v>37</v>
      </c>
      <c r="JB155" s="12" t="s">
        <v>37</v>
      </c>
      <c r="JC155" s="13" t="s">
        <v>37</v>
      </c>
      <c r="JH155" s="12" t="s">
        <v>37</v>
      </c>
      <c r="JI155" s="12" t="s">
        <v>37</v>
      </c>
      <c r="JJ155" s="13" t="s">
        <v>37</v>
      </c>
      <c r="JL155" s="12" t="s">
        <v>37</v>
      </c>
      <c r="JM155" s="12" t="s">
        <v>37</v>
      </c>
      <c r="JN155" s="12" t="s">
        <v>37</v>
      </c>
      <c r="JS155" s="12" t="s">
        <v>37</v>
      </c>
      <c r="JT155" s="12" t="s">
        <v>37</v>
      </c>
      <c r="JU155" s="13" t="s">
        <v>37</v>
      </c>
      <c r="JW155" s="12" t="s">
        <v>37</v>
      </c>
      <c r="JX155" s="12" t="s">
        <v>37</v>
      </c>
      <c r="JY155" s="12" t="s">
        <v>37</v>
      </c>
      <c r="KE155" s="11" t="s">
        <v>37</v>
      </c>
      <c r="KF155" s="11" t="s">
        <v>37</v>
      </c>
      <c r="KG155" s="13" t="s">
        <v>37</v>
      </c>
      <c r="KH155" s="11" t="s">
        <v>37</v>
      </c>
      <c r="KI155" s="11" t="s">
        <v>37</v>
      </c>
      <c r="KJ155" s="11" t="s">
        <v>37</v>
      </c>
      <c r="KM155" s="12" t="s">
        <v>37</v>
      </c>
      <c r="KN155" s="12" t="s">
        <v>37</v>
      </c>
      <c r="KO155" s="11" t="s">
        <v>37</v>
      </c>
      <c r="KQ155" s="12" t="s">
        <v>37</v>
      </c>
      <c r="KR155" s="12" t="s">
        <v>37</v>
      </c>
      <c r="KS155" s="13" t="s">
        <v>37</v>
      </c>
      <c r="KX155" s="12" t="s">
        <v>37</v>
      </c>
      <c r="KY155" s="12" t="s">
        <v>37</v>
      </c>
      <c r="KZ155" s="13" t="s">
        <v>37</v>
      </c>
      <c r="LB155" s="12" t="s">
        <v>37</v>
      </c>
      <c r="LC155" s="12" t="s">
        <v>37</v>
      </c>
      <c r="LD155" s="13" t="s">
        <v>37</v>
      </c>
      <c r="LI155" s="12" t="s">
        <v>37</v>
      </c>
      <c r="LJ155" s="12" t="s">
        <v>37</v>
      </c>
      <c r="LK155" s="12" t="s">
        <v>37</v>
      </c>
      <c r="LM155" s="12" t="s">
        <v>37</v>
      </c>
      <c r="LN155" s="12" t="s">
        <v>37</v>
      </c>
      <c r="LO155" s="12" t="s">
        <v>37</v>
      </c>
      <c r="LU155" s="12" t="s">
        <v>37</v>
      </c>
      <c r="LV155" s="12" t="s">
        <v>37</v>
      </c>
      <c r="LW155" s="13" t="s">
        <v>37</v>
      </c>
      <c r="LY155" s="12" t="s">
        <v>37</v>
      </c>
      <c r="LZ155" s="12" t="s">
        <v>37</v>
      </c>
      <c r="MA155" s="12" t="s">
        <v>37</v>
      </c>
      <c r="MF155" s="12" t="s">
        <v>37</v>
      </c>
      <c r="MG155" s="12" t="s">
        <v>37</v>
      </c>
      <c r="MH155" s="12" t="s">
        <v>37</v>
      </c>
      <c r="MJ155" s="12" t="s">
        <v>37</v>
      </c>
      <c r="MK155" s="12" t="s">
        <v>37</v>
      </c>
      <c r="ML155" s="12" t="s">
        <v>37</v>
      </c>
      <c r="MQ155" s="12" t="s">
        <v>37</v>
      </c>
      <c r="MR155" s="12" t="s">
        <v>37</v>
      </c>
      <c r="MS155" s="12" t="s">
        <v>37</v>
      </c>
      <c r="MU155" s="12" t="s">
        <v>37</v>
      </c>
      <c r="MV155" s="12" t="s">
        <v>37</v>
      </c>
      <c r="MW155" s="12" t="s">
        <v>37</v>
      </c>
      <c r="NC155" s="12" t="s">
        <v>37</v>
      </c>
      <c r="ND155" s="12" t="s">
        <v>37</v>
      </c>
      <c r="NE155" s="13" t="s">
        <v>37</v>
      </c>
      <c r="NG155" s="12" t="s">
        <v>37</v>
      </c>
      <c r="NH155" s="12" t="s">
        <v>37</v>
      </c>
      <c r="NI155" s="13" t="s">
        <v>37</v>
      </c>
      <c r="NO155" s="12" t="s">
        <v>37</v>
      </c>
      <c r="NP155" s="12" t="s">
        <v>37</v>
      </c>
      <c r="NQ155" s="13" t="s">
        <v>37</v>
      </c>
      <c r="NS155" s="12" t="s">
        <v>37</v>
      </c>
      <c r="NT155" s="12" t="s">
        <v>37</v>
      </c>
      <c r="NU155" s="13" t="s">
        <v>37</v>
      </c>
      <c r="OA155" s="12" t="s">
        <v>37</v>
      </c>
      <c r="OB155" s="12" t="s">
        <v>37</v>
      </c>
      <c r="OC155" s="13" t="s">
        <v>37</v>
      </c>
      <c r="OE155" s="12" t="s">
        <v>37</v>
      </c>
      <c r="OF155" s="12" t="s">
        <v>37</v>
      </c>
      <c r="OG155" s="13" t="s">
        <v>37</v>
      </c>
      <c r="OM155" s="12" t="s">
        <v>37</v>
      </c>
      <c r="ON155" s="12" t="s">
        <v>37</v>
      </c>
      <c r="OO155" s="12" t="s">
        <v>37</v>
      </c>
      <c r="OP155" s="12" t="s">
        <v>37</v>
      </c>
      <c r="OQ155" s="12" t="s">
        <v>37</v>
      </c>
      <c r="OR155" s="12" t="s">
        <v>37</v>
      </c>
      <c r="OS155" s="12"/>
      <c r="OT155" s="12"/>
      <c r="OW155" s="12" t="s">
        <v>37</v>
      </c>
      <c r="OX155" s="12" t="s">
        <v>37</v>
      </c>
      <c r="OY155" s="13" t="s">
        <v>37</v>
      </c>
      <c r="OZ155" s="12" t="s">
        <v>37</v>
      </c>
      <c r="PA155" s="12" t="s">
        <v>37</v>
      </c>
      <c r="PB155" s="13" t="s">
        <v>37</v>
      </c>
      <c r="PG155" s="11" t="s">
        <v>37</v>
      </c>
      <c r="PH155" s="11" t="s">
        <v>37</v>
      </c>
      <c r="PI155" s="13" t="s">
        <v>37</v>
      </c>
      <c r="PJ155" s="11" t="s">
        <v>37</v>
      </c>
      <c r="PK155" s="11" t="s">
        <v>37</v>
      </c>
      <c r="PL155" s="13" t="s">
        <v>37</v>
      </c>
      <c r="PQ155" s="12" t="s">
        <v>37</v>
      </c>
      <c r="PR155" s="12" t="s">
        <v>37</v>
      </c>
      <c r="PS155" s="12" t="s">
        <v>37</v>
      </c>
      <c r="PT155" s="12" t="s">
        <v>37</v>
      </c>
      <c r="PU155" s="12" t="s">
        <v>37</v>
      </c>
      <c r="PV155" s="12" t="s">
        <v>37</v>
      </c>
      <c r="PW155" s="12"/>
      <c r="PX155" s="12"/>
      <c r="PZ155" s="12" t="s">
        <v>37</v>
      </c>
      <c r="QA155" s="12" t="s">
        <v>37</v>
      </c>
      <c r="QB155" s="11" t="s">
        <v>37</v>
      </c>
      <c r="QD155" s="12" t="s">
        <v>37</v>
      </c>
      <c r="QE155" s="12" t="s">
        <v>37</v>
      </c>
      <c r="QF155" s="12" t="s">
        <v>37</v>
      </c>
      <c r="QK155" s="12" t="s">
        <v>37</v>
      </c>
      <c r="QL155" s="12" t="s">
        <v>37</v>
      </c>
      <c r="QM155" s="12" t="s">
        <v>37</v>
      </c>
      <c r="QN155" s="12" t="s">
        <v>37</v>
      </c>
      <c r="QO155" s="12" t="s">
        <v>37</v>
      </c>
      <c r="QP155" s="12" t="s">
        <v>37</v>
      </c>
      <c r="QQ155" s="12"/>
      <c r="QR155" s="12"/>
      <c r="QU155" s="12" t="s">
        <v>37</v>
      </c>
      <c r="QV155" s="12" t="s">
        <v>37</v>
      </c>
      <c r="QW155" s="12" t="s">
        <v>37</v>
      </c>
      <c r="QX155" s="12" t="s">
        <v>37</v>
      </c>
      <c r="QY155" s="12" t="s">
        <v>37</v>
      </c>
      <c r="QZ155" s="12" t="s">
        <v>37</v>
      </c>
      <c r="RC155" s="12" t="s">
        <v>37</v>
      </c>
      <c r="RD155" s="12" t="s">
        <v>37</v>
      </c>
      <c r="RE155" s="13" t="s">
        <v>37</v>
      </c>
      <c r="RF155" s="12" t="s">
        <v>37</v>
      </c>
      <c r="RG155" s="12" t="s">
        <v>37</v>
      </c>
      <c r="RH155" s="13" t="s">
        <v>37</v>
      </c>
      <c r="RK155" s="12" t="s">
        <v>37</v>
      </c>
      <c r="RL155" s="12" t="s">
        <v>37</v>
      </c>
      <c r="RM155" s="11" t="s">
        <v>37</v>
      </c>
      <c r="RN155" s="12" t="s">
        <v>37</v>
      </c>
      <c r="RO155" s="12" t="s">
        <v>37</v>
      </c>
      <c r="RP155" s="11" t="s">
        <v>37</v>
      </c>
      <c r="RS155" s="12" t="s">
        <v>37</v>
      </c>
      <c r="RT155" s="12" t="s">
        <v>37</v>
      </c>
      <c r="RU155" s="12" t="s">
        <v>37</v>
      </c>
      <c r="RV155" s="12" t="s">
        <v>37</v>
      </c>
      <c r="RW155" s="12" t="s">
        <v>37</v>
      </c>
      <c r="RX155" s="12" t="s">
        <v>37</v>
      </c>
      <c r="SA155" s="12" t="s">
        <v>37</v>
      </c>
      <c r="SB155" s="12" t="s">
        <v>37</v>
      </c>
      <c r="SC155" s="12" t="s">
        <v>37</v>
      </c>
      <c r="SD155" s="12" t="s">
        <v>37</v>
      </c>
      <c r="SE155" s="12" t="s">
        <v>37</v>
      </c>
      <c r="SF155" s="12" t="s">
        <v>37</v>
      </c>
      <c r="SI155" s="12" t="s">
        <v>37</v>
      </c>
      <c r="SJ155" s="12" t="s">
        <v>37</v>
      </c>
      <c r="SK155" s="13" t="s">
        <v>37</v>
      </c>
      <c r="SM155" s="12" t="s">
        <v>37</v>
      </c>
      <c r="SN155" s="12" t="s">
        <v>37</v>
      </c>
      <c r="SO155" s="13" t="s">
        <v>37</v>
      </c>
      <c r="SU155" s="12" t="s">
        <v>37</v>
      </c>
      <c r="SV155" s="12" t="s">
        <v>37</v>
      </c>
      <c r="SW155" s="11" t="s">
        <v>37</v>
      </c>
      <c r="SX155" s="12" t="s">
        <v>37</v>
      </c>
      <c r="SY155" s="12" t="s">
        <v>37</v>
      </c>
      <c r="SZ155" s="11" t="s">
        <v>37</v>
      </c>
      <c r="TE155" s="12" t="s">
        <v>37</v>
      </c>
      <c r="TF155" s="12" t="s">
        <v>37</v>
      </c>
      <c r="TG155" s="11" t="s">
        <v>37</v>
      </c>
      <c r="TH155" s="12" t="s">
        <v>37</v>
      </c>
      <c r="TI155" s="12" t="s">
        <v>37</v>
      </c>
      <c r="TJ155" s="11" t="s">
        <v>37</v>
      </c>
      <c r="TO155" s="12" t="s">
        <v>37</v>
      </c>
      <c r="TP155" s="12" t="s">
        <v>37</v>
      </c>
      <c r="TQ155" s="11" t="s">
        <v>37</v>
      </c>
      <c r="TR155" s="12" t="s">
        <v>37</v>
      </c>
      <c r="TS155" s="12" t="s">
        <v>37</v>
      </c>
      <c r="TT155" s="11" t="s">
        <v>37</v>
      </c>
      <c r="TY155" s="12" t="s">
        <v>37</v>
      </c>
      <c r="TZ155" s="12" t="s">
        <v>37</v>
      </c>
      <c r="UA155" s="12" t="s">
        <v>37</v>
      </c>
      <c r="UB155" s="12" t="s">
        <v>37</v>
      </c>
      <c r="UC155" s="12" t="s">
        <v>37</v>
      </c>
      <c r="UD155" s="12" t="s">
        <v>37</v>
      </c>
      <c r="UE155" s="12"/>
      <c r="UF155" s="12"/>
      <c r="UI155" s="12" t="s">
        <v>37</v>
      </c>
      <c r="UJ155" s="12" t="s">
        <v>37</v>
      </c>
      <c r="UK155" s="12" t="s">
        <v>37</v>
      </c>
      <c r="UL155" s="12" t="s">
        <v>37</v>
      </c>
      <c r="UM155" s="12" t="s">
        <v>37</v>
      </c>
      <c r="UN155" s="12" t="s">
        <v>37</v>
      </c>
      <c r="UO155" s="12"/>
      <c r="UP155" s="12"/>
      <c r="UR155" s="12" t="s">
        <v>37</v>
      </c>
      <c r="US155" s="12" t="s">
        <v>37</v>
      </c>
      <c r="UT155" s="12" t="s">
        <v>37</v>
      </c>
      <c r="UU155" s="12" t="s">
        <v>37</v>
      </c>
      <c r="UV155" s="12" t="s">
        <v>37</v>
      </c>
      <c r="UW155" s="12" t="s">
        <v>37</v>
      </c>
      <c r="UX155" s="12"/>
      <c r="UY155" s="12"/>
      <c r="VB155" s="12" t="s">
        <v>37</v>
      </c>
      <c r="VC155" s="12" t="s">
        <v>37</v>
      </c>
      <c r="VD155" s="12" t="s">
        <v>37</v>
      </c>
      <c r="VE155" s="12" t="s">
        <v>37</v>
      </c>
      <c r="VF155" s="12" t="s">
        <v>37</v>
      </c>
      <c r="VG155" s="12" t="s">
        <v>37</v>
      </c>
      <c r="VI155" s="12" t="s">
        <v>37</v>
      </c>
      <c r="VJ155" s="12" t="s">
        <v>37</v>
      </c>
      <c r="VK155" s="12" t="s">
        <v>37</v>
      </c>
      <c r="VL155" s="12" t="s">
        <v>37</v>
      </c>
      <c r="VM155" s="12" t="s">
        <v>37</v>
      </c>
      <c r="VN155" s="12" t="s">
        <v>37</v>
      </c>
      <c r="VQ155" s="13" t="s">
        <v>37</v>
      </c>
      <c r="VR155" s="13" t="s">
        <v>37</v>
      </c>
      <c r="VS155" s="13" t="s">
        <v>37</v>
      </c>
      <c r="VT155" s="13" t="s">
        <v>37</v>
      </c>
      <c r="VU155" s="13" t="s">
        <v>37</v>
      </c>
      <c r="VV155" s="13" t="s">
        <v>37</v>
      </c>
      <c r="WA155" s="13" t="s">
        <v>37</v>
      </c>
      <c r="WB155" s="13" t="s">
        <v>37</v>
      </c>
      <c r="WC155" s="13" t="s">
        <v>37</v>
      </c>
      <c r="WD155" s="13" t="s">
        <v>37</v>
      </c>
      <c r="WE155" s="13" t="s">
        <v>37</v>
      </c>
      <c r="WF155" s="13" t="s">
        <v>37</v>
      </c>
    </row>
    <row r="156" spans="1:604" ht="18" customHeight="1" x14ac:dyDescent="0.4">
      <c r="A156" s="11">
        <v>37</v>
      </c>
      <c r="B156" s="16" t="s">
        <v>241</v>
      </c>
      <c r="C156" s="12" t="s">
        <v>26</v>
      </c>
      <c r="D156" s="12" t="s">
        <v>1039</v>
      </c>
      <c r="E156" s="40" t="s">
        <v>37</v>
      </c>
      <c r="F156" s="14">
        <v>0</v>
      </c>
      <c r="G156" s="14">
        <v>0</v>
      </c>
      <c r="H156" s="12" t="s">
        <v>79</v>
      </c>
      <c r="I156" s="29">
        <v>34.267000000000003</v>
      </c>
      <c r="J156" s="29">
        <v>102.43300000000001</v>
      </c>
      <c r="K156" s="12" t="s">
        <v>734</v>
      </c>
      <c r="L156" s="12" t="s">
        <v>735</v>
      </c>
      <c r="M156" s="13">
        <v>3430</v>
      </c>
      <c r="N156" s="14">
        <v>2.9</v>
      </c>
      <c r="O156" s="14">
        <v>592.6</v>
      </c>
      <c r="P156" s="14" t="s">
        <v>16</v>
      </c>
      <c r="Q156" s="75" t="s">
        <v>326</v>
      </c>
      <c r="R156" s="11" t="s">
        <v>37</v>
      </c>
      <c r="S156" s="12" t="s">
        <v>85</v>
      </c>
      <c r="T156" s="12" t="s">
        <v>138</v>
      </c>
      <c r="U156" s="12" t="s">
        <v>158</v>
      </c>
      <c r="V156" s="12" t="s">
        <v>275</v>
      </c>
      <c r="W156" s="23" t="s">
        <v>242</v>
      </c>
      <c r="X156" s="12" t="s">
        <v>280</v>
      </c>
      <c r="Y156" s="12" t="s">
        <v>69</v>
      </c>
      <c r="Z156" s="12" t="s">
        <v>218</v>
      </c>
      <c r="AA156" s="32" t="s">
        <v>532</v>
      </c>
      <c r="AB156" s="12">
        <v>7.92</v>
      </c>
      <c r="AC156" s="12" t="s">
        <v>42</v>
      </c>
      <c r="AD156" s="32" t="s">
        <v>532</v>
      </c>
      <c r="AE156" s="12">
        <f>65.82/1.724</f>
        <v>38.178654292343381</v>
      </c>
      <c r="AF156" s="12" t="s">
        <v>42</v>
      </c>
      <c r="AG156" s="32" t="s">
        <v>532</v>
      </c>
      <c r="AH156" s="12">
        <v>2.13</v>
      </c>
      <c r="AJ156" s="12" t="str">
        <f t="shared" ref="AJ156:AJ161" si="584">AD156</f>
        <v>0-60</v>
      </c>
      <c r="AK156" s="19">
        <f t="shared" ref="AK156:AK161" si="585">AE156/AH156</f>
        <v>17.924250841475768</v>
      </c>
      <c r="AL156" s="32" t="s">
        <v>243</v>
      </c>
      <c r="AM156" s="13" t="s">
        <v>344</v>
      </c>
      <c r="AO156" s="12" t="s">
        <v>37</v>
      </c>
      <c r="AP156" s="12" t="s">
        <v>167</v>
      </c>
      <c r="AQ156" s="12" t="s">
        <v>975</v>
      </c>
      <c r="AR156" s="12" t="s">
        <v>42</v>
      </c>
      <c r="AS156" s="32" t="s">
        <v>532</v>
      </c>
      <c r="AT156" s="12">
        <f>65.82/1.724</f>
        <v>38.178654292343381</v>
      </c>
      <c r="AU156" s="12">
        <f>13.64/1.724</f>
        <v>7.9118329466357311</v>
      </c>
      <c r="AV156" s="13">
        <v>4</v>
      </c>
      <c r="AW156" s="19">
        <f>AU156/AT156</f>
        <v>0.20723184442418721</v>
      </c>
      <c r="AX156" s="12">
        <f>64.45/1.724</f>
        <v>37.38399071925754</v>
      </c>
      <c r="AY156" s="12">
        <f>9.67/1.724</f>
        <v>5.6090487238979119</v>
      </c>
      <c r="AZ156" s="13">
        <v>4</v>
      </c>
      <c r="BA156" s="19">
        <f>AY156/AX156</f>
        <v>0.15003878975950349</v>
      </c>
      <c r="BB156" s="52">
        <f t="shared" ref="BB156:BB161" si="586">LN(AX156/AT156)</f>
        <v>-2.1034014129997343E-2</v>
      </c>
      <c r="BC156" s="19">
        <f t="shared" ref="BC156:BC161" si="587">AY156^2/(AZ156*AX156^2)+AU156^2/(AV156*AT156^2)</f>
        <v>1.6364168943986755E-2</v>
      </c>
      <c r="BE156" s="12" t="s">
        <v>326</v>
      </c>
      <c r="BF156" s="12" t="s">
        <v>326</v>
      </c>
      <c r="BG156" s="12" t="s">
        <v>326</v>
      </c>
      <c r="BI156" s="12" t="s">
        <v>326</v>
      </c>
      <c r="BJ156" s="12" t="s">
        <v>326</v>
      </c>
      <c r="BK156" s="12" t="s">
        <v>326</v>
      </c>
      <c r="BP156" s="12" t="s">
        <v>37</v>
      </c>
      <c r="BQ156" s="12" t="s">
        <v>37</v>
      </c>
      <c r="BR156" s="13" t="s">
        <v>37</v>
      </c>
      <c r="BT156" s="12" t="s">
        <v>37</v>
      </c>
      <c r="BU156" s="12" t="s">
        <v>37</v>
      </c>
      <c r="BV156" s="12" t="s">
        <v>37</v>
      </c>
      <c r="CA156" s="12" t="s">
        <v>37</v>
      </c>
      <c r="CB156" s="12" t="s">
        <v>37</v>
      </c>
      <c r="CC156" s="13" t="s">
        <v>37</v>
      </c>
      <c r="CE156" s="12" t="s">
        <v>37</v>
      </c>
      <c r="CF156" s="12" t="s">
        <v>37</v>
      </c>
      <c r="CG156" s="13" t="s">
        <v>37</v>
      </c>
      <c r="CI156" s="52"/>
      <c r="CJ156" s="52"/>
      <c r="CK156" s="73"/>
      <c r="CL156" s="73"/>
      <c r="CN156" s="12" t="s">
        <v>37</v>
      </c>
      <c r="CO156" s="12" t="s">
        <v>37</v>
      </c>
      <c r="CP156" s="13" t="s">
        <v>37</v>
      </c>
      <c r="CR156" s="12" t="s">
        <v>37</v>
      </c>
      <c r="CS156" s="12" t="s">
        <v>37</v>
      </c>
      <c r="CT156" s="13" t="s">
        <v>37</v>
      </c>
      <c r="CV156" s="52"/>
      <c r="CW156" s="52"/>
      <c r="CX156" s="73"/>
      <c r="CY156" s="73"/>
      <c r="DA156" s="12" t="s">
        <v>37</v>
      </c>
      <c r="DB156" s="12" t="s">
        <v>37</v>
      </c>
      <c r="DC156" s="13" t="s">
        <v>37</v>
      </c>
      <c r="DE156" s="12" t="s">
        <v>37</v>
      </c>
      <c r="DF156" s="12" t="s">
        <v>37</v>
      </c>
      <c r="DG156" s="13" t="s">
        <v>37</v>
      </c>
      <c r="DI156" s="52"/>
      <c r="DJ156" s="52"/>
      <c r="DK156" s="73"/>
      <c r="DL156" s="73"/>
      <c r="DM156" s="12" t="s">
        <v>47</v>
      </c>
      <c r="DN156" s="19">
        <f>SUM(464.07,3024.36)*10^4/10^6</f>
        <v>34.884300000000003</v>
      </c>
      <c r="DO156" s="12">
        <f>SQRT(36.69^2+273.6^2)*10^4/10^6</f>
        <v>2.7604911899877527</v>
      </c>
      <c r="DP156" s="13">
        <v>4</v>
      </c>
      <c r="DQ156" s="19">
        <f t="shared" si="579"/>
        <v>7.9132767175713783E-2</v>
      </c>
      <c r="DR156" s="19">
        <f>SUM(372.17,1187.27)*10^4/10^6</f>
        <v>15.5944</v>
      </c>
      <c r="DS156" s="12">
        <f>SQRT(19.09^2+209.41^2)*10^4/10^6</f>
        <v>2.1027833031484722</v>
      </c>
      <c r="DT156" s="13">
        <v>4</v>
      </c>
      <c r="DU156" s="19">
        <f t="shared" si="580"/>
        <v>0.13484220637847383</v>
      </c>
      <c r="DV156" s="19">
        <f t="shared" si="509"/>
        <v>-19.289900000000003</v>
      </c>
      <c r="DW156" s="12">
        <f t="shared" si="485"/>
        <v>2.453773545989931</v>
      </c>
      <c r="DX156" s="72">
        <f t="shared" si="345"/>
        <v>3.0105023074999999</v>
      </c>
      <c r="DY156" s="72">
        <f t="shared" si="346"/>
        <v>3.0105023074999995</v>
      </c>
      <c r="DZ156" s="12" t="s">
        <v>47</v>
      </c>
      <c r="EA156" s="19">
        <f>SUM(-88.6,23.35)*10^4/10^6</f>
        <v>-0.65249999999999997</v>
      </c>
      <c r="EB156" s="19">
        <f>SQRT(9.22^2+1.27^2)*10^4/10^6</f>
        <v>9.3070564627061342E-2</v>
      </c>
      <c r="EC156" s="72">
        <v>4</v>
      </c>
      <c r="ED156" s="52">
        <f t="shared" si="571"/>
        <v>0.14263688065450014</v>
      </c>
      <c r="EE156" s="19">
        <f>SUM(42.79,23.44)*10^4/10^6</f>
        <v>0.6623</v>
      </c>
      <c r="EF156" s="19">
        <f>SQRT(5.95^2+1.46^2)*10^4/10^6</f>
        <v>6.1265079776329362E-2</v>
      </c>
      <c r="EG156" s="13">
        <v>4</v>
      </c>
      <c r="EH156" s="52">
        <f t="shared" ref="EH156:EH161" si="588">EF156/ABS(EE156)</f>
        <v>9.2503517705464833E-2</v>
      </c>
      <c r="EI156" s="19">
        <f t="shared" ref="EI156:EI161" si="589">EE156-EA156</f>
        <v>1.3148</v>
      </c>
      <c r="EJ156" s="12">
        <f t="shared" ref="EJ156:EJ166" si="590">SQRT(((EC156-1)*EB156^2+(EG156-1)*EF156^2)/(EC156+EG156-2))</f>
        <v>7.8789402840737419E-2</v>
      </c>
      <c r="EK156" s="19">
        <f t="shared" ref="EK156:EK166" si="591">(((EC156+EG156)/(EC156*EG156))*(((EC156-1)*EB156^2)+(EG156-1)*EF156^2)/(EC156+EG156-2))</f>
        <v>3.1038850000000007E-3</v>
      </c>
      <c r="EL156" s="19">
        <f t="shared" ref="EL156:EL166" si="592">(EB156^2/EC156)+(EF156^2/EG156)</f>
        <v>3.1038850000000007E-3</v>
      </c>
      <c r="EN156" s="12" t="s">
        <v>37</v>
      </c>
      <c r="EO156" s="12" t="s">
        <v>37</v>
      </c>
      <c r="EP156" s="13" t="s">
        <v>37</v>
      </c>
      <c r="ER156" s="12" t="s">
        <v>37</v>
      </c>
      <c r="ES156" s="12" t="s">
        <v>37</v>
      </c>
      <c r="ET156" s="13" t="s">
        <v>37</v>
      </c>
      <c r="FB156" s="12" t="s">
        <v>37</v>
      </c>
      <c r="FC156" s="12" t="s">
        <v>37</v>
      </c>
      <c r="FD156" s="11" t="s">
        <v>37</v>
      </c>
      <c r="FE156" s="12" t="s">
        <v>37</v>
      </c>
      <c r="FF156" s="20" t="s">
        <v>37</v>
      </c>
      <c r="FG156" s="11" t="s">
        <v>37</v>
      </c>
      <c r="FI156" s="12" t="s">
        <v>37</v>
      </c>
      <c r="FJ156" s="12" t="s">
        <v>37</v>
      </c>
      <c r="FK156" s="11" t="s">
        <v>37</v>
      </c>
      <c r="FL156" s="13" t="s">
        <v>37</v>
      </c>
      <c r="FM156" s="11" t="s">
        <v>37</v>
      </c>
      <c r="FN156" s="11" t="s">
        <v>37</v>
      </c>
      <c r="FP156" s="12" t="s">
        <v>37</v>
      </c>
      <c r="FQ156" s="12" t="s">
        <v>37</v>
      </c>
      <c r="FR156" s="11" t="s">
        <v>37</v>
      </c>
      <c r="FS156" s="13" t="s">
        <v>37</v>
      </c>
      <c r="FT156" s="11" t="s">
        <v>37</v>
      </c>
      <c r="FU156" s="11" t="s">
        <v>37</v>
      </c>
      <c r="FW156" s="12" t="s">
        <v>37</v>
      </c>
      <c r="FX156" s="12" t="s">
        <v>37</v>
      </c>
      <c r="FY156" s="11" t="s">
        <v>37</v>
      </c>
      <c r="FZ156" s="13" t="s">
        <v>37</v>
      </c>
      <c r="GA156" s="11" t="s">
        <v>37</v>
      </c>
      <c r="GB156" s="11" t="s">
        <v>37</v>
      </c>
      <c r="HA156" s="17" t="s">
        <v>63</v>
      </c>
      <c r="HB156" s="34" t="s">
        <v>532</v>
      </c>
      <c r="HC156" s="12">
        <v>0.36</v>
      </c>
      <c r="HD156" s="12">
        <v>0.01</v>
      </c>
      <c r="HE156" s="13">
        <v>4</v>
      </c>
      <c r="HF156" s="19">
        <f t="shared" ref="HF156:HF161" si="593">HD156/HC156</f>
        <v>2.777777777777778E-2</v>
      </c>
      <c r="HG156" s="12">
        <v>0.39</v>
      </c>
      <c r="HH156" s="12">
        <v>0.02</v>
      </c>
      <c r="HI156" s="13">
        <v>4</v>
      </c>
      <c r="HJ156" s="19">
        <f t="shared" ref="HJ156:HJ161" si="594">HH156/HG156</f>
        <v>5.128205128205128E-2</v>
      </c>
      <c r="HK156" s="19">
        <f t="shared" ref="HK156:HK161" si="595">LN(HG156/HC156)</f>
        <v>8.0042707673536564E-2</v>
      </c>
      <c r="HL156" s="19">
        <f t="shared" ref="HL156:HL161" si="596">HH156^2/(HI156*HG156^2)+HD156^2/(HE156*HC156^2)</f>
        <v>8.5036343049163553E-4</v>
      </c>
      <c r="IK156" s="12" t="s">
        <v>37</v>
      </c>
      <c r="IL156" s="12" t="s">
        <v>37</v>
      </c>
      <c r="IM156" s="12" t="s">
        <v>37</v>
      </c>
      <c r="IO156" s="12" t="s">
        <v>37</v>
      </c>
      <c r="IP156" s="12" t="s">
        <v>37</v>
      </c>
      <c r="IQ156" s="12" t="s">
        <v>37</v>
      </c>
      <c r="IV156" s="32" t="s">
        <v>532</v>
      </c>
      <c r="IW156" s="12">
        <v>7.92</v>
      </c>
      <c r="IX156" s="12">
        <v>0.04</v>
      </c>
      <c r="IY156" s="13">
        <v>4</v>
      </c>
      <c r="IZ156" s="19">
        <f t="shared" ref="IZ156:IZ161" si="597">IX156/IW156</f>
        <v>5.0505050505050509E-3</v>
      </c>
      <c r="JA156" s="12">
        <v>7.79</v>
      </c>
      <c r="JB156" s="12">
        <v>0.06</v>
      </c>
      <c r="JC156" s="13">
        <v>4</v>
      </c>
      <c r="JD156" s="19">
        <f t="shared" ref="JD156:JD161" si="598">JB156/JA156</f>
        <v>7.702182284980744E-3</v>
      </c>
      <c r="JE156" s="19">
        <f t="shared" ref="JE156:JE161" si="599">LN(JA156/IW156)</f>
        <v>-1.6550345943677613E-2</v>
      </c>
      <c r="JF156" s="19">
        <f>JB156^2/(JC156*JA156^2)+IX156^2/(IY156*IW156^2)</f>
        <v>2.1207803304062055E-5</v>
      </c>
      <c r="JH156" s="12" t="s">
        <v>37</v>
      </c>
      <c r="JI156" s="12" t="s">
        <v>37</v>
      </c>
      <c r="JJ156" s="13" t="s">
        <v>37</v>
      </c>
      <c r="JL156" s="12" t="s">
        <v>37</v>
      </c>
      <c r="JM156" s="12" t="s">
        <v>37</v>
      </c>
      <c r="JN156" s="12" t="s">
        <v>37</v>
      </c>
      <c r="JS156" s="12" t="s">
        <v>37</v>
      </c>
      <c r="JT156" s="12" t="s">
        <v>37</v>
      </c>
      <c r="JU156" s="13" t="s">
        <v>37</v>
      </c>
      <c r="JW156" s="12" t="s">
        <v>37</v>
      </c>
      <c r="JX156" s="12" t="s">
        <v>37</v>
      </c>
      <c r="JY156" s="12" t="s">
        <v>37</v>
      </c>
      <c r="KE156" s="11" t="s">
        <v>37</v>
      </c>
      <c r="KF156" s="11" t="s">
        <v>37</v>
      </c>
      <c r="KG156" s="13" t="s">
        <v>37</v>
      </c>
      <c r="KH156" s="11" t="s">
        <v>37</v>
      </c>
      <c r="KI156" s="11" t="s">
        <v>37</v>
      </c>
      <c r="KJ156" s="11" t="s">
        <v>37</v>
      </c>
      <c r="KK156" s="12" t="s">
        <v>42</v>
      </c>
      <c r="KL156" s="32" t="s">
        <v>532</v>
      </c>
      <c r="KM156" s="12">
        <v>2.13</v>
      </c>
      <c r="KN156" s="12">
        <v>1.01</v>
      </c>
      <c r="KO156" s="11">
        <v>4</v>
      </c>
      <c r="KP156" s="19">
        <f>KN156/KM156</f>
        <v>0.47417840375586856</v>
      </c>
      <c r="KQ156" s="12">
        <v>1.88</v>
      </c>
      <c r="KR156" s="12">
        <v>0.66</v>
      </c>
      <c r="KS156" s="13">
        <v>4</v>
      </c>
      <c r="KT156" s="19">
        <f>KR156/KQ156</f>
        <v>0.35106382978723411</v>
      </c>
      <c r="KU156" s="19">
        <f t="shared" ref="KU156:KU161" si="600">LN(KQ156/KM156)</f>
        <v>-0.12485020287947594</v>
      </c>
      <c r="KV156" s="19">
        <f t="shared" ref="KV156:KV161" si="601">KR156^2/(KS156*KQ156^2)+KN156^2/(KO156*KM156^2)</f>
        <v>8.7022742793335897E-2</v>
      </c>
      <c r="KX156" s="12" t="s">
        <v>37</v>
      </c>
      <c r="KY156" s="12" t="s">
        <v>37</v>
      </c>
      <c r="KZ156" s="13" t="s">
        <v>37</v>
      </c>
      <c r="LB156" s="12" t="s">
        <v>37</v>
      </c>
      <c r="LC156" s="12" t="s">
        <v>37</v>
      </c>
      <c r="LD156" s="13" t="s">
        <v>37</v>
      </c>
      <c r="LI156" s="12" t="s">
        <v>37</v>
      </c>
      <c r="LJ156" s="12" t="s">
        <v>37</v>
      </c>
      <c r="LK156" s="12" t="s">
        <v>37</v>
      </c>
      <c r="LM156" s="12" t="s">
        <v>37</v>
      </c>
      <c r="LN156" s="12" t="s">
        <v>37</v>
      </c>
      <c r="LO156" s="12" t="s">
        <v>37</v>
      </c>
      <c r="LT156" s="12" t="str">
        <f t="shared" ref="LT156:LT161" si="602">KL156</f>
        <v>0-60</v>
      </c>
      <c r="LU156" s="12">
        <f t="shared" ref="LU156:LU161" si="603">AT156/KM156</f>
        <v>17.924250841475768</v>
      </c>
      <c r="LV156" s="12">
        <f t="shared" ref="LV156:LV161" si="604">SQRT((1/KM156)^2*AU156^2+AT156^2*(-1/KM156^2)^2*KN156^2)</f>
        <v>9.2755217800713972</v>
      </c>
      <c r="LW156" s="13">
        <f t="shared" ref="LW156:LW161" si="605">KO156</f>
        <v>4</v>
      </c>
      <c r="LX156" s="19">
        <f t="shared" ref="LX156:LX161" si="606">LV156/LU156</f>
        <v>0.51748448859063778</v>
      </c>
      <c r="LY156" s="12">
        <f t="shared" ref="LY156:LY161" si="607">AX156/KQ156</f>
        <v>19.885101446413586</v>
      </c>
      <c r="LZ156" s="12">
        <f t="shared" ref="LZ156:LZ161" si="608">SQRT((1/KQ156)^2*AY156^2+AX156^2*(-1/KQ156^2)^2*KR156^2)</f>
        <v>7.5917726413516595</v>
      </c>
      <c r="MA156" s="13">
        <f t="shared" ref="MA156:MA161" si="609">KS156</f>
        <v>4</v>
      </c>
      <c r="MB156" s="19">
        <f t="shared" ref="MB156:MB161" si="610">LZ156/LY156</f>
        <v>0.38178194171198898</v>
      </c>
      <c r="MC156" s="19">
        <f t="shared" ref="MC156:MC161" si="611">LN(LY156/LU156)</f>
        <v>0.10381618874947847</v>
      </c>
      <c r="MD156" s="19">
        <f t="shared" ref="MD156:MD161" si="612">LZ156^2/(MA156*LY156^2)+LV156^2/(LW156*LU156^2)</f>
        <v>0.10338691173732263</v>
      </c>
      <c r="MF156" s="12" t="s">
        <v>37</v>
      </c>
      <c r="MG156" s="12" t="s">
        <v>37</v>
      </c>
      <c r="MH156" s="12" t="s">
        <v>37</v>
      </c>
      <c r="MJ156" s="12" t="s">
        <v>37</v>
      </c>
      <c r="MK156" s="12" t="s">
        <v>37</v>
      </c>
      <c r="ML156" s="12" t="s">
        <v>37</v>
      </c>
      <c r="MQ156" s="12" t="s">
        <v>37</v>
      </c>
      <c r="MR156" s="12" t="s">
        <v>37</v>
      </c>
      <c r="MS156" s="12" t="s">
        <v>37</v>
      </c>
      <c r="MU156" s="12" t="s">
        <v>37</v>
      </c>
      <c r="MV156" s="12" t="s">
        <v>37</v>
      </c>
      <c r="MW156" s="12" t="s">
        <v>37</v>
      </c>
      <c r="NC156" s="12" t="s">
        <v>37</v>
      </c>
      <c r="ND156" s="12" t="s">
        <v>37</v>
      </c>
      <c r="NE156" s="13" t="s">
        <v>37</v>
      </c>
      <c r="NG156" s="12" t="s">
        <v>37</v>
      </c>
      <c r="NH156" s="12" t="s">
        <v>37</v>
      </c>
      <c r="NI156" s="13" t="s">
        <v>37</v>
      </c>
      <c r="NO156" s="12" t="s">
        <v>37</v>
      </c>
      <c r="NP156" s="12" t="s">
        <v>37</v>
      </c>
      <c r="NQ156" s="13" t="s">
        <v>37</v>
      </c>
      <c r="NS156" s="12" t="s">
        <v>37</v>
      </c>
      <c r="NT156" s="12" t="s">
        <v>37</v>
      </c>
      <c r="NU156" s="13" t="s">
        <v>37</v>
      </c>
      <c r="OA156" s="12" t="s">
        <v>37</v>
      </c>
      <c r="OB156" s="12" t="s">
        <v>37</v>
      </c>
      <c r="OC156" s="13" t="s">
        <v>37</v>
      </c>
      <c r="OE156" s="12" t="s">
        <v>37</v>
      </c>
      <c r="OF156" s="12" t="s">
        <v>37</v>
      </c>
      <c r="OG156" s="13" t="s">
        <v>37</v>
      </c>
      <c r="OM156" s="12" t="s">
        <v>37</v>
      </c>
      <c r="ON156" s="12" t="s">
        <v>37</v>
      </c>
      <c r="OO156" s="12" t="s">
        <v>37</v>
      </c>
      <c r="OP156" s="12" t="s">
        <v>37</v>
      </c>
      <c r="OQ156" s="12" t="s">
        <v>37</v>
      </c>
      <c r="OR156" s="12" t="s">
        <v>37</v>
      </c>
      <c r="OS156" s="12"/>
      <c r="OT156" s="12"/>
      <c r="OW156" s="12" t="s">
        <v>37</v>
      </c>
      <c r="OX156" s="12" t="s">
        <v>37</v>
      </c>
      <c r="OY156" s="13" t="s">
        <v>37</v>
      </c>
      <c r="OZ156" s="12" t="s">
        <v>37</v>
      </c>
      <c r="PA156" s="12" t="s">
        <v>37</v>
      </c>
      <c r="PB156" s="13" t="s">
        <v>37</v>
      </c>
      <c r="PG156" s="11" t="s">
        <v>37</v>
      </c>
      <c r="PH156" s="11" t="s">
        <v>37</v>
      </c>
      <c r="PI156" s="13" t="s">
        <v>37</v>
      </c>
      <c r="PJ156" s="11" t="s">
        <v>37</v>
      </c>
      <c r="PK156" s="11" t="s">
        <v>37</v>
      </c>
      <c r="PL156" s="13" t="s">
        <v>37</v>
      </c>
      <c r="PQ156" s="12" t="s">
        <v>37</v>
      </c>
      <c r="PR156" s="12" t="s">
        <v>37</v>
      </c>
      <c r="PS156" s="12" t="s">
        <v>37</v>
      </c>
      <c r="PT156" s="12" t="s">
        <v>37</v>
      </c>
      <c r="PU156" s="12" t="s">
        <v>37</v>
      </c>
      <c r="PV156" s="12" t="s">
        <v>37</v>
      </c>
      <c r="PW156" s="12"/>
      <c r="PX156" s="12"/>
      <c r="PY156" s="12" t="s">
        <v>43</v>
      </c>
      <c r="PZ156" s="12">
        <v>355.9</v>
      </c>
      <c r="QA156" s="12">
        <v>174.64</v>
      </c>
      <c r="QB156" s="11">
        <v>4</v>
      </c>
      <c r="QC156" s="19">
        <f>QA156/PZ156</f>
        <v>0.49069963472885642</v>
      </c>
      <c r="QD156" s="12">
        <v>293.02</v>
      </c>
      <c r="QE156" s="12">
        <v>143.93</v>
      </c>
      <c r="QF156" s="13">
        <v>4</v>
      </c>
      <c r="QG156" s="19">
        <f>QE156/QD156</f>
        <v>0.49119514026346328</v>
      </c>
      <c r="QH156" s="19">
        <f t="shared" ref="QH156" si="613">LN(QD156/PZ156)</f>
        <v>-0.19440892644298008</v>
      </c>
      <c r="QI156" s="19">
        <f>QE156^2/(QF156*QD156^2)+QA156^2/(QB156*PZ156^2)</f>
        <v>0.12051469933536912</v>
      </c>
      <c r="QK156" s="12" t="s">
        <v>37</v>
      </c>
      <c r="QL156" s="12" t="s">
        <v>37</v>
      </c>
      <c r="QM156" s="12" t="s">
        <v>37</v>
      </c>
      <c r="QN156" s="12" t="s">
        <v>37</v>
      </c>
      <c r="QO156" s="12" t="s">
        <v>37</v>
      </c>
      <c r="QP156" s="12" t="s">
        <v>37</v>
      </c>
      <c r="QQ156" s="12"/>
      <c r="QR156" s="12"/>
      <c r="QU156" s="12" t="s">
        <v>37</v>
      </c>
      <c r="QV156" s="12" t="s">
        <v>37</v>
      </c>
      <c r="QW156" s="12" t="s">
        <v>37</v>
      </c>
      <c r="QX156" s="12" t="s">
        <v>37</v>
      </c>
      <c r="QY156" s="12" t="s">
        <v>37</v>
      </c>
      <c r="QZ156" s="12" t="s">
        <v>37</v>
      </c>
      <c r="RC156" s="12" t="s">
        <v>37</v>
      </c>
      <c r="RD156" s="12" t="s">
        <v>37</v>
      </c>
      <c r="RE156" s="13" t="s">
        <v>37</v>
      </c>
      <c r="RF156" s="12" t="s">
        <v>37</v>
      </c>
      <c r="RG156" s="12" t="s">
        <v>37</v>
      </c>
      <c r="RH156" s="13" t="s">
        <v>37</v>
      </c>
      <c r="RK156" s="12" t="s">
        <v>37</v>
      </c>
      <c r="RL156" s="12" t="s">
        <v>37</v>
      </c>
      <c r="RM156" s="11" t="s">
        <v>37</v>
      </c>
      <c r="RN156" s="12" t="s">
        <v>37</v>
      </c>
      <c r="RO156" s="12" t="s">
        <v>37</v>
      </c>
      <c r="RP156" s="11" t="s">
        <v>37</v>
      </c>
      <c r="RS156" s="12" t="s">
        <v>37</v>
      </c>
      <c r="RT156" s="12" t="s">
        <v>37</v>
      </c>
      <c r="RU156" s="12" t="s">
        <v>37</v>
      </c>
      <c r="RV156" s="12" t="s">
        <v>37</v>
      </c>
      <c r="RW156" s="12" t="s">
        <v>37</v>
      </c>
      <c r="RX156" s="12" t="s">
        <v>37</v>
      </c>
      <c r="SA156" s="12" t="s">
        <v>37</v>
      </c>
      <c r="SB156" s="12" t="s">
        <v>37</v>
      </c>
      <c r="SC156" s="12" t="s">
        <v>37</v>
      </c>
      <c r="SD156" s="12" t="s">
        <v>37</v>
      </c>
      <c r="SE156" s="12" t="s">
        <v>37</v>
      </c>
      <c r="SF156" s="12" t="s">
        <v>37</v>
      </c>
      <c r="SG156" s="12" t="s">
        <v>42</v>
      </c>
      <c r="SH156" s="12" t="s">
        <v>532</v>
      </c>
      <c r="SI156" s="12">
        <v>1.48</v>
      </c>
      <c r="SJ156" s="12">
        <v>0.51</v>
      </c>
      <c r="SK156" s="13">
        <v>4</v>
      </c>
      <c r="SL156" s="19">
        <f t="shared" ref="SL156:SL161" si="614">SJ156/SI156</f>
        <v>0.34459459459459463</v>
      </c>
      <c r="SM156" s="12">
        <v>1.29</v>
      </c>
      <c r="SN156" s="12">
        <v>0.3</v>
      </c>
      <c r="SO156" s="13">
        <v>4</v>
      </c>
      <c r="SP156" s="19">
        <f t="shared" ref="SP156:SP161" si="615">SN156/SM156</f>
        <v>0.23255813953488372</v>
      </c>
      <c r="SQ156" s="19">
        <f t="shared" ref="SQ156:SQ161" si="616">LN(SM156/SI156)</f>
        <v>-0.13739986940244298</v>
      </c>
      <c r="SR156" s="19">
        <f t="shared" ref="SR156:SR161" si="617">SN156^2/(SO156*SM156^2)+SJ156^2/(SK156*SI156^2)</f>
        <v>4.3207180721934864E-2</v>
      </c>
      <c r="SU156" s="12" t="s">
        <v>37</v>
      </c>
      <c r="SV156" s="12" t="s">
        <v>37</v>
      </c>
      <c r="SW156" s="11" t="s">
        <v>37</v>
      </c>
      <c r="SX156" s="12" t="s">
        <v>37</v>
      </c>
      <c r="SY156" s="12" t="s">
        <v>37</v>
      </c>
      <c r="SZ156" s="11" t="s">
        <v>37</v>
      </c>
      <c r="TE156" s="12" t="s">
        <v>37</v>
      </c>
      <c r="TF156" s="12" t="s">
        <v>37</v>
      </c>
      <c r="TG156" s="11" t="s">
        <v>37</v>
      </c>
      <c r="TH156" s="12" t="s">
        <v>37</v>
      </c>
      <c r="TI156" s="12" t="s">
        <v>37</v>
      </c>
      <c r="TJ156" s="11" t="s">
        <v>37</v>
      </c>
      <c r="TO156" s="12" t="s">
        <v>37</v>
      </c>
      <c r="TP156" s="12" t="s">
        <v>37</v>
      </c>
      <c r="TQ156" s="11" t="s">
        <v>37</v>
      </c>
      <c r="TR156" s="12" t="s">
        <v>37</v>
      </c>
      <c r="TS156" s="12" t="s">
        <v>37</v>
      </c>
      <c r="TT156" s="11" t="s">
        <v>37</v>
      </c>
      <c r="TY156" s="12" t="s">
        <v>37</v>
      </c>
      <c r="TZ156" s="12" t="s">
        <v>37</v>
      </c>
      <c r="UA156" s="12" t="s">
        <v>37</v>
      </c>
      <c r="UB156" s="12" t="s">
        <v>37</v>
      </c>
      <c r="UC156" s="12" t="s">
        <v>37</v>
      </c>
      <c r="UD156" s="12" t="s">
        <v>37</v>
      </c>
      <c r="UE156" s="12"/>
      <c r="UF156" s="12"/>
      <c r="UI156" s="12" t="s">
        <v>37</v>
      </c>
      <c r="UJ156" s="12" t="s">
        <v>37</v>
      </c>
      <c r="UK156" s="12" t="s">
        <v>37</v>
      </c>
      <c r="UL156" s="12" t="s">
        <v>37</v>
      </c>
      <c r="UM156" s="12" t="s">
        <v>37</v>
      </c>
      <c r="UN156" s="12" t="s">
        <v>37</v>
      </c>
      <c r="UO156" s="12"/>
      <c r="UP156" s="12"/>
      <c r="UR156" s="12" t="s">
        <v>37</v>
      </c>
      <c r="US156" s="12" t="s">
        <v>37</v>
      </c>
      <c r="UT156" s="12" t="s">
        <v>37</v>
      </c>
      <c r="UU156" s="12" t="s">
        <v>37</v>
      </c>
      <c r="UV156" s="12" t="s">
        <v>37</v>
      </c>
      <c r="UW156" s="12" t="s">
        <v>37</v>
      </c>
      <c r="UX156" s="12"/>
      <c r="UY156" s="12"/>
      <c r="VB156" s="12" t="s">
        <v>37</v>
      </c>
      <c r="VC156" s="12" t="s">
        <v>37</v>
      </c>
      <c r="VD156" s="12" t="s">
        <v>37</v>
      </c>
      <c r="VE156" s="12" t="s">
        <v>37</v>
      </c>
      <c r="VF156" s="12" t="s">
        <v>37</v>
      </c>
      <c r="VG156" s="12" t="s">
        <v>37</v>
      </c>
      <c r="VI156" s="12" t="s">
        <v>37</v>
      </c>
      <c r="VJ156" s="12" t="s">
        <v>37</v>
      </c>
      <c r="VK156" s="12" t="s">
        <v>37</v>
      </c>
      <c r="VL156" s="12" t="s">
        <v>37</v>
      </c>
      <c r="VM156" s="12" t="s">
        <v>37</v>
      </c>
      <c r="VN156" s="12" t="s">
        <v>37</v>
      </c>
      <c r="VQ156" s="13" t="s">
        <v>37</v>
      </c>
      <c r="VR156" s="13" t="s">
        <v>37</v>
      </c>
      <c r="VS156" s="13" t="s">
        <v>37</v>
      </c>
      <c r="VT156" s="13" t="s">
        <v>37</v>
      </c>
      <c r="VU156" s="13" t="s">
        <v>37</v>
      </c>
      <c r="VV156" s="13" t="s">
        <v>37</v>
      </c>
      <c r="WA156" s="13" t="s">
        <v>37</v>
      </c>
      <c r="WB156" s="13" t="s">
        <v>37</v>
      </c>
      <c r="WC156" s="13" t="s">
        <v>37</v>
      </c>
      <c r="WD156" s="13" t="s">
        <v>37</v>
      </c>
      <c r="WE156" s="13" t="s">
        <v>37</v>
      </c>
      <c r="WF156" s="13" t="s">
        <v>37</v>
      </c>
    </row>
    <row r="157" spans="1:604" ht="18" customHeight="1" x14ac:dyDescent="0.4">
      <c r="A157" s="11">
        <v>37</v>
      </c>
      <c r="B157" s="16" t="s">
        <v>241</v>
      </c>
      <c r="C157" s="12" t="s">
        <v>26</v>
      </c>
      <c r="D157" s="12" t="s">
        <v>1039</v>
      </c>
      <c r="E157" s="40" t="s">
        <v>37</v>
      </c>
      <c r="F157" s="14">
        <v>0</v>
      </c>
      <c r="G157" s="14">
        <v>0</v>
      </c>
      <c r="H157" s="12" t="s">
        <v>79</v>
      </c>
      <c r="I157" s="29">
        <v>34.267000000000003</v>
      </c>
      <c r="J157" s="29">
        <v>102.43300000000001</v>
      </c>
      <c r="K157" s="12" t="s">
        <v>734</v>
      </c>
      <c r="L157" s="12" t="s">
        <v>735</v>
      </c>
      <c r="M157" s="13">
        <v>3430</v>
      </c>
      <c r="N157" s="14">
        <v>2.9</v>
      </c>
      <c r="O157" s="14">
        <v>592.6</v>
      </c>
      <c r="P157" s="14" t="s">
        <v>16</v>
      </c>
      <c r="Q157" s="75" t="s">
        <v>326</v>
      </c>
      <c r="R157" s="11" t="s">
        <v>37</v>
      </c>
      <c r="S157" s="12" t="s">
        <v>85</v>
      </c>
      <c r="T157" s="12" t="s">
        <v>138</v>
      </c>
      <c r="U157" s="12" t="s">
        <v>158</v>
      </c>
      <c r="V157" s="12" t="s">
        <v>275</v>
      </c>
      <c r="W157" s="23" t="s">
        <v>242</v>
      </c>
      <c r="X157" s="12" t="s">
        <v>280</v>
      </c>
      <c r="Y157" s="12" t="s">
        <v>69</v>
      </c>
      <c r="Z157" s="12" t="s">
        <v>218</v>
      </c>
      <c r="AA157" s="32" t="s">
        <v>532</v>
      </c>
      <c r="AB157" s="12">
        <v>7.92</v>
      </c>
      <c r="AC157" s="12" t="s">
        <v>42</v>
      </c>
      <c r="AD157" s="32" t="s">
        <v>532</v>
      </c>
      <c r="AE157" s="12">
        <f t="shared" ref="AE157:AE161" si="618">65.82/1.724</f>
        <v>38.178654292343381</v>
      </c>
      <c r="AF157" s="12" t="s">
        <v>42</v>
      </c>
      <c r="AG157" s="32" t="s">
        <v>532</v>
      </c>
      <c r="AH157" s="12">
        <v>2.13</v>
      </c>
      <c r="AJ157" s="12" t="str">
        <f t="shared" si="584"/>
        <v>0-60</v>
      </c>
      <c r="AK157" s="19">
        <f t="shared" si="585"/>
        <v>17.924250841475768</v>
      </c>
      <c r="AL157" s="32" t="s">
        <v>243</v>
      </c>
      <c r="AM157" s="13" t="s">
        <v>344</v>
      </c>
      <c r="AO157" s="12" t="s">
        <v>37</v>
      </c>
      <c r="AP157" s="12" t="s">
        <v>167</v>
      </c>
      <c r="AQ157" s="12" t="s">
        <v>975</v>
      </c>
      <c r="AR157" s="12" t="s">
        <v>42</v>
      </c>
      <c r="AS157" s="32" t="s">
        <v>532</v>
      </c>
      <c r="AT157" s="12">
        <f t="shared" ref="AT157:AT161" si="619">65.82/1.724</f>
        <v>38.178654292343381</v>
      </c>
      <c r="AU157" s="12">
        <f t="shared" ref="AU157:AU161" si="620">13.64/1.724</f>
        <v>7.9118329466357311</v>
      </c>
      <c r="AV157" s="13">
        <v>4</v>
      </c>
      <c r="AW157" s="19">
        <f t="shared" ref="AW157:AW161" si="621">AU157/AT157</f>
        <v>0.20723184442418721</v>
      </c>
      <c r="AX157" s="12">
        <f>54.39/1.724</f>
        <v>31.548723897911835</v>
      </c>
      <c r="AY157" s="12">
        <f>10.66/1.724</f>
        <v>6.1832946635730863</v>
      </c>
      <c r="AZ157" s="13">
        <v>4</v>
      </c>
      <c r="BA157" s="19">
        <f t="shared" ref="BA157:BA161" si="622">AY157/AX157</f>
        <v>0.19599191027762458</v>
      </c>
      <c r="BB157" s="52">
        <f t="shared" si="586"/>
        <v>-0.19074343008032435</v>
      </c>
      <c r="BC157" s="19">
        <f t="shared" si="587"/>
        <v>2.0339466559430742E-2</v>
      </c>
      <c r="BE157" s="12" t="s">
        <v>326</v>
      </c>
      <c r="BF157" s="12" t="s">
        <v>326</v>
      </c>
      <c r="BG157" s="12" t="s">
        <v>326</v>
      </c>
      <c r="BI157" s="12" t="s">
        <v>326</v>
      </c>
      <c r="BJ157" s="12" t="s">
        <v>326</v>
      </c>
      <c r="BK157" s="12" t="s">
        <v>326</v>
      </c>
      <c r="BP157" s="12" t="s">
        <v>37</v>
      </c>
      <c r="BQ157" s="12" t="s">
        <v>37</v>
      </c>
      <c r="BR157" s="13" t="s">
        <v>37</v>
      </c>
      <c r="BT157" s="12" t="s">
        <v>37</v>
      </c>
      <c r="BU157" s="12" t="s">
        <v>37</v>
      </c>
      <c r="BV157" s="12" t="s">
        <v>37</v>
      </c>
      <c r="CA157" s="12" t="s">
        <v>37</v>
      </c>
      <c r="CB157" s="12" t="s">
        <v>37</v>
      </c>
      <c r="CC157" s="13" t="s">
        <v>37</v>
      </c>
      <c r="CE157" s="12" t="s">
        <v>37</v>
      </c>
      <c r="CF157" s="12" t="s">
        <v>37</v>
      </c>
      <c r="CG157" s="13" t="s">
        <v>37</v>
      </c>
      <c r="CI157" s="52"/>
      <c r="CJ157" s="52"/>
      <c r="CK157" s="73"/>
      <c r="CL157" s="73"/>
      <c r="CN157" s="12" t="s">
        <v>37</v>
      </c>
      <c r="CO157" s="12" t="s">
        <v>37</v>
      </c>
      <c r="CP157" s="13" t="s">
        <v>37</v>
      </c>
      <c r="CR157" s="12" t="s">
        <v>37</v>
      </c>
      <c r="CS157" s="12" t="s">
        <v>37</v>
      </c>
      <c r="CT157" s="13" t="s">
        <v>37</v>
      </c>
      <c r="CV157" s="52"/>
      <c r="CW157" s="52"/>
      <c r="CX157" s="73"/>
      <c r="CY157" s="73"/>
      <c r="DA157" s="12" t="s">
        <v>37</v>
      </c>
      <c r="DB157" s="12" t="s">
        <v>37</v>
      </c>
      <c r="DC157" s="13" t="s">
        <v>37</v>
      </c>
      <c r="DE157" s="12" t="s">
        <v>37</v>
      </c>
      <c r="DF157" s="12" t="s">
        <v>37</v>
      </c>
      <c r="DG157" s="13" t="s">
        <v>37</v>
      </c>
      <c r="DI157" s="52"/>
      <c r="DJ157" s="52"/>
      <c r="DK157" s="73"/>
      <c r="DL157" s="73"/>
      <c r="DM157" s="12" t="s">
        <v>47</v>
      </c>
      <c r="DN157" s="19">
        <f>SUM(464.07,3024.36)*10^4/10^6</f>
        <v>34.884300000000003</v>
      </c>
      <c r="DO157" s="12">
        <f>SQRT(36.69^2+273.6^2)*10^4/10^6</f>
        <v>2.7604911899877527</v>
      </c>
      <c r="DP157" s="13">
        <v>4</v>
      </c>
      <c r="DQ157" s="19">
        <f t="shared" si="579"/>
        <v>7.9132767175713783E-2</v>
      </c>
      <c r="DR157" s="19">
        <f>SUM(-239.9,-132.44)*10^4/10^6</f>
        <v>-3.7234000000000003</v>
      </c>
      <c r="DS157" s="12">
        <f>SQRT(25.75^2+21.74^2)*10^4/10^6</f>
        <v>0.33700001483679487</v>
      </c>
      <c r="DT157" s="13">
        <v>4</v>
      </c>
      <c r="DU157" s="19">
        <f t="shared" si="580"/>
        <v>9.0508678851800736E-2</v>
      </c>
      <c r="DV157" s="19">
        <f t="shared" si="509"/>
        <v>-38.607700000000001</v>
      </c>
      <c r="DW157" s="12">
        <f t="shared" si="485"/>
        <v>1.9664537396033501</v>
      </c>
      <c r="DX157" s="72">
        <f t="shared" si="345"/>
        <v>1.933470155</v>
      </c>
      <c r="DY157" s="72">
        <f t="shared" si="346"/>
        <v>1.9334701549999997</v>
      </c>
      <c r="DZ157" s="12" t="s">
        <v>47</v>
      </c>
      <c r="EA157" s="19">
        <f t="shared" ref="EA157:EA158" si="623">SUM(-88.6,23.35)*10^4/10^6</f>
        <v>-0.65249999999999997</v>
      </c>
      <c r="EB157" s="19">
        <f t="shared" ref="EB157:EB158" si="624">SQRT(9.22^2+1.27^2)*10^4/10^6</f>
        <v>9.3070564627061342E-2</v>
      </c>
      <c r="EC157" s="72">
        <v>4</v>
      </c>
      <c r="ED157" s="52">
        <f t="shared" si="571"/>
        <v>0.14263688065450014</v>
      </c>
      <c r="EE157" s="19">
        <f>SUM(26.42,-13.95)*10^4/10^6</f>
        <v>0.12470000000000003</v>
      </c>
      <c r="EF157" s="19">
        <f>SQRT(2.56^2+3.26^2)*10^4/10^6</f>
        <v>4.1450211097170543E-2</v>
      </c>
      <c r="EG157" s="13">
        <v>4</v>
      </c>
      <c r="EH157" s="52">
        <f t="shared" si="588"/>
        <v>0.33239944745124728</v>
      </c>
      <c r="EI157" s="19">
        <f t="shared" si="589"/>
        <v>0.7772</v>
      </c>
      <c r="EJ157" s="12">
        <f t="shared" si="590"/>
        <v>7.2042522165732106E-2</v>
      </c>
      <c r="EK157" s="19">
        <f t="shared" si="591"/>
        <v>2.5950625000000006E-3</v>
      </c>
      <c r="EL157" s="19">
        <f t="shared" si="592"/>
        <v>2.5950625000000006E-3</v>
      </c>
      <c r="EN157" s="12" t="s">
        <v>37</v>
      </c>
      <c r="EO157" s="12" t="s">
        <v>37</v>
      </c>
      <c r="EP157" s="13" t="s">
        <v>37</v>
      </c>
      <c r="ER157" s="12" t="s">
        <v>37</v>
      </c>
      <c r="ES157" s="12" t="s">
        <v>37</v>
      </c>
      <c r="ET157" s="13" t="s">
        <v>37</v>
      </c>
      <c r="FB157" s="12" t="s">
        <v>37</v>
      </c>
      <c r="FC157" s="12" t="s">
        <v>37</v>
      </c>
      <c r="FD157" s="11" t="s">
        <v>37</v>
      </c>
      <c r="FE157" s="12" t="s">
        <v>37</v>
      </c>
      <c r="FF157" s="20" t="s">
        <v>37</v>
      </c>
      <c r="FG157" s="11" t="s">
        <v>37</v>
      </c>
      <c r="FI157" s="12" t="s">
        <v>37</v>
      </c>
      <c r="FJ157" s="12" t="s">
        <v>37</v>
      </c>
      <c r="FK157" s="11" t="s">
        <v>37</v>
      </c>
      <c r="FL157" s="13" t="s">
        <v>37</v>
      </c>
      <c r="FM157" s="11" t="s">
        <v>37</v>
      </c>
      <c r="FN157" s="11" t="s">
        <v>37</v>
      </c>
      <c r="FP157" s="12" t="s">
        <v>37</v>
      </c>
      <c r="FQ157" s="12" t="s">
        <v>37</v>
      </c>
      <c r="FR157" s="11" t="s">
        <v>37</v>
      </c>
      <c r="FS157" s="13" t="s">
        <v>37</v>
      </c>
      <c r="FT157" s="11" t="s">
        <v>37</v>
      </c>
      <c r="FU157" s="11" t="s">
        <v>37</v>
      </c>
      <c r="FW157" s="12" t="s">
        <v>37</v>
      </c>
      <c r="FX157" s="12" t="s">
        <v>37</v>
      </c>
      <c r="FY157" s="11" t="s">
        <v>37</v>
      </c>
      <c r="FZ157" s="13" t="s">
        <v>37</v>
      </c>
      <c r="GA157" s="11" t="s">
        <v>37</v>
      </c>
      <c r="GB157" s="11" t="s">
        <v>37</v>
      </c>
      <c r="HA157" s="17" t="s">
        <v>63</v>
      </c>
      <c r="HB157" s="34" t="s">
        <v>532</v>
      </c>
      <c r="HC157" s="12">
        <v>0.36</v>
      </c>
      <c r="HD157" s="12">
        <v>0.01</v>
      </c>
      <c r="HE157" s="13">
        <v>4</v>
      </c>
      <c r="HF157" s="19">
        <f t="shared" si="593"/>
        <v>2.777777777777778E-2</v>
      </c>
      <c r="HG157" s="12">
        <v>0.61</v>
      </c>
      <c r="HH157" s="12">
        <v>0.05</v>
      </c>
      <c r="HI157" s="13">
        <v>4</v>
      </c>
      <c r="HJ157" s="19">
        <f t="shared" si="594"/>
        <v>8.1967213114754106E-2</v>
      </c>
      <c r="HK157" s="19">
        <f t="shared" si="595"/>
        <v>0.52735492571720122</v>
      </c>
      <c r="HL157" s="19">
        <f t="shared" si="596"/>
        <v>1.8725572410177808E-3</v>
      </c>
      <c r="IK157" s="12" t="s">
        <v>37</v>
      </c>
      <c r="IL157" s="12" t="s">
        <v>37</v>
      </c>
      <c r="IM157" s="12" t="s">
        <v>37</v>
      </c>
      <c r="IO157" s="12" t="s">
        <v>37</v>
      </c>
      <c r="IP157" s="12" t="s">
        <v>37</v>
      </c>
      <c r="IQ157" s="12" t="s">
        <v>37</v>
      </c>
      <c r="IV157" s="32" t="s">
        <v>532</v>
      </c>
      <c r="IW157" s="12">
        <v>7.92</v>
      </c>
      <c r="IX157" s="12">
        <v>0.04</v>
      </c>
      <c r="IY157" s="13">
        <v>4</v>
      </c>
      <c r="IZ157" s="19">
        <f t="shared" si="597"/>
        <v>5.0505050505050509E-3</v>
      </c>
      <c r="JA157" s="12">
        <v>7.77</v>
      </c>
      <c r="JB157" s="12">
        <v>0.08</v>
      </c>
      <c r="JC157" s="13">
        <v>4</v>
      </c>
      <c r="JD157" s="19">
        <f t="shared" si="598"/>
        <v>1.0296010296010297E-2</v>
      </c>
      <c r="JE157" s="19">
        <f t="shared" si="599"/>
        <v>-1.9121041446778512E-2</v>
      </c>
      <c r="JF157" s="19">
        <f t="shared" ref="JF157:JF161" si="625">JB157^2/(JC157*JA157^2)+IX157^2/(IY157*IW157^2)</f>
        <v>3.2878857320181765E-5</v>
      </c>
      <c r="JH157" s="12" t="s">
        <v>37</v>
      </c>
      <c r="JI157" s="12" t="s">
        <v>37</v>
      </c>
      <c r="JJ157" s="13" t="s">
        <v>37</v>
      </c>
      <c r="JL157" s="12" t="s">
        <v>37</v>
      </c>
      <c r="JM157" s="12" t="s">
        <v>37</v>
      </c>
      <c r="JN157" s="12" t="s">
        <v>37</v>
      </c>
      <c r="JS157" s="12" t="s">
        <v>37</v>
      </c>
      <c r="JT157" s="12" t="s">
        <v>37</v>
      </c>
      <c r="JU157" s="13" t="s">
        <v>37</v>
      </c>
      <c r="JW157" s="12" t="s">
        <v>37</v>
      </c>
      <c r="JX157" s="12" t="s">
        <v>37</v>
      </c>
      <c r="JY157" s="12" t="s">
        <v>37</v>
      </c>
      <c r="KE157" s="11" t="s">
        <v>37</v>
      </c>
      <c r="KF157" s="11" t="s">
        <v>37</v>
      </c>
      <c r="KG157" s="13" t="s">
        <v>37</v>
      </c>
      <c r="KH157" s="11" t="s">
        <v>37</v>
      </c>
      <c r="KI157" s="11" t="s">
        <v>37</v>
      </c>
      <c r="KJ157" s="11" t="s">
        <v>37</v>
      </c>
      <c r="KK157" s="12" t="s">
        <v>42</v>
      </c>
      <c r="KL157" s="32" t="s">
        <v>532</v>
      </c>
      <c r="KM157" s="12">
        <v>2.13</v>
      </c>
      <c r="KN157" s="12">
        <v>1.01</v>
      </c>
      <c r="KO157" s="11">
        <v>4</v>
      </c>
      <c r="KP157" s="19">
        <f t="shared" ref="KP157:KP161" si="626">KN157/KM157</f>
        <v>0.47417840375586856</v>
      </c>
      <c r="KQ157" s="12">
        <v>1.64</v>
      </c>
      <c r="KR157" s="12">
        <v>0.92</v>
      </c>
      <c r="KS157" s="13">
        <v>4</v>
      </c>
      <c r="KT157" s="19">
        <f t="shared" ref="KT157:KT161" si="627">KR157/KQ157</f>
        <v>0.56097560975609762</v>
      </c>
      <c r="KU157" s="19">
        <f t="shared" si="600"/>
        <v>-0.26142573788522666</v>
      </c>
      <c r="KV157" s="19">
        <f t="shared" si="601"/>
        <v>0.13488469833242225</v>
      </c>
      <c r="KX157" s="12" t="s">
        <v>37</v>
      </c>
      <c r="KY157" s="12" t="s">
        <v>37</v>
      </c>
      <c r="KZ157" s="13" t="s">
        <v>37</v>
      </c>
      <c r="LB157" s="12" t="s">
        <v>37</v>
      </c>
      <c r="LC157" s="12" t="s">
        <v>37</v>
      </c>
      <c r="LD157" s="13" t="s">
        <v>37</v>
      </c>
      <c r="LI157" s="12" t="s">
        <v>37</v>
      </c>
      <c r="LJ157" s="12" t="s">
        <v>37</v>
      </c>
      <c r="LK157" s="12" t="s">
        <v>37</v>
      </c>
      <c r="LM157" s="12" t="s">
        <v>37</v>
      </c>
      <c r="LN157" s="12" t="s">
        <v>37</v>
      </c>
      <c r="LO157" s="12" t="s">
        <v>37</v>
      </c>
      <c r="LT157" s="12" t="str">
        <f t="shared" si="602"/>
        <v>0-60</v>
      </c>
      <c r="LU157" s="12">
        <f t="shared" si="603"/>
        <v>17.924250841475768</v>
      </c>
      <c r="LV157" s="12">
        <f t="shared" si="604"/>
        <v>9.2755217800713972</v>
      </c>
      <c r="LW157" s="13">
        <f t="shared" si="605"/>
        <v>4</v>
      </c>
      <c r="LX157" s="19">
        <f t="shared" si="606"/>
        <v>0.51748448859063778</v>
      </c>
      <c r="LY157" s="12">
        <f t="shared" si="607"/>
        <v>19.237026767019412</v>
      </c>
      <c r="LZ157" s="12">
        <f t="shared" si="608"/>
        <v>11.431172619739172</v>
      </c>
      <c r="MA157" s="13">
        <f t="shared" si="609"/>
        <v>4</v>
      </c>
      <c r="MB157" s="19">
        <f t="shared" si="610"/>
        <v>0.5942276193812418</v>
      </c>
      <c r="MC157" s="19">
        <f t="shared" si="611"/>
        <v>7.0682307804902325E-2</v>
      </c>
      <c r="MD157" s="19">
        <f t="shared" si="612"/>
        <v>0.15522416489185298</v>
      </c>
      <c r="MF157" s="12" t="s">
        <v>37</v>
      </c>
      <c r="MG157" s="12" t="s">
        <v>37</v>
      </c>
      <c r="MH157" s="12" t="s">
        <v>37</v>
      </c>
      <c r="MJ157" s="12" t="s">
        <v>37</v>
      </c>
      <c r="MK157" s="12" t="s">
        <v>37</v>
      </c>
      <c r="ML157" s="12" t="s">
        <v>37</v>
      </c>
      <c r="MQ157" s="12" t="s">
        <v>37</v>
      </c>
      <c r="MR157" s="12" t="s">
        <v>37</v>
      </c>
      <c r="MS157" s="12" t="s">
        <v>37</v>
      </c>
      <c r="MU157" s="12" t="s">
        <v>37</v>
      </c>
      <c r="MV157" s="12" t="s">
        <v>37</v>
      </c>
      <c r="MW157" s="12" t="s">
        <v>37</v>
      </c>
      <c r="NC157" s="12" t="s">
        <v>37</v>
      </c>
      <c r="ND157" s="12" t="s">
        <v>37</v>
      </c>
      <c r="NE157" s="13" t="s">
        <v>37</v>
      </c>
      <c r="NG157" s="12" t="s">
        <v>37</v>
      </c>
      <c r="NH157" s="12" t="s">
        <v>37</v>
      </c>
      <c r="NI157" s="13" t="s">
        <v>37</v>
      </c>
      <c r="NO157" s="12" t="s">
        <v>37</v>
      </c>
      <c r="NP157" s="12" t="s">
        <v>37</v>
      </c>
      <c r="NQ157" s="13" t="s">
        <v>37</v>
      </c>
      <c r="NS157" s="12" t="s">
        <v>37</v>
      </c>
      <c r="NT157" s="12" t="s">
        <v>37</v>
      </c>
      <c r="NU157" s="13" t="s">
        <v>37</v>
      </c>
      <c r="OA157" s="12" t="s">
        <v>37</v>
      </c>
      <c r="OB157" s="12" t="s">
        <v>37</v>
      </c>
      <c r="OC157" s="13" t="s">
        <v>37</v>
      </c>
      <c r="OE157" s="12" t="s">
        <v>37</v>
      </c>
      <c r="OF157" s="12" t="s">
        <v>37</v>
      </c>
      <c r="OG157" s="13" t="s">
        <v>37</v>
      </c>
      <c r="OM157" s="12" t="s">
        <v>37</v>
      </c>
      <c r="ON157" s="12" t="s">
        <v>37</v>
      </c>
      <c r="OO157" s="12" t="s">
        <v>37</v>
      </c>
      <c r="OP157" s="12" t="s">
        <v>37</v>
      </c>
      <c r="OQ157" s="12" t="s">
        <v>37</v>
      </c>
      <c r="OR157" s="12" t="s">
        <v>37</v>
      </c>
      <c r="OS157" s="12"/>
      <c r="OT157" s="12"/>
      <c r="OW157" s="12" t="s">
        <v>37</v>
      </c>
      <c r="OX157" s="12" t="s">
        <v>37</v>
      </c>
      <c r="OY157" s="13" t="s">
        <v>37</v>
      </c>
      <c r="OZ157" s="12" t="s">
        <v>37</v>
      </c>
      <c r="PA157" s="12" t="s">
        <v>37</v>
      </c>
      <c r="PB157" s="13" t="s">
        <v>37</v>
      </c>
      <c r="PG157" s="11" t="s">
        <v>37</v>
      </c>
      <c r="PH157" s="11" t="s">
        <v>37</v>
      </c>
      <c r="PI157" s="13" t="s">
        <v>37</v>
      </c>
      <c r="PJ157" s="11" t="s">
        <v>37</v>
      </c>
      <c r="PK157" s="11" t="s">
        <v>37</v>
      </c>
      <c r="PL157" s="13" t="s">
        <v>37</v>
      </c>
      <c r="PQ157" s="12" t="s">
        <v>37</v>
      </c>
      <c r="PR157" s="12" t="s">
        <v>37</v>
      </c>
      <c r="PS157" s="12" t="s">
        <v>37</v>
      </c>
      <c r="PT157" s="12" t="s">
        <v>37</v>
      </c>
      <c r="PU157" s="12" t="s">
        <v>37</v>
      </c>
      <c r="PV157" s="12" t="s">
        <v>37</v>
      </c>
      <c r="PW157" s="12"/>
      <c r="PX157" s="12"/>
      <c r="PY157" s="12" t="s">
        <v>43</v>
      </c>
      <c r="PZ157" s="12">
        <v>355.9</v>
      </c>
      <c r="QA157" s="12">
        <v>174.64</v>
      </c>
      <c r="QB157" s="11">
        <v>4</v>
      </c>
      <c r="QC157" s="19">
        <f t="shared" ref="QC157:QC175" si="628">QA157/PZ157</f>
        <v>0.49069963472885642</v>
      </c>
      <c r="QD157" s="12">
        <v>185.73</v>
      </c>
      <c r="QE157" s="12">
        <v>134.9</v>
      </c>
      <c r="QF157" s="13">
        <v>4</v>
      </c>
      <c r="QG157" s="19">
        <f t="shared" ref="QG157:QG160" si="629">QE157/QD157</f>
        <v>0.72632315727130792</v>
      </c>
      <c r="QH157" s="19">
        <f>LN(QD157/PZ157)</f>
        <v>-0.65035578631689639</v>
      </c>
      <c r="QI157" s="19">
        <f>QE157^2/(QF157*QD157^2)+QA157^2/(QB157*PZ157^2)</f>
        <v>0.19208286507789857</v>
      </c>
      <c r="QK157" s="12" t="s">
        <v>37</v>
      </c>
      <c r="QL157" s="12" t="s">
        <v>37</v>
      </c>
      <c r="QM157" s="12" t="s">
        <v>37</v>
      </c>
      <c r="QN157" s="12" t="s">
        <v>37</v>
      </c>
      <c r="QO157" s="12" t="s">
        <v>37</v>
      </c>
      <c r="QP157" s="12" t="s">
        <v>37</v>
      </c>
      <c r="QQ157" s="12"/>
      <c r="QR157" s="12"/>
      <c r="QU157" s="12" t="s">
        <v>37</v>
      </c>
      <c r="QV157" s="12" t="s">
        <v>37</v>
      </c>
      <c r="QW157" s="12" t="s">
        <v>37</v>
      </c>
      <c r="QX157" s="12" t="s">
        <v>37</v>
      </c>
      <c r="QY157" s="12" t="s">
        <v>37</v>
      </c>
      <c r="QZ157" s="12" t="s">
        <v>37</v>
      </c>
      <c r="RC157" s="12" t="s">
        <v>37</v>
      </c>
      <c r="RD157" s="12" t="s">
        <v>37</v>
      </c>
      <c r="RE157" s="13" t="s">
        <v>37</v>
      </c>
      <c r="RF157" s="12" t="s">
        <v>37</v>
      </c>
      <c r="RG157" s="12" t="s">
        <v>37</v>
      </c>
      <c r="RH157" s="13" t="s">
        <v>37</v>
      </c>
      <c r="RK157" s="12" t="s">
        <v>37</v>
      </c>
      <c r="RL157" s="12" t="s">
        <v>37</v>
      </c>
      <c r="RM157" s="11" t="s">
        <v>37</v>
      </c>
      <c r="RN157" s="12" t="s">
        <v>37</v>
      </c>
      <c r="RO157" s="12" t="s">
        <v>37</v>
      </c>
      <c r="RP157" s="11" t="s">
        <v>37</v>
      </c>
      <c r="RS157" s="12" t="s">
        <v>37</v>
      </c>
      <c r="RT157" s="12" t="s">
        <v>37</v>
      </c>
      <c r="RU157" s="12" t="s">
        <v>37</v>
      </c>
      <c r="RV157" s="12" t="s">
        <v>37</v>
      </c>
      <c r="RW157" s="12" t="s">
        <v>37</v>
      </c>
      <c r="RX157" s="12" t="s">
        <v>37</v>
      </c>
      <c r="SA157" s="12" t="s">
        <v>37</v>
      </c>
      <c r="SB157" s="12" t="s">
        <v>37</v>
      </c>
      <c r="SC157" s="12" t="s">
        <v>37</v>
      </c>
      <c r="SD157" s="12" t="s">
        <v>37</v>
      </c>
      <c r="SE157" s="12" t="s">
        <v>37</v>
      </c>
      <c r="SF157" s="12" t="s">
        <v>37</v>
      </c>
      <c r="SG157" s="12" t="s">
        <v>42</v>
      </c>
      <c r="SH157" s="12" t="s">
        <v>532</v>
      </c>
      <c r="SI157" s="12">
        <v>1.48</v>
      </c>
      <c r="SJ157" s="12">
        <v>0.51</v>
      </c>
      <c r="SK157" s="13">
        <v>4</v>
      </c>
      <c r="SL157" s="19">
        <f t="shared" si="614"/>
        <v>0.34459459459459463</v>
      </c>
      <c r="SM157" s="12">
        <v>1.17</v>
      </c>
      <c r="SN157" s="12">
        <v>0.08</v>
      </c>
      <c r="SO157" s="13">
        <v>4</v>
      </c>
      <c r="SP157" s="19">
        <f t="shared" si="615"/>
        <v>6.8376068376068383E-2</v>
      </c>
      <c r="SQ157" s="19">
        <f t="shared" si="616"/>
        <v>-0.23503833896635903</v>
      </c>
      <c r="SR157" s="19">
        <f t="shared" si="617"/>
        <v>3.0855180337595448E-2</v>
      </c>
      <c r="SU157" s="12" t="s">
        <v>37</v>
      </c>
      <c r="SV157" s="12" t="s">
        <v>37</v>
      </c>
      <c r="SW157" s="11" t="s">
        <v>37</v>
      </c>
      <c r="SX157" s="12" t="s">
        <v>37</v>
      </c>
      <c r="SY157" s="12" t="s">
        <v>37</v>
      </c>
      <c r="SZ157" s="11" t="s">
        <v>37</v>
      </c>
      <c r="TE157" s="12" t="s">
        <v>37</v>
      </c>
      <c r="TF157" s="12" t="s">
        <v>37</v>
      </c>
      <c r="TG157" s="11" t="s">
        <v>37</v>
      </c>
      <c r="TH157" s="12" t="s">
        <v>37</v>
      </c>
      <c r="TI157" s="12" t="s">
        <v>37</v>
      </c>
      <c r="TJ157" s="11" t="s">
        <v>37</v>
      </c>
      <c r="TO157" s="12" t="s">
        <v>37</v>
      </c>
      <c r="TP157" s="12" t="s">
        <v>37</v>
      </c>
      <c r="TQ157" s="11" t="s">
        <v>37</v>
      </c>
      <c r="TR157" s="12" t="s">
        <v>37</v>
      </c>
      <c r="TS157" s="12" t="s">
        <v>37</v>
      </c>
      <c r="TT157" s="11" t="s">
        <v>37</v>
      </c>
      <c r="TY157" s="12" t="s">
        <v>37</v>
      </c>
      <c r="TZ157" s="12" t="s">
        <v>37</v>
      </c>
      <c r="UA157" s="12" t="s">
        <v>37</v>
      </c>
      <c r="UB157" s="12" t="s">
        <v>37</v>
      </c>
      <c r="UC157" s="12" t="s">
        <v>37</v>
      </c>
      <c r="UD157" s="12" t="s">
        <v>37</v>
      </c>
      <c r="UE157" s="12"/>
      <c r="UF157" s="12"/>
      <c r="UI157" s="12" t="s">
        <v>37</v>
      </c>
      <c r="UJ157" s="12" t="s">
        <v>37</v>
      </c>
      <c r="UK157" s="12" t="s">
        <v>37</v>
      </c>
      <c r="UL157" s="12" t="s">
        <v>37</v>
      </c>
      <c r="UM157" s="12" t="s">
        <v>37</v>
      </c>
      <c r="UN157" s="12" t="s">
        <v>37</v>
      </c>
      <c r="UO157" s="12"/>
      <c r="UP157" s="12"/>
      <c r="UR157" s="12" t="s">
        <v>37</v>
      </c>
      <c r="US157" s="12" t="s">
        <v>37</v>
      </c>
      <c r="UT157" s="12" t="s">
        <v>37</v>
      </c>
      <c r="UU157" s="12" t="s">
        <v>37</v>
      </c>
      <c r="UV157" s="12" t="s">
        <v>37</v>
      </c>
      <c r="UW157" s="12" t="s">
        <v>37</v>
      </c>
      <c r="UX157" s="12"/>
      <c r="UY157" s="12"/>
      <c r="VB157" s="12" t="s">
        <v>37</v>
      </c>
      <c r="VC157" s="12" t="s">
        <v>37</v>
      </c>
      <c r="VD157" s="12" t="s">
        <v>37</v>
      </c>
      <c r="VE157" s="12" t="s">
        <v>37</v>
      </c>
      <c r="VF157" s="12" t="s">
        <v>37</v>
      </c>
      <c r="VG157" s="12" t="s">
        <v>37</v>
      </c>
      <c r="VI157" s="12" t="s">
        <v>37</v>
      </c>
      <c r="VJ157" s="12" t="s">
        <v>37</v>
      </c>
      <c r="VK157" s="12" t="s">
        <v>37</v>
      </c>
      <c r="VL157" s="12" t="s">
        <v>37</v>
      </c>
      <c r="VM157" s="12" t="s">
        <v>37</v>
      </c>
      <c r="VN157" s="12" t="s">
        <v>37</v>
      </c>
      <c r="VQ157" s="13" t="s">
        <v>37</v>
      </c>
      <c r="VR157" s="13" t="s">
        <v>37</v>
      </c>
      <c r="VS157" s="13" t="s">
        <v>37</v>
      </c>
      <c r="VT157" s="13" t="s">
        <v>37</v>
      </c>
      <c r="VU157" s="13" t="s">
        <v>37</v>
      </c>
      <c r="VV157" s="13" t="s">
        <v>37</v>
      </c>
      <c r="WA157" s="13" t="s">
        <v>37</v>
      </c>
      <c r="WB157" s="13" t="s">
        <v>37</v>
      </c>
      <c r="WC157" s="13" t="s">
        <v>37</v>
      </c>
      <c r="WD157" s="13" t="s">
        <v>37</v>
      </c>
      <c r="WE157" s="13" t="s">
        <v>37</v>
      </c>
      <c r="WF157" s="13" t="s">
        <v>37</v>
      </c>
    </row>
    <row r="158" spans="1:604" ht="18" customHeight="1" x14ac:dyDescent="0.4">
      <c r="A158" s="11">
        <v>37</v>
      </c>
      <c r="B158" s="16" t="s">
        <v>241</v>
      </c>
      <c r="C158" s="12" t="s">
        <v>26</v>
      </c>
      <c r="D158" s="12" t="s">
        <v>1039</v>
      </c>
      <c r="E158" s="40" t="s">
        <v>37</v>
      </c>
      <c r="F158" s="14">
        <v>0</v>
      </c>
      <c r="G158" s="14">
        <v>0</v>
      </c>
      <c r="H158" s="12" t="s">
        <v>79</v>
      </c>
      <c r="I158" s="29">
        <v>34.267000000000003</v>
      </c>
      <c r="J158" s="29">
        <v>102.43300000000001</v>
      </c>
      <c r="K158" s="12" t="s">
        <v>734</v>
      </c>
      <c r="L158" s="12" t="s">
        <v>735</v>
      </c>
      <c r="M158" s="13">
        <v>3430</v>
      </c>
      <c r="N158" s="14">
        <v>2.9</v>
      </c>
      <c r="O158" s="14">
        <v>592.6</v>
      </c>
      <c r="P158" s="14" t="s">
        <v>16</v>
      </c>
      <c r="Q158" s="75" t="s">
        <v>326</v>
      </c>
      <c r="R158" s="11" t="s">
        <v>37</v>
      </c>
      <c r="S158" s="12" t="s">
        <v>85</v>
      </c>
      <c r="T158" s="12" t="s">
        <v>138</v>
      </c>
      <c r="U158" s="12" t="s">
        <v>158</v>
      </c>
      <c r="V158" s="12" t="s">
        <v>275</v>
      </c>
      <c r="W158" s="23" t="s">
        <v>242</v>
      </c>
      <c r="X158" s="12" t="s">
        <v>280</v>
      </c>
      <c r="Y158" s="12" t="s">
        <v>69</v>
      </c>
      <c r="Z158" s="12" t="s">
        <v>218</v>
      </c>
      <c r="AA158" s="32" t="s">
        <v>532</v>
      </c>
      <c r="AB158" s="12">
        <v>7.92</v>
      </c>
      <c r="AC158" s="12" t="s">
        <v>42</v>
      </c>
      <c r="AD158" s="32" t="s">
        <v>532</v>
      </c>
      <c r="AE158" s="12">
        <f t="shared" si="618"/>
        <v>38.178654292343381</v>
      </c>
      <c r="AF158" s="12" t="s">
        <v>42</v>
      </c>
      <c r="AG158" s="32" t="s">
        <v>532</v>
      </c>
      <c r="AH158" s="12">
        <v>2.13</v>
      </c>
      <c r="AJ158" s="12" t="str">
        <f t="shared" si="584"/>
        <v>0-60</v>
      </c>
      <c r="AK158" s="19">
        <f t="shared" si="585"/>
        <v>17.924250841475768</v>
      </c>
      <c r="AL158" s="32" t="s">
        <v>243</v>
      </c>
      <c r="AM158" s="13" t="s">
        <v>344</v>
      </c>
      <c r="AO158" s="12" t="s">
        <v>37</v>
      </c>
      <c r="AP158" s="12" t="s">
        <v>167</v>
      </c>
      <c r="AQ158" s="12" t="s">
        <v>975</v>
      </c>
      <c r="AR158" s="12" t="s">
        <v>42</v>
      </c>
      <c r="AS158" s="32" t="s">
        <v>532</v>
      </c>
      <c r="AT158" s="12">
        <f t="shared" si="619"/>
        <v>38.178654292343381</v>
      </c>
      <c r="AU158" s="12">
        <f t="shared" si="620"/>
        <v>7.9118329466357311</v>
      </c>
      <c r="AV158" s="13">
        <v>4</v>
      </c>
      <c r="AW158" s="19">
        <f t="shared" si="621"/>
        <v>0.20723184442418721</v>
      </c>
      <c r="AX158" s="12">
        <f>53.63/1.724</f>
        <v>31.107888631090489</v>
      </c>
      <c r="AY158" s="12">
        <f>10.66/1.724</f>
        <v>6.1832946635730863</v>
      </c>
      <c r="AZ158" s="13">
        <v>4</v>
      </c>
      <c r="BA158" s="19">
        <f t="shared" si="622"/>
        <v>0.19876934551556966</v>
      </c>
      <c r="BB158" s="52">
        <f t="shared" si="586"/>
        <v>-0.20481513052035985</v>
      </c>
      <c r="BC158" s="19">
        <f t="shared" si="587"/>
        <v>2.0613572515034609E-2</v>
      </c>
      <c r="BE158" s="12" t="s">
        <v>326</v>
      </c>
      <c r="BF158" s="12" t="s">
        <v>326</v>
      </c>
      <c r="BG158" s="12" t="s">
        <v>326</v>
      </c>
      <c r="BI158" s="12" t="s">
        <v>326</v>
      </c>
      <c r="BJ158" s="12" t="s">
        <v>326</v>
      </c>
      <c r="BK158" s="12" t="s">
        <v>326</v>
      </c>
      <c r="BP158" s="12" t="s">
        <v>37</v>
      </c>
      <c r="BQ158" s="12" t="s">
        <v>37</v>
      </c>
      <c r="BR158" s="13" t="s">
        <v>37</v>
      </c>
      <c r="BT158" s="12" t="s">
        <v>37</v>
      </c>
      <c r="BU158" s="12" t="s">
        <v>37</v>
      </c>
      <c r="BV158" s="12" t="s">
        <v>37</v>
      </c>
      <c r="CA158" s="12" t="s">
        <v>37</v>
      </c>
      <c r="CB158" s="12" t="s">
        <v>37</v>
      </c>
      <c r="CC158" s="13" t="s">
        <v>37</v>
      </c>
      <c r="CE158" s="12" t="s">
        <v>37</v>
      </c>
      <c r="CF158" s="12" t="s">
        <v>37</v>
      </c>
      <c r="CG158" s="13" t="s">
        <v>37</v>
      </c>
      <c r="CI158" s="52"/>
      <c r="CJ158" s="52"/>
      <c r="CK158" s="73"/>
      <c r="CL158" s="73"/>
      <c r="CN158" s="12" t="s">
        <v>37</v>
      </c>
      <c r="CO158" s="12" t="s">
        <v>37</v>
      </c>
      <c r="CP158" s="13" t="s">
        <v>37</v>
      </c>
      <c r="CR158" s="12" t="s">
        <v>37</v>
      </c>
      <c r="CS158" s="12" t="s">
        <v>37</v>
      </c>
      <c r="CT158" s="13" t="s">
        <v>37</v>
      </c>
      <c r="CV158" s="52"/>
      <c r="CW158" s="52"/>
      <c r="CX158" s="73"/>
      <c r="CY158" s="73"/>
      <c r="DA158" s="12" t="s">
        <v>37</v>
      </c>
      <c r="DB158" s="12" t="s">
        <v>37</v>
      </c>
      <c r="DC158" s="13" t="s">
        <v>37</v>
      </c>
      <c r="DE158" s="12" t="s">
        <v>37</v>
      </c>
      <c r="DF158" s="12" t="s">
        <v>37</v>
      </c>
      <c r="DG158" s="13" t="s">
        <v>37</v>
      </c>
      <c r="DI158" s="52"/>
      <c r="DJ158" s="52"/>
      <c r="DK158" s="73"/>
      <c r="DL158" s="73"/>
      <c r="DM158" s="12" t="s">
        <v>47</v>
      </c>
      <c r="DN158" s="19">
        <f>SUM(464.07,3024.36)*10^4/10^6</f>
        <v>34.884300000000003</v>
      </c>
      <c r="DO158" s="12">
        <f>SQRT(36.69^2+273.6^2)*10^4/10^6</f>
        <v>2.7604911899877527</v>
      </c>
      <c r="DP158" s="13">
        <v>4</v>
      </c>
      <c r="DQ158" s="19">
        <f t="shared" si="579"/>
        <v>7.9132767175713783E-2</v>
      </c>
      <c r="DR158" s="19">
        <f>SUM(-467.97,-220.47)*10^4/10^6</f>
        <v>-6.8844000000000012</v>
      </c>
      <c r="DS158" s="12">
        <f>SQRT(38.09^2+23.45^2)*10^4/10^6</f>
        <v>0.4472975072588713</v>
      </c>
      <c r="DT158" s="13">
        <v>4</v>
      </c>
      <c r="DU158" s="19">
        <f t="shared" si="580"/>
        <v>6.4972620309521709E-2</v>
      </c>
      <c r="DV158" s="19">
        <f t="shared" si="509"/>
        <v>-41.768700000000003</v>
      </c>
      <c r="DW158" s="12">
        <f t="shared" si="485"/>
        <v>1.9774208795802677</v>
      </c>
      <c r="DX158" s="72">
        <f t="shared" si="345"/>
        <v>1.9550966674999997</v>
      </c>
      <c r="DY158" s="72">
        <f t="shared" si="346"/>
        <v>1.9550966674999997</v>
      </c>
      <c r="DZ158" s="12" t="s">
        <v>47</v>
      </c>
      <c r="EA158" s="19">
        <f t="shared" si="623"/>
        <v>-0.65249999999999997</v>
      </c>
      <c r="EB158" s="19">
        <f t="shared" si="624"/>
        <v>9.3070564627061342E-2</v>
      </c>
      <c r="EC158" s="72">
        <v>4</v>
      </c>
      <c r="ED158" s="52">
        <f t="shared" si="571"/>
        <v>0.14263688065450014</v>
      </c>
      <c r="EE158" s="19">
        <f>SUM(25.79,16.24)*10^4/10^6</f>
        <v>0.42030000000000001</v>
      </c>
      <c r="EF158" s="19">
        <f>SQRT(1.28^2+2.46^2)*10^4/10^6</f>
        <v>2.773084924772409E-2</v>
      </c>
      <c r="EG158" s="13">
        <v>4</v>
      </c>
      <c r="EH158" s="52">
        <f t="shared" si="588"/>
        <v>6.5978703896559812E-2</v>
      </c>
      <c r="EI158" s="19">
        <f t="shared" si="589"/>
        <v>1.0728</v>
      </c>
      <c r="EJ158" s="12">
        <f t="shared" si="590"/>
        <v>6.8669971603314353E-2</v>
      </c>
      <c r="EK158" s="19">
        <f t="shared" si="591"/>
        <v>2.3577825000000003E-3</v>
      </c>
      <c r="EL158" s="19">
        <f t="shared" si="592"/>
        <v>2.3577825000000007E-3</v>
      </c>
      <c r="EN158" s="12" t="s">
        <v>37</v>
      </c>
      <c r="EO158" s="12" t="s">
        <v>37</v>
      </c>
      <c r="EP158" s="13" t="s">
        <v>37</v>
      </c>
      <c r="ER158" s="12" t="s">
        <v>37</v>
      </c>
      <c r="ES158" s="12" t="s">
        <v>37</v>
      </c>
      <c r="ET158" s="13" t="s">
        <v>37</v>
      </c>
      <c r="FB158" s="12" t="s">
        <v>37</v>
      </c>
      <c r="FC158" s="12" t="s">
        <v>37</v>
      </c>
      <c r="FD158" s="11" t="s">
        <v>37</v>
      </c>
      <c r="FE158" s="12" t="s">
        <v>37</v>
      </c>
      <c r="FF158" s="20" t="s">
        <v>37</v>
      </c>
      <c r="FG158" s="11" t="s">
        <v>37</v>
      </c>
      <c r="FI158" s="12" t="s">
        <v>37</v>
      </c>
      <c r="FJ158" s="12" t="s">
        <v>37</v>
      </c>
      <c r="FK158" s="11" t="s">
        <v>37</v>
      </c>
      <c r="FL158" s="13" t="s">
        <v>37</v>
      </c>
      <c r="FM158" s="11" t="s">
        <v>37</v>
      </c>
      <c r="FN158" s="11" t="s">
        <v>37</v>
      </c>
      <c r="FP158" s="12" t="s">
        <v>37</v>
      </c>
      <c r="FQ158" s="12" t="s">
        <v>37</v>
      </c>
      <c r="FR158" s="11" t="s">
        <v>37</v>
      </c>
      <c r="FS158" s="13" t="s">
        <v>37</v>
      </c>
      <c r="FT158" s="11" t="s">
        <v>37</v>
      </c>
      <c r="FU158" s="11" t="s">
        <v>37</v>
      </c>
      <c r="FW158" s="12" t="s">
        <v>37</v>
      </c>
      <c r="FX158" s="12" t="s">
        <v>37</v>
      </c>
      <c r="FY158" s="11" t="s">
        <v>37</v>
      </c>
      <c r="FZ158" s="13" t="s">
        <v>37</v>
      </c>
      <c r="GA158" s="11" t="s">
        <v>37</v>
      </c>
      <c r="GB158" s="11" t="s">
        <v>37</v>
      </c>
      <c r="HA158" s="17" t="s">
        <v>63</v>
      </c>
      <c r="HB158" s="34" t="s">
        <v>532</v>
      </c>
      <c r="HC158" s="12">
        <v>0.36</v>
      </c>
      <c r="HD158" s="12">
        <v>0.01</v>
      </c>
      <c r="HE158" s="13">
        <v>4</v>
      </c>
      <c r="HF158" s="19">
        <f t="shared" si="593"/>
        <v>2.777777777777778E-2</v>
      </c>
      <c r="HG158" s="12">
        <v>0.56000000000000005</v>
      </c>
      <c r="HH158" s="12">
        <v>0.03</v>
      </c>
      <c r="HI158" s="13">
        <v>4</v>
      </c>
      <c r="HJ158" s="19">
        <f t="shared" si="594"/>
        <v>5.3571428571428562E-2</v>
      </c>
      <c r="HK158" s="19">
        <f t="shared" si="595"/>
        <v>0.4418327522790394</v>
      </c>
      <c r="HL158" s="19">
        <f t="shared" si="596"/>
        <v>9.1037572436381952E-4</v>
      </c>
      <c r="IK158" s="12" t="s">
        <v>37</v>
      </c>
      <c r="IL158" s="12" t="s">
        <v>37</v>
      </c>
      <c r="IM158" s="12" t="s">
        <v>37</v>
      </c>
      <c r="IO158" s="12" t="s">
        <v>37</v>
      </c>
      <c r="IP158" s="12" t="s">
        <v>37</v>
      </c>
      <c r="IQ158" s="12" t="s">
        <v>37</v>
      </c>
      <c r="IV158" s="32" t="s">
        <v>532</v>
      </c>
      <c r="IW158" s="12">
        <v>7.92</v>
      </c>
      <c r="IX158" s="12">
        <v>0.04</v>
      </c>
      <c r="IY158" s="13">
        <v>4</v>
      </c>
      <c r="IZ158" s="19">
        <f t="shared" si="597"/>
        <v>5.0505050505050509E-3</v>
      </c>
      <c r="JA158" s="12">
        <v>7.76</v>
      </c>
      <c r="JB158" s="12">
        <v>0.06</v>
      </c>
      <c r="JC158" s="13">
        <v>4</v>
      </c>
      <c r="JD158" s="19">
        <f t="shared" si="598"/>
        <v>7.7319587628865982E-3</v>
      </c>
      <c r="JE158" s="19">
        <f t="shared" si="599"/>
        <v>-2.0408871631207123E-2</v>
      </c>
      <c r="JF158" s="19">
        <f t="shared" si="625"/>
        <v>2.132269689403897E-5</v>
      </c>
      <c r="JH158" s="12" t="s">
        <v>37</v>
      </c>
      <c r="JI158" s="12" t="s">
        <v>37</v>
      </c>
      <c r="JJ158" s="13" t="s">
        <v>37</v>
      </c>
      <c r="JL158" s="12" t="s">
        <v>37</v>
      </c>
      <c r="JM158" s="12" t="s">
        <v>37</v>
      </c>
      <c r="JN158" s="12" t="s">
        <v>37</v>
      </c>
      <c r="JS158" s="12" t="s">
        <v>37</v>
      </c>
      <c r="JT158" s="12" t="s">
        <v>37</v>
      </c>
      <c r="JU158" s="13" t="s">
        <v>37</v>
      </c>
      <c r="JW158" s="12" t="s">
        <v>37</v>
      </c>
      <c r="JX158" s="12" t="s">
        <v>37</v>
      </c>
      <c r="JY158" s="12" t="s">
        <v>37</v>
      </c>
      <c r="KE158" s="11" t="s">
        <v>37</v>
      </c>
      <c r="KF158" s="11" t="s">
        <v>37</v>
      </c>
      <c r="KG158" s="13" t="s">
        <v>37</v>
      </c>
      <c r="KH158" s="11" t="s">
        <v>37</v>
      </c>
      <c r="KI158" s="11" t="s">
        <v>37</v>
      </c>
      <c r="KJ158" s="11" t="s">
        <v>37</v>
      </c>
      <c r="KK158" s="12" t="s">
        <v>42</v>
      </c>
      <c r="KL158" s="32" t="s">
        <v>532</v>
      </c>
      <c r="KM158" s="12">
        <v>2.13</v>
      </c>
      <c r="KN158" s="12">
        <v>1.01</v>
      </c>
      <c r="KO158" s="11">
        <v>4</v>
      </c>
      <c r="KP158" s="19">
        <f t="shared" si="626"/>
        <v>0.47417840375586856</v>
      </c>
      <c r="KQ158" s="12">
        <v>1.63</v>
      </c>
      <c r="KR158" s="12">
        <v>0.63</v>
      </c>
      <c r="KS158" s="13">
        <v>4</v>
      </c>
      <c r="KT158" s="19">
        <f t="shared" si="627"/>
        <v>0.38650306748466262</v>
      </c>
      <c r="KU158" s="19">
        <f t="shared" si="600"/>
        <v>-0.26754196490266285</v>
      </c>
      <c r="KV158" s="19">
        <f t="shared" si="601"/>
        <v>9.3557444940879295E-2</v>
      </c>
      <c r="KX158" s="12" t="s">
        <v>37</v>
      </c>
      <c r="KY158" s="12" t="s">
        <v>37</v>
      </c>
      <c r="KZ158" s="13" t="s">
        <v>37</v>
      </c>
      <c r="LB158" s="12" t="s">
        <v>37</v>
      </c>
      <c r="LC158" s="12" t="s">
        <v>37</v>
      </c>
      <c r="LD158" s="13" t="s">
        <v>37</v>
      </c>
      <c r="LI158" s="12" t="s">
        <v>37</v>
      </c>
      <c r="LJ158" s="12" t="s">
        <v>37</v>
      </c>
      <c r="LK158" s="12" t="s">
        <v>37</v>
      </c>
      <c r="LM158" s="12" t="s">
        <v>37</v>
      </c>
      <c r="LN158" s="12" t="s">
        <v>37</v>
      </c>
      <c r="LO158" s="12" t="s">
        <v>37</v>
      </c>
      <c r="LT158" s="12" t="str">
        <f t="shared" si="602"/>
        <v>0-60</v>
      </c>
      <c r="LU158" s="12">
        <f t="shared" si="603"/>
        <v>17.924250841475768</v>
      </c>
      <c r="LV158" s="12">
        <f t="shared" si="604"/>
        <v>9.2755217800713972</v>
      </c>
      <c r="LW158" s="13">
        <f t="shared" si="605"/>
        <v>4</v>
      </c>
      <c r="LX158" s="19">
        <f t="shared" si="606"/>
        <v>0.51748448859063778</v>
      </c>
      <c r="LY158" s="12">
        <f t="shared" si="607"/>
        <v>19.084594252202756</v>
      </c>
      <c r="LZ158" s="12">
        <f t="shared" si="608"/>
        <v>8.294531632538753</v>
      </c>
      <c r="MA158" s="13">
        <f t="shared" si="609"/>
        <v>4</v>
      </c>
      <c r="MB158" s="19">
        <f t="shared" si="610"/>
        <v>0.43461922862632479</v>
      </c>
      <c r="MC158" s="19">
        <f t="shared" si="611"/>
        <v>6.272683438230299E-2</v>
      </c>
      <c r="MD158" s="19">
        <f t="shared" si="612"/>
        <v>0.11417101745591388</v>
      </c>
      <c r="MF158" s="12" t="s">
        <v>37</v>
      </c>
      <c r="MG158" s="12" t="s">
        <v>37</v>
      </c>
      <c r="MH158" s="12" t="s">
        <v>37</v>
      </c>
      <c r="MJ158" s="12" t="s">
        <v>37</v>
      </c>
      <c r="MK158" s="12" t="s">
        <v>37</v>
      </c>
      <c r="ML158" s="12" t="s">
        <v>37</v>
      </c>
      <c r="MQ158" s="12" t="s">
        <v>37</v>
      </c>
      <c r="MR158" s="12" t="s">
        <v>37</v>
      </c>
      <c r="MS158" s="12" t="s">
        <v>37</v>
      </c>
      <c r="MU158" s="12" t="s">
        <v>37</v>
      </c>
      <c r="MV158" s="12" t="s">
        <v>37</v>
      </c>
      <c r="MW158" s="12" t="s">
        <v>37</v>
      </c>
      <c r="NC158" s="12" t="s">
        <v>37</v>
      </c>
      <c r="ND158" s="12" t="s">
        <v>37</v>
      </c>
      <c r="NE158" s="13" t="s">
        <v>37</v>
      </c>
      <c r="NG158" s="12" t="s">
        <v>37</v>
      </c>
      <c r="NH158" s="12" t="s">
        <v>37</v>
      </c>
      <c r="NI158" s="13" t="s">
        <v>37</v>
      </c>
      <c r="NO158" s="12" t="s">
        <v>37</v>
      </c>
      <c r="NP158" s="12" t="s">
        <v>37</v>
      </c>
      <c r="NQ158" s="13" t="s">
        <v>37</v>
      </c>
      <c r="NS158" s="12" t="s">
        <v>37</v>
      </c>
      <c r="NT158" s="12" t="s">
        <v>37</v>
      </c>
      <c r="NU158" s="13" t="s">
        <v>37</v>
      </c>
      <c r="OA158" s="12" t="s">
        <v>37</v>
      </c>
      <c r="OB158" s="12" t="s">
        <v>37</v>
      </c>
      <c r="OC158" s="13" t="s">
        <v>37</v>
      </c>
      <c r="OE158" s="12" t="s">
        <v>37</v>
      </c>
      <c r="OF158" s="12" t="s">
        <v>37</v>
      </c>
      <c r="OG158" s="13" t="s">
        <v>37</v>
      </c>
      <c r="OM158" s="12" t="s">
        <v>37</v>
      </c>
      <c r="ON158" s="12" t="s">
        <v>37</v>
      </c>
      <c r="OO158" s="12" t="s">
        <v>37</v>
      </c>
      <c r="OP158" s="12" t="s">
        <v>37</v>
      </c>
      <c r="OQ158" s="12" t="s">
        <v>37</v>
      </c>
      <c r="OR158" s="12" t="s">
        <v>37</v>
      </c>
      <c r="OS158" s="12"/>
      <c r="OT158" s="12"/>
      <c r="OW158" s="12" t="s">
        <v>37</v>
      </c>
      <c r="OX158" s="12" t="s">
        <v>37</v>
      </c>
      <c r="OY158" s="13" t="s">
        <v>37</v>
      </c>
      <c r="OZ158" s="12" t="s">
        <v>37</v>
      </c>
      <c r="PA158" s="12" t="s">
        <v>37</v>
      </c>
      <c r="PB158" s="13" t="s">
        <v>37</v>
      </c>
      <c r="PG158" s="11" t="s">
        <v>37</v>
      </c>
      <c r="PH158" s="11" t="s">
        <v>37</v>
      </c>
      <c r="PI158" s="13" t="s">
        <v>37</v>
      </c>
      <c r="PJ158" s="11" t="s">
        <v>37</v>
      </c>
      <c r="PK158" s="11" t="s">
        <v>37</v>
      </c>
      <c r="PL158" s="13" t="s">
        <v>37</v>
      </c>
      <c r="PQ158" s="12" t="s">
        <v>37</v>
      </c>
      <c r="PR158" s="12" t="s">
        <v>37</v>
      </c>
      <c r="PS158" s="12" t="s">
        <v>37</v>
      </c>
      <c r="PT158" s="12" t="s">
        <v>37</v>
      </c>
      <c r="PU158" s="12" t="s">
        <v>37</v>
      </c>
      <c r="PV158" s="12" t="s">
        <v>37</v>
      </c>
      <c r="PW158" s="12"/>
      <c r="PX158" s="12"/>
      <c r="PY158" s="12" t="s">
        <v>43</v>
      </c>
      <c r="PZ158" s="12">
        <v>355.9</v>
      </c>
      <c r="QA158" s="12">
        <v>174.64</v>
      </c>
      <c r="QB158" s="11">
        <v>4</v>
      </c>
      <c r="QC158" s="19">
        <f t="shared" si="628"/>
        <v>0.49069963472885642</v>
      </c>
      <c r="QF158" s="12"/>
      <c r="QK158" s="12" t="s">
        <v>37</v>
      </c>
      <c r="QL158" s="12" t="s">
        <v>37</v>
      </c>
      <c r="QM158" s="12" t="s">
        <v>37</v>
      </c>
      <c r="QN158" s="12" t="s">
        <v>37</v>
      </c>
      <c r="QO158" s="12" t="s">
        <v>37</v>
      </c>
      <c r="QP158" s="12" t="s">
        <v>37</v>
      </c>
      <c r="QQ158" s="12"/>
      <c r="QR158" s="12"/>
      <c r="QU158" s="12" t="s">
        <v>37</v>
      </c>
      <c r="QV158" s="12" t="s">
        <v>37</v>
      </c>
      <c r="QW158" s="12" t="s">
        <v>37</v>
      </c>
      <c r="QX158" s="12" t="s">
        <v>37</v>
      </c>
      <c r="QY158" s="12" t="s">
        <v>37</v>
      </c>
      <c r="QZ158" s="12" t="s">
        <v>37</v>
      </c>
      <c r="RC158" s="12" t="s">
        <v>37</v>
      </c>
      <c r="RD158" s="12" t="s">
        <v>37</v>
      </c>
      <c r="RE158" s="13" t="s">
        <v>37</v>
      </c>
      <c r="RF158" s="12" t="s">
        <v>37</v>
      </c>
      <c r="RG158" s="12" t="s">
        <v>37</v>
      </c>
      <c r="RH158" s="13" t="s">
        <v>37</v>
      </c>
      <c r="RK158" s="12" t="s">
        <v>37</v>
      </c>
      <c r="RL158" s="12" t="s">
        <v>37</v>
      </c>
      <c r="RM158" s="11" t="s">
        <v>37</v>
      </c>
      <c r="RN158" s="12" t="s">
        <v>37</v>
      </c>
      <c r="RO158" s="12" t="s">
        <v>37</v>
      </c>
      <c r="RP158" s="11" t="s">
        <v>37</v>
      </c>
      <c r="RS158" s="12" t="s">
        <v>37</v>
      </c>
      <c r="RT158" s="12" t="s">
        <v>37</v>
      </c>
      <c r="RU158" s="12" t="s">
        <v>37</v>
      </c>
      <c r="RV158" s="12" t="s">
        <v>37</v>
      </c>
      <c r="RW158" s="12" t="s">
        <v>37</v>
      </c>
      <c r="RX158" s="12" t="s">
        <v>37</v>
      </c>
      <c r="SA158" s="12" t="s">
        <v>37</v>
      </c>
      <c r="SB158" s="12" t="s">
        <v>37</v>
      </c>
      <c r="SC158" s="12" t="s">
        <v>37</v>
      </c>
      <c r="SD158" s="12" t="s">
        <v>37</v>
      </c>
      <c r="SE158" s="12" t="s">
        <v>37</v>
      </c>
      <c r="SF158" s="12" t="s">
        <v>37</v>
      </c>
      <c r="SG158" s="12" t="s">
        <v>42</v>
      </c>
      <c r="SH158" s="12" t="s">
        <v>532</v>
      </c>
      <c r="SI158" s="12">
        <v>1.48</v>
      </c>
      <c r="SJ158" s="12">
        <v>0.51</v>
      </c>
      <c r="SK158" s="13">
        <v>4</v>
      </c>
      <c r="SL158" s="19">
        <f t="shared" si="614"/>
        <v>0.34459459459459463</v>
      </c>
      <c r="SM158" s="12">
        <v>1.1499999999999999</v>
      </c>
      <c r="SN158" s="12">
        <v>0.22</v>
      </c>
      <c r="SO158" s="13">
        <v>4</v>
      </c>
      <c r="SP158" s="19">
        <f t="shared" si="615"/>
        <v>0.19130434782608696</v>
      </c>
      <c r="SQ158" s="19">
        <f t="shared" si="616"/>
        <v>-0.25228014540086507</v>
      </c>
      <c r="SR158" s="19">
        <f t="shared" si="617"/>
        <v>3.8835697030244372E-2</v>
      </c>
      <c r="SU158" s="12" t="s">
        <v>37</v>
      </c>
      <c r="SV158" s="12" t="s">
        <v>37</v>
      </c>
      <c r="SW158" s="11" t="s">
        <v>37</v>
      </c>
      <c r="SX158" s="12" t="s">
        <v>37</v>
      </c>
      <c r="SY158" s="12" t="s">
        <v>37</v>
      </c>
      <c r="SZ158" s="11" t="s">
        <v>37</v>
      </c>
      <c r="TE158" s="12" t="s">
        <v>37</v>
      </c>
      <c r="TF158" s="12" t="s">
        <v>37</v>
      </c>
      <c r="TG158" s="11" t="s">
        <v>37</v>
      </c>
      <c r="TH158" s="12" t="s">
        <v>37</v>
      </c>
      <c r="TI158" s="12" t="s">
        <v>37</v>
      </c>
      <c r="TJ158" s="11" t="s">
        <v>37</v>
      </c>
      <c r="TO158" s="12" t="s">
        <v>37</v>
      </c>
      <c r="TP158" s="12" t="s">
        <v>37</v>
      </c>
      <c r="TQ158" s="11" t="s">
        <v>37</v>
      </c>
      <c r="TR158" s="12" t="s">
        <v>37</v>
      </c>
      <c r="TS158" s="12" t="s">
        <v>37</v>
      </c>
      <c r="TT158" s="11" t="s">
        <v>37</v>
      </c>
      <c r="TY158" s="12" t="s">
        <v>37</v>
      </c>
      <c r="TZ158" s="12" t="s">
        <v>37</v>
      </c>
      <c r="UA158" s="12" t="s">
        <v>37</v>
      </c>
      <c r="UB158" s="12" t="s">
        <v>37</v>
      </c>
      <c r="UC158" s="12" t="s">
        <v>37</v>
      </c>
      <c r="UD158" s="12" t="s">
        <v>37</v>
      </c>
      <c r="UE158" s="12"/>
      <c r="UF158" s="12"/>
      <c r="UI158" s="12" t="s">
        <v>37</v>
      </c>
      <c r="UJ158" s="12" t="s">
        <v>37</v>
      </c>
      <c r="UK158" s="12" t="s">
        <v>37</v>
      </c>
      <c r="UL158" s="12" t="s">
        <v>37</v>
      </c>
      <c r="UM158" s="12" t="s">
        <v>37</v>
      </c>
      <c r="UN158" s="12" t="s">
        <v>37</v>
      </c>
      <c r="UO158" s="12"/>
      <c r="UP158" s="12"/>
      <c r="UR158" s="12" t="s">
        <v>37</v>
      </c>
      <c r="US158" s="12" t="s">
        <v>37</v>
      </c>
      <c r="UT158" s="12" t="s">
        <v>37</v>
      </c>
      <c r="UU158" s="12" t="s">
        <v>37</v>
      </c>
      <c r="UV158" s="12" t="s">
        <v>37</v>
      </c>
      <c r="UW158" s="12" t="s">
        <v>37</v>
      </c>
      <c r="UX158" s="12"/>
      <c r="UY158" s="12"/>
      <c r="VB158" s="12" t="s">
        <v>37</v>
      </c>
      <c r="VC158" s="12" t="s">
        <v>37</v>
      </c>
      <c r="VD158" s="12" t="s">
        <v>37</v>
      </c>
      <c r="VE158" s="12" t="s">
        <v>37</v>
      </c>
      <c r="VF158" s="12" t="s">
        <v>37</v>
      </c>
      <c r="VG158" s="12" t="s">
        <v>37</v>
      </c>
      <c r="VI158" s="12" t="s">
        <v>37</v>
      </c>
      <c r="VJ158" s="12" t="s">
        <v>37</v>
      </c>
      <c r="VK158" s="12" t="s">
        <v>37</v>
      </c>
      <c r="VL158" s="12" t="s">
        <v>37</v>
      </c>
      <c r="VM158" s="12" t="s">
        <v>37</v>
      </c>
      <c r="VN158" s="12" t="s">
        <v>37</v>
      </c>
      <c r="VQ158" s="13" t="s">
        <v>37</v>
      </c>
      <c r="VR158" s="13" t="s">
        <v>37</v>
      </c>
      <c r="VS158" s="13" t="s">
        <v>37</v>
      </c>
      <c r="VT158" s="13" t="s">
        <v>37</v>
      </c>
      <c r="VU158" s="13" t="s">
        <v>37</v>
      </c>
      <c r="VV158" s="13" t="s">
        <v>37</v>
      </c>
      <c r="WA158" s="13" t="s">
        <v>37</v>
      </c>
      <c r="WB158" s="13" t="s">
        <v>37</v>
      </c>
      <c r="WC158" s="13" t="s">
        <v>37</v>
      </c>
      <c r="WD158" s="13" t="s">
        <v>37</v>
      </c>
      <c r="WE158" s="13" t="s">
        <v>37</v>
      </c>
      <c r="WF158" s="13" t="s">
        <v>37</v>
      </c>
    </row>
    <row r="159" spans="1:604" ht="18" customHeight="1" x14ac:dyDescent="0.4">
      <c r="A159" s="11">
        <v>37</v>
      </c>
      <c r="B159" s="16" t="s">
        <v>241</v>
      </c>
      <c r="C159" s="12" t="s">
        <v>26</v>
      </c>
      <c r="D159" s="12" t="s">
        <v>1039</v>
      </c>
      <c r="E159" s="40" t="s">
        <v>37</v>
      </c>
      <c r="F159" s="14">
        <v>0</v>
      </c>
      <c r="G159" s="14">
        <v>0</v>
      </c>
      <c r="H159" s="12" t="s">
        <v>79</v>
      </c>
      <c r="I159" s="29">
        <v>34.267000000000003</v>
      </c>
      <c r="J159" s="29">
        <v>102.43300000000001</v>
      </c>
      <c r="K159" s="12" t="s">
        <v>734</v>
      </c>
      <c r="L159" s="12" t="s">
        <v>735</v>
      </c>
      <c r="M159" s="13">
        <v>3430</v>
      </c>
      <c r="N159" s="14">
        <v>2.9</v>
      </c>
      <c r="O159" s="14">
        <v>592.6</v>
      </c>
      <c r="P159" s="14" t="s">
        <v>16</v>
      </c>
      <c r="Q159" s="75" t="s">
        <v>326</v>
      </c>
      <c r="R159" s="11" t="s">
        <v>37</v>
      </c>
      <c r="S159" s="12" t="s">
        <v>85</v>
      </c>
      <c r="T159" s="12" t="s">
        <v>138</v>
      </c>
      <c r="U159" s="12" t="s">
        <v>158</v>
      </c>
      <c r="V159" s="12" t="s">
        <v>275</v>
      </c>
      <c r="W159" s="23" t="s">
        <v>242</v>
      </c>
      <c r="X159" s="12" t="s">
        <v>280</v>
      </c>
      <c r="Y159" s="12" t="s">
        <v>69</v>
      </c>
      <c r="Z159" s="12" t="s">
        <v>218</v>
      </c>
      <c r="AA159" s="32" t="s">
        <v>532</v>
      </c>
      <c r="AB159" s="12">
        <v>7.92</v>
      </c>
      <c r="AC159" s="12" t="s">
        <v>42</v>
      </c>
      <c r="AD159" s="32" t="s">
        <v>532</v>
      </c>
      <c r="AE159" s="12">
        <f t="shared" si="618"/>
        <v>38.178654292343381</v>
      </c>
      <c r="AF159" s="12" t="s">
        <v>42</v>
      </c>
      <c r="AG159" s="32" t="s">
        <v>532</v>
      </c>
      <c r="AH159" s="12">
        <v>2.13</v>
      </c>
      <c r="AJ159" s="12" t="str">
        <f t="shared" si="584"/>
        <v>0-60</v>
      </c>
      <c r="AK159" s="19">
        <f t="shared" si="585"/>
        <v>17.924250841475768</v>
      </c>
      <c r="AL159" s="32" t="s">
        <v>244</v>
      </c>
      <c r="AM159" s="13" t="s">
        <v>344</v>
      </c>
      <c r="AO159" s="12" t="s">
        <v>37</v>
      </c>
      <c r="AP159" s="12" t="s">
        <v>167</v>
      </c>
      <c r="AQ159" s="12" t="s">
        <v>975</v>
      </c>
      <c r="AR159" s="12" t="s">
        <v>42</v>
      </c>
      <c r="AS159" s="32" t="s">
        <v>532</v>
      </c>
      <c r="AT159" s="12">
        <f t="shared" si="619"/>
        <v>38.178654292343381</v>
      </c>
      <c r="AU159" s="12">
        <f t="shared" si="620"/>
        <v>7.9118329466357311</v>
      </c>
      <c r="AV159" s="13">
        <v>4</v>
      </c>
      <c r="AW159" s="19">
        <f t="shared" si="621"/>
        <v>0.20723184442418721</v>
      </c>
      <c r="AX159" s="12">
        <f>64.45/1.724</f>
        <v>37.38399071925754</v>
      </c>
      <c r="AY159" s="12">
        <f>9.67/1.724</f>
        <v>5.6090487238979119</v>
      </c>
      <c r="AZ159" s="13">
        <v>4</v>
      </c>
      <c r="BA159" s="19">
        <f t="shared" si="622"/>
        <v>0.15003878975950349</v>
      </c>
      <c r="BB159" s="52">
        <f t="shared" si="586"/>
        <v>-2.1034014129997343E-2</v>
      </c>
      <c r="BC159" s="19">
        <f t="shared" si="587"/>
        <v>1.6364168943986755E-2</v>
      </c>
      <c r="BE159" s="12" t="s">
        <v>326</v>
      </c>
      <c r="BF159" s="12" t="s">
        <v>326</v>
      </c>
      <c r="BG159" s="12" t="s">
        <v>326</v>
      </c>
      <c r="BI159" s="12" t="s">
        <v>326</v>
      </c>
      <c r="BJ159" s="12" t="s">
        <v>326</v>
      </c>
      <c r="BK159" s="12" t="s">
        <v>326</v>
      </c>
      <c r="BP159" s="12" t="s">
        <v>37</v>
      </c>
      <c r="BQ159" s="12" t="s">
        <v>37</v>
      </c>
      <c r="BR159" s="13" t="s">
        <v>37</v>
      </c>
      <c r="BT159" s="12" t="s">
        <v>37</v>
      </c>
      <c r="BU159" s="12" t="s">
        <v>37</v>
      </c>
      <c r="BV159" s="12" t="s">
        <v>37</v>
      </c>
      <c r="CA159" s="12" t="s">
        <v>37</v>
      </c>
      <c r="CB159" s="12" t="s">
        <v>37</v>
      </c>
      <c r="CC159" s="13" t="s">
        <v>37</v>
      </c>
      <c r="CE159" s="12" t="s">
        <v>37</v>
      </c>
      <c r="CF159" s="12" t="s">
        <v>37</v>
      </c>
      <c r="CG159" s="13" t="s">
        <v>37</v>
      </c>
      <c r="CI159" s="52"/>
      <c r="CJ159" s="52"/>
      <c r="CK159" s="73"/>
      <c r="CL159" s="73"/>
      <c r="CN159" s="12" t="s">
        <v>37</v>
      </c>
      <c r="CO159" s="12" t="s">
        <v>37</v>
      </c>
      <c r="CP159" s="13" t="s">
        <v>37</v>
      </c>
      <c r="CR159" s="12" t="s">
        <v>37</v>
      </c>
      <c r="CS159" s="12" t="s">
        <v>37</v>
      </c>
      <c r="CT159" s="13" t="s">
        <v>37</v>
      </c>
      <c r="CV159" s="52"/>
      <c r="CW159" s="52"/>
      <c r="CX159" s="73"/>
      <c r="CY159" s="73"/>
      <c r="DA159" s="12" t="s">
        <v>37</v>
      </c>
      <c r="DB159" s="12" t="s">
        <v>37</v>
      </c>
      <c r="DC159" s="13" t="s">
        <v>37</v>
      </c>
      <c r="DE159" s="12" t="s">
        <v>37</v>
      </c>
      <c r="DF159" s="12" t="s">
        <v>37</v>
      </c>
      <c r="DG159" s="13" t="s">
        <v>37</v>
      </c>
      <c r="DI159" s="52"/>
      <c r="DJ159" s="52"/>
      <c r="DK159" s="73"/>
      <c r="DL159" s="73"/>
      <c r="DM159" s="12" t="s">
        <v>47</v>
      </c>
      <c r="DN159" s="19">
        <f>SUM(285.97,946.52)*10^4/10^6</f>
        <v>12.3249</v>
      </c>
      <c r="DO159" s="12">
        <f>SQRT(310.31^2+259.98^2)*10^4/10^6</f>
        <v>4.0482329046140624</v>
      </c>
      <c r="DP159" s="13">
        <v>4</v>
      </c>
      <c r="DQ159" s="19">
        <f t="shared" si="579"/>
        <v>0.32845969578771939</v>
      </c>
      <c r="DR159" s="19">
        <f>SUM(171.06,285.76)*10^4/10^6</f>
        <v>4.5682</v>
      </c>
      <c r="DS159" s="12">
        <f>SQRT(15.13^2+143.06^2)*10^4/10^6</f>
        <v>1.4385784823915586</v>
      </c>
      <c r="DT159" s="13">
        <v>4</v>
      </c>
      <c r="DU159" s="19">
        <f t="shared" si="580"/>
        <v>0.31491144923417508</v>
      </c>
      <c r="DV159" s="19">
        <f t="shared" si="509"/>
        <v>-7.7566999999999995</v>
      </c>
      <c r="DW159" s="12">
        <f t="shared" si="485"/>
        <v>3.0379020474663108</v>
      </c>
      <c r="DX159" s="72">
        <f t="shared" si="345"/>
        <v>4.6144244250000019</v>
      </c>
      <c r="DY159" s="72">
        <f t="shared" si="346"/>
        <v>4.6144244250000019</v>
      </c>
      <c r="DZ159" s="12" t="s">
        <v>47</v>
      </c>
      <c r="EA159" s="19">
        <f>SUM(-39.18,2.96)*10^4/10^6</f>
        <v>-0.36220000000000002</v>
      </c>
      <c r="EB159" s="19">
        <f>SQRT(1.62^2+55.4^2)*10^4/10^6</f>
        <v>0.55423680859358304</v>
      </c>
      <c r="EC159" s="72">
        <v>4</v>
      </c>
      <c r="ED159" s="52">
        <f t="shared" si="571"/>
        <v>1.530195495840925</v>
      </c>
      <c r="EE159" s="19">
        <f>SUM(1.12,-3.97)*10^4/10^6</f>
        <v>-2.8500000000000001E-2</v>
      </c>
      <c r="EF159" s="19">
        <f>SQRT(9.94^2+0.58^2)*10^4/10^6</f>
        <v>9.9569071503153028E-2</v>
      </c>
      <c r="EG159" s="13">
        <v>4</v>
      </c>
      <c r="EH159" s="52">
        <f t="shared" si="588"/>
        <v>3.4936516316895796</v>
      </c>
      <c r="EI159" s="19">
        <f t="shared" si="589"/>
        <v>0.3337</v>
      </c>
      <c r="EJ159" s="12">
        <f t="shared" si="590"/>
        <v>0.3981786282562137</v>
      </c>
      <c r="EK159" s="19">
        <f t="shared" si="591"/>
        <v>7.9273110000000008E-2</v>
      </c>
      <c r="EL159" s="19">
        <f t="shared" si="592"/>
        <v>7.9273109999999994E-2</v>
      </c>
      <c r="EN159" s="12" t="s">
        <v>37</v>
      </c>
      <c r="EO159" s="12" t="s">
        <v>37</v>
      </c>
      <c r="EP159" s="13" t="s">
        <v>37</v>
      </c>
      <c r="ER159" s="12" t="s">
        <v>37</v>
      </c>
      <c r="ES159" s="12" t="s">
        <v>37</v>
      </c>
      <c r="ET159" s="13" t="s">
        <v>37</v>
      </c>
      <c r="FB159" s="12" t="s">
        <v>37</v>
      </c>
      <c r="FC159" s="12" t="s">
        <v>37</v>
      </c>
      <c r="FD159" s="11" t="s">
        <v>37</v>
      </c>
      <c r="FE159" s="12" t="s">
        <v>37</v>
      </c>
      <c r="FF159" s="20" t="s">
        <v>37</v>
      </c>
      <c r="FG159" s="11" t="s">
        <v>37</v>
      </c>
      <c r="FI159" s="12" t="s">
        <v>37</v>
      </c>
      <c r="FJ159" s="12" t="s">
        <v>37</v>
      </c>
      <c r="FK159" s="11" t="s">
        <v>37</v>
      </c>
      <c r="FL159" s="13" t="s">
        <v>37</v>
      </c>
      <c r="FM159" s="11" t="s">
        <v>37</v>
      </c>
      <c r="FN159" s="11" t="s">
        <v>37</v>
      </c>
      <c r="FP159" s="12" t="s">
        <v>37</v>
      </c>
      <c r="FQ159" s="12" t="s">
        <v>37</v>
      </c>
      <c r="FR159" s="11" t="s">
        <v>37</v>
      </c>
      <c r="FS159" s="13" t="s">
        <v>37</v>
      </c>
      <c r="FT159" s="11" t="s">
        <v>37</v>
      </c>
      <c r="FU159" s="11" t="s">
        <v>37</v>
      </c>
      <c r="FW159" s="12" t="s">
        <v>37</v>
      </c>
      <c r="FX159" s="12" t="s">
        <v>37</v>
      </c>
      <c r="FY159" s="11" t="s">
        <v>37</v>
      </c>
      <c r="FZ159" s="13" t="s">
        <v>37</v>
      </c>
      <c r="GA159" s="11" t="s">
        <v>37</v>
      </c>
      <c r="GB159" s="11" t="s">
        <v>37</v>
      </c>
      <c r="HA159" s="17" t="s">
        <v>63</v>
      </c>
      <c r="HB159" s="34" t="s">
        <v>532</v>
      </c>
      <c r="HC159" s="12">
        <v>0.36</v>
      </c>
      <c r="HD159" s="12">
        <v>0.01</v>
      </c>
      <c r="HE159" s="13">
        <v>4</v>
      </c>
      <c r="HF159" s="19">
        <f t="shared" si="593"/>
        <v>2.777777777777778E-2</v>
      </c>
      <c r="HG159" s="12">
        <v>0.39</v>
      </c>
      <c r="HH159" s="12">
        <v>0.02</v>
      </c>
      <c r="HI159" s="13">
        <v>4</v>
      </c>
      <c r="HJ159" s="19">
        <f t="shared" si="594"/>
        <v>5.128205128205128E-2</v>
      </c>
      <c r="HK159" s="19">
        <f t="shared" si="595"/>
        <v>8.0042707673536564E-2</v>
      </c>
      <c r="HL159" s="19">
        <f t="shared" si="596"/>
        <v>8.5036343049163553E-4</v>
      </c>
      <c r="IK159" s="12" t="s">
        <v>37</v>
      </c>
      <c r="IL159" s="12" t="s">
        <v>37</v>
      </c>
      <c r="IM159" s="12" t="s">
        <v>37</v>
      </c>
      <c r="IO159" s="12" t="s">
        <v>37</v>
      </c>
      <c r="IP159" s="12" t="s">
        <v>37</v>
      </c>
      <c r="IQ159" s="12" t="s">
        <v>37</v>
      </c>
      <c r="IV159" s="32" t="s">
        <v>532</v>
      </c>
      <c r="IW159" s="12">
        <v>7.92</v>
      </c>
      <c r="IX159" s="12">
        <v>0.04</v>
      </c>
      <c r="IY159" s="13">
        <v>4</v>
      </c>
      <c r="IZ159" s="19">
        <f t="shared" si="597"/>
        <v>5.0505050505050509E-3</v>
      </c>
      <c r="JA159" s="12">
        <v>7.79</v>
      </c>
      <c r="JB159" s="12">
        <v>0.06</v>
      </c>
      <c r="JC159" s="13">
        <v>4</v>
      </c>
      <c r="JD159" s="19">
        <f t="shared" si="598"/>
        <v>7.702182284980744E-3</v>
      </c>
      <c r="JE159" s="19">
        <f t="shared" si="599"/>
        <v>-1.6550345943677613E-2</v>
      </c>
      <c r="JF159" s="19">
        <f t="shared" si="625"/>
        <v>2.1207803304062055E-5</v>
      </c>
      <c r="JH159" s="12" t="s">
        <v>37</v>
      </c>
      <c r="JI159" s="12" t="s">
        <v>37</v>
      </c>
      <c r="JJ159" s="13" t="s">
        <v>37</v>
      </c>
      <c r="JL159" s="12" t="s">
        <v>37</v>
      </c>
      <c r="JM159" s="12" t="s">
        <v>37</v>
      </c>
      <c r="JN159" s="12" t="s">
        <v>37</v>
      </c>
      <c r="JS159" s="12" t="s">
        <v>37</v>
      </c>
      <c r="JT159" s="12" t="s">
        <v>37</v>
      </c>
      <c r="JU159" s="13" t="s">
        <v>37</v>
      </c>
      <c r="JW159" s="12" t="s">
        <v>37</v>
      </c>
      <c r="JX159" s="12" t="s">
        <v>37</v>
      </c>
      <c r="JY159" s="12" t="s">
        <v>37</v>
      </c>
      <c r="KE159" s="11" t="s">
        <v>37</v>
      </c>
      <c r="KF159" s="11" t="s">
        <v>37</v>
      </c>
      <c r="KG159" s="13" t="s">
        <v>37</v>
      </c>
      <c r="KH159" s="11" t="s">
        <v>37</v>
      </c>
      <c r="KI159" s="11" t="s">
        <v>37</v>
      </c>
      <c r="KJ159" s="11" t="s">
        <v>37</v>
      </c>
      <c r="KK159" s="12" t="s">
        <v>42</v>
      </c>
      <c r="KL159" s="32" t="s">
        <v>532</v>
      </c>
      <c r="KM159" s="12">
        <v>2.13</v>
      </c>
      <c r="KN159" s="12">
        <v>1.01</v>
      </c>
      <c r="KO159" s="11">
        <v>4</v>
      </c>
      <c r="KP159" s="19">
        <f t="shared" si="626"/>
        <v>0.47417840375586856</v>
      </c>
      <c r="KQ159" s="12">
        <v>1.88</v>
      </c>
      <c r="KR159" s="12">
        <v>0.66</v>
      </c>
      <c r="KS159" s="13">
        <v>4</v>
      </c>
      <c r="KT159" s="19">
        <f t="shared" si="627"/>
        <v>0.35106382978723411</v>
      </c>
      <c r="KU159" s="19">
        <f t="shared" si="600"/>
        <v>-0.12485020287947594</v>
      </c>
      <c r="KV159" s="19">
        <f t="shared" si="601"/>
        <v>8.7022742793335897E-2</v>
      </c>
      <c r="KX159" s="12" t="s">
        <v>37</v>
      </c>
      <c r="KY159" s="12" t="s">
        <v>37</v>
      </c>
      <c r="KZ159" s="13" t="s">
        <v>37</v>
      </c>
      <c r="LB159" s="12" t="s">
        <v>37</v>
      </c>
      <c r="LC159" s="12" t="s">
        <v>37</v>
      </c>
      <c r="LD159" s="13" t="s">
        <v>37</v>
      </c>
      <c r="LI159" s="12" t="s">
        <v>37</v>
      </c>
      <c r="LJ159" s="12" t="s">
        <v>37</v>
      </c>
      <c r="LK159" s="12" t="s">
        <v>37</v>
      </c>
      <c r="LM159" s="12" t="s">
        <v>37</v>
      </c>
      <c r="LN159" s="12" t="s">
        <v>37</v>
      </c>
      <c r="LO159" s="12" t="s">
        <v>37</v>
      </c>
      <c r="LT159" s="12" t="str">
        <f t="shared" si="602"/>
        <v>0-60</v>
      </c>
      <c r="LU159" s="12">
        <f t="shared" si="603"/>
        <v>17.924250841475768</v>
      </c>
      <c r="LV159" s="12">
        <f t="shared" si="604"/>
        <v>9.2755217800713972</v>
      </c>
      <c r="LW159" s="13">
        <f t="shared" si="605"/>
        <v>4</v>
      </c>
      <c r="LX159" s="19">
        <f t="shared" si="606"/>
        <v>0.51748448859063778</v>
      </c>
      <c r="LY159" s="12">
        <f t="shared" si="607"/>
        <v>19.885101446413586</v>
      </c>
      <c r="LZ159" s="12">
        <f t="shared" si="608"/>
        <v>7.5917726413516595</v>
      </c>
      <c r="MA159" s="13">
        <f t="shared" si="609"/>
        <v>4</v>
      </c>
      <c r="MB159" s="19">
        <f t="shared" si="610"/>
        <v>0.38178194171198898</v>
      </c>
      <c r="MC159" s="19">
        <f t="shared" si="611"/>
        <v>0.10381618874947847</v>
      </c>
      <c r="MD159" s="19">
        <f t="shared" si="612"/>
        <v>0.10338691173732263</v>
      </c>
      <c r="MF159" s="12" t="s">
        <v>37</v>
      </c>
      <c r="MG159" s="12" t="s">
        <v>37</v>
      </c>
      <c r="MH159" s="12" t="s">
        <v>37</v>
      </c>
      <c r="MJ159" s="12" t="s">
        <v>37</v>
      </c>
      <c r="MK159" s="12" t="s">
        <v>37</v>
      </c>
      <c r="ML159" s="12" t="s">
        <v>37</v>
      </c>
      <c r="MQ159" s="12" t="s">
        <v>37</v>
      </c>
      <c r="MR159" s="12" t="s">
        <v>37</v>
      </c>
      <c r="MS159" s="12" t="s">
        <v>37</v>
      </c>
      <c r="MU159" s="12" t="s">
        <v>37</v>
      </c>
      <c r="MV159" s="12" t="s">
        <v>37</v>
      </c>
      <c r="MW159" s="12" t="s">
        <v>37</v>
      </c>
      <c r="NC159" s="12" t="s">
        <v>37</v>
      </c>
      <c r="ND159" s="12" t="s">
        <v>37</v>
      </c>
      <c r="NE159" s="13" t="s">
        <v>37</v>
      </c>
      <c r="NG159" s="12" t="s">
        <v>37</v>
      </c>
      <c r="NH159" s="12" t="s">
        <v>37</v>
      </c>
      <c r="NI159" s="13" t="s">
        <v>37</v>
      </c>
      <c r="NO159" s="12" t="s">
        <v>37</v>
      </c>
      <c r="NP159" s="12" t="s">
        <v>37</v>
      </c>
      <c r="NQ159" s="13" t="s">
        <v>37</v>
      </c>
      <c r="NS159" s="12" t="s">
        <v>37</v>
      </c>
      <c r="NT159" s="12" t="s">
        <v>37</v>
      </c>
      <c r="NU159" s="13" t="s">
        <v>37</v>
      </c>
      <c r="OA159" s="12" t="s">
        <v>37</v>
      </c>
      <c r="OB159" s="12" t="s">
        <v>37</v>
      </c>
      <c r="OC159" s="13" t="s">
        <v>37</v>
      </c>
      <c r="OE159" s="12" t="s">
        <v>37</v>
      </c>
      <c r="OF159" s="12" t="s">
        <v>37</v>
      </c>
      <c r="OG159" s="13" t="s">
        <v>37</v>
      </c>
      <c r="OM159" s="12" t="s">
        <v>37</v>
      </c>
      <c r="ON159" s="12" t="s">
        <v>37</v>
      </c>
      <c r="OO159" s="12" t="s">
        <v>37</v>
      </c>
      <c r="OP159" s="12" t="s">
        <v>37</v>
      </c>
      <c r="OQ159" s="12" t="s">
        <v>37</v>
      </c>
      <c r="OR159" s="12" t="s">
        <v>37</v>
      </c>
      <c r="OS159" s="12"/>
      <c r="OT159" s="12"/>
      <c r="OW159" s="12" t="s">
        <v>37</v>
      </c>
      <c r="OX159" s="12" t="s">
        <v>37</v>
      </c>
      <c r="OY159" s="13" t="s">
        <v>37</v>
      </c>
      <c r="OZ159" s="12" t="s">
        <v>37</v>
      </c>
      <c r="PA159" s="12" t="s">
        <v>37</v>
      </c>
      <c r="PB159" s="13" t="s">
        <v>37</v>
      </c>
      <c r="PG159" s="11" t="s">
        <v>37</v>
      </c>
      <c r="PH159" s="11" t="s">
        <v>37</v>
      </c>
      <c r="PI159" s="13" t="s">
        <v>37</v>
      </c>
      <c r="PJ159" s="11" t="s">
        <v>37</v>
      </c>
      <c r="PK159" s="11" t="s">
        <v>37</v>
      </c>
      <c r="PL159" s="13" t="s">
        <v>37</v>
      </c>
      <c r="PQ159" s="12" t="s">
        <v>37</v>
      </c>
      <c r="PR159" s="12" t="s">
        <v>37</v>
      </c>
      <c r="PS159" s="12" t="s">
        <v>37</v>
      </c>
      <c r="PT159" s="12" t="s">
        <v>37</v>
      </c>
      <c r="PU159" s="12" t="s">
        <v>37</v>
      </c>
      <c r="PV159" s="12" t="s">
        <v>37</v>
      </c>
      <c r="PW159" s="12"/>
      <c r="PX159" s="12"/>
      <c r="PY159" s="12" t="s">
        <v>43</v>
      </c>
      <c r="PZ159" s="12">
        <v>355.9</v>
      </c>
      <c r="QA159" s="12">
        <v>174.64</v>
      </c>
      <c r="QB159" s="11">
        <v>4</v>
      </c>
      <c r="QC159" s="19">
        <f t="shared" si="628"/>
        <v>0.49069963472885642</v>
      </c>
      <c r="QD159" s="12">
        <v>293.02</v>
      </c>
      <c r="QE159" s="12">
        <v>143.93</v>
      </c>
      <c r="QF159" s="13">
        <v>4</v>
      </c>
      <c r="QG159" s="19">
        <f t="shared" si="629"/>
        <v>0.49119514026346328</v>
      </c>
      <c r="QH159" s="19">
        <f t="shared" ref="QH159" si="630">LN(QD159/PZ159)</f>
        <v>-0.19440892644298008</v>
      </c>
      <c r="QI159" s="19">
        <f>QE159^2/(QF159*QD159^2)+QA159^2/(QB159*PZ159^2)</f>
        <v>0.12051469933536912</v>
      </c>
      <c r="QK159" s="12" t="s">
        <v>37</v>
      </c>
      <c r="QL159" s="12" t="s">
        <v>37</v>
      </c>
      <c r="QM159" s="12" t="s">
        <v>37</v>
      </c>
      <c r="QN159" s="12" t="s">
        <v>37</v>
      </c>
      <c r="QO159" s="12" t="s">
        <v>37</v>
      </c>
      <c r="QP159" s="12" t="s">
        <v>37</v>
      </c>
      <c r="QQ159" s="12"/>
      <c r="QR159" s="12"/>
      <c r="QU159" s="12" t="s">
        <v>37</v>
      </c>
      <c r="QV159" s="12" t="s">
        <v>37</v>
      </c>
      <c r="QW159" s="12" t="s">
        <v>37</v>
      </c>
      <c r="QX159" s="12" t="s">
        <v>37</v>
      </c>
      <c r="QY159" s="12" t="s">
        <v>37</v>
      </c>
      <c r="QZ159" s="12" t="s">
        <v>37</v>
      </c>
      <c r="RC159" s="12" t="s">
        <v>37</v>
      </c>
      <c r="RD159" s="12" t="s">
        <v>37</v>
      </c>
      <c r="RE159" s="13" t="s">
        <v>37</v>
      </c>
      <c r="RF159" s="12" t="s">
        <v>37</v>
      </c>
      <c r="RG159" s="12" t="s">
        <v>37</v>
      </c>
      <c r="RH159" s="13" t="s">
        <v>37</v>
      </c>
      <c r="RK159" s="12" t="s">
        <v>37</v>
      </c>
      <c r="RL159" s="12" t="s">
        <v>37</v>
      </c>
      <c r="RM159" s="11" t="s">
        <v>37</v>
      </c>
      <c r="RN159" s="12" t="s">
        <v>37</v>
      </c>
      <c r="RO159" s="12" t="s">
        <v>37</v>
      </c>
      <c r="RP159" s="11" t="s">
        <v>37</v>
      </c>
      <c r="RS159" s="12" t="s">
        <v>37</v>
      </c>
      <c r="RT159" s="12" t="s">
        <v>37</v>
      </c>
      <c r="RU159" s="12" t="s">
        <v>37</v>
      </c>
      <c r="RV159" s="12" t="s">
        <v>37</v>
      </c>
      <c r="RW159" s="12" t="s">
        <v>37</v>
      </c>
      <c r="RX159" s="12" t="s">
        <v>37</v>
      </c>
      <c r="SA159" s="12" t="s">
        <v>37</v>
      </c>
      <c r="SB159" s="12" t="s">
        <v>37</v>
      </c>
      <c r="SC159" s="12" t="s">
        <v>37</v>
      </c>
      <c r="SD159" s="12" t="s">
        <v>37</v>
      </c>
      <c r="SE159" s="12" t="s">
        <v>37</v>
      </c>
      <c r="SF159" s="12" t="s">
        <v>37</v>
      </c>
      <c r="SG159" s="12" t="s">
        <v>42</v>
      </c>
      <c r="SH159" s="12" t="s">
        <v>532</v>
      </c>
      <c r="SI159" s="12">
        <v>1.48</v>
      </c>
      <c r="SJ159" s="12">
        <v>0.51</v>
      </c>
      <c r="SK159" s="13">
        <v>4</v>
      </c>
      <c r="SL159" s="19">
        <f t="shared" si="614"/>
        <v>0.34459459459459463</v>
      </c>
      <c r="SM159" s="12">
        <v>1.29</v>
      </c>
      <c r="SN159" s="12">
        <v>0.3</v>
      </c>
      <c r="SO159" s="13">
        <v>4</v>
      </c>
      <c r="SP159" s="19">
        <f t="shared" si="615"/>
        <v>0.23255813953488372</v>
      </c>
      <c r="SQ159" s="19">
        <f t="shared" si="616"/>
        <v>-0.13739986940244298</v>
      </c>
      <c r="SR159" s="19">
        <f t="shared" si="617"/>
        <v>4.3207180721934864E-2</v>
      </c>
      <c r="SU159" s="12" t="s">
        <v>37</v>
      </c>
      <c r="SV159" s="12" t="s">
        <v>37</v>
      </c>
      <c r="SW159" s="11" t="s">
        <v>37</v>
      </c>
      <c r="SX159" s="12" t="s">
        <v>37</v>
      </c>
      <c r="SY159" s="12" t="s">
        <v>37</v>
      </c>
      <c r="SZ159" s="11" t="s">
        <v>37</v>
      </c>
      <c r="TE159" s="12" t="s">
        <v>37</v>
      </c>
      <c r="TF159" s="12" t="s">
        <v>37</v>
      </c>
      <c r="TG159" s="11" t="s">
        <v>37</v>
      </c>
      <c r="TH159" s="12" t="s">
        <v>37</v>
      </c>
      <c r="TI159" s="12" t="s">
        <v>37</v>
      </c>
      <c r="TJ159" s="11" t="s">
        <v>37</v>
      </c>
      <c r="TO159" s="12" t="s">
        <v>37</v>
      </c>
      <c r="TP159" s="12" t="s">
        <v>37</v>
      </c>
      <c r="TQ159" s="11" t="s">
        <v>37</v>
      </c>
      <c r="TR159" s="12" t="s">
        <v>37</v>
      </c>
      <c r="TS159" s="12" t="s">
        <v>37</v>
      </c>
      <c r="TT159" s="11" t="s">
        <v>37</v>
      </c>
      <c r="TY159" s="12" t="s">
        <v>37</v>
      </c>
      <c r="TZ159" s="12" t="s">
        <v>37</v>
      </c>
      <c r="UA159" s="12" t="s">
        <v>37</v>
      </c>
      <c r="UB159" s="12" t="s">
        <v>37</v>
      </c>
      <c r="UC159" s="12" t="s">
        <v>37</v>
      </c>
      <c r="UD159" s="12" t="s">
        <v>37</v>
      </c>
      <c r="UE159" s="12"/>
      <c r="UF159" s="12"/>
      <c r="UI159" s="12" t="s">
        <v>37</v>
      </c>
      <c r="UJ159" s="12" t="s">
        <v>37</v>
      </c>
      <c r="UK159" s="12" t="s">
        <v>37</v>
      </c>
      <c r="UL159" s="12" t="s">
        <v>37</v>
      </c>
      <c r="UM159" s="12" t="s">
        <v>37</v>
      </c>
      <c r="UN159" s="12" t="s">
        <v>37</v>
      </c>
      <c r="UO159" s="12"/>
      <c r="UP159" s="12"/>
      <c r="UR159" s="12" t="s">
        <v>37</v>
      </c>
      <c r="US159" s="12" t="s">
        <v>37</v>
      </c>
      <c r="UT159" s="12" t="s">
        <v>37</v>
      </c>
      <c r="UU159" s="12" t="s">
        <v>37</v>
      </c>
      <c r="UV159" s="12" t="s">
        <v>37</v>
      </c>
      <c r="UW159" s="12" t="s">
        <v>37</v>
      </c>
      <c r="UX159" s="12"/>
      <c r="UY159" s="12"/>
      <c r="VB159" s="12" t="s">
        <v>37</v>
      </c>
      <c r="VC159" s="12" t="s">
        <v>37</v>
      </c>
      <c r="VD159" s="12" t="s">
        <v>37</v>
      </c>
      <c r="VE159" s="12" t="s">
        <v>37</v>
      </c>
      <c r="VF159" s="12" t="s">
        <v>37</v>
      </c>
      <c r="VG159" s="12" t="s">
        <v>37</v>
      </c>
      <c r="VI159" s="12" t="s">
        <v>37</v>
      </c>
      <c r="VJ159" s="12" t="s">
        <v>37</v>
      </c>
      <c r="VK159" s="12" t="s">
        <v>37</v>
      </c>
      <c r="VL159" s="12" t="s">
        <v>37</v>
      </c>
      <c r="VM159" s="12" t="s">
        <v>37</v>
      </c>
      <c r="VN159" s="12" t="s">
        <v>37</v>
      </c>
      <c r="VQ159" s="13" t="s">
        <v>37</v>
      </c>
      <c r="VR159" s="13" t="s">
        <v>37</v>
      </c>
      <c r="VS159" s="13" t="s">
        <v>37</v>
      </c>
      <c r="VT159" s="13" t="s">
        <v>37</v>
      </c>
      <c r="VU159" s="13" t="s">
        <v>37</v>
      </c>
      <c r="VV159" s="13" t="s">
        <v>37</v>
      </c>
      <c r="WA159" s="13" t="s">
        <v>37</v>
      </c>
      <c r="WB159" s="13" t="s">
        <v>37</v>
      </c>
      <c r="WC159" s="13" t="s">
        <v>37</v>
      </c>
      <c r="WD159" s="13" t="s">
        <v>37</v>
      </c>
      <c r="WE159" s="13" t="s">
        <v>37</v>
      </c>
      <c r="WF159" s="13" t="s">
        <v>37</v>
      </c>
    </row>
    <row r="160" spans="1:604" ht="18" customHeight="1" x14ac:dyDescent="0.4">
      <c r="A160" s="11">
        <v>37</v>
      </c>
      <c r="B160" s="16" t="s">
        <v>241</v>
      </c>
      <c r="C160" s="12" t="s">
        <v>26</v>
      </c>
      <c r="D160" s="12" t="s">
        <v>1039</v>
      </c>
      <c r="E160" s="40" t="s">
        <v>37</v>
      </c>
      <c r="F160" s="14">
        <v>0</v>
      </c>
      <c r="G160" s="14">
        <v>0</v>
      </c>
      <c r="H160" s="12" t="s">
        <v>79</v>
      </c>
      <c r="I160" s="29">
        <v>34.267000000000003</v>
      </c>
      <c r="J160" s="29">
        <v>102.43300000000001</v>
      </c>
      <c r="K160" s="12" t="s">
        <v>734</v>
      </c>
      <c r="L160" s="12" t="s">
        <v>735</v>
      </c>
      <c r="M160" s="13">
        <v>3430</v>
      </c>
      <c r="N160" s="14">
        <v>2.9</v>
      </c>
      <c r="O160" s="14">
        <v>592.6</v>
      </c>
      <c r="P160" s="14" t="s">
        <v>16</v>
      </c>
      <c r="Q160" s="75" t="s">
        <v>326</v>
      </c>
      <c r="R160" s="11" t="s">
        <v>37</v>
      </c>
      <c r="S160" s="12" t="s">
        <v>85</v>
      </c>
      <c r="T160" s="12" t="s">
        <v>138</v>
      </c>
      <c r="U160" s="12" t="s">
        <v>158</v>
      </c>
      <c r="V160" s="12" t="s">
        <v>275</v>
      </c>
      <c r="W160" s="23" t="s">
        <v>242</v>
      </c>
      <c r="X160" s="12" t="s">
        <v>280</v>
      </c>
      <c r="Y160" s="12" t="s">
        <v>69</v>
      </c>
      <c r="Z160" s="12" t="s">
        <v>218</v>
      </c>
      <c r="AA160" s="32" t="s">
        <v>532</v>
      </c>
      <c r="AB160" s="12">
        <v>7.92</v>
      </c>
      <c r="AC160" s="12" t="s">
        <v>42</v>
      </c>
      <c r="AD160" s="32" t="s">
        <v>532</v>
      </c>
      <c r="AE160" s="12">
        <f t="shared" si="618"/>
        <v>38.178654292343381</v>
      </c>
      <c r="AF160" s="12" t="s">
        <v>42</v>
      </c>
      <c r="AG160" s="32" t="s">
        <v>532</v>
      </c>
      <c r="AH160" s="12">
        <v>2.13</v>
      </c>
      <c r="AJ160" s="12" t="str">
        <f t="shared" si="584"/>
        <v>0-60</v>
      </c>
      <c r="AK160" s="19">
        <f t="shared" si="585"/>
        <v>17.924250841475768</v>
      </c>
      <c r="AL160" s="32" t="s">
        <v>244</v>
      </c>
      <c r="AM160" s="13" t="s">
        <v>344</v>
      </c>
      <c r="AO160" s="12" t="s">
        <v>37</v>
      </c>
      <c r="AP160" s="12" t="s">
        <v>167</v>
      </c>
      <c r="AQ160" s="12" t="s">
        <v>975</v>
      </c>
      <c r="AR160" s="12" t="s">
        <v>42</v>
      </c>
      <c r="AS160" s="32" t="s">
        <v>532</v>
      </c>
      <c r="AT160" s="12">
        <f t="shared" si="619"/>
        <v>38.178654292343381</v>
      </c>
      <c r="AU160" s="12">
        <f t="shared" si="620"/>
        <v>7.9118329466357311</v>
      </c>
      <c r="AV160" s="13">
        <v>4</v>
      </c>
      <c r="AW160" s="19">
        <f t="shared" si="621"/>
        <v>0.20723184442418721</v>
      </c>
      <c r="AX160" s="12">
        <f>54.39/1.724</f>
        <v>31.548723897911835</v>
      </c>
      <c r="AY160" s="12">
        <f>10.66/1.724</f>
        <v>6.1832946635730863</v>
      </c>
      <c r="AZ160" s="13">
        <v>4</v>
      </c>
      <c r="BA160" s="19">
        <f t="shared" si="622"/>
        <v>0.19599191027762458</v>
      </c>
      <c r="BB160" s="52">
        <f t="shared" si="586"/>
        <v>-0.19074343008032435</v>
      </c>
      <c r="BC160" s="19">
        <f t="shared" si="587"/>
        <v>2.0339466559430742E-2</v>
      </c>
      <c r="BE160" s="12" t="s">
        <v>326</v>
      </c>
      <c r="BF160" s="12" t="s">
        <v>326</v>
      </c>
      <c r="BG160" s="12" t="s">
        <v>326</v>
      </c>
      <c r="BI160" s="12" t="s">
        <v>326</v>
      </c>
      <c r="BJ160" s="12" t="s">
        <v>326</v>
      </c>
      <c r="BK160" s="12" t="s">
        <v>326</v>
      </c>
      <c r="BP160" s="12" t="s">
        <v>37</v>
      </c>
      <c r="BQ160" s="12" t="s">
        <v>37</v>
      </c>
      <c r="BR160" s="13" t="s">
        <v>37</v>
      </c>
      <c r="BT160" s="12" t="s">
        <v>37</v>
      </c>
      <c r="BU160" s="12" t="s">
        <v>37</v>
      </c>
      <c r="BV160" s="12" t="s">
        <v>37</v>
      </c>
      <c r="CA160" s="12" t="s">
        <v>37</v>
      </c>
      <c r="CB160" s="12" t="s">
        <v>37</v>
      </c>
      <c r="CC160" s="13" t="s">
        <v>37</v>
      </c>
      <c r="CE160" s="12" t="s">
        <v>37</v>
      </c>
      <c r="CF160" s="12" t="s">
        <v>37</v>
      </c>
      <c r="CG160" s="13" t="s">
        <v>37</v>
      </c>
      <c r="CI160" s="52"/>
      <c r="CJ160" s="52"/>
      <c r="CK160" s="73"/>
      <c r="CL160" s="73"/>
      <c r="CN160" s="12" t="s">
        <v>37</v>
      </c>
      <c r="CO160" s="12" t="s">
        <v>37</v>
      </c>
      <c r="CP160" s="13" t="s">
        <v>37</v>
      </c>
      <c r="CR160" s="12" t="s">
        <v>37</v>
      </c>
      <c r="CS160" s="12" t="s">
        <v>37</v>
      </c>
      <c r="CT160" s="13" t="s">
        <v>37</v>
      </c>
      <c r="CV160" s="52"/>
      <c r="CW160" s="52"/>
      <c r="CX160" s="73"/>
      <c r="CY160" s="73"/>
      <c r="DA160" s="12" t="s">
        <v>37</v>
      </c>
      <c r="DB160" s="12" t="s">
        <v>37</v>
      </c>
      <c r="DC160" s="13" t="s">
        <v>37</v>
      </c>
      <c r="DE160" s="12" t="s">
        <v>37</v>
      </c>
      <c r="DF160" s="12" t="s">
        <v>37</v>
      </c>
      <c r="DG160" s="13" t="s">
        <v>37</v>
      </c>
      <c r="DI160" s="52"/>
      <c r="DJ160" s="52"/>
      <c r="DK160" s="73"/>
      <c r="DL160" s="73"/>
      <c r="DM160" s="12" t="s">
        <v>47</v>
      </c>
      <c r="DN160" s="19">
        <f t="shared" ref="DN160:DN161" si="631">SUM(285.97,946.52)*10^4/10^6</f>
        <v>12.3249</v>
      </c>
      <c r="DO160" s="12">
        <f t="shared" ref="DO160:DO161" si="632">SQRT(310.31^2+259.98^2)*10^4/10^6</f>
        <v>4.0482329046140624</v>
      </c>
      <c r="DP160" s="13">
        <v>4</v>
      </c>
      <c r="DQ160" s="19">
        <f t="shared" si="579"/>
        <v>0.32845969578771939</v>
      </c>
      <c r="DR160" s="19">
        <f>SUM(-284.08,42.75)*10^4/10^6</f>
        <v>-2.4133</v>
      </c>
      <c r="DS160" s="12">
        <f>SQRT(5.96^2+27.71^2)*10^4/10^6</f>
        <v>0.28343706532491475</v>
      </c>
      <c r="DT160" s="13">
        <v>4</v>
      </c>
      <c r="DU160" s="19">
        <f t="shared" si="580"/>
        <v>0.1174479199954066</v>
      </c>
      <c r="DV160" s="19">
        <f t="shared" si="509"/>
        <v>-14.738199999999999</v>
      </c>
      <c r="DW160" s="12">
        <f t="shared" si="485"/>
        <v>2.8695405747262059</v>
      </c>
      <c r="DX160" s="72">
        <f t="shared" si="345"/>
        <v>4.1171315550000021</v>
      </c>
      <c r="DY160" s="72">
        <f t="shared" si="346"/>
        <v>4.1171315550000021</v>
      </c>
      <c r="DZ160" s="12" t="s">
        <v>47</v>
      </c>
      <c r="EA160" s="19">
        <f t="shared" ref="EA160:EA161" si="633">SUM(-39.18,2.96)*10^4/10^6</f>
        <v>-0.36220000000000002</v>
      </c>
      <c r="EB160" s="19">
        <f t="shared" ref="EB160:EB161" si="634">SQRT(1.62^2+55.4^2)*10^4/10^6</f>
        <v>0.55423680859358304</v>
      </c>
      <c r="EC160" s="72">
        <v>4</v>
      </c>
      <c r="ED160" s="52">
        <f t="shared" si="571"/>
        <v>1.530195495840925</v>
      </c>
      <c r="EE160" s="19">
        <f>SUM(8.47,-0.26)*10^4/10^6</f>
        <v>8.210000000000002E-2</v>
      </c>
      <c r="EF160" s="19">
        <f>SQRT(0.1^2+1.26^2)*10^4/10^6</f>
        <v>1.2639620247459968E-2</v>
      </c>
      <c r="EG160" s="13">
        <v>4</v>
      </c>
      <c r="EH160" s="52">
        <f t="shared" si="588"/>
        <v>0.1539539616012176</v>
      </c>
      <c r="EI160" s="19">
        <f t="shared" si="589"/>
        <v>0.44430000000000003</v>
      </c>
      <c r="EJ160" s="12">
        <f t="shared" si="590"/>
        <v>0.39200650504806678</v>
      </c>
      <c r="EK160" s="19">
        <f t="shared" si="591"/>
        <v>7.6834550000000001E-2</v>
      </c>
      <c r="EL160" s="19">
        <f t="shared" si="592"/>
        <v>7.6834550000000001E-2</v>
      </c>
      <c r="EN160" s="12" t="s">
        <v>37</v>
      </c>
      <c r="EO160" s="12" t="s">
        <v>37</v>
      </c>
      <c r="EP160" s="13" t="s">
        <v>37</v>
      </c>
      <c r="ER160" s="12" t="s">
        <v>37</v>
      </c>
      <c r="ES160" s="12" t="s">
        <v>37</v>
      </c>
      <c r="ET160" s="13" t="s">
        <v>37</v>
      </c>
      <c r="FB160" s="12" t="s">
        <v>37</v>
      </c>
      <c r="FC160" s="12" t="s">
        <v>37</v>
      </c>
      <c r="FD160" s="11" t="s">
        <v>37</v>
      </c>
      <c r="FE160" s="12" t="s">
        <v>37</v>
      </c>
      <c r="FF160" s="20" t="s">
        <v>37</v>
      </c>
      <c r="FG160" s="11" t="s">
        <v>37</v>
      </c>
      <c r="FI160" s="12" t="s">
        <v>37</v>
      </c>
      <c r="FJ160" s="12" t="s">
        <v>37</v>
      </c>
      <c r="FK160" s="11" t="s">
        <v>37</v>
      </c>
      <c r="FL160" s="13" t="s">
        <v>37</v>
      </c>
      <c r="FM160" s="11" t="s">
        <v>37</v>
      </c>
      <c r="FN160" s="11" t="s">
        <v>37</v>
      </c>
      <c r="FP160" s="12" t="s">
        <v>37</v>
      </c>
      <c r="FQ160" s="12" t="s">
        <v>37</v>
      </c>
      <c r="FR160" s="11" t="s">
        <v>37</v>
      </c>
      <c r="FS160" s="13" t="s">
        <v>37</v>
      </c>
      <c r="FT160" s="11" t="s">
        <v>37</v>
      </c>
      <c r="FU160" s="11" t="s">
        <v>37</v>
      </c>
      <c r="FW160" s="12" t="s">
        <v>37</v>
      </c>
      <c r="FX160" s="12" t="s">
        <v>37</v>
      </c>
      <c r="FY160" s="11" t="s">
        <v>37</v>
      </c>
      <c r="FZ160" s="13" t="s">
        <v>37</v>
      </c>
      <c r="GA160" s="11" t="s">
        <v>37</v>
      </c>
      <c r="GB160" s="11" t="s">
        <v>37</v>
      </c>
      <c r="HA160" s="17" t="s">
        <v>63</v>
      </c>
      <c r="HB160" s="34" t="s">
        <v>532</v>
      </c>
      <c r="HC160" s="12">
        <v>0.36</v>
      </c>
      <c r="HD160" s="12">
        <v>0.01</v>
      </c>
      <c r="HE160" s="13">
        <v>4</v>
      </c>
      <c r="HF160" s="19">
        <f t="shared" si="593"/>
        <v>2.777777777777778E-2</v>
      </c>
      <c r="HG160" s="12">
        <v>0.61</v>
      </c>
      <c r="HH160" s="12">
        <v>0.05</v>
      </c>
      <c r="HI160" s="13">
        <v>4</v>
      </c>
      <c r="HJ160" s="19">
        <f t="shared" si="594"/>
        <v>8.1967213114754106E-2</v>
      </c>
      <c r="HK160" s="19">
        <f t="shared" si="595"/>
        <v>0.52735492571720122</v>
      </c>
      <c r="HL160" s="19">
        <f t="shared" si="596"/>
        <v>1.8725572410177808E-3</v>
      </c>
      <c r="IK160" s="12" t="s">
        <v>37</v>
      </c>
      <c r="IL160" s="12" t="s">
        <v>37</v>
      </c>
      <c r="IM160" s="12" t="s">
        <v>37</v>
      </c>
      <c r="IO160" s="12" t="s">
        <v>37</v>
      </c>
      <c r="IP160" s="12" t="s">
        <v>37</v>
      </c>
      <c r="IQ160" s="12" t="s">
        <v>37</v>
      </c>
      <c r="IV160" s="32" t="s">
        <v>532</v>
      </c>
      <c r="IW160" s="12">
        <v>7.92</v>
      </c>
      <c r="IX160" s="12">
        <v>0.04</v>
      </c>
      <c r="IY160" s="13">
        <v>4</v>
      </c>
      <c r="IZ160" s="19">
        <f t="shared" si="597"/>
        <v>5.0505050505050509E-3</v>
      </c>
      <c r="JA160" s="12">
        <v>7.77</v>
      </c>
      <c r="JB160" s="12">
        <v>0.08</v>
      </c>
      <c r="JC160" s="13">
        <v>4</v>
      </c>
      <c r="JD160" s="19">
        <f t="shared" si="598"/>
        <v>1.0296010296010297E-2</v>
      </c>
      <c r="JE160" s="19">
        <f t="shared" si="599"/>
        <v>-1.9121041446778512E-2</v>
      </c>
      <c r="JF160" s="19">
        <f t="shared" si="625"/>
        <v>3.2878857320181765E-5</v>
      </c>
      <c r="JH160" s="12" t="s">
        <v>37</v>
      </c>
      <c r="JI160" s="12" t="s">
        <v>37</v>
      </c>
      <c r="JJ160" s="13" t="s">
        <v>37</v>
      </c>
      <c r="JL160" s="12" t="s">
        <v>37</v>
      </c>
      <c r="JM160" s="12" t="s">
        <v>37</v>
      </c>
      <c r="JN160" s="12" t="s">
        <v>37</v>
      </c>
      <c r="JS160" s="12" t="s">
        <v>37</v>
      </c>
      <c r="JT160" s="12" t="s">
        <v>37</v>
      </c>
      <c r="JU160" s="13" t="s">
        <v>37</v>
      </c>
      <c r="JW160" s="12" t="s">
        <v>37</v>
      </c>
      <c r="JX160" s="12" t="s">
        <v>37</v>
      </c>
      <c r="JY160" s="12" t="s">
        <v>37</v>
      </c>
      <c r="KE160" s="11" t="s">
        <v>37</v>
      </c>
      <c r="KF160" s="11" t="s">
        <v>37</v>
      </c>
      <c r="KG160" s="13" t="s">
        <v>37</v>
      </c>
      <c r="KH160" s="11" t="s">
        <v>37</v>
      </c>
      <c r="KI160" s="11" t="s">
        <v>37</v>
      </c>
      <c r="KJ160" s="11" t="s">
        <v>37</v>
      </c>
      <c r="KK160" s="12" t="s">
        <v>42</v>
      </c>
      <c r="KL160" s="32" t="s">
        <v>532</v>
      </c>
      <c r="KM160" s="12">
        <v>2.13</v>
      </c>
      <c r="KN160" s="12">
        <v>1.01</v>
      </c>
      <c r="KO160" s="11">
        <v>4</v>
      </c>
      <c r="KP160" s="19">
        <f t="shared" si="626"/>
        <v>0.47417840375586856</v>
      </c>
      <c r="KQ160" s="12">
        <v>1.64</v>
      </c>
      <c r="KR160" s="12">
        <v>0.92</v>
      </c>
      <c r="KS160" s="13">
        <v>4</v>
      </c>
      <c r="KT160" s="19">
        <f t="shared" si="627"/>
        <v>0.56097560975609762</v>
      </c>
      <c r="KU160" s="19">
        <f t="shared" si="600"/>
        <v>-0.26142573788522666</v>
      </c>
      <c r="KV160" s="19">
        <f t="shared" si="601"/>
        <v>0.13488469833242225</v>
      </c>
      <c r="KX160" s="12" t="s">
        <v>37</v>
      </c>
      <c r="KY160" s="12" t="s">
        <v>37</v>
      </c>
      <c r="KZ160" s="13" t="s">
        <v>37</v>
      </c>
      <c r="LB160" s="12" t="s">
        <v>37</v>
      </c>
      <c r="LC160" s="12" t="s">
        <v>37</v>
      </c>
      <c r="LD160" s="13" t="s">
        <v>37</v>
      </c>
      <c r="LI160" s="12" t="s">
        <v>37</v>
      </c>
      <c r="LJ160" s="12" t="s">
        <v>37</v>
      </c>
      <c r="LK160" s="12" t="s">
        <v>37</v>
      </c>
      <c r="LM160" s="12" t="s">
        <v>37</v>
      </c>
      <c r="LN160" s="12" t="s">
        <v>37</v>
      </c>
      <c r="LO160" s="12" t="s">
        <v>37</v>
      </c>
      <c r="LT160" s="12" t="str">
        <f t="shared" si="602"/>
        <v>0-60</v>
      </c>
      <c r="LU160" s="12">
        <f t="shared" si="603"/>
        <v>17.924250841475768</v>
      </c>
      <c r="LV160" s="12">
        <f t="shared" si="604"/>
        <v>9.2755217800713972</v>
      </c>
      <c r="LW160" s="13">
        <f t="shared" si="605"/>
        <v>4</v>
      </c>
      <c r="LX160" s="19">
        <f t="shared" si="606"/>
        <v>0.51748448859063778</v>
      </c>
      <c r="LY160" s="12">
        <f t="shared" si="607"/>
        <v>19.237026767019412</v>
      </c>
      <c r="LZ160" s="12">
        <f t="shared" si="608"/>
        <v>11.431172619739172</v>
      </c>
      <c r="MA160" s="13">
        <f t="shared" si="609"/>
        <v>4</v>
      </c>
      <c r="MB160" s="19">
        <f t="shared" si="610"/>
        <v>0.5942276193812418</v>
      </c>
      <c r="MC160" s="19">
        <f t="shared" si="611"/>
        <v>7.0682307804902325E-2</v>
      </c>
      <c r="MD160" s="19">
        <f t="shared" si="612"/>
        <v>0.15522416489185298</v>
      </c>
      <c r="MF160" s="12" t="s">
        <v>37</v>
      </c>
      <c r="MG160" s="12" t="s">
        <v>37</v>
      </c>
      <c r="MH160" s="12" t="s">
        <v>37</v>
      </c>
      <c r="MJ160" s="12" t="s">
        <v>37</v>
      </c>
      <c r="MK160" s="12" t="s">
        <v>37</v>
      </c>
      <c r="ML160" s="12" t="s">
        <v>37</v>
      </c>
      <c r="MQ160" s="12" t="s">
        <v>37</v>
      </c>
      <c r="MR160" s="12" t="s">
        <v>37</v>
      </c>
      <c r="MS160" s="12" t="s">
        <v>37</v>
      </c>
      <c r="MU160" s="12" t="s">
        <v>37</v>
      </c>
      <c r="MV160" s="12" t="s">
        <v>37</v>
      </c>
      <c r="MW160" s="12" t="s">
        <v>37</v>
      </c>
      <c r="NC160" s="12" t="s">
        <v>37</v>
      </c>
      <c r="ND160" s="12" t="s">
        <v>37</v>
      </c>
      <c r="NE160" s="13" t="s">
        <v>37</v>
      </c>
      <c r="NG160" s="12" t="s">
        <v>37</v>
      </c>
      <c r="NH160" s="12" t="s">
        <v>37</v>
      </c>
      <c r="NI160" s="13" t="s">
        <v>37</v>
      </c>
      <c r="NO160" s="12" t="s">
        <v>37</v>
      </c>
      <c r="NP160" s="12" t="s">
        <v>37</v>
      </c>
      <c r="NQ160" s="13" t="s">
        <v>37</v>
      </c>
      <c r="NS160" s="12" t="s">
        <v>37</v>
      </c>
      <c r="NT160" s="12" t="s">
        <v>37</v>
      </c>
      <c r="NU160" s="13" t="s">
        <v>37</v>
      </c>
      <c r="OA160" s="12" t="s">
        <v>37</v>
      </c>
      <c r="OB160" s="12" t="s">
        <v>37</v>
      </c>
      <c r="OC160" s="13" t="s">
        <v>37</v>
      </c>
      <c r="OE160" s="12" t="s">
        <v>37</v>
      </c>
      <c r="OF160" s="12" t="s">
        <v>37</v>
      </c>
      <c r="OG160" s="13" t="s">
        <v>37</v>
      </c>
      <c r="OM160" s="12" t="s">
        <v>37</v>
      </c>
      <c r="ON160" s="12" t="s">
        <v>37</v>
      </c>
      <c r="OO160" s="12" t="s">
        <v>37</v>
      </c>
      <c r="OP160" s="12" t="s">
        <v>37</v>
      </c>
      <c r="OQ160" s="12" t="s">
        <v>37</v>
      </c>
      <c r="OR160" s="12" t="s">
        <v>37</v>
      </c>
      <c r="OS160" s="12"/>
      <c r="OT160" s="12"/>
      <c r="OW160" s="12" t="s">
        <v>37</v>
      </c>
      <c r="OX160" s="12" t="s">
        <v>37</v>
      </c>
      <c r="OY160" s="13" t="s">
        <v>37</v>
      </c>
      <c r="OZ160" s="12" t="s">
        <v>37</v>
      </c>
      <c r="PA160" s="12" t="s">
        <v>37</v>
      </c>
      <c r="PB160" s="13" t="s">
        <v>37</v>
      </c>
      <c r="PG160" s="11" t="s">
        <v>37</v>
      </c>
      <c r="PH160" s="11" t="s">
        <v>37</v>
      </c>
      <c r="PI160" s="13" t="s">
        <v>37</v>
      </c>
      <c r="PJ160" s="11" t="s">
        <v>37</v>
      </c>
      <c r="PK160" s="11" t="s">
        <v>37</v>
      </c>
      <c r="PL160" s="13" t="s">
        <v>37</v>
      </c>
      <c r="PQ160" s="12" t="s">
        <v>37</v>
      </c>
      <c r="PR160" s="12" t="s">
        <v>37</v>
      </c>
      <c r="PS160" s="12" t="s">
        <v>37</v>
      </c>
      <c r="PT160" s="12" t="s">
        <v>37</v>
      </c>
      <c r="PU160" s="12" t="s">
        <v>37</v>
      </c>
      <c r="PV160" s="12" t="s">
        <v>37</v>
      </c>
      <c r="PW160" s="12"/>
      <c r="PX160" s="12"/>
      <c r="PY160" s="12" t="s">
        <v>43</v>
      </c>
      <c r="PZ160" s="12">
        <v>355.9</v>
      </c>
      <c r="QA160" s="12">
        <v>174.64</v>
      </c>
      <c r="QB160" s="11">
        <v>4</v>
      </c>
      <c r="QC160" s="19">
        <f t="shared" si="628"/>
        <v>0.49069963472885642</v>
      </c>
      <c r="QD160" s="12">
        <v>185.73</v>
      </c>
      <c r="QE160" s="12">
        <v>134.9</v>
      </c>
      <c r="QF160" s="13">
        <v>4</v>
      </c>
      <c r="QG160" s="19">
        <f t="shared" si="629"/>
        <v>0.72632315727130792</v>
      </c>
      <c r="QH160" s="19">
        <f>LN(QD160/PZ160)</f>
        <v>-0.65035578631689639</v>
      </c>
      <c r="QI160" s="19">
        <f>QE160^2/(QF160*QD160^2)+QA160^2/(QB160*PZ160^2)</f>
        <v>0.19208286507789857</v>
      </c>
      <c r="QK160" s="12" t="s">
        <v>37</v>
      </c>
      <c r="QL160" s="12" t="s">
        <v>37</v>
      </c>
      <c r="QM160" s="12" t="s">
        <v>37</v>
      </c>
      <c r="QN160" s="12" t="s">
        <v>37</v>
      </c>
      <c r="QO160" s="12" t="s">
        <v>37</v>
      </c>
      <c r="QP160" s="12" t="s">
        <v>37</v>
      </c>
      <c r="QQ160" s="12"/>
      <c r="QR160" s="12"/>
      <c r="QU160" s="12" t="s">
        <v>37</v>
      </c>
      <c r="QV160" s="12" t="s">
        <v>37</v>
      </c>
      <c r="QW160" s="12" t="s">
        <v>37</v>
      </c>
      <c r="QX160" s="12" t="s">
        <v>37</v>
      </c>
      <c r="QY160" s="12" t="s">
        <v>37</v>
      </c>
      <c r="QZ160" s="12" t="s">
        <v>37</v>
      </c>
      <c r="RC160" s="12" t="s">
        <v>37</v>
      </c>
      <c r="RD160" s="12" t="s">
        <v>37</v>
      </c>
      <c r="RE160" s="13" t="s">
        <v>37</v>
      </c>
      <c r="RF160" s="12" t="s">
        <v>37</v>
      </c>
      <c r="RG160" s="12" t="s">
        <v>37</v>
      </c>
      <c r="RH160" s="13" t="s">
        <v>37</v>
      </c>
      <c r="RK160" s="12" t="s">
        <v>37</v>
      </c>
      <c r="RL160" s="12" t="s">
        <v>37</v>
      </c>
      <c r="RM160" s="11" t="s">
        <v>37</v>
      </c>
      <c r="RN160" s="12" t="s">
        <v>37</v>
      </c>
      <c r="RO160" s="12" t="s">
        <v>37</v>
      </c>
      <c r="RP160" s="11" t="s">
        <v>37</v>
      </c>
      <c r="RS160" s="12" t="s">
        <v>37</v>
      </c>
      <c r="RT160" s="12" t="s">
        <v>37</v>
      </c>
      <c r="RU160" s="12" t="s">
        <v>37</v>
      </c>
      <c r="RV160" s="12" t="s">
        <v>37</v>
      </c>
      <c r="RW160" s="12" t="s">
        <v>37</v>
      </c>
      <c r="RX160" s="12" t="s">
        <v>37</v>
      </c>
      <c r="SA160" s="12" t="s">
        <v>37</v>
      </c>
      <c r="SB160" s="12" t="s">
        <v>37</v>
      </c>
      <c r="SC160" s="12" t="s">
        <v>37</v>
      </c>
      <c r="SD160" s="12" t="s">
        <v>37</v>
      </c>
      <c r="SE160" s="12" t="s">
        <v>37</v>
      </c>
      <c r="SF160" s="12" t="s">
        <v>37</v>
      </c>
      <c r="SG160" s="12" t="s">
        <v>42</v>
      </c>
      <c r="SH160" s="12" t="s">
        <v>532</v>
      </c>
      <c r="SI160" s="12">
        <v>1.48</v>
      </c>
      <c r="SJ160" s="12">
        <v>0.51</v>
      </c>
      <c r="SK160" s="13">
        <v>4</v>
      </c>
      <c r="SL160" s="19">
        <f t="shared" si="614"/>
        <v>0.34459459459459463</v>
      </c>
      <c r="SM160" s="12">
        <v>1.17</v>
      </c>
      <c r="SN160" s="12">
        <v>0.08</v>
      </c>
      <c r="SO160" s="13">
        <v>4</v>
      </c>
      <c r="SP160" s="19">
        <f t="shared" si="615"/>
        <v>6.8376068376068383E-2</v>
      </c>
      <c r="SQ160" s="19">
        <f t="shared" si="616"/>
        <v>-0.23503833896635903</v>
      </c>
      <c r="SR160" s="19">
        <f t="shared" si="617"/>
        <v>3.0855180337595448E-2</v>
      </c>
      <c r="SU160" s="12" t="s">
        <v>37</v>
      </c>
      <c r="SV160" s="12" t="s">
        <v>37</v>
      </c>
      <c r="SW160" s="11" t="s">
        <v>37</v>
      </c>
      <c r="SX160" s="12" t="s">
        <v>37</v>
      </c>
      <c r="SY160" s="12" t="s">
        <v>37</v>
      </c>
      <c r="SZ160" s="11" t="s">
        <v>37</v>
      </c>
      <c r="TE160" s="12" t="s">
        <v>37</v>
      </c>
      <c r="TF160" s="12" t="s">
        <v>37</v>
      </c>
      <c r="TG160" s="11" t="s">
        <v>37</v>
      </c>
      <c r="TH160" s="12" t="s">
        <v>37</v>
      </c>
      <c r="TI160" s="12" t="s">
        <v>37</v>
      </c>
      <c r="TJ160" s="11" t="s">
        <v>37</v>
      </c>
      <c r="TO160" s="12" t="s">
        <v>37</v>
      </c>
      <c r="TP160" s="12" t="s">
        <v>37</v>
      </c>
      <c r="TQ160" s="11" t="s">
        <v>37</v>
      </c>
      <c r="TR160" s="12" t="s">
        <v>37</v>
      </c>
      <c r="TS160" s="12" t="s">
        <v>37</v>
      </c>
      <c r="TT160" s="11" t="s">
        <v>37</v>
      </c>
      <c r="TY160" s="12" t="s">
        <v>37</v>
      </c>
      <c r="TZ160" s="12" t="s">
        <v>37</v>
      </c>
      <c r="UA160" s="12" t="s">
        <v>37</v>
      </c>
      <c r="UB160" s="12" t="s">
        <v>37</v>
      </c>
      <c r="UC160" s="12" t="s">
        <v>37</v>
      </c>
      <c r="UD160" s="12" t="s">
        <v>37</v>
      </c>
      <c r="UE160" s="12"/>
      <c r="UF160" s="12"/>
      <c r="UI160" s="12" t="s">
        <v>37</v>
      </c>
      <c r="UJ160" s="12" t="s">
        <v>37</v>
      </c>
      <c r="UK160" s="12" t="s">
        <v>37</v>
      </c>
      <c r="UL160" s="12" t="s">
        <v>37</v>
      </c>
      <c r="UM160" s="12" t="s">
        <v>37</v>
      </c>
      <c r="UN160" s="12" t="s">
        <v>37</v>
      </c>
      <c r="UO160" s="12"/>
      <c r="UP160" s="12"/>
      <c r="UR160" s="12" t="s">
        <v>37</v>
      </c>
      <c r="US160" s="12" t="s">
        <v>37</v>
      </c>
      <c r="UT160" s="12" t="s">
        <v>37</v>
      </c>
      <c r="UU160" s="12" t="s">
        <v>37</v>
      </c>
      <c r="UV160" s="12" t="s">
        <v>37</v>
      </c>
      <c r="UW160" s="12" t="s">
        <v>37</v>
      </c>
      <c r="UX160" s="12"/>
      <c r="UY160" s="12"/>
      <c r="VB160" s="12" t="s">
        <v>37</v>
      </c>
      <c r="VC160" s="12" t="s">
        <v>37</v>
      </c>
      <c r="VD160" s="12" t="s">
        <v>37</v>
      </c>
      <c r="VE160" s="12" t="s">
        <v>37</v>
      </c>
      <c r="VF160" s="12" t="s">
        <v>37</v>
      </c>
      <c r="VG160" s="12" t="s">
        <v>37</v>
      </c>
      <c r="VI160" s="12" t="s">
        <v>37</v>
      </c>
      <c r="VJ160" s="12" t="s">
        <v>37</v>
      </c>
      <c r="VK160" s="12" t="s">
        <v>37</v>
      </c>
      <c r="VL160" s="12" t="s">
        <v>37</v>
      </c>
      <c r="VM160" s="12" t="s">
        <v>37</v>
      </c>
      <c r="VN160" s="12" t="s">
        <v>37</v>
      </c>
      <c r="VQ160" s="13" t="s">
        <v>37</v>
      </c>
      <c r="VR160" s="13" t="s">
        <v>37</v>
      </c>
      <c r="VS160" s="13" t="s">
        <v>37</v>
      </c>
      <c r="VT160" s="13" t="s">
        <v>37</v>
      </c>
      <c r="VU160" s="13" t="s">
        <v>37</v>
      </c>
      <c r="VV160" s="13" t="s">
        <v>37</v>
      </c>
      <c r="WA160" s="13" t="s">
        <v>37</v>
      </c>
      <c r="WB160" s="13" t="s">
        <v>37</v>
      </c>
      <c r="WC160" s="13" t="s">
        <v>37</v>
      </c>
      <c r="WD160" s="13" t="s">
        <v>37</v>
      </c>
      <c r="WE160" s="13" t="s">
        <v>37</v>
      </c>
      <c r="WF160" s="13" t="s">
        <v>37</v>
      </c>
    </row>
    <row r="161" spans="1:604" ht="18" customHeight="1" x14ac:dyDescent="0.4">
      <c r="A161" s="11">
        <v>37</v>
      </c>
      <c r="B161" s="16" t="s">
        <v>241</v>
      </c>
      <c r="C161" s="12" t="s">
        <v>26</v>
      </c>
      <c r="D161" s="12" t="s">
        <v>1039</v>
      </c>
      <c r="E161" s="40" t="s">
        <v>37</v>
      </c>
      <c r="F161" s="14">
        <v>0</v>
      </c>
      <c r="G161" s="14">
        <v>0</v>
      </c>
      <c r="H161" s="12" t="s">
        <v>79</v>
      </c>
      <c r="I161" s="29">
        <v>34.267000000000003</v>
      </c>
      <c r="J161" s="29">
        <v>102.43300000000001</v>
      </c>
      <c r="K161" s="12" t="s">
        <v>734</v>
      </c>
      <c r="L161" s="12" t="s">
        <v>735</v>
      </c>
      <c r="M161" s="13">
        <v>3430</v>
      </c>
      <c r="N161" s="14">
        <v>2.9</v>
      </c>
      <c r="O161" s="14">
        <v>592.6</v>
      </c>
      <c r="P161" s="14" t="s">
        <v>16</v>
      </c>
      <c r="Q161" s="75" t="s">
        <v>326</v>
      </c>
      <c r="R161" s="11" t="s">
        <v>37</v>
      </c>
      <c r="S161" s="12" t="s">
        <v>85</v>
      </c>
      <c r="T161" s="12" t="s">
        <v>138</v>
      </c>
      <c r="U161" s="12" t="s">
        <v>158</v>
      </c>
      <c r="V161" s="12" t="s">
        <v>275</v>
      </c>
      <c r="W161" s="23" t="s">
        <v>242</v>
      </c>
      <c r="X161" s="12" t="s">
        <v>280</v>
      </c>
      <c r="Y161" s="12" t="s">
        <v>69</v>
      </c>
      <c r="Z161" s="12" t="s">
        <v>218</v>
      </c>
      <c r="AA161" s="32" t="s">
        <v>532</v>
      </c>
      <c r="AB161" s="12">
        <v>7.92</v>
      </c>
      <c r="AC161" s="12" t="s">
        <v>42</v>
      </c>
      <c r="AD161" s="32" t="s">
        <v>532</v>
      </c>
      <c r="AE161" s="12">
        <f t="shared" si="618"/>
        <v>38.178654292343381</v>
      </c>
      <c r="AF161" s="12" t="s">
        <v>42</v>
      </c>
      <c r="AG161" s="32" t="s">
        <v>532</v>
      </c>
      <c r="AH161" s="12">
        <v>2.13</v>
      </c>
      <c r="AJ161" s="12" t="str">
        <f t="shared" si="584"/>
        <v>0-60</v>
      </c>
      <c r="AK161" s="19">
        <f t="shared" si="585"/>
        <v>17.924250841475768</v>
      </c>
      <c r="AL161" s="32" t="s">
        <v>244</v>
      </c>
      <c r="AM161" s="13" t="s">
        <v>344</v>
      </c>
      <c r="AO161" s="12" t="s">
        <v>37</v>
      </c>
      <c r="AP161" s="12" t="s">
        <v>167</v>
      </c>
      <c r="AQ161" s="12" t="s">
        <v>975</v>
      </c>
      <c r="AR161" s="12" t="s">
        <v>42</v>
      </c>
      <c r="AS161" s="32" t="s">
        <v>532</v>
      </c>
      <c r="AT161" s="12">
        <f t="shared" si="619"/>
        <v>38.178654292343381</v>
      </c>
      <c r="AU161" s="12">
        <f t="shared" si="620"/>
        <v>7.9118329466357311</v>
      </c>
      <c r="AV161" s="13">
        <v>4</v>
      </c>
      <c r="AW161" s="19">
        <f t="shared" si="621"/>
        <v>0.20723184442418721</v>
      </c>
      <c r="AX161" s="12">
        <f>53.63/1.724</f>
        <v>31.107888631090489</v>
      </c>
      <c r="AY161" s="12">
        <f>10.66/1.724</f>
        <v>6.1832946635730863</v>
      </c>
      <c r="AZ161" s="13">
        <v>4</v>
      </c>
      <c r="BA161" s="19">
        <f t="shared" si="622"/>
        <v>0.19876934551556966</v>
      </c>
      <c r="BB161" s="52">
        <f t="shared" si="586"/>
        <v>-0.20481513052035985</v>
      </c>
      <c r="BC161" s="19">
        <f t="shared" si="587"/>
        <v>2.0613572515034609E-2</v>
      </c>
      <c r="BE161" s="12" t="s">
        <v>326</v>
      </c>
      <c r="BF161" s="12" t="s">
        <v>326</v>
      </c>
      <c r="BG161" s="12" t="s">
        <v>326</v>
      </c>
      <c r="BI161" s="12" t="s">
        <v>326</v>
      </c>
      <c r="BJ161" s="12" t="s">
        <v>326</v>
      </c>
      <c r="BK161" s="12" t="s">
        <v>326</v>
      </c>
      <c r="BP161" s="12" t="s">
        <v>37</v>
      </c>
      <c r="BQ161" s="12" t="s">
        <v>37</v>
      </c>
      <c r="BR161" s="13" t="s">
        <v>37</v>
      </c>
      <c r="BT161" s="12" t="s">
        <v>37</v>
      </c>
      <c r="BU161" s="12" t="s">
        <v>37</v>
      </c>
      <c r="BV161" s="12" t="s">
        <v>37</v>
      </c>
      <c r="CA161" s="12" t="s">
        <v>37</v>
      </c>
      <c r="CB161" s="12" t="s">
        <v>37</v>
      </c>
      <c r="CC161" s="13" t="s">
        <v>37</v>
      </c>
      <c r="CE161" s="12" t="s">
        <v>37</v>
      </c>
      <c r="CF161" s="12" t="s">
        <v>37</v>
      </c>
      <c r="CG161" s="13" t="s">
        <v>37</v>
      </c>
      <c r="CI161" s="52"/>
      <c r="CJ161" s="52"/>
      <c r="CK161" s="73"/>
      <c r="CL161" s="73"/>
      <c r="CN161" s="12" t="s">
        <v>37</v>
      </c>
      <c r="CO161" s="12" t="s">
        <v>37</v>
      </c>
      <c r="CP161" s="13" t="s">
        <v>37</v>
      </c>
      <c r="CR161" s="12" t="s">
        <v>37</v>
      </c>
      <c r="CS161" s="12" t="s">
        <v>37</v>
      </c>
      <c r="CT161" s="13" t="s">
        <v>37</v>
      </c>
      <c r="CV161" s="52"/>
      <c r="CW161" s="52"/>
      <c r="CX161" s="73"/>
      <c r="CY161" s="73"/>
      <c r="DA161" s="12" t="s">
        <v>37</v>
      </c>
      <c r="DB161" s="12" t="s">
        <v>37</v>
      </c>
      <c r="DC161" s="13" t="s">
        <v>37</v>
      </c>
      <c r="DE161" s="12" t="s">
        <v>37</v>
      </c>
      <c r="DF161" s="12" t="s">
        <v>37</v>
      </c>
      <c r="DG161" s="13" t="s">
        <v>37</v>
      </c>
      <c r="DI161" s="52"/>
      <c r="DJ161" s="52"/>
      <c r="DK161" s="73"/>
      <c r="DL161" s="73"/>
      <c r="DM161" s="12" t="s">
        <v>47</v>
      </c>
      <c r="DN161" s="19">
        <f t="shared" si="631"/>
        <v>12.3249</v>
      </c>
      <c r="DO161" s="12">
        <f t="shared" si="632"/>
        <v>4.0482329046140624</v>
      </c>
      <c r="DP161" s="13">
        <v>4</v>
      </c>
      <c r="DQ161" s="19">
        <f t="shared" si="579"/>
        <v>0.32845969578771939</v>
      </c>
      <c r="DR161" s="19">
        <f>SUM(-219,247.77)*10^4/10^6</f>
        <v>0.28770000000000012</v>
      </c>
      <c r="DS161" s="12">
        <f>SQRT(20.35^2+16.68^2)*10^4/10^6</f>
        <v>0.26312447624650959</v>
      </c>
      <c r="DT161" s="13">
        <v>4</v>
      </c>
      <c r="DU161" s="19">
        <f t="shared" si="580"/>
        <v>0.91457934044667877</v>
      </c>
      <c r="DV161" s="19">
        <f t="shared" si="509"/>
        <v>-12.037199999999999</v>
      </c>
      <c r="DW161" s="12">
        <f t="shared" si="485"/>
        <v>2.8685731766855809</v>
      </c>
      <c r="DX161" s="72">
        <f t="shared" si="345"/>
        <v>4.1143560350000019</v>
      </c>
      <c r="DY161" s="72">
        <f t="shared" si="346"/>
        <v>4.1143560350000019</v>
      </c>
      <c r="DZ161" s="12" t="s">
        <v>47</v>
      </c>
      <c r="EA161" s="19">
        <f t="shared" si="633"/>
        <v>-0.36220000000000002</v>
      </c>
      <c r="EB161" s="19">
        <f t="shared" si="634"/>
        <v>0.55423680859358304</v>
      </c>
      <c r="EC161" s="72">
        <v>4</v>
      </c>
      <c r="ED161" s="52">
        <f t="shared" si="571"/>
        <v>1.530195495840925</v>
      </c>
      <c r="EE161" s="19">
        <f>SUM(-3.1,33.14)*10^4/10^6</f>
        <v>0.3004</v>
      </c>
      <c r="EF161" s="19">
        <f>SQRT(2.25^2+0.56^2)*10^4/10^6</f>
        <v>2.3186418438387587E-2</v>
      </c>
      <c r="EG161" s="13">
        <v>4</v>
      </c>
      <c r="EH161" s="52">
        <f t="shared" si="588"/>
        <v>7.7185147930717665E-2</v>
      </c>
      <c r="EI161" s="19">
        <f t="shared" si="589"/>
        <v>0.66260000000000008</v>
      </c>
      <c r="EJ161" s="12">
        <f t="shared" si="590"/>
        <v>0.39224740279573556</v>
      </c>
      <c r="EK161" s="19">
        <f t="shared" si="591"/>
        <v>7.6929012500000005E-2</v>
      </c>
      <c r="EL161" s="19">
        <f t="shared" si="592"/>
        <v>7.6929012500000005E-2</v>
      </c>
      <c r="EN161" s="12" t="s">
        <v>37</v>
      </c>
      <c r="EO161" s="12" t="s">
        <v>37</v>
      </c>
      <c r="EP161" s="13" t="s">
        <v>37</v>
      </c>
      <c r="ER161" s="12" t="s">
        <v>37</v>
      </c>
      <c r="ES161" s="12" t="s">
        <v>37</v>
      </c>
      <c r="ET161" s="13" t="s">
        <v>37</v>
      </c>
      <c r="FB161" s="12" t="s">
        <v>37</v>
      </c>
      <c r="FC161" s="12" t="s">
        <v>37</v>
      </c>
      <c r="FD161" s="11" t="s">
        <v>37</v>
      </c>
      <c r="FE161" s="12" t="s">
        <v>37</v>
      </c>
      <c r="FF161" s="20" t="s">
        <v>37</v>
      </c>
      <c r="FG161" s="11" t="s">
        <v>37</v>
      </c>
      <c r="FI161" s="12" t="s">
        <v>37</v>
      </c>
      <c r="FJ161" s="12" t="s">
        <v>37</v>
      </c>
      <c r="FK161" s="11" t="s">
        <v>37</v>
      </c>
      <c r="FL161" s="13" t="s">
        <v>37</v>
      </c>
      <c r="FM161" s="11" t="s">
        <v>37</v>
      </c>
      <c r="FN161" s="11" t="s">
        <v>37</v>
      </c>
      <c r="FP161" s="12" t="s">
        <v>37</v>
      </c>
      <c r="FQ161" s="12" t="s">
        <v>37</v>
      </c>
      <c r="FR161" s="11" t="s">
        <v>37</v>
      </c>
      <c r="FS161" s="13" t="s">
        <v>37</v>
      </c>
      <c r="FT161" s="11" t="s">
        <v>37</v>
      </c>
      <c r="FU161" s="11" t="s">
        <v>37</v>
      </c>
      <c r="FW161" s="12" t="s">
        <v>37</v>
      </c>
      <c r="FX161" s="12" t="s">
        <v>37</v>
      </c>
      <c r="FY161" s="11" t="s">
        <v>37</v>
      </c>
      <c r="FZ161" s="13" t="s">
        <v>37</v>
      </c>
      <c r="GA161" s="11" t="s">
        <v>37</v>
      </c>
      <c r="GB161" s="11" t="s">
        <v>37</v>
      </c>
      <c r="HA161" s="17" t="s">
        <v>63</v>
      </c>
      <c r="HB161" s="34" t="s">
        <v>532</v>
      </c>
      <c r="HC161" s="12">
        <v>0.36</v>
      </c>
      <c r="HD161" s="12">
        <v>0.01</v>
      </c>
      <c r="HE161" s="13">
        <v>4</v>
      </c>
      <c r="HF161" s="19">
        <f t="shared" si="593"/>
        <v>2.777777777777778E-2</v>
      </c>
      <c r="HG161" s="12">
        <v>0.56000000000000005</v>
      </c>
      <c r="HH161" s="12">
        <v>0.03</v>
      </c>
      <c r="HI161" s="13">
        <v>4</v>
      </c>
      <c r="HJ161" s="19">
        <f t="shared" si="594"/>
        <v>5.3571428571428562E-2</v>
      </c>
      <c r="HK161" s="19">
        <f t="shared" si="595"/>
        <v>0.4418327522790394</v>
      </c>
      <c r="HL161" s="19">
        <f t="shared" si="596"/>
        <v>9.1037572436381952E-4</v>
      </c>
      <c r="IK161" s="12" t="s">
        <v>37</v>
      </c>
      <c r="IL161" s="12" t="s">
        <v>37</v>
      </c>
      <c r="IM161" s="12" t="s">
        <v>37</v>
      </c>
      <c r="IO161" s="12" t="s">
        <v>37</v>
      </c>
      <c r="IP161" s="12" t="s">
        <v>37</v>
      </c>
      <c r="IQ161" s="12" t="s">
        <v>37</v>
      </c>
      <c r="IV161" s="32" t="s">
        <v>532</v>
      </c>
      <c r="IW161" s="12">
        <v>7.92</v>
      </c>
      <c r="IX161" s="12">
        <v>0.04</v>
      </c>
      <c r="IY161" s="13">
        <v>4</v>
      </c>
      <c r="IZ161" s="19">
        <f t="shared" si="597"/>
        <v>5.0505050505050509E-3</v>
      </c>
      <c r="JA161" s="12">
        <v>7.76</v>
      </c>
      <c r="JB161" s="12">
        <v>0.06</v>
      </c>
      <c r="JC161" s="13">
        <v>4</v>
      </c>
      <c r="JD161" s="19">
        <f t="shared" si="598"/>
        <v>7.7319587628865982E-3</v>
      </c>
      <c r="JE161" s="19">
        <f t="shared" si="599"/>
        <v>-2.0408871631207123E-2</v>
      </c>
      <c r="JF161" s="19">
        <f t="shared" si="625"/>
        <v>2.132269689403897E-5</v>
      </c>
      <c r="JH161" s="12" t="s">
        <v>37</v>
      </c>
      <c r="JI161" s="12" t="s">
        <v>37</v>
      </c>
      <c r="JJ161" s="13" t="s">
        <v>37</v>
      </c>
      <c r="JL161" s="12" t="s">
        <v>37</v>
      </c>
      <c r="JM161" s="12" t="s">
        <v>37</v>
      </c>
      <c r="JN161" s="12" t="s">
        <v>37</v>
      </c>
      <c r="JS161" s="12" t="s">
        <v>37</v>
      </c>
      <c r="JT161" s="12" t="s">
        <v>37</v>
      </c>
      <c r="JU161" s="13" t="s">
        <v>37</v>
      </c>
      <c r="JW161" s="12" t="s">
        <v>37</v>
      </c>
      <c r="JX161" s="12" t="s">
        <v>37</v>
      </c>
      <c r="JY161" s="12" t="s">
        <v>37</v>
      </c>
      <c r="KE161" s="11" t="s">
        <v>37</v>
      </c>
      <c r="KF161" s="11" t="s">
        <v>37</v>
      </c>
      <c r="KG161" s="13" t="s">
        <v>37</v>
      </c>
      <c r="KH161" s="11" t="s">
        <v>37</v>
      </c>
      <c r="KI161" s="11" t="s">
        <v>37</v>
      </c>
      <c r="KJ161" s="11" t="s">
        <v>37</v>
      </c>
      <c r="KK161" s="12" t="s">
        <v>42</v>
      </c>
      <c r="KL161" s="32" t="s">
        <v>532</v>
      </c>
      <c r="KM161" s="12">
        <v>2.13</v>
      </c>
      <c r="KN161" s="12">
        <v>1.01</v>
      </c>
      <c r="KO161" s="11">
        <v>4</v>
      </c>
      <c r="KP161" s="19">
        <f t="shared" si="626"/>
        <v>0.47417840375586856</v>
      </c>
      <c r="KQ161" s="12">
        <v>1.63</v>
      </c>
      <c r="KR161" s="12">
        <v>0.63</v>
      </c>
      <c r="KS161" s="13">
        <v>4</v>
      </c>
      <c r="KT161" s="19">
        <f t="shared" si="627"/>
        <v>0.38650306748466262</v>
      </c>
      <c r="KU161" s="19">
        <f t="shared" si="600"/>
        <v>-0.26754196490266285</v>
      </c>
      <c r="KV161" s="19">
        <f t="shared" si="601"/>
        <v>9.3557444940879295E-2</v>
      </c>
      <c r="KX161" s="12" t="s">
        <v>37</v>
      </c>
      <c r="KY161" s="12" t="s">
        <v>37</v>
      </c>
      <c r="KZ161" s="13" t="s">
        <v>37</v>
      </c>
      <c r="LB161" s="12" t="s">
        <v>37</v>
      </c>
      <c r="LC161" s="12" t="s">
        <v>37</v>
      </c>
      <c r="LD161" s="13" t="s">
        <v>37</v>
      </c>
      <c r="LI161" s="12" t="s">
        <v>37</v>
      </c>
      <c r="LJ161" s="12" t="s">
        <v>37</v>
      </c>
      <c r="LK161" s="12" t="s">
        <v>37</v>
      </c>
      <c r="LM161" s="12" t="s">
        <v>37</v>
      </c>
      <c r="LN161" s="12" t="s">
        <v>37</v>
      </c>
      <c r="LO161" s="12" t="s">
        <v>37</v>
      </c>
      <c r="LT161" s="12" t="str">
        <f t="shared" si="602"/>
        <v>0-60</v>
      </c>
      <c r="LU161" s="12">
        <f t="shared" si="603"/>
        <v>17.924250841475768</v>
      </c>
      <c r="LV161" s="12">
        <f t="shared" si="604"/>
        <v>9.2755217800713972</v>
      </c>
      <c r="LW161" s="13">
        <f t="shared" si="605"/>
        <v>4</v>
      </c>
      <c r="LX161" s="19">
        <f t="shared" si="606"/>
        <v>0.51748448859063778</v>
      </c>
      <c r="LY161" s="12">
        <f t="shared" si="607"/>
        <v>19.084594252202756</v>
      </c>
      <c r="LZ161" s="12">
        <f t="shared" si="608"/>
        <v>8.294531632538753</v>
      </c>
      <c r="MA161" s="13">
        <f t="shared" si="609"/>
        <v>4</v>
      </c>
      <c r="MB161" s="19">
        <f t="shared" si="610"/>
        <v>0.43461922862632479</v>
      </c>
      <c r="MC161" s="19">
        <f t="shared" si="611"/>
        <v>6.272683438230299E-2</v>
      </c>
      <c r="MD161" s="19">
        <f t="shared" si="612"/>
        <v>0.11417101745591388</v>
      </c>
      <c r="MF161" s="12" t="s">
        <v>37</v>
      </c>
      <c r="MG161" s="12" t="s">
        <v>37</v>
      </c>
      <c r="MH161" s="12" t="s">
        <v>37</v>
      </c>
      <c r="MJ161" s="12" t="s">
        <v>37</v>
      </c>
      <c r="MK161" s="12" t="s">
        <v>37</v>
      </c>
      <c r="ML161" s="12" t="s">
        <v>37</v>
      </c>
      <c r="MQ161" s="12" t="s">
        <v>37</v>
      </c>
      <c r="MR161" s="12" t="s">
        <v>37</v>
      </c>
      <c r="MS161" s="12" t="s">
        <v>37</v>
      </c>
      <c r="MU161" s="12" t="s">
        <v>37</v>
      </c>
      <c r="MV161" s="12" t="s">
        <v>37</v>
      </c>
      <c r="MW161" s="12" t="s">
        <v>37</v>
      </c>
      <c r="NC161" s="12" t="s">
        <v>37</v>
      </c>
      <c r="ND161" s="12" t="s">
        <v>37</v>
      </c>
      <c r="NE161" s="13" t="s">
        <v>37</v>
      </c>
      <c r="NG161" s="12" t="s">
        <v>37</v>
      </c>
      <c r="NH161" s="12" t="s">
        <v>37</v>
      </c>
      <c r="NI161" s="13" t="s">
        <v>37</v>
      </c>
      <c r="NO161" s="12" t="s">
        <v>37</v>
      </c>
      <c r="NP161" s="12" t="s">
        <v>37</v>
      </c>
      <c r="NQ161" s="13" t="s">
        <v>37</v>
      </c>
      <c r="NS161" s="12" t="s">
        <v>37</v>
      </c>
      <c r="NT161" s="12" t="s">
        <v>37</v>
      </c>
      <c r="NU161" s="13" t="s">
        <v>37</v>
      </c>
      <c r="OA161" s="12" t="s">
        <v>37</v>
      </c>
      <c r="OB161" s="12" t="s">
        <v>37</v>
      </c>
      <c r="OC161" s="13" t="s">
        <v>37</v>
      </c>
      <c r="OE161" s="12" t="s">
        <v>37</v>
      </c>
      <c r="OF161" s="12" t="s">
        <v>37</v>
      </c>
      <c r="OG161" s="13" t="s">
        <v>37</v>
      </c>
      <c r="OM161" s="12" t="s">
        <v>37</v>
      </c>
      <c r="ON161" s="12" t="s">
        <v>37</v>
      </c>
      <c r="OO161" s="12" t="s">
        <v>37</v>
      </c>
      <c r="OP161" s="12" t="s">
        <v>37</v>
      </c>
      <c r="OQ161" s="12" t="s">
        <v>37</v>
      </c>
      <c r="OR161" s="12" t="s">
        <v>37</v>
      </c>
      <c r="OS161" s="12"/>
      <c r="OT161" s="12"/>
      <c r="OW161" s="12" t="s">
        <v>37</v>
      </c>
      <c r="OX161" s="12" t="s">
        <v>37</v>
      </c>
      <c r="OY161" s="13" t="s">
        <v>37</v>
      </c>
      <c r="OZ161" s="12" t="s">
        <v>37</v>
      </c>
      <c r="PA161" s="12" t="s">
        <v>37</v>
      </c>
      <c r="PB161" s="13" t="s">
        <v>37</v>
      </c>
      <c r="PG161" s="11" t="s">
        <v>37</v>
      </c>
      <c r="PH161" s="11" t="s">
        <v>37</v>
      </c>
      <c r="PI161" s="13" t="s">
        <v>37</v>
      </c>
      <c r="PJ161" s="11" t="s">
        <v>37</v>
      </c>
      <c r="PK161" s="11" t="s">
        <v>37</v>
      </c>
      <c r="PL161" s="13" t="s">
        <v>37</v>
      </c>
      <c r="PQ161" s="12" t="s">
        <v>37</v>
      </c>
      <c r="PR161" s="12" t="s">
        <v>37</v>
      </c>
      <c r="PS161" s="12" t="s">
        <v>37</v>
      </c>
      <c r="PT161" s="12" t="s">
        <v>37</v>
      </c>
      <c r="PU161" s="12" t="s">
        <v>37</v>
      </c>
      <c r="PV161" s="12" t="s">
        <v>37</v>
      </c>
      <c r="PW161" s="12"/>
      <c r="PX161" s="12"/>
      <c r="PY161" s="12" t="s">
        <v>43</v>
      </c>
      <c r="PZ161" s="12">
        <v>355.9</v>
      </c>
      <c r="QA161" s="12">
        <v>174.64</v>
      </c>
      <c r="QB161" s="11">
        <v>4</v>
      </c>
      <c r="QC161" s="19">
        <f t="shared" si="628"/>
        <v>0.49069963472885642</v>
      </c>
      <c r="QF161" s="12"/>
      <c r="QK161" s="12" t="s">
        <v>37</v>
      </c>
      <c r="QL161" s="12" t="s">
        <v>37</v>
      </c>
      <c r="QM161" s="12" t="s">
        <v>37</v>
      </c>
      <c r="QN161" s="12" t="s">
        <v>37</v>
      </c>
      <c r="QO161" s="12" t="s">
        <v>37</v>
      </c>
      <c r="QP161" s="12" t="s">
        <v>37</v>
      </c>
      <c r="QQ161" s="12"/>
      <c r="QR161" s="12"/>
      <c r="QU161" s="12" t="s">
        <v>37</v>
      </c>
      <c r="QV161" s="12" t="s">
        <v>37</v>
      </c>
      <c r="QW161" s="12" t="s">
        <v>37</v>
      </c>
      <c r="QX161" s="12" t="s">
        <v>37</v>
      </c>
      <c r="QY161" s="12" t="s">
        <v>37</v>
      </c>
      <c r="QZ161" s="12" t="s">
        <v>37</v>
      </c>
      <c r="RC161" s="12" t="s">
        <v>37</v>
      </c>
      <c r="RD161" s="12" t="s">
        <v>37</v>
      </c>
      <c r="RE161" s="13" t="s">
        <v>37</v>
      </c>
      <c r="RF161" s="12" t="s">
        <v>37</v>
      </c>
      <c r="RG161" s="12" t="s">
        <v>37</v>
      </c>
      <c r="RH161" s="13" t="s">
        <v>37</v>
      </c>
      <c r="RK161" s="12" t="s">
        <v>37</v>
      </c>
      <c r="RL161" s="12" t="s">
        <v>37</v>
      </c>
      <c r="RM161" s="11" t="s">
        <v>37</v>
      </c>
      <c r="RN161" s="12" t="s">
        <v>37</v>
      </c>
      <c r="RO161" s="12" t="s">
        <v>37</v>
      </c>
      <c r="RP161" s="11" t="s">
        <v>37</v>
      </c>
      <c r="RS161" s="12" t="s">
        <v>37</v>
      </c>
      <c r="RT161" s="12" t="s">
        <v>37</v>
      </c>
      <c r="RU161" s="12" t="s">
        <v>37</v>
      </c>
      <c r="RV161" s="12" t="s">
        <v>37</v>
      </c>
      <c r="RW161" s="12" t="s">
        <v>37</v>
      </c>
      <c r="RX161" s="12" t="s">
        <v>37</v>
      </c>
      <c r="SA161" s="12" t="s">
        <v>37</v>
      </c>
      <c r="SB161" s="12" t="s">
        <v>37</v>
      </c>
      <c r="SC161" s="12" t="s">
        <v>37</v>
      </c>
      <c r="SD161" s="12" t="s">
        <v>37</v>
      </c>
      <c r="SE161" s="12" t="s">
        <v>37</v>
      </c>
      <c r="SF161" s="12" t="s">
        <v>37</v>
      </c>
      <c r="SG161" s="12" t="s">
        <v>42</v>
      </c>
      <c r="SH161" s="12" t="s">
        <v>532</v>
      </c>
      <c r="SI161" s="12">
        <v>1.48</v>
      </c>
      <c r="SJ161" s="12">
        <v>0.51</v>
      </c>
      <c r="SK161" s="13">
        <v>4</v>
      </c>
      <c r="SL161" s="19">
        <f t="shared" si="614"/>
        <v>0.34459459459459463</v>
      </c>
      <c r="SM161" s="12">
        <v>1.1499999999999999</v>
      </c>
      <c r="SN161" s="12">
        <v>0.22</v>
      </c>
      <c r="SO161" s="13">
        <v>4</v>
      </c>
      <c r="SP161" s="19">
        <f t="shared" si="615"/>
        <v>0.19130434782608696</v>
      </c>
      <c r="SQ161" s="19">
        <f t="shared" si="616"/>
        <v>-0.25228014540086507</v>
      </c>
      <c r="SR161" s="19">
        <f t="shared" si="617"/>
        <v>3.8835697030244372E-2</v>
      </c>
      <c r="SU161" s="12" t="s">
        <v>37</v>
      </c>
      <c r="SV161" s="12" t="s">
        <v>37</v>
      </c>
      <c r="SW161" s="11" t="s">
        <v>37</v>
      </c>
      <c r="SX161" s="12" t="s">
        <v>37</v>
      </c>
      <c r="SY161" s="12" t="s">
        <v>37</v>
      </c>
      <c r="SZ161" s="11" t="s">
        <v>37</v>
      </c>
      <c r="TE161" s="12" t="s">
        <v>37</v>
      </c>
      <c r="TF161" s="12" t="s">
        <v>37</v>
      </c>
      <c r="TG161" s="11" t="s">
        <v>37</v>
      </c>
      <c r="TH161" s="12" t="s">
        <v>37</v>
      </c>
      <c r="TI161" s="12" t="s">
        <v>37</v>
      </c>
      <c r="TJ161" s="11" t="s">
        <v>37</v>
      </c>
      <c r="TO161" s="12" t="s">
        <v>37</v>
      </c>
      <c r="TP161" s="12" t="s">
        <v>37</v>
      </c>
      <c r="TQ161" s="11" t="s">
        <v>37</v>
      </c>
      <c r="TR161" s="12" t="s">
        <v>37</v>
      </c>
      <c r="TS161" s="12" t="s">
        <v>37</v>
      </c>
      <c r="TT161" s="11" t="s">
        <v>37</v>
      </c>
      <c r="TY161" s="12" t="s">
        <v>37</v>
      </c>
      <c r="TZ161" s="12" t="s">
        <v>37</v>
      </c>
      <c r="UA161" s="12" t="s">
        <v>37</v>
      </c>
      <c r="UB161" s="12" t="s">
        <v>37</v>
      </c>
      <c r="UC161" s="12" t="s">
        <v>37</v>
      </c>
      <c r="UD161" s="12" t="s">
        <v>37</v>
      </c>
      <c r="UE161" s="12"/>
      <c r="UF161" s="12"/>
      <c r="UI161" s="12" t="s">
        <v>37</v>
      </c>
      <c r="UJ161" s="12" t="s">
        <v>37</v>
      </c>
      <c r="UK161" s="12" t="s">
        <v>37</v>
      </c>
      <c r="UL161" s="12" t="s">
        <v>37</v>
      </c>
      <c r="UM161" s="12" t="s">
        <v>37</v>
      </c>
      <c r="UN161" s="12" t="s">
        <v>37</v>
      </c>
      <c r="UO161" s="12"/>
      <c r="UP161" s="12"/>
      <c r="UR161" s="12" t="s">
        <v>37</v>
      </c>
      <c r="US161" s="12" t="s">
        <v>37</v>
      </c>
      <c r="UT161" s="12" t="s">
        <v>37</v>
      </c>
      <c r="UU161" s="12" t="s">
        <v>37</v>
      </c>
      <c r="UV161" s="12" t="s">
        <v>37</v>
      </c>
      <c r="UW161" s="12" t="s">
        <v>37</v>
      </c>
      <c r="UX161" s="12"/>
      <c r="UY161" s="12"/>
      <c r="VB161" s="12" t="s">
        <v>37</v>
      </c>
      <c r="VC161" s="12" t="s">
        <v>37</v>
      </c>
      <c r="VD161" s="12" t="s">
        <v>37</v>
      </c>
      <c r="VE161" s="12" t="s">
        <v>37</v>
      </c>
      <c r="VF161" s="12" t="s">
        <v>37</v>
      </c>
      <c r="VG161" s="12" t="s">
        <v>37</v>
      </c>
      <c r="VI161" s="12" t="s">
        <v>37</v>
      </c>
      <c r="VJ161" s="12" t="s">
        <v>37</v>
      </c>
      <c r="VK161" s="12" t="s">
        <v>37</v>
      </c>
      <c r="VL161" s="12" t="s">
        <v>37</v>
      </c>
      <c r="VM161" s="12" t="s">
        <v>37</v>
      </c>
      <c r="VN161" s="12" t="s">
        <v>37</v>
      </c>
      <c r="VQ161" s="13" t="s">
        <v>37</v>
      </c>
      <c r="VR161" s="13" t="s">
        <v>37</v>
      </c>
      <c r="VS161" s="13" t="s">
        <v>37</v>
      </c>
      <c r="VT161" s="13" t="s">
        <v>37</v>
      </c>
      <c r="VU161" s="13" t="s">
        <v>37</v>
      </c>
      <c r="VV161" s="13" t="s">
        <v>37</v>
      </c>
      <c r="WA161" s="13" t="s">
        <v>37</v>
      </c>
      <c r="WB161" s="13" t="s">
        <v>37</v>
      </c>
      <c r="WC161" s="13" t="s">
        <v>37</v>
      </c>
      <c r="WD161" s="13" t="s">
        <v>37</v>
      </c>
      <c r="WE161" s="13" t="s">
        <v>37</v>
      </c>
      <c r="WF161" s="13" t="s">
        <v>37</v>
      </c>
    </row>
    <row r="162" spans="1:604" ht="18" customHeight="1" x14ac:dyDescent="0.4">
      <c r="A162" s="11">
        <v>38</v>
      </c>
      <c r="B162" s="16" t="s">
        <v>907</v>
      </c>
      <c r="C162" s="12" t="s">
        <v>26</v>
      </c>
      <c r="D162" s="12" t="s">
        <v>1039</v>
      </c>
      <c r="E162" s="40" t="s">
        <v>37</v>
      </c>
      <c r="F162" s="14">
        <v>0</v>
      </c>
      <c r="G162" s="14">
        <v>0</v>
      </c>
      <c r="H162" s="12" t="s">
        <v>106</v>
      </c>
      <c r="I162" s="29">
        <v>52.5</v>
      </c>
      <c r="J162" s="29">
        <v>-8.1999999999999993</v>
      </c>
      <c r="K162" s="12" t="s">
        <v>736</v>
      </c>
      <c r="L162" s="12" t="s">
        <v>737</v>
      </c>
      <c r="M162" s="13" t="s">
        <v>37</v>
      </c>
      <c r="N162" s="14" t="s">
        <v>37</v>
      </c>
      <c r="O162" s="14">
        <v>1017</v>
      </c>
      <c r="P162" s="14" t="s">
        <v>16</v>
      </c>
      <c r="Q162" s="75">
        <f>4/12</f>
        <v>0.33333333333333331</v>
      </c>
      <c r="R162" s="11" t="s">
        <v>37</v>
      </c>
      <c r="S162" s="12" t="s">
        <v>51</v>
      </c>
      <c r="T162" s="12" t="s">
        <v>138</v>
      </c>
      <c r="U162" s="12" t="s">
        <v>158</v>
      </c>
      <c r="V162" s="12" t="s">
        <v>275</v>
      </c>
      <c r="W162" s="55" t="s">
        <v>295</v>
      </c>
      <c r="X162" s="12" t="s">
        <v>283</v>
      </c>
      <c r="Y162" s="12" t="s">
        <v>248</v>
      </c>
      <c r="Z162" s="12" t="s">
        <v>217</v>
      </c>
      <c r="AA162" s="32" t="s">
        <v>345</v>
      </c>
      <c r="AB162" s="12">
        <v>6.5</v>
      </c>
      <c r="AE162" s="12" t="s">
        <v>37</v>
      </c>
      <c r="AH162" s="12" t="s">
        <v>37</v>
      </c>
      <c r="AK162" s="12" t="s">
        <v>37</v>
      </c>
      <c r="AL162" s="32" t="s">
        <v>533</v>
      </c>
      <c r="AM162" s="12" t="s">
        <v>317</v>
      </c>
      <c r="AN162" s="32" t="s">
        <v>879</v>
      </c>
      <c r="AO162" s="12" t="s">
        <v>37</v>
      </c>
      <c r="AP162" s="12" t="s">
        <v>167</v>
      </c>
      <c r="AQ162" s="12" t="s">
        <v>975</v>
      </c>
      <c r="AT162" s="12" t="s">
        <v>326</v>
      </c>
      <c r="AU162" s="12" t="s">
        <v>326</v>
      </c>
      <c r="AV162" s="13" t="s">
        <v>326</v>
      </c>
      <c r="AX162" s="12" t="s">
        <v>326</v>
      </c>
      <c r="AY162" s="12" t="s">
        <v>326</v>
      </c>
      <c r="AZ162" s="13" t="s">
        <v>326</v>
      </c>
      <c r="BE162" s="12" t="s">
        <v>326</v>
      </c>
      <c r="BF162" s="12" t="s">
        <v>326</v>
      </c>
      <c r="BG162" s="12" t="s">
        <v>326</v>
      </c>
      <c r="BI162" s="12" t="s">
        <v>326</v>
      </c>
      <c r="BJ162" s="12" t="s">
        <v>326</v>
      </c>
      <c r="BK162" s="12" t="s">
        <v>326</v>
      </c>
      <c r="BP162" s="12" t="s">
        <v>37</v>
      </c>
      <c r="BQ162" s="12" t="s">
        <v>37</v>
      </c>
      <c r="BR162" s="13" t="s">
        <v>37</v>
      </c>
      <c r="BT162" s="12" t="s">
        <v>37</v>
      </c>
      <c r="BU162" s="12" t="s">
        <v>37</v>
      </c>
      <c r="BV162" s="12" t="s">
        <v>37</v>
      </c>
      <c r="CA162" s="12" t="s">
        <v>37</v>
      </c>
      <c r="CB162" s="12" t="s">
        <v>37</v>
      </c>
      <c r="CC162" s="13" t="s">
        <v>37</v>
      </c>
      <c r="CE162" s="12" t="s">
        <v>37</v>
      </c>
      <c r="CF162" s="12" t="s">
        <v>37</v>
      </c>
      <c r="CG162" s="13" t="s">
        <v>37</v>
      </c>
      <c r="CN162" s="12" t="s">
        <v>37</v>
      </c>
      <c r="CO162" s="12" t="s">
        <v>37</v>
      </c>
      <c r="CP162" s="13" t="s">
        <v>37</v>
      </c>
      <c r="CR162" s="12" t="s">
        <v>37</v>
      </c>
      <c r="CS162" s="12" t="s">
        <v>37</v>
      </c>
      <c r="CT162" s="13" t="s">
        <v>37</v>
      </c>
      <c r="CX162" s="72"/>
      <c r="CY162" s="72"/>
      <c r="DA162" s="12" t="s">
        <v>37</v>
      </c>
      <c r="DB162" s="12" t="s">
        <v>37</v>
      </c>
      <c r="DC162" s="13" t="s">
        <v>37</v>
      </c>
      <c r="DE162" s="12" t="s">
        <v>37</v>
      </c>
      <c r="DF162" s="12" t="s">
        <v>37</v>
      </c>
      <c r="DG162" s="13" t="s">
        <v>37</v>
      </c>
      <c r="DM162" s="11" t="s">
        <v>47</v>
      </c>
      <c r="DN162" s="19">
        <f>0.6*16/12/25/'[1]classes-1'!$I$44</f>
        <v>4.1088183748609376E-2</v>
      </c>
      <c r="DO162" s="50">
        <f>ABS(DN162)*DQ$474</f>
        <v>4.5808365090522003E-2</v>
      </c>
      <c r="DP162" s="13">
        <v>4</v>
      </c>
      <c r="DR162" s="19">
        <f>0.7*16/12/25+[1]Classess!$AC$12</f>
        <v>0.1749737827715355</v>
      </c>
      <c r="DS162" s="50">
        <f>ABS(DR162)*DU$474</f>
        <v>0.65391487210700916</v>
      </c>
      <c r="DT162" s="13">
        <v>4</v>
      </c>
      <c r="DV162" s="19">
        <f>DR162-DN162</f>
        <v>0.13388559902292613</v>
      </c>
      <c r="DW162" s="12">
        <f t="shared" si="485"/>
        <v>0.46352080119180883</v>
      </c>
      <c r="DX162" s="72">
        <f t="shared" si="345"/>
        <v>0.10742576656874818</v>
      </c>
      <c r="DY162" s="72">
        <f>(DO162^2/DP162)+(DS162^2/DT162)</f>
        <v>0.10742576656874817</v>
      </c>
      <c r="DZ162" s="11" t="s">
        <v>47</v>
      </c>
      <c r="EA162" s="19">
        <f>472.5*("2011/10/31"-"2011/05/01")/("2011/10/26"-"2011/05/27")*44/28/298/'[3]classess-1'!$I$16</f>
        <v>2.1024738953323308</v>
      </c>
      <c r="EB162" s="50">
        <f>ABS(EA162)*ED$474</f>
        <v>12.089176504021989</v>
      </c>
      <c r="EC162" s="72">
        <v>4</v>
      </c>
      <c r="EE162" s="19">
        <f>434.2*("2011/10/31"-"2011/05/01")/("2011/10/26"-"2011/05/27")*44/28/298/'[3]classess-1'!$I$17</f>
        <v>6.8008768905024581</v>
      </c>
      <c r="EF162" s="50">
        <f>ABS(EE162)*EH$474</f>
        <v>10.154657115085213</v>
      </c>
      <c r="EG162" s="13">
        <v>4</v>
      </c>
      <c r="EI162" s="19">
        <f t="shared" ref="EI162:EI166" si="635">EE162-EA162</f>
        <v>4.6984029951701274</v>
      </c>
      <c r="EJ162" s="12">
        <f t="shared" si="590"/>
        <v>11.16389828129825</v>
      </c>
      <c r="EK162" s="19">
        <f t="shared" si="591"/>
        <v>62.316312417587007</v>
      </c>
      <c r="EL162" s="19">
        <f t="shared" si="592"/>
        <v>62.316312417587014</v>
      </c>
      <c r="EN162" s="12" t="s">
        <v>37</v>
      </c>
      <c r="EO162" s="12" t="s">
        <v>37</v>
      </c>
      <c r="EP162" s="13" t="s">
        <v>37</v>
      </c>
      <c r="ER162" s="12" t="s">
        <v>37</v>
      </c>
      <c r="ES162" s="12" t="s">
        <v>37</v>
      </c>
      <c r="ET162" s="13" t="s">
        <v>37</v>
      </c>
      <c r="FB162" s="12" t="s">
        <v>37</v>
      </c>
      <c r="FC162" s="12" t="s">
        <v>37</v>
      </c>
      <c r="FD162" s="11" t="s">
        <v>37</v>
      </c>
      <c r="FE162" s="12" t="s">
        <v>37</v>
      </c>
      <c r="FF162" s="20" t="s">
        <v>37</v>
      </c>
      <c r="FG162" s="11" t="s">
        <v>37</v>
      </c>
      <c r="FI162" s="12" t="s">
        <v>37</v>
      </c>
      <c r="FJ162" s="12" t="s">
        <v>37</v>
      </c>
      <c r="FK162" s="11" t="s">
        <v>37</v>
      </c>
      <c r="FL162" s="13" t="s">
        <v>37</v>
      </c>
      <c r="FM162" s="11" t="s">
        <v>37</v>
      </c>
      <c r="FN162" s="11" t="s">
        <v>37</v>
      </c>
      <c r="FP162" s="12" t="s">
        <v>37</v>
      </c>
      <c r="FQ162" s="12" t="s">
        <v>37</v>
      </c>
      <c r="FR162" s="11" t="s">
        <v>37</v>
      </c>
      <c r="FS162" s="13" t="s">
        <v>37</v>
      </c>
      <c r="FT162" s="11" t="s">
        <v>37</v>
      </c>
      <c r="FU162" s="11" t="s">
        <v>37</v>
      </c>
      <c r="FW162" s="12" t="s">
        <v>37</v>
      </c>
      <c r="FX162" s="12" t="s">
        <v>37</v>
      </c>
      <c r="FY162" s="11" t="s">
        <v>37</v>
      </c>
      <c r="FZ162" s="13" t="s">
        <v>37</v>
      </c>
      <c r="GA162" s="11" t="s">
        <v>37</v>
      </c>
      <c r="GB162" s="11" t="s">
        <v>37</v>
      </c>
      <c r="GC162" s="12" t="s">
        <v>90</v>
      </c>
      <c r="GD162" s="12" t="s">
        <v>345</v>
      </c>
      <c r="GE162" s="12">
        <v>90</v>
      </c>
      <c r="GF162" s="50">
        <f>ABS(GE162)*GH$474</f>
        <v>13.287133598214369</v>
      </c>
      <c r="GG162" s="13">
        <v>4</v>
      </c>
      <c r="GI162" s="12">
        <v>84</v>
      </c>
      <c r="GJ162" s="50">
        <f>ABS(GI162)*GL$474</f>
        <v>16.066129250747988</v>
      </c>
      <c r="GK162" s="13">
        <v>4</v>
      </c>
      <c r="GM162" s="19">
        <f t="shared" ref="GM162:GM166" si="636">LN(GI162/GE162)</f>
        <v>-6.8992871486951435E-2</v>
      </c>
      <c r="GN162" s="19">
        <f>GJ162^2/(GK162*GI162^2)+GF162^2/(GG162*GE162^2)</f>
        <v>1.4594436054771946E-2</v>
      </c>
      <c r="IK162" s="12" t="s">
        <v>37</v>
      </c>
      <c r="IL162" s="12" t="s">
        <v>37</v>
      </c>
      <c r="IM162" s="12" t="s">
        <v>37</v>
      </c>
      <c r="IO162" s="12" t="s">
        <v>37</v>
      </c>
      <c r="IP162" s="12" t="s">
        <v>37</v>
      </c>
      <c r="IQ162" s="12" t="s">
        <v>37</v>
      </c>
      <c r="IV162" s="32" t="s">
        <v>345</v>
      </c>
      <c r="IW162" s="12">
        <v>6.5</v>
      </c>
      <c r="JH162" s="12" t="s">
        <v>37</v>
      </c>
      <c r="JI162" s="12" t="s">
        <v>37</v>
      </c>
      <c r="JJ162" s="13" t="s">
        <v>37</v>
      </c>
      <c r="JL162" s="12" t="s">
        <v>37</v>
      </c>
      <c r="JM162" s="12" t="s">
        <v>37</v>
      </c>
      <c r="JN162" s="12" t="s">
        <v>37</v>
      </c>
      <c r="JS162" s="12" t="s">
        <v>37</v>
      </c>
      <c r="JT162" s="12" t="s">
        <v>37</v>
      </c>
      <c r="JU162" s="13" t="s">
        <v>37</v>
      </c>
      <c r="JW162" s="12" t="s">
        <v>37</v>
      </c>
      <c r="JX162" s="12" t="s">
        <v>37</v>
      </c>
      <c r="JY162" s="12" t="s">
        <v>37</v>
      </c>
      <c r="KE162" s="11" t="s">
        <v>37</v>
      </c>
      <c r="KF162" s="11" t="s">
        <v>37</v>
      </c>
      <c r="KG162" s="13" t="s">
        <v>37</v>
      </c>
      <c r="KH162" s="11" t="s">
        <v>37</v>
      </c>
      <c r="KI162" s="11" t="s">
        <v>37</v>
      </c>
      <c r="KJ162" s="11" t="s">
        <v>37</v>
      </c>
      <c r="KM162" s="12" t="s">
        <v>37</v>
      </c>
      <c r="KN162" s="12" t="s">
        <v>37</v>
      </c>
      <c r="KO162" s="11" t="s">
        <v>37</v>
      </c>
      <c r="KQ162" s="12" t="s">
        <v>37</v>
      </c>
      <c r="KR162" s="12" t="s">
        <v>37</v>
      </c>
      <c r="KS162" s="13" t="s">
        <v>37</v>
      </c>
      <c r="KX162" s="12" t="s">
        <v>37</v>
      </c>
      <c r="KY162" s="12" t="s">
        <v>37</v>
      </c>
      <c r="KZ162" s="13" t="s">
        <v>37</v>
      </c>
      <c r="LB162" s="12" t="s">
        <v>37</v>
      </c>
      <c r="LC162" s="12" t="s">
        <v>37</v>
      </c>
      <c r="LD162" s="13" t="s">
        <v>37</v>
      </c>
      <c r="LI162" s="12" t="s">
        <v>37</v>
      </c>
      <c r="LJ162" s="12" t="s">
        <v>37</v>
      </c>
      <c r="LK162" s="12" t="s">
        <v>37</v>
      </c>
      <c r="LM162" s="12" t="s">
        <v>37</v>
      </c>
      <c r="LN162" s="12" t="s">
        <v>37</v>
      </c>
      <c r="LO162" s="12" t="s">
        <v>37</v>
      </c>
      <c r="LU162" s="12" t="s">
        <v>37</v>
      </c>
      <c r="LV162" s="12" t="s">
        <v>37</v>
      </c>
      <c r="LW162" s="12" t="s">
        <v>37</v>
      </c>
      <c r="LY162" s="12" t="s">
        <v>37</v>
      </c>
      <c r="LZ162" s="12" t="s">
        <v>37</v>
      </c>
      <c r="MA162" s="12" t="s">
        <v>37</v>
      </c>
      <c r="MF162" s="12" t="s">
        <v>37</v>
      </c>
      <c r="MG162" s="12" t="s">
        <v>37</v>
      </c>
      <c r="MH162" s="12" t="s">
        <v>37</v>
      </c>
      <c r="MJ162" s="12" t="s">
        <v>37</v>
      </c>
      <c r="MK162" s="12" t="s">
        <v>37</v>
      </c>
      <c r="ML162" s="12" t="s">
        <v>37</v>
      </c>
      <c r="MQ162" s="12" t="s">
        <v>37</v>
      </c>
      <c r="MR162" s="12" t="s">
        <v>37</v>
      </c>
      <c r="MS162" s="12" t="s">
        <v>37</v>
      </c>
      <c r="MU162" s="12" t="s">
        <v>37</v>
      </c>
      <c r="MV162" s="12" t="s">
        <v>37</v>
      </c>
      <c r="MW162" s="12" t="s">
        <v>37</v>
      </c>
      <c r="NC162" s="12" t="s">
        <v>37</v>
      </c>
      <c r="ND162" s="12" t="s">
        <v>37</v>
      </c>
      <c r="NE162" s="13" t="s">
        <v>37</v>
      </c>
      <c r="NG162" s="12" t="s">
        <v>37</v>
      </c>
      <c r="NH162" s="12" t="s">
        <v>37</v>
      </c>
      <c r="NI162" s="13" t="s">
        <v>37</v>
      </c>
      <c r="NO162" s="12" t="s">
        <v>37</v>
      </c>
      <c r="NP162" s="12" t="s">
        <v>37</v>
      </c>
      <c r="NQ162" s="13" t="s">
        <v>37</v>
      </c>
      <c r="NS162" s="12" t="s">
        <v>37</v>
      </c>
      <c r="NT162" s="12" t="s">
        <v>37</v>
      </c>
      <c r="NU162" s="13" t="s">
        <v>37</v>
      </c>
      <c r="OA162" s="12" t="s">
        <v>37</v>
      </c>
      <c r="OB162" s="12" t="s">
        <v>37</v>
      </c>
      <c r="OC162" s="13" t="s">
        <v>37</v>
      </c>
      <c r="OE162" s="12" t="s">
        <v>37</v>
      </c>
      <c r="OF162" s="12" t="s">
        <v>37</v>
      </c>
      <c r="OG162" s="13" t="s">
        <v>37</v>
      </c>
      <c r="OM162" s="12" t="s">
        <v>37</v>
      </c>
      <c r="ON162" s="12" t="s">
        <v>37</v>
      </c>
      <c r="OO162" s="12" t="s">
        <v>37</v>
      </c>
      <c r="OP162" s="12" t="s">
        <v>37</v>
      </c>
      <c r="OQ162" s="12" t="s">
        <v>37</v>
      </c>
      <c r="OR162" s="12" t="s">
        <v>37</v>
      </c>
      <c r="OS162" s="12"/>
      <c r="OT162" s="12"/>
      <c r="OW162" s="12" t="s">
        <v>37</v>
      </c>
      <c r="OX162" s="12" t="s">
        <v>37</v>
      </c>
      <c r="OY162" s="13" t="s">
        <v>37</v>
      </c>
      <c r="OZ162" s="12" t="s">
        <v>37</v>
      </c>
      <c r="PA162" s="12" t="s">
        <v>37</v>
      </c>
      <c r="PB162" s="13" t="s">
        <v>37</v>
      </c>
      <c r="PG162" s="11" t="s">
        <v>37</v>
      </c>
      <c r="PH162" s="11" t="s">
        <v>37</v>
      </c>
      <c r="PI162" s="13" t="s">
        <v>37</v>
      </c>
      <c r="PJ162" s="11" t="s">
        <v>37</v>
      </c>
      <c r="PK162" s="11" t="s">
        <v>37</v>
      </c>
      <c r="PL162" s="13" t="s">
        <v>37</v>
      </c>
      <c r="PQ162" s="12" t="s">
        <v>37</v>
      </c>
      <c r="PR162" s="12" t="s">
        <v>37</v>
      </c>
      <c r="PS162" s="12" t="s">
        <v>37</v>
      </c>
      <c r="PT162" s="12" t="s">
        <v>37</v>
      </c>
      <c r="PU162" s="12" t="s">
        <v>37</v>
      </c>
      <c r="PV162" s="12" t="s">
        <v>37</v>
      </c>
      <c r="PW162" s="12"/>
      <c r="PX162" s="12"/>
      <c r="PY162" s="12" t="s">
        <v>249</v>
      </c>
      <c r="PZ162" s="12">
        <v>13.3</v>
      </c>
      <c r="QA162" s="50">
        <f>ABS(PZ162)*QC$474</f>
        <v>3.185237796037113</v>
      </c>
      <c r="QB162" s="11">
        <v>4</v>
      </c>
      <c r="QD162" s="12">
        <v>12.5</v>
      </c>
      <c r="QE162" s="50">
        <f>ABS(QD162)*QG$474</f>
        <v>2.4214652407789368</v>
      </c>
      <c r="QF162" s="13">
        <v>4</v>
      </c>
      <c r="QH162" s="19">
        <f t="shared" ref="QH162" si="637">LN(QD162/PZ162)</f>
        <v>-6.2035390919452635E-2</v>
      </c>
      <c r="QI162" s="19">
        <f>QE162^2/(QF162*QD162^2)+QA162^2/(QB162*PZ162^2)</f>
        <v>2.3720642519988719E-2</v>
      </c>
      <c r="QK162" s="12" t="s">
        <v>37</v>
      </c>
      <c r="QL162" s="12" t="s">
        <v>37</v>
      </c>
      <c r="QM162" s="12" t="s">
        <v>37</v>
      </c>
      <c r="QN162" s="12" t="s">
        <v>37</v>
      </c>
      <c r="QO162" s="12" t="s">
        <v>37</v>
      </c>
      <c r="QP162" s="12" t="s">
        <v>37</v>
      </c>
      <c r="QQ162" s="12"/>
      <c r="QR162" s="12"/>
      <c r="QU162" s="12" t="s">
        <v>37</v>
      </c>
      <c r="QV162" s="12" t="s">
        <v>37</v>
      </c>
      <c r="QW162" s="12" t="s">
        <v>37</v>
      </c>
      <c r="QX162" s="12" t="s">
        <v>37</v>
      </c>
      <c r="QY162" s="12" t="s">
        <v>37</v>
      </c>
      <c r="QZ162" s="12" t="s">
        <v>37</v>
      </c>
      <c r="RC162" s="12" t="s">
        <v>37</v>
      </c>
      <c r="RD162" s="12" t="s">
        <v>37</v>
      </c>
      <c r="RE162" s="13" t="s">
        <v>37</v>
      </c>
      <c r="RF162" s="12" t="s">
        <v>37</v>
      </c>
      <c r="RG162" s="12" t="s">
        <v>37</v>
      </c>
      <c r="RH162" s="13" t="s">
        <v>37</v>
      </c>
      <c r="RK162" s="12" t="s">
        <v>37</v>
      </c>
      <c r="RL162" s="12" t="s">
        <v>37</v>
      </c>
      <c r="RM162" s="11" t="s">
        <v>37</v>
      </c>
      <c r="RN162" s="12" t="s">
        <v>37</v>
      </c>
      <c r="RO162" s="12" t="s">
        <v>37</v>
      </c>
      <c r="RP162" s="11" t="s">
        <v>37</v>
      </c>
      <c r="RS162" s="12" t="s">
        <v>37</v>
      </c>
      <c r="RT162" s="12" t="s">
        <v>37</v>
      </c>
      <c r="RU162" s="12" t="s">
        <v>37</v>
      </c>
      <c r="RV162" s="12" t="s">
        <v>37</v>
      </c>
      <c r="RW162" s="12" t="s">
        <v>37</v>
      </c>
      <c r="RX162" s="12" t="s">
        <v>37</v>
      </c>
      <c r="SA162" s="12" t="s">
        <v>37</v>
      </c>
      <c r="SB162" s="12" t="s">
        <v>37</v>
      </c>
      <c r="SC162" s="12" t="s">
        <v>37</v>
      </c>
      <c r="SD162" s="12" t="s">
        <v>37</v>
      </c>
      <c r="SE162" s="12" t="s">
        <v>37</v>
      </c>
      <c r="SF162" s="12" t="s">
        <v>37</v>
      </c>
      <c r="SI162" s="12" t="s">
        <v>37</v>
      </c>
      <c r="SJ162" s="12" t="s">
        <v>37</v>
      </c>
      <c r="SK162" s="13" t="s">
        <v>37</v>
      </c>
      <c r="SM162" s="12" t="s">
        <v>37</v>
      </c>
      <c r="SN162" s="12" t="s">
        <v>37</v>
      </c>
      <c r="SO162" s="13" t="s">
        <v>37</v>
      </c>
      <c r="SU162" s="12" t="s">
        <v>37</v>
      </c>
      <c r="SV162" s="12" t="s">
        <v>37</v>
      </c>
      <c r="SW162" s="11" t="s">
        <v>37</v>
      </c>
      <c r="SX162" s="12" t="s">
        <v>37</v>
      </c>
      <c r="SY162" s="12" t="s">
        <v>37</v>
      </c>
      <c r="SZ162" s="11" t="s">
        <v>37</v>
      </c>
      <c r="TE162" s="12" t="s">
        <v>37</v>
      </c>
      <c r="TF162" s="12" t="s">
        <v>37</v>
      </c>
      <c r="TG162" s="11" t="s">
        <v>37</v>
      </c>
      <c r="TH162" s="12" t="s">
        <v>37</v>
      </c>
      <c r="TI162" s="12" t="s">
        <v>37</v>
      </c>
      <c r="TJ162" s="11" t="s">
        <v>37</v>
      </c>
      <c r="TO162" s="12" t="s">
        <v>37</v>
      </c>
      <c r="TP162" s="12" t="s">
        <v>37</v>
      </c>
      <c r="TQ162" s="11" t="s">
        <v>37</v>
      </c>
      <c r="TR162" s="12" t="s">
        <v>37</v>
      </c>
      <c r="TS162" s="12" t="s">
        <v>37</v>
      </c>
      <c r="TT162" s="11" t="s">
        <v>37</v>
      </c>
      <c r="TY162" s="12" t="s">
        <v>37</v>
      </c>
      <c r="TZ162" s="12" t="s">
        <v>37</v>
      </c>
      <c r="UA162" s="12" t="s">
        <v>37</v>
      </c>
      <c r="UB162" s="12" t="s">
        <v>37</v>
      </c>
      <c r="UC162" s="12" t="s">
        <v>37</v>
      </c>
      <c r="UD162" s="12" t="s">
        <v>37</v>
      </c>
      <c r="UE162" s="12"/>
      <c r="UF162" s="12"/>
      <c r="UI162" s="12" t="s">
        <v>37</v>
      </c>
      <c r="UJ162" s="12" t="s">
        <v>37</v>
      </c>
      <c r="UK162" s="12" t="s">
        <v>37</v>
      </c>
      <c r="UL162" s="12" t="s">
        <v>37</v>
      </c>
      <c r="UM162" s="12" t="s">
        <v>37</v>
      </c>
      <c r="UN162" s="12" t="s">
        <v>37</v>
      </c>
      <c r="UO162" s="12"/>
      <c r="UP162" s="12"/>
      <c r="UR162" s="12" t="s">
        <v>37</v>
      </c>
      <c r="US162" s="12" t="s">
        <v>37</v>
      </c>
      <c r="UT162" s="12" t="s">
        <v>37</v>
      </c>
      <c r="UU162" s="12" t="s">
        <v>37</v>
      </c>
      <c r="UV162" s="12" t="s">
        <v>37</v>
      </c>
      <c r="UW162" s="12" t="s">
        <v>37</v>
      </c>
      <c r="UX162" s="12"/>
      <c r="UY162" s="12"/>
      <c r="VB162" s="12" t="s">
        <v>37</v>
      </c>
      <c r="VC162" s="12" t="s">
        <v>37</v>
      </c>
      <c r="VD162" s="12" t="s">
        <v>37</v>
      </c>
      <c r="VE162" s="12" t="s">
        <v>37</v>
      </c>
      <c r="VF162" s="12" t="s">
        <v>37</v>
      </c>
      <c r="VG162" s="12" t="s">
        <v>37</v>
      </c>
      <c r="VI162" s="12" t="s">
        <v>37</v>
      </c>
      <c r="VJ162" s="12" t="s">
        <v>37</v>
      </c>
      <c r="VK162" s="12" t="s">
        <v>37</v>
      </c>
      <c r="VL162" s="12" t="s">
        <v>37</v>
      </c>
      <c r="VM162" s="12" t="s">
        <v>37</v>
      </c>
      <c r="VN162" s="12" t="s">
        <v>37</v>
      </c>
      <c r="VQ162" s="13" t="s">
        <v>37</v>
      </c>
      <c r="VR162" s="13" t="s">
        <v>37</v>
      </c>
      <c r="VS162" s="13" t="s">
        <v>37</v>
      </c>
      <c r="VT162" s="13" t="s">
        <v>37</v>
      </c>
      <c r="VU162" s="13" t="s">
        <v>37</v>
      </c>
      <c r="VV162" s="13" t="s">
        <v>37</v>
      </c>
      <c r="WA162" s="13" t="s">
        <v>37</v>
      </c>
      <c r="WB162" s="13" t="s">
        <v>37</v>
      </c>
      <c r="WC162" s="13" t="s">
        <v>37</v>
      </c>
      <c r="WD162" s="13" t="s">
        <v>37</v>
      </c>
      <c r="WE162" s="13" t="s">
        <v>37</v>
      </c>
      <c r="WF162" s="13" t="s">
        <v>37</v>
      </c>
    </row>
    <row r="163" spans="1:604" ht="18" customHeight="1" x14ac:dyDescent="0.4">
      <c r="A163" s="11">
        <v>38</v>
      </c>
      <c r="B163" s="16" t="s">
        <v>245</v>
      </c>
      <c r="C163" s="12" t="s">
        <v>26</v>
      </c>
      <c r="D163" s="12" t="s">
        <v>1039</v>
      </c>
      <c r="E163" s="40" t="s">
        <v>37</v>
      </c>
      <c r="F163" s="14">
        <v>0</v>
      </c>
      <c r="G163" s="14">
        <v>0</v>
      </c>
      <c r="H163" s="12" t="s">
        <v>106</v>
      </c>
      <c r="I163" s="29">
        <v>52.5</v>
      </c>
      <c r="J163" s="29">
        <v>-8.1999999999999993</v>
      </c>
      <c r="K163" s="12" t="s">
        <v>736</v>
      </c>
      <c r="L163" s="12" t="s">
        <v>737</v>
      </c>
      <c r="M163" s="13" t="s">
        <v>37</v>
      </c>
      <c r="N163" s="14" t="s">
        <v>37</v>
      </c>
      <c r="O163" s="14">
        <v>1017</v>
      </c>
      <c r="P163" s="14" t="s">
        <v>16</v>
      </c>
      <c r="Q163" s="75">
        <f>1/12</f>
        <v>8.3333333333333329E-2</v>
      </c>
      <c r="R163" s="11" t="s">
        <v>1000</v>
      </c>
      <c r="S163" s="12" t="s">
        <v>51</v>
      </c>
      <c r="T163" s="12" t="s">
        <v>138</v>
      </c>
      <c r="U163" s="12" t="s">
        <v>158</v>
      </c>
      <c r="V163" s="12" t="s">
        <v>275</v>
      </c>
      <c r="W163" s="23" t="s">
        <v>295</v>
      </c>
      <c r="X163" s="12" t="s">
        <v>283</v>
      </c>
      <c r="Y163" s="12" t="s">
        <v>248</v>
      </c>
      <c r="Z163" s="12" t="s">
        <v>217</v>
      </c>
      <c r="AA163" s="32" t="s">
        <v>345</v>
      </c>
      <c r="AB163" s="12">
        <v>6.5</v>
      </c>
      <c r="AC163" s="12" t="s">
        <v>247</v>
      </c>
      <c r="AD163" s="32" t="s">
        <v>345</v>
      </c>
      <c r="AE163" s="12">
        <v>149</v>
      </c>
      <c r="AF163" s="12" t="s">
        <v>250</v>
      </c>
      <c r="AG163" s="32" t="s">
        <v>345</v>
      </c>
      <c r="AH163" s="12">
        <v>16</v>
      </c>
      <c r="AJ163" s="12" t="str">
        <f t="shared" ref="AJ163:AJ167" si="638">AD163</f>
        <v>0-10</v>
      </c>
      <c r="AK163" s="19">
        <f t="shared" ref="AK163:AK167" si="639">AE163/AH163</f>
        <v>9.3125</v>
      </c>
      <c r="AL163" s="32" t="s">
        <v>534</v>
      </c>
      <c r="AM163" s="13" t="s">
        <v>321</v>
      </c>
      <c r="AN163" s="32" t="s">
        <v>887</v>
      </c>
      <c r="AO163" s="12" t="s">
        <v>37</v>
      </c>
      <c r="AP163" s="12" t="s">
        <v>167</v>
      </c>
      <c r="AQ163" s="12" t="s">
        <v>975</v>
      </c>
      <c r="AR163" s="12" t="s">
        <v>247</v>
      </c>
      <c r="AS163" s="32" t="s">
        <v>345</v>
      </c>
      <c r="AT163" s="12">
        <v>149</v>
      </c>
      <c r="AU163" s="50">
        <f>AT163*AW$474</f>
        <v>12.743544612945268</v>
      </c>
      <c r="AV163" s="13">
        <v>4</v>
      </c>
      <c r="AX163" s="12">
        <v>149</v>
      </c>
      <c r="AY163" s="50">
        <f>AX163*BA$474</f>
        <v>10.520951969730568</v>
      </c>
      <c r="AZ163" s="13">
        <v>4</v>
      </c>
      <c r="BB163" s="52">
        <f>LN(AX163/AT163)</f>
        <v>0</v>
      </c>
      <c r="BC163" s="19">
        <f t="shared" ref="BC163:BC172" si="640">AY163^2/(AZ163*AX163^2)+AU163^2/(AV163*AT163^2)</f>
        <v>3.0751808437852338E-3</v>
      </c>
      <c r="BE163" s="12" t="s">
        <v>326</v>
      </c>
      <c r="BF163" s="12" t="s">
        <v>326</v>
      </c>
      <c r="BG163" s="12" t="s">
        <v>326</v>
      </c>
      <c r="BI163" s="12" t="s">
        <v>326</v>
      </c>
      <c r="BJ163" s="12" t="s">
        <v>326</v>
      </c>
      <c r="BK163" s="12" t="s">
        <v>326</v>
      </c>
      <c r="BP163" s="12" t="s">
        <v>37</v>
      </c>
      <c r="BQ163" s="12" t="s">
        <v>37</v>
      </c>
      <c r="BR163" s="13" t="s">
        <v>37</v>
      </c>
      <c r="BT163" s="12" t="s">
        <v>37</v>
      </c>
      <c r="BU163" s="12" t="s">
        <v>37</v>
      </c>
      <c r="BV163" s="12" t="s">
        <v>37</v>
      </c>
      <c r="CA163" s="12" t="s">
        <v>37</v>
      </c>
      <c r="CB163" s="12" t="s">
        <v>37</v>
      </c>
      <c r="CC163" s="13" t="s">
        <v>37</v>
      </c>
      <c r="CE163" s="12" t="s">
        <v>37</v>
      </c>
      <c r="CF163" s="12" t="s">
        <v>37</v>
      </c>
      <c r="CG163" s="13" t="s">
        <v>37</v>
      </c>
      <c r="CN163" s="12" t="s">
        <v>37</v>
      </c>
      <c r="CO163" s="12" t="s">
        <v>37</v>
      </c>
      <c r="CP163" s="13" t="s">
        <v>37</v>
      </c>
      <c r="CR163" s="12" t="s">
        <v>37</v>
      </c>
      <c r="CS163" s="12" t="s">
        <v>37</v>
      </c>
      <c r="CT163" s="13" t="s">
        <v>37</v>
      </c>
      <c r="CX163" s="72"/>
      <c r="CY163" s="72"/>
      <c r="DA163" s="12" t="s">
        <v>37</v>
      </c>
      <c r="DB163" s="12" t="s">
        <v>37</v>
      </c>
      <c r="DC163" s="13" t="s">
        <v>37</v>
      </c>
      <c r="DE163" s="12" t="s">
        <v>37</v>
      </c>
      <c r="DF163" s="12" t="s">
        <v>37</v>
      </c>
      <c r="DG163" s="13" t="s">
        <v>37</v>
      </c>
      <c r="DM163" s="11" t="s">
        <v>47</v>
      </c>
      <c r="DN163" s="19">
        <f>-0.02*16/12/25/(AVERAGEA('[1]Nongrowing season flux of other'!$BE$58,'[1]Nongrowing season flux of other'!$BE$59))*100</f>
        <v>-0.12122916895579239</v>
      </c>
      <c r="DO163" s="50">
        <f>ABS(DN163)*DQ$474</f>
        <v>0.13515588971088227</v>
      </c>
      <c r="DP163" s="13">
        <v>4</v>
      </c>
      <c r="DR163" s="19">
        <f>0.01*16/12/25/(AVERAGEA('[1]Nongrowing season flux of other'!$BH$58,'[1]Nongrowing season flux of other'!$BH$59))*100</f>
        <v>6.1724726721622734E-2</v>
      </c>
      <c r="DS163" s="50">
        <f>ABS(DR163)*DU$474</f>
        <v>0.23067865448569461</v>
      </c>
      <c r="DT163" s="13">
        <v>4</v>
      </c>
      <c r="DV163" s="19">
        <f t="shared" si="509"/>
        <v>0.18295389567741513</v>
      </c>
      <c r="DW163" s="12">
        <f t="shared" si="485"/>
        <v>0.18904993541240717</v>
      </c>
      <c r="DX163" s="72">
        <f t="shared" ref="DX163:DX226" si="641">(((DP163+DT163)/(DP163*DT163))*(((DP163-1)*DO163^2)+(DT163-1)*DS163^2)/(DP163+DT163-2))</f>
        <v>1.7869939039717661E-2</v>
      </c>
      <c r="DY163" s="72">
        <f t="shared" ref="DY163:DY226" si="642">(DO163^2/DP163)+(DS163^2/DT163)</f>
        <v>1.7869939039717661E-2</v>
      </c>
      <c r="DZ163" s="11" t="s">
        <v>47</v>
      </c>
      <c r="EA163" s="19">
        <f>97.5*("2014/04/30"-"2013/11/01")/("2014/06/10"-"2014/01/10")*44/28/298/(AVERAGEA('[3]Nongrowing season flux of other'!$BL$29,'[3]Nongrowing season flux of other'!$BL$32,'[3]Nongrowing season flux of other'!$BL$37,'[3]Nongrowing season flux of other'!$BL$45,'[3]Nongrowing season flux of other'!$BL$46,'[3]Nongrowing season flux of other'!$BL$50,'[3]Nongrowing season flux of other'!$BL$51,'[3]Nongrowing season flux of other'!$BL$52,'[3]Nongrowing season flux of other'!$BL$58,'[3]Nongrowing season flux of other'!$BL$59))</f>
        <v>0.69244345015682884</v>
      </c>
      <c r="EB163" s="50">
        <f>ABS(EA163)*ED$474</f>
        <v>3.9815338999377539</v>
      </c>
      <c r="EC163" s="72">
        <v>4</v>
      </c>
      <c r="EE163" s="19">
        <f>178.8*("2014/04/30"-"2013/11/01")/("2014/06/10"-"2014/01/10")*44/28/298/(AVERAGEA('[3]Nongrowing season flux of other'!$BO$29,'[3]Nongrowing season flux of other'!$BO$30,'[3]Nongrowing season flux of other'!$BO$31,'[3]Nongrowing season flux of other'!$BO$32,'[3]Nongrowing season flux of other'!$BO$33,'[3]Nongrowing season flux of other'!$BO$34,'[3]Nongrowing season flux of other'!$BO$37,'[3]Nongrowing season flux of other'!$BO$38))</f>
        <v>1.8900218026919515</v>
      </c>
      <c r="EF163" s="50">
        <f>ABS(EE163)*EH$474</f>
        <v>2.8220659858105499</v>
      </c>
      <c r="EG163" s="13">
        <v>4</v>
      </c>
      <c r="EI163" s="19">
        <f t="shared" si="635"/>
        <v>1.1975783525351227</v>
      </c>
      <c r="EJ163" s="12">
        <f t="shared" si="590"/>
        <v>3.4508454489170051</v>
      </c>
      <c r="EK163" s="19">
        <f t="shared" si="591"/>
        <v>5.9541671561556031</v>
      </c>
      <c r="EL163" s="19">
        <f t="shared" si="592"/>
        <v>5.9541671561556031</v>
      </c>
      <c r="EM163" s="12" t="s">
        <v>39</v>
      </c>
      <c r="EN163" s="12">
        <v>-109</v>
      </c>
      <c r="EO163" s="50">
        <f>ABS(EN163)*EQ$474</f>
        <v>44.417107463890972</v>
      </c>
      <c r="EP163" s="13">
        <v>4</v>
      </c>
      <c r="ER163" s="12">
        <v>-121</v>
      </c>
      <c r="ES163" s="50">
        <f>ABS(ER163)*EU$474</f>
        <v>27.444500474612497</v>
      </c>
      <c r="ET163" s="13">
        <v>4</v>
      </c>
      <c r="EV163" s="19">
        <f t="shared" ref="EV163:EV171" si="643">ER163-EN163</f>
        <v>-12</v>
      </c>
      <c r="EW163" s="12">
        <f t="shared" ref="EW163:EW171" si="644">SQRT(((EP163-1)*EO163^2+(ET163-1)*ES163^2)/(EP163+ET163-2))</f>
        <v>36.919371891730798</v>
      </c>
      <c r="EX163" s="19">
        <f t="shared" ref="EX163:EX171" si="645">(((EP163+ET163)/(EP163*ET163))*(((EP163-1)*EO163^2)+(ET163-1)*ES163^2)/(EP163+ET163-2))</f>
        <v>681.52001043996108</v>
      </c>
      <c r="EY163" s="19">
        <f t="shared" ref="EY163:EY171" si="646">(EO163^2/EP163)+(ES163^2/ET163)</f>
        <v>681.5200104399612</v>
      </c>
      <c r="FB163" s="12" t="s">
        <v>37</v>
      </c>
      <c r="FC163" s="12" t="s">
        <v>37</v>
      </c>
      <c r="FD163" s="11" t="s">
        <v>37</v>
      </c>
      <c r="FE163" s="12" t="s">
        <v>37</v>
      </c>
      <c r="FF163" s="20" t="s">
        <v>37</v>
      </c>
      <c r="FG163" s="11" t="s">
        <v>37</v>
      </c>
      <c r="FI163" s="12" t="s">
        <v>37</v>
      </c>
      <c r="FJ163" s="12" t="s">
        <v>37</v>
      </c>
      <c r="FK163" s="11" t="s">
        <v>37</v>
      </c>
      <c r="FL163" s="13" t="s">
        <v>37</v>
      </c>
      <c r="FM163" s="11" t="s">
        <v>37</v>
      </c>
      <c r="FN163" s="11" t="s">
        <v>37</v>
      </c>
      <c r="FP163" s="12" t="s">
        <v>37</v>
      </c>
      <c r="FQ163" s="12" t="s">
        <v>37</v>
      </c>
      <c r="FR163" s="11" t="s">
        <v>37</v>
      </c>
      <c r="FS163" s="13" t="s">
        <v>37</v>
      </c>
      <c r="FT163" s="11" t="s">
        <v>37</v>
      </c>
      <c r="FU163" s="11" t="s">
        <v>37</v>
      </c>
      <c r="FW163" s="12" t="s">
        <v>37</v>
      </c>
      <c r="FX163" s="12" t="s">
        <v>37</v>
      </c>
      <c r="FY163" s="11" t="s">
        <v>37</v>
      </c>
      <c r="FZ163" s="13" t="s">
        <v>37</v>
      </c>
      <c r="GA163" s="11" t="s">
        <v>37</v>
      </c>
      <c r="GB163" s="11" t="s">
        <v>37</v>
      </c>
      <c r="GC163" s="12" t="s">
        <v>90</v>
      </c>
      <c r="GD163" s="12" t="s">
        <v>345</v>
      </c>
      <c r="GE163" s="12">
        <v>74</v>
      </c>
      <c r="GF163" s="50">
        <f>ABS(GE163)*GH$474</f>
        <v>10.924976514087371</v>
      </c>
      <c r="GG163" s="13">
        <v>4</v>
      </c>
      <c r="GI163" s="12">
        <v>68</v>
      </c>
      <c r="GJ163" s="50">
        <f>ABS(GI163)*GL$474</f>
        <v>13.005914155367419</v>
      </c>
      <c r="GK163" s="13">
        <v>4</v>
      </c>
      <c r="GM163" s="19">
        <f t="shared" si="636"/>
        <v>-8.4557388028062994E-2</v>
      </c>
      <c r="GN163" s="19">
        <f t="shared" ref="GN163:GN166" si="647">GJ163^2/(GK163*GI163^2)+GF163^2/(GG163*GE163^2)</f>
        <v>1.4594436054771946E-2</v>
      </c>
      <c r="IK163" s="12" t="s">
        <v>37</v>
      </c>
      <c r="IL163" s="12" t="s">
        <v>37</v>
      </c>
      <c r="IM163" s="12" t="s">
        <v>37</v>
      </c>
      <c r="IO163" s="12" t="s">
        <v>37</v>
      </c>
      <c r="IP163" s="12" t="s">
        <v>37</v>
      </c>
      <c r="IQ163" s="12" t="s">
        <v>37</v>
      </c>
      <c r="IV163" s="32" t="s">
        <v>345</v>
      </c>
      <c r="IW163" s="12">
        <v>6.5</v>
      </c>
      <c r="JH163" s="12" t="s">
        <v>37</v>
      </c>
      <c r="JI163" s="12" t="s">
        <v>37</v>
      </c>
      <c r="JJ163" s="13" t="s">
        <v>37</v>
      </c>
      <c r="JL163" s="12" t="s">
        <v>37</v>
      </c>
      <c r="JM163" s="12" t="s">
        <v>37</v>
      </c>
      <c r="JN163" s="12" t="s">
        <v>37</v>
      </c>
      <c r="JS163" s="12" t="s">
        <v>37</v>
      </c>
      <c r="JT163" s="12" t="s">
        <v>37</v>
      </c>
      <c r="JU163" s="13" t="s">
        <v>37</v>
      </c>
      <c r="JW163" s="12" t="s">
        <v>37</v>
      </c>
      <c r="JX163" s="12" t="s">
        <v>37</v>
      </c>
      <c r="JY163" s="12" t="s">
        <v>37</v>
      </c>
      <c r="KE163" s="11" t="s">
        <v>37</v>
      </c>
      <c r="KF163" s="11" t="s">
        <v>37</v>
      </c>
      <c r="KG163" s="13" t="s">
        <v>37</v>
      </c>
      <c r="KH163" s="11" t="s">
        <v>37</v>
      </c>
      <c r="KI163" s="11" t="s">
        <v>37</v>
      </c>
      <c r="KJ163" s="11" t="s">
        <v>37</v>
      </c>
      <c r="KK163" s="12" t="s">
        <v>250</v>
      </c>
      <c r="KL163" s="32" t="s">
        <v>345</v>
      </c>
      <c r="KM163" s="12">
        <v>16</v>
      </c>
      <c r="KN163" s="50">
        <f>ABS(KM163)*KP$474</f>
        <v>1.9086886621577517</v>
      </c>
      <c r="KO163" s="11">
        <v>4</v>
      </c>
      <c r="KQ163" s="12">
        <v>16</v>
      </c>
      <c r="KR163" s="50">
        <f>ABS(KQ163)*KT$474</f>
        <v>1.687094882698188</v>
      </c>
      <c r="KS163" s="13">
        <v>4</v>
      </c>
      <c r="KU163" s="19">
        <f t="shared" ref="KU163:KU167" si="648">LN(KQ163/KM163)</f>
        <v>0</v>
      </c>
      <c r="KV163" s="19">
        <f t="shared" ref="KV163:KV167" si="649">KR163^2/(KS163*KQ163^2)+KN163^2/(KO163*KM163^2)</f>
        <v>6.3372866721444921E-3</v>
      </c>
      <c r="KX163" s="12" t="s">
        <v>37</v>
      </c>
      <c r="KY163" s="12" t="s">
        <v>37</v>
      </c>
      <c r="KZ163" s="13" t="s">
        <v>37</v>
      </c>
      <c r="LB163" s="12" t="s">
        <v>37</v>
      </c>
      <c r="LC163" s="12" t="s">
        <v>37</v>
      </c>
      <c r="LD163" s="13" t="s">
        <v>37</v>
      </c>
      <c r="LI163" s="12" t="s">
        <v>37</v>
      </c>
      <c r="LJ163" s="12" t="s">
        <v>37</v>
      </c>
      <c r="LK163" s="12" t="s">
        <v>37</v>
      </c>
      <c r="LM163" s="12" t="s">
        <v>37</v>
      </c>
      <c r="LN163" s="12" t="s">
        <v>37</v>
      </c>
      <c r="LO163" s="12" t="s">
        <v>37</v>
      </c>
      <c r="LT163" s="12" t="str">
        <f t="shared" ref="LT163:LT167" si="650">KL163</f>
        <v>0-10</v>
      </c>
      <c r="LU163" s="12">
        <f>AT163/KM163</f>
        <v>9.3125</v>
      </c>
      <c r="LV163" s="12">
        <f>SQRT((1/KM163)^2*AU163^2+AT163^2*(-1/KM163^2)^2*KN163^2)</f>
        <v>1.3669316974682448</v>
      </c>
      <c r="LW163" s="13">
        <f t="shared" ref="LW163:LW167" si="651">KO163</f>
        <v>4</v>
      </c>
      <c r="LY163" s="12">
        <f>AX163/KQ163</f>
        <v>9.3125</v>
      </c>
      <c r="LZ163" s="12">
        <f>SQRT((1/KQ163)^2*AY163^2+AX163^2*(-1/KQ163^2)^2*KR163^2)</f>
        <v>1.1817759829382399</v>
      </c>
      <c r="MA163" s="13">
        <f t="shared" ref="MA163:MA167" si="652">KS163</f>
        <v>4</v>
      </c>
      <c r="MC163" s="19">
        <f t="shared" ref="MC163:MC167" si="653">LN(LY163/LU163)</f>
        <v>0</v>
      </c>
      <c r="MD163" s="19">
        <f t="shared" ref="MD163:MD167" si="654">LZ163^2/(MA163*LY163^2)+LV163^2/(LW163*LU163^2)</f>
        <v>9.4124675159297268E-3</v>
      </c>
      <c r="MF163" s="12" t="s">
        <v>37</v>
      </c>
      <c r="MG163" s="12" t="s">
        <v>37</v>
      </c>
      <c r="MH163" s="12" t="s">
        <v>37</v>
      </c>
      <c r="MJ163" s="12" t="s">
        <v>37</v>
      </c>
      <c r="MK163" s="12" t="s">
        <v>37</v>
      </c>
      <c r="ML163" s="12" t="s">
        <v>37</v>
      </c>
      <c r="MQ163" s="12" t="s">
        <v>37</v>
      </c>
      <c r="MR163" s="12" t="s">
        <v>37</v>
      </c>
      <c r="MS163" s="12" t="s">
        <v>37</v>
      </c>
      <c r="MU163" s="12" t="s">
        <v>37</v>
      </c>
      <c r="MV163" s="12" t="s">
        <v>37</v>
      </c>
      <c r="MW163" s="12" t="s">
        <v>37</v>
      </c>
      <c r="NC163" s="12" t="s">
        <v>37</v>
      </c>
      <c r="ND163" s="12" t="s">
        <v>37</v>
      </c>
      <c r="NE163" s="13" t="s">
        <v>37</v>
      </c>
      <c r="NG163" s="12" t="s">
        <v>37</v>
      </c>
      <c r="NH163" s="12" t="s">
        <v>37</v>
      </c>
      <c r="NI163" s="13" t="s">
        <v>37</v>
      </c>
      <c r="NO163" s="12" t="s">
        <v>37</v>
      </c>
      <c r="NP163" s="12" t="s">
        <v>37</v>
      </c>
      <c r="NQ163" s="13" t="s">
        <v>37</v>
      </c>
      <c r="NS163" s="12" t="s">
        <v>37</v>
      </c>
      <c r="NT163" s="12" t="s">
        <v>37</v>
      </c>
      <c r="NU163" s="13" t="s">
        <v>37</v>
      </c>
      <c r="OA163" s="12" t="s">
        <v>37</v>
      </c>
      <c r="OB163" s="12" t="s">
        <v>37</v>
      </c>
      <c r="OC163" s="13" t="s">
        <v>37</v>
      </c>
      <c r="OE163" s="12" t="s">
        <v>37</v>
      </c>
      <c r="OF163" s="12" t="s">
        <v>37</v>
      </c>
      <c r="OG163" s="13" t="s">
        <v>37</v>
      </c>
      <c r="OM163" s="12" t="s">
        <v>37</v>
      </c>
      <c r="ON163" s="12" t="s">
        <v>37</v>
      </c>
      <c r="OO163" s="12" t="s">
        <v>37</v>
      </c>
      <c r="OP163" s="12" t="s">
        <v>37</v>
      </c>
      <c r="OQ163" s="12" t="s">
        <v>37</v>
      </c>
      <c r="OR163" s="12" t="s">
        <v>37</v>
      </c>
      <c r="OS163" s="12"/>
      <c r="OT163" s="12"/>
      <c r="OW163" s="12" t="s">
        <v>37</v>
      </c>
      <c r="OX163" s="12" t="s">
        <v>37</v>
      </c>
      <c r="OY163" s="13" t="s">
        <v>37</v>
      </c>
      <c r="OZ163" s="12" t="s">
        <v>37</v>
      </c>
      <c r="PA163" s="12" t="s">
        <v>37</v>
      </c>
      <c r="PB163" s="13" t="s">
        <v>37</v>
      </c>
      <c r="PG163" s="11" t="s">
        <v>37</v>
      </c>
      <c r="PH163" s="11" t="s">
        <v>37</v>
      </c>
      <c r="PI163" s="13" t="s">
        <v>37</v>
      </c>
      <c r="PJ163" s="11" t="s">
        <v>37</v>
      </c>
      <c r="PK163" s="11" t="s">
        <v>37</v>
      </c>
      <c r="PL163" s="13" t="s">
        <v>37</v>
      </c>
      <c r="PQ163" s="12" t="s">
        <v>37</v>
      </c>
      <c r="PR163" s="12" t="s">
        <v>37</v>
      </c>
      <c r="PS163" s="12" t="s">
        <v>37</v>
      </c>
      <c r="PT163" s="12" t="s">
        <v>37</v>
      </c>
      <c r="PU163" s="12" t="s">
        <v>37</v>
      </c>
      <c r="PV163" s="12" t="s">
        <v>37</v>
      </c>
      <c r="PW163" s="12"/>
      <c r="PX163" s="12"/>
      <c r="PY163" s="12" t="s">
        <v>249</v>
      </c>
      <c r="PZ163" s="12">
        <v>15.9</v>
      </c>
      <c r="QA163" s="50">
        <f>ABS(PZ163)*QC$474</f>
        <v>3.8079158614278268</v>
      </c>
      <c r="QB163" s="11">
        <v>4</v>
      </c>
      <c r="QD163" s="12">
        <v>15</v>
      </c>
      <c r="QE163" s="50">
        <f>ABS(QD163)*QG$474</f>
        <v>2.9057582889347242</v>
      </c>
      <c r="QF163" s="13">
        <v>4</v>
      </c>
      <c r="QH163" s="19">
        <f>LN(QD163/PZ163)</f>
        <v>-5.8268908123975761E-2</v>
      </c>
      <c r="QI163" s="19">
        <f>QE163^2/(QF163*QD163^2)+QA163^2/(QB163*PZ163^2)</f>
        <v>2.3720642519988719E-2</v>
      </c>
      <c r="QK163" s="12" t="s">
        <v>37</v>
      </c>
      <c r="QL163" s="12" t="s">
        <v>37</v>
      </c>
      <c r="QM163" s="12" t="s">
        <v>37</v>
      </c>
      <c r="QN163" s="12" t="s">
        <v>37</v>
      </c>
      <c r="QO163" s="12" t="s">
        <v>37</v>
      </c>
      <c r="QP163" s="12" t="s">
        <v>37</v>
      </c>
      <c r="QQ163" s="12"/>
      <c r="QR163" s="12"/>
      <c r="QU163" s="12" t="s">
        <v>37</v>
      </c>
      <c r="QV163" s="12" t="s">
        <v>37</v>
      </c>
      <c r="QW163" s="12" t="s">
        <v>37</v>
      </c>
      <c r="QX163" s="12" t="s">
        <v>37</v>
      </c>
      <c r="QY163" s="12" t="s">
        <v>37</v>
      </c>
      <c r="QZ163" s="12" t="s">
        <v>37</v>
      </c>
      <c r="RC163" s="12" t="s">
        <v>37</v>
      </c>
      <c r="RD163" s="12" t="s">
        <v>37</v>
      </c>
      <c r="RE163" s="13" t="s">
        <v>37</v>
      </c>
      <c r="RF163" s="12" t="s">
        <v>37</v>
      </c>
      <c r="RG163" s="12" t="s">
        <v>37</v>
      </c>
      <c r="RH163" s="13" t="s">
        <v>37</v>
      </c>
      <c r="RK163" s="12" t="s">
        <v>37</v>
      </c>
      <c r="RL163" s="12" t="s">
        <v>37</v>
      </c>
      <c r="RM163" s="11" t="s">
        <v>37</v>
      </c>
      <c r="RN163" s="12" t="s">
        <v>37</v>
      </c>
      <c r="RO163" s="12" t="s">
        <v>37</v>
      </c>
      <c r="RP163" s="11" t="s">
        <v>37</v>
      </c>
      <c r="RS163" s="12" t="s">
        <v>37</v>
      </c>
      <c r="RT163" s="12" t="s">
        <v>37</v>
      </c>
      <c r="RU163" s="12" t="s">
        <v>37</v>
      </c>
      <c r="RV163" s="12" t="s">
        <v>37</v>
      </c>
      <c r="RW163" s="12" t="s">
        <v>37</v>
      </c>
      <c r="RX163" s="12" t="s">
        <v>37</v>
      </c>
      <c r="SA163" s="12" t="s">
        <v>37</v>
      </c>
      <c r="SB163" s="12" t="s">
        <v>37</v>
      </c>
      <c r="SC163" s="12" t="s">
        <v>37</v>
      </c>
      <c r="SD163" s="12" t="s">
        <v>37</v>
      </c>
      <c r="SE163" s="12" t="s">
        <v>37</v>
      </c>
      <c r="SF163" s="12" t="s">
        <v>37</v>
      </c>
      <c r="SI163" s="12" t="s">
        <v>37</v>
      </c>
      <c r="SJ163" s="12" t="s">
        <v>37</v>
      </c>
      <c r="SK163" s="13" t="s">
        <v>37</v>
      </c>
      <c r="SM163" s="12" t="s">
        <v>37</v>
      </c>
      <c r="SN163" s="12" t="s">
        <v>37</v>
      </c>
      <c r="SO163" s="13" t="s">
        <v>37</v>
      </c>
      <c r="SU163" s="12" t="s">
        <v>37</v>
      </c>
      <c r="SV163" s="12" t="s">
        <v>37</v>
      </c>
      <c r="SW163" s="11" t="s">
        <v>37</v>
      </c>
      <c r="SX163" s="12" t="s">
        <v>37</v>
      </c>
      <c r="SY163" s="12" t="s">
        <v>37</v>
      </c>
      <c r="SZ163" s="11" t="s">
        <v>37</v>
      </c>
      <c r="TE163" s="12" t="s">
        <v>37</v>
      </c>
      <c r="TF163" s="12" t="s">
        <v>37</v>
      </c>
      <c r="TG163" s="11" t="s">
        <v>37</v>
      </c>
      <c r="TH163" s="12" t="s">
        <v>37</v>
      </c>
      <c r="TI163" s="12" t="s">
        <v>37</v>
      </c>
      <c r="TJ163" s="11" t="s">
        <v>37</v>
      </c>
      <c r="TO163" s="12" t="s">
        <v>37</v>
      </c>
      <c r="TP163" s="12" t="s">
        <v>37</v>
      </c>
      <c r="TQ163" s="11" t="s">
        <v>37</v>
      </c>
      <c r="TR163" s="12" t="s">
        <v>37</v>
      </c>
      <c r="TS163" s="12" t="s">
        <v>37</v>
      </c>
      <c r="TT163" s="11" t="s">
        <v>37</v>
      </c>
      <c r="TY163" s="12" t="s">
        <v>37</v>
      </c>
      <c r="TZ163" s="12" t="s">
        <v>37</v>
      </c>
      <c r="UA163" s="12" t="s">
        <v>37</v>
      </c>
      <c r="UB163" s="12" t="s">
        <v>37</v>
      </c>
      <c r="UC163" s="12" t="s">
        <v>37</v>
      </c>
      <c r="UD163" s="12" t="s">
        <v>37</v>
      </c>
      <c r="UE163" s="12"/>
      <c r="UF163" s="12"/>
      <c r="UI163" s="12" t="s">
        <v>37</v>
      </c>
      <c r="UJ163" s="12" t="s">
        <v>37</v>
      </c>
      <c r="UK163" s="12" t="s">
        <v>37</v>
      </c>
      <c r="UL163" s="12" t="s">
        <v>37</v>
      </c>
      <c r="UM163" s="12" t="s">
        <v>37</v>
      </c>
      <c r="UN163" s="12" t="s">
        <v>37</v>
      </c>
      <c r="UO163" s="12"/>
      <c r="UP163" s="12"/>
      <c r="UR163" s="12" t="s">
        <v>37</v>
      </c>
      <c r="US163" s="12" t="s">
        <v>37</v>
      </c>
      <c r="UT163" s="12" t="s">
        <v>37</v>
      </c>
      <c r="UU163" s="12" t="s">
        <v>37</v>
      </c>
      <c r="UV163" s="12" t="s">
        <v>37</v>
      </c>
      <c r="UW163" s="12" t="s">
        <v>37</v>
      </c>
      <c r="UX163" s="12"/>
      <c r="UY163" s="12"/>
      <c r="VB163" s="12" t="s">
        <v>37</v>
      </c>
      <c r="VC163" s="12" t="s">
        <v>37</v>
      </c>
      <c r="VD163" s="12" t="s">
        <v>37</v>
      </c>
      <c r="VE163" s="12" t="s">
        <v>37</v>
      </c>
      <c r="VF163" s="12" t="s">
        <v>37</v>
      </c>
      <c r="VG163" s="12" t="s">
        <v>37</v>
      </c>
      <c r="VI163" s="12" t="s">
        <v>37</v>
      </c>
      <c r="VJ163" s="12" t="s">
        <v>37</v>
      </c>
      <c r="VK163" s="12" t="s">
        <v>37</v>
      </c>
      <c r="VL163" s="12" t="s">
        <v>37</v>
      </c>
      <c r="VM163" s="12" t="s">
        <v>37</v>
      </c>
      <c r="VN163" s="12" t="s">
        <v>37</v>
      </c>
      <c r="VQ163" s="13" t="s">
        <v>37</v>
      </c>
      <c r="VR163" s="13" t="s">
        <v>37</v>
      </c>
      <c r="VS163" s="13" t="s">
        <v>37</v>
      </c>
      <c r="VT163" s="13" t="s">
        <v>37</v>
      </c>
      <c r="VU163" s="13" t="s">
        <v>37</v>
      </c>
      <c r="VV163" s="13" t="s">
        <v>37</v>
      </c>
      <c r="WA163" s="13" t="s">
        <v>37</v>
      </c>
      <c r="WB163" s="13" t="s">
        <v>37</v>
      </c>
      <c r="WC163" s="13" t="s">
        <v>37</v>
      </c>
      <c r="WD163" s="13" t="s">
        <v>37</v>
      </c>
      <c r="WE163" s="13" t="s">
        <v>37</v>
      </c>
      <c r="WF163" s="13" t="s">
        <v>37</v>
      </c>
    </row>
    <row r="164" spans="1:604" ht="18" customHeight="1" x14ac:dyDescent="0.4">
      <c r="A164" s="11">
        <v>38</v>
      </c>
      <c r="B164" s="16" t="s">
        <v>245</v>
      </c>
      <c r="C164" s="12" t="s">
        <v>26</v>
      </c>
      <c r="D164" s="12" t="s">
        <v>1039</v>
      </c>
      <c r="E164" s="40" t="s">
        <v>37</v>
      </c>
      <c r="F164" s="14">
        <v>0</v>
      </c>
      <c r="G164" s="14">
        <v>0</v>
      </c>
      <c r="H164" s="12" t="s">
        <v>106</v>
      </c>
      <c r="I164" s="29">
        <v>52.5</v>
      </c>
      <c r="J164" s="29">
        <v>-8.1999999999999993</v>
      </c>
      <c r="K164" s="12" t="s">
        <v>736</v>
      </c>
      <c r="L164" s="12" t="s">
        <v>737</v>
      </c>
      <c r="M164" s="13" t="s">
        <v>37</v>
      </c>
      <c r="N164" s="14" t="s">
        <v>37</v>
      </c>
      <c r="O164" s="14">
        <v>1017</v>
      </c>
      <c r="P164" s="14" t="s">
        <v>16</v>
      </c>
      <c r="Q164" s="75">
        <f t="shared" ref="Q164:Q165" si="655">1/12</f>
        <v>8.3333333333333329E-2</v>
      </c>
      <c r="R164" s="11" t="s">
        <v>1000</v>
      </c>
      <c r="S164" s="12" t="s">
        <v>51</v>
      </c>
      <c r="T164" s="12" t="s">
        <v>138</v>
      </c>
      <c r="U164" s="12" t="s">
        <v>158</v>
      </c>
      <c r="V164" s="12" t="s">
        <v>275</v>
      </c>
      <c r="W164" s="23" t="s">
        <v>295</v>
      </c>
      <c r="X164" s="12" t="s">
        <v>283</v>
      </c>
      <c r="Y164" s="12" t="s">
        <v>248</v>
      </c>
      <c r="Z164" s="12" t="s">
        <v>217</v>
      </c>
      <c r="AA164" s="32" t="s">
        <v>345</v>
      </c>
      <c r="AB164" s="12">
        <v>6.5</v>
      </c>
      <c r="AC164" s="12" t="s">
        <v>247</v>
      </c>
      <c r="AD164" s="32" t="s">
        <v>345</v>
      </c>
      <c r="AE164" s="12">
        <v>149</v>
      </c>
      <c r="AF164" s="12" t="s">
        <v>250</v>
      </c>
      <c r="AG164" s="32" t="s">
        <v>345</v>
      </c>
      <c r="AH164" s="12">
        <v>16</v>
      </c>
      <c r="AJ164" s="12" t="str">
        <f t="shared" si="638"/>
        <v>0-10</v>
      </c>
      <c r="AK164" s="19">
        <f t="shared" si="639"/>
        <v>9.3125</v>
      </c>
      <c r="AL164" s="32" t="s">
        <v>534</v>
      </c>
      <c r="AM164" s="13" t="s">
        <v>321</v>
      </c>
      <c r="AN164" s="32" t="s">
        <v>888</v>
      </c>
      <c r="AO164" s="12" t="s">
        <v>37</v>
      </c>
      <c r="AP164" s="12" t="s">
        <v>167</v>
      </c>
      <c r="AQ164" s="12" t="s">
        <v>975</v>
      </c>
      <c r="AR164" s="12" t="s">
        <v>247</v>
      </c>
      <c r="AS164" s="32" t="s">
        <v>345</v>
      </c>
      <c r="AT164" s="12">
        <v>149</v>
      </c>
      <c r="AU164" s="50">
        <f>AT164*AW$474</f>
        <v>12.743544612945268</v>
      </c>
      <c r="AV164" s="13">
        <v>4</v>
      </c>
      <c r="AX164" s="12">
        <v>147</v>
      </c>
      <c r="AY164" s="50">
        <f>AX164*BA$474</f>
        <v>10.379731137922105</v>
      </c>
      <c r="AZ164" s="13">
        <v>4</v>
      </c>
      <c r="BB164" s="52">
        <f t="shared" ref="BB164:BB172" si="656">LN(AX164/AT164)</f>
        <v>-1.351371916672282E-2</v>
      </c>
      <c r="BC164" s="19">
        <f t="shared" si="640"/>
        <v>3.0751808437852338E-3</v>
      </c>
      <c r="BE164" s="12" t="s">
        <v>326</v>
      </c>
      <c r="BF164" s="12" t="s">
        <v>326</v>
      </c>
      <c r="BG164" s="12" t="s">
        <v>326</v>
      </c>
      <c r="BI164" s="12" t="s">
        <v>326</v>
      </c>
      <c r="BJ164" s="12" t="s">
        <v>326</v>
      </c>
      <c r="BK164" s="12" t="s">
        <v>326</v>
      </c>
      <c r="BP164" s="12" t="s">
        <v>37</v>
      </c>
      <c r="BQ164" s="12" t="s">
        <v>37</v>
      </c>
      <c r="BR164" s="13" t="s">
        <v>37</v>
      </c>
      <c r="BT164" s="12" t="s">
        <v>37</v>
      </c>
      <c r="BU164" s="12" t="s">
        <v>37</v>
      </c>
      <c r="BV164" s="12" t="s">
        <v>37</v>
      </c>
      <c r="CA164" s="12" t="s">
        <v>37</v>
      </c>
      <c r="CB164" s="12" t="s">
        <v>37</v>
      </c>
      <c r="CC164" s="13" t="s">
        <v>37</v>
      </c>
      <c r="CE164" s="12" t="s">
        <v>37</v>
      </c>
      <c r="CF164" s="12" t="s">
        <v>37</v>
      </c>
      <c r="CG164" s="13" t="s">
        <v>37</v>
      </c>
      <c r="CI164" s="52"/>
      <c r="CJ164" s="52"/>
      <c r="CK164" s="73"/>
      <c r="CL164" s="73"/>
      <c r="CN164" s="12" t="s">
        <v>37</v>
      </c>
      <c r="CO164" s="12" t="s">
        <v>37</v>
      </c>
      <c r="CP164" s="13" t="s">
        <v>37</v>
      </c>
      <c r="CR164" s="12" t="s">
        <v>37</v>
      </c>
      <c r="CS164" s="12" t="s">
        <v>37</v>
      </c>
      <c r="CT164" s="13" t="s">
        <v>37</v>
      </c>
      <c r="CV164" s="52"/>
      <c r="CW164" s="52"/>
      <c r="CX164" s="73"/>
      <c r="CY164" s="73"/>
      <c r="DA164" s="12" t="s">
        <v>37</v>
      </c>
      <c r="DB164" s="12" t="s">
        <v>37</v>
      </c>
      <c r="DC164" s="13" t="s">
        <v>37</v>
      </c>
      <c r="DE164" s="12" t="s">
        <v>37</v>
      </c>
      <c r="DF164" s="12" t="s">
        <v>37</v>
      </c>
      <c r="DG164" s="13" t="s">
        <v>37</v>
      </c>
      <c r="DM164" s="11" t="s">
        <v>47</v>
      </c>
      <c r="DN164" s="19">
        <f>-0.02*16/12/25/(AVERAGEA('[1]Nongrowing season flux of other'!$BE$58,'[1]Nongrowing season flux of other'!$BE$59))*100</f>
        <v>-0.12122916895579239</v>
      </c>
      <c r="DO164" s="50">
        <f>ABS(DN164)*DQ$474</f>
        <v>0.13515588971088227</v>
      </c>
      <c r="DP164" s="13">
        <v>4</v>
      </c>
      <c r="DR164" s="19">
        <f>-0.02*16/12/25/(AVERAGEA('[1]Nongrowing season flux of other'!$BH$58,'[1]Nongrowing season flux of other'!$BH$59))*100</f>
        <v>-0.12344945344324547</v>
      </c>
      <c r="DS164" s="50">
        <f>ABS(DR164)*DU$474</f>
        <v>0.46135730897138921</v>
      </c>
      <c r="DT164" s="13">
        <v>4</v>
      </c>
      <c r="DV164" s="19">
        <f>DR164-DN164</f>
        <v>-2.2202844874530808E-3</v>
      </c>
      <c r="DW164" s="12">
        <f t="shared" si="485"/>
        <v>0.33993946598244673</v>
      </c>
      <c r="DX164" s="72">
        <f t="shared" si="641"/>
        <v>5.777942026621552E-2</v>
      </c>
      <c r="DY164" s="72">
        <f t="shared" si="642"/>
        <v>5.777942026621552E-2</v>
      </c>
      <c r="DZ164" s="11" t="s">
        <v>47</v>
      </c>
      <c r="EA164" s="19">
        <f>97.5*("2014/04/30"-"2013/11/01")/("2014/06/10"-"2014/01/10")*44/28/298/(AVERAGEA('[3]Nongrowing season flux of other'!$BL$29,'[3]Nongrowing season flux of other'!$BL$32,'[3]Nongrowing season flux of other'!$BL$37,'[3]Nongrowing season flux of other'!$BL$45,'[3]Nongrowing season flux of other'!$BL$46,'[3]Nongrowing season flux of other'!$BL$50,'[3]Nongrowing season flux of other'!$BL$51,'[3]Nongrowing season flux of other'!$BL$52,'[3]Nongrowing season flux of other'!$BL$58,'[3]Nongrowing season flux of other'!$BL$59))</f>
        <v>0.69244345015682884</v>
      </c>
      <c r="EB164" s="50">
        <f>ABS(EA164)*ED$474</f>
        <v>3.9815338999377539</v>
      </c>
      <c r="EC164" s="72">
        <v>4</v>
      </c>
      <c r="EE164" s="19">
        <f>113.8*("2014/04/30"-"2013/11/01")/("2014/06/10"-"2014/01/10")*44/28/298/(AVERAGEA('[3]Nongrowing season flux of other'!$BO$29,'[3]Nongrowing season flux of other'!$BO$30,'[3]Nongrowing season flux of other'!$BO$31,'[3]Nongrowing season flux of other'!$BO$32,'[3]Nongrowing season flux of other'!$BO$33,'[3]Nongrowing season flux of other'!$BO$34,'[3]Nongrowing season flux of other'!$BO$37,'[3]Nongrowing season flux of other'!$BO$38))</f>
        <v>1.2029333397446536</v>
      </c>
      <c r="EF164" s="50">
        <f>ABS(EE164)*EH$474</f>
        <v>1.7961471430941864</v>
      </c>
      <c r="EG164" s="13">
        <v>4</v>
      </c>
      <c r="EI164" s="19">
        <f t="shared" si="635"/>
        <v>0.51048988958782471</v>
      </c>
      <c r="EJ164" s="12">
        <f t="shared" si="590"/>
        <v>3.0885884118800089</v>
      </c>
      <c r="EK164" s="19">
        <f t="shared" si="591"/>
        <v>4.7696891889997373</v>
      </c>
      <c r="EL164" s="19">
        <f t="shared" si="592"/>
        <v>4.7696891889997373</v>
      </c>
      <c r="EM164" s="12" t="s">
        <v>39</v>
      </c>
      <c r="EN164" s="12">
        <v>-109</v>
      </c>
      <c r="EO164" s="50">
        <f>ABS(EN164)*EQ$474</f>
        <v>44.417107463890972</v>
      </c>
      <c r="EP164" s="13">
        <v>4</v>
      </c>
      <c r="ER164" s="12">
        <v>-119</v>
      </c>
      <c r="ES164" s="50">
        <f>ABS(ER164)*EU$474</f>
        <v>26.990872367594108</v>
      </c>
      <c r="ET164" s="13">
        <v>4</v>
      </c>
      <c r="EV164" s="19">
        <f t="shared" si="643"/>
        <v>-10</v>
      </c>
      <c r="EW164" s="12">
        <f t="shared" si="644"/>
        <v>36.751779729848415</v>
      </c>
      <c r="EX164" s="19">
        <f t="shared" si="645"/>
        <v>675.34665665564853</v>
      </c>
      <c r="EY164" s="19">
        <f t="shared" si="646"/>
        <v>675.34665665564853</v>
      </c>
      <c r="FB164" s="12" t="s">
        <v>37</v>
      </c>
      <c r="FC164" s="12" t="s">
        <v>37</v>
      </c>
      <c r="FD164" s="11" t="s">
        <v>37</v>
      </c>
      <c r="FE164" s="12" t="s">
        <v>37</v>
      </c>
      <c r="FF164" s="20" t="s">
        <v>37</v>
      </c>
      <c r="FG164" s="11" t="s">
        <v>37</v>
      </c>
      <c r="FI164" s="12" t="s">
        <v>37</v>
      </c>
      <c r="FJ164" s="12" t="s">
        <v>37</v>
      </c>
      <c r="FK164" s="11" t="s">
        <v>37</v>
      </c>
      <c r="FL164" s="13" t="s">
        <v>37</v>
      </c>
      <c r="FM164" s="11" t="s">
        <v>37</v>
      </c>
      <c r="FN164" s="11" t="s">
        <v>37</v>
      </c>
      <c r="FP164" s="12" t="s">
        <v>37</v>
      </c>
      <c r="FQ164" s="12" t="s">
        <v>37</v>
      </c>
      <c r="FR164" s="11" t="s">
        <v>37</v>
      </c>
      <c r="FS164" s="13" t="s">
        <v>37</v>
      </c>
      <c r="FT164" s="11" t="s">
        <v>37</v>
      </c>
      <c r="FU164" s="11" t="s">
        <v>37</v>
      </c>
      <c r="FW164" s="12" t="s">
        <v>37</v>
      </c>
      <c r="FX164" s="12" t="s">
        <v>37</v>
      </c>
      <c r="FY164" s="11" t="s">
        <v>37</v>
      </c>
      <c r="FZ164" s="13" t="s">
        <v>37</v>
      </c>
      <c r="GA164" s="11" t="s">
        <v>37</v>
      </c>
      <c r="GB164" s="11" t="s">
        <v>37</v>
      </c>
      <c r="GC164" s="12" t="s">
        <v>90</v>
      </c>
      <c r="GD164" s="12" t="s">
        <v>345</v>
      </c>
      <c r="GE164" s="12">
        <v>75</v>
      </c>
      <c r="GF164" s="50">
        <f>ABS(GE164)*GH$474</f>
        <v>11.072611331845307</v>
      </c>
      <c r="GG164" s="13">
        <v>4</v>
      </c>
      <c r="GI164" s="12">
        <v>67</v>
      </c>
      <c r="GJ164" s="50">
        <f>ABS(GI164)*GL$474</f>
        <v>12.814650711906133</v>
      </c>
      <c r="GK164" s="13">
        <v>4</v>
      </c>
      <c r="GM164" s="19">
        <f t="shared" si="636"/>
        <v>-0.1127954941453444</v>
      </c>
      <c r="GN164" s="19">
        <f t="shared" si="647"/>
        <v>1.4594436054771944E-2</v>
      </c>
      <c r="IK164" s="12" t="s">
        <v>37</v>
      </c>
      <c r="IL164" s="12" t="s">
        <v>37</v>
      </c>
      <c r="IM164" s="12" t="s">
        <v>37</v>
      </c>
      <c r="IO164" s="12" t="s">
        <v>37</v>
      </c>
      <c r="IP164" s="12" t="s">
        <v>37</v>
      </c>
      <c r="IQ164" s="12" t="s">
        <v>37</v>
      </c>
      <c r="IV164" s="32" t="s">
        <v>345</v>
      </c>
      <c r="IW164" s="12">
        <v>6.5</v>
      </c>
      <c r="JH164" s="12" t="s">
        <v>37</v>
      </c>
      <c r="JI164" s="12" t="s">
        <v>37</v>
      </c>
      <c r="JJ164" s="13" t="s">
        <v>37</v>
      </c>
      <c r="JL164" s="12" t="s">
        <v>37</v>
      </c>
      <c r="JM164" s="12" t="s">
        <v>37</v>
      </c>
      <c r="JN164" s="12" t="s">
        <v>37</v>
      </c>
      <c r="JS164" s="12" t="s">
        <v>37</v>
      </c>
      <c r="JT164" s="12" t="s">
        <v>37</v>
      </c>
      <c r="JU164" s="13" t="s">
        <v>37</v>
      </c>
      <c r="JW164" s="12" t="s">
        <v>37</v>
      </c>
      <c r="JX164" s="12" t="s">
        <v>37</v>
      </c>
      <c r="JY164" s="12" t="s">
        <v>37</v>
      </c>
      <c r="KE164" s="11" t="s">
        <v>37</v>
      </c>
      <c r="KF164" s="11" t="s">
        <v>37</v>
      </c>
      <c r="KG164" s="13" t="s">
        <v>37</v>
      </c>
      <c r="KH164" s="11" t="s">
        <v>37</v>
      </c>
      <c r="KI164" s="11" t="s">
        <v>37</v>
      </c>
      <c r="KJ164" s="11" t="s">
        <v>37</v>
      </c>
      <c r="KK164" s="12" t="s">
        <v>250</v>
      </c>
      <c r="KL164" s="32" t="s">
        <v>345</v>
      </c>
      <c r="KM164" s="12">
        <v>16</v>
      </c>
      <c r="KN164" s="50">
        <f>ABS(KM164)*KP$474</f>
        <v>1.9086886621577517</v>
      </c>
      <c r="KO164" s="11">
        <v>4</v>
      </c>
      <c r="KQ164" s="12">
        <v>16</v>
      </c>
      <c r="KR164" s="50">
        <f>ABS(KQ164)*KT$474</f>
        <v>1.687094882698188</v>
      </c>
      <c r="KS164" s="13">
        <v>4</v>
      </c>
      <c r="KU164" s="19">
        <f t="shared" si="648"/>
        <v>0</v>
      </c>
      <c r="KV164" s="19">
        <f t="shared" si="649"/>
        <v>6.3372866721444921E-3</v>
      </c>
      <c r="KX164" s="12" t="s">
        <v>37</v>
      </c>
      <c r="KY164" s="12" t="s">
        <v>37</v>
      </c>
      <c r="KZ164" s="13" t="s">
        <v>37</v>
      </c>
      <c r="LB164" s="12" t="s">
        <v>37</v>
      </c>
      <c r="LC164" s="12" t="s">
        <v>37</v>
      </c>
      <c r="LD164" s="13" t="s">
        <v>37</v>
      </c>
      <c r="LI164" s="12" t="s">
        <v>37</v>
      </c>
      <c r="LJ164" s="12" t="s">
        <v>37</v>
      </c>
      <c r="LK164" s="12" t="s">
        <v>37</v>
      </c>
      <c r="LM164" s="12" t="s">
        <v>37</v>
      </c>
      <c r="LN164" s="12" t="s">
        <v>37</v>
      </c>
      <c r="LO164" s="12" t="s">
        <v>37</v>
      </c>
      <c r="LT164" s="12" t="str">
        <f t="shared" si="650"/>
        <v>0-10</v>
      </c>
      <c r="LU164" s="12">
        <f>AT164/KM164</f>
        <v>9.3125</v>
      </c>
      <c r="LV164" s="12">
        <f>SQRT((1/KM164)^2*AU164^2+AT164^2*(-1/KM164^2)^2*KN164^2)</f>
        <v>1.3669316974682448</v>
      </c>
      <c r="LW164" s="13">
        <f t="shared" si="651"/>
        <v>4</v>
      </c>
      <c r="LY164" s="12">
        <f>AX164/KQ164</f>
        <v>9.1875</v>
      </c>
      <c r="LZ164" s="12">
        <f>SQRT((1/KQ164)^2*AY164^2+AX164^2*(-1/KQ164^2)^2*KR164^2)</f>
        <v>1.1659132180665859</v>
      </c>
      <c r="MA164" s="13">
        <f t="shared" si="652"/>
        <v>4</v>
      </c>
      <c r="MC164" s="19">
        <f t="shared" si="653"/>
        <v>-1.351371916672282E-2</v>
      </c>
      <c r="MD164" s="19">
        <f t="shared" si="654"/>
        <v>9.4124675159297268E-3</v>
      </c>
      <c r="MF164" s="12" t="s">
        <v>37</v>
      </c>
      <c r="MG164" s="12" t="s">
        <v>37</v>
      </c>
      <c r="MH164" s="12" t="s">
        <v>37</v>
      </c>
      <c r="MJ164" s="12" t="s">
        <v>37</v>
      </c>
      <c r="MK164" s="12" t="s">
        <v>37</v>
      </c>
      <c r="ML164" s="12" t="s">
        <v>37</v>
      </c>
      <c r="MQ164" s="12" t="s">
        <v>37</v>
      </c>
      <c r="MR164" s="12" t="s">
        <v>37</v>
      </c>
      <c r="MS164" s="12" t="s">
        <v>37</v>
      </c>
      <c r="MU164" s="12" t="s">
        <v>37</v>
      </c>
      <c r="MV164" s="12" t="s">
        <v>37</v>
      </c>
      <c r="MW164" s="12" t="s">
        <v>37</v>
      </c>
      <c r="NC164" s="12" t="s">
        <v>37</v>
      </c>
      <c r="ND164" s="12" t="s">
        <v>37</v>
      </c>
      <c r="NE164" s="13" t="s">
        <v>37</v>
      </c>
      <c r="NG164" s="12" t="s">
        <v>37</v>
      </c>
      <c r="NH164" s="12" t="s">
        <v>37</v>
      </c>
      <c r="NI164" s="13" t="s">
        <v>37</v>
      </c>
      <c r="NO164" s="12" t="s">
        <v>37</v>
      </c>
      <c r="NP164" s="12" t="s">
        <v>37</v>
      </c>
      <c r="NQ164" s="13" t="s">
        <v>37</v>
      </c>
      <c r="NS164" s="12" t="s">
        <v>37</v>
      </c>
      <c r="NT164" s="12" t="s">
        <v>37</v>
      </c>
      <c r="NU164" s="13" t="s">
        <v>37</v>
      </c>
      <c r="OA164" s="12" t="s">
        <v>37</v>
      </c>
      <c r="OB164" s="12" t="s">
        <v>37</v>
      </c>
      <c r="OC164" s="13" t="s">
        <v>37</v>
      </c>
      <c r="OE164" s="12" t="s">
        <v>37</v>
      </c>
      <c r="OF164" s="12" t="s">
        <v>37</v>
      </c>
      <c r="OG164" s="13" t="s">
        <v>37</v>
      </c>
      <c r="OM164" s="12" t="s">
        <v>37</v>
      </c>
      <c r="ON164" s="12" t="s">
        <v>37</v>
      </c>
      <c r="OO164" s="12" t="s">
        <v>37</v>
      </c>
      <c r="OP164" s="12" t="s">
        <v>37</v>
      </c>
      <c r="OQ164" s="12" t="s">
        <v>37</v>
      </c>
      <c r="OR164" s="12" t="s">
        <v>37</v>
      </c>
      <c r="OS164" s="12"/>
      <c r="OT164" s="12"/>
      <c r="OW164" s="12" t="s">
        <v>37</v>
      </c>
      <c r="OX164" s="12" t="s">
        <v>37</v>
      </c>
      <c r="OY164" s="13" t="s">
        <v>37</v>
      </c>
      <c r="OZ164" s="12" t="s">
        <v>37</v>
      </c>
      <c r="PA164" s="12" t="s">
        <v>37</v>
      </c>
      <c r="PB164" s="13" t="s">
        <v>37</v>
      </c>
      <c r="PG164" s="11" t="s">
        <v>37</v>
      </c>
      <c r="PH164" s="11" t="s">
        <v>37</v>
      </c>
      <c r="PI164" s="13" t="s">
        <v>37</v>
      </c>
      <c r="PJ164" s="11" t="s">
        <v>37</v>
      </c>
      <c r="PK164" s="11" t="s">
        <v>37</v>
      </c>
      <c r="PL164" s="13" t="s">
        <v>37</v>
      </c>
      <c r="PQ164" s="12" t="s">
        <v>37</v>
      </c>
      <c r="PR164" s="12" t="s">
        <v>37</v>
      </c>
      <c r="PS164" s="12" t="s">
        <v>37</v>
      </c>
      <c r="PT164" s="12" t="s">
        <v>37</v>
      </c>
      <c r="PU164" s="12" t="s">
        <v>37</v>
      </c>
      <c r="PV164" s="12" t="s">
        <v>37</v>
      </c>
      <c r="PW164" s="12"/>
      <c r="PX164" s="12"/>
      <c r="PY164" s="12" t="s">
        <v>249</v>
      </c>
      <c r="PZ164" s="12">
        <v>15.9</v>
      </c>
      <c r="QA164" s="50">
        <f>ABS(PZ164)*QC$474</f>
        <v>3.8079158614278268</v>
      </c>
      <c r="QB164" s="11">
        <v>4</v>
      </c>
      <c r="QD164" s="12">
        <v>15.4</v>
      </c>
      <c r="QE164" s="50">
        <f>ABS(QD164)*QG$474</f>
        <v>2.9832451766396502</v>
      </c>
      <c r="QF164" s="13">
        <v>4</v>
      </c>
      <c r="QH164" s="19">
        <f t="shared" ref="QH164:QH166" si="657">LN(QD164/PZ164)</f>
        <v>-3.1951599806602358E-2</v>
      </c>
      <c r="QI164" s="19">
        <f>QE164^2/(QF164*QD164^2)+QA164^2/(QB164*PZ164^2)</f>
        <v>2.3720642519988719E-2</v>
      </c>
      <c r="QK164" s="12" t="s">
        <v>37</v>
      </c>
      <c r="QL164" s="12" t="s">
        <v>37</v>
      </c>
      <c r="QM164" s="12" t="s">
        <v>37</v>
      </c>
      <c r="QN164" s="12" t="s">
        <v>37</v>
      </c>
      <c r="QO164" s="12" t="s">
        <v>37</v>
      </c>
      <c r="QP164" s="12" t="s">
        <v>37</v>
      </c>
      <c r="QQ164" s="12"/>
      <c r="QR164" s="12"/>
      <c r="QU164" s="12" t="s">
        <v>37</v>
      </c>
      <c r="QV164" s="12" t="s">
        <v>37</v>
      </c>
      <c r="QW164" s="12" t="s">
        <v>37</v>
      </c>
      <c r="QX164" s="12" t="s">
        <v>37</v>
      </c>
      <c r="QY164" s="12" t="s">
        <v>37</v>
      </c>
      <c r="QZ164" s="12" t="s">
        <v>37</v>
      </c>
      <c r="RC164" s="12" t="s">
        <v>37</v>
      </c>
      <c r="RD164" s="12" t="s">
        <v>37</v>
      </c>
      <c r="RE164" s="13" t="s">
        <v>37</v>
      </c>
      <c r="RF164" s="12" t="s">
        <v>37</v>
      </c>
      <c r="RG164" s="12" t="s">
        <v>37</v>
      </c>
      <c r="RH164" s="13" t="s">
        <v>37</v>
      </c>
      <c r="RK164" s="12" t="s">
        <v>37</v>
      </c>
      <c r="RL164" s="12" t="s">
        <v>37</v>
      </c>
      <c r="RM164" s="11" t="s">
        <v>37</v>
      </c>
      <c r="RN164" s="12" t="s">
        <v>37</v>
      </c>
      <c r="RO164" s="12" t="s">
        <v>37</v>
      </c>
      <c r="RP164" s="11" t="s">
        <v>37</v>
      </c>
      <c r="RS164" s="12" t="s">
        <v>37</v>
      </c>
      <c r="RT164" s="12" t="s">
        <v>37</v>
      </c>
      <c r="RU164" s="12" t="s">
        <v>37</v>
      </c>
      <c r="RV164" s="12" t="s">
        <v>37</v>
      </c>
      <c r="RW164" s="12" t="s">
        <v>37</v>
      </c>
      <c r="RX164" s="12" t="s">
        <v>37</v>
      </c>
      <c r="SA164" s="12" t="s">
        <v>37</v>
      </c>
      <c r="SB164" s="12" t="s">
        <v>37</v>
      </c>
      <c r="SC164" s="12" t="s">
        <v>37</v>
      </c>
      <c r="SD164" s="12" t="s">
        <v>37</v>
      </c>
      <c r="SE164" s="12" t="s">
        <v>37</v>
      </c>
      <c r="SF164" s="12" t="s">
        <v>37</v>
      </c>
      <c r="SI164" s="12" t="s">
        <v>37</v>
      </c>
      <c r="SJ164" s="12" t="s">
        <v>37</v>
      </c>
      <c r="SK164" s="13" t="s">
        <v>37</v>
      </c>
      <c r="SM164" s="12" t="s">
        <v>37</v>
      </c>
      <c r="SN164" s="12" t="s">
        <v>37</v>
      </c>
      <c r="SO164" s="13" t="s">
        <v>37</v>
      </c>
      <c r="SU164" s="12" t="s">
        <v>37</v>
      </c>
      <c r="SV164" s="12" t="s">
        <v>37</v>
      </c>
      <c r="SW164" s="11" t="s">
        <v>37</v>
      </c>
      <c r="SX164" s="12" t="s">
        <v>37</v>
      </c>
      <c r="SY164" s="12" t="s">
        <v>37</v>
      </c>
      <c r="SZ164" s="11" t="s">
        <v>37</v>
      </c>
      <c r="TE164" s="12" t="s">
        <v>37</v>
      </c>
      <c r="TF164" s="12" t="s">
        <v>37</v>
      </c>
      <c r="TG164" s="11" t="s">
        <v>37</v>
      </c>
      <c r="TH164" s="12" t="s">
        <v>37</v>
      </c>
      <c r="TI164" s="12" t="s">
        <v>37</v>
      </c>
      <c r="TJ164" s="11" t="s">
        <v>37</v>
      </c>
      <c r="TO164" s="12" t="s">
        <v>37</v>
      </c>
      <c r="TP164" s="12" t="s">
        <v>37</v>
      </c>
      <c r="TQ164" s="11" t="s">
        <v>37</v>
      </c>
      <c r="TR164" s="12" t="s">
        <v>37</v>
      </c>
      <c r="TS164" s="12" t="s">
        <v>37</v>
      </c>
      <c r="TT164" s="11" t="s">
        <v>37</v>
      </c>
      <c r="TY164" s="12" t="s">
        <v>37</v>
      </c>
      <c r="TZ164" s="12" t="s">
        <v>37</v>
      </c>
      <c r="UA164" s="12" t="s">
        <v>37</v>
      </c>
      <c r="UB164" s="12" t="s">
        <v>37</v>
      </c>
      <c r="UC164" s="12" t="s">
        <v>37</v>
      </c>
      <c r="UD164" s="12" t="s">
        <v>37</v>
      </c>
      <c r="UE164" s="12"/>
      <c r="UF164" s="12"/>
      <c r="UI164" s="12" t="s">
        <v>37</v>
      </c>
      <c r="UJ164" s="12" t="s">
        <v>37</v>
      </c>
      <c r="UK164" s="12" t="s">
        <v>37</v>
      </c>
      <c r="UL164" s="12" t="s">
        <v>37</v>
      </c>
      <c r="UM164" s="12" t="s">
        <v>37</v>
      </c>
      <c r="UN164" s="12" t="s">
        <v>37</v>
      </c>
      <c r="UO164" s="12"/>
      <c r="UP164" s="12"/>
      <c r="UR164" s="12" t="s">
        <v>37</v>
      </c>
      <c r="US164" s="12" t="s">
        <v>37</v>
      </c>
      <c r="UT164" s="12" t="s">
        <v>37</v>
      </c>
      <c r="UU164" s="12" t="s">
        <v>37</v>
      </c>
      <c r="UV164" s="12" t="s">
        <v>37</v>
      </c>
      <c r="UW164" s="12" t="s">
        <v>37</v>
      </c>
      <c r="UX164" s="12"/>
      <c r="UY164" s="12"/>
      <c r="VB164" s="12" t="s">
        <v>37</v>
      </c>
      <c r="VC164" s="12" t="s">
        <v>37</v>
      </c>
      <c r="VD164" s="12" t="s">
        <v>37</v>
      </c>
      <c r="VE164" s="12" t="s">
        <v>37</v>
      </c>
      <c r="VF164" s="12" t="s">
        <v>37</v>
      </c>
      <c r="VG164" s="12" t="s">
        <v>37</v>
      </c>
      <c r="VI164" s="12" t="s">
        <v>37</v>
      </c>
      <c r="VJ164" s="12" t="s">
        <v>37</v>
      </c>
      <c r="VK164" s="12" t="s">
        <v>37</v>
      </c>
      <c r="VL164" s="12" t="s">
        <v>37</v>
      </c>
      <c r="VM164" s="12" t="s">
        <v>37</v>
      </c>
      <c r="VN164" s="12" t="s">
        <v>37</v>
      </c>
      <c r="VQ164" s="13" t="s">
        <v>37</v>
      </c>
      <c r="VR164" s="13" t="s">
        <v>37</v>
      </c>
      <c r="VS164" s="13" t="s">
        <v>37</v>
      </c>
      <c r="VT164" s="13" t="s">
        <v>37</v>
      </c>
      <c r="VU164" s="13" t="s">
        <v>37</v>
      </c>
      <c r="VV164" s="13" t="s">
        <v>37</v>
      </c>
      <c r="WA164" s="13" t="s">
        <v>37</v>
      </c>
      <c r="WB164" s="13" t="s">
        <v>37</v>
      </c>
      <c r="WC164" s="13" t="s">
        <v>37</v>
      </c>
      <c r="WD164" s="13" t="s">
        <v>37</v>
      </c>
      <c r="WE164" s="13" t="s">
        <v>37</v>
      </c>
      <c r="WF164" s="13" t="s">
        <v>37</v>
      </c>
    </row>
    <row r="165" spans="1:604" ht="18" customHeight="1" x14ac:dyDescent="0.4">
      <c r="A165" s="11">
        <v>38</v>
      </c>
      <c r="B165" s="16" t="s">
        <v>245</v>
      </c>
      <c r="C165" s="12" t="s">
        <v>26</v>
      </c>
      <c r="D165" s="12" t="s">
        <v>1039</v>
      </c>
      <c r="E165" s="40" t="s">
        <v>37</v>
      </c>
      <c r="F165" s="14">
        <v>0</v>
      </c>
      <c r="G165" s="14">
        <v>0</v>
      </c>
      <c r="H165" s="12" t="s">
        <v>106</v>
      </c>
      <c r="I165" s="29">
        <v>52.5</v>
      </c>
      <c r="J165" s="29">
        <v>-8.1999999999999993</v>
      </c>
      <c r="K165" s="12" t="s">
        <v>736</v>
      </c>
      <c r="L165" s="12" t="s">
        <v>737</v>
      </c>
      <c r="M165" s="13" t="s">
        <v>37</v>
      </c>
      <c r="N165" s="14" t="s">
        <v>37</v>
      </c>
      <c r="O165" s="14">
        <v>1017</v>
      </c>
      <c r="P165" s="14" t="s">
        <v>16</v>
      </c>
      <c r="Q165" s="75">
        <f t="shared" si="655"/>
        <v>8.3333333333333329E-2</v>
      </c>
      <c r="R165" s="11" t="s">
        <v>1000</v>
      </c>
      <c r="S165" s="12" t="s">
        <v>51</v>
      </c>
      <c r="T165" s="12" t="s">
        <v>138</v>
      </c>
      <c r="U165" s="12" t="s">
        <v>158</v>
      </c>
      <c r="V165" s="12" t="s">
        <v>275</v>
      </c>
      <c r="W165" s="23" t="s">
        <v>295</v>
      </c>
      <c r="X165" s="12" t="s">
        <v>283</v>
      </c>
      <c r="Y165" s="12" t="s">
        <v>248</v>
      </c>
      <c r="Z165" s="12" t="s">
        <v>217</v>
      </c>
      <c r="AA165" s="32" t="s">
        <v>345</v>
      </c>
      <c r="AB165" s="12">
        <v>6.5</v>
      </c>
      <c r="AC165" s="12" t="s">
        <v>247</v>
      </c>
      <c r="AD165" s="32" t="s">
        <v>345</v>
      </c>
      <c r="AE165" s="12">
        <v>149</v>
      </c>
      <c r="AF165" s="12" t="s">
        <v>250</v>
      </c>
      <c r="AG165" s="32" t="s">
        <v>345</v>
      </c>
      <c r="AH165" s="12">
        <v>16</v>
      </c>
      <c r="AJ165" s="12" t="str">
        <f t="shared" si="638"/>
        <v>0-10</v>
      </c>
      <c r="AK165" s="19">
        <f t="shared" si="639"/>
        <v>9.3125</v>
      </c>
      <c r="AL165" s="32" t="s">
        <v>534</v>
      </c>
      <c r="AM165" s="13" t="s">
        <v>321</v>
      </c>
      <c r="AN165" s="32" t="s">
        <v>889</v>
      </c>
      <c r="AO165" s="12" t="s">
        <v>37</v>
      </c>
      <c r="AP165" s="12" t="s">
        <v>167</v>
      </c>
      <c r="AQ165" s="12" t="s">
        <v>975</v>
      </c>
      <c r="AR165" s="12" t="s">
        <v>247</v>
      </c>
      <c r="AS165" s="32" t="s">
        <v>345</v>
      </c>
      <c r="AT165" s="12">
        <v>149</v>
      </c>
      <c r="AU165" s="50">
        <f>AT165*AW$474</f>
        <v>12.743544612945268</v>
      </c>
      <c r="AV165" s="13">
        <v>4</v>
      </c>
      <c r="AX165" s="12">
        <v>143</v>
      </c>
      <c r="AY165" s="50">
        <f>AX165*BA$474</f>
        <v>10.097289474305176</v>
      </c>
      <c r="AZ165" s="13">
        <v>4</v>
      </c>
      <c r="BB165" s="52">
        <f t="shared" si="656"/>
        <v>-4.1101675685551918E-2</v>
      </c>
      <c r="BC165" s="19">
        <f t="shared" si="640"/>
        <v>3.0751808437852338E-3</v>
      </c>
      <c r="BE165" s="12" t="s">
        <v>326</v>
      </c>
      <c r="BF165" s="12" t="s">
        <v>326</v>
      </c>
      <c r="BG165" s="12" t="s">
        <v>326</v>
      </c>
      <c r="BI165" s="12" t="s">
        <v>326</v>
      </c>
      <c r="BJ165" s="12" t="s">
        <v>326</v>
      </c>
      <c r="BK165" s="12" t="s">
        <v>326</v>
      </c>
      <c r="BP165" s="12" t="s">
        <v>37</v>
      </c>
      <c r="BQ165" s="12" t="s">
        <v>37</v>
      </c>
      <c r="BR165" s="13" t="s">
        <v>37</v>
      </c>
      <c r="BT165" s="12" t="s">
        <v>37</v>
      </c>
      <c r="BU165" s="12" t="s">
        <v>37</v>
      </c>
      <c r="BV165" s="12" t="s">
        <v>37</v>
      </c>
      <c r="CA165" s="12" t="s">
        <v>37</v>
      </c>
      <c r="CB165" s="12" t="s">
        <v>37</v>
      </c>
      <c r="CC165" s="13" t="s">
        <v>37</v>
      </c>
      <c r="CE165" s="12" t="s">
        <v>37</v>
      </c>
      <c r="CF165" s="12" t="s">
        <v>37</v>
      </c>
      <c r="CG165" s="13" t="s">
        <v>37</v>
      </c>
      <c r="CN165" s="12" t="s">
        <v>37</v>
      </c>
      <c r="CO165" s="12" t="s">
        <v>37</v>
      </c>
      <c r="CP165" s="13" t="s">
        <v>37</v>
      </c>
      <c r="CR165" s="12" t="s">
        <v>37</v>
      </c>
      <c r="CS165" s="12" t="s">
        <v>37</v>
      </c>
      <c r="CT165" s="13" t="s">
        <v>37</v>
      </c>
      <c r="CX165" s="72"/>
      <c r="CY165" s="72"/>
      <c r="DA165" s="12" t="s">
        <v>37</v>
      </c>
      <c r="DB165" s="12" t="s">
        <v>37</v>
      </c>
      <c r="DC165" s="13" t="s">
        <v>37</v>
      </c>
      <c r="DE165" s="12" t="s">
        <v>37</v>
      </c>
      <c r="DF165" s="12" t="s">
        <v>37</v>
      </c>
      <c r="DG165" s="13" t="s">
        <v>37</v>
      </c>
      <c r="DM165" s="11" t="s">
        <v>47</v>
      </c>
      <c r="DN165" s="19">
        <f>-0.02*16/12/25/(AVERAGEA('[1]Nongrowing season flux of other'!$BE$58,'[1]Nongrowing season flux of other'!$BE$59))*100</f>
        <v>-0.12122916895579239</v>
      </c>
      <c r="DO165" s="50">
        <f>ABS(DN165)*DQ$474</f>
        <v>0.13515588971088227</v>
      </c>
      <c r="DP165" s="13">
        <v>4</v>
      </c>
      <c r="DR165" s="19">
        <f>0.02*16/12/25/(AVERAGEA('[1]Nongrowing season flux of other'!$BH$58,'[1]Nongrowing season flux of other'!$BH$59))*100</f>
        <v>0.12344945344324547</v>
      </c>
      <c r="DS165" s="50">
        <f>ABS(DR165)*DU$474</f>
        <v>0.46135730897138921</v>
      </c>
      <c r="DT165" s="13">
        <v>4</v>
      </c>
      <c r="DV165" s="19">
        <f t="shared" si="509"/>
        <v>0.24467862239903787</v>
      </c>
      <c r="DW165" s="12">
        <f t="shared" si="485"/>
        <v>0.33993946598244673</v>
      </c>
      <c r="DX165" s="72">
        <f t="shared" si="641"/>
        <v>5.777942026621552E-2</v>
      </c>
      <c r="DY165" s="72">
        <f t="shared" si="642"/>
        <v>5.777942026621552E-2</v>
      </c>
      <c r="DZ165" s="11" t="s">
        <v>47</v>
      </c>
      <c r="EA165" s="19">
        <f>97.5*("2014/04/30"-"2013/11/01")/("2014/06/10"-"2014/01/10")*44/28/298/(AVERAGEA('[3]Nongrowing season flux of other'!$BL$29,'[3]Nongrowing season flux of other'!$BL$32,'[3]Nongrowing season flux of other'!$BL$37,'[3]Nongrowing season flux of other'!$BL$45,'[3]Nongrowing season flux of other'!$BL$46,'[3]Nongrowing season flux of other'!$BL$50,'[3]Nongrowing season flux of other'!$BL$51,'[3]Nongrowing season flux of other'!$BL$52,'[3]Nongrowing season flux of other'!$BL$58,'[3]Nongrowing season flux of other'!$BL$59))</f>
        <v>0.69244345015682884</v>
      </c>
      <c r="EB165" s="50">
        <f>ABS(EA165)*ED$474</f>
        <v>3.9815338999377539</v>
      </c>
      <c r="EC165" s="72">
        <v>4</v>
      </c>
      <c r="EE165" s="19">
        <f>146.3*("2014/04/30"-"2013/11/01")/("2014/06/10"-"2014/01/10")*44/28/298/(AVERAGEA('[3]Nongrowing season flux of other'!$BO$29,'[3]Nongrowing season flux of other'!$BO$30,'[3]Nongrowing season flux of other'!$BO$31,'[3]Nongrowing season flux of other'!$BO$32,'[3]Nongrowing season flux of other'!$BO$33,'[3]Nongrowing season flux of other'!$BO$34,'[3]Nongrowing season flux of other'!$BO$37,'[3]Nongrowing season flux of other'!$BO$38))</f>
        <v>1.5464775712183025</v>
      </c>
      <c r="EF165" s="50">
        <f>ABS(EE165)*EH$474</f>
        <v>2.3091065644523678</v>
      </c>
      <c r="EG165" s="13">
        <v>4</v>
      </c>
      <c r="EI165" s="19">
        <f t="shared" si="635"/>
        <v>0.85403412106147369</v>
      </c>
      <c r="EJ165" s="12">
        <f t="shared" si="590"/>
        <v>3.254580258831433</v>
      </c>
      <c r="EK165" s="19">
        <f t="shared" si="591"/>
        <v>5.2961463305876393</v>
      </c>
      <c r="EL165" s="19">
        <f t="shared" si="592"/>
        <v>5.2961463305876393</v>
      </c>
      <c r="EM165" s="12" t="s">
        <v>39</v>
      </c>
      <c r="EN165" s="12">
        <v>-109</v>
      </c>
      <c r="EO165" s="50">
        <f>ABS(EN165)*EQ$474</f>
        <v>44.417107463890972</v>
      </c>
      <c r="EP165" s="13">
        <v>4</v>
      </c>
      <c r="ER165" s="12">
        <v>-138</v>
      </c>
      <c r="ES165" s="50">
        <f>ABS(ER165)*EU$474</f>
        <v>31.300339384268796</v>
      </c>
      <c r="ET165" s="13">
        <v>4</v>
      </c>
      <c r="EV165" s="19">
        <f t="shared" si="643"/>
        <v>-29</v>
      </c>
      <c r="EW165" s="12">
        <f t="shared" si="644"/>
        <v>38.422588935606925</v>
      </c>
      <c r="EX165" s="19">
        <f t="shared" si="645"/>
        <v>738.1476702573118</v>
      </c>
      <c r="EY165" s="19">
        <f t="shared" si="646"/>
        <v>738.1476702573118</v>
      </c>
      <c r="FB165" s="12" t="s">
        <v>37</v>
      </c>
      <c r="FC165" s="12" t="s">
        <v>37</v>
      </c>
      <c r="FD165" s="11" t="s">
        <v>37</v>
      </c>
      <c r="FE165" s="12" t="s">
        <v>37</v>
      </c>
      <c r="FF165" s="20" t="s">
        <v>37</v>
      </c>
      <c r="FG165" s="11" t="s">
        <v>37</v>
      </c>
      <c r="FI165" s="12" t="s">
        <v>37</v>
      </c>
      <c r="FJ165" s="12" t="s">
        <v>37</v>
      </c>
      <c r="FK165" s="11" t="s">
        <v>37</v>
      </c>
      <c r="FL165" s="13" t="s">
        <v>37</v>
      </c>
      <c r="FM165" s="11" t="s">
        <v>37</v>
      </c>
      <c r="FN165" s="11" t="s">
        <v>37</v>
      </c>
      <c r="FP165" s="12" t="s">
        <v>37</v>
      </c>
      <c r="FQ165" s="12" t="s">
        <v>37</v>
      </c>
      <c r="FR165" s="11" t="s">
        <v>37</v>
      </c>
      <c r="FS165" s="13" t="s">
        <v>37</v>
      </c>
      <c r="FT165" s="11" t="s">
        <v>37</v>
      </c>
      <c r="FU165" s="11" t="s">
        <v>37</v>
      </c>
      <c r="FW165" s="12" t="s">
        <v>37</v>
      </c>
      <c r="FX165" s="12" t="s">
        <v>37</v>
      </c>
      <c r="FY165" s="11" t="s">
        <v>37</v>
      </c>
      <c r="FZ165" s="13" t="s">
        <v>37</v>
      </c>
      <c r="GA165" s="11" t="s">
        <v>37</v>
      </c>
      <c r="GB165" s="11" t="s">
        <v>37</v>
      </c>
      <c r="GC165" s="12" t="s">
        <v>90</v>
      </c>
      <c r="GD165" s="12" t="s">
        <v>345</v>
      </c>
      <c r="GE165" s="12">
        <v>76</v>
      </c>
      <c r="GF165" s="50">
        <f>ABS(GE165)*GH$474</f>
        <v>11.220246149603245</v>
      </c>
      <c r="GG165" s="13">
        <v>4</v>
      </c>
      <c r="GI165" s="12">
        <v>66</v>
      </c>
      <c r="GJ165" s="50">
        <f>ABS(GI165)*GL$474</f>
        <v>12.623387268444848</v>
      </c>
      <c r="GK165" s="13">
        <v>4</v>
      </c>
      <c r="GM165" s="19">
        <f t="shared" si="636"/>
        <v>-0.14107859825990549</v>
      </c>
      <c r="GN165" s="19">
        <f t="shared" si="647"/>
        <v>1.4594436054771946E-2</v>
      </c>
      <c r="IK165" s="12" t="s">
        <v>37</v>
      </c>
      <c r="IL165" s="12" t="s">
        <v>37</v>
      </c>
      <c r="IM165" s="12" t="s">
        <v>37</v>
      </c>
      <c r="IO165" s="12" t="s">
        <v>37</v>
      </c>
      <c r="IP165" s="12" t="s">
        <v>37</v>
      </c>
      <c r="IQ165" s="12" t="s">
        <v>37</v>
      </c>
      <c r="IV165" s="32" t="s">
        <v>345</v>
      </c>
      <c r="IW165" s="12">
        <v>6.5</v>
      </c>
      <c r="JH165" s="12" t="s">
        <v>37</v>
      </c>
      <c r="JI165" s="12" t="s">
        <v>37</v>
      </c>
      <c r="JJ165" s="13" t="s">
        <v>37</v>
      </c>
      <c r="JL165" s="12" t="s">
        <v>37</v>
      </c>
      <c r="JM165" s="12" t="s">
        <v>37</v>
      </c>
      <c r="JN165" s="12" t="s">
        <v>37</v>
      </c>
      <c r="JS165" s="12" t="s">
        <v>37</v>
      </c>
      <c r="JT165" s="12" t="s">
        <v>37</v>
      </c>
      <c r="JU165" s="13" t="s">
        <v>37</v>
      </c>
      <c r="JW165" s="12" t="s">
        <v>37</v>
      </c>
      <c r="JX165" s="12" t="s">
        <v>37</v>
      </c>
      <c r="JY165" s="12" t="s">
        <v>37</v>
      </c>
      <c r="KE165" s="11" t="s">
        <v>37</v>
      </c>
      <c r="KF165" s="11" t="s">
        <v>37</v>
      </c>
      <c r="KG165" s="13" t="s">
        <v>37</v>
      </c>
      <c r="KH165" s="11" t="s">
        <v>37</v>
      </c>
      <c r="KI165" s="11" t="s">
        <v>37</v>
      </c>
      <c r="KJ165" s="11" t="s">
        <v>37</v>
      </c>
      <c r="KK165" s="12" t="s">
        <v>250</v>
      </c>
      <c r="KL165" s="32" t="s">
        <v>345</v>
      </c>
      <c r="KM165" s="12">
        <v>16</v>
      </c>
      <c r="KN165" s="50">
        <f>ABS(KM165)*KP$474</f>
        <v>1.9086886621577517</v>
      </c>
      <c r="KO165" s="11">
        <v>4</v>
      </c>
      <c r="KQ165" s="12">
        <v>15</v>
      </c>
      <c r="KR165" s="50">
        <f>ABS(KQ165)*KT$474</f>
        <v>1.5816514525295513</v>
      </c>
      <c r="KS165" s="13">
        <v>4</v>
      </c>
      <c r="KU165" s="19">
        <f t="shared" si="648"/>
        <v>-6.4538521137571178E-2</v>
      </c>
      <c r="KV165" s="19">
        <f t="shared" si="649"/>
        <v>6.3372866721444921E-3</v>
      </c>
      <c r="KX165" s="12" t="s">
        <v>37</v>
      </c>
      <c r="KY165" s="12" t="s">
        <v>37</v>
      </c>
      <c r="KZ165" s="13" t="s">
        <v>37</v>
      </c>
      <c r="LB165" s="12" t="s">
        <v>37</v>
      </c>
      <c r="LC165" s="12" t="s">
        <v>37</v>
      </c>
      <c r="LD165" s="13" t="s">
        <v>37</v>
      </c>
      <c r="LI165" s="12" t="s">
        <v>37</v>
      </c>
      <c r="LJ165" s="12" t="s">
        <v>37</v>
      </c>
      <c r="LK165" s="12" t="s">
        <v>37</v>
      </c>
      <c r="LM165" s="12" t="s">
        <v>37</v>
      </c>
      <c r="LN165" s="12" t="s">
        <v>37</v>
      </c>
      <c r="LO165" s="12" t="s">
        <v>37</v>
      </c>
      <c r="LT165" s="12" t="str">
        <f t="shared" si="650"/>
        <v>0-10</v>
      </c>
      <c r="LU165" s="12">
        <f>AT165/KM165</f>
        <v>9.3125</v>
      </c>
      <c r="LV165" s="12">
        <f>SQRT((1/KM165)^2*AU165^2+AT165^2*(-1/KM165^2)^2*KN165^2)</f>
        <v>1.3669316974682448</v>
      </c>
      <c r="LW165" s="13">
        <f t="shared" si="651"/>
        <v>4</v>
      </c>
      <c r="LY165" s="12">
        <f>AX165/KQ165</f>
        <v>9.5333333333333332</v>
      </c>
      <c r="LZ165" s="12">
        <f>SQRT((1/KQ165)^2*AY165^2+AX165^2*(-1/KQ165^2)^2*KR165^2)</f>
        <v>1.2098002008781625</v>
      </c>
      <c r="MA165" s="13">
        <f t="shared" si="652"/>
        <v>4</v>
      </c>
      <c r="MC165" s="19">
        <f t="shared" si="653"/>
        <v>2.3436845452019399E-2</v>
      </c>
      <c r="MD165" s="19">
        <f t="shared" si="654"/>
        <v>9.4124675159297268E-3</v>
      </c>
      <c r="MF165" s="12" t="s">
        <v>37</v>
      </c>
      <c r="MG165" s="12" t="s">
        <v>37</v>
      </c>
      <c r="MH165" s="12" t="s">
        <v>37</v>
      </c>
      <c r="MJ165" s="12" t="s">
        <v>37</v>
      </c>
      <c r="MK165" s="12" t="s">
        <v>37</v>
      </c>
      <c r="ML165" s="12" t="s">
        <v>37</v>
      </c>
      <c r="MQ165" s="12" t="s">
        <v>37</v>
      </c>
      <c r="MR165" s="12" t="s">
        <v>37</v>
      </c>
      <c r="MS165" s="12" t="s">
        <v>37</v>
      </c>
      <c r="MU165" s="12" t="s">
        <v>37</v>
      </c>
      <c r="MV165" s="12" t="s">
        <v>37</v>
      </c>
      <c r="MW165" s="12" t="s">
        <v>37</v>
      </c>
      <c r="NC165" s="12" t="s">
        <v>37</v>
      </c>
      <c r="ND165" s="12" t="s">
        <v>37</v>
      </c>
      <c r="NE165" s="13" t="s">
        <v>37</v>
      </c>
      <c r="NG165" s="12" t="s">
        <v>37</v>
      </c>
      <c r="NH165" s="12" t="s">
        <v>37</v>
      </c>
      <c r="NI165" s="13" t="s">
        <v>37</v>
      </c>
      <c r="NO165" s="12" t="s">
        <v>37</v>
      </c>
      <c r="NP165" s="12" t="s">
        <v>37</v>
      </c>
      <c r="NQ165" s="13" t="s">
        <v>37</v>
      </c>
      <c r="NS165" s="12" t="s">
        <v>37</v>
      </c>
      <c r="NT165" s="12" t="s">
        <v>37</v>
      </c>
      <c r="NU165" s="13" t="s">
        <v>37</v>
      </c>
      <c r="OA165" s="12" t="s">
        <v>37</v>
      </c>
      <c r="OB165" s="12" t="s">
        <v>37</v>
      </c>
      <c r="OC165" s="13" t="s">
        <v>37</v>
      </c>
      <c r="OE165" s="12" t="s">
        <v>37</v>
      </c>
      <c r="OF165" s="12" t="s">
        <v>37</v>
      </c>
      <c r="OG165" s="13" t="s">
        <v>37</v>
      </c>
      <c r="OM165" s="12" t="s">
        <v>37</v>
      </c>
      <c r="ON165" s="12" t="s">
        <v>37</v>
      </c>
      <c r="OO165" s="12" t="s">
        <v>37</v>
      </c>
      <c r="OP165" s="12" t="s">
        <v>37</v>
      </c>
      <c r="OQ165" s="12" t="s">
        <v>37</v>
      </c>
      <c r="OR165" s="12" t="s">
        <v>37</v>
      </c>
      <c r="OS165" s="12"/>
      <c r="OT165" s="12"/>
      <c r="OW165" s="12" t="s">
        <v>37</v>
      </c>
      <c r="OX165" s="12" t="s">
        <v>37</v>
      </c>
      <c r="OY165" s="13" t="s">
        <v>37</v>
      </c>
      <c r="OZ165" s="12" t="s">
        <v>37</v>
      </c>
      <c r="PA165" s="12" t="s">
        <v>37</v>
      </c>
      <c r="PB165" s="13" t="s">
        <v>37</v>
      </c>
      <c r="PG165" s="11" t="s">
        <v>37</v>
      </c>
      <c r="PH165" s="11" t="s">
        <v>37</v>
      </c>
      <c r="PI165" s="13" t="s">
        <v>37</v>
      </c>
      <c r="PJ165" s="11" t="s">
        <v>37</v>
      </c>
      <c r="PK165" s="11" t="s">
        <v>37</v>
      </c>
      <c r="PL165" s="13" t="s">
        <v>37</v>
      </c>
      <c r="PQ165" s="12" t="s">
        <v>37</v>
      </c>
      <c r="PR165" s="12" t="s">
        <v>37</v>
      </c>
      <c r="PS165" s="12" t="s">
        <v>37</v>
      </c>
      <c r="PT165" s="12" t="s">
        <v>37</v>
      </c>
      <c r="PU165" s="12" t="s">
        <v>37</v>
      </c>
      <c r="PV165" s="12" t="s">
        <v>37</v>
      </c>
      <c r="PW165" s="12"/>
      <c r="PX165" s="12"/>
      <c r="PY165" s="12" t="s">
        <v>249</v>
      </c>
      <c r="PZ165" s="12">
        <v>15.9</v>
      </c>
      <c r="QA165" s="50">
        <f>ABS(PZ165)*QC$474</f>
        <v>3.8079158614278268</v>
      </c>
      <c r="QB165" s="11">
        <v>4</v>
      </c>
      <c r="QD165" s="12">
        <v>15.9</v>
      </c>
      <c r="QE165" s="50">
        <f>ABS(QD165)*QG$474</f>
        <v>3.0801037862708078</v>
      </c>
      <c r="QF165" s="13">
        <v>4</v>
      </c>
      <c r="QH165" s="19">
        <f t="shared" si="657"/>
        <v>0</v>
      </c>
      <c r="QI165" s="19">
        <f>QE165^2/(QF165*QD165^2)+QA165^2/(QB165*PZ165^2)</f>
        <v>2.3720642519988719E-2</v>
      </c>
      <c r="QK165" s="12" t="s">
        <v>37</v>
      </c>
      <c r="QL165" s="12" t="s">
        <v>37</v>
      </c>
      <c r="QM165" s="12" t="s">
        <v>37</v>
      </c>
      <c r="QN165" s="12" t="s">
        <v>37</v>
      </c>
      <c r="QO165" s="12" t="s">
        <v>37</v>
      </c>
      <c r="QP165" s="12" t="s">
        <v>37</v>
      </c>
      <c r="QQ165" s="12"/>
      <c r="QR165" s="12"/>
      <c r="QU165" s="12" t="s">
        <v>37</v>
      </c>
      <c r="QV165" s="12" t="s">
        <v>37</v>
      </c>
      <c r="QW165" s="12" t="s">
        <v>37</v>
      </c>
      <c r="QX165" s="12" t="s">
        <v>37</v>
      </c>
      <c r="QY165" s="12" t="s">
        <v>37</v>
      </c>
      <c r="QZ165" s="12" t="s">
        <v>37</v>
      </c>
      <c r="RC165" s="12" t="s">
        <v>37</v>
      </c>
      <c r="RD165" s="12" t="s">
        <v>37</v>
      </c>
      <c r="RE165" s="13" t="s">
        <v>37</v>
      </c>
      <c r="RF165" s="12" t="s">
        <v>37</v>
      </c>
      <c r="RG165" s="12" t="s">
        <v>37</v>
      </c>
      <c r="RH165" s="13" t="s">
        <v>37</v>
      </c>
      <c r="RK165" s="12" t="s">
        <v>37</v>
      </c>
      <c r="RL165" s="12" t="s">
        <v>37</v>
      </c>
      <c r="RM165" s="11" t="s">
        <v>37</v>
      </c>
      <c r="RN165" s="12" t="s">
        <v>37</v>
      </c>
      <c r="RO165" s="12" t="s">
        <v>37</v>
      </c>
      <c r="RP165" s="11" t="s">
        <v>37</v>
      </c>
      <c r="RS165" s="12" t="s">
        <v>37</v>
      </c>
      <c r="RT165" s="12" t="s">
        <v>37</v>
      </c>
      <c r="RU165" s="12" t="s">
        <v>37</v>
      </c>
      <c r="RV165" s="12" t="s">
        <v>37</v>
      </c>
      <c r="RW165" s="12" t="s">
        <v>37</v>
      </c>
      <c r="RX165" s="12" t="s">
        <v>37</v>
      </c>
      <c r="SA165" s="12" t="s">
        <v>37</v>
      </c>
      <c r="SB165" s="12" t="s">
        <v>37</v>
      </c>
      <c r="SC165" s="12" t="s">
        <v>37</v>
      </c>
      <c r="SD165" s="12" t="s">
        <v>37</v>
      </c>
      <c r="SE165" s="12" t="s">
        <v>37</v>
      </c>
      <c r="SF165" s="12" t="s">
        <v>37</v>
      </c>
      <c r="SI165" s="12" t="s">
        <v>37</v>
      </c>
      <c r="SJ165" s="12" t="s">
        <v>37</v>
      </c>
      <c r="SK165" s="13" t="s">
        <v>37</v>
      </c>
      <c r="SM165" s="12" t="s">
        <v>37</v>
      </c>
      <c r="SN165" s="12" t="s">
        <v>37</v>
      </c>
      <c r="SO165" s="13" t="s">
        <v>37</v>
      </c>
      <c r="SU165" s="12" t="s">
        <v>37</v>
      </c>
      <c r="SV165" s="12" t="s">
        <v>37</v>
      </c>
      <c r="SW165" s="11" t="s">
        <v>37</v>
      </c>
      <c r="SX165" s="12" t="s">
        <v>37</v>
      </c>
      <c r="SY165" s="12" t="s">
        <v>37</v>
      </c>
      <c r="SZ165" s="11" t="s">
        <v>37</v>
      </c>
      <c r="TE165" s="12" t="s">
        <v>37</v>
      </c>
      <c r="TF165" s="12" t="s">
        <v>37</v>
      </c>
      <c r="TG165" s="11" t="s">
        <v>37</v>
      </c>
      <c r="TH165" s="12" t="s">
        <v>37</v>
      </c>
      <c r="TI165" s="12" t="s">
        <v>37</v>
      </c>
      <c r="TJ165" s="11" t="s">
        <v>37</v>
      </c>
      <c r="TO165" s="12" t="s">
        <v>37</v>
      </c>
      <c r="TP165" s="12" t="s">
        <v>37</v>
      </c>
      <c r="TQ165" s="11" t="s">
        <v>37</v>
      </c>
      <c r="TR165" s="12" t="s">
        <v>37</v>
      </c>
      <c r="TS165" s="12" t="s">
        <v>37</v>
      </c>
      <c r="TT165" s="11" t="s">
        <v>37</v>
      </c>
      <c r="TY165" s="12" t="s">
        <v>37</v>
      </c>
      <c r="TZ165" s="12" t="s">
        <v>37</v>
      </c>
      <c r="UA165" s="12" t="s">
        <v>37</v>
      </c>
      <c r="UB165" s="12" t="s">
        <v>37</v>
      </c>
      <c r="UC165" s="12" t="s">
        <v>37</v>
      </c>
      <c r="UD165" s="12" t="s">
        <v>37</v>
      </c>
      <c r="UE165" s="12"/>
      <c r="UF165" s="12"/>
      <c r="UI165" s="12" t="s">
        <v>37</v>
      </c>
      <c r="UJ165" s="12" t="s">
        <v>37</v>
      </c>
      <c r="UK165" s="12" t="s">
        <v>37</v>
      </c>
      <c r="UL165" s="12" t="s">
        <v>37</v>
      </c>
      <c r="UM165" s="12" t="s">
        <v>37</v>
      </c>
      <c r="UN165" s="12" t="s">
        <v>37</v>
      </c>
      <c r="UO165" s="12"/>
      <c r="UP165" s="12"/>
      <c r="UR165" s="12" t="s">
        <v>37</v>
      </c>
      <c r="US165" s="12" t="s">
        <v>37</v>
      </c>
      <c r="UT165" s="12" t="s">
        <v>37</v>
      </c>
      <c r="UU165" s="12" t="s">
        <v>37</v>
      </c>
      <c r="UV165" s="12" t="s">
        <v>37</v>
      </c>
      <c r="UW165" s="12" t="s">
        <v>37</v>
      </c>
      <c r="UX165" s="12"/>
      <c r="UY165" s="12"/>
      <c r="VB165" s="12" t="s">
        <v>37</v>
      </c>
      <c r="VC165" s="12" t="s">
        <v>37</v>
      </c>
      <c r="VD165" s="12" t="s">
        <v>37</v>
      </c>
      <c r="VE165" s="12" t="s">
        <v>37</v>
      </c>
      <c r="VF165" s="12" t="s">
        <v>37</v>
      </c>
      <c r="VG165" s="12" t="s">
        <v>37</v>
      </c>
      <c r="VI165" s="12" t="s">
        <v>37</v>
      </c>
      <c r="VJ165" s="12" t="s">
        <v>37</v>
      </c>
      <c r="VK165" s="12" t="s">
        <v>37</v>
      </c>
      <c r="VL165" s="12" t="s">
        <v>37</v>
      </c>
      <c r="VM165" s="12" t="s">
        <v>37</v>
      </c>
      <c r="VN165" s="12" t="s">
        <v>37</v>
      </c>
      <c r="VQ165" s="13" t="s">
        <v>37</v>
      </c>
      <c r="VR165" s="13" t="s">
        <v>37</v>
      </c>
      <c r="VS165" s="13" t="s">
        <v>37</v>
      </c>
      <c r="VT165" s="13" t="s">
        <v>37</v>
      </c>
      <c r="VU165" s="13" t="s">
        <v>37</v>
      </c>
      <c r="VV165" s="13" t="s">
        <v>37</v>
      </c>
      <c r="WA165" s="13" t="s">
        <v>37</v>
      </c>
      <c r="WB165" s="13" t="s">
        <v>37</v>
      </c>
      <c r="WC165" s="13" t="s">
        <v>37</v>
      </c>
      <c r="WD165" s="13" t="s">
        <v>37</v>
      </c>
      <c r="WE165" s="13" t="s">
        <v>37</v>
      </c>
      <c r="WF165" s="13" t="s">
        <v>37</v>
      </c>
    </row>
    <row r="166" spans="1:604" ht="18" customHeight="1" x14ac:dyDescent="0.4">
      <c r="A166" s="11">
        <v>38</v>
      </c>
      <c r="B166" s="16" t="s">
        <v>245</v>
      </c>
      <c r="C166" s="12" t="s">
        <v>26</v>
      </c>
      <c r="D166" s="12" t="s">
        <v>1039</v>
      </c>
      <c r="E166" s="40" t="s">
        <v>37</v>
      </c>
      <c r="F166" s="14">
        <v>0</v>
      </c>
      <c r="G166" s="14">
        <v>0</v>
      </c>
      <c r="H166" s="12" t="s">
        <v>106</v>
      </c>
      <c r="I166" s="29">
        <v>52.5</v>
      </c>
      <c r="J166" s="29">
        <v>-8.1999999999999993</v>
      </c>
      <c r="K166" s="12" t="s">
        <v>736</v>
      </c>
      <c r="L166" s="12" t="s">
        <v>737</v>
      </c>
      <c r="M166" s="13" t="s">
        <v>37</v>
      </c>
      <c r="N166" s="14" t="s">
        <v>37</v>
      </c>
      <c r="O166" s="14">
        <v>1017</v>
      </c>
      <c r="P166" s="14" t="s">
        <v>16</v>
      </c>
      <c r="Q166" s="75">
        <v>3</v>
      </c>
      <c r="R166" s="11" t="s">
        <v>1000</v>
      </c>
      <c r="S166" s="12" t="s">
        <v>51</v>
      </c>
      <c r="T166" s="12" t="s">
        <v>138</v>
      </c>
      <c r="U166" s="12" t="s">
        <v>158</v>
      </c>
      <c r="V166" s="12" t="s">
        <v>275</v>
      </c>
      <c r="W166" s="23" t="s">
        <v>295</v>
      </c>
      <c r="X166" s="12" t="s">
        <v>283</v>
      </c>
      <c r="Y166" s="12" t="s">
        <v>248</v>
      </c>
      <c r="Z166" s="12" t="s">
        <v>217</v>
      </c>
      <c r="AA166" s="32" t="s">
        <v>345</v>
      </c>
      <c r="AB166" s="12">
        <v>6.5</v>
      </c>
      <c r="AC166" s="12" t="s">
        <v>247</v>
      </c>
      <c r="AD166" s="32" t="s">
        <v>345</v>
      </c>
      <c r="AE166" s="12">
        <v>145</v>
      </c>
      <c r="AF166" s="12" t="s">
        <v>250</v>
      </c>
      <c r="AG166" s="32" t="s">
        <v>345</v>
      </c>
      <c r="AH166" s="12">
        <v>16</v>
      </c>
      <c r="AJ166" s="12" t="str">
        <f t="shared" si="638"/>
        <v>0-10</v>
      </c>
      <c r="AK166" s="19">
        <f t="shared" si="639"/>
        <v>9.0625</v>
      </c>
      <c r="AL166" s="32" t="s">
        <v>246</v>
      </c>
      <c r="AM166" s="12" t="s">
        <v>344</v>
      </c>
      <c r="AO166" s="12" t="s">
        <v>37</v>
      </c>
      <c r="AP166" s="12" t="s">
        <v>167</v>
      </c>
      <c r="AQ166" s="12" t="s">
        <v>975</v>
      </c>
      <c r="AR166" s="12" t="s">
        <v>247</v>
      </c>
      <c r="AS166" s="32" t="s">
        <v>345</v>
      </c>
      <c r="AT166" s="12">
        <v>145</v>
      </c>
      <c r="AU166" s="50">
        <f>AT166*AW$474</f>
        <v>12.401436032731972</v>
      </c>
      <c r="AV166" s="13">
        <v>4</v>
      </c>
      <c r="AX166" s="12">
        <v>140</v>
      </c>
      <c r="AY166" s="50">
        <f>AX166*BA$474</f>
        <v>9.8854582265924797</v>
      </c>
      <c r="AZ166" s="13">
        <v>4</v>
      </c>
      <c r="BB166" s="52">
        <f t="shared" si="656"/>
        <v>-3.5091319811270061E-2</v>
      </c>
      <c r="BC166" s="19">
        <f t="shared" si="640"/>
        <v>3.0751808437852329E-3</v>
      </c>
      <c r="BE166" s="12" t="s">
        <v>326</v>
      </c>
      <c r="BF166" s="12" t="s">
        <v>326</v>
      </c>
      <c r="BG166" s="12" t="s">
        <v>326</v>
      </c>
      <c r="BI166" s="12" t="s">
        <v>326</v>
      </c>
      <c r="BJ166" s="12" t="s">
        <v>326</v>
      </c>
      <c r="BK166" s="12" t="s">
        <v>326</v>
      </c>
      <c r="BP166" s="12" t="s">
        <v>37</v>
      </c>
      <c r="BQ166" s="12" t="s">
        <v>37</v>
      </c>
      <c r="BR166" s="13" t="s">
        <v>37</v>
      </c>
      <c r="BT166" s="12" t="s">
        <v>37</v>
      </c>
      <c r="BU166" s="12" t="s">
        <v>37</v>
      </c>
      <c r="BV166" s="12" t="s">
        <v>37</v>
      </c>
      <c r="CA166" s="12" t="s">
        <v>37</v>
      </c>
      <c r="CB166" s="12" t="s">
        <v>37</v>
      </c>
      <c r="CC166" s="13" t="s">
        <v>37</v>
      </c>
      <c r="CE166" s="12" t="s">
        <v>37</v>
      </c>
      <c r="CF166" s="12" t="s">
        <v>37</v>
      </c>
      <c r="CG166" s="13" t="s">
        <v>37</v>
      </c>
      <c r="CN166" s="12" t="s">
        <v>37</v>
      </c>
      <c r="CO166" s="12" t="s">
        <v>37</v>
      </c>
      <c r="CP166" s="13" t="s">
        <v>37</v>
      </c>
      <c r="CR166" s="12" t="s">
        <v>37</v>
      </c>
      <c r="CS166" s="12" t="s">
        <v>37</v>
      </c>
      <c r="CT166" s="13" t="s">
        <v>37</v>
      </c>
      <c r="CX166" s="72"/>
      <c r="CY166" s="72"/>
      <c r="DA166" s="12" t="s">
        <v>37</v>
      </c>
      <c r="DB166" s="12" t="s">
        <v>37</v>
      </c>
      <c r="DC166" s="13" t="s">
        <v>37</v>
      </c>
      <c r="DE166" s="12" t="s">
        <v>37</v>
      </c>
      <c r="DF166" s="12" t="s">
        <v>37</v>
      </c>
      <c r="DG166" s="13" t="s">
        <v>37</v>
      </c>
      <c r="DM166" s="11" t="s">
        <v>47</v>
      </c>
      <c r="DN166" s="19">
        <f>-9.9*16/12/25</f>
        <v>-0.52800000000000002</v>
      </c>
      <c r="DO166" s="50">
        <f>ABS(DN166)*DQ$474</f>
        <v>0.5886562646764405</v>
      </c>
      <c r="DP166" s="13">
        <v>4</v>
      </c>
      <c r="DR166" s="19">
        <f>-4.9*16/12/25</f>
        <v>-0.26133333333333336</v>
      </c>
      <c r="DS166" s="50">
        <f>ABS(DR166)*DU$474</f>
        <v>0.97665919166357074</v>
      </c>
      <c r="DT166" s="13">
        <v>4</v>
      </c>
      <c r="DV166" s="19">
        <f t="shared" si="509"/>
        <v>0.26666666666666666</v>
      </c>
      <c r="DW166" s="12">
        <f t="shared" si="485"/>
        <v>0.80634340531927184</v>
      </c>
      <c r="DX166" s="72">
        <f t="shared" si="641"/>
        <v>0.32509484365093977</v>
      </c>
      <c r="DY166" s="72">
        <f t="shared" si="642"/>
        <v>0.32509484365093977</v>
      </c>
      <c r="DZ166" s="11" t="s">
        <v>47</v>
      </c>
      <c r="EA166" s="19">
        <f>204*44/28/298</f>
        <v>1.0757430488974113</v>
      </c>
      <c r="EB166" s="50">
        <f>ABS(EA166)*ED$474</f>
        <v>6.1854977700162745</v>
      </c>
      <c r="EC166" s="72">
        <v>4</v>
      </c>
      <c r="EE166" s="19">
        <f>191.6*44/28/298</f>
        <v>1.0103547459252158</v>
      </c>
      <c r="EF166" s="50">
        <f>ABS(EE166)*EH$474</f>
        <v>1.508600460596133</v>
      </c>
      <c r="EG166" s="13">
        <v>4</v>
      </c>
      <c r="EI166" s="19">
        <f t="shared" si="635"/>
        <v>-6.5388302972195556E-2</v>
      </c>
      <c r="EJ166" s="12">
        <f t="shared" si="590"/>
        <v>4.5020138833963603</v>
      </c>
      <c r="EK166" s="19">
        <f t="shared" si="591"/>
        <v>10.13406450314679</v>
      </c>
      <c r="EL166" s="19">
        <f t="shared" si="592"/>
        <v>10.134064503146792</v>
      </c>
      <c r="EM166" s="12" t="s">
        <v>39</v>
      </c>
      <c r="EN166" s="12">
        <v>-76</v>
      </c>
      <c r="EO166" s="50">
        <f>ABS(EN166)*EQ$474</f>
        <v>30.969726305098295</v>
      </c>
      <c r="EP166" s="13">
        <v>4</v>
      </c>
      <c r="ER166" s="12">
        <v>-84</v>
      </c>
      <c r="ES166" s="50">
        <f>ABS(ER166)*EU$474</f>
        <v>19.052380494772311</v>
      </c>
      <c r="ET166" s="13">
        <v>4</v>
      </c>
      <c r="EV166" s="19">
        <f t="shared" si="643"/>
        <v>-8</v>
      </c>
      <c r="EW166" s="12">
        <f t="shared" si="644"/>
        <v>25.711059390175635</v>
      </c>
      <c r="EX166" s="19">
        <f t="shared" si="645"/>
        <v>330.52928748256937</v>
      </c>
      <c r="EY166" s="19">
        <f t="shared" si="646"/>
        <v>330.52928748256943</v>
      </c>
      <c r="FB166" s="12" t="s">
        <v>37</v>
      </c>
      <c r="FC166" s="12" t="s">
        <v>37</v>
      </c>
      <c r="FD166" s="11" t="s">
        <v>37</v>
      </c>
      <c r="FE166" s="12" t="s">
        <v>37</v>
      </c>
      <c r="FF166" s="20" t="s">
        <v>37</v>
      </c>
      <c r="FG166" s="11" t="s">
        <v>37</v>
      </c>
      <c r="FI166" s="12" t="s">
        <v>37</v>
      </c>
      <c r="FJ166" s="12" t="s">
        <v>37</v>
      </c>
      <c r="FK166" s="11" t="s">
        <v>37</v>
      </c>
      <c r="FL166" s="13" t="s">
        <v>37</v>
      </c>
      <c r="FM166" s="11" t="s">
        <v>37</v>
      </c>
      <c r="FN166" s="11" t="s">
        <v>37</v>
      </c>
      <c r="FP166" s="12" t="s">
        <v>37</v>
      </c>
      <c r="FQ166" s="12" t="s">
        <v>37</v>
      </c>
      <c r="FR166" s="11" t="s">
        <v>37</v>
      </c>
      <c r="FS166" s="13" t="s">
        <v>37</v>
      </c>
      <c r="FT166" s="11" t="s">
        <v>37</v>
      </c>
      <c r="FU166" s="11" t="s">
        <v>37</v>
      </c>
      <c r="FW166" s="12" t="s">
        <v>37</v>
      </c>
      <c r="FX166" s="12" t="s">
        <v>37</v>
      </c>
      <c r="FY166" s="11" t="s">
        <v>37</v>
      </c>
      <c r="FZ166" s="13" t="s">
        <v>37</v>
      </c>
      <c r="GA166" s="11" t="s">
        <v>37</v>
      </c>
      <c r="GB166" s="11" t="s">
        <v>37</v>
      </c>
      <c r="GC166" s="12" t="s">
        <v>90</v>
      </c>
      <c r="GD166" s="12" t="s">
        <v>345</v>
      </c>
      <c r="GE166" s="12">
        <v>55</v>
      </c>
      <c r="GF166" s="50">
        <f>ABS(GE166)*GH$474</f>
        <v>8.1199149766865588</v>
      </c>
      <c r="GG166" s="13">
        <v>4</v>
      </c>
      <c r="GI166" s="12">
        <v>50</v>
      </c>
      <c r="GJ166" s="50">
        <f>ABS(GI166)*GL$474</f>
        <v>9.5631721730642791</v>
      </c>
      <c r="GK166" s="13">
        <v>4</v>
      </c>
      <c r="GM166" s="19">
        <f t="shared" si="636"/>
        <v>-9.5310179804324893E-2</v>
      </c>
      <c r="GN166" s="19">
        <f t="shared" si="647"/>
        <v>1.4594436054771946E-2</v>
      </c>
      <c r="IK166" s="12" t="s">
        <v>37</v>
      </c>
      <c r="IL166" s="12" t="s">
        <v>37</v>
      </c>
      <c r="IM166" s="12" t="s">
        <v>37</v>
      </c>
      <c r="IO166" s="12" t="s">
        <v>37</v>
      </c>
      <c r="IP166" s="12" t="s">
        <v>37</v>
      </c>
      <c r="IQ166" s="12" t="s">
        <v>37</v>
      </c>
      <c r="IV166" s="32" t="s">
        <v>345</v>
      </c>
      <c r="IW166" s="12">
        <v>6.5</v>
      </c>
      <c r="JH166" s="12" t="s">
        <v>37</v>
      </c>
      <c r="JI166" s="12" t="s">
        <v>37</v>
      </c>
      <c r="JJ166" s="13" t="s">
        <v>37</v>
      </c>
      <c r="JL166" s="12" t="s">
        <v>37</v>
      </c>
      <c r="JM166" s="12" t="s">
        <v>37</v>
      </c>
      <c r="JN166" s="12" t="s">
        <v>37</v>
      </c>
      <c r="JS166" s="12" t="s">
        <v>37</v>
      </c>
      <c r="JT166" s="12" t="s">
        <v>37</v>
      </c>
      <c r="JU166" s="13" t="s">
        <v>37</v>
      </c>
      <c r="JW166" s="12" t="s">
        <v>37</v>
      </c>
      <c r="JX166" s="12" t="s">
        <v>37</v>
      </c>
      <c r="JY166" s="12" t="s">
        <v>37</v>
      </c>
      <c r="KE166" s="11" t="s">
        <v>37</v>
      </c>
      <c r="KF166" s="11" t="s">
        <v>37</v>
      </c>
      <c r="KG166" s="13" t="s">
        <v>37</v>
      </c>
      <c r="KH166" s="11" t="s">
        <v>37</v>
      </c>
      <c r="KI166" s="11" t="s">
        <v>37</v>
      </c>
      <c r="KJ166" s="11" t="s">
        <v>37</v>
      </c>
      <c r="KK166" s="12" t="s">
        <v>250</v>
      </c>
      <c r="KL166" s="32" t="s">
        <v>345</v>
      </c>
      <c r="KM166" s="12">
        <v>16</v>
      </c>
      <c r="KN166" s="50">
        <f>ABS(KM166)*KP$474</f>
        <v>1.9086886621577517</v>
      </c>
      <c r="KO166" s="11">
        <v>4</v>
      </c>
      <c r="KQ166" s="12">
        <v>15</v>
      </c>
      <c r="KR166" s="50">
        <f>ABS(KQ166)*KT$474</f>
        <v>1.5816514525295513</v>
      </c>
      <c r="KS166" s="13">
        <v>4</v>
      </c>
      <c r="KU166" s="19">
        <f t="shared" si="648"/>
        <v>-6.4538521137571178E-2</v>
      </c>
      <c r="KV166" s="19">
        <f t="shared" si="649"/>
        <v>6.3372866721444921E-3</v>
      </c>
      <c r="KX166" s="12" t="s">
        <v>37</v>
      </c>
      <c r="KY166" s="12" t="s">
        <v>37</v>
      </c>
      <c r="KZ166" s="13" t="s">
        <v>37</v>
      </c>
      <c r="LB166" s="12" t="s">
        <v>37</v>
      </c>
      <c r="LC166" s="12" t="s">
        <v>37</v>
      </c>
      <c r="LD166" s="13" t="s">
        <v>37</v>
      </c>
      <c r="LI166" s="12" t="s">
        <v>37</v>
      </c>
      <c r="LJ166" s="12" t="s">
        <v>37</v>
      </c>
      <c r="LK166" s="12" t="s">
        <v>37</v>
      </c>
      <c r="LM166" s="12" t="s">
        <v>37</v>
      </c>
      <c r="LN166" s="12" t="s">
        <v>37</v>
      </c>
      <c r="LO166" s="12" t="s">
        <v>37</v>
      </c>
      <c r="LT166" s="12" t="str">
        <f t="shared" si="650"/>
        <v>0-10</v>
      </c>
      <c r="LU166" s="12">
        <f>AT166/KM166</f>
        <v>9.0625</v>
      </c>
      <c r="LV166" s="12">
        <f>SQRT((1/KM166)^2*AU166^2+AT166^2*(-1/KM166^2)^2*KN166^2)</f>
        <v>1.330235544516077</v>
      </c>
      <c r="LW166" s="13">
        <f t="shared" si="651"/>
        <v>4</v>
      </c>
      <c r="LY166" s="12">
        <f>AX166/KQ166</f>
        <v>9.3333333333333339</v>
      </c>
      <c r="LZ166" s="12">
        <f>SQRT((1/KQ166)^2*AY166^2+AX166^2*(-1/KQ166^2)^2*KR166^2)</f>
        <v>1.1844197770835159</v>
      </c>
      <c r="MA166" s="13">
        <f t="shared" si="652"/>
        <v>4</v>
      </c>
      <c r="MC166" s="19">
        <f t="shared" si="653"/>
        <v>2.9447201326301055E-2</v>
      </c>
      <c r="MD166" s="19">
        <f t="shared" si="654"/>
        <v>9.412467515929725E-3</v>
      </c>
      <c r="MF166" s="12" t="s">
        <v>37</v>
      </c>
      <c r="MG166" s="12" t="s">
        <v>37</v>
      </c>
      <c r="MH166" s="12" t="s">
        <v>37</v>
      </c>
      <c r="MJ166" s="12" t="s">
        <v>37</v>
      </c>
      <c r="MK166" s="12" t="s">
        <v>37</v>
      </c>
      <c r="ML166" s="12" t="s">
        <v>37</v>
      </c>
      <c r="MQ166" s="12" t="s">
        <v>37</v>
      </c>
      <c r="MR166" s="12" t="s">
        <v>37</v>
      </c>
      <c r="MS166" s="12" t="s">
        <v>37</v>
      </c>
      <c r="MU166" s="12" t="s">
        <v>37</v>
      </c>
      <c r="MV166" s="12" t="s">
        <v>37</v>
      </c>
      <c r="MW166" s="12" t="s">
        <v>37</v>
      </c>
      <c r="NC166" s="12" t="s">
        <v>37</v>
      </c>
      <c r="ND166" s="12" t="s">
        <v>37</v>
      </c>
      <c r="NE166" s="13" t="s">
        <v>37</v>
      </c>
      <c r="NG166" s="12" t="s">
        <v>37</v>
      </c>
      <c r="NH166" s="12" t="s">
        <v>37</v>
      </c>
      <c r="NI166" s="13" t="s">
        <v>37</v>
      </c>
      <c r="NO166" s="12" t="s">
        <v>37</v>
      </c>
      <c r="NP166" s="12" t="s">
        <v>37</v>
      </c>
      <c r="NQ166" s="13" t="s">
        <v>37</v>
      </c>
      <c r="NS166" s="12" t="s">
        <v>37</v>
      </c>
      <c r="NT166" s="12" t="s">
        <v>37</v>
      </c>
      <c r="NU166" s="13" t="s">
        <v>37</v>
      </c>
      <c r="OA166" s="12" t="s">
        <v>37</v>
      </c>
      <c r="OB166" s="12" t="s">
        <v>37</v>
      </c>
      <c r="OC166" s="13" t="s">
        <v>37</v>
      </c>
      <c r="OE166" s="12" t="s">
        <v>37</v>
      </c>
      <c r="OF166" s="12" t="s">
        <v>37</v>
      </c>
      <c r="OG166" s="13" t="s">
        <v>37</v>
      </c>
      <c r="OM166" s="12" t="s">
        <v>37</v>
      </c>
      <c r="ON166" s="12" t="s">
        <v>37</v>
      </c>
      <c r="OO166" s="12" t="s">
        <v>37</v>
      </c>
      <c r="OP166" s="12" t="s">
        <v>37</v>
      </c>
      <c r="OQ166" s="12" t="s">
        <v>37</v>
      </c>
      <c r="OR166" s="12" t="s">
        <v>37</v>
      </c>
      <c r="OS166" s="12"/>
      <c r="OT166" s="12"/>
      <c r="OW166" s="12" t="s">
        <v>37</v>
      </c>
      <c r="OX166" s="12" t="s">
        <v>37</v>
      </c>
      <c r="OY166" s="13" t="s">
        <v>37</v>
      </c>
      <c r="OZ166" s="12" t="s">
        <v>37</v>
      </c>
      <c r="PA166" s="12" t="s">
        <v>37</v>
      </c>
      <c r="PB166" s="13" t="s">
        <v>37</v>
      </c>
      <c r="PG166" s="11" t="s">
        <v>37</v>
      </c>
      <c r="PH166" s="11" t="s">
        <v>37</v>
      </c>
      <c r="PI166" s="13" t="s">
        <v>37</v>
      </c>
      <c r="PJ166" s="11" t="s">
        <v>37</v>
      </c>
      <c r="PK166" s="11" t="s">
        <v>37</v>
      </c>
      <c r="PL166" s="13" t="s">
        <v>37</v>
      </c>
      <c r="PQ166" s="12" t="s">
        <v>37</v>
      </c>
      <c r="PR166" s="12" t="s">
        <v>37</v>
      </c>
      <c r="PS166" s="12" t="s">
        <v>37</v>
      </c>
      <c r="PT166" s="12" t="s">
        <v>37</v>
      </c>
      <c r="PU166" s="12" t="s">
        <v>37</v>
      </c>
      <c r="PV166" s="12" t="s">
        <v>37</v>
      </c>
      <c r="PW166" s="12"/>
      <c r="PX166" s="12"/>
      <c r="PY166" s="12" t="s">
        <v>249</v>
      </c>
      <c r="PZ166" s="12">
        <v>12.3</v>
      </c>
      <c r="QA166" s="50">
        <f>ABS(PZ166)*QC$474</f>
        <v>2.9457462324253001</v>
      </c>
      <c r="QB166" s="11">
        <v>4</v>
      </c>
      <c r="QD166" s="12">
        <v>11</v>
      </c>
      <c r="QE166" s="50">
        <f>ABS(QD166)*QG$474</f>
        <v>2.1308894118854642</v>
      </c>
      <c r="QF166" s="13">
        <v>4</v>
      </c>
      <c r="QH166" s="19">
        <f t="shared" si="657"/>
        <v>-0.11170398958000129</v>
      </c>
      <c r="QI166" s="19">
        <f>QE166^2/(QF166*QD166^2)+QA166^2/(QB166*PZ166^2)</f>
        <v>2.3720642519988719E-2</v>
      </c>
      <c r="QK166" s="12" t="s">
        <v>37</v>
      </c>
      <c r="QL166" s="12" t="s">
        <v>37</v>
      </c>
      <c r="QM166" s="12" t="s">
        <v>37</v>
      </c>
      <c r="QN166" s="12" t="s">
        <v>37</v>
      </c>
      <c r="QO166" s="12" t="s">
        <v>37</v>
      </c>
      <c r="QP166" s="12" t="s">
        <v>37</v>
      </c>
      <c r="QQ166" s="12"/>
      <c r="QR166" s="12"/>
      <c r="QU166" s="12" t="s">
        <v>37</v>
      </c>
      <c r="QV166" s="12" t="s">
        <v>37</v>
      </c>
      <c r="QW166" s="12" t="s">
        <v>37</v>
      </c>
      <c r="QX166" s="12" t="s">
        <v>37</v>
      </c>
      <c r="QY166" s="12" t="s">
        <v>37</v>
      </c>
      <c r="QZ166" s="12" t="s">
        <v>37</v>
      </c>
      <c r="RC166" s="12" t="s">
        <v>37</v>
      </c>
      <c r="RD166" s="12" t="s">
        <v>37</v>
      </c>
      <c r="RE166" s="13" t="s">
        <v>37</v>
      </c>
      <c r="RF166" s="12" t="s">
        <v>37</v>
      </c>
      <c r="RG166" s="12" t="s">
        <v>37</v>
      </c>
      <c r="RH166" s="13" t="s">
        <v>37</v>
      </c>
      <c r="RK166" s="12" t="s">
        <v>37</v>
      </c>
      <c r="RL166" s="12" t="s">
        <v>37</v>
      </c>
      <c r="RM166" s="11" t="s">
        <v>37</v>
      </c>
      <c r="RN166" s="12" t="s">
        <v>37</v>
      </c>
      <c r="RO166" s="12" t="s">
        <v>37</v>
      </c>
      <c r="RP166" s="11" t="s">
        <v>37</v>
      </c>
      <c r="RS166" s="12" t="s">
        <v>37</v>
      </c>
      <c r="RT166" s="12" t="s">
        <v>37</v>
      </c>
      <c r="RU166" s="12" t="s">
        <v>37</v>
      </c>
      <c r="RV166" s="12" t="s">
        <v>37</v>
      </c>
      <c r="RW166" s="12" t="s">
        <v>37</v>
      </c>
      <c r="RX166" s="12" t="s">
        <v>37</v>
      </c>
      <c r="SA166" s="12" t="s">
        <v>37</v>
      </c>
      <c r="SB166" s="12" t="s">
        <v>37</v>
      </c>
      <c r="SC166" s="12" t="s">
        <v>37</v>
      </c>
      <c r="SD166" s="12" t="s">
        <v>37</v>
      </c>
      <c r="SE166" s="12" t="s">
        <v>37</v>
      </c>
      <c r="SF166" s="12" t="s">
        <v>37</v>
      </c>
      <c r="SI166" s="12" t="s">
        <v>37</v>
      </c>
      <c r="SJ166" s="12" t="s">
        <v>37</v>
      </c>
      <c r="SK166" s="13" t="s">
        <v>37</v>
      </c>
      <c r="SM166" s="12" t="s">
        <v>37</v>
      </c>
      <c r="SN166" s="12" t="s">
        <v>37</v>
      </c>
      <c r="SO166" s="13" t="s">
        <v>37</v>
      </c>
      <c r="SU166" s="12" t="s">
        <v>37</v>
      </c>
      <c r="SV166" s="12" t="s">
        <v>37</v>
      </c>
      <c r="SW166" s="11" t="s">
        <v>37</v>
      </c>
      <c r="SX166" s="12" t="s">
        <v>37</v>
      </c>
      <c r="SY166" s="12" t="s">
        <v>37</v>
      </c>
      <c r="SZ166" s="11" t="s">
        <v>37</v>
      </c>
      <c r="TE166" s="12" t="s">
        <v>37</v>
      </c>
      <c r="TF166" s="12" t="s">
        <v>37</v>
      </c>
      <c r="TG166" s="11" t="s">
        <v>37</v>
      </c>
      <c r="TH166" s="12" t="s">
        <v>37</v>
      </c>
      <c r="TI166" s="12" t="s">
        <v>37</v>
      </c>
      <c r="TJ166" s="11" t="s">
        <v>37</v>
      </c>
      <c r="TO166" s="12" t="s">
        <v>37</v>
      </c>
      <c r="TP166" s="12" t="s">
        <v>37</v>
      </c>
      <c r="TQ166" s="11" t="s">
        <v>37</v>
      </c>
      <c r="TR166" s="12" t="s">
        <v>37</v>
      </c>
      <c r="TS166" s="12" t="s">
        <v>37</v>
      </c>
      <c r="TT166" s="11" t="s">
        <v>37</v>
      </c>
      <c r="TY166" s="12" t="s">
        <v>37</v>
      </c>
      <c r="TZ166" s="12" t="s">
        <v>37</v>
      </c>
      <c r="UA166" s="12" t="s">
        <v>37</v>
      </c>
      <c r="UB166" s="12" t="s">
        <v>37</v>
      </c>
      <c r="UC166" s="12" t="s">
        <v>37</v>
      </c>
      <c r="UD166" s="12" t="s">
        <v>37</v>
      </c>
      <c r="UE166" s="12"/>
      <c r="UF166" s="12"/>
      <c r="UI166" s="12" t="s">
        <v>37</v>
      </c>
      <c r="UJ166" s="12" t="s">
        <v>37</v>
      </c>
      <c r="UK166" s="12" t="s">
        <v>37</v>
      </c>
      <c r="UL166" s="12" t="s">
        <v>37</v>
      </c>
      <c r="UM166" s="12" t="s">
        <v>37</v>
      </c>
      <c r="UN166" s="12" t="s">
        <v>37</v>
      </c>
      <c r="UO166" s="12"/>
      <c r="UP166" s="12"/>
      <c r="UR166" s="12" t="s">
        <v>37</v>
      </c>
      <c r="US166" s="12" t="s">
        <v>37</v>
      </c>
      <c r="UT166" s="12" t="s">
        <v>37</v>
      </c>
      <c r="UU166" s="12" t="s">
        <v>37</v>
      </c>
      <c r="UV166" s="12" t="s">
        <v>37</v>
      </c>
      <c r="UW166" s="12" t="s">
        <v>37</v>
      </c>
      <c r="UX166" s="12"/>
      <c r="UY166" s="12"/>
      <c r="VB166" s="12" t="s">
        <v>37</v>
      </c>
      <c r="VC166" s="12" t="s">
        <v>37</v>
      </c>
      <c r="VD166" s="12" t="s">
        <v>37</v>
      </c>
      <c r="VE166" s="12" t="s">
        <v>37</v>
      </c>
      <c r="VF166" s="12" t="s">
        <v>37</v>
      </c>
      <c r="VG166" s="12" t="s">
        <v>37</v>
      </c>
      <c r="VI166" s="12" t="s">
        <v>37</v>
      </c>
      <c r="VJ166" s="12" t="s">
        <v>37</v>
      </c>
      <c r="VK166" s="12" t="s">
        <v>37</v>
      </c>
      <c r="VL166" s="12" t="s">
        <v>37</v>
      </c>
      <c r="VM166" s="12" t="s">
        <v>37</v>
      </c>
      <c r="VN166" s="12" t="s">
        <v>37</v>
      </c>
      <c r="VQ166" s="13" t="s">
        <v>37</v>
      </c>
      <c r="VR166" s="13" t="s">
        <v>37</v>
      </c>
      <c r="VS166" s="13" t="s">
        <v>37</v>
      </c>
      <c r="VT166" s="13" t="s">
        <v>37</v>
      </c>
      <c r="VU166" s="13" t="s">
        <v>37</v>
      </c>
      <c r="VV166" s="13" t="s">
        <v>37</v>
      </c>
      <c r="WA166" s="13" t="s">
        <v>37</v>
      </c>
      <c r="WB166" s="13" t="s">
        <v>37</v>
      </c>
      <c r="WC166" s="13" t="s">
        <v>37</v>
      </c>
      <c r="WD166" s="13" t="s">
        <v>37</v>
      </c>
      <c r="WE166" s="13" t="s">
        <v>37</v>
      </c>
      <c r="WF166" s="13" t="s">
        <v>37</v>
      </c>
    </row>
    <row r="167" spans="1:604" ht="18" customHeight="1" x14ac:dyDescent="0.3">
      <c r="A167" s="11">
        <v>39</v>
      </c>
      <c r="B167" s="16" t="s">
        <v>254</v>
      </c>
      <c r="C167" s="12" t="s">
        <v>26</v>
      </c>
      <c r="D167" s="12" t="s">
        <v>54</v>
      </c>
      <c r="E167" s="40" t="s">
        <v>37</v>
      </c>
      <c r="F167" s="14">
        <v>0</v>
      </c>
      <c r="G167" s="14">
        <v>0</v>
      </c>
      <c r="H167" s="12" t="s">
        <v>123</v>
      </c>
      <c r="I167" s="29">
        <v>61.8</v>
      </c>
      <c r="J167" s="29">
        <v>24.3</v>
      </c>
      <c r="K167" s="12" t="s">
        <v>255</v>
      </c>
      <c r="L167" s="12" t="s">
        <v>256</v>
      </c>
      <c r="M167" s="13" t="s">
        <v>37</v>
      </c>
      <c r="N167" s="13" t="s">
        <v>37</v>
      </c>
      <c r="O167" s="13" t="s">
        <v>37</v>
      </c>
      <c r="P167" s="14" t="s">
        <v>84</v>
      </c>
      <c r="Q167" s="75">
        <v>40</v>
      </c>
      <c r="R167" s="11" t="s">
        <v>1000</v>
      </c>
      <c r="S167" s="12" t="s">
        <v>105</v>
      </c>
      <c r="T167" s="12" t="s">
        <v>138</v>
      </c>
      <c r="U167" s="12" t="s">
        <v>158</v>
      </c>
      <c r="V167" s="12" t="s">
        <v>275</v>
      </c>
      <c r="W167" s="23" t="s">
        <v>257</v>
      </c>
      <c r="X167" s="12" t="s">
        <v>282</v>
      </c>
      <c r="Y167" s="12" t="s">
        <v>37</v>
      </c>
      <c r="Z167" s="12" t="s">
        <v>37</v>
      </c>
      <c r="AA167" s="32" t="s">
        <v>340</v>
      </c>
      <c r="AB167" s="12">
        <f>AVERAGEA(4.01,4.02)</f>
        <v>4.0149999999999997</v>
      </c>
      <c r="AC167" s="12" t="s">
        <v>42</v>
      </c>
      <c r="AD167" s="32" t="s">
        <v>340</v>
      </c>
      <c r="AE167" s="12">
        <f>AVERAGEA(544,471)</f>
        <v>507.5</v>
      </c>
      <c r="AF167" s="12" t="s">
        <v>42</v>
      </c>
      <c r="AG167" s="32" t="s">
        <v>340</v>
      </c>
      <c r="AH167" s="12">
        <f>AVERAGEA(15.6,16)</f>
        <v>15.8</v>
      </c>
      <c r="AJ167" s="12" t="str">
        <f t="shared" si="638"/>
        <v>0-30</v>
      </c>
      <c r="AK167" s="19">
        <f t="shared" si="639"/>
        <v>32.120253164556964</v>
      </c>
      <c r="AL167" s="32" t="s">
        <v>537</v>
      </c>
      <c r="AM167" s="12" t="s">
        <v>317</v>
      </c>
      <c r="AN167" s="32" t="s">
        <v>880</v>
      </c>
      <c r="AO167" s="13" t="s">
        <v>37</v>
      </c>
      <c r="AP167" s="12" t="s">
        <v>81</v>
      </c>
      <c r="AQ167" s="12" t="s">
        <v>975</v>
      </c>
      <c r="AR167" s="12" t="s">
        <v>42</v>
      </c>
      <c r="AS167" s="32" t="s">
        <v>340</v>
      </c>
      <c r="AT167" s="12">
        <f>AVERAGEA(544,471)</f>
        <v>507.5</v>
      </c>
      <c r="AU167" s="12">
        <f>SQRT(5^2+5^2)/2</f>
        <v>3.5355339059327378</v>
      </c>
      <c r="AV167" s="13">
        <v>8</v>
      </c>
      <c r="AW167" s="19">
        <f t="shared" ref="AW167" si="658">AU167/AT167</f>
        <v>6.9665692727738674E-3</v>
      </c>
      <c r="AX167" s="12">
        <f>AVERAGEA(488,505)</f>
        <v>496.5</v>
      </c>
      <c r="AY167" s="12">
        <f>SQRT(11^2+36^2)/2</f>
        <v>18.82153022471871</v>
      </c>
      <c r="AZ167" s="13">
        <v>8</v>
      </c>
      <c r="BA167" s="19">
        <f t="shared" ref="BA167" si="659">AY167/AX167</f>
        <v>3.7908419385133355E-2</v>
      </c>
      <c r="BB167" s="52">
        <f t="shared" si="656"/>
        <v>-2.191322743071511E-2</v>
      </c>
      <c r="BC167" s="19">
        <f t="shared" si="640"/>
        <v>1.856976684639389E-4</v>
      </c>
      <c r="BE167" s="12" t="s">
        <v>326</v>
      </c>
      <c r="BF167" s="12" t="s">
        <v>326</v>
      </c>
      <c r="BG167" s="12" t="s">
        <v>326</v>
      </c>
      <c r="BI167" s="12" t="s">
        <v>326</v>
      </c>
      <c r="BJ167" s="12" t="s">
        <v>326</v>
      </c>
      <c r="BK167" s="12" t="s">
        <v>326</v>
      </c>
      <c r="BP167" s="12" t="s">
        <v>37</v>
      </c>
      <c r="BQ167" s="12" t="s">
        <v>37</v>
      </c>
      <c r="BR167" s="13" t="s">
        <v>37</v>
      </c>
      <c r="BT167" s="12" t="s">
        <v>37</v>
      </c>
      <c r="BU167" s="12" t="s">
        <v>37</v>
      </c>
      <c r="BV167" s="12" t="s">
        <v>37</v>
      </c>
      <c r="CA167" s="12" t="s">
        <v>37</v>
      </c>
      <c r="CB167" s="12" t="s">
        <v>37</v>
      </c>
      <c r="CC167" s="13" t="s">
        <v>37</v>
      </c>
      <c r="CE167" s="12" t="s">
        <v>37</v>
      </c>
      <c r="CF167" s="12" t="s">
        <v>37</v>
      </c>
      <c r="CG167" s="13" t="s">
        <v>37</v>
      </c>
      <c r="CN167" s="12" t="s">
        <v>37</v>
      </c>
      <c r="CO167" s="12" t="s">
        <v>37</v>
      </c>
      <c r="CP167" s="13" t="s">
        <v>37</v>
      </c>
      <c r="CR167" s="12" t="s">
        <v>37</v>
      </c>
      <c r="CS167" s="12" t="s">
        <v>37</v>
      </c>
      <c r="CT167" s="13" t="s">
        <v>37</v>
      </c>
      <c r="CX167" s="72"/>
      <c r="CY167" s="72"/>
      <c r="DA167" s="12" t="s">
        <v>37</v>
      </c>
      <c r="DB167" s="12" t="s">
        <v>37</v>
      </c>
      <c r="DC167" s="13" t="s">
        <v>37</v>
      </c>
      <c r="DE167" s="12" t="s">
        <v>37</v>
      </c>
      <c r="DF167" s="12" t="s">
        <v>37</v>
      </c>
      <c r="DG167" s="13" t="s">
        <v>37</v>
      </c>
      <c r="DM167" s="12" t="s">
        <v>47</v>
      </c>
      <c r="DN167" s="19">
        <f>1.51*10^4/10^6*("2012/09/30"-"2012/05/01")/'[1]classes-1'!$I$69</f>
        <v>2.9175154909077907</v>
      </c>
      <c r="DO167" s="12">
        <f>10.86*10^4/10^6*("2012/09/30"-"2012/05/01")</f>
        <v>16.507200000000001</v>
      </c>
      <c r="DP167" s="13">
        <v>8</v>
      </c>
      <c r="DQ167" s="19">
        <f>DO167/ABS(DN167)</f>
        <v>5.6579648167913419</v>
      </c>
      <c r="DR167" s="19">
        <f>(-0.41*(6/(91+6))+(-0.18*91/(91+6)))*10^4/10^6*("2012/09/30"-"2012/05/01")/'[1]classes-1'!$I$70</f>
        <v>-0.3033323434259278</v>
      </c>
      <c r="DS167" s="12">
        <f>SQRT((1/[2]Classes!$I$70)^2*(SQRT((-0.41*(6/(91+6)))^2*20.98^2+((-0.18*91/(91+6)))^2*12.85^2)*10^4/10^6*("2012/09/30"-"2012/05/01"))^2+(-DR167/([2]Classes!$I$70)^2)^2*([2]Classes!$J$70)^2)</f>
        <v>3.4939236241769644</v>
      </c>
      <c r="DT167" s="13">
        <v>8</v>
      </c>
      <c r="DU167" s="19">
        <f>DS167/ABS(DR167)</f>
        <v>11.518467119976485</v>
      </c>
      <c r="DV167" s="19">
        <f t="shared" si="509"/>
        <v>-3.2208478343337186</v>
      </c>
      <c r="DW167" s="12">
        <f t="shared" si="485"/>
        <v>11.93095038401346</v>
      </c>
      <c r="DX167" s="72">
        <f t="shared" si="641"/>
        <v>35.586894266447736</v>
      </c>
      <c r="DY167" s="72">
        <f t="shared" si="642"/>
        <v>35.586894266447736</v>
      </c>
      <c r="EA167" s="19" t="s">
        <v>37</v>
      </c>
      <c r="EB167" s="19" t="s">
        <v>37</v>
      </c>
      <c r="EC167" s="72" t="s">
        <v>37</v>
      </c>
      <c r="EE167" s="19" t="s">
        <v>37</v>
      </c>
      <c r="EF167" s="19" t="s">
        <v>37</v>
      </c>
      <c r="EG167" s="12" t="s">
        <v>37</v>
      </c>
      <c r="EM167" s="12" t="s">
        <v>39</v>
      </c>
      <c r="EN167" s="12">
        <v>-18</v>
      </c>
      <c r="EO167" s="50">
        <f>ABS(EN167)*EQ$474</f>
        <v>7.3349351775232803</v>
      </c>
      <c r="EP167" s="13">
        <v>3</v>
      </c>
      <c r="ER167" s="12">
        <v>-37</v>
      </c>
      <c r="ES167" s="50">
        <f>ABS(ER167)*EU$474</f>
        <v>8.3921199798401851</v>
      </c>
      <c r="ET167" s="13">
        <v>3</v>
      </c>
      <c r="EV167" s="19">
        <f t="shared" si="643"/>
        <v>-19</v>
      </c>
      <c r="EW167" s="12">
        <f t="shared" si="644"/>
        <v>7.8812737490364242</v>
      </c>
      <c r="EX167" s="19">
        <f t="shared" si="645"/>
        <v>41.409650604833764</v>
      </c>
      <c r="EY167" s="19">
        <f t="shared" si="646"/>
        <v>41.409650604833772</v>
      </c>
      <c r="FB167" s="12" t="s">
        <v>37</v>
      </c>
      <c r="FC167" s="12" t="s">
        <v>37</v>
      </c>
      <c r="FD167" s="11" t="s">
        <v>37</v>
      </c>
      <c r="FE167" s="12" t="s">
        <v>37</v>
      </c>
      <c r="FF167" s="20" t="s">
        <v>37</v>
      </c>
      <c r="FG167" s="11" t="s">
        <v>37</v>
      </c>
      <c r="FI167" s="12" t="s">
        <v>37</v>
      </c>
      <c r="FJ167" s="12" t="s">
        <v>37</v>
      </c>
      <c r="FK167" s="11" t="s">
        <v>37</v>
      </c>
      <c r="FL167" s="13" t="s">
        <v>37</v>
      </c>
      <c r="FM167" s="11" t="s">
        <v>37</v>
      </c>
      <c r="FN167" s="11" t="s">
        <v>37</v>
      </c>
      <c r="FP167" s="12" t="s">
        <v>37</v>
      </c>
      <c r="FQ167" s="12" t="s">
        <v>37</v>
      </c>
      <c r="FR167" s="11" t="s">
        <v>37</v>
      </c>
      <c r="FS167" s="13" t="s">
        <v>37</v>
      </c>
      <c r="FT167" s="11" t="s">
        <v>37</v>
      </c>
      <c r="FU167" s="11" t="s">
        <v>37</v>
      </c>
      <c r="FW167" s="12" t="s">
        <v>37</v>
      </c>
      <c r="FX167" s="12" t="s">
        <v>37</v>
      </c>
      <c r="FY167" s="11" t="s">
        <v>37</v>
      </c>
      <c r="FZ167" s="13" t="s">
        <v>37</v>
      </c>
      <c r="GA167" s="11" t="s">
        <v>37</v>
      </c>
      <c r="GB167" s="11" t="s">
        <v>37</v>
      </c>
      <c r="HA167" s="17" t="s">
        <v>63</v>
      </c>
      <c r="HB167" s="34" t="s">
        <v>340</v>
      </c>
      <c r="HC167" s="12">
        <f>AVERAGEA(0.053,0.072)</f>
        <v>6.25E-2</v>
      </c>
      <c r="HD167" s="12">
        <f>SQRT(0.022^2+0.012^2)/2</f>
        <v>1.2529964086141668E-2</v>
      </c>
      <c r="HE167" s="13">
        <v>8</v>
      </c>
      <c r="HF167" s="19">
        <f t="shared" ref="HF167" si="660">HD167/HC167</f>
        <v>0.20047942537826668</v>
      </c>
      <c r="HG167" s="12">
        <f>AVERAGEA(0.13,0.095)</f>
        <v>0.1125</v>
      </c>
      <c r="HH167" s="12">
        <f>SQRT(0.021^2+0.025^2)/2</f>
        <v>1.632482771731451E-2</v>
      </c>
      <c r="HI167" s="13">
        <v>8</v>
      </c>
      <c r="HJ167" s="19">
        <f t="shared" ref="HJ167" si="661">HH167/HG167</f>
        <v>0.14510957970946231</v>
      </c>
      <c r="HK167" s="19">
        <f t="shared" ref="HK167" si="662">LN(HG167/HC167)</f>
        <v>0.58778666490211906</v>
      </c>
      <c r="HL167" s="19">
        <f t="shared" ref="HL167" si="663">HH167^2/(HI167*HG167^2)+HD167^2/(HE167*HC167^2)</f>
        <v>7.6560987654320997E-3</v>
      </c>
      <c r="IK167" s="12" t="s">
        <v>37</v>
      </c>
      <c r="IL167" s="12" t="s">
        <v>37</v>
      </c>
      <c r="IM167" s="12" t="s">
        <v>37</v>
      </c>
      <c r="IO167" s="12" t="s">
        <v>37</v>
      </c>
      <c r="IP167" s="12" t="s">
        <v>37</v>
      </c>
      <c r="IQ167" s="12" t="s">
        <v>37</v>
      </c>
      <c r="IV167" s="32" t="s">
        <v>340</v>
      </c>
      <c r="IW167" s="12">
        <f>AVERAGEA(4.01,4.02)</f>
        <v>4.0149999999999997</v>
      </c>
      <c r="IX167" s="12">
        <f>SQRT(0.04^2+0.07^2)/2</f>
        <v>4.031128874149275E-2</v>
      </c>
      <c r="IY167" s="13">
        <v>8</v>
      </c>
      <c r="IZ167" s="19">
        <f t="shared" ref="IZ167" si="664">IX167/IW167</f>
        <v>1.0040171542090349E-2</v>
      </c>
      <c r="JA167" s="12">
        <f>AVERAGEA(3.98,4.04)</f>
        <v>4.01</v>
      </c>
      <c r="JB167" s="12">
        <f>SQRT(0.05^2+0.08^2)/2</f>
        <v>4.7169905660283021E-2</v>
      </c>
      <c r="JC167" s="13">
        <v>8</v>
      </c>
      <c r="JD167" s="19">
        <f t="shared" ref="JD167" si="665">JB167/JA167</f>
        <v>1.1763068743212724E-2</v>
      </c>
      <c r="JE167" s="19">
        <f t="shared" ref="JE167" si="666">LN(JA167/IW167)</f>
        <v>-1.2461060802471829E-3</v>
      </c>
      <c r="JF167" s="19">
        <f>JB167^2/(JC167*JA167^2)+IX167^2/(IY167*IW167^2)</f>
        <v>2.9896853856518632E-5</v>
      </c>
      <c r="JH167" s="12" t="s">
        <v>37</v>
      </c>
      <c r="JI167" s="12" t="s">
        <v>37</v>
      </c>
      <c r="JJ167" s="13" t="s">
        <v>37</v>
      </c>
      <c r="JL167" s="12" t="s">
        <v>37</v>
      </c>
      <c r="JM167" s="12" t="s">
        <v>37</v>
      </c>
      <c r="JN167" s="12" t="s">
        <v>37</v>
      </c>
      <c r="JS167" s="12" t="s">
        <v>37</v>
      </c>
      <c r="JT167" s="12" t="s">
        <v>37</v>
      </c>
      <c r="JU167" s="13" t="s">
        <v>37</v>
      </c>
      <c r="JW167" s="12" t="s">
        <v>37</v>
      </c>
      <c r="JX167" s="12" t="s">
        <v>37</v>
      </c>
      <c r="JY167" s="12" t="s">
        <v>37</v>
      </c>
      <c r="KE167" s="11" t="s">
        <v>37</v>
      </c>
      <c r="KF167" s="11" t="s">
        <v>37</v>
      </c>
      <c r="KG167" s="13" t="s">
        <v>37</v>
      </c>
      <c r="KH167" s="11" t="s">
        <v>37</v>
      </c>
      <c r="KI167" s="11" t="s">
        <v>37</v>
      </c>
      <c r="KJ167" s="11" t="s">
        <v>37</v>
      </c>
      <c r="KK167" s="12" t="s">
        <v>42</v>
      </c>
      <c r="KL167" s="32" t="s">
        <v>340</v>
      </c>
      <c r="KM167" s="12">
        <f>AVERAGEA(15.6,16)</f>
        <v>15.8</v>
      </c>
      <c r="KN167" s="12">
        <f>SQRT(1.03^2+1.3^2)/2</f>
        <v>0.82929186659462661</v>
      </c>
      <c r="KO167" s="11">
        <v>8</v>
      </c>
      <c r="KP167" s="19">
        <f t="shared" ref="KP167" si="667">KN167/KM167</f>
        <v>5.2486826999659911E-2</v>
      </c>
      <c r="KQ167" s="12">
        <f>AVERAGEA(18.4,20.4)</f>
        <v>19.399999999999999</v>
      </c>
      <c r="KR167" s="12">
        <f>SQRT(2.58^2+1.78^2)/2</f>
        <v>1.567226850203888</v>
      </c>
      <c r="KS167" s="13">
        <v>8</v>
      </c>
      <c r="KT167" s="19">
        <f t="shared" ref="KT167" si="668">KR167/KQ167</f>
        <v>8.0784889185767428E-2</v>
      </c>
      <c r="KU167" s="19">
        <f t="shared" si="648"/>
        <v>0.20526312603636124</v>
      </c>
      <c r="KV167" s="19">
        <f t="shared" si="649"/>
        <v>1.1601331661561191E-3</v>
      </c>
      <c r="KX167" s="12" t="s">
        <v>37</v>
      </c>
      <c r="KY167" s="12" t="s">
        <v>37</v>
      </c>
      <c r="KZ167" s="13" t="s">
        <v>37</v>
      </c>
      <c r="LB167" s="12" t="s">
        <v>37</v>
      </c>
      <c r="LC167" s="12" t="s">
        <v>37</v>
      </c>
      <c r="LD167" s="13" t="s">
        <v>37</v>
      </c>
      <c r="LI167" s="12" t="s">
        <v>37</v>
      </c>
      <c r="LJ167" s="12" t="s">
        <v>37</v>
      </c>
      <c r="LK167" s="12" t="s">
        <v>37</v>
      </c>
      <c r="LM167" s="12" t="s">
        <v>37</v>
      </c>
      <c r="LN167" s="12" t="s">
        <v>37</v>
      </c>
      <c r="LO167" s="12" t="s">
        <v>37</v>
      </c>
      <c r="LT167" s="12" t="str">
        <f t="shared" si="650"/>
        <v>0-30</v>
      </c>
      <c r="LU167" s="12">
        <f>AT167/KM167</f>
        <v>32.120253164556964</v>
      </c>
      <c r="LV167" s="12">
        <f>SQRT((1/KM167)^2*AU167^2+AT167^2*(-1/KM167^2)^2*KN167^2)</f>
        <v>1.7006756811974686</v>
      </c>
      <c r="LW167" s="13">
        <f t="shared" si="651"/>
        <v>8</v>
      </c>
      <c r="LX167" s="19">
        <f t="shared" ref="LX167" si="669">LV167/LU167</f>
        <v>5.2947144360433504E-2</v>
      </c>
      <c r="LY167" s="12">
        <f>AX167/KQ167</f>
        <v>25.592783505154642</v>
      </c>
      <c r="LZ167" s="12">
        <f>SQRT((1/KQ167)^2*AY167^2+AX167^2*(-1/KQ167^2)^2*KR167^2)</f>
        <v>2.2838238543257479</v>
      </c>
      <c r="MA167" s="13">
        <f t="shared" si="652"/>
        <v>8</v>
      </c>
      <c r="MB167" s="19">
        <f>LZ167/LY167</f>
        <v>8.9237024720885197E-2</v>
      </c>
      <c r="MC167" s="19">
        <f t="shared" si="653"/>
        <v>-0.2271763534670764</v>
      </c>
      <c r="MD167" s="19">
        <f t="shared" si="654"/>
        <v>1.3458308346200576E-3</v>
      </c>
      <c r="MF167" s="12" t="s">
        <v>37</v>
      </c>
      <c r="MG167" s="12" t="s">
        <v>37</v>
      </c>
      <c r="MH167" s="12" t="s">
        <v>37</v>
      </c>
      <c r="MJ167" s="12" t="s">
        <v>37</v>
      </c>
      <c r="MK167" s="12" t="s">
        <v>37</v>
      </c>
      <c r="ML167" s="12" t="s">
        <v>37</v>
      </c>
      <c r="MQ167" s="12" t="s">
        <v>37</v>
      </c>
      <c r="MR167" s="12" t="s">
        <v>37</v>
      </c>
      <c r="MS167" s="12" t="s">
        <v>37</v>
      </c>
      <c r="MU167" s="12" t="s">
        <v>37</v>
      </c>
      <c r="MV167" s="12" t="s">
        <v>37</v>
      </c>
      <c r="MW167" s="12" t="s">
        <v>37</v>
      </c>
      <c r="NC167" s="12" t="s">
        <v>37</v>
      </c>
      <c r="ND167" s="12" t="s">
        <v>37</v>
      </c>
      <c r="NE167" s="12" t="s">
        <v>37</v>
      </c>
      <c r="NG167" s="12" t="s">
        <v>37</v>
      </c>
      <c r="NH167" s="12" t="s">
        <v>37</v>
      </c>
      <c r="NI167" s="12" t="s">
        <v>37</v>
      </c>
      <c r="NO167" s="12" t="s">
        <v>37</v>
      </c>
      <c r="NP167" s="12" t="s">
        <v>37</v>
      </c>
      <c r="NQ167" s="12" t="s">
        <v>37</v>
      </c>
      <c r="NS167" s="12" t="s">
        <v>37</v>
      </c>
      <c r="NT167" s="12" t="s">
        <v>37</v>
      </c>
      <c r="NU167" s="12" t="s">
        <v>37</v>
      </c>
      <c r="OA167" s="12" t="s">
        <v>37</v>
      </c>
      <c r="OB167" s="12" t="s">
        <v>37</v>
      </c>
      <c r="OC167" s="13" t="s">
        <v>37</v>
      </c>
      <c r="OE167" s="12" t="s">
        <v>37</v>
      </c>
      <c r="OF167" s="12" t="s">
        <v>37</v>
      </c>
      <c r="OG167" s="13" t="s">
        <v>37</v>
      </c>
      <c r="OM167" s="12" t="s">
        <v>37</v>
      </c>
      <c r="ON167" s="12" t="s">
        <v>37</v>
      </c>
      <c r="OO167" s="12" t="s">
        <v>37</v>
      </c>
      <c r="OP167" s="12" t="s">
        <v>37</v>
      </c>
      <c r="OQ167" s="12" t="s">
        <v>37</v>
      </c>
      <c r="OR167" s="12" t="s">
        <v>37</v>
      </c>
      <c r="OS167" s="12"/>
      <c r="OT167" s="12"/>
      <c r="OW167" s="12" t="s">
        <v>37</v>
      </c>
      <c r="OX167" s="12" t="s">
        <v>37</v>
      </c>
      <c r="OY167" s="13" t="s">
        <v>37</v>
      </c>
      <c r="OZ167" s="12" t="s">
        <v>37</v>
      </c>
      <c r="PA167" s="12" t="s">
        <v>37</v>
      </c>
      <c r="PB167" s="13" t="s">
        <v>37</v>
      </c>
      <c r="PG167" s="11" t="s">
        <v>37</v>
      </c>
      <c r="PH167" s="11" t="s">
        <v>37</v>
      </c>
      <c r="PI167" s="13" t="s">
        <v>37</v>
      </c>
      <c r="PJ167" s="11" t="s">
        <v>37</v>
      </c>
      <c r="PK167" s="11" t="s">
        <v>37</v>
      </c>
      <c r="PL167" s="13" t="s">
        <v>37</v>
      </c>
      <c r="PQ167" s="12" t="s">
        <v>37</v>
      </c>
      <c r="PR167" s="12" t="s">
        <v>37</v>
      </c>
      <c r="PS167" s="12" t="s">
        <v>37</v>
      </c>
      <c r="PT167" s="12" t="s">
        <v>37</v>
      </c>
      <c r="PU167" s="12" t="s">
        <v>37</v>
      </c>
      <c r="PV167" s="12" t="s">
        <v>37</v>
      </c>
      <c r="PW167" s="12"/>
      <c r="PX167" s="12"/>
      <c r="PZ167" s="12" t="s">
        <v>37</v>
      </c>
      <c r="QA167" s="12" t="s">
        <v>37</v>
      </c>
      <c r="QB167" s="11" t="s">
        <v>37</v>
      </c>
      <c r="QD167" s="12" t="s">
        <v>37</v>
      </c>
      <c r="QE167" s="12" t="s">
        <v>37</v>
      </c>
      <c r="QF167" s="12" t="s">
        <v>37</v>
      </c>
      <c r="QK167" s="12" t="s">
        <v>37</v>
      </c>
      <c r="QL167" s="12" t="s">
        <v>37</v>
      </c>
      <c r="QM167" s="12" t="s">
        <v>37</v>
      </c>
      <c r="QN167" s="12" t="s">
        <v>37</v>
      </c>
      <c r="QO167" s="12" t="s">
        <v>37</v>
      </c>
      <c r="QP167" s="12" t="s">
        <v>37</v>
      </c>
      <c r="QQ167" s="12"/>
      <c r="QR167" s="12"/>
      <c r="QU167" s="12" t="s">
        <v>37</v>
      </c>
      <c r="QV167" s="12" t="s">
        <v>37</v>
      </c>
      <c r="QW167" s="12" t="s">
        <v>37</v>
      </c>
      <c r="QX167" s="12" t="s">
        <v>37</v>
      </c>
      <c r="QY167" s="12" t="s">
        <v>37</v>
      </c>
      <c r="QZ167" s="12" t="s">
        <v>37</v>
      </c>
      <c r="RA167" s="12" t="s">
        <v>42</v>
      </c>
      <c r="RB167" s="12" t="s">
        <v>340</v>
      </c>
      <c r="RC167" s="12">
        <f>AVERAGEA(1.12,1.9)</f>
        <v>1.51</v>
      </c>
      <c r="RD167" s="12">
        <f>SQRT(0.45^2+0.25^2)/2</f>
        <v>0.257390753524675</v>
      </c>
      <c r="RE167" s="13">
        <v>8</v>
      </c>
      <c r="RF167" s="12">
        <f>AVERAGEA(2.28,3.86)</f>
        <v>3.07</v>
      </c>
      <c r="RG167" s="12">
        <f>SQRT(1.46^2+0.47^2)/2</f>
        <v>0.76689308250889832</v>
      </c>
      <c r="RH167" s="13">
        <v>8</v>
      </c>
      <c r="RK167" s="12" t="s">
        <v>37</v>
      </c>
      <c r="RL167" s="12" t="s">
        <v>37</v>
      </c>
      <c r="RM167" s="11" t="s">
        <v>37</v>
      </c>
      <c r="RN167" s="12" t="s">
        <v>37</v>
      </c>
      <c r="RO167" s="12" t="s">
        <v>37</v>
      </c>
      <c r="RP167" s="11" t="s">
        <v>37</v>
      </c>
      <c r="RS167" s="12" t="s">
        <v>37</v>
      </c>
      <c r="RT167" s="12" t="s">
        <v>37</v>
      </c>
      <c r="RU167" s="12" t="s">
        <v>37</v>
      </c>
      <c r="RV167" s="12" t="s">
        <v>37</v>
      </c>
      <c r="RW167" s="12" t="s">
        <v>37</v>
      </c>
      <c r="RX167" s="12" t="s">
        <v>37</v>
      </c>
      <c r="SA167" s="12" t="s">
        <v>37</v>
      </c>
      <c r="SB167" s="12" t="s">
        <v>37</v>
      </c>
      <c r="SC167" s="12" t="s">
        <v>37</v>
      </c>
      <c r="SD167" s="12" t="s">
        <v>37</v>
      </c>
      <c r="SE167" s="12" t="s">
        <v>37</v>
      </c>
      <c r="SF167" s="12" t="s">
        <v>37</v>
      </c>
      <c r="SI167" s="12" t="s">
        <v>37</v>
      </c>
      <c r="SJ167" s="12" t="s">
        <v>37</v>
      </c>
      <c r="SK167" s="13" t="s">
        <v>37</v>
      </c>
      <c r="SM167" s="12" t="s">
        <v>37</v>
      </c>
      <c r="SN167" s="12" t="s">
        <v>37</v>
      </c>
      <c r="SO167" s="13" t="s">
        <v>37</v>
      </c>
      <c r="SU167" s="12" t="s">
        <v>37</v>
      </c>
      <c r="SV167" s="12" t="s">
        <v>37</v>
      </c>
      <c r="SW167" s="11" t="s">
        <v>37</v>
      </c>
      <c r="SX167" s="12" t="s">
        <v>37</v>
      </c>
      <c r="SY167" s="12" t="s">
        <v>37</v>
      </c>
      <c r="SZ167" s="11" t="s">
        <v>37</v>
      </c>
      <c r="TE167" s="12" t="s">
        <v>37</v>
      </c>
      <c r="TF167" s="12" t="s">
        <v>37</v>
      </c>
      <c r="TG167" s="11" t="s">
        <v>37</v>
      </c>
      <c r="TH167" s="12" t="s">
        <v>37</v>
      </c>
      <c r="TI167" s="12" t="s">
        <v>37</v>
      </c>
      <c r="TJ167" s="11" t="s">
        <v>37</v>
      </c>
      <c r="TO167" s="12" t="s">
        <v>37</v>
      </c>
      <c r="TP167" s="12" t="s">
        <v>37</v>
      </c>
      <c r="TQ167" s="11" t="s">
        <v>37</v>
      </c>
      <c r="TR167" s="12" t="s">
        <v>37</v>
      </c>
      <c r="TS167" s="12" t="s">
        <v>37</v>
      </c>
      <c r="TT167" s="11" t="s">
        <v>37</v>
      </c>
      <c r="TY167" s="12" t="s">
        <v>37</v>
      </c>
      <c r="TZ167" s="12" t="s">
        <v>37</v>
      </c>
      <c r="UA167" s="12" t="s">
        <v>37</v>
      </c>
      <c r="UB167" s="12" t="s">
        <v>37</v>
      </c>
      <c r="UC167" s="12" t="s">
        <v>37</v>
      </c>
      <c r="UD167" s="12" t="s">
        <v>37</v>
      </c>
      <c r="UE167" s="12"/>
      <c r="UF167" s="12"/>
      <c r="UI167" s="12" t="s">
        <v>37</v>
      </c>
      <c r="UJ167" s="12" t="s">
        <v>37</v>
      </c>
      <c r="UK167" s="12" t="s">
        <v>37</v>
      </c>
      <c r="UL167" s="12" t="s">
        <v>37</v>
      </c>
      <c r="UM167" s="12" t="s">
        <v>37</v>
      </c>
      <c r="UN167" s="12" t="s">
        <v>37</v>
      </c>
      <c r="UO167" s="12"/>
      <c r="UP167" s="12"/>
      <c r="UR167" s="12" t="s">
        <v>37</v>
      </c>
      <c r="US167" s="12" t="s">
        <v>37</v>
      </c>
      <c r="UT167" s="12" t="s">
        <v>37</v>
      </c>
      <c r="UU167" s="12" t="s">
        <v>37</v>
      </c>
      <c r="UV167" s="12" t="s">
        <v>37</v>
      </c>
      <c r="UW167" s="12" t="s">
        <v>37</v>
      </c>
      <c r="UX167" s="12"/>
      <c r="UY167" s="12"/>
      <c r="VB167" s="12" t="s">
        <v>37</v>
      </c>
      <c r="VC167" s="12" t="s">
        <v>37</v>
      </c>
      <c r="VD167" s="12" t="s">
        <v>37</v>
      </c>
      <c r="VE167" s="12" t="s">
        <v>37</v>
      </c>
      <c r="VF167" s="12" t="s">
        <v>37</v>
      </c>
      <c r="VG167" s="12" t="s">
        <v>37</v>
      </c>
      <c r="VI167" s="12" t="s">
        <v>37</v>
      </c>
      <c r="VJ167" s="12" t="s">
        <v>37</v>
      </c>
      <c r="VK167" s="12" t="s">
        <v>37</v>
      </c>
      <c r="VL167" s="12" t="s">
        <v>37</v>
      </c>
      <c r="VM167" s="12" t="s">
        <v>37</v>
      </c>
      <c r="VN167" s="12" t="s">
        <v>37</v>
      </c>
      <c r="VQ167" s="13" t="s">
        <v>37</v>
      </c>
      <c r="VR167" s="13" t="s">
        <v>37</v>
      </c>
      <c r="VS167" s="13" t="s">
        <v>37</v>
      </c>
      <c r="VT167" s="13" t="s">
        <v>37</v>
      </c>
      <c r="VU167" s="13" t="s">
        <v>37</v>
      </c>
      <c r="VV167" s="13" t="s">
        <v>37</v>
      </c>
      <c r="WA167" s="13" t="s">
        <v>37</v>
      </c>
      <c r="WB167" s="13" t="s">
        <v>37</v>
      </c>
      <c r="WC167" s="13" t="s">
        <v>37</v>
      </c>
      <c r="WD167" s="13" t="s">
        <v>37</v>
      </c>
      <c r="WE167" s="13" t="s">
        <v>37</v>
      </c>
      <c r="WF167" s="13" t="s">
        <v>37</v>
      </c>
    </row>
    <row r="168" spans="1:604" ht="18" customHeight="1" x14ac:dyDescent="0.4">
      <c r="A168" s="11">
        <v>40</v>
      </c>
      <c r="B168" s="16" t="s">
        <v>934</v>
      </c>
      <c r="C168" s="12" t="s">
        <v>26</v>
      </c>
      <c r="D168" s="12" t="s">
        <v>54</v>
      </c>
      <c r="E168" s="40" t="s">
        <v>37</v>
      </c>
      <c r="F168" s="14">
        <v>0</v>
      </c>
      <c r="G168" s="14">
        <v>0</v>
      </c>
      <c r="H168" s="12" t="s">
        <v>123</v>
      </c>
      <c r="I168" s="29">
        <v>64.8</v>
      </c>
      <c r="J168" s="29">
        <v>24.617000000000001</v>
      </c>
      <c r="K168" s="12" t="s">
        <v>738</v>
      </c>
      <c r="L168" s="12" t="s">
        <v>739</v>
      </c>
      <c r="M168" s="13" t="s">
        <v>37</v>
      </c>
      <c r="N168" s="14">
        <v>4.3</v>
      </c>
      <c r="O168" s="14">
        <v>570</v>
      </c>
      <c r="P168" s="14" t="s">
        <v>84</v>
      </c>
      <c r="Q168" s="75">
        <v>41</v>
      </c>
      <c r="R168" s="11" t="s">
        <v>999</v>
      </c>
      <c r="S168" s="12" t="s">
        <v>105</v>
      </c>
      <c r="T168" s="12" t="s">
        <v>138</v>
      </c>
      <c r="U168" s="12" t="s">
        <v>158</v>
      </c>
      <c r="V168" s="12" t="s">
        <v>275</v>
      </c>
      <c r="W168" s="23" t="s">
        <v>146</v>
      </c>
      <c r="X168" s="12" t="s">
        <v>282</v>
      </c>
      <c r="Y168" s="12" t="s">
        <v>69</v>
      </c>
      <c r="Z168" s="12" t="s">
        <v>217</v>
      </c>
      <c r="AA168" s="32" t="s">
        <v>345</v>
      </c>
      <c r="AB168" s="12">
        <v>6.3</v>
      </c>
      <c r="AC168" s="12" t="s">
        <v>42</v>
      </c>
      <c r="AD168" s="32" t="s">
        <v>345</v>
      </c>
      <c r="AE168" s="12">
        <v>351.3</v>
      </c>
      <c r="AH168" s="12" t="s">
        <v>37</v>
      </c>
      <c r="AK168" s="12" t="s">
        <v>37</v>
      </c>
      <c r="AL168" s="32" t="s">
        <v>538</v>
      </c>
      <c r="AM168" s="12" t="s">
        <v>317</v>
      </c>
      <c r="AN168" s="32" t="s">
        <v>880</v>
      </c>
      <c r="AO168" s="13" t="s">
        <v>37</v>
      </c>
      <c r="AP168" s="12" t="s">
        <v>81</v>
      </c>
      <c r="AQ168" s="12" t="s">
        <v>975</v>
      </c>
      <c r="AR168" s="12" t="s">
        <v>42</v>
      </c>
      <c r="AS168" s="32" t="s">
        <v>345</v>
      </c>
      <c r="AT168" s="12">
        <v>351.3</v>
      </c>
      <c r="AU168" s="50">
        <f>AT168*AW$474</f>
        <v>30.0456860572327</v>
      </c>
      <c r="AX168" s="12" t="s">
        <v>326</v>
      </c>
      <c r="AY168" s="12" t="s">
        <v>326</v>
      </c>
      <c r="AZ168" s="13" t="s">
        <v>326</v>
      </c>
      <c r="BB168" s="52"/>
      <c r="BE168" s="12" t="s">
        <v>326</v>
      </c>
      <c r="BF168" s="12" t="s">
        <v>326</v>
      </c>
      <c r="BG168" s="12" t="s">
        <v>326</v>
      </c>
      <c r="BI168" s="12" t="s">
        <v>326</v>
      </c>
      <c r="BJ168" s="12" t="s">
        <v>326</v>
      </c>
      <c r="BK168" s="12" t="s">
        <v>326</v>
      </c>
      <c r="BP168" s="12" t="s">
        <v>37</v>
      </c>
      <c r="BQ168" s="12" t="s">
        <v>37</v>
      </c>
      <c r="BR168" s="13" t="s">
        <v>37</v>
      </c>
      <c r="BT168" s="12" t="s">
        <v>37</v>
      </c>
      <c r="BU168" s="12" t="s">
        <v>37</v>
      </c>
      <c r="BV168" s="12" t="s">
        <v>37</v>
      </c>
      <c r="CA168" s="12" t="s">
        <v>37</v>
      </c>
      <c r="CB168" s="12" t="s">
        <v>37</v>
      </c>
      <c r="CC168" s="13" t="s">
        <v>37</v>
      </c>
      <c r="CE168" s="12" t="s">
        <v>37</v>
      </c>
      <c r="CF168" s="12" t="s">
        <v>37</v>
      </c>
      <c r="CG168" s="13" t="s">
        <v>37</v>
      </c>
      <c r="CN168" s="12" t="s">
        <v>37</v>
      </c>
      <c r="CO168" s="12" t="s">
        <v>37</v>
      </c>
      <c r="CP168" s="13" t="s">
        <v>37</v>
      </c>
      <c r="CR168" s="12" t="s">
        <v>37</v>
      </c>
      <c r="CS168" s="12" t="s">
        <v>37</v>
      </c>
      <c r="CT168" s="13" t="s">
        <v>37</v>
      </c>
      <c r="CX168" s="72"/>
      <c r="CY168" s="72"/>
      <c r="CZ168" s="12" t="s">
        <v>581</v>
      </c>
      <c r="DA168" s="12">
        <f>9.16905444126076*10^4/10^3/'[8]classess-1'!$I$25</f>
        <v>25.237137365721058</v>
      </c>
      <c r="DB168" s="50">
        <f>ABS(DA168)*DD$474</f>
        <v>75.702744621550025</v>
      </c>
      <c r="DC168" s="13">
        <v>3</v>
      </c>
      <c r="DE168" s="12">
        <f>32.0916905444126*10^4/10^3/'[8]classess-1'!$I$26</f>
        <v>227.90960825112143</v>
      </c>
      <c r="DF168" s="50">
        <f>ABS(DE168)*DH$474</f>
        <v>217.23040085623657</v>
      </c>
      <c r="DG168" s="13">
        <v>3</v>
      </c>
      <c r="DI168" s="19">
        <f t="shared" ref="DI168:DI171" si="670">DE168-DA168</f>
        <v>202.67247088540037</v>
      </c>
      <c r="DJ168" s="12">
        <f t="shared" ref="DJ168:DJ171" si="671">SQRT(((DC168-1)*DB168^2+(DG168-1)*DF168^2)/(DC168+DG168-2))</f>
        <v>162.66522769079575</v>
      </c>
      <c r="DK168" s="72">
        <f t="shared" ref="DK168:DK171" si="672">(((DC168+DG168)/(DC168*DG168))*(((DC168-1)*DB168^2)+(DG168-1)*DF168^2)/(DC168+DG168-2))</f>
        <v>17639.984199798946</v>
      </c>
      <c r="DL168" s="72">
        <f t="shared" ref="DL168:DL171" si="673">(DB168^2/DC168)+(DF168^2/DG168)</f>
        <v>17639.98419979895</v>
      </c>
      <c r="DM168" s="12" t="s">
        <v>47</v>
      </c>
      <c r="DN168" s="19">
        <f>0.927974947807933*10^4/10^3/'[1]classes-1'!$I$69</f>
        <v>11.795840386040403</v>
      </c>
      <c r="DO168" s="50">
        <f>ABS(DN168)*DQ$474</f>
        <v>13.150938144632661</v>
      </c>
      <c r="DP168" s="13">
        <v>3</v>
      </c>
      <c r="DR168" s="19">
        <f>0.0260960334029228*10^4/10^3/'[1]classes-1'!$I$70</f>
        <v>0.26812694984226471</v>
      </c>
      <c r="DS168" s="50">
        <f>ABS(DR168)*DU$474</f>
        <v>1.002048405980223</v>
      </c>
      <c r="DT168" s="13">
        <v>3</v>
      </c>
      <c r="DV168" s="19">
        <f t="shared" si="509"/>
        <v>-11.527713436198139</v>
      </c>
      <c r="DW168" s="12">
        <f t="shared" si="485"/>
        <v>9.3260729970304723</v>
      </c>
      <c r="DX168" s="72">
        <f t="shared" si="641"/>
        <v>57.983758363960618</v>
      </c>
      <c r="DY168" s="72">
        <f t="shared" si="642"/>
        <v>57.983758363960611</v>
      </c>
      <c r="DZ168" s="11" t="s">
        <v>47</v>
      </c>
      <c r="EA168" s="19">
        <f>0.514573852639948*10^4/10^3/'[3]classess-1'!$I$24</f>
        <v>9.3513037184644965</v>
      </c>
      <c r="EB168" s="50">
        <f>ABS(EA168)*ED$474</f>
        <v>53.769781135553693</v>
      </c>
      <c r="EC168" s="72">
        <v>3</v>
      </c>
      <c r="EE168" s="19">
        <f>0.778021878389075*10^4/10^3/'[3]classess-1'!$I$25</f>
        <v>12.26580629480485</v>
      </c>
      <c r="EF168" s="50">
        <f>ABS(EE168)*EH$474</f>
        <v>18.314558426684705</v>
      </c>
      <c r="EG168" s="13">
        <v>3</v>
      </c>
      <c r="EI168" s="19">
        <f t="shared" ref="EI168:EI169" si="674">EE168-EA168</f>
        <v>2.9145025763403538</v>
      </c>
      <c r="EJ168" s="12">
        <f t="shared" ref="EJ168:EJ169" si="675">SQRT(((EC168-1)*EB168^2+(EG168-1)*EF168^2)/(EC168+EG168-2))</f>
        <v>40.165983205504837</v>
      </c>
      <c r="EK168" s="19">
        <f>(((EC168+EG168)/(EC168*EG168))*(((EC168-1)*EB168^2)+(EG168-1)*EF168^2)/(EC168+EG168-2))</f>
        <v>1075.5374712432645</v>
      </c>
      <c r="EL168" s="19">
        <f>(EB168^2/EC168)+(EF168^2/EG168)</f>
        <v>1075.5374712432645</v>
      </c>
      <c r="EM168" s="12" t="s">
        <v>39</v>
      </c>
      <c r="EN168" s="12">
        <v>-7.118297455968686</v>
      </c>
      <c r="EO168" s="12">
        <v>2.0896725316659488</v>
      </c>
      <c r="EP168" s="13">
        <v>3</v>
      </c>
      <c r="EQ168" s="19">
        <f t="shared" si="510"/>
        <v>0.29356353040764827</v>
      </c>
      <c r="ER168" s="12">
        <v>-41.42054794520547</v>
      </c>
      <c r="ES168" s="12">
        <v>4.0513805156967972</v>
      </c>
      <c r="ET168" s="13">
        <v>3</v>
      </c>
      <c r="EU168" s="19">
        <f t="shared" si="511"/>
        <v>9.7810886544917236E-2</v>
      </c>
      <c r="EV168" s="19">
        <f t="shared" si="643"/>
        <v>-34.302250489236783</v>
      </c>
      <c r="EW168" s="12">
        <f t="shared" si="644"/>
        <v>3.2233845079796812</v>
      </c>
      <c r="EX168" s="19">
        <f t="shared" si="645"/>
        <v>6.9268051241889399</v>
      </c>
      <c r="EY168" s="19">
        <f t="shared" si="646"/>
        <v>6.9268051241889408</v>
      </c>
      <c r="FB168" s="12" t="s">
        <v>37</v>
      </c>
      <c r="FC168" s="12" t="s">
        <v>37</v>
      </c>
      <c r="FD168" s="11" t="s">
        <v>37</v>
      </c>
      <c r="FE168" s="12" t="s">
        <v>37</v>
      </c>
      <c r="FF168" s="20" t="s">
        <v>37</v>
      </c>
      <c r="FG168" s="11" t="s">
        <v>37</v>
      </c>
      <c r="FI168" s="12" t="s">
        <v>37</v>
      </c>
      <c r="FJ168" s="12" t="s">
        <v>37</v>
      </c>
      <c r="FK168" s="11" t="s">
        <v>37</v>
      </c>
      <c r="FL168" s="13" t="s">
        <v>37</v>
      </c>
      <c r="FM168" s="11" t="s">
        <v>37</v>
      </c>
      <c r="FN168" s="11" t="s">
        <v>37</v>
      </c>
      <c r="FP168" s="12" t="s">
        <v>37</v>
      </c>
      <c r="FQ168" s="12" t="s">
        <v>37</v>
      </c>
      <c r="FR168" s="11" t="s">
        <v>37</v>
      </c>
      <c r="FS168" s="13" t="s">
        <v>37</v>
      </c>
      <c r="FT168" s="11" t="s">
        <v>37</v>
      </c>
      <c r="FU168" s="11" t="s">
        <v>37</v>
      </c>
      <c r="FW168" s="12" t="s">
        <v>37</v>
      </c>
      <c r="FX168" s="12" t="s">
        <v>37</v>
      </c>
      <c r="FY168" s="11" t="s">
        <v>37</v>
      </c>
      <c r="FZ168" s="13" t="s">
        <v>37</v>
      </c>
      <c r="GA168" s="11" t="s">
        <v>37</v>
      </c>
      <c r="GB168" s="11" t="s">
        <v>37</v>
      </c>
      <c r="IK168" s="12" t="s">
        <v>37</v>
      </c>
      <c r="IL168" s="12" t="s">
        <v>37</v>
      </c>
      <c r="IM168" s="12" t="s">
        <v>37</v>
      </c>
      <c r="IO168" s="12" t="s">
        <v>37</v>
      </c>
      <c r="IP168" s="12" t="s">
        <v>37</v>
      </c>
      <c r="IQ168" s="12" t="s">
        <v>37</v>
      </c>
      <c r="IV168" s="32" t="s">
        <v>345</v>
      </c>
      <c r="IW168" s="12">
        <v>6.3</v>
      </c>
      <c r="IX168" s="50">
        <f>ABS(IW168)*IZ$474</f>
        <v>0.23066027855654575</v>
      </c>
      <c r="IY168" s="13">
        <v>3</v>
      </c>
      <c r="JH168" s="12" t="s">
        <v>37</v>
      </c>
      <c r="JI168" s="12" t="s">
        <v>37</v>
      </c>
      <c r="JJ168" s="13" t="s">
        <v>37</v>
      </c>
      <c r="JL168" s="12" t="s">
        <v>37</v>
      </c>
      <c r="JM168" s="12" t="s">
        <v>37</v>
      </c>
      <c r="JN168" s="12" t="s">
        <v>37</v>
      </c>
      <c r="JS168" s="12" t="s">
        <v>37</v>
      </c>
      <c r="JT168" s="12" t="s">
        <v>37</v>
      </c>
      <c r="JU168" s="13" t="s">
        <v>37</v>
      </c>
      <c r="JW168" s="12" t="s">
        <v>37</v>
      </c>
      <c r="JX168" s="12" t="s">
        <v>37</v>
      </c>
      <c r="JY168" s="12" t="s">
        <v>37</v>
      </c>
      <c r="KE168" s="11" t="s">
        <v>37</v>
      </c>
      <c r="KF168" s="11" t="s">
        <v>37</v>
      </c>
      <c r="KG168" s="13" t="s">
        <v>37</v>
      </c>
      <c r="KH168" s="11" t="s">
        <v>37</v>
      </c>
      <c r="KI168" s="11" t="s">
        <v>37</v>
      </c>
      <c r="KJ168" s="11" t="s">
        <v>37</v>
      </c>
      <c r="KM168" s="12" t="s">
        <v>37</v>
      </c>
      <c r="KN168" s="12" t="s">
        <v>37</v>
      </c>
      <c r="KO168" s="11" t="s">
        <v>37</v>
      </c>
      <c r="KQ168" s="12" t="s">
        <v>37</v>
      </c>
      <c r="KR168" s="12" t="s">
        <v>37</v>
      </c>
      <c r="KS168" s="13" t="s">
        <v>37</v>
      </c>
      <c r="KX168" s="12" t="s">
        <v>37</v>
      </c>
      <c r="KY168" s="12" t="s">
        <v>37</v>
      </c>
      <c r="KZ168" s="13" t="s">
        <v>37</v>
      </c>
      <c r="LB168" s="12" t="s">
        <v>37</v>
      </c>
      <c r="LC168" s="12" t="s">
        <v>37</v>
      </c>
      <c r="LD168" s="13" t="s">
        <v>37</v>
      </c>
      <c r="LI168" s="12" t="s">
        <v>37</v>
      </c>
      <c r="LJ168" s="12" t="s">
        <v>37</v>
      </c>
      <c r="LK168" s="12" t="s">
        <v>37</v>
      </c>
      <c r="LM168" s="12" t="s">
        <v>37</v>
      </c>
      <c r="LN168" s="12" t="s">
        <v>37</v>
      </c>
      <c r="LO168" s="12" t="s">
        <v>37</v>
      </c>
      <c r="LU168" s="12" t="s">
        <v>37</v>
      </c>
      <c r="LV168" s="12" t="s">
        <v>37</v>
      </c>
      <c r="LW168" s="13" t="s">
        <v>37</v>
      </c>
      <c r="LY168" s="12" t="s">
        <v>37</v>
      </c>
      <c r="LZ168" s="12" t="s">
        <v>37</v>
      </c>
      <c r="MA168" s="12" t="s">
        <v>37</v>
      </c>
      <c r="MF168" s="12" t="s">
        <v>37</v>
      </c>
      <c r="MG168" s="12" t="s">
        <v>37</v>
      </c>
      <c r="MH168" s="12" t="s">
        <v>37</v>
      </c>
      <c r="MJ168" s="12" t="s">
        <v>37</v>
      </c>
      <c r="MK168" s="12" t="s">
        <v>37</v>
      </c>
      <c r="ML168" s="12" t="s">
        <v>37</v>
      </c>
      <c r="MQ168" s="12" t="s">
        <v>37</v>
      </c>
      <c r="MR168" s="12" t="s">
        <v>37</v>
      </c>
      <c r="MS168" s="12" t="s">
        <v>37</v>
      </c>
      <c r="MU168" s="12" t="s">
        <v>37</v>
      </c>
      <c r="MV168" s="12" t="s">
        <v>37</v>
      </c>
      <c r="MW168" s="12" t="s">
        <v>37</v>
      </c>
      <c r="NC168" s="12" t="s">
        <v>37</v>
      </c>
      <c r="ND168" s="12" t="s">
        <v>37</v>
      </c>
      <c r="NE168" s="12" t="s">
        <v>37</v>
      </c>
      <c r="NG168" s="12" t="s">
        <v>37</v>
      </c>
      <c r="NH168" s="12" t="s">
        <v>37</v>
      </c>
      <c r="NI168" s="12" t="s">
        <v>37</v>
      </c>
      <c r="NO168" s="12" t="s">
        <v>37</v>
      </c>
      <c r="NP168" s="12" t="s">
        <v>37</v>
      </c>
      <c r="NQ168" s="12" t="s">
        <v>37</v>
      </c>
      <c r="NS168" s="12" t="s">
        <v>37</v>
      </c>
      <c r="NT168" s="12" t="s">
        <v>37</v>
      </c>
      <c r="NU168" s="12" t="s">
        <v>37</v>
      </c>
      <c r="OA168" s="12" t="s">
        <v>37</v>
      </c>
      <c r="OB168" s="12" t="s">
        <v>37</v>
      </c>
      <c r="OC168" s="13" t="s">
        <v>37</v>
      </c>
      <c r="OE168" s="12" t="s">
        <v>37</v>
      </c>
      <c r="OF168" s="12" t="s">
        <v>37</v>
      </c>
      <c r="OG168" s="13" t="s">
        <v>37</v>
      </c>
      <c r="OM168" s="12" t="s">
        <v>37</v>
      </c>
      <c r="ON168" s="12" t="s">
        <v>37</v>
      </c>
      <c r="OO168" s="12" t="s">
        <v>37</v>
      </c>
      <c r="OP168" s="12" t="s">
        <v>37</v>
      </c>
      <c r="OQ168" s="12" t="s">
        <v>37</v>
      </c>
      <c r="OR168" s="12" t="s">
        <v>37</v>
      </c>
      <c r="OS168" s="12"/>
      <c r="OT168" s="12"/>
      <c r="OW168" s="12" t="s">
        <v>37</v>
      </c>
      <c r="OX168" s="12" t="s">
        <v>37</v>
      </c>
      <c r="OY168" s="13" t="s">
        <v>37</v>
      </c>
      <c r="OZ168" s="12" t="s">
        <v>37</v>
      </c>
      <c r="PA168" s="12" t="s">
        <v>37</v>
      </c>
      <c r="PB168" s="13" t="s">
        <v>37</v>
      </c>
      <c r="PG168" s="11" t="s">
        <v>37</v>
      </c>
      <c r="PH168" s="11" t="s">
        <v>37</v>
      </c>
      <c r="PI168" s="13" t="s">
        <v>37</v>
      </c>
      <c r="PJ168" s="11" t="s">
        <v>37</v>
      </c>
      <c r="PK168" s="11" t="s">
        <v>37</v>
      </c>
      <c r="PL168" s="13" t="s">
        <v>37</v>
      </c>
      <c r="PQ168" s="12" t="s">
        <v>37</v>
      </c>
      <c r="PR168" s="12" t="s">
        <v>37</v>
      </c>
      <c r="PS168" s="12" t="s">
        <v>37</v>
      </c>
      <c r="PT168" s="12" t="s">
        <v>37</v>
      </c>
      <c r="PU168" s="12" t="s">
        <v>37</v>
      </c>
      <c r="PV168" s="12" t="s">
        <v>37</v>
      </c>
      <c r="PW168" s="12"/>
      <c r="PX168" s="12"/>
      <c r="PZ168" s="12" t="s">
        <v>37</v>
      </c>
      <c r="QA168" s="12" t="s">
        <v>37</v>
      </c>
      <c r="QB168" s="11" t="s">
        <v>37</v>
      </c>
      <c r="QD168" s="12" t="s">
        <v>37</v>
      </c>
      <c r="QE168" s="12" t="s">
        <v>37</v>
      </c>
      <c r="QF168" s="12" t="s">
        <v>37</v>
      </c>
      <c r="QK168" s="12" t="s">
        <v>37</v>
      </c>
      <c r="QL168" s="12" t="s">
        <v>37</v>
      </c>
      <c r="QM168" s="12" t="s">
        <v>37</v>
      </c>
      <c r="QN168" s="12" t="s">
        <v>37</v>
      </c>
      <c r="QO168" s="12" t="s">
        <v>37</v>
      </c>
      <c r="QP168" s="12" t="s">
        <v>37</v>
      </c>
      <c r="QQ168" s="12"/>
      <c r="QR168" s="12"/>
      <c r="QU168" s="12" t="s">
        <v>37</v>
      </c>
      <c r="QV168" s="12" t="s">
        <v>37</v>
      </c>
      <c r="QW168" s="12" t="s">
        <v>37</v>
      </c>
      <c r="QX168" s="12" t="s">
        <v>37</v>
      </c>
      <c r="QY168" s="12" t="s">
        <v>37</v>
      </c>
      <c r="QZ168" s="12" t="s">
        <v>37</v>
      </c>
      <c r="RC168" s="12" t="s">
        <v>37</v>
      </c>
      <c r="RD168" s="12" t="s">
        <v>37</v>
      </c>
      <c r="RE168" s="13" t="s">
        <v>37</v>
      </c>
      <c r="RF168" s="12" t="s">
        <v>37</v>
      </c>
      <c r="RG168" s="12" t="s">
        <v>37</v>
      </c>
      <c r="RH168" s="13" t="s">
        <v>37</v>
      </c>
      <c r="RK168" s="12" t="s">
        <v>37</v>
      </c>
      <c r="RL168" s="12" t="s">
        <v>37</v>
      </c>
      <c r="RM168" s="11" t="s">
        <v>37</v>
      </c>
      <c r="RN168" s="12" t="s">
        <v>37</v>
      </c>
      <c r="RO168" s="12" t="s">
        <v>37</v>
      </c>
      <c r="RP168" s="11" t="s">
        <v>37</v>
      </c>
      <c r="RS168" s="12" t="s">
        <v>37</v>
      </c>
      <c r="RT168" s="12" t="s">
        <v>37</v>
      </c>
      <c r="RU168" s="12" t="s">
        <v>37</v>
      </c>
      <c r="RV168" s="12" t="s">
        <v>37</v>
      </c>
      <c r="RW168" s="12" t="s">
        <v>37</v>
      </c>
      <c r="RX168" s="12" t="s">
        <v>37</v>
      </c>
      <c r="SA168" s="12" t="s">
        <v>37</v>
      </c>
      <c r="SB168" s="12" t="s">
        <v>37</v>
      </c>
      <c r="SC168" s="12" t="s">
        <v>37</v>
      </c>
      <c r="SD168" s="12" t="s">
        <v>37</v>
      </c>
      <c r="SE168" s="12" t="s">
        <v>37</v>
      </c>
      <c r="SF168" s="12" t="s">
        <v>37</v>
      </c>
      <c r="SI168" s="12" t="s">
        <v>37</v>
      </c>
      <c r="SJ168" s="12" t="s">
        <v>37</v>
      </c>
      <c r="SK168" s="13" t="s">
        <v>37</v>
      </c>
      <c r="SM168" s="12" t="s">
        <v>37</v>
      </c>
      <c r="SN168" s="12" t="s">
        <v>37</v>
      </c>
      <c r="SO168" s="13" t="s">
        <v>37</v>
      </c>
      <c r="SU168" s="12" t="s">
        <v>37</v>
      </c>
      <c r="SV168" s="12" t="s">
        <v>37</v>
      </c>
      <c r="SW168" s="11" t="s">
        <v>37</v>
      </c>
      <c r="SX168" s="12" t="s">
        <v>37</v>
      </c>
      <c r="SY168" s="12" t="s">
        <v>37</v>
      </c>
      <c r="SZ168" s="11" t="s">
        <v>37</v>
      </c>
      <c r="TE168" s="12" t="s">
        <v>37</v>
      </c>
      <c r="TF168" s="12" t="s">
        <v>37</v>
      </c>
      <c r="TG168" s="11" t="s">
        <v>37</v>
      </c>
      <c r="TH168" s="12" t="s">
        <v>37</v>
      </c>
      <c r="TI168" s="12" t="s">
        <v>37</v>
      </c>
      <c r="TJ168" s="11" t="s">
        <v>37</v>
      </c>
      <c r="TO168" s="12" t="s">
        <v>37</v>
      </c>
      <c r="TP168" s="12" t="s">
        <v>37</v>
      </c>
      <c r="TQ168" s="11" t="s">
        <v>37</v>
      </c>
      <c r="TR168" s="12" t="s">
        <v>37</v>
      </c>
      <c r="TS168" s="12" t="s">
        <v>37</v>
      </c>
      <c r="TT168" s="11" t="s">
        <v>37</v>
      </c>
      <c r="TY168" s="12" t="s">
        <v>37</v>
      </c>
      <c r="TZ168" s="12" t="s">
        <v>37</v>
      </c>
      <c r="UA168" s="12" t="s">
        <v>37</v>
      </c>
      <c r="UB168" s="12" t="s">
        <v>37</v>
      </c>
      <c r="UC168" s="12" t="s">
        <v>37</v>
      </c>
      <c r="UD168" s="12" t="s">
        <v>37</v>
      </c>
      <c r="UE168" s="12"/>
      <c r="UF168" s="12"/>
      <c r="UI168" s="12" t="s">
        <v>37</v>
      </c>
      <c r="UJ168" s="12" t="s">
        <v>37</v>
      </c>
      <c r="UK168" s="12" t="s">
        <v>37</v>
      </c>
      <c r="UL168" s="12" t="s">
        <v>37</v>
      </c>
      <c r="UM168" s="12" t="s">
        <v>37</v>
      </c>
      <c r="UN168" s="12" t="s">
        <v>37</v>
      </c>
      <c r="UO168" s="12"/>
      <c r="UP168" s="12"/>
      <c r="UR168" s="12" t="s">
        <v>37</v>
      </c>
      <c r="US168" s="12" t="s">
        <v>37</v>
      </c>
      <c r="UT168" s="12" t="s">
        <v>37</v>
      </c>
      <c r="UU168" s="12" t="s">
        <v>37</v>
      </c>
      <c r="UV168" s="12" t="s">
        <v>37</v>
      </c>
      <c r="UW168" s="12" t="s">
        <v>37</v>
      </c>
      <c r="UX168" s="12"/>
      <c r="UY168" s="12"/>
      <c r="VB168" s="12" t="s">
        <v>37</v>
      </c>
      <c r="VC168" s="12" t="s">
        <v>37</v>
      </c>
      <c r="VD168" s="12" t="s">
        <v>37</v>
      </c>
      <c r="VE168" s="12" t="s">
        <v>37</v>
      </c>
      <c r="VF168" s="12" t="s">
        <v>37</v>
      </c>
      <c r="VG168" s="12" t="s">
        <v>37</v>
      </c>
      <c r="VI168" s="12" t="s">
        <v>37</v>
      </c>
      <c r="VJ168" s="12" t="s">
        <v>37</v>
      </c>
      <c r="VK168" s="12" t="s">
        <v>37</v>
      </c>
      <c r="VL168" s="12" t="s">
        <v>37</v>
      </c>
      <c r="VM168" s="12" t="s">
        <v>37</v>
      </c>
      <c r="VN168" s="12" t="s">
        <v>37</v>
      </c>
      <c r="VQ168" s="13" t="s">
        <v>37</v>
      </c>
      <c r="VR168" s="13" t="s">
        <v>37</v>
      </c>
      <c r="VS168" s="13" t="s">
        <v>37</v>
      </c>
      <c r="VT168" s="13" t="s">
        <v>37</v>
      </c>
      <c r="VU168" s="13" t="s">
        <v>37</v>
      </c>
      <c r="VV168" s="13" t="s">
        <v>37</v>
      </c>
      <c r="WA168" s="13" t="s">
        <v>37</v>
      </c>
      <c r="WB168" s="13" t="s">
        <v>37</v>
      </c>
      <c r="WC168" s="13" t="s">
        <v>37</v>
      </c>
      <c r="WD168" s="13" t="s">
        <v>37</v>
      </c>
      <c r="WE168" s="13" t="s">
        <v>37</v>
      </c>
      <c r="WF168" s="13" t="s">
        <v>37</v>
      </c>
    </row>
    <row r="169" spans="1:604" ht="18" customHeight="1" x14ac:dyDescent="0.4">
      <c r="A169" s="11">
        <v>40</v>
      </c>
      <c r="B169" s="16" t="s">
        <v>934</v>
      </c>
      <c r="C169" s="12" t="s">
        <v>26</v>
      </c>
      <c r="D169" s="12" t="s">
        <v>54</v>
      </c>
      <c r="E169" s="40" t="s">
        <v>37</v>
      </c>
      <c r="F169" s="14">
        <v>0</v>
      </c>
      <c r="G169" s="14">
        <v>0</v>
      </c>
      <c r="H169" s="12" t="s">
        <v>123</v>
      </c>
      <c r="I169" s="29">
        <v>64.8</v>
      </c>
      <c r="J169" s="29">
        <v>24.617000000000001</v>
      </c>
      <c r="K169" s="12" t="s">
        <v>738</v>
      </c>
      <c r="L169" s="12" t="s">
        <v>739</v>
      </c>
      <c r="M169" s="13" t="s">
        <v>37</v>
      </c>
      <c r="N169" s="14">
        <v>4.3</v>
      </c>
      <c r="O169" s="14">
        <v>570</v>
      </c>
      <c r="P169" s="14" t="s">
        <v>84</v>
      </c>
      <c r="Q169" s="75">
        <v>41</v>
      </c>
      <c r="R169" s="11" t="s">
        <v>1000</v>
      </c>
      <c r="S169" s="12" t="s">
        <v>105</v>
      </c>
      <c r="T169" s="12" t="s">
        <v>138</v>
      </c>
      <c r="U169" s="12" t="s">
        <v>158</v>
      </c>
      <c r="V169" s="12" t="s">
        <v>275</v>
      </c>
      <c r="W169" s="23" t="s">
        <v>146</v>
      </c>
      <c r="X169" s="12" t="s">
        <v>282</v>
      </c>
      <c r="Y169" s="12" t="s">
        <v>69</v>
      </c>
      <c r="Z169" s="12" t="s">
        <v>217</v>
      </c>
      <c r="AA169" s="32" t="s">
        <v>345</v>
      </c>
      <c r="AB169" s="12">
        <v>6.6</v>
      </c>
      <c r="AC169" s="12" t="s">
        <v>42</v>
      </c>
      <c r="AD169" s="32" t="s">
        <v>345</v>
      </c>
      <c r="AE169" s="12">
        <v>351.3</v>
      </c>
      <c r="AH169" s="12" t="s">
        <v>37</v>
      </c>
      <c r="AK169" s="12" t="s">
        <v>37</v>
      </c>
      <c r="AL169" s="32" t="s">
        <v>538</v>
      </c>
      <c r="AM169" s="12" t="s">
        <v>317</v>
      </c>
      <c r="AN169" s="32" t="s">
        <v>880</v>
      </c>
      <c r="AO169" s="13" t="s">
        <v>37</v>
      </c>
      <c r="AP169" s="12" t="s">
        <v>81</v>
      </c>
      <c r="AQ169" s="12" t="s">
        <v>975</v>
      </c>
      <c r="AR169" s="12" t="s">
        <v>42</v>
      </c>
      <c r="AS169" s="32" t="s">
        <v>345</v>
      </c>
      <c r="AT169" s="12">
        <v>351.3</v>
      </c>
      <c r="AU169" s="50">
        <f>AT169*AW$474</f>
        <v>30.0456860572327</v>
      </c>
      <c r="AX169" s="12" t="s">
        <v>326</v>
      </c>
      <c r="AY169" s="12" t="s">
        <v>326</v>
      </c>
      <c r="AZ169" s="13" t="s">
        <v>326</v>
      </c>
      <c r="BB169" s="52"/>
      <c r="BE169" s="12" t="s">
        <v>326</v>
      </c>
      <c r="BF169" s="12" t="s">
        <v>326</v>
      </c>
      <c r="BG169" s="12" t="s">
        <v>326</v>
      </c>
      <c r="BI169" s="12" t="s">
        <v>326</v>
      </c>
      <c r="BJ169" s="12" t="s">
        <v>326</v>
      </c>
      <c r="BK169" s="12" t="s">
        <v>326</v>
      </c>
      <c r="BP169" s="12" t="s">
        <v>37</v>
      </c>
      <c r="BQ169" s="12" t="s">
        <v>37</v>
      </c>
      <c r="BR169" s="13" t="s">
        <v>37</v>
      </c>
      <c r="BT169" s="12" t="s">
        <v>37</v>
      </c>
      <c r="BU169" s="12" t="s">
        <v>37</v>
      </c>
      <c r="BV169" s="12" t="s">
        <v>37</v>
      </c>
      <c r="CA169" s="12" t="s">
        <v>37</v>
      </c>
      <c r="CB169" s="12" t="s">
        <v>37</v>
      </c>
      <c r="CC169" s="13" t="s">
        <v>37</v>
      </c>
      <c r="CE169" s="12" t="s">
        <v>37</v>
      </c>
      <c r="CF169" s="12" t="s">
        <v>37</v>
      </c>
      <c r="CG169" s="13" t="s">
        <v>37</v>
      </c>
      <c r="CN169" s="12" t="s">
        <v>37</v>
      </c>
      <c r="CO169" s="12" t="s">
        <v>37</v>
      </c>
      <c r="CP169" s="13" t="s">
        <v>37</v>
      </c>
      <c r="CR169" s="12" t="s">
        <v>37</v>
      </c>
      <c r="CS169" s="12" t="s">
        <v>37</v>
      </c>
      <c r="CT169" s="13" t="s">
        <v>37</v>
      </c>
      <c r="CX169" s="72"/>
      <c r="CY169" s="72"/>
      <c r="CZ169" s="12" t="s">
        <v>581</v>
      </c>
      <c r="DA169" s="12">
        <f>300.286532951289*10^4/10^3/'[8]classess-1'!$I$25</f>
        <v>826.51624872736215</v>
      </c>
      <c r="DB169" s="50">
        <f>ABS(DA169)*DD$474</f>
        <v>2479.2648863557561</v>
      </c>
      <c r="DC169" s="13">
        <v>3</v>
      </c>
      <c r="DE169" s="12">
        <f>-378.223495702006*10^4/10^3/'[8]classess-1'!$I$26</f>
        <v>-2686.077525816791</v>
      </c>
      <c r="DF169" s="50">
        <f>ABS(DE169)*DH$474</f>
        <v>2560.2154386627908</v>
      </c>
      <c r="DG169" s="13">
        <v>3</v>
      </c>
      <c r="DI169" s="19">
        <f t="shared" si="670"/>
        <v>-3512.5937745441533</v>
      </c>
      <c r="DJ169" s="12">
        <f t="shared" si="671"/>
        <v>2520.0652242634442</v>
      </c>
      <c r="DK169" s="72">
        <f t="shared" si="672"/>
        <v>4233819.1563613089</v>
      </c>
      <c r="DL169" s="72">
        <f t="shared" si="673"/>
        <v>4233819.1563613089</v>
      </c>
      <c r="DM169" s="12" t="s">
        <v>47</v>
      </c>
      <c r="DN169" s="19">
        <f>1.15344467640919*10^4/10^3/'[1]classes-1'!$I$69</f>
        <v>14.661871345978286</v>
      </c>
      <c r="DO169" s="50">
        <f>ABS(DN169)*DQ$474</f>
        <v>16.346216703958547</v>
      </c>
      <c r="DP169" s="13">
        <v>3</v>
      </c>
      <c r="DR169" s="19">
        <f>0.414405010438413*10^4/10^3/'[1]classes-1'!$I$70</f>
        <v>4.2578559634951523</v>
      </c>
      <c r="DS169" s="50">
        <f>ABS(DR169)*DU$474</f>
        <v>15.912528686965901</v>
      </c>
      <c r="DT169" s="13">
        <v>3</v>
      </c>
      <c r="DV169" s="19">
        <f t="shared" si="509"/>
        <v>-10.404015382483134</v>
      </c>
      <c r="DW169" s="12">
        <f t="shared" si="485"/>
        <v>16.130830259882565</v>
      </c>
      <c r="DX169" s="72">
        <f t="shared" si="641"/>
        <v>173.46912324876203</v>
      </c>
      <c r="DY169" s="72">
        <f t="shared" si="642"/>
        <v>173.46912324876206</v>
      </c>
      <c r="DZ169" s="11" t="s">
        <v>47</v>
      </c>
      <c r="EA169" s="19">
        <f>0.574725125275921*10^4/10^3/'[3]classess-1'!$I$24</f>
        <v>10.444427313037668</v>
      </c>
      <c r="EB169" s="50">
        <f>ABS(EA169)*ED$474</f>
        <v>60.055216643145187</v>
      </c>
      <c r="EC169" s="72">
        <v>3</v>
      </c>
      <c r="EE169" s="19">
        <f>1.22351037601956*10^4/10^3/'[3]classess-1'!$I$25</f>
        <v>19.289099302725344</v>
      </c>
      <c r="EF169" s="50">
        <f>ABS(EE169)*EH$474</f>
        <v>28.801313805804487</v>
      </c>
      <c r="EG169" s="13">
        <v>3</v>
      </c>
      <c r="EI169" s="19">
        <f t="shared" si="674"/>
        <v>8.8446719896876758</v>
      </c>
      <c r="EJ169" s="12">
        <f t="shared" si="675"/>
        <v>47.096415590761929</v>
      </c>
      <c r="EK169" s="19">
        <f t="shared" ref="EK169" si="676">(((EC169+EG169)/(EC169*EG169))*(((EC169-1)*EB169^2)+(EG169-1)*EF169^2)/(EC169+EG169-2))</f>
        <v>1478.7149076651754</v>
      </c>
      <c r="EL169" s="19">
        <f t="shared" ref="EL169" si="677">(EB169^2/EC169)+(EF169^2/EG169)</f>
        <v>1478.7149076651756</v>
      </c>
      <c r="EM169" s="12" t="s">
        <v>39</v>
      </c>
      <c r="EN169" s="12">
        <v>-23.325205479452055</v>
      </c>
      <c r="EO169" s="12">
        <v>9.1345235133236322</v>
      </c>
      <c r="EP169" s="13">
        <v>3</v>
      </c>
      <c r="EQ169" s="19">
        <f t="shared" si="510"/>
        <v>0.39161599332406893</v>
      </c>
      <c r="ER169" s="12">
        <v>-50.248283223625691</v>
      </c>
      <c r="ES169" s="12">
        <v>5.5408758417852315</v>
      </c>
      <c r="ET169" s="13">
        <v>3</v>
      </c>
      <c r="EU169" s="19">
        <f t="shared" si="511"/>
        <v>0.11026995324648281</v>
      </c>
      <c r="EV169" s="19">
        <f t="shared" si="643"/>
        <v>-26.923077744173636</v>
      </c>
      <c r="EW169" s="12">
        <f t="shared" si="644"/>
        <v>7.5544961747803381</v>
      </c>
      <c r="EX169" s="19">
        <f t="shared" si="645"/>
        <v>38.046941636513836</v>
      </c>
      <c r="EY169" s="19">
        <f t="shared" si="646"/>
        <v>38.046941636513836</v>
      </c>
      <c r="FB169" s="12" t="s">
        <v>37</v>
      </c>
      <c r="FC169" s="12" t="s">
        <v>37</v>
      </c>
      <c r="FD169" s="11" t="s">
        <v>37</v>
      </c>
      <c r="FE169" s="12" t="s">
        <v>37</v>
      </c>
      <c r="FF169" s="20" t="s">
        <v>37</v>
      </c>
      <c r="FG169" s="11" t="s">
        <v>37</v>
      </c>
      <c r="FI169" s="12" t="s">
        <v>37</v>
      </c>
      <c r="FJ169" s="12" t="s">
        <v>37</v>
      </c>
      <c r="FK169" s="11" t="s">
        <v>37</v>
      </c>
      <c r="FL169" s="13" t="s">
        <v>37</v>
      </c>
      <c r="FM169" s="11" t="s">
        <v>37</v>
      </c>
      <c r="FN169" s="11" t="s">
        <v>37</v>
      </c>
      <c r="FP169" s="12" t="s">
        <v>37</v>
      </c>
      <c r="FQ169" s="12" t="s">
        <v>37</v>
      </c>
      <c r="FR169" s="11" t="s">
        <v>37</v>
      </c>
      <c r="FS169" s="13" t="s">
        <v>37</v>
      </c>
      <c r="FT169" s="11" t="s">
        <v>37</v>
      </c>
      <c r="FU169" s="11" t="s">
        <v>37</v>
      </c>
      <c r="FW169" s="12" t="s">
        <v>37</v>
      </c>
      <c r="FX169" s="12" t="s">
        <v>37</v>
      </c>
      <c r="FY169" s="11" t="s">
        <v>37</v>
      </c>
      <c r="FZ169" s="13" t="s">
        <v>37</v>
      </c>
      <c r="GA169" s="11" t="s">
        <v>37</v>
      </c>
      <c r="GB169" s="11" t="s">
        <v>37</v>
      </c>
      <c r="IK169" s="12" t="s">
        <v>37</v>
      </c>
      <c r="IL169" s="12" t="s">
        <v>37</v>
      </c>
      <c r="IM169" s="12" t="s">
        <v>37</v>
      </c>
      <c r="IO169" s="12" t="s">
        <v>37</v>
      </c>
      <c r="IP169" s="12" t="s">
        <v>37</v>
      </c>
      <c r="IQ169" s="12" t="s">
        <v>37</v>
      </c>
      <c r="IV169" s="32" t="s">
        <v>345</v>
      </c>
      <c r="IW169" s="12">
        <v>6.6</v>
      </c>
      <c r="IX169" s="50">
        <f>ABS(IW169)*IZ$474</f>
        <v>0.24164410134495271</v>
      </c>
      <c r="IY169" s="13">
        <v>3</v>
      </c>
      <c r="JH169" s="12" t="s">
        <v>37</v>
      </c>
      <c r="JI169" s="12" t="s">
        <v>37</v>
      </c>
      <c r="JJ169" s="13" t="s">
        <v>37</v>
      </c>
      <c r="JL169" s="12" t="s">
        <v>37</v>
      </c>
      <c r="JM169" s="12" t="s">
        <v>37</v>
      </c>
      <c r="JN169" s="12" t="s">
        <v>37</v>
      </c>
      <c r="JS169" s="12" t="s">
        <v>37</v>
      </c>
      <c r="JT169" s="12" t="s">
        <v>37</v>
      </c>
      <c r="JU169" s="13" t="s">
        <v>37</v>
      </c>
      <c r="JW169" s="12" t="s">
        <v>37</v>
      </c>
      <c r="JX169" s="12" t="s">
        <v>37</v>
      </c>
      <c r="JY169" s="12" t="s">
        <v>37</v>
      </c>
      <c r="KE169" s="11" t="s">
        <v>37</v>
      </c>
      <c r="KF169" s="11" t="s">
        <v>37</v>
      </c>
      <c r="KG169" s="13" t="s">
        <v>37</v>
      </c>
      <c r="KH169" s="11" t="s">
        <v>37</v>
      </c>
      <c r="KI169" s="11" t="s">
        <v>37</v>
      </c>
      <c r="KJ169" s="11" t="s">
        <v>37</v>
      </c>
      <c r="KM169" s="12" t="s">
        <v>37</v>
      </c>
      <c r="KN169" s="12" t="s">
        <v>37</v>
      </c>
      <c r="KO169" s="11" t="s">
        <v>37</v>
      </c>
      <c r="KQ169" s="12" t="s">
        <v>37</v>
      </c>
      <c r="KR169" s="12" t="s">
        <v>37</v>
      </c>
      <c r="KS169" s="13" t="s">
        <v>37</v>
      </c>
      <c r="KX169" s="12" t="s">
        <v>37</v>
      </c>
      <c r="KY169" s="12" t="s">
        <v>37</v>
      </c>
      <c r="KZ169" s="13" t="s">
        <v>37</v>
      </c>
      <c r="LB169" s="12" t="s">
        <v>37</v>
      </c>
      <c r="LC169" s="12" t="s">
        <v>37</v>
      </c>
      <c r="LD169" s="13" t="s">
        <v>37</v>
      </c>
      <c r="LI169" s="12" t="s">
        <v>37</v>
      </c>
      <c r="LJ169" s="12" t="s">
        <v>37</v>
      </c>
      <c r="LK169" s="12" t="s">
        <v>37</v>
      </c>
      <c r="LM169" s="12" t="s">
        <v>37</v>
      </c>
      <c r="LN169" s="12" t="s">
        <v>37</v>
      </c>
      <c r="LO169" s="12" t="s">
        <v>37</v>
      </c>
      <c r="LU169" s="12" t="s">
        <v>37</v>
      </c>
      <c r="LV169" s="12" t="s">
        <v>37</v>
      </c>
      <c r="LW169" s="13" t="s">
        <v>37</v>
      </c>
      <c r="LY169" s="12" t="s">
        <v>37</v>
      </c>
      <c r="LZ169" s="12" t="s">
        <v>37</v>
      </c>
      <c r="MA169" s="12" t="s">
        <v>37</v>
      </c>
      <c r="MF169" s="12" t="s">
        <v>37</v>
      </c>
      <c r="MG169" s="12" t="s">
        <v>37</v>
      </c>
      <c r="MH169" s="12" t="s">
        <v>37</v>
      </c>
      <c r="MJ169" s="12" t="s">
        <v>37</v>
      </c>
      <c r="MK169" s="12" t="s">
        <v>37</v>
      </c>
      <c r="ML169" s="12" t="s">
        <v>37</v>
      </c>
      <c r="MQ169" s="12" t="s">
        <v>37</v>
      </c>
      <c r="MR169" s="12" t="s">
        <v>37</v>
      </c>
      <c r="MS169" s="12" t="s">
        <v>37</v>
      </c>
      <c r="MU169" s="12" t="s">
        <v>37</v>
      </c>
      <c r="MV169" s="12" t="s">
        <v>37</v>
      </c>
      <c r="MW169" s="12" t="s">
        <v>37</v>
      </c>
      <c r="NC169" s="12" t="s">
        <v>37</v>
      </c>
      <c r="ND169" s="12" t="s">
        <v>37</v>
      </c>
      <c r="NE169" s="12" t="s">
        <v>37</v>
      </c>
      <c r="NG169" s="12" t="s">
        <v>37</v>
      </c>
      <c r="NH169" s="12" t="s">
        <v>37</v>
      </c>
      <c r="NI169" s="12" t="s">
        <v>37</v>
      </c>
      <c r="NO169" s="12" t="s">
        <v>37</v>
      </c>
      <c r="NP169" s="12" t="s">
        <v>37</v>
      </c>
      <c r="NQ169" s="12" t="s">
        <v>37</v>
      </c>
      <c r="NS169" s="12" t="s">
        <v>37</v>
      </c>
      <c r="NT169" s="12" t="s">
        <v>37</v>
      </c>
      <c r="NU169" s="12" t="s">
        <v>37</v>
      </c>
      <c r="OA169" s="12" t="s">
        <v>37</v>
      </c>
      <c r="OB169" s="12" t="s">
        <v>37</v>
      </c>
      <c r="OC169" s="13" t="s">
        <v>37</v>
      </c>
      <c r="OE169" s="12" t="s">
        <v>37</v>
      </c>
      <c r="OF169" s="12" t="s">
        <v>37</v>
      </c>
      <c r="OG169" s="13" t="s">
        <v>37</v>
      </c>
      <c r="OM169" s="12" t="s">
        <v>37</v>
      </c>
      <c r="ON169" s="12" t="s">
        <v>37</v>
      </c>
      <c r="OO169" s="12" t="s">
        <v>37</v>
      </c>
      <c r="OP169" s="12" t="s">
        <v>37</v>
      </c>
      <c r="OQ169" s="12" t="s">
        <v>37</v>
      </c>
      <c r="OR169" s="12" t="s">
        <v>37</v>
      </c>
      <c r="OS169" s="12"/>
      <c r="OT169" s="12"/>
      <c r="OW169" s="12" t="s">
        <v>37</v>
      </c>
      <c r="OX169" s="12" t="s">
        <v>37</v>
      </c>
      <c r="OY169" s="13" t="s">
        <v>37</v>
      </c>
      <c r="OZ169" s="12" t="s">
        <v>37</v>
      </c>
      <c r="PA169" s="12" t="s">
        <v>37</v>
      </c>
      <c r="PB169" s="13" t="s">
        <v>37</v>
      </c>
      <c r="PG169" s="11" t="s">
        <v>37</v>
      </c>
      <c r="PH169" s="11" t="s">
        <v>37</v>
      </c>
      <c r="PI169" s="13" t="s">
        <v>37</v>
      </c>
      <c r="PJ169" s="11" t="s">
        <v>37</v>
      </c>
      <c r="PK169" s="11" t="s">
        <v>37</v>
      </c>
      <c r="PL169" s="13" t="s">
        <v>37</v>
      </c>
      <c r="PQ169" s="12" t="s">
        <v>37</v>
      </c>
      <c r="PR169" s="12" t="s">
        <v>37</v>
      </c>
      <c r="PS169" s="12" t="s">
        <v>37</v>
      </c>
      <c r="PT169" s="12" t="s">
        <v>37</v>
      </c>
      <c r="PU169" s="12" t="s">
        <v>37</v>
      </c>
      <c r="PV169" s="12" t="s">
        <v>37</v>
      </c>
      <c r="PW169" s="12"/>
      <c r="PX169" s="12"/>
      <c r="PZ169" s="12" t="s">
        <v>37</v>
      </c>
      <c r="QA169" s="12" t="s">
        <v>37</v>
      </c>
      <c r="QB169" s="11" t="s">
        <v>37</v>
      </c>
      <c r="QD169" s="12" t="s">
        <v>37</v>
      </c>
      <c r="QE169" s="12" t="s">
        <v>37</v>
      </c>
      <c r="QF169" s="12" t="s">
        <v>37</v>
      </c>
      <c r="QK169" s="12" t="s">
        <v>37</v>
      </c>
      <c r="QL169" s="12" t="s">
        <v>37</v>
      </c>
      <c r="QM169" s="12" t="s">
        <v>37</v>
      </c>
      <c r="QN169" s="12" t="s">
        <v>37</v>
      </c>
      <c r="QO169" s="12" t="s">
        <v>37</v>
      </c>
      <c r="QP169" s="12" t="s">
        <v>37</v>
      </c>
      <c r="QQ169" s="12"/>
      <c r="QR169" s="12"/>
      <c r="QU169" s="12" t="s">
        <v>37</v>
      </c>
      <c r="QV169" s="12" t="s">
        <v>37</v>
      </c>
      <c r="QW169" s="12" t="s">
        <v>37</v>
      </c>
      <c r="QX169" s="12" t="s">
        <v>37</v>
      </c>
      <c r="QY169" s="12" t="s">
        <v>37</v>
      </c>
      <c r="QZ169" s="12" t="s">
        <v>37</v>
      </c>
      <c r="RC169" s="12" t="s">
        <v>37</v>
      </c>
      <c r="RD169" s="12" t="s">
        <v>37</v>
      </c>
      <c r="RE169" s="13" t="s">
        <v>37</v>
      </c>
      <c r="RF169" s="12" t="s">
        <v>37</v>
      </c>
      <c r="RG169" s="12" t="s">
        <v>37</v>
      </c>
      <c r="RH169" s="13" t="s">
        <v>37</v>
      </c>
      <c r="RK169" s="12" t="s">
        <v>37</v>
      </c>
      <c r="RL169" s="12" t="s">
        <v>37</v>
      </c>
      <c r="RM169" s="11" t="s">
        <v>37</v>
      </c>
      <c r="RN169" s="12" t="s">
        <v>37</v>
      </c>
      <c r="RO169" s="12" t="s">
        <v>37</v>
      </c>
      <c r="RP169" s="11" t="s">
        <v>37</v>
      </c>
      <c r="RS169" s="12" t="s">
        <v>37</v>
      </c>
      <c r="RT169" s="12" t="s">
        <v>37</v>
      </c>
      <c r="RU169" s="12" t="s">
        <v>37</v>
      </c>
      <c r="RV169" s="12" t="s">
        <v>37</v>
      </c>
      <c r="RW169" s="12" t="s">
        <v>37</v>
      </c>
      <c r="RX169" s="12" t="s">
        <v>37</v>
      </c>
      <c r="SA169" s="12" t="s">
        <v>37</v>
      </c>
      <c r="SB169" s="12" t="s">
        <v>37</v>
      </c>
      <c r="SC169" s="12" t="s">
        <v>37</v>
      </c>
      <c r="SD169" s="12" t="s">
        <v>37</v>
      </c>
      <c r="SE169" s="12" t="s">
        <v>37</v>
      </c>
      <c r="SF169" s="12" t="s">
        <v>37</v>
      </c>
      <c r="SI169" s="12" t="s">
        <v>37</v>
      </c>
      <c r="SJ169" s="12" t="s">
        <v>37</v>
      </c>
      <c r="SK169" s="13" t="s">
        <v>37</v>
      </c>
      <c r="SM169" s="12" t="s">
        <v>37</v>
      </c>
      <c r="SN169" s="12" t="s">
        <v>37</v>
      </c>
      <c r="SO169" s="13" t="s">
        <v>37</v>
      </c>
      <c r="SU169" s="12" t="s">
        <v>37</v>
      </c>
      <c r="SV169" s="12" t="s">
        <v>37</v>
      </c>
      <c r="SW169" s="11" t="s">
        <v>37</v>
      </c>
      <c r="SX169" s="12" t="s">
        <v>37</v>
      </c>
      <c r="SY169" s="12" t="s">
        <v>37</v>
      </c>
      <c r="SZ169" s="11" t="s">
        <v>37</v>
      </c>
      <c r="TE169" s="12" t="s">
        <v>37</v>
      </c>
      <c r="TF169" s="12" t="s">
        <v>37</v>
      </c>
      <c r="TG169" s="11" t="s">
        <v>37</v>
      </c>
      <c r="TH169" s="12" t="s">
        <v>37</v>
      </c>
      <c r="TI169" s="12" t="s">
        <v>37</v>
      </c>
      <c r="TJ169" s="11" t="s">
        <v>37</v>
      </c>
      <c r="TO169" s="12" t="s">
        <v>37</v>
      </c>
      <c r="TP169" s="12" t="s">
        <v>37</v>
      </c>
      <c r="TQ169" s="11" t="s">
        <v>37</v>
      </c>
      <c r="TR169" s="12" t="s">
        <v>37</v>
      </c>
      <c r="TS169" s="12" t="s">
        <v>37</v>
      </c>
      <c r="TT169" s="11" t="s">
        <v>37</v>
      </c>
      <c r="TY169" s="12" t="s">
        <v>37</v>
      </c>
      <c r="TZ169" s="12" t="s">
        <v>37</v>
      </c>
      <c r="UA169" s="12" t="s">
        <v>37</v>
      </c>
      <c r="UB169" s="12" t="s">
        <v>37</v>
      </c>
      <c r="UC169" s="12" t="s">
        <v>37</v>
      </c>
      <c r="UD169" s="12" t="s">
        <v>37</v>
      </c>
      <c r="UE169" s="12"/>
      <c r="UF169" s="12"/>
      <c r="UI169" s="12" t="s">
        <v>37</v>
      </c>
      <c r="UJ169" s="12" t="s">
        <v>37</v>
      </c>
      <c r="UK169" s="12" t="s">
        <v>37</v>
      </c>
      <c r="UL169" s="12" t="s">
        <v>37</v>
      </c>
      <c r="UM169" s="12" t="s">
        <v>37</v>
      </c>
      <c r="UN169" s="12" t="s">
        <v>37</v>
      </c>
      <c r="UO169" s="12"/>
      <c r="UP169" s="12"/>
      <c r="UR169" s="12" t="s">
        <v>37</v>
      </c>
      <c r="US169" s="12" t="s">
        <v>37</v>
      </c>
      <c r="UT169" s="12" t="s">
        <v>37</v>
      </c>
      <c r="UU169" s="12" t="s">
        <v>37</v>
      </c>
      <c r="UV169" s="12" t="s">
        <v>37</v>
      </c>
      <c r="UW169" s="12" t="s">
        <v>37</v>
      </c>
      <c r="UX169" s="12"/>
      <c r="UY169" s="12"/>
      <c r="VB169" s="12" t="s">
        <v>37</v>
      </c>
      <c r="VC169" s="12" t="s">
        <v>37</v>
      </c>
      <c r="VD169" s="12" t="s">
        <v>37</v>
      </c>
      <c r="VE169" s="12" t="s">
        <v>37</v>
      </c>
      <c r="VF169" s="12" t="s">
        <v>37</v>
      </c>
      <c r="VG169" s="12" t="s">
        <v>37</v>
      </c>
      <c r="VI169" s="12" t="s">
        <v>37</v>
      </c>
      <c r="VJ169" s="12" t="s">
        <v>37</v>
      </c>
      <c r="VK169" s="12" t="s">
        <v>37</v>
      </c>
      <c r="VL169" s="12" t="s">
        <v>37</v>
      </c>
      <c r="VM169" s="12" t="s">
        <v>37</v>
      </c>
      <c r="VN169" s="12" t="s">
        <v>37</v>
      </c>
      <c r="VQ169" s="13" t="s">
        <v>37</v>
      </c>
      <c r="VR169" s="13" t="s">
        <v>37</v>
      </c>
      <c r="VS169" s="13" t="s">
        <v>37</v>
      </c>
      <c r="VT169" s="13" t="s">
        <v>37</v>
      </c>
      <c r="VU169" s="13" t="s">
        <v>37</v>
      </c>
      <c r="VV169" s="13" t="s">
        <v>37</v>
      </c>
      <c r="WA169" s="13" t="s">
        <v>37</v>
      </c>
      <c r="WB169" s="13" t="s">
        <v>37</v>
      </c>
      <c r="WC169" s="13" t="s">
        <v>37</v>
      </c>
      <c r="WD169" s="13" t="s">
        <v>37</v>
      </c>
      <c r="WE169" s="13" t="s">
        <v>37</v>
      </c>
      <c r="WF169" s="13" t="s">
        <v>37</v>
      </c>
    </row>
    <row r="170" spans="1:604" ht="18" customHeight="1" x14ac:dyDescent="0.4">
      <c r="A170" s="11">
        <v>40</v>
      </c>
      <c r="B170" s="16" t="s">
        <v>934</v>
      </c>
      <c r="C170" s="12" t="s">
        <v>26</v>
      </c>
      <c r="D170" s="12" t="s">
        <v>54</v>
      </c>
      <c r="E170" s="40" t="s">
        <v>37</v>
      </c>
      <c r="F170" s="14">
        <v>0</v>
      </c>
      <c r="G170" s="14">
        <v>0</v>
      </c>
      <c r="H170" s="12" t="s">
        <v>123</v>
      </c>
      <c r="I170" s="29">
        <v>64.8</v>
      </c>
      <c r="J170" s="29">
        <v>24.617000000000001</v>
      </c>
      <c r="K170" s="12" t="s">
        <v>738</v>
      </c>
      <c r="L170" s="12" t="s">
        <v>739</v>
      </c>
      <c r="M170" s="13" t="s">
        <v>37</v>
      </c>
      <c r="N170" s="14">
        <v>4.2</v>
      </c>
      <c r="O170" s="14">
        <v>585</v>
      </c>
      <c r="P170" s="14" t="s">
        <v>84</v>
      </c>
      <c r="Q170" s="75">
        <v>42</v>
      </c>
      <c r="R170" s="11" t="s">
        <v>1000</v>
      </c>
      <c r="S170" s="12" t="s">
        <v>105</v>
      </c>
      <c r="T170" s="12" t="s">
        <v>138</v>
      </c>
      <c r="U170" s="12" t="s">
        <v>158</v>
      </c>
      <c r="V170" s="12" t="s">
        <v>275</v>
      </c>
      <c r="W170" s="23" t="s">
        <v>146</v>
      </c>
      <c r="X170" s="12" t="s">
        <v>282</v>
      </c>
      <c r="Y170" s="12" t="s">
        <v>69</v>
      </c>
      <c r="Z170" s="12" t="s">
        <v>217</v>
      </c>
      <c r="AA170" s="32" t="s">
        <v>345</v>
      </c>
      <c r="AB170" s="12">
        <v>6.3</v>
      </c>
      <c r="AC170" s="12" t="s">
        <v>42</v>
      </c>
      <c r="AD170" s="32" t="s">
        <v>345</v>
      </c>
      <c r="AE170" s="12">
        <v>351.3</v>
      </c>
      <c r="AH170" s="12" t="s">
        <v>37</v>
      </c>
      <c r="AK170" s="12" t="s">
        <v>37</v>
      </c>
      <c r="AL170" s="32" t="s">
        <v>539</v>
      </c>
      <c r="AM170" s="12" t="s">
        <v>317</v>
      </c>
      <c r="AN170" s="32" t="s">
        <v>880</v>
      </c>
      <c r="AO170" s="13" t="s">
        <v>37</v>
      </c>
      <c r="AP170" s="12" t="s">
        <v>81</v>
      </c>
      <c r="AQ170" s="12" t="s">
        <v>975</v>
      </c>
      <c r="AR170" s="12" t="s">
        <v>42</v>
      </c>
      <c r="AS170" s="32" t="s">
        <v>345</v>
      </c>
      <c r="AT170" s="12">
        <v>351.3</v>
      </c>
      <c r="AU170" s="50">
        <f>AT170*AW$474</f>
        <v>30.0456860572327</v>
      </c>
      <c r="AX170" s="12" t="s">
        <v>326</v>
      </c>
      <c r="AY170" s="12" t="s">
        <v>326</v>
      </c>
      <c r="AZ170" s="13" t="s">
        <v>326</v>
      </c>
      <c r="BB170" s="52"/>
      <c r="BE170" s="12" t="s">
        <v>326</v>
      </c>
      <c r="BF170" s="12" t="s">
        <v>326</v>
      </c>
      <c r="BG170" s="12" t="s">
        <v>326</v>
      </c>
      <c r="BI170" s="12" t="s">
        <v>326</v>
      </c>
      <c r="BJ170" s="12" t="s">
        <v>326</v>
      </c>
      <c r="BK170" s="12" t="s">
        <v>326</v>
      </c>
      <c r="BP170" s="12" t="s">
        <v>37</v>
      </c>
      <c r="BQ170" s="12" t="s">
        <v>37</v>
      </c>
      <c r="BR170" s="13" t="s">
        <v>37</v>
      </c>
      <c r="BT170" s="12" t="s">
        <v>37</v>
      </c>
      <c r="BU170" s="12" t="s">
        <v>37</v>
      </c>
      <c r="BV170" s="12" t="s">
        <v>37</v>
      </c>
      <c r="CA170" s="12" t="s">
        <v>37</v>
      </c>
      <c r="CB170" s="12" t="s">
        <v>37</v>
      </c>
      <c r="CC170" s="13" t="s">
        <v>37</v>
      </c>
      <c r="CE170" s="12" t="s">
        <v>37</v>
      </c>
      <c r="CF170" s="12" t="s">
        <v>37</v>
      </c>
      <c r="CG170" s="13" t="s">
        <v>37</v>
      </c>
      <c r="CN170" s="12" t="s">
        <v>37</v>
      </c>
      <c r="CO170" s="12" t="s">
        <v>37</v>
      </c>
      <c r="CP170" s="13" t="s">
        <v>37</v>
      </c>
      <c r="CR170" s="12" t="s">
        <v>37</v>
      </c>
      <c r="CS170" s="12" t="s">
        <v>37</v>
      </c>
      <c r="CT170" s="13" t="s">
        <v>37</v>
      </c>
      <c r="CX170" s="72"/>
      <c r="CY170" s="72"/>
      <c r="CZ170" s="12" t="s">
        <v>581</v>
      </c>
      <c r="DA170" s="12">
        <f>-316.332378223496*10^4/10^3/'[8]classess-1'!$I$25</f>
        <v>-870.68123911737575</v>
      </c>
      <c r="DB170" s="50">
        <f>ABS(DA170)*DD$474</f>
        <v>2611.7446894434738</v>
      </c>
      <c r="DC170" s="13">
        <v>3</v>
      </c>
      <c r="DE170" s="12">
        <f>-128.36676217765*10^4/10^3/'[8]classess-1'!$I$26</f>
        <v>-911.63843300448298</v>
      </c>
      <c r="DF170" s="50">
        <f>ABS(DE170)*DH$474</f>
        <v>868.92160342494367</v>
      </c>
      <c r="DG170" s="13">
        <v>3</v>
      </c>
      <c r="DI170" s="19">
        <f t="shared" si="670"/>
        <v>-40.957193887107223</v>
      </c>
      <c r="DJ170" s="12">
        <f t="shared" si="671"/>
        <v>1946.3086954199689</v>
      </c>
      <c r="DK170" s="72">
        <f t="shared" si="672"/>
        <v>2525411.6919115875</v>
      </c>
      <c r="DL170" s="72">
        <f t="shared" si="673"/>
        <v>2525411.6919115875</v>
      </c>
      <c r="DM170" s="12" t="s">
        <v>47</v>
      </c>
      <c r="DN170" s="19">
        <f>0.40187891440501*10^4/10^3/'[1]classes-1'!$I$69</f>
        <v>5.1084348128521384</v>
      </c>
      <c r="DO170" s="50">
        <f>ABS(DN170)*DQ$474</f>
        <v>5.6952881728724067</v>
      </c>
      <c r="DP170" s="13">
        <v>3</v>
      </c>
      <c r="DR170" s="19">
        <f>-0.0678496868475992*10^4/10^3/'[1]classes-1'!$I$70</f>
        <v>-0.69713006958988755</v>
      </c>
      <c r="DS170" s="50">
        <f>ABS(DR170)*DU$474</f>
        <v>2.6053258555485774</v>
      </c>
      <c r="DT170" s="13">
        <v>3</v>
      </c>
      <c r="DV170" s="19">
        <f t="shared" si="509"/>
        <v>-5.8055648824420256</v>
      </c>
      <c r="DW170" s="12">
        <f t="shared" si="485"/>
        <v>4.4285454827544815</v>
      </c>
      <c r="DX170" s="72">
        <f t="shared" si="641"/>
        <v>13.074676728550083</v>
      </c>
      <c r="DY170" s="72">
        <f t="shared" si="642"/>
        <v>13.074676728550083</v>
      </c>
      <c r="EA170" s="19" t="s">
        <v>37</v>
      </c>
      <c r="EB170" s="19" t="s">
        <v>37</v>
      </c>
      <c r="EC170" s="72" t="s">
        <v>37</v>
      </c>
      <c r="EE170" s="19" t="s">
        <v>37</v>
      </c>
      <c r="EF170" s="19" t="s">
        <v>37</v>
      </c>
      <c r="EG170" s="11" t="s">
        <v>37</v>
      </c>
      <c r="EM170" s="12" t="s">
        <v>39</v>
      </c>
      <c r="EN170" s="12">
        <v>-5.9909980430528433</v>
      </c>
      <c r="EO170" s="12">
        <v>3.1338536679828461</v>
      </c>
      <c r="EP170" s="13">
        <v>3</v>
      </c>
      <c r="EQ170" s="19">
        <f t="shared" si="510"/>
        <v>0.52309375590881058</v>
      </c>
      <c r="ER170" s="12">
        <v>-25.035567514677091</v>
      </c>
      <c r="ES170" s="12">
        <v>3.3576627131775418</v>
      </c>
      <c r="ET170" s="13">
        <v>3</v>
      </c>
      <c r="EU170" s="19">
        <f t="shared" si="511"/>
        <v>0.13411570203907355</v>
      </c>
      <c r="EV170" s="19">
        <f t="shared" si="643"/>
        <v>-19.044569471624246</v>
      </c>
      <c r="EW170" s="12">
        <f t="shared" si="644"/>
        <v>3.2476866926931476</v>
      </c>
      <c r="EX170" s="19">
        <f t="shared" si="645"/>
        <v>7.0316459025974369</v>
      </c>
      <c r="EY170" s="19">
        <f t="shared" si="646"/>
        <v>7.031645902597436</v>
      </c>
      <c r="FB170" s="12" t="s">
        <v>37</v>
      </c>
      <c r="FC170" s="12" t="s">
        <v>37</v>
      </c>
      <c r="FD170" s="11" t="s">
        <v>37</v>
      </c>
      <c r="FE170" s="12" t="s">
        <v>37</v>
      </c>
      <c r="FF170" s="20" t="s">
        <v>37</v>
      </c>
      <c r="FG170" s="11" t="s">
        <v>37</v>
      </c>
      <c r="FI170" s="12" t="s">
        <v>37</v>
      </c>
      <c r="FJ170" s="12" t="s">
        <v>37</v>
      </c>
      <c r="FK170" s="11" t="s">
        <v>37</v>
      </c>
      <c r="FL170" s="13" t="s">
        <v>37</v>
      </c>
      <c r="FM170" s="11" t="s">
        <v>37</v>
      </c>
      <c r="FN170" s="11" t="s">
        <v>37</v>
      </c>
      <c r="FP170" s="12" t="s">
        <v>37</v>
      </c>
      <c r="FQ170" s="12" t="s">
        <v>37</v>
      </c>
      <c r="FR170" s="11" t="s">
        <v>37</v>
      </c>
      <c r="FS170" s="13" t="s">
        <v>37</v>
      </c>
      <c r="FT170" s="11" t="s">
        <v>37</v>
      </c>
      <c r="FU170" s="11" t="s">
        <v>37</v>
      </c>
      <c r="FW170" s="12" t="s">
        <v>37</v>
      </c>
      <c r="FX170" s="12" t="s">
        <v>37</v>
      </c>
      <c r="FY170" s="11" t="s">
        <v>37</v>
      </c>
      <c r="FZ170" s="13" t="s">
        <v>37</v>
      </c>
      <c r="GA170" s="11" t="s">
        <v>37</v>
      </c>
      <c r="GB170" s="11" t="s">
        <v>37</v>
      </c>
      <c r="IK170" s="12" t="s">
        <v>37</v>
      </c>
      <c r="IL170" s="12" t="s">
        <v>37</v>
      </c>
      <c r="IM170" s="12" t="s">
        <v>37</v>
      </c>
      <c r="IO170" s="12" t="s">
        <v>37</v>
      </c>
      <c r="IP170" s="12" t="s">
        <v>37</v>
      </c>
      <c r="IQ170" s="12" t="s">
        <v>37</v>
      </c>
      <c r="IV170" s="32" t="s">
        <v>345</v>
      </c>
      <c r="IW170" s="12">
        <v>6.3</v>
      </c>
      <c r="IX170" s="50">
        <f>ABS(IW170)*IZ$474</f>
        <v>0.23066027855654575</v>
      </c>
      <c r="IY170" s="13">
        <v>3</v>
      </c>
      <c r="JH170" s="12" t="s">
        <v>37</v>
      </c>
      <c r="JI170" s="12" t="s">
        <v>37</v>
      </c>
      <c r="JJ170" s="13" t="s">
        <v>37</v>
      </c>
      <c r="JL170" s="12" t="s">
        <v>37</v>
      </c>
      <c r="JM170" s="12" t="s">
        <v>37</v>
      </c>
      <c r="JN170" s="12" t="s">
        <v>37</v>
      </c>
      <c r="JS170" s="12" t="s">
        <v>37</v>
      </c>
      <c r="JT170" s="12" t="s">
        <v>37</v>
      </c>
      <c r="JU170" s="13" t="s">
        <v>37</v>
      </c>
      <c r="JW170" s="12" t="s">
        <v>37</v>
      </c>
      <c r="JX170" s="12" t="s">
        <v>37</v>
      </c>
      <c r="JY170" s="12" t="s">
        <v>37</v>
      </c>
      <c r="KE170" s="11" t="s">
        <v>37</v>
      </c>
      <c r="KF170" s="11" t="s">
        <v>37</v>
      </c>
      <c r="KG170" s="13" t="s">
        <v>37</v>
      </c>
      <c r="KH170" s="11" t="s">
        <v>37</v>
      </c>
      <c r="KI170" s="11" t="s">
        <v>37</v>
      </c>
      <c r="KJ170" s="11" t="s">
        <v>37</v>
      </c>
      <c r="KM170" s="12" t="s">
        <v>37</v>
      </c>
      <c r="KN170" s="12" t="s">
        <v>37</v>
      </c>
      <c r="KO170" s="11" t="s">
        <v>37</v>
      </c>
      <c r="KQ170" s="12" t="s">
        <v>37</v>
      </c>
      <c r="KR170" s="12" t="s">
        <v>37</v>
      </c>
      <c r="KS170" s="13" t="s">
        <v>37</v>
      </c>
      <c r="KX170" s="12" t="s">
        <v>37</v>
      </c>
      <c r="KY170" s="12" t="s">
        <v>37</v>
      </c>
      <c r="KZ170" s="13" t="s">
        <v>37</v>
      </c>
      <c r="LB170" s="12" t="s">
        <v>37</v>
      </c>
      <c r="LC170" s="12" t="s">
        <v>37</v>
      </c>
      <c r="LD170" s="13" t="s">
        <v>37</v>
      </c>
      <c r="LI170" s="12" t="s">
        <v>37</v>
      </c>
      <c r="LJ170" s="12" t="s">
        <v>37</v>
      </c>
      <c r="LK170" s="12" t="s">
        <v>37</v>
      </c>
      <c r="LM170" s="12" t="s">
        <v>37</v>
      </c>
      <c r="LN170" s="12" t="s">
        <v>37</v>
      </c>
      <c r="LO170" s="12" t="s">
        <v>37</v>
      </c>
      <c r="LU170" s="12" t="s">
        <v>37</v>
      </c>
      <c r="LV170" s="12" t="s">
        <v>37</v>
      </c>
      <c r="LW170" s="13" t="s">
        <v>37</v>
      </c>
      <c r="LY170" s="12" t="s">
        <v>37</v>
      </c>
      <c r="LZ170" s="12" t="s">
        <v>37</v>
      </c>
      <c r="MA170" s="12" t="s">
        <v>37</v>
      </c>
      <c r="MF170" s="12" t="s">
        <v>37</v>
      </c>
      <c r="MG170" s="12" t="s">
        <v>37</v>
      </c>
      <c r="MH170" s="12" t="s">
        <v>37</v>
      </c>
      <c r="MJ170" s="12" t="s">
        <v>37</v>
      </c>
      <c r="MK170" s="12" t="s">
        <v>37</v>
      </c>
      <c r="ML170" s="12" t="s">
        <v>37</v>
      </c>
      <c r="MQ170" s="12" t="s">
        <v>37</v>
      </c>
      <c r="MR170" s="12" t="s">
        <v>37</v>
      </c>
      <c r="MS170" s="12" t="s">
        <v>37</v>
      </c>
      <c r="MU170" s="12" t="s">
        <v>37</v>
      </c>
      <c r="MV170" s="12" t="s">
        <v>37</v>
      </c>
      <c r="MW170" s="12" t="s">
        <v>37</v>
      </c>
      <c r="NC170" s="12" t="s">
        <v>37</v>
      </c>
      <c r="ND170" s="12" t="s">
        <v>37</v>
      </c>
      <c r="NE170" s="12" t="s">
        <v>37</v>
      </c>
      <c r="NG170" s="12" t="s">
        <v>37</v>
      </c>
      <c r="NH170" s="12" t="s">
        <v>37</v>
      </c>
      <c r="NI170" s="12" t="s">
        <v>37</v>
      </c>
      <c r="NO170" s="12" t="s">
        <v>37</v>
      </c>
      <c r="NP170" s="12" t="s">
        <v>37</v>
      </c>
      <c r="NQ170" s="12" t="s">
        <v>37</v>
      </c>
      <c r="NS170" s="12" t="s">
        <v>37</v>
      </c>
      <c r="NT170" s="12" t="s">
        <v>37</v>
      </c>
      <c r="NU170" s="12" t="s">
        <v>37</v>
      </c>
      <c r="OA170" s="12" t="s">
        <v>37</v>
      </c>
      <c r="OB170" s="12" t="s">
        <v>37</v>
      </c>
      <c r="OC170" s="13" t="s">
        <v>37</v>
      </c>
      <c r="OE170" s="12" t="s">
        <v>37</v>
      </c>
      <c r="OF170" s="12" t="s">
        <v>37</v>
      </c>
      <c r="OG170" s="13" t="s">
        <v>37</v>
      </c>
      <c r="OM170" s="12" t="s">
        <v>37</v>
      </c>
      <c r="ON170" s="12" t="s">
        <v>37</v>
      </c>
      <c r="OO170" s="12" t="s">
        <v>37</v>
      </c>
      <c r="OP170" s="12" t="s">
        <v>37</v>
      </c>
      <c r="OQ170" s="12" t="s">
        <v>37</v>
      </c>
      <c r="OR170" s="12" t="s">
        <v>37</v>
      </c>
      <c r="OS170" s="12"/>
      <c r="OT170" s="12"/>
      <c r="OW170" s="12" t="s">
        <v>37</v>
      </c>
      <c r="OX170" s="12" t="s">
        <v>37</v>
      </c>
      <c r="OY170" s="13" t="s">
        <v>37</v>
      </c>
      <c r="OZ170" s="12" t="s">
        <v>37</v>
      </c>
      <c r="PA170" s="12" t="s">
        <v>37</v>
      </c>
      <c r="PB170" s="13" t="s">
        <v>37</v>
      </c>
      <c r="PG170" s="11" t="s">
        <v>37</v>
      </c>
      <c r="PH170" s="11" t="s">
        <v>37</v>
      </c>
      <c r="PI170" s="13" t="s">
        <v>37</v>
      </c>
      <c r="PJ170" s="11" t="s">
        <v>37</v>
      </c>
      <c r="PK170" s="11" t="s">
        <v>37</v>
      </c>
      <c r="PL170" s="13" t="s">
        <v>37</v>
      </c>
      <c r="PQ170" s="12" t="s">
        <v>37</v>
      </c>
      <c r="PR170" s="12" t="s">
        <v>37</v>
      </c>
      <c r="PS170" s="12" t="s">
        <v>37</v>
      </c>
      <c r="PT170" s="12" t="s">
        <v>37</v>
      </c>
      <c r="PU170" s="12" t="s">
        <v>37</v>
      </c>
      <c r="PV170" s="12" t="s">
        <v>37</v>
      </c>
      <c r="PW170" s="12"/>
      <c r="PX170" s="12"/>
      <c r="PZ170" s="12" t="s">
        <v>37</v>
      </c>
      <c r="QA170" s="12" t="s">
        <v>37</v>
      </c>
      <c r="QB170" s="11" t="s">
        <v>37</v>
      </c>
      <c r="QD170" s="12" t="s">
        <v>37</v>
      </c>
      <c r="QE170" s="12" t="s">
        <v>37</v>
      </c>
      <c r="QF170" s="12" t="s">
        <v>37</v>
      </c>
      <c r="QK170" s="12" t="s">
        <v>37</v>
      </c>
      <c r="QL170" s="12" t="s">
        <v>37</v>
      </c>
      <c r="QM170" s="12" t="s">
        <v>37</v>
      </c>
      <c r="QN170" s="12" t="s">
        <v>37</v>
      </c>
      <c r="QO170" s="12" t="s">
        <v>37</v>
      </c>
      <c r="QP170" s="12" t="s">
        <v>37</v>
      </c>
      <c r="QQ170" s="12"/>
      <c r="QR170" s="12"/>
      <c r="QU170" s="12" t="s">
        <v>37</v>
      </c>
      <c r="QV170" s="12" t="s">
        <v>37</v>
      </c>
      <c r="QW170" s="12" t="s">
        <v>37</v>
      </c>
      <c r="QX170" s="12" t="s">
        <v>37</v>
      </c>
      <c r="QY170" s="12" t="s">
        <v>37</v>
      </c>
      <c r="QZ170" s="12" t="s">
        <v>37</v>
      </c>
      <c r="RC170" s="12" t="s">
        <v>37</v>
      </c>
      <c r="RD170" s="12" t="s">
        <v>37</v>
      </c>
      <c r="RE170" s="13" t="s">
        <v>37</v>
      </c>
      <c r="RF170" s="12" t="s">
        <v>37</v>
      </c>
      <c r="RG170" s="12" t="s">
        <v>37</v>
      </c>
      <c r="RH170" s="13" t="s">
        <v>37</v>
      </c>
      <c r="RK170" s="12" t="s">
        <v>37</v>
      </c>
      <c r="RL170" s="12" t="s">
        <v>37</v>
      </c>
      <c r="RM170" s="11" t="s">
        <v>37</v>
      </c>
      <c r="RN170" s="12" t="s">
        <v>37</v>
      </c>
      <c r="RO170" s="12" t="s">
        <v>37</v>
      </c>
      <c r="RP170" s="11" t="s">
        <v>37</v>
      </c>
      <c r="RS170" s="12" t="s">
        <v>37</v>
      </c>
      <c r="RT170" s="12" t="s">
        <v>37</v>
      </c>
      <c r="RU170" s="12" t="s">
        <v>37</v>
      </c>
      <c r="RV170" s="12" t="s">
        <v>37</v>
      </c>
      <c r="RW170" s="12" t="s">
        <v>37</v>
      </c>
      <c r="RX170" s="12" t="s">
        <v>37</v>
      </c>
      <c r="SA170" s="12" t="s">
        <v>37</v>
      </c>
      <c r="SB170" s="12" t="s">
        <v>37</v>
      </c>
      <c r="SC170" s="12" t="s">
        <v>37</v>
      </c>
      <c r="SD170" s="12" t="s">
        <v>37</v>
      </c>
      <c r="SE170" s="12" t="s">
        <v>37</v>
      </c>
      <c r="SF170" s="12" t="s">
        <v>37</v>
      </c>
      <c r="SI170" s="12" t="s">
        <v>37</v>
      </c>
      <c r="SJ170" s="12" t="s">
        <v>37</v>
      </c>
      <c r="SK170" s="13" t="s">
        <v>37</v>
      </c>
      <c r="SM170" s="12" t="s">
        <v>37</v>
      </c>
      <c r="SN170" s="12" t="s">
        <v>37</v>
      </c>
      <c r="SO170" s="13" t="s">
        <v>37</v>
      </c>
      <c r="SU170" s="12" t="s">
        <v>37</v>
      </c>
      <c r="SV170" s="12" t="s">
        <v>37</v>
      </c>
      <c r="SW170" s="11" t="s">
        <v>37</v>
      </c>
      <c r="SX170" s="12" t="s">
        <v>37</v>
      </c>
      <c r="SY170" s="12" t="s">
        <v>37</v>
      </c>
      <c r="SZ170" s="11" t="s">
        <v>37</v>
      </c>
      <c r="TE170" s="12" t="s">
        <v>37</v>
      </c>
      <c r="TF170" s="12" t="s">
        <v>37</v>
      </c>
      <c r="TG170" s="11" t="s">
        <v>37</v>
      </c>
      <c r="TH170" s="12" t="s">
        <v>37</v>
      </c>
      <c r="TI170" s="12" t="s">
        <v>37</v>
      </c>
      <c r="TJ170" s="11" t="s">
        <v>37</v>
      </c>
      <c r="TO170" s="12" t="s">
        <v>37</v>
      </c>
      <c r="TP170" s="12" t="s">
        <v>37</v>
      </c>
      <c r="TQ170" s="11" t="s">
        <v>37</v>
      </c>
      <c r="TR170" s="12" t="s">
        <v>37</v>
      </c>
      <c r="TS170" s="12" t="s">
        <v>37</v>
      </c>
      <c r="TT170" s="11" t="s">
        <v>37</v>
      </c>
      <c r="TY170" s="12" t="s">
        <v>37</v>
      </c>
      <c r="TZ170" s="12" t="s">
        <v>37</v>
      </c>
      <c r="UA170" s="12" t="s">
        <v>37</v>
      </c>
      <c r="UB170" s="12" t="s">
        <v>37</v>
      </c>
      <c r="UC170" s="12" t="s">
        <v>37</v>
      </c>
      <c r="UD170" s="12" t="s">
        <v>37</v>
      </c>
      <c r="UE170" s="12"/>
      <c r="UF170" s="12"/>
      <c r="UI170" s="12" t="s">
        <v>37</v>
      </c>
      <c r="UJ170" s="12" t="s">
        <v>37</v>
      </c>
      <c r="UK170" s="12" t="s">
        <v>37</v>
      </c>
      <c r="UL170" s="12" t="s">
        <v>37</v>
      </c>
      <c r="UM170" s="12" t="s">
        <v>37</v>
      </c>
      <c r="UN170" s="12" t="s">
        <v>37</v>
      </c>
      <c r="UO170" s="12"/>
      <c r="UP170" s="12"/>
      <c r="UR170" s="12" t="s">
        <v>37</v>
      </c>
      <c r="US170" s="12" t="s">
        <v>37</v>
      </c>
      <c r="UT170" s="12" t="s">
        <v>37</v>
      </c>
      <c r="UU170" s="12" t="s">
        <v>37</v>
      </c>
      <c r="UV170" s="12" t="s">
        <v>37</v>
      </c>
      <c r="UW170" s="12" t="s">
        <v>37</v>
      </c>
      <c r="UX170" s="12"/>
      <c r="UY170" s="12"/>
      <c r="VB170" s="12" t="s">
        <v>37</v>
      </c>
      <c r="VC170" s="12" t="s">
        <v>37</v>
      </c>
      <c r="VD170" s="12" t="s">
        <v>37</v>
      </c>
      <c r="VE170" s="12" t="s">
        <v>37</v>
      </c>
      <c r="VF170" s="12" t="s">
        <v>37</v>
      </c>
      <c r="VG170" s="12" t="s">
        <v>37</v>
      </c>
      <c r="VI170" s="12" t="s">
        <v>37</v>
      </c>
      <c r="VJ170" s="12" t="s">
        <v>37</v>
      </c>
      <c r="VK170" s="12" t="s">
        <v>37</v>
      </c>
      <c r="VL170" s="12" t="s">
        <v>37</v>
      </c>
      <c r="VM170" s="12" t="s">
        <v>37</v>
      </c>
      <c r="VN170" s="12" t="s">
        <v>37</v>
      </c>
      <c r="VQ170" s="13" t="s">
        <v>37</v>
      </c>
      <c r="VR170" s="13" t="s">
        <v>37</v>
      </c>
      <c r="VS170" s="13" t="s">
        <v>37</v>
      </c>
      <c r="VT170" s="13" t="s">
        <v>37</v>
      </c>
      <c r="VU170" s="13" t="s">
        <v>37</v>
      </c>
      <c r="VV170" s="13" t="s">
        <v>37</v>
      </c>
      <c r="WA170" s="13" t="s">
        <v>37</v>
      </c>
      <c r="WB170" s="13" t="s">
        <v>37</v>
      </c>
      <c r="WC170" s="13" t="s">
        <v>37</v>
      </c>
      <c r="WD170" s="13" t="s">
        <v>37</v>
      </c>
      <c r="WE170" s="13" t="s">
        <v>37</v>
      </c>
      <c r="WF170" s="13" t="s">
        <v>37</v>
      </c>
    </row>
    <row r="171" spans="1:604" ht="18" customHeight="1" x14ac:dyDescent="0.4">
      <c r="A171" s="11">
        <v>40</v>
      </c>
      <c r="B171" s="16" t="s">
        <v>934</v>
      </c>
      <c r="C171" s="12" t="s">
        <v>26</v>
      </c>
      <c r="D171" s="12" t="s">
        <v>54</v>
      </c>
      <c r="E171" s="40" t="s">
        <v>37</v>
      </c>
      <c r="F171" s="14">
        <v>0</v>
      </c>
      <c r="G171" s="14">
        <v>0</v>
      </c>
      <c r="H171" s="12" t="s">
        <v>123</v>
      </c>
      <c r="I171" s="29">
        <v>64.8</v>
      </c>
      <c r="J171" s="29">
        <v>24.617000000000001</v>
      </c>
      <c r="K171" s="12" t="s">
        <v>738</v>
      </c>
      <c r="L171" s="12" t="s">
        <v>739</v>
      </c>
      <c r="M171" s="13" t="s">
        <v>37</v>
      </c>
      <c r="N171" s="14">
        <v>4.2</v>
      </c>
      <c r="O171" s="14">
        <v>585</v>
      </c>
      <c r="P171" s="14" t="s">
        <v>84</v>
      </c>
      <c r="Q171" s="75">
        <v>42</v>
      </c>
      <c r="R171" s="11" t="s">
        <v>1000</v>
      </c>
      <c r="S171" s="12" t="s">
        <v>105</v>
      </c>
      <c r="T171" s="12" t="s">
        <v>138</v>
      </c>
      <c r="U171" s="12" t="s">
        <v>158</v>
      </c>
      <c r="V171" s="12" t="s">
        <v>275</v>
      </c>
      <c r="W171" s="23" t="s">
        <v>146</v>
      </c>
      <c r="X171" s="12" t="s">
        <v>282</v>
      </c>
      <c r="Y171" s="12" t="s">
        <v>69</v>
      </c>
      <c r="Z171" s="12" t="s">
        <v>217</v>
      </c>
      <c r="AA171" s="32" t="s">
        <v>345</v>
      </c>
      <c r="AB171" s="12">
        <v>6.6</v>
      </c>
      <c r="AC171" s="12" t="s">
        <v>42</v>
      </c>
      <c r="AD171" s="32" t="s">
        <v>345</v>
      </c>
      <c r="AE171" s="12">
        <v>351.3</v>
      </c>
      <c r="AH171" s="12" t="s">
        <v>37</v>
      </c>
      <c r="AK171" s="12" t="s">
        <v>37</v>
      </c>
      <c r="AL171" s="32" t="s">
        <v>539</v>
      </c>
      <c r="AM171" s="12" t="s">
        <v>317</v>
      </c>
      <c r="AN171" s="32" t="s">
        <v>880</v>
      </c>
      <c r="AO171" s="13" t="s">
        <v>37</v>
      </c>
      <c r="AP171" s="12" t="s">
        <v>81</v>
      </c>
      <c r="AQ171" s="12" t="s">
        <v>975</v>
      </c>
      <c r="AR171" s="12" t="s">
        <v>42</v>
      </c>
      <c r="AS171" s="32" t="s">
        <v>345</v>
      </c>
      <c r="AT171" s="12">
        <v>351.3</v>
      </c>
      <c r="AU171" s="50">
        <f>AT171*AW$474</f>
        <v>30.0456860572327</v>
      </c>
      <c r="AX171" s="12" t="s">
        <v>326</v>
      </c>
      <c r="AY171" s="12" t="s">
        <v>326</v>
      </c>
      <c r="AZ171" s="13" t="s">
        <v>326</v>
      </c>
      <c r="BB171" s="52"/>
      <c r="BE171" s="12" t="s">
        <v>326</v>
      </c>
      <c r="BF171" s="12" t="s">
        <v>326</v>
      </c>
      <c r="BG171" s="12" t="s">
        <v>326</v>
      </c>
      <c r="BI171" s="12" t="s">
        <v>326</v>
      </c>
      <c r="BJ171" s="12" t="s">
        <v>326</v>
      </c>
      <c r="BK171" s="12" t="s">
        <v>326</v>
      </c>
      <c r="BP171" s="12" t="s">
        <v>37</v>
      </c>
      <c r="BQ171" s="12" t="s">
        <v>37</v>
      </c>
      <c r="BR171" s="13" t="s">
        <v>37</v>
      </c>
      <c r="BT171" s="12" t="s">
        <v>37</v>
      </c>
      <c r="BU171" s="12" t="s">
        <v>37</v>
      </c>
      <c r="BV171" s="12" t="s">
        <v>37</v>
      </c>
      <c r="CA171" s="12" t="s">
        <v>37</v>
      </c>
      <c r="CB171" s="12" t="s">
        <v>37</v>
      </c>
      <c r="CC171" s="13" t="s">
        <v>37</v>
      </c>
      <c r="CE171" s="12" t="s">
        <v>37</v>
      </c>
      <c r="CF171" s="12" t="s">
        <v>37</v>
      </c>
      <c r="CG171" s="13" t="s">
        <v>37</v>
      </c>
      <c r="CN171" s="12" t="s">
        <v>37</v>
      </c>
      <c r="CO171" s="12" t="s">
        <v>37</v>
      </c>
      <c r="CP171" s="13" t="s">
        <v>37</v>
      </c>
      <c r="CR171" s="12" t="s">
        <v>37</v>
      </c>
      <c r="CS171" s="12" t="s">
        <v>37</v>
      </c>
      <c r="CT171" s="13" t="s">
        <v>37</v>
      </c>
      <c r="CX171" s="72"/>
      <c r="CY171" s="72"/>
      <c r="CZ171" s="12" t="s">
        <v>581</v>
      </c>
      <c r="DA171" s="12">
        <f>29.7994269340974*10^4/10^3/'[8]classess-1'!$I$25</f>
        <v>82.020696438593234</v>
      </c>
      <c r="DB171" s="50">
        <f>ABS(DA171)*DD$474</f>
        <v>246.03392002003699</v>
      </c>
      <c r="DC171" s="13">
        <v>3</v>
      </c>
      <c r="DE171" s="12">
        <f>-639.541547277937*10^4/10^3/'[8]classess-1'!$I$26</f>
        <v>-4541.9129072902078</v>
      </c>
      <c r="DF171" s="50">
        <f>ABS(DE171)*DH$474</f>
        <v>4329.0915599207165</v>
      </c>
      <c r="DG171" s="13">
        <v>3</v>
      </c>
      <c r="DI171" s="19">
        <f t="shared" si="670"/>
        <v>-4623.9336037288012</v>
      </c>
      <c r="DJ171" s="12">
        <f t="shared" si="671"/>
        <v>3066.0696684825352</v>
      </c>
      <c r="DK171" s="72">
        <f t="shared" si="672"/>
        <v>6267188.8079924025</v>
      </c>
      <c r="DL171" s="72">
        <f t="shared" si="673"/>
        <v>6267188.8079924025</v>
      </c>
      <c r="DM171" s="12" t="s">
        <v>47</v>
      </c>
      <c r="DN171" s="19">
        <f>0.646137787056367*10^4/10^3/'[1]classes-1'!$I$69</f>
        <v>8.2133016861181183</v>
      </c>
      <c r="DO171" s="50">
        <f>ABS(DN171)*DQ$474</f>
        <v>9.1568399454753813</v>
      </c>
      <c r="DP171" s="13">
        <v>3</v>
      </c>
      <c r="DR171" s="19">
        <f>0.295407098121086*10^4/10^3/'[1]classes-1'!$I$70</f>
        <v>3.0351970722144359</v>
      </c>
      <c r="DS171" s="50">
        <f>ABS(DR171)*DU$474</f>
        <v>11.343187955696123</v>
      </c>
      <c r="DT171" s="13">
        <v>3</v>
      </c>
      <c r="DV171" s="19">
        <f t="shared" si="509"/>
        <v>-5.1781046139036828</v>
      </c>
      <c r="DW171" s="12">
        <f t="shared" si="485"/>
        <v>10.308143159301368</v>
      </c>
      <c r="DX171" s="72">
        <f t="shared" si="641"/>
        <v>70.838543595101058</v>
      </c>
      <c r="DY171" s="72">
        <f t="shared" si="642"/>
        <v>70.838543595101058</v>
      </c>
      <c r="EA171" s="19" t="s">
        <v>37</v>
      </c>
      <c r="EB171" s="19" t="s">
        <v>37</v>
      </c>
      <c r="EC171" s="72" t="s">
        <v>37</v>
      </c>
      <c r="EE171" s="19" t="s">
        <v>37</v>
      </c>
      <c r="EF171" s="19" t="s">
        <v>37</v>
      </c>
      <c r="EG171" s="11" t="s">
        <v>37</v>
      </c>
      <c r="EM171" s="12" t="s">
        <v>39</v>
      </c>
      <c r="EN171" s="12">
        <v>-28.456673189823867</v>
      </c>
      <c r="EO171" s="12">
        <v>9.4179374135466869</v>
      </c>
      <c r="EP171" s="13">
        <v>3</v>
      </c>
      <c r="EQ171" s="19">
        <f t="shared" si="510"/>
        <v>0.33095707817716902</v>
      </c>
      <c r="ER171" s="12">
        <v>-19.023532289628182</v>
      </c>
      <c r="ES171" s="12">
        <v>6.0791484886821818</v>
      </c>
      <c r="ET171" s="13">
        <v>3</v>
      </c>
      <c r="EU171" s="19">
        <f t="shared" si="511"/>
        <v>0.31955939602218847</v>
      </c>
      <c r="EV171" s="19">
        <f t="shared" si="643"/>
        <v>9.433140900195685</v>
      </c>
      <c r="EW171" s="12">
        <f t="shared" si="644"/>
        <v>7.9263355806112994</v>
      </c>
      <c r="EX171" s="19">
        <f t="shared" si="645"/>
        <v>41.884530490976438</v>
      </c>
      <c r="EY171" s="19">
        <f t="shared" si="646"/>
        <v>41.884530490976445</v>
      </c>
      <c r="FB171" s="12" t="s">
        <v>37</v>
      </c>
      <c r="FC171" s="12" t="s">
        <v>37</v>
      </c>
      <c r="FD171" s="11" t="s">
        <v>37</v>
      </c>
      <c r="FE171" s="12" t="s">
        <v>37</v>
      </c>
      <c r="FF171" s="20" t="s">
        <v>37</v>
      </c>
      <c r="FG171" s="11" t="s">
        <v>37</v>
      </c>
      <c r="FI171" s="12" t="s">
        <v>37</v>
      </c>
      <c r="FJ171" s="12" t="s">
        <v>37</v>
      </c>
      <c r="FK171" s="11" t="s">
        <v>37</v>
      </c>
      <c r="FL171" s="13" t="s">
        <v>37</v>
      </c>
      <c r="FM171" s="11" t="s">
        <v>37</v>
      </c>
      <c r="FN171" s="11" t="s">
        <v>37</v>
      </c>
      <c r="FP171" s="12" t="s">
        <v>37</v>
      </c>
      <c r="FQ171" s="12" t="s">
        <v>37</v>
      </c>
      <c r="FR171" s="11" t="s">
        <v>37</v>
      </c>
      <c r="FS171" s="13" t="s">
        <v>37</v>
      </c>
      <c r="FT171" s="11" t="s">
        <v>37</v>
      </c>
      <c r="FU171" s="11" t="s">
        <v>37</v>
      </c>
      <c r="FW171" s="12" t="s">
        <v>37</v>
      </c>
      <c r="FX171" s="12" t="s">
        <v>37</v>
      </c>
      <c r="FY171" s="11" t="s">
        <v>37</v>
      </c>
      <c r="FZ171" s="13" t="s">
        <v>37</v>
      </c>
      <c r="GA171" s="11" t="s">
        <v>37</v>
      </c>
      <c r="GB171" s="11" t="s">
        <v>37</v>
      </c>
      <c r="IK171" s="12" t="s">
        <v>37</v>
      </c>
      <c r="IL171" s="12" t="s">
        <v>37</v>
      </c>
      <c r="IM171" s="12" t="s">
        <v>37</v>
      </c>
      <c r="IO171" s="12" t="s">
        <v>37</v>
      </c>
      <c r="IP171" s="12" t="s">
        <v>37</v>
      </c>
      <c r="IQ171" s="12" t="s">
        <v>37</v>
      </c>
      <c r="IV171" s="32" t="s">
        <v>345</v>
      </c>
      <c r="IW171" s="12">
        <v>6.6</v>
      </c>
      <c r="IX171" s="50">
        <f>ABS(IW171)*IZ$474</f>
        <v>0.24164410134495271</v>
      </c>
      <c r="IY171" s="13">
        <v>3</v>
      </c>
      <c r="JH171" s="12" t="s">
        <v>37</v>
      </c>
      <c r="JI171" s="12" t="s">
        <v>37</v>
      </c>
      <c r="JJ171" s="13" t="s">
        <v>37</v>
      </c>
      <c r="JL171" s="12" t="s">
        <v>37</v>
      </c>
      <c r="JM171" s="12" t="s">
        <v>37</v>
      </c>
      <c r="JN171" s="12" t="s">
        <v>37</v>
      </c>
      <c r="JS171" s="12" t="s">
        <v>37</v>
      </c>
      <c r="JT171" s="12" t="s">
        <v>37</v>
      </c>
      <c r="JU171" s="13" t="s">
        <v>37</v>
      </c>
      <c r="JW171" s="12" t="s">
        <v>37</v>
      </c>
      <c r="JX171" s="12" t="s">
        <v>37</v>
      </c>
      <c r="JY171" s="12" t="s">
        <v>37</v>
      </c>
      <c r="KE171" s="11" t="s">
        <v>37</v>
      </c>
      <c r="KF171" s="11" t="s">
        <v>37</v>
      </c>
      <c r="KG171" s="13" t="s">
        <v>37</v>
      </c>
      <c r="KH171" s="11" t="s">
        <v>37</v>
      </c>
      <c r="KI171" s="11" t="s">
        <v>37</v>
      </c>
      <c r="KJ171" s="11" t="s">
        <v>37</v>
      </c>
      <c r="KM171" s="12" t="s">
        <v>37</v>
      </c>
      <c r="KN171" s="12" t="s">
        <v>37</v>
      </c>
      <c r="KO171" s="11" t="s">
        <v>37</v>
      </c>
      <c r="KQ171" s="12" t="s">
        <v>37</v>
      </c>
      <c r="KR171" s="12" t="s">
        <v>37</v>
      </c>
      <c r="KS171" s="13" t="s">
        <v>37</v>
      </c>
      <c r="KX171" s="12" t="s">
        <v>37</v>
      </c>
      <c r="KY171" s="12" t="s">
        <v>37</v>
      </c>
      <c r="KZ171" s="13" t="s">
        <v>37</v>
      </c>
      <c r="LB171" s="12" t="s">
        <v>37</v>
      </c>
      <c r="LC171" s="12" t="s">
        <v>37</v>
      </c>
      <c r="LD171" s="13" t="s">
        <v>37</v>
      </c>
      <c r="LI171" s="12" t="s">
        <v>37</v>
      </c>
      <c r="LJ171" s="12" t="s">
        <v>37</v>
      </c>
      <c r="LK171" s="12" t="s">
        <v>37</v>
      </c>
      <c r="LM171" s="12" t="s">
        <v>37</v>
      </c>
      <c r="LN171" s="12" t="s">
        <v>37</v>
      </c>
      <c r="LO171" s="12" t="s">
        <v>37</v>
      </c>
      <c r="LU171" s="12" t="s">
        <v>37</v>
      </c>
      <c r="LV171" s="12" t="s">
        <v>37</v>
      </c>
      <c r="LW171" s="13" t="s">
        <v>37</v>
      </c>
      <c r="LY171" s="12" t="s">
        <v>37</v>
      </c>
      <c r="LZ171" s="12" t="s">
        <v>37</v>
      </c>
      <c r="MA171" s="12" t="s">
        <v>37</v>
      </c>
      <c r="MF171" s="12" t="s">
        <v>37</v>
      </c>
      <c r="MG171" s="12" t="s">
        <v>37</v>
      </c>
      <c r="MH171" s="12" t="s">
        <v>37</v>
      </c>
      <c r="MJ171" s="12" t="s">
        <v>37</v>
      </c>
      <c r="MK171" s="12" t="s">
        <v>37</v>
      </c>
      <c r="ML171" s="12" t="s">
        <v>37</v>
      </c>
      <c r="MQ171" s="12" t="s">
        <v>37</v>
      </c>
      <c r="MR171" s="12" t="s">
        <v>37</v>
      </c>
      <c r="MS171" s="12" t="s">
        <v>37</v>
      </c>
      <c r="MU171" s="12" t="s">
        <v>37</v>
      </c>
      <c r="MV171" s="12" t="s">
        <v>37</v>
      </c>
      <c r="MW171" s="12" t="s">
        <v>37</v>
      </c>
      <c r="NC171" s="12" t="s">
        <v>37</v>
      </c>
      <c r="ND171" s="12" t="s">
        <v>37</v>
      </c>
      <c r="NE171" s="12" t="s">
        <v>37</v>
      </c>
      <c r="NG171" s="12" t="s">
        <v>37</v>
      </c>
      <c r="NH171" s="12" t="s">
        <v>37</v>
      </c>
      <c r="NI171" s="12" t="s">
        <v>37</v>
      </c>
      <c r="NO171" s="12" t="s">
        <v>37</v>
      </c>
      <c r="NP171" s="12" t="s">
        <v>37</v>
      </c>
      <c r="NQ171" s="12" t="s">
        <v>37</v>
      </c>
      <c r="NS171" s="12" t="s">
        <v>37</v>
      </c>
      <c r="NT171" s="12" t="s">
        <v>37</v>
      </c>
      <c r="NU171" s="12" t="s">
        <v>37</v>
      </c>
      <c r="OA171" s="12" t="s">
        <v>37</v>
      </c>
      <c r="OB171" s="12" t="s">
        <v>37</v>
      </c>
      <c r="OC171" s="13" t="s">
        <v>37</v>
      </c>
      <c r="OE171" s="12" t="s">
        <v>37</v>
      </c>
      <c r="OF171" s="12" t="s">
        <v>37</v>
      </c>
      <c r="OG171" s="13" t="s">
        <v>37</v>
      </c>
      <c r="OM171" s="12" t="s">
        <v>37</v>
      </c>
      <c r="ON171" s="12" t="s">
        <v>37</v>
      </c>
      <c r="OO171" s="12" t="s">
        <v>37</v>
      </c>
      <c r="OP171" s="12" t="s">
        <v>37</v>
      </c>
      <c r="OQ171" s="12" t="s">
        <v>37</v>
      </c>
      <c r="OR171" s="12" t="s">
        <v>37</v>
      </c>
      <c r="OS171" s="12"/>
      <c r="OT171" s="12"/>
      <c r="OW171" s="12" t="s">
        <v>37</v>
      </c>
      <c r="OX171" s="12" t="s">
        <v>37</v>
      </c>
      <c r="OY171" s="13" t="s">
        <v>37</v>
      </c>
      <c r="OZ171" s="12" t="s">
        <v>37</v>
      </c>
      <c r="PA171" s="12" t="s">
        <v>37</v>
      </c>
      <c r="PB171" s="13" t="s">
        <v>37</v>
      </c>
      <c r="PG171" s="11" t="s">
        <v>37</v>
      </c>
      <c r="PH171" s="11" t="s">
        <v>37</v>
      </c>
      <c r="PI171" s="13" t="s">
        <v>37</v>
      </c>
      <c r="PJ171" s="11" t="s">
        <v>37</v>
      </c>
      <c r="PK171" s="11" t="s">
        <v>37</v>
      </c>
      <c r="PL171" s="13" t="s">
        <v>37</v>
      </c>
      <c r="PQ171" s="12" t="s">
        <v>37</v>
      </c>
      <c r="PR171" s="12" t="s">
        <v>37</v>
      </c>
      <c r="PS171" s="12" t="s">
        <v>37</v>
      </c>
      <c r="PT171" s="12" t="s">
        <v>37</v>
      </c>
      <c r="PU171" s="12" t="s">
        <v>37</v>
      </c>
      <c r="PV171" s="12" t="s">
        <v>37</v>
      </c>
      <c r="PW171" s="12"/>
      <c r="PX171" s="12"/>
      <c r="PZ171" s="12" t="s">
        <v>37</v>
      </c>
      <c r="QA171" s="12" t="s">
        <v>37</v>
      </c>
      <c r="QB171" s="11" t="s">
        <v>37</v>
      </c>
      <c r="QD171" s="12" t="s">
        <v>37</v>
      </c>
      <c r="QE171" s="12" t="s">
        <v>37</v>
      </c>
      <c r="QF171" s="12" t="s">
        <v>37</v>
      </c>
      <c r="QK171" s="12" t="s">
        <v>37</v>
      </c>
      <c r="QL171" s="12" t="s">
        <v>37</v>
      </c>
      <c r="QM171" s="12" t="s">
        <v>37</v>
      </c>
      <c r="QN171" s="12" t="s">
        <v>37</v>
      </c>
      <c r="QO171" s="12" t="s">
        <v>37</v>
      </c>
      <c r="QP171" s="12" t="s">
        <v>37</v>
      </c>
      <c r="QQ171" s="12"/>
      <c r="QR171" s="12"/>
      <c r="QU171" s="12" t="s">
        <v>37</v>
      </c>
      <c r="QV171" s="12" t="s">
        <v>37</v>
      </c>
      <c r="QW171" s="12" t="s">
        <v>37</v>
      </c>
      <c r="QX171" s="12" t="s">
        <v>37</v>
      </c>
      <c r="QY171" s="12" t="s">
        <v>37</v>
      </c>
      <c r="QZ171" s="12" t="s">
        <v>37</v>
      </c>
      <c r="RC171" s="12" t="s">
        <v>37</v>
      </c>
      <c r="RD171" s="12" t="s">
        <v>37</v>
      </c>
      <c r="RE171" s="13" t="s">
        <v>37</v>
      </c>
      <c r="RF171" s="12" t="s">
        <v>37</v>
      </c>
      <c r="RG171" s="12" t="s">
        <v>37</v>
      </c>
      <c r="RH171" s="13" t="s">
        <v>37</v>
      </c>
      <c r="RK171" s="12" t="s">
        <v>37</v>
      </c>
      <c r="RL171" s="12" t="s">
        <v>37</v>
      </c>
      <c r="RM171" s="11" t="s">
        <v>37</v>
      </c>
      <c r="RN171" s="12" t="s">
        <v>37</v>
      </c>
      <c r="RO171" s="12" t="s">
        <v>37</v>
      </c>
      <c r="RP171" s="11" t="s">
        <v>37</v>
      </c>
      <c r="RS171" s="12" t="s">
        <v>37</v>
      </c>
      <c r="RT171" s="12" t="s">
        <v>37</v>
      </c>
      <c r="RU171" s="12" t="s">
        <v>37</v>
      </c>
      <c r="RV171" s="12" t="s">
        <v>37</v>
      </c>
      <c r="RW171" s="12" t="s">
        <v>37</v>
      </c>
      <c r="RX171" s="12" t="s">
        <v>37</v>
      </c>
      <c r="SA171" s="12" t="s">
        <v>37</v>
      </c>
      <c r="SB171" s="12" t="s">
        <v>37</v>
      </c>
      <c r="SC171" s="12" t="s">
        <v>37</v>
      </c>
      <c r="SD171" s="12" t="s">
        <v>37</v>
      </c>
      <c r="SE171" s="12" t="s">
        <v>37</v>
      </c>
      <c r="SF171" s="12" t="s">
        <v>37</v>
      </c>
      <c r="SI171" s="12" t="s">
        <v>37</v>
      </c>
      <c r="SJ171" s="12" t="s">
        <v>37</v>
      </c>
      <c r="SK171" s="13" t="s">
        <v>37</v>
      </c>
      <c r="SM171" s="12" t="s">
        <v>37</v>
      </c>
      <c r="SN171" s="12" t="s">
        <v>37</v>
      </c>
      <c r="SO171" s="13" t="s">
        <v>37</v>
      </c>
      <c r="SU171" s="12" t="s">
        <v>37</v>
      </c>
      <c r="SV171" s="12" t="s">
        <v>37</v>
      </c>
      <c r="SW171" s="11" t="s">
        <v>37</v>
      </c>
      <c r="SX171" s="12" t="s">
        <v>37</v>
      </c>
      <c r="SY171" s="12" t="s">
        <v>37</v>
      </c>
      <c r="SZ171" s="11" t="s">
        <v>37</v>
      </c>
      <c r="TE171" s="12" t="s">
        <v>37</v>
      </c>
      <c r="TF171" s="12" t="s">
        <v>37</v>
      </c>
      <c r="TG171" s="11" t="s">
        <v>37</v>
      </c>
      <c r="TH171" s="12" t="s">
        <v>37</v>
      </c>
      <c r="TI171" s="12" t="s">
        <v>37</v>
      </c>
      <c r="TJ171" s="11" t="s">
        <v>37</v>
      </c>
      <c r="TO171" s="12" t="s">
        <v>37</v>
      </c>
      <c r="TP171" s="12" t="s">
        <v>37</v>
      </c>
      <c r="TQ171" s="11" t="s">
        <v>37</v>
      </c>
      <c r="TR171" s="12" t="s">
        <v>37</v>
      </c>
      <c r="TS171" s="12" t="s">
        <v>37</v>
      </c>
      <c r="TT171" s="11" t="s">
        <v>37</v>
      </c>
      <c r="TY171" s="12" t="s">
        <v>37</v>
      </c>
      <c r="TZ171" s="12" t="s">
        <v>37</v>
      </c>
      <c r="UA171" s="12" t="s">
        <v>37</v>
      </c>
      <c r="UB171" s="12" t="s">
        <v>37</v>
      </c>
      <c r="UC171" s="12" t="s">
        <v>37</v>
      </c>
      <c r="UD171" s="12" t="s">
        <v>37</v>
      </c>
      <c r="UE171" s="12"/>
      <c r="UF171" s="12"/>
      <c r="UI171" s="12" t="s">
        <v>37</v>
      </c>
      <c r="UJ171" s="12" t="s">
        <v>37</v>
      </c>
      <c r="UK171" s="12" t="s">
        <v>37</v>
      </c>
      <c r="UL171" s="12" t="s">
        <v>37</v>
      </c>
      <c r="UM171" s="12" t="s">
        <v>37</v>
      </c>
      <c r="UN171" s="12" t="s">
        <v>37</v>
      </c>
      <c r="UO171" s="12"/>
      <c r="UP171" s="12"/>
      <c r="UR171" s="12" t="s">
        <v>37</v>
      </c>
      <c r="US171" s="12" t="s">
        <v>37</v>
      </c>
      <c r="UT171" s="12" t="s">
        <v>37</v>
      </c>
      <c r="UU171" s="12" t="s">
        <v>37</v>
      </c>
      <c r="UV171" s="12" t="s">
        <v>37</v>
      </c>
      <c r="UW171" s="12" t="s">
        <v>37</v>
      </c>
      <c r="UX171" s="12"/>
      <c r="UY171" s="12"/>
      <c r="VB171" s="12" t="s">
        <v>37</v>
      </c>
      <c r="VC171" s="12" t="s">
        <v>37</v>
      </c>
      <c r="VD171" s="12" t="s">
        <v>37</v>
      </c>
      <c r="VE171" s="12" t="s">
        <v>37</v>
      </c>
      <c r="VF171" s="12" t="s">
        <v>37</v>
      </c>
      <c r="VG171" s="12" t="s">
        <v>37</v>
      </c>
      <c r="VI171" s="12" t="s">
        <v>37</v>
      </c>
      <c r="VJ171" s="12" t="s">
        <v>37</v>
      </c>
      <c r="VK171" s="12" t="s">
        <v>37</v>
      </c>
      <c r="VL171" s="12" t="s">
        <v>37</v>
      </c>
      <c r="VM171" s="12" t="s">
        <v>37</v>
      </c>
      <c r="VN171" s="12" t="s">
        <v>37</v>
      </c>
      <c r="VQ171" s="13" t="s">
        <v>37</v>
      </c>
      <c r="VR171" s="13" t="s">
        <v>37</v>
      </c>
      <c r="VS171" s="13" t="s">
        <v>37</v>
      </c>
      <c r="VT171" s="13" t="s">
        <v>37</v>
      </c>
      <c r="VU171" s="13" t="s">
        <v>37</v>
      </c>
      <c r="VV171" s="13" t="s">
        <v>37</v>
      </c>
      <c r="WA171" s="13" t="s">
        <v>37</v>
      </c>
      <c r="WB171" s="13" t="s">
        <v>37</v>
      </c>
      <c r="WC171" s="13" t="s">
        <v>37</v>
      </c>
      <c r="WD171" s="13" t="s">
        <v>37</v>
      </c>
      <c r="WE171" s="13" t="s">
        <v>37</v>
      </c>
      <c r="WF171" s="13" t="s">
        <v>37</v>
      </c>
    </row>
    <row r="172" spans="1:604" ht="18" customHeight="1" x14ac:dyDescent="0.3">
      <c r="A172" s="11">
        <v>41</v>
      </c>
      <c r="B172" s="16" t="s">
        <v>576</v>
      </c>
      <c r="C172" s="12" t="s">
        <v>26</v>
      </c>
      <c r="D172" s="12" t="s">
        <v>54</v>
      </c>
      <c r="E172" s="40">
        <f>AVERAGEA(3.85,4.85)</f>
        <v>4.3499999999999996</v>
      </c>
      <c r="F172" s="14">
        <v>0</v>
      </c>
      <c r="G172" s="14">
        <v>0</v>
      </c>
      <c r="H172" s="12" t="s">
        <v>88</v>
      </c>
      <c r="I172" s="29">
        <v>-2.35</v>
      </c>
      <c r="J172" s="29">
        <v>114.033</v>
      </c>
      <c r="K172" s="12" t="s">
        <v>740</v>
      </c>
      <c r="L172" s="12" t="s">
        <v>741</v>
      </c>
      <c r="M172" s="13" t="s">
        <v>37</v>
      </c>
      <c r="N172" s="14" t="s">
        <v>37</v>
      </c>
      <c r="O172" s="14" t="s">
        <v>37</v>
      </c>
      <c r="P172" s="14" t="s">
        <v>89</v>
      </c>
      <c r="Q172" s="75" t="s">
        <v>326</v>
      </c>
      <c r="R172" s="11" t="s">
        <v>37</v>
      </c>
      <c r="S172" s="12" t="s">
        <v>105</v>
      </c>
      <c r="T172" s="12" t="s">
        <v>37</v>
      </c>
      <c r="U172" s="12" t="s">
        <v>158</v>
      </c>
      <c r="V172" s="12" t="s">
        <v>37</v>
      </c>
      <c r="W172" s="23" t="s">
        <v>265</v>
      </c>
      <c r="X172" s="12" t="s">
        <v>49</v>
      </c>
      <c r="Y172" s="12" t="s">
        <v>350</v>
      </c>
      <c r="Z172" s="12" t="s">
        <v>37</v>
      </c>
      <c r="AA172" s="32" t="s">
        <v>345</v>
      </c>
      <c r="AB172" s="12">
        <v>3.6</v>
      </c>
      <c r="AC172" s="12" t="s">
        <v>42</v>
      </c>
      <c r="AD172" s="32" t="s">
        <v>345</v>
      </c>
      <c r="AE172" s="12">
        <v>540</v>
      </c>
      <c r="AF172" s="12" t="s">
        <v>42</v>
      </c>
      <c r="AG172" s="32" t="s">
        <v>345</v>
      </c>
      <c r="AH172" s="12">
        <v>13.3</v>
      </c>
      <c r="AJ172" s="12" t="str">
        <f>AD172</f>
        <v>0-10</v>
      </c>
      <c r="AK172" s="19">
        <f>AE172/AH172</f>
        <v>40.601503759398497</v>
      </c>
      <c r="AL172" s="32" t="s">
        <v>263</v>
      </c>
      <c r="AM172" s="13" t="s">
        <v>344</v>
      </c>
      <c r="AO172" s="13" t="s">
        <v>37</v>
      </c>
      <c r="AP172" s="12" t="s">
        <v>238</v>
      </c>
      <c r="AQ172" s="12" t="s">
        <v>975</v>
      </c>
      <c r="AR172" s="12" t="s">
        <v>42</v>
      </c>
      <c r="AS172" s="32" t="s">
        <v>345</v>
      </c>
      <c r="AT172" s="12">
        <v>540</v>
      </c>
      <c r="AU172" s="12">
        <f>10*SQRT(3)</f>
        <v>17.320508075688771</v>
      </c>
      <c r="AV172" s="13">
        <v>3</v>
      </c>
      <c r="AW172" s="19">
        <f t="shared" ref="AW172" si="678">AU172/AT172</f>
        <v>3.2075014954979206E-2</v>
      </c>
      <c r="AX172" s="12">
        <v>494</v>
      </c>
      <c r="AY172" s="12">
        <f>1*SQRT(3)</f>
        <v>1.7320508075688772</v>
      </c>
      <c r="AZ172" s="13">
        <v>3</v>
      </c>
      <c r="BA172" s="19">
        <f t="shared" ref="BA172" si="679">AY172/AX172</f>
        <v>3.506175723823638E-3</v>
      </c>
      <c r="BB172" s="52">
        <f t="shared" si="656"/>
        <v>-8.9033622370397511E-2</v>
      </c>
      <c r="BC172" s="19">
        <f t="shared" si="640"/>
        <v>3.4703328418948998E-4</v>
      </c>
      <c r="BE172" s="12" t="s">
        <v>326</v>
      </c>
      <c r="BF172" s="12" t="s">
        <v>326</v>
      </c>
      <c r="BG172" s="12" t="s">
        <v>326</v>
      </c>
      <c r="BI172" s="12" t="s">
        <v>326</v>
      </c>
      <c r="BJ172" s="12" t="s">
        <v>326</v>
      </c>
      <c r="BK172" s="12" t="s">
        <v>326</v>
      </c>
      <c r="BP172" s="12" t="s">
        <v>37</v>
      </c>
      <c r="BQ172" s="12" t="s">
        <v>37</v>
      </c>
      <c r="BR172" s="13" t="s">
        <v>37</v>
      </c>
      <c r="BT172" s="12" t="s">
        <v>37</v>
      </c>
      <c r="BU172" s="12" t="s">
        <v>37</v>
      </c>
      <c r="BV172" s="12" t="s">
        <v>37</v>
      </c>
      <c r="CA172" s="12" t="s">
        <v>37</v>
      </c>
      <c r="CB172" s="12" t="s">
        <v>37</v>
      </c>
      <c r="CC172" s="13" t="s">
        <v>37</v>
      </c>
      <c r="CE172" s="12" t="s">
        <v>37</v>
      </c>
      <c r="CF172" s="12" t="s">
        <v>37</v>
      </c>
      <c r="CG172" s="13" t="s">
        <v>37</v>
      </c>
      <c r="CN172" s="12" t="s">
        <v>37</v>
      </c>
      <c r="CO172" s="12" t="s">
        <v>37</v>
      </c>
      <c r="CP172" s="13" t="s">
        <v>37</v>
      </c>
      <c r="CR172" s="12" t="s">
        <v>37</v>
      </c>
      <c r="CS172" s="12" t="s">
        <v>37</v>
      </c>
      <c r="CT172" s="13" t="s">
        <v>37</v>
      </c>
      <c r="CX172" s="72"/>
      <c r="CY172" s="72"/>
      <c r="DA172" s="12" t="s">
        <v>37</v>
      </c>
      <c r="DB172" s="12" t="s">
        <v>37</v>
      </c>
      <c r="DC172" s="13" t="s">
        <v>37</v>
      </c>
      <c r="DE172" s="12" t="s">
        <v>37</v>
      </c>
      <c r="DF172" s="12" t="s">
        <v>37</v>
      </c>
      <c r="DG172" s="13" t="s">
        <v>37</v>
      </c>
      <c r="DN172" s="19" t="s">
        <v>37</v>
      </c>
      <c r="DO172" s="12" t="s">
        <v>37</v>
      </c>
      <c r="DP172" s="13" t="s">
        <v>37</v>
      </c>
      <c r="DR172" s="19" t="s">
        <v>37</v>
      </c>
      <c r="DS172" s="12" t="s">
        <v>37</v>
      </c>
      <c r="DT172" s="13" t="s">
        <v>37</v>
      </c>
      <c r="DZ172" s="11" t="s">
        <v>47</v>
      </c>
      <c r="EA172" s="19">
        <f>5.41387024608501*44/28*10^4/10^9*24*365</f>
        <v>0.74525790987535934</v>
      </c>
      <c r="EB172" s="19">
        <f>1.7311447089175*44/28*10^4/10^9*24*365</f>
        <v>0.23830443450184333</v>
      </c>
      <c r="EC172" s="72">
        <v>3</v>
      </c>
      <c r="ED172" s="52">
        <f t="shared" ref="ED172" si="680">EB172/ABS(EA172)</f>
        <v>0.31976102681244745</v>
      </c>
      <c r="EE172" s="19">
        <f>14.8993288590604*44/28*10^4/10^9*24*365</f>
        <v>2.0509990412272292</v>
      </c>
      <c r="EF172" s="19">
        <f>11.5131484712599*44/28*10^4/10^9*24*365</f>
        <v>1.58486712384372</v>
      </c>
      <c r="EG172" s="13">
        <v>3</v>
      </c>
      <c r="EH172" s="52">
        <f t="shared" ref="EH172" si="681">EF172/ABS(EE172)</f>
        <v>0.77272933433230861</v>
      </c>
      <c r="EI172" s="19">
        <f t="shared" ref="EI172" si="682">EE172-EA172</f>
        <v>1.3057411313518699</v>
      </c>
      <c r="EJ172" s="12">
        <f>SQRT(((EC172-1)*EB172^2+(EG172-1)*EF172^2)/(EC172+EG172-2))</f>
        <v>1.1332680185516373</v>
      </c>
      <c r="EK172" s="19">
        <f>(((EC172+EG172)/(EC172*EG172))*(((EC172-1)*EB172^2)+(EG172-1)*EF172^2)/(EC172+EG172-2))</f>
        <v>0.85619760124796951</v>
      </c>
      <c r="EL172" s="19">
        <f>(EB172^2/EC172)+(EF172^2/EG172)</f>
        <v>0.85619760124796951</v>
      </c>
      <c r="EN172" s="12" t="s">
        <v>37</v>
      </c>
      <c r="EO172" s="12" t="s">
        <v>37</v>
      </c>
      <c r="EP172" s="13" t="s">
        <v>37</v>
      </c>
      <c r="ER172" s="12" t="s">
        <v>37</v>
      </c>
      <c r="ES172" s="12" t="s">
        <v>37</v>
      </c>
      <c r="ET172" s="13" t="s">
        <v>37</v>
      </c>
      <c r="FB172" s="12" t="s">
        <v>37</v>
      </c>
      <c r="FC172" s="12" t="s">
        <v>37</v>
      </c>
      <c r="FD172" s="11" t="s">
        <v>37</v>
      </c>
      <c r="FE172" s="12" t="s">
        <v>37</v>
      </c>
      <c r="FF172" s="20" t="s">
        <v>37</v>
      </c>
      <c r="FG172" s="11" t="s">
        <v>37</v>
      </c>
      <c r="FI172" s="12" t="s">
        <v>37</v>
      </c>
      <c r="FJ172" s="12" t="s">
        <v>37</v>
      </c>
      <c r="FK172" s="11" t="s">
        <v>37</v>
      </c>
      <c r="FL172" s="13" t="s">
        <v>37</v>
      </c>
      <c r="FM172" s="11" t="s">
        <v>37</v>
      </c>
      <c r="FN172" s="11" t="s">
        <v>37</v>
      </c>
      <c r="FP172" s="12" t="s">
        <v>37</v>
      </c>
      <c r="FQ172" s="12" t="s">
        <v>37</v>
      </c>
      <c r="FR172" s="11" t="s">
        <v>37</v>
      </c>
      <c r="FS172" s="13" t="s">
        <v>37</v>
      </c>
      <c r="FT172" s="11" t="s">
        <v>37</v>
      </c>
      <c r="FU172" s="11" t="s">
        <v>37</v>
      </c>
      <c r="FW172" s="12" t="s">
        <v>37</v>
      </c>
      <c r="FX172" s="12" t="s">
        <v>37</v>
      </c>
      <c r="FY172" s="11" t="s">
        <v>37</v>
      </c>
      <c r="FZ172" s="13" t="s">
        <v>37</v>
      </c>
      <c r="GA172" s="11" t="s">
        <v>37</v>
      </c>
      <c r="GB172" s="11" t="s">
        <v>37</v>
      </c>
      <c r="GC172" s="12" t="s">
        <v>90</v>
      </c>
      <c r="GD172" s="12" t="s">
        <v>345</v>
      </c>
      <c r="GE172" s="12">
        <v>95</v>
      </c>
      <c r="GF172" s="12">
        <f>2*SQRT(3)</f>
        <v>3.4641016151377544</v>
      </c>
      <c r="GG172" s="13">
        <v>3</v>
      </c>
      <c r="GH172" s="19">
        <f>GF172/GE172</f>
        <v>3.6464227527765833E-2</v>
      </c>
      <c r="GI172" s="12">
        <v>57</v>
      </c>
      <c r="GJ172" s="12">
        <f>5.9*SQRT(3)</f>
        <v>10.219099764656375</v>
      </c>
      <c r="GK172" s="13">
        <v>3</v>
      </c>
      <c r="GL172" s="19">
        <f>GJ172/GI172</f>
        <v>0.17928245201151535</v>
      </c>
      <c r="GM172" s="19">
        <f>LN(GI172/GE172)</f>
        <v>-0.51082562376599072</v>
      </c>
      <c r="GN172" s="19">
        <f>GJ172^2/(GK172*GI172^2)+GF172^2/(GG172*GE172^2)</f>
        <v>1.1157279162819327E-2</v>
      </c>
      <c r="IK172" s="12" t="s">
        <v>37</v>
      </c>
      <c r="IL172" s="12" t="s">
        <v>37</v>
      </c>
      <c r="IM172" s="12" t="s">
        <v>37</v>
      </c>
      <c r="IO172" s="12" t="s">
        <v>37</v>
      </c>
      <c r="IP172" s="12" t="s">
        <v>37</v>
      </c>
      <c r="IQ172" s="12" t="s">
        <v>37</v>
      </c>
      <c r="IV172" s="32" t="s">
        <v>345</v>
      </c>
      <c r="IW172" s="12">
        <v>3.6</v>
      </c>
      <c r="IX172" s="12">
        <f>0.2*SQRT(3)</f>
        <v>0.34641016151377546</v>
      </c>
      <c r="IY172" s="13">
        <v>3</v>
      </c>
      <c r="IZ172" s="19">
        <f t="shared" ref="IZ172" si="683">IX172/IW172</f>
        <v>9.6225044864937631E-2</v>
      </c>
      <c r="JA172" s="12">
        <v>3.8</v>
      </c>
      <c r="JB172" s="12">
        <f>0.01*SQRT(3)</f>
        <v>1.7320508075688773E-2</v>
      </c>
      <c r="JC172" s="13">
        <v>3</v>
      </c>
      <c r="JD172" s="19">
        <f>JB172/JA172</f>
        <v>4.55802844097073E-3</v>
      </c>
      <c r="JE172" s="19">
        <f t="shared" ref="JE172" si="684">LN(JA172/IW172)</f>
        <v>5.4067221270275793E-2</v>
      </c>
      <c r="JF172" s="19">
        <f>JB172^2/(JC172*JA172^2)+IX172^2/(IY172*IW172^2)</f>
        <v>3.0933449608426524E-3</v>
      </c>
      <c r="JH172" s="12" t="s">
        <v>37</v>
      </c>
      <c r="JI172" s="12" t="s">
        <v>37</v>
      </c>
      <c r="JJ172" s="13" t="s">
        <v>37</v>
      </c>
      <c r="JL172" s="12" t="s">
        <v>37</v>
      </c>
      <c r="JM172" s="12" t="s">
        <v>37</v>
      </c>
      <c r="JN172" s="12" t="s">
        <v>37</v>
      </c>
      <c r="JS172" s="12" t="s">
        <v>37</v>
      </c>
      <c r="JT172" s="12" t="s">
        <v>37</v>
      </c>
      <c r="JU172" s="13" t="s">
        <v>37</v>
      </c>
      <c r="JW172" s="12" t="s">
        <v>37</v>
      </c>
      <c r="JX172" s="12" t="s">
        <v>37</v>
      </c>
      <c r="JY172" s="12" t="s">
        <v>37</v>
      </c>
      <c r="KE172" s="11" t="s">
        <v>37</v>
      </c>
      <c r="KF172" s="11" t="s">
        <v>37</v>
      </c>
      <c r="KG172" s="13" t="s">
        <v>37</v>
      </c>
      <c r="KH172" s="11" t="s">
        <v>37</v>
      </c>
      <c r="KI172" s="11" t="s">
        <v>37</v>
      </c>
      <c r="KJ172" s="11" t="s">
        <v>37</v>
      </c>
      <c r="KK172" s="12" t="s">
        <v>42</v>
      </c>
      <c r="KL172" s="32" t="s">
        <v>345</v>
      </c>
      <c r="KM172" s="12">
        <v>13.3</v>
      </c>
      <c r="KN172" s="12">
        <f>0.28*SQRT(3)</f>
        <v>0.48497422611928565</v>
      </c>
      <c r="KO172" s="11">
        <v>3</v>
      </c>
      <c r="KP172" s="19">
        <f t="shared" ref="KP172" si="685">KN172/KM172</f>
        <v>3.6464227527765833E-2</v>
      </c>
      <c r="KQ172" s="12">
        <v>18.2</v>
      </c>
      <c r="KR172" s="12">
        <f>0.04*SQRT(3)</f>
        <v>6.9282032302755092E-2</v>
      </c>
      <c r="KS172" s="13">
        <v>3</v>
      </c>
      <c r="KT172" s="19">
        <f t="shared" ref="KT172" si="686">KR172/KQ172</f>
        <v>3.8067050715799504E-3</v>
      </c>
      <c r="KU172" s="19">
        <f>LN(KQ172/KM172)</f>
        <v>0.31365755885504143</v>
      </c>
      <c r="KV172" s="19">
        <f t="shared" ref="KV172" si="687">KR172^2/(KS172*KQ172^2)+KN172^2/(KO172*KM172^2)</f>
        <v>4.4804363089955609E-4</v>
      </c>
      <c r="KX172" s="12" t="s">
        <v>37</v>
      </c>
      <c r="KY172" s="12" t="s">
        <v>37</v>
      </c>
      <c r="KZ172" s="13" t="s">
        <v>37</v>
      </c>
      <c r="LB172" s="12" t="s">
        <v>37</v>
      </c>
      <c r="LC172" s="12" t="s">
        <v>37</v>
      </c>
      <c r="LD172" s="13" t="s">
        <v>37</v>
      </c>
      <c r="LI172" s="12" t="s">
        <v>37</v>
      </c>
      <c r="LJ172" s="12" t="s">
        <v>37</v>
      </c>
      <c r="LK172" s="12" t="s">
        <v>37</v>
      </c>
      <c r="LM172" s="12" t="s">
        <v>37</v>
      </c>
      <c r="LN172" s="12" t="s">
        <v>37</v>
      </c>
      <c r="LO172" s="12" t="s">
        <v>37</v>
      </c>
      <c r="LT172" s="12" t="str">
        <f t="shared" ref="LT172" si="688">KL172</f>
        <v>0-10</v>
      </c>
      <c r="LU172" s="12">
        <f>AT172/KM172</f>
        <v>40.601503759398497</v>
      </c>
      <c r="LV172" s="12">
        <f>SQRT((1/KM172)^2*AU172^2+AT172^2*(-1/KM172^2)^2*KN172^2)</f>
        <v>1.9717648980585496</v>
      </c>
      <c r="LW172" s="13">
        <f t="shared" ref="LW172" si="689">KO172</f>
        <v>3</v>
      </c>
      <c r="LX172" s="19">
        <f t="shared" ref="LX172" si="690">LV172/LU172</f>
        <v>4.8563839155886496E-2</v>
      </c>
      <c r="LY172" s="12">
        <f>AX172/KQ172</f>
        <v>27.142857142857142</v>
      </c>
      <c r="LZ172" s="12">
        <f>SQRT((1/KQ172)^2*AY172^2+AX172^2*(-1/KQ172^2)^2*KR172^2)</f>
        <v>0.14047384887502831</v>
      </c>
      <c r="MA172" s="13">
        <f t="shared" ref="MA172" si="691">KS172</f>
        <v>3</v>
      </c>
      <c r="MB172" s="19">
        <f t="shared" ref="MB172" si="692">LZ172/LY172</f>
        <v>5.1753523269747271E-3</v>
      </c>
      <c r="MC172" s="19">
        <f>LN(LY172/LU172)</f>
        <v>-0.40269118122543918</v>
      </c>
      <c r="MD172" s="19">
        <f t="shared" ref="MD172" si="693">LZ172^2/(MA172*LY172^2)+LV172^2/(LW172*LU172^2)</f>
        <v>7.950769150890458E-4</v>
      </c>
      <c r="MF172" s="12" t="s">
        <v>37</v>
      </c>
      <c r="MG172" s="12" t="s">
        <v>37</v>
      </c>
      <c r="MH172" s="12" t="s">
        <v>37</v>
      </c>
      <c r="MJ172" s="12" t="s">
        <v>37</v>
      </c>
      <c r="MK172" s="12" t="s">
        <v>37</v>
      </c>
      <c r="ML172" s="12" t="s">
        <v>37</v>
      </c>
      <c r="MQ172" s="12" t="s">
        <v>37</v>
      </c>
      <c r="MR172" s="12" t="s">
        <v>37</v>
      </c>
      <c r="MS172" s="12" t="s">
        <v>37</v>
      </c>
      <c r="MU172" s="12" t="s">
        <v>37</v>
      </c>
      <c r="MV172" s="12" t="s">
        <v>37</v>
      </c>
      <c r="MW172" s="12" t="s">
        <v>37</v>
      </c>
      <c r="NA172" s="12" t="s">
        <v>45</v>
      </c>
      <c r="NB172" s="12" t="s">
        <v>345</v>
      </c>
      <c r="NC172" s="12">
        <v>53</v>
      </c>
      <c r="ND172" s="12">
        <f>13*SQRT(3)</f>
        <v>22.516660498395403</v>
      </c>
      <c r="NE172" s="13">
        <v>3</v>
      </c>
      <c r="NF172" s="19">
        <f t="shared" ref="NF172" si="694">ND172/NC172</f>
        <v>0.42484265091312079</v>
      </c>
      <c r="NG172" s="12">
        <v>173</v>
      </c>
      <c r="NH172" s="12">
        <f>3.6*SQRT(3)</f>
        <v>6.2353829072479581</v>
      </c>
      <c r="NI172" s="13">
        <v>3</v>
      </c>
      <c r="NJ172" s="19">
        <f t="shared" ref="NJ172" si="695">NH172/NG172</f>
        <v>3.6042675764439064E-2</v>
      </c>
      <c r="NK172" s="19">
        <f t="shared" ref="NK172" si="696">LN(NG172/NC172)</f>
        <v>1.1829996809456571</v>
      </c>
      <c r="NL172" s="19">
        <f t="shared" ref="NL172" si="697">NH172^2/(NI172*NG172^2)+ND172^2/(NE172*NC172^2)</f>
        <v>6.0596784170382771E-2</v>
      </c>
      <c r="NM172" s="12" t="s">
        <v>45</v>
      </c>
      <c r="NN172" s="12" t="s">
        <v>345</v>
      </c>
      <c r="NO172" s="12">
        <v>0.03</v>
      </c>
      <c r="NP172" s="12">
        <f>0.05*SQRT(3)</f>
        <v>8.6602540378443865E-2</v>
      </c>
      <c r="NQ172" s="13">
        <v>3</v>
      </c>
      <c r="NR172" s="19">
        <f>NP172/NO172</f>
        <v>2.8867513459481291</v>
      </c>
      <c r="NS172" s="12">
        <v>0.03</v>
      </c>
      <c r="NT172" s="12">
        <f>0.02*SQRT(3)</f>
        <v>3.4641016151377546E-2</v>
      </c>
      <c r="NU172" s="13">
        <v>3</v>
      </c>
      <c r="NV172" s="19">
        <f>NT172/NS172</f>
        <v>1.1547005383792517</v>
      </c>
      <c r="NW172" s="19">
        <f t="shared" ref="NW172" si="698">LN(NS172/NO172)</f>
        <v>0</v>
      </c>
      <c r="NX172" s="19">
        <f t="shared" ref="NX172" si="699">NT172^2/(NU172*NS172^2)+NP172^2/(NQ172*NO172^2)</f>
        <v>3.2222222222222223</v>
      </c>
      <c r="NY172" s="12" t="s">
        <v>264</v>
      </c>
      <c r="NZ172" s="12" t="s">
        <v>345</v>
      </c>
      <c r="OA172" s="12">
        <v>1841.5492957746465</v>
      </c>
      <c r="OB172" s="12">
        <v>64.543319647269968</v>
      </c>
      <c r="OC172" s="13">
        <v>3</v>
      </c>
      <c r="OE172" s="12">
        <v>2186.6197183098598</v>
      </c>
      <c r="OF172" s="12">
        <v>131.93657743095031</v>
      </c>
      <c r="OG172" s="13">
        <v>3</v>
      </c>
      <c r="OI172" s="19">
        <f t="shared" ref="OI172" si="700">LN(OE172/OA172)</f>
        <v>0.17174961786855689</v>
      </c>
      <c r="OJ172" s="19">
        <f>OF172^2/(OG172*OE172^2)+OB172^2/(OC172*OA172^2)</f>
        <v>1.6230268924636347E-3</v>
      </c>
      <c r="OM172" s="12" t="s">
        <v>37</v>
      </c>
      <c r="ON172" s="12" t="s">
        <v>37</v>
      </c>
      <c r="OO172" s="12" t="s">
        <v>37</v>
      </c>
      <c r="OP172" s="12" t="s">
        <v>37</v>
      </c>
      <c r="OQ172" s="12" t="s">
        <v>37</v>
      </c>
      <c r="OR172" s="12" t="s">
        <v>37</v>
      </c>
      <c r="OS172" s="12"/>
      <c r="OT172" s="12"/>
      <c r="OU172" s="12" t="s">
        <v>45</v>
      </c>
      <c r="OV172" s="12" t="s">
        <v>345</v>
      </c>
      <c r="OW172" s="12">
        <v>580</v>
      </c>
      <c r="OX172" s="12">
        <f>23*SQRT(3)</f>
        <v>39.837168574084174</v>
      </c>
      <c r="OY172" s="13">
        <v>3</v>
      </c>
      <c r="OZ172" s="12">
        <v>562</v>
      </c>
      <c r="PA172" s="12">
        <f>16*SQRT(3)</f>
        <v>27.712812921102035</v>
      </c>
      <c r="PB172" s="13">
        <v>3</v>
      </c>
      <c r="PC172" s="19">
        <f>LN(OZ172/OW172)</f>
        <v>-3.1526253646773895E-2</v>
      </c>
      <c r="PD172" s="19">
        <f>PA172^2/(PB172*OZ172^2)+OX172^2/(OY172*OW172^2)</f>
        <v>2.383059414888076E-3</v>
      </c>
      <c r="PG172" s="11" t="s">
        <v>37</v>
      </c>
      <c r="PH172" s="11" t="s">
        <v>37</v>
      </c>
      <c r="PI172" s="13" t="s">
        <v>37</v>
      </c>
      <c r="PJ172" s="11" t="s">
        <v>37</v>
      </c>
      <c r="PK172" s="11" t="s">
        <v>37</v>
      </c>
      <c r="PL172" s="13" t="s">
        <v>37</v>
      </c>
      <c r="PQ172" s="12" t="s">
        <v>37</v>
      </c>
      <c r="PR172" s="12" t="s">
        <v>37</v>
      </c>
      <c r="PS172" s="12" t="s">
        <v>37</v>
      </c>
      <c r="PT172" s="12" t="s">
        <v>37</v>
      </c>
      <c r="PU172" s="12" t="s">
        <v>37</v>
      </c>
      <c r="PV172" s="12" t="s">
        <v>37</v>
      </c>
      <c r="PW172" s="12"/>
      <c r="PX172" s="12"/>
      <c r="PZ172" s="12" t="s">
        <v>37</v>
      </c>
      <c r="QA172" s="12" t="s">
        <v>37</v>
      </c>
      <c r="QB172" s="11" t="s">
        <v>37</v>
      </c>
      <c r="QD172" s="12" t="s">
        <v>37</v>
      </c>
      <c r="QE172" s="12" t="s">
        <v>37</v>
      </c>
      <c r="QF172" s="12" t="s">
        <v>37</v>
      </c>
      <c r="QK172" s="12" t="s">
        <v>37</v>
      </c>
      <c r="QL172" s="12" t="s">
        <v>37</v>
      </c>
      <c r="QM172" s="12" t="s">
        <v>37</v>
      </c>
      <c r="QN172" s="12" t="s">
        <v>37</v>
      </c>
      <c r="QO172" s="12" t="s">
        <v>37</v>
      </c>
      <c r="QP172" s="12" t="s">
        <v>37</v>
      </c>
      <c r="QQ172" s="12"/>
      <c r="QR172" s="12"/>
      <c r="QU172" s="12" t="s">
        <v>37</v>
      </c>
      <c r="QV172" s="12" t="s">
        <v>37</v>
      </c>
      <c r="QW172" s="12" t="s">
        <v>37</v>
      </c>
      <c r="QX172" s="12" t="s">
        <v>37</v>
      </c>
      <c r="QY172" s="12" t="s">
        <v>37</v>
      </c>
      <c r="QZ172" s="12" t="s">
        <v>37</v>
      </c>
      <c r="RC172" s="12" t="s">
        <v>37</v>
      </c>
      <c r="RD172" s="12" t="s">
        <v>37</v>
      </c>
      <c r="RE172" s="13" t="s">
        <v>37</v>
      </c>
      <c r="RF172" s="12" t="s">
        <v>37</v>
      </c>
      <c r="RG172" s="12" t="s">
        <v>37</v>
      </c>
      <c r="RH172" s="13" t="s">
        <v>37</v>
      </c>
      <c r="RK172" s="12" t="s">
        <v>37</v>
      </c>
      <c r="RL172" s="12" t="s">
        <v>37</v>
      </c>
      <c r="RM172" s="11" t="s">
        <v>37</v>
      </c>
      <c r="RN172" s="12" t="s">
        <v>37</v>
      </c>
      <c r="RO172" s="12" t="s">
        <v>37</v>
      </c>
      <c r="RP172" s="11" t="s">
        <v>37</v>
      </c>
      <c r="RS172" s="12" t="s">
        <v>37</v>
      </c>
      <c r="RT172" s="12" t="s">
        <v>37</v>
      </c>
      <c r="RU172" s="12" t="s">
        <v>37</v>
      </c>
      <c r="RV172" s="12" t="s">
        <v>37</v>
      </c>
      <c r="RW172" s="12" t="s">
        <v>37</v>
      </c>
      <c r="RX172" s="12" t="s">
        <v>37</v>
      </c>
      <c r="SA172" s="12" t="s">
        <v>37</v>
      </c>
      <c r="SB172" s="12" t="s">
        <v>37</v>
      </c>
      <c r="SC172" s="12" t="s">
        <v>37</v>
      </c>
      <c r="SD172" s="12" t="s">
        <v>37</v>
      </c>
      <c r="SE172" s="12" t="s">
        <v>37</v>
      </c>
      <c r="SF172" s="12" t="s">
        <v>37</v>
      </c>
      <c r="SI172" s="12" t="s">
        <v>37</v>
      </c>
      <c r="SJ172" s="12" t="s">
        <v>37</v>
      </c>
      <c r="SK172" s="13" t="s">
        <v>37</v>
      </c>
      <c r="SM172" s="12" t="s">
        <v>37</v>
      </c>
      <c r="SN172" s="12" t="s">
        <v>37</v>
      </c>
      <c r="SO172" s="13" t="s">
        <v>37</v>
      </c>
      <c r="SU172" s="12" t="s">
        <v>37</v>
      </c>
      <c r="SV172" s="12" t="s">
        <v>37</v>
      </c>
      <c r="SW172" s="11" t="s">
        <v>37</v>
      </c>
      <c r="SX172" s="12" t="s">
        <v>37</v>
      </c>
      <c r="SY172" s="12" t="s">
        <v>37</v>
      </c>
      <c r="SZ172" s="11" t="s">
        <v>37</v>
      </c>
      <c r="TE172" s="12" t="s">
        <v>37</v>
      </c>
      <c r="TF172" s="12" t="s">
        <v>37</v>
      </c>
      <c r="TG172" s="11" t="s">
        <v>37</v>
      </c>
      <c r="TH172" s="12" t="s">
        <v>37</v>
      </c>
      <c r="TI172" s="12" t="s">
        <v>37</v>
      </c>
      <c r="TJ172" s="11" t="s">
        <v>37</v>
      </c>
      <c r="TO172" s="12" t="s">
        <v>37</v>
      </c>
      <c r="TP172" s="12" t="s">
        <v>37</v>
      </c>
      <c r="TQ172" s="11" t="s">
        <v>37</v>
      </c>
      <c r="TR172" s="12" t="s">
        <v>37</v>
      </c>
      <c r="TS172" s="12" t="s">
        <v>37</v>
      </c>
      <c r="TT172" s="11" t="s">
        <v>37</v>
      </c>
      <c r="TY172" s="12" t="s">
        <v>37</v>
      </c>
      <c r="TZ172" s="12" t="s">
        <v>37</v>
      </c>
      <c r="UA172" s="12" t="s">
        <v>37</v>
      </c>
      <c r="UB172" s="12" t="s">
        <v>37</v>
      </c>
      <c r="UC172" s="12" t="s">
        <v>37</v>
      </c>
      <c r="UD172" s="12" t="s">
        <v>37</v>
      </c>
      <c r="UE172" s="12"/>
      <c r="UF172" s="12"/>
      <c r="UI172" s="12" t="s">
        <v>37</v>
      </c>
      <c r="UJ172" s="12" t="s">
        <v>37</v>
      </c>
      <c r="UK172" s="12" t="s">
        <v>37</v>
      </c>
      <c r="UL172" s="12" t="s">
        <v>37</v>
      </c>
      <c r="UM172" s="12" t="s">
        <v>37</v>
      </c>
      <c r="UN172" s="12" t="s">
        <v>37</v>
      </c>
      <c r="UO172" s="12"/>
      <c r="UP172" s="12"/>
      <c r="UR172" s="12" t="s">
        <v>37</v>
      </c>
      <c r="US172" s="12" t="s">
        <v>37</v>
      </c>
      <c r="UT172" s="12" t="s">
        <v>37</v>
      </c>
      <c r="UU172" s="12" t="s">
        <v>37</v>
      </c>
      <c r="UV172" s="12" t="s">
        <v>37</v>
      </c>
      <c r="UW172" s="12" t="s">
        <v>37</v>
      </c>
      <c r="UX172" s="12"/>
      <c r="UY172" s="12"/>
      <c r="VB172" s="12" t="s">
        <v>37</v>
      </c>
      <c r="VC172" s="12" t="s">
        <v>37</v>
      </c>
      <c r="VD172" s="12" t="s">
        <v>37</v>
      </c>
      <c r="VE172" s="12" t="s">
        <v>37</v>
      </c>
      <c r="VF172" s="12" t="s">
        <v>37</v>
      </c>
      <c r="VG172" s="12" t="s">
        <v>37</v>
      </c>
      <c r="VI172" s="12" t="s">
        <v>37</v>
      </c>
      <c r="VJ172" s="12" t="s">
        <v>37</v>
      </c>
      <c r="VK172" s="12" t="s">
        <v>37</v>
      </c>
      <c r="VL172" s="12" t="s">
        <v>37</v>
      </c>
      <c r="VM172" s="12" t="s">
        <v>37</v>
      </c>
      <c r="VN172" s="12" t="s">
        <v>37</v>
      </c>
      <c r="VQ172" s="13" t="s">
        <v>37</v>
      </c>
      <c r="VR172" s="13" t="s">
        <v>37</v>
      </c>
      <c r="VS172" s="13" t="s">
        <v>37</v>
      </c>
      <c r="VT172" s="13" t="s">
        <v>37</v>
      </c>
      <c r="VU172" s="13" t="s">
        <v>37</v>
      </c>
      <c r="VV172" s="13" t="s">
        <v>37</v>
      </c>
      <c r="WA172" s="13" t="s">
        <v>37</v>
      </c>
      <c r="WB172" s="13" t="s">
        <v>37</v>
      </c>
      <c r="WC172" s="13" t="s">
        <v>37</v>
      </c>
      <c r="WD172" s="13" t="s">
        <v>37</v>
      </c>
      <c r="WE172" s="13" t="s">
        <v>37</v>
      </c>
      <c r="WF172" s="13" t="s">
        <v>37</v>
      </c>
    </row>
    <row r="173" spans="1:604" ht="18" customHeight="1" x14ac:dyDescent="0.3">
      <c r="A173" s="11">
        <v>42</v>
      </c>
      <c r="B173" s="16" t="s">
        <v>266</v>
      </c>
      <c r="C173" s="12" t="s">
        <v>26</v>
      </c>
      <c r="D173" s="12" t="s">
        <v>119</v>
      </c>
      <c r="E173" s="40">
        <f>AVERAGEA(1.55,2.9)</f>
        <v>2.2250000000000001</v>
      </c>
      <c r="F173" s="14">
        <v>0</v>
      </c>
      <c r="G173" s="14">
        <v>0</v>
      </c>
      <c r="H173" s="12" t="s">
        <v>88</v>
      </c>
      <c r="I173" s="29">
        <v>-2.83</v>
      </c>
      <c r="J173" s="29">
        <v>111.81</v>
      </c>
      <c r="K173" s="12" t="s">
        <v>267</v>
      </c>
      <c r="L173" s="12" t="s">
        <v>268</v>
      </c>
      <c r="M173" s="13" t="s">
        <v>37</v>
      </c>
      <c r="N173" s="14">
        <v>27.4</v>
      </c>
      <c r="O173" s="14">
        <v>2058</v>
      </c>
      <c r="P173" s="14" t="s">
        <v>89</v>
      </c>
      <c r="Q173" s="75">
        <v>7</v>
      </c>
      <c r="R173" s="11" t="s">
        <v>1000</v>
      </c>
      <c r="S173" s="12" t="s">
        <v>105</v>
      </c>
      <c r="T173" s="12" t="s">
        <v>37</v>
      </c>
      <c r="U173" s="12" t="s">
        <v>158</v>
      </c>
      <c r="V173" s="12" t="s">
        <v>275</v>
      </c>
      <c r="W173" s="23" t="s">
        <v>265</v>
      </c>
      <c r="X173" s="12" t="s">
        <v>49</v>
      </c>
      <c r="Y173" s="12" t="s">
        <v>350</v>
      </c>
      <c r="Z173" s="12" t="s">
        <v>37</v>
      </c>
      <c r="AB173" s="12" t="s">
        <v>37</v>
      </c>
      <c r="AE173" s="12" t="s">
        <v>37</v>
      </c>
      <c r="AH173" s="12" t="s">
        <v>37</v>
      </c>
      <c r="AK173" s="12" t="s">
        <v>37</v>
      </c>
      <c r="AL173" s="32" t="s">
        <v>541</v>
      </c>
      <c r="AM173" s="13" t="s">
        <v>344</v>
      </c>
      <c r="AO173" s="13" t="s">
        <v>37</v>
      </c>
      <c r="AP173" s="12" t="s">
        <v>238</v>
      </c>
      <c r="AQ173" s="12" t="s">
        <v>975</v>
      </c>
      <c r="AT173" s="12" t="s">
        <v>326</v>
      </c>
      <c r="AU173" s="12" t="s">
        <v>326</v>
      </c>
      <c r="AV173" s="13" t="s">
        <v>326</v>
      </c>
      <c r="AX173" s="12" t="s">
        <v>326</v>
      </c>
      <c r="AY173" s="12" t="s">
        <v>326</v>
      </c>
      <c r="AZ173" s="13" t="s">
        <v>326</v>
      </c>
      <c r="BE173" s="12" t="s">
        <v>326</v>
      </c>
      <c r="BF173" s="12" t="s">
        <v>326</v>
      </c>
      <c r="BG173" s="12" t="s">
        <v>326</v>
      </c>
      <c r="BI173" s="12" t="s">
        <v>326</v>
      </c>
      <c r="BJ173" s="12" t="s">
        <v>326</v>
      </c>
      <c r="BK173" s="12" t="s">
        <v>326</v>
      </c>
      <c r="BP173" s="12" t="s">
        <v>37</v>
      </c>
      <c r="BQ173" s="12" t="s">
        <v>37</v>
      </c>
      <c r="BR173" s="13" t="s">
        <v>37</v>
      </c>
      <c r="BT173" s="12" t="s">
        <v>37</v>
      </c>
      <c r="BU173" s="12" t="s">
        <v>37</v>
      </c>
      <c r="BV173" s="12" t="s">
        <v>37</v>
      </c>
      <c r="CA173" s="12" t="s">
        <v>37</v>
      </c>
      <c r="CB173" s="12" t="s">
        <v>37</v>
      </c>
      <c r="CC173" s="13" t="s">
        <v>37</v>
      </c>
      <c r="CE173" s="12" t="s">
        <v>37</v>
      </c>
      <c r="CF173" s="12" t="s">
        <v>37</v>
      </c>
      <c r="CG173" s="13" t="s">
        <v>37</v>
      </c>
      <c r="CN173" s="12" t="s">
        <v>37</v>
      </c>
      <c r="CO173" s="12" t="s">
        <v>37</v>
      </c>
      <c r="CP173" s="13" t="s">
        <v>37</v>
      </c>
      <c r="CR173" s="12" t="s">
        <v>37</v>
      </c>
      <c r="CS173" s="12" t="s">
        <v>37</v>
      </c>
      <c r="CT173" s="13" t="s">
        <v>37</v>
      </c>
      <c r="CX173" s="72"/>
      <c r="CY173" s="72"/>
      <c r="DA173" s="12" t="s">
        <v>37</v>
      </c>
      <c r="DB173" s="12" t="s">
        <v>37</v>
      </c>
      <c r="DC173" s="13" t="s">
        <v>37</v>
      </c>
      <c r="DE173" s="12" t="s">
        <v>37</v>
      </c>
      <c r="DF173" s="12" t="s">
        <v>37</v>
      </c>
      <c r="DG173" s="13" t="s">
        <v>37</v>
      </c>
      <c r="DN173" s="19" t="s">
        <v>37</v>
      </c>
      <c r="DO173" s="12" t="s">
        <v>37</v>
      </c>
      <c r="DP173" s="13" t="s">
        <v>37</v>
      </c>
      <c r="DR173" s="19" t="s">
        <v>37</v>
      </c>
      <c r="DS173" s="12" t="s">
        <v>37</v>
      </c>
      <c r="DT173" s="13" t="s">
        <v>37</v>
      </c>
      <c r="EA173" s="19" t="s">
        <v>37</v>
      </c>
      <c r="EB173" s="19" t="s">
        <v>37</v>
      </c>
      <c r="EC173" s="72" t="s">
        <v>37</v>
      </c>
      <c r="EE173" s="19" t="s">
        <v>37</v>
      </c>
      <c r="EF173" s="19" t="s">
        <v>37</v>
      </c>
      <c r="EG173" s="12" t="s">
        <v>37</v>
      </c>
      <c r="EM173" s="12" t="s">
        <v>39</v>
      </c>
      <c r="EN173" s="12">
        <v>-14.041514041514047</v>
      </c>
      <c r="EO173" s="12">
        <v>3.8618262026084285</v>
      </c>
      <c r="EP173" s="13">
        <v>3</v>
      </c>
      <c r="EQ173" s="19">
        <f t="shared" si="510"/>
        <v>0.27502918782054797</v>
      </c>
      <c r="ER173" s="12">
        <v>-37.912087912087912</v>
      </c>
      <c r="ES173" s="12">
        <v>6.2846687384361628</v>
      </c>
      <c r="ET173" s="13">
        <v>3</v>
      </c>
      <c r="EU173" s="19">
        <f t="shared" si="511"/>
        <v>0.16576952324570748</v>
      </c>
      <c r="EV173" s="19">
        <f t="shared" ref="EV173:EV209" si="701">ER173-EN173</f>
        <v>-23.870573870573864</v>
      </c>
      <c r="EW173" s="12">
        <f t="shared" ref="EW173:EW209" si="702">SQRT(((EP173-1)*EO173^2+(ET173-1)*ES173^2)/(EP173+ET173-2))</f>
        <v>5.2158778154319254</v>
      </c>
      <c r="EX173" s="19">
        <f t="shared" ref="EX173:EX209" si="703">(((EP173+ET173)/(EP173*ET173))*(((EP173-1)*EO173^2)+(ET173-1)*ES173^2)/(EP173+ET173-2))</f>
        <v>18.136920923676605</v>
      </c>
      <c r="EY173" s="19">
        <f t="shared" ref="EY173:EY209" si="704">(EO173^2/EP173)+(ES173^2/ET173)</f>
        <v>18.136920923676609</v>
      </c>
      <c r="FB173" s="12" t="s">
        <v>37</v>
      </c>
      <c r="FC173" s="12" t="s">
        <v>37</v>
      </c>
      <c r="FD173" s="11" t="s">
        <v>37</v>
      </c>
      <c r="FE173" s="12" t="s">
        <v>37</v>
      </c>
      <c r="FF173" s="20" t="s">
        <v>37</v>
      </c>
      <c r="FG173" s="11" t="s">
        <v>37</v>
      </c>
      <c r="FI173" s="12" t="s">
        <v>37</v>
      </c>
      <c r="FJ173" s="12" t="s">
        <v>37</v>
      </c>
      <c r="FK173" s="11" t="s">
        <v>37</v>
      </c>
      <c r="FL173" s="13" t="s">
        <v>37</v>
      </c>
      <c r="FM173" s="11" t="s">
        <v>37</v>
      </c>
      <c r="FN173" s="11" t="s">
        <v>37</v>
      </c>
      <c r="FP173" s="12" t="s">
        <v>37</v>
      </c>
      <c r="FQ173" s="12" t="s">
        <v>37</v>
      </c>
      <c r="FR173" s="11" t="s">
        <v>37</v>
      </c>
      <c r="FS173" s="13" t="s">
        <v>37</v>
      </c>
      <c r="FT173" s="11" t="s">
        <v>37</v>
      </c>
      <c r="FU173" s="11" t="s">
        <v>37</v>
      </c>
      <c r="FW173" s="12" t="s">
        <v>37</v>
      </c>
      <c r="FX173" s="12" t="s">
        <v>37</v>
      </c>
      <c r="FY173" s="11" t="s">
        <v>37</v>
      </c>
      <c r="FZ173" s="13" t="s">
        <v>37</v>
      </c>
      <c r="GA173" s="11" t="s">
        <v>37</v>
      </c>
      <c r="GB173" s="11" t="s">
        <v>37</v>
      </c>
      <c r="IK173" s="12" t="s">
        <v>37</v>
      </c>
      <c r="IL173" s="12" t="s">
        <v>37</v>
      </c>
      <c r="IM173" s="12" t="s">
        <v>37</v>
      </c>
      <c r="IO173" s="12" t="s">
        <v>37</v>
      </c>
      <c r="IP173" s="12" t="s">
        <v>37</v>
      </c>
      <c r="IQ173" s="12" t="s">
        <v>37</v>
      </c>
      <c r="IW173" s="12" t="s">
        <v>37</v>
      </c>
      <c r="IX173" s="12" t="s">
        <v>37</v>
      </c>
      <c r="IY173" s="13" t="s">
        <v>37</v>
      </c>
      <c r="JA173" s="12" t="s">
        <v>37</v>
      </c>
      <c r="JB173" s="12" t="s">
        <v>37</v>
      </c>
      <c r="JC173" s="13" t="s">
        <v>37</v>
      </c>
      <c r="JH173" s="12" t="s">
        <v>37</v>
      </c>
      <c r="JI173" s="12" t="s">
        <v>37</v>
      </c>
      <c r="JJ173" s="13" t="s">
        <v>37</v>
      </c>
      <c r="JL173" s="12" t="s">
        <v>37</v>
      </c>
      <c r="JM173" s="12" t="s">
        <v>37</v>
      </c>
      <c r="JN173" s="12" t="s">
        <v>37</v>
      </c>
      <c r="JS173" s="12" t="s">
        <v>37</v>
      </c>
      <c r="JT173" s="12" t="s">
        <v>37</v>
      </c>
      <c r="JU173" s="13" t="s">
        <v>37</v>
      </c>
      <c r="JW173" s="12" t="s">
        <v>37</v>
      </c>
      <c r="JX173" s="12" t="s">
        <v>37</v>
      </c>
      <c r="JY173" s="12" t="s">
        <v>37</v>
      </c>
      <c r="KE173" s="11" t="s">
        <v>37</v>
      </c>
      <c r="KF173" s="11" t="s">
        <v>37</v>
      </c>
      <c r="KG173" s="13" t="s">
        <v>37</v>
      </c>
      <c r="KH173" s="11" t="s">
        <v>37</v>
      </c>
      <c r="KI173" s="11" t="s">
        <v>37</v>
      </c>
      <c r="KJ173" s="11" t="s">
        <v>37</v>
      </c>
      <c r="KM173" s="12" t="s">
        <v>37</v>
      </c>
      <c r="KN173" s="12" t="s">
        <v>37</v>
      </c>
      <c r="KO173" s="11" t="s">
        <v>37</v>
      </c>
      <c r="KQ173" s="12" t="s">
        <v>37</v>
      </c>
      <c r="KR173" s="12" t="s">
        <v>37</v>
      </c>
      <c r="KS173" s="12" t="s">
        <v>37</v>
      </c>
      <c r="KX173" s="12" t="s">
        <v>37</v>
      </c>
      <c r="KY173" s="12" t="s">
        <v>37</v>
      </c>
      <c r="KZ173" s="13" t="s">
        <v>37</v>
      </c>
      <c r="LB173" s="12" t="s">
        <v>37</v>
      </c>
      <c r="LC173" s="12" t="s">
        <v>37</v>
      </c>
      <c r="LD173" s="13" t="s">
        <v>37</v>
      </c>
      <c r="LI173" s="12" t="s">
        <v>37</v>
      </c>
      <c r="LJ173" s="12" t="s">
        <v>37</v>
      </c>
      <c r="LK173" s="12" t="s">
        <v>37</v>
      </c>
      <c r="LM173" s="12" t="s">
        <v>37</v>
      </c>
      <c r="LN173" s="12" t="s">
        <v>37</v>
      </c>
      <c r="LO173" s="12" t="s">
        <v>37</v>
      </c>
      <c r="LU173" s="12" t="s">
        <v>37</v>
      </c>
      <c r="LV173" s="12" t="s">
        <v>37</v>
      </c>
      <c r="LW173" s="13" t="s">
        <v>37</v>
      </c>
      <c r="LY173" s="12" t="s">
        <v>37</v>
      </c>
      <c r="LZ173" s="12" t="s">
        <v>37</v>
      </c>
      <c r="MA173" s="12" t="s">
        <v>37</v>
      </c>
      <c r="MF173" s="12" t="s">
        <v>37</v>
      </c>
      <c r="MG173" s="12" t="s">
        <v>37</v>
      </c>
      <c r="MH173" s="12" t="s">
        <v>37</v>
      </c>
      <c r="MJ173" s="12" t="s">
        <v>37</v>
      </c>
      <c r="MK173" s="12" t="s">
        <v>37</v>
      </c>
      <c r="ML173" s="12" t="s">
        <v>37</v>
      </c>
      <c r="MQ173" s="12" t="s">
        <v>37</v>
      </c>
      <c r="MR173" s="12" t="s">
        <v>37</v>
      </c>
      <c r="MS173" s="12" t="s">
        <v>37</v>
      </c>
      <c r="MU173" s="12" t="s">
        <v>37</v>
      </c>
      <c r="MV173" s="12" t="s">
        <v>37</v>
      </c>
      <c r="MW173" s="12" t="s">
        <v>37</v>
      </c>
      <c r="NC173" s="12" t="s">
        <v>37</v>
      </c>
      <c r="ND173" s="12" t="s">
        <v>37</v>
      </c>
      <c r="NE173" s="12" t="s">
        <v>37</v>
      </c>
      <c r="NG173" s="12" t="s">
        <v>37</v>
      </c>
      <c r="NH173" s="12" t="s">
        <v>37</v>
      </c>
      <c r="NI173" s="12" t="s">
        <v>37</v>
      </c>
      <c r="NO173" s="12" t="s">
        <v>37</v>
      </c>
      <c r="NP173" s="12" t="s">
        <v>37</v>
      </c>
      <c r="NQ173" s="12" t="s">
        <v>37</v>
      </c>
      <c r="NS173" s="12" t="s">
        <v>37</v>
      </c>
      <c r="NT173" s="12" t="s">
        <v>37</v>
      </c>
      <c r="NU173" s="12" t="s">
        <v>37</v>
      </c>
      <c r="OA173" s="12" t="s">
        <v>37</v>
      </c>
      <c r="OB173" s="12" t="s">
        <v>37</v>
      </c>
      <c r="OC173" s="12" t="s">
        <v>37</v>
      </c>
      <c r="OD173" s="12"/>
      <c r="OE173" s="12" t="s">
        <v>37</v>
      </c>
      <c r="OF173" s="12" t="s">
        <v>37</v>
      </c>
      <c r="OG173" s="12" t="s">
        <v>37</v>
      </c>
      <c r="OH173" s="12"/>
      <c r="OI173" s="12"/>
      <c r="OJ173" s="12"/>
      <c r="OM173" s="12" t="s">
        <v>37</v>
      </c>
      <c r="ON173" s="12" t="s">
        <v>37</v>
      </c>
      <c r="OO173" s="12" t="s">
        <v>37</v>
      </c>
      <c r="OP173" s="12" t="s">
        <v>37</v>
      </c>
      <c r="OQ173" s="12" t="s">
        <v>37</v>
      </c>
      <c r="OR173" s="12" t="s">
        <v>37</v>
      </c>
      <c r="OS173" s="12"/>
      <c r="OT173" s="12"/>
      <c r="OW173" s="12" t="s">
        <v>37</v>
      </c>
      <c r="OX173" s="12" t="s">
        <v>37</v>
      </c>
      <c r="OY173" s="13" t="s">
        <v>37</v>
      </c>
      <c r="OZ173" s="12" t="s">
        <v>37</v>
      </c>
      <c r="PA173" s="12" t="s">
        <v>37</v>
      </c>
      <c r="PB173" s="13" t="s">
        <v>37</v>
      </c>
      <c r="PG173" s="11" t="s">
        <v>37</v>
      </c>
      <c r="PH173" s="11" t="s">
        <v>37</v>
      </c>
      <c r="PI173" s="13" t="s">
        <v>37</v>
      </c>
      <c r="PJ173" s="11" t="s">
        <v>37</v>
      </c>
      <c r="PK173" s="11" t="s">
        <v>37</v>
      </c>
      <c r="PL173" s="13" t="s">
        <v>37</v>
      </c>
      <c r="PQ173" s="12" t="s">
        <v>37</v>
      </c>
      <c r="PR173" s="12" t="s">
        <v>37</v>
      </c>
      <c r="PS173" s="12" t="s">
        <v>37</v>
      </c>
      <c r="PT173" s="12" t="s">
        <v>37</v>
      </c>
      <c r="PU173" s="12" t="s">
        <v>37</v>
      </c>
      <c r="PV173" s="12" t="s">
        <v>37</v>
      </c>
      <c r="PW173" s="12"/>
      <c r="PX173" s="12"/>
      <c r="PZ173" s="12" t="s">
        <v>37</v>
      </c>
      <c r="QA173" s="12" t="s">
        <v>37</v>
      </c>
      <c r="QB173" s="11" t="s">
        <v>37</v>
      </c>
      <c r="QD173" s="12" t="s">
        <v>37</v>
      </c>
      <c r="QE173" s="12" t="s">
        <v>37</v>
      </c>
      <c r="QF173" s="12" t="s">
        <v>37</v>
      </c>
      <c r="QK173" s="12" t="s">
        <v>37</v>
      </c>
      <c r="QL173" s="12" t="s">
        <v>37</v>
      </c>
      <c r="QM173" s="12" t="s">
        <v>37</v>
      </c>
      <c r="QN173" s="12" t="s">
        <v>37</v>
      </c>
      <c r="QO173" s="12" t="s">
        <v>37</v>
      </c>
      <c r="QP173" s="12" t="s">
        <v>37</v>
      </c>
      <c r="QQ173" s="12"/>
      <c r="QR173" s="12"/>
      <c r="QU173" s="12" t="s">
        <v>37</v>
      </c>
      <c r="QV173" s="12" t="s">
        <v>37</v>
      </c>
      <c r="QW173" s="12" t="s">
        <v>37</v>
      </c>
      <c r="QX173" s="12" t="s">
        <v>37</v>
      </c>
      <c r="QY173" s="12" t="s">
        <v>37</v>
      </c>
      <c r="QZ173" s="12" t="s">
        <v>37</v>
      </c>
      <c r="RC173" s="12" t="s">
        <v>37</v>
      </c>
      <c r="RD173" s="12" t="s">
        <v>37</v>
      </c>
      <c r="RE173" s="13" t="s">
        <v>37</v>
      </c>
      <c r="RF173" s="12" t="s">
        <v>37</v>
      </c>
      <c r="RG173" s="12" t="s">
        <v>37</v>
      </c>
      <c r="RH173" s="13" t="s">
        <v>37</v>
      </c>
      <c r="RK173" s="12" t="s">
        <v>37</v>
      </c>
      <c r="RL173" s="12" t="s">
        <v>37</v>
      </c>
      <c r="RM173" s="11" t="s">
        <v>37</v>
      </c>
      <c r="RN173" s="12" t="s">
        <v>37</v>
      </c>
      <c r="RO173" s="12" t="s">
        <v>37</v>
      </c>
      <c r="RP173" s="11" t="s">
        <v>37</v>
      </c>
      <c r="RS173" s="12" t="s">
        <v>37</v>
      </c>
      <c r="RT173" s="12" t="s">
        <v>37</v>
      </c>
      <c r="RU173" s="12" t="s">
        <v>37</v>
      </c>
      <c r="RV173" s="12" t="s">
        <v>37</v>
      </c>
      <c r="RW173" s="12" t="s">
        <v>37</v>
      </c>
      <c r="RX173" s="12" t="s">
        <v>37</v>
      </c>
      <c r="SA173" s="12" t="s">
        <v>37</v>
      </c>
      <c r="SB173" s="12" t="s">
        <v>37</v>
      </c>
      <c r="SC173" s="12" t="s">
        <v>37</v>
      </c>
      <c r="SD173" s="12" t="s">
        <v>37</v>
      </c>
      <c r="SE173" s="12" t="s">
        <v>37</v>
      </c>
      <c r="SF173" s="12" t="s">
        <v>37</v>
      </c>
      <c r="SI173" s="12" t="s">
        <v>37</v>
      </c>
      <c r="SJ173" s="12" t="s">
        <v>37</v>
      </c>
      <c r="SK173" s="13" t="s">
        <v>37</v>
      </c>
      <c r="SM173" s="12" t="s">
        <v>37</v>
      </c>
      <c r="SN173" s="12" t="s">
        <v>37</v>
      </c>
      <c r="SO173" s="13" t="s">
        <v>37</v>
      </c>
      <c r="SU173" s="12" t="s">
        <v>37</v>
      </c>
      <c r="SV173" s="12" t="s">
        <v>37</v>
      </c>
      <c r="SW173" s="11" t="s">
        <v>37</v>
      </c>
      <c r="SX173" s="12" t="s">
        <v>37</v>
      </c>
      <c r="SY173" s="12" t="s">
        <v>37</v>
      </c>
      <c r="SZ173" s="11" t="s">
        <v>37</v>
      </c>
      <c r="TE173" s="12" t="s">
        <v>37</v>
      </c>
      <c r="TF173" s="12" t="s">
        <v>37</v>
      </c>
      <c r="TG173" s="11" t="s">
        <v>37</v>
      </c>
      <c r="TH173" s="12" t="s">
        <v>37</v>
      </c>
      <c r="TI173" s="12" t="s">
        <v>37</v>
      </c>
      <c r="TJ173" s="11" t="s">
        <v>37</v>
      </c>
      <c r="TO173" s="12" t="s">
        <v>37</v>
      </c>
      <c r="TP173" s="12" t="s">
        <v>37</v>
      </c>
      <c r="TQ173" s="11" t="s">
        <v>37</v>
      </c>
      <c r="TR173" s="12" t="s">
        <v>37</v>
      </c>
      <c r="TS173" s="12" t="s">
        <v>37</v>
      </c>
      <c r="TT173" s="11" t="s">
        <v>37</v>
      </c>
      <c r="TY173" s="12" t="s">
        <v>37</v>
      </c>
      <c r="TZ173" s="12" t="s">
        <v>37</v>
      </c>
      <c r="UA173" s="12" t="s">
        <v>37</v>
      </c>
      <c r="UB173" s="12" t="s">
        <v>37</v>
      </c>
      <c r="UC173" s="12" t="s">
        <v>37</v>
      </c>
      <c r="UD173" s="12" t="s">
        <v>37</v>
      </c>
      <c r="UE173" s="12"/>
      <c r="UF173" s="12"/>
      <c r="UI173" s="12" t="s">
        <v>37</v>
      </c>
      <c r="UJ173" s="12" t="s">
        <v>37</v>
      </c>
      <c r="UK173" s="12" t="s">
        <v>37</v>
      </c>
      <c r="UL173" s="12" t="s">
        <v>37</v>
      </c>
      <c r="UM173" s="12" t="s">
        <v>37</v>
      </c>
      <c r="UN173" s="12" t="s">
        <v>37</v>
      </c>
      <c r="UO173" s="12"/>
      <c r="UP173" s="12"/>
      <c r="UR173" s="12" t="s">
        <v>37</v>
      </c>
      <c r="US173" s="12" t="s">
        <v>37</v>
      </c>
      <c r="UT173" s="12" t="s">
        <v>37</v>
      </c>
      <c r="UU173" s="12" t="s">
        <v>37</v>
      </c>
      <c r="UV173" s="12" t="s">
        <v>37</v>
      </c>
      <c r="UW173" s="12" t="s">
        <v>37</v>
      </c>
      <c r="UX173" s="12"/>
      <c r="UY173" s="12"/>
      <c r="VB173" s="12" t="s">
        <v>37</v>
      </c>
      <c r="VC173" s="12" t="s">
        <v>37</v>
      </c>
      <c r="VD173" s="12" t="s">
        <v>37</v>
      </c>
      <c r="VE173" s="12" t="s">
        <v>37</v>
      </c>
      <c r="VF173" s="12" t="s">
        <v>37</v>
      </c>
      <c r="VG173" s="12" t="s">
        <v>37</v>
      </c>
      <c r="VI173" s="12" t="s">
        <v>37</v>
      </c>
      <c r="VJ173" s="12" t="s">
        <v>37</v>
      </c>
      <c r="VK173" s="12" t="s">
        <v>37</v>
      </c>
      <c r="VL173" s="12" t="s">
        <v>37</v>
      </c>
      <c r="VM173" s="12" t="s">
        <v>37</v>
      </c>
      <c r="VN173" s="12" t="s">
        <v>37</v>
      </c>
      <c r="VQ173" s="13" t="s">
        <v>37</v>
      </c>
      <c r="VR173" s="13" t="s">
        <v>37</v>
      </c>
      <c r="VS173" s="13" t="s">
        <v>37</v>
      </c>
      <c r="VT173" s="13" t="s">
        <v>37</v>
      </c>
      <c r="VU173" s="13" t="s">
        <v>37</v>
      </c>
      <c r="VV173" s="13" t="s">
        <v>37</v>
      </c>
      <c r="WA173" s="13" t="s">
        <v>37</v>
      </c>
      <c r="WB173" s="13" t="s">
        <v>37</v>
      </c>
      <c r="WC173" s="13" t="s">
        <v>37</v>
      </c>
      <c r="WD173" s="13" t="s">
        <v>37</v>
      </c>
      <c r="WE173" s="13" t="s">
        <v>37</v>
      </c>
      <c r="WF173" s="13" t="s">
        <v>37</v>
      </c>
    </row>
    <row r="174" spans="1:604" ht="18" customHeight="1" x14ac:dyDescent="0.3">
      <c r="A174" s="11">
        <v>43</v>
      </c>
      <c r="B174" s="16" t="s">
        <v>269</v>
      </c>
      <c r="C174" s="12" t="s">
        <v>26</v>
      </c>
      <c r="D174" s="84" t="s">
        <v>973</v>
      </c>
      <c r="E174" s="40">
        <v>0.55000000000000004</v>
      </c>
      <c r="F174" s="14">
        <v>0</v>
      </c>
      <c r="G174" s="14">
        <v>0</v>
      </c>
      <c r="H174" s="12" t="s">
        <v>136</v>
      </c>
      <c r="I174" s="29">
        <v>50.131999999999998</v>
      </c>
      <c r="J174" s="29">
        <v>11.881</v>
      </c>
      <c r="K174" s="12" t="s">
        <v>657</v>
      </c>
      <c r="L174" s="12" t="s">
        <v>656</v>
      </c>
      <c r="M174" s="13">
        <v>750</v>
      </c>
      <c r="N174" s="14">
        <v>6.3</v>
      </c>
      <c r="O174" s="14">
        <v>1020</v>
      </c>
      <c r="P174" s="14" t="s">
        <v>16</v>
      </c>
      <c r="Q174" s="75">
        <v>1.2</v>
      </c>
      <c r="R174" s="11" t="s">
        <v>1000</v>
      </c>
      <c r="S174" s="12" t="s">
        <v>85</v>
      </c>
      <c r="T174" s="12" t="s">
        <v>138</v>
      </c>
      <c r="U174" s="12" t="s">
        <v>158</v>
      </c>
      <c r="V174" s="12" t="s">
        <v>275</v>
      </c>
      <c r="W174" s="23" t="s">
        <v>543</v>
      </c>
      <c r="X174" s="12" t="s">
        <v>283</v>
      </c>
      <c r="Y174" s="12" t="s">
        <v>350</v>
      </c>
      <c r="Z174" s="12" t="s">
        <v>37</v>
      </c>
      <c r="AB174" s="12" t="s">
        <v>37</v>
      </c>
      <c r="AE174" s="12" t="s">
        <v>37</v>
      </c>
      <c r="AH174" s="12" t="s">
        <v>37</v>
      </c>
      <c r="AK174" s="12" t="s">
        <v>37</v>
      </c>
      <c r="AL174" s="32" t="s">
        <v>270</v>
      </c>
      <c r="AM174" s="13" t="s">
        <v>344</v>
      </c>
      <c r="AO174" s="12" t="s">
        <v>318</v>
      </c>
      <c r="AP174" s="12" t="s">
        <v>167</v>
      </c>
      <c r="AQ174" s="12" t="s">
        <v>975</v>
      </c>
      <c r="AT174" s="12" t="s">
        <v>326</v>
      </c>
      <c r="AU174" s="12" t="s">
        <v>326</v>
      </c>
      <c r="AV174" s="13" t="s">
        <v>326</v>
      </c>
      <c r="AX174" s="12" t="s">
        <v>326</v>
      </c>
      <c r="AY174" s="12" t="s">
        <v>326</v>
      </c>
      <c r="AZ174" s="13" t="s">
        <v>326</v>
      </c>
      <c r="BE174" s="12" t="s">
        <v>326</v>
      </c>
      <c r="BF174" s="12" t="s">
        <v>326</v>
      </c>
      <c r="BG174" s="12" t="s">
        <v>326</v>
      </c>
      <c r="BI174" s="12" t="s">
        <v>326</v>
      </c>
      <c r="BJ174" s="12" t="s">
        <v>326</v>
      </c>
      <c r="BK174" s="12" t="s">
        <v>326</v>
      </c>
      <c r="BP174" s="12" t="s">
        <v>37</v>
      </c>
      <c r="BQ174" s="12" t="s">
        <v>37</v>
      </c>
      <c r="BR174" s="13" t="s">
        <v>37</v>
      </c>
      <c r="BT174" s="12" t="s">
        <v>37</v>
      </c>
      <c r="BU174" s="12" t="s">
        <v>37</v>
      </c>
      <c r="BV174" s="12" t="s">
        <v>37</v>
      </c>
      <c r="CA174" s="12" t="s">
        <v>37</v>
      </c>
      <c r="CB174" s="12" t="s">
        <v>37</v>
      </c>
      <c r="CC174" s="13" t="s">
        <v>37</v>
      </c>
      <c r="CE174" s="12" t="s">
        <v>37</v>
      </c>
      <c r="CF174" s="12" t="s">
        <v>37</v>
      </c>
      <c r="CG174" s="13" t="s">
        <v>37</v>
      </c>
      <c r="CN174" s="12" t="s">
        <v>37</v>
      </c>
      <c r="CO174" s="12" t="s">
        <v>37</v>
      </c>
      <c r="CP174" s="13" t="s">
        <v>37</v>
      </c>
      <c r="CR174" s="12" t="s">
        <v>37</v>
      </c>
      <c r="CS174" s="12" t="s">
        <v>37</v>
      </c>
      <c r="CT174" s="13" t="s">
        <v>37</v>
      </c>
      <c r="CX174" s="72"/>
      <c r="CY174" s="72"/>
      <c r="DA174" s="12" t="s">
        <v>37</v>
      </c>
      <c r="DB174" s="12" t="s">
        <v>37</v>
      </c>
      <c r="DC174" s="13" t="s">
        <v>37</v>
      </c>
      <c r="DE174" s="12" t="s">
        <v>37</v>
      </c>
      <c r="DF174" s="12" t="s">
        <v>37</v>
      </c>
      <c r="DG174" s="13" t="s">
        <v>37</v>
      </c>
      <c r="DN174" s="19" t="s">
        <v>37</v>
      </c>
      <c r="DO174" s="12" t="s">
        <v>37</v>
      </c>
      <c r="DP174" s="13" t="s">
        <v>37</v>
      </c>
      <c r="DR174" s="19" t="s">
        <v>37</v>
      </c>
      <c r="DS174" s="12" t="s">
        <v>37</v>
      </c>
      <c r="DT174" s="13" t="s">
        <v>37</v>
      </c>
      <c r="EA174" s="19" t="s">
        <v>37</v>
      </c>
      <c r="EB174" s="19" t="s">
        <v>37</v>
      </c>
      <c r="EC174" s="72" t="s">
        <v>37</v>
      </c>
      <c r="EE174" s="19" t="s">
        <v>37</v>
      </c>
      <c r="EF174" s="19" t="s">
        <v>37</v>
      </c>
      <c r="EG174" s="12" t="s">
        <v>37</v>
      </c>
      <c r="EM174" s="12" t="s">
        <v>39</v>
      </c>
      <c r="EN174" s="12">
        <v>-8</v>
      </c>
      <c r="EO174" s="50">
        <f>ABS(EN174)*EQ$474</f>
        <v>3.2599711900103467</v>
      </c>
      <c r="EP174" s="13">
        <v>3</v>
      </c>
      <c r="ER174" s="12">
        <v>-11</v>
      </c>
      <c r="ES174" s="50">
        <f>ABS(ER174)*EU$474</f>
        <v>2.4949545886011357</v>
      </c>
      <c r="ET174" s="13">
        <v>3</v>
      </c>
      <c r="EV174" s="19">
        <f t="shared" si="701"/>
        <v>-3</v>
      </c>
      <c r="EW174" s="12">
        <f t="shared" si="702"/>
        <v>2.902775444198133</v>
      </c>
      <c r="EX174" s="19">
        <f t="shared" si="703"/>
        <v>5.6174035196264462</v>
      </c>
      <c r="EY174" s="19">
        <f t="shared" si="704"/>
        <v>5.6174035196264462</v>
      </c>
      <c r="FB174" s="12" t="s">
        <v>37</v>
      </c>
      <c r="FC174" s="12" t="s">
        <v>37</v>
      </c>
      <c r="FD174" s="11" t="s">
        <v>37</v>
      </c>
      <c r="FE174" s="12" t="s">
        <v>37</v>
      </c>
      <c r="FF174" s="20" t="s">
        <v>37</v>
      </c>
      <c r="FG174" s="11" t="s">
        <v>37</v>
      </c>
      <c r="FI174" s="12" t="s">
        <v>37</v>
      </c>
      <c r="FJ174" s="12" t="s">
        <v>37</v>
      </c>
      <c r="FK174" s="11" t="s">
        <v>37</v>
      </c>
      <c r="FL174" s="13" t="s">
        <v>37</v>
      </c>
      <c r="FM174" s="11" t="s">
        <v>37</v>
      </c>
      <c r="FN174" s="11" t="s">
        <v>37</v>
      </c>
      <c r="FP174" s="12" t="s">
        <v>37</v>
      </c>
      <c r="FQ174" s="12" t="s">
        <v>37</v>
      </c>
      <c r="FR174" s="11" t="s">
        <v>37</v>
      </c>
      <c r="FS174" s="13" t="s">
        <v>37</v>
      </c>
      <c r="FT174" s="11" t="s">
        <v>37</v>
      </c>
      <c r="FU174" s="11" t="s">
        <v>37</v>
      </c>
      <c r="FW174" s="12" t="s">
        <v>37</v>
      </c>
      <c r="FX174" s="12" t="s">
        <v>37</v>
      </c>
      <c r="FY174" s="11" t="s">
        <v>37</v>
      </c>
      <c r="FZ174" s="13" t="s">
        <v>37</v>
      </c>
      <c r="GA174" s="11" t="s">
        <v>37</v>
      </c>
      <c r="GB174" s="11" t="s">
        <v>37</v>
      </c>
      <c r="IK174" s="12" t="s">
        <v>37</v>
      </c>
      <c r="IL174" s="12" t="s">
        <v>37</v>
      </c>
      <c r="IM174" s="12" t="s">
        <v>37</v>
      </c>
      <c r="IO174" s="12" t="s">
        <v>37</v>
      </c>
      <c r="IP174" s="12" t="s">
        <v>37</v>
      </c>
      <c r="IQ174" s="12" t="s">
        <v>37</v>
      </c>
      <c r="IW174" s="12" t="s">
        <v>37</v>
      </c>
      <c r="IX174" s="12" t="s">
        <v>37</v>
      </c>
      <c r="IY174" s="13" t="s">
        <v>37</v>
      </c>
      <c r="JA174" s="12" t="s">
        <v>37</v>
      </c>
      <c r="JB174" s="12" t="s">
        <v>37</v>
      </c>
      <c r="JC174" s="13" t="s">
        <v>37</v>
      </c>
      <c r="JH174" s="12" t="s">
        <v>37</v>
      </c>
      <c r="JI174" s="12" t="s">
        <v>37</v>
      </c>
      <c r="JJ174" s="13" t="s">
        <v>37</v>
      </c>
      <c r="JL174" s="12" t="s">
        <v>37</v>
      </c>
      <c r="JM174" s="12" t="s">
        <v>37</v>
      </c>
      <c r="JN174" s="12" t="s">
        <v>37</v>
      </c>
      <c r="JS174" s="12" t="s">
        <v>37</v>
      </c>
      <c r="JT174" s="12" t="s">
        <v>37</v>
      </c>
      <c r="JU174" s="13" t="s">
        <v>37</v>
      </c>
      <c r="JW174" s="12" t="s">
        <v>37</v>
      </c>
      <c r="JX174" s="12" t="s">
        <v>37</v>
      </c>
      <c r="JY174" s="12" t="s">
        <v>37</v>
      </c>
      <c r="KE174" s="11" t="s">
        <v>37</v>
      </c>
      <c r="KF174" s="11" t="s">
        <v>37</v>
      </c>
      <c r="KG174" s="13" t="s">
        <v>37</v>
      </c>
      <c r="KH174" s="11" t="s">
        <v>37</v>
      </c>
      <c r="KI174" s="11" t="s">
        <v>37</v>
      </c>
      <c r="KJ174" s="11" t="s">
        <v>37</v>
      </c>
      <c r="KM174" s="12" t="s">
        <v>37</v>
      </c>
      <c r="KN174" s="12" t="s">
        <v>37</v>
      </c>
      <c r="KO174" s="11" t="s">
        <v>37</v>
      </c>
      <c r="KQ174" s="12" t="s">
        <v>37</v>
      </c>
      <c r="KR174" s="12" t="s">
        <v>37</v>
      </c>
      <c r="KS174" s="12" t="s">
        <v>37</v>
      </c>
      <c r="KX174" s="12" t="s">
        <v>37</v>
      </c>
      <c r="KY174" s="12" t="s">
        <v>37</v>
      </c>
      <c r="KZ174" s="13" t="s">
        <v>37</v>
      </c>
      <c r="LB174" s="12" t="s">
        <v>37</v>
      </c>
      <c r="LC174" s="12" t="s">
        <v>37</v>
      </c>
      <c r="LD174" s="13" t="s">
        <v>37</v>
      </c>
      <c r="LI174" s="12" t="s">
        <v>37</v>
      </c>
      <c r="LJ174" s="12" t="s">
        <v>37</v>
      </c>
      <c r="LK174" s="12" t="s">
        <v>37</v>
      </c>
      <c r="LM174" s="12" t="s">
        <v>37</v>
      </c>
      <c r="LN174" s="12" t="s">
        <v>37</v>
      </c>
      <c r="LO174" s="12" t="s">
        <v>37</v>
      </c>
      <c r="LU174" s="12" t="s">
        <v>37</v>
      </c>
      <c r="LV174" s="12" t="s">
        <v>37</v>
      </c>
      <c r="LW174" s="13" t="s">
        <v>37</v>
      </c>
      <c r="LY174" s="12" t="s">
        <v>37</v>
      </c>
      <c r="LZ174" s="12" t="s">
        <v>37</v>
      </c>
      <c r="MA174" s="12" t="s">
        <v>37</v>
      </c>
      <c r="MF174" s="12" t="s">
        <v>37</v>
      </c>
      <c r="MG174" s="12" t="s">
        <v>37</v>
      </c>
      <c r="MH174" s="12" t="s">
        <v>37</v>
      </c>
      <c r="MJ174" s="12" t="s">
        <v>37</v>
      </c>
      <c r="MK174" s="12" t="s">
        <v>37</v>
      </c>
      <c r="ML174" s="12" t="s">
        <v>37</v>
      </c>
      <c r="MQ174" s="12" t="s">
        <v>37</v>
      </c>
      <c r="MR174" s="12" t="s">
        <v>37</v>
      </c>
      <c r="MS174" s="12" t="s">
        <v>37</v>
      </c>
      <c r="MU174" s="12" t="s">
        <v>37</v>
      </c>
      <c r="MV174" s="12" t="s">
        <v>37</v>
      </c>
      <c r="MW174" s="12" t="s">
        <v>37</v>
      </c>
      <c r="NC174" s="12" t="s">
        <v>37</v>
      </c>
      <c r="ND174" s="12" t="s">
        <v>37</v>
      </c>
      <c r="NE174" s="12" t="s">
        <v>37</v>
      </c>
      <c r="NG174" s="12" t="s">
        <v>37</v>
      </c>
      <c r="NH174" s="12" t="s">
        <v>37</v>
      </c>
      <c r="NI174" s="12" t="s">
        <v>37</v>
      </c>
      <c r="NO174" s="12" t="s">
        <v>37</v>
      </c>
      <c r="NP174" s="12" t="s">
        <v>37</v>
      </c>
      <c r="NQ174" s="12" t="s">
        <v>37</v>
      </c>
      <c r="NS174" s="12" t="s">
        <v>37</v>
      </c>
      <c r="NT174" s="12" t="s">
        <v>37</v>
      </c>
      <c r="NU174" s="12" t="s">
        <v>37</v>
      </c>
      <c r="OA174" s="12" t="s">
        <v>37</v>
      </c>
      <c r="OB174" s="12" t="s">
        <v>37</v>
      </c>
      <c r="OC174" s="12" t="s">
        <v>37</v>
      </c>
      <c r="OD174" s="12"/>
      <c r="OE174" s="12" t="s">
        <v>37</v>
      </c>
      <c r="OF174" s="12" t="s">
        <v>37</v>
      </c>
      <c r="OG174" s="12" t="s">
        <v>37</v>
      </c>
      <c r="OH174" s="12"/>
      <c r="OI174" s="12"/>
      <c r="OJ174" s="12"/>
      <c r="OM174" s="12" t="s">
        <v>37</v>
      </c>
      <c r="ON174" s="12" t="s">
        <v>37</v>
      </c>
      <c r="OO174" s="12" t="s">
        <v>37</v>
      </c>
      <c r="OP174" s="12" t="s">
        <v>37</v>
      </c>
      <c r="OQ174" s="12" t="s">
        <v>37</v>
      </c>
      <c r="OR174" s="12" t="s">
        <v>37</v>
      </c>
      <c r="OS174" s="12"/>
      <c r="OT174" s="12"/>
      <c r="OW174" s="12" t="s">
        <v>37</v>
      </c>
      <c r="OX174" s="12" t="s">
        <v>37</v>
      </c>
      <c r="OY174" s="13" t="s">
        <v>37</v>
      </c>
      <c r="OZ174" s="12" t="s">
        <v>37</v>
      </c>
      <c r="PA174" s="12" t="s">
        <v>37</v>
      </c>
      <c r="PB174" s="13" t="s">
        <v>37</v>
      </c>
      <c r="PG174" s="11" t="s">
        <v>37</v>
      </c>
      <c r="PH174" s="11" t="s">
        <v>37</v>
      </c>
      <c r="PI174" s="13" t="s">
        <v>37</v>
      </c>
      <c r="PJ174" s="11" t="s">
        <v>37</v>
      </c>
      <c r="PK174" s="11" t="s">
        <v>37</v>
      </c>
      <c r="PL174" s="13" t="s">
        <v>37</v>
      </c>
      <c r="PQ174" s="12" t="s">
        <v>37</v>
      </c>
      <c r="PR174" s="12" t="s">
        <v>37</v>
      </c>
      <c r="PS174" s="12" t="s">
        <v>37</v>
      </c>
      <c r="PT174" s="12" t="s">
        <v>37</v>
      </c>
      <c r="PU174" s="12" t="s">
        <v>37</v>
      </c>
      <c r="PV174" s="12" t="s">
        <v>37</v>
      </c>
      <c r="PW174" s="12"/>
      <c r="PX174" s="12"/>
      <c r="PY174" s="12" t="s">
        <v>43</v>
      </c>
      <c r="PZ174" s="12">
        <v>852.33333333333337</v>
      </c>
      <c r="QA174" s="12">
        <v>209.50497209692483</v>
      </c>
      <c r="QB174" s="11">
        <v>3</v>
      </c>
      <c r="QC174" s="19">
        <f t="shared" si="628"/>
        <v>0.24580168802924304</v>
      </c>
      <c r="QD174" s="12">
        <v>576.33333333333337</v>
      </c>
      <c r="QE174" s="12">
        <v>65.255906501506317</v>
      </c>
      <c r="QF174" s="13">
        <v>3</v>
      </c>
      <c r="QG174" s="19">
        <f t="shared" ref="QG174:QG175" si="705">QE174/QD174</f>
        <v>0.11322598004888314</v>
      </c>
      <c r="QH174" s="19">
        <f t="shared" ref="QH174:QH175" si="706">LN(QD174/PZ174)</f>
        <v>-0.39129148960789611</v>
      </c>
      <c r="QI174" s="19">
        <f>QE174^2/(QF174*QD174^2)+QA174^2/(QB174*PZ174^2)</f>
        <v>2.4412864132018468E-2</v>
      </c>
      <c r="QK174" s="12" t="s">
        <v>37</v>
      </c>
      <c r="QL174" s="12" t="s">
        <v>37</v>
      </c>
      <c r="QM174" s="12" t="s">
        <v>37</v>
      </c>
      <c r="QN174" s="12" t="s">
        <v>37</v>
      </c>
      <c r="QO174" s="12" t="s">
        <v>37</v>
      </c>
      <c r="QP174" s="12" t="s">
        <v>37</v>
      </c>
      <c r="QQ174" s="12"/>
      <c r="QR174" s="12"/>
      <c r="QU174" s="12" t="s">
        <v>37</v>
      </c>
      <c r="QV174" s="12" t="s">
        <v>37</v>
      </c>
      <c r="QW174" s="12" t="s">
        <v>37</v>
      </c>
      <c r="QX174" s="12" t="s">
        <v>37</v>
      </c>
      <c r="QY174" s="12" t="s">
        <v>37</v>
      </c>
      <c r="QZ174" s="12" t="s">
        <v>37</v>
      </c>
      <c r="RC174" s="12" t="s">
        <v>37</v>
      </c>
      <c r="RD174" s="12" t="s">
        <v>37</v>
      </c>
      <c r="RE174" s="13" t="s">
        <v>37</v>
      </c>
      <c r="RF174" s="12" t="s">
        <v>37</v>
      </c>
      <c r="RG174" s="12" t="s">
        <v>37</v>
      </c>
      <c r="RH174" s="13" t="s">
        <v>37</v>
      </c>
      <c r="RK174" s="12" t="s">
        <v>37</v>
      </c>
      <c r="RL174" s="12" t="s">
        <v>37</v>
      </c>
      <c r="RM174" s="11" t="s">
        <v>37</v>
      </c>
      <c r="RN174" s="12" t="s">
        <v>37</v>
      </c>
      <c r="RO174" s="12" t="s">
        <v>37</v>
      </c>
      <c r="RP174" s="11" t="s">
        <v>37</v>
      </c>
      <c r="RS174" s="12" t="s">
        <v>37</v>
      </c>
      <c r="RT174" s="12" t="s">
        <v>37</v>
      </c>
      <c r="RU174" s="12" t="s">
        <v>37</v>
      </c>
      <c r="RV174" s="12" t="s">
        <v>37</v>
      </c>
      <c r="RW174" s="12" t="s">
        <v>37</v>
      </c>
      <c r="RX174" s="12" t="s">
        <v>37</v>
      </c>
      <c r="SA174" s="12" t="s">
        <v>37</v>
      </c>
      <c r="SB174" s="12" t="s">
        <v>37</v>
      </c>
      <c r="SC174" s="12" t="s">
        <v>37</v>
      </c>
      <c r="SD174" s="12" t="s">
        <v>37</v>
      </c>
      <c r="SE174" s="12" t="s">
        <v>37</v>
      </c>
      <c r="SF174" s="12" t="s">
        <v>37</v>
      </c>
      <c r="SI174" s="12" t="s">
        <v>37</v>
      </c>
      <c r="SJ174" s="12" t="s">
        <v>37</v>
      </c>
      <c r="SK174" s="13" t="s">
        <v>37</v>
      </c>
      <c r="SM174" s="12" t="s">
        <v>37</v>
      </c>
      <c r="SN174" s="12" t="s">
        <v>37</v>
      </c>
      <c r="SO174" s="13" t="s">
        <v>37</v>
      </c>
      <c r="SU174" s="12" t="s">
        <v>37</v>
      </c>
      <c r="SV174" s="12" t="s">
        <v>37</v>
      </c>
      <c r="SW174" s="11" t="s">
        <v>37</v>
      </c>
      <c r="SX174" s="12" t="s">
        <v>37</v>
      </c>
      <c r="SY174" s="12" t="s">
        <v>37</v>
      </c>
      <c r="SZ174" s="11" t="s">
        <v>37</v>
      </c>
      <c r="TE174" s="12" t="s">
        <v>37</v>
      </c>
      <c r="TF174" s="12" t="s">
        <v>37</v>
      </c>
      <c r="TG174" s="11" t="s">
        <v>37</v>
      </c>
      <c r="TH174" s="12" t="s">
        <v>37</v>
      </c>
      <c r="TI174" s="12" t="s">
        <v>37</v>
      </c>
      <c r="TJ174" s="11" t="s">
        <v>37</v>
      </c>
      <c r="TO174" s="12" t="s">
        <v>37</v>
      </c>
      <c r="TP174" s="12" t="s">
        <v>37</v>
      </c>
      <c r="TQ174" s="11" t="s">
        <v>37</v>
      </c>
      <c r="TR174" s="12" t="s">
        <v>37</v>
      </c>
      <c r="TS174" s="12" t="s">
        <v>37</v>
      </c>
      <c r="TT174" s="11" t="s">
        <v>37</v>
      </c>
      <c r="TY174" s="12" t="s">
        <v>37</v>
      </c>
      <c r="TZ174" s="12" t="s">
        <v>37</v>
      </c>
      <c r="UA174" s="12" t="s">
        <v>37</v>
      </c>
      <c r="UB174" s="12" t="s">
        <v>37</v>
      </c>
      <c r="UC174" s="12" t="s">
        <v>37</v>
      </c>
      <c r="UD174" s="12" t="s">
        <v>37</v>
      </c>
      <c r="UE174" s="12"/>
      <c r="UF174" s="12"/>
      <c r="UI174" s="12" t="s">
        <v>37</v>
      </c>
      <c r="UJ174" s="12" t="s">
        <v>37</v>
      </c>
      <c r="UK174" s="12" t="s">
        <v>37</v>
      </c>
      <c r="UL174" s="12" t="s">
        <v>37</v>
      </c>
      <c r="UM174" s="12" t="s">
        <v>37</v>
      </c>
      <c r="UN174" s="12" t="s">
        <v>37</v>
      </c>
      <c r="UO174" s="12"/>
      <c r="UP174" s="12"/>
      <c r="UR174" s="12" t="s">
        <v>37</v>
      </c>
      <c r="US174" s="12" t="s">
        <v>37</v>
      </c>
      <c r="UT174" s="12" t="s">
        <v>37</v>
      </c>
      <c r="UU174" s="12" t="s">
        <v>37</v>
      </c>
      <c r="UV174" s="12" t="s">
        <v>37</v>
      </c>
      <c r="UW174" s="12" t="s">
        <v>37</v>
      </c>
      <c r="UX174" s="12"/>
      <c r="UY174" s="12"/>
      <c r="VB174" s="12" t="s">
        <v>37</v>
      </c>
      <c r="VC174" s="12" t="s">
        <v>37</v>
      </c>
      <c r="VD174" s="12" t="s">
        <v>37</v>
      </c>
      <c r="VE174" s="12" t="s">
        <v>37</v>
      </c>
      <c r="VF174" s="12" t="s">
        <v>37</v>
      </c>
      <c r="VG174" s="12" t="s">
        <v>37</v>
      </c>
      <c r="VI174" s="12" t="s">
        <v>37</v>
      </c>
      <c r="VJ174" s="12" t="s">
        <v>37</v>
      </c>
      <c r="VK174" s="12" t="s">
        <v>37</v>
      </c>
      <c r="VL174" s="12" t="s">
        <v>37</v>
      </c>
      <c r="VM174" s="12" t="s">
        <v>37</v>
      </c>
      <c r="VN174" s="12" t="s">
        <v>37</v>
      </c>
      <c r="VQ174" s="13" t="s">
        <v>37</v>
      </c>
      <c r="VR174" s="13" t="s">
        <v>37</v>
      </c>
      <c r="VS174" s="13" t="s">
        <v>37</v>
      </c>
      <c r="VT174" s="13" t="s">
        <v>37</v>
      </c>
      <c r="VU174" s="13" t="s">
        <v>37</v>
      </c>
      <c r="VV174" s="13" t="s">
        <v>37</v>
      </c>
      <c r="WA174" s="13" t="s">
        <v>37</v>
      </c>
      <c r="WB174" s="13" t="s">
        <v>37</v>
      </c>
      <c r="WC174" s="13" t="s">
        <v>37</v>
      </c>
      <c r="WD174" s="13" t="s">
        <v>37</v>
      </c>
      <c r="WE174" s="13" t="s">
        <v>37</v>
      </c>
      <c r="WF174" s="13" t="s">
        <v>37</v>
      </c>
    </row>
    <row r="175" spans="1:604" ht="18" customHeight="1" x14ac:dyDescent="0.3">
      <c r="A175" s="11">
        <v>43</v>
      </c>
      <c r="B175" s="16" t="s">
        <v>269</v>
      </c>
      <c r="C175" s="12" t="s">
        <v>26</v>
      </c>
      <c r="D175" s="84" t="s">
        <v>973</v>
      </c>
      <c r="E175" s="40">
        <v>0.55000000000000004</v>
      </c>
      <c r="F175" s="14">
        <v>0</v>
      </c>
      <c r="G175" s="14">
        <v>0</v>
      </c>
      <c r="H175" s="12" t="s">
        <v>136</v>
      </c>
      <c r="I175" s="29">
        <v>50.131999999999998</v>
      </c>
      <c r="J175" s="29">
        <v>11.881</v>
      </c>
      <c r="K175" s="12" t="s">
        <v>657</v>
      </c>
      <c r="L175" s="12" t="s">
        <v>656</v>
      </c>
      <c r="M175" s="13">
        <v>750</v>
      </c>
      <c r="N175" s="14">
        <v>6.3</v>
      </c>
      <c r="O175" s="14">
        <v>1020</v>
      </c>
      <c r="P175" s="14" t="s">
        <v>16</v>
      </c>
      <c r="Q175" s="75">
        <v>2.2000000000000002</v>
      </c>
      <c r="R175" s="11" t="s">
        <v>1000</v>
      </c>
      <c r="S175" s="12" t="s">
        <v>85</v>
      </c>
      <c r="T175" s="12" t="s">
        <v>138</v>
      </c>
      <c r="U175" s="12" t="s">
        <v>158</v>
      </c>
      <c r="V175" s="12" t="s">
        <v>275</v>
      </c>
      <c r="W175" s="23" t="s">
        <v>542</v>
      </c>
      <c r="X175" s="12" t="s">
        <v>283</v>
      </c>
      <c r="Y175" s="12" t="s">
        <v>350</v>
      </c>
      <c r="Z175" s="12" t="s">
        <v>37</v>
      </c>
      <c r="AB175" s="12" t="s">
        <v>37</v>
      </c>
      <c r="AE175" s="12" t="s">
        <v>37</v>
      </c>
      <c r="AH175" s="12" t="s">
        <v>37</v>
      </c>
      <c r="AK175" s="12" t="s">
        <v>37</v>
      </c>
      <c r="AL175" s="32" t="s">
        <v>271</v>
      </c>
      <c r="AM175" s="13" t="s">
        <v>344</v>
      </c>
      <c r="AO175" s="12" t="s">
        <v>29</v>
      </c>
      <c r="AP175" s="12" t="s">
        <v>167</v>
      </c>
      <c r="AQ175" s="12" t="s">
        <v>975</v>
      </c>
      <c r="AT175" s="12" t="s">
        <v>326</v>
      </c>
      <c r="AU175" s="12" t="s">
        <v>326</v>
      </c>
      <c r="AV175" s="13" t="s">
        <v>326</v>
      </c>
      <c r="AX175" s="12" t="s">
        <v>326</v>
      </c>
      <c r="AY175" s="12" t="s">
        <v>326</v>
      </c>
      <c r="AZ175" s="13" t="s">
        <v>326</v>
      </c>
      <c r="BE175" s="12" t="s">
        <v>326</v>
      </c>
      <c r="BF175" s="12" t="s">
        <v>326</v>
      </c>
      <c r="BG175" s="12" t="s">
        <v>326</v>
      </c>
      <c r="BI175" s="12" t="s">
        <v>326</v>
      </c>
      <c r="BJ175" s="12" t="s">
        <v>326</v>
      </c>
      <c r="BK175" s="12" t="s">
        <v>326</v>
      </c>
      <c r="BP175" s="12" t="s">
        <v>37</v>
      </c>
      <c r="BQ175" s="12" t="s">
        <v>37</v>
      </c>
      <c r="BR175" s="13" t="s">
        <v>37</v>
      </c>
      <c r="BT175" s="12" t="s">
        <v>37</v>
      </c>
      <c r="BU175" s="12" t="s">
        <v>37</v>
      </c>
      <c r="BV175" s="12" t="s">
        <v>37</v>
      </c>
      <c r="CA175" s="12" t="s">
        <v>37</v>
      </c>
      <c r="CB175" s="12" t="s">
        <v>37</v>
      </c>
      <c r="CC175" s="13" t="s">
        <v>37</v>
      </c>
      <c r="CE175" s="12" t="s">
        <v>37</v>
      </c>
      <c r="CF175" s="12" t="s">
        <v>37</v>
      </c>
      <c r="CG175" s="13" t="s">
        <v>37</v>
      </c>
      <c r="CN175" s="12" t="s">
        <v>37</v>
      </c>
      <c r="CO175" s="12" t="s">
        <v>37</v>
      </c>
      <c r="CP175" s="13" t="s">
        <v>37</v>
      </c>
      <c r="CR175" s="12" t="s">
        <v>37</v>
      </c>
      <c r="CS175" s="12" t="s">
        <v>37</v>
      </c>
      <c r="CT175" s="13" t="s">
        <v>37</v>
      </c>
      <c r="CX175" s="72"/>
      <c r="CY175" s="72"/>
      <c r="DA175" s="12" t="s">
        <v>37</v>
      </c>
      <c r="DB175" s="12" t="s">
        <v>37</v>
      </c>
      <c r="DC175" s="13" t="s">
        <v>37</v>
      </c>
      <c r="DE175" s="12" t="s">
        <v>37</v>
      </c>
      <c r="DF175" s="12" t="s">
        <v>37</v>
      </c>
      <c r="DG175" s="13" t="s">
        <v>37</v>
      </c>
      <c r="DN175" s="19" t="s">
        <v>37</v>
      </c>
      <c r="DO175" s="12" t="s">
        <v>37</v>
      </c>
      <c r="DP175" s="13" t="s">
        <v>37</v>
      </c>
      <c r="DR175" s="19" t="s">
        <v>37</v>
      </c>
      <c r="DS175" s="12" t="s">
        <v>37</v>
      </c>
      <c r="DT175" s="13" t="s">
        <v>37</v>
      </c>
      <c r="EA175" s="19" t="s">
        <v>37</v>
      </c>
      <c r="EB175" s="19" t="s">
        <v>37</v>
      </c>
      <c r="EC175" s="72" t="s">
        <v>37</v>
      </c>
      <c r="EE175" s="19" t="s">
        <v>37</v>
      </c>
      <c r="EF175" s="19" t="s">
        <v>37</v>
      </c>
      <c r="EG175" s="12" t="s">
        <v>37</v>
      </c>
      <c r="EM175" s="12" t="s">
        <v>39</v>
      </c>
      <c r="EN175" s="12">
        <v>-8</v>
      </c>
      <c r="EO175" s="50">
        <f>ABS(EN175)*EQ$474</f>
        <v>3.2599711900103467</v>
      </c>
      <c r="EP175" s="13">
        <v>3</v>
      </c>
      <c r="ER175" s="12">
        <v>-19</v>
      </c>
      <c r="ES175" s="50">
        <f>ABS(ER175)*EU$474</f>
        <v>4.3094670166746889</v>
      </c>
      <c r="ET175" s="13">
        <v>3</v>
      </c>
      <c r="EV175" s="19">
        <f>ER175-EN175</f>
        <v>-11</v>
      </c>
      <c r="EW175" s="12">
        <f t="shared" si="702"/>
        <v>3.8209238495097306</v>
      </c>
      <c r="EX175" s="19">
        <f t="shared" si="703"/>
        <v>9.7329727091681733</v>
      </c>
      <c r="EY175" s="19">
        <f t="shared" si="704"/>
        <v>9.7329727091681733</v>
      </c>
      <c r="FB175" s="12" t="s">
        <v>37</v>
      </c>
      <c r="FC175" s="12" t="s">
        <v>37</v>
      </c>
      <c r="FD175" s="11" t="s">
        <v>37</v>
      </c>
      <c r="FE175" s="12" t="s">
        <v>37</v>
      </c>
      <c r="FF175" s="20" t="s">
        <v>37</v>
      </c>
      <c r="FG175" s="11" t="s">
        <v>37</v>
      </c>
      <c r="FI175" s="12" t="s">
        <v>37</v>
      </c>
      <c r="FJ175" s="12" t="s">
        <v>37</v>
      </c>
      <c r="FK175" s="11" t="s">
        <v>37</v>
      </c>
      <c r="FL175" s="13" t="s">
        <v>37</v>
      </c>
      <c r="FM175" s="11" t="s">
        <v>37</v>
      </c>
      <c r="FN175" s="11" t="s">
        <v>37</v>
      </c>
      <c r="FP175" s="12" t="s">
        <v>37</v>
      </c>
      <c r="FQ175" s="12" t="s">
        <v>37</v>
      </c>
      <c r="FR175" s="11" t="s">
        <v>37</v>
      </c>
      <c r="FS175" s="13" t="s">
        <v>37</v>
      </c>
      <c r="FT175" s="11" t="s">
        <v>37</v>
      </c>
      <c r="FU175" s="11" t="s">
        <v>37</v>
      </c>
      <c r="FW175" s="12" t="s">
        <v>37</v>
      </c>
      <c r="FX175" s="12" t="s">
        <v>37</v>
      </c>
      <c r="FY175" s="11" t="s">
        <v>37</v>
      </c>
      <c r="FZ175" s="13" t="s">
        <v>37</v>
      </c>
      <c r="GA175" s="11" t="s">
        <v>37</v>
      </c>
      <c r="GB175" s="11" t="s">
        <v>37</v>
      </c>
      <c r="IK175" s="12" t="s">
        <v>37</v>
      </c>
      <c r="IL175" s="12" t="s">
        <v>37</v>
      </c>
      <c r="IM175" s="12" t="s">
        <v>37</v>
      </c>
      <c r="IO175" s="12" t="s">
        <v>37</v>
      </c>
      <c r="IP175" s="12" t="s">
        <v>37</v>
      </c>
      <c r="IQ175" s="12" t="s">
        <v>37</v>
      </c>
      <c r="IW175" s="12" t="s">
        <v>37</v>
      </c>
      <c r="IX175" s="12" t="s">
        <v>37</v>
      </c>
      <c r="IY175" s="13" t="s">
        <v>37</v>
      </c>
      <c r="JA175" s="12" t="s">
        <v>37</v>
      </c>
      <c r="JB175" s="12" t="s">
        <v>37</v>
      </c>
      <c r="JC175" s="13" t="s">
        <v>37</v>
      </c>
      <c r="JH175" s="12" t="s">
        <v>37</v>
      </c>
      <c r="JI175" s="12" t="s">
        <v>37</v>
      </c>
      <c r="JJ175" s="13" t="s">
        <v>37</v>
      </c>
      <c r="JL175" s="12" t="s">
        <v>37</v>
      </c>
      <c r="JM175" s="12" t="s">
        <v>37</v>
      </c>
      <c r="JN175" s="12" t="s">
        <v>37</v>
      </c>
      <c r="JS175" s="12" t="s">
        <v>37</v>
      </c>
      <c r="JT175" s="12" t="s">
        <v>37</v>
      </c>
      <c r="JU175" s="13" t="s">
        <v>37</v>
      </c>
      <c r="JW175" s="12" t="s">
        <v>37</v>
      </c>
      <c r="JX175" s="12" t="s">
        <v>37</v>
      </c>
      <c r="JY175" s="12" t="s">
        <v>37</v>
      </c>
      <c r="KE175" s="11" t="s">
        <v>37</v>
      </c>
      <c r="KF175" s="11" t="s">
        <v>37</v>
      </c>
      <c r="KG175" s="13" t="s">
        <v>37</v>
      </c>
      <c r="KH175" s="11" t="s">
        <v>37</v>
      </c>
      <c r="KI175" s="11" t="s">
        <v>37</v>
      </c>
      <c r="KJ175" s="11" t="s">
        <v>37</v>
      </c>
      <c r="KM175" s="12" t="s">
        <v>37</v>
      </c>
      <c r="KN175" s="12" t="s">
        <v>37</v>
      </c>
      <c r="KO175" s="11" t="s">
        <v>37</v>
      </c>
      <c r="KQ175" s="12" t="s">
        <v>37</v>
      </c>
      <c r="KR175" s="12" t="s">
        <v>37</v>
      </c>
      <c r="KS175" s="12" t="s">
        <v>37</v>
      </c>
      <c r="KX175" s="12" t="s">
        <v>37</v>
      </c>
      <c r="KY175" s="12" t="s">
        <v>37</v>
      </c>
      <c r="KZ175" s="13" t="s">
        <v>37</v>
      </c>
      <c r="LB175" s="12" t="s">
        <v>37</v>
      </c>
      <c r="LC175" s="12" t="s">
        <v>37</v>
      </c>
      <c r="LD175" s="13" t="s">
        <v>37</v>
      </c>
      <c r="LI175" s="12" t="s">
        <v>37</v>
      </c>
      <c r="LJ175" s="12" t="s">
        <v>37</v>
      </c>
      <c r="LK175" s="12" t="s">
        <v>37</v>
      </c>
      <c r="LM175" s="12" t="s">
        <v>37</v>
      </c>
      <c r="LN175" s="12" t="s">
        <v>37</v>
      </c>
      <c r="LO175" s="12" t="s">
        <v>37</v>
      </c>
      <c r="LU175" s="12" t="s">
        <v>37</v>
      </c>
      <c r="LV175" s="12" t="s">
        <v>37</v>
      </c>
      <c r="LW175" s="13" t="s">
        <v>37</v>
      </c>
      <c r="LY175" s="12" t="s">
        <v>37</v>
      </c>
      <c r="LZ175" s="12" t="s">
        <v>37</v>
      </c>
      <c r="MA175" s="12" t="s">
        <v>37</v>
      </c>
      <c r="MF175" s="12" t="s">
        <v>37</v>
      </c>
      <c r="MG175" s="12" t="s">
        <v>37</v>
      </c>
      <c r="MH175" s="12" t="s">
        <v>37</v>
      </c>
      <c r="MJ175" s="12" t="s">
        <v>37</v>
      </c>
      <c r="MK175" s="12" t="s">
        <v>37</v>
      </c>
      <c r="ML175" s="12" t="s">
        <v>37</v>
      </c>
      <c r="MQ175" s="12" t="s">
        <v>37</v>
      </c>
      <c r="MR175" s="12" t="s">
        <v>37</v>
      </c>
      <c r="MS175" s="12" t="s">
        <v>37</v>
      </c>
      <c r="MU175" s="12" t="s">
        <v>37</v>
      </c>
      <c r="MV175" s="12" t="s">
        <v>37</v>
      </c>
      <c r="MW175" s="12" t="s">
        <v>37</v>
      </c>
      <c r="NC175" s="12" t="s">
        <v>37</v>
      </c>
      <c r="ND175" s="12" t="s">
        <v>37</v>
      </c>
      <c r="NE175" s="12" t="s">
        <v>37</v>
      </c>
      <c r="NG175" s="12" t="s">
        <v>37</v>
      </c>
      <c r="NH175" s="12" t="s">
        <v>37</v>
      </c>
      <c r="NI175" s="12" t="s">
        <v>37</v>
      </c>
      <c r="NO175" s="12" t="s">
        <v>37</v>
      </c>
      <c r="NP175" s="12" t="s">
        <v>37</v>
      </c>
      <c r="NQ175" s="12" t="s">
        <v>37</v>
      </c>
      <c r="NS175" s="12" t="s">
        <v>37</v>
      </c>
      <c r="NT175" s="12" t="s">
        <v>37</v>
      </c>
      <c r="NU175" s="12" t="s">
        <v>37</v>
      </c>
      <c r="OA175" s="12" t="s">
        <v>37</v>
      </c>
      <c r="OB175" s="12" t="s">
        <v>37</v>
      </c>
      <c r="OC175" s="12" t="s">
        <v>37</v>
      </c>
      <c r="OD175" s="12"/>
      <c r="OE175" s="12" t="s">
        <v>37</v>
      </c>
      <c r="OF175" s="12" t="s">
        <v>37</v>
      </c>
      <c r="OG175" s="12" t="s">
        <v>37</v>
      </c>
      <c r="OH175" s="12"/>
      <c r="OI175" s="12"/>
      <c r="OJ175" s="12"/>
      <c r="OM175" s="12" t="s">
        <v>37</v>
      </c>
      <c r="ON175" s="12" t="s">
        <v>37</v>
      </c>
      <c r="OO175" s="12" t="s">
        <v>37</v>
      </c>
      <c r="OP175" s="12" t="s">
        <v>37</v>
      </c>
      <c r="OQ175" s="12" t="s">
        <v>37</v>
      </c>
      <c r="OR175" s="12" t="s">
        <v>37</v>
      </c>
      <c r="OS175" s="12"/>
      <c r="OT175" s="12"/>
      <c r="OW175" s="12" t="s">
        <v>37</v>
      </c>
      <c r="OX175" s="12" t="s">
        <v>37</v>
      </c>
      <c r="OY175" s="13" t="s">
        <v>37</v>
      </c>
      <c r="OZ175" s="12" t="s">
        <v>37</v>
      </c>
      <c r="PA175" s="12" t="s">
        <v>37</v>
      </c>
      <c r="PB175" s="13" t="s">
        <v>37</v>
      </c>
      <c r="PG175" s="11" t="s">
        <v>37</v>
      </c>
      <c r="PH175" s="11" t="s">
        <v>37</v>
      </c>
      <c r="PI175" s="13" t="s">
        <v>37</v>
      </c>
      <c r="PJ175" s="11" t="s">
        <v>37</v>
      </c>
      <c r="PK175" s="11" t="s">
        <v>37</v>
      </c>
      <c r="PL175" s="13" t="s">
        <v>37</v>
      </c>
      <c r="PQ175" s="12" t="s">
        <v>37</v>
      </c>
      <c r="PR175" s="12" t="s">
        <v>37</v>
      </c>
      <c r="PS175" s="12" t="s">
        <v>37</v>
      </c>
      <c r="PT175" s="12" t="s">
        <v>37</v>
      </c>
      <c r="PU175" s="12" t="s">
        <v>37</v>
      </c>
      <c r="PV175" s="12" t="s">
        <v>37</v>
      </c>
      <c r="PW175" s="12"/>
      <c r="PX175" s="12"/>
      <c r="PY175" s="12" t="s">
        <v>43</v>
      </c>
      <c r="PZ175" s="12">
        <v>852.33333333333337</v>
      </c>
      <c r="QA175" s="12">
        <v>209.50497209692483</v>
      </c>
      <c r="QB175" s="11">
        <v>3</v>
      </c>
      <c r="QC175" s="19">
        <f t="shared" si="628"/>
        <v>0.24580168802924304</v>
      </c>
      <c r="QD175" s="12">
        <v>576.33333333333337</v>
      </c>
      <c r="QE175" s="12">
        <v>65.255906501506317</v>
      </c>
      <c r="QF175" s="13">
        <v>3</v>
      </c>
      <c r="QG175" s="19">
        <f t="shared" si="705"/>
        <v>0.11322598004888314</v>
      </c>
      <c r="QH175" s="19">
        <f t="shared" si="706"/>
        <v>-0.39129148960789611</v>
      </c>
      <c r="QI175" s="19">
        <f>QE175^2/(QF175*QD175^2)+QA175^2/(QB175*PZ175^2)</f>
        <v>2.4412864132018468E-2</v>
      </c>
      <c r="QK175" s="12" t="s">
        <v>37</v>
      </c>
      <c r="QL175" s="12" t="s">
        <v>37</v>
      </c>
      <c r="QM175" s="12" t="s">
        <v>37</v>
      </c>
      <c r="QN175" s="12" t="s">
        <v>37</v>
      </c>
      <c r="QO175" s="12" t="s">
        <v>37</v>
      </c>
      <c r="QP175" s="12" t="s">
        <v>37</v>
      </c>
      <c r="QQ175" s="12"/>
      <c r="QR175" s="12"/>
      <c r="QU175" s="12" t="s">
        <v>37</v>
      </c>
      <c r="QV175" s="12" t="s">
        <v>37</v>
      </c>
      <c r="QW175" s="12" t="s">
        <v>37</v>
      </c>
      <c r="QX175" s="12" t="s">
        <v>37</v>
      </c>
      <c r="QY175" s="12" t="s">
        <v>37</v>
      </c>
      <c r="QZ175" s="12" t="s">
        <v>37</v>
      </c>
      <c r="RC175" s="12" t="s">
        <v>37</v>
      </c>
      <c r="RD175" s="12" t="s">
        <v>37</v>
      </c>
      <c r="RE175" s="13" t="s">
        <v>37</v>
      </c>
      <c r="RF175" s="12" t="s">
        <v>37</v>
      </c>
      <c r="RG175" s="12" t="s">
        <v>37</v>
      </c>
      <c r="RH175" s="13" t="s">
        <v>37</v>
      </c>
      <c r="RK175" s="12" t="s">
        <v>37</v>
      </c>
      <c r="RL175" s="12" t="s">
        <v>37</v>
      </c>
      <c r="RM175" s="11" t="s">
        <v>37</v>
      </c>
      <c r="RN175" s="12" t="s">
        <v>37</v>
      </c>
      <c r="RO175" s="12" t="s">
        <v>37</v>
      </c>
      <c r="RP175" s="11" t="s">
        <v>37</v>
      </c>
      <c r="RS175" s="12" t="s">
        <v>37</v>
      </c>
      <c r="RT175" s="12" t="s">
        <v>37</v>
      </c>
      <c r="RU175" s="12" t="s">
        <v>37</v>
      </c>
      <c r="RV175" s="12" t="s">
        <v>37</v>
      </c>
      <c r="RW175" s="12" t="s">
        <v>37</v>
      </c>
      <c r="RX175" s="12" t="s">
        <v>37</v>
      </c>
      <c r="SA175" s="12" t="s">
        <v>37</v>
      </c>
      <c r="SB175" s="12" t="s">
        <v>37</v>
      </c>
      <c r="SC175" s="12" t="s">
        <v>37</v>
      </c>
      <c r="SD175" s="12" t="s">
        <v>37</v>
      </c>
      <c r="SE175" s="12" t="s">
        <v>37</v>
      </c>
      <c r="SF175" s="12" t="s">
        <v>37</v>
      </c>
      <c r="SI175" s="12" t="s">
        <v>37</v>
      </c>
      <c r="SJ175" s="12" t="s">
        <v>37</v>
      </c>
      <c r="SK175" s="13" t="s">
        <v>37</v>
      </c>
      <c r="SM175" s="12" t="s">
        <v>37</v>
      </c>
      <c r="SN175" s="12" t="s">
        <v>37</v>
      </c>
      <c r="SO175" s="13" t="s">
        <v>37</v>
      </c>
      <c r="SU175" s="12" t="s">
        <v>37</v>
      </c>
      <c r="SV175" s="12" t="s">
        <v>37</v>
      </c>
      <c r="SW175" s="11" t="s">
        <v>37</v>
      </c>
      <c r="SX175" s="12" t="s">
        <v>37</v>
      </c>
      <c r="SY175" s="12" t="s">
        <v>37</v>
      </c>
      <c r="SZ175" s="11" t="s">
        <v>37</v>
      </c>
      <c r="TE175" s="12" t="s">
        <v>37</v>
      </c>
      <c r="TF175" s="12" t="s">
        <v>37</v>
      </c>
      <c r="TG175" s="11" t="s">
        <v>37</v>
      </c>
      <c r="TH175" s="12" t="s">
        <v>37</v>
      </c>
      <c r="TI175" s="12" t="s">
        <v>37</v>
      </c>
      <c r="TJ175" s="11" t="s">
        <v>37</v>
      </c>
      <c r="TO175" s="12" t="s">
        <v>37</v>
      </c>
      <c r="TP175" s="12" t="s">
        <v>37</v>
      </c>
      <c r="TQ175" s="11" t="s">
        <v>37</v>
      </c>
      <c r="TR175" s="12" t="s">
        <v>37</v>
      </c>
      <c r="TS175" s="12" t="s">
        <v>37</v>
      </c>
      <c r="TT175" s="11" t="s">
        <v>37</v>
      </c>
      <c r="TY175" s="12" t="s">
        <v>37</v>
      </c>
      <c r="TZ175" s="12" t="s">
        <v>37</v>
      </c>
      <c r="UA175" s="12" t="s">
        <v>37</v>
      </c>
      <c r="UB175" s="12" t="s">
        <v>37</v>
      </c>
      <c r="UC175" s="12" t="s">
        <v>37</v>
      </c>
      <c r="UD175" s="12" t="s">
        <v>37</v>
      </c>
      <c r="UE175" s="12"/>
      <c r="UF175" s="12"/>
      <c r="UI175" s="12" t="s">
        <v>37</v>
      </c>
      <c r="UJ175" s="12" t="s">
        <v>37</v>
      </c>
      <c r="UK175" s="12" t="s">
        <v>37</v>
      </c>
      <c r="UL175" s="12" t="s">
        <v>37</v>
      </c>
      <c r="UM175" s="12" t="s">
        <v>37</v>
      </c>
      <c r="UN175" s="12" t="s">
        <v>37</v>
      </c>
      <c r="UO175" s="12"/>
      <c r="UP175" s="12"/>
      <c r="UR175" s="12" t="s">
        <v>37</v>
      </c>
      <c r="US175" s="12" t="s">
        <v>37</v>
      </c>
      <c r="UT175" s="12" t="s">
        <v>37</v>
      </c>
      <c r="UU175" s="12" t="s">
        <v>37</v>
      </c>
      <c r="UV175" s="12" t="s">
        <v>37</v>
      </c>
      <c r="UW175" s="12" t="s">
        <v>37</v>
      </c>
      <c r="UX175" s="12"/>
      <c r="UY175" s="12"/>
      <c r="VB175" s="12" t="s">
        <v>37</v>
      </c>
      <c r="VC175" s="12" t="s">
        <v>37</v>
      </c>
      <c r="VD175" s="12" t="s">
        <v>37</v>
      </c>
      <c r="VE175" s="12" t="s">
        <v>37</v>
      </c>
      <c r="VF175" s="12" t="s">
        <v>37</v>
      </c>
      <c r="VG175" s="12" t="s">
        <v>37</v>
      </c>
      <c r="VI175" s="12" t="s">
        <v>37</v>
      </c>
      <c r="VJ175" s="12" t="s">
        <v>37</v>
      </c>
      <c r="VK175" s="12" t="s">
        <v>37</v>
      </c>
      <c r="VL175" s="12" t="s">
        <v>37</v>
      </c>
      <c r="VM175" s="12" t="s">
        <v>37</v>
      </c>
      <c r="VN175" s="12" t="s">
        <v>37</v>
      </c>
      <c r="VQ175" s="13" t="s">
        <v>37</v>
      </c>
      <c r="VR175" s="13" t="s">
        <v>37</v>
      </c>
      <c r="VS175" s="13" t="s">
        <v>37</v>
      </c>
      <c r="VT175" s="13" t="s">
        <v>37</v>
      </c>
      <c r="VU175" s="13" t="s">
        <v>37</v>
      </c>
      <c r="VV175" s="13" t="s">
        <v>37</v>
      </c>
      <c r="WA175" s="13" t="s">
        <v>37</v>
      </c>
      <c r="WB175" s="13" t="s">
        <v>37</v>
      </c>
      <c r="WC175" s="13" t="s">
        <v>37</v>
      </c>
      <c r="WD175" s="13" t="s">
        <v>37</v>
      </c>
      <c r="WE175" s="13" t="s">
        <v>37</v>
      </c>
      <c r="WF175" s="13" t="s">
        <v>37</v>
      </c>
    </row>
    <row r="176" spans="1:604" ht="18" customHeight="1" x14ac:dyDescent="0.3">
      <c r="A176" s="11">
        <v>44</v>
      </c>
      <c r="B176" s="16" t="s">
        <v>929</v>
      </c>
      <c r="C176" s="12" t="s">
        <v>26</v>
      </c>
      <c r="D176" s="12" t="s">
        <v>54</v>
      </c>
      <c r="E176" s="40" t="s">
        <v>37</v>
      </c>
      <c r="F176" s="14">
        <v>0</v>
      </c>
      <c r="G176" s="14">
        <v>0</v>
      </c>
      <c r="H176" s="12" t="s">
        <v>145</v>
      </c>
      <c r="I176" s="29">
        <v>49.167000000000002</v>
      </c>
      <c r="J176" s="29">
        <v>13.317</v>
      </c>
      <c r="K176" s="12" t="s">
        <v>742</v>
      </c>
      <c r="L176" s="12" t="s">
        <v>743</v>
      </c>
      <c r="M176" s="13">
        <v>900</v>
      </c>
      <c r="N176" s="14">
        <v>4</v>
      </c>
      <c r="O176" s="14">
        <v>1000</v>
      </c>
      <c r="P176" s="14" t="s">
        <v>16</v>
      </c>
      <c r="Q176" s="75">
        <v>40</v>
      </c>
      <c r="R176" s="11" t="s">
        <v>999</v>
      </c>
      <c r="S176" s="12" t="s">
        <v>85</v>
      </c>
      <c r="T176" s="12" t="s">
        <v>138</v>
      </c>
      <c r="U176" s="12" t="s">
        <v>158</v>
      </c>
      <c r="V176" s="12" t="s">
        <v>275</v>
      </c>
      <c r="W176" s="23" t="s">
        <v>296</v>
      </c>
      <c r="X176" s="12" t="s">
        <v>280</v>
      </c>
      <c r="Y176" s="12" t="s">
        <v>37</v>
      </c>
      <c r="Z176" s="12" t="s">
        <v>37</v>
      </c>
      <c r="AB176" s="12" t="s">
        <v>37</v>
      </c>
      <c r="AE176" s="12" t="s">
        <v>37</v>
      </c>
      <c r="AH176" s="12" t="s">
        <v>37</v>
      </c>
      <c r="AK176" s="12" t="s">
        <v>37</v>
      </c>
      <c r="AL176" s="32" t="s">
        <v>642</v>
      </c>
      <c r="AM176" s="12" t="s">
        <v>317</v>
      </c>
      <c r="AN176" s="32" t="s">
        <v>880</v>
      </c>
      <c r="AO176" s="12" t="s">
        <v>318</v>
      </c>
      <c r="AP176" s="12" t="s">
        <v>108</v>
      </c>
      <c r="AQ176" s="12" t="s">
        <v>975</v>
      </c>
      <c r="AT176" s="12" t="s">
        <v>326</v>
      </c>
      <c r="AU176" s="12" t="s">
        <v>326</v>
      </c>
      <c r="AV176" s="13" t="s">
        <v>326</v>
      </c>
      <c r="AX176" s="12" t="s">
        <v>326</v>
      </c>
      <c r="AY176" s="12" t="s">
        <v>326</v>
      </c>
      <c r="AZ176" s="13" t="s">
        <v>326</v>
      </c>
      <c r="BE176" s="12" t="s">
        <v>326</v>
      </c>
      <c r="BF176" s="12" t="s">
        <v>326</v>
      </c>
      <c r="BG176" s="12" t="s">
        <v>326</v>
      </c>
      <c r="BI176" s="12" t="s">
        <v>326</v>
      </c>
      <c r="BJ176" s="12" t="s">
        <v>326</v>
      </c>
      <c r="BK176" s="12" t="s">
        <v>326</v>
      </c>
      <c r="BP176" s="12" t="s">
        <v>37</v>
      </c>
      <c r="BQ176" s="12" t="s">
        <v>37</v>
      </c>
      <c r="BR176" s="13" t="s">
        <v>37</v>
      </c>
      <c r="BT176" s="12" t="s">
        <v>37</v>
      </c>
      <c r="BU176" s="12" t="s">
        <v>37</v>
      </c>
      <c r="BV176" s="12" t="s">
        <v>37</v>
      </c>
      <c r="CA176" s="12" t="s">
        <v>37</v>
      </c>
      <c r="CB176" s="12" t="s">
        <v>37</v>
      </c>
      <c r="CC176" s="13" t="s">
        <v>37</v>
      </c>
      <c r="CE176" s="12" t="s">
        <v>37</v>
      </c>
      <c r="CF176" s="12" t="s">
        <v>37</v>
      </c>
      <c r="CG176" s="13" t="s">
        <v>37</v>
      </c>
      <c r="CN176" s="12" t="s">
        <v>37</v>
      </c>
      <c r="CO176" s="12" t="s">
        <v>37</v>
      </c>
      <c r="CP176" s="13" t="s">
        <v>37</v>
      </c>
      <c r="CR176" s="12" t="s">
        <v>37</v>
      </c>
      <c r="CS176" s="12" t="s">
        <v>37</v>
      </c>
      <c r="CT176" s="13" t="s">
        <v>37</v>
      </c>
      <c r="CX176" s="72"/>
      <c r="CY176" s="72"/>
      <c r="DA176" s="12" t="s">
        <v>37</v>
      </c>
      <c r="DB176" s="12" t="s">
        <v>37</v>
      </c>
      <c r="DC176" s="13" t="s">
        <v>37</v>
      </c>
      <c r="DE176" s="12" t="s">
        <v>37</v>
      </c>
      <c r="DF176" s="12" t="s">
        <v>37</v>
      </c>
      <c r="DG176" s="13" t="s">
        <v>37</v>
      </c>
      <c r="DM176" s="12" t="s">
        <v>47</v>
      </c>
      <c r="DN176" s="19">
        <f>90.8*16/12*10^4/10^3/'[1]classes-1'!$I$18</f>
        <v>1294.4026579568806</v>
      </c>
      <c r="DO176" s="12">
        <f>SQRT((1/[2]Classes!$I$18)^2*(100*16/12*10^4/10^3)^2+(-DN176/([2]Classes!$I$18)^2)^2*([2]Classes!$J$18)^2)</f>
        <v>1425.6221977894311</v>
      </c>
      <c r="DP176" s="13">
        <v>4</v>
      </c>
      <c r="DQ176" s="19">
        <f t="shared" ref="DQ176:DQ193" si="707">DO176/ABS(DN176)</f>
        <v>1.1013745908399717</v>
      </c>
      <c r="DR176" s="19">
        <f>1.62337662337662*16/12*10^4/10^3/'[1]classes-1'!$I$19</f>
        <v>22.36227209479982</v>
      </c>
      <c r="DS176" s="12">
        <f>SQRT((1/[2]Classes!$I$19)^2*(1.2987012987013*16/12*10^4/10^3)^2+(-DR176/([2]Classes!$I$19)^2)^2*([2]Classes!$J$19)^2)</f>
        <v>23.370237472575557</v>
      </c>
      <c r="DT176" s="13">
        <v>3</v>
      </c>
      <c r="DU176" s="19">
        <f t="shared" ref="DU176:DU193" si="708">DS176/ABS(DR176)</f>
        <v>1.0450743722955653</v>
      </c>
      <c r="DV176" s="19">
        <f>DR176-DN176</f>
        <v>-1272.0403858620807</v>
      </c>
      <c r="DW176" s="12">
        <f t="shared" ref="DW176:DW198" si="709">SQRT(((DP176-1)*DO176^2+(DT176-1)*DS176^2)/(DP176+DT176-2))</f>
        <v>1104.38111976699</v>
      </c>
      <c r="DX176" s="72">
        <f t="shared" si="641"/>
        <v>711466.96699037787</v>
      </c>
      <c r="DY176" s="72">
        <f t="shared" si="642"/>
        <v>508281.71870733349</v>
      </c>
      <c r="EA176" s="19" t="s">
        <v>37</v>
      </c>
      <c r="EB176" s="19" t="s">
        <v>37</v>
      </c>
      <c r="EC176" s="72" t="s">
        <v>37</v>
      </c>
      <c r="EE176" s="19" t="s">
        <v>37</v>
      </c>
      <c r="EF176" s="19" t="s">
        <v>37</v>
      </c>
      <c r="EG176" s="12" t="s">
        <v>37</v>
      </c>
      <c r="EM176" s="12" t="s">
        <v>39</v>
      </c>
      <c r="EN176" s="12">
        <v>-7.2</v>
      </c>
      <c r="EO176" s="12">
        <v>2.1</v>
      </c>
      <c r="EP176" s="13">
        <v>4</v>
      </c>
      <c r="EQ176" s="19">
        <f t="shared" si="510"/>
        <v>0.29166666666666669</v>
      </c>
      <c r="ER176" s="12">
        <v>-39.6</v>
      </c>
      <c r="ES176" s="12">
        <v>17.2</v>
      </c>
      <c r="ET176" s="13">
        <v>3</v>
      </c>
      <c r="EU176" s="19">
        <f t="shared" si="511"/>
        <v>0.43434343434343431</v>
      </c>
      <c r="EV176" s="19">
        <f t="shared" si="701"/>
        <v>-32.4</v>
      </c>
      <c r="EW176" s="12">
        <f t="shared" si="702"/>
        <v>10.999181787751306</v>
      </c>
      <c r="EX176" s="19">
        <f t="shared" si="703"/>
        <v>70.572833333333335</v>
      </c>
      <c r="EY176" s="19">
        <f t="shared" si="704"/>
        <v>99.715833333333336</v>
      </c>
      <c r="FB176" s="12" t="s">
        <v>37</v>
      </c>
      <c r="FC176" s="12" t="s">
        <v>37</v>
      </c>
      <c r="FD176" s="11" t="s">
        <v>37</v>
      </c>
      <c r="FE176" s="12" t="s">
        <v>37</v>
      </c>
      <c r="FF176" s="20" t="s">
        <v>37</v>
      </c>
      <c r="FG176" s="11" t="s">
        <v>37</v>
      </c>
      <c r="FI176" s="12" t="s">
        <v>37</v>
      </c>
      <c r="FJ176" s="12" t="s">
        <v>37</v>
      </c>
      <c r="FK176" s="11" t="s">
        <v>37</v>
      </c>
      <c r="FL176" s="13" t="s">
        <v>37</v>
      </c>
      <c r="FM176" s="11" t="s">
        <v>37</v>
      </c>
      <c r="FN176" s="11" t="s">
        <v>37</v>
      </c>
      <c r="FP176" s="12" t="s">
        <v>37</v>
      </c>
      <c r="FQ176" s="12" t="s">
        <v>37</v>
      </c>
      <c r="FR176" s="11" t="s">
        <v>37</v>
      </c>
      <c r="FS176" s="13" t="s">
        <v>37</v>
      </c>
      <c r="FT176" s="11" t="s">
        <v>37</v>
      </c>
      <c r="FU176" s="11" t="s">
        <v>37</v>
      </c>
      <c r="FW176" s="12" t="s">
        <v>37</v>
      </c>
      <c r="FX176" s="12" t="s">
        <v>37</v>
      </c>
      <c r="FY176" s="11" t="s">
        <v>37</v>
      </c>
      <c r="FZ176" s="13" t="s">
        <v>37</v>
      </c>
      <c r="GA176" s="11" t="s">
        <v>37</v>
      </c>
      <c r="GB176" s="11" t="s">
        <v>37</v>
      </c>
      <c r="IK176" s="12" t="s">
        <v>37</v>
      </c>
      <c r="IL176" s="12" t="s">
        <v>37</v>
      </c>
      <c r="IM176" s="12" t="s">
        <v>37</v>
      </c>
      <c r="IO176" s="12" t="s">
        <v>37</v>
      </c>
      <c r="IP176" s="12" t="s">
        <v>37</v>
      </c>
      <c r="IQ176" s="12" t="s">
        <v>37</v>
      </c>
      <c r="IW176" s="12" t="s">
        <v>37</v>
      </c>
      <c r="IX176" s="12" t="s">
        <v>37</v>
      </c>
      <c r="IY176" s="13" t="s">
        <v>37</v>
      </c>
      <c r="JA176" s="12" t="s">
        <v>37</v>
      </c>
      <c r="JB176" s="12" t="s">
        <v>37</v>
      </c>
      <c r="JC176" s="13" t="s">
        <v>37</v>
      </c>
      <c r="JH176" s="12" t="s">
        <v>37</v>
      </c>
      <c r="JI176" s="12" t="s">
        <v>37</v>
      </c>
      <c r="JJ176" s="13" t="s">
        <v>37</v>
      </c>
      <c r="JL176" s="12" t="s">
        <v>37</v>
      </c>
      <c r="JM176" s="12" t="s">
        <v>37</v>
      </c>
      <c r="JN176" s="12" t="s">
        <v>37</v>
      </c>
      <c r="JS176" s="12" t="s">
        <v>37</v>
      </c>
      <c r="JT176" s="12" t="s">
        <v>37</v>
      </c>
      <c r="JU176" s="13" t="s">
        <v>37</v>
      </c>
      <c r="JW176" s="12" t="s">
        <v>37</v>
      </c>
      <c r="JX176" s="12" t="s">
        <v>37</v>
      </c>
      <c r="JY176" s="12" t="s">
        <v>37</v>
      </c>
      <c r="KE176" s="11" t="s">
        <v>37</v>
      </c>
      <c r="KF176" s="11" t="s">
        <v>37</v>
      </c>
      <c r="KG176" s="13" t="s">
        <v>37</v>
      </c>
      <c r="KH176" s="11" t="s">
        <v>37</v>
      </c>
      <c r="KI176" s="11" t="s">
        <v>37</v>
      </c>
      <c r="KJ176" s="11" t="s">
        <v>37</v>
      </c>
      <c r="KM176" s="12" t="s">
        <v>37</v>
      </c>
      <c r="KN176" s="12" t="s">
        <v>37</v>
      </c>
      <c r="KO176" s="11" t="s">
        <v>37</v>
      </c>
      <c r="KQ176" s="12" t="s">
        <v>37</v>
      </c>
      <c r="KR176" s="12" t="s">
        <v>37</v>
      </c>
      <c r="KS176" s="12" t="s">
        <v>37</v>
      </c>
      <c r="KX176" s="12" t="s">
        <v>37</v>
      </c>
      <c r="KY176" s="12" t="s">
        <v>37</v>
      </c>
      <c r="KZ176" s="13" t="s">
        <v>37</v>
      </c>
      <c r="LB176" s="12" t="s">
        <v>37</v>
      </c>
      <c r="LC176" s="12" t="s">
        <v>37</v>
      </c>
      <c r="LD176" s="13" t="s">
        <v>37</v>
      </c>
      <c r="LI176" s="12" t="s">
        <v>37</v>
      </c>
      <c r="LJ176" s="12" t="s">
        <v>37</v>
      </c>
      <c r="LK176" s="12" t="s">
        <v>37</v>
      </c>
      <c r="LM176" s="12" t="s">
        <v>37</v>
      </c>
      <c r="LN176" s="12" t="s">
        <v>37</v>
      </c>
      <c r="LO176" s="12" t="s">
        <v>37</v>
      </c>
      <c r="LU176" s="12" t="s">
        <v>37</v>
      </c>
      <c r="LV176" s="12" t="s">
        <v>37</v>
      </c>
      <c r="LW176" s="13" t="s">
        <v>37</v>
      </c>
      <c r="LY176" s="12" t="s">
        <v>37</v>
      </c>
      <c r="LZ176" s="12" t="s">
        <v>37</v>
      </c>
      <c r="MA176" s="12" t="s">
        <v>37</v>
      </c>
      <c r="MF176" s="12" t="s">
        <v>37</v>
      </c>
      <c r="MG176" s="12" t="s">
        <v>37</v>
      </c>
      <c r="MH176" s="12" t="s">
        <v>37</v>
      </c>
      <c r="MJ176" s="12" t="s">
        <v>37</v>
      </c>
      <c r="MK176" s="12" t="s">
        <v>37</v>
      </c>
      <c r="ML176" s="12" t="s">
        <v>37</v>
      </c>
      <c r="MQ176" s="12" t="s">
        <v>37</v>
      </c>
      <c r="MR176" s="12" t="s">
        <v>37</v>
      </c>
      <c r="MS176" s="12" t="s">
        <v>37</v>
      </c>
      <c r="MU176" s="12" t="s">
        <v>37</v>
      </c>
      <c r="MV176" s="12" t="s">
        <v>37</v>
      </c>
      <c r="MW176" s="12" t="s">
        <v>37</v>
      </c>
      <c r="NC176" s="12" t="s">
        <v>37</v>
      </c>
      <c r="ND176" s="12" t="s">
        <v>37</v>
      </c>
      <c r="NE176" s="12" t="s">
        <v>37</v>
      </c>
      <c r="NG176" s="12" t="s">
        <v>37</v>
      </c>
      <c r="NH176" s="12" t="s">
        <v>37</v>
      </c>
      <c r="NI176" s="12" t="s">
        <v>37</v>
      </c>
      <c r="NO176" s="12" t="s">
        <v>37</v>
      </c>
      <c r="NP176" s="12" t="s">
        <v>37</v>
      </c>
      <c r="NQ176" s="12" t="s">
        <v>37</v>
      </c>
      <c r="NS176" s="12" t="s">
        <v>37</v>
      </c>
      <c r="NT176" s="12" t="s">
        <v>37</v>
      </c>
      <c r="NU176" s="12" t="s">
        <v>37</v>
      </c>
      <c r="OA176" s="12" t="s">
        <v>37</v>
      </c>
      <c r="OB176" s="12" t="s">
        <v>37</v>
      </c>
      <c r="OC176" s="12" t="s">
        <v>37</v>
      </c>
      <c r="OD176" s="12"/>
      <c r="OE176" s="12" t="s">
        <v>37</v>
      </c>
      <c r="OF176" s="12" t="s">
        <v>37</v>
      </c>
      <c r="OG176" s="12" t="s">
        <v>37</v>
      </c>
      <c r="OH176" s="12"/>
      <c r="OI176" s="12"/>
      <c r="OJ176" s="12"/>
      <c r="OM176" s="12" t="s">
        <v>37</v>
      </c>
      <c r="ON176" s="12" t="s">
        <v>37</v>
      </c>
      <c r="OO176" s="12" t="s">
        <v>37</v>
      </c>
      <c r="OP176" s="12" t="s">
        <v>37</v>
      </c>
      <c r="OQ176" s="12" t="s">
        <v>37</v>
      </c>
      <c r="OR176" s="12" t="s">
        <v>37</v>
      </c>
      <c r="OS176" s="12"/>
      <c r="OT176" s="12"/>
      <c r="OW176" s="12" t="s">
        <v>37</v>
      </c>
      <c r="OX176" s="12" t="s">
        <v>37</v>
      </c>
      <c r="OY176" s="13" t="s">
        <v>37</v>
      </c>
      <c r="OZ176" s="12" t="s">
        <v>37</v>
      </c>
      <c r="PA176" s="12" t="s">
        <v>37</v>
      </c>
      <c r="PB176" s="13" t="s">
        <v>37</v>
      </c>
      <c r="PG176" s="11" t="s">
        <v>37</v>
      </c>
      <c r="PH176" s="11" t="s">
        <v>37</v>
      </c>
      <c r="PI176" s="13" t="s">
        <v>37</v>
      </c>
      <c r="PJ176" s="11" t="s">
        <v>37</v>
      </c>
      <c r="PK176" s="11" t="s">
        <v>37</v>
      </c>
      <c r="PL176" s="13" t="s">
        <v>37</v>
      </c>
      <c r="PQ176" s="12" t="s">
        <v>37</v>
      </c>
      <c r="PR176" s="12" t="s">
        <v>37</v>
      </c>
      <c r="PS176" s="12" t="s">
        <v>37</v>
      </c>
      <c r="PT176" s="12" t="s">
        <v>37</v>
      </c>
      <c r="PU176" s="12" t="s">
        <v>37</v>
      </c>
      <c r="PV176" s="12" t="s">
        <v>37</v>
      </c>
      <c r="PW176" s="12"/>
      <c r="PX176" s="12"/>
      <c r="PZ176" s="12" t="s">
        <v>37</v>
      </c>
      <c r="QA176" s="12" t="s">
        <v>37</v>
      </c>
      <c r="QB176" s="11" t="s">
        <v>37</v>
      </c>
      <c r="QD176" s="12" t="s">
        <v>37</v>
      </c>
      <c r="QE176" s="12" t="s">
        <v>37</v>
      </c>
      <c r="QF176" s="12" t="s">
        <v>37</v>
      </c>
      <c r="QK176" s="12" t="s">
        <v>37</v>
      </c>
      <c r="QL176" s="12" t="s">
        <v>37</v>
      </c>
      <c r="QM176" s="12" t="s">
        <v>37</v>
      </c>
      <c r="QN176" s="12" t="s">
        <v>37</v>
      </c>
      <c r="QO176" s="12" t="s">
        <v>37</v>
      </c>
      <c r="QP176" s="12" t="s">
        <v>37</v>
      </c>
      <c r="QQ176" s="12"/>
      <c r="QR176" s="12"/>
      <c r="QU176" s="12" t="s">
        <v>37</v>
      </c>
      <c r="QV176" s="12" t="s">
        <v>37</v>
      </c>
      <c r="QW176" s="12" t="s">
        <v>37</v>
      </c>
      <c r="QX176" s="12" t="s">
        <v>37</v>
      </c>
      <c r="QY176" s="12" t="s">
        <v>37</v>
      </c>
      <c r="QZ176" s="12" t="s">
        <v>37</v>
      </c>
      <c r="RC176" s="12" t="s">
        <v>37</v>
      </c>
      <c r="RD176" s="12" t="s">
        <v>37</v>
      </c>
      <c r="RE176" s="13" t="s">
        <v>37</v>
      </c>
      <c r="RF176" s="12" t="s">
        <v>37</v>
      </c>
      <c r="RG176" s="12" t="s">
        <v>37</v>
      </c>
      <c r="RH176" s="13" t="s">
        <v>37</v>
      </c>
      <c r="RK176" s="12" t="s">
        <v>37</v>
      </c>
      <c r="RL176" s="12" t="s">
        <v>37</v>
      </c>
      <c r="RM176" s="11" t="s">
        <v>37</v>
      </c>
      <c r="RN176" s="12" t="s">
        <v>37</v>
      </c>
      <c r="RO176" s="12" t="s">
        <v>37</v>
      </c>
      <c r="RP176" s="11" t="s">
        <v>37</v>
      </c>
      <c r="RS176" s="12" t="s">
        <v>37</v>
      </c>
      <c r="RT176" s="12" t="s">
        <v>37</v>
      </c>
      <c r="RU176" s="12" t="s">
        <v>37</v>
      </c>
      <c r="RV176" s="12" t="s">
        <v>37</v>
      </c>
      <c r="RW176" s="12" t="s">
        <v>37</v>
      </c>
      <c r="RX176" s="12" t="s">
        <v>37</v>
      </c>
      <c r="SA176" s="12" t="s">
        <v>37</v>
      </c>
      <c r="SB176" s="12" t="s">
        <v>37</v>
      </c>
      <c r="SC176" s="12" t="s">
        <v>37</v>
      </c>
      <c r="SD176" s="12" t="s">
        <v>37</v>
      </c>
      <c r="SE176" s="12" t="s">
        <v>37</v>
      </c>
      <c r="SF176" s="12" t="s">
        <v>37</v>
      </c>
      <c r="SI176" s="12" t="s">
        <v>37</v>
      </c>
      <c r="SJ176" s="12" t="s">
        <v>37</v>
      </c>
      <c r="SK176" s="13" t="s">
        <v>37</v>
      </c>
      <c r="SM176" s="12" t="s">
        <v>37</v>
      </c>
      <c r="SN176" s="12" t="s">
        <v>37</v>
      </c>
      <c r="SO176" s="13" t="s">
        <v>37</v>
      </c>
      <c r="SU176" s="12" t="s">
        <v>37</v>
      </c>
      <c r="SV176" s="12" t="s">
        <v>37</v>
      </c>
      <c r="SW176" s="11" t="s">
        <v>37</v>
      </c>
      <c r="SX176" s="12" t="s">
        <v>37</v>
      </c>
      <c r="SY176" s="12" t="s">
        <v>37</v>
      </c>
      <c r="SZ176" s="11" t="s">
        <v>37</v>
      </c>
      <c r="TE176" s="12" t="s">
        <v>37</v>
      </c>
      <c r="TF176" s="12" t="s">
        <v>37</v>
      </c>
      <c r="TG176" s="11" t="s">
        <v>37</v>
      </c>
      <c r="TH176" s="12" t="s">
        <v>37</v>
      </c>
      <c r="TI176" s="12" t="s">
        <v>37</v>
      </c>
      <c r="TJ176" s="11" t="s">
        <v>37</v>
      </c>
      <c r="TO176" s="12" t="s">
        <v>37</v>
      </c>
      <c r="TP176" s="12" t="s">
        <v>37</v>
      </c>
      <c r="TQ176" s="11" t="s">
        <v>37</v>
      </c>
      <c r="TR176" s="12" t="s">
        <v>37</v>
      </c>
      <c r="TS176" s="12" t="s">
        <v>37</v>
      </c>
      <c r="TT176" s="11" t="s">
        <v>37</v>
      </c>
      <c r="TY176" s="12" t="s">
        <v>37</v>
      </c>
      <c r="TZ176" s="12" t="s">
        <v>37</v>
      </c>
      <c r="UA176" s="12" t="s">
        <v>37</v>
      </c>
      <c r="UB176" s="12" t="s">
        <v>37</v>
      </c>
      <c r="UC176" s="12" t="s">
        <v>37</v>
      </c>
      <c r="UD176" s="12" t="s">
        <v>37</v>
      </c>
      <c r="UE176" s="12"/>
      <c r="UF176" s="12"/>
      <c r="UI176" s="12" t="s">
        <v>37</v>
      </c>
      <c r="UJ176" s="12" t="s">
        <v>37</v>
      </c>
      <c r="UK176" s="12" t="s">
        <v>37</v>
      </c>
      <c r="UL176" s="12" t="s">
        <v>37</v>
      </c>
      <c r="UM176" s="12" t="s">
        <v>37</v>
      </c>
      <c r="UN176" s="12" t="s">
        <v>37</v>
      </c>
      <c r="UO176" s="12"/>
      <c r="UP176" s="12"/>
      <c r="UR176" s="12" t="s">
        <v>37</v>
      </c>
      <c r="US176" s="12" t="s">
        <v>37</v>
      </c>
      <c r="UT176" s="12" t="s">
        <v>37</v>
      </c>
      <c r="UU176" s="12" t="s">
        <v>37</v>
      </c>
      <c r="UV176" s="12" t="s">
        <v>37</v>
      </c>
      <c r="UW176" s="12" t="s">
        <v>37</v>
      </c>
      <c r="UX176" s="12"/>
      <c r="UY176" s="12"/>
      <c r="VB176" s="12" t="s">
        <v>37</v>
      </c>
      <c r="VC176" s="12" t="s">
        <v>37</v>
      </c>
      <c r="VD176" s="12" t="s">
        <v>37</v>
      </c>
      <c r="VE176" s="12" t="s">
        <v>37</v>
      </c>
      <c r="VF176" s="12" t="s">
        <v>37</v>
      </c>
      <c r="VG176" s="12" t="s">
        <v>37</v>
      </c>
      <c r="VI176" s="12" t="s">
        <v>37</v>
      </c>
      <c r="VJ176" s="12" t="s">
        <v>37</v>
      </c>
      <c r="VK176" s="12" t="s">
        <v>37</v>
      </c>
      <c r="VL176" s="12" t="s">
        <v>37</v>
      </c>
      <c r="VM176" s="12" t="s">
        <v>37</v>
      </c>
      <c r="VN176" s="12" t="s">
        <v>37</v>
      </c>
      <c r="VQ176" s="13" t="s">
        <v>37</v>
      </c>
      <c r="VR176" s="13" t="s">
        <v>37</v>
      </c>
      <c r="VS176" s="13" t="s">
        <v>37</v>
      </c>
      <c r="VT176" s="13" t="s">
        <v>37</v>
      </c>
      <c r="VU176" s="13" t="s">
        <v>37</v>
      </c>
      <c r="VV176" s="13" t="s">
        <v>37</v>
      </c>
      <c r="WA176" s="13" t="s">
        <v>37</v>
      </c>
      <c r="WB176" s="13" t="s">
        <v>37</v>
      </c>
      <c r="WC176" s="13" t="s">
        <v>37</v>
      </c>
      <c r="WD176" s="13" t="s">
        <v>37</v>
      </c>
      <c r="WE176" s="13" t="s">
        <v>37</v>
      </c>
      <c r="WF176" s="13" t="s">
        <v>37</v>
      </c>
    </row>
    <row r="177" spans="1:604" ht="18" customHeight="1" x14ac:dyDescent="0.3">
      <c r="A177" s="11">
        <v>44</v>
      </c>
      <c r="B177" s="16" t="s">
        <v>929</v>
      </c>
      <c r="C177" s="12" t="s">
        <v>26</v>
      </c>
      <c r="D177" s="12" t="s">
        <v>54</v>
      </c>
      <c r="E177" s="40" t="s">
        <v>37</v>
      </c>
      <c r="F177" s="14">
        <v>0</v>
      </c>
      <c r="G177" s="14">
        <v>0</v>
      </c>
      <c r="H177" s="12" t="s">
        <v>145</v>
      </c>
      <c r="I177" s="29">
        <v>49.167000000000002</v>
      </c>
      <c r="J177" s="29">
        <v>13.317</v>
      </c>
      <c r="K177" s="12" t="s">
        <v>742</v>
      </c>
      <c r="L177" s="12" t="s">
        <v>743</v>
      </c>
      <c r="M177" s="13">
        <v>900</v>
      </c>
      <c r="N177" s="14">
        <v>4</v>
      </c>
      <c r="O177" s="14">
        <v>1000</v>
      </c>
      <c r="P177" s="14" t="s">
        <v>16</v>
      </c>
      <c r="Q177" s="75">
        <v>40</v>
      </c>
      <c r="R177" s="11" t="s">
        <v>999</v>
      </c>
      <c r="S177" s="12" t="s">
        <v>85</v>
      </c>
      <c r="T177" s="12" t="s">
        <v>138</v>
      </c>
      <c r="U177" s="12" t="s">
        <v>158</v>
      </c>
      <c r="V177" s="12" t="s">
        <v>275</v>
      </c>
      <c r="W177" s="23" t="s">
        <v>296</v>
      </c>
      <c r="X177" s="12" t="s">
        <v>280</v>
      </c>
      <c r="Y177" s="12" t="s">
        <v>37</v>
      </c>
      <c r="Z177" s="12" t="s">
        <v>37</v>
      </c>
      <c r="AB177" s="12" t="s">
        <v>37</v>
      </c>
      <c r="AE177" s="12" t="s">
        <v>37</v>
      </c>
      <c r="AH177" s="12" t="s">
        <v>37</v>
      </c>
      <c r="AK177" s="12" t="s">
        <v>37</v>
      </c>
      <c r="AL177" s="32" t="s">
        <v>890</v>
      </c>
      <c r="AM177" s="12" t="s">
        <v>317</v>
      </c>
      <c r="AN177" s="32" t="s">
        <v>880</v>
      </c>
      <c r="AO177" s="12" t="s">
        <v>318</v>
      </c>
      <c r="AP177" s="12" t="s">
        <v>108</v>
      </c>
      <c r="AQ177" s="12" t="s">
        <v>975</v>
      </c>
      <c r="AT177" s="12" t="s">
        <v>326</v>
      </c>
      <c r="AU177" s="12" t="s">
        <v>326</v>
      </c>
      <c r="AV177" s="13" t="s">
        <v>326</v>
      </c>
      <c r="AX177" s="12" t="s">
        <v>326</v>
      </c>
      <c r="AY177" s="12" t="s">
        <v>326</v>
      </c>
      <c r="AZ177" s="13" t="s">
        <v>326</v>
      </c>
      <c r="BE177" s="12" t="s">
        <v>326</v>
      </c>
      <c r="BF177" s="12" t="s">
        <v>326</v>
      </c>
      <c r="BG177" s="12" t="s">
        <v>326</v>
      </c>
      <c r="BI177" s="12" t="s">
        <v>326</v>
      </c>
      <c r="BJ177" s="12" t="s">
        <v>326</v>
      </c>
      <c r="BK177" s="12" t="s">
        <v>326</v>
      </c>
      <c r="BP177" s="12" t="s">
        <v>37</v>
      </c>
      <c r="BQ177" s="12" t="s">
        <v>37</v>
      </c>
      <c r="BR177" s="13" t="s">
        <v>37</v>
      </c>
      <c r="BT177" s="12" t="s">
        <v>37</v>
      </c>
      <c r="BU177" s="12" t="s">
        <v>37</v>
      </c>
      <c r="BV177" s="12" t="s">
        <v>37</v>
      </c>
      <c r="CA177" s="12" t="s">
        <v>37</v>
      </c>
      <c r="CB177" s="12" t="s">
        <v>37</v>
      </c>
      <c r="CC177" s="13" t="s">
        <v>37</v>
      </c>
      <c r="CE177" s="12" t="s">
        <v>37</v>
      </c>
      <c r="CF177" s="12" t="s">
        <v>37</v>
      </c>
      <c r="CG177" s="13" t="s">
        <v>37</v>
      </c>
      <c r="CN177" s="12" t="s">
        <v>37</v>
      </c>
      <c r="CO177" s="12" t="s">
        <v>37</v>
      </c>
      <c r="CP177" s="13" t="s">
        <v>37</v>
      </c>
      <c r="CR177" s="12" t="s">
        <v>37</v>
      </c>
      <c r="CS177" s="12" t="s">
        <v>37</v>
      </c>
      <c r="CT177" s="13" t="s">
        <v>37</v>
      </c>
      <c r="CX177" s="72"/>
      <c r="CY177" s="72"/>
      <c r="DA177" s="12" t="s">
        <v>37</v>
      </c>
      <c r="DB177" s="12" t="s">
        <v>37</v>
      </c>
      <c r="DC177" s="13" t="s">
        <v>37</v>
      </c>
      <c r="DE177" s="12" t="s">
        <v>37</v>
      </c>
      <c r="DF177" s="12" t="s">
        <v>37</v>
      </c>
      <c r="DG177" s="13" t="s">
        <v>37</v>
      </c>
      <c r="DM177" s="12" t="s">
        <v>47</v>
      </c>
      <c r="DN177" s="19">
        <f>58.6*16/12*10^4/10^3/'[1]classes-1'!$I$18</f>
        <v>835.37440260212782</v>
      </c>
      <c r="DO177" s="12">
        <f>SQRT((1/[2]Classes!$I$18)^2*(89.6*16/12*10^4/10^3)^2+(-DN177/([2]Classes!$I$18)^2)^2*([2]Classes!$J$18)^2)</f>
        <v>1277.3279087005756</v>
      </c>
      <c r="DP177" s="13">
        <v>4</v>
      </c>
      <c r="DQ177" s="19">
        <f t="shared" si="707"/>
        <v>1.5290484179570216</v>
      </c>
      <c r="DR177" s="19">
        <f>1.03896103896104*16/12*10^4/10^3/'[1]classes-1'!$I$19</f>
        <v>14.31185414067193</v>
      </c>
      <c r="DS177" s="12">
        <f>SQRT((1/[2]Classes!$I$19)^2*(0.77922077922078*16/12*10^4/10^3)^2+(-DR177/([2]Classes!$I$19)^2)^2*([2]Classes!$J$19)^2)</f>
        <v>14.416523575818015</v>
      </c>
      <c r="DT177" s="13">
        <v>3</v>
      </c>
      <c r="DU177" s="19">
        <f t="shared" si="708"/>
        <v>1.0073134783318278</v>
      </c>
      <c r="DV177" s="19">
        <f t="shared" ref="DV177:DV198" si="710">DR177-DN177</f>
        <v>-821.06254846145589</v>
      </c>
      <c r="DW177" s="12">
        <f t="shared" si="709"/>
        <v>989.45595468825013</v>
      </c>
      <c r="DX177" s="72">
        <f t="shared" si="641"/>
        <v>571096.80032302137</v>
      </c>
      <c r="DY177" s="72">
        <f t="shared" si="642"/>
        <v>407960.92530368385</v>
      </c>
      <c r="EA177" s="19" t="s">
        <v>37</v>
      </c>
      <c r="EB177" s="19" t="s">
        <v>37</v>
      </c>
      <c r="EC177" s="72" t="s">
        <v>37</v>
      </c>
      <c r="EE177" s="19" t="s">
        <v>37</v>
      </c>
      <c r="EF177" s="19" t="s">
        <v>37</v>
      </c>
      <c r="EG177" s="12" t="s">
        <v>37</v>
      </c>
      <c r="EM177" s="12" t="s">
        <v>39</v>
      </c>
      <c r="EN177" s="12">
        <v>-9.1999999999999993</v>
      </c>
      <c r="EO177" s="12">
        <v>4.8</v>
      </c>
      <c r="EP177" s="13">
        <v>4</v>
      </c>
      <c r="EQ177" s="19">
        <f t="shared" si="510"/>
        <v>0.52173913043478259</v>
      </c>
      <c r="ER177" s="12">
        <v>-41</v>
      </c>
      <c r="ES177" s="12">
        <v>11</v>
      </c>
      <c r="ET177" s="13">
        <v>3</v>
      </c>
      <c r="EU177" s="19">
        <f t="shared" si="511"/>
        <v>0.26829268292682928</v>
      </c>
      <c r="EV177" s="19">
        <f t="shared" si="701"/>
        <v>-31.8</v>
      </c>
      <c r="EW177" s="12">
        <f t="shared" si="702"/>
        <v>7.8882190638952219</v>
      </c>
      <c r="EX177" s="19">
        <f t="shared" si="703"/>
        <v>36.297333333333334</v>
      </c>
      <c r="EY177" s="19">
        <f t="shared" si="704"/>
        <v>46.093333333333334</v>
      </c>
      <c r="FB177" s="12" t="s">
        <v>37</v>
      </c>
      <c r="FC177" s="12" t="s">
        <v>37</v>
      </c>
      <c r="FD177" s="11" t="s">
        <v>37</v>
      </c>
      <c r="FE177" s="12" t="s">
        <v>37</v>
      </c>
      <c r="FF177" s="20" t="s">
        <v>37</v>
      </c>
      <c r="FG177" s="11" t="s">
        <v>37</v>
      </c>
      <c r="FI177" s="12" t="s">
        <v>37</v>
      </c>
      <c r="FJ177" s="12" t="s">
        <v>37</v>
      </c>
      <c r="FK177" s="11" t="s">
        <v>37</v>
      </c>
      <c r="FL177" s="13" t="s">
        <v>37</v>
      </c>
      <c r="FM177" s="11" t="s">
        <v>37</v>
      </c>
      <c r="FN177" s="11" t="s">
        <v>37</v>
      </c>
      <c r="FP177" s="12" t="s">
        <v>37</v>
      </c>
      <c r="FQ177" s="12" t="s">
        <v>37</v>
      </c>
      <c r="FR177" s="11" t="s">
        <v>37</v>
      </c>
      <c r="FS177" s="13" t="s">
        <v>37</v>
      </c>
      <c r="FT177" s="11" t="s">
        <v>37</v>
      </c>
      <c r="FU177" s="11" t="s">
        <v>37</v>
      </c>
      <c r="FW177" s="12" t="s">
        <v>37</v>
      </c>
      <c r="FX177" s="12" t="s">
        <v>37</v>
      </c>
      <c r="FY177" s="11" t="s">
        <v>37</v>
      </c>
      <c r="FZ177" s="13" t="s">
        <v>37</v>
      </c>
      <c r="GA177" s="11" t="s">
        <v>37</v>
      </c>
      <c r="GB177" s="11" t="s">
        <v>37</v>
      </c>
      <c r="IK177" s="12" t="s">
        <v>37</v>
      </c>
      <c r="IL177" s="12" t="s">
        <v>37</v>
      </c>
      <c r="IM177" s="12" t="s">
        <v>37</v>
      </c>
      <c r="IO177" s="12" t="s">
        <v>37</v>
      </c>
      <c r="IP177" s="12" t="s">
        <v>37</v>
      </c>
      <c r="IQ177" s="12" t="s">
        <v>37</v>
      </c>
      <c r="IW177" s="12" t="s">
        <v>37</v>
      </c>
      <c r="IX177" s="12" t="s">
        <v>37</v>
      </c>
      <c r="IY177" s="13" t="s">
        <v>37</v>
      </c>
      <c r="JA177" s="12" t="s">
        <v>37</v>
      </c>
      <c r="JB177" s="12" t="s">
        <v>37</v>
      </c>
      <c r="JC177" s="13" t="s">
        <v>37</v>
      </c>
      <c r="JH177" s="12" t="s">
        <v>37</v>
      </c>
      <c r="JI177" s="12" t="s">
        <v>37</v>
      </c>
      <c r="JJ177" s="13" t="s">
        <v>37</v>
      </c>
      <c r="JL177" s="12" t="s">
        <v>37</v>
      </c>
      <c r="JM177" s="12" t="s">
        <v>37</v>
      </c>
      <c r="JN177" s="12" t="s">
        <v>37</v>
      </c>
      <c r="JS177" s="12" t="s">
        <v>37</v>
      </c>
      <c r="JT177" s="12" t="s">
        <v>37</v>
      </c>
      <c r="JU177" s="13" t="s">
        <v>37</v>
      </c>
      <c r="JW177" s="12" t="s">
        <v>37</v>
      </c>
      <c r="JX177" s="12" t="s">
        <v>37</v>
      </c>
      <c r="JY177" s="12" t="s">
        <v>37</v>
      </c>
      <c r="KE177" s="11" t="s">
        <v>37</v>
      </c>
      <c r="KF177" s="11" t="s">
        <v>37</v>
      </c>
      <c r="KG177" s="13" t="s">
        <v>37</v>
      </c>
      <c r="KH177" s="11" t="s">
        <v>37</v>
      </c>
      <c r="KI177" s="11" t="s">
        <v>37</v>
      </c>
      <c r="KJ177" s="11" t="s">
        <v>37</v>
      </c>
      <c r="KM177" s="12" t="s">
        <v>37</v>
      </c>
      <c r="KN177" s="12" t="s">
        <v>37</v>
      </c>
      <c r="KO177" s="11" t="s">
        <v>37</v>
      </c>
      <c r="KQ177" s="12" t="s">
        <v>37</v>
      </c>
      <c r="KR177" s="12" t="s">
        <v>37</v>
      </c>
      <c r="KS177" s="12" t="s">
        <v>37</v>
      </c>
      <c r="KX177" s="12" t="s">
        <v>37</v>
      </c>
      <c r="KY177" s="12" t="s">
        <v>37</v>
      </c>
      <c r="KZ177" s="13" t="s">
        <v>37</v>
      </c>
      <c r="LB177" s="12" t="s">
        <v>37</v>
      </c>
      <c r="LC177" s="12" t="s">
        <v>37</v>
      </c>
      <c r="LD177" s="13" t="s">
        <v>37</v>
      </c>
      <c r="LI177" s="12" t="s">
        <v>37</v>
      </c>
      <c r="LJ177" s="12" t="s">
        <v>37</v>
      </c>
      <c r="LK177" s="12" t="s">
        <v>37</v>
      </c>
      <c r="LM177" s="12" t="s">
        <v>37</v>
      </c>
      <c r="LN177" s="12" t="s">
        <v>37</v>
      </c>
      <c r="LO177" s="12" t="s">
        <v>37</v>
      </c>
      <c r="LU177" s="12" t="s">
        <v>37</v>
      </c>
      <c r="LV177" s="12" t="s">
        <v>37</v>
      </c>
      <c r="LW177" s="13" t="s">
        <v>37</v>
      </c>
      <c r="LY177" s="12" t="s">
        <v>37</v>
      </c>
      <c r="LZ177" s="12" t="s">
        <v>37</v>
      </c>
      <c r="MA177" s="12" t="s">
        <v>37</v>
      </c>
      <c r="MF177" s="12" t="s">
        <v>37</v>
      </c>
      <c r="MG177" s="12" t="s">
        <v>37</v>
      </c>
      <c r="MH177" s="12" t="s">
        <v>37</v>
      </c>
      <c r="MJ177" s="12" t="s">
        <v>37</v>
      </c>
      <c r="MK177" s="12" t="s">
        <v>37</v>
      </c>
      <c r="ML177" s="12" t="s">
        <v>37</v>
      </c>
      <c r="MQ177" s="12" t="s">
        <v>37</v>
      </c>
      <c r="MR177" s="12" t="s">
        <v>37</v>
      </c>
      <c r="MS177" s="12" t="s">
        <v>37</v>
      </c>
      <c r="MU177" s="12" t="s">
        <v>37</v>
      </c>
      <c r="MV177" s="12" t="s">
        <v>37</v>
      </c>
      <c r="MW177" s="12" t="s">
        <v>37</v>
      </c>
      <c r="NC177" s="12" t="s">
        <v>37</v>
      </c>
      <c r="ND177" s="12" t="s">
        <v>37</v>
      </c>
      <c r="NE177" s="12" t="s">
        <v>37</v>
      </c>
      <c r="NG177" s="12" t="s">
        <v>37</v>
      </c>
      <c r="NH177" s="12" t="s">
        <v>37</v>
      </c>
      <c r="NI177" s="12" t="s">
        <v>37</v>
      </c>
      <c r="NO177" s="12" t="s">
        <v>37</v>
      </c>
      <c r="NP177" s="12" t="s">
        <v>37</v>
      </c>
      <c r="NQ177" s="12" t="s">
        <v>37</v>
      </c>
      <c r="NS177" s="12" t="s">
        <v>37</v>
      </c>
      <c r="NT177" s="12" t="s">
        <v>37</v>
      </c>
      <c r="NU177" s="12" t="s">
        <v>37</v>
      </c>
      <c r="OA177" s="12" t="s">
        <v>37</v>
      </c>
      <c r="OB177" s="12" t="s">
        <v>37</v>
      </c>
      <c r="OC177" s="12" t="s">
        <v>37</v>
      </c>
      <c r="OD177" s="12"/>
      <c r="OE177" s="12" t="s">
        <v>37</v>
      </c>
      <c r="OF177" s="12" t="s">
        <v>37</v>
      </c>
      <c r="OG177" s="12" t="s">
        <v>37</v>
      </c>
      <c r="OH177" s="12"/>
      <c r="OI177" s="12"/>
      <c r="OJ177" s="12"/>
      <c r="OM177" s="12" t="s">
        <v>37</v>
      </c>
      <c r="ON177" s="12" t="s">
        <v>37</v>
      </c>
      <c r="OO177" s="12" t="s">
        <v>37</v>
      </c>
      <c r="OP177" s="12" t="s">
        <v>37</v>
      </c>
      <c r="OQ177" s="12" t="s">
        <v>37</v>
      </c>
      <c r="OR177" s="12" t="s">
        <v>37</v>
      </c>
      <c r="OS177" s="12"/>
      <c r="OT177" s="12"/>
      <c r="OW177" s="12" t="s">
        <v>37</v>
      </c>
      <c r="OX177" s="12" t="s">
        <v>37</v>
      </c>
      <c r="OY177" s="13" t="s">
        <v>37</v>
      </c>
      <c r="OZ177" s="12" t="s">
        <v>37</v>
      </c>
      <c r="PA177" s="12" t="s">
        <v>37</v>
      </c>
      <c r="PB177" s="13" t="s">
        <v>37</v>
      </c>
      <c r="PG177" s="11" t="s">
        <v>37</v>
      </c>
      <c r="PH177" s="11" t="s">
        <v>37</v>
      </c>
      <c r="PI177" s="13" t="s">
        <v>37</v>
      </c>
      <c r="PJ177" s="11" t="s">
        <v>37</v>
      </c>
      <c r="PK177" s="11" t="s">
        <v>37</v>
      </c>
      <c r="PL177" s="13" t="s">
        <v>37</v>
      </c>
      <c r="PQ177" s="12" t="s">
        <v>37</v>
      </c>
      <c r="PR177" s="12" t="s">
        <v>37</v>
      </c>
      <c r="PS177" s="12" t="s">
        <v>37</v>
      </c>
      <c r="PT177" s="12" t="s">
        <v>37</v>
      </c>
      <c r="PU177" s="12" t="s">
        <v>37</v>
      </c>
      <c r="PV177" s="12" t="s">
        <v>37</v>
      </c>
      <c r="PW177" s="12"/>
      <c r="PX177" s="12"/>
      <c r="PZ177" s="12" t="s">
        <v>37</v>
      </c>
      <c r="QA177" s="12" t="s">
        <v>37</v>
      </c>
      <c r="QB177" s="11" t="s">
        <v>37</v>
      </c>
      <c r="QD177" s="12" t="s">
        <v>37</v>
      </c>
      <c r="QE177" s="12" t="s">
        <v>37</v>
      </c>
      <c r="QF177" s="12" t="s">
        <v>37</v>
      </c>
      <c r="QK177" s="12" t="s">
        <v>37</v>
      </c>
      <c r="QL177" s="12" t="s">
        <v>37</v>
      </c>
      <c r="QM177" s="12" t="s">
        <v>37</v>
      </c>
      <c r="QN177" s="12" t="s">
        <v>37</v>
      </c>
      <c r="QO177" s="12" t="s">
        <v>37</v>
      </c>
      <c r="QP177" s="12" t="s">
        <v>37</v>
      </c>
      <c r="QQ177" s="12"/>
      <c r="QR177" s="12"/>
      <c r="QU177" s="12" t="s">
        <v>37</v>
      </c>
      <c r="QV177" s="12" t="s">
        <v>37</v>
      </c>
      <c r="QW177" s="12" t="s">
        <v>37</v>
      </c>
      <c r="QX177" s="12" t="s">
        <v>37</v>
      </c>
      <c r="QY177" s="12" t="s">
        <v>37</v>
      </c>
      <c r="QZ177" s="12" t="s">
        <v>37</v>
      </c>
      <c r="RC177" s="12" t="s">
        <v>37</v>
      </c>
      <c r="RD177" s="12" t="s">
        <v>37</v>
      </c>
      <c r="RE177" s="13" t="s">
        <v>37</v>
      </c>
      <c r="RF177" s="12" t="s">
        <v>37</v>
      </c>
      <c r="RG177" s="12" t="s">
        <v>37</v>
      </c>
      <c r="RH177" s="13" t="s">
        <v>37</v>
      </c>
      <c r="RK177" s="12" t="s">
        <v>37</v>
      </c>
      <c r="RL177" s="12" t="s">
        <v>37</v>
      </c>
      <c r="RM177" s="11" t="s">
        <v>37</v>
      </c>
      <c r="RN177" s="12" t="s">
        <v>37</v>
      </c>
      <c r="RO177" s="12" t="s">
        <v>37</v>
      </c>
      <c r="RP177" s="11" t="s">
        <v>37</v>
      </c>
      <c r="RS177" s="12" t="s">
        <v>37</v>
      </c>
      <c r="RT177" s="12" t="s">
        <v>37</v>
      </c>
      <c r="RU177" s="12" t="s">
        <v>37</v>
      </c>
      <c r="RV177" s="12" t="s">
        <v>37</v>
      </c>
      <c r="RW177" s="12" t="s">
        <v>37</v>
      </c>
      <c r="RX177" s="12" t="s">
        <v>37</v>
      </c>
      <c r="SA177" s="12" t="s">
        <v>37</v>
      </c>
      <c r="SB177" s="12" t="s">
        <v>37</v>
      </c>
      <c r="SC177" s="12" t="s">
        <v>37</v>
      </c>
      <c r="SD177" s="12" t="s">
        <v>37</v>
      </c>
      <c r="SE177" s="12" t="s">
        <v>37</v>
      </c>
      <c r="SF177" s="12" t="s">
        <v>37</v>
      </c>
      <c r="SI177" s="12" t="s">
        <v>37</v>
      </c>
      <c r="SJ177" s="12" t="s">
        <v>37</v>
      </c>
      <c r="SK177" s="13" t="s">
        <v>37</v>
      </c>
      <c r="SM177" s="12" t="s">
        <v>37</v>
      </c>
      <c r="SN177" s="12" t="s">
        <v>37</v>
      </c>
      <c r="SO177" s="13" t="s">
        <v>37</v>
      </c>
      <c r="SU177" s="12" t="s">
        <v>37</v>
      </c>
      <c r="SV177" s="12" t="s">
        <v>37</v>
      </c>
      <c r="SW177" s="11" t="s">
        <v>37</v>
      </c>
      <c r="SX177" s="12" t="s">
        <v>37</v>
      </c>
      <c r="SY177" s="12" t="s">
        <v>37</v>
      </c>
      <c r="SZ177" s="11" t="s">
        <v>37</v>
      </c>
      <c r="TE177" s="12" t="s">
        <v>37</v>
      </c>
      <c r="TF177" s="12" t="s">
        <v>37</v>
      </c>
      <c r="TG177" s="11" t="s">
        <v>37</v>
      </c>
      <c r="TH177" s="12" t="s">
        <v>37</v>
      </c>
      <c r="TI177" s="12" t="s">
        <v>37</v>
      </c>
      <c r="TJ177" s="11" t="s">
        <v>37</v>
      </c>
      <c r="TO177" s="12" t="s">
        <v>37</v>
      </c>
      <c r="TP177" s="12" t="s">
        <v>37</v>
      </c>
      <c r="TQ177" s="11" t="s">
        <v>37</v>
      </c>
      <c r="TR177" s="12" t="s">
        <v>37</v>
      </c>
      <c r="TS177" s="12" t="s">
        <v>37</v>
      </c>
      <c r="TT177" s="11" t="s">
        <v>37</v>
      </c>
      <c r="TY177" s="12" t="s">
        <v>37</v>
      </c>
      <c r="TZ177" s="12" t="s">
        <v>37</v>
      </c>
      <c r="UA177" s="12" t="s">
        <v>37</v>
      </c>
      <c r="UB177" s="12" t="s">
        <v>37</v>
      </c>
      <c r="UC177" s="12" t="s">
        <v>37</v>
      </c>
      <c r="UD177" s="12" t="s">
        <v>37</v>
      </c>
      <c r="UE177" s="12"/>
      <c r="UF177" s="12"/>
      <c r="UI177" s="12" t="s">
        <v>37</v>
      </c>
      <c r="UJ177" s="12" t="s">
        <v>37</v>
      </c>
      <c r="UK177" s="12" t="s">
        <v>37</v>
      </c>
      <c r="UL177" s="12" t="s">
        <v>37</v>
      </c>
      <c r="UM177" s="12" t="s">
        <v>37</v>
      </c>
      <c r="UN177" s="12" t="s">
        <v>37</v>
      </c>
      <c r="UO177" s="12"/>
      <c r="UP177" s="12"/>
      <c r="UR177" s="12" t="s">
        <v>37</v>
      </c>
      <c r="US177" s="12" t="s">
        <v>37</v>
      </c>
      <c r="UT177" s="12" t="s">
        <v>37</v>
      </c>
      <c r="UU177" s="12" t="s">
        <v>37</v>
      </c>
      <c r="UV177" s="12" t="s">
        <v>37</v>
      </c>
      <c r="UW177" s="12" t="s">
        <v>37</v>
      </c>
      <c r="UX177" s="12"/>
      <c r="UY177" s="12"/>
      <c r="VB177" s="12" t="s">
        <v>37</v>
      </c>
      <c r="VC177" s="12" t="s">
        <v>37</v>
      </c>
      <c r="VD177" s="12" t="s">
        <v>37</v>
      </c>
      <c r="VE177" s="12" t="s">
        <v>37</v>
      </c>
      <c r="VF177" s="12" t="s">
        <v>37</v>
      </c>
      <c r="VG177" s="12" t="s">
        <v>37</v>
      </c>
      <c r="VI177" s="12" t="s">
        <v>37</v>
      </c>
      <c r="VJ177" s="12" t="s">
        <v>37</v>
      </c>
      <c r="VK177" s="12" t="s">
        <v>37</v>
      </c>
      <c r="VL177" s="12" t="s">
        <v>37</v>
      </c>
      <c r="VM177" s="12" t="s">
        <v>37</v>
      </c>
      <c r="VN177" s="12" t="s">
        <v>37</v>
      </c>
      <c r="VO177" s="12" t="s">
        <v>127</v>
      </c>
      <c r="VP177" s="12" t="s">
        <v>340</v>
      </c>
      <c r="VQ177" s="12">
        <v>6419277108.4337301</v>
      </c>
      <c r="VR177" s="12">
        <v>2390361445.7831402</v>
      </c>
      <c r="VS177" s="13">
        <v>4</v>
      </c>
      <c r="VT177" s="12">
        <v>57831325.301204801</v>
      </c>
      <c r="VU177" s="12">
        <v>192771084.33735043</v>
      </c>
      <c r="VV177" s="13">
        <v>3</v>
      </c>
      <c r="VW177" s="19">
        <f>LN(VT177/VQ177)</f>
        <v>-4.7095302013123339</v>
      </c>
      <c r="VX177" s="19">
        <f>VU177^2/(VV177*VT177^2)+VR177^2/(VS177*VQ177^2)</f>
        <v>3.7383689996303029</v>
      </c>
      <c r="WA177" s="13" t="s">
        <v>37</v>
      </c>
      <c r="WB177" s="13" t="s">
        <v>37</v>
      </c>
      <c r="WC177" s="13" t="s">
        <v>37</v>
      </c>
      <c r="WD177" s="13" t="s">
        <v>37</v>
      </c>
      <c r="WE177" s="13" t="s">
        <v>37</v>
      </c>
      <c r="WF177" s="13" t="s">
        <v>37</v>
      </c>
    </row>
    <row r="178" spans="1:604" ht="18" customHeight="1" x14ac:dyDescent="0.3">
      <c r="A178" s="11">
        <v>44</v>
      </c>
      <c r="B178" s="16" t="s">
        <v>929</v>
      </c>
      <c r="C178" s="12" t="s">
        <v>26</v>
      </c>
      <c r="D178" s="12" t="s">
        <v>54</v>
      </c>
      <c r="E178" s="40" t="s">
        <v>37</v>
      </c>
      <c r="F178" s="14">
        <v>0</v>
      </c>
      <c r="G178" s="14">
        <v>0</v>
      </c>
      <c r="H178" s="12" t="s">
        <v>145</v>
      </c>
      <c r="I178" s="29">
        <v>49.167000000000002</v>
      </c>
      <c r="J178" s="29">
        <v>13.317</v>
      </c>
      <c r="K178" s="12" t="s">
        <v>742</v>
      </c>
      <c r="L178" s="12" t="s">
        <v>743</v>
      </c>
      <c r="M178" s="13">
        <v>900</v>
      </c>
      <c r="N178" s="14">
        <v>4</v>
      </c>
      <c r="O178" s="14">
        <v>1000</v>
      </c>
      <c r="P178" s="14" t="s">
        <v>16</v>
      </c>
      <c r="Q178" s="75">
        <v>40</v>
      </c>
      <c r="R178" s="11" t="s">
        <v>999</v>
      </c>
      <c r="S178" s="12" t="s">
        <v>85</v>
      </c>
      <c r="T178" s="12" t="s">
        <v>138</v>
      </c>
      <c r="U178" s="12" t="s">
        <v>158</v>
      </c>
      <c r="V178" s="12" t="s">
        <v>275</v>
      </c>
      <c r="W178" s="23" t="s">
        <v>296</v>
      </c>
      <c r="X178" s="12" t="s">
        <v>280</v>
      </c>
      <c r="Y178" s="12" t="s">
        <v>37</v>
      </c>
      <c r="Z178" s="12" t="s">
        <v>37</v>
      </c>
      <c r="AB178" s="12" t="s">
        <v>37</v>
      </c>
      <c r="AE178" s="12" t="s">
        <v>37</v>
      </c>
      <c r="AH178" s="12" t="s">
        <v>37</v>
      </c>
      <c r="AK178" s="12" t="s">
        <v>37</v>
      </c>
      <c r="AL178" s="32" t="s">
        <v>891</v>
      </c>
      <c r="AM178" s="12" t="s">
        <v>317</v>
      </c>
      <c r="AN178" s="32" t="s">
        <v>880</v>
      </c>
      <c r="AO178" s="12" t="s">
        <v>29</v>
      </c>
      <c r="AP178" s="12" t="s">
        <v>108</v>
      </c>
      <c r="AQ178" s="12" t="s">
        <v>975</v>
      </c>
      <c r="AT178" s="12" t="s">
        <v>326</v>
      </c>
      <c r="AU178" s="12" t="s">
        <v>326</v>
      </c>
      <c r="AV178" s="13" t="s">
        <v>326</v>
      </c>
      <c r="AX178" s="12" t="s">
        <v>326</v>
      </c>
      <c r="AY178" s="12" t="s">
        <v>326</v>
      </c>
      <c r="AZ178" s="13" t="s">
        <v>326</v>
      </c>
      <c r="BE178" s="12" t="s">
        <v>326</v>
      </c>
      <c r="BF178" s="12" t="s">
        <v>326</v>
      </c>
      <c r="BG178" s="12" t="s">
        <v>326</v>
      </c>
      <c r="BI178" s="12" t="s">
        <v>326</v>
      </c>
      <c r="BJ178" s="12" t="s">
        <v>326</v>
      </c>
      <c r="BK178" s="12" t="s">
        <v>326</v>
      </c>
      <c r="BP178" s="12" t="s">
        <v>37</v>
      </c>
      <c r="BQ178" s="12" t="s">
        <v>37</v>
      </c>
      <c r="BR178" s="13" t="s">
        <v>37</v>
      </c>
      <c r="BT178" s="12" t="s">
        <v>37</v>
      </c>
      <c r="BU178" s="12" t="s">
        <v>37</v>
      </c>
      <c r="BV178" s="12" t="s">
        <v>37</v>
      </c>
      <c r="CA178" s="12" t="s">
        <v>37</v>
      </c>
      <c r="CB178" s="12" t="s">
        <v>37</v>
      </c>
      <c r="CC178" s="13" t="s">
        <v>37</v>
      </c>
      <c r="CE178" s="12" t="s">
        <v>37</v>
      </c>
      <c r="CF178" s="12" t="s">
        <v>37</v>
      </c>
      <c r="CG178" s="13" t="s">
        <v>37</v>
      </c>
      <c r="CN178" s="12" t="s">
        <v>37</v>
      </c>
      <c r="CO178" s="12" t="s">
        <v>37</v>
      </c>
      <c r="CP178" s="13" t="s">
        <v>37</v>
      </c>
      <c r="CR178" s="12" t="s">
        <v>37</v>
      </c>
      <c r="CS178" s="12" t="s">
        <v>37</v>
      </c>
      <c r="CT178" s="13" t="s">
        <v>37</v>
      </c>
      <c r="CX178" s="72"/>
      <c r="CY178" s="72"/>
      <c r="DA178" s="12" t="s">
        <v>37</v>
      </c>
      <c r="DB178" s="12" t="s">
        <v>37</v>
      </c>
      <c r="DC178" s="13" t="s">
        <v>37</v>
      </c>
      <c r="DE178" s="12" t="s">
        <v>37</v>
      </c>
      <c r="DF178" s="12" t="s">
        <v>37</v>
      </c>
      <c r="DG178" s="13" t="s">
        <v>37</v>
      </c>
      <c r="DM178" s="12" t="s">
        <v>47</v>
      </c>
      <c r="DN178" s="19">
        <f>39.6*16/12*10^4/10^3/'[1]classes-1'!$I$18</f>
        <v>564.51922087106243</v>
      </c>
      <c r="DO178" s="12">
        <f>SQRT((1/[2]Classes!$I$18)^2*(40.3*16/12*10^4/10^3)^2+(-DN178/([2]Classes!$I$18)^2)^2*([2]Classes!$J$18)^2)</f>
        <v>574.53047753186331</v>
      </c>
      <c r="DP178" s="13">
        <v>4</v>
      </c>
      <c r="DQ178" s="19">
        <f t="shared" si="707"/>
        <v>1.0177341289555266</v>
      </c>
      <c r="DR178" s="19">
        <f>1.36363636363636*16/12*10^4/10^3/'[1]classes-1'!$I$19</f>
        <v>18.784308559631839</v>
      </c>
      <c r="DS178" s="12">
        <f>SQRT((1/[2]Classes!$I$19)^2*(0.77922077922078*16/12*10^4/10^3)^2+(-DR178/([2]Classes!$I$19)^2)^2*([2]Classes!$J$19)^2)</f>
        <v>16.576139153459437</v>
      </c>
      <c r="DT178" s="13">
        <v>3</v>
      </c>
      <c r="DU178" s="19">
        <f t="shared" si="708"/>
        <v>0.88244606400270498</v>
      </c>
      <c r="DV178" s="19">
        <f t="shared" si="710"/>
        <v>-545.73491231143055</v>
      </c>
      <c r="DW178" s="12">
        <f t="shared" si="709"/>
        <v>445.15286040133276</v>
      </c>
      <c r="DX178" s="72">
        <f t="shared" si="641"/>
        <v>115593.95698870163</v>
      </c>
      <c r="DY178" s="72">
        <f t="shared" si="642"/>
        <v>82612.906866326011</v>
      </c>
      <c r="EA178" s="19" t="s">
        <v>37</v>
      </c>
      <c r="EB178" s="19" t="s">
        <v>37</v>
      </c>
      <c r="EC178" s="72" t="s">
        <v>37</v>
      </c>
      <c r="EE178" s="19" t="s">
        <v>37</v>
      </c>
      <c r="EF178" s="19" t="s">
        <v>37</v>
      </c>
      <c r="EG178" s="12" t="s">
        <v>37</v>
      </c>
      <c r="EM178" s="12" t="s">
        <v>39</v>
      </c>
      <c r="EN178" s="12">
        <v>-9.6999999999999993</v>
      </c>
      <c r="EO178" s="12">
        <v>3.7</v>
      </c>
      <c r="EP178" s="13">
        <v>4</v>
      </c>
      <c r="EQ178" s="19">
        <f t="shared" si="510"/>
        <v>0.3814432989690722</v>
      </c>
      <c r="ER178" s="12">
        <v>-45.2</v>
      </c>
      <c r="ES178" s="12">
        <v>11.5</v>
      </c>
      <c r="ET178" s="13">
        <v>3</v>
      </c>
      <c r="EU178" s="19">
        <f t="shared" si="511"/>
        <v>0.25442477876106195</v>
      </c>
      <c r="EV178" s="19">
        <f t="shared" si="701"/>
        <v>-35.5</v>
      </c>
      <c r="EW178" s="12">
        <f t="shared" si="702"/>
        <v>7.8175443714762505</v>
      </c>
      <c r="EX178" s="19">
        <f t="shared" si="703"/>
        <v>35.649833333333333</v>
      </c>
      <c r="EY178" s="19">
        <f t="shared" si="704"/>
        <v>47.505833333333335</v>
      </c>
      <c r="FB178" s="12" t="s">
        <v>37</v>
      </c>
      <c r="FC178" s="12" t="s">
        <v>37</v>
      </c>
      <c r="FD178" s="11" t="s">
        <v>37</v>
      </c>
      <c r="FE178" s="12" t="s">
        <v>37</v>
      </c>
      <c r="FF178" s="20" t="s">
        <v>37</v>
      </c>
      <c r="FG178" s="11" t="s">
        <v>37</v>
      </c>
      <c r="FI178" s="12" t="s">
        <v>37</v>
      </c>
      <c r="FJ178" s="12" t="s">
        <v>37</v>
      </c>
      <c r="FK178" s="11" t="s">
        <v>37</v>
      </c>
      <c r="FL178" s="13" t="s">
        <v>37</v>
      </c>
      <c r="FM178" s="11" t="s">
        <v>37</v>
      </c>
      <c r="FN178" s="11" t="s">
        <v>37</v>
      </c>
      <c r="FP178" s="12" t="s">
        <v>37</v>
      </c>
      <c r="FQ178" s="12" t="s">
        <v>37</v>
      </c>
      <c r="FR178" s="11" t="s">
        <v>37</v>
      </c>
      <c r="FS178" s="13" t="s">
        <v>37</v>
      </c>
      <c r="FT178" s="11" t="s">
        <v>37</v>
      </c>
      <c r="FU178" s="11" t="s">
        <v>37</v>
      </c>
      <c r="FW178" s="12" t="s">
        <v>37</v>
      </c>
      <c r="FX178" s="12" t="s">
        <v>37</v>
      </c>
      <c r="FY178" s="11" t="s">
        <v>37</v>
      </c>
      <c r="FZ178" s="13" t="s">
        <v>37</v>
      </c>
      <c r="GA178" s="11" t="s">
        <v>37</v>
      </c>
      <c r="GB178" s="11" t="s">
        <v>37</v>
      </c>
      <c r="IK178" s="12" t="s">
        <v>37</v>
      </c>
      <c r="IL178" s="12" t="s">
        <v>37</v>
      </c>
      <c r="IM178" s="12" t="s">
        <v>37</v>
      </c>
      <c r="IO178" s="12" t="s">
        <v>37</v>
      </c>
      <c r="IP178" s="12" t="s">
        <v>37</v>
      </c>
      <c r="IQ178" s="12" t="s">
        <v>37</v>
      </c>
      <c r="IW178" s="12" t="s">
        <v>37</v>
      </c>
      <c r="IX178" s="12" t="s">
        <v>37</v>
      </c>
      <c r="IY178" s="13" t="s">
        <v>37</v>
      </c>
      <c r="JA178" s="12" t="s">
        <v>37</v>
      </c>
      <c r="JB178" s="12" t="s">
        <v>37</v>
      </c>
      <c r="JC178" s="13" t="s">
        <v>37</v>
      </c>
      <c r="JH178" s="12" t="s">
        <v>37</v>
      </c>
      <c r="JI178" s="12" t="s">
        <v>37</v>
      </c>
      <c r="JJ178" s="13" t="s">
        <v>37</v>
      </c>
      <c r="JL178" s="12" t="s">
        <v>37</v>
      </c>
      <c r="JM178" s="12" t="s">
        <v>37</v>
      </c>
      <c r="JN178" s="12" t="s">
        <v>37</v>
      </c>
      <c r="JS178" s="12" t="s">
        <v>37</v>
      </c>
      <c r="JT178" s="12" t="s">
        <v>37</v>
      </c>
      <c r="JU178" s="13" t="s">
        <v>37</v>
      </c>
      <c r="JW178" s="12" t="s">
        <v>37</v>
      </c>
      <c r="JX178" s="12" t="s">
        <v>37</v>
      </c>
      <c r="JY178" s="12" t="s">
        <v>37</v>
      </c>
      <c r="KE178" s="11" t="s">
        <v>37</v>
      </c>
      <c r="KF178" s="11" t="s">
        <v>37</v>
      </c>
      <c r="KG178" s="13" t="s">
        <v>37</v>
      </c>
      <c r="KH178" s="11" t="s">
        <v>37</v>
      </c>
      <c r="KI178" s="11" t="s">
        <v>37</v>
      </c>
      <c r="KJ178" s="11" t="s">
        <v>37</v>
      </c>
      <c r="KM178" s="12" t="s">
        <v>37</v>
      </c>
      <c r="KN178" s="12" t="s">
        <v>37</v>
      </c>
      <c r="KO178" s="11" t="s">
        <v>37</v>
      </c>
      <c r="KQ178" s="12" t="s">
        <v>37</v>
      </c>
      <c r="KR178" s="12" t="s">
        <v>37</v>
      </c>
      <c r="KS178" s="12" t="s">
        <v>37</v>
      </c>
      <c r="KX178" s="12" t="s">
        <v>37</v>
      </c>
      <c r="KY178" s="12" t="s">
        <v>37</v>
      </c>
      <c r="KZ178" s="13" t="s">
        <v>37</v>
      </c>
      <c r="LB178" s="12" t="s">
        <v>37</v>
      </c>
      <c r="LC178" s="12" t="s">
        <v>37</v>
      </c>
      <c r="LD178" s="13" t="s">
        <v>37</v>
      </c>
      <c r="LI178" s="12" t="s">
        <v>37</v>
      </c>
      <c r="LJ178" s="12" t="s">
        <v>37</v>
      </c>
      <c r="LK178" s="12" t="s">
        <v>37</v>
      </c>
      <c r="LM178" s="12" t="s">
        <v>37</v>
      </c>
      <c r="LN178" s="12" t="s">
        <v>37</v>
      </c>
      <c r="LO178" s="12" t="s">
        <v>37</v>
      </c>
      <c r="LU178" s="12" t="s">
        <v>37</v>
      </c>
      <c r="LV178" s="12" t="s">
        <v>37</v>
      </c>
      <c r="LW178" s="13" t="s">
        <v>37</v>
      </c>
      <c r="LY178" s="12" t="s">
        <v>37</v>
      </c>
      <c r="LZ178" s="12" t="s">
        <v>37</v>
      </c>
      <c r="MA178" s="12" t="s">
        <v>37</v>
      </c>
      <c r="MF178" s="12" t="s">
        <v>37</v>
      </c>
      <c r="MG178" s="12" t="s">
        <v>37</v>
      </c>
      <c r="MH178" s="12" t="s">
        <v>37</v>
      </c>
      <c r="MJ178" s="12" t="s">
        <v>37</v>
      </c>
      <c r="MK178" s="12" t="s">
        <v>37</v>
      </c>
      <c r="ML178" s="12" t="s">
        <v>37</v>
      </c>
      <c r="MQ178" s="12" t="s">
        <v>37</v>
      </c>
      <c r="MR178" s="12" t="s">
        <v>37</v>
      </c>
      <c r="MS178" s="12" t="s">
        <v>37</v>
      </c>
      <c r="MU178" s="12" t="s">
        <v>37</v>
      </c>
      <c r="MV178" s="12" t="s">
        <v>37</v>
      </c>
      <c r="MW178" s="12" t="s">
        <v>37</v>
      </c>
      <c r="NC178" s="12" t="s">
        <v>37</v>
      </c>
      <c r="ND178" s="12" t="s">
        <v>37</v>
      </c>
      <c r="NE178" s="12" t="s">
        <v>37</v>
      </c>
      <c r="NG178" s="12" t="s">
        <v>37</v>
      </c>
      <c r="NH178" s="12" t="s">
        <v>37</v>
      </c>
      <c r="NI178" s="12" t="s">
        <v>37</v>
      </c>
      <c r="NO178" s="12" t="s">
        <v>37</v>
      </c>
      <c r="NP178" s="12" t="s">
        <v>37</v>
      </c>
      <c r="NQ178" s="12" t="s">
        <v>37</v>
      </c>
      <c r="NS178" s="12" t="s">
        <v>37</v>
      </c>
      <c r="NT178" s="12" t="s">
        <v>37</v>
      </c>
      <c r="NU178" s="12" t="s">
        <v>37</v>
      </c>
      <c r="OA178" s="12" t="s">
        <v>37</v>
      </c>
      <c r="OB178" s="12" t="s">
        <v>37</v>
      </c>
      <c r="OC178" s="12" t="s">
        <v>37</v>
      </c>
      <c r="OD178" s="12"/>
      <c r="OE178" s="12" t="s">
        <v>37</v>
      </c>
      <c r="OF178" s="12" t="s">
        <v>37</v>
      </c>
      <c r="OG178" s="12" t="s">
        <v>37</v>
      </c>
      <c r="OH178" s="12"/>
      <c r="OI178" s="12"/>
      <c r="OJ178" s="12"/>
      <c r="OM178" s="12" t="s">
        <v>37</v>
      </c>
      <c r="ON178" s="12" t="s">
        <v>37</v>
      </c>
      <c r="OO178" s="12" t="s">
        <v>37</v>
      </c>
      <c r="OP178" s="12" t="s">
        <v>37</v>
      </c>
      <c r="OQ178" s="12" t="s">
        <v>37</v>
      </c>
      <c r="OR178" s="12" t="s">
        <v>37</v>
      </c>
      <c r="OS178" s="12"/>
      <c r="OT178" s="12"/>
      <c r="OW178" s="12" t="s">
        <v>37</v>
      </c>
      <c r="OX178" s="12" t="s">
        <v>37</v>
      </c>
      <c r="OY178" s="13" t="s">
        <v>37</v>
      </c>
      <c r="OZ178" s="12" t="s">
        <v>37</v>
      </c>
      <c r="PA178" s="12" t="s">
        <v>37</v>
      </c>
      <c r="PB178" s="13" t="s">
        <v>37</v>
      </c>
      <c r="PG178" s="11" t="s">
        <v>37</v>
      </c>
      <c r="PH178" s="11" t="s">
        <v>37</v>
      </c>
      <c r="PI178" s="13" t="s">
        <v>37</v>
      </c>
      <c r="PJ178" s="11" t="s">
        <v>37</v>
      </c>
      <c r="PK178" s="11" t="s">
        <v>37</v>
      </c>
      <c r="PL178" s="13" t="s">
        <v>37</v>
      </c>
      <c r="PQ178" s="12" t="s">
        <v>37</v>
      </c>
      <c r="PR178" s="12" t="s">
        <v>37</v>
      </c>
      <c r="PS178" s="12" t="s">
        <v>37</v>
      </c>
      <c r="PT178" s="12" t="s">
        <v>37</v>
      </c>
      <c r="PU178" s="12" t="s">
        <v>37</v>
      </c>
      <c r="PV178" s="12" t="s">
        <v>37</v>
      </c>
      <c r="PW178" s="12"/>
      <c r="PX178" s="12"/>
      <c r="PZ178" s="12" t="s">
        <v>37</v>
      </c>
      <c r="QA178" s="12" t="s">
        <v>37</v>
      </c>
      <c r="QB178" s="11" t="s">
        <v>37</v>
      </c>
      <c r="QD178" s="12" t="s">
        <v>37</v>
      </c>
      <c r="QE178" s="12" t="s">
        <v>37</v>
      </c>
      <c r="QF178" s="12" t="s">
        <v>37</v>
      </c>
      <c r="QK178" s="12" t="s">
        <v>37</v>
      </c>
      <c r="QL178" s="12" t="s">
        <v>37</v>
      </c>
      <c r="QM178" s="12" t="s">
        <v>37</v>
      </c>
      <c r="QN178" s="12" t="s">
        <v>37</v>
      </c>
      <c r="QO178" s="12" t="s">
        <v>37</v>
      </c>
      <c r="QP178" s="12" t="s">
        <v>37</v>
      </c>
      <c r="QQ178" s="12"/>
      <c r="QR178" s="12"/>
      <c r="QU178" s="12" t="s">
        <v>37</v>
      </c>
      <c r="QV178" s="12" t="s">
        <v>37</v>
      </c>
      <c r="QW178" s="12" t="s">
        <v>37</v>
      </c>
      <c r="QX178" s="12" t="s">
        <v>37</v>
      </c>
      <c r="QY178" s="12" t="s">
        <v>37</v>
      </c>
      <c r="QZ178" s="12" t="s">
        <v>37</v>
      </c>
      <c r="RC178" s="12" t="s">
        <v>37</v>
      </c>
      <c r="RD178" s="12" t="s">
        <v>37</v>
      </c>
      <c r="RE178" s="13" t="s">
        <v>37</v>
      </c>
      <c r="RF178" s="12" t="s">
        <v>37</v>
      </c>
      <c r="RG178" s="12" t="s">
        <v>37</v>
      </c>
      <c r="RH178" s="13" t="s">
        <v>37</v>
      </c>
      <c r="RK178" s="12" t="s">
        <v>37</v>
      </c>
      <c r="RL178" s="12" t="s">
        <v>37</v>
      </c>
      <c r="RM178" s="11" t="s">
        <v>37</v>
      </c>
      <c r="RN178" s="12" t="s">
        <v>37</v>
      </c>
      <c r="RO178" s="12" t="s">
        <v>37</v>
      </c>
      <c r="RP178" s="11" t="s">
        <v>37</v>
      </c>
      <c r="RS178" s="12" t="s">
        <v>37</v>
      </c>
      <c r="RT178" s="12" t="s">
        <v>37</v>
      </c>
      <c r="RU178" s="12" t="s">
        <v>37</v>
      </c>
      <c r="RV178" s="12" t="s">
        <v>37</v>
      </c>
      <c r="RW178" s="12" t="s">
        <v>37</v>
      </c>
      <c r="RX178" s="12" t="s">
        <v>37</v>
      </c>
      <c r="SA178" s="12" t="s">
        <v>37</v>
      </c>
      <c r="SB178" s="12" t="s">
        <v>37</v>
      </c>
      <c r="SC178" s="12" t="s">
        <v>37</v>
      </c>
      <c r="SD178" s="12" t="s">
        <v>37</v>
      </c>
      <c r="SE178" s="12" t="s">
        <v>37</v>
      </c>
      <c r="SF178" s="12" t="s">
        <v>37</v>
      </c>
      <c r="SI178" s="12" t="s">
        <v>37</v>
      </c>
      <c r="SJ178" s="12" t="s">
        <v>37</v>
      </c>
      <c r="SK178" s="13" t="s">
        <v>37</v>
      </c>
      <c r="SM178" s="12" t="s">
        <v>37</v>
      </c>
      <c r="SN178" s="12" t="s">
        <v>37</v>
      </c>
      <c r="SO178" s="13" t="s">
        <v>37</v>
      </c>
      <c r="SU178" s="12" t="s">
        <v>37</v>
      </c>
      <c r="SV178" s="12" t="s">
        <v>37</v>
      </c>
      <c r="SW178" s="11" t="s">
        <v>37</v>
      </c>
      <c r="SX178" s="12" t="s">
        <v>37</v>
      </c>
      <c r="SY178" s="12" t="s">
        <v>37</v>
      </c>
      <c r="SZ178" s="11" t="s">
        <v>37</v>
      </c>
      <c r="TE178" s="12" t="s">
        <v>37</v>
      </c>
      <c r="TF178" s="12" t="s">
        <v>37</v>
      </c>
      <c r="TG178" s="11" t="s">
        <v>37</v>
      </c>
      <c r="TH178" s="12" t="s">
        <v>37</v>
      </c>
      <c r="TI178" s="12" t="s">
        <v>37</v>
      </c>
      <c r="TJ178" s="11" t="s">
        <v>37</v>
      </c>
      <c r="TO178" s="12" t="s">
        <v>37</v>
      </c>
      <c r="TP178" s="12" t="s">
        <v>37</v>
      </c>
      <c r="TQ178" s="11" t="s">
        <v>37</v>
      </c>
      <c r="TR178" s="12" t="s">
        <v>37</v>
      </c>
      <c r="TS178" s="12" t="s">
        <v>37</v>
      </c>
      <c r="TT178" s="11" t="s">
        <v>37</v>
      </c>
      <c r="TY178" s="12" t="s">
        <v>37</v>
      </c>
      <c r="TZ178" s="12" t="s">
        <v>37</v>
      </c>
      <c r="UA178" s="12" t="s">
        <v>37</v>
      </c>
      <c r="UB178" s="12" t="s">
        <v>37</v>
      </c>
      <c r="UC178" s="12" t="s">
        <v>37</v>
      </c>
      <c r="UD178" s="12" t="s">
        <v>37</v>
      </c>
      <c r="UE178" s="12"/>
      <c r="UF178" s="12"/>
      <c r="UI178" s="12" t="s">
        <v>37</v>
      </c>
      <c r="UJ178" s="12" t="s">
        <v>37</v>
      </c>
      <c r="UK178" s="12" t="s">
        <v>37</v>
      </c>
      <c r="UL178" s="12" t="s">
        <v>37</v>
      </c>
      <c r="UM178" s="12" t="s">
        <v>37</v>
      </c>
      <c r="UN178" s="12" t="s">
        <v>37</v>
      </c>
      <c r="UO178" s="12"/>
      <c r="UP178" s="12"/>
      <c r="UR178" s="12" t="s">
        <v>37</v>
      </c>
      <c r="US178" s="12" t="s">
        <v>37</v>
      </c>
      <c r="UT178" s="12" t="s">
        <v>37</v>
      </c>
      <c r="UU178" s="12" t="s">
        <v>37</v>
      </c>
      <c r="UV178" s="12" t="s">
        <v>37</v>
      </c>
      <c r="UW178" s="12" t="s">
        <v>37</v>
      </c>
      <c r="UX178" s="12"/>
      <c r="UY178" s="12"/>
      <c r="VB178" s="12" t="s">
        <v>37</v>
      </c>
      <c r="VC178" s="12" t="s">
        <v>37</v>
      </c>
      <c r="VD178" s="12" t="s">
        <v>37</v>
      </c>
      <c r="VE178" s="12" t="s">
        <v>37</v>
      </c>
      <c r="VF178" s="12" t="s">
        <v>37</v>
      </c>
      <c r="VG178" s="12" t="s">
        <v>37</v>
      </c>
      <c r="VI178" s="12" t="s">
        <v>37</v>
      </c>
      <c r="VJ178" s="12" t="s">
        <v>37</v>
      </c>
      <c r="VK178" s="12" t="s">
        <v>37</v>
      </c>
      <c r="VL178" s="12" t="s">
        <v>37</v>
      </c>
      <c r="VM178" s="12" t="s">
        <v>37</v>
      </c>
      <c r="VN178" s="12" t="s">
        <v>37</v>
      </c>
      <c r="VQ178" s="12" t="s">
        <v>37</v>
      </c>
      <c r="VR178" s="12" t="s">
        <v>37</v>
      </c>
      <c r="VS178" s="12" t="s">
        <v>37</v>
      </c>
      <c r="VT178" s="12" t="s">
        <v>37</v>
      </c>
      <c r="VU178" s="12" t="s">
        <v>37</v>
      </c>
      <c r="VV178" s="12" t="s">
        <v>37</v>
      </c>
      <c r="VW178" s="12"/>
      <c r="VX178" s="12"/>
      <c r="WA178" s="13" t="s">
        <v>37</v>
      </c>
      <c r="WB178" s="13" t="s">
        <v>37</v>
      </c>
      <c r="WC178" s="13" t="s">
        <v>37</v>
      </c>
      <c r="WD178" s="13" t="s">
        <v>37</v>
      </c>
      <c r="WE178" s="13" t="s">
        <v>37</v>
      </c>
      <c r="WF178" s="13" t="s">
        <v>37</v>
      </c>
    </row>
    <row r="179" spans="1:604" ht="18" customHeight="1" x14ac:dyDescent="0.3">
      <c r="A179" s="11">
        <v>44</v>
      </c>
      <c r="B179" s="16" t="s">
        <v>929</v>
      </c>
      <c r="C179" s="12" t="s">
        <v>26</v>
      </c>
      <c r="D179" s="12" t="s">
        <v>54</v>
      </c>
      <c r="E179" s="40" t="s">
        <v>37</v>
      </c>
      <c r="F179" s="14">
        <v>0</v>
      </c>
      <c r="G179" s="14">
        <v>0</v>
      </c>
      <c r="H179" s="12" t="s">
        <v>145</v>
      </c>
      <c r="I179" s="29">
        <v>48.966999999999999</v>
      </c>
      <c r="J179" s="29">
        <v>13.45</v>
      </c>
      <c r="K179" s="12" t="s">
        <v>744</v>
      </c>
      <c r="L179" s="12" t="s">
        <v>745</v>
      </c>
      <c r="M179" s="13">
        <v>1200</v>
      </c>
      <c r="N179" s="14">
        <v>3.2</v>
      </c>
      <c r="O179" s="14">
        <v>1200</v>
      </c>
      <c r="P179" s="14" t="s">
        <v>16</v>
      </c>
      <c r="Q179" s="75">
        <v>40</v>
      </c>
      <c r="R179" s="11" t="s">
        <v>1000</v>
      </c>
      <c r="S179" s="12" t="s">
        <v>93</v>
      </c>
      <c r="T179" s="12" t="s">
        <v>141</v>
      </c>
      <c r="U179" s="12" t="s">
        <v>158</v>
      </c>
      <c r="V179" s="12" t="s">
        <v>275</v>
      </c>
      <c r="W179" s="23" t="s">
        <v>297</v>
      </c>
      <c r="X179" s="12" t="s">
        <v>280</v>
      </c>
      <c r="Y179" s="12" t="s">
        <v>37</v>
      </c>
      <c r="Z179" s="12" t="s">
        <v>37</v>
      </c>
      <c r="AB179" s="12" t="s">
        <v>37</v>
      </c>
      <c r="AE179" s="12" t="s">
        <v>37</v>
      </c>
      <c r="AH179" s="12" t="s">
        <v>37</v>
      </c>
      <c r="AK179" s="12" t="s">
        <v>37</v>
      </c>
      <c r="AL179" s="32" t="s">
        <v>642</v>
      </c>
      <c r="AM179" s="12" t="s">
        <v>317</v>
      </c>
      <c r="AN179" s="32" t="s">
        <v>880</v>
      </c>
      <c r="AO179" s="12" t="s">
        <v>318</v>
      </c>
      <c r="AP179" s="12" t="s">
        <v>108</v>
      </c>
      <c r="AQ179" s="12" t="s">
        <v>975</v>
      </c>
      <c r="AT179" s="12" t="s">
        <v>326</v>
      </c>
      <c r="AU179" s="12" t="s">
        <v>326</v>
      </c>
      <c r="AV179" s="13" t="s">
        <v>326</v>
      </c>
      <c r="AX179" s="12" t="s">
        <v>326</v>
      </c>
      <c r="AY179" s="12" t="s">
        <v>326</v>
      </c>
      <c r="AZ179" s="13" t="s">
        <v>326</v>
      </c>
      <c r="BE179" s="12" t="s">
        <v>326</v>
      </c>
      <c r="BF179" s="12" t="s">
        <v>326</v>
      </c>
      <c r="BG179" s="12" t="s">
        <v>326</v>
      </c>
      <c r="BI179" s="12" t="s">
        <v>326</v>
      </c>
      <c r="BJ179" s="12" t="s">
        <v>326</v>
      </c>
      <c r="BK179" s="12" t="s">
        <v>326</v>
      </c>
      <c r="BP179" s="12" t="s">
        <v>37</v>
      </c>
      <c r="BQ179" s="12" t="s">
        <v>37</v>
      </c>
      <c r="BR179" s="13" t="s">
        <v>37</v>
      </c>
      <c r="BT179" s="12" t="s">
        <v>37</v>
      </c>
      <c r="BU179" s="12" t="s">
        <v>37</v>
      </c>
      <c r="BV179" s="12" t="s">
        <v>37</v>
      </c>
      <c r="CA179" s="12" t="s">
        <v>37</v>
      </c>
      <c r="CB179" s="12" t="s">
        <v>37</v>
      </c>
      <c r="CC179" s="13" t="s">
        <v>37</v>
      </c>
      <c r="CE179" s="12" t="s">
        <v>37</v>
      </c>
      <c r="CF179" s="12" t="s">
        <v>37</v>
      </c>
      <c r="CG179" s="13" t="s">
        <v>37</v>
      </c>
      <c r="CN179" s="12" t="s">
        <v>37</v>
      </c>
      <c r="CO179" s="12" t="s">
        <v>37</v>
      </c>
      <c r="CP179" s="13" t="s">
        <v>37</v>
      </c>
      <c r="CR179" s="12" t="s">
        <v>37</v>
      </c>
      <c r="CS179" s="12" t="s">
        <v>37</v>
      </c>
      <c r="CT179" s="13" t="s">
        <v>37</v>
      </c>
      <c r="CX179" s="72"/>
      <c r="CY179" s="72"/>
      <c r="DA179" s="12" t="s">
        <v>37</v>
      </c>
      <c r="DB179" s="12" t="s">
        <v>37</v>
      </c>
      <c r="DC179" s="13" t="s">
        <v>37</v>
      </c>
      <c r="DE179" s="12" t="s">
        <v>37</v>
      </c>
      <c r="DF179" s="12" t="s">
        <v>37</v>
      </c>
      <c r="DG179" s="13" t="s">
        <v>37</v>
      </c>
      <c r="DM179" s="12" t="s">
        <v>47</v>
      </c>
      <c r="DN179" s="19">
        <f>8.76623376623377*16/12*10^4/10^3/'[1]classes-1'!$I$20</f>
        <v>140.79806050736187</v>
      </c>
      <c r="DO179" s="12">
        <f>SQRT((1/[2]Classes!$I$20)^2*(3.17186356930387*16/12*10^4/10^3)^2+(-DN179/([2]Classes!$I$20)^2)^2*([2]Classes!$J$20)^2)</f>
        <v>57.85185596345088</v>
      </c>
      <c r="DP179" s="13">
        <v>3</v>
      </c>
      <c r="DQ179" s="19">
        <f t="shared" si="707"/>
        <v>0.41088531869674438</v>
      </c>
      <c r="DR179" s="19">
        <f>5.71428571428571*16/12*10^4/10^3/'[1]classes-1'!$I$21</f>
        <v>22.365263658588713</v>
      </c>
      <c r="DS179" s="12">
        <f>SQRT((1/[2]Classes!$I$21)^2*(4.67532467532468*16/12*10^4/10^3)^2+(-DR179/([2]Classes!$I$21)^2)^2*([2]Classes!$J$21)^2)</f>
        <v>28.96859337526929</v>
      </c>
      <c r="DT179" s="13">
        <v>3</v>
      </c>
      <c r="DU179" s="19">
        <f t="shared" si="708"/>
        <v>1.2952493571049302</v>
      </c>
      <c r="DV179" s="19">
        <f t="shared" si="710"/>
        <v>-118.43279684877315</v>
      </c>
      <c r="DW179" s="12">
        <f t="shared" si="709"/>
        <v>45.749407868067337</v>
      </c>
      <c r="DX179" s="72">
        <f t="shared" si="641"/>
        <v>1395.3388801858541</v>
      </c>
      <c r="DY179" s="72">
        <f t="shared" si="642"/>
        <v>1395.3388801858544</v>
      </c>
      <c r="EA179" s="19" t="s">
        <v>37</v>
      </c>
      <c r="EB179" s="19" t="s">
        <v>37</v>
      </c>
      <c r="EC179" s="72" t="s">
        <v>37</v>
      </c>
      <c r="EE179" s="19" t="s">
        <v>37</v>
      </c>
      <c r="EF179" s="19" t="s">
        <v>37</v>
      </c>
      <c r="EG179" s="12" t="s">
        <v>37</v>
      </c>
      <c r="EM179" s="12" t="s">
        <v>39</v>
      </c>
      <c r="EN179" s="12">
        <f>AVERAGEA(-10.6,-2.9)</f>
        <v>-6.75</v>
      </c>
      <c r="EO179" s="12">
        <f>SQRT(7.7^2+2.4^2)/2</f>
        <v>4.0326790102858423</v>
      </c>
      <c r="EP179" s="13">
        <v>3</v>
      </c>
      <c r="EQ179" s="19">
        <f t="shared" si="510"/>
        <v>0.59743392744975443</v>
      </c>
      <c r="ER179" s="12">
        <v>-13.2</v>
      </c>
      <c r="ES179" s="12">
        <v>6.5</v>
      </c>
      <c r="ET179" s="13">
        <v>3</v>
      </c>
      <c r="EU179" s="19">
        <f t="shared" si="511"/>
        <v>0.49242424242424243</v>
      </c>
      <c r="EV179" s="19">
        <f t="shared" si="701"/>
        <v>-6.4499999999999993</v>
      </c>
      <c r="EW179" s="12">
        <f t="shared" si="702"/>
        <v>5.4089046950376192</v>
      </c>
      <c r="EX179" s="19">
        <f t="shared" si="703"/>
        <v>19.504166666666666</v>
      </c>
      <c r="EY179" s="19">
        <f t="shared" si="704"/>
        <v>19.504166666666666</v>
      </c>
      <c r="FB179" s="12" t="s">
        <v>37</v>
      </c>
      <c r="FC179" s="12" t="s">
        <v>37</v>
      </c>
      <c r="FD179" s="11" t="s">
        <v>37</v>
      </c>
      <c r="FE179" s="12" t="s">
        <v>37</v>
      </c>
      <c r="FF179" s="20" t="s">
        <v>37</v>
      </c>
      <c r="FG179" s="11" t="s">
        <v>37</v>
      </c>
      <c r="FI179" s="12" t="s">
        <v>37</v>
      </c>
      <c r="FJ179" s="12" t="s">
        <v>37</v>
      </c>
      <c r="FK179" s="11" t="s">
        <v>37</v>
      </c>
      <c r="FL179" s="13" t="s">
        <v>37</v>
      </c>
      <c r="FM179" s="11" t="s">
        <v>37</v>
      </c>
      <c r="FN179" s="11" t="s">
        <v>37</v>
      </c>
      <c r="FP179" s="12" t="s">
        <v>37</v>
      </c>
      <c r="FQ179" s="12" t="s">
        <v>37</v>
      </c>
      <c r="FR179" s="11" t="s">
        <v>37</v>
      </c>
      <c r="FS179" s="13" t="s">
        <v>37</v>
      </c>
      <c r="FT179" s="11" t="s">
        <v>37</v>
      </c>
      <c r="FU179" s="11" t="s">
        <v>37</v>
      </c>
      <c r="FW179" s="12" t="s">
        <v>37</v>
      </c>
      <c r="FX179" s="12" t="s">
        <v>37</v>
      </c>
      <c r="FY179" s="11" t="s">
        <v>37</v>
      </c>
      <c r="FZ179" s="13" t="s">
        <v>37</v>
      </c>
      <c r="GA179" s="11" t="s">
        <v>37</v>
      </c>
      <c r="GB179" s="11" t="s">
        <v>37</v>
      </c>
      <c r="IK179" s="12" t="s">
        <v>37</v>
      </c>
      <c r="IL179" s="12" t="s">
        <v>37</v>
      </c>
      <c r="IM179" s="12" t="s">
        <v>37</v>
      </c>
      <c r="IO179" s="12" t="s">
        <v>37</v>
      </c>
      <c r="IP179" s="12" t="s">
        <v>37</v>
      </c>
      <c r="IQ179" s="12" t="s">
        <v>37</v>
      </c>
      <c r="IW179" s="12" t="s">
        <v>37</v>
      </c>
      <c r="IX179" s="12" t="s">
        <v>37</v>
      </c>
      <c r="IY179" s="13" t="s">
        <v>37</v>
      </c>
      <c r="JA179" s="12" t="s">
        <v>37</v>
      </c>
      <c r="JB179" s="12" t="s">
        <v>37</v>
      </c>
      <c r="JC179" s="13" t="s">
        <v>37</v>
      </c>
      <c r="JH179" s="12" t="s">
        <v>37</v>
      </c>
      <c r="JI179" s="12" t="s">
        <v>37</v>
      </c>
      <c r="JJ179" s="13" t="s">
        <v>37</v>
      </c>
      <c r="JL179" s="12" t="s">
        <v>37</v>
      </c>
      <c r="JM179" s="12" t="s">
        <v>37</v>
      </c>
      <c r="JN179" s="12" t="s">
        <v>37</v>
      </c>
      <c r="JS179" s="12" t="s">
        <v>37</v>
      </c>
      <c r="JT179" s="12" t="s">
        <v>37</v>
      </c>
      <c r="JU179" s="13" t="s">
        <v>37</v>
      </c>
      <c r="JW179" s="12" t="s">
        <v>37</v>
      </c>
      <c r="JX179" s="12" t="s">
        <v>37</v>
      </c>
      <c r="JY179" s="12" t="s">
        <v>37</v>
      </c>
      <c r="KE179" s="11" t="s">
        <v>37</v>
      </c>
      <c r="KF179" s="11" t="s">
        <v>37</v>
      </c>
      <c r="KG179" s="13" t="s">
        <v>37</v>
      </c>
      <c r="KH179" s="11" t="s">
        <v>37</v>
      </c>
      <c r="KI179" s="11" t="s">
        <v>37</v>
      </c>
      <c r="KJ179" s="11" t="s">
        <v>37</v>
      </c>
      <c r="KM179" s="12" t="s">
        <v>37</v>
      </c>
      <c r="KN179" s="12" t="s">
        <v>37</v>
      </c>
      <c r="KO179" s="11" t="s">
        <v>37</v>
      </c>
      <c r="KQ179" s="12" t="s">
        <v>37</v>
      </c>
      <c r="KR179" s="12" t="s">
        <v>37</v>
      </c>
      <c r="KS179" s="12" t="s">
        <v>37</v>
      </c>
      <c r="KX179" s="12" t="s">
        <v>37</v>
      </c>
      <c r="KY179" s="12" t="s">
        <v>37</v>
      </c>
      <c r="KZ179" s="13" t="s">
        <v>37</v>
      </c>
      <c r="LB179" s="12" t="s">
        <v>37</v>
      </c>
      <c r="LC179" s="12" t="s">
        <v>37</v>
      </c>
      <c r="LD179" s="13" t="s">
        <v>37</v>
      </c>
      <c r="LI179" s="12" t="s">
        <v>37</v>
      </c>
      <c r="LJ179" s="12" t="s">
        <v>37</v>
      </c>
      <c r="LK179" s="12" t="s">
        <v>37</v>
      </c>
      <c r="LM179" s="12" t="s">
        <v>37</v>
      </c>
      <c r="LN179" s="12" t="s">
        <v>37</v>
      </c>
      <c r="LO179" s="12" t="s">
        <v>37</v>
      </c>
      <c r="LU179" s="12" t="s">
        <v>37</v>
      </c>
      <c r="LV179" s="12" t="s">
        <v>37</v>
      </c>
      <c r="LW179" s="13" t="s">
        <v>37</v>
      </c>
      <c r="LY179" s="12" t="s">
        <v>37</v>
      </c>
      <c r="LZ179" s="12" t="s">
        <v>37</v>
      </c>
      <c r="MA179" s="12" t="s">
        <v>37</v>
      </c>
      <c r="MF179" s="12" t="s">
        <v>37</v>
      </c>
      <c r="MG179" s="12" t="s">
        <v>37</v>
      </c>
      <c r="MH179" s="12" t="s">
        <v>37</v>
      </c>
      <c r="MJ179" s="12" t="s">
        <v>37</v>
      </c>
      <c r="MK179" s="12" t="s">
        <v>37</v>
      </c>
      <c r="ML179" s="12" t="s">
        <v>37</v>
      </c>
      <c r="MQ179" s="12" t="s">
        <v>37</v>
      </c>
      <c r="MR179" s="12" t="s">
        <v>37</v>
      </c>
      <c r="MS179" s="12" t="s">
        <v>37</v>
      </c>
      <c r="MU179" s="12" t="s">
        <v>37</v>
      </c>
      <c r="MV179" s="12" t="s">
        <v>37</v>
      </c>
      <c r="MW179" s="12" t="s">
        <v>37</v>
      </c>
      <c r="NC179" s="12" t="s">
        <v>37</v>
      </c>
      <c r="ND179" s="12" t="s">
        <v>37</v>
      </c>
      <c r="NE179" s="12" t="s">
        <v>37</v>
      </c>
      <c r="NG179" s="12" t="s">
        <v>37</v>
      </c>
      <c r="NH179" s="12" t="s">
        <v>37</v>
      </c>
      <c r="NI179" s="12" t="s">
        <v>37</v>
      </c>
      <c r="NO179" s="12" t="s">
        <v>37</v>
      </c>
      <c r="NP179" s="12" t="s">
        <v>37</v>
      </c>
      <c r="NQ179" s="12" t="s">
        <v>37</v>
      </c>
      <c r="NS179" s="12" t="s">
        <v>37</v>
      </c>
      <c r="NT179" s="12" t="s">
        <v>37</v>
      </c>
      <c r="NU179" s="12" t="s">
        <v>37</v>
      </c>
      <c r="OA179" s="12" t="s">
        <v>37</v>
      </c>
      <c r="OB179" s="12" t="s">
        <v>37</v>
      </c>
      <c r="OC179" s="12" t="s">
        <v>37</v>
      </c>
      <c r="OD179" s="12"/>
      <c r="OE179" s="12" t="s">
        <v>37</v>
      </c>
      <c r="OF179" s="12" t="s">
        <v>37</v>
      </c>
      <c r="OG179" s="12" t="s">
        <v>37</v>
      </c>
      <c r="OH179" s="12"/>
      <c r="OI179" s="12"/>
      <c r="OJ179" s="12"/>
      <c r="OM179" s="12" t="s">
        <v>37</v>
      </c>
      <c r="ON179" s="12" t="s">
        <v>37</v>
      </c>
      <c r="OO179" s="12" t="s">
        <v>37</v>
      </c>
      <c r="OP179" s="12" t="s">
        <v>37</v>
      </c>
      <c r="OQ179" s="12" t="s">
        <v>37</v>
      </c>
      <c r="OR179" s="12" t="s">
        <v>37</v>
      </c>
      <c r="OS179" s="12"/>
      <c r="OT179" s="12"/>
      <c r="OW179" s="12" t="s">
        <v>37</v>
      </c>
      <c r="OX179" s="12" t="s">
        <v>37</v>
      </c>
      <c r="OY179" s="13" t="s">
        <v>37</v>
      </c>
      <c r="OZ179" s="12" t="s">
        <v>37</v>
      </c>
      <c r="PA179" s="12" t="s">
        <v>37</v>
      </c>
      <c r="PB179" s="13" t="s">
        <v>37</v>
      </c>
      <c r="PG179" s="11" t="s">
        <v>37</v>
      </c>
      <c r="PH179" s="11" t="s">
        <v>37</v>
      </c>
      <c r="PI179" s="13" t="s">
        <v>37</v>
      </c>
      <c r="PJ179" s="11" t="s">
        <v>37</v>
      </c>
      <c r="PK179" s="11" t="s">
        <v>37</v>
      </c>
      <c r="PL179" s="13" t="s">
        <v>37</v>
      </c>
      <c r="PQ179" s="12" t="s">
        <v>37</v>
      </c>
      <c r="PR179" s="12" t="s">
        <v>37</v>
      </c>
      <c r="PS179" s="12" t="s">
        <v>37</v>
      </c>
      <c r="PT179" s="12" t="s">
        <v>37</v>
      </c>
      <c r="PU179" s="12" t="s">
        <v>37</v>
      </c>
      <c r="PV179" s="12" t="s">
        <v>37</v>
      </c>
      <c r="PW179" s="12"/>
      <c r="PX179" s="12"/>
      <c r="PZ179" s="12" t="s">
        <v>37</v>
      </c>
      <c r="QA179" s="12" t="s">
        <v>37</v>
      </c>
      <c r="QB179" s="11" t="s">
        <v>37</v>
      </c>
      <c r="QD179" s="12" t="s">
        <v>37</v>
      </c>
      <c r="QE179" s="12" t="s">
        <v>37</v>
      </c>
      <c r="QF179" s="12" t="s">
        <v>37</v>
      </c>
      <c r="QK179" s="12" t="s">
        <v>37</v>
      </c>
      <c r="QL179" s="12" t="s">
        <v>37</v>
      </c>
      <c r="QM179" s="12" t="s">
        <v>37</v>
      </c>
      <c r="QN179" s="12" t="s">
        <v>37</v>
      </c>
      <c r="QO179" s="12" t="s">
        <v>37</v>
      </c>
      <c r="QP179" s="12" t="s">
        <v>37</v>
      </c>
      <c r="QQ179" s="12"/>
      <c r="QR179" s="12"/>
      <c r="QU179" s="12" t="s">
        <v>37</v>
      </c>
      <c r="QV179" s="12" t="s">
        <v>37</v>
      </c>
      <c r="QW179" s="12" t="s">
        <v>37</v>
      </c>
      <c r="QX179" s="12" t="s">
        <v>37</v>
      </c>
      <c r="QY179" s="12" t="s">
        <v>37</v>
      </c>
      <c r="QZ179" s="12" t="s">
        <v>37</v>
      </c>
      <c r="RC179" s="12" t="s">
        <v>37</v>
      </c>
      <c r="RD179" s="12" t="s">
        <v>37</v>
      </c>
      <c r="RE179" s="13" t="s">
        <v>37</v>
      </c>
      <c r="RF179" s="12" t="s">
        <v>37</v>
      </c>
      <c r="RG179" s="12" t="s">
        <v>37</v>
      </c>
      <c r="RH179" s="13" t="s">
        <v>37</v>
      </c>
      <c r="RK179" s="12" t="s">
        <v>37</v>
      </c>
      <c r="RL179" s="12" t="s">
        <v>37</v>
      </c>
      <c r="RM179" s="11" t="s">
        <v>37</v>
      </c>
      <c r="RN179" s="12" t="s">
        <v>37</v>
      </c>
      <c r="RO179" s="12" t="s">
        <v>37</v>
      </c>
      <c r="RP179" s="11" t="s">
        <v>37</v>
      </c>
      <c r="RS179" s="12" t="s">
        <v>37</v>
      </c>
      <c r="RT179" s="12" t="s">
        <v>37</v>
      </c>
      <c r="RU179" s="12" t="s">
        <v>37</v>
      </c>
      <c r="RV179" s="12" t="s">
        <v>37</v>
      </c>
      <c r="RW179" s="12" t="s">
        <v>37</v>
      </c>
      <c r="RX179" s="12" t="s">
        <v>37</v>
      </c>
      <c r="SA179" s="12" t="s">
        <v>37</v>
      </c>
      <c r="SB179" s="12" t="s">
        <v>37</v>
      </c>
      <c r="SC179" s="12" t="s">
        <v>37</v>
      </c>
      <c r="SD179" s="12" t="s">
        <v>37</v>
      </c>
      <c r="SE179" s="12" t="s">
        <v>37</v>
      </c>
      <c r="SF179" s="12" t="s">
        <v>37</v>
      </c>
      <c r="SI179" s="12" t="s">
        <v>37</v>
      </c>
      <c r="SJ179" s="12" t="s">
        <v>37</v>
      </c>
      <c r="SK179" s="13" t="s">
        <v>37</v>
      </c>
      <c r="SM179" s="12" t="s">
        <v>37</v>
      </c>
      <c r="SN179" s="12" t="s">
        <v>37</v>
      </c>
      <c r="SO179" s="13" t="s">
        <v>37</v>
      </c>
      <c r="SU179" s="12" t="s">
        <v>37</v>
      </c>
      <c r="SV179" s="12" t="s">
        <v>37</v>
      </c>
      <c r="SW179" s="11" t="s">
        <v>37</v>
      </c>
      <c r="SX179" s="12" t="s">
        <v>37</v>
      </c>
      <c r="SY179" s="12" t="s">
        <v>37</v>
      </c>
      <c r="SZ179" s="11" t="s">
        <v>37</v>
      </c>
      <c r="TE179" s="12" t="s">
        <v>37</v>
      </c>
      <c r="TF179" s="12" t="s">
        <v>37</v>
      </c>
      <c r="TG179" s="11" t="s">
        <v>37</v>
      </c>
      <c r="TH179" s="12" t="s">
        <v>37</v>
      </c>
      <c r="TI179" s="12" t="s">
        <v>37</v>
      </c>
      <c r="TJ179" s="11" t="s">
        <v>37</v>
      </c>
      <c r="TO179" s="12" t="s">
        <v>37</v>
      </c>
      <c r="TP179" s="12" t="s">
        <v>37</v>
      </c>
      <c r="TQ179" s="11" t="s">
        <v>37</v>
      </c>
      <c r="TR179" s="12" t="s">
        <v>37</v>
      </c>
      <c r="TS179" s="12" t="s">
        <v>37</v>
      </c>
      <c r="TT179" s="11" t="s">
        <v>37</v>
      </c>
      <c r="TY179" s="12" t="s">
        <v>37</v>
      </c>
      <c r="TZ179" s="12" t="s">
        <v>37</v>
      </c>
      <c r="UA179" s="12" t="s">
        <v>37</v>
      </c>
      <c r="UB179" s="12" t="s">
        <v>37</v>
      </c>
      <c r="UC179" s="12" t="s">
        <v>37</v>
      </c>
      <c r="UD179" s="12" t="s">
        <v>37</v>
      </c>
      <c r="UE179" s="12"/>
      <c r="UF179" s="12"/>
      <c r="UI179" s="12" t="s">
        <v>37</v>
      </c>
      <c r="UJ179" s="12" t="s">
        <v>37</v>
      </c>
      <c r="UK179" s="12" t="s">
        <v>37</v>
      </c>
      <c r="UL179" s="12" t="s">
        <v>37</v>
      </c>
      <c r="UM179" s="12" t="s">
        <v>37</v>
      </c>
      <c r="UN179" s="12" t="s">
        <v>37</v>
      </c>
      <c r="UO179" s="12"/>
      <c r="UP179" s="12"/>
      <c r="UR179" s="12" t="s">
        <v>37</v>
      </c>
      <c r="US179" s="12" t="s">
        <v>37</v>
      </c>
      <c r="UT179" s="12" t="s">
        <v>37</v>
      </c>
      <c r="UU179" s="12" t="s">
        <v>37</v>
      </c>
      <c r="UV179" s="12" t="s">
        <v>37</v>
      </c>
      <c r="UW179" s="12" t="s">
        <v>37</v>
      </c>
      <c r="UX179" s="12"/>
      <c r="UY179" s="12"/>
      <c r="VB179" s="12" t="s">
        <v>37</v>
      </c>
      <c r="VC179" s="12" t="s">
        <v>37</v>
      </c>
      <c r="VD179" s="12" t="s">
        <v>37</v>
      </c>
      <c r="VE179" s="12" t="s">
        <v>37</v>
      </c>
      <c r="VF179" s="12" t="s">
        <v>37</v>
      </c>
      <c r="VG179" s="12" t="s">
        <v>37</v>
      </c>
      <c r="VI179" s="12" t="s">
        <v>37</v>
      </c>
      <c r="VJ179" s="12" t="s">
        <v>37</v>
      </c>
      <c r="VK179" s="12" t="s">
        <v>37</v>
      </c>
      <c r="VL179" s="12" t="s">
        <v>37</v>
      </c>
      <c r="VM179" s="12" t="s">
        <v>37</v>
      </c>
      <c r="VN179" s="12" t="s">
        <v>37</v>
      </c>
      <c r="VQ179" s="12" t="s">
        <v>37</v>
      </c>
      <c r="VR179" s="12" t="s">
        <v>37</v>
      </c>
      <c r="VS179" s="12" t="s">
        <v>37</v>
      </c>
      <c r="VT179" s="12" t="s">
        <v>37</v>
      </c>
      <c r="VU179" s="12" t="s">
        <v>37</v>
      </c>
      <c r="VV179" s="12" t="s">
        <v>37</v>
      </c>
      <c r="VW179" s="12"/>
      <c r="VX179" s="12"/>
      <c r="WA179" s="13" t="s">
        <v>37</v>
      </c>
      <c r="WB179" s="13" t="s">
        <v>37</v>
      </c>
      <c r="WC179" s="13" t="s">
        <v>37</v>
      </c>
      <c r="WD179" s="13" t="s">
        <v>37</v>
      </c>
      <c r="WE179" s="13" t="s">
        <v>37</v>
      </c>
      <c r="WF179" s="13" t="s">
        <v>37</v>
      </c>
    </row>
    <row r="180" spans="1:604" ht="18" customHeight="1" x14ac:dyDescent="0.3">
      <c r="A180" s="11">
        <v>44</v>
      </c>
      <c r="B180" s="16" t="s">
        <v>929</v>
      </c>
      <c r="C180" s="12" t="s">
        <v>26</v>
      </c>
      <c r="D180" s="12" t="s">
        <v>54</v>
      </c>
      <c r="E180" s="40" t="s">
        <v>37</v>
      </c>
      <c r="F180" s="14">
        <v>0</v>
      </c>
      <c r="G180" s="14">
        <v>0</v>
      </c>
      <c r="H180" s="12" t="s">
        <v>145</v>
      </c>
      <c r="I180" s="29">
        <v>48.966999999999999</v>
      </c>
      <c r="J180" s="29">
        <v>13.45</v>
      </c>
      <c r="K180" s="12" t="s">
        <v>744</v>
      </c>
      <c r="L180" s="12" t="s">
        <v>745</v>
      </c>
      <c r="M180" s="13">
        <v>1200</v>
      </c>
      <c r="N180" s="14">
        <v>3.2</v>
      </c>
      <c r="O180" s="14">
        <v>1200</v>
      </c>
      <c r="P180" s="14" t="s">
        <v>16</v>
      </c>
      <c r="Q180" s="75">
        <v>40</v>
      </c>
      <c r="R180" s="11" t="s">
        <v>1000</v>
      </c>
      <c r="S180" s="12" t="s">
        <v>93</v>
      </c>
      <c r="T180" s="12" t="s">
        <v>141</v>
      </c>
      <c r="U180" s="12" t="s">
        <v>158</v>
      </c>
      <c r="V180" s="12" t="s">
        <v>275</v>
      </c>
      <c r="W180" s="23" t="s">
        <v>297</v>
      </c>
      <c r="X180" s="12" t="s">
        <v>280</v>
      </c>
      <c r="Y180" s="12" t="s">
        <v>37</v>
      </c>
      <c r="Z180" s="12" t="s">
        <v>37</v>
      </c>
      <c r="AB180" s="12" t="s">
        <v>37</v>
      </c>
      <c r="AE180" s="12" t="s">
        <v>37</v>
      </c>
      <c r="AH180" s="12" t="s">
        <v>37</v>
      </c>
      <c r="AK180" s="12" t="s">
        <v>37</v>
      </c>
      <c r="AL180" s="32" t="s">
        <v>890</v>
      </c>
      <c r="AM180" s="12" t="s">
        <v>317</v>
      </c>
      <c r="AN180" s="32" t="s">
        <v>880</v>
      </c>
      <c r="AO180" s="12" t="s">
        <v>318</v>
      </c>
      <c r="AP180" s="12" t="s">
        <v>108</v>
      </c>
      <c r="AQ180" s="12" t="s">
        <v>975</v>
      </c>
      <c r="AT180" s="12" t="s">
        <v>326</v>
      </c>
      <c r="AU180" s="12" t="s">
        <v>326</v>
      </c>
      <c r="AV180" s="13" t="s">
        <v>326</v>
      </c>
      <c r="AX180" s="12" t="s">
        <v>326</v>
      </c>
      <c r="AY180" s="12" t="s">
        <v>326</v>
      </c>
      <c r="AZ180" s="13" t="s">
        <v>326</v>
      </c>
      <c r="BE180" s="12" t="s">
        <v>326</v>
      </c>
      <c r="BF180" s="12" t="s">
        <v>326</v>
      </c>
      <c r="BG180" s="12" t="s">
        <v>326</v>
      </c>
      <c r="BI180" s="12" t="s">
        <v>326</v>
      </c>
      <c r="BJ180" s="12" t="s">
        <v>326</v>
      </c>
      <c r="BK180" s="12" t="s">
        <v>326</v>
      </c>
      <c r="BP180" s="12" t="s">
        <v>37</v>
      </c>
      <c r="BQ180" s="12" t="s">
        <v>37</v>
      </c>
      <c r="BR180" s="13" t="s">
        <v>37</v>
      </c>
      <c r="BT180" s="12" t="s">
        <v>37</v>
      </c>
      <c r="BU180" s="12" t="s">
        <v>37</v>
      </c>
      <c r="BV180" s="12" t="s">
        <v>37</v>
      </c>
      <c r="CA180" s="12" t="s">
        <v>37</v>
      </c>
      <c r="CB180" s="12" t="s">
        <v>37</v>
      </c>
      <c r="CC180" s="13" t="s">
        <v>37</v>
      </c>
      <c r="CE180" s="12" t="s">
        <v>37</v>
      </c>
      <c r="CF180" s="12" t="s">
        <v>37</v>
      </c>
      <c r="CG180" s="13" t="s">
        <v>37</v>
      </c>
      <c r="CN180" s="12" t="s">
        <v>37</v>
      </c>
      <c r="CO180" s="12" t="s">
        <v>37</v>
      </c>
      <c r="CP180" s="13" t="s">
        <v>37</v>
      </c>
      <c r="CR180" s="12" t="s">
        <v>37</v>
      </c>
      <c r="CS180" s="12" t="s">
        <v>37</v>
      </c>
      <c r="CT180" s="13" t="s">
        <v>37</v>
      </c>
      <c r="CX180" s="72"/>
      <c r="CY180" s="72"/>
      <c r="DA180" s="12" t="s">
        <v>37</v>
      </c>
      <c r="DB180" s="12" t="s">
        <v>37</v>
      </c>
      <c r="DC180" s="13" t="s">
        <v>37</v>
      </c>
      <c r="DE180" s="12" t="s">
        <v>37</v>
      </c>
      <c r="DF180" s="12" t="s">
        <v>37</v>
      </c>
      <c r="DG180" s="13" t="s">
        <v>37</v>
      </c>
      <c r="DM180" s="12" t="s">
        <v>47</v>
      </c>
      <c r="DN180" s="19">
        <f>8.08441558441558*16/12*10^4/10^3/'[1]classes-1'!$I$20</f>
        <v>129.84710024567806</v>
      </c>
      <c r="DO180" s="12">
        <f>SQRT((1/[2]Classes!$I$20)^2*(2.38939863545118*16/12*10^4/10^3)^2+(-DN180/([2]Classes!$I$20)^2)^2*([2]Classes!$J$20)^2)</f>
        <v>45.955805142101362</v>
      </c>
      <c r="DP180" s="13">
        <v>3</v>
      </c>
      <c r="DQ180" s="19">
        <f t="shared" si="707"/>
        <v>0.35392245999448874</v>
      </c>
      <c r="DR180" s="19">
        <f>3.7012987012987*16/12*10^4/10^3/'[1]classes-1'!$I$21</f>
        <v>14.486591233404059</v>
      </c>
      <c r="DS180" s="12">
        <f>SQRT((1/[2]Classes!$I$21)^2*(2.98701298701298*16/12*10^4/10^3)^2+(-DR180/([2]Classes!$I$21)^2)^2*([2]Classes!$J$21)^2)</f>
        <v>18.662006281146603</v>
      </c>
      <c r="DT180" s="13">
        <v>3</v>
      </c>
      <c r="DU180" s="19">
        <f t="shared" si="708"/>
        <v>1.288226193482606</v>
      </c>
      <c r="DV180" s="19">
        <f t="shared" si="710"/>
        <v>-115.36050901227401</v>
      </c>
      <c r="DW180" s="12">
        <f t="shared" si="709"/>
        <v>35.072827835065887</v>
      </c>
      <c r="DX180" s="72">
        <f t="shared" si="641"/>
        <v>820.06883489878157</v>
      </c>
      <c r="DY180" s="72">
        <f t="shared" si="642"/>
        <v>820.06883489878169</v>
      </c>
      <c r="EA180" s="19" t="s">
        <v>37</v>
      </c>
      <c r="EB180" s="19" t="s">
        <v>37</v>
      </c>
      <c r="EC180" s="72" t="s">
        <v>37</v>
      </c>
      <c r="EE180" s="19" t="s">
        <v>37</v>
      </c>
      <c r="EF180" s="19" t="s">
        <v>37</v>
      </c>
      <c r="EG180" s="12" t="s">
        <v>37</v>
      </c>
      <c r="EM180" s="12" t="s">
        <v>39</v>
      </c>
      <c r="EN180" s="12">
        <f>AVERAGEA(-10.2,-3.9)</f>
        <v>-7.05</v>
      </c>
      <c r="EO180" s="12">
        <f>SQRT(4.7^2+3.3^2)/2</f>
        <v>2.8714108030722461</v>
      </c>
      <c r="EP180" s="13">
        <v>3</v>
      </c>
      <c r="EQ180" s="19">
        <f t="shared" si="510"/>
        <v>0.40729231249251718</v>
      </c>
      <c r="ER180" s="12">
        <v>-16.899999999999999</v>
      </c>
      <c r="ES180" s="12">
        <v>10.5</v>
      </c>
      <c r="ET180" s="13">
        <v>3</v>
      </c>
      <c r="EU180" s="19">
        <f t="shared" si="511"/>
        <v>0.62130177514792906</v>
      </c>
      <c r="EV180" s="19">
        <f t="shared" si="701"/>
        <v>-9.8499999999999979</v>
      </c>
      <c r="EW180" s="12">
        <f t="shared" si="702"/>
        <v>7.6972397650066746</v>
      </c>
      <c r="EX180" s="19">
        <f t="shared" si="703"/>
        <v>39.498333333333335</v>
      </c>
      <c r="EY180" s="19">
        <f t="shared" si="704"/>
        <v>39.498333333333335</v>
      </c>
      <c r="FB180" s="12" t="s">
        <v>37</v>
      </c>
      <c r="FC180" s="12" t="s">
        <v>37</v>
      </c>
      <c r="FD180" s="11" t="s">
        <v>37</v>
      </c>
      <c r="FE180" s="12" t="s">
        <v>37</v>
      </c>
      <c r="FF180" s="20" t="s">
        <v>37</v>
      </c>
      <c r="FG180" s="11" t="s">
        <v>37</v>
      </c>
      <c r="FI180" s="12" t="s">
        <v>37</v>
      </c>
      <c r="FJ180" s="12" t="s">
        <v>37</v>
      </c>
      <c r="FK180" s="11" t="s">
        <v>37</v>
      </c>
      <c r="FL180" s="13" t="s">
        <v>37</v>
      </c>
      <c r="FM180" s="11" t="s">
        <v>37</v>
      </c>
      <c r="FN180" s="11" t="s">
        <v>37</v>
      </c>
      <c r="FP180" s="12" t="s">
        <v>37</v>
      </c>
      <c r="FQ180" s="12" t="s">
        <v>37</v>
      </c>
      <c r="FR180" s="11" t="s">
        <v>37</v>
      </c>
      <c r="FS180" s="13" t="s">
        <v>37</v>
      </c>
      <c r="FT180" s="11" t="s">
        <v>37</v>
      </c>
      <c r="FU180" s="11" t="s">
        <v>37</v>
      </c>
      <c r="FW180" s="12" t="s">
        <v>37</v>
      </c>
      <c r="FX180" s="12" t="s">
        <v>37</v>
      </c>
      <c r="FY180" s="11" t="s">
        <v>37</v>
      </c>
      <c r="FZ180" s="13" t="s">
        <v>37</v>
      </c>
      <c r="GA180" s="11" t="s">
        <v>37</v>
      </c>
      <c r="GB180" s="11" t="s">
        <v>37</v>
      </c>
      <c r="IK180" s="12" t="s">
        <v>37</v>
      </c>
      <c r="IL180" s="12" t="s">
        <v>37</v>
      </c>
      <c r="IM180" s="12" t="s">
        <v>37</v>
      </c>
      <c r="IO180" s="12" t="s">
        <v>37</v>
      </c>
      <c r="IP180" s="12" t="s">
        <v>37</v>
      </c>
      <c r="IQ180" s="12" t="s">
        <v>37</v>
      </c>
      <c r="IW180" s="12" t="s">
        <v>37</v>
      </c>
      <c r="IX180" s="12" t="s">
        <v>37</v>
      </c>
      <c r="IY180" s="13" t="s">
        <v>37</v>
      </c>
      <c r="JA180" s="12" t="s">
        <v>37</v>
      </c>
      <c r="JB180" s="12" t="s">
        <v>37</v>
      </c>
      <c r="JC180" s="13" t="s">
        <v>37</v>
      </c>
      <c r="JH180" s="12" t="s">
        <v>37</v>
      </c>
      <c r="JI180" s="12" t="s">
        <v>37</v>
      </c>
      <c r="JJ180" s="13" t="s">
        <v>37</v>
      </c>
      <c r="JL180" s="12" t="s">
        <v>37</v>
      </c>
      <c r="JM180" s="12" t="s">
        <v>37</v>
      </c>
      <c r="JN180" s="12" t="s">
        <v>37</v>
      </c>
      <c r="JS180" s="12" t="s">
        <v>37</v>
      </c>
      <c r="JT180" s="12" t="s">
        <v>37</v>
      </c>
      <c r="JU180" s="13" t="s">
        <v>37</v>
      </c>
      <c r="JW180" s="12" t="s">
        <v>37</v>
      </c>
      <c r="JX180" s="12" t="s">
        <v>37</v>
      </c>
      <c r="JY180" s="12" t="s">
        <v>37</v>
      </c>
      <c r="KE180" s="11" t="s">
        <v>37</v>
      </c>
      <c r="KF180" s="11" t="s">
        <v>37</v>
      </c>
      <c r="KG180" s="13" t="s">
        <v>37</v>
      </c>
      <c r="KH180" s="11" t="s">
        <v>37</v>
      </c>
      <c r="KI180" s="11" t="s">
        <v>37</v>
      </c>
      <c r="KJ180" s="11" t="s">
        <v>37</v>
      </c>
      <c r="KM180" s="12" t="s">
        <v>37</v>
      </c>
      <c r="KN180" s="12" t="s">
        <v>37</v>
      </c>
      <c r="KO180" s="11" t="s">
        <v>37</v>
      </c>
      <c r="KQ180" s="12" t="s">
        <v>37</v>
      </c>
      <c r="KR180" s="12" t="s">
        <v>37</v>
      </c>
      <c r="KS180" s="12" t="s">
        <v>37</v>
      </c>
      <c r="KX180" s="12" t="s">
        <v>37</v>
      </c>
      <c r="KY180" s="12" t="s">
        <v>37</v>
      </c>
      <c r="KZ180" s="13" t="s">
        <v>37</v>
      </c>
      <c r="LB180" s="12" t="s">
        <v>37</v>
      </c>
      <c r="LC180" s="12" t="s">
        <v>37</v>
      </c>
      <c r="LD180" s="13" t="s">
        <v>37</v>
      </c>
      <c r="LI180" s="12" t="s">
        <v>37</v>
      </c>
      <c r="LJ180" s="12" t="s">
        <v>37</v>
      </c>
      <c r="LK180" s="12" t="s">
        <v>37</v>
      </c>
      <c r="LM180" s="12" t="s">
        <v>37</v>
      </c>
      <c r="LN180" s="12" t="s">
        <v>37</v>
      </c>
      <c r="LO180" s="12" t="s">
        <v>37</v>
      </c>
      <c r="LU180" s="12" t="s">
        <v>37</v>
      </c>
      <c r="LV180" s="12" t="s">
        <v>37</v>
      </c>
      <c r="LW180" s="13" t="s">
        <v>37</v>
      </c>
      <c r="LY180" s="12" t="s">
        <v>37</v>
      </c>
      <c r="LZ180" s="12" t="s">
        <v>37</v>
      </c>
      <c r="MA180" s="12" t="s">
        <v>37</v>
      </c>
      <c r="MF180" s="12" t="s">
        <v>37</v>
      </c>
      <c r="MG180" s="12" t="s">
        <v>37</v>
      </c>
      <c r="MH180" s="12" t="s">
        <v>37</v>
      </c>
      <c r="MJ180" s="12" t="s">
        <v>37</v>
      </c>
      <c r="MK180" s="12" t="s">
        <v>37</v>
      </c>
      <c r="ML180" s="12" t="s">
        <v>37</v>
      </c>
      <c r="MQ180" s="12" t="s">
        <v>37</v>
      </c>
      <c r="MR180" s="12" t="s">
        <v>37</v>
      </c>
      <c r="MS180" s="12" t="s">
        <v>37</v>
      </c>
      <c r="MU180" s="12" t="s">
        <v>37</v>
      </c>
      <c r="MV180" s="12" t="s">
        <v>37</v>
      </c>
      <c r="MW180" s="12" t="s">
        <v>37</v>
      </c>
      <c r="NC180" s="12" t="s">
        <v>37</v>
      </c>
      <c r="ND180" s="12" t="s">
        <v>37</v>
      </c>
      <c r="NE180" s="12" t="s">
        <v>37</v>
      </c>
      <c r="NG180" s="12" t="s">
        <v>37</v>
      </c>
      <c r="NH180" s="12" t="s">
        <v>37</v>
      </c>
      <c r="NI180" s="12" t="s">
        <v>37</v>
      </c>
      <c r="NO180" s="12" t="s">
        <v>37</v>
      </c>
      <c r="NP180" s="12" t="s">
        <v>37</v>
      </c>
      <c r="NQ180" s="12" t="s">
        <v>37</v>
      </c>
      <c r="NS180" s="12" t="s">
        <v>37</v>
      </c>
      <c r="NT180" s="12" t="s">
        <v>37</v>
      </c>
      <c r="NU180" s="12" t="s">
        <v>37</v>
      </c>
      <c r="OA180" s="12" t="s">
        <v>37</v>
      </c>
      <c r="OB180" s="12" t="s">
        <v>37</v>
      </c>
      <c r="OC180" s="12" t="s">
        <v>37</v>
      </c>
      <c r="OD180" s="12"/>
      <c r="OE180" s="12" t="s">
        <v>37</v>
      </c>
      <c r="OF180" s="12" t="s">
        <v>37</v>
      </c>
      <c r="OG180" s="12" t="s">
        <v>37</v>
      </c>
      <c r="OH180" s="12"/>
      <c r="OI180" s="12"/>
      <c r="OJ180" s="12"/>
      <c r="OM180" s="12" t="s">
        <v>37</v>
      </c>
      <c r="ON180" s="12" t="s">
        <v>37</v>
      </c>
      <c r="OO180" s="12" t="s">
        <v>37</v>
      </c>
      <c r="OP180" s="12" t="s">
        <v>37</v>
      </c>
      <c r="OQ180" s="12" t="s">
        <v>37</v>
      </c>
      <c r="OR180" s="12" t="s">
        <v>37</v>
      </c>
      <c r="OS180" s="12"/>
      <c r="OT180" s="12"/>
      <c r="OW180" s="12" t="s">
        <v>37</v>
      </c>
      <c r="OX180" s="12" t="s">
        <v>37</v>
      </c>
      <c r="OY180" s="13" t="s">
        <v>37</v>
      </c>
      <c r="OZ180" s="12" t="s">
        <v>37</v>
      </c>
      <c r="PA180" s="12" t="s">
        <v>37</v>
      </c>
      <c r="PB180" s="13" t="s">
        <v>37</v>
      </c>
      <c r="PG180" s="11" t="s">
        <v>37</v>
      </c>
      <c r="PH180" s="11" t="s">
        <v>37</v>
      </c>
      <c r="PI180" s="13" t="s">
        <v>37</v>
      </c>
      <c r="PJ180" s="11" t="s">
        <v>37</v>
      </c>
      <c r="PK180" s="11" t="s">
        <v>37</v>
      </c>
      <c r="PL180" s="13" t="s">
        <v>37</v>
      </c>
      <c r="PQ180" s="12" t="s">
        <v>37</v>
      </c>
      <c r="PR180" s="12" t="s">
        <v>37</v>
      </c>
      <c r="PS180" s="12" t="s">
        <v>37</v>
      </c>
      <c r="PT180" s="12" t="s">
        <v>37</v>
      </c>
      <c r="PU180" s="12" t="s">
        <v>37</v>
      </c>
      <c r="PV180" s="12" t="s">
        <v>37</v>
      </c>
      <c r="PW180" s="12"/>
      <c r="PX180" s="12"/>
      <c r="PZ180" s="12" t="s">
        <v>37</v>
      </c>
      <c r="QA180" s="12" t="s">
        <v>37</v>
      </c>
      <c r="QB180" s="11" t="s">
        <v>37</v>
      </c>
      <c r="QD180" s="12" t="s">
        <v>37</v>
      </c>
      <c r="QE180" s="12" t="s">
        <v>37</v>
      </c>
      <c r="QF180" s="12" t="s">
        <v>37</v>
      </c>
      <c r="QK180" s="12" t="s">
        <v>37</v>
      </c>
      <c r="QL180" s="12" t="s">
        <v>37</v>
      </c>
      <c r="QM180" s="12" t="s">
        <v>37</v>
      </c>
      <c r="QN180" s="12" t="s">
        <v>37</v>
      </c>
      <c r="QO180" s="12" t="s">
        <v>37</v>
      </c>
      <c r="QP180" s="12" t="s">
        <v>37</v>
      </c>
      <c r="QQ180" s="12"/>
      <c r="QR180" s="12"/>
      <c r="QU180" s="12" t="s">
        <v>37</v>
      </c>
      <c r="QV180" s="12" t="s">
        <v>37</v>
      </c>
      <c r="QW180" s="12" t="s">
        <v>37</v>
      </c>
      <c r="QX180" s="12" t="s">
        <v>37</v>
      </c>
      <c r="QY180" s="12" t="s">
        <v>37</v>
      </c>
      <c r="QZ180" s="12" t="s">
        <v>37</v>
      </c>
      <c r="RC180" s="12" t="s">
        <v>37</v>
      </c>
      <c r="RD180" s="12" t="s">
        <v>37</v>
      </c>
      <c r="RE180" s="13" t="s">
        <v>37</v>
      </c>
      <c r="RF180" s="12" t="s">
        <v>37</v>
      </c>
      <c r="RG180" s="12" t="s">
        <v>37</v>
      </c>
      <c r="RH180" s="13" t="s">
        <v>37</v>
      </c>
      <c r="RK180" s="12" t="s">
        <v>37</v>
      </c>
      <c r="RL180" s="12" t="s">
        <v>37</v>
      </c>
      <c r="RM180" s="11" t="s">
        <v>37</v>
      </c>
      <c r="RN180" s="12" t="s">
        <v>37</v>
      </c>
      <c r="RO180" s="12" t="s">
        <v>37</v>
      </c>
      <c r="RP180" s="11" t="s">
        <v>37</v>
      </c>
      <c r="RS180" s="12" t="s">
        <v>37</v>
      </c>
      <c r="RT180" s="12" t="s">
        <v>37</v>
      </c>
      <c r="RU180" s="12" t="s">
        <v>37</v>
      </c>
      <c r="RV180" s="12" t="s">
        <v>37</v>
      </c>
      <c r="RW180" s="12" t="s">
        <v>37</v>
      </c>
      <c r="RX180" s="12" t="s">
        <v>37</v>
      </c>
      <c r="SA180" s="12" t="s">
        <v>37</v>
      </c>
      <c r="SB180" s="12" t="s">
        <v>37</v>
      </c>
      <c r="SC180" s="12" t="s">
        <v>37</v>
      </c>
      <c r="SD180" s="12" t="s">
        <v>37</v>
      </c>
      <c r="SE180" s="12" t="s">
        <v>37</v>
      </c>
      <c r="SF180" s="12" t="s">
        <v>37</v>
      </c>
      <c r="SI180" s="12" t="s">
        <v>37</v>
      </c>
      <c r="SJ180" s="12" t="s">
        <v>37</v>
      </c>
      <c r="SK180" s="13" t="s">
        <v>37</v>
      </c>
      <c r="SM180" s="12" t="s">
        <v>37</v>
      </c>
      <c r="SN180" s="12" t="s">
        <v>37</v>
      </c>
      <c r="SO180" s="13" t="s">
        <v>37</v>
      </c>
      <c r="SU180" s="12" t="s">
        <v>37</v>
      </c>
      <c r="SV180" s="12" t="s">
        <v>37</v>
      </c>
      <c r="SW180" s="11" t="s">
        <v>37</v>
      </c>
      <c r="SX180" s="12" t="s">
        <v>37</v>
      </c>
      <c r="SY180" s="12" t="s">
        <v>37</v>
      </c>
      <c r="SZ180" s="11" t="s">
        <v>37</v>
      </c>
      <c r="TE180" s="12" t="s">
        <v>37</v>
      </c>
      <c r="TF180" s="12" t="s">
        <v>37</v>
      </c>
      <c r="TG180" s="11" t="s">
        <v>37</v>
      </c>
      <c r="TH180" s="12" t="s">
        <v>37</v>
      </c>
      <c r="TI180" s="12" t="s">
        <v>37</v>
      </c>
      <c r="TJ180" s="11" t="s">
        <v>37</v>
      </c>
      <c r="TO180" s="12" t="s">
        <v>37</v>
      </c>
      <c r="TP180" s="12" t="s">
        <v>37</v>
      </c>
      <c r="TQ180" s="11" t="s">
        <v>37</v>
      </c>
      <c r="TR180" s="12" t="s">
        <v>37</v>
      </c>
      <c r="TS180" s="12" t="s">
        <v>37</v>
      </c>
      <c r="TT180" s="11" t="s">
        <v>37</v>
      </c>
      <c r="TY180" s="12" t="s">
        <v>37</v>
      </c>
      <c r="TZ180" s="12" t="s">
        <v>37</v>
      </c>
      <c r="UA180" s="12" t="s">
        <v>37</v>
      </c>
      <c r="UB180" s="12" t="s">
        <v>37</v>
      </c>
      <c r="UC180" s="12" t="s">
        <v>37</v>
      </c>
      <c r="UD180" s="12" t="s">
        <v>37</v>
      </c>
      <c r="UE180" s="12"/>
      <c r="UF180" s="12"/>
      <c r="UI180" s="12" t="s">
        <v>37</v>
      </c>
      <c r="UJ180" s="12" t="s">
        <v>37</v>
      </c>
      <c r="UK180" s="12" t="s">
        <v>37</v>
      </c>
      <c r="UL180" s="12" t="s">
        <v>37</v>
      </c>
      <c r="UM180" s="12" t="s">
        <v>37</v>
      </c>
      <c r="UN180" s="12" t="s">
        <v>37</v>
      </c>
      <c r="UO180" s="12"/>
      <c r="UP180" s="12"/>
      <c r="UR180" s="12" t="s">
        <v>37</v>
      </c>
      <c r="US180" s="12" t="s">
        <v>37</v>
      </c>
      <c r="UT180" s="12" t="s">
        <v>37</v>
      </c>
      <c r="UU180" s="12" t="s">
        <v>37</v>
      </c>
      <c r="UV180" s="12" t="s">
        <v>37</v>
      </c>
      <c r="UW180" s="12" t="s">
        <v>37</v>
      </c>
      <c r="UX180" s="12"/>
      <c r="UY180" s="12"/>
      <c r="VB180" s="12" t="s">
        <v>37</v>
      </c>
      <c r="VC180" s="12" t="s">
        <v>37</v>
      </c>
      <c r="VD180" s="12" t="s">
        <v>37</v>
      </c>
      <c r="VE180" s="12" t="s">
        <v>37</v>
      </c>
      <c r="VF180" s="12" t="s">
        <v>37</v>
      </c>
      <c r="VG180" s="12" t="s">
        <v>37</v>
      </c>
      <c r="VI180" s="12" t="s">
        <v>37</v>
      </c>
      <c r="VJ180" s="12" t="s">
        <v>37</v>
      </c>
      <c r="VK180" s="12" t="s">
        <v>37</v>
      </c>
      <c r="VL180" s="12" t="s">
        <v>37</v>
      </c>
      <c r="VM180" s="12" t="s">
        <v>37</v>
      </c>
      <c r="VN180" s="12" t="s">
        <v>37</v>
      </c>
      <c r="VO180" s="12" t="s">
        <v>127</v>
      </c>
      <c r="VP180" s="12" t="s">
        <v>340</v>
      </c>
      <c r="VQ180" s="12">
        <v>857831325.30120397</v>
      </c>
      <c r="VR180" s="12">
        <v>323143221.47933036</v>
      </c>
      <c r="VS180" s="13">
        <v>3</v>
      </c>
      <c r="VT180" s="12">
        <v>2506024096.38554</v>
      </c>
      <c r="VU180" s="12">
        <v>4395180722.8915796</v>
      </c>
      <c r="VV180" s="13">
        <v>3</v>
      </c>
      <c r="VW180" s="19">
        <f>LN(VT180/VQ180)</f>
        <v>1.072045261283388</v>
      </c>
      <c r="VX180" s="19">
        <f>VU180^2/(VV180*VT180^2)+VR180^2/(VS180*VQ180^2)</f>
        <v>1.0726258688175001</v>
      </c>
      <c r="WA180" s="13" t="s">
        <v>37</v>
      </c>
      <c r="WB180" s="13" t="s">
        <v>37</v>
      </c>
      <c r="WC180" s="13" t="s">
        <v>37</v>
      </c>
      <c r="WD180" s="13" t="s">
        <v>37</v>
      </c>
      <c r="WE180" s="13" t="s">
        <v>37</v>
      </c>
      <c r="WF180" s="13" t="s">
        <v>37</v>
      </c>
    </row>
    <row r="181" spans="1:604" ht="18" customHeight="1" x14ac:dyDescent="0.3">
      <c r="A181" s="11">
        <v>44</v>
      </c>
      <c r="B181" s="16" t="s">
        <v>929</v>
      </c>
      <c r="C181" s="12" t="s">
        <v>26</v>
      </c>
      <c r="D181" s="12" t="s">
        <v>54</v>
      </c>
      <c r="E181" s="40" t="s">
        <v>37</v>
      </c>
      <c r="F181" s="14">
        <v>0</v>
      </c>
      <c r="G181" s="14">
        <v>0</v>
      </c>
      <c r="H181" s="12" t="s">
        <v>145</v>
      </c>
      <c r="I181" s="29">
        <v>48.966999999999999</v>
      </c>
      <c r="J181" s="29">
        <v>13.45</v>
      </c>
      <c r="K181" s="12" t="s">
        <v>744</v>
      </c>
      <c r="L181" s="12" t="s">
        <v>745</v>
      </c>
      <c r="M181" s="13">
        <v>1200</v>
      </c>
      <c r="N181" s="14">
        <v>3.2</v>
      </c>
      <c r="O181" s="14">
        <v>1200</v>
      </c>
      <c r="P181" s="14" t="s">
        <v>16</v>
      </c>
      <c r="Q181" s="75">
        <v>40</v>
      </c>
      <c r="R181" s="11" t="s">
        <v>1000</v>
      </c>
      <c r="S181" s="12" t="s">
        <v>93</v>
      </c>
      <c r="T181" s="12" t="s">
        <v>141</v>
      </c>
      <c r="U181" s="12" t="s">
        <v>158</v>
      </c>
      <c r="V181" s="12" t="s">
        <v>275</v>
      </c>
      <c r="W181" s="23" t="s">
        <v>297</v>
      </c>
      <c r="X181" s="12" t="s">
        <v>280</v>
      </c>
      <c r="Y181" s="12" t="s">
        <v>37</v>
      </c>
      <c r="Z181" s="12" t="s">
        <v>37</v>
      </c>
      <c r="AB181" s="12" t="s">
        <v>37</v>
      </c>
      <c r="AE181" s="12" t="s">
        <v>37</v>
      </c>
      <c r="AH181" s="12" t="s">
        <v>37</v>
      </c>
      <c r="AK181" s="12" t="s">
        <v>37</v>
      </c>
      <c r="AL181" s="32" t="s">
        <v>891</v>
      </c>
      <c r="AM181" s="12" t="s">
        <v>317</v>
      </c>
      <c r="AN181" s="32" t="s">
        <v>880</v>
      </c>
      <c r="AO181" s="12" t="s">
        <v>29</v>
      </c>
      <c r="AP181" s="12" t="s">
        <v>108</v>
      </c>
      <c r="AQ181" s="12" t="s">
        <v>975</v>
      </c>
      <c r="AT181" s="12" t="s">
        <v>326</v>
      </c>
      <c r="AU181" s="12" t="s">
        <v>326</v>
      </c>
      <c r="AV181" s="13" t="s">
        <v>326</v>
      </c>
      <c r="AX181" s="12" t="s">
        <v>326</v>
      </c>
      <c r="AY181" s="12" t="s">
        <v>326</v>
      </c>
      <c r="AZ181" s="13" t="s">
        <v>326</v>
      </c>
      <c r="BE181" s="12" t="s">
        <v>326</v>
      </c>
      <c r="BF181" s="12" t="s">
        <v>326</v>
      </c>
      <c r="BG181" s="12" t="s">
        <v>326</v>
      </c>
      <c r="BI181" s="12" t="s">
        <v>326</v>
      </c>
      <c r="BJ181" s="12" t="s">
        <v>326</v>
      </c>
      <c r="BK181" s="12" t="s">
        <v>326</v>
      </c>
      <c r="BP181" s="12" t="s">
        <v>37</v>
      </c>
      <c r="BQ181" s="12" t="s">
        <v>37</v>
      </c>
      <c r="BR181" s="13" t="s">
        <v>37</v>
      </c>
      <c r="BT181" s="12" t="s">
        <v>37</v>
      </c>
      <c r="BU181" s="12" t="s">
        <v>37</v>
      </c>
      <c r="BV181" s="12" t="s">
        <v>37</v>
      </c>
      <c r="CA181" s="12" t="s">
        <v>37</v>
      </c>
      <c r="CB181" s="12" t="s">
        <v>37</v>
      </c>
      <c r="CC181" s="13" t="s">
        <v>37</v>
      </c>
      <c r="CE181" s="12" t="s">
        <v>37</v>
      </c>
      <c r="CF181" s="12" t="s">
        <v>37</v>
      </c>
      <c r="CG181" s="13" t="s">
        <v>37</v>
      </c>
      <c r="CN181" s="12" t="s">
        <v>37</v>
      </c>
      <c r="CO181" s="12" t="s">
        <v>37</v>
      </c>
      <c r="CP181" s="13" t="s">
        <v>37</v>
      </c>
      <c r="CR181" s="12" t="s">
        <v>37</v>
      </c>
      <c r="CS181" s="12" t="s">
        <v>37</v>
      </c>
      <c r="CT181" s="13" t="s">
        <v>37</v>
      </c>
      <c r="CX181" s="72"/>
      <c r="CY181" s="72"/>
      <c r="DA181" s="12" t="s">
        <v>37</v>
      </c>
      <c r="DB181" s="12" t="s">
        <v>37</v>
      </c>
      <c r="DC181" s="13" t="s">
        <v>37</v>
      </c>
      <c r="DE181" s="12" t="s">
        <v>37</v>
      </c>
      <c r="DF181" s="12" t="s">
        <v>37</v>
      </c>
      <c r="DG181" s="13" t="s">
        <v>37</v>
      </c>
      <c r="DM181" s="12" t="s">
        <v>47</v>
      </c>
      <c r="DN181" s="19">
        <f>9.93506493506493*16/12*10^4/10^3/'[1]classes-1'!$I$20</f>
        <v>159.57113524167664</v>
      </c>
      <c r="DO181" s="12">
        <f>SQRT((1/[2]Classes!$I$20)^2*(4.16901322578566*16/12*10^4/10^3)^2+(-DN181/([2]Classes!$I$20)^2)^2*([2]Classes!$J$20)^2)</f>
        <v>73.816751459863269</v>
      </c>
      <c r="DP181" s="13">
        <v>3</v>
      </c>
      <c r="DQ181" s="19">
        <f t="shared" si="707"/>
        <v>0.46259463748293167</v>
      </c>
      <c r="DR181" s="19">
        <f>4.02597402597403*16/12*10^4/10^3/'[1]classes-1'!$I$21</f>
        <v>15.757344850369346</v>
      </c>
      <c r="DS181" s="12">
        <f>SQRT((1/[2]Classes!$I$21)^2*(2.85714285714284*16/12*10^4/10^3)^2+(-DR181/([2]Classes!$I$21)^2)^2*([2]Classes!$J$21)^2)</f>
        <v>19.375072891550516</v>
      </c>
      <c r="DT181" s="13">
        <v>3</v>
      </c>
      <c r="DU181" s="19">
        <f t="shared" si="708"/>
        <v>1.2295899515771764</v>
      </c>
      <c r="DV181" s="19">
        <f t="shared" si="710"/>
        <v>-143.81379039130729</v>
      </c>
      <c r="DW181" s="12">
        <f t="shared" si="709"/>
        <v>53.964369011599324</v>
      </c>
      <c r="DX181" s="72">
        <f t="shared" si="641"/>
        <v>1941.435415213374</v>
      </c>
      <c r="DY181" s="72">
        <f t="shared" si="642"/>
        <v>1941.435415213374</v>
      </c>
      <c r="EA181" s="19" t="s">
        <v>37</v>
      </c>
      <c r="EB181" s="19" t="s">
        <v>37</v>
      </c>
      <c r="EC181" s="72" t="s">
        <v>37</v>
      </c>
      <c r="EE181" s="19" t="s">
        <v>37</v>
      </c>
      <c r="EF181" s="19" t="s">
        <v>37</v>
      </c>
      <c r="EG181" s="12" t="s">
        <v>37</v>
      </c>
      <c r="EM181" s="12" t="s">
        <v>39</v>
      </c>
      <c r="EN181" s="12">
        <f>AVERAGEA(-12.7,-4.4)</f>
        <v>-8.5500000000000007</v>
      </c>
      <c r="EO181" s="12">
        <f>SQRT(6.4^2+7.6^2)/2</f>
        <v>4.9678969393496883</v>
      </c>
      <c r="EP181" s="13">
        <v>3</v>
      </c>
      <c r="EQ181" s="19">
        <f t="shared" si="510"/>
        <v>0.58104057770171791</v>
      </c>
      <c r="ER181" s="12">
        <v>-16.2</v>
      </c>
      <c r="ES181" s="12">
        <v>8</v>
      </c>
      <c r="ET181" s="13">
        <v>3</v>
      </c>
      <c r="EU181" s="19">
        <f t="shared" si="511"/>
        <v>0.49382716049382719</v>
      </c>
      <c r="EV181" s="19">
        <f t="shared" si="701"/>
        <v>-7.6499999999999986</v>
      </c>
      <c r="EW181" s="12">
        <f t="shared" si="702"/>
        <v>6.6588287258345975</v>
      </c>
      <c r="EX181" s="19">
        <f t="shared" si="703"/>
        <v>29.560000000000002</v>
      </c>
      <c r="EY181" s="19">
        <f t="shared" si="704"/>
        <v>29.56</v>
      </c>
      <c r="FB181" s="12" t="s">
        <v>37</v>
      </c>
      <c r="FC181" s="12" t="s">
        <v>37</v>
      </c>
      <c r="FD181" s="11" t="s">
        <v>37</v>
      </c>
      <c r="FE181" s="12" t="s">
        <v>37</v>
      </c>
      <c r="FF181" s="20" t="s">
        <v>37</v>
      </c>
      <c r="FG181" s="11" t="s">
        <v>37</v>
      </c>
      <c r="FI181" s="12" t="s">
        <v>37</v>
      </c>
      <c r="FJ181" s="12" t="s">
        <v>37</v>
      </c>
      <c r="FK181" s="11" t="s">
        <v>37</v>
      </c>
      <c r="FL181" s="13" t="s">
        <v>37</v>
      </c>
      <c r="FM181" s="11" t="s">
        <v>37</v>
      </c>
      <c r="FN181" s="11" t="s">
        <v>37</v>
      </c>
      <c r="FP181" s="12" t="s">
        <v>37</v>
      </c>
      <c r="FQ181" s="12" t="s">
        <v>37</v>
      </c>
      <c r="FR181" s="11" t="s">
        <v>37</v>
      </c>
      <c r="FS181" s="13" t="s">
        <v>37</v>
      </c>
      <c r="FT181" s="11" t="s">
        <v>37</v>
      </c>
      <c r="FU181" s="11" t="s">
        <v>37</v>
      </c>
      <c r="FW181" s="12" t="s">
        <v>37</v>
      </c>
      <c r="FX181" s="12" t="s">
        <v>37</v>
      </c>
      <c r="FY181" s="11" t="s">
        <v>37</v>
      </c>
      <c r="FZ181" s="13" t="s">
        <v>37</v>
      </c>
      <c r="GA181" s="11" t="s">
        <v>37</v>
      </c>
      <c r="GB181" s="11" t="s">
        <v>37</v>
      </c>
      <c r="IK181" s="12" t="s">
        <v>37</v>
      </c>
      <c r="IL181" s="12" t="s">
        <v>37</v>
      </c>
      <c r="IM181" s="12" t="s">
        <v>37</v>
      </c>
      <c r="IO181" s="12" t="s">
        <v>37</v>
      </c>
      <c r="IP181" s="12" t="s">
        <v>37</v>
      </c>
      <c r="IQ181" s="12" t="s">
        <v>37</v>
      </c>
      <c r="IW181" s="12" t="s">
        <v>37</v>
      </c>
      <c r="IX181" s="12" t="s">
        <v>37</v>
      </c>
      <c r="IY181" s="13" t="s">
        <v>37</v>
      </c>
      <c r="JA181" s="12" t="s">
        <v>37</v>
      </c>
      <c r="JB181" s="12" t="s">
        <v>37</v>
      </c>
      <c r="JC181" s="13" t="s">
        <v>37</v>
      </c>
      <c r="JH181" s="12" t="s">
        <v>37</v>
      </c>
      <c r="JI181" s="12" t="s">
        <v>37</v>
      </c>
      <c r="JJ181" s="13" t="s">
        <v>37</v>
      </c>
      <c r="JL181" s="12" t="s">
        <v>37</v>
      </c>
      <c r="JM181" s="12" t="s">
        <v>37</v>
      </c>
      <c r="JN181" s="12" t="s">
        <v>37</v>
      </c>
      <c r="JS181" s="12" t="s">
        <v>37</v>
      </c>
      <c r="JT181" s="12" t="s">
        <v>37</v>
      </c>
      <c r="JU181" s="13" t="s">
        <v>37</v>
      </c>
      <c r="JW181" s="12" t="s">
        <v>37</v>
      </c>
      <c r="JX181" s="12" t="s">
        <v>37</v>
      </c>
      <c r="JY181" s="12" t="s">
        <v>37</v>
      </c>
      <c r="KE181" s="11" t="s">
        <v>37</v>
      </c>
      <c r="KF181" s="11" t="s">
        <v>37</v>
      </c>
      <c r="KG181" s="13" t="s">
        <v>37</v>
      </c>
      <c r="KH181" s="11" t="s">
        <v>37</v>
      </c>
      <c r="KI181" s="11" t="s">
        <v>37</v>
      </c>
      <c r="KJ181" s="11" t="s">
        <v>37</v>
      </c>
      <c r="KM181" s="12" t="s">
        <v>37</v>
      </c>
      <c r="KN181" s="12" t="s">
        <v>37</v>
      </c>
      <c r="KO181" s="11" t="s">
        <v>37</v>
      </c>
      <c r="KQ181" s="12" t="s">
        <v>37</v>
      </c>
      <c r="KR181" s="12" t="s">
        <v>37</v>
      </c>
      <c r="KS181" s="12" t="s">
        <v>37</v>
      </c>
      <c r="KX181" s="12" t="s">
        <v>37</v>
      </c>
      <c r="KY181" s="12" t="s">
        <v>37</v>
      </c>
      <c r="KZ181" s="13" t="s">
        <v>37</v>
      </c>
      <c r="LB181" s="12" t="s">
        <v>37</v>
      </c>
      <c r="LC181" s="12" t="s">
        <v>37</v>
      </c>
      <c r="LD181" s="13" t="s">
        <v>37</v>
      </c>
      <c r="LI181" s="12" t="s">
        <v>37</v>
      </c>
      <c r="LJ181" s="12" t="s">
        <v>37</v>
      </c>
      <c r="LK181" s="12" t="s">
        <v>37</v>
      </c>
      <c r="LM181" s="12" t="s">
        <v>37</v>
      </c>
      <c r="LN181" s="12" t="s">
        <v>37</v>
      </c>
      <c r="LO181" s="12" t="s">
        <v>37</v>
      </c>
      <c r="LU181" s="12" t="s">
        <v>37</v>
      </c>
      <c r="LV181" s="12" t="s">
        <v>37</v>
      </c>
      <c r="LW181" s="13" t="s">
        <v>37</v>
      </c>
      <c r="LY181" s="12" t="s">
        <v>37</v>
      </c>
      <c r="LZ181" s="12" t="s">
        <v>37</v>
      </c>
      <c r="MA181" s="12" t="s">
        <v>37</v>
      </c>
      <c r="MF181" s="12" t="s">
        <v>37</v>
      </c>
      <c r="MG181" s="12" t="s">
        <v>37</v>
      </c>
      <c r="MH181" s="12" t="s">
        <v>37</v>
      </c>
      <c r="MJ181" s="12" t="s">
        <v>37</v>
      </c>
      <c r="MK181" s="12" t="s">
        <v>37</v>
      </c>
      <c r="ML181" s="12" t="s">
        <v>37</v>
      </c>
      <c r="MQ181" s="12" t="s">
        <v>37</v>
      </c>
      <c r="MR181" s="12" t="s">
        <v>37</v>
      </c>
      <c r="MS181" s="12" t="s">
        <v>37</v>
      </c>
      <c r="MU181" s="12" t="s">
        <v>37</v>
      </c>
      <c r="MV181" s="12" t="s">
        <v>37</v>
      </c>
      <c r="MW181" s="12" t="s">
        <v>37</v>
      </c>
      <c r="NC181" s="12" t="s">
        <v>37</v>
      </c>
      <c r="ND181" s="12" t="s">
        <v>37</v>
      </c>
      <c r="NE181" s="12" t="s">
        <v>37</v>
      </c>
      <c r="NG181" s="12" t="s">
        <v>37</v>
      </c>
      <c r="NH181" s="12" t="s">
        <v>37</v>
      </c>
      <c r="NI181" s="12" t="s">
        <v>37</v>
      </c>
      <c r="NO181" s="12" t="s">
        <v>37</v>
      </c>
      <c r="NP181" s="12" t="s">
        <v>37</v>
      </c>
      <c r="NQ181" s="12" t="s">
        <v>37</v>
      </c>
      <c r="NS181" s="12" t="s">
        <v>37</v>
      </c>
      <c r="NT181" s="12" t="s">
        <v>37</v>
      </c>
      <c r="NU181" s="12" t="s">
        <v>37</v>
      </c>
      <c r="OA181" s="12" t="s">
        <v>37</v>
      </c>
      <c r="OB181" s="12" t="s">
        <v>37</v>
      </c>
      <c r="OC181" s="12" t="s">
        <v>37</v>
      </c>
      <c r="OD181" s="12"/>
      <c r="OE181" s="12" t="s">
        <v>37</v>
      </c>
      <c r="OF181" s="12" t="s">
        <v>37</v>
      </c>
      <c r="OG181" s="12" t="s">
        <v>37</v>
      </c>
      <c r="OH181" s="12"/>
      <c r="OI181" s="12"/>
      <c r="OJ181" s="12"/>
      <c r="OM181" s="12" t="s">
        <v>37</v>
      </c>
      <c r="ON181" s="12" t="s">
        <v>37</v>
      </c>
      <c r="OO181" s="12" t="s">
        <v>37</v>
      </c>
      <c r="OP181" s="12" t="s">
        <v>37</v>
      </c>
      <c r="OQ181" s="12" t="s">
        <v>37</v>
      </c>
      <c r="OR181" s="12" t="s">
        <v>37</v>
      </c>
      <c r="OS181" s="12"/>
      <c r="OT181" s="12"/>
      <c r="OW181" s="12" t="s">
        <v>37</v>
      </c>
      <c r="OX181" s="12" t="s">
        <v>37</v>
      </c>
      <c r="OY181" s="13" t="s">
        <v>37</v>
      </c>
      <c r="OZ181" s="12" t="s">
        <v>37</v>
      </c>
      <c r="PA181" s="12" t="s">
        <v>37</v>
      </c>
      <c r="PB181" s="13" t="s">
        <v>37</v>
      </c>
      <c r="PG181" s="11" t="s">
        <v>37</v>
      </c>
      <c r="PH181" s="11" t="s">
        <v>37</v>
      </c>
      <c r="PI181" s="13" t="s">
        <v>37</v>
      </c>
      <c r="PJ181" s="11" t="s">
        <v>37</v>
      </c>
      <c r="PK181" s="11" t="s">
        <v>37</v>
      </c>
      <c r="PL181" s="13" t="s">
        <v>37</v>
      </c>
      <c r="PQ181" s="12" t="s">
        <v>37</v>
      </c>
      <c r="PR181" s="12" t="s">
        <v>37</v>
      </c>
      <c r="PS181" s="12" t="s">
        <v>37</v>
      </c>
      <c r="PT181" s="12" t="s">
        <v>37</v>
      </c>
      <c r="PU181" s="12" t="s">
        <v>37</v>
      </c>
      <c r="PV181" s="12" t="s">
        <v>37</v>
      </c>
      <c r="PW181" s="12"/>
      <c r="PX181" s="12"/>
      <c r="PZ181" s="12" t="s">
        <v>37</v>
      </c>
      <c r="QA181" s="12" t="s">
        <v>37</v>
      </c>
      <c r="QB181" s="11" t="s">
        <v>37</v>
      </c>
      <c r="QD181" s="12" t="s">
        <v>37</v>
      </c>
      <c r="QE181" s="12" t="s">
        <v>37</v>
      </c>
      <c r="QF181" s="12" t="s">
        <v>37</v>
      </c>
      <c r="QK181" s="12" t="s">
        <v>37</v>
      </c>
      <c r="QL181" s="12" t="s">
        <v>37</v>
      </c>
      <c r="QM181" s="12" t="s">
        <v>37</v>
      </c>
      <c r="QN181" s="12" t="s">
        <v>37</v>
      </c>
      <c r="QO181" s="12" t="s">
        <v>37</v>
      </c>
      <c r="QP181" s="12" t="s">
        <v>37</v>
      </c>
      <c r="QQ181" s="12"/>
      <c r="QR181" s="12"/>
      <c r="QU181" s="12" t="s">
        <v>37</v>
      </c>
      <c r="QV181" s="12" t="s">
        <v>37</v>
      </c>
      <c r="QW181" s="12" t="s">
        <v>37</v>
      </c>
      <c r="QX181" s="12" t="s">
        <v>37</v>
      </c>
      <c r="QY181" s="12" t="s">
        <v>37</v>
      </c>
      <c r="QZ181" s="12" t="s">
        <v>37</v>
      </c>
      <c r="RC181" s="12" t="s">
        <v>37</v>
      </c>
      <c r="RD181" s="12" t="s">
        <v>37</v>
      </c>
      <c r="RE181" s="13" t="s">
        <v>37</v>
      </c>
      <c r="RF181" s="12" t="s">
        <v>37</v>
      </c>
      <c r="RG181" s="12" t="s">
        <v>37</v>
      </c>
      <c r="RH181" s="13" t="s">
        <v>37</v>
      </c>
      <c r="RK181" s="12" t="s">
        <v>37</v>
      </c>
      <c r="RL181" s="12" t="s">
        <v>37</v>
      </c>
      <c r="RM181" s="11" t="s">
        <v>37</v>
      </c>
      <c r="RN181" s="12" t="s">
        <v>37</v>
      </c>
      <c r="RO181" s="12" t="s">
        <v>37</v>
      </c>
      <c r="RP181" s="11" t="s">
        <v>37</v>
      </c>
      <c r="RS181" s="12" t="s">
        <v>37</v>
      </c>
      <c r="RT181" s="12" t="s">
        <v>37</v>
      </c>
      <c r="RU181" s="12" t="s">
        <v>37</v>
      </c>
      <c r="RV181" s="12" t="s">
        <v>37</v>
      </c>
      <c r="RW181" s="12" t="s">
        <v>37</v>
      </c>
      <c r="RX181" s="12" t="s">
        <v>37</v>
      </c>
      <c r="SA181" s="12" t="s">
        <v>37</v>
      </c>
      <c r="SB181" s="12" t="s">
        <v>37</v>
      </c>
      <c r="SC181" s="12" t="s">
        <v>37</v>
      </c>
      <c r="SD181" s="12" t="s">
        <v>37</v>
      </c>
      <c r="SE181" s="12" t="s">
        <v>37</v>
      </c>
      <c r="SF181" s="12" t="s">
        <v>37</v>
      </c>
      <c r="SI181" s="12" t="s">
        <v>37</v>
      </c>
      <c r="SJ181" s="12" t="s">
        <v>37</v>
      </c>
      <c r="SK181" s="13" t="s">
        <v>37</v>
      </c>
      <c r="SM181" s="12" t="s">
        <v>37</v>
      </c>
      <c r="SN181" s="12" t="s">
        <v>37</v>
      </c>
      <c r="SO181" s="13" t="s">
        <v>37</v>
      </c>
      <c r="SU181" s="12" t="s">
        <v>37</v>
      </c>
      <c r="SV181" s="12" t="s">
        <v>37</v>
      </c>
      <c r="SW181" s="11" t="s">
        <v>37</v>
      </c>
      <c r="SX181" s="12" t="s">
        <v>37</v>
      </c>
      <c r="SY181" s="12" t="s">
        <v>37</v>
      </c>
      <c r="SZ181" s="11" t="s">
        <v>37</v>
      </c>
      <c r="TE181" s="12" t="s">
        <v>37</v>
      </c>
      <c r="TF181" s="12" t="s">
        <v>37</v>
      </c>
      <c r="TG181" s="11" t="s">
        <v>37</v>
      </c>
      <c r="TH181" s="12" t="s">
        <v>37</v>
      </c>
      <c r="TI181" s="12" t="s">
        <v>37</v>
      </c>
      <c r="TJ181" s="11" t="s">
        <v>37</v>
      </c>
      <c r="TO181" s="12" t="s">
        <v>37</v>
      </c>
      <c r="TP181" s="12" t="s">
        <v>37</v>
      </c>
      <c r="TQ181" s="11" t="s">
        <v>37</v>
      </c>
      <c r="TR181" s="12" t="s">
        <v>37</v>
      </c>
      <c r="TS181" s="12" t="s">
        <v>37</v>
      </c>
      <c r="TT181" s="11" t="s">
        <v>37</v>
      </c>
      <c r="TY181" s="12" t="s">
        <v>37</v>
      </c>
      <c r="TZ181" s="12" t="s">
        <v>37</v>
      </c>
      <c r="UA181" s="12" t="s">
        <v>37</v>
      </c>
      <c r="UB181" s="12" t="s">
        <v>37</v>
      </c>
      <c r="UC181" s="12" t="s">
        <v>37</v>
      </c>
      <c r="UD181" s="12" t="s">
        <v>37</v>
      </c>
      <c r="UE181" s="12"/>
      <c r="UF181" s="12"/>
      <c r="UI181" s="12" t="s">
        <v>37</v>
      </c>
      <c r="UJ181" s="12" t="s">
        <v>37</v>
      </c>
      <c r="UK181" s="12" t="s">
        <v>37</v>
      </c>
      <c r="UL181" s="12" t="s">
        <v>37</v>
      </c>
      <c r="UM181" s="12" t="s">
        <v>37</v>
      </c>
      <c r="UN181" s="12" t="s">
        <v>37</v>
      </c>
      <c r="UO181" s="12"/>
      <c r="UP181" s="12"/>
      <c r="UR181" s="12" t="s">
        <v>37</v>
      </c>
      <c r="US181" s="12" t="s">
        <v>37</v>
      </c>
      <c r="UT181" s="12" t="s">
        <v>37</v>
      </c>
      <c r="UU181" s="12" t="s">
        <v>37</v>
      </c>
      <c r="UV181" s="12" t="s">
        <v>37</v>
      </c>
      <c r="UW181" s="12" t="s">
        <v>37</v>
      </c>
      <c r="UX181" s="12"/>
      <c r="UY181" s="12"/>
      <c r="VB181" s="12" t="s">
        <v>37</v>
      </c>
      <c r="VC181" s="12" t="s">
        <v>37</v>
      </c>
      <c r="VD181" s="12" t="s">
        <v>37</v>
      </c>
      <c r="VE181" s="12" t="s">
        <v>37</v>
      </c>
      <c r="VF181" s="12" t="s">
        <v>37</v>
      </c>
      <c r="VG181" s="12" t="s">
        <v>37</v>
      </c>
      <c r="VI181" s="12" t="s">
        <v>37</v>
      </c>
      <c r="VJ181" s="12" t="s">
        <v>37</v>
      </c>
      <c r="VK181" s="12" t="s">
        <v>37</v>
      </c>
      <c r="VL181" s="12" t="s">
        <v>37</v>
      </c>
      <c r="VM181" s="12" t="s">
        <v>37</v>
      </c>
      <c r="VN181" s="12" t="s">
        <v>37</v>
      </c>
      <c r="VQ181" s="13" t="s">
        <v>37</v>
      </c>
      <c r="VR181" s="13" t="s">
        <v>37</v>
      </c>
      <c r="VS181" s="13" t="s">
        <v>37</v>
      </c>
      <c r="VT181" s="13" t="s">
        <v>37</v>
      </c>
      <c r="VU181" s="13" t="s">
        <v>37</v>
      </c>
      <c r="VV181" s="13" t="s">
        <v>37</v>
      </c>
      <c r="WA181" s="13" t="s">
        <v>37</v>
      </c>
      <c r="WB181" s="13" t="s">
        <v>37</v>
      </c>
      <c r="WC181" s="13" t="s">
        <v>37</v>
      </c>
      <c r="WD181" s="13" t="s">
        <v>37</v>
      </c>
      <c r="WE181" s="13" t="s">
        <v>37</v>
      </c>
      <c r="WF181" s="13" t="s">
        <v>37</v>
      </c>
    </row>
    <row r="182" spans="1:604" ht="18" customHeight="1" x14ac:dyDescent="0.3">
      <c r="A182" s="11">
        <v>45</v>
      </c>
      <c r="B182" s="16" t="s">
        <v>272</v>
      </c>
      <c r="C182" s="12" t="s">
        <v>26</v>
      </c>
      <c r="D182" s="12" t="s">
        <v>1039</v>
      </c>
      <c r="E182" s="40" t="s">
        <v>37</v>
      </c>
      <c r="F182" s="14">
        <v>0</v>
      </c>
      <c r="G182" s="14">
        <v>0</v>
      </c>
      <c r="H182" s="12" t="s">
        <v>79</v>
      </c>
      <c r="I182" s="29">
        <v>33.917000000000002</v>
      </c>
      <c r="J182" s="29">
        <v>102.81699999999999</v>
      </c>
      <c r="K182" s="12" t="s">
        <v>746</v>
      </c>
      <c r="L182" s="12" t="s">
        <v>747</v>
      </c>
      <c r="M182" s="13">
        <v>3441</v>
      </c>
      <c r="N182" s="14">
        <v>0.9</v>
      </c>
      <c r="O182" s="14">
        <v>656.8</v>
      </c>
      <c r="P182" s="14" t="s">
        <v>16</v>
      </c>
      <c r="Q182" s="75">
        <v>43</v>
      </c>
      <c r="R182" s="11" t="s">
        <v>999</v>
      </c>
      <c r="S182" s="12" t="s">
        <v>923</v>
      </c>
      <c r="T182" s="12" t="s">
        <v>138</v>
      </c>
      <c r="U182" s="12" t="s">
        <v>163</v>
      </c>
      <c r="V182" s="12" t="s">
        <v>274</v>
      </c>
      <c r="W182" s="23" t="s">
        <v>224</v>
      </c>
      <c r="X182" s="12" t="s">
        <v>280</v>
      </c>
      <c r="Y182" s="12" t="s">
        <v>37</v>
      </c>
      <c r="Z182" s="12" t="s">
        <v>37</v>
      </c>
      <c r="AA182" s="32" t="s">
        <v>345</v>
      </c>
      <c r="AB182" s="12">
        <v>7.5</v>
      </c>
      <c r="AC182" s="12" t="s">
        <v>42</v>
      </c>
      <c r="AD182" s="32" t="s">
        <v>345</v>
      </c>
      <c r="AE182" s="12">
        <v>206.37</v>
      </c>
      <c r="AF182" s="12" t="s">
        <v>42</v>
      </c>
      <c r="AG182" s="32" t="s">
        <v>345</v>
      </c>
      <c r="AH182" s="12">
        <v>13.85</v>
      </c>
      <c r="AJ182" s="12" t="str">
        <f t="shared" ref="AJ182:AJ194" si="711">AD182</f>
        <v>0-10</v>
      </c>
      <c r="AK182" s="19">
        <f t="shared" ref="AK182:AK194" si="712">AE182/AH182</f>
        <v>14.900361010830325</v>
      </c>
      <c r="AL182" s="32" t="s">
        <v>545</v>
      </c>
      <c r="AM182" s="12" t="s">
        <v>317</v>
      </c>
      <c r="AN182" s="32" t="s">
        <v>880</v>
      </c>
      <c r="AO182" s="12" t="s">
        <v>37</v>
      </c>
      <c r="AP182" s="12" t="s">
        <v>108</v>
      </c>
      <c r="AQ182" s="12" t="s">
        <v>975</v>
      </c>
      <c r="AR182" s="12" t="s">
        <v>42</v>
      </c>
      <c r="AS182" s="32" t="s">
        <v>345</v>
      </c>
      <c r="AT182" s="12">
        <v>206.37</v>
      </c>
      <c r="AU182" s="12">
        <f>20.09*SQRT(3)</f>
        <v>34.796900724058744</v>
      </c>
      <c r="AV182" s="13">
        <v>3</v>
      </c>
      <c r="AW182" s="19">
        <f t="shared" ref="AW182:AW193" si="713">AU182/AT182</f>
        <v>0.16861414316062773</v>
      </c>
      <c r="AX182" s="12">
        <f>AVERAGEA(126.97,152.36,161.62)</f>
        <v>146.98333333333335</v>
      </c>
      <c r="AY182" s="12">
        <f>SQRT((7.51*SQRT(3))^2+(7.41*SQRT(3))^2+(16.58*SQRT(3))^2)/3</f>
        <v>11.346138843970957</v>
      </c>
      <c r="AZ182" s="13">
        <v>3</v>
      </c>
      <c r="BA182" s="19">
        <f t="shared" ref="BA182:BA193" si="714">AY182/AX182</f>
        <v>7.7193370068971243E-2</v>
      </c>
      <c r="BB182" s="52">
        <f t="shared" ref="BB182:BB193" si="715">LN(AX182/AT182)</f>
        <v>-0.33935147253995229</v>
      </c>
      <c r="BC182" s="19">
        <f t="shared" ref="BC182:BC193" si="716">AY182^2/(AZ182*AX182^2)+AU182^2/(AV182*AT182^2)</f>
        <v>1.1463181885465936E-2</v>
      </c>
      <c r="BD182" s="32" t="s">
        <v>422</v>
      </c>
      <c r="BE182" s="12">
        <v>212.08</v>
      </c>
      <c r="BF182" s="12">
        <f>30.22*SQRT(3)</f>
        <v>52.34257540473147</v>
      </c>
      <c r="BG182" s="13">
        <v>3</v>
      </c>
      <c r="BH182" s="19">
        <f>BF182/BE182</f>
        <v>0.24680580632181945</v>
      </c>
      <c r="BI182" s="12">
        <f>AVERAGEA(132.19, 152.09, 142.29)</f>
        <v>142.18999999999997</v>
      </c>
      <c r="BJ182" s="12">
        <f>SQRT((3.58*SQRT(3))^2+(5.28*SQRT(3))^2+(4.93*SQRT(3))^2)/3</f>
        <v>4.6547359395208083</v>
      </c>
      <c r="BK182" s="13">
        <v>3</v>
      </c>
      <c r="BL182" s="19">
        <f t="shared" ref="BL182:BL193" si="717">BJ182/BI182</f>
        <v>3.2736028831287782E-2</v>
      </c>
      <c r="BM182" s="52">
        <f t="shared" ref="BM182:BM193" si="718">LN(BI182/BE182)</f>
        <v>-0.39979937057248727</v>
      </c>
      <c r="BN182" s="19">
        <f t="shared" ref="BN182:BN193" si="719">BJ182^2/(BK182*BI182^2)+BF182^2/(BG182*BE182^2)</f>
        <v>2.0661584539268786E-2</v>
      </c>
      <c r="BO182" s="32" t="s">
        <v>423</v>
      </c>
      <c r="BP182" s="12">
        <v>212.71</v>
      </c>
      <c r="BQ182" s="12">
        <f>33.57*SQRT(3)</f>
        <v>58.144945610087206</v>
      </c>
      <c r="BR182" s="13">
        <v>3</v>
      </c>
      <c r="BS182" s="19">
        <f>BQ182/BP182</f>
        <v>0.27335313624224156</v>
      </c>
      <c r="BT182" s="12">
        <f>AVERAGEA(127.07, 162.11, 138.85)</f>
        <v>142.67666666666665</v>
      </c>
      <c r="BU182" s="12">
        <f>SQRT((7.96*SQRT(3))^2+(2.95*SQRT(3))^2+(9.63*SQRT(3))^2)/3</f>
        <v>7.411724945427121</v>
      </c>
      <c r="BV182" s="13">
        <v>3</v>
      </c>
      <c r="BW182" s="19">
        <f>BU182/BT182</f>
        <v>5.1947701881366645E-2</v>
      </c>
      <c r="BX182" s="52">
        <f t="shared" ref="BX182:BX193" si="720">LN(BT182/BP182)</f>
        <v>-0.3993487377603599</v>
      </c>
      <c r="BY182" s="19">
        <f t="shared" ref="BY182:BY193" si="721">BU182^2/(BV182*BT182^2)+BQ182^2/(BR182*BP182^2)</f>
        <v>2.5806833608074939E-2</v>
      </c>
      <c r="CA182" s="12" t="s">
        <v>37</v>
      </c>
      <c r="CB182" s="12" t="s">
        <v>37</v>
      </c>
      <c r="CC182" s="13" t="s">
        <v>37</v>
      </c>
      <c r="CE182" s="12" t="s">
        <v>37</v>
      </c>
      <c r="CF182" s="12" t="s">
        <v>37</v>
      </c>
      <c r="CG182" s="13" t="s">
        <v>37</v>
      </c>
      <c r="CN182" s="12" t="s">
        <v>37</v>
      </c>
      <c r="CO182" s="12" t="s">
        <v>37</v>
      </c>
      <c r="CP182" s="13" t="s">
        <v>37</v>
      </c>
      <c r="CR182" s="12" t="s">
        <v>37</v>
      </c>
      <c r="CS182" s="12" t="s">
        <v>37</v>
      </c>
      <c r="CT182" s="13" t="s">
        <v>37</v>
      </c>
      <c r="CX182" s="72"/>
      <c r="CY182" s="72"/>
      <c r="DA182" s="12" t="s">
        <v>37</v>
      </c>
      <c r="DB182" s="12" t="s">
        <v>37</v>
      </c>
      <c r="DC182" s="13" t="s">
        <v>37</v>
      </c>
      <c r="DE182" s="12" t="s">
        <v>37</v>
      </c>
      <c r="DF182" s="12" t="s">
        <v>37</v>
      </c>
      <c r="DG182" s="13" t="s">
        <v>37</v>
      </c>
      <c r="DM182" s="11" t="s">
        <v>47</v>
      </c>
      <c r="DN182" s="19">
        <f>33.7*("2013/09/30"-"2013/05/01")*10^4*24/10^6/'[1]classes-1'!$I$46</f>
        <v>1413.9420186433458</v>
      </c>
      <c r="DO182" s="12">
        <f>SQRT((1/[2]Classes!$I$46)^2*(5.36*SQRT(3)*("2013/09/30"-"2013/05/01")*10^4*24/10^6)^2+(-DN182/([2]Classes!$I$46)^2)^2*([2]Classes!$J$46)^2)</f>
        <v>520.26850212340003</v>
      </c>
      <c r="DP182" s="13">
        <v>3</v>
      </c>
      <c r="DQ182" s="19">
        <f t="shared" si="707"/>
        <v>0.36795603727979531</v>
      </c>
      <c r="DR182" s="19">
        <f>AVERAGEA(0.13,0.12,0.17)*("2013/09/30"-"2013/05/01")*10^4*24/10^6/'[1]classes-1'!$I$47</f>
        <v>5.2453106713176574</v>
      </c>
      <c r="DS182" s="12">
        <f>SQRT((1/[2]Classes!$I$47)^2*(SQRT((0.03*SQRT(3))^2+(0.02*SQRT(3))^2+(0.04*SQRT(3))^2)/3*("2013/10/27"-"2013/06/04")*10^4*24/10^6)^2+(-DR182/([2]Classes!$I$47)^2)^2*([2]Classes!$J$47)^2)</f>
        <v>10.686883582340696</v>
      </c>
      <c r="DT182" s="13">
        <v>3</v>
      </c>
      <c r="DU182" s="19">
        <f t="shared" si="708"/>
        <v>2.0374167045583365</v>
      </c>
      <c r="DV182" s="19">
        <f t="shared" si="710"/>
        <v>-1408.6967079720282</v>
      </c>
      <c r="DW182" s="12">
        <f t="shared" si="709"/>
        <v>367.96298983894349</v>
      </c>
      <c r="DX182" s="72">
        <f t="shared" si="641"/>
        <v>90264.507927476268</v>
      </c>
      <c r="DY182" s="72">
        <f t="shared" si="642"/>
        <v>90264.507927476254</v>
      </c>
      <c r="EA182" s="19" t="s">
        <v>37</v>
      </c>
      <c r="EB182" s="19" t="s">
        <v>37</v>
      </c>
      <c r="EC182" s="72" t="s">
        <v>37</v>
      </c>
      <c r="EE182" s="19" t="s">
        <v>37</v>
      </c>
      <c r="EF182" s="19" t="s">
        <v>37</v>
      </c>
      <c r="EG182" s="12" t="s">
        <v>37</v>
      </c>
      <c r="EM182" s="12" t="s">
        <v>39</v>
      </c>
      <c r="EN182" s="12">
        <f>AVERAGEA(10.23,10.94,10.37)</f>
        <v>10.513333333333334</v>
      </c>
      <c r="EO182" s="12">
        <f>SQRT((1.01*SQRT(3))^2+(1.01*SQRT(3))^2+(1.09*SQRT(3))^2)/3</f>
        <v>1.0373523991392701</v>
      </c>
      <c r="EP182" s="13">
        <v>3</v>
      </c>
      <c r="EQ182" s="19">
        <f t="shared" si="510"/>
        <v>9.8670171129290121E-2</v>
      </c>
      <c r="ER182" s="12">
        <f>AVERAGEA(-91.63, -87.6, -88.66)</f>
        <v>-89.296666666666667</v>
      </c>
      <c r="ES182" s="12">
        <f>SQRT((4.5*SQRT(3))^2+(6.25*SQRT(3))^2+(3.76*SQRT(3))^2)/3</f>
        <v>4.948066962629615</v>
      </c>
      <c r="ET182" s="13">
        <v>3</v>
      </c>
      <c r="EU182" s="19">
        <f t="shared" si="511"/>
        <v>5.5411552830971086E-2</v>
      </c>
      <c r="EV182" s="19">
        <f t="shared" si="701"/>
        <v>-99.81</v>
      </c>
      <c r="EW182" s="12">
        <f t="shared" si="702"/>
        <v>3.5748752892000768</v>
      </c>
      <c r="EX182" s="19">
        <f t="shared" si="703"/>
        <v>8.5198222222222206</v>
      </c>
      <c r="EY182" s="19">
        <f t="shared" si="704"/>
        <v>8.5198222222222224</v>
      </c>
      <c r="FB182" s="12" t="s">
        <v>37</v>
      </c>
      <c r="FC182" s="12" t="s">
        <v>37</v>
      </c>
      <c r="FD182" s="11" t="s">
        <v>37</v>
      </c>
      <c r="FE182" s="12" t="s">
        <v>37</v>
      </c>
      <c r="FF182" s="20" t="s">
        <v>37</v>
      </c>
      <c r="FG182" s="11" t="s">
        <v>37</v>
      </c>
      <c r="FI182" s="12" t="s">
        <v>37</v>
      </c>
      <c r="FJ182" s="12" t="s">
        <v>37</v>
      </c>
      <c r="FK182" s="11" t="s">
        <v>37</v>
      </c>
      <c r="FL182" s="13" t="s">
        <v>37</v>
      </c>
      <c r="FM182" s="11" t="s">
        <v>37</v>
      </c>
      <c r="FN182" s="11" t="s">
        <v>37</v>
      </c>
      <c r="FP182" s="12" t="s">
        <v>37</v>
      </c>
      <c r="FQ182" s="12" t="s">
        <v>37</v>
      </c>
      <c r="FR182" s="11" t="s">
        <v>37</v>
      </c>
      <c r="FS182" s="13" t="s">
        <v>37</v>
      </c>
      <c r="FT182" s="11" t="s">
        <v>37</v>
      </c>
      <c r="FU182" s="11" t="s">
        <v>37</v>
      </c>
      <c r="FW182" s="12" t="s">
        <v>37</v>
      </c>
      <c r="FX182" s="12" t="s">
        <v>37</v>
      </c>
      <c r="FY182" s="11" t="s">
        <v>37</v>
      </c>
      <c r="FZ182" s="13" t="s">
        <v>37</v>
      </c>
      <c r="GA182" s="11" t="s">
        <v>37</v>
      </c>
      <c r="GB182" s="11" t="s">
        <v>37</v>
      </c>
      <c r="GO182" s="12" t="s">
        <v>660</v>
      </c>
      <c r="GP182" s="12" t="s">
        <v>327</v>
      </c>
      <c r="GQ182" s="12">
        <v>10.790273556231</v>
      </c>
      <c r="GR182" s="12">
        <v>1.1210938604478957</v>
      </c>
      <c r="GS182" s="13">
        <v>3</v>
      </c>
      <c r="GT182" s="19">
        <f t="shared" ref="GT182:GT193" si="722">GR182/GQ182</f>
        <v>0.1038985577710867</v>
      </c>
      <c r="GU182" s="12">
        <f>AVERAGEA(10.23,10.94,10.37)</f>
        <v>10.513333333333334</v>
      </c>
      <c r="GV182" s="12">
        <f>SQRT((1.01*SQRT(3))^2+(1.01*SQRT(3))^2+(1.09*SQRT(3))^2)/3</f>
        <v>1.0373523991392701</v>
      </c>
      <c r="GW182" s="13">
        <v>3</v>
      </c>
      <c r="GX182" s="19">
        <f t="shared" ref="GX182:GX193" si="723">GV182/GU182</f>
        <v>9.8670171129290121E-2</v>
      </c>
      <c r="GY182" s="19">
        <f t="shared" ref="GY182:GY193" si="724">LN(GU182/GQ182)</f>
        <v>-2.600083883730667E-2</v>
      </c>
      <c r="GZ182" s="19">
        <f t="shared" ref="GZ182:GZ193" si="725">GV182^2/(GW182*GU182^2)+GR182^2/(GS182*GQ182^2)</f>
        <v>6.8435709925317462E-3</v>
      </c>
      <c r="HA182" s="17" t="s">
        <v>63</v>
      </c>
      <c r="HB182" s="34" t="s">
        <v>345</v>
      </c>
      <c r="HC182" s="12">
        <v>0.31</v>
      </c>
      <c r="HD182" s="12">
        <f>0.04*SQRT(3)</f>
        <v>6.9282032302755092E-2</v>
      </c>
      <c r="HE182" s="13">
        <v>3</v>
      </c>
      <c r="HF182" s="19">
        <f t="shared" ref="HF182:HF193" si="726">HD182/HC182</f>
        <v>0.22349042678308095</v>
      </c>
      <c r="HG182" s="12">
        <f>AVERAGEA(0.57,0.49,0.44)</f>
        <v>0.5</v>
      </c>
      <c r="HH182" s="12">
        <f>SQRT((0.01*SQRT(3))^2+(0.02*SQRT(3))^2+(0.03*SQRT(3))^2)/3</f>
        <v>2.1602468994692866E-2</v>
      </c>
      <c r="HI182" s="13">
        <v>3</v>
      </c>
      <c r="HJ182" s="19">
        <f t="shared" ref="HJ182:HJ193" si="727">HH182/HG182</f>
        <v>4.3204937989385732E-2</v>
      </c>
      <c r="HK182" s="19">
        <f t="shared" ref="HK182:HK193" si="728">LN(HG182/HC182)</f>
        <v>0.47803580094299991</v>
      </c>
      <c r="HL182" s="19">
        <f t="shared" ref="HL182:HL193" si="729">HH182^2/(HI182*HG182^2)+HD182^2/(HE182*HC182^2)</f>
        <v>1.7271545843450111E-2</v>
      </c>
      <c r="HM182" s="34" t="s">
        <v>422</v>
      </c>
      <c r="HN182" s="12">
        <v>0.28000000000000003</v>
      </c>
      <c r="HO182" s="12">
        <f>0.05*SQRT(3)</f>
        <v>8.6602540378443865E-2</v>
      </c>
      <c r="HP182" s="13">
        <v>3</v>
      </c>
      <c r="HQ182" s="19">
        <f t="shared" ref="HQ182:HQ193" si="730">HO182/HN182</f>
        <v>0.30929478706587094</v>
      </c>
      <c r="HR182" s="12">
        <f>AVERAGEA(0.57,0.49,0.49)</f>
        <v>0.51666666666666672</v>
      </c>
      <c r="HS182" s="12">
        <f>SQRT((0.03*SQRT(3))^2+(0.02*SQRT(3))^2+(0.02*SQRT(3))^2)/3</f>
        <v>2.3804761428476165E-2</v>
      </c>
      <c r="HT182" s="13">
        <v>3</v>
      </c>
      <c r="HU182" s="19">
        <f t="shared" ref="HU182:HU193" si="731">HS182/HR182</f>
        <v>4.607373179705064E-2</v>
      </c>
      <c r="HV182" s="19">
        <f t="shared" ref="HV182:HV193" si="732">LN(HR182/HN182)</f>
        <v>0.61260831807593308</v>
      </c>
      <c r="HW182" s="19">
        <f t="shared" ref="HW182:HW193" si="733">HS182^2/(HT182*HR182^2)+HO182^2/(HP182*HN182^2)</f>
        <v>3.2595351355942992E-2</v>
      </c>
      <c r="HX182" s="34" t="s">
        <v>423</v>
      </c>
      <c r="HY182" s="12">
        <v>0.28000000000000003</v>
      </c>
      <c r="HZ182" s="12">
        <v>7.0000000000000007E-2</v>
      </c>
      <c r="IA182" s="13">
        <v>3</v>
      </c>
      <c r="IB182" s="19">
        <f t="shared" ref="IB182:IB193" si="734">HZ182/HY182</f>
        <v>0.25</v>
      </c>
      <c r="IC182" s="12">
        <f>AVERAGEA(0.63,0.52,0.54)</f>
        <v>0.56333333333333335</v>
      </c>
      <c r="ID182" s="12">
        <f>SQRT((0.02*SQRT(3))^2+(0.01*SQRT(3))^2+(0.04*SQRT(3))^2)/3</f>
        <v>2.6457513110645908E-2</v>
      </c>
      <c r="IE182" s="13">
        <v>3</v>
      </c>
      <c r="IF182" s="19">
        <f t="shared" ref="IF182:IF193" si="735">ID182/IC182</f>
        <v>4.6965999604696877E-2</v>
      </c>
      <c r="IG182" s="19">
        <f t="shared" ref="IG182:IG193" si="736">LN(IC182/HY182)</f>
        <v>0.69908191607975989</v>
      </c>
      <c r="IH182" s="19">
        <f t="shared" ref="IH182:IH193" si="737">ID182^2/(IE182*IC182^2)+HZ182^2/(IA182*HY182^2)</f>
        <v>2.1568601706289464E-2</v>
      </c>
      <c r="IK182" s="12" t="s">
        <v>37</v>
      </c>
      <c r="IL182" s="12" t="s">
        <v>37</v>
      </c>
      <c r="IM182" s="12" t="s">
        <v>37</v>
      </c>
      <c r="IO182" s="12" t="s">
        <v>37</v>
      </c>
      <c r="IP182" s="12" t="s">
        <v>37</v>
      </c>
      <c r="IQ182" s="12" t="s">
        <v>37</v>
      </c>
      <c r="IV182" s="32" t="s">
        <v>345</v>
      </c>
      <c r="IW182" s="12">
        <v>7.5</v>
      </c>
      <c r="IX182" s="50">
        <f t="shared" ref="IX182:IX194" si="738">ABS(IW182)*IZ$474</f>
        <v>0.27459556971017351</v>
      </c>
      <c r="IY182" s="13">
        <v>3</v>
      </c>
      <c r="JA182" s="12">
        <f>AVERAGEA(7.9,7.7,7.5)</f>
        <v>7.7</v>
      </c>
      <c r="JB182" s="50">
        <f t="shared" ref="JB182:JB193" si="739">ABS(JA182)*JD$474</f>
        <v>0.21566782764991124</v>
      </c>
      <c r="JC182" s="13">
        <v>3</v>
      </c>
      <c r="JE182" s="19">
        <f t="shared" ref="JE182:JE193" si="740">LN(JA182/IW182)</f>
        <v>2.6317308317373358E-2</v>
      </c>
      <c r="JF182" s="19">
        <f t="shared" ref="JF182:JF193" si="741">JB182^2/(JC182*JA182^2)+IX182^2/(IY182*IW182^2)</f>
        <v>7.083287641133075E-4</v>
      </c>
      <c r="JH182" s="12" t="s">
        <v>37</v>
      </c>
      <c r="JI182" s="12" t="s">
        <v>37</v>
      </c>
      <c r="JJ182" s="13" t="s">
        <v>37</v>
      </c>
      <c r="JL182" s="12" t="s">
        <v>37</v>
      </c>
      <c r="JM182" s="12" t="s">
        <v>37</v>
      </c>
      <c r="JN182" s="12" t="s">
        <v>37</v>
      </c>
      <c r="JS182" s="12" t="s">
        <v>37</v>
      </c>
      <c r="JT182" s="12" t="s">
        <v>37</v>
      </c>
      <c r="JU182" s="13" t="s">
        <v>37</v>
      </c>
      <c r="JW182" s="12" t="s">
        <v>37</v>
      </c>
      <c r="JX182" s="12" t="s">
        <v>37</v>
      </c>
      <c r="JY182" s="12" t="s">
        <v>37</v>
      </c>
      <c r="KE182" s="11" t="s">
        <v>37</v>
      </c>
      <c r="KF182" s="11" t="s">
        <v>37</v>
      </c>
      <c r="KG182" s="13" t="s">
        <v>37</v>
      </c>
      <c r="KH182" s="11" t="s">
        <v>37</v>
      </c>
      <c r="KI182" s="11" t="s">
        <v>37</v>
      </c>
      <c r="KJ182" s="11" t="s">
        <v>37</v>
      </c>
      <c r="KK182" s="12" t="s">
        <v>42</v>
      </c>
      <c r="KL182" s="32" t="s">
        <v>345</v>
      </c>
      <c r="KM182" s="12">
        <v>13.85</v>
      </c>
      <c r="KN182" s="50">
        <f t="shared" ref="KN182:KN194" si="742">ABS(KM182)*KP$474</f>
        <v>1.6522086231803037</v>
      </c>
      <c r="KO182" s="13">
        <v>3</v>
      </c>
      <c r="KQ182" s="12">
        <f>AVERAGEA(13.2,12.5,13.58)</f>
        <v>13.093333333333334</v>
      </c>
      <c r="KR182" s="50">
        <f t="shared" ref="KR182:KR193" si="743">ABS(KQ182)*KT$474</f>
        <v>1.3806059790080172</v>
      </c>
      <c r="KS182" s="13">
        <v>3</v>
      </c>
      <c r="KU182" s="19">
        <f t="shared" ref="KU182:KU193" si="744">LN(KQ182/KM182)</f>
        <v>-5.6182037815192022E-2</v>
      </c>
      <c r="KV182" s="19">
        <f t="shared" ref="KV182:KV193" si="745">KR182^2/(KS182*KQ182^2)+KN182^2/(KO182*KM182^2)</f>
        <v>8.4497155628593251E-3</v>
      </c>
      <c r="KW182" s="32" t="s">
        <v>422</v>
      </c>
      <c r="KX182" s="12">
        <v>12.78</v>
      </c>
      <c r="KY182" s="50">
        <f t="shared" ref="KY182:KY194" si="746">ABS(KX182)*LA$474</f>
        <v>0.94263258508549785</v>
      </c>
      <c r="KZ182" s="13">
        <v>3</v>
      </c>
      <c r="LB182" s="12">
        <f>AVERAGEA(9.39, 10.43, 11.44)</f>
        <v>10.42</v>
      </c>
      <c r="LC182" s="50">
        <f t="shared" ref="LC182:LC193" si="747">ABS(LB182)*LE$474</f>
        <v>1.2021689232752755</v>
      </c>
      <c r="LD182" s="13">
        <v>3</v>
      </c>
      <c r="LF182" s="19">
        <f t="shared" ref="LF182:LF193" si="748">LN(LB182/KX182)</f>
        <v>-0.20415441262416789</v>
      </c>
      <c r="LG182" s="19">
        <f t="shared" ref="LG182:LG193" si="749">LC182^2/(LD182*LB182^2)+KY182^2/(KZ182*KX182^2)</f>
        <v>6.2502802071617812E-3</v>
      </c>
      <c r="LH182" s="32" t="s">
        <v>423</v>
      </c>
      <c r="LI182" s="12">
        <v>14.47</v>
      </c>
      <c r="LJ182" s="50">
        <f t="shared" ref="LJ182:LJ194" si="750">ABS(LI182)*LL$474</f>
        <v>5.9091095965864069</v>
      </c>
      <c r="LK182" s="13">
        <v>3</v>
      </c>
      <c r="LM182" s="12">
        <f>AVERAGEA(8.07, 10.36, 9.29)</f>
        <v>9.24</v>
      </c>
      <c r="LN182" s="50">
        <f t="shared" ref="LN182:LN193" si="751">ABS(LM182)*LP$474</f>
        <v>2.6129223611324779</v>
      </c>
      <c r="LO182" s="13">
        <v>3</v>
      </c>
      <c r="LQ182" s="19">
        <f t="shared" ref="LQ182:LQ193" si="752">LN(LM182/LI182)</f>
        <v>-0.44853565498979975</v>
      </c>
      <c r="LR182" s="19">
        <f t="shared" ref="LR182:LR193" si="753">LN182^2/(LO182*LM182^2)+LJ182^2/(LK182*LI182^2)</f>
        <v>8.2244164849791454E-2</v>
      </c>
      <c r="LT182" s="12" t="str">
        <f t="shared" ref="LT182:LT194" si="754">KL182</f>
        <v>0-10</v>
      </c>
      <c r="LU182" s="12">
        <f t="shared" ref="LU182:LU194" si="755">AT182/KM182</f>
        <v>14.900361010830325</v>
      </c>
      <c r="LV182" s="12">
        <f t="shared" ref="LV182:LV194" si="756">SQRT((1/KM182)^2*AU182^2+AT182^2*(-1/KM182^2)^2*KN182^2)</f>
        <v>3.0776211067466939</v>
      </c>
      <c r="LW182" s="13">
        <f t="shared" ref="LW182:LW194" si="757">KO182</f>
        <v>3</v>
      </c>
      <c r="LY182" s="12">
        <f t="shared" ref="LY182:LY193" si="758">AX182/KQ182</f>
        <v>11.225814663951121</v>
      </c>
      <c r="LZ182" s="12">
        <f t="shared" ref="LZ182:LZ193" si="759">SQRT((1/KQ182)^2*AY182^2+AX182^2*(-1/KQ182^2)^2*KR182^2)</f>
        <v>1.4669839173067531</v>
      </c>
      <c r="MA182" s="13">
        <f t="shared" ref="MA182:MA193" si="760">KS182</f>
        <v>3</v>
      </c>
      <c r="MC182" s="19">
        <f t="shared" ref="MC182:MC193" si="761">LN(LY182/LU182)</f>
        <v>-0.28316943472476014</v>
      </c>
      <c r="MD182" s="19">
        <f t="shared" ref="MD182:MD193" si="762">LZ182^2/(MA182*LY182^2)+LV182^2/(LW182*LU182^2)</f>
        <v>1.9912897448325258E-2</v>
      </c>
      <c r="ME182" s="12" t="str">
        <f t="shared" ref="ME182:ME194" si="763">KW182</f>
        <v>10-20</v>
      </c>
      <c r="MF182" s="12">
        <f t="shared" ref="MF182:MF194" si="764">BE182/KX182</f>
        <v>16.594679186228483</v>
      </c>
      <c r="MG182" s="12">
        <f t="shared" ref="MG182:MG194" si="765">SQRT((1/KX182)^2*BF182^2+BE182^2*(-1/KX182^2)^2*KY182^2)</f>
        <v>4.2746492513480874</v>
      </c>
      <c r="MH182" s="13">
        <f t="shared" ref="MH182:MH194" si="766">KZ182</f>
        <v>3</v>
      </c>
      <c r="MJ182" s="12">
        <f t="shared" ref="MJ182:MJ193" si="767">BI182/LB182</f>
        <v>13.645873320537426</v>
      </c>
      <c r="MK182" s="12">
        <f t="shared" ref="MK182:MK193" si="768">SQRT((1/LB182)^2*BJ182^2+BI182^2*(-1/LB182^2)^2*LC182^2)</f>
        <v>1.6364915031081246</v>
      </c>
      <c r="ML182" s="13">
        <f t="shared" ref="ML182:ML193" si="769">LD182</f>
        <v>3</v>
      </c>
      <c r="MN182" s="19">
        <f t="shared" ref="MN182:MN193" si="770">LN(MJ182/MF182)</f>
        <v>-0.19564495794831932</v>
      </c>
      <c r="MO182" s="19">
        <f t="shared" ref="MO182:MO193" si="771">MK182^2/(ML182*MJ182^2)+MG182^2/(MH182*MF182^2)</f>
        <v>2.6911864746430567E-2</v>
      </c>
      <c r="MP182" s="12" t="str">
        <f t="shared" ref="MP182:MP194" si="772">LH182</f>
        <v>20-30</v>
      </c>
      <c r="MQ182" s="12">
        <f t="shared" ref="MQ182:MQ194" si="773">BP182/LI182</f>
        <v>14.700069108500346</v>
      </c>
      <c r="MR182" s="12">
        <f t="shared" ref="MR182:MR194" si="774">SQRT((1/LI182)^2*BQ182^2+BP182^2*(-1/LI182^2)^2*LJ182^2)</f>
        <v>7.2238202349748137</v>
      </c>
      <c r="MS182" s="13">
        <f t="shared" ref="MS182:MS194" si="775">LK182</f>
        <v>3</v>
      </c>
      <c r="MU182" s="12">
        <f t="shared" ref="MU182:MU194" si="776">BT182/LM182</f>
        <v>15.441197691197688</v>
      </c>
      <c r="MV182" s="12">
        <f t="shared" ref="MV182:MV194" si="777">SQRT((1/LM182)^2*BU182^2+BT182^2*(-1/LM182^2)^2*LN182^2)</f>
        <v>4.4395858643684845</v>
      </c>
      <c r="MW182" s="13">
        <f t="shared" ref="MW182:MW194" si="778">LO182</f>
        <v>3</v>
      </c>
      <c r="MY182" s="19">
        <f t="shared" ref="MY182:MY192" si="779">LN(MU182/MQ182)</f>
        <v>4.9186917229439714E-2</v>
      </c>
      <c r="MZ182" s="19">
        <f t="shared" ref="MZ182:MZ193" si="780">MV182^2/(MW182*MU182^2)+MR182^2/(MS182*MQ182^2)</f>
        <v>0.10805099845786641</v>
      </c>
      <c r="NC182" s="12" t="s">
        <v>37</v>
      </c>
      <c r="ND182" s="12" t="s">
        <v>37</v>
      </c>
      <c r="NE182" s="12" t="s">
        <v>37</v>
      </c>
      <c r="NG182" s="12" t="s">
        <v>37</v>
      </c>
      <c r="NH182" s="12" t="s">
        <v>37</v>
      </c>
      <c r="NI182" s="12" t="s">
        <v>37</v>
      </c>
      <c r="NO182" s="12" t="s">
        <v>37</v>
      </c>
      <c r="NP182" s="12" t="s">
        <v>37</v>
      </c>
      <c r="NQ182" s="12" t="s">
        <v>37</v>
      </c>
      <c r="NS182" s="12" t="s">
        <v>37</v>
      </c>
      <c r="NT182" s="12" t="s">
        <v>37</v>
      </c>
      <c r="NU182" s="12" t="s">
        <v>37</v>
      </c>
      <c r="OA182" s="12" t="s">
        <v>37</v>
      </c>
      <c r="OB182" s="12" t="s">
        <v>37</v>
      </c>
      <c r="OC182" s="12" t="s">
        <v>37</v>
      </c>
      <c r="OD182" s="12"/>
      <c r="OE182" s="12" t="s">
        <v>37</v>
      </c>
      <c r="OF182" s="12" t="s">
        <v>37</v>
      </c>
      <c r="OG182" s="12" t="s">
        <v>37</v>
      </c>
      <c r="OH182" s="12"/>
      <c r="OI182" s="12"/>
      <c r="OJ182" s="12"/>
      <c r="OM182" s="12" t="s">
        <v>37</v>
      </c>
      <c r="ON182" s="12" t="s">
        <v>37</v>
      </c>
      <c r="OO182" s="12" t="s">
        <v>37</v>
      </c>
      <c r="OP182" s="12" t="s">
        <v>37</v>
      </c>
      <c r="OQ182" s="12" t="s">
        <v>37</v>
      </c>
      <c r="OR182" s="12" t="s">
        <v>37</v>
      </c>
      <c r="OS182" s="12"/>
      <c r="OT182" s="12"/>
      <c r="OW182" s="12" t="s">
        <v>37</v>
      </c>
      <c r="OX182" s="12" t="s">
        <v>37</v>
      </c>
      <c r="OY182" s="13" t="s">
        <v>37</v>
      </c>
      <c r="OZ182" s="12" t="s">
        <v>37</v>
      </c>
      <c r="PA182" s="12" t="s">
        <v>37</v>
      </c>
      <c r="PB182" s="13" t="s">
        <v>37</v>
      </c>
      <c r="PG182" s="11" t="s">
        <v>37</v>
      </c>
      <c r="PH182" s="11" t="s">
        <v>37</v>
      </c>
      <c r="PI182" s="13" t="s">
        <v>37</v>
      </c>
      <c r="PJ182" s="11" t="s">
        <v>37</v>
      </c>
      <c r="PK182" s="11" t="s">
        <v>37</v>
      </c>
      <c r="PL182" s="13" t="s">
        <v>37</v>
      </c>
      <c r="PQ182" s="12" t="s">
        <v>37</v>
      </c>
      <c r="PR182" s="12" t="s">
        <v>37</v>
      </c>
      <c r="PS182" s="12" t="s">
        <v>37</v>
      </c>
      <c r="PT182" s="12" t="s">
        <v>37</v>
      </c>
      <c r="PU182" s="12" t="s">
        <v>37</v>
      </c>
      <c r="PV182" s="12" t="s">
        <v>37</v>
      </c>
      <c r="PW182" s="12"/>
      <c r="PX182" s="12"/>
      <c r="PZ182" s="12" t="s">
        <v>37</v>
      </c>
      <c r="QA182" s="12" t="s">
        <v>37</v>
      </c>
      <c r="QB182" s="11" t="s">
        <v>37</v>
      </c>
      <c r="QD182" s="12" t="s">
        <v>37</v>
      </c>
      <c r="QE182" s="12" t="s">
        <v>37</v>
      </c>
      <c r="QF182" s="12" t="s">
        <v>37</v>
      </c>
      <c r="QK182" s="12" t="s">
        <v>37</v>
      </c>
      <c r="QL182" s="12" t="s">
        <v>37</v>
      </c>
      <c r="QM182" s="12" t="s">
        <v>37</v>
      </c>
      <c r="QN182" s="12" t="s">
        <v>37</v>
      </c>
      <c r="QO182" s="12" t="s">
        <v>37</v>
      </c>
      <c r="QP182" s="12" t="s">
        <v>37</v>
      </c>
      <c r="QQ182" s="12"/>
      <c r="QR182" s="12"/>
      <c r="QU182" s="12" t="s">
        <v>37</v>
      </c>
      <c r="QV182" s="12" t="s">
        <v>37</v>
      </c>
      <c r="QW182" s="12" t="s">
        <v>37</v>
      </c>
      <c r="QX182" s="12" t="s">
        <v>37</v>
      </c>
      <c r="QY182" s="12" t="s">
        <v>37</v>
      </c>
      <c r="QZ182" s="12" t="s">
        <v>37</v>
      </c>
      <c r="RC182" s="12" t="s">
        <v>37</v>
      </c>
      <c r="RD182" s="12" t="s">
        <v>37</v>
      </c>
      <c r="RE182" s="13" t="s">
        <v>37</v>
      </c>
      <c r="RF182" s="12" t="s">
        <v>37</v>
      </c>
      <c r="RG182" s="12" t="s">
        <v>37</v>
      </c>
      <c r="RH182" s="13" t="s">
        <v>37</v>
      </c>
      <c r="RK182" s="12" t="s">
        <v>37</v>
      </c>
      <c r="RL182" s="12" t="s">
        <v>37</v>
      </c>
      <c r="RM182" s="11" t="s">
        <v>37</v>
      </c>
      <c r="RN182" s="12" t="s">
        <v>37</v>
      </c>
      <c r="RO182" s="12" t="s">
        <v>37</v>
      </c>
      <c r="RP182" s="11" t="s">
        <v>37</v>
      </c>
      <c r="RS182" s="12" t="s">
        <v>37</v>
      </c>
      <c r="RT182" s="12" t="s">
        <v>37</v>
      </c>
      <c r="RU182" s="12" t="s">
        <v>37</v>
      </c>
      <c r="RV182" s="12" t="s">
        <v>37</v>
      </c>
      <c r="RW182" s="12" t="s">
        <v>37</v>
      </c>
      <c r="RX182" s="12" t="s">
        <v>37</v>
      </c>
      <c r="SA182" s="12" t="s">
        <v>37</v>
      </c>
      <c r="SB182" s="12" t="s">
        <v>37</v>
      </c>
      <c r="SC182" s="12" t="s">
        <v>37</v>
      </c>
      <c r="SD182" s="12" t="s">
        <v>37</v>
      </c>
      <c r="SE182" s="12" t="s">
        <v>37</v>
      </c>
      <c r="SF182" s="12" t="s">
        <v>37</v>
      </c>
      <c r="SI182" s="12" t="s">
        <v>37</v>
      </c>
      <c r="SJ182" s="12" t="s">
        <v>37</v>
      </c>
      <c r="SK182" s="13" t="s">
        <v>37</v>
      </c>
      <c r="SM182" s="12" t="s">
        <v>37</v>
      </c>
      <c r="SN182" s="12" t="s">
        <v>37</v>
      </c>
      <c r="SO182" s="13" t="s">
        <v>37</v>
      </c>
      <c r="SU182" s="12" t="s">
        <v>37</v>
      </c>
      <c r="SV182" s="12" t="s">
        <v>37</v>
      </c>
      <c r="SW182" s="11" t="s">
        <v>37</v>
      </c>
      <c r="SX182" s="12" t="s">
        <v>37</v>
      </c>
      <c r="SY182" s="12" t="s">
        <v>37</v>
      </c>
      <c r="SZ182" s="11" t="s">
        <v>37</v>
      </c>
      <c r="TE182" s="12" t="s">
        <v>37</v>
      </c>
      <c r="TF182" s="12" t="s">
        <v>37</v>
      </c>
      <c r="TG182" s="11" t="s">
        <v>37</v>
      </c>
      <c r="TH182" s="12" t="s">
        <v>37</v>
      </c>
      <c r="TI182" s="12" t="s">
        <v>37</v>
      </c>
      <c r="TJ182" s="11" t="s">
        <v>37</v>
      </c>
      <c r="TO182" s="12" t="s">
        <v>37</v>
      </c>
      <c r="TP182" s="12" t="s">
        <v>37</v>
      </c>
      <c r="TQ182" s="11" t="s">
        <v>37</v>
      </c>
      <c r="TR182" s="12" t="s">
        <v>37</v>
      </c>
      <c r="TS182" s="12" t="s">
        <v>37</v>
      </c>
      <c r="TT182" s="11" t="s">
        <v>37</v>
      </c>
      <c r="TY182" s="12" t="s">
        <v>37</v>
      </c>
      <c r="TZ182" s="12" t="s">
        <v>37</v>
      </c>
      <c r="UA182" s="12" t="s">
        <v>37</v>
      </c>
      <c r="UB182" s="12" t="s">
        <v>37</v>
      </c>
      <c r="UC182" s="12" t="s">
        <v>37</v>
      </c>
      <c r="UD182" s="12" t="s">
        <v>37</v>
      </c>
      <c r="UE182" s="12"/>
      <c r="UF182" s="12"/>
      <c r="UI182" s="12" t="s">
        <v>37</v>
      </c>
      <c r="UJ182" s="12" t="s">
        <v>37</v>
      </c>
      <c r="UK182" s="12" t="s">
        <v>37</v>
      </c>
      <c r="UL182" s="12" t="s">
        <v>37</v>
      </c>
      <c r="UM182" s="12" t="s">
        <v>37</v>
      </c>
      <c r="UN182" s="12" t="s">
        <v>37</v>
      </c>
      <c r="UO182" s="12"/>
      <c r="UP182" s="12"/>
      <c r="UR182" s="12" t="s">
        <v>37</v>
      </c>
      <c r="US182" s="12" t="s">
        <v>37</v>
      </c>
      <c r="UT182" s="12" t="s">
        <v>37</v>
      </c>
      <c r="UU182" s="12" t="s">
        <v>37</v>
      </c>
      <c r="UV182" s="12" t="s">
        <v>37</v>
      </c>
      <c r="UW182" s="12" t="s">
        <v>37</v>
      </c>
      <c r="UX182" s="12"/>
      <c r="UY182" s="12"/>
      <c r="VB182" s="12" t="s">
        <v>37</v>
      </c>
      <c r="VC182" s="12" t="s">
        <v>37</v>
      </c>
      <c r="VD182" s="12" t="s">
        <v>37</v>
      </c>
      <c r="VE182" s="12" t="s">
        <v>37</v>
      </c>
      <c r="VF182" s="12" t="s">
        <v>37</v>
      </c>
      <c r="VG182" s="12" t="s">
        <v>37</v>
      </c>
      <c r="VI182" s="12" t="s">
        <v>37</v>
      </c>
      <c r="VJ182" s="12" t="s">
        <v>37</v>
      </c>
      <c r="VK182" s="12" t="s">
        <v>37</v>
      </c>
      <c r="VL182" s="12" t="s">
        <v>37</v>
      </c>
      <c r="VM182" s="12" t="s">
        <v>37</v>
      </c>
      <c r="VN182" s="12" t="s">
        <v>37</v>
      </c>
      <c r="VQ182" s="13" t="s">
        <v>37</v>
      </c>
      <c r="VR182" s="13" t="s">
        <v>37</v>
      </c>
      <c r="VS182" s="13" t="s">
        <v>37</v>
      </c>
      <c r="VT182" s="13" t="s">
        <v>37</v>
      </c>
      <c r="VU182" s="13" t="s">
        <v>37</v>
      </c>
      <c r="VV182" s="13" t="s">
        <v>37</v>
      </c>
      <c r="WA182" s="13" t="s">
        <v>37</v>
      </c>
      <c r="WB182" s="13" t="s">
        <v>37</v>
      </c>
      <c r="WC182" s="13" t="s">
        <v>37</v>
      </c>
      <c r="WD182" s="13" t="s">
        <v>37</v>
      </c>
      <c r="WE182" s="13" t="s">
        <v>37</v>
      </c>
      <c r="WF182" s="13" t="s">
        <v>37</v>
      </c>
    </row>
    <row r="183" spans="1:604" ht="18" customHeight="1" x14ac:dyDescent="0.3">
      <c r="A183" s="11">
        <v>45</v>
      </c>
      <c r="B183" s="16" t="s">
        <v>272</v>
      </c>
      <c r="C183" s="12" t="s">
        <v>26</v>
      </c>
      <c r="D183" s="12" t="s">
        <v>1039</v>
      </c>
      <c r="E183" s="40" t="s">
        <v>37</v>
      </c>
      <c r="F183" s="14">
        <v>0</v>
      </c>
      <c r="G183" s="14">
        <v>0</v>
      </c>
      <c r="H183" s="12" t="s">
        <v>79</v>
      </c>
      <c r="I183" s="29">
        <v>33.917000000000002</v>
      </c>
      <c r="J183" s="29">
        <v>102.81699999999999</v>
      </c>
      <c r="K183" s="12" t="s">
        <v>746</v>
      </c>
      <c r="L183" s="12" t="s">
        <v>747</v>
      </c>
      <c r="M183" s="13">
        <v>3441</v>
      </c>
      <c r="N183" s="14">
        <v>0.9</v>
      </c>
      <c r="O183" s="14">
        <v>656.8</v>
      </c>
      <c r="P183" s="14" t="s">
        <v>16</v>
      </c>
      <c r="Q183" s="75">
        <v>43</v>
      </c>
      <c r="R183" s="11" t="s">
        <v>999</v>
      </c>
      <c r="S183" s="12" t="s">
        <v>923</v>
      </c>
      <c r="T183" s="12" t="s">
        <v>138</v>
      </c>
      <c r="U183" s="12" t="s">
        <v>863</v>
      </c>
      <c r="V183" s="12" t="s">
        <v>274</v>
      </c>
      <c r="W183" s="23" t="s">
        <v>855</v>
      </c>
      <c r="X183" s="12" t="s">
        <v>858</v>
      </c>
      <c r="Y183" s="12" t="s">
        <v>37</v>
      </c>
      <c r="Z183" s="12" t="s">
        <v>37</v>
      </c>
      <c r="AA183" s="32" t="s">
        <v>345</v>
      </c>
      <c r="AB183" s="12">
        <v>7.5</v>
      </c>
      <c r="AC183" s="12" t="s">
        <v>42</v>
      </c>
      <c r="AD183" s="32" t="s">
        <v>345</v>
      </c>
      <c r="AE183" s="12">
        <v>206.37</v>
      </c>
      <c r="AF183" s="12" t="s">
        <v>42</v>
      </c>
      <c r="AG183" s="32" t="s">
        <v>345</v>
      </c>
      <c r="AH183" s="12">
        <v>13.85</v>
      </c>
      <c r="AJ183" s="12" t="str">
        <f t="shared" si="711"/>
        <v>0-10</v>
      </c>
      <c r="AK183" s="19">
        <f t="shared" si="712"/>
        <v>14.900361010830325</v>
      </c>
      <c r="AL183" s="32" t="s">
        <v>545</v>
      </c>
      <c r="AM183" s="12" t="s">
        <v>317</v>
      </c>
      <c r="AN183" s="32" t="s">
        <v>880</v>
      </c>
      <c r="AO183" s="12" t="s">
        <v>37</v>
      </c>
      <c r="AP183" s="12" t="s">
        <v>108</v>
      </c>
      <c r="AQ183" s="12" t="s">
        <v>975</v>
      </c>
      <c r="AR183" s="12" t="s">
        <v>42</v>
      </c>
      <c r="AS183" s="32" t="s">
        <v>345</v>
      </c>
      <c r="AT183" s="12">
        <v>206.37</v>
      </c>
      <c r="AU183" s="12">
        <f>20.09*SQRT(3)</f>
        <v>34.796900724058744</v>
      </c>
      <c r="AV183" s="13">
        <v>3</v>
      </c>
      <c r="AW183" s="19">
        <f t="shared" si="713"/>
        <v>0.16861414316062773</v>
      </c>
      <c r="AX183" s="12">
        <f t="shared" ref="AX183:AX187" si="781">AVERAGEA(126.97,152.36,161.62)</f>
        <v>146.98333333333335</v>
      </c>
      <c r="AY183" s="12">
        <f t="shared" ref="AY183:AY187" si="782">SQRT((7.51*SQRT(3))^2+(7.41*SQRT(3))^2+(16.58*SQRT(3))^2)/3</f>
        <v>11.346138843970957</v>
      </c>
      <c r="AZ183" s="13">
        <v>3</v>
      </c>
      <c r="BA183" s="19">
        <f t="shared" si="714"/>
        <v>7.7193370068971243E-2</v>
      </c>
      <c r="BB183" s="52">
        <f t="shared" si="715"/>
        <v>-0.33935147253995229</v>
      </c>
      <c r="BC183" s="19">
        <f t="shared" si="716"/>
        <v>1.1463181885465936E-2</v>
      </c>
      <c r="BD183" s="32" t="s">
        <v>422</v>
      </c>
      <c r="BE183" s="12">
        <v>212.08</v>
      </c>
      <c r="BF183" s="12">
        <f t="shared" ref="BF183:BF184" si="783">30.22*SQRT(3)</f>
        <v>52.34257540473147</v>
      </c>
      <c r="BG183" s="13">
        <v>3</v>
      </c>
      <c r="BH183" s="19">
        <f t="shared" ref="BH183:BH193" si="784">BF183/BE183</f>
        <v>0.24680580632181945</v>
      </c>
      <c r="BI183" s="12">
        <f t="shared" ref="BI183:BI187" si="785">AVERAGEA(132.19, 152.09, 142.29)</f>
        <v>142.18999999999997</v>
      </c>
      <c r="BJ183" s="12">
        <f t="shared" ref="BJ183:BJ187" si="786">SQRT((3.58*SQRT(3))^2+(5.28*SQRT(3))^2+(4.93*SQRT(3))^2)/3</f>
        <v>4.6547359395208083</v>
      </c>
      <c r="BK183" s="13">
        <v>3</v>
      </c>
      <c r="BL183" s="19">
        <f t="shared" si="717"/>
        <v>3.2736028831287782E-2</v>
      </c>
      <c r="BM183" s="52">
        <f t="shared" si="718"/>
        <v>-0.39979937057248727</v>
      </c>
      <c r="BN183" s="19">
        <f t="shared" si="719"/>
        <v>2.0661584539268786E-2</v>
      </c>
      <c r="BO183" s="32" t="s">
        <v>423</v>
      </c>
      <c r="BP183" s="12">
        <v>212.71</v>
      </c>
      <c r="BQ183" s="12">
        <f t="shared" ref="BQ183:BQ184" si="787">33.57*SQRT(3)</f>
        <v>58.144945610087206</v>
      </c>
      <c r="BR183" s="13">
        <v>3</v>
      </c>
      <c r="BS183" s="19">
        <f t="shared" ref="BS183:BS193" si="788">BQ183/BP183</f>
        <v>0.27335313624224156</v>
      </c>
      <c r="BT183" s="12">
        <f t="shared" ref="BT183:BT187" si="789">AVERAGEA(127.07, 162.11, 138.85)</f>
        <v>142.67666666666665</v>
      </c>
      <c r="BU183" s="12">
        <f t="shared" ref="BU183:BU187" si="790">SQRT((7.96*SQRT(3))^2+(2.95*SQRT(3))^2+(9.63*SQRT(3))^2)/3</f>
        <v>7.411724945427121</v>
      </c>
      <c r="BV183" s="13">
        <v>3</v>
      </c>
      <c r="BW183" s="19">
        <f t="shared" ref="BW183:BW193" si="791">BU183/BT183</f>
        <v>5.1947701881366645E-2</v>
      </c>
      <c r="BX183" s="52">
        <f t="shared" si="720"/>
        <v>-0.3993487377603599</v>
      </c>
      <c r="BY183" s="19">
        <f t="shared" si="721"/>
        <v>2.5806833608074939E-2</v>
      </c>
      <c r="CA183" s="12" t="s">
        <v>37</v>
      </c>
      <c r="CB183" s="12" t="s">
        <v>37</v>
      </c>
      <c r="CC183" s="13" t="s">
        <v>37</v>
      </c>
      <c r="CE183" s="12" t="s">
        <v>37</v>
      </c>
      <c r="CF183" s="12" t="s">
        <v>37</v>
      </c>
      <c r="CG183" s="13" t="s">
        <v>37</v>
      </c>
      <c r="CN183" s="12" t="s">
        <v>37</v>
      </c>
      <c r="CO183" s="12" t="s">
        <v>37</v>
      </c>
      <c r="CP183" s="13" t="s">
        <v>37</v>
      </c>
      <c r="CR183" s="12" t="s">
        <v>37</v>
      </c>
      <c r="CS183" s="12" t="s">
        <v>37</v>
      </c>
      <c r="CT183" s="13" t="s">
        <v>37</v>
      </c>
      <c r="CX183" s="72"/>
      <c r="CY183" s="72"/>
      <c r="DA183" s="12" t="s">
        <v>37</v>
      </c>
      <c r="DB183" s="12" t="s">
        <v>37</v>
      </c>
      <c r="DC183" s="13" t="s">
        <v>37</v>
      </c>
      <c r="DE183" s="12" t="s">
        <v>37</v>
      </c>
      <c r="DF183" s="12" t="s">
        <v>37</v>
      </c>
      <c r="DG183" s="13" t="s">
        <v>37</v>
      </c>
      <c r="DM183" s="11" t="s">
        <v>47</v>
      </c>
      <c r="DN183" s="19">
        <f>23.02*("2013/09/30"-"2013/05/01")*10^4*24/10^6/'[1]classes-1'!$I$46</f>
        <v>965.8440732691339</v>
      </c>
      <c r="DO183" s="12">
        <f>SQRT((1/[2]Classes!$I$46)^2*(2.74*SQRT(3)*("2013/09/30"-"2013/05/01")*10^4*24/10^6)^2+(-DN183/([2]Classes!$I$46)^2)^2*([2]Classes!$J$46)^2)</f>
        <v>308.47001167764779</v>
      </c>
      <c r="DP183" s="13">
        <v>3</v>
      </c>
      <c r="DQ183" s="19">
        <f t="shared" si="707"/>
        <v>0.31937868669997227</v>
      </c>
      <c r="DR183" s="19">
        <f>AVERAGEA(0.13,0.12,0.17)*("2013/09/30"-"2013/05/01")*10^4*24/10^6/'[1]classes-1'!$I$48</f>
        <v>5.2453106713176574</v>
      </c>
      <c r="DS183" s="12">
        <f>DS182</f>
        <v>10.686883582340696</v>
      </c>
      <c r="DT183" s="13">
        <v>3</v>
      </c>
      <c r="DU183" s="19">
        <f t="shared" si="708"/>
        <v>2.0374167045583365</v>
      </c>
      <c r="DV183" s="19">
        <f t="shared" si="710"/>
        <v>-960.59876259781629</v>
      </c>
      <c r="DW183" s="12">
        <f t="shared" si="709"/>
        <v>218.25209917101677</v>
      </c>
      <c r="DX183" s="72">
        <f t="shared" si="641"/>
        <v>31755.985861703553</v>
      </c>
      <c r="DY183" s="72">
        <f t="shared" si="642"/>
        <v>31755.985861703557</v>
      </c>
      <c r="EA183" s="19" t="s">
        <v>37</v>
      </c>
      <c r="EB183" s="19" t="s">
        <v>37</v>
      </c>
      <c r="EC183" s="72" t="s">
        <v>37</v>
      </c>
      <c r="EE183" s="19" t="s">
        <v>37</v>
      </c>
      <c r="EF183" s="19" t="s">
        <v>37</v>
      </c>
      <c r="EG183" s="12" t="s">
        <v>37</v>
      </c>
      <c r="EM183" s="12" t="s">
        <v>39</v>
      </c>
      <c r="EN183" s="12">
        <v>21.581790123456788</v>
      </c>
      <c r="EO183" s="12">
        <v>1.1499049536443477</v>
      </c>
      <c r="EP183" s="13">
        <v>3</v>
      </c>
      <c r="EQ183" s="19">
        <f t="shared" ref="EQ183:EQ211" si="792">EO183/ABS(EN183)</f>
        <v>5.3281259203542181E-2</v>
      </c>
      <c r="ER183" s="12">
        <f>AVERAGEA(-91.63, -87.6, -88.66)</f>
        <v>-89.296666666666667</v>
      </c>
      <c r="ES183" s="12">
        <f>SQRT((4.5*SQRT(3))^2+(6.25*SQRT(3))^2+(3.76*SQRT(3))^2)/3</f>
        <v>4.948066962629615</v>
      </c>
      <c r="ET183" s="13">
        <v>3</v>
      </c>
      <c r="EU183" s="19">
        <f t="shared" ref="EU183:EU211" si="793">ES183/ABS(ER183)</f>
        <v>5.5411552830971086E-2</v>
      </c>
      <c r="EV183" s="19">
        <f t="shared" si="701"/>
        <v>-110.87845679012345</v>
      </c>
      <c r="EW183" s="12">
        <f t="shared" si="702"/>
        <v>3.5920501158170439</v>
      </c>
      <c r="EX183" s="19">
        <f t="shared" si="703"/>
        <v>8.6018826896941576</v>
      </c>
      <c r="EY183" s="19">
        <f t="shared" si="704"/>
        <v>8.6018826896941576</v>
      </c>
      <c r="FB183" s="12" t="s">
        <v>37</v>
      </c>
      <c r="FC183" s="12" t="s">
        <v>37</v>
      </c>
      <c r="FD183" s="11" t="s">
        <v>37</v>
      </c>
      <c r="FE183" s="12" t="s">
        <v>37</v>
      </c>
      <c r="FF183" s="20" t="s">
        <v>37</v>
      </c>
      <c r="FG183" s="11" t="s">
        <v>37</v>
      </c>
      <c r="FI183" s="12" t="s">
        <v>37</v>
      </c>
      <c r="FJ183" s="12" t="s">
        <v>37</v>
      </c>
      <c r="FK183" s="11" t="s">
        <v>37</v>
      </c>
      <c r="FL183" s="13" t="s">
        <v>37</v>
      </c>
      <c r="FM183" s="11" t="s">
        <v>37</v>
      </c>
      <c r="FN183" s="11" t="s">
        <v>37</v>
      </c>
      <c r="FP183" s="12" t="s">
        <v>37</v>
      </c>
      <c r="FQ183" s="12" t="s">
        <v>37</v>
      </c>
      <c r="FR183" s="11" t="s">
        <v>37</v>
      </c>
      <c r="FS183" s="13" t="s">
        <v>37</v>
      </c>
      <c r="FT183" s="11" t="s">
        <v>37</v>
      </c>
      <c r="FU183" s="11" t="s">
        <v>37</v>
      </c>
      <c r="FW183" s="12" t="s">
        <v>37</v>
      </c>
      <c r="FX183" s="12" t="s">
        <v>37</v>
      </c>
      <c r="FY183" s="11" t="s">
        <v>37</v>
      </c>
      <c r="FZ183" s="13" t="s">
        <v>37</v>
      </c>
      <c r="GA183" s="11" t="s">
        <v>37</v>
      </c>
      <c r="GB183" s="11" t="s">
        <v>37</v>
      </c>
      <c r="GO183" s="12" t="s">
        <v>660</v>
      </c>
      <c r="GP183" s="12" t="s">
        <v>327</v>
      </c>
      <c r="GQ183" s="12">
        <v>10.584262073623782</v>
      </c>
      <c r="GR183" s="12">
        <v>0.75611662199386254</v>
      </c>
      <c r="GS183" s="13">
        <v>3</v>
      </c>
      <c r="GT183" s="19">
        <f t="shared" si="722"/>
        <v>7.14378212419855E-2</v>
      </c>
      <c r="GU183" s="12">
        <f t="shared" ref="GU183:GU187" si="794">AVERAGEA(10.23,10.94,10.37)</f>
        <v>10.513333333333334</v>
      </c>
      <c r="GV183" s="12">
        <f t="shared" ref="GV183:GV187" si="795">SQRT((1.01*SQRT(3))^2+(1.01*SQRT(3))^2+(1.09*SQRT(3))^2)/3</f>
        <v>1.0373523991392701</v>
      </c>
      <c r="GW183" s="13">
        <v>3</v>
      </c>
      <c r="GX183" s="19">
        <f t="shared" si="723"/>
        <v>9.8670171129290121E-2</v>
      </c>
      <c r="GY183" s="19">
        <f t="shared" si="724"/>
        <v>-6.7238949416383951E-3</v>
      </c>
      <c r="GZ183" s="19">
        <f t="shared" si="725"/>
        <v>4.9463883248284241E-3</v>
      </c>
      <c r="HA183" s="17" t="s">
        <v>63</v>
      </c>
      <c r="HB183" s="34" t="s">
        <v>345</v>
      </c>
      <c r="HC183" s="12">
        <v>0.31</v>
      </c>
      <c r="HD183" s="12">
        <f>0.04*SQRT(3)</f>
        <v>6.9282032302755092E-2</v>
      </c>
      <c r="HE183" s="13">
        <v>3</v>
      </c>
      <c r="HF183" s="19">
        <f t="shared" si="726"/>
        <v>0.22349042678308095</v>
      </c>
      <c r="HG183" s="12">
        <f t="shared" ref="HG183:HG187" si="796">AVERAGEA(0.57,0.49,0.44)</f>
        <v>0.5</v>
      </c>
      <c r="HH183" s="12">
        <f t="shared" ref="HH183:HH187" si="797">SQRT((0.01*SQRT(3))^2+(0.02*SQRT(3))^2+(0.03*SQRT(3))^2)/3</f>
        <v>2.1602468994692866E-2</v>
      </c>
      <c r="HI183" s="13">
        <v>3</v>
      </c>
      <c r="HJ183" s="19">
        <f t="shared" si="727"/>
        <v>4.3204937989385732E-2</v>
      </c>
      <c r="HK183" s="19">
        <f t="shared" si="728"/>
        <v>0.47803580094299991</v>
      </c>
      <c r="HL183" s="19">
        <f t="shared" si="729"/>
        <v>1.7271545843450111E-2</v>
      </c>
      <c r="HM183" s="34" t="s">
        <v>422</v>
      </c>
      <c r="HN183" s="12">
        <v>0.28000000000000003</v>
      </c>
      <c r="HO183" s="12">
        <f t="shared" ref="HO183:HO184" si="798">0.05*SQRT(3)</f>
        <v>8.6602540378443865E-2</v>
      </c>
      <c r="HP183" s="13">
        <v>3</v>
      </c>
      <c r="HQ183" s="19">
        <f t="shared" si="730"/>
        <v>0.30929478706587094</v>
      </c>
      <c r="HR183" s="12">
        <f t="shared" ref="HR183:HR187" si="799">AVERAGEA(0.57,0.49,0.49)</f>
        <v>0.51666666666666672</v>
      </c>
      <c r="HS183" s="12">
        <f t="shared" ref="HS183:HS187" si="800">SQRT((0.03*SQRT(3))^2+(0.02*SQRT(3))^2+(0.02*SQRT(3))^2)/3</f>
        <v>2.3804761428476165E-2</v>
      </c>
      <c r="HT183" s="13">
        <v>3</v>
      </c>
      <c r="HU183" s="19">
        <f t="shared" si="731"/>
        <v>4.607373179705064E-2</v>
      </c>
      <c r="HV183" s="19">
        <f t="shared" si="732"/>
        <v>0.61260831807593308</v>
      </c>
      <c r="HW183" s="19">
        <f t="shared" si="733"/>
        <v>3.2595351355942992E-2</v>
      </c>
      <c r="HX183" s="34" t="s">
        <v>423</v>
      </c>
      <c r="HY183" s="12">
        <v>0.28000000000000003</v>
      </c>
      <c r="HZ183" s="12">
        <v>7.0000000000000007E-2</v>
      </c>
      <c r="IA183" s="13">
        <v>3</v>
      </c>
      <c r="IB183" s="19">
        <f t="shared" si="734"/>
        <v>0.25</v>
      </c>
      <c r="IC183" s="12">
        <f t="shared" ref="IC183:IC187" si="801">AVERAGEA(0.63,0.52,0.54)</f>
        <v>0.56333333333333335</v>
      </c>
      <c r="ID183" s="12">
        <f t="shared" ref="ID183:ID187" si="802">SQRT((0.02*SQRT(3))^2+(0.01*SQRT(3))^2+(0.04*SQRT(3))^2)/3</f>
        <v>2.6457513110645908E-2</v>
      </c>
      <c r="IE183" s="13">
        <v>3</v>
      </c>
      <c r="IF183" s="19">
        <f t="shared" si="735"/>
        <v>4.6965999604696877E-2</v>
      </c>
      <c r="IG183" s="19">
        <f t="shared" si="736"/>
        <v>0.69908191607975989</v>
      </c>
      <c r="IH183" s="19">
        <f t="shared" si="737"/>
        <v>2.1568601706289464E-2</v>
      </c>
      <c r="IK183" s="12" t="s">
        <v>37</v>
      </c>
      <c r="IL183" s="12" t="s">
        <v>37</v>
      </c>
      <c r="IM183" s="12" t="s">
        <v>37</v>
      </c>
      <c r="IO183" s="12" t="s">
        <v>37</v>
      </c>
      <c r="IP183" s="12" t="s">
        <v>37</v>
      </c>
      <c r="IQ183" s="12" t="s">
        <v>37</v>
      </c>
      <c r="IV183" s="32" t="s">
        <v>345</v>
      </c>
      <c r="IW183" s="12">
        <v>7.5</v>
      </c>
      <c r="IX183" s="50">
        <f t="shared" si="738"/>
        <v>0.27459556971017351</v>
      </c>
      <c r="IY183" s="13">
        <v>3</v>
      </c>
      <c r="JA183" s="12">
        <f t="shared" ref="JA183:JA187" si="803">AVERAGEA(7.9,7.7,7.5)</f>
        <v>7.7</v>
      </c>
      <c r="JB183" s="50">
        <f t="shared" si="739"/>
        <v>0.21566782764991124</v>
      </c>
      <c r="JC183" s="13">
        <v>3</v>
      </c>
      <c r="JE183" s="19">
        <f t="shared" si="740"/>
        <v>2.6317308317373358E-2</v>
      </c>
      <c r="JF183" s="19">
        <f t="shared" si="741"/>
        <v>7.083287641133075E-4</v>
      </c>
      <c r="JH183" s="12" t="s">
        <v>37</v>
      </c>
      <c r="JI183" s="12" t="s">
        <v>37</v>
      </c>
      <c r="JJ183" s="13" t="s">
        <v>37</v>
      </c>
      <c r="JL183" s="12" t="s">
        <v>37</v>
      </c>
      <c r="JM183" s="12" t="s">
        <v>37</v>
      </c>
      <c r="JN183" s="12" t="s">
        <v>37</v>
      </c>
      <c r="JS183" s="12" t="s">
        <v>37</v>
      </c>
      <c r="JT183" s="12" t="s">
        <v>37</v>
      </c>
      <c r="JU183" s="13" t="s">
        <v>37</v>
      </c>
      <c r="JW183" s="12" t="s">
        <v>37</v>
      </c>
      <c r="JX183" s="12" t="s">
        <v>37</v>
      </c>
      <c r="JY183" s="12" t="s">
        <v>37</v>
      </c>
      <c r="KE183" s="11" t="s">
        <v>37</v>
      </c>
      <c r="KF183" s="11" t="s">
        <v>37</v>
      </c>
      <c r="KG183" s="13" t="s">
        <v>37</v>
      </c>
      <c r="KH183" s="11" t="s">
        <v>37</v>
      </c>
      <c r="KI183" s="11" t="s">
        <v>37</v>
      </c>
      <c r="KJ183" s="11" t="s">
        <v>37</v>
      </c>
      <c r="KK183" s="12" t="s">
        <v>42</v>
      </c>
      <c r="KL183" s="32" t="s">
        <v>345</v>
      </c>
      <c r="KM183" s="12">
        <v>13.85</v>
      </c>
      <c r="KN183" s="50">
        <f t="shared" si="742"/>
        <v>1.6522086231803037</v>
      </c>
      <c r="KO183" s="13">
        <v>3</v>
      </c>
      <c r="KQ183" s="12">
        <f t="shared" ref="KQ183:KQ187" si="804">AVERAGEA(13.2,12.5,13.58)</f>
        <v>13.093333333333334</v>
      </c>
      <c r="KR183" s="50">
        <f t="shared" si="743"/>
        <v>1.3806059790080172</v>
      </c>
      <c r="KS183" s="13">
        <v>3</v>
      </c>
      <c r="KU183" s="19">
        <f t="shared" si="744"/>
        <v>-5.6182037815192022E-2</v>
      </c>
      <c r="KV183" s="19">
        <f t="shared" si="745"/>
        <v>8.4497155628593251E-3</v>
      </c>
      <c r="KW183" s="32" t="s">
        <v>422</v>
      </c>
      <c r="KX183" s="12">
        <v>12.78</v>
      </c>
      <c r="KY183" s="50">
        <f t="shared" si="746"/>
        <v>0.94263258508549785</v>
      </c>
      <c r="KZ183" s="13">
        <v>3</v>
      </c>
      <c r="LB183" s="12">
        <f t="shared" ref="LB183:LB187" si="805">AVERAGEA(9.39, 10.43, 11.44)</f>
        <v>10.42</v>
      </c>
      <c r="LC183" s="50">
        <f t="shared" si="747"/>
        <v>1.2021689232752755</v>
      </c>
      <c r="LD183" s="13">
        <v>3</v>
      </c>
      <c r="LF183" s="19">
        <f t="shared" si="748"/>
        <v>-0.20415441262416789</v>
      </c>
      <c r="LG183" s="19">
        <f t="shared" si="749"/>
        <v>6.2502802071617812E-3</v>
      </c>
      <c r="LH183" s="32" t="s">
        <v>423</v>
      </c>
      <c r="LI183" s="12">
        <v>14.47</v>
      </c>
      <c r="LJ183" s="50">
        <f t="shared" si="750"/>
        <v>5.9091095965864069</v>
      </c>
      <c r="LK183" s="13">
        <v>3</v>
      </c>
      <c r="LM183" s="12">
        <f t="shared" ref="LM183:LM187" si="806">AVERAGEA(8.07, 10.36, 9.29)</f>
        <v>9.24</v>
      </c>
      <c r="LN183" s="50">
        <f t="shared" si="751"/>
        <v>2.6129223611324779</v>
      </c>
      <c r="LO183" s="13">
        <v>3</v>
      </c>
      <c r="LQ183" s="19">
        <f t="shared" si="752"/>
        <v>-0.44853565498979975</v>
      </c>
      <c r="LR183" s="19">
        <f t="shared" si="753"/>
        <v>8.2244164849791454E-2</v>
      </c>
      <c r="LT183" s="12" t="str">
        <f t="shared" si="754"/>
        <v>0-10</v>
      </c>
      <c r="LU183" s="12">
        <f t="shared" si="755"/>
        <v>14.900361010830325</v>
      </c>
      <c r="LV183" s="12">
        <f t="shared" si="756"/>
        <v>3.0776211067466939</v>
      </c>
      <c r="LW183" s="13">
        <f t="shared" si="757"/>
        <v>3</v>
      </c>
      <c r="LY183" s="12">
        <f t="shared" si="758"/>
        <v>11.225814663951121</v>
      </c>
      <c r="LZ183" s="12">
        <f t="shared" si="759"/>
        <v>1.4669839173067531</v>
      </c>
      <c r="MA183" s="13">
        <f t="shared" si="760"/>
        <v>3</v>
      </c>
      <c r="MC183" s="19">
        <f t="shared" si="761"/>
        <v>-0.28316943472476014</v>
      </c>
      <c r="MD183" s="19">
        <f t="shared" si="762"/>
        <v>1.9912897448325258E-2</v>
      </c>
      <c r="ME183" s="12" t="str">
        <f t="shared" si="763"/>
        <v>10-20</v>
      </c>
      <c r="MF183" s="12">
        <f t="shared" si="764"/>
        <v>16.594679186228483</v>
      </c>
      <c r="MG183" s="12">
        <f t="shared" si="765"/>
        <v>4.2746492513480874</v>
      </c>
      <c r="MH183" s="13">
        <f t="shared" si="766"/>
        <v>3</v>
      </c>
      <c r="MJ183" s="12">
        <f t="shared" si="767"/>
        <v>13.645873320537426</v>
      </c>
      <c r="MK183" s="12">
        <f t="shared" si="768"/>
        <v>1.6364915031081246</v>
      </c>
      <c r="ML183" s="13">
        <f t="shared" si="769"/>
        <v>3</v>
      </c>
      <c r="MN183" s="19">
        <f t="shared" si="770"/>
        <v>-0.19564495794831932</v>
      </c>
      <c r="MO183" s="19">
        <f t="shared" si="771"/>
        <v>2.6911864746430567E-2</v>
      </c>
      <c r="MP183" s="12" t="str">
        <f t="shared" si="772"/>
        <v>20-30</v>
      </c>
      <c r="MQ183" s="12">
        <f t="shared" si="773"/>
        <v>14.700069108500346</v>
      </c>
      <c r="MR183" s="12">
        <f t="shared" si="774"/>
        <v>7.2238202349748137</v>
      </c>
      <c r="MS183" s="13">
        <f t="shared" si="775"/>
        <v>3</v>
      </c>
      <c r="MU183" s="12">
        <f t="shared" si="776"/>
        <v>15.441197691197688</v>
      </c>
      <c r="MV183" s="12">
        <f t="shared" si="777"/>
        <v>4.4395858643684845</v>
      </c>
      <c r="MW183" s="13">
        <f t="shared" si="778"/>
        <v>3</v>
      </c>
      <c r="MY183" s="19">
        <f t="shared" si="779"/>
        <v>4.9186917229439714E-2</v>
      </c>
      <c r="MZ183" s="19">
        <f t="shared" si="780"/>
        <v>0.10805099845786641</v>
      </c>
      <c r="NC183" s="12" t="s">
        <v>37</v>
      </c>
      <c r="ND183" s="12" t="s">
        <v>37</v>
      </c>
      <c r="NE183" s="12" t="s">
        <v>37</v>
      </c>
      <c r="NG183" s="12" t="s">
        <v>37</v>
      </c>
      <c r="NH183" s="12" t="s">
        <v>37</v>
      </c>
      <c r="NI183" s="12" t="s">
        <v>37</v>
      </c>
      <c r="NO183" s="12" t="s">
        <v>37</v>
      </c>
      <c r="NP183" s="12" t="s">
        <v>37</v>
      </c>
      <c r="NQ183" s="12" t="s">
        <v>37</v>
      </c>
      <c r="NS183" s="12" t="s">
        <v>37</v>
      </c>
      <c r="NT183" s="12" t="s">
        <v>37</v>
      </c>
      <c r="NU183" s="12" t="s">
        <v>37</v>
      </c>
      <c r="OA183" s="12" t="s">
        <v>37</v>
      </c>
      <c r="OB183" s="12" t="s">
        <v>37</v>
      </c>
      <c r="OC183" s="12" t="s">
        <v>37</v>
      </c>
      <c r="OD183" s="12"/>
      <c r="OE183" s="12" t="s">
        <v>37</v>
      </c>
      <c r="OF183" s="12" t="s">
        <v>37</v>
      </c>
      <c r="OG183" s="12" t="s">
        <v>37</v>
      </c>
      <c r="OH183" s="12"/>
      <c r="OI183" s="12"/>
      <c r="OJ183" s="12"/>
      <c r="OM183" s="12" t="s">
        <v>37</v>
      </c>
      <c r="ON183" s="12" t="s">
        <v>37</v>
      </c>
      <c r="OO183" s="12" t="s">
        <v>37</v>
      </c>
      <c r="OP183" s="12" t="s">
        <v>37</v>
      </c>
      <c r="OQ183" s="12" t="s">
        <v>37</v>
      </c>
      <c r="OR183" s="12" t="s">
        <v>37</v>
      </c>
      <c r="OS183" s="12"/>
      <c r="OT183" s="12"/>
      <c r="OW183" s="12" t="s">
        <v>37</v>
      </c>
      <c r="OX183" s="12" t="s">
        <v>37</v>
      </c>
      <c r="OY183" s="13" t="s">
        <v>37</v>
      </c>
      <c r="OZ183" s="12" t="s">
        <v>37</v>
      </c>
      <c r="PA183" s="12" t="s">
        <v>37</v>
      </c>
      <c r="PB183" s="13" t="s">
        <v>37</v>
      </c>
      <c r="PG183" s="11" t="s">
        <v>37</v>
      </c>
      <c r="PH183" s="11" t="s">
        <v>37</v>
      </c>
      <c r="PI183" s="13" t="s">
        <v>37</v>
      </c>
      <c r="PJ183" s="11" t="s">
        <v>37</v>
      </c>
      <c r="PK183" s="11" t="s">
        <v>37</v>
      </c>
      <c r="PL183" s="13" t="s">
        <v>37</v>
      </c>
      <c r="PQ183" s="12" t="s">
        <v>37</v>
      </c>
      <c r="PR183" s="12" t="s">
        <v>37</v>
      </c>
      <c r="PS183" s="12" t="s">
        <v>37</v>
      </c>
      <c r="PT183" s="12" t="s">
        <v>37</v>
      </c>
      <c r="PU183" s="12" t="s">
        <v>37</v>
      </c>
      <c r="PV183" s="12" t="s">
        <v>37</v>
      </c>
      <c r="PW183" s="12"/>
      <c r="PX183" s="12"/>
      <c r="PZ183" s="12" t="s">
        <v>37</v>
      </c>
      <c r="QA183" s="12" t="s">
        <v>37</v>
      </c>
      <c r="QB183" s="11" t="s">
        <v>37</v>
      </c>
      <c r="QD183" s="12" t="s">
        <v>37</v>
      </c>
      <c r="QE183" s="12" t="s">
        <v>37</v>
      </c>
      <c r="QF183" s="12" t="s">
        <v>37</v>
      </c>
      <c r="QK183" s="12" t="s">
        <v>37</v>
      </c>
      <c r="QL183" s="12" t="s">
        <v>37</v>
      </c>
      <c r="QM183" s="12" t="s">
        <v>37</v>
      </c>
      <c r="QN183" s="12" t="s">
        <v>37</v>
      </c>
      <c r="QO183" s="12" t="s">
        <v>37</v>
      </c>
      <c r="QP183" s="12" t="s">
        <v>37</v>
      </c>
      <c r="QQ183" s="12"/>
      <c r="QR183" s="12"/>
      <c r="QU183" s="12" t="s">
        <v>37</v>
      </c>
      <c r="QV183" s="12" t="s">
        <v>37</v>
      </c>
      <c r="QW183" s="12" t="s">
        <v>37</v>
      </c>
      <c r="QX183" s="12" t="s">
        <v>37</v>
      </c>
      <c r="QY183" s="12" t="s">
        <v>37</v>
      </c>
      <c r="QZ183" s="12" t="s">
        <v>37</v>
      </c>
      <c r="RC183" s="12" t="s">
        <v>37</v>
      </c>
      <c r="RD183" s="12" t="s">
        <v>37</v>
      </c>
      <c r="RE183" s="13" t="s">
        <v>37</v>
      </c>
      <c r="RF183" s="12" t="s">
        <v>37</v>
      </c>
      <c r="RG183" s="12" t="s">
        <v>37</v>
      </c>
      <c r="RH183" s="13" t="s">
        <v>37</v>
      </c>
      <c r="RK183" s="12" t="s">
        <v>37</v>
      </c>
      <c r="RL183" s="12" t="s">
        <v>37</v>
      </c>
      <c r="RM183" s="11" t="s">
        <v>37</v>
      </c>
      <c r="RN183" s="12" t="s">
        <v>37</v>
      </c>
      <c r="RO183" s="12" t="s">
        <v>37</v>
      </c>
      <c r="RP183" s="11" t="s">
        <v>37</v>
      </c>
      <c r="RS183" s="12" t="s">
        <v>37</v>
      </c>
      <c r="RT183" s="12" t="s">
        <v>37</v>
      </c>
      <c r="RU183" s="12" t="s">
        <v>37</v>
      </c>
      <c r="RV183" s="12" t="s">
        <v>37</v>
      </c>
      <c r="RW183" s="12" t="s">
        <v>37</v>
      </c>
      <c r="RX183" s="12" t="s">
        <v>37</v>
      </c>
      <c r="SA183" s="12" t="s">
        <v>37</v>
      </c>
      <c r="SB183" s="12" t="s">
        <v>37</v>
      </c>
      <c r="SC183" s="12" t="s">
        <v>37</v>
      </c>
      <c r="SD183" s="12" t="s">
        <v>37</v>
      </c>
      <c r="SE183" s="12" t="s">
        <v>37</v>
      </c>
      <c r="SF183" s="12" t="s">
        <v>37</v>
      </c>
      <c r="SI183" s="12" t="s">
        <v>37</v>
      </c>
      <c r="SJ183" s="12" t="s">
        <v>37</v>
      </c>
      <c r="SK183" s="13" t="s">
        <v>37</v>
      </c>
      <c r="SM183" s="12" t="s">
        <v>37</v>
      </c>
      <c r="SN183" s="12" t="s">
        <v>37</v>
      </c>
      <c r="SO183" s="13" t="s">
        <v>37</v>
      </c>
      <c r="SU183" s="12" t="s">
        <v>37</v>
      </c>
      <c r="SV183" s="12" t="s">
        <v>37</v>
      </c>
      <c r="SW183" s="11" t="s">
        <v>37</v>
      </c>
      <c r="SX183" s="12" t="s">
        <v>37</v>
      </c>
      <c r="SY183" s="12" t="s">
        <v>37</v>
      </c>
      <c r="SZ183" s="11" t="s">
        <v>37</v>
      </c>
      <c r="TE183" s="12" t="s">
        <v>37</v>
      </c>
      <c r="TF183" s="12" t="s">
        <v>37</v>
      </c>
      <c r="TG183" s="11" t="s">
        <v>37</v>
      </c>
      <c r="TH183" s="12" t="s">
        <v>37</v>
      </c>
      <c r="TI183" s="12" t="s">
        <v>37</v>
      </c>
      <c r="TJ183" s="11" t="s">
        <v>37</v>
      </c>
      <c r="TO183" s="12" t="s">
        <v>37</v>
      </c>
      <c r="TP183" s="12" t="s">
        <v>37</v>
      </c>
      <c r="TQ183" s="11" t="s">
        <v>37</v>
      </c>
      <c r="TR183" s="12" t="s">
        <v>37</v>
      </c>
      <c r="TS183" s="12" t="s">
        <v>37</v>
      </c>
      <c r="TT183" s="11" t="s">
        <v>37</v>
      </c>
      <c r="TY183" s="12" t="s">
        <v>37</v>
      </c>
      <c r="TZ183" s="12" t="s">
        <v>37</v>
      </c>
      <c r="UA183" s="12" t="s">
        <v>37</v>
      </c>
      <c r="UB183" s="12" t="s">
        <v>37</v>
      </c>
      <c r="UC183" s="12" t="s">
        <v>37</v>
      </c>
      <c r="UD183" s="12" t="s">
        <v>37</v>
      </c>
      <c r="UE183" s="12"/>
      <c r="UF183" s="12"/>
      <c r="UI183" s="12" t="s">
        <v>37</v>
      </c>
      <c r="UJ183" s="12" t="s">
        <v>37</v>
      </c>
      <c r="UK183" s="12" t="s">
        <v>37</v>
      </c>
      <c r="UL183" s="12" t="s">
        <v>37</v>
      </c>
      <c r="UM183" s="12" t="s">
        <v>37</v>
      </c>
      <c r="UN183" s="12" t="s">
        <v>37</v>
      </c>
      <c r="UO183" s="12"/>
      <c r="UP183" s="12"/>
      <c r="UR183" s="12" t="s">
        <v>37</v>
      </c>
      <c r="US183" s="12" t="s">
        <v>37</v>
      </c>
      <c r="UT183" s="12" t="s">
        <v>37</v>
      </c>
      <c r="UU183" s="12" t="s">
        <v>37</v>
      </c>
      <c r="UV183" s="12" t="s">
        <v>37</v>
      </c>
      <c r="UW183" s="12" t="s">
        <v>37</v>
      </c>
      <c r="UX183" s="12"/>
      <c r="UY183" s="12"/>
      <c r="VB183" s="12" t="s">
        <v>37</v>
      </c>
      <c r="VC183" s="12" t="s">
        <v>37</v>
      </c>
      <c r="VD183" s="12" t="s">
        <v>37</v>
      </c>
      <c r="VE183" s="12" t="s">
        <v>37</v>
      </c>
      <c r="VF183" s="12" t="s">
        <v>37</v>
      </c>
      <c r="VG183" s="12" t="s">
        <v>37</v>
      </c>
      <c r="VI183" s="12" t="s">
        <v>37</v>
      </c>
      <c r="VJ183" s="12" t="s">
        <v>37</v>
      </c>
      <c r="VK183" s="12" t="s">
        <v>37</v>
      </c>
      <c r="VL183" s="12" t="s">
        <v>37</v>
      </c>
      <c r="VM183" s="12" t="s">
        <v>37</v>
      </c>
      <c r="VN183" s="12" t="s">
        <v>37</v>
      </c>
      <c r="VQ183" s="13" t="s">
        <v>37</v>
      </c>
      <c r="VR183" s="13" t="s">
        <v>37</v>
      </c>
      <c r="VS183" s="13" t="s">
        <v>37</v>
      </c>
      <c r="VT183" s="13" t="s">
        <v>37</v>
      </c>
      <c r="VU183" s="13" t="s">
        <v>37</v>
      </c>
      <c r="VV183" s="13" t="s">
        <v>37</v>
      </c>
      <c r="WA183" s="13" t="s">
        <v>37</v>
      </c>
      <c r="WB183" s="13" t="s">
        <v>37</v>
      </c>
      <c r="WC183" s="13" t="s">
        <v>37</v>
      </c>
      <c r="WD183" s="13" t="s">
        <v>37</v>
      </c>
      <c r="WE183" s="13" t="s">
        <v>37</v>
      </c>
      <c r="WF183" s="13" t="s">
        <v>37</v>
      </c>
    </row>
    <row r="184" spans="1:604" ht="18" customHeight="1" x14ac:dyDescent="0.3">
      <c r="A184" s="11">
        <v>45</v>
      </c>
      <c r="B184" s="16" t="s">
        <v>272</v>
      </c>
      <c r="C184" s="12" t="s">
        <v>26</v>
      </c>
      <c r="D184" s="12" t="s">
        <v>1039</v>
      </c>
      <c r="E184" s="40" t="s">
        <v>37</v>
      </c>
      <c r="F184" s="14">
        <v>0</v>
      </c>
      <c r="G184" s="14">
        <v>0</v>
      </c>
      <c r="H184" s="12" t="s">
        <v>79</v>
      </c>
      <c r="I184" s="29">
        <v>33.917000000000002</v>
      </c>
      <c r="J184" s="29">
        <v>102.81699999999999</v>
      </c>
      <c r="K184" s="12" t="s">
        <v>746</v>
      </c>
      <c r="L184" s="12" t="s">
        <v>747</v>
      </c>
      <c r="M184" s="13">
        <v>3441</v>
      </c>
      <c r="N184" s="14">
        <v>0.9</v>
      </c>
      <c r="O184" s="14">
        <v>656.8</v>
      </c>
      <c r="P184" s="14" t="s">
        <v>16</v>
      </c>
      <c r="Q184" s="75">
        <v>43</v>
      </c>
      <c r="R184" s="11" t="s">
        <v>999</v>
      </c>
      <c r="S184" s="12" t="s">
        <v>923</v>
      </c>
      <c r="T184" s="12" t="s">
        <v>138</v>
      </c>
      <c r="U184" s="12" t="s">
        <v>158</v>
      </c>
      <c r="V184" s="12" t="s">
        <v>274</v>
      </c>
      <c r="W184" s="23" t="s">
        <v>37</v>
      </c>
      <c r="X184" s="12" t="s">
        <v>280</v>
      </c>
      <c r="Y184" s="12" t="s">
        <v>37</v>
      </c>
      <c r="Z184" s="12" t="s">
        <v>37</v>
      </c>
      <c r="AA184" s="32" t="s">
        <v>345</v>
      </c>
      <c r="AB184" s="12">
        <v>7.5</v>
      </c>
      <c r="AC184" s="12" t="s">
        <v>42</v>
      </c>
      <c r="AD184" s="32" t="s">
        <v>345</v>
      </c>
      <c r="AE184" s="12">
        <v>206.37</v>
      </c>
      <c r="AF184" s="12" t="s">
        <v>42</v>
      </c>
      <c r="AG184" s="32" t="s">
        <v>345</v>
      </c>
      <c r="AH184" s="12">
        <v>13.85</v>
      </c>
      <c r="AJ184" s="12" t="str">
        <f t="shared" si="711"/>
        <v>0-10</v>
      </c>
      <c r="AK184" s="19">
        <f t="shared" si="712"/>
        <v>14.900361010830325</v>
      </c>
      <c r="AL184" s="32" t="s">
        <v>545</v>
      </c>
      <c r="AM184" s="12" t="s">
        <v>317</v>
      </c>
      <c r="AN184" s="32" t="s">
        <v>880</v>
      </c>
      <c r="AO184" s="12" t="s">
        <v>37</v>
      </c>
      <c r="AP184" s="12" t="s">
        <v>108</v>
      </c>
      <c r="AQ184" s="12" t="s">
        <v>975</v>
      </c>
      <c r="AR184" s="12" t="s">
        <v>42</v>
      </c>
      <c r="AS184" s="32" t="s">
        <v>345</v>
      </c>
      <c r="AT184" s="12">
        <v>206.37</v>
      </c>
      <c r="AU184" s="12">
        <f>20.09*SQRT(3)</f>
        <v>34.796900724058744</v>
      </c>
      <c r="AV184" s="13">
        <v>3</v>
      </c>
      <c r="AW184" s="19">
        <f t="shared" si="713"/>
        <v>0.16861414316062773</v>
      </c>
      <c r="AX184" s="12">
        <f t="shared" si="781"/>
        <v>146.98333333333335</v>
      </c>
      <c r="AY184" s="12">
        <f t="shared" si="782"/>
        <v>11.346138843970957</v>
      </c>
      <c r="AZ184" s="13">
        <v>3</v>
      </c>
      <c r="BA184" s="19">
        <f t="shared" si="714"/>
        <v>7.7193370068971243E-2</v>
      </c>
      <c r="BB184" s="52">
        <f t="shared" si="715"/>
        <v>-0.33935147253995229</v>
      </c>
      <c r="BC184" s="19">
        <f t="shared" si="716"/>
        <v>1.1463181885465936E-2</v>
      </c>
      <c r="BD184" s="32" t="s">
        <v>422</v>
      </c>
      <c r="BE184" s="12">
        <v>212.08</v>
      </c>
      <c r="BF184" s="12">
        <f t="shared" si="783"/>
        <v>52.34257540473147</v>
      </c>
      <c r="BG184" s="13">
        <v>3</v>
      </c>
      <c r="BH184" s="19">
        <f t="shared" si="784"/>
        <v>0.24680580632181945</v>
      </c>
      <c r="BI184" s="12">
        <f t="shared" si="785"/>
        <v>142.18999999999997</v>
      </c>
      <c r="BJ184" s="12">
        <f t="shared" si="786"/>
        <v>4.6547359395208083</v>
      </c>
      <c r="BK184" s="13">
        <v>3</v>
      </c>
      <c r="BL184" s="19">
        <f t="shared" si="717"/>
        <v>3.2736028831287782E-2</v>
      </c>
      <c r="BM184" s="52">
        <f t="shared" si="718"/>
        <v>-0.39979937057248727</v>
      </c>
      <c r="BN184" s="19">
        <f t="shared" si="719"/>
        <v>2.0661584539268786E-2</v>
      </c>
      <c r="BO184" s="32" t="s">
        <v>423</v>
      </c>
      <c r="BP184" s="12">
        <v>212.71</v>
      </c>
      <c r="BQ184" s="12">
        <f t="shared" si="787"/>
        <v>58.144945610087206</v>
      </c>
      <c r="BR184" s="13">
        <v>3</v>
      </c>
      <c r="BS184" s="19">
        <f t="shared" si="788"/>
        <v>0.27335313624224156</v>
      </c>
      <c r="BT184" s="12">
        <f t="shared" si="789"/>
        <v>142.67666666666665</v>
      </c>
      <c r="BU184" s="12">
        <f t="shared" si="790"/>
        <v>7.411724945427121</v>
      </c>
      <c r="BV184" s="13">
        <v>3</v>
      </c>
      <c r="BW184" s="19">
        <f t="shared" si="791"/>
        <v>5.1947701881366645E-2</v>
      </c>
      <c r="BX184" s="52">
        <f t="shared" si="720"/>
        <v>-0.3993487377603599</v>
      </c>
      <c r="BY184" s="19">
        <f t="shared" si="721"/>
        <v>2.5806833608074939E-2</v>
      </c>
      <c r="CA184" s="12" t="s">
        <v>37</v>
      </c>
      <c r="CB184" s="12" t="s">
        <v>37</v>
      </c>
      <c r="CC184" s="13" t="s">
        <v>37</v>
      </c>
      <c r="CE184" s="12" t="s">
        <v>37</v>
      </c>
      <c r="CF184" s="12" t="s">
        <v>37</v>
      </c>
      <c r="CG184" s="13" t="s">
        <v>37</v>
      </c>
      <c r="CN184" s="12" t="s">
        <v>37</v>
      </c>
      <c r="CO184" s="12" t="s">
        <v>37</v>
      </c>
      <c r="CP184" s="13" t="s">
        <v>37</v>
      </c>
      <c r="CR184" s="12" t="s">
        <v>37</v>
      </c>
      <c r="CS184" s="12" t="s">
        <v>37</v>
      </c>
      <c r="CT184" s="13" t="s">
        <v>37</v>
      </c>
      <c r="CX184" s="72"/>
      <c r="CY184" s="72"/>
      <c r="DA184" s="12" t="s">
        <v>37</v>
      </c>
      <c r="DB184" s="12" t="s">
        <v>37</v>
      </c>
      <c r="DC184" s="13" t="s">
        <v>37</v>
      </c>
      <c r="DE184" s="12" t="s">
        <v>37</v>
      </c>
      <c r="DF184" s="12" t="s">
        <v>37</v>
      </c>
      <c r="DG184" s="13" t="s">
        <v>37</v>
      </c>
      <c r="DM184" s="11" t="s">
        <v>47</v>
      </c>
      <c r="DN184" s="19">
        <f>DN182*0.55+DN183*0.45</f>
        <v>1212.2979432249506</v>
      </c>
      <c r="DO184" s="12">
        <f>SQRT(0.55^2*DO182^2+0.45^2*DO183^2)</f>
        <v>318.03950472765939</v>
      </c>
      <c r="DP184" s="13">
        <v>3</v>
      </c>
      <c r="DQ184" s="19">
        <f t="shared" si="707"/>
        <v>0.26234434076627389</v>
      </c>
      <c r="DR184" s="19">
        <f>AVERAGEA(0.13,0.12,0.17)*("2013/09/30"-"2013/05/01")*10^4*24/10^6/'[1]classes-1'!$I$49</f>
        <v>5.2453106713176574</v>
      </c>
      <c r="DS184" s="12">
        <f t="shared" ref="DS184:DS187" si="807">DS183</f>
        <v>10.686883582340696</v>
      </c>
      <c r="DT184" s="13">
        <v>3</v>
      </c>
      <c r="DU184" s="19">
        <f t="shared" si="708"/>
        <v>2.0374167045583365</v>
      </c>
      <c r="DV184" s="19">
        <f t="shared" si="710"/>
        <v>-1207.052632553633</v>
      </c>
      <c r="DW184" s="12">
        <f t="shared" si="709"/>
        <v>225.0148173433445</v>
      </c>
      <c r="DX184" s="72">
        <f t="shared" si="641"/>
        <v>33754.445349372458</v>
      </c>
      <c r="DY184" s="72">
        <f t="shared" si="642"/>
        <v>33754.445349372458</v>
      </c>
      <c r="EA184" s="19" t="s">
        <v>37</v>
      </c>
      <c r="EB184" s="19" t="s">
        <v>37</v>
      </c>
      <c r="EC184" s="72" t="s">
        <v>37</v>
      </c>
      <c r="EE184" s="19" t="s">
        <v>37</v>
      </c>
      <c r="EF184" s="19" t="s">
        <v>37</v>
      </c>
      <c r="EG184" s="12" t="s">
        <v>37</v>
      </c>
      <c r="EM184" s="12" t="s">
        <v>39</v>
      </c>
      <c r="EN184" s="12">
        <f>EN182*0.55+EN183*0.45</f>
        <v>15.494138888888889</v>
      </c>
      <c r="EO184" s="12">
        <f>SQRT(0.55^2*EO182^2+0.45^2*EO183^2)</f>
        <v>0.77024816389862394</v>
      </c>
      <c r="EP184" s="13">
        <v>3</v>
      </c>
      <c r="EQ184" s="19">
        <f t="shared" si="792"/>
        <v>4.9712227921939051E-2</v>
      </c>
      <c r="ER184" s="12">
        <f t="shared" ref="ER184:ER190" si="808">AVERAGEA(-91.63, -87.6, -88.66)</f>
        <v>-89.296666666666667</v>
      </c>
      <c r="ES184" s="12">
        <f t="shared" ref="ES184:ES187" si="809">SQRT((4.5*SQRT(3))^2+(6.25*SQRT(3))^2+(3.76*SQRT(3))^2)/3</f>
        <v>4.948066962629615</v>
      </c>
      <c r="ET184" s="13">
        <v>3</v>
      </c>
      <c r="EU184" s="19">
        <f t="shared" si="793"/>
        <v>5.5411552830971086E-2</v>
      </c>
      <c r="EV184" s="19">
        <f t="shared" si="701"/>
        <v>-104.79080555555555</v>
      </c>
      <c r="EW184" s="12">
        <f t="shared" si="702"/>
        <v>3.5409496537409186</v>
      </c>
      <c r="EX184" s="19">
        <f t="shared" si="703"/>
        <v>8.3588829668852878</v>
      </c>
      <c r="EY184" s="19">
        <f t="shared" si="704"/>
        <v>8.3588829668852895</v>
      </c>
      <c r="FB184" s="12" t="s">
        <v>37</v>
      </c>
      <c r="FC184" s="12" t="s">
        <v>37</v>
      </c>
      <c r="FD184" s="11" t="s">
        <v>37</v>
      </c>
      <c r="FE184" s="12" t="s">
        <v>37</v>
      </c>
      <c r="FF184" s="20" t="s">
        <v>37</v>
      </c>
      <c r="FG184" s="11" t="s">
        <v>37</v>
      </c>
      <c r="FI184" s="12" t="s">
        <v>37</v>
      </c>
      <c r="FJ184" s="12" t="s">
        <v>37</v>
      </c>
      <c r="FK184" s="11" t="s">
        <v>37</v>
      </c>
      <c r="FL184" s="13" t="s">
        <v>37</v>
      </c>
      <c r="FM184" s="11" t="s">
        <v>37</v>
      </c>
      <c r="FN184" s="11" t="s">
        <v>37</v>
      </c>
      <c r="FP184" s="12" t="s">
        <v>37</v>
      </c>
      <c r="FQ184" s="12" t="s">
        <v>37</v>
      </c>
      <c r="FR184" s="11" t="s">
        <v>37</v>
      </c>
      <c r="FS184" s="13" t="s">
        <v>37</v>
      </c>
      <c r="FT184" s="11" t="s">
        <v>37</v>
      </c>
      <c r="FU184" s="11" t="s">
        <v>37</v>
      </c>
      <c r="FW184" s="12" t="s">
        <v>37</v>
      </c>
      <c r="FX184" s="12" t="s">
        <v>37</v>
      </c>
      <c r="FY184" s="11" t="s">
        <v>37</v>
      </c>
      <c r="FZ184" s="13" t="s">
        <v>37</v>
      </c>
      <c r="GA184" s="11" t="s">
        <v>37</v>
      </c>
      <c r="GB184" s="11" t="s">
        <v>37</v>
      </c>
      <c r="GO184" s="12" t="s">
        <v>660</v>
      </c>
      <c r="GP184" s="12" t="s">
        <v>327</v>
      </c>
      <c r="GQ184" s="12">
        <f>GQ182*0.55+GQ183*0.45</f>
        <v>10.697568389057752</v>
      </c>
      <c r="GR184" s="12">
        <f>SQRT(0.55^2*GR182^2+0.45^2*GR183^2)</f>
        <v>0.70425088701842986</v>
      </c>
      <c r="GS184" s="13">
        <v>3</v>
      </c>
      <c r="GT184" s="19">
        <f t="shared" si="722"/>
        <v>6.5832800633346608E-2</v>
      </c>
      <c r="GU184" s="12">
        <f t="shared" si="794"/>
        <v>10.513333333333334</v>
      </c>
      <c r="GV184" s="12">
        <f t="shared" si="795"/>
        <v>1.0373523991392701</v>
      </c>
      <c r="GW184" s="13">
        <v>3</v>
      </c>
      <c r="GX184" s="19">
        <f t="shared" si="723"/>
        <v>9.8670171129290121E-2</v>
      </c>
      <c r="GY184" s="19">
        <f t="shared" si="724"/>
        <v>-1.7372169416031834E-2</v>
      </c>
      <c r="GZ184" s="19">
        <f t="shared" si="725"/>
        <v>4.6899201033044537E-3</v>
      </c>
      <c r="HA184" s="17" t="s">
        <v>63</v>
      </c>
      <c r="HB184" s="34" t="s">
        <v>345</v>
      </c>
      <c r="HC184" s="12">
        <v>0.31</v>
      </c>
      <c r="HD184" s="12">
        <f>0.04*SQRT(3)</f>
        <v>6.9282032302755092E-2</v>
      </c>
      <c r="HE184" s="13">
        <v>3</v>
      </c>
      <c r="HF184" s="19">
        <f t="shared" si="726"/>
        <v>0.22349042678308095</v>
      </c>
      <c r="HG184" s="12">
        <f t="shared" si="796"/>
        <v>0.5</v>
      </c>
      <c r="HH184" s="12">
        <f t="shared" si="797"/>
        <v>2.1602468994692866E-2</v>
      </c>
      <c r="HI184" s="13">
        <v>3</v>
      </c>
      <c r="HJ184" s="19">
        <f t="shared" si="727"/>
        <v>4.3204937989385732E-2</v>
      </c>
      <c r="HK184" s="19">
        <f t="shared" si="728"/>
        <v>0.47803580094299991</v>
      </c>
      <c r="HL184" s="19">
        <f t="shared" si="729"/>
        <v>1.7271545843450111E-2</v>
      </c>
      <c r="HM184" s="34" t="s">
        <v>422</v>
      </c>
      <c r="HN184" s="12">
        <v>0.28000000000000003</v>
      </c>
      <c r="HO184" s="12">
        <f t="shared" si="798"/>
        <v>8.6602540378443865E-2</v>
      </c>
      <c r="HP184" s="13">
        <v>3</v>
      </c>
      <c r="HQ184" s="19">
        <f t="shared" si="730"/>
        <v>0.30929478706587094</v>
      </c>
      <c r="HR184" s="12">
        <f t="shared" si="799"/>
        <v>0.51666666666666672</v>
      </c>
      <c r="HS184" s="12">
        <f t="shared" si="800"/>
        <v>2.3804761428476165E-2</v>
      </c>
      <c r="HT184" s="13">
        <v>3</v>
      </c>
      <c r="HU184" s="19">
        <f t="shared" si="731"/>
        <v>4.607373179705064E-2</v>
      </c>
      <c r="HV184" s="19">
        <f t="shared" si="732"/>
        <v>0.61260831807593308</v>
      </c>
      <c r="HW184" s="19">
        <f t="shared" si="733"/>
        <v>3.2595351355942992E-2</v>
      </c>
      <c r="HX184" s="34" t="s">
        <v>423</v>
      </c>
      <c r="HY184" s="12">
        <v>0.28000000000000003</v>
      </c>
      <c r="HZ184" s="12">
        <v>7.0000000000000007E-2</v>
      </c>
      <c r="IA184" s="13">
        <v>3</v>
      </c>
      <c r="IB184" s="19">
        <f t="shared" si="734"/>
        <v>0.25</v>
      </c>
      <c r="IC184" s="12">
        <f t="shared" si="801"/>
        <v>0.56333333333333335</v>
      </c>
      <c r="ID184" s="12">
        <f t="shared" si="802"/>
        <v>2.6457513110645908E-2</v>
      </c>
      <c r="IE184" s="13">
        <v>3</v>
      </c>
      <c r="IF184" s="19">
        <f t="shared" si="735"/>
        <v>4.6965999604696877E-2</v>
      </c>
      <c r="IG184" s="19">
        <f t="shared" si="736"/>
        <v>0.69908191607975989</v>
      </c>
      <c r="IH184" s="19">
        <f t="shared" si="737"/>
        <v>2.1568601706289464E-2</v>
      </c>
      <c r="IK184" s="12" t="s">
        <v>37</v>
      </c>
      <c r="IL184" s="12" t="s">
        <v>37</v>
      </c>
      <c r="IM184" s="12" t="s">
        <v>37</v>
      </c>
      <c r="IO184" s="12" t="s">
        <v>37</v>
      </c>
      <c r="IP184" s="12" t="s">
        <v>37</v>
      </c>
      <c r="IQ184" s="12" t="s">
        <v>37</v>
      </c>
      <c r="IV184" s="32" t="s">
        <v>345</v>
      </c>
      <c r="IW184" s="12">
        <v>7.5</v>
      </c>
      <c r="IX184" s="50">
        <f t="shared" si="738"/>
        <v>0.27459556971017351</v>
      </c>
      <c r="IY184" s="13">
        <v>3</v>
      </c>
      <c r="JA184" s="12">
        <f t="shared" si="803"/>
        <v>7.7</v>
      </c>
      <c r="JB184" s="50">
        <f t="shared" si="739"/>
        <v>0.21566782764991124</v>
      </c>
      <c r="JC184" s="13">
        <v>3</v>
      </c>
      <c r="JE184" s="19">
        <f t="shared" si="740"/>
        <v>2.6317308317373358E-2</v>
      </c>
      <c r="JF184" s="19">
        <f t="shared" si="741"/>
        <v>7.083287641133075E-4</v>
      </c>
      <c r="JH184" s="12" t="s">
        <v>37</v>
      </c>
      <c r="JI184" s="12" t="s">
        <v>37</v>
      </c>
      <c r="JJ184" s="13" t="s">
        <v>37</v>
      </c>
      <c r="JL184" s="12" t="s">
        <v>37</v>
      </c>
      <c r="JM184" s="12" t="s">
        <v>37</v>
      </c>
      <c r="JN184" s="12" t="s">
        <v>37</v>
      </c>
      <c r="JS184" s="12" t="s">
        <v>37</v>
      </c>
      <c r="JT184" s="12" t="s">
        <v>37</v>
      </c>
      <c r="JU184" s="13" t="s">
        <v>37</v>
      </c>
      <c r="JW184" s="12" t="s">
        <v>37</v>
      </c>
      <c r="JX184" s="12" t="s">
        <v>37</v>
      </c>
      <c r="JY184" s="12" t="s">
        <v>37</v>
      </c>
      <c r="KE184" s="11" t="s">
        <v>37</v>
      </c>
      <c r="KF184" s="11" t="s">
        <v>37</v>
      </c>
      <c r="KG184" s="13" t="s">
        <v>37</v>
      </c>
      <c r="KH184" s="11" t="s">
        <v>37</v>
      </c>
      <c r="KI184" s="11" t="s">
        <v>37</v>
      </c>
      <c r="KJ184" s="11" t="s">
        <v>37</v>
      </c>
      <c r="KK184" s="12" t="s">
        <v>42</v>
      </c>
      <c r="KL184" s="32" t="s">
        <v>345</v>
      </c>
      <c r="KM184" s="12">
        <v>13.85</v>
      </c>
      <c r="KN184" s="50">
        <f t="shared" si="742"/>
        <v>1.6522086231803037</v>
      </c>
      <c r="KO184" s="13">
        <v>3</v>
      </c>
      <c r="KQ184" s="12">
        <f t="shared" si="804"/>
        <v>13.093333333333334</v>
      </c>
      <c r="KR184" s="50">
        <f t="shared" si="743"/>
        <v>1.3806059790080172</v>
      </c>
      <c r="KS184" s="13">
        <v>3</v>
      </c>
      <c r="KU184" s="19">
        <f t="shared" si="744"/>
        <v>-5.6182037815192022E-2</v>
      </c>
      <c r="KV184" s="19">
        <f t="shared" si="745"/>
        <v>8.4497155628593251E-3</v>
      </c>
      <c r="KW184" s="32" t="s">
        <v>422</v>
      </c>
      <c r="KX184" s="12">
        <v>12.78</v>
      </c>
      <c r="KY184" s="50">
        <f t="shared" si="746"/>
        <v>0.94263258508549785</v>
      </c>
      <c r="KZ184" s="13">
        <v>3</v>
      </c>
      <c r="LB184" s="12">
        <f t="shared" si="805"/>
        <v>10.42</v>
      </c>
      <c r="LC184" s="50">
        <f t="shared" si="747"/>
        <v>1.2021689232752755</v>
      </c>
      <c r="LD184" s="13">
        <v>3</v>
      </c>
      <c r="LF184" s="19">
        <f t="shared" si="748"/>
        <v>-0.20415441262416789</v>
      </c>
      <c r="LG184" s="19">
        <f t="shared" si="749"/>
        <v>6.2502802071617812E-3</v>
      </c>
      <c r="LH184" s="32" t="s">
        <v>423</v>
      </c>
      <c r="LI184" s="12">
        <v>14.47</v>
      </c>
      <c r="LJ184" s="50">
        <f t="shared" si="750"/>
        <v>5.9091095965864069</v>
      </c>
      <c r="LK184" s="13">
        <v>3</v>
      </c>
      <c r="LM184" s="12">
        <f t="shared" si="806"/>
        <v>9.24</v>
      </c>
      <c r="LN184" s="50">
        <f t="shared" si="751"/>
        <v>2.6129223611324779</v>
      </c>
      <c r="LO184" s="13">
        <v>3</v>
      </c>
      <c r="LQ184" s="19">
        <f t="shared" si="752"/>
        <v>-0.44853565498979975</v>
      </c>
      <c r="LR184" s="19">
        <f t="shared" si="753"/>
        <v>8.2244164849791454E-2</v>
      </c>
      <c r="LT184" s="12" t="str">
        <f t="shared" si="754"/>
        <v>0-10</v>
      </c>
      <c r="LU184" s="12">
        <f t="shared" si="755"/>
        <v>14.900361010830325</v>
      </c>
      <c r="LV184" s="12">
        <f t="shared" si="756"/>
        <v>3.0776211067466939</v>
      </c>
      <c r="LW184" s="13">
        <f t="shared" si="757"/>
        <v>3</v>
      </c>
      <c r="LY184" s="12">
        <f t="shared" si="758"/>
        <v>11.225814663951121</v>
      </c>
      <c r="LZ184" s="12">
        <f t="shared" si="759"/>
        <v>1.4669839173067531</v>
      </c>
      <c r="MA184" s="13">
        <f t="shared" si="760"/>
        <v>3</v>
      </c>
      <c r="MC184" s="19">
        <f t="shared" si="761"/>
        <v>-0.28316943472476014</v>
      </c>
      <c r="MD184" s="19">
        <f t="shared" si="762"/>
        <v>1.9912897448325258E-2</v>
      </c>
      <c r="ME184" s="12" t="str">
        <f t="shared" si="763"/>
        <v>10-20</v>
      </c>
      <c r="MF184" s="12">
        <f t="shared" si="764"/>
        <v>16.594679186228483</v>
      </c>
      <c r="MG184" s="12">
        <f t="shared" si="765"/>
        <v>4.2746492513480874</v>
      </c>
      <c r="MH184" s="13">
        <f t="shared" si="766"/>
        <v>3</v>
      </c>
      <c r="MJ184" s="12">
        <f t="shared" si="767"/>
        <v>13.645873320537426</v>
      </c>
      <c r="MK184" s="12">
        <f t="shared" si="768"/>
        <v>1.6364915031081246</v>
      </c>
      <c r="ML184" s="13">
        <f t="shared" si="769"/>
        <v>3</v>
      </c>
      <c r="MN184" s="19">
        <f t="shared" si="770"/>
        <v>-0.19564495794831932</v>
      </c>
      <c r="MO184" s="19">
        <f t="shared" si="771"/>
        <v>2.6911864746430567E-2</v>
      </c>
      <c r="MP184" s="12" t="str">
        <f t="shared" si="772"/>
        <v>20-30</v>
      </c>
      <c r="MQ184" s="12">
        <f t="shared" si="773"/>
        <v>14.700069108500346</v>
      </c>
      <c r="MR184" s="12">
        <f t="shared" si="774"/>
        <v>7.2238202349748137</v>
      </c>
      <c r="MS184" s="13">
        <f t="shared" si="775"/>
        <v>3</v>
      </c>
      <c r="MU184" s="12">
        <f t="shared" si="776"/>
        <v>15.441197691197688</v>
      </c>
      <c r="MV184" s="12">
        <f t="shared" si="777"/>
        <v>4.4395858643684845</v>
      </c>
      <c r="MW184" s="13">
        <f t="shared" si="778"/>
        <v>3</v>
      </c>
      <c r="MY184" s="19">
        <f t="shared" si="779"/>
        <v>4.9186917229439714E-2</v>
      </c>
      <c r="MZ184" s="19">
        <f t="shared" si="780"/>
        <v>0.10805099845786641</v>
      </c>
      <c r="NC184" s="12" t="s">
        <v>37</v>
      </c>
      <c r="ND184" s="12" t="s">
        <v>37</v>
      </c>
      <c r="NE184" s="12" t="s">
        <v>37</v>
      </c>
      <c r="NG184" s="12" t="s">
        <v>37</v>
      </c>
      <c r="NH184" s="12" t="s">
        <v>37</v>
      </c>
      <c r="NI184" s="12" t="s">
        <v>37</v>
      </c>
      <c r="NO184" s="12" t="s">
        <v>37</v>
      </c>
      <c r="NP184" s="12" t="s">
        <v>37</v>
      </c>
      <c r="NQ184" s="12" t="s">
        <v>37</v>
      </c>
      <c r="NS184" s="12" t="s">
        <v>37</v>
      </c>
      <c r="NT184" s="12" t="s">
        <v>37</v>
      </c>
      <c r="NU184" s="12" t="s">
        <v>37</v>
      </c>
      <c r="OA184" s="12" t="s">
        <v>37</v>
      </c>
      <c r="OB184" s="12" t="s">
        <v>37</v>
      </c>
      <c r="OC184" s="12" t="s">
        <v>37</v>
      </c>
      <c r="OD184" s="12"/>
      <c r="OE184" s="12" t="s">
        <v>37</v>
      </c>
      <c r="OF184" s="12" t="s">
        <v>37</v>
      </c>
      <c r="OG184" s="12" t="s">
        <v>37</v>
      </c>
      <c r="OH184" s="12"/>
      <c r="OI184" s="12"/>
      <c r="OJ184" s="12"/>
      <c r="OM184" s="12" t="s">
        <v>37</v>
      </c>
      <c r="ON184" s="12" t="s">
        <v>37</v>
      </c>
      <c r="OO184" s="12" t="s">
        <v>37</v>
      </c>
      <c r="OP184" s="12" t="s">
        <v>37</v>
      </c>
      <c r="OQ184" s="12" t="s">
        <v>37</v>
      </c>
      <c r="OR184" s="12" t="s">
        <v>37</v>
      </c>
      <c r="OS184" s="12"/>
      <c r="OT184" s="12"/>
      <c r="OW184" s="12" t="s">
        <v>37</v>
      </c>
      <c r="OX184" s="12" t="s">
        <v>37</v>
      </c>
      <c r="OY184" s="13" t="s">
        <v>37</v>
      </c>
      <c r="OZ184" s="12" t="s">
        <v>37</v>
      </c>
      <c r="PA184" s="12" t="s">
        <v>37</v>
      </c>
      <c r="PB184" s="13" t="s">
        <v>37</v>
      </c>
      <c r="PG184" s="11" t="s">
        <v>37</v>
      </c>
      <c r="PH184" s="11" t="s">
        <v>37</v>
      </c>
      <c r="PI184" s="13" t="s">
        <v>37</v>
      </c>
      <c r="PJ184" s="11" t="s">
        <v>37</v>
      </c>
      <c r="PK184" s="11" t="s">
        <v>37</v>
      </c>
      <c r="PL184" s="13" t="s">
        <v>37</v>
      </c>
      <c r="PQ184" s="12" t="s">
        <v>37</v>
      </c>
      <c r="PR184" s="12" t="s">
        <v>37</v>
      </c>
      <c r="PS184" s="12" t="s">
        <v>37</v>
      </c>
      <c r="PT184" s="12" t="s">
        <v>37</v>
      </c>
      <c r="PU184" s="12" t="s">
        <v>37</v>
      </c>
      <c r="PV184" s="12" t="s">
        <v>37</v>
      </c>
      <c r="PW184" s="12"/>
      <c r="PX184" s="12"/>
      <c r="PZ184" s="12" t="s">
        <v>37</v>
      </c>
      <c r="QA184" s="12" t="s">
        <v>37</v>
      </c>
      <c r="QB184" s="11" t="s">
        <v>37</v>
      </c>
      <c r="QD184" s="12" t="s">
        <v>37</v>
      </c>
      <c r="QE184" s="12" t="s">
        <v>37</v>
      </c>
      <c r="QF184" s="12" t="s">
        <v>37</v>
      </c>
      <c r="QK184" s="12" t="s">
        <v>37</v>
      </c>
      <c r="QL184" s="12" t="s">
        <v>37</v>
      </c>
      <c r="QM184" s="12" t="s">
        <v>37</v>
      </c>
      <c r="QN184" s="12" t="s">
        <v>37</v>
      </c>
      <c r="QO184" s="12" t="s">
        <v>37</v>
      </c>
      <c r="QP184" s="12" t="s">
        <v>37</v>
      </c>
      <c r="QQ184" s="12"/>
      <c r="QR184" s="12"/>
      <c r="QU184" s="12" t="s">
        <v>37</v>
      </c>
      <c r="QV184" s="12" t="s">
        <v>37</v>
      </c>
      <c r="QW184" s="12" t="s">
        <v>37</v>
      </c>
      <c r="QX184" s="12" t="s">
        <v>37</v>
      </c>
      <c r="QY184" s="12" t="s">
        <v>37</v>
      </c>
      <c r="QZ184" s="12" t="s">
        <v>37</v>
      </c>
      <c r="RC184" s="12" t="s">
        <v>37</v>
      </c>
      <c r="RD184" s="12" t="s">
        <v>37</v>
      </c>
      <c r="RE184" s="13" t="s">
        <v>37</v>
      </c>
      <c r="RF184" s="12" t="s">
        <v>37</v>
      </c>
      <c r="RG184" s="12" t="s">
        <v>37</v>
      </c>
      <c r="RH184" s="13" t="s">
        <v>37</v>
      </c>
      <c r="RK184" s="12" t="s">
        <v>37</v>
      </c>
      <c r="RL184" s="12" t="s">
        <v>37</v>
      </c>
      <c r="RM184" s="11" t="s">
        <v>37</v>
      </c>
      <c r="RN184" s="12" t="s">
        <v>37</v>
      </c>
      <c r="RO184" s="12" t="s">
        <v>37</v>
      </c>
      <c r="RP184" s="11" t="s">
        <v>37</v>
      </c>
      <c r="RS184" s="12" t="s">
        <v>37</v>
      </c>
      <c r="RT184" s="12" t="s">
        <v>37</v>
      </c>
      <c r="RU184" s="12" t="s">
        <v>37</v>
      </c>
      <c r="RV184" s="12" t="s">
        <v>37</v>
      </c>
      <c r="RW184" s="12" t="s">
        <v>37</v>
      </c>
      <c r="RX184" s="12" t="s">
        <v>37</v>
      </c>
      <c r="SA184" s="12" t="s">
        <v>37</v>
      </c>
      <c r="SB184" s="12" t="s">
        <v>37</v>
      </c>
      <c r="SC184" s="12" t="s">
        <v>37</v>
      </c>
      <c r="SD184" s="12" t="s">
        <v>37</v>
      </c>
      <c r="SE184" s="12" t="s">
        <v>37</v>
      </c>
      <c r="SF184" s="12" t="s">
        <v>37</v>
      </c>
      <c r="SI184" s="12" t="s">
        <v>37</v>
      </c>
      <c r="SJ184" s="12" t="s">
        <v>37</v>
      </c>
      <c r="SK184" s="13" t="s">
        <v>37</v>
      </c>
      <c r="SM184" s="12" t="s">
        <v>37</v>
      </c>
      <c r="SN184" s="12" t="s">
        <v>37</v>
      </c>
      <c r="SO184" s="13" t="s">
        <v>37</v>
      </c>
      <c r="SU184" s="12" t="s">
        <v>37</v>
      </c>
      <c r="SV184" s="12" t="s">
        <v>37</v>
      </c>
      <c r="SW184" s="11" t="s">
        <v>37</v>
      </c>
      <c r="SX184" s="12" t="s">
        <v>37</v>
      </c>
      <c r="SY184" s="12" t="s">
        <v>37</v>
      </c>
      <c r="SZ184" s="11" t="s">
        <v>37</v>
      </c>
      <c r="TE184" s="12" t="s">
        <v>37</v>
      </c>
      <c r="TF184" s="12" t="s">
        <v>37</v>
      </c>
      <c r="TG184" s="11" t="s">
        <v>37</v>
      </c>
      <c r="TH184" s="12" t="s">
        <v>37</v>
      </c>
      <c r="TI184" s="12" t="s">
        <v>37</v>
      </c>
      <c r="TJ184" s="11" t="s">
        <v>37</v>
      </c>
      <c r="TO184" s="12" t="s">
        <v>37</v>
      </c>
      <c r="TP184" s="12" t="s">
        <v>37</v>
      </c>
      <c r="TQ184" s="11" t="s">
        <v>37</v>
      </c>
      <c r="TR184" s="12" t="s">
        <v>37</v>
      </c>
      <c r="TS184" s="12" t="s">
        <v>37</v>
      </c>
      <c r="TT184" s="11" t="s">
        <v>37</v>
      </c>
      <c r="TY184" s="12" t="s">
        <v>37</v>
      </c>
      <c r="TZ184" s="12" t="s">
        <v>37</v>
      </c>
      <c r="UA184" s="12" t="s">
        <v>37</v>
      </c>
      <c r="UB184" s="12" t="s">
        <v>37</v>
      </c>
      <c r="UC184" s="12" t="s">
        <v>37</v>
      </c>
      <c r="UD184" s="12" t="s">
        <v>37</v>
      </c>
      <c r="UE184" s="12"/>
      <c r="UF184" s="12"/>
      <c r="UI184" s="12" t="s">
        <v>37</v>
      </c>
      <c r="UJ184" s="12" t="s">
        <v>37</v>
      </c>
      <c r="UK184" s="12" t="s">
        <v>37</v>
      </c>
      <c r="UL184" s="12" t="s">
        <v>37</v>
      </c>
      <c r="UM184" s="12" t="s">
        <v>37</v>
      </c>
      <c r="UN184" s="12" t="s">
        <v>37</v>
      </c>
      <c r="UO184" s="12"/>
      <c r="UP184" s="12"/>
      <c r="UR184" s="12" t="s">
        <v>37</v>
      </c>
      <c r="US184" s="12" t="s">
        <v>37</v>
      </c>
      <c r="UT184" s="12" t="s">
        <v>37</v>
      </c>
      <c r="UU184" s="12" t="s">
        <v>37</v>
      </c>
      <c r="UV184" s="12" t="s">
        <v>37</v>
      </c>
      <c r="UW184" s="12" t="s">
        <v>37</v>
      </c>
      <c r="UX184" s="12"/>
      <c r="UY184" s="12"/>
      <c r="VB184" s="12" t="s">
        <v>37</v>
      </c>
      <c r="VC184" s="12" t="s">
        <v>37</v>
      </c>
      <c r="VD184" s="12" t="s">
        <v>37</v>
      </c>
      <c r="VE184" s="12" t="s">
        <v>37</v>
      </c>
      <c r="VF184" s="12" t="s">
        <v>37</v>
      </c>
      <c r="VG184" s="12" t="s">
        <v>37</v>
      </c>
      <c r="VI184" s="12" t="s">
        <v>37</v>
      </c>
      <c r="VJ184" s="12" t="s">
        <v>37</v>
      </c>
      <c r="VK184" s="12" t="s">
        <v>37</v>
      </c>
      <c r="VL184" s="12" t="s">
        <v>37</v>
      </c>
      <c r="VM184" s="12" t="s">
        <v>37</v>
      </c>
      <c r="VN184" s="12" t="s">
        <v>37</v>
      </c>
      <c r="VQ184" s="13" t="s">
        <v>37</v>
      </c>
      <c r="VR184" s="13" t="s">
        <v>37</v>
      </c>
      <c r="VS184" s="13" t="s">
        <v>37</v>
      </c>
      <c r="VT184" s="13" t="s">
        <v>37</v>
      </c>
      <c r="VU184" s="13" t="s">
        <v>37</v>
      </c>
      <c r="VV184" s="13" t="s">
        <v>37</v>
      </c>
      <c r="WA184" s="13" t="s">
        <v>37</v>
      </c>
      <c r="WB184" s="13" t="s">
        <v>37</v>
      </c>
      <c r="WC184" s="13" t="s">
        <v>37</v>
      </c>
      <c r="WD184" s="13" t="s">
        <v>37</v>
      </c>
      <c r="WE184" s="13" t="s">
        <v>37</v>
      </c>
      <c r="WF184" s="13" t="s">
        <v>37</v>
      </c>
    </row>
    <row r="185" spans="1:604" ht="18" customHeight="1" x14ac:dyDescent="0.3">
      <c r="A185" s="11">
        <v>45</v>
      </c>
      <c r="B185" s="16" t="s">
        <v>272</v>
      </c>
      <c r="C185" s="12" t="s">
        <v>26</v>
      </c>
      <c r="D185" s="12" t="s">
        <v>1039</v>
      </c>
      <c r="E185" s="40" t="s">
        <v>37</v>
      </c>
      <c r="F185" s="14">
        <v>0</v>
      </c>
      <c r="G185" s="14">
        <v>0</v>
      </c>
      <c r="H185" s="12" t="s">
        <v>79</v>
      </c>
      <c r="I185" s="29">
        <v>33.917000000000002</v>
      </c>
      <c r="J185" s="29">
        <v>102.81699999999999</v>
      </c>
      <c r="K185" s="12" t="s">
        <v>746</v>
      </c>
      <c r="L185" s="12" t="s">
        <v>747</v>
      </c>
      <c r="M185" s="13">
        <v>3441</v>
      </c>
      <c r="N185" s="14">
        <v>0.9</v>
      </c>
      <c r="O185" s="14">
        <v>656.8</v>
      </c>
      <c r="P185" s="14" t="s">
        <v>16</v>
      </c>
      <c r="Q185" s="75">
        <v>43</v>
      </c>
      <c r="R185" s="11" t="s">
        <v>999</v>
      </c>
      <c r="S185" s="12" t="s">
        <v>923</v>
      </c>
      <c r="T185" s="12" t="s">
        <v>138</v>
      </c>
      <c r="U185" s="12" t="s">
        <v>163</v>
      </c>
      <c r="V185" s="12" t="s">
        <v>275</v>
      </c>
      <c r="W185" s="23" t="s">
        <v>276</v>
      </c>
      <c r="X185" s="12" t="s">
        <v>280</v>
      </c>
      <c r="Y185" s="12" t="s">
        <v>37</v>
      </c>
      <c r="Z185" s="12" t="s">
        <v>37</v>
      </c>
      <c r="AA185" s="32" t="s">
        <v>345</v>
      </c>
      <c r="AB185" s="12">
        <v>7.2</v>
      </c>
      <c r="AC185" s="12" t="s">
        <v>42</v>
      </c>
      <c r="AD185" s="32" t="s">
        <v>345</v>
      </c>
      <c r="AE185" s="12">
        <v>160.87</v>
      </c>
      <c r="AF185" s="12" t="s">
        <v>42</v>
      </c>
      <c r="AG185" s="32" t="s">
        <v>345</v>
      </c>
      <c r="AH185" s="12">
        <v>18.71</v>
      </c>
      <c r="AJ185" s="12" t="str">
        <f t="shared" si="711"/>
        <v>0-10</v>
      </c>
      <c r="AK185" s="19">
        <f t="shared" si="712"/>
        <v>8.5980758952431859</v>
      </c>
      <c r="AL185" s="32" t="s">
        <v>545</v>
      </c>
      <c r="AM185" s="12" t="s">
        <v>317</v>
      </c>
      <c r="AN185" s="32" t="s">
        <v>880</v>
      </c>
      <c r="AO185" s="12" t="s">
        <v>37</v>
      </c>
      <c r="AP185" s="12" t="s">
        <v>108</v>
      </c>
      <c r="AQ185" s="12" t="s">
        <v>975</v>
      </c>
      <c r="AR185" s="12" t="s">
        <v>42</v>
      </c>
      <c r="AS185" s="32" t="s">
        <v>345</v>
      </c>
      <c r="AT185" s="12">
        <v>160.87</v>
      </c>
      <c r="AU185" s="12">
        <f>40.23*SQRT(3)</f>
        <v>69.680403988495925</v>
      </c>
      <c r="AV185" s="13">
        <v>3</v>
      </c>
      <c r="AW185" s="19">
        <f t="shared" si="713"/>
        <v>0.43314728655744344</v>
      </c>
      <c r="AX185" s="12">
        <f t="shared" si="781"/>
        <v>146.98333333333335</v>
      </c>
      <c r="AY185" s="12">
        <f t="shared" si="782"/>
        <v>11.346138843970957</v>
      </c>
      <c r="AZ185" s="13">
        <v>3</v>
      </c>
      <c r="BA185" s="19">
        <f t="shared" si="714"/>
        <v>7.7193370068971243E-2</v>
      </c>
      <c r="BB185" s="52">
        <f t="shared" si="715"/>
        <v>-9.0277383736136335E-2</v>
      </c>
      <c r="BC185" s="19">
        <f t="shared" si="716"/>
        <v>6.4525129411560384E-2</v>
      </c>
      <c r="BD185" s="32" t="s">
        <v>422</v>
      </c>
      <c r="BE185" s="12">
        <v>146.58000000000001</v>
      </c>
      <c r="BF185" s="12">
        <f>43.82*SQRT(3)</f>
        <v>75.898466387668194</v>
      </c>
      <c r="BG185" s="13">
        <v>3</v>
      </c>
      <c r="BH185" s="19">
        <f t="shared" si="784"/>
        <v>0.51779551362851817</v>
      </c>
      <c r="BI185" s="12">
        <f t="shared" si="785"/>
        <v>142.18999999999997</v>
      </c>
      <c r="BJ185" s="12">
        <f t="shared" si="786"/>
        <v>4.6547359395208083</v>
      </c>
      <c r="BK185" s="13">
        <v>3</v>
      </c>
      <c r="BL185" s="19">
        <f t="shared" si="717"/>
        <v>3.2736028831287782E-2</v>
      </c>
      <c r="BM185" s="52">
        <f t="shared" si="718"/>
        <v>-3.0407163089421381E-2</v>
      </c>
      <c r="BN185" s="19">
        <f t="shared" si="719"/>
        <v>8.9727947172487929E-2</v>
      </c>
      <c r="BO185" s="32" t="s">
        <v>423</v>
      </c>
      <c r="BP185" s="12">
        <v>147.76</v>
      </c>
      <c r="BQ185" s="12">
        <f>45.55*SQRT(3)</f>
        <v>78.894914284762351</v>
      </c>
      <c r="BR185" s="13">
        <v>3</v>
      </c>
      <c r="BS185" s="19">
        <f t="shared" si="788"/>
        <v>0.5339395931562152</v>
      </c>
      <c r="BT185" s="12">
        <f t="shared" si="789"/>
        <v>142.67666666666665</v>
      </c>
      <c r="BU185" s="12">
        <f t="shared" si="790"/>
        <v>7.411724945427121</v>
      </c>
      <c r="BV185" s="13">
        <v>3</v>
      </c>
      <c r="BW185" s="19">
        <f t="shared" si="791"/>
        <v>5.1947701881366645E-2</v>
      </c>
      <c r="BX185" s="52">
        <f t="shared" si="720"/>
        <v>-3.5008337975785189E-2</v>
      </c>
      <c r="BY185" s="19">
        <f t="shared" si="721"/>
        <v>9.5930017623526639E-2</v>
      </c>
      <c r="CA185" s="12" t="s">
        <v>37</v>
      </c>
      <c r="CB185" s="12" t="s">
        <v>37</v>
      </c>
      <c r="CC185" s="13" t="s">
        <v>37</v>
      </c>
      <c r="CE185" s="12" t="s">
        <v>37</v>
      </c>
      <c r="CF185" s="12" t="s">
        <v>37</v>
      </c>
      <c r="CG185" s="13" t="s">
        <v>37</v>
      </c>
      <c r="CN185" s="12" t="s">
        <v>37</v>
      </c>
      <c r="CO185" s="12" t="s">
        <v>37</v>
      </c>
      <c r="CP185" s="13" t="s">
        <v>37</v>
      </c>
      <c r="CR185" s="12" t="s">
        <v>37</v>
      </c>
      <c r="CS185" s="12" t="s">
        <v>37</v>
      </c>
      <c r="CT185" s="13" t="s">
        <v>37</v>
      </c>
      <c r="CX185" s="72"/>
      <c r="CY185" s="72"/>
      <c r="DA185" s="12" t="s">
        <v>37</v>
      </c>
      <c r="DB185" s="12" t="s">
        <v>37</v>
      </c>
      <c r="DC185" s="13" t="s">
        <v>37</v>
      </c>
      <c r="DE185" s="12" t="s">
        <v>37</v>
      </c>
      <c r="DF185" s="12" t="s">
        <v>37</v>
      </c>
      <c r="DG185" s="13" t="s">
        <v>37</v>
      </c>
      <c r="DM185" s="11" t="s">
        <v>47</v>
      </c>
      <c r="DN185" s="19">
        <f>7.91*("2013/09/30"-"2013/05/01")*10^4*24/10^6/'[1]classes-1'!$I$50</f>
        <v>319.20253634957294</v>
      </c>
      <c r="DO185" s="12">
        <f>SQRT((1/[2]Classes!$I$50)^2*(1.65*SQRT(3)*("2013/10/27"-"2013/06/04")*10^4*24/10^6)^2+(-DN185/([2]Classes!$I$50)^2)^2*([2]Classes!$J$50)^2)</f>
        <v>123.29702910462079</v>
      </c>
      <c r="DP185" s="13">
        <v>3</v>
      </c>
      <c r="DQ185" s="19">
        <f t="shared" si="707"/>
        <v>0.38626581892066392</v>
      </c>
      <c r="DR185" s="19">
        <f>AVERAGEA(0.13,0.12,0.17)*("2013/09/30"-"2013/05/01")*10^4*24/10^6/'[1]classes-1'!$I$51</f>
        <v>5.2453106713176574</v>
      </c>
      <c r="DS185" s="12">
        <f t="shared" si="807"/>
        <v>10.686883582340696</v>
      </c>
      <c r="DT185" s="13">
        <v>3</v>
      </c>
      <c r="DU185" s="19">
        <f t="shared" si="708"/>
        <v>2.0374167045583365</v>
      </c>
      <c r="DV185" s="19">
        <f t="shared" si="710"/>
        <v>-313.95722567825527</v>
      </c>
      <c r="DW185" s="12">
        <f t="shared" si="709"/>
        <v>87.511047493239985</v>
      </c>
      <c r="DX185" s="72">
        <f t="shared" si="641"/>
        <v>5105.4556222427364</v>
      </c>
      <c r="DY185" s="72">
        <f t="shared" si="642"/>
        <v>5105.4556222427364</v>
      </c>
      <c r="EA185" s="19" t="s">
        <v>37</v>
      </c>
      <c r="EB185" s="19" t="s">
        <v>37</v>
      </c>
      <c r="EC185" s="72" t="s">
        <v>37</v>
      </c>
      <c r="EE185" s="19" t="s">
        <v>37</v>
      </c>
      <c r="EF185" s="19" t="s">
        <v>37</v>
      </c>
      <c r="EG185" s="12" t="s">
        <v>37</v>
      </c>
      <c r="EM185" s="12" t="s">
        <v>39</v>
      </c>
      <c r="EN185" s="12">
        <v>-29.297839506172831</v>
      </c>
      <c r="EO185" s="12">
        <v>7.4871417952407429</v>
      </c>
      <c r="EP185" s="13">
        <v>3</v>
      </c>
      <c r="EQ185" s="19">
        <f t="shared" si="792"/>
        <v>0.25555269335348973</v>
      </c>
      <c r="ER185" s="12">
        <f t="shared" si="808"/>
        <v>-89.296666666666667</v>
      </c>
      <c r="ES185" s="12">
        <f t="shared" si="809"/>
        <v>4.948066962629615</v>
      </c>
      <c r="ET185" s="13">
        <v>3</v>
      </c>
      <c r="EU185" s="19">
        <f t="shared" si="793"/>
        <v>5.5411552830971086E-2</v>
      </c>
      <c r="EV185" s="19">
        <f t="shared" si="701"/>
        <v>-59.998827160493832</v>
      </c>
      <c r="EW185" s="12">
        <f t="shared" si="702"/>
        <v>6.3458907542088783</v>
      </c>
      <c r="EX185" s="19">
        <f t="shared" si="703"/>
        <v>26.846886309569147</v>
      </c>
      <c r="EY185" s="19">
        <f t="shared" si="704"/>
        <v>26.846886309569147</v>
      </c>
      <c r="FB185" s="12" t="s">
        <v>37</v>
      </c>
      <c r="FC185" s="12" t="s">
        <v>37</v>
      </c>
      <c r="FD185" s="11" t="s">
        <v>37</v>
      </c>
      <c r="FE185" s="12" t="s">
        <v>37</v>
      </c>
      <c r="FF185" s="20" t="s">
        <v>37</v>
      </c>
      <c r="FG185" s="11" t="s">
        <v>37</v>
      </c>
      <c r="FI185" s="12" t="s">
        <v>37</v>
      </c>
      <c r="FJ185" s="12" t="s">
        <v>37</v>
      </c>
      <c r="FK185" s="11" t="s">
        <v>37</v>
      </c>
      <c r="FL185" s="13" t="s">
        <v>37</v>
      </c>
      <c r="FM185" s="11" t="s">
        <v>37</v>
      </c>
      <c r="FN185" s="11" t="s">
        <v>37</v>
      </c>
      <c r="FP185" s="12" t="s">
        <v>37</v>
      </c>
      <c r="FQ185" s="12" t="s">
        <v>37</v>
      </c>
      <c r="FR185" s="11" t="s">
        <v>37</v>
      </c>
      <c r="FS185" s="13" t="s">
        <v>37</v>
      </c>
      <c r="FT185" s="11" t="s">
        <v>37</v>
      </c>
      <c r="FU185" s="11" t="s">
        <v>37</v>
      </c>
      <c r="FW185" s="12" t="s">
        <v>37</v>
      </c>
      <c r="FX185" s="12" t="s">
        <v>37</v>
      </c>
      <c r="FY185" s="11" t="s">
        <v>37</v>
      </c>
      <c r="FZ185" s="13" t="s">
        <v>37</v>
      </c>
      <c r="GA185" s="11" t="s">
        <v>37</v>
      </c>
      <c r="GB185" s="11" t="s">
        <v>37</v>
      </c>
      <c r="GO185" s="12" t="s">
        <v>660</v>
      </c>
      <c r="GP185" s="12" t="s">
        <v>327</v>
      </c>
      <c r="GQ185" s="12">
        <v>10.638297872340425</v>
      </c>
      <c r="GR185" s="12">
        <v>1.5305929120591282</v>
      </c>
      <c r="GS185" s="13">
        <v>3</v>
      </c>
      <c r="GT185" s="19">
        <f t="shared" si="722"/>
        <v>0.14387573373355805</v>
      </c>
      <c r="GU185" s="12">
        <f t="shared" si="794"/>
        <v>10.513333333333334</v>
      </c>
      <c r="GV185" s="12">
        <f t="shared" si="795"/>
        <v>1.0373523991392701</v>
      </c>
      <c r="GW185" s="13">
        <v>3</v>
      </c>
      <c r="GX185" s="19">
        <f t="shared" si="723"/>
        <v>9.8670171129290121E-2</v>
      </c>
      <c r="GY185" s="19">
        <f t="shared" si="724"/>
        <v>-1.1816203845350426E-2</v>
      </c>
      <c r="GZ185" s="19">
        <f t="shared" si="725"/>
        <v>1.0145343142684364E-2</v>
      </c>
      <c r="HA185" s="17" t="s">
        <v>63</v>
      </c>
      <c r="HB185" s="34" t="s">
        <v>345</v>
      </c>
      <c r="HC185" s="12">
        <v>0.35</v>
      </c>
      <c r="HD185" s="12">
        <f>0.05*SQRT(3)</f>
        <v>8.6602540378443865E-2</v>
      </c>
      <c r="HE185" s="13">
        <v>3</v>
      </c>
      <c r="HF185" s="19">
        <f t="shared" si="726"/>
        <v>0.24743582965269678</v>
      </c>
      <c r="HG185" s="12">
        <f t="shared" si="796"/>
        <v>0.5</v>
      </c>
      <c r="HH185" s="12">
        <f t="shared" si="797"/>
        <v>2.1602468994692866E-2</v>
      </c>
      <c r="HI185" s="13">
        <v>3</v>
      </c>
      <c r="HJ185" s="19">
        <f t="shared" si="727"/>
        <v>4.3204937989385732E-2</v>
      </c>
      <c r="HK185" s="19">
        <f t="shared" si="728"/>
        <v>0.35667494393873239</v>
      </c>
      <c r="HL185" s="19">
        <f t="shared" si="729"/>
        <v>2.1030385487528346E-2</v>
      </c>
      <c r="HM185" s="34" t="s">
        <v>422</v>
      </c>
      <c r="HN185" s="12">
        <v>0.42</v>
      </c>
      <c r="HO185" s="12">
        <f>0.12*SQRT(3)</f>
        <v>0.20784609690826525</v>
      </c>
      <c r="HP185" s="13">
        <v>3</v>
      </c>
      <c r="HQ185" s="19">
        <f t="shared" si="730"/>
        <v>0.49487165930539345</v>
      </c>
      <c r="HR185" s="12">
        <f t="shared" si="799"/>
        <v>0.51666666666666672</v>
      </c>
      <c r="HS185" s="12">
        <f t="shared" si="800"/>
        <v>2.3804761428476165E-2</v>
      </c>
      <c r="HT185" s="13">
        <v>3</v>
      </c>
      <c r="HU185" s="19">
        <f t="shared" si="731"/>
        <v>4.607373179705064E-2</v>
      </c>
      <c r="HV185" s="19">
        <f t="shared" si="732"/>
        <v>0.20714320996776869</v>
      </c>
      <c r="HW185" s="19">
        <f t="shared" si="733"/>
        <v>8.2340249315126665E-2</v>
      </c>
      <c r="HX185" s="34" t="s">
        <v>423</v>
      </c>
      <c r="HY185" s="12">
        <v>0.41</v>
      </c>
      <c r="HZ185" s="12">
        <f>0.11*SQRT(3)</f>
        <v>0.1905255888325765</v>
      </c>
      <c r="IA185" s="13">
        <v>3</v>
      </c>
      <c r="IB185" s="19">
        <f t="shared" si="734"/>
        <v>0.4646965581282354</v>
      </c>
      <c r="IC185" s="12">
        <f t="shared" si="801"/>
        <v>0.56333333333333335</v>
      </c>
      <c r="ID185" s="12">
        <f t="shared" si="802"/>
        <v>2.6457513110645908E-2</v>
      </c>
      <c r="IE185" s="13">
        <v>3</v>
      </c>
      <c r="IF185" s="19">
        <f t="shared" si="735"/>
        <v>4.6965999604696877E-2</v>
      </c>
      <c r="IG185" s="19">
        <f t="shared" si="736"/>
        <v>0.31771435955065602</v>
      </c>
      <c r="IH185" s="19">
        <f t="shared" si="737"/>
        <v>7.2716232085032279E-2</v>
      </c>
      <c r="IK185" s="12" t="s">
        <v>37</v>
      </c>
      <c r="IL185" s="12" t="s">
        <v>37</v>
      </c>
      <c r="IM185" s="12" t="s">
        <v>37</v>
      </c>
      <c r="IO185" s="12" t="s">
        <v>37</v>
      </c>
      <c r="IP185" s="12" t="s">
        <v>37</v>
      </c>
      <c r="IQ185" s="12" t="s">
        <v>37</v>
      </c>
      <c r="IV185" s="32" t="s">
        <v>345</v>
      </c>
      <c r="IW185" s="12">
        <v>7.2</v>
      </c>
      <c r="IX185" s="50">
        <f t="shared" si="738"/>
        <v>0.26361174692176659</v>
      </c>
      <c r="IY185" s="13">
        <v>3</v>
      </c>
      <c r="JA185" s="12">
        <f t="shared" si="803"/>
        <v>7.7</v>
      </c>
      <c r="JB185" s="50">
        <f t="shared" si="739"/>
        <v>0.21566782764991124</v>
      </c>
      <c r="JC185" s="13">
        <v>3</v>
      </c>
      <c r="JE185" s="19">
        <f t="shared" si="740"/>
        <v>6.713930283762852E-2</v>
      </c>
      <c r="JF185" s="19">
        <f t="shared" si="741"/>
        <v>7.0832876411330761E-4</v>
      </c>
      <c r="JH185" s="12" t="s">
        <v>37</v>
      </c>
      <c r="JI185" s="12" t="s">
        <v>37</v>
      </c>
      <c r="JJ185" s="13" t="s">
        <v>37</v>
      </c>
      <c r="JL185" s="12" t="s">
        <v>37</v>
      </c>
      <c r="JM185" s="12" t="s">
        <v>37</v>
      </c>
      <c r="JN185" s="12" t="s">
        <v>37</v>
      </c>
      <c r="JS185" s="12" t="s">
        <v>37</v>
      </c>
      <c r="JT185" s="12" t="s">
        <v>37</v>
      </c>
      <c r="JU185" s="13" t="s">
        <v>37</v>
      </c>
      <c r="JW185" s="12" t="s">
        <v>37</v>
      </c>
      <c r="JX185" s="12" t="s">
        <v>37</v>
      </c>
      <c r="JY185" s="12" t="s">
        <v>37</v>
      </c>
      <c r="KE185" s="11" t="s">
        <v>37</v>
      </c>
      <c r="KF185" s="11" t="s">
        <v>37</v>
      </c>
      <c r="KG185" s="13" t="s">
        <v>37</v>
      </c>
      <c r="KH185" s="11" t="s">
        <v>37</v>
      </c>
      <c r="KI185" s="11" t="s">
        <v>37</v>
      </c>
      <c r="KJ185" s="11" t="s">
        <v>37</v>
      </c>
      <c r="KK185" s="12" t="s">
        <v>42</v>
      </c>
      <c r="KL185" s="32" t="s">
        <v>345</v>
      </c>
      <c r="KM185" s="12">
        <v>18.71</v>
      </c>
      <c r="KN185" s="50">
        <f t="shared" si="742"/>
        <v>2.231972804310721</v>
      </c>
      <c r="KO185" s="13">
        <v>3</v>
      </c>
      <c r="KQ185" s="12">
        <f t="shared" si="804"/>
        <v>13.093333333333334</v>
      </c>
      <c r="KR185" s="50">
        <f t="shared" si="743"/>
        <v>1.3806059790080172</v>
      </c>
      <c r="KS185" s="13">
        <v>3</v>
      </c>
      <c r="KU185" s="19">
        <f t="shared" si="744"/>
        <v>-0.35695494546784279</v>
      </c>
      <c r="KV185" s="19">
        <f t="shared" si="745"/>
        <v>8.4497155628593234E-3</v>
      </c>
      <c r="KW185" s="32" t="s">
        <v>422</v>
      </c>
      <c r="KX185" s="12">
        <v>18.190000000000001</v>
      </c>
      <c r="KY185" s="50">
        <f t="shared" si="746"/>
        <v>1.3416656277547112</v>
      </c>
      <c r="KZ185" s="13">
        <v>3</v>
      </c>
      <c r="LB185" s="12">
        <f t="shared" si="805"/>
        <v>10.42</v>
      </c>
      <c r="LC185" s="50">
        <f t="shared" si="747"/>
        <v>1.2021689232752755</v>
      </c>
      <c r="LD185" s="13">
        <v>3</v>
      </c>
      <c r="LF185" s="19">
        <f t="shared" si="748"/>
        <v>-0.55714495620481008</v>
      </c>
      <c r="LG185" s="19">
        <f t="shared" si="749"/>
        <v>6.2502802071617812E-3</v>
      </c>
      <c r="LH185" s="32" t="s">
        <v>423</v>
      </c>
      <c r="LI185" s="12">
        <v>17.850000000000001</v>
      </c>
      <c r="LJ185" s="50">
        <f t="shared" si="750"/>
        <v>7.2893991913660932</v>
      </c>
      <c r="LK185" s="13">
        <v>3</v>
      </c>
      <c r="LM185" s="12">
        <f t="shared" si="806"/>
        <v>9.24</v>
      </c>
      <c r="LN185" s="50">
        <f t="shared" si="751"/>
        <v>2.6129223611324779</v>
      </c>
      <c r="LO185" s="13">
        <v>3</v>
      </c>
      <c r="LQ185" s="19">
        <f t="shared" si="752"/>
        <v>-0.65846162257205543</v>
      </c>
      <c r="LR185" s="19">
        <f t="shared" si="753"/>
        <v>8.2244164849791468E-2</v>
      </c>
      <c r="LT185" s="12" t="str">
        <f t="shared" si="754"/>
        <v>0-10</v>
      </c>
      <c r="LU185" s="12">
        <f t="shared" si="755"/>
        <v>8.5980758952431859</v>
      </c>
      <c r="LV185" s="12">
        <f t="shared" si="756"/>
        <v>3.862894576399126</v>
      </c>
      <c r="LW185" s="13">
        <f t="shared" si="757"/>
        <v>3</v>
      </c>
      <c r="LY185" s="12">
        <f t="shared" si="758"/>
        <v>11.225814663951121</v>
      </c>
      <c r="LZ185" s="12">
        <f t="shared" si="759"/>
        <v>1.4669839173067531</v>
      </c>
      <c r="MA185" s="13">
        <f t="shared" si="760"/>
        <v>3</v>
      </c>
      <c r="MC185" s="19">
        <f t="shared" si="761"/>
        <v>0.26667756173170643</v>
      </c>
      <c r="MD185" s="19">
        <f t="shared" si="762"/>
        <v>7.2974844974419695E-2</v>
      </c>
      <c r="ME185" s="12" t="str">
        <f t="shared" si="763"/>
        <v>10-20</v>
      </c>
      <c r="MF185" s="12">
        <f t="shared" si="764"/>
        <v>8.0582737768004407</v>
      </c>
      <c r="MG185" s="12">
        <f t="shared" si="765"/>
        <v>4.2146582089957709</v>
      </c>
      <c r="MH185" s="13">
        <f t="shared" si="766"/>
        <v>3</v>
      </c>
      <c r="MJ185" s="12">
        <f t="shared" si="767"/>
        <v>13.645873320537426</v>
      </c>
      <c r="MK185" s="12">
        <f t="shared" si="768"/>
        <v>1.6364915031081246</v>
      </c>
      <c r="ML185" s="13">
        <f t="shared" si="769"/>
        <v>3</v>
      </c>
      <c r="MN185" s="19">
        <f t="shared" si="770"/>
        <v>0.52673779311538882</v>
      </c>
      <c r="MO185" s="19">
        <f t="shared" si="771"/>
        <v>9.5978227379649714E-2</v>
      </c>
      <c r="MP185" s="12" t="str">
        <f t="shared" si="772"/>
        <v>20-30</v>
      </c>
      <c r="MQ185" s="12">
        <f t="shared" si="773"/>
        <v>8.2778711484593828</v>
      </c>
      <c r="MR185" s="12">
        <f t="shared" si="774"/>
        <v>5.5644124668050727</v>
      </c>
      <c r="MS185" s="13">
        <f t="shared" si="775"/>
        <v>3</v>
      </c>
      <c r="MU185" s="12">
        <f t="shared" si="776"/>
        <v>15.441197691197688</v>
      </c>
      <c r="MV185" s="12">
        <f t="shared" si="777"/>
        <v>4.4395858643684845</v>
      </c>
      <c r="MW185" s="13">
        <f t="shared" si="778"/>
        <v>3</v>
      </c>
      <c r="MY185" s="19">
        <f t="shared" si="779"/>
        <v>0.62345328459627003</v>
      </c>
      <c r="MZ185" s="19">
        <f t="shared" si="780"/>
        <v>0.17817418247331812</v>
      </c>
      <c r="NC185" s="12" t="s">
        <v>37</v>
      </c>
      <c r="ND185" s="12" t="s">
        <v>37</v>
      </c>
      <c r="NE185" s="12" t="s">
        <v>37</v>
      </c>
      <c r="NG185" s="12" t="s">
        <v>37</v>
      </c>
      <c r="NH185" s="12" t="s">
        <v>37</v>
      </c>
      <c r="NI185" s="12" t="s">
        <v>37</v>
      </c>
      <c r="NO185" s="12" t="s">
        <v>37</v>
      </c>
      <c r="NP185" s="12" t="s">
        <v>37</v>
      </c>
      <c r="NQ185" s="12" t="s">
        <v>37</v>
      </c>
      <c r="NS185" s="12" t="s">
        <v>37</v>
      </c>
      <c r="NT185" s="12" t="s">
        <v>37</v>
      </c>
      <c r="NU185" s="12" t="s">
        <v>37</v>
      </c>
      <c r="OA185" s="12" t="s">
        <v>37</v>
      </c>
      <c r="OB185" s="12" t="s">
        <v>37</v>
      </c>
      <c r="OC185" s="12" t="s">
        <v>37</v>
      </c>
      <c r="OD185" s="12"/>
      <c r="OE185" s="12" t="s">
        <v>37</v>
      </c>
      <c r="OF185" s="12" t="s">
        <v>37</v>
      </c>
      <c r="OG185" s="12" t="s">
        <v>37</v>
      </c>
      <c r="OH185" s="12"/>
      <c r="OI185" s="12"/>
      <c r="OJ185" s="12"/>
      <c r="OM185" s="12" t="s">
        <v>37</v>
      </c>
      <c r="ON185" s="12" t="s">
        <v>37</v>
      </c>
      <c r="OO185" s="12" t="s">
        <v>37</v>
      </c>
      <c r="OP185" s="12" t="s">
        <v>37</v>
      </c>
      <c r="OQ185" s="12" t="s">
        <v>37</v>
      </c>
      <c r="OR185" s="12" t="s">
        <v>37</v>
      </c>
      <c r="OS185" s="12"/>
      <c r="OT185" s="12"/>
      <c r="OW185" s="12" t="s">
        <v>37</v>
      </c>
      <c r="OX185" s="12" t="s">
        <v>37</v>
      </c>
      <c r="OY185" s="13" t="s">
        <v>37</v>
      </c>
      <c r="OZ185" s="12" t="s">
        <v>37</v>
      </c>
      <c r="PA185" s="12" t="s">
        <v>37</v>
      </c>
      <c r="PB185" s="13" t="s">
        <v>37</v>
      </c>
      <c r="PG185" s="11" t="s">
        <v>37</v>
      </c>
      <c r="PH185" s="11" t="s">
        <v>37</v>
      </c>
      <c r="PI185" s="13" t="s">
        <v>37</v>
      </c>
      <c r="PJ185" s="11" t="s">
        <v>37</v>
      </c>
      <c r="PK185" s="11" t="s">
        <v>37</v>
      </c>
      <c r="PL185" s="13" t="s">
        <v>37</v>
      </c>
      <c r="PQ185" s="12" t="s">
        <v>37</v>
      </c>
      <c r="PR185" s="12" t="s">
        <v>37</v>
      </c>
      <c r="PS185" s="12" t="s">
        <v>37</v>
      </c>
      <c r="PT185" s="12" t="s">
        <v>37</v>
      </c>
      <c r="PU185" s="12" t="s">
        <v>37</v>
      </c>
      <c r="PV185" s="12" t="s">
        <v>37</v>
      </c>
      <c r="PW185" s="12"/>
      <c r="PX185" s="12"/>
      <c r="PZ185" s="12" t="s">
        <v>37</v>
      </c>
      <c r="QA185" s="12" t="s">
        <v>37</v>
      </c>
      <c r="QB185" s="11" t="s">
        <v>37</v>
      </c>
      <c r="QD185" s="12" t="s">
        <v>37</v>
      </c>
      <c r="QE185" s="12" t="s">
        <v>37</v>
      </c>
      <c r="QF185" s="12" t="s">
        <v>37</v>
      </c>
      <c r="QK185" s="12" t="s">
        <v>37</v>
      </c>
      <c r="QL185" s="12" t="s">
        <v>37</v>
      </c>
      <c r="QM185" s="12" t="s">
        <v>37</v>
      </c>
      <c r="QN185" s="12" t="s">
        <v>37</v>
      </c>
      <c r="QO185" s="12" t="s">
        <v>37</v>
      </c>
      <c r="QP185" s="12" t="s">
        <v>37</v>
      </c>
      <c r="QQ185" s="12"/>
      <c r="QR185" s="12"/>
      <c r="QU185" s="12" t="s">
        <v>37</v>
      </c>
      <c r="QV185" s="12" t="s">
        <v>37</v>
      </c>
      <c r="QW185" s="12" t="s">
        <v>37</v>
      </c>
      <c r="QX185" s="12" t="s">
        <v>37</v>
      </c>
      <c r="QY185" s="12" t="s">
        <v>37</v>
      </c>
      <c r="QZ185" s="12" t="s">
        <v>37</v>
      </c>
      <c r="RC185" s="12" t="s">
        <v>37</v>
      </c>
      <c r="RD185" s="12" t="s">
        <v>37</v>
      </c>
      <c r="RE185" s="13" t="s">
        <v>37</v>
      </c>
      <c r="RF185" s="12" t="s">
        <v>37</v>
      </c>
      <c r="RG185" s="12" t="s">
        <v>37</v>
      </c>
      <c r="RH185" s="13" t="s">
        <v>37</v>
      </c>
      <c r="RK185" s="12" t="s">
        <v>37</v>
      </c>
      <c r="RL185" s="12" t="s">
        <v>37</v>
      </c>
      <c r="RM185" s="11" t="s">
        <v>37</v>
      </c>
      <c r="RN185" s="12" t="s">
        <v>37</v>
      </c>
      <c r="RO185" s="12" t="s">
        <v>37</v>
      </c>
      <c r="RP185" s="11" t="s">
        <v>37</v>
      </c>
      <c r="RS185" s="12" t="s">
        <v>37</v>
      </c>
      <c r="RT185" s="12" t="s">
        <v>37</v>
      </c>
      <c r="RU185" s="12" t="s">
        <v>37</v>
      </c>
      <c r="RV185" s="12" t="s">
        <v>37</v>
      </c>
      <c r="RW185" s="12" t="s">
        <v>37</v>
      </c>
      <c r="RX185" s="12" t="s">
        <v>37</v>
      </c>
      <c r="SA185" s="12" t="s">
        <v>37</v>
      </c>
      <c r="SB185" s="12" t="s">
        <v>37</v>
      </c>
      <c r="SC185" s="12" t="s">
        <v>37</v>
      </c>
      <c r="SD185" s="12" t="s">
        <v>37</v>
      </c>
      <c r="SE185" s="12" t="s">
        <v>37</v>
      </c>
      <c r="SF185" s="12" t="s">
        <v>37</v>
      </c>
      <c r="SI185" s="12" t="s">
        <v>37</v>
      </c>
      <c r="SJ185" s="12" t="s">
        <v>37</v>
      </c>
      <c r="SK185" s="13" t="s">
        <v>37</v>
      </c>
      <c r="SM185" s="12" t="s">
        <v>37</v>
      </c>
      <c r="SN185" s="12" t="s">
        <v>37</v>
      </c>
      <c r="SO185" s="13" t="s">
        <v>37</v>
      </c>
      <c r="SU185" s="12" t="s">
        <v>37</v>
      </c>
      <c r="SV185" s="12" t="s">
        <v>37</v>
      </c>
      <c r="SW185" s="11" t="s">
        <v>37</v>
      </c>
      <c r="SX185" s="12" t="s">
        <v>37</v>
      </c>
      <c r="SY185" s="12" t="s">
        <v>37</v>
      </c>
      <c r="SZ185" s="11" t="s">
        <v>37</v>
      </c>
      <c r="TE185" s="12" t="s">
        <v>37</v>
      </c>
      <c r="TF185" s="12" t="s">
        <v>37</v>
      </c>
      <c r="TG185" s="11" t="s">
        <v>37</v>
      </c>
      <c r="TH185" s="12" t="s">
        <v>37</v>
      </c>
      <c r="TI185" s="12" t="s">
        <v>37</v>
      </c>
      <c r="TJ185" s="11" t="s">
        <v>37</v>
      </c>
      <c r="TO185" s="12" t="s">
        <v>37</v>
      </c>
      <c r="TP185" s="12" t="s">
        <v>37</v>
      </c>
      <c r="TQ185" s="11" t="s">
        <v>37</v>
      </c>
      <c r="TR185" s="12" t="s">
        <v>37</v>
      </c>
      <c r="TS185" s="12" t="s">
        <v>37</v>
      </c>
      <c r="TT185" s="11" t="s">
        <v>37</v>
      </c>
      <c r="TY185" s="12" t="s">
        <v>37</v>
      </c>
      <c r="TZ185" s="12" t="s">
        <v>37</v>
      </c>
      <c r="UA185" s="12" t="s">
        <v>37</v>
      </c>
      <c r="UB185" s="12" t="s">
        <v>37</v>
      </c>
      <c r="UC185" s="12" t="s">
        <v>37</v>
      </c>
      <c r="UD185" s="12" t="s">
        <v>37</v>
      </c>
      <c r="UE185" s="12"/>
      <c r="UF185" s="12"/>
      <c r="UI185" s="12" t="s">
        <v>37</v>
      </c>
      <c r="UJ185" s="12" t="s">
        <v>37</v>
      </c>
      <c r="UK185" s="12" t="s">
        <v>37</v>
      </c>
      <c r="UL185" s="12" t="s">
        <v>37</v>
      </c>
      <c r="UM185" s="12" t="s">
        <v>37</v>
      </c>
      <c r="UN185" s="12" t="s">
        <v>37</v>
      </c>
      <c r="UO185" s="12"/>
      <c r="UP185" s="12"/>
      <c r="UR185" s="12" t="s">
        <v>37</v>
      </c>
      <c r="US185" s="12" t="s">
        <v>37</v>
      </c>
      <c r="UT185" s="12" t="s">
        <v>37</v>
      </c>
      <c r="UU185" s="12" t="s">
        <v>37</v>
      </c>
      <c r="UV185" s="12" t="s">
        <v>37</v>
      </c>
      <c r="UW185" s="12" t="s">
        <v>37</v>
      </c>
      <c r="UX185" s="12"/>
      <c r="UY185" s="12"/>
      <c r="VB185" s="12" t="s">
        <v>37</v>
      </c>
      <c r="VC185" s="12" t="s">
        <v>37</v>
      </c>
      <c r="VD185" s="12" t="s">
        <v>37</v>
      </c>
      <c r="VE185" s="12" t="s">
        <v>37</v>
      </c>
      <c r="VF185" s="12" t="s">
        <v>37</v>
      </c>
      <c r="VG185" s="12" t="s">
        <v>37</v>
      </c>
      <c r="VI185" s="12" t="s">
        <v>37</v>
      </c>
      <c r="VJ185" s="12" t="s">
        <v>37</v>
      </c>
      <c r="VK185" s="12" t="s">
        <v>37</v>
      </c>
      <c r="VL185" s="12" t="s">
        <v>37</v>
      </c>
      <c r="VM185" s="12" t="s">
        <v>37</v>
      </c>
      <c r="VN185" s="12" t="s">
        <v>37</v>
      </c>
      <c r="VQ185" s="13" t="s">
        <v>37</v>
      </c>
      <c r="VR185" s="13" t="s">
        <v>37</v>
      </c>
      <c r="VS185" s="13" t="s">
        <v>37</v>
      </c>
      <c r="VT185" s="13" t="s">
        <v>37</v>
      </c>
      <c r="VU185" s="13" t="s">
        <v>37</v>
      </c>
      <c r="VV185" s="13" t="s">
        <v>37</v>
      </c>
      <c r="WA185" s="13" t="s">
        <v>37</v>
      </c>
      <c r="WB185" s="13" t="s">
        <v>37</v>
      </c>
      <c r="WC185" s="13" t="s">
        <v>37</v>
      </c>
      <c r="WD185" s="13" t="s">
        <v>37</v>
      </c>
      <c r="WE185" s="13" t="s">
        <v>37</v>
      </c>
      <c r="WF185" s="13" t="s">
        <v>37</v>
      </c>
    </row>
    <row r="186" spans="1:604" ht="18" customHeight="1" x14ac:dyDescent="0.3">
      <c r="A186" s="11">
        <v>45</v>
      </c>
      <c r="B186" s="16" t="s">
        <v>272</v>
      </c>
      <c r="C186" s="12" t="s">
        <v>26</v>
      </c>
      <c r="D186" s="12" t="s">
        <v>1039</v>
      </c>
      <c r="E186" s="40" t="s">
        <v>37</v>
      </c>
      <c r="F186" s="14">
        <v>0</v>
      </c>
      <c r="G186" s="14">
        <v>0</v>
      </c>
      <c r="H186" s="12" t="s">
        <v>79</v>
      </c>
      <c r="I186" s="29">
        <v>33.917000000000002</v>
      </c>
      <c r="J186" s="29">
        <v>102.81699999999999</v>
      </c>
      <c r="K186" s="12" t="s">
        <v>746</v>
      </c>
      <c r="L186" s="12" t="s">
        <v>747</v>
      </c>
      <c r="M186" s="13">
        <v>3441</v>
      </c>
      <c r="N186" s="14">
        <v>0.9</v>
      </c>
      <c r="O186" s="14">
        <v>656.8</v>
      </c>
      <c r="P186" s="14" t="s">
        <v>16</v>
      </c>
      <c r="Q186" s="75">
        <v>43</v>
      </c>
      <c r="R186" s="11" t="s">
        <v>999</v>
      </c>
      <c r="S186" s="12" t="s">
        <v>923</v>
      </c>
      <c r="T186" s="12" t="s">
        <v>138</v>
      </c>
      <c r="U186" s="12" t="s">
        <v>863</v>
      </c>
      <c r="V186" s="12" t="s">
        <v>275</v>
      </c>
      <c r="W186" s="23" t="s">
        <v>544</v>
      </c>
      <c r="X186" s="12" t="s">
        <v>280</v>
      </c>
      <c r="Y186" s="12" t="s">
        <v>37</v>
      </c>
      <c r="Z186" s="12" t="s">
        <v>37</v>
      </c>
      <c r="AA186" s="32" t="s">
        <v>345</v>
      </c>
      <c r="AB186" s="12">
        <v>7.2</v>
      </c>
      <c r="AC186" s="12" t="s">
        <v>42</v>
      </c>
      <c r="AD186" s="32" t="s">
        <v>345</v>
      </c>
      <c r="AE186" s="12">
        <v>160.87</v>
      </c>
      <c r="AF186" s="12" t="s">
        <v>42</v>
      </c>
      <c r="AG186" s="32" t="s">
        <v>345</v>
      </c>
      <c r="AH186" s="12">
        <v>18.71</v>
      </c>
      <c r="AJ186" s="12" t="str">
        <f t="shared" si="711"/>
        <v>0-10</v>
      </c>
      <c r="AK186" s="19">
        <f t="shared" si="712"/>
        <v>8.5980758952431859</v>
      </c>
      <c r="AL186" s="32" t="s">
        <v>545</v>
      </c>
      <c r="AM186" s="12" t="s">
        <v>317</v>
      </c>
      <c r="AN186" s="32" t="s">
        <v>880</v>
      </c>
      <c r="AO186" s="12" t="s">
        <v>37</v>
      </c>
      <c r="AP186" s="12" t="s">
        <v>108</v>
      </c>
      <c r="AQ186" s="12" t="s">
        <v>975</v>
      </c>
      <c r="AR186" s="12" t="s">
        <v>42</v>
      </c>
      <c r="AS186" s="32" t="s">
        <v>345</v>
      </c>
      <c r="AT186" s="12">
        <v>160.87</v>
      </c>
      <c r="AU186" s="12">
        <f>40.23*SQRT(3)</f>
        <v>69.680403988495925</v>
      </c>
      <c r="AV186" s="13">
        <v>3</v>
      </c>
      <c r="AW186" s="19">
        <f t="shared" si="713"/>
        <v>0.43314728655744344</v>
      </c>
      <c r="AX186" s="12">
        <f t="shared" si="781"/>
        <v>146.98333333333335</v>
      </c>
      <c r="AY186" s="12">
        <f t="shared" si="782"/>
        <v>11.346138843970957</v>
      </c>
      <c r="AZ186" s="13">
        <v>3</v>
      </c>
      <c r="BA186" s="19">
        <f t="shared" si="714"/>
        <v>7.7193370068971243E-2</v>
      </c>
      <c r="BB186" s="52">
        <f t="shared" si="715"/>
        <v>-9.0277383736136335E-2</v>
      </c>
      <c r="BC186" s="19">
        <f t="shared" si="716"/>
        <v>6.4525129411560384E-2</v>
      </c>
      <c r="BD186" s="32" t="s">
        <v>422</v>
      </c>
      <c r="BE186" s="12">
        <v>146.58000000000001</v>
      </c>
      <c r="BF186" s="12">
        <f t="shared" ref="BF186:BF187" si="810">43.82*SQRT(3)</f>
        <v>75.898466387668194</v>
      </c>
      <c r="BG186" s="13">
        <v>3</v>
      </c>
      <c r="BH186" s="19">
        <f t="shared" si="784"/>
        <v>0.51779551362851817</v>
      </c>
      <c r="BI186" s="12">
        <f t="shared" si="785"/>
        <v>142.18999999999997</v>
      </c>
      <c r="BJ186" s="12">
        <f t="shared" si="786"/>
        <v>4.6547359395208083</v>
      </c>
      <c r="BK186" s="13">
        <v>3</v>
      </c>
      <c r="BL186" s="19">
        <f t="shared" si="717"/>
        <v>3.2736028831287782E-2</v>
      </c>
      <c r="BM186" s="52">
        <f t="shared" si="718"/>
        <v>-3.0407163089421381E-2</v>
      </c>
      <c r="BN186" s="19">
        <f t="shared" si="719"/>
        <v>8.9727947172487929E-2</v>
      </c>
      <c r="BO186" s="32" t="s">
        <v>423</v>
      </c>
      <c r="BP186" s="12">
        <v>147.76</v>
      </c>
      <c r="BQ186" s="12">
        <f t="shared" ref="BQ186:BQ187" si="811">45.55*SQRT(3)</f>
        <v>78.894914284762351</v>
      </c>
      <c r="BR186" s="13">
        <v>3</v>
      </c>
      <c r="BS186" s="19">
        <f t="shared" si="788"/>
        <v>0.5339395931562152</v>
      </c>
      <c r="BT186" s="12">
        <f t="shared" si="789"/>
        <v>142.67666666666665</v>
      </c>
      <c r="BU186" s="12">
        <f t="shared" si="790"/>
        <v>7.411724945427121</v>
      </c>
      <c r="BV186" s="13">
        <v>3</v>
      </c>
      <c r="BW186" s="19">
        <f t="shared" si="791"/>
        <v>5.1947701881366645E-2</v>
      </c>
      <c r="BX186" s="52">
        <f t="shared" si="720"/>
        <v>-3.5008337975785189E-2</v>
      </c>
      <c r="BY186" s="19">
        <f t="shared" si="721"/>
        <v>9.5930017623526639E-2</v>
      </c>
      <c r="CA186" s="12" t="s">
        <v>37</v>
      </c>
      <c r="CB186" s="12" t="s">
        <v>37</v>
      </c>
      <c r="CC186" s="13" t="s">
        <v>37</v>
      </c>
      <c r="CE186" s="12" t="s">
        <v>37</v>
      </c>
      <c r="CF186" s="12" t="s">
        <v>37</v>
      </c>
      <c r="CG186" s="13" t="s">
        <v>37</v>
      </c>
      <c r="CN186" s="12" t="s">
        <v>37</v>
      </c>
      <c r="CO186" s="12" t="s">
        <v>37</v>
      </c>
      <c r="CP186" s="13" t="s">
        <v>37</v>
      </c>
      <c r="CR186" s="12" t="s">
        <v>37</v>
      </c>
      <c r="CS186" s="12" t="s">
        <v>37</v>
      </c>
      <c r="CT186" s="13" t="s">
        <v>37</v>
      </c>
      <c r="CX186" s="72"/>
      <c r="CY186" s="72"/>
      <c r="DA186" s="12" t="s">
        <v>37</v>
      </c>
      <c r="DB186" s="12" t="s">
        <v>37</v>
      </c>
      <c r="DC186" s="13" t="s">
        <v>37</v>
      </c>
      <c r="DE186" s="12" t="s">
        <v>37</v>
      </c>
      <c r="DF186" s="12" t="s">
        <v>37</v>
      </c>
      <c r="DG186" s="13" t="s">
        <v>37</v>
      </c>
      <c r="DM186" s="11" t="s">
        <v>47</v>
      </c>
      <c r="DN186" s="19">
        <f>10.57*("2013/09/30"-"2013/05/01")*10^4*24/10^6/'[1]classes-1'!$I$52</f>
        <v>396.02095568448323</v>
      </c>
      <c r="DO186" s="12">
        <f>SQRT((1/[2]Classes!$I$52)^2*(3.1*SQRT(3)*("2013/10/27"-"2013/06/04")*10^4*24/10^6)^2+(-DN186/([2]Classes!$I$52)^2)^2*([2]Classes!$J$52)^2)</f>
        <v>825.11321611621167</v>
      </c>
      <c r="DP186" s="13">
        <v>3</v>
      </c>
      <c r="DQ186" s="19">
        <f t="shared" si="707"/>
        <v>2.0835089766653501</v>
      </c>
      <c r="DR186" s="19">
        <f>AVERAGEA(0.13,0.12,0.17)*("2013/09/30"-"2013/05/01")*10^4*24/10^6/'[1]classes-1'!$I$51</f>
        <v>5.2453106713176574</v>
      </c>
      <c r="DS186" s="12">
        <f t="shared" si="807"/>
        <v>10.686883582340696</v>
      </c>
      <c r="DT186" s="13">
        <v>3</v>
      </c>
      <c r="DU186" s="19">
        <f t="shared" si="708"/>
        <v>2.0374167045583365</v>
      </c>
      <c r="DV186" s="19">
        <f t="shared" si="710"/>
        <v>-390.77564501316556</v>
      </c>
      <c r="DW186" s="12">
        <f t="shared" si="709"/>
        <v>583.49208601760006</v>
      </c>
      <c r="DX186" s="72">
        <f>(((DP186+DT186)/(DP186*DT186))*(((DP186-1)*DO186^2)+(DT186-1)*DS186^2)/(DP186+DT186-2))</f>
        <v>226975.34296344689</v>
      </c>
      <c r="DY186" s="72">
        <f>(DO186^2/DP186)+(DS186^2/DT186)</f>
        <v>226975.34296344689</v>
      </c>
      <c r="EA186" s="19" t="s">
        <v>37</v>
      </c>
      <c r="EB186" s="19" t="s">
        <v>37</v>
      </c>
      <c r="EC186" s="72" t="s">
        <v>37</v>
      </c>
      <c r="EE186" s="19" t="s">
        <v>37</v>
      </c>
      <c r="EF186" s="19" t="s">
        <v>37</v>
      </c>
      <c r="EG186" s="12" t="s">
        <v>37</v>
      </c>
      <c r="EM186" s="12" t="s">
        <v>39</v>
      </c>
      <c r="EN186" s="12">
        <v>-15.092592592592601</v>
      </c>
      <c r="EO186" s="12">
        <v>7.11534501237022</v>
      </c>
      <c r="EP186" s="13">
        <v>3</v>
      </c>
      <c r="EQ186" s="19">
        <f t="shared" si="792"/>
        <v>0.47144617259876281</v>
      </c>
      <c r="ER186" s="12">
        <f t="shared" si="808"/>
        <v>-89.296666666666667</v>
      </c>
      <c r="ES186" s="12">
        <f t="shared" si="809"/>
        <v>4.948066962629615</v>
      </c>
      <c r="ET186" s="13">
        <v>3</v>
      </c>
      <c r="EU186" s="19">
        <f t="shared" si="793"/>
        <v>5.5411552830971086E-2</v>
      </c>
      <c r="EV186" s="19">
        <f t="shared" si="701"/>
        <v>-74.204074074074072</v>
      </c>
      <c r="EW186" s="12">
        <f t="shared" si="702"/>
        <v>6.128274688349423</v>
      </c>
      <c r="EX186" s="19">
        <f t="shared" si="703"/>
        <v>25.037167103909475</v>
      </c>
      <c r="EY186" s="19">
        <f t="shared" si="704"/>
        <v>25.037167103909475</v>
      </c>
      <c r="FB186" s="12" t="s">
        <v>37</v>
      </c>
      <c r="FC186" s="12" t="s">
        <v>37</v>
      </c>
      <c r="FD186" s="11" t="s">
        <v>37</v>
      </c>
      <c r="FE186" s="12" t="s">
        <v>37</v>
      </c>
      <c r="FF186" s="20" t="s">
        <v>37</v>
      </c>
      <c r="FG186" s="11" t="s">
        <v>37</v>
      </c>
      <c r="FI186" s="12" t="s">
        <v>37</v>
      </c>
      <c r="FJ186" s="12" t="s">
        <v>37</v>
      </c>
      <c r="FK186" s="11" t="s">
        <v>37</v>
      </c>
      <c r="FL186" s="13" t="s">
        <v>37</v>
      </c>
      <c r="FM186" s="11" t="s">
        <v>37</v>
      </c>
      <c r="FN186" s="11" t="s">
        <v>37</v>
      </c>
      <c r="FP186" s="12" t="s">
        <v>37</v>
      </c>
      <c r="FQ186" s="12" t="s">
        <v>37</v>
      </c>
      <c r="FR186" s="11" t="s">
        <v>37</v>
      </c>
      <c r="FS186" s="13" t="s">
        <v>37</v>
      </c>
      <c r="FT186" s="11" t="s">
        <v>37</v>
      </c>
      <c r="FU186" s="11" t="s">
        <v>37</v>
      </c>
      <c r="FW186" s="12" t="s">
        <v>37</v>
      </c>
      <c r="FX186" s="12" t="s">
        <v>37</v>
      </c>
      <c r="FY186" s="11" t="s">
        <v>37</v>
      </c>
      <c r="FZ186" s="13" t="s">
        <v>37</v>
      </c>
      <c r="GA186" s="11" t="s">
        <v>37</v>
      </c>
      <c r="GB186" s="11" t="s">
        <v>37</v>
      </c>
      <c r="GO186" s="12" t="s">
        <v>660</v>
      </c>
      <c r="GP186" s="12" t="s">
        <v>327</v>
      </c>
      <c r="GQ186" s="12">
        <v>10.732860520094555</v>
      </c>
      <c r="GR186" s="12">
        <v>1.3520849200149057</v>
      </c>
      <c r="GS186" s="13">
        <v>3</v>
      </c>
      <c r="GT186" s="19">
        <f t="shared" si="722"/>
        <v>0.12597619408949462</v>
      </c>
      <c r="GU186" s="12">
        <f t="shared" si="794"/>
        <v>10.513333333333334</v>
      </c>
      <c r="GV186" s="12">
        <f t="shared" si="795"/>
        <v>1.0373523991392701</v>
      </c>
      <c r="GW186" s="13">
        <v>3</v>
      </c>
      <c r="GX186" s="19">
        <f t="shared" si="723"/>
        <v>9.8670171129290121E-2</v>
      </c>
      <c r="GY186" s="19">
        <f t="shared" si="724"/>
        <v>-2.0665819122332302E-2</v>
      </c>
      <c r="GZ186" s="19">
        <f t="shared" si="725"/>
        <v>8.5352680493191377E-3</v>
      </c>
      <c r="HA186" s="17" t="s">
        <v>63</v>
      </c>
      <c r="HB186" s="34" t="s">
        <v>345</v>
      </c>
      <c r="HC186" s="12">
        <v>0.35</v>
      </c>
      <c r="HD186" s="12">
        <f t="shared" ref="HD186:HD187" si="812">0.05*SQRT(3)</f>
        <v>8.6602540378443865E-2</v>
      </c>
      <c r="HE186" s="13">
        <v>3</v>
      </c>
      <c r="HF186" s="19">
        <f t="shared" si="726"/>
        <v>0.24743582965269678</v>
      </c>
      <c r="HG186" s="12">
        <f t="shared" si="796"/>
        <v>0.5</v>
      </c>
      <c r="HH186" s="12">
        <f t="shared" si="797"/>
        <v>2.1602468994692866E-2</v>
      </c>
      <c r="HI186" s="13">
        <v>3</v>
      </c>
      <c r="HJ186" s="19">
        <f t="shared" si="727"/>
        <v>4.3204937989385732E-2</v>
      </c>
      <c r="HK186" s="19">
        <f t="shared" si="728"/>
        <v>0.35667494393873239</v>
      </c>
      <c r="HL186" s="19">
        <f t="shared" si="729"/>
        <v>2.1030385487528346E-2</v>
      </c>
      <c r="HM186" s="34" t="s">
        <v>422</v>
      </c>
      <c r="HN186" s="12">
        <v>0.42</v>
      </c>
      <c r="HO186" s="12">
        <f t="shared" ref="HO186:HO187" si="813">0.12*SQRT(3)</f>
        <v>0.20784609690826525</v>
      </c>
      <c r="HP186" s="13">
        <v>3</v>
      </c>
      <c r="HQ186" s="19">
        <f t="shared" si="730"/>
        <v>0.49487165930539345</v>
      </c>
      <c r="HR186" s="12">
        <f t="shared" si="799"/>
        <v>0.51666666666666672</v>
      </c>
      <c r="HS186" s="12">
        <f t="shared" si="800"/>
        <v>2.3804761428476165E-2</v>
      </c>
      <c r="HT186" s="13">
        <v>3</v>
      </c>
      <c r="HU186" s="19">
        <f t="shared" si="731"/>
        <v>4.607373179705064E-2</v>
      </c>
      <c r="HV186" s="19">
        <f t="shared" si="732"/>
        <v>0.20714320996776869</v>
      </c>
      <c r="HW186" s="19">
        <f t="shared" si="733"/>
        <v>8.2340249315126665E-2</v>
      </c>
      <c r="HX186" s="34" t="s">
        <v>423</v>
      </c>
      <c r="HY186" s="12">
        <v>0.41</v>
      </c>
      <c r="HZ186" s="12">
        <f t="shared" ref="HZ186:HZ187" si="814">0.11*SQRT(3)</f>
        <v>0.1905255888325765</v>
      </c>
      <c r="IA186" s="13">
        <v>3</v>
      </c>
      <c r="IB186" s="19">
        <f t="shared" si="734"/>
        <v>0.4646965581282354</v>
      </c>
      <c r="IC186" s="12">
        <f t="shared" si="801"/>
        <v>0.56333333333333335</v>
      </c>
      <c r="ID186" s="12">
        <f t="shared" si="802"/>
        <v>2.6457513110645908E-2</v>
      </c>
      <c r="IE186" s="13">
        <v>3</v>
      </c>
      <c r="IF186" s="19">
        <f t="shared" si="735"/>
        <v>4.6965999604696877E-2</v>
      </c>
      <c r="IG186" s="19">
        <f t="shared" si="736"/>
        <v>0.31771435955065602</v>
      </c>
      <c r="IH186" s="19">
        <f t="shared" si="737"/>
        <v>7.2716232085032279E-2</v>
      </c>
      <c r="IK186" s="12" t="s">
        <v>37</v>
      </c>
      <c r="IL186" s="12" t="s">
        <v>37</v>
      </c>
      <c r="IM186" s="12" t="s">
        <v>37</v>
      </c>
      <c r="IO186" s="12" t="s">
        <v>37</v>
      </c>
      <c r="IP186" s="12" t="s">
        <v>37</v>
      </c>
      <c r="IQ186" s="12" t="s">
        <v>37</v>
      </c>
      <c r="IV186" s="32" t="s">
        <v>345</v>
      </c>
      <c r="IW186" s="12">
        <v>7.2</v>
      </c>
      <c r="IX186" s="50">
        <f t="shared" si="738"/>
        <v>0.26361174692176659</v>
      </c>
      <c r="IY186" s="13">
        <v>3</v>
      </c>
      <c r="JA186" s="12">
        <f t="shared" si="803"/>
        <v>7.7</v>
      </c>
      <c r="JB186" s="50">
        <f t="shared" si="739"/>
        <v>0.21566782764991124</v>
      </c>
      <c r="JC186" s="13">
        <v>3</v>
      </c>
      <c r="JE186" s="19">
        <f t="shared" si="740"/>
        <v>6.713930283762852E-2</v>
      </c>
      <c r="JF186" s="19">
        <f t="shared" si="741"/>
        <v>7.0832876411330761E-4</v>
      </c>
      <c r="JH186" s="12" t="s">
        <v>37</v>
      </c>
      <c r="JI186" s="12" t="s">
        <v>37</v>
      </c>
      <c r="JJ186" s="13" t="s">
        <v>37</v>
      </c>
      <c r="JL186" s="12" t="s">
        <v>37</v>
      </c>
      <c r="JM186" s="12" t="s">
        <v>37</v>
      </c>
      <c r="JN186" s="12" t="s">
        <v>37</v>
      </c>
      <c r="JS186" s="12" t="s">
        <v>37</v>
      </c>
      <c r="JT186" s="12" t="s">
        <v>37</v>
      </c>
      <c r="JU186" s="13" t="s">
        <v>37</v>
      </c>
      <c r="JW186" s="12" t="s">
        <v>37</v>
      </c>
      <c r="JX186" s="12" t="s">
        <v>37</v>
      </c>
      <c r="JY186" s="12" t="s">
        <v>37</v>
      </c>
      <c r="KE186" s="11" t="s">
        <v>37</v>
      </c>
      <c r="KF186" s="11" t="s">
        <v>37</v>
      </c>
      <c r="KG186" s="13" t="s">
        <v>37</v>
      </c>
      <c r="KH186" s="11" t="s">
        <v>37</v>
      </c>
      <c r="KI186" s="11" t="s">
        <v>37</v>
      </c>
      <c r="KJ186" s="11" t="s">
        <v>37</v>
      </c>
      <c r="KK186" s="12" t="s">
        <v>42</v>
      </c>
      <c r="KL186" s="32" t="s">
        <v>345</v>
      </c>
      <c r="KM186" s="12">
        <v>18.71</v>
      </c>
      <c r="KN186" s="50">
        <f t="shared" si="742"/>
        <v>2.231972804310721</v>
      </c>
      <c r="KO186" s="13">
        <v>3</v>
      </c>
      <c r="KQ186" s="12">
        <f t="shared" si="804"/>
        <v>13.093333333333334</v>
      </c>
      <c r="KR186" s="50">
        <f t="shared" si="743"/>
        <v>1.3806059790080172</v>
      </c>
      <c r="KS186" s="13">
        <v>3</v>
      </c>
      <c r="KU186" s="19">
        <f t="shared" si="744"/>
        <v>-0.35695494546784279</v>
      </c>
      <c r="KV186" s="19">
        <f t="shared" si="745"/>
        <v>8.4497155628593234E-3</v>
      </c>
      <c r="KW186" s="32" t="s">
        <v>422</v>
      </c>
      <c r="KX186" s="12">
        <v>18.190000000000001</v>
      </c>
      <c r="KY186" s="50">
        <f t="shared" si="746"/>
        <v>1.3416656277547112</v>
      </c>
      <c r="KZ186" s="13">
        <v>3</v>
      </c>
      <c r="LB186" s="12">
        <f t="shared" si="805"/>
        <v>10.42</v>
      </c>
      <c r="LC186" s="50">
        <f t="shared" si="747"/>
        <v>1.2021689232752755</v>
      </c>
      <c r="LD186" s="13">
        <v>3</v>
      </c>
      <c r="LF186" s="19">
        <f t="shared" si="748"/>
        <v>-0.55714495620481008</v>
      </c>
      <c r="LG186" s="19">
        <f t="shared" si="749"/>
        <v>6.2502802071617812E-3</v>
      </c>
      <c r="LH186" s="32" t="s">
        <v>423</v>
      </c>
      <c r="LI186" s="12">
        <v>17.850000000000001</v>
      </c>
      <c r="LJ186" s="50">
        <f t="shared" si="750"/>
        <v>7.2893991913660932</v>
      </c>
      <c r="LK186" s="13">
        <v>3</v>
      </c>
      <c r="LM186" s="12">
        <f t="shared" si="806"/>
        <v>9.24</v>
      </c>
      <c r="LN186" s="50">
        <f t="shared" si="751"/>
        <v>2.6129223611324779</v>
      </c>
      <c r="LO186" s="13">
        <v>3</v>
      </c>
      <c r="LQ186" s="19">
        <f t="shared" si="752"/>
        <v>-0.65846162257205543</v>
      </c>
      <c r="LR186" s="19">
        <f t="shared" si="753"/>
        <v>8.2244164849791468E-2</v>
      </c>
      <c r="LT186" s="12" t="str">
        <f t="shared" si="754"/>
        <v>0-10</v>
      </c>
      <c r="LU186" s="12">
        <f t="shared" si="755"/>
        <v>8.5980758952431859</v>
      </c>
      <c r="LV186" s="12">
        <f t="shared" si="756"/>
        <v>3.862894576399126</v>
      </c>
      <c r="LW186" s="13">
        <f t="shared" si="757"/>
        <v>3</v>
      </c>
      <c r="LY186" s="12">
        <f t="shared" si="758"/>
        <v>11.225814663951121</v>
      </c>
      <c r="LZ186" s="12">
        <f t="shared" si="759"/>
        <v>1.4669839173067531</v>
      </c>
      <c r="MA186" s="13">
        <f t="shared" si="760"/>
        <v>3</v>
      </c>
      <c r="MC186" s="19">
        <f t="shared" si="761"/>
        <v>0.26667756173170643</v>
      </c>
      <c r="MD186" s="19">
        <f t="shared" si="762"/>
        <v>7.2974844974419695E-2</v>
      </c>
      <c r="ME186" s="12" t="str">
        <f t="shared" si="763"/>
        <v>10-20</v>
      </c>
      <c r="MF186" s="12">
        <f t="shared" si="764"/>
        <v>8.0582737768004407</v>
      </c>
      <c r="MG186" s="12">
        <f t="shared" si="765"/>
        <v>4.2146582089957709</v>
      </c>
      <c r="MH186" s="13">
        <f t="shared" si="766"/>
        <v>3</v>
      </c>
      <c r="MJ186" s="12">
        <f t="shared" si="767"/>
        <v>13.645873320537426</v>
      </c>
      <c r="MK186" s="12">
        <f t="shared" si="768"/>
        <v>1.6364915031081246</v>
      </c>
      <c r="ML186" s="13">
        <f t="shared" si="769"/>
        <v>3</v>
      </c>
      <c r="MN186" s="19">
        <f t="shared" si="770"/>
        <v>0.52673779311538882</v>
      </c>
      <c r="MO186" s="19">
        <f t="shared" si="771"/>
        <v>9.5978227379649714E-2</v>
      </c>
      <c r="MP186" s="12" t="str">
        <f t="shared" si="772"/>
        <v>20-30</v>
      </c>
      <c r="MQ186" s="12">
        <f t="shared" si="773"/>
        <v>8.2778711484593828</v>
      </c>
      <c r="MR186" s="12">
        <f t="shared" si="774"/>
        <v>5.5644124668050727</v>
      </c>
      <c r="MS186" s="13">
        <f t="shared" si="775"/>
        <v>3</v>
      </c>
      <c r="MU186" s="12">
        <f t="shared" si="776"/>
        <v>15.441197691197688</v>
      </c>
      <c r="MV186" s="12">
        <f t="shared" si="777"/>
        <v>4.4395858643684845</v>
      </c>
      <c r="MW186" s="13">
        <f t="shared" si="778"/>
        <v>3</v>
      </c>
      <c r="MY186" s="19">
        <f t="shared" si="779"/>
        <v>0.62345328459627003</v>
      </c>
      <c r="MZ186" s="19">
        <f t="shared" si="780"/>
        <v>0.17817418247331812</v>
      </c>
      <c r="NC186" s="12" t="s">
        <v>37</v>
      </c>
      <c r="ND186" s="12" t="s">
        <v>37</v>
      </c>
      <c r="NE186" s="12" t="s">
        <v>37</v>
      </c>
      <c r="NG186" s="12" t="s">
        <v>37</v>
      </c>
      <c r="NH186" s="12" t="s">
        <v>37</v>
      </c>
      <c r="NI186" s="12" t="s">
        <v>37</v>
      </c>
      <c r="NO186" s="12" t="s">
        <v>37</v>
      </c>
      <c r="NP186" s="12" t="s">
        <v>37</v>
      </c>
      <c r="NQ186" s="12" t="s">
        <v>37</v>
      </c>
      <c r="NS186" s="12" t="s">
        <v>37</v>
      </c>
      <c r="NT186" s="12" t="s">
        <v>37</v>
      </c>
      <c r="NU186" s="12" t="s">
        <v>37</v>
      </c>
      <c r="OA186" s="12" t="s">
        <v>37</v>
      </c>
      <c r="OB186" s="12" t="s">
        <v>37</v>
      </c>
      <c r="OC186" s="12" t="s">
        <v>37</v>
      </c>
      <c r="OD186" s="12"/>
      <c r="OE186" s="12" t="s">
        <v>37</v>
      </c>
      <c r="OF186" s="12" t="s">
        <v>37</v>
      </c>
      <c r="OG186" s="12" t="s">
        <v>37</v>
      </c>
      <c r="OH186" s="12"/>
      <c r="OI186" s="12"/>
      <c r="OJ186" s="12"/>
      <c r="OM186" s="12" t="s">
        <v>37</v>
      </c>
      <c r="ON186" s="12" t="s">
        <v>37</v>
      </c>
      <c r="OO186" s="12" t="s">
        <v>37</v>
      </c>
      <c r="OP186" s="12" t="s">
        <v>37</v>
      </c>
      <c r="OQ186" s="12" t="s">
        <v>37</v>
      </c>
      <c r="OR186" s="12" t="s">
        <v>37</v>
      </c>
      <c r="OS186" s="12"/>
      <c r="OT186" s="12"/>
      <c r="OW186" s="12" t="s">
        <v>37</v>
      </c>
      <c r="OX186" s="12" t="s">
        <v>37</v>
      </c>
      <c r="OY186" s="13" t="s">
        <v>37</v>
      </c>
      <c r="OZ186" s="12" t="s">
        <v>37</v>
      </c>
      <c r="PA186" s="12" t="s">
        <v>37</v>
      </c>
      <c r="PB186" s="13" t="s">
        <v>37</v>
      </c>
      <c r="PG186" s="11" t="s">
        <v>37</v>
      </c>
      <c r="PH186" s="11" t="s">
        <v>37</v>
      </c>
      <c r="PI186" s="13" t="s">
        <v>37</v>
      </c>
      <c r="PJ186" s="11" t="s">
        <v>37</v>
      </c>
      <c r="PK186" s="11" t="s">
        <v>37</v>
      </c>
      <c r="PL186" s="13" t="s">
        <v>37</v>
      </c>
      <c r="PQ186" s="12" t="s">
        <v>37</v>
      </c>
      <c r="PR186" s="12" t="s">
        <v>37</v>
      </c>
      <c r="PS186" s="12" t="s">
        <v>37</v>
      </c>
      <c r="PT186" s="12" t="s">
        <v>37</v>
      </c>
      <c r="PU186" s="12" t="s">
        <v>37</v>
      </c>
      <c r="PV186" s="12" t="s">
        <v>37</v>
      </c>
      <c r="PW186" s="12"/>
      <c r="PX186" s="12"/>
      <c r="PZ186" s="12" t="s">
        <v>37</v>
      </c>
      <c r="QA186" s="12" t="s">
        <v>37</v>
      </c>
      <c r="QB186" s="11" t="s">
        <v>37</v>
      </c>
      <c r="QD186" s="12" t="s">
        <v>37</v>
      </c>
      <c r="QE186" s="12" t="s">
        <v>37</v>
      </c>
      <c r="QF186" s="12" t="s">
        <v>37</v>
      </c>
      <c r="QK186" s="12" t="s">
        <v>37</v>
      </c>
      <c r="QL186" s="12" t="s">
        <v>37</v>
      </c>
      <c r="QM186" s="12" t="s">
        <v>37</v>
      </c>
      <c r="QN186" s="12" t="s">
        <v>37</v>
      </c>
      <c r="QO186" s="12" t="s">
        <v>37</v>
      </c>
      <c r="QP186" s="12" t="s">
        <v>37</v>
      </c>
      <c r="QQ186" s="12"/>
      <c r="QR186" s="12"/>
      <c r="QU186" s="12" t="s">
        <v>37</v>
      </c>
      <c r="QV186" s="12" t="s">
        <v>37</v>
      </c>
      <c r="QW186" s="12" t="s">
        <v>37</v>
      </c>
      <c r="QX186" s="12" t="s">
        <v>37</v>
      </c>
      <c r="QY186" s="12" t="s">
        <v>37</v>
      </c>
      <c r="QZ186" s="12" t="s">
        <v>37</v>
      </c>
      <c r="RC186" s="12" t="s">
        <v>37</v>
      </c>
      <c r="RD186" s="12" t="s">
        <v>37</v>
      </c>
      <c r="RE186" s="13" t="s">
        <v>37</v>
      </c>
      <c r="RF186" s="12" t="s">
        <v>37</v>
      </c>
      <c r="RG186" s="12" t="s">
        <v>37</v>
      </c>
      <c r="RH186" s="13" t="s">
        <v>37</v>
      </c>
      <c r="RK186" s="12" t="s">
        <v>37</v>
      </c>
      <c r="RL186" s="12" t="s">
        <v>37</v>
      </c>
      <c r="RM186" s="11" t="s">
        <v>37</v>
      </c>
      <c r="RN186" s="12" t="s">
        <v>37</v>
      </c>
      <c r="RO186" s="12" t="s">
        <v>37</v>
      </c>
      <c r="RP186" s="11" t="s">
        <v>37</v>
      </c>
      <c r="RS186" s="12" t="s">
        <v>37</v>
      </c>
      <c r="RT186" s="12" t="s">
        <v>37</v>
      </c>
      <c r="RU186" s="12" t="s">
        <v>37</v>
      </c>
      <c r="RV186" s="12" t="s">
        <v>37</v>
      </c>
      <c r="RW186" s="12" t="s">
        <v>37</v>
      </c>
      <c r="RX186" s="12" t="s">
        <v>37</v>
      </c>
      <c r="SA186" s="12" t="s">
        <v>37</v>
      </c>
      <c r="SB186" s="12" t="s">
        <v>37</v>
      </c>
      <c r="SC186" s="12" t="s">
        <v>37</v>
      </c>
      <c r="SD186" s="12" t="s">
        <v>37</v>
      </c>
      <c r="SE186" s="12" t="s">
        <v>37</v>
      </c>
      <c r="SF186" s="12" t="s">
        <v>37</v>
      </c>
      <c r="SI186" s="12" t="s">
        <v>37</v>
      </c>
      <c r="SJ186" s="12" t="s">
        <v>37</v>
      </c>
      <c r="SK186" s="13" t="s">
        <v>37</v>
      </c>
      <c r="SM186" s="12" t="s">
        <v>37</v>
      </c>
      <c r="SN186" s="12" t="s">
        <v>37</v>
      </c>
      <c r="SO186" s="13" t="s">
        <v>37</v>
      </c>
      <c r="SU186" s="12" t="s">
        <v>37</v>
      </c>
      <c r="SV186" s="12" t="s">
        <v>37</v>
      </c>
      <c r="SW186" s="11" t="s">
        <v>37</v>
      </c>
      <c r="SX186" s="12" t="s">
        <v>37</v>
      </c>
      <c r="SY186" s="12" t="s">
        <v>37</v>
      </c>
      <c r="SZ186" s="11" t="s">
        <v>37</v>
      </c>
      <c r="TE186" s="12" t="s">
        <v>37</v>
      </c>
      <c r="TF186" s="12" t="s">
        <v>37</v>
      </c>
      <c r="TG186" s="11" t="s">
        <v>37</v>
      </c>
      <c r="TH186" s="12" t="s">
        <v>37</v>
      </c>
      <c r="TI186" s="12" t="s">
        <v>37</v>
      </c>
      <c r="TJ186" s="11" t="s">
        <v>37</v>
      </c>
      <c r="TO186" s="12" t="s">
        <v>37</v>
      </c>
      <c r="TP186" s="12" t="s">
        <v>37</v>
      </c>
      <c r="TQ186" s="11" t="s">
        <v>37</v>
      </c>
      <c r="TR186" s="12" t="s">
        <v>37</v>
      </c>
      <c r="TS186" s="12" t="s">
        <v>37</v>
      </c>
      <c r="TT186" s="11" t="s">
        <v>37</v>
      </c>
      <c r="TY186" s="12" t="s">
        <v>37</v>
      </c>
      <c r="TZ186" s="12" t="s">
        <v>37</v>
      </c>
      <c r="UA186" s="12" t="s">
        <v>37</v>
      </c>
      <c r="UB186" s="12" t="s">
        <v>37</v>
      </c>
      <c r="UC186" s="12" t="s">
        <v>37</v>
      </c>
      <c r="UD186" s="12" t="s">
        <v>37</v>
      </c>
      <c r="UE186" s="12"/>
      <c r="UF186" s="12"/>
      <c r="UI186" s="12" t="s">
        <v>37</v>
      </c>
      <c r="UJ186" s="12" t="s">
        <v>37</v>
      </c>
      <c r="UK186" s="12" t="s">
        <v>37</v>
      </c>
      <c r="UL186" s="12" t="s">
        <v>37</v>
      </c>
      <c r="UM186" s="12" t="s">
        <v>37</v>
      </c>
      <c r="UN186" s="12" t="s">
        <v>37</v>
      </c>
      <c r="UO186" s="12"/>
      <c r="UP186" s="12"/>
      <c r="UR186" s="12" t="s">
        <v>37</v>
      </c>
      <c r="US186" s="12" t="s">
        <v>37</v>
      </c>
      <c r="UT186" s="12" t="s">
        <v>37</v>
      </c>
      <c r="UU186" s="12" t="s">
        <v>37</v>
      </c>
      <c r="UV186" s="12" t="s">
        <v>37</v>
      </c>
      <c r="UW186" s="12" t="s">
        <v>37</v>
      </c>
      <c r="UX186" s="12"/>
      <c r="UY186" s="12"/>
      <c r="VB186" s="12" t="s">
        <v>37</v>
      </c>
      <c r="VC186" s="12" t="s">
        <v>37</v>
      </c>
      <c r="VD186" s="12" t="s">
        <v>37</v>
      </c>
      <c r="VE186" s="12" t="s">
        <v>37</v>
      </c>
      <c r="VF186" s="12" t="s">
        <v>37</v>
      </c>
      <c r="VG186" s="12" t="s">
        <v>37</v>
      </c>
      <c r="VI186" s="12" t="s">
        <v>37</v>
      </c>
      <c r="VJ186" s="12" t="s">
        <v>37</v>
      </c>
      <c r="VK186" s="12" t="s">
        <v>37</v>
      </c>
      <c r="VL186" s="12" t="s">
        <v>37</v>
      </c>
      <c r="VM186" s="12" t="s">
        <v>37</v>
      </c>
      <c r="VN186" s="12" t="s">
        <v>37</v>
      </c>
      <c r="VQ186" s="13" t="s">
        <v>37</v>
      </c>
      <c r="VR186" s="13" t="s">
        <v>37</v>
      </c>
      <c r="VS186" s="13" t="s">
        <v>37</v>
      </c>
      <c r="VT186" s="13" t="s">
        <v>37</v>
      </c>
      <c r="VU186" s="13" t="s">
        <v>37</v>
      </c>
      <c r="VV186" s="13" t="s">
        <v>37</v>
      </c>
      <c r="WA186" s="13" t="s">
        <v>37</v>
      </c>
      <c r="WB186" s="13" t="s">
        <v>37</v>
      </c>
      <c r="WC186" s="13" t="s">
        <v>37</v>
      </c>
      <c r="WD186" s="13" t="s">
        <v>37</v>
      </c>
      <c r="WE186" s="13" t="s">
        <v>37</v>
      </c>
      <c r="WF186" s="13" t="s">
        <v>37</v>
      </c>
    </row>
    <row r="187" spans="1:604" ht="18" customHeight="1" x14ac:dyDescent="0.3">
      <c r="A187" s="11">
        <v>45</v>
      </c>
      <c r="B187" s="16" t="s">
        <v>272</v>
      </c>
      <c r="C187" s="12" t="s">
        <v>26</v>
      </c>
      <c r="D187" s="12" t="s">
        <v>1039</v>
      </c>
      <c r="E187" s="40" t="s">
        <v>37</v>
      </c>
      <c r="F187" s="14">
        <v>0</v>
      </c>
      <c r="G187" s="14">
        <v>0</v>
      </c>
      <c r="H187" s="12" t="s">
        <v>79</v>
      </c>
      <c r="I187" s="29">
        <v>33.917000000000002</v>
      </c>
      <c r="J187" s="29">
        <v>102.81699999999999</v>
      </c>
      <c r="K187" s="12" t="s">
        <v>746</v>
      </c>
      <c r="L187" s="12" t="s">
        <v>747</v>
      </c>
      <c r="M187" s="13">
        <v>3441</v>
      </c>
      <c r="N187" s="14">
        <v>0.9</v>
      </c>
      <c r="O187" s="14">
        <v>656.8</v>
      </c>
      <c r="P187" s="14" t="s">
        <v>16</v>
      </c>
      <c r="Q187" s="75">
        <v>43</v>
      </c>
      <c r="R187" s="11" t="s">
        <v>999</v>
      </c>
      <c r="S187" s="12" t="s">
        <v>923</v>
      </c>
      <c r="T187" s="12" t="s">
        <v>138</v>
      </c>
      <c r="U187" s="12" t="s">
        <v>158</v>
      </c>
      <c r="V187" s="12" t="s">
        <v>275</v>
      </c>
      <c r="W187" s="23" t="s">
        <v>37</v>
      </c>
      <c r="X187" s="12" t="s">
        <v>280</v>
      </c>
      <c r="Y187" s="12" t="s">
        <v>37</v>
      </c>
      <c r="Z187" s="12" t="s">
        <v>37</v>
      </c>
      <c r="AA187" s="32" t="s">
        <v>345</v>
      </c>
      <c r="AB187" s="12">
        <v>7.2</v>
      </c>
      <c r="AC187" s="12" t="s">
        <v>42</v>
      </c>
      <c r="AD187" s="32" t="s">
        <v>345</v>
      </c>
      <c r="AE187" s="12">
        <v>160.87</v>
      </c>
      <c r="AF187" s="12" t="s">
        <v>42</v>
      </c>
      <c r="AG187" s="32" t="s">
        <v>345</v>
      </c>
      <c r="AH187" s="12">
        <v>18.71</v>
      </c>
      <c r="AJ187" s="12" t="str">
        <f t="shared" si="711"/>
        <v>0-10</v>
      </c>
      <c r="AK187" s="19">
        <f t="shared" si="712"/>
        <v>8.5980758952431859</v>
      </c>
      <c r="AL187" s="32" t="s">
        <v>545</v>
      </c>
      <c r="AM187" s="12" t="s">
        <v>317</v>
      </c>
      <c r="AN187" s="32" t="s">
        <v>880</v>
      </c>
      <c r="AO187" s="12" t="s">
        <v>37</v>
      </c>
      <c r="AP187" s="12" t="s">
        <v>108</v>
      </c>
      <c r="AQ187" s="12" t="s">
        <v>975</v>
      </c>
      <c r="AR187" s="12" t="s">
        <v>42</v>
      </c>
      <c r="AS187" s="32" t="s">
        <v>345</v>
      </c>
      <c r="AT187" s="12">
        <v>160.87</v>
      </c>
      <c r="AU187" s="12">
        <f>40.23*SQRT(3)</f>
        <v>69.680403988495925</v>
      </c>
      <c r="AV187" s="13">
        <v>3</v>
      </c>
      <c r="AW187" s="19">
        <f t="shared" si="713"/>
        <v>0.43314728655744344</v>
      </c>
      <c r="AX187" s="12">
        <f t="shared" si="781"/>
        <v>146.98333333333335</v>
      </c>
      <c r="AY187" s="12">
        <f t="shared" si="782"/>
        <v>11.346138843970957</v>
      </c>
      <c r="AZ187" s="13">
        <v>3</v>
      </c>
      <c r="BA187" s="19">
        <f t="shared" si="714"/>
        <v>7.7193370068971243E-2</v>
      </c>
      <c r="BB187" s="52">
        <f t="shared" si="715"/>
        <v>-9.0277383736136335E-2</v>
      </c>
      <c r="BC187" s="19">
        <f t="shared" si="716"/>
        <v>6.4525129411560384E-2</v>
      </c>
      <c r="BD187" s="32" t="s">
        <v>422</v>
      </c>
      <c r="BE187" s="12">
        <v>146.58000000000001</v>
      </c>
      <c r="BF187" s="12">
        <f t="shared" si="810"/>
        <v>75.898466387668194</v>
      </c>
      <c r="BG187" s="13">
        <v>3</v>
      </c>
      <c r="BH187" s="19">
        <f t="shared" si="784"/>
        <v>0.51779551362851817</v>
      </c>
      <c r="BI187" s="12">
        <f t="shared" si="785"/>
        <v>142.18999999999997</v>
      </c>
      <c r="BJ187" s="12">
        <f t="shared" si="786"/>
        <v>4.6547359395208083</v>
      </c>
      <c r="BK187" s="13">
        <v>3</v>
      </c>
      <c r="BL187" s="19">
        <f t="shared" si="717"/>
        <v>3.2736028831287782E-2</v>
      </c>
      <c r="BM187" s="52">
        <f t="shared" si="718"/>
        <v>-3.0407163089421381E-2</v>
      </c>
      <c r="BN187" s="19">
        <f t="shared" si="719"/>
        <v>8.9727947172487929E-2</v>
      </c>
      <c r="BO187" s="32" t="s">
        <v>423</v>
      </c>
      <c r="BP187" s="12">
        <v>147.76</v>
      </c>
      <c r="BQ187" s="12">
        <f t="shared" si="811"/>
        <v>78.894914284762351</v>
      </c>
      <c r="BR187" s="13">
        <v>3</v>
      </c>
      <c r="BS187" s="19">
        <f t="shared" si="788"/>
        <v>0.5339395931562152</v>
      </c>
      <c r="BT187" s="12">
        <f t="shared" si="789"/>
        <v>142.67666666666665</v>
      </c>
      <c r="BU187" s="12">
        <f t="shared" si="790"/>
        <v>7.411724945427121</v>
      </c>
      <c r="BV187" s="13">
        <v>3</v>
      </c>
      <c r="BW187" s="19">
        <f t="shared" si="791"/>
        <v>5.1947701881366645E-2</v>
      </c>
      <c r="BX187" s="52">
        <f t="shared" si="720"/>
        <v>-3.5008337975785189E-2</v>
      </c>
      <c r="BY187" s="19">
        <f t="shared" si="721"/>
        <v>9.5930017623526639E-2</v>
      </c>
      <c r="CA187" s="12" t="s">
        <v>37</v>
      </c>
      <c r="CB187" s="12" t="s">
        <v>37</v>
      </c>
      <c r="CC187" s="13" t="s">
        <v>37</v>
      </c>
      <c r="CE187" s="12" t="s">
        <v>37</v>
      </c>
      <c r="CF187" s="12" t="s">
        <v>37</v>
      </c>
      <c r="CG187" s="13" t="s">
        <v>37</v>
      </c>
      <c r="CN187" s="12" t="s">
        <v>37</v>
      </c>
      <c r="CO187" s="12" t="s">
        <v>37</v>
      </c>
      <c r="CP187" s="13" t="s">
        <v>37</v>
      </c>
      <c r="CR187" s="12" t="s">
        <v>37</v>
      </c>
      <c r="CS187" s="12" t="s">
        <v>37</v>
      </c>
      <c r="CT187" s="13" t="s">
        <v>37</v>
      </c>
      <c r="CX187" s="72"/>
      <c r="CY187" s="72"/>
      <c r="DA187" s="12" t="s">
        <v>37</v>
      </c>
      <c r="DB187" s="12" t="s">
        <v>37</v>
      </c>
      <c r="DC187" s="13" t="s">
        <v>37</v>
      </c>
      <c r="DE187" s="12" t="s">
        <v>37</v>
      </c>
      <c r="DF187" s="12" t="s">
        <v>37</v>
      </c>
      <c r="DG187" s="13" t="s">
        <v>37</v>
      </c>
      <c r="DM187" s="11" t="s">
        <v>47</v>
      </c>
      <c r="DN187" s="19">
        <f>DN185*0.55+DN186*0.45</f>
        <v>353.77082505028261</v>
      </c>
      <c r="DO187" s="12">
        <f>SQRT(0.55^2*DO185^2+0.45^2*DO186^2)</f>
        <v>377.4427718737299</v>
      </c>
      <c r="DP187" s="13">
        <v>3</v>
      </c>
      <c r="DQ187" s="19">
        <f t="shared" si="707"/>
        <v>1.0669132250238067</v>
      </c>
      <c r="DR187" s="19">
        <f>AVERAGEA(0.13,0.12,0.17)*("2013/09/30"-"2013/05/01")*10^4*24/10^6/'[1]classes-1'!$I$49</f>
        <v>5.2453106713176574</v>
      </c>
      <c r="DS187" s="12">
        <f t="shared" si="807"/>
        <v>10.686883582340696</v>
      </c>
      <c r="DT187" s="13">
        <v>3</v>
      </c>
      <c r="DU187" s="19">
        <f t="shared" si="708"/>
        <v>2.0374167045583365</v>
      </c>
      <c r="DV187" s="19">
        <f t="shared" si="710"/>
        <v>-348.52551437896494</v>
      </c>
      <c r="DW187" s="12">
        <f t="shared" si="709"/>
        <v>266.9993029208382</v>
      </c>
      <c r="DX187" s="72">
        <f t="shared" si="641"/>
        <v>47525.751840142337</v>
      </c>
      <c r="DY187" s="72">
        <f t="shared" si="642"/>
        <v>47525.751840142344</v>
      </c>
      <c r="EA187" s="19" t="s">
        <v>37</v>
      </c>
      <c r="EB187" s="19" t="s">
        <v>37</v>
      </c>
      <c r="EC187" s="72" t="s">
        <v>37</v>
      </c>
      <c r="EE187" s="19" t="s">
        <v>37</v>
      </c>
      <c r="EF187" s="19" t="s">
        <v>37</v>
      </c>
      <c r="EG187" s="12" t="s">
        <v>37</v>
      </c>
      <c r="EM187" s="12" t="s">
        <v>39</v>
      </c>
      <c r="EN187" s="12">
        <f>EN185*0.55+EN186*0.45</f>
        <v>-22.905478395061731</v>
      </c>
      <c r="EO187" s="12">
        <f>SQRT(0.55^2*EO185^2+0.45^2*EO186^2)</f>
        <v>5.2162753162474411</v>
      </c>
      <c r="EP187" s="13">
        <v>3</v>
      </c>
      <c r="EQ187" s="19">
        <f t="shared" si="792"/>
        <v>0.22773046806881078</v>
      </c>
      <c r="ER187" s="12">
        <f t="shared" si="808"/>
        <v>-89.296666666666667</v>
      </c>
      <c r="ES187" s="12">
        <f t="shared" si="809"/>
        <v>4.948066962629615</v>
      </c>
      <c r="ET187" s="13">
        <v>3</v>
      </c>
      <c r="EU187" s="19">
        <f t="shared" si="793"/>
        <v>5.5411552830971086E-2</v>
      </c>
      <c r="EV187" s="19">
        <f t="shared" si="701"/>
        <v>-66.391188271604932</v>
      </c>
      <c r="EW187" s="12">
        <f t="shared" si="702"/>
        <v>5.0839401472459826</v>
      </c>
      <c r="EX187" s="19">
        <f t="shared" si="703"/>
        <v>17.230964947186337</v>
      </c>
      <c r="EY187" s="19">
        <f t="shared" si="704"/>
        <v>17.230964947186337</v>
      </c>
      <c r="FB187" s="12" t="s">
        <v>37</v>
      </c>
      <c r="FC187" s="12" t="s">
        <v>37</v>
      </c>
      <c r="FD187" s="11" t="s">
        <v>37</v>
      </c>
      <c r="FE187" s="12" t="s">
        <v>37</v>
      </c>
      <c r="FF187" s="20" t="s">
        <v>37</v>
      </c>
      <c r="FG187" s="11" t="s">
        <v>37</v>
      </c>
      <c r="FI187" s="12" t="s">
        <v>37</v>
      </c>
      <c r="FJ187" s="12" t="s">
        <v>37</v>
      </c>
      <c r="FK187" s="11" t="s">
        <v>37</v>
      </c>
      <c r="FL187" s="13" t="s">
        <v>37</v>
      </c>
      <c r="FM187" s="11" t="s">
        <v>37</v>
      </c>
      <c r="FN187" s="11" t="s">
        <v>37</v>
      </c>
      <c r="FP187" s="12" t="s">
        <v>37</v>
      </c>
      <c r="FQ187" s="12" t="s">
        <v>37</v>
      </c>
      <c r="FR187" s="11" t="s">
        <v>37</v>
      </c>
      <c r="FS187" s="13" t="s">
        <v>37</v>
      </c>
      <c r="FT187" s="11" t="s">
        <v>37</v>
      </c>
      <c r="FU187" s="11" t="s">
        <v>37</v>
      </c>
      <c r="FW187" s="12" t="s">
        <v>37</v>
      </c>
      <c r="FX187" s="12" t="s">
        <v>37</v>
      </c>
      <c r="FY187" s="11" t="s">
        <v>37</v>
      </c>
      <c r="FZ187" s="13" t="s">
        <v>37</v>
      </c>
      <c r="GA187" s="11" t="s">
        <v>37</v>
      </c>
      <c r="GB187" s="11" t="s">
        <v>37</v>
      </c>
      <c r="GO187" s="12" t="s">
        <v>660</v>
      </c>
      <c r="GP187" s="12" t="s">
        <v>327</v>
      </c>
      <c r="GQ187" s="12">
        <f>GQ185*0.55+GQ186*0.45</f>
        <v>10.680851063829785</v>
      </c>
      <c r="GR187" s="12">
        <f>SQRT(0.55^2*GR185^2+0.45^2*GR186^2)</f>
        <v>1.0386858262504013</v>
      </c>
      <c r="GS187" s="13">
        <v>3</v>
      </c>
      <c r="GT187" s="19">
        <f t="shared" si="722"/>
        <v>9.7247477756511699E-2</v>
      </c>
      <c r="GU187" s="12">
        <f t="shared" si="794"/>
        <v>10.513333333333334</v>
      </c>
      <c r="GV187" s="12">
        <f t="shared" si="795"/>
        <v>1.0373523991392701</v>
      </c>
      <c r="GW187" s="13">
        <v>3</v>
      </c>
      <c r="GX187" s="19">
        <f t="shared" si="723"/>
        <v>9.8670171129290121E-2</v>
      </c>
      <c r="GY187" s="19">
        <f t="shared" si="724"/>
        <v>-1.5808225114887661E-2</v>
      </c>
      <c r="GZ187" s="19">
        <f t="shared" si="725"/>
        <v>6.3976248668955443E-3</v>
      </c>
      <c r="HA187" s="17" t="s">
        <v>63</v>
      </c>
      <c r="HB187" s="34" t="s">
        <v>345</v>
      </c>
      <c r="HC187" s="12">
        <v>0.35</v>
      </c>
      <c r="HD187" s="12">
        <f t="shared" si="812"/>
        <v>8.6602540378443865E-2</v>
      </c>
      <c r="HE187" s="13">
        <v>3</v>
      </c>
      <c r="HF187" s="19">
        <f t="shared" si="726"/>
        <v>0.24743582965269678</v>
      </c>
      <c r="HG187" s="12">
        <f t="shared" si="796"/>
        <v>0.5</v>
      </c>
      <c r="HH187" s="12">
        <f t="shared" si="797"/>
        <v>2.1602468994692866E-2</v>
      </c>
      <c r="HI187" s="13">
        <v>3</v>
      </c>
      <c r="HJ187" s="19">
        <f t="shared" si="727"/>
        <v>4.3204937989385732E-2</v>
      </c>
      <c r="HK187" s="19">
        <f t="shared" si="728"/>
        <v>0.35667494393873239</v>
      </c>
      <c r="HL187" s="19">
        <f t="shared" si="729"/>
        <v>2.1030385487528346E-2</v>
      </c>
      <c r="HM187" s="34" t="s">
        <v>422</v>
      </c>
      <c r="HN187" s="12">
        <v>0.42</v>
      </c>
      <c r="HO187" s="12">
        <f t="shared" si="813"/>
        <v>0.20784609690826525</v>
      </c>
      <c r="HP187" s="13">
        <v>3</v>
      </c>
      <c r="HQ187" s="19">
        <f t="shared" si="730"/>
        <v>0.49487165930539345</v>
      </c>
      <c r="HR187" s="12">
        <f t="shared" si="799"/>
        <v>0.51666666666666672</v>
      </c>
      <c r="HS187" s="12">
        <f t="shared" si="800"/>
        <v>2.3804761428476165E-2</v>
      </c>
      <c r="HT187" s="13">
        <v>3</v>
      </c>
      <c r="HU187" s="19">
        <f t="shared" si="731"/>
        <v>4.607373179705064E-2</v>
      </c>
      <c r="HV187" s="19">
        <f t="shared" si="732"/>
        <v>0.20714320996776869</v>
      </c>
      <c r="HW187" s="19">
        <f t="shared" si="733"/>
        <v>8.2340249315126665E-2</v>
      </c>
      <c r="HX187" s="34" t="s">
        <v>423</v>
      </c>
      <c r="HY187" s="12">
        <v>0.41</v>
      </c>
      <c r="HZ187" s="12">
        <f t="shared" si="814"/>
        <v>0.1905255888325765</v>
      </c>
      <c r="IA187" s="13">
        <v>3</v>
      </c>
      <c r="IB187" s="19">
        <f t="shared" si="734"/>
        <v>0.4646965581282354</v>
      </c>
      <c r="IC187" s="12">
        <f t="shared" si="801"/>
        <v>0.56333333333333335</v>
      </c>
      <c r="ID187" s="12">
        <f t="shared" si="802"/>
        <v>2.6457513110645908E-2</v>
      </c>
      <c r="IE187" s="13">
        <v>3</v>
      </c>
      <c r="IF187" s="19">
        <f t="shared" si="735"/>
        <v>4.6965999604696877E-2</v>
      </c>
      <c r="IG187" s="19">
        <f t="shared" si="736"/>
        <v>0.31771435955065602</v>
      </c>
      <c r="IH187" s="19">
        <f t="shared" si="737"/>
        <v>7.2716232085032279E-2</v>
      </c>
      <c r="IK187" s="12" t="s">
        <v>37</v>
      </c>
      <c r="IL187" s="12" t="s">
        <v>37</v>
      </c>
      <c r="IM187" s="12" t="s">
        <v>37</v>
      </c>
      <c r="IO187" s="12" t="s">
        <v>37</v>
      </c>
      <c r="IP187" s="12" t="s">
        <v>37</v>
      </c>
      <c r="IQ187" s="12" t="s">
        <v>37</v>
      </c>
      <c r="IV187" s="32" t="s">
        <v>345</v>
      </c>
      <c r="IW187" s="12">
        <v>7.2</v>
      </c>
      <c r="IX187" s="50">
        <f t="shared" si="738"/>
        <v>0.26361174692176659</v>
      </c>
      <c r="IY187" s="13">
        <v>3</v>
      </c>
      <c r="JA187" s="12">
        <f t="shared" si="803"/>
        <v>7.7</v>
      </c>
      <c r="JB187" s="50">
        <f t="shared" si="739"/>
        <v>0.21566782764991124</v>
      </c>
      <c r="JC187" s="13">
        <v>3</v>
      </c>
      <c r="JE187" s="19">
        <f t="shared" si="740"/>
        <v>6.713930283762852E-2</v>
      </c>
      <c r="JF187" s="19">
        <f t="shared" si="741"/>
        <v>7.0832876411330761E-4</v>
      </c>
      <c r="JH187" s="12" t="s">
        <v>37</v>
      </c>
      <c r="JI187" s="12" t="s">
        <v>37</v>
      </c>
      <c r="JJ187" s="13" t="s">
        <v>37</v>
      </c>
      <c r="JL187" s="12" t="s">
        <v>37</v>
      </c>
      <c r="JM187" s="12" t="s">
        <v>37</v>
      </c>
      <c r="JN187" s="12" t="s">
        <v>37</v>
      </c>
      <c r="JS187" s="12" t="s">
        <v>37</v>
      </c>
      <c r="JT187" s="12" t="s">
        <v>37</v>
      </c>
      <c r="JU187" s="13" t="s">
        <v>37</v>
      </c>
      <c r="JW187" s="12" t="s">
        <v>37</v>
      </c>
      <c r="JX187" s="12" t="s">
        <v>37</v>
      </c>
      <c r="JY187" s="12" t="s">
        <v>37</v>
      </c>
      <c r="KE187" s="11" t="s">
        <v>37</v>
      </c>
      <c r="KF187" s="11" t="s">
        <v>37</v>
      </c>
      <c r="KG187" s="13" t="s">
        <v>37</v>
      </c>
      <c r="KH187" s="11" t="s">
        <v>37</v>
      </c>
      <c r="KI187" s="11" t="s">
        <v>37</v>
      </c>
      <c r="KJ187" s="11" t="s">
        <v>37</v>
      </c>
      <c r="KK187" s="12" t="s">
        <v>42</v>
      </c>
      <c r="KL187" s="32" t="s">
        <v>345</v>
      </c>
      <c r="KM187" s="12">
        <v>18.71</v>
      </c>
      <c r="KN187" s="50">
        <f t="shared" si="742"/>
        <v>2.231972804310721</v>
      </c>
      <c r="KO187" s="13">
        <v>3</v>
      </c>
      <c r="KQ187" s="12">
        <f t="shared" si="804"/>
        <v>13.093333333333334</v>
      </c>
      <c r="KR187" s="50">
        <f t="shared" si="743"/>
        <v>1.3806059790080172</v>
      </c>
      <c r="KS187" s="13">
        <v>3</v>
      </c>
      <c r="KU187" s="19">
        <f t="shared" si="744"/>
        <v>-0.35695494546784279</v>
      </c>
      <c r="KV187" s="19">
        <f t="shared" si="745"/>
        <v>8.4497155628593234E-3</v>
      </c>
      <c r="KW187" s="32" t="s">
        <v>422</v>
      </c>
      <c r="KX187" s="12">
        <v>18.190000000000001</v>
      </c>
      <c r="KY187" s="50">
        <f t="shared" si="746"/>
        <v>1.3416656277547112</v>
      </c>
      <c r="KZ187" s="13">
        <v>3</v>
      </c>
      <c r="LB187" s="12">
        <f t="shared" si="805"/>
        <v>10.42</v>
      </c>
      <c r="LC187" s="50">
        <f t="shared" si="747"/>
        <v>1.2021689232752755</v>
      </c>
      <c r="LD187" s="13">
        <v>3</v>
      </c>
      <c r="LF187" s="19">
        <f t="shared" si="748"/>
        <v>-0.55714495620481008</v>
      </c>
      <c r="LG187" s="19">
        <f t="shared" si="749"/>
        <v>6.2502802071617812E-3</v>
      </c>
      <c r="LH187" s="32" t="s">
        <v>423</v>
      </c>
      <c r="LI187" s="12">
        <v>17.850000000000001</v>
      </c>
      <c r="LJ187" s="50">
        <f t="shared" si="750"/>
        <v>7.2893991913660932</v>
      </c>
      <c r="LK187" s="13">
        <v>3</v>
      </c>
      <c r="LM187" s="12">
        <f t="shared" si="806"/>
        <v>9.24</v>
      </c>
      <c r="LN187" s="50">
        <f t="shared" si="751"/>
        <v>2.6129223611324779</v>
      </c>
      <c r="LO187" s="13">
        <v>3</v>
      </c>
      <c r="LQ187" s="19">
        <f t="shared" si="752"/>
        <v>-0.65846162257205543</v>
      </c>
      <c r="LR187" s="19">
        <f t="shared" si="753"/>
        <v>8.2244164849791468E-2</v>
      </c>
      <c r="LT187" s="12" t="str">
        <f t="shared" si="754"/>
        <v>0-10</v>
      </c>
      <c r="LU187" s="12">
        <f t="shared" si="755"/>
        <v>8.5980758952431859</v>
      </c>
      <c r="LV187" s="12">
        <f t="shared" si="756"/>
        <v>3.862894576399126</v>
      </c>
      <c r="LW187" s="13">
        <f t="shared" si="757"/>
        <v>3</v>
      </c>
      <c r="LY187" s="12">
        <f t="shared" si="758"/>
        <v>11.225814663951121</v>
      </c>
      <c r="LZ187" s="12">
        <f t="shared" si="759"/>
        <v>1.4669839173067531</v>
      </c>
      <c r="MA187" s="13">
        <f t="shared" si="760"/>
        <v>3</v>
      </c>
      <c r="MC187" s="19">
        <f t="shared" si="761"/>
        <v>0.26667756173170643</v>
      </c>
      <c r="MD187" s="19">
        <f t="shared" si="762"/>
        <v>7.2974844974419695E-2</v>
      </c>
      <c r="ME187" s="12" t="str">
        <f t="shared" si="763"/>
        <v>10-20</v>
      </c>
      <c r="MF187" s="12">
        <f t="shared" si="764"/>
        <v>8.0582737768004407</v>
      </c>
      <c r="MG187" s="12">
        <f t="shared" si="765"/>
        <v>4.2146582089957709</v>
      </c>
      <c r="MH187" s="13">
        <f t="shared" si="766"/>
        <v>3</v>
      </c>
      <c r="MJ187" s="12">
        <f t="shared" si="767"/>
        <v>13.645873320537426</v>
      </c>
      <c r="MK187" s="12">
        <f t="shared" si="768"/>
        <v>1.6364915031081246</v>
      </c>
      <c r="ML187" s="13">
        <f t="shared" si="769"/>
        <v>3</v>
      </c>
      <c r="MN187" s="19">
        <f t="shared" si="770"/>
        <v>0.52673779311538882</v>
      </c>
      <c r="MO187" s="19">
        <f t="shared" si="771"/>
        <v>9.5978227379649714E-2</v>
      </c>
      <c r="MP187" s="12" t="str">
        <f t="shared" si="772"/>
        <v>20-30</v>
      </c>
      <c r="MQ187" s="12">
        <f t="shared" si="773"/>
        <v>8.2778711484593828</v>
      </c>
      <c r="MR187" s="12">
        <f t="shared" si="774"/>
        <v>5.5644124668050727</v>
      </c>
      <c r="MS187" s="13">
        <f t="shared" si="775"/>
        <v>3</v>
      </c>
      <c r="MU187" s="12">
        <f t="shared" si="776"/>
        <v>15.441197691197688</v>
      </c>
      <c r="MV187" s="12">
        <f t="shared" si="777"/>
        <v>4.4395858643684845</v>
      </c>
      <c r="MW187" s="13">
        <f t="shared" si="778"/>
        <v>3</v>
      </c>
      <c r="MY187" s="19">
        <f t="shared" si="779"/>
        <v>0.62345328459627003</v>
      </c>
      <c r="MZ187" s="19">
        <f t="shared" si="780"/>
        <v>0.17817418247331812</v>
      </c>
      <c r="NC187" s="12" t="s">
        <v>37</v>
      </c>
      <c r="ND187" s="12" t="s">
        <v>37</v>
      </c>
      <c r="NE187" s="12" t="s">
        <v>37</v>
      </c>
      <c r="NG187" s="12" t="s">
        <v>37</v>
      </c>
      <c r="NH187" s="12" t="s">
        <v>37</v>
      </c>
      <c r="NI187" s="12" t="s">
        <v>37</v>
      </c>
      <c r="NO187" s="12" t="s">
        <v>37</v>
      </c>
      <c r="NP187" s="12" t="s">
        <v>37</v>
      </c>
      <c r="NQ187" s="12" t="s">
        <v>37</v>
      </c>
      <c r="NS187" s="12" t="s">
        <v>37</v>
      </c>
      <c r="NT187" s="12" t="s">
        <v>37</v>
      </c>
      <c r="NU187" s="12" t="s">
        <v>37</v>
      </c>
      <c r="OA187" s="12" t="s">
        <v>37</v>
      </c>
      <c r="OB187" s="12" t="s">
        <v>37</v>
      </c>
      <c r="OC187" s="12" t="s">
        <v>37</v>
      </c>
      <c r="OD187" s="12"/>
      <c r="OE187" s="12" t="s">
        <v>37</v>
      </c>
      <c r="OF187" s="12" t="s">
        <v>37</v>
      </c>
      <c r="OG187" s="12" t="s">
        <v>37</v>
      </c>
      <c r="OH187" s="12"/>
      <c r="OI187" s="12"/>
      <c r="OJ187" s="12"/>
      <c r="OM187" s="12" t="s">
        <v>37</v>
      </c>
      <c r="ON187" s="12" t="s">
        <v>37</v>
      </c>
      <c r="OO187" s="12" t="s">
        <v>37</v>
      </c>
      <c r="OP187" s="12" t="s">
        <v>37</v>
      </c>
      <c r="OQ187" s="12" t="s">
        <v>37</v>
      </c>
      <c r="OR187" s="12" t="s">
        <v>37</v>
      </c>
      <c r="OS187" s="12"/>
      <c r="OT187" s="12"/>
      <c r="OW187" s="12" t="s">
        <v>37</v>
      </c>
      <c r="OX187" s="12" t="s">
        <v>37</v>
      </c>
      <c r="OY187" s="13" t="s">
        <v>37</v>
      </c>
      <c r="OZ187" s="12" t="s">
        <v>37</v>
      </c>
      <c r="PA187" s="12" t="s">
        <v>37</v>
      </c>
      <c r="PB187" s="13" t="s">
        <v>37</v>
      </c>
      <c r="PG187" s="11" t="s">
        <v>37</v>
      </c>
      <c r="PH187" s="11" t="s">
        <v>37</v>
      </c>
      <c r="PI187" s="13" t="s">
        <v>37</v>
      </c>
      <c r="PJ187" s="11" t="s">
        <v>37</v>
      </c>
      <c r="PK187" s="11" t="s">
        <v>37</v>
      </c>
      <c r="PL187" s="13" t="s">
        <v>37</v>
      </c>
      <c r="PQ187" s="12" t="s">
        <v>37</v>
      </c>
      <c r="PR187" s="12" t="s">
        <v>37</v>
      </c>
      <c r="PS187" s="12" t="s">
        <v>37</v>
      </c>
      <c r="PT187" s="12" t="s">
        <v>37</v>
      </c>
      <c r="PU187" s="12" t="s">
        <v>37</v>
      </c>
      <c r="PV187" s="12" t="s">
        <v>37</v>
      </c>
      <c r="PW187" s="12"/>
      <c r="PX187" s="12"/>
      <c r="PZ187" s="12" t="s">
        <v>37</v>
      </c>
      <c r="QA187" s="12" t="s">
        <v>37</v>
      </c>
      <c r="QB187" s="11" t="s">
        <v>37</v>
      </c>
      <c r="QD187" s="12" t="s">
        <v>37</v>
      </c>
      <c r="QE187" s="12" t="s">
        <v>37</v>
      </c>
      <c r="QF187" s="12" t="s">
        <v>37</v>
      </c>
      <c r="QK187" s="12" t="s">
        <v>37</v>
      </c>
      <c r="QL187" s="12" t="s">
        <v>37</v>
      </c>
      <c r="QM187" s="12" t="s">
        <v>37</v>
      </c>
      <c r="QN187" s="12" t="s">
        <v>37</v>
      </c>
      <c r="QO187" s="12" t="s">
        <v>37</v>
      </c>
      <c r="QP187" s="12" t="s">
        <v>37</v>
      </c>
      <c r="QQ187" s="12"/>
      <c r="QR187" s="12"/>
      <c r="QU187" s="12" t="s">
        <v>37</v>
      </c>
      <c r="QV187" s="12" t="s">
        <v>37</v>
      </c>
      <c r="QW187" s="12" t="s">
        <v>37</v>
      </c>
      <c r="QX187" s="12" t="s">
        <v>37</v>
      </c>
      <c r="QY187" s="12" t="s">
        <v>37</v>
      </c>
      <c r="QZ187" s="12" t="s">
        <v>37</v>
      </c>
      <c r="RC187" s="12" t="s">
        <v>37</v>
      </c>
      <c r="RD187" s="12" t="s">
        <v>37</v>
      </c>
      <c r="RE187" s="13" t="s">
        <v>37</v>
      </c>
      <c r="RF187" s="12" t="s">
        <v>37</v>
      </c>
      <c r="RG187" s="12" t="s">
        <v>37</v>
      </c>
      <c r="RH187" s="13" t="s">
        <v>37</v>
      </c>
      <c r="RK187" s="12" t="s">
        <v>37</v>
      </c>
      <c r="RL187" s="12" t="s">
        <v>37</v>
      </c>
      <c r="RM187" s="11" t="s">
        <v>37</v>
      </c>
      <c r="RN187" s="12" t="s">
        <v>37</v>
      </c>
      <c r="RO187" s="12" t="s">
        <v>37</v>
      </c>
      <c r="RP187" s="11" t="s">
        <v>37</v>
      </c>
      <c r="RS187" s="12" t="s">
        <v>37</v>
      </c>
      <c r="RT187" s="12" t="s">
        <v>37</v>
      </c>
      <c r="RU187" s="12" t="s">
        <v>37</v>
      </c>
      <c r="RV187" s="12" t="s">
        <v>37</v>
      </c>
      <c r="RW187" s="12" t="s">
        <v>37</v>
      </c>
      <c r="RX187" s="12" t="s">
        <v>37</v>
      </c>
      <c r="SA187" s="12" t="s">
        <v>37</v>
      </c>
      <c r="SB187" s="12" t="s">
        <v>37</v>
      </c>
      <c r="SC187" s="12" t="s">
        <v>37</v>
      </c>
      <c r="SD187" s="12" t="s">
        <v>37</v>
      </c>
      <c r="SE187" s="12" t="s">
        <v>37</v>
      </c>
      <c r="SF187" s="12" t="s">
        <v>37</v>
      </c>
      <c r="SI187" s="12" t="s">
        <v>37</v>
      </c>
      <c r="SJ187" s="12" t="s">
        <v>37</v>
      </c>
      <c r="SK187" s="13" t="s">
        <v>37</v>
      </c>
      <c r="SM187" s="12" t="s">
        <v>37</v>
      </c>
      <c r="SN187" s="12" t="s">
        <v>37</v>
      </c>
      <c r="SO187" s="13" t="s">
        <v>37</v>
      </c>
      <c r="SU187" s="12" t="s">
        <v>37</v>
      </c>
      <c r="SV187" s="12" t="s">
        <v>37</v>
      </c>
      <c r="SW187" s="11" t="s">
        <v>37</v>
      </c>
      <c r="SX187" s="12" t="s">
        <v>37</v>
      </c>
      <c r="SY187" s="12" t="s">
        <v>37</v>
      </c>
      <c r="SZ187" s="11" t="s">
        <v>37</v>
      </c>
      <c r="TE187" s="12" t="s">
        <v>37</v>
      </c>
      <c r="TF187" s="12" t="s">
        <v>37</v>
      </c>
      <c r="TG187" s="11" t="s">
        <v>37</v>
      </c>
      <c r="TH187" s="12" t="s">
        <v>37</v>
      </c>
      <c r="TI187" s="12" t="s">
        <v>37</v>
      </c>
      <c r="TJ187" s="11" t="s">
        <v>37</v>
      </c>
      <c r="TO187" s="12" t="s">
        <v>37</v>
      </c>
      <c r="TP187" s="12" t="s">
        <v>37</v>
      </c>
      <c r="TQ187" s="11" t="s">
        <v>37</v>
      </c>
      <c r="TR187" s="12" t="s">
        <v>37</v>
      </c>
      <c r="TS187" s="12" t="s">
        <v>37</v>
      </c>
      <c r="TT187" s="11" t="s">
        <v>37</v>
      </c>
      <c r="TY187" s="12" t="s">
        <v>37</v>
      </c>
      <c r="TZ187" s="12" t="s">
        <v>37</v>
      </c>
      <c r="UA187" s="12" t="s">
        <v>37</v>
      </c>
      <c r="UB187" s="12" t="s">
        <v>37</v>
      </c>
      <c r="UC187" s="12" t="s">
        <v>37</v>
      </c>
      <c r="UD187" s="12" t="s">
        <v>37</v>
      </c>
      <c r="UE187" s="12"/>
      <c r="UF187" s="12"/>
      <c r="UI187" s="12" t="s">
        <v>37</v>
      </c>
      <c r="UJ187" s="12" t="s">
        <v>37</v>
      </c>
      <c r="UK187" s="12" t="s">
        <v>37</v>
      </c>
      <c r="UL187" s="12" t="s">
        <v>37</v>
      </c>
      <c r="UM187" s="12" t="s">
        <v>37</v>
      </c>
      <c r="UN187" s="12" t="s">
        <v>37</v>
      </c>
      <c r="UO187" s="12"/>
      <c r="UP187" s="12"/>
      <c r="UR187" s="12" t="s">
        <v>37</v>
      </c>
      <c r="US187" s="12" t="s">
        <v>37</v>
      </c>
      <c r="UT187" s="12" t="s">
        <v>37</v>
      </c>
      <c r="UU187" s="12" t="s">
        <v>37</v>
      </c>
      <c r="UV187" s="12" t="s">
        <v>37</v>
      </c>
      <c r="UW187" s="12" t="s">
        <v>37</v>
      </c>
      <c r="UX187" s="12"/>
      <c r="UY187" s="12"/>
      <c r="VB187" s="12" t="s">
        <v>37</v>
      </c>
      <c r="VC187" s="12" t="s">
        <v>37</v>
      </c>
      <c r="VD187" s="12" t="s">
        <v>37</v>
      </c>
      <c r="VE187" s="12" t="s">
        <v>37</v>
      </c>
      <c r="VF187" s="12" t="s">
        <v>37</v>
      </c>
      <c r="VG187" s="12" t="s">
        <v>37</v>
      </c>
      <c r="VI187" s="12" t="s">
        <v>37</v>
      </c>
      <c r="VJ187" s="12" t="s">
        <v>37</v>
      </c>
      <c r="VK187" s="12" t="s">
        <v>37</v>
      </c>
      <c r="VL187" s="12" t="s">
        <v>37</v>
      </c>
      <c r="VM187" s="12" t="s">
        <v>37</v>
      </c>
      <c r="VN187" s="12" t="s">
        <v>37</v>
      </c>
      <c r="VQ187" s="13" t="s">
        <v>37</v>
      </c>
      <c r="VR187" s="13" t="s">
        <v>37</v>
      </c>
      <c r="VS187" s="13" t="s">
        <v>37</v>
      </c>
      <c r="VT187" s="13" t="s">
        <v>37</v>
      </c>
      <c r="VU187" s="13" t="s">
        <v>37</v>
      </c>
      <c r="VV187" s="13" t="s">
        <v>37</v>
      </c>
      <c r="WA187" s="13" t="s">
        <v>37</v>
      </c>
      <c r="WB187" s="13" t="s">
        <v>37</v>
      </c>
      <c r="WC187" s="13" t="s">
        <v>37</v>
      </c>
      <c r="WD187" s="13" t="s">
        <v>37</v>
      </c>
      <c r="WE187" s="13" t="s">
        <v>37</v>
      </c>
      <c r="WF187" s="13" t="s">
        <v>37</v>
      </c>
    </row>
    <row r="188" spans="1:604" ht="18" customHeight="1" x14ac:dyDescent="0.3">
      <c r="A188" s="11">
        <v>45</v>
      </c>
      <c r="B188" s="16" t="s">
        <v>272</v>
      </c>
      <c r="C188" s="12" t="s">
        <v>26</v>
      </c>
      <c r="D188" s="12" t="s">
        <v>1039</v>
      </c>
      <c r="E188" s="40" t="s">
        <v>37</v>
      </c>
      <c r="F188" s="14">
        <v>0</v>
      </c>
      <c r="G188" s="14">
        <v>0</v>
      </c>
      <c r="H188" s="12" t="s">
        <v>79</v>
      </c>
      <c r="I188" s="29">
        <v>33.917000000000002</v>
      </c>
      <c r="J188" s="29">
        <v>102.81699999999999</v>
      </c>
      <c r="K188" s="12" t="s">
        <v>746</v>
      </c>
      <c r="L188" s="12" t="s">
        <v>747</v>
      </c>
      <c r="M188" s="13">
        <v>3441</v>
      </c>
      <c r="N188" s="14">
        <v>0.9</v>
      </c>
      <c r="O188" s="14">
        <v>656.8</v>
      </c>
      <c r="P188" s="14" t="s">
        <v>16</v>
      </c>
      <c r="Q188" s="75">
        <v>43</v>
      </c>
      <c r="R188" s="11" t="s">
        <v>999</v>
      </c>
      <c r="S188" s="12" t="s">
        <v>923</v>
      </c>
      <c r="T188" s="12" t="s">
        <v>138</v>
      </c>
      <c r="U188" s="12" t="s">
        <v>158</v>
      </c>
      <c r="V188" s="12" t="s">
        <v>274</v>
      </c>
      <c r="W188" s="23" t="s">
        <v>37</v>
      </c>
      <c r="X188" s="12" t="s">
        <v>280</v>
      </c>
      <c r="Y188" s="12" t="s">
        <v>37</v>
      </c>
      <c r="Z188" s="12" t="s">
        <v>37</v>
      </c>
      <c r="AA188" s="32" t="s">
        <v>345</v>
      </c>
      <c r="AB188" s="12">
        <v>7.5</v>
      </c>
      <c r="AC188" s="12" t="s">
        <v>42</v>
      </c>
      <c r="AD188" s="32" t="s">
        <v>345</v>
      </c>
      <c r="AE188" s="12">
        <v>206.37</v>
      </c>
      <c r="AF188" s="12" t="s">
        <v>42</v>
      </c>
      <c r="AG188" s="32" t="s">
        <v>345</v>
      </c>
      <c r="AH188" s="12">
        <v>13.85</v>
      </c>
      <c r="AJ188" s="12" t="str">
        <f t="shared" si="711"/>
        <v>0-10</v>
      </c>
      <c r="AK188" s="19">
        <f t="shared" si="712"/>
        <v>14.900361010830325</v>
      </c>
      <c r="AL188" s="32" t="s">
        <v>545</v>
      </c>
      <c r="AM188" s="12" t="s">
        <v>317</v>
      </c>
      <c r="AN188" s="32" t="s">
        <v>880</v>
      </c>
      <c r="AO188" s="12" t="s">
        <v>37</v>
      </c>
      <c r="AP188" s="12" t="s">
        <v>108</v>
      </c>
      <c r="AQ188" s="12" t="s">
        <v>975</v>
      </c>
      <c r="AR188" s="12" t="s">
        <v>42</v>
      </c>
      <c r="AS188" s="32" t="s">
        <v>345</v>
      </c>
      <c r="AT188" s="12">
        <v>206.37</v>
      </c>
      <c r="AU188" s="12">
        <f>20.09*SQRT(3)</f>
        <v>34.796900724058744</v>
      </c>
      <c r="AV188" s="13">
        <v>3</v>
      </c>
      <c r="AW188" s="19">
        <f t="shared" si="713"/>
        <v>0.16861414316062773</v>
      </c>
      <c r="AX188" s="12">
        <f>AVERAGEA(126.97)</f>
        <v>126.97</v>
      </c>
      <c r="AY188" s="12">
        <f>SQRT((7.51*SQRT(3))^2)</f>
        <v>13.007701564842268</v>
      </c>
      <c r="AZ188" s="13">
        <v>3</v>
      </c>
      <c r="BA188" s="19">
        <f t="shared" si="714"/>
        <v>0.10244704705711796</v>
      </c>
      <c r="BB188" s="52">
        <f t="shared" si="715"/>
        <v>-0.4857198361243325</v>
      </c>
      <c r="BC188" s="19">
        <f t="shared" si="716"/>
        <v>1.2975375574838671E-2</v>
      </c>
      <c r="BD188" s="32" t="s">
        <v>422</v>
      </c>
      <c r="BE188" s="12">
        <v>212.08</v>
      </c>
      <c r="BF188" s="12">
        <f t="shared" ref="BF188:BF190" si="815">30.22*SQRT(3)</f>
        <v>52.34257540473147</v>
      </c>
      <c r="BG188" s="13">
        <v>3</v>
      </c>
      <c r="BH188" s="19">
        <f t="shared" si="784"/>
        <v>0.24680580632181945</v>
      </c>
      <c r="BI188" s="12">
        <f>AVERAGEA(132.19)</f>
        <v>132.19</v>
      </c>
      <c r="BJ188" s="12">
        <f>SQRT((3.58*SQRT(3))^2)^2</f>
        <v>38.449199999999998</v>
      </c>
      <c r="BK188" s="13">
        <v>3</v>
      </c>
      <c r="BL188" s="19">
        <f t="shared" si="717"/>
        <v>0.29086315152432102</v>
      </c>
      <c r="BM188" s="52">
        <f t="shared" si="718"/>
        <v>-0.47272328038946182</v>
      </c>
      <c r="BN188" s="19">
        <f t="shared" si="719"/>
        <v>4.8504826316274528E-2</v>
      </c>
      <c r="BO188" s="32" t="s">
        <v>423</v>
      </c>
      <c r="BP188" s="12">
        <v>212.71</v>
      </c>
      <c r="BQ188" s="12">
        <f t="shared" ref="BQ188:BQ190" si="816">33.57*SQRT(3)</f>
        <v>58.144945610087206</v>
      </c>
      <c r="BR188" s="13">
        <v>3</v>
      </c>
      <c r="BS188" s="19">
        <f t="shared" si="788"/>
        <v>0.27335313624224156</v>
      </c>
      <c r="BT188" s="12">
        <f>AVERAGEA(127.07)</f>
        <v>127.07</v>
      </c>
      <c r="BU188" s="12">
        <f>SQRT((7.96*SQRT(3))^2)</f>
        <v>13.787124428248262</v>
      </c>
      <c r="BV188" s="13">
        <v>3</v>
      </c>
      <c r="BW188" s="19">
        <f t="shared" si="791"/>
        <v>0.10850023159084177</v>
      </c>
      <c r="BX188" s="52">
        <f t="shared" si="720"/>
        <v>-0.51519161995911622</v>
      </c>
      <c r="BY188" s="19">
        <f t="shared" si="721"/>
        <v>2.883141244957859E-2</v>
      </c>
      <c r="CA188" s="12" t="s">
        <v>37</v>
      </c>
      <c r="CB188" s="12" t="s">
        <v>37</v>
      </c>
      <c r="CC188" s="13" t="s">
        <v>37</v>
      </c>
      <c r="CE188" s="12" t="s">
        <v>37</v>
      </c>
      <c r="CF188" s="12" t="s">
        <v>37</v>
      </c>
      <c r="CG188" s="13" t="s">
        <v>37</v>
      </c>
      <c r="CN188" s="12" t="s">
        <v>37</v>
      </c>
      <c r="CO188" s="12" t="s">
        <v>37</v>
      </c>
      <c r="CP188" s="13" t="s">
        <v>37</v>
      </c>
      <c r="CR188" s="12" t="s">
        <v>37</v>
      </c>
      <c r="CS188" s="12" t="s">
        <v>37</v>
      </c>
      <c r="CT188" s="13" t="s">
        <v>37</v>
      </c>
      <c r="CX188" s="72"/>
      <c r="CY188" s="72"/>
      <c r="DA188" s="12" t="s">
        <v>37</v>
      </c>
      <c r="DB188" s="12" t="s">
        <v>37</v>
      </c>
      <c r="DC188" s="13" t="s">
        <v>37</v>
      </c>
      <c r="DE188" s="12" t="s">
        <v>37</v>
      </c>
      <c r="DF188" s="12" t="s">
        <v>37</v>
      </c>
      <c r="DG188" s="13" t="s">
        <v>37</v>
      </c>
      <c r="DM188" s="11" t="s">
        <v>47</v>
      </c>
      <c r="DN188" s="19">
        <f>DN184</f>
        <v>1212.2979432249506</v>
      </c>
      <c r="DO188" s="12">
        <f>DO184</f>
        <v>318.03950472765939</v>
      </c>
      <c r="DP188" s="13">
        <v>3</v>
      </c>
      <c r="DQ188" s="19">
        <f t="shared" si="707"/>
        <v>0.26234434076627389</v>
      </c>
      <c r="DR188" s="19">
        <f>AVERAGEA(0.13)*("2013/09/30"-"2013/05/01")*10^4*24/10^6/'[1]classes-1'!$I$47</f>
        <v>4.8706456233663973</v>
      </c>
      <c r="DS188" s="12">
        <f>SQRT((1/[2]Classes!$I$47)^2*(SQRT((0.03*SQRT(3))^2)*("2013/10/27"-"2013/06/04")*10^4*24/10^6)^2+(-DR188/([2]Classes!$I$47)^2)^2*([2]Classes!$J$47)^2)</f>
        <v>10.042950275238745</v>
      </c>
      <c r="DT188" s="13">
        <v>3</v>
      </c>
      <c r="DU188" s="19">
        <f t="shared" si="708"/>
        <v>2.0619340949501179</v>
      </c>
      <c r="DV188" s="19">
        <f t="shared" si="710"/>
        <v>-1207.4272976015841</v>
      </c>
      <c r="DW188" s="12">
        <f t="shared" si="709"/>
        <v>224.99998601960601</v>
      </c>
      <c r="DX188" s="72">
        <f t="shared" si="641"/>
        <v>33749.995805881932</v>
      </c>
      <c r="DY188" s="72">
        <f t="shared" si="642"/>
        <v>33749.995805881925</v>
      </c>
      <c r="EA188" s="19" t="s">
        <v>37</v>
      </c>
      <c r="EB188" s="19" t="s">
        <v>37</v>
      </c>
      <c r="EC188" s="72" t="s">
        <v>37</v>
      </c>
      <c r="EE188" s="19" t="s">
        <v>37</v>
      </c>
      <c r="EF188" s="19" t="s">
        <v>37</v>
      </c>
      <c r="EG188" s="12" t="s">
        <v>37</v>
      </c>
      <c r="EM188" s="12" t="s">
        <v>39</v>
      </c>
      <c r="EN188" s="12">
        <f>EN184</f>
        <v>15.494138888888889</v>
      </c>
      <c r="EO188" s="12">
        <f t="shared" ref="EO188:EP188" si="817">EO184</f>
        <v>0.77024816389862394</v>
      </c>
      <c r="EP188" s="13">
        <f t="shared" si="817"/>
        <v>3</v>
      </c>
      <c r="EQ188" s="19">
        <f t="shared" si="792"/>
        <v>4.9712227921939051E-2</v>
      </c>
      <c r="ER188" s="12">
        <f>AVERAGEA(-91.63)</f>
        <v>-91.63</v>
      </c>
      <c r="ES188" s="12">
        <f>SQRT((4.5*SQRT(3))^2)</f>
        <v>7.7942286340599471</v>
      </c>
      <c r="ET188" s="13">
        <v>3</v>
      </c>
      <c r="EU188" s="19">
        <f t="shared" si="793"/>
        <v>8.5061973524609272E-2</v>
      </c>
      <c r="EV188" s="19">
        <f t="shared" si="701"/>
        <v>-107.12413888888888</v>
      </c>
      <c r="EW188" s="12">
        <f t="shared" si="702"/>
        <v>5.5381983638178394</v>
      </c>
      <c r="EX188" s="19">
        <f t="shared" si="703"/>
        <v>20.447760744663064</v>
      </c>
      <c r="EY188" s="19">
        <f t="shared" si="704"/>
        <v>20.447760744663064</v>
      </c>
      <c r="FB188" s="12" t="s">
        <v>37</v>
      </c>
      <c r="FC188" s="12" t="s">
        <v>37</v>
      </c>
      <c r="FD188" s="11" t="s">
        <v>37</v>
      </c>
      <c r="FE188" s="12" t="s">
        <v>37</v>
      </c>
      <c r="FF188" s="20" t="s">
        <v>37</v>
      </c>
      <c r="FG188" s="11" t="s">
        <v>37</v>
      </c>
      <c r="FI188" s="12" t="s">
        <v>37</v>
      </c>
      <c r="FJ188" s="12" t="s">
        <v>37</v>
      </c>
      <c r="FK188" s="11" t="s">
        <v>37</v>
      </c>
      <c r="FL188" s="13" t="s">
        <v>37</v>
      </c>
      <c r="FM188" s="11" t="s">
        <v>37</v>
      </c>
      <c r="FN188" s="11" t="s">
        <v>37</v>
      </c>
      <c r="FP188" s="12" t="s">
        <v>37</v>
      </c>
      <c r="FQ188" s="12" t="s">
        <v>37</v>
      </c>
      <c r="FR188" s="11" t="s">
        <v>37</v>
      </c>
      <c r="FS188" s="13" t="s">
        <v>37</v>
      </c>
      <c r="FT188" s="11" t="s">
        <v>37</v>
      </c>
      <c r="FU188" s="11" t="s">
        <v>37</v>
      </c>
      <c r="FW188" s="12" t="s">
        <v>37</v>
      </c>
      <c r="FX188" s="12" t="s">
        <v>37</v>
      </c>
      <c r="FY188" s="11" t="s">
        <v>37</v>
      </c>
      <c r="FZ188" s="13" t="s">
        <v>37</v>
      </c>
      <c r="GA188" s="11" t="s">
        <v>37</v>
      </c>
      <c r="GB188" s="11" t="s">
        <v>37</v>
      </c>
      <c r="GO188" s="12" t="s">
        <v>660</v>
      </c>
      <c r="GP188" s="12" t="s">
        <v>327</v>
      </c>
      <c r="GQ188" s="12">
        <f>GQ184</f>
        <v>10.697568389057752</v>
      </c>
      <c r="GR188" s="12">
        <f>GR184</f>
        <v>0.70425088701842986</v>
      </c>
      <c r="GS188" s="13">
        <v>3</v>
      </c>
      <c r="GT188" s="19">
        <f t="shared" si="722"/>
        <v>6.5832800633346608E-2</v>
      </c>
      <c r="GU188" s="12">
        <f>AVERAGEA(10.23)</f>
        <v>10.23</v>
      </c>
      <c r="GV188" s="12">
        <f>SQRT((1.01*SQRT(3))^2)</f>
        <v>1.749371315644566</v>
      </c>
      <c r="GW188" s="13">
        <v>3</v>
      </c>
      <c r="GX188" s="19">
        <f t="shared" si="723"/>
        <v>0.17100403867493313</v>
      </c>
      <c r="GY188" s="19">
        <f t="shared" si="724"/>
        <v>-4.4691882319279383E-2</v>
      </c>
      <c r="GZ188" s="19">
        <f t="shared" si="725"/>
        <v>1.1192112960789331E-2</v>
      </c>
      <c r="HA188" s="17" t="s">
        <v>63</v>
      </c>
      <c r="HB188" s="34" t="s">
        <v>345</v>
      </c>
      <c r="HC188" s="12">
        <v>0.31</v>
      </c>
      <c r="HD188" s="12">
        <f>0.04*SQRT(3)</f>
        <v>6.9282032302755092E-2</v>
      </c>
      <c r="HE188" s="13">
        <v>3</v>
      </c>
      <c r="HF188" s="19">
        <f t="shared" si="726"/>
        <v>0.22349042678308095</v>
      </c>
      <c r="HG188" s="12">
        <f>AVERAGEA(0.57)</f>
        <v>0.56999999999999995</v>
      </c>
      <c r="HH188" s="12">
        <f>SQRT((0.01*SQRT(3))^2)</f>
        <v>1.7320508075688773E-2</v>
      </c>
      <c r="HI188" s="13">
        <v>3</v>
      </c>
      <c r="HJ188" s="19">
        <f t="shared" si="727"/>
        <v>3.03868562731382E-2</v>
      </c>
      <c r="HK188" s="19">
        <f t="shared" si="728"/>
        <v>0.60906406334940388</v>
      </c>
      <c r="HL188" s="19">
        <f t="shared" si="729"/>
        <v>1.6957110632616009E-2</v>
      </c>
      <c r="HM188" s="34" t="s">
        <v>422</v>
      </c>
      <c r="HN188" s="12">
        <v>0.28000000000000003</v>
      </c>
      <c r="HO188" s="12">
        <f t="shared" ref="HO188:HO190" si="818">0.05*SQRT(3)</f>
        <v>8.6602540378443865E-2</v>
      </c>
      <c r="HP188" s="13">
        <v>3</v>
      </c>
      <c r="HQ188" s="19">
        <f t="shared" si="730"/>
        <v>0.30929478706587094</v>
      </c>
      <c r="HR188" s="12">
        <f>AVERAGEA(0.57)</f>
        <v>0.56999999999999995</v>
      </c>
      <c r="HS188" s="12">
        <f>SQRT((0.03*SQRT(3))^2)</f>
        <v>5.1961524227066312E-2</v>
      </c>
      <c r="HT188" s="13">
        <v>3</v>
      </c>
      <c r="HU188" s="19">
        <f t="shared" si="731"/>
        <v>9.1160568819414589E-2</v>
      </c>
      <c r="HV188" s="19">
        <f t="shared" si="732"/>
        <v>0.71084675765934591</v>
      </c>
      <c r="HW188" s="19">
        <f t="shared" si="733"/>
        <v>3.4657838204533886E-2</v>
      </c>
      <c r="HX188" s="34" t="s">
        <v>423</v>
      </c>
      <c r="HY188" s="12">
        <v>0.28000000000000003</v>
      </c>
      <c r="HZ188" s="12">
        <v>7.0000000000000007E-2</v>
      </c>
      <c r="IA188" s="13">
        <v>3</v>
      </c>
      <c r="IB188" s="19">
        <f t="shared" si="734"/>
        <v>0.25</v>
      </c>
      <c r="IC188" s="12">
        <f>AVERAGEA(0.63)</f>
        <v>0.63</v>
      </c>
      <c r="ID188" s="12">
        <f>SQRT((0.02*SQRT(3))^2)</f>
        <v>3.4641016151377546E-2</v>
      </c>
      <c r="IE188" s="13">
        <v>3</v>
      </c>
      <c r="IF188" s="19">
        <f t="shared" si="735"/>
        <v>5.4985739922821499E-2</v>
      </c>
      <c r="IG188" s="19">
        <f t="shared" si="736"/>
        <v>0.81093021621632877</v>
      </c>
      <c r="IH188" s="19">
        <f t="shared" si="737"/>
        <v>2.1841143864953391E-2</v>
      </c>
      <c r="IK188" s="12" t="s">
        <v>37</v>
      </c>
      <c r="IL188" s="12" t="s">
        <v>37</v>
      </c>
      <c r="IM188" s="12" t="s">
        <v>37</v>
      </c>
      <c r="IO188" s="12" t="s">
        <v>37</v>
      </c>
      <c r="IP188" s="12" t="s">
        <v>37</v>
      </c>
      <c r="IQ188" s="12" t="s">
        <v>37</v>
      </c>
      <c r="IV188" s="32" t="s">
        <v>345</v>
      </c>
      <c r="IW188" s="12">
        <v>7.5</v>
      </c>
      <c r="IX188" s="50">
        <f t="shared" si="738"/>
        <v>0.27459556971017351</v>
      </c>
      <c r="IY188" s="13">
        <v>3</v>
      </c>
      <c r="JA188" s="12">
        <f>AVERAGEA(7.9)</f>
        <v>7.9</v>
      </c>
      <c r="JB188" s="50">
        <f t="shared" si="739"/>
        <v>0.2212695894070518</v>
      </c>
      <c r="JC188" s="13">
        <v>3</v>
      </c>
      <c r="JE188" s="19">
        <f t="shared" si="740"/>
        <v>5.1959738930711166E-2</v>
      </c>
      <c r="JF188" s="19">
        <f t="shared" si="741"/>
        <v>7.083287641133075E-4</v>
      </c>
      <c r="JH188" s="12" t="s">
        <v>37</v>
      </c>
      <c r="JI188" s="12" t="s">
        <v>37</v>
      </c>
      <c r="JJ188" s="13" t="s">
        <v>37</v>
      </c>
      <c r="JL188" s="12" t="s">
        <v>37</v>
      </c>
      <c r="JM188" s="12" t="s">
        <v>37</v>
      </c>
      <c r="JN188" s="12" t="s">
        <v>37</v>
      </c>
      <c r="JS188" s="12" t="s">
        <v>37</v>
      </c>
      <c r="JT188" s="12" t="s">
        <v>37</v>
      </c>
      <c r="JU188" s="13" t="s">
        <v>37</v>
      </c>
      <c r="JW188" s="12" t="s">
        <v>37</v>
      </c>
      <c r="JX188" s="12" t="s">
        <v>37</v>
      </c>
      <c r="JY188" s="12" t="s">
        <v>37</v>
      </c>
      <c r="KE188" s="11" t="s">
        <v>37</v>
      </c>
      <c r="KF188" s="11" t="s">
        <v>37</v>
      </c>
      <c r="KG188" s="13" t="s">
        <v>37</v>
      </c>
      <c r="KH188" s="11" t="s">
        <v>37</v>
      </c>
      <c r="KI188" s="11" t="s">
        <v>37</v>
      </c>
      <c r="KJ188" s="11" t="s">
        <v>37</v>
      </c>
      <c r="KK188" s="12" t="s">
        <v>42</v>
      </c>
      <c r="KL188" s="32" t="s">
        <v>345</v>
      </c>
      <c r="KM188" s="12">
        <v>13.85</v>
      </c>
      <c r="KN188" s="50">
        <f t="shared" si="742"/>
        <v>1.6522086231803037</v>
      </c>
      <c r="KO188" s="13">
        <v>3</v>
      </c>
      <c r="KQ188" s="12">
        <f>AVERAGEA(13.2)</f>
        <v>13.2</v>
      </c>
      <c r="KR188" s="50">
        <f t="shared" si="743"/>
        <v>1.3918532782260049</v>
      </c>
      <c r="KS188" s="13">
        <v>3</v>
      </c>
      <c r="KU188" s="19">
        <f t="shared" si="744"/>
        <v>-4.8068403041022334E-2</v>
      </c>
      <c r="KV188" s="19">
        <f t="shared" si="745"/>
        <v>8.4497155628593234E-3</v>
      </c>
      <c r="KW188" s="32" t="s">
        <v>422</v>
      </c>
      <c r="KX188" s="12">
        <v>12.78</v>
      </c>
      <c r="KY188" s="50">
        <f t="shared" si="746"/>
        <v>0.94263258508549785</v>
      </c>
      <c r="KZ188" s="13">
        <v>3</v>
      </c>
      <c r="LB188" s="12">
        <f>AVERAGEA(9.39)</f>
        <v>9.39</v>
      </c>
      <c r="LC188" s="50">
        <f t="shared" si="747"/>
        <v>1.0833364865215775</v>
      </c>
      <c r="LD188" s="13">
        <v>3</v>
      </c>
      <c r="LF188" s="19">
        <f t="shared" si="748"/>
        <v>-0.30823615572921714</v>
      </c>
      <c r="LG188" s="19">
        <f t="shared" si="749"/>
        <v>6.2502802071617812E-3</v>
      </c>
      <c r="LH188" s="32" t="s">
        <v>423</v>
      </c>
      <c r="LI188" s="12">
        <v>14.47</v>
      </c>
      <c r="LJ188" s="50">
        <f t="shared" si="750"/>
        <v>5.9091095965864069</v>
      </c>
      <c r="LK188" s="13">
        <v>3</v>
      </c>
      <c r="LM188" s="12">
        <f>AVERAGEA(8.07)</f>
        <v>8.07</v>
      </c>
      <c r="LN188" s="50">
        <f t="shared" si="751"/>
        <v>2.2820653089111578</v>
      </c>
      <c r="LO188" s="13">
        <v>3</v>
      </c>
      <c r="LQ188" s="19">
        <f t="shared" si="752"/>
        <v>-0.58392405836153505</v>
      </c>
      <c r="LR188" s="19">
        <f t="shared" si="753"/>
        <v>8.2244164849791454E-2</v>
      </c>
      <c r="LT188" s="12" t="str">
        <f t="shared" si="754"/>
        <v>0-10</v>
      </c>
      <c r="LU188" s="12">
        <f t="shared" si="755"/>
        <v>14.900361010830325</v>
      </c>
      <c r="LV188" s="12">
        <f t="shared" si="756"/>
        <v>3.0776211067466939</v>
      </c>
      <c r="LW188" s="13">
        <f t="shared" si="757"/>
        <v>3</v>
      </c>
      <c r="LY188" s="12">
        <f t="shared" si="758"/>
        <v>9.6189393939393941</v>
      </c>
      <c r="LZ188" s="12">
        <f t="shared" si="759"/>
        <v>1.4141383263275553</v>
      </c>
      <c r="MA188" s="13">
        <f t="shared" si="760"/>
        <v>3</v>
      </c>
      <c r="MC188" s="19">
        <f t="shared" si="761"/>
        <v>-0.43765143308331006</v>
      </c>
      <c r="MD188" s="19">
        <f t="shared" si="762"/>
        <v>2.1425091137697992E-2</v>
      </c>
      <c r="ME188" s="12" t="str">
        <f t="shared" si="763"/>
        <v>10-20</v>
      </c>
      <c r="MF188" s="12">
        <f t="shared" si="764"/>
        <v>16.594679186228483</v>
      </c>
      <c r="MG188" s="12">
        <f t="shared" si="765"/>
        <v>4.2746492513480874</v>
      </c>
      <c r="MH188" s="13">
        <f t="shared" si="766"/>
        <v>3</v>
      </c>
      <c r="MJ188" s="12">
        <f t="shared" si="767"/>
        <v>14.077742279020233</v>
      </c>
      <c r="MK188" s="12">
        <f t="shared" si="768"/>
        <v>4.4050492668250101</v>
      </c>
      <c r="ML188" s="13">
        <f t="shared" si="769"/>
        <v>3</v>
      </c>
      <c r="MN188" s="19">
        <f t="shared" si="770"/>
        <v>-0.16448712466024465</v>
      </c>
      <c r="MO188" s="19">
        <f t="shared" si="771"/>
        <v>5.4755106523436306E-2</v>
      </c>
      <c r="MP188" s="12" t="str">
        <f t="shared" si="772"/>
        <v>20-30</v>
      </c>
      <c r="MQ188" s="12">
        <f t="shared" si="773"/>
        <v>14.700069108500346</v>
      </c>
      <c r="MR188" s="12">
        <f t="shared" si="774"/>
        <v>7.2238202349748137</v>
      </c>
      <c r="MS188" s="13">
        <f t="shared" si="775"/>
        <v>3</v>
      </c>
      <c r="MU188" s="12">
        <f t="shared" si="776"/>
        <v>15.745972738537793</v>
      </c>
      <c r="MV188" s="12">
        <f t="shared" si="777"/>
        <v>4.7692100522724532</v>
      </c>
      <c r="MW188" s="13">
        <f t="shared" si="778"/>
        <v>3</v>
      </c>
      <c r="MY188" s="19">
        <f t="shared" si="779"/>
        <v>6.873243840241873E-2</v>
      </c>
      <c r="MZ188" s="19">
        <f t="shared" si="780"/>
        <v>0.11107557729937007</v>
      </c>
      <c r="NC188" s="12" t="s">
        <v>37</v>
      </c>
      <c r="ND188" s="12" t="s">
        <v>37</v>
      </c>
      <c r="NE188" s="12" t="s">
        <v>37</v>
      </c>
      <c r="NG188" s="12" t="s">
        <v>37</v>
      </c>
      <c r="NH188" s="12" t="s">
        <v>37</v>
      </c>
      <c r="NI188" s="12" t="s">
        <v>37</v>
      </c>
      <c r="NO188" s="12" t="s">
        <v>37</v>
      </c>
      <c r="NP188" s="12" t="s">
        <v>37</v>
      </c>
      <c r="NQ188" s="12" t="s">
        <v>37</v>
      </c>
      <c r="NS188" s="12" t="s">
        <v>37</v>
      </c>
      <c r="NT188" s="12" t="s">
        <v>37</v>
      </c>
      <c r="NU188" s="12" t="s">
        <v>37</v>
      </c>
      <c r="OA188" s="12" t="s">
        <v>37</v>
      </c>
      <c r="OB188" s="12" t="s">
        <v>37</v>
      </c>
      <c r="OC188" s="12" t="s">
        <v>37</v>
      </c>
      <c r="OD188" s="12"/>
      <c r="OE188" s="12" t="s">
        <v>37</v>
      </c>
      <c r="OF188" s="12" t="s">
        <v>37</v>
      </c>
      <c r="OG188" s="12" t="s">
        <v>37</v>
      </c>
      <c r="OH188" s="12"/>
      <c r="OI188" s="12"/>
      <c r="OJ188" s="12"/>
      <c r="OM188" s="12" t="s">
        <v>37</v>
      </c>
      <c r="ON188" s="12" t="s">
        <v>37</v>
      </c>
      <c r="OO188" s="12" t="s">
        <v>37</v>
      </c>
      <c r="OP188" s="12" t="s">
        <v>37</v>
      </c>
      <c r="OQ188" s="12" t="s">
        <v>37</v>
      </c>
      <c r="OR188" s="12" t="s">
        <v>37</v>
      </c>
      <c r="OS188" s="12"/>
      <c r="OT188" s="12"/>
      <c r="OW188" s="12" t="s">
        <v>37</v>
      </c>
      <c r="OX188" s="12" t="s">
        <v>37</v>
      </c>
      <c r="OY188" s="13" t="s">
        <v>37</v>
      </c>
      <c r="OZ188" s="12" t="s">
        <v>37</v>
      </c>
      <c r="PA188" s="12" t="s">
        <v>37</v>
      </c>
      <c r="PB188" s="13" t="s">
        <v>37</v>
      </c>
      <c r="PG188" s="11" t="s">
        <v>37</v>
      </c>
      <c r="PH188" s="11" t="s">
        <v>37</v>
      </c>
      <c r="PI188" s="13" t="s">
        <v>37</v>
      </c>
      <c r="PJ188" s="11" t="s">
        <v>37</v>
      </c>
      <c r="PK188" s="11" t="s">
        <v>37</v>
      </c>
      <c r="PL188" s="13" t="s">
        <v>37</v>
      </c>
      <c r="PQ188" s="12" t="s">
        <v>37</v>
      </c>
      <c r="PR188" s="12" t="s">
        <v>37</v>
      </c>
      <c r="PS188" s="12" t="s">
        <v>37</v>
      </c>
      <c r="PT188" s="12" t="s">
        <v>37</v>
      </c>
      <c r="PU188" s="12" t="s">
        <v>37</v>
      </c>
      <c r="PV188" s="12" t="s">
        <v>37</v>
      </c>
      <c r="PW188" s="12"/>
      <c r="PX188" s="12"/>
      <c r="PZ188" s="12" t="s">
        <v>37</v>
      </c>
      <c r="QA188" s="12" t="s">
        <v>37</v>
      </c>
      <c r="QB188" s="11" t="s">
        <v>37</v>
      </c>
      <c r="QD188" s="12" t="s">
        <v>37</v>
      </c>
      <c r="QE188" s="12" t="s">
        <v>37</v>
      </c>
      <c r="QF188" s="12" t="s">
        <v>37</v>
      </c>
      <c r="QK188" s="12" t="s">
        <v>37</v>
      </c>
      <c r="QL188" s="12" t="s">
        <v>37</v>
      </c>
      <c r="QM188" s="12" t="s">
        <v>37</v>
      </c>
      <c r="QN188" s="12" t="s">
        <v>37</v>
      </c>
      <c r="QO188" s="12" t="s">
        <v>37</v>
      </c>
      <c r="QP188" s="12" t="s">
        <v>37</v>
      </c>
      <c r="QQ188" s="12"/>
      <c r="QR188" s="12"/>
      <c r="QU188" s="12" t="s">
        <v>37</v>
      </c>
      <c r="QV188" s="12" t="s">
        <v>37</v>
      </c>
      <c r="QW188" s="12" t="s">
        <v>37</v>
      </c>
      <c r="QX188" s="12" t="s">
        <v>37</v>
      </c>
      <c r="QY188" s="12" t="s">
        <v>37</v>
      </c>
      <c r="QZ188" s="12" t="s">
        <v>37</v>
      </c>
      <c r="RC188" s="12" t="s">
        <v>37</v>
      </c>
      <c r="RD188" s="12" t="s">
        <v>37</v>
      </c>
      <c r="RE188" s="13" t="s">
        <v>37</v>
      </c>
      <c r="RF188" s="12" t="s">
        <v>37</v>
      </c>
      <c r="RG188" s="12" t="s">
        <v>37</v>
      </c>
      <c r="RH188" s="13" t="s">
        <v>37</v>
      </c>
      <c r="RK188" s="12" t="s">
        <v>37</v>
      </c>
      <c r="RL188" s="12" t="s">
        <v>37</v>
      </c>
      <c r="RM188" s="11" t="s">
        <v>37</v>
      </c>
      <c r="RN188" s="12" t="s">
        <v>37</v>
      </c>
      <c r="RO188" s="12" t="s">
        <v>37</v>
      </c>
      <c r="RP188" s="11" t="s">
        <v>37</v>
      </c>
      <c r="RS188" s="12" t="s">
        <v>37</v>
      </c>
      <c r="RT188" s="12" t="s">
        <v>37</v>
      </c>
      <c r="RU188" s="12" t="s">
        <v>37</v>
      </c>
      <c r="RV188" s="12" t="s">
        <v>37</v>
      </c>
      <c r="RW188" s="12" t="s">
        <v>37</v>
      </c>
      <c r="RX188" s="12" t="s">
        <v>37</v>
      </c>
      <c r="SA188" s="12" t="s">
        <v>37</v>
      </c>
      <c r="SB188" s="12" t="s">
        <v>37</v>
      </c>
      <c r="SC188" s="12" t="s">
        <v>37</v>
      </c>
      <c r="SD188" s="12" t="s">
        <v>37</v>
      </c>
      <c r="SE188" s="12" t="s">
        <v>37</v>
      </c>
      <c r="SF188" s="12" t="s">
        <v>37</v>
      </c>
      <c r="SI188" s="12" t="s">
        <v>37</v>
      </c>
      <c r="SJ188" s="12" t="s">
        <v>37</v>
      </c>
      <c r="SK188" s="13" t="s">
        <v>37</v>
      </c>
      <c r="SM188" s="12" t="s">
        <v>37</v>
      </c>
      <c r="SN188" s="12" t="s">
        <v>37</v>
      </c>
      <c r="SO188" s="13" t="s">
        <v>37</v>
      </c>
      <c r="SU188" s="12" t="s">
        <v>37</v>
      </c>
      <c r="SV188" s="12" t="s">
        <v>37</v>
      </c>
      <c r="SW188" s="11" t="s">
        <v>37</v>
      </c>
      <c r="SX188" s="12" t="s">
        <v>37</v>
      </c>
      <c r="SY188" s="12" t="s">
        <v>37</v>
      </c>
      <c r="SZ188" s="11" t="s">
        <v>37</v>
      </c>
      <c r="TE188" s="12" t="s">
        <v>37</v>
      </c>
      <c r="TF188" s="12" t="s">
        <v>37</v>
      </c>
      <c r="TG188" s="11" t="s">
        <v>37</v>
      </c>
      <c r="TH188" s="12" t="s">
        <v>37</v>
      </c>
      <c r="TI188" s="12" t="s">
        <v>37</v>
      </c>
      <c r="TJ188" s="11" t="s">
        <v>37</v>
      </c>
      <c r="TO188" s="12" t="s">
        <v>37</v>
      </c>
      <c r="TP188" s="12" t="s">
        <v>37</v>
      </c>
      <c r="TQ188" s="11" t="s">
        <v>37</v>
      </c>
      <c r="TR188" s="12" t="s">
        <v>37</v>
      </c>
      <c r="TS188" s="12" t="s">
        <v>37</v>
      </c>
      <c r="TT188" s="11" t="s">
        <v>37</v>
      </c>
      <c r="TY188" s="12" t="s">
        <v>37</v>
      </c>
      <c r="TZ188" s="12" t="s">
        <v>37</v>
      </c>
      <c r="UA188" s="12" t="s">
        <v>37</v>
      </c>
      <c r="UB188" s="12" t="s">
        <v>37</v>
      </c>
      <c r="UC188" s="12" t="s">
        <v>37</v>
      </c>
      <c r="UD188" s="12" t="s">
        <v>37</v>
      </c>
      <c r="UE188" s="12"/>
      <c r="UF188" s="12"/>
      <c r="UI188" s="12" t="s">
        <v>37</v>
      </c>
      <c r="UJ188" s="12" t="s">
        <v>37</v>
      </c>
      <c r="UK188" s="12" t="s">
        <v>37</v>
      </c>
      <c r="UL188" s="12" t="s">
        <v>37</v>
      </c>
      <c r="UM188" s="12" t="s">
        <v>37</v>
      </c>
      <c r="UN188" s="12" t="s">
        <v>37</v>
      </c>
      <c r="UO188" s="12"/>
      <c r="UP188" s="12"/>
      <c r="UR188" s="12" t="s">
        <v>37</v>
      </c>
      <c r="US188" s="12" t="s">
        <v>37</v>
      </c>
      <c r="UT188" s="12" t="s">
        <v>37</v>
      </c>
      <c r="UU188" s="12" t="s">
        <v>37</v>
      </c>
      <c r="UV188" s="12" t="s">
        <v>37</v>
      </c>
      <c r="UW188" s="12" t="s">
        <v>37</v>
      </c>
      <c r="UX188" s="12"/>
      <c r="UY188" s="12"/>
      <c r="VB188" s="12" t="s">
        <v>37</v>
      </c>
      <c r="VC188" s="12" t="s">
        <v>37</v>
      </c>
      <c r="VD188" s="12" t="s">
        <v>37</v>
      </c>
      <c r="VE188" s="12" t="s">
        <v>37</v>
      </c>
      <c r="VF188" s="12" t="s">
        <v>37</v>
      </c>
      <c r="VG188" s="12" t="s">
        <v>37</v>
      </c>
      <c r="VI188" s="12" t="s">
        <v>37</v>
      </c>
      <c r="VJ188" s="12" t="s">
        <v>37</v>
      </c>
      <c r="VK188" s="12" t="s">
        <v>37</v>
      </c>
      <c r="VL188" s="12" t="s">
        <v>37</v>
      </c>
      <c r="VM188" s="12" t="s">
        <v>37</v>
      </c>
      <c r="VN188" s="12" t="s">
        <v>37</v>
      </c>
      <c r="VQ188" s="13" t="s">
        <v>37</v>
      </c>
      <c r="VR188" s="13" t="s">
        <v>37</v>
      </c>
      <c r="VS188" s="13" t="s">
        <v>37</v>
      </c>
      <c r="VT188" s="13" t="s">
        <v>37</v>
      </c>
      <c r="VU188" s="13" t="s">
        <v>37</v>
      </c>
      <c r="VV188" s="13" t="s">
        <v>37</v>
      </c>
      <c r="WA188" s="13" t="s">
        <v>37</v>
      </c>
      <c r="WB188" s="13" t="s">
        <v>37</v>
      </c>
      <c r="WC188" s="13" t="s">
        <v>37</v>
      </c>
      <c r="WD188" s="13" t="s">
        <v>37</v>
      </c>
      <c r="WE188" s="13" t="s">
        <v>37</v>
      </c>
      <c r="WF188" s="13" t="s">
        <v>37</v>
      </c>
    </row>
    <row r="189" spans="1:604" ht="18" customHeight="1" x14ac:dyDescent="0.3">
      <c r="A189" s="11">
        <v>45</v>
      </c>
      <c r="B189" s="16" t="s">
        <v>272</v>
      </c>
      <c r="C189" s="12" t="s">
        <v>26</v>
      </c>
      <c r="D189" s="12" t="s">
        <v>1039</v>
      </c>
      <c r="E189" s="40" t="s">
        <v>37</v>
      </c>
      <c r="F189" s="14">
        <v>0</v>
      </c>
      <c r="G189" s="14">
        <v>0</v>
      </c>
      <c r="H189" s="12" t="s">
        <v>79</v>
      </c>
      <c r="I189" s="29">
        <v>33.917000000000002</v>
      </c>
      <c r="J189" s="29">
        <v>102.81699999999999</v>
      </c>
      <c r="K189" s="12" t="s">
        <v>746</v>
      </c>
      <c r="L189" s="12" t="s">
        <v>747</v>
      </c>
      <c r="M189" s="13">
        <v>3441</v>
      </c>
      <c r="N189" s="14">
        <v>0.9</v>
      </c>
      <c r="O189" s="14">
        <v>656.8</v>
      </c>
      <c r="P189" s="14" t="s">
        <v>16</v>
      </c>
      <c r="Q189" s="75">
        <v>43</v>
      </c>
      <c r="R189" s="11" t="s">
        <v>999</v>
      </c>
      <c r="S189" s="12" t="s">
        <v>923</v>
      </c>
      <c r="T189" s="12" t="s">
        <v>138</v>
      </c>
      <c r="U189" s="12" t="s">
        <v>158</v>
      </c>
      <c r="V189" s="12" t="s">
        <v>274</v>
      </c>
      <c r="W189" s="23" t="s">
        <v>37</v>
      </c>
      <c r="X189" s="12" t="s">
        <v>280</v>
      </c>
      <c r="Y189" s="12" t="s">
        <v>37</v>
      </c>
      <c r="Z189" s="12" t="s">
        <v>37</v>
      </c>
      <c r="AA189" s="32" t="s">
        <v>345</v>
      </c>
      <c r="AB189" s="12">
        <v>7.5</v>
      </c>
      <c r="AC189" s="12" t="s">
        <v>42</v>
      </c>
      <c r="AD189" s="32" t="s">
        <v>345</v>
      </c>
      <c r="AE189" s="12">
        <v>206.37</v>
      </c>
      <c r="AF189" s="12" t="s">
        <v>42</v>
      </c>
      <c r="AG189" s="32" t="s">
        <v>345</v>
      </c>
      <c r="AH189" s="12">
        <v>13.85</v>
      </c>
      <c r="AJ189" s="12" t="str">
        <f t="shared" si="711"/>
        <v>0-10</v>
      </c>
      <c r="AK189" s="19">
        <f t="shared" si="712"/>
        <v>14.900361010830325</v>
      </c>
      <c r="AL189" s="32" t="s">
        <v>545</v>
      </c>
      <c r="AM189" s="12" t="s">
        <v>317</v>
      </c>
      <c r="AN189" s="32" t="s">
        <v>880</v>
      </c>
      <c r="AO189" s="12" t="s">
        <v>37</v>
      </c>
      <c r="AP189" s="12" t="s">
        <v>108</v>
      </c>
      <c r="AQ189" s="12" t="s">
        <v>975</v>
      </c>
      <c r="AR189" s="12" t="s">
        <v>42</v>
      </c>
      <c r="AS189" s="32" t="s">
        <v>345</v>
      </c>
      <c r="AT189" s="12">
        <v>206.37</v>
      </c>
      <c r="AU189" s="12">
        <f>20.09*SQRT(3)</f>
        <v>34.796900724058744</v>
      </c>
      <c r="AV189" s="13">
        <v>3</v>
      </c>
      <c r="AW189" s="19">
        <f t="shared" si="713"/>
        <v>0.16861414316062773</v>
      </c>
      <c r="AX189" s="12">
        <f>AVERAGEA(152.36)</f>
        <v>152.36000000000001</v>
      </c>
      <c r="AY189" s="12">
        <f>SQRT(((7.41*SQRT(3))^2))</f>
        <v>12.834496484085379</v>
      </c>
      <c r="AZ189" s="13">
        <v>3</v>
      </c>
      <c r="BA189" s="19">
        <f t="shared" si="714"/>
        <v>8.4237965897121153E-2</v>
      </c>
      <c r="BB189" s="52">
        <f t="shared" si="715"/>
        <v>-0.30342453259562907</v>
      </c>
      <c r="BC189" s="19">
        <f t="shared" si="716"/>
        <v>1.1842254724092404E-2</v>
      </c>
      <c r="BD189" s="32" t="s">
        <v>422</v>
      </c>
      <c r="BE189" s="12">
        <v>212.08</v>
      </c>
      <c r="BF189" s="12">
        <f t="shared" si="815"/>
        <v>52.34257540473147</v>
      </c>
      <c r="BG189" s="13">
        <v>3</v>
      </c>
      <c r="BH189" s="19">
        <f t="shared" si="784"/>
        <v>0.24680580632181945</v>
      </c>
      <c r="BI189" s="12">
        <f>AVERAGEA(152.09)</f>
        <v>152.09</v>
      </c>
      <c r="BJ189" s="12">
        <f>SQRT(((5.28*SQRT(3))^2))</f>
        <v>9.1452282639636717</v>
      </c>
      <c r="BK189" s="13">
        <v>3</v>
      </c>
      <c r="BL189" s="19">
        <f t="shared" si="717"/>
        <v>6.013037191112941E-2</v>
      </c>
      <c r="BM189" s="52">
        <f t="shared" si="718"/>
        <v>-0.33249111109649271</v>
      </c>
      <c r="BN189" s="19">
        <f t="shared" si="719"/>
        <v>2.1509589220111397E-2</v>
      </c>
      <c r="BO189" s="32" t="s">
        <v>423</v>
      </c>
      <c r="BP189" s="12">
        <v>212.71</v>
      </c>
      <c r="BQ189" s="12">
        <f t="shared" si="816"/>
        <v>58.144945610087206</v>
      </c>
      <c r="BR189" s="13">
        <v>3</v>
      </c>
      <c r="BS189" s="19">
        <f t="shared" si="788"/>
        <v>0.27335313624224156</v>
      </c>
      <c r="BT189" s="12">
        <f>AVERAGEA(162.11)</f>
        <v>162.11000000000001</v>
      </c>
      <c r="BU189" s="12">
        <f>SQRT(((2.95*SQRT(3))^2))</f>
        <v>5.1095498823281877</v>
      </c>
      <c r="BV189" s="13">
        <v>3</v>
      </c>
      <c r="BW189" s="19">
        <f t="shared" si="791"/>
        <v>3.1519029562199666E-2</v>
      </c>
      <c r="BX189" s="52">
        <f t="shared" si="720"/>
        <v>-0.27165461852207723</v>
      </c>
      <c r="BY189" s="19">
        <f t="shared" si="721"/>
        <v>2.5238462106004098E-2</v>
      </c>
      <c r="CA189" s="12" t="s">
        <v>37</v>
      </c>
      <c r="CB189" s="12" t="s">
        <v>37</v>
      </c>
      <c r="CC189" s="13" t="s">
        <v>37</v>
      </c>
      <c r="CE189" s="12" t="s">
        <v>37</v>
      </c>
      <c r="CF189" s="12" t="s">
        <v>37</v>
      </c>
      <c r="CG189" s="13" t="s">
        <v>37</v>
      </c>
      <c r="CN189" s="12" t="s">
        <v>37</v>
      </c>
      <c r="CO189" s="12" t="s">
        <v>37</v>
      </c>
      <c r="CP189" s="13" t="s">
        <v>37</v>
      </c>
      <c r="CR189" s="12" t="s">
        <v>37</v>
      </c>
      <c r="CS189" s="12" t="s">
        <v>37</v>
      </c>
      <c r="CT189" s="13" t="s">
        <v>37</v>
      </c>
      <c r="CX189" s="72"/>
      <c r="CY189" s="72"/>
      <c r="DA189" s="12" t="s">
        <v>37</v>
      </c>
      <c r="DB189" s="12" t="s">
        <v>37</v>
      </c>
      <c r="DC189" s="13" t="s">
        <v>37</v>
      </c>
      <c r="DE189" s="12" t="s">
        <v>37</v>
      </c>
      <c r="DF189" s="12" t="s">
        <v>37</v>
      </c>
      <c r="DG189" s="13" t="s">
        <v>37</v>
      </c>
      <c r="DM189" s="11" t="s">
        <v>47</v>
      </c>
      <c r="DN189" s="19">
        <f>DN188</f>
        <v>1212.2979432249506</v>
      </c>
      <c r="DO189" s="12">
        <f>DO188</f>
        <v>318.03950472765939</v>
      </c>
      <c r="DP189" s="13">
        <v>3</v>
      </c>
      <c r="DQ189" s="19">
        <f t="shared" si="707"/>
        <v>0.26234434076627389</v>
      </c>
      <c r="DR189" s="19">
        <f>AVERAGEA(0.12)*("2013/09/30"-"2013/05/01")*10^4*24/10^6/'[1]classes-1'!$I$49</f>
        <v>4.4959805754151345</v>
      </c>
      <c r="DS189" s="12">
        <f>SQRT((1/[2]Classes!$I$49)^2*(SQRT(((0.02*SQRT(3))^2))*("2013/10/27"-"2013/06/04")*10^4*24/10^6)^2+(-DR189/([2]Classes!$I$49)^2)^2*([2]Classes!$J$49)^2)</f>
        <v>9.194274493457808</v>
      </c>
      <c r="DT189" s="13">
        <v>3</v>
      </c>
      <c r="DU189" s="19">
        <f t="shared" si="708"/>
        <v>2.044998713680799</v>
      </c>
      <c r="DV189" s="19">
        <f t="shared" si="710"/>
        <v>-1207.8019626495354</v>
      </c>
      <c r="DW189" s="12">
        <f t="shared" si="709"/>
        <v>224.98184510186141</v>
      </c>
      <c r="DX189" s="72">
        <f t="shared" si="641"/>
        <v>33744.553750291976</v>
      </c>
      <c r="DY189" s="72">
        <f t="shared" si="642"/>
        <v>33744.553750291969</v>
      </c>
      <c r="EA189" s="19" t="s">
        <v>37</v>
      </c>
      <c r="EB189" s="19" t="s">
        <v>37</v>
      </c>
      <c r="EC189" s="72" t="s">
        <v>37</v>
      </c>
      <c r="EE189" s="19" t="s">
        <v>37</v>
      </c>
      <c r="EF189" s="19" t="s">
        <v>37</v>
      </c>
      <c r="EG189" s="12" t="s">
        <v>37</v>
      </c>
      <c r="EM189" s="12" t="s">
        <v>39</v>
      </c>
      <c r="EN189" s="12">
        <f>EN184</f>
        <v>15.494138888888889</v>
      </c>
      <c r="EO189" s="12">
        <f t="shared" ref="EO189:EP189" si="819">EO184</f>
        <v>0.77024816389862394</v>
      </c>
      <c r="EP189" s="13">
        <f t="shared" si="819"/>
        <v>3</v>
      </c>
      <c r="EQ189" s="19">
        <f t="shared" si="792"/>
        <v>4.9712227921939051E-2</v>
      </c>
      <c r="ER189" s="12">
        <f>AVERAGEA(-87.6)</f>
        <v>-87.6</v>
      </c>
      <c r="ES189" s="12">
        <f>SQRT(((6.25*SQRT(3))^2))</f>
        <v>10.825317547305483</v>
      </c>
      <c r="ET189" s="13">
        <v>3</v>
      </c>
      <c r="EU189" s="19">
        <f t="shared" si="793"/>
        <v>0.12357668432997128</v>
      </c>
      <c r="EV189" s="19">
        <f t="shared" si="701"/>
        <v>-103.09413888888888</v>
      </c>
      <c r="EW189" s="12">
        <f t="shared" si="702"/>
        <v>7.6740075004520678</v>
      </c>
      <c r="EX189" s="19">
        <f t="shared" si="703"/>
        <v>39.260260744663064</v>
      </c>
      <c r="EY189" s="19">
        <f t="shared" si="704"/>
        <v>39.260260744663064</v>
      </c>
      <c r="FB189" s="12" t="s">
        <v>37</v>
      </c>
      <c r="FC189" s="12" t="s">
        <v>37</v>
      </c>
      <c r="FD189" s="11" t="s">
        <v>37</v>
      </c>
      <c r="FE189" s="12" t="s">
        <v>37</v>
      </c>
      <c r="FF189" s="20" t="s">
        <v>37</v>
      </c>
      <c r="FG189" s="11" t="s">
        <v>37</v>
      </c>
      <c r="FI189" s="12" t="s">
        <v>37</v>
      </c>
      <c r="FJ189" s="12" t="s">
        <v>37</v>
      </c>
      <c r="FK189" s="11" t="s">
        <v>37</v>
      </c>
      <c r="FL189" s="13" t="s">
        <v>37</v>
      </c>
      <c r="FM189" s="11" t="s">
        <v>37</v>
      </c>
      <c r="FN189" s="11" t="s">
        <v>37</v>
      </c>
      <c r="FP189" s="12" t="s">
        <v>37</v>
      </c>
      <c r="FQ189" s="12" t="s">
        <v>37</v>
      </c>
      <c r="FR189" s="11" t="s">
        <v>37</v>
      </c>
      <c r="FS189" s="13" t="s">
        <v>37</v>
      </c>
      <c r="FT189" s="11" t="s">
        <v>37</v>
      </c>
      <c r="FU189" s="11" t="s">
        <v>37</v>
      </c>
      <c r="FW189" s="12" t="s">
        <v>37</v>
      </c>
      <c r="FX189" s="12" t="s">
        <v>37</v>
      </c>
      <c r="FY189" s="11" t="s">
        <v>37</v>
      </c>
      <c r="FZ189" s="13" t="s">
        <v>37</v>
      </c>
      <c r="GA189" s="11" t="s">
        <v>37</v>
      </c>
      <c r="GB189" s="11" t="s">
        <v>37</v>
      </c>
      <c r="GO189" s="12" t="s">
        <v>660</v>
      </c>
      <c r="GP189" s="12" t="s">
        <v>327</v>
      </c>
      <c r="GQ189" s="12">
        <f>GQ188</f>
        <v>10.697568389057752</v>
      </c>
      <c r="GR189" s="12">
        <f>GR188</f>
        <v>0.70425088701842986</v>
      </c>
      <c r="GS189" s="13">
        <v>3</v>
      </c>
      <c r="GT189" s="19">
        <f t="shared" si="722"/>
        <v>6.5832800633346608E-2</v>
      </c>
      <c r="GU189" s="12">
        <f>AVERAGEA(10.94)</f>
        <v>10.94</v>
      </c>
      <c r="GV189" s="12">
        <f>SQRT(((1.01*SQRT(3))^2))</f>
        <v>1.749371315644566</v>
      </c>
      <c r="GW189" s="13">
        <v>3</v>
      </c>
      <c r="GX189" s="19">
        <f t="shared" si="723"/>
        <v>0.15990597035142287</v>
      </c>
      <c r="GY189" s="19">
        <f t="shared" si="724"/>
        <v>2.2409334711020516E-2</v>
      </c>
      <c r="GZ189" s="19">
        <f t="shared" si="725"/>
        <v>9.9679589977533633E-3</v>
      </c>
      <c r="HA189" s="17" t="s">
        <v>63</v>
      </c>
      <c r="HB189" s="34" t="s">
        <v>345</v>
      </c>
      <c r="HC189" s="12">
        <v>0.31</v>
      </c>
      <c r="HD189" s="12">
        <f>0.04*SQRT(3)</f>
        <v>6.9282032302755092E-2</v>
      </c>
      <c r="HE189" s="13">
        <v>3</v>
      </c>
      <c r="HF189" s="19">
        <f t="shared" si="726"/>
        <v>0.22349042678308095</v>
      </c>
      <c r="HG189" s="12">
        <f>AVERAGEA(0.49)</f>
        <v>0.49</v>
      </c>
      <c r="HH189" s="12">
        <f>SQRT(((0.02*SQRT(3))^2))</f>
        <v>3.4641016151377546E-2</v>
      </c>
      <c r="HI189" s="13">
        <v>3</v>
      </c>
      <c r="HJ189" s="19">
        <f t="shared" si="727"/>
        <v>7.0695951329341936E-2</v>
      </c>
      <c r="HK189" s="19">
        <f t="shared" si="728"/>
        <v>0.4578330936254803</v>
      </c>
      <c r="HL189" s="19">
        <f t="shared" si="729"/>
        <v>1.8315296132681451E-2</v>
      </c>
      <c r="HM189" s="34" t="s">
        <v>422</v>
      </c>
      <c r="HN189" s="12">
        <v>0.28000000000000003</v>
      </c>
      <c r="HO189" s="12">
        <f t="shared" si="818"/>
        <v>8.6602540378443865E-2</v>
      </c>
      <c r="HP189" s="13">
        <v>3</v>
      </c>
      <c r="HQ189" s="19">
        <f t="shared" si="730"/>
        <v>0.30929478706587094</v>
      </c>
      <c r="HR189" s="12">
        <f>AVERAGEA(0.49)</f>
        <v>0.49</v>
      </c>
      <c r="HS189" s="12">
        <f>SQRT(((0.02*SQRT(3))^2))</f>
        <v>3.4641016151377546E-2</v>
      </c>
      <c r="HT189" s="13">
        <v>3</v>
      </c>
      <c r="HU189" s="19">
        <f t="shared" si="731"/>
        <v>7.0695951329341936E-2</v>
      </c>
      <c r="HV189" s="19">
        <f t="shared" si="732"/>
        <v>0.55961578793542255</v>
      </c>
      <c r="HW189" s="19">
        <f t="shared" si="733"/>
        <v>3.3553727613494372E-2</v>
      </c>
      <c r="HX189" s="34" t="s">
        <v>423</v>
      </c>
      <c r="HY189" s="12">
        <v>0.28000000000000003</v>
      </c>
      <c r="HZ189" s="12">
        <v>7.0000000000000007E-2</v>
      </c>
      <c r="IA189" s="13">
        <v>3</v>
      </c>
      <c r="IB189" s="19">
        <f t="shared" si="734"/>
        <v>0.25</v>
      </c>
      <c r="IC189" s="12">
        <f>AVERAGEA(0.52)</f>
        <v>0.52</v>
      </c>
      <c r="ID189" s="12">
        <f>SQRT(((0.01*SQRT(3))^2)/3)</f>
        <v>0.01</v>
      </c>
      <c r="IE189" s="13">
        <v>3</v>
      </c>
      <c r="IF189" s="19">
        <f t="shared" si="735"/>
        <v>1.9230769230769232E-2</v>
      </c>
      <c r="IG189" s="19">
        <f t="shared" si="736"/>
        <v>0.6190392084062234</v>
      </c>
      <c r="IH189" s="19">
        <f t="shared" si="737"/>
        <v>2.0956607495069036E-2</v>
      </c>
      <c r="IK189" s="12" t="s">
        <v>37</v>
      </c>
      <c r="IL189" s="12" t="s">
        <v>37</v>
      </c>
      <c r="IM189" s="12" t="s">
        <v>37</v>
      </c>
      <c r="IO189" s="12" t="s">
        <v>37</v>
      </c>
      <c r="IP189" s="12" t="s">
        <v>37</v>
      </c>
      <c r="IQ189" s="12" t="s">
        <v>37</v>
      </c>
      <c r="IV189" s="32" t="s">
        <v>345</v>
      </c>
      <c r="IW189" s="12">
        <v>7.5</v>
      </c>
      <c r="IX189" s="50">
        <f t="shared" si="738"/>
        <v>0.27459556971017351</v>
      </c>
      <c r="IY189" s="13">
        <v>3</v>
      </c>
      <c r="JA189" s="12">
        <f>AVERAGEA(7.7)</f>
        <v>7.7</v>
      </c>
      <c r="JB189" s="50">
        <f t="shared" si="739"/>
        <v>0.21566782764991124</v>
      </c>
      <c r="JC189" s="13">
        <v>3</v>
      </c>
      <c r="JE189" s="19">
        <f t="shared" si="740"/>
        <v>2.6317308317373358E-2</v>
      </c>
      <c r="JF189" s="19">
        <f t="shared" si="741"/>
        <v>7.083287641133075E-4</v>
      </c>
      <c r="JH189" s="12" t="s">
        <v>37</v>
      </c>
      <c r="JI189" s="12" t="s">
        <v>37</v>
      </c>
      <c r="JJ189" s="13" t="s">
        <v>37</v>
      </c>
      <c r="JL189" s="12" t="s">
        <v>37</v>
      </c>
      <c r="JM189" s="12" t="s">
        <v>37</v>
      </c>
      <c r="JN189" s="12" t="s">
        <v>37</v>
      </c>
      <c r="JS189" s="12" t="s">
        <v>37</v>
      </c>
      <c r="JT189" s="12" t="s">
        <v>37</v>
      </c>
      <c r="JU189" s="13" t="s">
        <v>37</v>
      </c>
      <c r="JW189" s="12" t="s">
        <v>37</v>
      </c>
      <c r="JX189" s="12" t="s">
        <v>37</v>
      </c>
      <c r="JY189" s="12" t="s">
        <v>37</v>
      </c>
      <c r="KE189" s="11" t="s">
        <v>37</v>
      </c>
      <c r="KF189" s="11" t="s">
        <v>37</v>
      </c>
      <c r="KG189" s="13" t="s">
        <v>37</v>
      </c>
      <c r="KH189" s="11" t="s">
        <v>37</v>
      </c>
      <c r="KI189" s="11" t="s">
        <v>37</v>
      </c>
      <c r="KJ189" s="11" t="s">
        <v>37</v>
      </c>
      <c r="KK189" s="12" t="s">
        <v>42</v>
      </c>
      <c r="KL189" s="32" t="s">
        <v>345</v>
      </c>
      <c r="KM189" s="12">
        <v>13.85</v>
      </c>
      <c r="KN189" s="50">
        <f t="shared" si="742"/>
        <v>1.6522086231803037</v>
      </c>
      <c r="KO189" s="13">
        <v>3</v>
      </c>
      <c r="KQ189" s="12">
        <f>AVERAGEA(12.5)</f>
        <v>12.5</v>
      </c>
      <c r="KR189" s="50">
        <f t="shared" si="743"/>
        <v>1.3180428771079593</v>
      </c>
      <c r="KS189" s="13">
        <v>3</v>
      </c>
      <c r="KU189" s="19">
        <f t="shared" si="744"/>
        <v>-0.102556588325092</v>
      </c>
      <c r="KV189" s="19">
        <f t="shared" si="745"/>
        <v>8.4497155628593234E-3</v>
      </c>
      <c r="KW189" s="32" t="s">
        <v>422</v>
      </c>
      <c r="KX189" s="12">
        <v>12.78</v>
      </c>
      <c r="KY189" s="50">
        <f t="shared" si="746"/>
        <v>0.94263258508549785</v>
      </c>
      <c r="KZ189" s="13">
        <v>3</v>
      </c>
      <c r="LB189" s="12">
        <f>AVERAGEA(10.43)</f>
        <v>10.43</v>
      </c>
      <c r="LC189" s="50">
        <f t="shared" si="747"/>
        <v>1.2033226362534668</v>
      </c>
      <c r="LD189" s="13">
        <v>3</v>
      </c>
      <c r="LF189" s="19">
        <f t="shared" si="748"/>
        <v>-0.20319517993670766</v>
      </c>
      <c r="LG189" s="19">
        <f t="shared" si="749"/>
        <v>6.2502802071617821E-3</v>
      </c>
      <c r="LH189" s="32" t="s">
        <v>423</v>
      </c>
      <c r="LI189" s="12">
        <v>14.47</v>
      </c>
      <c r="LJ189" s="50">
        <f t="shared" si="750"/>
        <v>5.9091095965864069</v>
      </c>
      <c r="LK189" s="13">
        <v>3</v>
      </c>
      <c r="LM189" s="12">
        <f>AVERAGEA(10.36)</f>
        <v>10.36</v>
      </c>
      <c r="LN189" s="50">
        <f t="shared" si="751"/>
        <v>2.9296402230879295</v>
      </c>
      <c r="LO189" s="13">
        <v>3</v>
      </c>
      <c r="LQ189" s="19">
        <f t="shared" si="752"/>
        <v>-0.33412530381205563</v>
      </c>
      <c r="LR189" s="19">
        <f t="shared" si="753"/>
        <v>8.224416484979144E-2</v>
      </c>
      <c r="LT189" s="12" t="str">
        <f t="shared" si="754"/>
        <v>0-10</v>
      </c>
      <c r="LU189" s="12">
        <f t="shared" si="755"/>
        <v>14.900361010830325</v>
      </c>
      <c r="LV189" s="12">
        <f t="shared" si="756"/>
        <v>3.0776211067466939</v>
      </c>
      <c r="LW189" s="13">
        <f t="shared" si="757"/>
        <v>3</v>
      </c>
      <c r="LY189" s="12">
        <f t="shared" si="758"/>
        <v>12.188800000000001</v>
      </c>
      <c r="LZ189" s="12">
        <f t="shared" si="759"/>
        <v>1.6450072334796182</v>
      </c>
      <c r="MA189" s="13">
        <f t="shared" si="760"/>
        <v>3</v>
      </c>
      <c r="MC189" s="19">
        <f t="shared" si="761"/>
        <v>-0.20086794427053711</v>
      </c>
      <c r="MD189" s="19">
        <f t="shared" si="762"/>
        <v>2.0291970286951726E-2</v>
      </c>
      <c r="ME189" s="12" t="str">
        <f t="shared" si="763"/>
        <v>10-20</v>
      </c>
      <c r="MF189" s="12">
        <f t="shared" si="764"/>
        <v>16.594679186228483</v>
      </c>
      <c r="MG189" s="12">
        <f t="shared" si="765"/>
        <v>4.2746492513480874</v>
      </c>
      <c r="MH189" s="13">
        <f t="shared" si="766"/>
        <v>3</v>
      </c>
      <c r="MJ189" s="12">
        <f t="shared" si="767"/>
        <v>14.581975071907959</v>
      </c>
      <c r="MK189" s="12">
        <f t="shared" si="768"/>
        <v>1.8971254918624683</v>
      </c>
      <c r="ML189" s="13">
        <f t="shared" si="769"/>
        <v>3</v>
      </c>
      <c r="MN189" s="19">
        <f t="shared" si="770"/>
        <v>-0.12929593115978508</v>
      </c>
      <c r="MO189" s="19">
        <f t="shared" si="771"/>
        <v>2.7759869427273182E-2</v>
      </c>
      <c r="MP189" s="12" t="str">
        <f t="shared" si="772"/>
        <v>20-30</v>
      </c>
      <c r="MQ189" s="12">
        <f t="shared" si="773"/>
        <v>14.700069108500346</v>
      </c>
      <c r="MR189" s="12">
        <f t="shared" si="774"/>
        <v>7.2238202349748137</v>
      </c>
      <c r="MS189" s="13">
        <f t="shared" si="775"/>
        <v>3</v>
      </c>
      <c r="MU189" s="12">
        <f t="shared" si="776"/>
        <v>15.6476833976834</v>
      </c>
      <c r="MV189" s="12">
        <f t="shared" si="777"/>
        <v>4.4523125932774157</v>
      </c>
      <c r="MW189" s="13">
        <f t="shared" si="778"/>
        <v>3</v>
      </c>
      <c r="MY189" s="19">
        <f t="shared" si="779"/>
        <v>6.2470685289978269E-2</v>
      </c>
      <c r="MZ189" s="19">
        <f t="shared" si="780"/>
        <v>0.10748262695579557</v>
      </c>
      <c r="NC189" s="12" t="s">
        <v>37</v>
      </c>
      <c r="ND189" s="12" t="s">
        <v>37</v>
      </c>
      <c r="NE189" s="12" t="s">
        <v>37</v>
      </c>
      <c r="NG189" s="12" t="s">
        <v>37</v>
      </c>
      <c r="NH189" s="12" t="s">
        <v>37</v>
      </c>
      <c r="NI189" s="12" t="s">
        <v>37</v>
      </c>
      <c r="NO189" s="12" t="s">
        <v>37</v>
      </c>
      <c r="NP189" s="12" t="s">
        <v>37</v>
      </c>
      <c r="NQ189" s="12" t="s">
        <v>37</v>
      </c>
      <c r="NS189" s="12" t="s">
        <v>37</v>
      </c>
      <c r="NT189" s="12" t="s">
        <v>37</v>
      </c>
      <c r="NU189" s="12" t="s">
        <v>37</v>
      </c>
      <c r="OA189" s="12" t="s">
        <v>37</v>
      </c>
      <c r="OB189" s="12" t="s">
        <v>37</v>
      </c>
      <c r="OC189" s="12" t="s">
        <v>37</v>
      </c>
      <c r="OD189" s="12"/>
      <c r="OE189" s="12" t="s">
        <v>37</v>
      </c>
      <c r="OF189" s="12" t="s">
        <v>37</v>
      </c>
      <c r="OG189" s="12" t="s">
        <v>37</v>
      </c>
      <c r="OH189" s="12"/>
      <c r="OI189" s="12"/>
      <c r="OJ189" s="12"/>
      <c r="OM189" s="12" t="s">
        <v>37</v>
      </c>
      <c r="ON189" s="12" t="s">
        <v>37</v>
      </c>
      <c r="OO189" s="12" t="s">
        <v>37</v>
      </c>
      <c r="OP189" s="12" t="s">
        <v>37</v>
      </c>
      <c r="OQ189" s="12" t="s">
        <v>37</v>
      </c>
      <c r="OR189" s="12" t="s">
        <v>37</v>
      </c>
      <c r="OS189" s="12"/>
      <c r="OT189" s="12"/>
      <c r="OW189" s="12" t="s">
        <v>37</v>
      </c>
      <c r="OX189" s="12" t="s">
        <v>37</v>
      </c>
      <c r="OY189" s="13" t="s">
        <v>37</v>
      </c>
      <c r="OZ189" s="12" t="s">
        <v>37</v>
      </c>
      <c r="PA189" s="12" t="s">
        <v>37</v>
      </c>
      <c r="PB189" s="13" t="s">
        <v>37</v>
      </c>
      <c r="PG189" s="11" t="s">
        <v>37</v>
      </c>
      <c r="PH189" s="11" t="s">
        <v>37</v>
      </c>
      <c r="PI189" s="13" t="s">
        <v>37</v>
      </c>
      <c r="PJ189" s="11" t="s">
        <v>37</v>
      </c>
      <c r="PK189" s="11" t="s">
        <v>37</v>
      </c>
      <c r="PL189" s="13" t="s">
        <v>37</v>
      </c>
      <c r="PQ189" s="12" t="s">
        <v>37</v>
      </c>
      <c r="PR189" s="12" t="s">
        <v>37</v>
      </c>
      <c r="PS189" s="12" t="s">
        <v>37</v>
      </c>
      <c r="PT189" s="12" t="s">
        <v>37</v>
      </c>
      <c r="PU189" s="12" t="s">
        <v>37</v>
      </c>
      <c r="PV189" s="12" t="s">
        <v>37</v>
      </c>
      <c r="PW189" s="12"/>
      <c r="PX189" s="12"/>
      <c r="PZ189" s="12" t="s">
        <v>37</v>
      </c>
      <c r="QA189" s="12" t="s">
        <v>37</v>
      </c>
      <c r="QB189" s="11" t="s">
        <v>37</v>
      </c>
      <c r="QD189" s="12" t="s">
        <v>37</v>
      </c>
      <c r="QE189" s="12" t="s">
        <v>37</v>
      </c>
      <c r="QF189" s="12" t="s">
        <v>37</v>
      </c>
      <c r="QK189" s="12" t="s">
        <v>37</v>
      </c>
      <c r="QL189" s="12" t="s">
        <v>37</v>
      </c>
      <c r="QM189" s="12" t="s">
        <v>37</v>
      </c>
      <c r="QN189" s="12" t="s">
        <v>37</v>
      </c>
      <c r="QO189" s="12" t="s">
        <v>37</v>
      </c>
      <c r="QP189" s="12" t="s">
        <v>37</v>
      </c>
      <c r="QQ189" s="12"/>
      <c r="QR189" s="12"/>
      <c r="QU189" s="12" t="s">
        <v>37</v>
      </c>
      <c r="QV189" s="12" t="s">
        <v>37</v>
      </c>
      <c r="QW189" s="12" t="s">
        <v>37</v>
      </c>
      <c r="QX189" s="12" t="s">
        <v>37</v>
      </c>
      <c r="QY189" s="12" t="s">
        <v>37</v>
      </c>
      <c r="QZ189" s="12" t="s">
        <v>37</v>
      </c>
      <c r="RC189" s="12" t="s">
        <v>37</v>
      </c>
      <c r="RD189" s="12" t="s">
        <v>37</v>
      </c>
      <c r="RE189" s="13" t="s">
        <v>37</v>
      </c>
      <c r="RF189" s="12" t="s">
        <v>37</v>
      </c>
      <c r="RG189" s="12" t="s">
        <v>37</v>
      </c>
      <c r="RH189" s="13" t="s">
        <v>37</v>
      </c>
      <c r="RK189" s="12" t="s">
        <v>37</v>
      </c>
      <c r="RL189" s="12" t="s">
        <v>37</v>
      </c>
      <c r="RM189" s="11" t="s">
        <v>37</v>
      </c>
      <c r="RN189" s="12" t="s">
        <v>37</v>
      </c>
      <c r="RO189" s="12" t="s">
        <v>37</v>
      </c>
      <c r="RP189" s="11" t="s">
        <v>37</v>
      </c>
      <c r="RS189" s="12" t="s">
        <v>37</v>
      </c>
      <c r="RT189" s="12" t="s">
        <v>37</v>
      </c>
      <c r="RU189" s="12" t="s">
        <v>37</v>
      </c>
      <c r="RV189" s="12" t="s">
        <v>37</v>
      </c>
      <c r="RW189" s="12" t="s">
        <v>37</v>
      </c>
      <c r="RX189" s="12" t="s">
        <v>37</v>
      </c>
      <c r="SA189" s="12" t="s">
        <v>37</v>
      </c>
      <c r="SB189" s="12" t="s">
        <v>37</v>
      </c>
      <c r="SC189" s="12" t="s">
        <v>37</v>
      </c>
      <c r="SD189" s="12" t="s">
        <v>37</v>
      </c>
      <c r="SE189" s="12" t="s">
        <v>37</v>
      </c>
      <c r="SF189" s="12" t="s">
        <v>37</v>
      </c>
      <c r="SI189" s="12" t="s">
        <v>37</v>
      </c>
      <c r="SJ189" s="12" t="s">
        <v>37</v>
      </c>
      <c r="SK189" s="13" t="s">
        <v>37</v>
      </c>
      <c r="SM189" s="12" t="s">
        <v>37</v>
      </c>
      <c r="SN189" s="12" t="s">
        <v>37</v>
      </c>
      <c r="SO189" s="13" t="s">
        <v>37</v>
      </c>
      <c r="SU189" s="12" t="s">
        <v>37</v>
      </c>
      <c r="SV189" s="12" t="s">
        <v>37</v>
      </c>
      <c r="SW189" s="11" t="s">
        <v>37</v>
      </c>
      <c r="SX189" s="12" t="s">
        <v>37</v>
      </c>
      <c r="SY189" s="12" t="s">
        <v>37</v>
      </c>
      <c r="SZ189" s="11" t="s">
        <v>37</v>
      </c>
      <c r="TE189" s="12" t="s">
        <v>37</v>
      </c>
      <c r="TF189" s="12" t="s">
        <v>37</v>
      </c>
      <c r="TG189" s="11" t="s">
        <v>37</v>
      </c>
      <c r="TH189" s="12" t="s">
        <v>37</v>
      </c>
      <c r="TI189" s="12" t="s">
        <v>37</v>
      </c>
      <c r="TJ189" s="11" t="s">
        <v>37</v>
      </c>
      <c r="TO189" s="12" t="s">
        <v>37</v>
      </c>
      <c r="TP189" s="12" t="s">
        <v>37</v>
      </c>
      <c r="TQ189" s="11" t="s">
        <v>37</v>
      </c>
      <c r="TR189" s="12" t="s">
        <v>37</v>
      </c>
      <c r="TS189" s="12" t="s">
        <v>37</v>
      </c>
      <c r="TT189" s="11" t="s">
        <v>37</v>
      </c>
      <c r="TY189" s="12" t="s">
        <v>37</v>
      </c>
      <c r="TZ189" s="12" t="s">
        <v>37</v>
      </c>
      <c r="UA189" s="12" t="s">
        <v>37</v>
      </c>
      <c r="UB189" s="12" t="s">
        <v>37</v>
      </c>
      <c r="UC189" s="12" t="s">
        <v>37</v>
      </c>
      <c r="UD189" s="12" t="s">
        <v>37</v>
      </c>
      <c r="UE189" s="12"/>
      <c r="UF189" s="12"/>
      <c r="UI189" s="12" t="s">
        <v>37</v>
      </c>
      <c r="UJ189" s="12" t="s">
        <v>37</v>
      </c>
      <c r="UK189" s="12" t="s">
        <v>37</v>
      </c>
      <c r="UL189" s="12" t="s">
        <v>37</v>
      </c>
      <c r="UM189" s="12" t="s">
        <v>37</v>
      </c>
      <c r="UN189" s="12" t="s">
        <v>37</v>
      </c>
      <c r="UO189" s="12"/>
      <c r="UP189" s="12"/>
      <c r="UR189" s="12" t="s">
        <v>37</v>
      </c>
      <c r="US189" s="12" t="s">
        <v>37</v>
      </c>
      <c r="UT189" s="12" t="s">
        <v>37</v>
      </c>
      <c r="UU189" s="12" t="s">
        <v>37</v>
      </c>
      <c r="UV189" s="12" t="s">
        <v>37</v>
      </c>
      <c r="UW189" s="12" t="s">
        <v>37</v>
      </c>
      <c r="UX189" s="12"/>
      <c r="UY189" s="12"/>
      <c r="VB189" s="12" t="s">
        <v>37</v>
      </c>
      <c r="VC189" s="12" t="s">
        <v>37</v>
      </c>
      <c r="VD189" s="12" t="s">
        <v>37</v>
      </c>
      <c r="VE189" s="12" t="s">
        <v>37</v>
      </c>
      <c r="VF189" s="12" t="s">
        <v>37</v>
      </c>
      <c r="VG189" s="12" t="s">
        <v>37</v>
      </c>
      <c r="VI189" s="12" t="s">
        <v>37</v>
      </c>
      <c r="VJ189" s="12" t="s">
        <v>37</v>
      </c>
      <c r="VK189" s="12" t="s">
        <v>37</v>
      </c>
      <c r="VL189" s="12" t="s">
        <v>37</v>
      </c>
      <c r="VM189" s="12" t="s">
        <v>37</v>
      </c>
      <c r="VN189" s="12" t="s">
        <v>37</v>
      </c>
      <c r="VQ189" s="13" t="s">
        <v>37</v>
      </c>
      <c r="VR189" s="13" t="s">
        <v>37</v>
      </c>
      <c r="VS189" s="13" t="s">
        <v>37</v>
      </c>
      <c r="VT189" s="13" t="s">
        <v>37</v>
      </c>
      <c r="VU189" s="13" t="s">
        <v>37</v>
      </c>
      <c r="VV189" s="13" t="s">
        <v>37</v>
      </c>
      <c r="WA189" s="13" t="s">
        <v>37</v>
      </c>
      <c r="WB189" s="13" t="s">
        <v>37</v>
      </c>
      <c r="WC189" s="13" t="s">
        <v>37</v>
      </c>
      <c r="WD189" s="13" t="s">
        <v>37</v>
      </c>
      <c r="WE189" s="13" t="s">
        <v>37</v>
      </c>
      <c r="WF189" s="13" t="s">
        <v>37</v>
      </c>
    </row>
    <row r="190" spans="1:604" ht="18" customHeight="1" x14ac:dyDescent="0.3">
      <c r="A190" s="11">
        <v>45</v>
      </c>
      <c r="B190" s="16" t="s">
        <v>272</v>
      </c>
      <c r="C190" s="12" t="s">
        <v>26</v>
      </c>
      <c r="D190" s="12" t="s">
        <v>1039</v>
      </c>
      <c r="E190" s="40" t="s">
        <v>37</v>
      </c>
      <c r="F190" s="14">
        <v>0</v>
      </c>
      <c r="G190" s="14">
        <v>0</v>
      </c>
      <c r="H190" s="12" t="s">
        <v>79</v>
      </c>
      <c r="I190" s="29">
        <v>33.917000000000002</v>
      </c>
      <c r="J190" s="29">
        <v>102.81699999999999</v>
      </c>
      <c r="K190" s="12" t="s">
        <v>746</v>
      </c>
      <c r="L190" s="12" t="s">
        <v>747</v>
      </c>
      <c r="M190" s="13">
        <v>3441</v>
      </c>
      <c r="N190" s="14">
        <v>0.9</v>
      </c>
      <c r="O190" s="14">
        <v>656.8</v>
      </c>
      <c r="P190" s="14" t="s">
        <v>16</v>
      </c>
      <c r="Q190" s="75">
        <v>43</v>
      </c>
      <c r="R190" s="11" t="s">
        <v>999</v>
      </c>
      <c r="S190" s="12" t="s">
        <v>923</v>
      </c>
      <c r="T190" s="12" t="s">
        <v>138</v>
      </c>
      <c r="U190" s="12" t="s">
        <v>158</v>
      </c>
      <c r="V190" s="12" t="s">
        <v>274</v>
      </c>
      <c r="W190" s="23" t="s">
        <v>37</v>
      </c>
      <c r="X190" s="12" t="s">
        <v>280</v>
      </c>
      <c r="Y190" s="12" t="s">
        <v>37</v>
      </c>
      <c r="Z190" s="12" t="s">
        <v>37</v>
      </c>
      <c r="AA190" s="32" t="s">
        <v>345</v>
      </c>
      <c r="AB190" s="12">
        <v>7.5</v>
      </c>
      <c r="AC190" s="12" t="s">
        <v>42</v>
      </c>
      <c r="AD190" s="32" t="s">
        <v>345</v>
      </c>
      <c r="AE190" s="12">
        <v>206.37</v>
      </c>
      <c r="AF190" s="12" t="s">
        <v>42</v>
      </c>
      <c r="AG190" s="32" t="s">
        <v>345</v>
      </c>
      <c r="AH190" s="12">
        <v>13.85</v>
      </c>
      <c r="AJ190" s="12" t="str">
        <f t="shared" si="711"/>
        <v>0-10</v>
      </c>
      <c r="AK190" s="19">
        <f t="shared" si="712"/>
        <v>14.900361010830325</v>
      </c>
      <c r="AL190" s="32" t="s">
        <v>545</v>
      </c>
      <c r="AM190" s="12" t="s">
        <v>317</v>
      </c>
      <c r="AN190" s="32" t="s">
        <v>880</v>
      </c>
      <c r="AO190" s="12" t="s">
        <v>37</v>
      </c>
      <c r="AP190" s="12" t="s">
        <v>108</v>
      </c>
      <c r="AQ190" s="12" t="s">
        <v>975</v>
      </c>
      <c r="AR190" s="12" t="s">
        <v>42</v>
      </c>
      <c r="AS190" s="32" t="s">
        <v>345</v>
      </c>
      <c r="AT190" s="12">
        <v>206.37</v>
      </c>
      <c r="AU190" s="12">
        <f>20.09*SQRT(3)</f>
        <v>34.796900724058744</v>
      </c>
      <c r="AV190" s="13">
        <v>3</v>
      </c>
      <c r="AW190" s="19">
        <f t="shared" si="713"/>
        <v>0.16861414316062773</v>
      </c>
      <c r="AX190" s="12">
        <f>AVERAGEA(161.62)</f>
        <v>161.62</v>
      </c>
      <c r="AY190" s="12">
        <f>SQRT(((16.58*SQRT(3))^2))</f>
        <v>28.71740238949198</v>
      </c>
      <c r="AZ190" s="13">
        <v>3</v>
      </c>
      <c r="BA190" s="19">
        <f t="shared" si="714"/>
        <v>0.17768470727318389</v>
      </c>
      <c r="BB190" s="52">
        <f t="shared" si="715"/>
        <v>-0.24442277340073085</v>
      </c>
      <c r="BC190" s="19">
        <f t="shared" si="716"/>
        <v>2.0000861490849904E-2</v>
      </c>
      <c r="BD190" s="32" t="s">
        <v>422</v>
      </c>
      <c r="BE190" s="12">
        <v>212.08</v>
      </c>
      <c r="BF190" s="12">
        <f t="shared" si="815"/>
        <v>52.34257540473147</v>
      </c>
      <c r="BG190" s="13">
        <v>3</v>
      </c>
      <c r="BH190" s="19">
        <f t="shared" si="784"/>
        <v>0.24680580632181945</v>
      </c>
      <c r="BI190" s="12">
        <f>AVERAGEA(142.29)</f>
        <v>142.29</v>
      </c>
      <c r="BJ190" s="12">
        <f>SQRT(((4.93*SQRT(3))^2))</f>
        <v>8.5390104813145644</v>
      </c>
      <c r="BK190" s="13">
        <v>3</v>
      </c>
      <c r="BL190" s="19">
        <f t="shared" si="717"/>
        <v>6.0011318302864325E-2</v>
      </c>
      <c r="BM190" s="52">
        <f t="shared" si="718"/>
        <v>-0.39909633342317025</v>
      </c>
      <c r="BN190" s="19">
        <f t="shared" si="719"/>
        <v>2.1504821452870384E-2</v>
      </c>
      <c r="BO190" s="32" t="s">
        <v>423</v>
      </c>
      <c r="BP190" s="12">
        <v>212.71</v>
      </c>
      <c r="BQ190" s="12">
        <f t="shared" si="816"/>
        <v>58.144945610087206</v>
      </c>
      <c r="BR190" s="13">
        <v>3</v>
      </c>
      <c r="BS190" s="19">
        <f t="shared" si="788"/>
        <v>0.27335313624224156</v>
      </c>
      <c r="BT190" s="12">
        <f>AVERAGEA(138.85)</f>
        <v>138.85</v>
      </c>
      <c r="BU190" s="12">
        <f>SQRT(((9.63*SQRT(3))^2))</f>
        <v>16.679649276888288</v>
      </c>
      <c r="BV190" s="13">
        <v>3</v>
      </c>
      <c r="BW190" s="19">
        <f t="shared" si="791"/>
        <v>0.12012711038450334</v>
      </c>
      <c r="BX190" s="52">
        <f t="shared" si="720"/>
        <v>-0.42653552192275057</v>
      </c>
      <c r="BY190" s="19">
        <f t="shared" si="721"/>
        <v>2.9717486580933372E-2</v>
      </c>
      <c r="CA190" s="12" t="s">
        <v>37</v>
      </c>
      <c r="CB190" s="12" t="s">
        <v>37</v>
      </c>
      <c r="CC190" s="13" t="s">
        <v>37</v>
      </c>
      <c r="CE190" s="12" t="s">
        <v>37</v>
      </c>
      <c r="CF190" s="12" t="s">
        <v>37</v>
      </c>
      <c r="CG190" s="13" t="s">
        <v>37</v>
      </c>
      <c r="CN190" s="12" t="s">
        <v>37</v>
      </c>
      <c r="CO190" s="12" t="s">
        <v>37</v>
      </c>
      <c r="CP190" s="13" t="s">
        <v>37</v>
      </c>
      <c r="CR190" s="12" t="s">
        <v>37</v>
      </c>
      <c r="CS190" s="12" t="s">
        <v>37</v>
      </c>
      <c r="CT190" s="13" t="s">
        <v>37</v>
      </c>
      <c r="CX190" s="72"/>
      <c r="CY190" s="72"/>
      <c r="DA190" s="12" t="s">
        <v>37</v>
      </c>
      <c r="DB190" s="12" t="s">
        <v>37</v>
      </c>
      <c r="DC190" s="13" t="s">
        <v>37</v>
      </c>
      <c r="DE190" s="12" t="s">
        <v>37</v>
      </c>
      <c r="DF190" s="12" t="s">
        <v>37</v>
      </c>
      <c r="DG190" s="13" t="s">
        <v>37</v>
      </c>
      <c r="DM190" s="11" t="s">
        <v>47</v>
      </c>
      <c r="DN190" s="19">
        <f>DN188</f>
        <v>1212.2979432249506</v>
      </c>
      <c r="DO190" s="12">
        <f>DO188</f>
        <v>318.03950472765939</v>
      </c>
      <c r="DP190" s="13">
        <v>3</v>
      </c>
      <c r="DQ190" s="19">
        <f t="shared" si="707"/>
        <v>0.26234434076627389</v>
      </c>
      <c r="DR190" s="19">
        <f>AVERAGEA(0.17)*("2013/09/30"-"2013/05/01")*10^4*24/10^6/'[1]classes-1'!$I$49</f>
        <v>6.3693058151714421</v>
      </c>
      <c r="DS190" s="12">
        <f>SQRT((1/[2]Classes!$I$49)^2*(SQRT(((0.04*SQRT(3))^2))*("2013/10/27"-"2013/06/04")*10^4*24/10^6)^2+(-DR190/([2]Classes!$I$49)^2)^2*([2]Classes!$J$49)^2)</f>
        <v>13.141978030809039</v>
      </c>
      <c r="DT190" s="13">
        <v>3</v>
      </c>
      <c r="DU190" s="19">
        <f t="shared" si="708"/>
        <v>2.0633297273158639</v>
      </c>
      <c r="DV190" s="19">
        <f t="shared" si="710"/>
        <v>-1205.9286374097792</v>
      </c>
      <c r="DW190" s="12">
        <f t="shared" si="709"/>
        <v>225.07980601775134</v>
      </c>
      <c r="DX190" s="72">
        <f t="shared" si="641"/>
        <v>33773.946051325707</v>
      </c>
      <c r="DY190" s="72">
        <f t="shared" si="642"/>
        <v>33773.946051325715</v>
      </c>
      <c r="EA190" s="19" t="s">
        <v>37</v>
      </c>
      <c r="EB190" s="19" t="s">
        <v>37</v>
      </c>
      <c r="EC190" s="72" t="s">
        <v>37</v>
      </c>
      <c r="EE190" s="19" t="s">
        <v>37</v>
      </c>
      <c r="EF190" s="19" t="s">
        <v>37</v>
      </c>
      <c r="EG190" s="12" t="s">
        <v>37</v>
      </c>
      <c r="EM190" s="12" t="s">
        <v>39</v>
      </c>
      <c r="EN190" s="12">
        <f>EN189</f>
        <v>15.494138888888889</v>
      </c>
      <c r="EO190" s="12">
        <f t="shared" ref="EO190:EP190" si="820">EO189</f>
        <v>0.77024816389862394</v>
      </c>
      <c r="EP190" s="13">
        <f t="shared" si="820"/>
        <v>3</v>
      </c>
      <c r="EQ190" s="19">
        <f t="shared" si="792"/>
        <v>4.9712227921939051E-2</v>
      </c>
      <c r="ER190" s="12">
        <f t="shared" si="808"/>
        <v>-89.296666666666667</v>
      </c>
      <c r="ES190" s="12">
        <f>SQRT(((3.76*SQRT(3))^2))</f>
        <v>6.512511036458978</v>
      </c>
      <c r="ET190" s="13">
        <v>3</v>
      </c>
      <c r="EU190" s="19">
        <f t="shared" si="793"/>
        <v>7.2931177383914789E-2</v>
      </c>
      <c r="EV190" s="19">
        <f t="shared" si="701"/>
        <v>-104.79080555555555</v>
      </c>
      <c r="EW190" s="12">
        <f t="shared" si="702"/>
        <v>4.6371371682315585</v>
      </c>
      <c r="EX190" s="19">
        <f t="shared" si="703"/>
        <v>14.335360744663063</v>
      </c>
      <c r="EY190" s="19">
        <f t="shared" si="704"/>
        <v>14.335360744663065</v>
      </c>
      <c r="FB190" s="12" t="s">
        <v>37</v>
      </c>
      <c r="FC190" s="12" t="s">
        <v>37</v>
      </c>
      <c r="FD190" s="11" t="s">
        <v>37</v>
      </c>
      <c r="FE190" s="12" t="s">
        <v>37</v>
      </c>
      <c r="FF190" s="20" t="s">
        <v>37</v>
      </c>
      <c r="FG190" s="11" t="s">
        <v>37</v>
      </c>
      <c r="FI190" s="12" t="s">
        <v>37</v>
      </c>
      <c r="FJ190" s="12" t="s">
        <v>37</v>
      </c>
      <c r="FK190" s="11" t="s">
        <v>37</v>
      </c>
      <c r="FL190" s="13" t="s">
        <v>37</v>
      </c>
      <c r="FM190" s="11" t="s">
        <v>37</v>
      </c>
      <c r="FN190" s="11" t="s">
        <v>37</v>
      </c>
      <c r="FP190" s="12" t="s">
        <v>37</v>
      </c>
      <c r="FQ190" s="12" t="s">
        <v>37</v>
      </c>
      <c r="FR190" s="11" t="s">
        <v>37</v>
      </c>
      <c r="FS190" s="13" t="s">
        <v>37</v>
      </c>
      <c r="FT190" s="11" t="s">
        <v>37</v>
      </c>
      <c r="FU190" s="11" t="s">
        <v>37</v>
      </c>
      <c r="FW190" s="12" t="s">
        <v>37</v>
      </c>
      <c r="FX190" s="12" t="s">
        <v>37</v>
      </c>
      <c r="FY190" s="11" t="s">
        <v>37</v>
      </c>
      <c r="FZ190" s="13" t="s">
        <v>37</v>
      </c>
      <c r="GA190" s="11" t="s">
        <v>37</v>
      </c>
      <c r="GB190" s="11" t="s">
        <v>37</v>
      </c>
      <c r="GO190" s="12" t="s">
        <v>660</v>
      </c>
      <c r="GP190" s="12" t="s">
        <v>327</v>
      </c>
      <c r="GQ190" s="12">
        <f>GQ188</f>
        <v>10.697568389057752</v>
      </c>
      <c r="GR190" s="12">
        <f>GR188</f>
        <v>0.70425088701842986</v>
      </c>
      <c r="GS190" s="13">
        <v>3</v>
      </c>
      <c r="GT190" s="19">
        <f t="shared" si="722"/>
        <v>6.5832800633346608E-2</v>
      </c>
      <c r="GU190" s="12">
        <f>AVERAGEA(10.37)</f>
        <v>10.37</v>
      </c>
      <c r="GV190" s="12">
        <f>SQRT(((1.09*SQRT(3))^2))</f>
        <v>1.8879353802500762</v>
      </c>
      <c r="GW190" s="13">
        <v>3</v>
      </c>
      <c r="GX190" s="19">
        <f t="shared" si="723"/>
        <v>0.18205741371746156</v>
      </c>
      <c r="GY190" s="19">
        <f t="shared" si="724"/>
        <v>-3.1099440041378653E-2</v>
      </c>
      <c r="GZ190" s="19">
        <f t="shared" si="725"/>
        <v>1.2492953176240308E-2</v>
      </c>
      <c r="HA190" s="17" t="s">
        <v>63</v>
      </c>
      <c r="HB190" s="34" t="s">
        <v>345</v>
      </c>
      <c r="HC190" s="12">
        <v>0.31</v>
      </c>
      <c r="HD190" s="12">
        <f>0.04*SQRT(3)</f>
        <v>6.9282032302755092E-2</v>
      </c>
      <c r="HE190" s="13">
        <v>3</v>
      </c>
      <c r="HF190" s="19">
        <f t="shared" si="726"/>
        <v>0.22349042678308095</v>
      </c>
      <c r="HG190" s="12">
        <f>AVERAGEA(0.44)</f>
        <v>0.44</v>
      </c>
      <c r="HH190" s="12">
        <f>SQRT(((0.03*SQRT(3))^2))</f>
        <v>5.1961524227066312E-2</v>
      </c>
      <c r="HI190" s="13">
        <v>3</v>
      </c>
      <c r="HJ190" s="19">
        <f t="shared" si="727"/>
        <v>0.11809437324333252</v>
      </c>
      <c r="HK190" s="19">
        <f t="shared" si="728"/>
        <v>0.35020242943311497</v>
      </c>
      <c r="HL190" s="19">
        <f t="shared" si="729"/>
        <v>2.12980839518064E-2</v>
      </c>
      <c r="HM190" s="34" t="s">
        <v>422</v>
      </c>
      <c r="HN190" s="12">
        <v>0.28000000000000003</v>
      </c>
      <c r="HO190" s="12">
        <f t="shared" si="818"/>
        <v>8.6602540378443865E-2</v>
      </c>
      <c r="HP190" s="13">
        <v>3</v>
      </c>
      <c r="HQ190" s="19">
        <f t="shared" si="730"/>
        <v>0.30929478706587094</v>
      </c>
      <c r="HR190" s="12">
        <f>AVERAGEA(0.49)</f>
        <v>0.49</v>
      </c>
      <c r="HS190" s="12">
        <f>SQRT(((0.02*SQRT(3))^2))</f>
        <v>3.4641016151377546E-2</v>
      </c>
      <c r="HT190" s="13">
        <v>3</v>
      </c>
      <c r="HU190" s="19">
        <f t="shared" si="731"/>
        <v>7.0695951329341936E-2</v>
      </c>
      <c r="HV190" s="19">
        <f t="shared" si="732"/>
        <v>0.55961578793542255</v>
      </c>
      <c r="HW190" s="19">
        <f t="shared" si="733"/>
        <v>3.3553727613494372E-2</v>
      </c>
      <c r="HX190" s="34" t="s">
        <v>423</v>
      </c>
      <c r="HY190" s="12">
        <v>0.28000000000000003</v>
      </c>
      <c r="HZ190" s="12">
        <v>7.0000000000000007E-2</v>
      </c>
      <c r="IA190" s="13">
        <v>3</v>
      </c>
      <c r="IB190" s="19">
        <f t="shared" si="734"/>
        <v>0.25</v>
      </c>
      <c r="IC190" s="12">
        <f>AVERAGEA(0.54)</f>
        <v>0.54</v>
      </c>
      <c r="ID190" s="12">
        <f>SQRT(((0.04*SQRT(3))^2))</f>
        <v>6.9282032302755092E-2</v>
      </c>
      <c r="IE190" s="13">
        <v>3</v>
      </c>
      <c r="IF190" s="19">
        <f t="shared" si="735"/>
        <v>0.12830005981991682</v>
      </c>
      <c r="IG190" s="19">
        <f t="shared" si="736"/>
        <v>0.6567795363890705</v>
      </c>
      <c r="IH190" s="19">
        <f t="shared" si="737"/>
        <v>2.6320301783264749E-2</v>
      </c>
      <c r="IK190" s="12" t="s">
        <v>37</v>
      </c>
      <c r="IL190" s="12" t="s">
        <v>37</v>
      </c>
      <c r="IM190" s="12" t="s">
        <v>37</v>
      </c>
      <c r="IO190" s="12" t="s">
        <v>37</v>
      </c>
      <c r="IP190" s="12" t="s">
        <v>37</v>
      </c>
      <c r="IQ190" s="12" t="s">
        <v>37</v>
      </c>
      <c r="IV190" s="32" t="s">
        <v>345</v>
      </c>
      <c r="IW190" s="12">
        <v>7.5</v>
      </c>
      <c r="IX190" s="50">
        <f t="shared" si="738"/>
        <v>0.27459556971017351</v>
      </c>
      <c r="IY190" s="13">
        <v>3</v>
      </c>
      <c r="JA190" s="12">
        <f>AVERAGEA(7.5)</f>
        <v>7.5</v>
      </c>
      <c r="JB190" s="50">
        <f t="shared" si="739"/>
        <v>0.21006606589277069</v>
      </c>
      <c r="JC190" s="13">
        <v>3</v>
      </c>
      <c r="JE190" s="19">
        <f t="shared" si="740"/>
        <v>0</v>
      </c>
      <c r="JF190" s="19">
        <f t="shared" si="741"/>
        <v>7.0832876411330739E-4</v>
      </c>
      <c r="JH190" s="12" t="s">
        <v>37</v>
      </c>
      <c r="JI190" s="12" t="s">
        <v>37</v>
      </c>
      <c r="JJ190" s="13" t="s">
        <v>37</v>
      </c>
      <c r="JL190" s="12" t="s">
        <v>37</v>
      </c>
      <c r="JM190" s="12" t="s">
        <v>37</v>
      </c>
      <c r="JN190" s="12" t="s">
        <v>37</v>
      </c>
      <c r="JS190" s="12" t="s">
        <v>37</v>
      </c>
      <c r="JT190" s="12" t="s">
        <v>37</v>
      </c>
      <c r="JU190" s="13" t="s">
        <v>37</v>
      </c>
      <c r="JW190" s="12" t="s">
        <v>37</v>
      </c>
      <c r="JX190" s="12" t="s">
        <v>37</v>
      </c>
      <c r="JY190" s="12" t="s">
        <v>37</v>
      </c>
      <c r="KE190" s="11" t="s">
        <v>37</v>
      </c>
      <c r="KF190" s="11" t="s">
        <v>37</v>
      </c>
      <c r="KG190" s="13" t="s">
        <v>37</v>
      </c>
      <c r="KH190" s="11" t="s">
        <v>37</v>
      </c>
      <c r="KI190" s="11" t="s">
        <v>37</v>
      </c>
      <c r="KJ190" s="11" t="s">
        <v>37</v>
      </c>
      <c r="KK190" s="12" t="s">
        <v>42</v>
      </c>
      <c r="KL190" s="32" t="s">
        <v>345</v>
      </c>
      <c r="KM190" s="12">
        <v>13.85</v>
      </c>
      <c r="KN190" s="50">
        <f t="shared" si="742"/>
        <v>1.6522086231803037</v>
      </c>
      <c r="KO190" s="13">
        <v>3</v>
      </c>
      <c r="KQ190" s="12">
        <f>AVERAGEA(13.58)</f>
        <v>13.58</v>
      </c>
      <c r="KR190" s="50">
        <f t="shared" si="743"/>
        <v>1.4319217816900871</v>
      </c>
      <c r="KS190" s="13">
        <v>3</v>
      </c>
      <c r="KU190" s="19">
        <f t="shared" si="744"/>
        <v>-1.9687110502797381E-2</v>
      </c>
      <c r="KV190" s="19">
        <f t="shared" si="745"/>
        <v>8.4497155628593251E-3</v>
      </c>
      <c r="KW190" s="32" t="s">
        <v>422</v>
      </c>
      <c r="KX190" s="12">
        <v>12.78</v>
      </c>
      <c r="KY190" s="50">
        <f t="shared" si="746"/>
        <v>0.94263258508549785</v>
      </c>
      <c r="KZ190" s="13">
        <v>3</v>
      </c>
      <c r="LB190" s="12">
        <f>AVERAGEA(11.44)</f>
        <v>11.44</v>
      </c>
      <c r="LC190" s="50">
        <f t="shared" si="747"/>
        <v>1.3198476470507823</v>
      </c>
      <c r="LD190" s="13">
        <v>3</v>
      </c>
      <c r="LF190" s="19">
        <f t="shared" si="748"/>
        <v>-0.11076546299773686</v>
      </c>
      <c r="LG190" s="19">
        <f t="shared" si="749"/>
        <v>6.2502802071617821E-3</v>
      </c>
      <c r="LH190" s="32" t="s">
        <v>423</v>
      </c>
      <c r="LI190" s="12">
        <v>14.47</v>
      </c>
      <c r="LJ190" s="50">
        <f t="shared" si="750"/>
        <v>5.9091095965864069</v>
      </c>
      <c r="LK190" s="13">
        <v>3</v>
      </c>
      <c r="LM190" s="12">
        <f>AVERAGEA(9.29)</f>
        <v>9.2899999999999991</v>
      </c>
      <c r="LN190" s="50">
        <f t="shared" si="751"/>
        <v>2.627061551398346</v>
      </c>
      <c r="LO190" s="13">
        <v>3</v>
      </c>
      <c r="LQ190" s="19">
        <f t="shared" si="752"/>
        <v>-0.44313898781764555</v>
      </c>
      <c r="LR190" s="19">
        <f t="shared" si="753"/>
        <v>8.2244164849791454E-2</v>
      </c>
      <c r="LT190" s="12" t="str">
        <f t="shared" si="754"/>
        <v>0-10</v>
      </c>
      <c r="LU190" s="12">
        <f t="shared" si="755"/>
        <v>14.900361010830325</v>
      </c>
      <c r="LV190" s="12">
        <f t="shared" si="756"/>
        <v>3.0776211067466939</v>
      </c>
      <c r="LW190" s="13">
        <f t="shared" si="757"/>
        <v>3</v>
      </c>
      <c r="LY190" s="12">
        <f t="shared" si="758"/>
        <v>11.901325478645067</v>
      </c>
      <c r="LZ190" s="12">
        <f t="shared" si="759"/>
        <v>2.4590042855005216</v>
      </c>
      <c r="MA190" s="13">
        <f t="shared" si="760"/>
        <v>3</v>
      </c>
      <c r="MC190" s="19">
        <f t="shared" si="761"/>
        <v>-0.2247356628979334</v>
      </c>
      <c r="MD190" s="19">
        <f t="shared" si="762"/>
        <v>2.8450577053709229E-2</v>
      </c>
      <c r="ME190" s="12" t="str">
        <f t="shared" si="763"/>
        <v>10-20</v>
      </c>
      <c r="MF190" s="12">
        <f t="shared" si="764"/>
        <v>16.594679186228483</v>
      </c>
      <c r="MG190" s="12">
        <f t="shared" si="765"/>
        <v>4.2746492513480874</v>
      </c>
      <c r="MH190" s="13">
        <f t="shared" si="766"/>
        <v>3</v>
      </c>
      <c r="MJ190" s="12">
        <f t="shared" si="767"/>
        <v>12.437937062937063</v>
      </c>
      <c r="MK190" s="12">
        <f t="shared" si="768"/>
        <v>1.6175007386415676</v>
      </c>
      <c r="ML190" s="13">
        <f t="shared" si="769"/>
        <v>3</v>
      </c>
      <c r="MN190" s="19">
        <f t="shared" si="770"/>
        <v>-0.28833087042543321</v>
      </c>
      <c r="MO190" s="19">
        <f t="shared" si="771"/>
        <v>2.7755101660032165E-2</v>
      </c>
      <c r="MP190" s="12" t="str">
        <f t="shared" si="772"/>
        <v>20-30</v>
      </c>
      <c r="MQ190" s="12">
        <f t="shared" si="773"/>
        <v>14.700069108500346</v>
      </c>
      <c r="MR190" s="12">
        <f t="shared" si="774"/>
        <v>7.2238202349748137</v>
      </c>
      <c r="MS190" s="13">
        <f t="shared" si="775"/>
        <v>3</v>
      </c>
      <c r="MU190" s="12">
        <f t="shared" si="776"/>
        <v>14.946178686759957</v>
      </c>
      <c r="MV190" s="12">
        <f t="shared" si="777"/>
        <v>4.5920830480395516</v>
      </c>
      <c r="MW190" s="13">
        <f t="shared" si="778"/>
        <v>3</v>
      </c>
      <c r="MY190" s="19">
        <f t="shared" si="779"/>
        <v>1.6603465894894875E-2</v>
      </c>
      <c r="MZ190" s="19">
        <f t="shared" si="780"/>
        <v>0.11196165143072484</v>
      </c>
      <c r="NC190" s="12" t="s">
        <v>37</v>
      </c>
      <c r="ND190" s="12" t="s">
        <v>37</v>
      </c>
      <c r="NE190" s="12" t="s">
        <v>37</v>
      </c>
      <c r="NG190" s="12" t="s">
        <v>37</v>
      </c>
      <c r="NH190" s="12" t="s">
        <v>37</v>
      </c>
      <c r="NI190" s="12" t="s">
        <v>37</v>
      </c>
      <c r="NO190" s="12" t="s">
        <v>37</v>
      </c>
      <c r="NP190" s="12" t="s">
        <v>37</v>
      </c>
      <c r="NQ190" s="12" t="s">
        <v>37</v>
      </c>
      <c r="NS190" s="12" t="s">
        <v>37</v>
      </c>
      <c r="NT190" s="12" t="s">
        <v>37</v>
      </c>
      <c r="NU190" s="12" t="s">
        <v>37</v>
      </c>
      <c r="OA190" s="12" t="s">
        <v>37</v>
      </c>
      <c r="OB190" s="12" t="s">
        <v>37</v>
      </c>
      <c r="OC190" s="12" t="s">
        <v>37</v>
      </c>
      <c r="OD190" s="12"/>
      <c r="OE190" s="12" t="s">
        <v>37</v>
      </c>
      <c r="OF190" s="12" t="s">
        <v>37</v>
      </c>
      <c r="OG190" s="12" t="s">
        <v>37</v>
      </c>
      <c r="OH190" s="12"/>
      <c r="OI190" s="12"/>
      <c r="OJ190" s="12"/>
      <c r="OM190" s="12" t="s">
        <v>37</v>
      </c>
      <c r="ON190" s="12" t="s">
        <v>37</v>
      </c>
      <c r="OO190" s="12" t="s">
        <v>37</v>
      </c>
      <c r="OP190" s="12" t="s">
        <v>37</v>
      </c>
      <c r="OQ190" s="12" t="s">
        <v>37</v>
      </c>
      <c r="OR190" s="12" t="s">
        <v>37</v>
      </c>
      <c r="OS190" s="12"/>
      <c r="OT190" s="12"/>
      <c r="OW190" s="12" t="s">
        <v>37</v>
      </c>
      <c r="OX190" s="12" t="s">
        <v>37</v>
      </c>
      <c r="OY190" s="13" t="s">
        <v>37</v>
      </c>
      <c r="OZ190" s="12" t="s">
        <v>37</v>
      </c>
      <c r="PA190" s="12" t="s">
        <v>37</v>
      </c>
      <c r="PB190" s="13" t="s">
        <v>37</v>
      </c>
      <c r="PG190" s="11" t="s">
        <v>37</v>
      </c>
      <c r="PH190" s="11" t="s">
        <v>37</v>
      </c>
      <c r="PI190" s="13" t="s">
        <v>37</v>
      </c>
      <c r="PJ190" s="11" t="s">
        <v>37</v>
      </c>
      <c r="PK190" s="11" t="s">
        <v>37</v>
      </c>
      <c r="PL190" s="13" t="s">
        <v>37</v>
      </c>
      <c r="PQ190" s="12" t="s">
        <v>37</v>
      </c>
      <c r="PR190" s="12" t="s">
        <v>37</v>
      </c>
      <c r="PS190" s="12" t="s">
        <v>37</v>
      </c>
      <c r="PT190" s="12" t="s">
        <v>37</v>
      </c>
      <c r="PU190" s="12" t="s">
        <v>37</v>
      </c>
      <c r="PV190" s="12" t="s">
        <v>37</v>
      </c>
      <c r="PW190" s="12"/>
      <c r="PX190" s="12"/>
      <c r="PZ190" s="12" t="s">
        <v>37</v>
      </c>
      <c r="QA190" s="12" t="s">
        <v>37</v>
      </c>
      <c r="QB190" s="11" t="s">
        <v>37</v>
      </c>
      <c r="QD190" s="12" t="s">
        <v>37</v>
      </c>
      <c r="QE190" s="12" t="s">
        <v>37</v>
      </c>
      <c r="QF190" s="12" t="s">
        <v>37</v>
      </c>
      <c r="QK190" s="12" t="s">
        <v>37</v>
      </c>
      <c r="QL190" s="12" t="s">
        <v>37</v>
      </c>
      <c r="QM190" s="12" t="s">
        <v>37</v>
      </c>
      <c r="QN190" s="12" t="s">
        <v>37</v>
      </c>
      <c r="QO190" s="12" t="s">
        <v>37</v>
      </c>
      <c r="QP190" s="12" t="s">
        <v>37</v>
      </c>
      <c r="QQ190" s="12"/>
      <c r="QR190" s="12"/>
      <c r="QU190" s="12" t="s">
        <v>37</v>
      </c>
      <c r="QV190" s="12" t="s">
        <v>37</v>
      </c>
      <c r="QW190" s="12" t="s">
        <v>37</v>
      </c>
      <c r="QX190" s="12" t="s">
        <v>37</v>
      </c>
      <c r="QY190" s="12" t="s">
        <v>37</v>
      </c>
      <c r="QZ190" s="12" t="s">
        <v>37</v>
      </c>
      <c r="RC190" s="12" t="s">
        <v>37</v>
      </c>
      <c r="RD190" s="12" t="s">
        <v>37</v>
      </c>
      <c r="RE190" s="13" t="s">
        <v>37</v>
      </c>
      <c r="RF190" s="12" t="s">
        <v>37</v>
      </c>
      <c r="RG190" s="12" t="s">
        <v>37</v>
      </c>
      <c r="RH190" s="13" t="s">
        <v>37</v>
      </c>
      <c r="RK190" s="12" t="s">
        <v>37</v>
      </c>
      <c r="RL190" s="12" t="s">
        <v>37</v>
      </c>
      <c r="RM190" s="11" t="s">
        <v>37</v>
      </c>
      <c r="RN190" s="12" t="s">
        <v>37</v>
      </c>
      <c r="RO190" s="12" t="s">
        <v>37</v>
      </c>
      <c r="RP190" s="11" t="s">
        <v>37</v>
      </c>
      <c r="RS190" s="12" t="s">
        <v>37</v>
      </c>
      <c r="RT190" s="12" t="s">
        <v>37</v>
      </c>
      <c r="RU190" s="12" t="s">
        <v>37</v>
      </c>
      <c r="RV190" s="12" t="s">
        <v>37</v>
      </c>
      <c r="RW190" s="12" t="s">
        <v>37</v>
      </c>
      <c r="RX190" s="12" t="s">
        <v>37</v>
      </c>
      <c r="SA190" s="12" t="s">
        <v>37</v>
      </c>
      <c r="SB190" s="12" t="s">
        <v>37</v>
      </c>
      <c r="SC190" s="12" t="s">
        <v>37</v>
      </c>
      <c r="SD190" s="12" t="s">
        <v>37</v>
      </c>
      <c r="SE190" s="12" t="s">
        <v>37</v>
      </c>
      <c r="SF190" s="12" t="s">
        <v>37</v>
      </c>
      <c r="SI190" s="12" t="s">
        <v>37</v>
      </c>
      <c r="SJ190" s="12" t="s">
        <v>37</v>
      </c>
      <c r="SK190" s="13" t="s">
        <v>37</v>
      </c>
      <c r="SM190" s="12" t="s">
        <v>37</v>
      </c>
      <c r="SN190" s="12" t="s">
        <v>37</v>
      </c>
      <c r="SO190" s="13" t="s">
        <v>37</v>
      </c>
      <c r="SU190" s="12" t="s">
        <v>37</v>
      </c>
      <c r="SV190" s="12" t="s">
        <v>37</v>
      </c>
      <c r="SW190" s="11" t="s">
        <v>37</v>
      </c>
      <c r="SX190" s="12" t="s">
        <v>37</v>
      </c>
      <c r="SY190" s="12" t="s">
        <v>37</v>
      </c>
      <c r="SZ190" s="11" t="s">
        <v>37</v>
      </c>
      <c r="TE190" s="12" t="s">
        <v>37</v>
      </c>
      <c r="TF190" s="12" t="s">
        <v>37</v>
      </c>
      <c r="TG190" s="11" t="s">
        <v>37</v>
      </c>
      <c r="TH190" s="12" t="s">
        <v>37</v>
      </c>
      <c r="TI190" s="12" t="s">
        <v>37</v>
      </c>
      <c r="TJ190" s="11" t="s">
        <v>37</v>
      </c>
      <c r="TO190" s="12" t="s">
        <v>37</v>
      </c>
      <c r="TP190" s="12" t="s">
        <v>37</v>
      </c>
      <c r="TQ190" s="11" t="s">
        <v>37</v>
      </c>
      <c r="TR190" s="12" t="s">
        <v>37</v>
      </c>
      <c r="TS190" s="12" t="s">
        <v>37</v>
      </c>
      <c r="TT190" s="11" t="s">
        <v>37</v>
      </c>
      <c r="TY190" s="12" t="s">
        <v>37</v>
      </c>
      <c r="TZ190" s="12" t="s">
        <v>37</v>
      </c>
      <c r="UA190" s="12" t="s">
        <v>37</v>
      </c>
      <c r="UB190" s="12" t="s">
        <v>37</v>
      </c>
      <c r="UC190" s="12" t="s">
        <v>37</v>
      </c>
      <c r="UD190" s="12" t="s">
        <v>37</v>
      </c>
      <c r="UE190" s="12"/>
      <c r="UF190" s="12"/>
      <c r="UI190" s="12" t="s">
        <v>37</v>
      </c>
      <c r="UJ190" s="12" t="s">
        <v>37</v>
      </c>
      <c r="UK190" s="12" t="s">
        <v>37</v>
      </c>
      <c r="UL190" s="12" t="s">
        <v>37</v>
      </c>
      <c r="UM190" s="12" t="s">
        <v>37</v>
      </c>
      <c r="UN190" s="12" t="s">
        <v>37</v>
      </c>
      <c r="UO190" s="12"/>
      <c r="UP190" s="12"/>
      <c r="UR190" s="12" t="s">
        <v>37</v>
      </c>
      <c r="US190" s="12" t="s">
        <v>37</v>
      </c>
      <c r="UT190" s="12" t="s">
        <v>37</v>
      </c>
      <c r="UU190" s="12" t="s">
        <v>37</v>
      </c>
      <c r="UV190" s="12" t="s">
        <v>37</v>
      </c>
      <c r="UW190" s="12" t="s">
        <v>37</v>
      </c>
      <c r="UX190" s="12"/>
      <c r="UY190" s="12"/>
      <c r="VB190" s="12" t="s">
        <v>37</v>
      </c>
      <c r="VC190" s="12" t="s">
        <v>37</v>
      </c>
      <c r="VD190" s="12" t="s">
        <v>37</v>
      </c>
      <c r="VE190" s="12" t="s">
        <v>37</v>
      </c>
      <c r="VF190" s="12" t="s">
        <v>37</v>
      </c>
      <c r="VG190" s="12" t="s">
        <v>37</v>
      </c>
      <c r="VI190" s="12" t="s">
        <v>37</v>
      </c>
      <c r="VJ190" s="12" t="s">
        <v>37</v>
      </c>
      <c r="VK190" s="12" t="s">
        <v>37</v>
      </c>
      <c r="VL190" s="12" t="s">
        <v>37</v>
      </c>
      <c r="VM190" s="12" t="s">
        <v>37</v>
      </c>
      <c r="VN190" s="12" t="s">
        <v>37</v>
      </c>
      <c r="VQ190" s="13" t="s">
        <v>37</v>
      </c>
      <c r="VR190" s="13" t="s">
        <v>37</v>
      </c>
      <c r="VS190" s="13" t="s">
        <v>37</v>
      </c>
      <c r="VT190" s="13" t="s">
        <v>37</v>
      </c>
      <c r="VU190" s="13" t="s">
        <v>37</v>
      </c>
      <c r="VV190" s="13" t="s">
        <v>37</v>
      </c>
      <c r="WA190" s="13" t="s">
        <v>37</v>
      </c>
      <c r="WB190" s="13" t="s">
        <v>37</v>
      </c>
      <c r="WC190" s="13" t="s">
        <v>37</v>
      </c>
      <c r="WD190" s="13" t="s">
        <v>37</v>
      </c>
      <c r="WE190" s="13" t="s">
        <v>37</v>
      </c>
      <c r="WF190" s="13" t="s">
        <v>37</v>
      </c>
    </row>
    <row r="191" spans="1:604" ht="18" customHeight="1" x14ac:dyDescent="0.3">
      <c r="A191" s="11">
        <v>45</v>
      </c>
      <c r="B191" s="16" t="s">
        <v>272</v>
      </c>
      <c r="C191" s="12" t="s">
        <v>26</v>
      </c>
      <c r="D191" s="12" t="s">
        <v>1039</v>
      </c>
      <c r="E191" s="40" t="s">
        <v>37</v>
      </c>
      <c r="F191" s="14">
        <v>0</v>
      </c>
      <c r="G191" s="14">
        <v>0</v>
      </c>
      <c r="H191" s="12" t="s">
        <v>79</v>
      </c>
      <c r="I191" s="29">
        <v>33.917000000000002</v>
      </c>
      <c r="J191" s="29">
        <v>102.81699999999999</v>
      </c>
      <c r="K191" s="12" t="s">
        <v>746</v>
      </c>
      <c r="L191" s="12" t="s">
        <v>747</v>
      </c>
      <c r="M191" s="13">
        <v>3441</v>
      </c>
      <c r="N191" s="14">
        <v>0.9</v>
      </c>
      <c r="O191" s="14">
        <v>656.8</v>
      </c>
      <c r="P191" s="14" t="s">
        <v>16</v>
      </c>
      <c r="Q191" s="75">
        <v>43</v>
      </c>
      <c r="R191" s="11" t="s">
        <v>999</v>
      </c>
      <c r="S191" s="12" t="s">
        <v>923</v>
      </c>
      <c r="T191" s="12" t="s">
        <v>138</v>
      </c>
      <c r="U191" s="12" t="s">
        <v>158</v>
      </c>
      <c r="V191" s="12" t="s">
        <v>275</v>
      </c>
      <c r="W191" s="23" t="s">
        <v>37</v>
      </c>
      <c r="X191" s="12" t="s">
        <v>280</v>
      </c>
      <c r="Y191" s="12" t="s">
        <v>37</v>
      </c>
      <c r="Z191" s="12" t="s">
        <v>37</v>
      </c>
      <c r="AA191" s="32" t="s">
        <v>345</v>
      </c>
      <c r="AB191" s="12">
        <f>AB187</f>
        <v>7.2</v>
      </c>
      <c r="AC191" s="12" t="s">
        <v>42</v>
      </c>
      <c r="AD191" s="32" t="s">
        <v>345</v>
      </c>
      <c r="AE191" s="12">
        <f>AE186</f>
        <v>160.87</v>
      </c>
      <c r="AF191" s="12" t="s">
        <v>42</v>
      </c>
      <c r="AG191" s="32" t="s">
        <v>345</v>
      </c>
      <c r="AH191" s="12">
        <f>AH187</f>
        <v>18.71</v>
      </c>
      <c r="AJ191" s="12" t="str">
        <f t="shared" si="711"/>
        <v>0-10</v>
      </c>
      <c r="AK191" s="19">
        <f t="shared" si="712"/>
        <v>8.5980758952431859</v>
      </c>
      <c r="AL191" s="32" t="s">
        <v>545</v>
      </c>
      <c r="AM191" s="12" t="s">
        <v>317</v>
      </c>
      <c r="AN191" s="32" t="s">
        <v>880</v>
      </c>
      <c r="AO191" s="12" t="s">
        <v>37</v>
      </c>
      <c r="AP191" s="12" t="s">
        <v>108</v>
      </c>
      <c r="AQ191" s="12" t="s">
        <v>975</v>
      </c>
      <c r="AR191" s="12" t="s">
        <v>42</v>
      </c>
      <c r="AS191" s="32" t="s">
        <v>345</v>
      </c>
      <c r="AT191" s="12">
        <f>AT186</f>
        <v>160.87</v>
      </c>
      <c r="AU191" s="12">
        <f t="shared" ref="AU191:AV191" si="821">AU186</f>
        <v>69.680403988495925</v>
      </c>
      <c r="AV191" s="13">
        <f t="shared" si="821"/>
        <v>3</v>
      </c>
      <c r="AW191" s="19">
        <f t="shared" si="713"/>
        <v>0.43314728655744344</v>
      </c>
      <c r="AX191" s="12">
        <f>AVERAGEA(126.97)</f>
        <v>126.97</v>
      </c>
      <c r="AY191" s="12">
        <f>SQRT((7.51*SQRT(3))^2)</f>
        <v>13.007701564842268</v>
      </c>
      <c r="AZ191" s="13">
        <v>3</v>
      </c>
      <c r="BA191" s="19">
        <f t="shared" si="714"/>
        <v>0.10244704705711796</v>
      </c>
      <c r="BB191" s="52">
        <f t="shared" si="715"/>
        <v>-0.23664574732051646</v>
      </c>
      <c r="BC191" s="19">
        <f t="shared" si="716"/>
        <v>6.6037323100933118E-2</v>
      </c>
      <c r="BD191" s="32" t="s">
        <v>422</v>
      </c>
      <c r="BE191" s="12">
        <f>BE186</f>
        <v>146.58000000000001</v>
      </c>
      <c r="BF191" s="12">
        <f t="shared" ref="BF191" si="822">BF186</f>
        <v>75.898466387668194</v>
      </c>
      <c r="BG191" s="13">
        <v>3</v>
      </c>
      <c r="BH191" s="19">
        <f t="shared" si="784"/>
        <v>0.51779551362851817</v>
      </c>
      <c r="BI191" s="12">
        <f>AVERAGEA(132.19)</f>
        <v>132.19</v>
      </c>
      <c r="BJ191" s="12">
        <f>SQRT((3.58*SQRT(3))^2)^2</f>
        <v>38.449199999999998</v>
      </c>
      <c r="BK191" s="13">
        <v>3</v>
      </c>
      <c r="BL191" s="19">
        <f t="shared" si="717"/>
        <v>0.29086315152432102</v>
      </c>
      <c r="BM191" s="52">
        <f t="shared" si="718"/>
        <v>-0.10333107290639587</v>
      </c>
      <c r="BN191" s="19">
        <f t="shared" si="719"/>
        <v>0.11757118894949367</v>
      </c>
      <c r="BO191" s="32" t="s">
        <v>423</v>
      </c>
      <c r="BP191" s="12">
        <f>BP186</f>
        <v>147.76</v>
      </c>
      <c r="BQ191" s="12">
        <f t="shared" ref="BQ191" si="823">BQ186</f>
        <v>78.894914284762351</v>
      </c>
      <c r="BR191" s="13">
        <v>3</v>
      </c>
      <c r="BS191" s="19">
        <f t="shared" si="788"/>
        <v>0.5339395931562152</v>
      </c>
      <c r="BT191" s="12">
        <f>AVERAGEA(127.07)</f>
        <v>127.07</v>
      </c>
      <c r="BU191" s="12">
        <f>SQRT((7.96*SQRT(3))^2)</f>
        <v>13.787124428248262</v>
      </c>
      <c r="BV191" s="13">
        <v>3</v>
      </c>
      <c r="BW191" s="19">
        <f t="shared" si="791"/>
        <v>0.10850023159084177</v>
      </c>
      <c r="BX191" s="52">
        <f t="shared" si="720"/>
        <v>-0.15085122017454156</v>
      </c>
      <c r="BY191" s="19">
        <f t="shared" si="721"/>
        <v>9.8954596465030298E-2</v>
      </c>
      <c r="CA191" s="12" t="s">
        <v>37</v>
      </c>
      <c r="CB191" s="12" t="s">
        <v>37</v>
      </c>
      <c r="CC191" s="13" t="s">
        <v>37</v>
      </c>
      <c r="CE191" s="12" t="s">
        <v>37</v>
      </c>
      <c r="CF191" s="12" t="s">
        <v>37</v>
      </c>
      <c r="CG191" s="13" t="s">
        <v>37</v>
      </c>
      <c r="CN191" s="12" t="s">
        <v>37</v>
      </c>
      <c r="CO191" s="12" t="s">
        <v>37</v>
      </c>
      <c r="CP191" s="13" t="s">
        <v>37</v>
      </c>
      <c r="CR191" s="12" t="s">
        <v>37</v>
      </c>
      <c r="CS191" s="12" t="s">
        <v>37</v>
      </c>
      <c r="CT191" s="13" t="s">
        <v>37</v>
      </c>
      <c r="CX191" s="72"/>
      <c r="CY191" s="72"/>
      <c r="DA191" s="12" t="s">
        <v>37</v>
      </c>
      <c r="DB191" s="12" t="s">
        <v>37</v>
      </c>
      <c r="DC191" s="13" t="s">
        <v>37</v>
      </c>
      <c r="DE191" s="12" t="s">
        <v>37</v>
      </c>
      <c r="DF191" s="12" t="s">
        <v>37</v>
      </c>
      <c r="DG191" s="13" t="s">
        <v>37</v>
      </c>
      <c r="DM191" s="11" t="s">
        <v>47</v>
      </c>
      <c r="DN191" s="19">
        <f>DN187</f>
        <v>353.77082505028261</v>
      </c>
      <c r="DO191" s="12">
        <f>DO187</f>
        <v>377.4427718737299</v>
      </c>
      <c r="DP191" s="13">
        <v>3</v>
      </c>
      <c r="DQ191" s="19">
        <f t="shared" si="707"/>
        <v>1.0669132250238067</v>
      </c>
      <c r="DR191" s="19">
        <f>AVERAGEA(0.13)*("2013/09/30"-"2013/05/01")*10^4*24/10^6/'[1]classes-1'!$I$53</f>
        <v>4.8706456233663973</v>
      </c>
      <c r="DS191" s="12">
        <f>SQRT((1/[2]Classes!$I$53)^2*(SQRT((0.03*SQRT(3))^2)*("2013/10/27"-"2013/06/04")*10^4*24/10^6)^2+(-DR191/([2]Classes!$I$53)^2)^2*([2]Classes!$J$53)^2)</f>
        <v>10.042950275238745</v>
      </c>
      <c r="DT191" s="13">
        <v>3</v>
      </c>
      <c r="DU191" s="19">
        <f t="shared" si="708"/>
        <v>2.0619340949501179</v>
      </c>
      <c r="DV191" s="19">
        <f t="shared" si="710"/>
        <v>-348.90017942691622</v>
      </c>
      <c r="DW191" s="12">
        <f t="shared" si="709"/>
        <v>266.98680387797765</v>
      </c>
      <c r="DX191" s="72">
        <f t="shared" si="641"/>
        <v>47521.302296651804</v>
      </c>
      <c r="DY191" s="72">
        <f t="shared" si="642"/>
        <v>47521.302296651811</v>
      </c>
      <c r="EA191" s="19" t="s">
        <v>37</v>
      </c>
      <c r="EB191" s="19" t="s">
        <v>37</v>
      </c>
      <c r="EC191" s="72" t="s">
        <v>37</v>
      </c>
      <c r="EE191" s="19" t="s">
        <v>37</v>
      </c>
      <c r="EF191" s="19" t="s">
        <v>37</v>
      </c>
      <c r="EG191" s="12" t="s">
        <v>37</v>
      </c>
      <c r="EM191" s="12" t="s">
        <v>39</v>
      </c>
      <c r="EN191" s="12">
        <f>EN187</f>
        <v>-22.905478395061731</v>
      </c>
      <c r="EO191" s="12">
        <f t="shared" ref="EO191:EP191" si="824">EO187</f>
        <v>5.2162753162474411</v>
      </c>
      <c r="EP191" s="13">
        <f t="shared" si="824"/>
        <v>3</v>
      </c>
      <c r="EQ191" s="19">
        <f t="shared" si="792"/>
        <v>0.22773046806881078</v>
      </c>
      <c r="ER191" s="12">
        <f>AVERAGEA(-91.63)</f>
        <v>-91.63</v>
      </c>
      <c r="ES191" s="12">
        <f>SQRT((4.5*SQRT(3))^2)</f>
        <v>7.7942286340599471</v>
      </c>
      <c r="ET191" s="13">
        <v>3</v>
      </c>
      <c r="EU191" s="19">
        <f t="shared" si="793"/>
        <v>8.5061973524609272E-2</v>
      </c>
      <c r="EV191" s="19">
        <f t="shared" si="701"/>
        <v>-68.724521604938261</v>
      </c>
      <c r="EW191" s="12">
        <f t="shared" si="702"/>
        <v>6.6317240659911487</v>
      </c>
      <c r="EX191" s="19">
        <f t="shared" si="703"/>
        <v>29.319842724964111</v>
      </c>
      <c r="EY191" s="19">
        <f t="shared" si="704"/>
        <v>29.319842724964111</v>
      </c>
      <c r="FB191" s="12" t="s">
        <v>37</v>
      </c>
      <c r="FC191" s="12" t="s">
        <v>37</v>
      </c>
      <c r="FD191" s="11" t="s">
        <v>37</v>
      </c>
      <c r="FE191" s="12" t="s">
        <v>37</v>
      </c>
      <c r="FF191" s="20" t="s">
        <v>37</v>
      </c>
      <c r="FG191" s="11" t="s">
        <v>37</v>
      </c>
      <c r="FI191" s="12" t="s">
        <v>37</v>
      </c>
      <c r="FJ191" s="12" t="s">
        <v>37</v>
      </c>
      <c r="FK191" s="11" t="s">
        <v>37</v>
      </c>
      <c r="FL191" s="13" t="s">
        <v>37</v>
      </c>
      <c r="FM191" s="11" t="s">
        <v>37</v>
      </c>
      <c r="FN191" s="11" t="s">
        <v>37</v>
      </c>
      <c r="FP191" s="12" t="s">
        <v>37</v>
      </c>
      <c r="FQ191" s="12" t="s">
        <v>37</v>
      </c>
      <c r="FR191" s="11" t="s">
        <v>37</v>
      </c>
      <c r="FS191" s="13" t="s">
        <v>37</v>
      </c>
      <c r="FT191" s="11" t="s">
        <v>37</v>
      </c>
      <c r="FU191" s="11" t="s">
        <v>37</v>
      </c>
      <c r="FW191" s="12" t="s">
        <v>37</v>
      </c>
      <c r="FX191" s="12" t="s">
        <v>37</v>
      </c>
      <c r="FY191" s="11" t="s">
        <v>37</v>
      </c>
      <c r="FZ191" s="13" t="s">
        <v>37</v>
      </c>
      <c r="GA191" s="11" t="s">
        <v>37</v>
      </c>
      <c r="GB191" s="11" t="s">
        <v>37</v>
      </c>
      <c r="GO191" s="12" t="s">
        <v>660</v>
      </c>
      <c r="GP191" s="12" t="s">
        <v>327</v>
      </c>
      <c r="GQ191" s="12">
        <f>GQ187</f>
        <v>10.680851063829785</v>
      </c>
      <c r="GR191" s="12">
        <f>GR187</f>
        <v>1.0386858262504013</v>
      </c>
      <c r="GS191" s="13">
        <v>3</v>
      </c>
      <c r="GT191" s="19">
        <f t="shared" si="722"/>
        <v>9.7247477756511699E-2</v>
      </c>
      <c r="GU191" s="12">
        <f>AVERAGEA(10.23)</f>
        <v>10.23</v>
      </c>
      <c r="GV191" s="12">
        <f>SQRT((1.01*SQRT(3))^2)</f>
        <v>1.749371315644566</v>
      </c>
      <c r="GW191" s="13">
        <v>3</v>
      </c>
      <c r="GX191" s="19">
        <f t="shared" si="723"/>
        <v>0.17100403867493313</v>
      </c>
      <c r="GY191" s="19">
        <f t="shared" si="724"/>
        <v>-4.3127938018135172E-2</v>
      </c>
      <c r="GZ191" s="19">
        <f t="shared" si="725"/>
        <v>1.2899817724380421E-2</v>
      </c>
      <c r="HA191" s="17" t="s">
        <v>63</v>
      </c>
      <c r="HB191" s="34" t="s">
        <v>345</v>
      </c>
      <c r="HC191" s="12">
        <f>HC187</f>
        <v>0.35</v>
      </c>
      <c r="HD191" s="12">
        <f>HD187</f>
        <v>8.6602540378443865E-2</v>
      </c>
      <c r="HE191" s="13">
        <v>3</v>
      </c>
      <c r="HF191" s="19">
        <f t="shared" si="726"/>
        <v>0.24743582965269678</v>
      </c>
      <c r="HG191" s="12">
        <f>AVERAGEA(0.57)</f>
        <v>0.56999999999999995</v>
      </c>
      <c r="HH191" s="12">
        <f>SQRT((0.01*SQRT(3))^2)</f>
        <v>1.7320508075688773E-2</v>
      </c>
      <c r="HI191" s="13">
        <v>3</v>
      </c>
      <c r="HJ191" s="19">
        <f t="shared" si="727"/>
        <v>3.03868562731382E-2</v>
      </c>
      <c r="HK191" s="19">
        <f t="shared" si="728"/>
        <v>0.48770320634513648</v>
      </c>
      <c r="HL191" s="19">
        <f t="shared" si="729"/>
        <v>2.0715950276694244E-2</v>
      </c>
      <c r="HM191" s="34" t="s">
        <v>422</v>
      </c>
      <c r="HN191" s="12">
        <f>HN187</f>
        <v>0.42</v>
      </c>
      <c r="HO191" s="12">
        <f>HO187</f>
        <v>0.20784609690826525</v>
      </c>
      <c r="HP191" s="13">
        <v>3</v>
      </c>
      <c r="HQ191" s="19">
        <f t="shared" si="730"/>
        <v>0.49487165930539345</v>
      </c>
      <c r="HR191" s="12">
        <f>AVERAGEA(0.57)</f>
        <v>0.56999999999999995</v>
      </c>
      <c r="HS191" s="12">
        <f>SQRT((0.03*SQRT(3))^2)</f>
        <v>5.1961524227066312E-2</v>
      </c>
      <c r="HT191" s="13">
        <v>3</v>
      </c>
      <c r="HU191" s="19">
        <f t="shared" si="731"/>
        <v>9.1160568819414589E-2</v>
      </c>
      <c r="HV191" s="19">
        <f t="shared" si="732"/>
        <v>0.30538164955118174</v>
      </c>
      <c r="HW191" s="19">
        <f t="shared" si="733"/>
        <v>8.4402736163717559E-2</v>
      </c>
      <c r="HX191" s="34" t="s">
        <v>423</v>
      </c>
      <c r="HY191" s="12">
        <f>HY187</f>
        <v>0.41</v>
      </c>
      <c r="HZ191" s="12">
        <f>HZ187</f>
        <v>0.1905255888325765</v>
      </c>
      <c r="IA191" s="13">
        <v>3</v>
      </c>
      <c r="IB191" s="19">
        <f t="shared" si="734"/>
        <v>0.4646965581282354</v>
      </c>
      <c r="IC191" s="12">
        <f>AVERAGEA(0.63)</f>
        <v>0.63</v>
      </c>
      <c r="ID191" s="12">
        <f>SQRT((0.02*SQRT(3))^2)</f>
        <v>3.4641016151377546E-2</v>
      </c>
      <c r="IE191" s="13">
        <v>3</v>
      </c>
      <c r="IF191" s="19">
        <f t="shared" si="735"/>
        <v>5.4985739922821499E-2</v>
      </c>
      <c r="IG191" s="19">
        <f t="shared" si="736"/>
        <v>0.4295626596872249</v>
      </c>
      <c r="IH191" s="19">
        <f t="shared" si="737"/>
        <v>7.2988774243696194E-2</v>
      </c>
      <c r="IK191" s="12" t="s">
        <v>37</v>
      </c>
      <c r="IL191" s="12" t="s">
        <v>37</v>
      </c>
      <c r="IM191" s="12" t="s">
        <v>37</v>
      </c>
      <c r="IO191" s="12" t="s">
        <v>37</v>
      </c>
      <c r="IP191" s="12" t="s">
        <v>37</v>
      </c>
      <c r="IQ191" s="12" t="s">
        <v>37</v>
      </c>
      <c r="IV191" s="32" t="s">
        <v>345</v>
      </c>
      <c r="IW191" s="12">
        <f>IW187</f>
        <v>7.2</v>
      </c>
      <c r="IX191" s="50">
        <f t="shared" si="738"/>
        <v>0.26361174692176659</v>
      </c>
      <c r="IY191" s="13">
        <v>3</v>
      </c>
      <c r="JA191" s="12">
        <f>AVERAGEA(7.9)</f>
        <v>7.9</v>
      </c>
      <c r="JB191" s="50">
        <f t="shared" si="739"/>
        <v>0.2212695894070518</v>
      </c>
      <c r="JC191" s="13">
        <v>3</v>
      </c>
      <c r="JE191" s="19">
        <f t="shared" si="740"/>
        <v>9.2781733450966269E-2</v>
      </c>
      <c r="JF191" s="19">
        <f t="shared" si="741"/>
        <v>7.0832876411330761E-4</v>
      </c>
      <c r="JH191" s="12" t="s">
        <v>37</v>
      </c>
      <c r="JI191" s="12" t="s">
        <v>37</v>
      </c>
      <c r="JJ191" s="13" t="s">
        <v>37</v>
      </c>
      <c r="JL191" s="12" t="s">
        <v>37</v>
      </c>
      <c r="JM191" s="12" t="s">
        <v>37</v>
      </c>
      <c r="JN191" s="12" t="s">
        <v>37</v>
      </c>
      <c r="JS191" s="12" t="s">
        <v>37</v>
      </c>
      <c r="JT191" s="12" t="s">
        <v>37</v>
      </c>
      <c r="JU191" s="13" t="s">
        <v>37</v>
      </c>
      <c r="JW191" s="12" t="s">
        <v>37</v>
      </c>
      <c r="JX191" s="12" t="s">
        <v>37</v>
      </c>
      <c r="JY191" s="12" t="s">
        <v>37</v>
      </c>
      <c r="KE191" s="11" t="s">
        <v>37</v>
      </c>
      <c r="KF191" s="11" t="s">
        <v>37</v>
      </c>
      <c r="KG191" s="13" t="s">
        <v>37</v>
      </c>
      <c r="KH191" s="11" t="s">
        <v>37</v>
      </c>
      <c r="KI191" s="11" t="s">
        <v>37</v>
      </c>
      <c r="KJ191" s="11" t="s">
        <v>37</v>
      </c>
      <c r="KK191" s="12" t="s">
        <v>42</v>
      </c>
      <c r="KL191" s="32" t="s">
        <v>345</v>
      </c>
      <c r="KM191" s="12">
        <f>KM187</f>
        <v>18.71</v>
      </c>
      <c r="KN191" s="50">
        <f t="shared" si="742"/>
        <v>2.231972804310721</v>
      </c>
      <c r="KO191" s="13">
        <v>3</v>
      </c>
      <c r="KQ191" s="12">
        <f>AVERAGEA(13.2)</f>
        <v>13.2</v>
      </c>
      <c r="KR191" s="50">
        <f t="shared" si="743"/>
        <v>1.3918532782260049</v>
      </c>
      <c r="KS191" s="13">
        <v>3</v>
      </c>
      <c r="KU191" s="19">
        <f t="shared" si="744"/>
        <v>-0.34884131069367313</v>
      </c>
      <c r="KV191" s="19">
        <f t="shared" si="745"/>
        <v>8.4497155628593234E-3</v>
      </c>
      <c r="KW191" s="32" t="s">
        <v>422</v>
      </c>
      <c r="KX191" s="12">
        <f>KX187</f>
        <v>18.190000000000001</v>
      </c>
      <c r="KY191" s="50">
        <f t="shared" si="746"/>
        <v>1.3416656277547112</v>
      </c>
      <c r="KZ191" s="13">
        <v>3</v>
      </c>
      <c r="LB191" s="12">
        <f>AVERAGEA(9.39)</f>
        <v>9.39</v>
      </c>
      <c r="LC191" s="50">
        <f t="shared" si="747"/>
        <v>1.0833364865215775</v>
      </c>
      <c r="LD191" s="13">
        <v>3</v>
      </c>
      <c r="LF191" s="19">
        <f t="shared" si="748"/>
        <v>-0.66122669930985933</v>
      </c>
      <c r="LG191" s="19">
        <f t="shared" si="749"/>
        <v>6.2502802071617812E-3</v>
      </c>
      <c r="LH191" s="32" t="s">
        <v>423</v>
      </c>
      <c r="LI191" s="12">
        <f>LI187</f>
        <v>17.850000000000001</v>
      </c>
      <c r="LJ191" s="50">
        <f t="shared" si="750"/>
        <v>7.2893991913660932</v>
      </c>
      <c r="LK191" s="13">
        <v>3</v>
      </c>
      <c r="LM191" s="12">
        <f>AVERAGEA(8.07)</f>
        <v>8.07</v>
      </c>
      <c r="LN191" s="50">
        <f t="shared" si="751"/>
        <v>2.2820653089111578</v>
      </c>
      <c r="LO191" s="13">
        <v>3</v>
      </c>
      <c r="LQ191" s="19">
        <f t="shared" si="752"/>
        <v>-0.79385002594379062</v>
      </c>
      <c r="LR191" s="19">
        <f t="shared" si="753"/>
        <v>8.2244164849791454E-2</v>
      </c>
      <c r="LT191" s="12" t="str">
        <f t="shared" si="754"/>
        <v>0-10</v>
      </c>
      <c r="LU191" s="12">
        <f t="shared" si="755"/>
        <v>8.5980758952431859</v>
      </c>
      <c r="LV191" s="12">
        <f t="shared" si="756"/>
        <v>3.862894576399126</v>
      </c>
      <c r="LW191" s="13">
        <f t="shared" si="757"/>
        <v>3</v>
      </c>
      <c r="LY191" s="12">
        <f t="shared" si="758"/>
        <v>9.6189393939393941</v>
      </c>
      <c r="LZ191" s="12">
        <f t="shared" si="759"/>
        <v>1.4141383263275553</v>
      </c>
      <c r="MA191" s="13">
        <f t="shared" si="760"/>
        <v>3</v>
      </c>
      <c r="MC191" s="19">
        <f t="shared" si="761"/>
        <v>0.11219556337315659</v>
      </c>
      <c r="MD191" s="19">
        <f t="shared" si="762"/>
        <v>7.4487038663792429E-2</v>
      </c>
      <c r="ME191" s="12" t="str">
        <f t="shared" si="763"/>
        <v>10-20</v>
      </c>
      <c r="MF191" s="12">
        <f t="shared" si="764"/>
        <v>8.0582737768004407</v>
      </c>
      <c r="MG191" s="12">
        <f t="shared" si="765"/>
        <v>4.2146582089957709</v>
      </c>
      <c r="MH191" s="13">
        <f t="shared" si="766"/>
        <v>3</v>
      </c>
      <c r="MJ191" s="12">
        <f t="shared" si="767"/>
        <v>14.077742279020233</v>
      </c>
      <c r="MK191" s="12">
        <f t="shared" si="768"/>
        <v>4.4050492668250101</v>
      </c>
      <c r="ML191" s="13">
        <f t="shared" si="769"/>
        <v>3</v>
      </c>
      <c r="MN191" s="19">
        <f t="shared" si="770"/>
        <v>0.55789562640346346</v>
      </c>
      <c r="MO191" s="19">
        <f t="shared" si="771"/>
        <v>0.12382146915665544</v>
      </c>
      <c r="MP191" s="12" t="str">
        <f t="shared" si="772"/>
        <v>20-30</v>
      </c>
      <c r="MQ191" s="12">
        <f t="shared" si="773"/>
        <v>8.2778711484593828</v>
      </c>
      <c r="MR191" s="12">
        <f t="shared" si="774"/>
        <v>5.5644124668050727</v>
      </c>
      <c r="MS191" s="13">
        <f t="shared" si="775"/>
        <v>3</v>
      </c>
      <c r="MU191" s="12">
        <f t="shared" si="776"/>
        <v>15.745972738537793</v>
      </c>
      <c r="MV191" s="12">
        <f t="shared" si="777"/>
        <v>4.7692100522724532</v>
      </c>
      <c r="MW191" s="13">
        <f t="shared" si="778"/>
        <v>3</v>
      </c>
      <c r="MY191" s="19">
        <f t="shared" si="779"/>
        <v>0.64299880576924917</v>
      </c>
      <c r="MZ191" s="19">
        <f t="shared" si="780"/>
        <v>0.18119876131482177</v>
      </c>
      <c r="NC191" s="12" t="s">
        <v>37</v>
      </c>
      <c r="ND191" s="12" t="s">
        <v>37</v>
      </c>
      <c r="NE191" s="12" t="s">
        <v>37</v>
      </c>
      <c r="NG191" s="12" t="s">
        <v>37</v>
      </c>
      <c r="NH191" s="12" t="s">
        <v>37</v>
      </c>
      <c r="NI191" s="12" t="s">
        <v>37</v>
      </c>
      <c r="NO191" s="12" t="s">
        <v>37</v>
      </c>
      <c r="NP191" s="12" t="s">
        <v>37</v>
      </c>
      <c r="NQ191" s="12" t="s">
        <v>37</v>
      </c>
      <c r="NS191" s="12" t="s">
        <v>37</v>
      </c>
      <c r="NT191" s="12" t="s">
        <v>37</v>
      </c>
      <c r="NU191" s="12" t="s">
        <v>37</v>
      </c>
      <c r="OA191" s="12" t="s">
        <v>37</v>
      </c>
      <c r="OB191" s="12" t="s">
        <v>37</v>
      </c>
      <c r="OC191" s="12" t="s">
        <v>37</v>
      </c>
      <c r="OD191" s="12"/>
      <c r="OE191" s="12" t="s">
        <v>37</v>
      </c>
      <c r="OF191" s="12" t="s">
        <v>37</v>
      </c>
      <c r="OG191" s="12" t="s">
        <v>37</v>
      </c>
      <c r="OH191" s="12"/>
      <c r="OI191" s="12"/>
      <c r="OJ191" s="12"/>
      <c r="OM191" s="12" t="s">
        <v>37</v>
      </c>
      <c r="ON191" s="12" t="s">
        <v>37</v>
      </c>
      <c r="OO191" s="12" t="s">
        <v>37</v>
      </c>
      <c r="OP191" s="12" t="s">
        <v>37</v>
      </c>
      <c r="OQ191" s="12" t="s">
        <v>37</v>
      </c>
      <c r="OR191" s="12" t="s">
        <v>37</v>
      </c>
      <c r="OS191" s="12"/>
      <c r="OT191" s="12"/>
      <c r="OW191" s="12" t="s">
        <v>37</v>
      </c>
      <c r="OX191" s="12" t="s">
        <v>37</v>
      </c>
      <c r="OY191" s="13" t="s">
        <v>37</v>
      </c>
      <c r="OZ191" s="12" t="s">
        <v>37</v>
      </c>
      <c r="PA191" s="12" t="s">
        <v>37</v>
      </c>
      <c r="PB191" s="13" t="s">
        <v>37</v>
      </c>
      <c r="PG191" s="11" t="s">
        <v>37</v>
      </c>
      <c r="PH191" s="11" t="s">
        <v>37</v>
      </c>
      <c r="PI191" s="13" t="s">
        <v>37</v>
      </c>
      <c r="PJ191" s="11" t="s">
        <v>37</v>
      </c>
      <c r="PK191" s="11" t="s">
        <v>37</v>
      </c>
      <c r="PL191" s="13" t="s">
        <v>37</v>
      </c>
      <c r="PQ191" s="12" t="s">
        <v>37</v>
      </c>
      <c r="PR191" s="12" t="s">
        <v>37</v>
      </c>
      <c r="PS191" s="12" t="s">
        <v>37</v>
      </c>
      <c r="PT191" s="12" t="s">
        <v>37</v>
      </c>
      <c r="PU191" s="12" t="s">
        <v>37</v>
      </c>
      <c r="PV191" s="12" t="s">
        <v>37</v>
      </c>
      <c r="PW191" s="12"/>
      <c r="PX191" s="12"/>
      <c r="PZ191" s="12" t="s">
        <v>37</v>
      </c>
      <c r="QA191" s="12" t="s">
        <v>37</v>
      </c>
      <c r="QB191" s="11" t="s">
        <v>37</v>
      </c>
      <c r="QD191" s="12" t="s">
        <v>37</v>
      </c>
      <c r="QE191" s="12" t="s">
        <v>37</v>
      </c>
      <c r="QF191" s="12" t="s">
        <v>37</v>
      </c>
      <c r="QK191" s="12" t="s">
        <v>37</v>
      </c>
      <c r="QL191" s="12" t="s">
        <v>37</v>
      </c>
      <c r="QM191" s="12" t="s">
        <v>37</v>
      </c>
      <c r="QN191" s="12" t="s">
        <v>37</v>
      </c>
      <c r="QO191" s="12" t="s">
        <v>37</v>
      </c>
      <c r="QP191" s="12" t="s">
        <v>37</v>
      </c>
      <c r="QQ191" s="12"/>
      <c r="QR191" s="12"/>
      <c r="QU191" s="12" t="s">
        <v>37</v>
      </c>
      <c r="QV191" s="12" t="s">
        <v>37</v>
      </c>
      <c r="QW191" s="12" t="s">
        <v>37</v>
      </c>
      <c r="QX191" s="12" t="s">
        <v>37</v>
      </c>
      <c r="QY191" s="12" t="s">
        <v>37</v>
      </c>
      <c r="QZ191" s="12" t="s">
        <v>37</v>
      </c>
      <c r="RC191" s="12" t="s">
        <v>37</v>
      </c>
      <c r="RD191" s="12" t="s">
        <v>37</v>
      </c>
      <c r="RE191" s="13" t="s">
        <v>37</v>
      </c>
      <c r="RF191" s="12" t="s">
        <v>37</v>
      </c>
      <c r="RG191" s="12" t="s">
        <v>37</v>
      </c>
      <c r="RH191" s="13" t="s">
        <v>37</v>
      </c>
      <c r="RK191" s="12" t="s">
        <v>37</v>
      </c>
      <c r="RL191" s="12" t="s">
        <v>37</v>
      </c>
      <c r="RM191" s="11" t="s">
        <v>37</v>
      </c>
      <c r="RN191" s="12" t="s">
        <v>37</v>
      </c>
      <c r="RO191" s="12" t="s">
        <v>37</v>
      </c>
      <c r="RP191" s="11" t="s">
        <v>37</v>
      </c>
      <c r="RS191" s="12" t="s">
        <v>37</v>
      </c>
      <c r="RT191" s="12" t="s">
        <v>37</v>
      </c>
      <c r="RU191" s="12" t="s">
        <v>37</v>
      </c>
      <c r="RV191" s="12" t="s">
        <v>37</v>
      </c>
      <c r="RW191" s="12" t="s">
        <v>37</v>
      </c>
      <c r="RX191" s="12" t="s">
        <v>37</v>
      </c>
      <c r="SA191" s="12" t="s">
        <v>37</v>
      </c>
      <c r="SB191" s="12" t="s">
        <v>37</v>
      </c>
      <c r="SC191" s="12" t="s">
        <v>37</v>
      </c>
      <c r="SD191" s="12" t="s">
        <v>37</v>
      </c>
      <c r="SE191" s="12" t="s">
        <v>37</v>
      </c>
      <c r="SF191" s="12" t="s">
        <v>37</v>
      </c>
      <c r="SI191" s="12" t="s">
        <v>37</v>
      </c>
      <c r="SJ191" s="12" t="s">
        <v>37</v>
      </c>
      <c r="SK191" s="13" t="s">
        <v>37</v>
      </c>
      <c r="SM191" s="12" t="s">
        <v>37</v>
      </c>
      <c r="SN191" s="12" t="s">
        <v>37</v>
      </c>
      <c r="SO191" s="13" t="s">
        <v>37</v>
      </c>
      <c r="SU191" s="12" t="s">
        <v>37</v>
      </c>
      <c r="SV191" s="12" t="s">
        <v>37</v>
      </c>
      <c r="SW191" s="11" t="s">
        <v>37</v>
      </c>
      <c r="SX191" s="12" t="s">
        <v>37</v>
      </c>
      <c r="SY191" s="12" t="s">
        <v>37</v>
      </c>
      <c r="SZ191" s="11" t="s">
        <v>37</v>
      </c>
      <c r="TE191" s="12" t="s">
        <v>37</v>
      </c>
      <c r="TF191" s="12" t="s">
        <v>37</v>
      </c>
      <c r="TG191" s="11" t="s">
        <v>37</v>
      </c>
      <c r="TH191" s="12" t="s">
        <v>37</v>
      </c>
      <c r="TI191" s="12" t="s">
        <v>37</v>
      </c>
      <c r="TJ191" s="11" t="s">
        <v>37</v>
      </c>
      <c r="TO191" s="12" t="s">
        <v>37</v>
      </c>
      <c r="TP191" s="12" t="s">
        <v>37</v>
      </c>
      <c r="TQ191" s="11" t="s">
        <v>37</v>
      </c>
      <c r="TR191" s="12" t="s">
        <v>37</v>
      </c>
      <c r="TS191" s="12" t="s">
        <v>37</v>
      </c>
      <c r="TT191" s="11" t="s">
        <v>37</v>
      </c>
      <c r="TY191" s="12" t="s">
        <v>37</v>
      </c>
      <c r="TZ191" s="12" t="s">
        <v>37</v>
      </c>
      <c r="UA191" s="12" t="s">
        <v>37</v>
      </c>
      <c r="UB191" s="12" t="s">
        <v>37</v>
      </c>
      <c r="UC191" s="12" t="s">
        <v>37</v>
      </c>
      <c r="UD191" s="12" t="s">
        <v>37</v>
      </c>
      <c r="UE191" s="12"/>
      <c r="UF191" s="12"/>
      <c r="UI191" s="12" t="s">
        <v>37</v>
      </c>
      <c r="UJ191" s="12" t="s">
        <v>37</v>
      </c>
      <c r="UK191" s="12" t="s">
        <v>37</v>
      </c>
      <c r="UL191" s="12" t="s">
        <v>37</v>
      </c>
      <c r="UM191" s="12" t="s">
        <v>37</v>
      </c>
      <c r="UN191" s="12" t="s">
        <v>37</v>
      </c>
      <c r="UO191" s="12"/>
      <c r="UP191" s="12"/>
      <c r="UR191" s="12" t="s">
        <v>37</v>
      </c>
      <c r="US191" s="12" t="s">
        <v>37</v>
      </c>
      <c r="UT191" s="12" t="s">
        <v>37</v>
      </c>
      <c r="UU191" s="12" t="s">
        <v>37</v>
      </c>
      <c r="UV191" s="12" t="s">
        <v>37</v>
      </c>
      <c r="UW191" s="12" t="s">
        <v>37</v>
      </c>
      <c r="UX191" s="12"/>
      <c r="UY191" s="12"/>
      <c r="VB191" s="12" t="s">
        <v>37</v>
      </c>
      <c r="VC191" s="12" t="s">
        <v>37</v>
      </c>
      <c r="VD191" s="12" t="s">
        <v>37</v>
      </c>
      <c r="VE191" s="12" t="s">
        <v>37</v>
      </c>
      <c r="VF191" s="12" t="s">
        <v>37</v>
      </c>
      <c r="VG191" s="12" t="s">
        <v>37</v>
      </c>
      <c r="VI191" s="12" t="s">
        <v>37</v>
      </c>
      <c r="VJ191" s="12" t="s">
        <v>37</v>
      </c>
      <c r="VK191" s="12" t="s">
        <v>37</v>
      </c>
      <c r="VL191" s="12" t="s">
        <v>37</v>
      </c>
      <c r="VM191" s="12" t="s">
        <v>37</v>
      </c>
      <c r="VN191" s="12" t="s">
        <v>37</v>
      </c>
      <c r="VQ191" s="13" t="s">
        <v>37</v>
      </c>
      <c r="VR191" s="13" t="s">
        <v>37</v>
      </c>
      <c r="VS191" s="13" t="s">
        <v>37</v>
      </c>
      <c r="VT191" s="13" t="s">
        <v>37</v>
      </c>
      <c r="VU191" s="13" t="s">
        <v>37</v>
      </c>
      <c r="VV191" s="13" t="s">
        <v>37</v>
      </c>
      <c r="WA191" s="13" t="s">
        <v>37</v>
      </c>
      <c r="WB191" s="13" t="s">
        <v>37</v>
      </c>
      <c r="WC191" s="13" t="s">
        <v>37</v>
      </c>
      <c r="WD191" s="13" t="s">
        <v>37</v>
      </c>
      <c r="WE191" s="13" t="s">
        <v>37</v>
      </c>
      <c r="WF191" s="13" t="s">
        <v>37</v>
      </c>
    </row>
    <row r="192" spans="1:604" ht="18" customHeight="1" x14ac:dyDescent="0.3">
      <c r="A192" s="11">
        <v>45</v>
      </c>
      <c r="B192" s="16" t="s">
        <v>272</v>
      </c>
      <c r="C192" s="12" t="s">
        <v>26</v>
      </c>
      <c r="D192" s="12" t="s">
        <v>1039</v>
      </c>
      <c r="E192" s="40" t="s">
        <v>37</v>
      </c>
      <c r="F192" s="14">
        <v>0</v>
      </c>
      <c r="G192" s="14">
        <v>0</v>
      </c>
      <c r="H192" s="12" t="s">
        <v>79</v>
      </c>
      <c r="I192" s="29">
        <v>33.917000000000002</v>
      </c>
      <c r="J192" s="29">
        <v>102.81699999999999</v>
      </c>
      <c r="K192" s="12" t="s">
        <v>746</v>
      </c>
      <c r="L192" s="12" t="s">
        <v>747</v>
      </c>
      <c r="M192" s="13">
        <v>3441</v>
      </c>
      <c r="N192" s="14">
        <v>0.9</v>
      </c>
      <c r="O192" s="14">
        <v>656.8</v>
      </c>
      <c r="P192" s="14" t="s">
        <v>16</v>
      </c>
      <c r="Q192" s="75">
        <v>43</v>
      </c>
      <c r="R192" s="11" t="s">
        <v>999</v>
      </c>
      <c r="S192" s="12" t="s">
        <v>923</v>
      </c>
      <c r="T192" s="12" t="s">
        <v>138</v>
      </c>
      <c r="U192" s="12" t="s">
        <v>158</v>
      </c>
      <c r="V192" s="12" t="s">
        <v>275</v>
      </c>
      <c r="W192" s="23" t="s">
        <v>37</v>
      </c>
      <c r="X192" s="12" t="s">
        <v>280</v>
      </c>
      <c r="Y192" s="12" t="s">
        <v>37</v>
      </c>
      <c r="Z192" s="12" t="s">
        <v>37</v>
      </c>
      <c r="AA192" s="32" t="s">
        <v>345</v>
      </c>
      <c r="AB192" s="12">
        <f>AB191</f>
        <v>7.2</v>
      </c>
      <c r="AC192" s="12" t="s">
        <v>42</v>
      </c>
      <c r="AD192" s="32" t="s">
        <v>345</v>
      </c>
      <c r="AE192" s="12">
        <f t="shared" ref="AE192" si="825">AE187</f>
        <v>160.87</v>
      </c>
      <c r="AF192" s="12" t="s">
        <v>42</v>
      </c>
      <c r="AG192" s="32" t="s">
        <v>345</v>
      </c>
      <c r="AH192" s="12">
        <f>AH191</f>
        <v>18.71</v>
      </c>
      <c r="AJ192" s="12" t="str">
        <f t="shared" si="711"/>
        <v>0-10</v>
      </c>
      <c r="AK192" s="19">
        <f t="shared" si="712"/>
        <v>8.5980758952431859</v>
      </c>
      <c r="AL192" s="32" t="s">
        <v>545</v>
      </c>
      <c r="AM192" s="12" t="s">
        <v>317</v>
      </c>
      <c r="AN192" s="32" t="s">
        <v>880</v>
      </c>
      <c r="AO192" s="12" t="s">
        <v>37</v>
      </c>
      <c r="AP192" s="12" t="s">
        <v>108</v>
      </c>
      <c r="AQ192" s="12" t="s">
        <v>975</v>
      </c>
      <c r="AR192" s="12" t="s">
        <v>42</v>
      </c>
      <c r="AS192" s="32" t="s">
        <v>345</v>
      </c>
      <c r="AT192" s="12">
        <f t="shared" ref="AT192:AV193" si="826">AT187</f>
        <v>160.87</v>
      </c>
      <c r="AU192" s="12">
        <f t="shared" si="826"/>
        <v>69.680403988495925</v>
      </c>
      <c r="AV192" s="13">
        <f t="shared" si="826"/>
        <v>3</v>
      </c>
      <c r="AW192" s="19">
        <f t="shared" si="713"/>
        <v>0.43314728655744344</v>
      </c>
      <c r="AX192" s="12">
        <f>AVERAGEA(152.36)</f>
        <v>152.36000000000001</v>
      </c>
      <c r="AY192" s="12">
        <f>SQRT(((7.41*SQRT(3))^2))</f>
        <v>12.834496484085379</v>
      </c>
      <c r="AZ192" s="13">
        <v>3</v>
      </c>
      <c r="BA192" s="19">
        <f t="shared" si="714"/>
        <v>8.4237965897121153E-2</v>
      </c>
      <c r="BB192" s="52">
        <f t="shared" si="715"/>
        <v>-5.4350443791813197E-2</v>
      </c>
      <c r="BC192" s="19">
        <f t="shared" si="716"/>
        <v>6.4904202250186852E-2</v>
      </c>
      <c r="BD192" s="32" t="s">
        <v>422</v>
      </c>
      <c r="BE192" s="12">
        <f t="shared" ref="BE192:BF193" si="827">BE187</f>
        <v>146.58000000000001</v>
      </c>
      <c r="BF192" s="12">
        <f t="shared" si="827"/>
        <v>75.898466387668194</v>
      </c>
      <c r="BG192" s="13">
        <v>3</v>
      </c>
      <c r="BH192" s="19">
        <f t="shared" si="784"/>
        <v>0.51779551362851817</v>
      </c>
      <c r="BI192" s="12">
        <f>AVERAGEA(152.09)</f>
        <v>152.09</v>
      </c>
      <c r="BJ192" s="12">
        <f>SQRT(((5.28*SQRT(3))^2))</f>
        <v>9.1452282639636717</v>
      </c>
      <c r="BK192" s="13">
        <v>3</v>
      </c>
      <c r="BL192" s="19">
        <f t="shared" si="717"/>
        <v>6.013037191112941E-2</v>
      </c>
      <c r="BM192" s="52">
        <f t="shared" si="718"/>
        <v>3.6901096386573226E-2</v>
      </c>
      <c r="BN192" s="19">
        <f t="shared" si="719"/>
        <v>9.0575951853330547E-2</v>
      </c>
      <c r="BO192" s="32" t="s">
        <v>423</v>
      </c>
      <c r="BP192" s="12">
        <f t="shared" ref="BP192:BQ193" si="828">BP187</f>
        <v>147.76</v>
      </c>
      <c r="BQ192" s="12">
        <f t="shared" si="828"/>
        <v>78.894914284762351</v>
      </c>
      <c r="BR192" s="13">
        <v>3</v>
      </c>
      <c r="BS192" s="19">
        <f t="shared" si="788"/>
        <v>0.5339395931562152</v>
      </c>
      <c r="BT192" s="12">
        <f>AVERAGEA(162.11)</f>
        <v>162.11000000000001</v>
      </c>
      <c r="BU192" s="12">
        <f>SQRT(((2.95*SQRT(3))^2))</f>
        <v>5.1095498823281877</v>
      </c>
      <c r="BV192" s="13">
        <v>3</v>
      </c>
      <c r="BW192" s="19">
        <f t="shared" si="791"/>
        <v>3.1519029562199666E-2</v>
      </c>
      <c r="BX192" s="52">
        <f t="shared" si="720"/>
        <v>9.2685781262497338E-2</v>
      </c>
      <c r="BY192" s="19">
        <f t="shared" si="721"/>
        <v>9.5361646121455798E-2</v>
      </c>
      <c r="CA192" s="12" t="s">
        <v>37</v>
      </c>
      <c r="CB192" s="12" t="s">
        <v>37</v>
      </c>
      <c r="CC192" s="13" t="s">
        <v>37</v>
      </c>
      <c r="CE192" s="12" t="s">
        <v>37</v>
      </c>
      <c r="CF192" s="12" t="s">
        <v>37</v>
      </c>
      <c r="CG192" s="13" t="s">
        <v>37</v>
      </c>
      <c r="CN192" s="12" t="s">
        <v>37</v>
      </c>
      <c r="CO192" s="12" t="s">
        <v>37</v>
      </c>
      <c r="CP192" s="13" t="s">
        <v>37</v>
      </c>
      <c r="CR192" s="12" t="s">
        <v>37</v>
      </c>
      <c r="CS192" s="12" t="s">
        <v>37</v>
      </c>
      <c r="CT192" s="13" t="s">
        <v>37</v>
      </c>
      <c r="CX192" s="72"/>
      <c r="CY192" s="72"/>
      <c r="DA192" s="12" t="s">
        <v>37</v>
      </c>
      <c r="DB192" s="12" t="s">
        <v>37</v>
      </c>
      <c r="DC192" s="13" t="s">
        <v>37</v>
      </c>
      <c r="DE192" s="12" t="s">
        <v>37</v>
      </c>
      <c r="DF192" s="12" t="s">
        <v>37</v>
      </c>
      <c r="DG192" s="13" t="s">
        <v>37</v>
      </c>
      <c r="DM192" s="11" t="s">
        <v>47</v>
      </c>
      <c r="DN192" s="19">
        <f>DN191</f>
        <v>353.77082505028261</v>
      </c>
      <c r="DO192" s="12">
        <f>DO191</f>
        <v>377.4427718737299</v>
      </c>
      <c r="DP192" s="13">
        <v>3</v>
      </c>
      <c r="DQ192" s="19">
        <f t="shared" si="707"/>
        <v>1.0669132250238067</v>
      </c>
      <c r="DR192" s="19">
        <f>AVERAGEA(0.12)*("2013/09/30"-"2013/05/01")*10^4*24/10^6/'[1]classes-1'!$I$53</f>
        <v>4.4959805754151345</v>
      </c>
      <c r="DS192" s="12">
        <f>SQRT((1/[2]Classes!$I$53)^2*(SQRT(((0.02*SQRT(3))^2))*("2013/10/27"-"2013/06/04")*10^4*24/10^6)^2+(-DR192/([2]Classes!$I$53)^2)^2*([2]Classes!$J$53)^2)</f>
        <v>9.194274493457808</v>
      </c>
      <c r="DT192" s="13">
        <v>3</v>
      </c>
      <c r="DU192" s="19">
        <f t="shared" si="708"/>
        <v>2.044998713680799</v>
      </c>
      <c r="DV192" s="19">
        <f t="shared" si="710"/>
        <v>-349.27484447486745</v>
      </c>
      <c r="DW192" s="12">
        <f t="shared" si="709"/>
        <v>266.97151601171385</v>
      </c>
      <c r="DX192" s="72">
        <f t="shared" si="641"/>
        <v>47515.860241061848</v>
      </c>
      <c r="DY192" s="72">
        <f t="shared" si="642"/>
        <v>47515.860241061855</v>
      </c>
      <c r="EA192" s="19" t="s">
        <v>37</v>
      </c>
      <c r="EB192" s="19" t="s">
        <v>37</v>
      </c>
      <c r="EC192" s="72" t="s">
        <v>37</v>
      </c>
      <c r="EE192" s="19" t="s">
        <v>37</v>
      </c>
      <c r="EF192" s="19" t="s">
        <v>37</v>
      </c>
      <c r="EG192" s="12" t="s">
        <v>37</v>
      </c>
      <c r="EM192" s="12" t="s">
        <v>39</v>
      </c>
      <c r="EN192" s="12">
        <f>EN187</f>
        <v>-22.905478395061731</v>
      </c>
      <c r="EO192" s="12">
        <f t="shared" ref="EO192:EP192" si="829">EO187</f>
        <v>5.2162753162474411</v>
      </c>
      <c r="EP192" s="13">
        <f t="shared" si="829"/>
        <v>3</v>
      </c>
      <c r="EQ192" s="19">
        <f t="shared" si="792"/>
        <v>0.22773046806881078</v>
      </c>
      <c r="ER192" s="12">
        <f>AVERAGEA(-87.6)</f>
        <v>-87.6</v>
      </c>
      <c r="ES192" s="12">
        <f>SQRT(((6.25*SQRT(3))^2))</f>
        <v>10.825317547305483</v>
      </c>
      <c r="ET192" s="13">
        <v>3</v>
      </c>
      <c r="EU192" s="19">
        <f t="shared" si="793"/>
        <v>0.12357668432997128</v>
      </c>
      <c r="EV192" s="19">
        <f t="shared" si="701"/>
        <v>-64.694521604938259</v>
      </c>
      <c r="EW192" s="12">
        <f t="shared" si="702"/>
        <v>8.4969708771682964</v>
      </c>
      <c r="EX192" s="19">
        <f t="shared" si="703"/>
        <v>48.132342724964111</v>
      </c>
      <c r="EY192" s="19">
        <f t="shared" si="704"/>
        <v>48.132342724964111</v>
      </c>
      <c r="FB192" s="12" t="s">
        <v>37</v>
      </c>
      <c r="FC192" s="12" t="s">
        <v>37</v>
      </c>
      <c r="FD192" s="11" t="s">
        <v>37</v>
      </c>
      <c r="FE192" s="12" t="s">
        <v>37</v>
      </c>
      <c r="FF192" s="20" t="s">
        <v>37</v>
      </c>
      <c r="FG192" s="11" t="s">
        <v>37</v>
      </c>
      <c r="FI192" s="12" t="s">
        <v>37</v>
      </c>
      <c r="FJ192" s="12" t="s">
        <v>37</v>
      </c>
      <c r="FK192" s="11" t="s">
        <v>37</v>
      </c>
      <c r="FL192" s="13" t="s">
        <v>37</v>
      </c>
      <c r="FM192" s="11" t="s">
        <v>37</v>
      </c>
      <c r="FN192" s="11" t="s">
        <v>37</v>
      </c>
      <c r="FP192" s="12" t="s">
        <v>37</v>
      </c>
      <c r="FQ192" s="12" t="s">
        <v>37</v>
      </c>
      <c r="FR192" s="11" t="s">
        <v>37</v>
      </c>
      <c r="FS192" s="13" t="s">
        <v>37</v>
      </c>
      <c r="FT192" s="11" t="s">
        <v>37</v>
      </c>
      <c r="FU192" s="11" t="s">
        <v>37</v>
      </c>
      <c r="FW192" s="12" t="s">
        <v>37</v>
      </c>
      <c r="FX192" s="12" t="s">
        <v>37</v>
      </c>
      <c r="FY192" s="11" t="s">
        <v>37</v>
      </c>
      <c r="FZ192" s="13" t="s">
        <v>37</v>
      </c>
      <c r="GA192" s="11" t="s">
        <v>37</v>
      </c>
      <c r="GB192" s="11" t="s">
        <v>37</v>
      </c>
      <c r="GO192" s="12" t="s">
        <v>660</v>
      </c>
      <c r="GP192" s="12" t="s">
        <v>327</v>
      </c>
      <c r="GQ192" s="12">
        <f>GQ191</f>
        <v>10.680851063829785</v>
      </c>
      <c r="GR192" s="12">
        <f>GR191</f>
        <v>1.0386858262504013</v>
      </c>
      <c r="GS192" s="13">
        <v>3</v>
      </c>
      <c r="GT192" s="19">
        <f t="shared" si="722"/>
        <v>9.7247477756511699E-2</v>
      </c>
      <c r="GU192" s="12">
        <f>AVERAGEA(10.94)</f>
        <v>10.94</v>
      </c>
      <c r="GV192" s="12">
        <f>SQRT(((1.01*SQRT(3))^2))</f>
        <v>1.749371315644566</v>
      </c>
      <c r="GW192" s="13">
        <v>3</v>
      </c>
      <c r="GX192" s="19">
        <f t="shared" si="723"/>
        <v>0.15990597035142287</v>
      </c>
      <c r="GY192" s="19">
        <f t="shared" si="724"/>
        <v>2.3973279012164672E-2</v>
      </c>
      <c r="GZ192" s="19">
        <f t="shared" si="725"/>
        <v>1.1675663761344454E-2</v>
      </c>
      <c r="HA192" s="17" t="s">
        <v>63</v>
      </c>
      <c r="HB192" s="34" t="s">
        <v>345</v>
      </c>
      <c r="HC192" s="12">
        <f>HC187</f>
        <v>0.35</v>
      </c>
      <c r="HD192" s="12">
        <f>HD187</f>
        <v>8.6602540378443865E-2</v>
      </c>
      <c r="HE192" s="13">
        <v>3</v>
      </c>
      <c r="HF192" s="19">
        <f t="shared" si="726"/>
        <v>0.24743582965269678</v>
      </c>
      <c r="HG192" s="12">
        <f>AVERAGEA(0.49)</f>
        <v>0.49</v>
      </c>
      <c r="HH192" s="12">
        <f>SQRT(((0.02*SQRT(3))^2))</f>
        <v>3.4641016151377546E-2</v>
      </c>
      <c r="HI192" s="13">
        <v>3</v>
      </c>
      <c r="HJ192" s="19">
        <f t="shared" si="727"/>
        <v>7.0695951329341936E-2</v>
      </c>
      <c r="HK192" s="19">
        <f t="shared" si="728"/>
        <v>0.33647223662121301</v>
      </c>
      <c r="HL192" s="19">
        <f t="shared" si="729"/>
        <v>2.2074135776759686E-2</v>
      </c>
      <c r="HM192" s="34" t="s">
        <v>422</v>
      </c>
      <c r="HN192" s="12">
        <f>HN187</f>
        <v>0.42</v>
      </c>
      <c r="HO192" s="12">
        <f>HO187</f>
        <v>0.20784609690826525</v>
      </c>
      <c r="HP192" s="13">
        <v>3</v>
      </c>
      <c r="HQ192" s="19">
        <f t="shared" si="730"/>
        <v>0.49487165930539345</v>
      </c>
      <c r="HR192" s="12">
        <f>AVERAGEA(0.49)</f>
        <v>0.49</v>
      </c>
      <c r="HS192" s="12">
        <f>SQRT(((0.02*SQRT(3))^2))</f>
        <v>3.4641016151377546E-2</v>
      </c>
      <c r="HT192" s="13">
        <v>3</v>
      </c>
      <c r="HU192" s="19">
        <f t="shared" si="731"/>
        <v>7.0695951329341936E-2</v>
      </c>
      <c r="HV192" s="19">
        <f t="shared" si="732"/>
        <v>0.15415067982725836</v>
      </c>
      <c r="HW192" s="19">
        <f t="shared" si="733"/>
        <v>8.3298625572678045E-2</v>
      </c>
      <c r="HX192" s="34" t="s">
        <v>423</v>
      </c>
      <c r="HY192" s="12">
        <f>HY187</f>
        <v>0.41</v>
      </c>
      <c r="HZ192" s="12">
        <f>HZ187</f>
        <v>0.1905255888325765</v>
      </c>
      <c r="IA192" s="13">
        <v>3</v>
      </c>
      <c r="IB192" s="19">
        <f t="shared" si="734"/>
        <v>0.4646965581282354</v>
      </c>
      <c r="IC192" s="12">
        <f>AVERAGEA(0.52)</f>
        <v>0.52</v>
      </c>
      <c r="ID192" s="12">
        <f>SQRT(((0.01*SQRT(3))^2)/3)</f>
        <v>0.01</v>
      </c>
      <c r="IE192" s="13">
        <v>3</v>
      </c>
      <c r="IF192" s="19">
        <f t="shared" si="735"/>
        <v>1.9230769230769232E-2</v>
      </c>
      <c r="IG192" s="19">
        <f t="shared" si="736"/>
        <v>0.23767165187711956</v>
      </c>
      <c r="IH192" s="19">
        <f t="shared" si="737"/>
        <v>7.2104237873811844E-2</v>
      </c>
      <c r="IK192" s="12" t="s">
        <v>37</v>
      </c>
      <c r="IL192" s="12" t="s">
        <v>37</v>
      </c>
      <c r="IM192" s="12" t="s">
        <v>37</v>
      </c>
      <c r="IO192" s="12" t="s">
        <v>37</v>
      </c>
      <c r="IP192" s="12" t="s">
        <v>37</v>
      </c>
      <c r="IQ192" s="12" t="s">
        <v>37</v>
      </c>
      <c r="IV192" s="32" t="s">
        <v>345</v>
      </c>
      <c r="IW192" s="12">
        <f>IW191</f>
        <v>7.2</v>
      </c>
      <c r="IX192" s="50">
        <f t="shared" si="738"/>
        <v>0.26361174692176659</v>
      </c>
      <c r="IY192" s="13">
        <v>3</v>
      </c>
      <c r="JA192" s="12">
        <f>AVERAGEA(7.7)</f>
        <v>7.7</v>
      </c>
      <c r="JB192" s="50">
        <f t="shared" si="739"/>
        <v>0.21566782764991124</v>
      </c>
      <c r="JC192" s="13">
        <v>3</v>
      </c>
      <c r="JE192" s="19">
        <f t="shared" si="740"/>
        <v>6.713930283762852E-2</v>
      </c>
      <c r="JF192" s="19">
        <f t="shared" si="741"/>
        <v>7.0832876411330761E-4</v>
      </c>
      <c r="JH192" s="12" t="s">
        <v>37</v>
      </c>
      <c r="JI192" s="12" t="s">
        <v>37</v>
      </c>
      <c r="JJ192" s="13" t="s">
        <v>37</v>
      </c>
      <c r="JL192" s="12" t="s">
        <v>37</v>
      </c>
      <c r="JM192" s="12" t="s">
        <v>37</v>
      </c>
      <c r="JN192" s="12" t="s">
        <v>37</v>
      </c>
      <c r="JS192" s="12" t="s">
        <v>37</v>
      </c>
      <c r="JT192" s="12" t="s">
        <v>37</v>
      </c>
      <c r="JU192" s="13" t="s">
        <v>37</v>
      </c>
      <c r="JW192" s="12" t="s">
        <v>37</v>
      </c>
      <c r="JX192" s="12" t="s">
        <v>37</v>
      </c>
      <c r="JY192" s="12" t="s">
        <v>37</v>
      </c>
      <c r="KE192" s="11" t="s">
        <v>37</v>
      </c>
      <c r="KF192" s="11" t="s">
        <v>37</v>
      </c>
      <c r="KG192" s="13" t="s">
        <v>37</v>
      </c>
      <c r="KH192" s="11" t="s">
        <v>37</v>
      </c>
      <c r="KI192" s="11" t="s">
        <v>37</v>
      </c>
      <c r="KJ192" s="11" t="s">
        <v>37</v>
      </c>
      <c r="KK192" s="12" t="s">
        <v>42</v>
      </c>
      <c r="KL192" s="32" t="s">
        <v>345</v>
      </c>
      <c r="KM192" s="12">
        <f>KM191</f>
        <v>18.71</v>
      </c>
      <c r="KN192" s="50">
        <f t="shared" si="742"/>
        <v>2.231972804310721</v>
      </c>
      <c r="KO192" s="13">
        <v>3</v>
      </c>
      <c r="KQ192" s="12">
        <f>AVERAGEA(12.5)</f>
        <v>12.5</v>
      </c>
      <c r="KR192" s="50">
        <f t="shared" si="743"/>
        <v>1.3180428771079593</v>
      </c>
      <c r="KS192" s="13">
        <v>3</v>
      </c>
      <c r="KU192" s="19">
        <f t="shared" si="744"/>
        <v>-0.40332949597774281</v>
      </c>
      <c r="KV192" s="19">
        <f t="shared" si="745"/>
        <v>8.4497155628593234E-3</v>
      </c>
      <c r="KW192" s="32" t="s">
        <v>422</v>
      </c>
      <c r="KX192" s="12">
        <f>KX191</f>
        <v>18.190000000000001</v>
      </c>
      <c r="KY192" s="50">
        <f t="shared" si="746"/>
        <v>1.3416656277547112</v>
      </c>
      <c r="KZ192" s="13">
        <v>3</v>
      </c>
      <c r="LB192" s="12">
        <f>AVERAGEA(10.43)</f>
        <v>10.43</v>
      </c>
      <c r="LC192" s="50">
        <f t="shared" si="747"/>
        <v>1.2033226362534668</v>
      </c>
      <c r="LD192" s="13">
        <v>3</v>
      </c>
      <c r="LF192" s="19">
        <f t="shared" si="748"/>
        <v>-0.55618572351734996</v>
      </c>
      <c r="LG192" s="19">
        <f t="shared" si="749"/>
        <v>6.2502802071617821E-3</v>
      </c>
      <c r="LH192" s="32" t="s">
        <v>423</v>
      </c>
      <c r="LI192" s="12">
        <f>LI191</f>
        <v>17.850000000000001</v>
      </c>
      <c r="LJ192" s="50">
        <f t="shared" si="750"/>
        <v>7.2893991913660932</v>
      </c>
      <c r="LK192" s="13">
        <v>3</v>
      </c>
      <c r="LM192" s="12">
        <f>AVERAGEA(10.36)</f>
        <v>10.36</v>
      </c>
      <c r="LN192" s="50">
        <f t="shared" si="751"/>
        <v>2.9296402230879295</v>
      </c>
      <c r="LO192" s="13">
        <v>3</v>
      </c>
      <c r="LQ192" s="19">
        <f t="shared" si="752"/>
        <v>-0.5440512713943112</v>
      </c>
      <c r="LR192" s="19">
        <f t="shared" si="753"/>
        <v>8.2244164849791454E-2</v>
      </c>
      <c r="LT192" s="12" t="str">
        <f t="shared" si="754"/>
        <v>0-10</v>
      </c>
      <c r="LU192" s="12">
        <f t="shared" si="755"/>
        <v>8.5980758952431859</v>
      </c>
      <c r="LV192" s="12">
        <f t="shared" si="756"/>
        <v>3.862894576399126</v>
      </c>
      <c r="LW192" s="13">
        <f t="shared" si="757"/>
        <v>3</v>
      </c>
      <c r="LY192" s="12">
        <f t="shared" si="758"/>
        <v>12.188800000000001</v>
      </c>
      <c r="LZ192" s="12">
        <f t="shared" si="759"/>
        <v>1.6450072334796182</v>
      </c>
      <c r="MA192" s="13">
        <f t="shared" si="760"/>
        <v>3</v>
      </c>
      <c r="MC192" s="19">
        <f t="shared" si="761"/>
        <v>0.34897905218592956</v>
      </c>
      <c r="MD192" s="19">
        <f t="shared" si="762"/>
        <v>7.3353917813046163E-2</v>
      </c>
      <c r="ME192" s="12" t="str">
        <f t="shared" si="763"/>
        <v>10-20</v>
      </c>
      <c r="MF192" s="12">
        <f t="shared" si="764"/>
        <v>8.0582737768004407</v>
      </c>
      <c r="MG192" s="12">
        <f t="shared" si="765"/>
        <v>4.2146582089957709</v>
      </c>
      <c r="MH192" s="13">
        <f t="shared" si="766"/>
        <v>3</v>
      </c>
      <c r="MJ192" s="12">
        <f t="shared" si="767"/>
        <v>14.581975071907959</v>
      </c>
      <c r="MK192" s="12">
        <f t="shared" si="768"/>
        <v>1.8971254918624683</v>
      </c>
      <c r="ML192" s="13">
        <f t="shared" si="769"/>
        <v>3</v>
      </c>
      <c r="MN192" s="19">
        <f t="shared" si="770"/>
        <v>0.59308681990392298</v>
      </c>
      <c r="MO192" s="19">
        <f t="shared" si="771"/>
        <v>9.6826232060492318E-2</v>
      </c>
      <c r="MP192" s="12" t="str">
        <f t="shared" si="772"/>
        <v>20-30</v>
      </c>
      <c r="MQ192" s="12">
        <f t="shared" si="773"/>
        <v>8.2778711484593828</v>
      </c>
      <c r="MR192" s="12">
        <f t="shared" si="774"/>
        <v>5.5644124668050727</v>
      </c>
      <c r="MS192" s="13">
        <f t="shared" si="775"/>
        <v>3</v>
      </c>
      <c r="MU192" s="12">
        <f t="shared" si="776"/>
        <v>15.6476833976834</v>
      </c>
      <c r="MV192" s="12">
        <f t="shared" si="777"/>
        <v>4.4523125932774157</v>
      </c>
      <c r="MW192" s="13">
        <f t="shared" si="778"/>
        <v>3</v>
      </c>
      <c r="MY192" s="19">
        <f t="shared" si="779"/>
        <v>0.63673705265680858</v>
      </c>
      <c r="MZ192" s="19">
        <f t="shared" si="780"/>
        <v>0.17760581097124725</v>
      </c>
      <c r="NC192" s="12" t="s">
        <v>37</v>
      </c>
      <c r="ND192" s="12" t="s">
        <v>37</v>
      </c>
      <c r="NE192" s="12" t="s">
        <v>37</v>
      </c>
      <c r="NG192" s="12" t="s">
        <v>37</v>
      </c>
      <c r="NH192" s="12" t="s">
        <v>37</v>
      </c>
      <c r="NI192" s="12" t="s">
        <v>37</v>
      </c>
      <c r="NO192" s="12" t="s">
        <v>37</v>
      </c>
      <c r="NP192" s="12" t="s">
        <v>37</v>
      </c>
      <c r="NQ192" s="12" t="s">
        <v>37</v>
      </c>
      <c r="NS192" s="12" t="s">
        <v>37</v>
      </c>
      <c r="NT192" s="12" t="s">
        <v>37</v>
      </c>
      <c r="NU192" s="12" t="s">
        <v>37</v>
      </c>
      <c r="OA192" s="12" t="s">
        <v>37</v>
      </c>
      <c r="OB192" s="12" t="s">
        <v>37</v>
      </c>
      <c r="OC192" s="12" t="s">
        <v>37</v>
      </c>
      <c r="OD192" s="12"/>
      <c r="OE192" s="12" t="s">
        <v>37</v>
      </c>
      <c r="OF192" s="12" t="s">
        <v>37</v>
      </c>
      <c r="OG192" s="12" t="s">
        <v>37</v>
      </c>
      <c r="OH192" s="12"/>
      <c r="OI192" s="12"/>
      <c r="OJ192" s="12"/>
      <c r="OM192" s="12" t="s">
        <v>37</v>
      </c>
      <c r="ON192" s="12" t="s">
        <v>37</v>
      </c>
      <c r="OO192" s="12" t="s">
        <v>37</v>
      </c>
      <c r="OP192" s="12" t="s">
        <v>37</v>
      </c>
      <c r="OQ192" s="12" t="s">
        <v>37</v>
      </c>
      <c r="OR192" s="12" t="s">
        <v>37</v>
      </c>
      <c r="OS192" s="12"/>
      <c r="OT192" s="12"/>
      <c r="OW192" s="12" t="s">
        <v>37</v>
      </c>
      <c r="OX192" s="12" t="s">
        <v>37</v>
      </c>
      <c r="OY192" s="13" t="s">
        <v>37</v>
      </c>
      <c r="OZ192" s="12" t="s">
        <v>37</v>
      </c>
      <c r="PA192" s="12" t="s">
        <v>37</v>
      </c>
      <c r="PB192" s="13" t="s">
        <v>37</v>
      </c>
      <c r="PG192" s="11" t="s">
        <v>37</v>
      </c>
      <c r="PH192" s="11" t="s">
        <v>37</v>
      </c>
      <c r="PI192" s="13" t="s">
        <v>37</v>
      </c>
      <c r="PJ192" s="11" t="s">
        <v>37</v>
      </c>
      <c r="PK192" s="11" t="s">
        <v>37</v>
      </c>
      <c r="PL192" s="13" t="s">
        <v>37</v>
      </c>
      <c r="PQ192" s="12" t="s">
        <v>37</v>
      </c>
      <c r="PR192" s="12" t="s">
        <v>37</v>
      </c>
      <c r="PS192" s="12" t="s">
        <v>37</v>
      </c>
      <c r="PT192" s="12" t="s">
        <v>37</v>
      </c>
      <c r="PU192" s="12" t="s">
        <v>37</v>
      </c>
      <c r="PV192" s="12" t="s">
        <v>37</v>
      </c>
      <c r="PW192" s="12"/>
      <c r="PX192" s="12"/>
      <c r="PZ192" s="12" t="s">
        <v>37</v>
      </c>
      <c r="QA192" s="12" t="s">
        <v>37</v>
      </c>
      <c r="QB192" s="11" t="s">
        <v>37</v>
      </c>
      <c r="QD192" s="12" t="s">
        <v>37</v>
      </c>
      <c r="QE192" s="12" t="s">
        <v>37</v>
      </c>
      <c r="QF192" s="12" t="s">
        <v>37</v>
      </c>
      <c r="QK192" s="12" t="s">
        <v>37</v>
      </c>
      <c r="QL192" s="12" t="s">
        <v>37</v>
      </c>
      <c r="QM192" s="12" t="s">
        <v>37</v>
      </c>
      <c r="QN192" s="12" t="s">
        <v>37</v>
      </c>
      <c r="QO192" s="12" t="s">
        <v>37</v>
      </c>
      <c r="QP192" s="12" t="s">
        <v>37</v>
      </c>
      <c r="QQ192" s="12"/>
      <c r="QR192" s="12"/>
      <c r="QU192" s="12" t="s">
        <v>37</v>
      </c>
      <c r="QV192" s="12" t="s">
        <v>37</v>
      </c>
      <c r="QW192" s="12" t="s">
        <v>37</v>
      </c>
      <c r="QX192" s="12" t="s">
        <v>37</v>
      </c>
      <c r="QY192" s="12" t="s">
        <v>37</v>
      </c>
      <c r="QZ192" s="12" t="s">
        <v>37</v>
      </c>
      <c r="RC192" s="12" t="s">
        <v>37</v>
      </c>
      <c r="RD192" s="12" t="s">
        <v>37</v>
      </c>
      <c r="RE192" s="13" t="s">
        <v>37</v>
      </c>
      <c r="RF192" s="12" t="s">
        <v>37</v>
      </c>
      <c r="RG192" s="12" t="s">
        <v>37</v>
      </c>
      <c r="RH192" s="13" t="s">
        <v>37</v>
      </c>
      <c r="RK192" s="12" t="s">
        <v>37</v>
      </c>
      <c r="RL192" s="12" t="s">
        <v>37</v>
      </c>
      <c r="RM192" s="11" t="s">
        <v>37</v>
      </c>
      <c r="RN192" s="12" t="s">
        <v>37</v>
      </c>
      <c r="RO192" s="12" t="s">
        <v>37</v>
      </c>
      <c r="RP192" s="11" t="s">
        <v>37</v>
      </c>
      <c r="RS192" s="12" t="s">
        <v>37</v>
      </c>
      <c r="RT192" s="12" t="s">
        <v>37</v>
      </c>
      <c r="RU192" s="12" t="s">
        <v>37</v>
      </c>
      <c r="RV192" s="12" t="s">
        <v>37</v>
      </c>
      <c r="RW192" s="12" t="s">
        <v>37</v>
      </c>
      <c r="RX192" s="12" t="s">
        <v>37</v>
      </c>
      <c r="SA192" s="12" t="s">
        <v>37</v>
      </c>
      <c r="SB192" s="12" t="s">
        <v>37</v>
      </c>
      <c r="SC192" s="12" t="s">
        <v>37</v>
      </c>
      <c r="SD192" s="12" t="s">
        <v>37</v>
      </c>
      <c r="SE192" s="12" t="s">
        <v>37</v>
      </c>
      <c r="SF192" s="12" t="s">
        <v>37</v>
      </c>
      <c r="SI192" s="12" t="s">
        <v>37</v>
      </c>
      <c r="SJ192" s="12" t="s">
        <v>37</v>
      </c>
      <c r="SK192" s="13" t="s">
        <v>37</v>
      </c>
      <c r="SM192" s="12" t="s">
        <v>37</v>
      </c>
      <c r="SN192" s="12" t="s">
        <v>37</v>
      </c>
      <c r="SO192" s="13" t="s">
        <v>37</v>
      </c>
      <c r="SU192" s="12" t="s">
        <v>37</v>
      </c>
      <c r="SV192" s="12" t="s">
        <v>37</v>
      </c>
      <c r="SW192" s="11" t="s">
        <v>37</v>
      </c>
      <c r="SX192" s="12" t="s">
        <v>37</v>
      </c>
      <c r="SY192" s="12" t="s">
        <v>37</v>
      </c>
      <c r="SZ192" s="11" t="s">
        <v>37</v>
      </c>
      <c r="TE192" s="12" t="s">
        <v>37</v>
      </c>
      <c r="TF192" s="12" t="s">
        <v>37</v>
      </c>
      <c r="TG192" s="11" t="s">
        <v>37</v>
      </c>
      <c r="TH192" s="12" t="s">
        <v>37</v>
      </c>
      <c r="TI192" s="12" t="s">
        <v>37</v>
      </c>
      <c r="TJ192" s="11" t="s">
        <v>37</v>
      </c>
      <c r="TO192" s="12" t="s">
        <v>37</v>
      </c>
      <c r="TP192" s="12" t="s">
        <v>37</v>
      </c>
      <c r="TQ192" s="11" t="s">
        <v>37</v>
      </c>
      <c r="TR192" s="12" t="s">
        <v>37</v>
      </c>
      <c r="TS192" s="12" t="s">
        <v>37</v>
      </c>
      <c r="TT192" s="11" t="s">
        <v>37</v>
      </c>
      <c r="TY192" s="12" t="s">
        <v>37</v>
      </c>
      <c r="TZ192" s="12" t="s">
        <v>37</v>
      </c>
      <c r="UA192" s="12" t="s">
        <v>37</v>
      </c>
      <c r="UB192" s="12" t="s">
        <v>37</v>
      </c>
      <c r="UC192" s="12" t="s">
        <v>37</v>
      </c>
      <c r="UD192" s="12" t="s">
        <v>37</v>
      </c>
      <c r="UE192" s="12"/>
      <c r="UF192" s="12"/>
      <c r="UI192" s="12" t="s">
        <v>37</v>
      </c>
      <c r="UJ192" s="12" t="s">
        <v>37</v>
      </c>
      <c r="UK192" s="12" t="s">
        <v>37</v>
      </c>
      <c r="UL192" s="12" t="s">
        <v>37</v>
      </c>
      <c r="UM192" s="12" t="s">
        <v>37</v>
      </c>
      <c r="UN192" s="12" t="s">
        <v>37</v>
      </c>
      <c r="UO192" s="12"/>
      <c r="UP192" s="12"/>
      <c r="UR192" s="12" t="s">
        <v>37</v>
      </c>
      <c r="US192" s="12" t="s">
        <v>37</v>
      </c>
      <c r="UT192" s="12" t="s">
        <v>37</v>
      </c>
      <c r="UU192" s="12" t="s">
        <v>37</v>
      </c>
      <c r="UV192" s="12" t="s">
        <v>37</v>
      </c>
      <c r="UW192" s="12" t="s">
        <v>37</v>
      </c>
      <c r="UX192" s="12"/>
      <c r="UY192" s="12"/>
      <c r="VB192" s="12" t="s">
        <v>37</v>
      </c>
      <c r="VC192" s="12" t="s">
        <v>37</v>
      </c>
      <c r="VD192" s="12" t="s">
        <v>37</v>
      </c>
      <c r="VE192" s="12" t="s">
        <v>37</v>
      </c>
      <c r="VF192" s="12" t="s">
        <v>37</v>
      </c>
      <c r="VG192" s="12" t="s">
        <v>37</v>
      </c>
      <c r="VI192" s="12" t="s">
        <v>37</v>
      </c>
      <c r="VJ192" s="12" t="s">
        <v>37</v>
      </c>
      <c r="VK192" s="12" t="s">
        <v>37</v>
      </c>
      <c r="VL192" s="12" t="s">
        <v>37</v>
      </c>
      <c r="VM192" s="12" t="s">
        <v>37</v>
      </c>
      <c r="VN192" s="12" t="s">
        <v>37</v>
      </c>
      <c r="VQ192" s="13" t="s">
        <v>37</v>
      </c>
      <c r="VR192" s="13" t="s">
        <v>37</v>
      </c>
      <c r="VS192" s="13" t="s">
        <v>37</v>
      </c>
      <c r="VT192" s="13" t="s">
        <v>37</v>
      </c>
      <c r="VU192" s="13" t="s">
        <v>37</v>
      </c>
      <c r="VV192" s="13" t="s">
        <v>37</v>
      </c>
      <c r="WA192" s="13" t="s">
        <v>37</v>
      </c>
      <c r="WB192" s="13" t="s">
        <v>37</v>
      </c>
      <c r="WC192" s="13" t="s">
        <v>37</v>
      </c>
      <c r="WD192" s="13" t="s">
        <v>37</v>
      </c>
      <c r="WE192" s="13" t="s">
        <v>37</v>
      </c>
      <c r="WF192" s="13" t="s">
        <v>37</v>
      </c>
    </row>
    <row r="193" spans="1:604" ht="18" customHeight="1" x14ac:dyDescent="0.3">
      <c r="A193" s="11">
        <v>45</v>
      </c>
      <c r="B193" s="16" t="s">
        <v>272</v>
      </c>
      <c r="C193" s="12" t="s">
        <v>26</v>
      </c>
      <c r="D193" s="12" t="s">
        <v>1039</v>
      </c>
      <c r="E193" s="40" t="s">
        <v>37</v>
      </c>
      <c r="F193" s="14">
        <v>0</v>
      </c>
      <c r="G193" s="14">
        <v>0</v>
      </c>
      <c r="H193" s="12" t="s">
        <v>79</v>
      </c>
      <c r="I193" s="29">
        <v>33.917000000000002</v>
      </c>
      <c r="J193" s="29">
        <v>102.81699999999999</v>
      </c>
      <c r="K193" s="12" t="s">
        <v>746</v>
      </c>
      <c r="L193" s="12" t="s">
        <v>747</v>
      </c>
      <c r="M193" s="13">
        <v>3441</v>
      </c>
      <c r="N193" s="14">
        <v>0.9</v>
      </c>
      <c r="O193" s="14">
        <v>656.8</v>
      </c>
      <c r="P193" s="14" t="s">
        <v>16</v>
      </c>
      <c r="Q193" s="75">
        <v>43</v>
      </c>
      <c r="R193" s="11" t="s">
        <v>999</v>
      </c>
      <c r="S193" s="12" t="s">
        <v>923</v>
      </c>
      <c r="T193" s="12" t="s">
        <v>138</v>
      </c>
      <c r="U193" s="12" t="s">
        <v>158</v>
      </c>
      <c r="V193" s="12" t="s">
        <v>275</v>
      </c>
      <c r="W193" s="23" t="s">
        <v>37</v>
      </c>
      <c r="X193" s="12" t="s">
        <v>280</v>
      </c>
      <c r="Y193" s="12" t="s">
        <v>37</v>
      </c>
      <c r="Z193" s="12" t="s">
        <v>37</v>
      </c>
      <c r="AA193" s="32" t="s">
        <v>345</v>
      </c>
      <c r="AB193" s="12">
        <f>AB191</f>
        <v>7.2</v>
      </c>
      <c r="AC193" s="12" t="s">
        <v>42</v>
      </c>
      <c r="AD193" s="32" t="s">
        <v>345</v>
      </c>
      <c r="AE193" s="12">
        <f t="shared" ref="AE193" si="830">AE188</f>
        <v>206.37</v>
      </c>
      <c r="AF193" s="12" t="s">
        <v>42</v>
      </c>
      <c r="AG193" s="32" t="s">
        <v>345</v>
      </c>
      <c r="AH193" s="12">
        <f>AH191</f>
        <v>18.71</v>
      </c>
      <c r="AJ193" s="12" t="str">
        <f t="shared" si="711"/>
        <v>0-10</v>
      </c>
      <c r="AK193" s="19">
        <f t="shared" si="712"/>
        <v>11.029930518439336</v>
      </c>
      <c r="AL193" s="32" t="s">
        <v>545</v>
      </c>
      <c r="AM193" s="12" t="s">
        <v>317</v>
      </c>
      <c r="AN193" s="32" t="s">
        <v>880</v>
      </c>
      <c r="AO193" s="12" t="s">
        <v>37</v>
      </c>
      <c r="AP193" s="12" t="s">
        <v>108</v>
      </c>
      <c r="AQ193" s="12" t="s">
        <v>975</v>
      </c>
      <c r="AR193" s="12" t="s">
        <v>42</v>
      </c>
      <c r="AS193" s="32" t="s">
        <v>345</v>
      </c>
      <c r="AT193" s="12">
        <f t="shared" si="826"/>
        <v>206.37</v>
      </c>
      <c r="AU193" s="12">
        <f t="shared" si="826"/>
        <v>34.796900724058744</v>
      </c>
      <c r="AV193" s="13">
        <f t="shared" si="826"/>
        <v>3</v>
      </c>
      <c r="AW193" s="19">
        <f t="shared" si="713"/>
        <v>0.16861414316062773</v>
      </c>
      <c r="AX193" s="12">
        <f>AVERAGEA(161.62)</f>
        <v>161.62</v>
      </c>
      <c r="AY193" s="12">
        <f>SQRT(((16.58*SQRT(3))^2))</f>
        <v>28.71740238949198</v>
      </c>
      <c r="AZ193" s="13">
        <v>3</v>
      </c>
      <c r="BA193" s="19">
        <f t="shared" si="714"/>
        <v>0.17768470727318389</v>
      </c>
      <c r="BB193" s="52">
        <f t="shared" si="715"/>
        <v>-0.24442277340073085</v>
      </c>
      <c r="BC193" s="19">
        <f t="shared" si="716"/>
        <v>2.0000861490849904E-2</v>
      </c>
      <c r="BD193" s="32" t="s">
        <v>422</v>
      </c>
      <c r="BE193" s="12">
        <f t="shared" si="827"/>
        <v>212.08</v>
      </c>
      <c r="BF193" s="12">
        <f t="shared" si="827"/>
        <v>52.34257540473147</v>
      </c>
      <c r="BG193" s="13">
        <v>3</v>
      </c>
      <c r="BH193" s="19">
        <f t="shared" si="784"/>
        <v>0.24680580632181945</v>
      </c>
      <c r="BI193" s="12">
        <f>AVERAGEA(142.29)</f>
        <v>142.29</v>
      </c>
      <c r="BJ193" s="12">
        <f>SQRT(((4.93*SQRT(3))^2))</f>
        <v>8.5390104813145644</v>
      </c>
      <c r="BK193" s="13">
        <v>3</v>
      </c>
      <c r="BL193" s="19">
        <f t="shared" si="717"/>
        <v>6.0011318302864325E-2</v>
      </c>
      <c r="BM193" s="52">
        <f t="shared" si="718"/>
        <v>-0.39909633342317025</v>
      </c>
      <c r="BN193" s="19">
        <f t="shared" si="719"/>
        <v>2.1504821452870384E-2</v>
      </c>
      <c r="BO193" s="32" t="s">
        <v>423</v>
      </c>
      <c r="BP193" s="12">
        <f t="shared" si="828"/>
        <v>212.71</v>
      </c>
      <c r="BQ193" s="12">
        <f t="shared" si="828"/>
        <v>58.144945610087206</v>
      </c>
      <c r="BR193" s="13">
        <v>3</v>
      </c>
      <c r="BS193" s="19">
        <f t="shared" si="788"/>
        <v>0.27335313624224156</v>
      </c>
      <c r="BT193" s="12">
        <f>AVERAGEA(138.85)</f>
        <v>138.85</v>
      </c>
      <c r="BU193" s="12">
        <f>SQRT(((9.63*SQRT(3))^2))</f>
        <v>16.679649276888288</v>
      </c>
      <c r="BV193" s="13">
        <v>3</v>
      </c>
      <c r="BW193" s="19">
        <f t="shared" si="791"/>
        <v>0.12012711038450334</v>
      </c>
      <c r="BX193" s="52">
        <f t="shared" si="720"/>
        <v>-0.42653552192275057</v>
      </c>
      <c r="BY193" s="19">
        <f t="shared" si="721"/>
        <v>2.9717486580933372E-2</v>
      </c>
      <c r="CA193" s="12" t="s">
        <v>37</v>
      </c>
      <c r="CB193" s="12" t="s">
        <v>37</v>
      </c>
      <c r="CC193" s="13" t="s">
        <v>37</v>
      </c>
      <c r="CE193" s="12" t="s">
        <v>37</v>
      </c>
      <c r="CF193" s="12" t="s">
        <v>37</v>
      </c>
      <c r="CG193" s="13" t="s">
        <v>37</v>
      </c>
      <c r="CN193" s="12" t="s">
        <v>37</v>
      </c>
      <c r="CO193" s="12" t="s">
        <v>37</v>
      </c>
      <c r="CP193" s="13" t="s">
        <v>37</v>
      </c>
      <c r="CR193" s="12" t="s">
        <v>37</v>
      </c>
      <c r="CS193" s="12" t="s">
        <v>37</v>
      </c>
      <c r="CT193" s="13" t="s">
        <v>37</v>
      </c>
      <c r="CX193" s="72"/>
      <c r="CY193" s="72"/>
      <c r="DA193" s="12" t="s">
        <v>37</v>
      </c>
      <c r="DB193" s="12" t="s">
        <v>37</v>
      </c>
      <c r="DC193" s="13" t="s">
        <v>37</v>
      </c>
      <c r="DE193" s="12" t="s">
        <v>37</v>
      </c>
      <c r="DF193" s="12" t="s">
        <v>37</v>
      </c>
      <c r="DG193" s="13" t="s">
        <v>37</v>
      </c>
      <c r="DM193" s="11" t="s">
        <v>47</v>
      </c>
      <c r="DN193" s="19">
        <f>DN191</f>
        <v>353.77082505028261</v>
      </c>
      <c r="DO193" s="12">
        <f>DO191</f>
        <v>377.4427718737299</v>
      </c>
      <c r="DP193" s="13">
        <v>3</v>
      </c>
      <c r="DQ193" s="19">
        <f t="shared" si="707"/>
        <v>1.0669132250238067</v>
      </c>
      <c r="DR193" s="19">
        <f>AVERAGEA(0.17)*("2013/09/30"-"2013/05/01")*10^4*24/10^6/'[1]classes-1'!$I$53</f>
        <v>6.3693058151714421</v>
      </c>
      <c r="DS193" s="12">
        <f>SQRT((1/[2]Classes!$I$53)^2*(SQRT(((0.04*SQRT(3))^2))*("2013/10/27"-"2013/06/04")*10^4*24/10^6)^2+(-DR193/([2]Classes!$I$53)^2)^2*([2]Classes!$J$53)^2)</f>
        <v>13.141978030809039</v>
      </c>
      <c r="DT193" s="13">
        <v>3</v>
      </c>
      <c r="DU193" s="19">
        <f t="shared" si="708"/>
        <v>2.0633297273158639</v>
      </c>
      <c r="DV193" s="19">
        <f t="shared" si="710"/>
        <v>-347.40151923511115</v>
      </c>
      <c r="DW193" s="12">
        <f t="shared" si="709"/>
        <v>267.05407469863366</v>
      </c>
      <c r="DX193" s="72">
        <f t="shared" si="641"/>
        <v>47545.252542095594</v>
      </c>
      <c r="DY193" s="72">
        <f t="shared" si="642"/>
        <v>47545.252542095601</v>
      </c>
      <c r="EA193" s="19" t="s">
        <v>37</v>
      </c>
      <c r="EB193" s="19" t="s">
        <v>37</v>
      </c>
      <c r="EC193" s="72" t="s">
        <v>37</v>
      </c>
      <c r="EE193" s="19" t="s">
        <v>37</v>
      </c>
      <c r="EF193" s="19" t="s">
        <v>37</v>
      </c>
      <c r="EG193" s="12" t="s">
        <v>37</v>
      </c>
      <c r="EM193" s="12" t="s">
        <v>39</v>
      </c>
      <c r="EN193" s="12">
        <f>EN192</f>
        <v>-22.905478395061731</v>
      </c>
      <c r="EO193" s="12">
        <f t="shared" ref="EO193:EP193" si="831">EO192</f>
        <v>5.2162753162474411</v>
      </c>
      <c r="EP193" s="13">
        <f t="shared" si="831"/>
        <v>3</v>
      </c>
      <c r="EQ193" s="19">
        <f t="shared" si="792"/>
        <v>0.22773046806881078</v>
      </c>
      <c r="ER193" s="12">
        <f t="shared" ref="ER193" si="832">AVERAGEA(-91.63, -87.6, -88.66)</f>
        <v>-89.296666666666667</v>
      </c>
      <c r="ES193" s="12">
        <f>SQRT(((3.76*SQRT(3))^2))</f>
        <v>6.512511036458978</v>
      </c>
      <c r="ET193" s="13">
        <v>3</v>
      </c>
      <c r="EU193" s="19">
        <f t="shared" si="793"/>
        <v>7.2931177383914789E-2</v>
      </c>
      <c r="EV193" s="19">
        <f t="shared" si="701"/>
        <v>-66.391188271604932</v>
      </c>
      <c r="EW193" s="12">
        <f t="shared" si="702"/>
        <v>5.9000986506537467</v>
      </c>
      <c r="EX193" s="19">
        <f t="shared" si="703"/>
        <v>23.20744272496411</v>
      </c>
      <c r="EY193" s="19">
        <f t="shared" si="704"/>
        <v>23.20744272496411</v>
      </c>
      <c r="FB193" s="12" t="s">
        <v>37</v>
      </c>
      <c r="FC193" s="12" t="s">
        <v>37</v>
      </c>
      <c r="FD193" s="11" t="s">
        <v>37</v>
      </c>
      <c r="FE193" s="12" t="s">
        <v>37</v>
      </c>
      <c r="FF193" s="20" t="s">
        <v>37</v>
      </c>
      <c r="FG193" s="11" t="s">
        <v>37</v>
      </c>
      <c r="FI193" s="12" t="s">
        <v>37</v>
      </c>
      <c r="FJ193" s="12" t="s">
        <v>37</v>
      </c>
      <c r="FK193" s="11" t="s">
        <v>37</v>
      </c>
      <c r="FL193" s="13" t="s">
        <v>37</v>
      </c>
      <c r="FM193" s="11" t="s">
        <v>37</v>
      </c>
      <c r="FN193" s="11" t="s">
        <v>37</v>
      </c>
      <c r="FP193" s="12" t="s">
        <v>37</v>
      </c>
      <c r="FQ193" s="12" t="s">
        <v>37</v>
      </c>
      <c r="FR193" s="11" t="s">
        <v>37</v>
      </c>
      <c r="FS193" s="13" t="s">
        <v>37</v>
      </c>
      <c r="FT193" s="11" t="s">
        <v>37</v>
      </c>
      <c r="FU193" s="11" t="s">
        <v>37</v>
      </c>
      <c r="FW193" s="12" t="s">
        <v>37</v>
      </c>
      <c r="FX193" s="12" t="s">
        <v>37</v>
      </c>
      <c r="FY193" s="11" t="s">
        <v>37</v>
      </c>
      <c r="FZ193" s="13" t="s">
        <v>37</v>
      </c>
      <c r="GA193" s="11" t="s">
        <v>37</v>
      </c>
      <c r="GB193" s="11" t="s">
        <v>37</v>
      </c>
      <c r="GO193" s="12" t="s">
        <v>660</v>
      </c>
      <c r="GP193" s="12" t="s">
        <v>327</v>
      </c>
      <c r="GQ193" s="12">
        <f>GQ191</f>
        <v>10.680851063829785</v>
      </c>
      <c r="GR193" s="12">
        <f>GR191</f>
        <v>1.0386858262504013</v>
      </c>
      <c r="GS193" s="13">
        <v>3</v>
      </c>
      <c r="GT193" s="19">
        <f t="shared" si="722"/>
        <v>9.7247477756511699E-2</v>
      </c>
      <c r="GU193" s="12">
        <f>AVERAGEA(10.37)</f>
        <v>10.37</v>
      </c>
      <c r="GV193" s="12">
        <f>SQRT(((1.09*SQRT(3))^2))</f>
        <v>1.8879353802500762</v>
      </c>
      <c r="GW193" s="13">
        <v>3</v>
      </c>
      <c r="GX193" s="19">
        <f t="shared" si="723"/>
        <v>0.18205741371746156</v>
      </c>
      <c r="GY193" s="19">
        <f t="shared" si="724"/>
        <v>-2.9535495740234494E-2</v>
      </c>
      <c r="GZ193" s="19">
        <f t="shared" si="725"/>
        <v>1.4200657939831399E-2</v>
      </c>
      <c r="HA193" s="17" t="s">
        <v>63</v>
      </c>
      <c r="HB193" s="34" t="s">
        <v>345</v>
      </c>
      <c r="HC193" s="12">
        <f>HC187</f>
        <v>0.35</v>
      </c>
      <c r="HD193" s="12">
        <f>HD187</f>
        <v>8.6602540378443865E-2</v>
      </c>
      <c r="HE193" s="13">
        <v>3</v>
      </c>
      <c r="HF193" s="19">
        <f t="shared" si="726"/>
        <v>0.24743582965269678</v>
      </c>
      <c r="HG193" s="12">
        <f>AVERAGEA(0.44)</f>
        <v>0.44</v>
      </c>
      <c r="HH193" s="12">
        <f>SQRT(((0.03*SQRT(3))^2))</f>
        <v>5.1961524227066312E-2</v>
      </c>
      <c r="HI193" s="13">
        <v>3</v>
      </c>
      <c r="HJ193" s="19">
        <f t="shared" si="727"/>
        <v>0.11809437324333252</v>
      </c>
      <c r="HK193" s="19">
        <f t="shared" si="728"/>
        <v>0.22884157242884764</v>
      </c>
      <c r="HL193" s="19">
        <f t="shared" si="729"/>
        <v>2.5056923595884635E-2</v>
      </c>
      <c r="HM193" s="34" t="s">
        <v>422</v>
      </c>
      <c r="HN193" s="12">
        <f>HN187</f>
        <v>0.42</v>
      </c>
      <c r="HO193" s="12">
        <f>HO187</f>
        <v>0.20784609690826525</v>
      </c>
      <c r="HP193" s="13">
        <v>3</v>
      </c>
      <c r="HQ193" s="19">
        <f t="shared" si="730"/>
        <v>0.49487165930539345</v>
      </c>
      <c r="HR193" s="12">
        <f>AVERAGEA(0.49)</f>
        <v>0.49</v>
      </c>
      <c r="HS193" s="12">
        <f>SQRT(((0.02*SQRT(3))^2))</f>
        <v>3.4641016151377546E-2</v>
      </c>
      <c r="HT193" s="13">
        <v>3</v>
      </c>
      <c r="HU193" s="19">
        <f t="shared" si="731"/>
        <v>7.0695951329341936E-2</v>
      </c>
      <c r="HV193" s="19">
        <f t="shared" si="732"/>
        <v>0.15415067982725836</v>
      </c>
      <c r="HW193" s="19">
        <f t="shared" si="733"/>
        <v>8.3298625572678045E-2</v>
      </c>
      <c r="HX193" s="34" t="s">
        <v>423</v>
      </c>
      <c r="HY193" s="12">
        <f>HY187</f>
        <v>0.41</v>
      </c>
      <c r="HZ193" s="12">
        <f>HZ187</f>
        <v>0.1905255888325765</v>
      </c>
      <c r="IA193" s="13">
        <v>3</v>
      </c>
      <c r="IB193" s="19">
        <f t="shared" si="734"/>
        <v>0.4646965581282354</v>
      </c>
      <c r="IC193" s="12">
        <f>AVERAGEA(0.54)</f>
        <v>0.54</v>
      </c>
      <c r="ID193" s="12">
        <f>SQRT(((0.04*SQRT(3))^2))</f>
        <v>6.9282032302755092E-2</v>
      </c>
      <c r="IE193" s="13">
        <v>3</v>
      </c>
      <c r="IF193" s="19">
        <f t="shared" si="735"/>
        <v>0.12830005981991682</v>
      </c>
      <c r="IG193" s="19">
        <f t="shared" si="736"/>
        <v>0.27541197985996663</v>
      </c>
      <c r="IH193" s="19">
        <f t="shared" si="737"/>
        <v>7.7467932162007563E-2</v>
      </c>
      <c r="IK193" s="12" t="s">
        <v>37</v>
      </c>
      <c r="IL193" s="12" t="s">
        <v>37</v>
      </c>
      <c r="IM193" s="12" t="s">
        <v>37</v>
      </c>
      <c r="IO193" s="12" t="s">
        <v>37</v>
      </c>
      <c r="IP193" s="12" t="s">
        <v>37</v>
      </c>
      <c r="IQ193" s="12" t="s">
        <v>37</v>
      </c>
      <c r="IV193" s="32" t="s">
        <v>345</v>
      </c>
      <c r="IW193" s="12">
        <f>IW191</f>
        <v>7.2</v>
      </c>
      <c r="IX193" s="50">
        <f t="shared" si="738"/>
        <v>0.26361174692176659</v>
      </c>
      <c r="IY193" s="13">
        <v>3</v>
      </c>
      <c r="JA193" s="12">
        <f>AVERAGEA(7.5)</f>
        <v>7.5</v>
      </c>
      <c r="JB193" s="50">
        <f t="shared" si="739"/>
        <v>0.21006606589277069</v>
      </c>
      <c r="JC193" s="13">
        <v>3</v>
      </c>
      <c r="JE193" s="19">
        <f t="shared" si="740"/>
        <v>4.08219945202552E-2</v>
      </c>
      <c r="JF193" s="19">
        <f t="shared" si="741"/>
        <v>7.083287641133075E-4</v>
      </c>
      <c r="JH193" s="12" t="s">
        <v>37</v>
      </c>
      <c r="JI193" s="12" t="s">
        <v>37</v>
      </c>
      <c r="JJ193" s="13" t="s">
        <v>37</v>
      </c>
      <c r="JL193" s="12" t="s">
        <v>37</v>
      </c>
      <c r="JM193" s="12" t="s">
        <v>37</v>
      </c>
      <c r="JN193" s="12" t="s">
        <v>37</v>
      </c>
      <c r="JS193" s="12" t="s">
        <v>37</v>
      </c>
      <c r="JT193" s="12" t="s">
        <v>37</v>
      </c>
      <c r="JU193" s="13" t="s">
        <v>37</v>
      </c>
      <c r="JW193" s="12" t="s">
        <v>37</v>
      </c>
      <c r="JX193" s="12" t="s">
        <v>37</v>
      </c>
      <c r="JY193" s="12" t="s">
        <v>37</v>
      </c>
      <c r="KE193" s="11" t="s">
        <v>37</v>
      </c>
      <c r="KF193" s="11" t="s">
        <v>37</v>
      </c>
      <c r="KG193" s="13" t="s">
        <v>37</v>
      </c>
      <c r="KH193" s="11" t="s">
        <v>37</v>
      </c>
      <c r="KI193" s="11" t="s">
        <v>37</v>
      </c>
      <c r="KJ193" s="11" t="s">
        <v>37</v>
      </c>
      <c r="KK193" s="12" t="s">
        <v>42</v>
      </c>
      <c r="KL193" s="32" t="s">
        <v>345</v>
      </c>
      <c r="KM193" s="12">
        <f>KM191</f>
        <v>18.71</v>
      </c>
      <c r="KN193" s="50">
        <f t="shared" si="742"/>
        <v>2.231972804310721</v>
      </c>
      <c r="KO193" s="13">
        <v>3</v>
      </c>
      <c r="KQ193" s="12">
        <f>AVERAGEA(13.58)</f>
        <v>13.58</v>
      </c>
      <c r="KR193" s="50">
        <f t="shared" si="743"/>
        <v>1.4319217816900871</v>
      </c>
      <c r="KS193" s="13">
        <v>3</v>
      </c>
      <c r="KU193" s="19">
        <f t="shared" si="744"/>
        <v>-0.32046001815544817</v>
      </c>
      <c r="KV193" s="19">
        <f t="shared" si="745"/>
        <v>8.4497155628593234E-3</v>
      </c>
      <c r="KW193" s="32" t="s">
        <v>422</v>
      </c>
      <c r="KX193" s="12">
        <f>KX191</f>
        <v>18.190000000000001</v>
      </c>
      <c r="KY193" s="50">
        <f t="shared" si="746"/>
        <v>1.3416656277547112</v>
      </c>
      <c r="KZ193" s="13">
        <v>3</v>
      </c>
      <c r="LB193" s="12">
        <f>AVERAGEA(11.44)</f>
        <v>11.44</v>
      </c>
      <c r="LC193" s="50">
        <f t="shared" si="747"/>
        <v>1.3198476470507823</v>
      </c>
      <c r="LD193" s="13">
        <v>3</v>
      </c>
      <c r="LF193" s="19">
        <f t="shared" si="748"/>
        <v>-0.46375600657837912</v>
      </c>
      <c r="LG193" s="19">
        <f t="shared" si="749"/>
        <v>6.2502802071617821E-3</v>
      </c>
      <c r="LH193" s="32" t="s">
        <v>423</v>
      </c>
      <c r="LI193" s="12">
        <f>LI191</f>
        <v>17.850000000000001</v>
      </c>
      <c r="LJ193" s="50">
        <f t="shared" si="750"/>
        <v>7.2893991913660932</v>
      </c>
      <c r="LK193" s="13">
        <v>3</v>
      </c>
      <c r="LM193" s="12">
        <f>AVERAGEA(9.29)</f>
        <v>9.2899999999999991</v>
      </c>
      <c r="LN193" s="50">
        <f t="shared" si="751"/>
        <v>2.627061551398346</v>
      </c>
      <c r="LO193" s="13">
        <v>3</v>
      </c>
      <c r="LQ193" s="19">
        <f t="shared" si="752"/>
        <v>-0.65306495539990106</v>
      </c>
      <c r="LR193" s="19">
        <f t="shared" si="753"/>
        <v>8.2244164849791454E-2</v>
      </c>
      <c r="LT193" s="12" t="str">
        <f t="shared" si="754"/>
        <v>0-10</v>
      </c>
      <c r="LU193" s="12">
        <f t="shared" si="755"/>
        <v>11.029930518439336</v>
      </c>
      <c r="LV193" s="12">
        <f t="shared" si="756"/>
        <v>2.2781962762395356</v>
      </c>
      <c r="LW193" s="13">
        <f t="shared" si="757"/>
        <v>3</v>
      </c>
      <c r="LY193" s="12">
        <f t="shared" si="758"/>
        <v>11.901325478645067</v>
      </c>
      <c r="LZ193" s="12">
        <f t="shared" si="759"/>
        <v>2.4590042855005216</v>
      </c>
      <c r="MA193" s="13">
        <f t="shared" si="760"/>
        <v>3</v>
      </c>
      <c r="MC193" s="19">
        <f t="shared" si="761"/>
        <v>7.6037244754717501E-2</v>
      </c>
      <c r="MD193" s="19">
        <f t="shared" si="762"/>
        <v>2.8450577053709229E-2</v>
      </c>
      <c r="ME193" s="12" t="str">
        <f t="shared" si="763"/>
        <v>10-20</v>
      </c>
      <c r="MF193" s="12">
        <f t="shared" si="764"/>
        <v>11.659153380978559</v>
      </c>
      <c r="MG193" s="12">
        <f t="shared" si="765"/>
        <v>3.0032994740092662</v>
      </c>
      <c r="MH193" s="13">
        <f t="shared" si="766"/>
        <v>3</v>
      </c>
      <c r="MJ193" s="12">
        <f t="shared" si="767"/>
        <v>12.437937062937063</v>
      </c>
      <c r="MK193" s="12">
        <f t="shared" si="768"/>
        <v>1.6175007386415676</v>
      </c>
      <c r="ML193" s="13">
        <f t="shared" si="769"/>
        <v>3</v>
      </c>
      <c r="MN193" s="19">
        <f t="shared" si="770"/>
        <v>6.465967315520911E-2</v>
      </c>
      <c r="MO193" s="19">
        <f t="shared" si="771"/>
        <v>2.7755101660032165E-2</v>
      </c>
      <c r="MP193" s="12" t="str">
        <f t="shared" si="772"/>
        <v>20-30</v>
      </c>
      <c r="MQ193" s="12">
        <f t="shared" si="773"/>
        <v>11.916526610644258</v>
      </c>
      <c r="MR193" s="12">
        <f t="shared" si="774"/>
        <v>5.8559483921616549</v>
      </c>
      <c r="MS193" s="13">
        <f t="shared" si="775"/>
        <v>3</v>
      </c>
      <c r="MU193" s="12">
        <f t="shared" si="776"/>
        <v>14.946178686759957</v>
      </c>
      <c r="MV193" s="12">
        <f t="shared" si="777"/>
        <v>4.5920830480395516</v>
      </c>
      <c r="MW193" s="13">
        <f t="shared" si="778"/>
        <v>3</v>
      </c>
      <c r="MY193" s="19">
        <f>LN(MU193/MQ193)</f>
        <v>0.22652943347715027</v>
      </c>
      <c r="MZ193" s="19">
        <f t="shared" si="780"/>
        <v>0.1119616514307248</v>
      </c>
      <c r="NC193" s="12" t="s">
        <v>37</v>
      </c>
      <c r="ND193" s="12" t="s">
        <v>37</v>
      </c>
      <c r="NE193" s="12" t="s">
        <v>37</v>
      </c>
      <c r="NG193" s="12" t="s">
        <v>37</v>
      </c>
      <c r="NH193" s="12" t="s">
        <v>37</v>
      </c>
      <c r="NI193" s="12" t="s">
        <v>37</v>
      </c>
      <c r="NO193" s="12" t="s">
        <v>37</v>
      </c>
      <c r="NP193" s="12" t="s">
        <v>37</v>
      </c>
      <c r="NQ193" s="12" t="s">
        <v>37</v>
      </c>
      <c r="NS193" s="12" t="s">
        <v>37</v>
      </c>
      <c r="NT193" s="12" t="s">
        <v>37</v>
      </c>
      <c r="NU193" s="12" t="s">
        <v>37</v>
      </c>
      <c r="OA193" s="12" t="s">
        <v>37</v>
      </c>
      <c r="OB193" s="12" t="s">
        <v>37</v>
      </c>
      <c r="OC193" s="12" t="s">
        <v>37</v>
      </c>
      <c r="OD193" s="12"/>
      <c r="OE193" s="12" t="s">
        <v>37</v>
      </c>
      <c r="OF193" s="12" t="s">
        <v>37</v>
      </c>
      <c r="OG193" s="12" t="s">
        <v>37</v>
      </c>
      <c r="OH193" s="12"/>
      <c r="OI193" s="12"/>
      <c r="OJ193" s="12"/>
      <c r="OM193" s="12" t="s">
        <v>37</v>
      </c>
      <c r="ON193" s="12" t="s">
        <v>37</v>
      </c>
      <c r="OO193" s="12" t="s">
        <v>37</v>
      </c>
      <c r="OP193" s="12" t="s">
        <v>37</v>
      </c>
      <c r="OQ193" s="12" t="s">
        <v>37</v>
      </c>
      <c r="OR193" s="12" t="s">
        <v>37</v>
      </c>
      <c r="OS193" s="12"/>
      <c r="OT193" s="12"/>
      <c r="OW193" s="12" t="s">
        <v>37</v>
      </c>
      <c r="OX193" s="12" t="s">
        <v>37</v>
      </c>
      <c r="OY193" s="13" t="s">
        <v>37</v>
      </c>
      <c r="OZ193" s="12" t="s">
        <v>37</v>
      </c>
      <c r="PA193" s="12" t="s">
        <v>37</v>
      </c>
      <c r="PB193" s="13" t="s">
        <v>37</v>
      </c>
      <c r="PG193" s="11" t="s">
        <v>37</v>
      </c>
      <c r="PH193" s="11" t="s">
        <v>37</v>
      </c>
      <c r="PI193" s="13" t="s">
        <v>37</v>
      </c>
      <c r="PJ193" s="11" t="s">
        <v>37</v>
      </c>
      <c r="PK193" s="11" t="s">
        <v>37</v>
      </c>
      <c r="PL193" s="13" t="s">
        <v>37</v>
      </c>
      <c r="PQ193" s="12" t="s">
        <v>37</v>
      </c>
      <c r="PR193" s="12" t="s">
        <v>37</v>
      </c>
      <c r="PS193" s="12" t="s">
        <v>37</v>
      </c>
      <c r="PT193" s="12" t="s">
        <v>37</v>
      </c>
      <c r="PU193" s="12" t="s">
        <v>37</v>
      </c>
      <c r="PV193" s="12" t="s">
        <v>37</v>
      </c>
      <c r="PW193" s="12"/>
      <c r="PX193" s="12"/>
      <c r="PZ193" s="12" t="s">
        <v>37</v>
      </c>
      <c r="QA193" s="12" t="s">
        <v>37</v>
      </c>
      <c r="QB193" s="11" t="s">
        <v>37</v>
      </c>
      <c r="QD193" s="12" t="s">
        <v>37</v>
      </c>
      <c r="QE193" s="12" t="s">
        <v>37</v>
      </c>
      <c r="QF193" s="12" t="s">
        <v>37</v>
      </c>
      <c r="QK193" s="12" t="s">
        <v>37</v>
      </c>
      <c r="QL193" s="12" t="s">
        <v>37</v>
      </c>
      <c r="QM193" s="12" t="s">
        <v>37</v>
      </c>
      <c r="QN193" s="12" t="s">
        <v>37</v>
      </c>
      <c r="QO193" s="12" t="s">
        <v>37</v>
      </c>
      <c r="QP193" s="12" t="s">
        <v>37</v>
      </c>
      <c r="QQ193" s="12"/>
      <c r="QR193" s="12"/>
      <c r="QU193" s="12" t="s">
        <v>37</v>
      </c>
      <c r="QV193" s="12" t="s">
        <v>37</v>
      </c>
      <c r="QW193" s="12" t="s">
        <v>37</v>
      </c>
      <c r="QX193" s="12" t="s">
        <v>37</v>
      </c>
      <c r="QY193" s="12" t="s">
        <v>37</v>
      </c>
      <c r="QZ193" s="12" t="s">
        <v>37</v>
      </c>
      <c r="RC193" s="12" t="s">
        <v>37</v>
      </c>
      <c r="RD193" s="12" t="s">
        <v>37</v>
      </c>
      <c r="RE193" s="13" t="s">
        <v>37</v>
      </c>
      <c r="RF193" s="12" t="s">
        <v>37</v>
      </c>
      <c r="RG193" s="12" t="s">
        <v>37</v>
      </c>
      <c r="RH193" s="13" t="s">
        <v>37</v>
      </c>
      <c r="RK193" s="12" t="s">
        <v>37</v>
      </c>
      <c r="RL193" s="12" t="s">
        <v>37</v>
      </c>
      <c r="RM193" s="11" t="s">
        <v>37</v>
      </c>
      <c r="RN193" s="12" t="s">
        <v>37</v>
      </c>
      <c r="RO193" s="12" t="s">
        <v>37</v>
      </c>
      <c r="RP193" s="11" t="s">
        <v>37</v>
      </c>
      <c r="RS193" s="12" t="s">
        <v>37</v>
      </c>
      <c r="RT193" s="12" t="s">
        <v>37</v>
      </c>
      <c r="RU193" s="12" t="s">
        <v>37</v>
      </c>
      <c r="RV193" s="12" t="s">
        <v>37</v>
      </c>
      <c r="RW193" s="12" t="s">
        <v>37</v>
      </c>
      <c r="RX193" s="12" t="s">
        <v>37</v>
      </c>
      <c r="SA193" s="12" t="s">
        <v>37</v>
      </c>
      <c r="SB193" s="12" t="s">
        <v>37</v>
      </c>
      <c r="SC193" s="12" t="s">
        <v>37</v>
      </c>
      <c r="SD193" s="12" t="s">
        <v>37</v>
      </c>
      <c r="SE193" s="12" t="s">
        <v>37</v>
      </c>
      <c r="SF193" s="12" t="s">
        <v>37</v>
      </c>
      <c r="SI193" s="12" t="s">
        <v>37</v>
      </c>
      <c r="SJ193" s="12" t="s">
        <v>37</v>
      </c>
      <c r="SK193" s="13" t="s">
        <v>37</v>
      </c>
      <c r="SM193" s="12" t="s">
        <v>37</v>
      </c>
      <c r="SN193" s="12" t="s">
        <v>37</v>
      </c>
      <c r="SO193" s="13" t="s">
        <v>37</v>
      </c>
      <c r="SU193" s="12" t="s">
        <v>37</v>
      </c>
      <c r="SV193" s="12" t="s">
        <v>37</v>
      </c>
      <c r="SW193" s="11" t="s">
        <v>37</v>
      </c>
      <c r="SX193" s="12" t="s">
        <v>37</v>
      </c>
      <c r="SY193" s="12" t="s">
        <v>37</v>
      </c>
      <c r="SZ193" s="11" t="s">
        <v>37</v>
      </c>
      <c r="TE193" s="12" t="s">
        <v>37</v>
      </c>
      <c r="TF193" s="12" t="s">
        <v>37</v>
      </c>
      <c r="TG193" s="11" t="s">
        <v>37</v>
      </c>
      <c r="TH193" s="12" t="s">
        <v>37</v>
      </c>
      <c r="TI193" s="12" t="s">
        <v>37</v>
      </c>
      <c r="TJ193" s="11" t="s">
        <v>37</v>
      </c>
      <c r="TO193" s="12" t="s">
        <v>37</v>
      </c>
      <c r="TP193" s="12" t="s">
        <v>37</v>
      </c>
      <c r="TQ193" s="11" t="s">
        <v>37</v>
      </c>
      <c r="TR193" s="12" t="s">
        <v>37</v>
      </c>
      <c r="TS193" s="12" t="s">
        <v>37</v>
      </c>
      <c r="TT193" s="11" t="s">
        <v>37</v>
      </c>
      <c r="TY193" s="12" t="s">
        <v>37</v>
      </c>
      <c r="TZ193" s="12" t="s">
        <v>37</v>
      </c>
      <c r="UA193" s="12" t="s">
        <v>37</v>
      </c>
      <c r="UB193" s="12" t="s">
        <v>37</v>
      </c>
      <c r="UC193" s="12" t="s">
        <v>37</v>
      </c>
      <c r="UD193" s="12" t="s">
        <v>37</v>
      </c>
      <c r="UE193" s="12"/>
      <c r="UF193" s="12"/>
      <c r="UI193" s="12" t="s">
        <v>37</v>
      </c>
      <c r="UJ193" s="12" t="s">
        <v>37</v>
      </c>
      <c r="UK193" s="12" t="s">
        <v>37</v>
      </c>
      <c r="UL193" s="12" t="s">
        <v>37</v>
      </c>
      <c r="UM193" s="12" t="s">
        <v>37</v>
      </c>
      <c r="UN193" s="12" t="s">
        <v>37</v>
      </c>
      <c r="UO193" s="12"/>
      <c r="UP193" s="12"/>
      <c r="UR193" s="12" t="s">
        <v>37</v>
      </c>
      <c r="US193" s="12" t="s">
        <v>37</v>
      </c>
      <c r="UT193" s="12" t="s">
        <v>37</v>
      </c>
      <c r="UU193" s="12" t="s">
        <v>37</v>
      </c>
      <c r="UV193" s="12" t="s">
        <v>37</v>
      </c>
      <c r="UW193" s="12" t="s">
        <v>37</v>
      </c>
      <c r="UX193" s="12"/>
      <c r="UY193" s="12"/>
      <c r="VB193" s="12" t="s">
        <v>37</v>
      </c>
      <c r="VC193" s="12" t="s">
        <v>37</v>
      </c>
      <c r="VD193" s="12" t="s">
        <v>37</v>
      </c>
      <c r="VE193" s="12" t="s">
        <v>37</v>
      </c>
      <c r="VF193" s="12" t="s">
        <v>37</v>
      </c>
      <c r="VG193" s="12" t="s">
        <v>37</v>
      </c>
      <c r="VI193" s="12" t="s">
        <v>37</v>
      </c>
      <c r="VJ193" s="12" t="s">
        <v>37</v>
      </c>
      <c r="VK193" s="12" t="s">
        <v>37</v>
      </c>
      <c r="VL193" s="12" t="s">
        <v>37</v>
      </c>
      <c r="VM193" s="12" t="s">
        <v>37</v>
      </c>
      <c r="VN193" s="12" t="s">
        <v>37</v>
      </c>
      <c r="VQ193" s="13" t="s">
        <v>37</v>
      </c>
      <c r="VR193" s="13" t="s">
        <v>37</v>
      </c>
      <c r="VS193" s="13" t="s">
        <v>37</v>
      </c>
      <c r="VT193" s="13" t="s">
        <v>37</v>
      </c>
      <c r="VU193" s="13" t="s">
        <v>37</v>
      </c>
      <c r="VV193" s="13" t="s">
        <v>37</v>
      </c>
      <c r="WA193" s="13" t="s">
        <v>37</v>
      </c>
      <c r="WB193" s="13" t="s">
        <v>37</v>
      </c>
      <c r="WC193" s="13" t="s">
        <v>37</v>
      </c>
      <c r="WD193" s="13" t="s">
        <v>37</v>
      </c>
      <c r="WE193" s="13" t="s">
        <v>37</v>
      </c>
      <c r="WF193" s="13" t="s">
        <v>37</v>
      </c>
    </row>
    <row r="194" spans="1:604" ht="17.399999999999999" customHeight="1" x14ac:dyDescent="0.3">
      <c r="A194" s="11">
        <v>46</v>
      </c>
      <c r="B194" s="16" t="s">
        <v>935</v>
      </c>
      <c r="C194" s="12" t="s">
        <v>26</v>
      </c>
      <c r="D194" s="40" t="s">
        <v>829</v>
      </c>
      <c r="E194" s="40" t="s">
        <v>37</v>
      </c>
      <c r="F194" s="14">
        <v>0</v>
      </c>
      <c r="G194" s="14">
        <v>0</v>
      </c>
      <c r="H194" s="12" t="s">
        <v>277</v>
      </c>
      <c r="I194" s="29">
        <v>-25.166</v>
      </c>
      <c r="J194" s="29">
        <v>-50.079000000000001</v>
      </c>
      <c r="K194" s="12" t="s">
        <v>658</v>
      </c>
      <c r="L194" s="12" t="s">
        <v>659</v>
      </c>
      <c r="M194" s="13">
        <v>857</v>
      </c>
      <c r="N194" s="14">
        <v>16.5</v>
      </c>
      <c r="O194" s="14">
        <v>1832</v>
      </c>
      <c r="P194" s="14" t="s">
        <v>80</v>
      </c>
      <c r="Q194" s="75">
        <f>1/12</f>
        <v>8.3333333333333329E-2</v>
      </c>
      <c r="R194" s="11" t="s">
        <v>999</v>
      </c>
      <c r="S194" s="12" t="s">
        <v>51</v>
      </c>
      <c r="T194" s="12" t="s">
        <v>138</v>
      </c>
      <c r="U194" s="12" t="s">
        <v>158</v>
      </c>
      <c r="V194" s="12" t="s">
        <v>274</v>
      </c>
      <c r="W194" s="23" t="s">
        <v>37</v>
      </c>
      <c r="X194" s="12" t="s">
        <v>37</v>
      </c>
      <c r="Y194" s="12" t="s">
        <v>350</v>
      </c>
      <c r="Z194" s="12" t="s">
        <v>846</v>
      </c>
      <c r="AA194" s="32" t="s">
        <v>372</v>
      </c>
      <c r="AB194" s="12">
        <v>5</v>
      </c>
      <c r="AC194" s="12" t="s">
        <v>42</v>
      </c>
      <c r="AD194" s="32" t="s">
        <v>372</v>
      </c>
      <c r="AE194" s="12">
        <v>276</v>
      </c>
      <c r="AF194" s="12" t="s">
        <v>42</v>
      </c>
      <c r="AG194" s="32" t="s">
        <v>372</v>
      </c>
      <c r="AH194" s="12">
        <v>20.399999999999999</v>
      </c>
      <c r="AJ194" s="12" t="str">
        <f t="shared" si="711"/>
        <v>0-20</v>
      </c>
      <c r="AK194" s="19">
        <f t="shared" si="712"/>
        <v>13.529411764705884</v>
      </c>
      <c r="AL194" s="32" t="s">
        <v>278</v>
      </c>
      <c r="AM194" s="12" t="s">
        <v>344</v>
      </c>
      <c r="AO194" s="12" t="s">
        <v>37</v>
      </c>
      <c r="AP194" s="12" t="s">
        <v>238</v>
      </c>
      <c r="AQ194" s="12" t="s">
        <v>975</v>
      </c>
      <c r="AR194" s="12" t="s">
        <v>42</v>
      </c>
      <c r="AS194" s="32" t="s">
        <v>372</v>
      </c>
      <c r="AT194" s="12">
        <v>276</v>
      </c>
      <c r="AU194" s="50">
        <f>AT194*AW$474</f>
        <v>23.605492034717408</v>
      </c>
      <c r="AV194" s="13">
        <v>5</v>
      </c>
      <c r="AX194" s="12" t="s">
        <v>326</v>
      </c>
      <c r="AY194" s="12" t="s">
        <v>326</v>
      </c>
      <c r="AZ194" s="13" t="s">
        <v>326</v>
      </c>
      <c r="BD194" s="32" t="s">
        <v>507</v>
      </c>
      <c r="BE194" s="12">
        <v>281</v>
      </c>
      <c r="BF194" s="50">
        <f>BE194*BH$474</f>
        <v>70.542096039705768</v>
      </c>
      <c r="BG194" s="11">
        <v>5</v>
      </c>
      <c r="BO194" s="32" t="s">
        <v>331</v>
      </c>
      <c r="BP194" s="12">
        <v>187</v>
      </c>
      <c r="BQ194" s="50">
        <f>BP194*BS$474</f>
        <v>65.075633131862261</v>
      </c>
      <c r="BR194" s="11">
        <v>5</v>
      </c>
      <c r="BT194" s="12" t="s">
        <v>37</v>
      </c>
      <c r="BU194" s="12" t="s">
        <v>37</v>
      </c>
      <c r="BV194" s="13" t="s">
        <v>37</v>
      </c>
      <c r="BX194" s="52"/>
      <c r="CA194" s="12" t="s">
        <v>37</v>
      </c>
      <c r="CB194" s="12" t="s">
        <v>37</v>
      </c>
      <c r="CC194" s="13" t="s">
        <v>37</v>
      </c>
      <c r="CE194" s="12" t="s">
        <v>37</v>
      </c>
      <c r="CF194" s="12" t="s">
        <v>37</v>
      </c>
      <c r="CG194" s="13" t="s">
        <v>37</v>
      </c>
      <c r="CN194" s="12" t="s">
        <v>37</v>
      </c>
      <c r="CO194" s="12" t="s">
        <v>37</v>
      </c>
      <c r="CP194" s="13" t="s">
        <v>37</v>
      </c>
      <c r="CR194" s="12" t="s">
        <v>37</v>
      </c>
      <c r="CS194" s="12" t="s">
        <v>37</v>
      </c>
      <c r="CT194" s="13" t="s">
        <v>37</v>
      </c>
      <c r="CX194" s="72"/>
      <c r="CY194" s="72"/>
      <c r="DA194" s="12" t="s">
        <v>37</v>
      </c>
      <c r="DB194" s="12" t="s">
        <v>37</v>
      </c>
      <c r="DC194" s="13" t="s">
        <v>37</v>
      </c>
      <c r="DE194" s="12" t="s">
        <v>37</v>
      </c>
      <c r="DF194" s="12" t="s">
        <v>37</v>
      </c>
      <c r="DG194" s="13" t="s">
        <v>37</v>
      </c>
      <c r="DM194" s="11" t="s">
        <v>47</v>
      </c>
      <c r="DN194" s="19">
        <v>116</v>
      </c>
      <c r="DO194" s="50">
        <f>ABS(DN194)*DQ$474</f>
        <v>129.32599754255131</v>
      </c>
      <c r="DP194" s="13">
        <v>6</v>
      </c>
      <c r="DR194" s="19">
        <v>-9</v>
      </c>
      <c r="DS194" s="50">
        <f>ABS(DR194)*DU$474</f>
        <v>33.634946651679087</v>
      </c>
      <c r="DT194" s="13">
        <v>6</v>
      </c>
      <c r="DV194" s="19">
        <f t="shared" si="710"/>
        <v>-125</v>
      </c>
      <c r="DW194" s="12">
        <f t="shared" si="709"/>
        <v>94.489478982152519</v>
      </c>
      <c r="DX194" s="72">
        <f t="shared" si="641"/>
        <v>2976.0872127728808</v>
      </c>
      <c r="DY194" s="72">
        <f t="shared" si="642"/>
        <v>2976.0872127728808</v>
      </c>
      <c r="EA194" s="19" t="s">
        <v>37</v>
      </c>
      <c r="EB194" s="19" t="s">
        <v>37</v>
      </c>
      <c r="EC194" s="72" t="s">
        <v>37</v>
      </c>
      <c r="EE194" s="19" t="s">
        <v>37</v>
      </c>
      <c r="EF194" s="19" t="s">
        <v>37</v>
      </c>
      <c r="EG194" s="12" t="s">
        <v>37</v>
      </c>
      <c r="EM194" s="12" t="s">
        <v>39</v>
      </c>
      <c r="EN194" s="12">
        <v>-7</v>
      </c>
      <c r="EO194" s="50">
        <f>ABS(EN194)*EQ$474</f>
        <v>2.8524747912590533</v>
      </c>
      <c r="EP194" s="13">
        <v>6</v>
      </c>
      <c r="ER194" s="12">
        <v>-57</v>
      </c>
      <c r="ES194" s="50">
        <f>ABS(ER194)*EU$474</f>
        <v>12.928401050024068</v>
      </c>
      <c r="ET194" s="13">
        <v>6</v>
      </c>
      <c r="EV194" s="19">
        <f t="shared" si="701"/>
        <v>-50</v>
      </c>
      <c r="EW194" s="12">
        <f t="shared" si="702"/>
        <v>9.3616282276383895</v>
      </c>
      <c r="EX194" s="19">
        <f t="shared" si="703"/>
        <v>29.213361024171963</v>
      </c>
      <c r="EY194" s="19">
        <f t="shared" si="704"/>
        <v>29.213361024171963</v>
      </c>
      <c r="FB194" s="12" t="s">
        <v>37</v>
      </c>
      <c r="FC194" s="12" t="s">
        <v>37</v>
      </c>
      <c r="FD194" s="11" t="s">
        <v>37</v>
      </c>
      <c r="FE194" s="12" t="s">
        <v>37</v>
      </c>
      <c r="FF194" s="20" t="s">
        <v>37</v>
      </c>
      <c r="FG194" s="11" t="s">
        <v>37</v>
      </c>
      <c r="FI194" s="12" t="s">
        <v>37</v>
      </c>
      <c r="FJ194" s="12" t="s">
        <v>37</v>
      </c>
      <c r="FK194" s="11" t="s">
        <v>37</v>
      </c>
      <c r="FL194" s="13" t="s">
        <v>37</v>
      </c>
      <c r="FM194" s="11" t="s">
        <v>37</v>
      </c>
      <c r="FN194" s="11" t="s">
        <v>37</v>
      </c>
      <c r="FP194" s="12" t="s">
        <v>37</v>
      </c>
      <c r="FQ194" s="12" t="s">
        <v>37</v>
      </c>
      <c r="FR194" s="11" t="s">
        <v>37</v>
      </c>
      <c r="FS194" s="13" t="s">
        <v>37</v>
      </c>
      <c r="FT194" s="11" t="s">
        <v>37</v>
      </c>
      <c r="FU194" s="11" t="s">
        <v>37</v>
      </c>
      <c r="FW194" s="12" t="s">
        <v>37</v>
      </c>
      <c r="FX194" s="12" t="s">
        <v>37</v>
      </c>
      <c r="FY194" s="11" t="s">
        <v>37</v>
      </c>
      <c r="FZ194" s="13" t="s">
        <v>37</v>
      </c>
      <c r="GA194" s="11" t="s">
        <v>37</v>
      </c>
      <c r="GB194" s="11" t="s">
        <v>37</v>
      </c>
      <c r="GC194" s="12" t="s">
        <v>64</v>
      </c>
      <c r="GD194" s="12" t="s">
        <v>345</v>
      </c>
      <c r="GE194" s="12">
        <v>990</v>
      </c>
      <c r="GF194" s="50">
        <f>ABS(GE194)*GH$474</f>
        <v>146.15846958035806</v>
      </c>
      <c r="GG194" s="13">
        <v>6</v>
      </c>
      <c r="GI194" s="12">
        <v>550</v>
      </c>
      <c r="GJ194" s="50">
        <f>ABS(GI194)*GL$474</f>
        <v>105.19489390370707</v>
      </c>
      <c r="GK194" s="13">
        <v>6</v>
      </c>
      <c r="GM194" s="19">
        <f>LN(GI194/GE194)</f>
        <v>-0.58778666490211895</v>
      </c>
      <c r="GN194" s="19">
        <f>GJ194^2/(GK194*GI194^2)+GF194^2/(GG194*GE194^2)</f>
        <v>9.7296240365146308E-3</v>
      </c>
      <c r="HA194" s="17" t="s">
        <v>63</v>
      </c>
      <c r="HB194" s="34" t="s">
        <v>372</v>
      </c>
      <c r="HC194" s="12">
        <v>0.15</v>
      </c>
      <c r="HD194" s="50">
        <f>ABS(HC194)*HF$474</f>
        <v>2.5861761471973645E-2</v>
      </c>
      <c r="HE194" s="13">
        <v>6</v>
      </c>
      <c r="HM194" s="34" t="s">
        <v>507</v>
      </c>
      <c r="HN194" s="12">
        <v>0.21</v>
      </c>
      <c r="HO194" s="50">
        <f>ABS(HN194)*HQ$474</f>
        <v>6.2737227562500289E-2</v>
      </c>
      <c r="HP194" s="13">
        <v>6</v>
      </c>
      <c r="HX194" s="34" t="s">
        <v>331</v>
      </c>
      <c r="HY194" s="12">
        <v>0.47</v>
      </c>
      <c r="HZ194" s="50">
        <f>ABS(HY194)*IB$474</f>
        <v>0.14344676791564609</v>
      </c>
      <c r="IA194" s="13">
        <v>6</v>
      </c>
      <c r="IK194" s="12" t="s">
        <v>37</v>
      </c>
      <c r="IL194" s="12" t="s">
        <v>37</v>
      </c>
      <c r="IM194" s="12" t="s">
        <v>37</v>
      </c>
      <c r="IO194" s="12" t="s">
        <v>37</v>
      </c>
      <c r="IP194" s="12" t="s">
        <v>37</v>
      </c>
      <c r="IQ194" s="12" t="s">
        <v>37</v>
      </c>
      <c r="IV194" s="32" t="s">
        <v>372</v>
      </c>
      <c r="IW194" s="12">
        <v>5</v>
      </c>
      <c r="IX194" s="50">
        <f t="shared" si="738"/>
        <v>0.18306371314011569</v>
      </c>
      <c r="IY194" s="13">
        <v>5</v>
      </c>
      <c r="JG194" s="12" t="s">
        <v>507</v>
      </c>
      <c r="JH194" s="12">
        <v>5.3</v>
      </c>
      <c r="JI194" s="50">
        <f>ABS(JH194)*JK$474</f>
        <v>8.6586679107312284E-2</v>
      </c>
      <c r="JJ194" s="13">
        <v>5</v>
      </c>
      <c r="JL194" s="12" t="s">
        <v>37</v>
      </c>
      <c r="JM194" s="12" t="s">
        <v>37</v>
      </c>
      <c r="JN194" s="13" t="s">
        <v>37</v>
      </c>
      <c r="JR194" s="12" t="s">
        <v>331</v>
      </c>
      <c r="JS194" s="12">
        <v>5.3</v>
      </c>
      <c r="JT194" s="50">
        <f>ABS(JS194)*JV$474</f>
        <v>8.7427326477286182E-2</v>
      </c>
      <c r="JU194" s="13">
        <v>5</v>
      </c>
      <c r="JW194" s="12" t="s">
        <v>37</v>
      </c>
      <c r="JX194" s="12" t="s">
        <v>37</v>
      </c>
      <c r="JY194" s="12" t="s">
        <v>37</v>
      </c>
      <c r="KC194" s="12" t="s">
        <v>100</v>
      </c>
      <c r="KD194" s="12" t="s">
        <v>372</v>
      </c>
      <c r="KE194" s="12">
        <v>12.7</v>
      </c>
      <c r="KF194" s="12" t="s">
        <v>37</v>
      </c>
      <c r="KG194" s="13">
        <v>5</v>
      </c>
      <c r="KH194" s="11" t="s">
        <v>37</v>
      </c>
      <c r="KI194" s="11" t="s">
        <v>37</v>
      </c>
      <c r="KJ194" s="11" t="s">
        <v>37</v>
      </c>
      <c r="KK194" s="12" t="s">
        <v>42</v>
      </c>
      <c r="KL194" s="32" t="s">
        <v>372</v>
      </c>
      <c r="KM194" s="12">
        <v>20.399999999999999</v>
      </c>
      <c r="KN194" s="50">
        <f t="shared" si="742"/>
        <v>2.4335780442511332</v>
      </c>
      <c r="KO194" s="11">
        <v>5</v>
      </c>
      <c r="KS194" s="12"/>
      <c r="KW194" s="32" t="s">
        <v>507</v>
      </c>
      <c r="KX194" s="12">
        <v>19.100000000000001</v>
      </c>
      <c r="KY194" s="50">
        <f t="shared" si="746"/>
        <v>1.4087857883515658</v>
      </c>
      <c r="KZ194" s="13">
        <v>5</v>
      </c>
      <c r="LB194" s="12" t="s">
        <v>37</v>
      </c>
      <c r="LC194" s="12" t="s">
        <v>37</v>
      </c>
      <c r="LD194" s="12" t="s">
        <v>37</v>
      </c>
      <c r="LH194" s="32" t="s">
        <v>331</v>
      </c>
      <c r="LI194" s="12">
        <v>11.3</v>
      </c>
      <c r="LJ194" s="50">
        <f t="shared" si="750"/>
        <v>4.6145776393522047</v>
      </c>
      <c r="LK194" s="13">
        <v>5</v>
      </c>
      <c r="LM194" s="12" t="s">
        <v>37</v>
      </c>
      <c r="LN194" s="12" t="s">
        <v>37</v>
      </c>
      <c r="LO194" s="12" t="s">
        <v>37</v>
      </c>
      <c r="LT194" s="12" t="str">
        <f t="shared" si="754"/>
        <v>0-20</v>
      </c>
      <c r="LU194" s="12">
        <f t="shared" si="755"/>
        <v>13.529411764705884</v>
      </c>
      <c r="LV194" s="12">
        <f t="shared" si="756"/>
        <v>1.9859094538820137</v>
      </c>
      <c r="LW194" s="13">
        <f t="shared" si="757"/>
        <v>5</v>
      </c>
      <c r="ME194" s="12" t="str">
        <f t="shared" si="763"/>
        <v>20-40</v>
      </c>
      <c r="MF194" s="12">
        <f t="shared" si="764"/>
        <v>14.712041884816752</v>
      </c>
      <c r="MG194" s="12">
        <f t="shared" si="765"/>
        <v>3.8494171773136778</v>
      </c>
      <c r="MH194" s="13">
        <f t="shared" si="766"/>
        <v>5</v>
      </c>
      <c r="MJ194" s="12" t="s">
        <v>37</v>
      </c>
      <c r="MK194" s="12" t="s">
        <v>37</v>
      </c>
      <c r="ML194" s="12" t="s">
        <v>37</v>
      </c>
      <c r="MP194" s="12" t="str">
        <f t="shared" si="772"/>
        <v>40-60</v>
      </c>
      <c r="MQ194" s="12">
        <f t="shared" si="773"/>
        <v>16.548672566371682</v>
      </c>
      <c r="MR194" s="12">
        <f t="shared" si="774"/>
        <v>8.8789210975438309</v>
      </c>
      <c r="MS194" s="13">
        <f t="shared" si="775"/>
        <v>5</v>
      </c>
      <c r="MU194" s="12" t="e">
        <f t="shared" si="776"/>
        <v>#VALUE!</v>
      </c>
      <c r="MV194" s="12" t="e">
        <f t="shared" si="777"/>
        <v>#VALUE!</v>
      </c>
      <c r="MW194" s="13" t="str">
        <f t="shared" si="778"/>
        <v>/</v>
      </c>
      <c r="NC194" s="12" t="s">
        <v>37</v>
      </c>
      <c r="ND194" s="12" t="s">
        <v>37</v>
      </c>
      <c r="NE194" s="12" t="s">
        <v>37</v>
      </c>
      <c r="NG194" s="12" t="s">
        <v>37</v>
      </c>
      <c r="NH194" s="12" t="s">
        <v>37</v>
      </c>
      <c r="NI194" s="12" t="s">
        <v>37</v>
      </c>
      <c r="NO194" s="12" t="s">
        <v>37</v>
      </c>
      <c r="NP194" s="12" t="s">
        <v>37</v>
      </c>
      <c r="NQ194" s="12" t="s">
        <v>37</v>
      </c>
      <c r="NS194" s="12" t="s">
        <v>37</v>
      </c>
      <c r="NT194" s="12" t="s">
        <v>37</v>
      </c>
      <c r="NU194" s="12" t="s">
        <v>37</v>
      </c>
      <c r="OA194" s="12" t="s">
        <v>37</v>
      </c>
      <c r="OB194" s="12" t="s">
        <v>37</v>
      </c>
      <c r="OC194" s="12" t="s">
        <v>37</v>
      </c>
      <c r="OD194" s="12"/>
      <c r="OE194" s="12" t="s">
        <v>37</v>
      </c>
      <c r="OF194" s="12" t="s">
        <v>37</v>
      </c>
      <c r="OG194" s="12" t="s">
        <v>37</v>
      </c>
      <c r="OH194" s="12"/>
      <c r="OI194" s="12"/>
      <c r="OJ194" s="12"/>
      <c r="OM194" s="12" t="s">
        <v>37</v>
      </c>
      <c r="ON194" s="12" t="s">
        <v>37</v>
      </c>
      <c r="OO194" s="12" t="s">
        <v>37</v>
      </c>
      <c r="OP194" s="12" t="s">
        <v>37</v>
      </c>
      <c r="OQ194" s="12" t="s">
        <v>37</v>
      </c>
      <c r="OR194" s="12" t="s">
        <v>37</v>
      </c>
      <c r="OS194" s="12"/>
      <c r="OT194" s="12"/>
      <c r="OW194" s="12" t="s">
        <v>37</v>
      </c>
      <c r="OX194" s="12" t="s">
        <v>37</v>
      </c>
      <c r="OY194" s="13" t="s">
        <v>37</v>
      </c>
      <c r="OZ194" s="12" t="s">
        <v>37</v>
      </c>
      <c r="PA194" s="12" t="s">
        <v>37</v>
      </c>
      <c r="PB194" s="13" t="s">
        <v>37</v>
      </c>
      <c r="PG194" s="11" t="s">
        <v>37</v>
      </c>
      <c r="PH194" s="11" t="s">
        <v>37</v>
      </c>
      <c r="PI194" s="13" t="s">
        <v>37</v>
      </c>
      <c r="PJ194" s="11" t="s">
        <v>37</v>
      </c>
      <c r="PK194" s="11" t="s">
        <v>37</v>
      </c>
      <c r="PL194" s="13" t="s">
        <v>37</v>
      </c>
      <c r="PQ194" s="12" t="s">
        <v>37</v>
      </c>
      <c r="PR194" s="12" t="s">
        <v>37</v>
      </c>
      <c r="PS194" s="12" t="s">
        <v>37</v>
      </c>
      <c r="PT194" s="12" t="s">
        <v>37</v>
      </c>
      <c r="PU194" s="12" t="s">
        <v>37</v>
      </c>
      <c r="PV194" s="12" t="s">
        <v>37</v>
      </c>
      <c r="PW194" s="12"/>
      <c r="PX194" s="12"/>
      <c r="PZ194" s="12" t="s">
        <v>37</v>
      </c>
      <c r="QA194" s="12" t="s">
        <v>37</v>
      </c>
      <c r="QB194" s="11" t="s">
        <v>37</v>
      </c>
      <c r="QD194" s="12" t="s">
        <v>37</v>
      </c>
      <c r="QE194" s="12" t="s">
        <v>37</v>
      </c>
      <c r="QF194" s="12" t="s">
        <v>37</v>
      </c>
      <c r="QK194" s="12" t="s">
        <v>37</v>
      </c>
      <c r="QL194" s="12" t="s">
        <v>37</v>
      </c>
      <c r="QM194" s="12" t="s">
        <v>37</v>
      </c>
      <c r="QN194" s="12" t="s">
        <v>37</v>
      </c>
      <c r="QO194" s="12" t="s">
        <v>37</v>
      </c>
      <c r="QP194" s="12" t="s">
        <v>37</v>
      </c>
      <c r="QQ194" s="12"/>
      <c r="QR194" s="12"/>
      <c r="QU194" s="12" t="s">
        <v>37</v>
      </c>
      <c r="QV194" s="12" t="s">
        <v>37</v>
      </c>
      <c r="QW194" s="12" t="s">
        <v>37</v>
      </c>
      <c r="QX194" s="12" t="s">
        <v>37</v>
      </c>
      <c r="QY194" s="12" t="s">
        <v>37</v>
      </c>
      <c r="QZ194" s="12" t="s">
        <v>37</v>
      </c>
      <c r="RC194" s="12" t="s">
        <v>37</v>
      </c>
      <c r="RD194" s="12" t="s">
        <v>37</v>
      </c>
      <c r="RE194" s="13" t="s">
        <v>37</v>
      </c>
      <c r="RF194" s="12" t="s">
        <v>37</v>
      </c>
      <c r="RG194" s="12" t="s">
        <v>37</v>
      </c>
      <c r="RH194" s="13" t="s">
        <v>37</v>
      </c>
      <c r="RK194" s="12" t="s">
        <v>37</v>
      </c>
      <c r="RL194" s="12" t="s">
        <v>37</v>
      </c>
      <c r="RM194" s="11" t="s">
        <v>37</v>
      </c>
      <c r="RN194" s="12" t="s">
        <v>37</v>
      </c>
      <c r="RO194" s="12" t="s">
        <v>37</v>
      </c>
      <c r="RP194" s="11" t="s">
        <v>37</v>
      </c>
      <c r="RS194" s="12" t="s">
        <v>37</v>
      </c>
      <c r="RT194" s="12" t="s">
        <v>37</v>
      </c>
      <c r="RU194" s="12" t="s">
        <v>37</v>
      </c>
      <c r="RV194" s="12" t="s">
        <v>37</v>
      </c>
      <c r="RW194" s="12" t="s">
        <v>37</v>
      </c>
      <c r="RX194" s="12" t="s">
        <v>37</v>
      </c>
      <c r="SA194" s="12" t="s">
        <v>37</v>
      </c>
      <c r="SB194" s="12" t="s">
        <v>37</v>
      </c>
      <c r="SC194" s="12" t="s">
        <v>37</v>
      </c>
      <c r="SD194" s="12" t="s">
        <v>37</v>
      </c>
      <c r="SE194" s="12" t="s">
        <v>37</v>
      </c>
      <c r="SF194" s="12" t="s">
        <v>37</v>
      </c>
      <c r="SI194" s="12" t="s">
        <v>37</v>
      </c>
      <c r="SJ194" s="12" t="s">
        <v>37</v>
      </c>
      <c r="SK194" s="13" t="s">
        <v>37</v>
      </c>
      <c r="SM194" s="12" t="s">
        <v>37</v>
      </c>
      <c r="SN194" s="12" t="s">
        <v>37</v>
      </c>
      <c r="SO194" s="13" t="s">
        <v>37</v>
      </c>
      <c r="SU194" s="12" t="s">
        <v>37</v>
      </c>
      <c r="SV194" s="12" t="s">
        <v>37</v>
      </c>
      <c r="SW194" s="11" t="s">
        <v>37</v>
      </c>
      <c r="SX194" s="12" t="s">
        <v>37</v>
      </c>
      <c r="SY194" s="12" t="s">
        <v>37</v>
      </c>
      <c r="SZ194" s="11" t="s">
        <v>37</v>
      </c>
      <c r="TE194" s="12" t="s">
        <v>37</v>
      </c>
      <c r="TF194" s="12" t="s">
        <v>37</v>
      </c>
      <c r="TG194" s="11" t="s">
        <v>37</v>
      </c>
      <c r="TH194" s="12" t="s">
        <v>37</v>
      </c>
      <c r="TI194" s="12" t="s">
        <v>37</v>
      </c>
      <c r="TJ194" s="11" t="s">
        <v>37</v>
      </c>
      <c r="TO194" s="12" t="s">
        <v>37</v>
      </c>
      <c r="TP194" s="12" t="s">
        <v>37</v>
      </c>
      <c r="TQ194" s="11" t="s">
        <v>37</v>
      </c>
      <c r="TR194" s="12" t="s">
        <v>37</v>
      </c>
      <c r="TS194" s="12" t="s">
        <v>37</v>
      </c>
      <c r="TT194" s="11" t="s">
        <v>37</v>
      </c>
      <c r="TY194" s="12" t="s">
        <v>37</v>
      </c>
      <c r="TZ194" s="12" t="s">
        <v>37</v>
      </c>
      <c r="UA194" s="12" t="s">
        <v>37</v>
      </c>
      <c r="UB194" s="12" t="s">
        <v>37</v>
      </c>
      <c r="UC194" s="12" t="s">
        <v>37</v>
      </c>
      <c r="UD194" s="12" t="s">
        <v>37</v>
      </c>
      <c r="UE194" s="12"/>
      <c r="UF194" s="12"/>
      <c r="UI194" s="12" t="s">
        <v>37</v>
      </c>
      <c r="UJ194" s="12" t="s">
        <v>37</v>
      </c>
      <c r="UK194" s="12" t="s">
        <v>37</v>
      </c>
      <c r="UL194" s="12" t="s">
        <v>37</v>
      </c>
      <c r="UM194" s="12" t="s">
        <v>37</v>
      </c>
      <c r="UN194" s="12" t="s">
        <v>37</v>
      </c>
      <c r="UO194" s="12"/>
      <c r="UP194" s="12"/>
      <c r="UR194" s="12" t="s">
        <v>37</v>
      </c>
      <c r="US194" s="12" t="s">
        <v>37</v>
      </c>
      <c r="UT194" s="12" t="s">
        <v>37</v>
      </c>
      <c r="UU194" s="12" t="s">
        <v>37</v>
      </c>
      <c r="UV194" s="12" t="s">
        <v>37</v>
      </c>
      <c r="UW194" s="12" t="s">
        <v>37</v>
      </c>
      <c r="UX194" s="12"/>
      <c r="UY194" s="12"/>
      <c r="VB194" s="12" t="s">
        <v>37</v>
      </c>
      <c r="VC194" s="12" t="s">
        <v>37</v>
      </c>
      <c r="VD194" s="12" t="s">
        <v>37</v>
      </c>
      <c r="VE194" s="12" t="s">
        <v>37</v>
      </c>
      <c r="VF194" s="12" t="s">
        <v>37</v>
      </c>
      <c r="VG194" s="12" t="s">
        <v>37</v>
      </c>
      <c r="VI194" s="12" t="s">
        <v>37</v>
      </c>
      <c r="VJ194" s="12" t="s">
        <v>37</v>
      </c>
      <c r="VK194" s="12" t="s">
        <v>37</v>
      </c>
      <c r="VL194" s="12" t="s">
        <v>37</v>
      </c>
      <c r="VM194" s="12" t="s">
        <v>37</v>
      </c>
      <c r="VN194" s="12" t="s">
        <v>37</v>
      </c>
      <c r="VQ194" s="13" t="s">
        <v>37</v>
      </c>
      <c r="VR194" s="13" t="s">
        <v>37</v>
      </c>
      <c r="VS194" s="13" t="s">
        <v>37</v>
      </c>
      <c r="VT194" s="13" t="s">
        <v>37</v>
      </c>
      <c r="VU194" s="13" t="s">
        <v>37</v>
      </c>
      <c r="VV194" s="13" t="s">
        <v>37</v>
      </c>
      <c r="WA194" s="13" t="s">
        <v>37</v>
      </c>
      <c r="WB194" s="13" t="s">
        <v>37</v>
      </c>
      <c r="WC194" s="13" t="s">
        <v>37</v>
      </c>
      <c r="WD194" s="13" t="s">
        <v>37</v>
      </c>
      <c r="WE194" s="13" t="s">
        <v>37</v>
      </c>
      <c r="WF194" s="13" t="s">
        <v>37</v>
      </c>
    </row>
    <row r="195" spans="1:604" ht="18" customHeight="1" x14ac:dyDescent="0.3">
      <c r="A195" s="11">
        <v>47</v>
      </c>
      <c r="B195" s="16" t="s">
        <v>902</v>
      </c>
      <c r="C195" s="12" t="s">
        <v>26</v>
      </c>
      <c r="D195" s="12" t="s">
        <v>973</v>
      </c>
      <c r="E195" s="40">
        <v>1</v>
      </c>
      <c r="F195" s="14">
        <v>0</v>
      </c>
      <c r="G195" s="14">
        <v>0</v>
      </c>
      <c r="H195" s="12" t="s">
        <v>82</v>
      </c>
      <c r="I195" s="29">
        <v>64.819999999999993</v>
      </c>
      <c r="J195" s="29">
        <v>-147.87</v>
      </c>
      <c r="K195" s="12" t="s">
        <v>289</v>
      </c>
      <c r="L195" s="12" t="s">
        <v>290</v>
      </c>
      <c r="M195" s="13" t="s">
        <v>37</v>
      </c>
      <c r="N195" s="14">
        <v>-2.9</v>
      </c>
      <c r="O195" s="14">
        <v>269</v>
      </c>
      <c r="P195" s="14" t="s">
        <v>84</v>
      </c>
      <c r="Q195" s="75">
        <f>2/12</f>
        <v>0.16666666666666666</v>
      </c>
      <c r="R195" s="11" t="s">
        <v>1000</v>
      </c>
      <c r="S195" s="12" t="s">
        <v>85</v>
      </c>
      <c r="T195" s="12" t="s">
        <v>138</v>
      </c>
      <c r="U195" s="12" t="s">
        <v>158</v>
      </c>
      <c r="V195" s="12" t="s">
        <v>275</v>
      </c>
      <c r="W195" s="23" t="s">
        <v>292</v>
      </c>
      <c r="X195" s="12" t="s">
        <v>281</v>
      </c>
      <c r="Y195" s="12" t="s">
        <v>37</v>
      </c>
      <c r="Z195" s="12" t="s">
        <v>37</v>
      </c>
      <c r="AA195" s="34" t="s">
        <v>372</v>
      </c>
      <c r="AB195" s="12">
        <v>5.3</v>
      </c>
      <c r="AC195" s="12" t="s">
        <v>42</v>
      </c>
      <c r="AD195" s="32" t="s">
        <v>372</v>
      </c>
      <c r="AE195" s="12">
        <v>410</v>
      </c>
      <c r="AH195" s="12" t="s">
        <v>37</v>
      </c>
      <c r="AK195" s="12" t="s">
        <v>37</v>
      </c>
      <c r="AL195" s="32" t="s">
        <v>546</v>
      </c>
      <c r="AM195" s="12" t="s">
        <v>317</v>
      </c>
      <c r="AN195" s="32" t="s">
        <v>880</v>
      </c>
      <c r="AO195" s="12" t="s">
        <v>318</v>
      </c>
      <c r="AP195" s="12" t="s">
        <v>167</v>
      </c>
      <c r="AQ195" s="12" t="s">
        <v>975</v>
      </c>
      <c r="AR195" s="12" t="s">
        <v>42</v>
      </c>
      <c r="AS195" s="32" t="s">
        <v>372</v>
      </c>
      <c r="AT195" s="12">
        <v>410</v>
      </c>
      <c r="AU195" s="50">
        <f>AT195*AW$474</f>
        <v>35.066129471862816</v>
      </c>
      <c r="AV195" s="13">
        <v>3</v>
      </c>
      <c r="AX195" s="12" t="s">
        <v>326</v>
      </c>
      <c r="AY195" s="12" t="s">
        <v>326</v>
      </c>
      <c r="AZ195" s="13" t="s">
        <v>326</v>
      </c>
      <c r="BE195" s="12" t="s">
        <v>326</v>
      </c>
      <c r="BF195" s="12" t="s">
        <v>326</v>
      </c>
      <c r="BG195" s="12" t="s">
        <v>326</v>
      </c>
      <c r="BI195" s="12" t="s">
        <v>326</v>
      </c>
      <c r="BJ195" s="12" t="s">
        <v>326</v>
      </c>
      <c r="BK195" s="12" t="s">
        <v>326</v>
      </c>
      <c r="BP195" s="12" t="s">
        <v>37</v>
      </c>
      <c r="BQ195" s="12" t="s">
        <v>37</v>
      </c>
      <c r="BR195" s="12" t="s">
        <v>37</v>
      </c>
      <c r="BT195" s="12" t="s">
        <v>37</v>
      </c>
      <c r="BU195" s="12" t="s">
        <v>37</v>
      </c>
      <c r="BV195" s="12" t="s">
        <v>37</v>
      </c>
      <c r="CA195" s="12" t="s">
        <v>37</v>
      </c>
      <c r="CB195" s="12" t="s">
        <v>37</v>
      </c>
      <c r="CC195" s="13" t="s">
        <v>37</v>
      </c>
      <c r="CE195" s="12" t="s">
        <v>37</v>
      </c>
      <c r="CF195" s="12" t="s">
        <v>37</v>
      </c>
      <c r="CG195" s="13" t="s">
        <v>37</v>
      </c>
      <c r="CI195" s="52"/>
      <c r="CJ195" s="52"/>
      <c r="CK195" s="73"/>
      <c r="CL195" s="73"/>
      <c r="CN195" s="12" t="s">
        <v>37</v>
      </c>
      <c r="CO195" s="12" t="s">
        <v>37</v>
      </c>
      <c r="CP195" s="13" t="s">
        <v>37</v>
      </c>
      <c r="CR195" s="12" t="s">
        <v>37</v>
      </c>
      <c r="CS195" s="12" t="s">
        <v>37</v>
      </c>
      <c r="CT195" s="13" t="s">
        <v>37</v>
      </c>
      <c r="CV195" s="52"/>
      <c r="CW195" s="52"/>
      <c r="CX195" s="73"/>
      <c r="CY195" s="73"/>
      <c r="DA195" s="12" t="s">
        <v>37</v>
      </c>
      <c r="DB195" s="12" t="s">
        <v>37</v>
      </c>
      <c r="DC195" s="13" t="s">
        <v>37</v>
      </c>
      <c r="DE195" s="12" t="s">
        <v>37</v>
      </c>
      <c r="DF195" s="12" t="s">
        <v>37</v>
      </c>
      <c r="DG195" s="13" t="s">
        <v>37</v>
      </c>
      <c r="DM195" s="11" t="s">
        <v>47</v>
      </c>
      <c r="DN195" s="19">
        <f>4.1*("2005/09/30"-"2005/05/01")/("2005/09/01"-"2005/07/20")*10^4/10^3/'[1]classes-1'!$I$82</f>
        <v>157.55702481107656</v>
      </c>
      <c r="DO195" s="12">
        <f>SQRT((1/[2]Classes!$I$82)^2*(0.7*("2005/09/30"-"2005/05/01")/("2005/09/01"-"2005/07/20")*SQRT(3)*10^4/10^3)^2+(-DN195/([2]Classes!$I$82)^2)^2*([2]Classes!$J$82)^2)</f>
        <v>48.678566846799022</v>
      </c>
      <c r="DP195" s="13">
        <v>3</v>
      </c>
      <c r="DQ195" s="19">
        <f t="shared" ref="DQ195:DQ198" si="833">DO195/ABS(DN195)</f>
        <v>0.30895840350608617</v>
      </c>
      <c r="DR195" s="19">
        <f>2.3*("2005/09/30"-"2005/05/01")/("2005/09/01"-"2005/07/20")*10^4/10^3/'[1]classes-1'!$I$83</f>
        <v>113.18254393770165</v>
      </c>
      <c r="DS195" s="12">
        <f>SQRT((1/[2]Classes!$I$83)^2*(0.7*("2005/09/30"-"2005/05/01")/("2005/09/01"-"2005/07/20")*SQRT(3)*10^4/10^3)^2+(-DR195/([2]Classes!$I$83)^2)^2*([2]Classes!$J$83)^2)</f>
        <v>73.207043848592377</v>
      </c>
      <c r="DT195" s="13">
        <v>3</v>
      </c>
      <c r="DU195" s="19">
        <f t="shared" ref="DU195:DU198" si="834">DS195/ABS(DR195)</f>
        <v>0.64680507524983066</v>
      </c>
      <c r="DV195" s="19">
        <f t="shared" si="710"/>
        <v>-44.374480873374907</v>
      </c>
      <c r="DW195" s="12">
        <f t="shared" si="709"/>
        <v>62.164596593672222</v>
      </c>
      <c r="DX195" s="72">
        <f t="shared" si="641"/>
        <v>2576.2913797693359</v>
      </c>
      <c r="DY195" s="72">
        <f t="shared" si="642"/>
        <v>2576.2913797693359</v>
      </c>
      <c r="EA195" s="19" t="s">
        <v>37</v>
      </c>
      <c r="EB195" s="19" t="s">
        <v>37</v>
      </c>
      <c r="EC195" s="72" t="s">
        <v>37</v>
      </c>
      <c r="EE195" s="19" t="s">
        <v>37</v>
      </c>
      <c r="EF195" s="19" t="s">
        <v>37</v>
      </c>
      <c r="EG195" s="12" t="s">
        <v>37</v>
      </c>
      <c r="EM195" s="12" t="s">
        <v>39</v>
      </c>
      <c r="EN195" s="12">
        <v>-8.1</v>
      </c>
      <c r="EO195" s="12">
        <v>1.2</v>
      </c>
      <c r="EP195" s="13">
        <v>3</v>
      </c>
      <c r="EQ195" s="19">
        <f t="shared" si="792"/>
        <v>0.14814814814814814</v>
      </c>
      <c r="ER195" s="12">
        <v>-13.1</v>
      </c>
      <c r="ES195" s="12">
        <v>0.8</v>
      </c>
      <c r="ET195" s="13">
        <v>3</v>
      </c>
      <c r="EU195" s="19">
        <f t="shared" si="793"/>
        <v>6.106870229007634E-2</v>
      </c>
      <c r="EV195" s="19">
        <f t="shared" si="701"/>
        <v>-5</v>
      </c>
      <c r="EW195" s="12">
        <f t="shared" si="702"/>
        <v>1.019803902718557</v>
      </c>
      <c r="EX195" s="19">
        <f t="shared" si="703"/>
        <v>0.69333333333333336</v>
      </c>
      <c r="EY195" s="19">
        <f t="shared" si="704"/>
        <v>0.69333333333333336</v>
      </c>
      <c r="FB195" s="12" t="s">
        <v>37</v>
      </c>
      <c r="FC195" s="12" t="s">
        <v>37</v>
      </c>
      <c r="FD195" s="11" t="s">
        <v>37</v>
      </c>
      <c r="FE195" s="12" t="s">
        <v>37</v>
      </c>
      <c r="FF195" s="20" t="s">
        <v>37</v>
      </c>
      <c r="FG195" s="11" t="s">
        <v>37</v>
      </c>
      <c r="FI195" s="12" t="s">
        <v>37</v>
      </c>
      <c r="FJ195" s="12" t="s">
        <v>37</v>
      </c>
      <c r="FK195" s="11" t="s">
        <v>37</v>
      </c>
      <c r="FL195" s="13" t="s">
        <v>37</v>
      </c>
      <c r="FM195" s="11" t="s">
        <v>37</v>
      </c>
      <c r="FN195" s="11" t="s">
        <v>37</v>
      </c>
      <c r="FP195" s="12" t="s">
        <v>37</v>
      </c>
      <c r="FQ195" s="12" t="s">
        <v>37</v>
      </c>
      <c r="FR195" s="11" t="s">
        <v>37</v>
      </c>
      <c r="FS195" s="13" t="s">
        <v>37</v>
      </c>
      <c r="FT195" s="11" t="s">
        <v>37</v>
      </c>
      <c r="FU195" s="11" t="s">
        <v>37</v>
      </c>
      <c r="FW195" s="12" t="s">
        <v>37</v>
      </c>
      <c r="FX195" s="12" t="s">
        <v>37</v>
      </c>
      <c r="FY195" s="11" t="s">
        <v>37</v>
      </c>
      <c r="FZ195" s="13" t="s">
        <v>37</v>
      </c>
      <c r="GA195" s="11" t="s">
        <v>37</v>
      </c>
      <c r="GB195" s="11" t="s">
        <v>37</v>
      </c>
      <c r="GO195" s="12" t="s">
        <v>660</v>
      </c>
      <c r="GP195" s="12" t="s">
        <v>330</v>
      </c>
      <c r="GQ195" s="12">
        <v>12.5</v>
      </c>
      <c r="GR195" s="12">
        <v>0.1</v>
      </c>
      <c r="GS195" s="13">
        <v>3</v>
      </c>
      <c r="GT195" s="19">
        <f t="shared" ref="GT195:GT198" si="835">GR195/GQ195</f>
        <v>8.0000000000000002E-3</v>
      </c>
      <c r="GU195" s="12">
        <v>12.5</v>
      </c>
      <c r="GV195" s="12">
        <v>0.1</v>
      </c>
      <c r="GW195" s="13">
        <v>3</v>
      </c>
      <c r="GX195" s="19">
        <f t="shared" ref="GX195:GX198" si="836">GV195/GU195</f>
        <v>8.0000000000000002E-3</v>
      </c>
      <c r="GY195" s="19">
        <f t="shared" ref="GY195:GY198" si="837">LN(GU195/GQ195)</f>
        <v>0</v>
      </c>
      <c r="GZ195" s="19">
        <f t="shared" ref="GZ195:GZ198" si="838">GV195^2/(GW195*GU195^2)+GR195^2/(GS195*GQ195^2)</f>
        <v>4.2666666666666676E-5</v>
      </c>
      <c r="HA195" s="17" t="s">
        <v>63</v>
      </c>
      <c r="HB195" s="34" t="s">
        <v>372</v>
      </c>
      <c r="HC195" s="12">
        <v>0.09</v>
      </c>
      <c r="HD195" s="50">
        <f>ABS(HC195)*HF$474</f>
        <v>1.5517056883184187E-2</v>
      </c>
      <c r="HE195" s="13">
        <v>3</v>
      </c>
      <c r="IK195" s="12" t="s">
        <v>37</v>
      </c>
      <c r="IL195" s="12" t="s">
        <v>37</v>
      </c>
      <c r="IM195" s="12" t="s">
        <v>37</v>
      </c>
      <c r="IO195" s="12" t="s">
        <v>37</v>
      </c>
      <c r="IP195" s="12" t="s">
        <v>37</v>
      </c>
      <c r="IQ195" s="12" t="s">
        <v>37</v>
      </c>
      <c r="IV195" s="34" t="s">
        <v>372</v>
      </c>
      <c r="IW195" s="12">
        <v>5.3</v>
      </c>
      <c r="JH195" s="12" t="s">
        <v>37</v>
      </c>
      <c r="JI195" s="12" t="s">
        <v>37</v>
      </c>
      <c r="JJ195" s="13" t="s">
        <v>37</v>
      </c>
      <c r="JL195" s="12" t="s">
        <v>37</v>
      </c>
      <c r="JM195" s="12" t="s">
        <v>37</v>
      </c>
      <c r="JN195" s="12" t="s">
        <v>37</v>
      </c>
      <c r="JS195" s="12" t="s">
        <v>37</v>
      </c>
      <c r="JT195" s="12" t="s">
        <v>37</v>
      </c>
      <c r="JU195" s="13" t="s">
        <v>37</v>
      </c>
      <c r="JW195" s="12" t="s">
        <v>37</v>
      </c>
      <c r="JX195" s="12" t="s">
        <v>37</v>
      </c>
      <c r="JY195" s="12" t="s">
        <v>37</v>
      </c>
      <c r="KE195" s="12" t="s">
        <v>37</v>
      </c>
      <c r="KF195" s="12" t="s">
        <v>37</v>
      </c>
      <c r="KG195" s="13" t="s">
        <v>37</v>
      </c>
      <c r="KH195" s="12" t="s">
        <v>37</v>
      </c>
      <c r="KI195" s="12" t="s">
        <v>37</v>
      </c>
      <c r="KJ195" s="12" t="s">
        <v>37</v>
      </c>
      <c r="KM195" s="12" t="s">
        <v>37</v>
      </c>
      <c r="KN195" s="12" t="s">
        <v>37</v>
      </c>
      <c r="KO195" s="11" t="s">
        <v>37</v>
      </c>
      <c r="KQ195" s="12" t="s">
        <v>37</v>
      </c>
      <c r="KR195" s="12" t="s">
        <v>37</v>
      </c>
      <c r="KS195" s="12" t="s">
        <v>37</v>
      </c>
      <c r="KX195" s="12" t="s">
        <v>37</v>
      </c>
      <c r="KY195" s="12" t="s">
        <v>37</v>
      </c>
      <c r="KZ195" s="13" t="s">
        <v>37</v>
      </c>
      <c r="LB195" s="12" t="s">
        <v>37</v>
      </c>
      <c r="LC195" s="12" t="s">
        <v>37</v>
      </c>
      <c r="LD195" s="13" t="s">
        <v>37</v>
      </c>
      <c r="LI195" s="12" t="s">
        <v>37</v>
      </c>
      <c r="LJ195" s="12" t="s">
        <v>37</v>
      </c>
      <c r="LK195" s="12" t="s">
        <v>37</v>
      </c>
      <c r="LM195" s="12" t="s">
        <v>37</v>
      </c>
      <c r="LN195" s="12" t="s">
        <v>37</v>
      </c>
      <c r="LO195" s="12" t="s">
        <v>37</v>
      </c>
      <c r="LU195" s="12" t="s">
        <v>37</v>
      </c>
      <c r="LV195" s="12" t="s">
        <v>37</v>
      </c>
      <c r="LW195" s="13" t="s">
        <v>37</v>
      </c>
      <c r="LY195" s="12" t="s">
        <v>37</v>
      </c>
      <c r="LZ195" s="12" t="s">
        <v>37</v>
      </c>
      <c r="MA195" s="12" t="s">
        <v>37</v>
      </c>
      <c r="MF195" s="12" t="s">
        <v>37</v>
      </c>
      <c r="MG195" s="12" t="s">
        <v>37</v>
      </c>
      <c r="MH195" s="12" t="s">
        <v>37</v>
      </c>
      <c r="MJ195" s="12" t="s">
        <v>37</v>
      </c>
      <c r="MK195" s="12" t="s">
        <v>37</v>
      </c>
      <c r="ML195" s="12" t="s">
        <v>37</v>
      </c>
      <c r="MQ195" s="12" t="s">
        <v>37</v>
      </c>
      <c r="MR195" s="12" t="s">
        <v>37</v>
      </c>
      <c r="MS195" s="12" t="s">
        <v>37</v>
      </c>
      <c r="MU195" s="12" t="s">
        <v>37</v>
      </c>
      <c r="MV195" s="12" t="s">
        <v>37</v>
      </c>
      <c r="MW195" s="12" t="s">
        <v>37</v>
      </c>
      <c r="NC195" s="12" t="s">
        <v>37</v>
      </c>
      <c r="ND195" s="12" t="s">
        <v>37</v>
      </c>
      <c r="NE195" s="12" t="s">
        <v>37</v>
      </c>
      <c r="NG195" s="12" t="s">
        <v>37</v>
      </c>
      <c r="NH195" s="12" t="s">
        <v>37</v>
      </c>
      <c r="NI195" s="12" t="s">
        <v>37</v>
      </c>
      <c r="NO195" s="12" t="s">
        <v>37</v>
      </c>
      <c r="NP195" s="12" t="s">
        <v>37</v>
      </c>
      <c r="NQ195" s="12" t="s">
        <v>37</v>
      </c>
      <c r="NS195" s="12" t="s">
        <v>37</v>
      </c>
      <c r="NT195" s="12" t="s">
        <v>37</v>
      </c>
      <c r="NU195" s="12" t="s">
        <v>37</v>
      </c>
      <c r="OA195" s="12" t="s">
        <v>37</v>
      </c>
      <c r="OB195" s="12" t="s">
        <v>37</v>
      </c>
      <c r="OC195" s="12" t="s">
        <v>37</v>
      </c>
      <c r="OD195" s="12"/>
      <c r="OE195" s="12" t="s">
        <v>37</v>
      </c>
      <c r="OF195" s="12" t="s">
        <v>37</v>
      </c>
      <c r="OG195" s="12" t="s">
        <v>37</v>
      </c>
      <c r="OH195" s="12"/>
      <c r="OI195" s="12"/>
      <c r="OJ195" s="12"/>
      <c r="OM195" s="12" t="s">
        <v>37</v>
      </c>
      <c r="ON195" s="12" t="s">
        <v>37</v>
      </c>
      <c r="OO195" s="12" t="s">
        <v>37</v>
      </c>
      <c r="OP195" s="12" t="s">
        <v>37</v>
      </c>
      <c r="OQ195" s="12" t="s">
        <v>37</v>
      </c>
      <c r="OR195" s="12" t="s">
        <v>37</v>
      </c>
      <c r="OS195" s="12"/>
      <c r="OT195" s="12"/>
      <c r="OW195" s="12" t="s">
        <v>37</v>
      </c>
      <c r="OX195" s="12" t="s">
        <v>37</v>
      </c>
      <c r="OY195" s="13" t="s">
        <v>37</v>
      </c>
      <c r="OZ195" s="12" t="s">
        <v>37</v>
      </c>
      <c r="PA195" s="12" t="s">
        <v>37</v>
      </c>
      <c r="PB195" s="13" t="s">
        <v>37</v>
      </c>
      <c r="PG195" s="11" t="s">
        <v>37</v>
      </c>
      <c r="PH195" s="11" t="s">
        <v>37</v>
      </c>
      <c r="PI195" s="13" t="s">
        <v>37</v>
      </c>
      <c r="PJ195" s="11" t="s">
        <v>37</v>
      </c>
      <c r="PK195" s="11" t="s">
        <v>37</v>
      </c>
      <c r="PL195" s="13" t="s">
        <v>37</v>
      </c>
      <c r="PQ195" s="12" t="s">
        <v>37</v>
      </c>
      <c r="PR195" s="12" t="s">
        <v>37</v>
      </c>
      <c r="PS195" s="12" t="s">
        <v>37</v>
      </c>
      <c r="PT195" s="12" t="s">
        <v>37</v>
      </c>
      <c r="PU195" s="12" t="s">
        <v>37</v>
      </c>
      <c r="PV195" s="12" t="s">
        <v>37</v>
      </c>
      <c r="PW195" s="12"/>
      <c r="PX195" s="12"/>
      <c r="PZ195" s="12" t="s">
        <v>37</v>
      </c>
      <c r="QA195" s="12" t="s">
        <v>37</v>
      </c>
      <c r="QB195" s="11" t="s">
        <v>37</v>
      </c>
      <c r="QD195" s="12" t="s">
        <v>37</v>
      </c>
      <c r="QE195" s="12" t="s">
        <v>37</v>
      </c>
      <c r="QF195" s="12" t="s">
        <v>37</v>
      </c>
      <c r="QK195" s="12" t="s">
        <v>37</v>
      </c>
      <c r="QL195" s="12" t="s">
        <v>37</v>
      </c>
      <c r="QM195" s="12" t="s">
        <v>37</v>
      </c>
      <c r="QN195" s="12" t="s">
        <v>37</v>
      </c>
      <c r="QO195" s="12" t="s">
        <v>37</v>
      </c>
      <c r="QP195" s="12" t="s">
        <v>37</v>
      </c>
      <c r="QQ195" s="12"/>
      <c r="QR195" s="12"/>
      <c r="QU195" s="12" t="s">
        <v>37</v>
      </c>
      <c r="QV195" s="12" t="s">
        <v>37</v>
      </c>
      <c r="QW195" s="12" t="s">
        <v>37</v>
      </c>
      <c r="QX195" s="12" t="s">
        <v>37</v>
      </c>
      <c r="QY195" s="12" t="s">
        <v>37</v>
      </c>
      <c r="QZ195" s="12" t="s">
        <v>37</v>
      </c>
      <c r="RC195" s="12" t="s">
        <v>37</v>
      </c>
      <c r="RD195" s="12" t="s">
        <v>37</v>
      </c>
      <c r="RE195" s="13" t="s">
        <v>37</v>
      </c>
      <c r="RF195" s="12" t="s">
        <v>37</v>
      </c>
      <c r="RG195" s="12" t="s">
        <v>37</v>
      </c>
      <c r="RH195" s="13" t="s">
        <v>37</v>
      </c>
      <c r="RK195" s="12" t="s">
        <v>37</v>
      </c>
      <c r="RL195" s="12" t="s">
        <v>37</v>
      </c>
      <c r="RM195" s="11" t="s">
        <v>37</v>
      </c>
      <c r="RN195" s="12" t="s">
        <v>37</v>
      </c>
      <c r="RO195" s="12" t="s">
        <v>37</v>
      </c>
      <c r="RP195" s="11" t="s">
        <v>37</v>
      </c>
      <c r="RS195" s="12" t="s">
        <v>37</v>
      </c>
      <c r="RT195" s="12" t="s">
        <v>37</v>
      </c>
      <c r="RU195" s="12" t="s">
        <v>37</v>
      </c>
      <c r="RV195" s="12" t="s">
        <v>37</v>
      </c>
      <c r="RW195" s="12" t="s">
        <v>37</v>
      </c>
      <c r="RX195" s="12" t="s">
        <v>37</v>
      </c>
      <c r="SA195" s="12" t="s">
        <v>37</v>
      </c>
      <c r="SB195" s="12" t="s">
        <v>37</v>
      </c>
      <c r="SC195" s="12" t="s">
        <v>37</v>
      </c>
      <c r="SD195" s="12" t="s">
        <v>37</v>
      </c>
      <c r="SE195" s="12" t="s">
        <v>37</v>
      </c>
      <c r="SF195" s="12" t="s">
        <v>37</v>
      </c>
      <c r="SI195" s="12" t="s">
        <v>37</v>
      </c>
      <c r="SJ195" s="12" t="s">
        <v>37</v>
      </c>
      <c r="SK195" s="13" t="s">
        <v>37</v>
      </c>
      <c r="SM195" s="12" t="s">
        <v>37</v>
      </c>
      <c r="SN195" s="12" t="s">
        <v>37</v>
      </c>
      <c r="SO195" s="13" t="s">
        <v>37</v>
      </c>
      <c r="SU195" s="12" t="s">
        <v>37</v>
      </c>
      <c r="SV195" s="12" t="s">
        <v>37</v>
      </c>
      <c r="SW195" s="11" t="s">
        <v>37</v>
      </c>
      <c r="SX195" s="12" t="s">
        <v>37</v>
      </c>
      <c r="SY195" s="12" t="s">
        <v>37</v>
      </c>
      <c r="SZ195" s="11" t="s">
        <v>37</v>
      </c>
      <c r="TE195" s="12" t="s">
        <v>37</v>
      </c>
      <c r="TF195" s="12" t="s">
        <v>37</v>
      </c>
      <c r="TG195" s="11" t="s">
        <v>37</v>
      </c>
      <c r="TH195" s="12" t="s">
        <v>37</v>
      </c>
      <c r="TI195" s="12" t="s">
        <v>37</v>
      </c>
      <c r="TJ195" s="11" t="s">
        <v>37</v>
      </c>
      <c r="TO195" s="12" t="s">
        <v>37</v>
      </c>
      <c r="TP195" s="12" t="s">
        <v>37</v>
      </c>
      <c r="TQ195" s="11" t="s">
        <v>37</v>
      </c>
      <c r="TR195" s="12" t="s">
        <v>37</v>
      </c>
      <c r="TS195" s="12" t="s">
        <v>37</v>
      </c>
      <c r="TT195" s="11" t="s">
        <v>37</v>
      </c>
      <c r="TY195" s="12" t="s">
        <v>37</v>
      </c>
      <c r="TZ195" s="12" t="s">
        <v>37</v>
      </c>
      <c r="UA195" s="12" t="s">
        <v>37</v>
      </c>
      <c r="UB195" s="12" t="s">
        <v>37</v>
      </c>
      <c r="UC195" s="12" t="s">
        <v>37</v>
      </c>
      <c r="UD195" s="12" t="s">
        <v>37</v>
      </c>
      <c r="UE195" s="12"/>
      <c r="UF195" s="12"/>
      <c r="UI195" s="12" t="s">
        <v>37</v>
      </c>
      <c r="UJ195" s="12" t="s">
        <v>37</v>
      </c>
      <c r="UK195" s="12" t="s">
        <v>37</v>
      </c>
      <c r="UL195" s="12" t="s">
        <v>37</v>
      </c>
      <c r="UM195" s="12" t="s">
        <v>37</v>
      </c>
      <c r="UN195" s="12" t="s">
        <v>37</v>
      </c>
      <c r="UO195" s="12"/>
      <c r="UP195" s="12"/>
      <c r="UR195" s="12" t="s">
        <v>37</v>
      </c>
      <c r="US195" s="12" t="s">
        <v>37</v>
      </c>
      <c r="UT195" s="12" t="s">
        <v>37</v>
      </c>
      <c r="UU195" s="12" t="s">
        <v>37</v>
      </c>
      <c r="UV195" s="12" t="s">
        <v>37</v>
      </c>
      <c r="UW195" s="12" t="s">
        <v>37</v>
      </c>
      <c r="UX195" s="12"/>
      <c r="UY195" s="12"/>
      <c r="VB195" s="12" t="s">
        <v>37</v>
      </c>
      <c r="VC195" s="12" t="s">
        <v>37</v>
      </c>
      <c r="VD195" s="12" t="s">
        <v>37</v>
      </c>
      <c r="VE195" s="12" t="s">
        <v>37</v>
      </c>
      <c r="VF195" s="12" t="s">
        <v>37</v>
      </c>
      <c r="VG195" s="12" t="s">
        <v>37</v>
      </c>
      <c r="VI195" s="12" t="s">
        <v>37</v>
      </c>
      <c r="VJ195" s="12" t="s">
        <v>37</v>
      </c>
      <c r="VK195" s="12" t="s">
        <v>37</v>
      </c>
      <c r="VL195" s="12" t="s">
        <v>37</v>
      </c>
      <c r="VM195" s="12" t="s">
        <v>37</v>
      </c>
      <c r="VN195" s="12" t="s">
        <v>37</v>
      </c>
      <c r="VO195" s="12" t="s">
        <v>293</v>
      </c>
      <c r="VP195" s="12" t="s">
        <v>330</v>
      </c>
      <c r="VQ195" s="12">
        <v>19.934210526315798</v>
      </c>
      <c r="VR195" s="12">
        <v>6.6839644587943985</v>
      </c>
      <c r="VS195" s="13">
        <v>6</v>
      </c>
      <c r="VT195" s="12">
        <v>11.118421052631581</v>
      </c>
      <c r="VU195" s="12">
        <v>2.4508234666780773</v>
      </c>
      <c r="VV195" s="13">
        <v>6</v>
      </c>
      <c r="VW195" s="19">
        <f>LN(VT195/VQ195)</f>
        <v>-0.58383409058629587</v>
      </c>
      <c r="VX195" s="19">
        <f>VU195^2/(VV195*VT195^2)+VR195^2/(VS195*VQ195^2)</f>
        <v>2.6835978538749906E-2</v>
      </c>
      <c r="WA195" s="13" t="s">
        <v>37</v>
      </c>
      <c r="WB195" s="13" t="s">
        <v>37</v>
      </c>
      <c r="WC195" s="13" t="s">
        <v>37</v>
      </c>
      <c r="WD195" s="13" t="s">
        <v>37</v>
      </c>
      <c r="WE195" s="13" t="s">
        <v>37</v>
      </c>
      <c r="WF195" s="13" t="s">
        <v>37</v>
      </c>
    </row>
    <row r="196" spans="1:604" ht="18" customHeight="1" x14ac:dyDescent="0.3">
      <c r="A196" s="11">
        <v>47</v>
      </c>
      <c r="B196" s="16" t="s">
        <v>291</v>
      </c>
      <c r="C196" s="12" t="s">
        <v>26</v>
      </c>
      <c r="D196" s="12" t="s">
        <v>973</v>
      </c>
      <c r="E196" s="40">
        <v>1</v>
      </c>
      <c r="F196" s="14">
        <v>0</v>
      </c>
      <c r="G196" s="14">
        <v>0</v>
      </c>
      <c r="H196" s="12" t="s">
        <v>82</v>
      </c>
      <c r="I196" s="29">
        <v>64.819999999999993</v>
      </c>
      <c r="J196" s="29">
        <v>-147.87</v>
      </c>
      <c r="K196" s="12" t="s">
        <v>289</v>
      </c>
      <c r="L196" s="12" t="s">
        <v>290</v>
      </c>
      <c r="M196" s="13" t="s">
        <v>37</v>
      </c>
      <c r="N196" s="14">
        <v>-2.9</v>
      </c>
      <c r="O196" s="14">
        <v>269</v>
      </c>
      <c r="P196" s="14" t="s">
        <v>84</v>
      </c>
      <c r="Q196" s="75">
        <f>14/12</f>
        <v>1.1666666666666667</v>
      </c>
      <c r="R196" s="11" t="s">
        <v>1000</v>
      </c>
      <c r="S196" s="12" t="s">
        <v>85</v>
      </c>
      <c r="T196" s="12" t="s">
        <v>138</v>
      </c>
      <c r="U196" s="12" t="s">
        <v>158</v>
      </c>
      <c r="V196" s="12" t="s">
        <v>275</v>
      </c>
      <c r="W196" s="23" t="s">
        <v>292</v>
      </c>
      <c r="X196" s="12" t="s">
        <v>281</v>
      </c>
      <c r="Y196" s="12" t="s">
        <v>37</v>
      </c>
      <c r="Z196" s="12" t="s">
        <v>37</v>
      </c>
      <c r="AA196" s="34" t="s">
        <v>372</v>
      </c>
      <c r="AB196" s="12">
        <v>5.3</v>
      </c>
      <c r="AC196" s="12" t="s">
        <v>42</v>
      </c>
      <c r="AD196" s="32" t="s">
        <v>372</v>
      </c>
      <c r="AE196" s="12">
        <v>410</v>
      </c>
      <c r="AH196" s="12" t="s">
        <v>37</v>
      </c>
      <c r="AK196" s="12" t="s">
        <v>37</v>
      </c>
      <c r="AL196" s="32" t="s">
        <v>547</v>
      </c>
      <c r="AM196" s="12" t="s">
        <v>317</v>
      </c>
      <c r="AN196" s="32" t="s">
        <v>880</v>
      </c>
      <c r="AO196" s="12" t="s">
        <v>29</v>
      </c>
      <c r="AP196" s="12" t="s">
        <v>167</v>
      </c>
      <c r="AQ196" s="12" t="s">
        <v>975</v>
      </c>
      <c r="AR196" s="12" t="s">
        <v>42</v>
      </c>
      <c r="AS196" s="32" t="s">
        <v>372</v>
      </c>
      <c r="AT196" s="12">
        <v>410</v>
      </c>
      <c r="AU196" s="50">
        <f>AT196*AW$474</f>
        <v>35.066129471862816</v>
      </c>
      <c r="AV196" s="13">
        <v>3</v>
      </c>
      <c r="AX196" s="12" t="s">
        <v>326</v>
      </c>
      <c r="AY196" s="12" t="s">
        <v>326</v>
      </c>
      <c r="AZ196" s="13" t="s">
        <v>326</v>
      </c>
      <c r="BE196" s="12" t="s">
        <v>326</v>
      </c>
      <c r="BF196" s="12" t="s">
        <v>326</v>
      </c>
      <c r="BG196" s="12" t="s">
        <v>326</v>
      </c>
      <c r="BI196" s="12" t="s">
        <v>326</v>
      </c>
      <c r="BJ196" s="12" t="s">
        <v>326</v>
      </c>
      <c r="BK196" s="12" t="s">
        <v>326</v>
      </c>
      <c r="BP196" s="12" t="s">
        <v>37</v>
      </c>
      <c r="BQ196" s="12" t="s">
        <v>37</v>
      </c>
      <c r="BR196" s="12" t="s">
        <v>37</v>
      </c>
      <c r="BT196" s="12" t="s">
        <v>37</v>
      </c>
      <c r="BU196" s="12" t="s">
        <v>37</v>
      </c>
      <c r="BV196" s="12" t="s">
        <v>37</v>
      </c>
      <c r="CA196" s="12" t="s">
        <v>37</v>
      </c>
      <c r="CB196" s="12" t="s">
        <v>37</v>
      </c>
      <c r="CC196" s="13" t="s">
        <v>37</v>
      </c>
      <c r="CE196" s="12" t="s">
        <v>37</v>
      </c>
      <c r="CF196" s="12" t="s">
        <v>37</v>
      </c>
      <c r="CG196" s="13" t="s">
        <v>37</v>
      </c>
      <c r="CI196" s="52"/>
      <c r="CJ196" s="52"/>
      <c r="CK196" s="73"/>
      <c r="CL196" s="73"/>
      <c r="CN196" s="12" t="s">
        <v>37</v>
      </c>
      <c r="CO196" s="12" t="s">
        <v>37</v>
      </c>
      <c r="CP196" s="13" t="s">
        <v>37</v>
      </c>
      <c r="CR196" s="12" t="s">
        <v>37</v>
      </c>
      <c r="CS196" s="12" t="s">
        <v>37</v>
      </c>
      <c r="CT196" s="13" t="s">
        <v>37</v>
      </c>
      <c r="CV196" s="52"/>
      <c r="CW196" s="52"/>
      <c r="CX196" s="73"/>
      <c r="CY196" s="73"/>
      <c r="DA196" s="12" t="s">
        <v>37</v>
      </c>
      <c r="DB196" s="12" t="s">
        <v>37</v>
      </c>
      <c r="DC196" s="13" t="s">
        <v>37</v>
      </c>
      <c r="DE196" s="12" t="s">
        <v>37</v>
      </c>
      <c r="DF196" s="12" t="s">
        <v>37</v>
      </c>
      <c r="DG196" s="13" t="s">
        <v>37</v>
      </c>
      <c r="DM196" s="11" t="s">
        <v>47</v>
      </c>
      <c r="DN196" s="19">
        <f>0.9*("2006/09/30"-"2006/05/01")/("2006/09/10"-"2006/06/29")*10^4/10^3/'[1]classes-1'!$I$82</f>
        <v>20.372391781452269</v>
      </c>
      <c r="DO196" s="12">
        <f>SQRT((1/[2]Classes!$I$82)^2*(1.2*("2006/09/30"-"2006/05/01")/("2006/09/10"-"2006/06/29")*SQRT(3)*10^4/10^3)^2+(-DN196/([2]Classes!$I$82)^2)^2*([2]Classes!$J$82)^2)</f>
        <v>47.083328695005008</v>
      </c>
      <c r="DP196" s="13">
        <v>3</v>
      </c>
      <c r="DQ196" s="19">
        <f t="shared" si="833"/>
        <v>2.3111340681103187</v>
      </c>
      <c r="DR196" s="19">
        <f>0.8*("2006/09/30"-"2006/05/01")/("2006/09/10"-"2006/06/29")*10^4/10^3/'[1]classes-1'!$I$83</f>
        <v>23.189276423209868</v>
      </c>
      <c r="DS196" s="12">
        <f>SQRT((1/[2]Classes!$I$83)^2*(1.1*("2006/09/30"-"2006/05/01")/("2006/09/10"-"2006/06/29")*SQRT(3)*10^4/10^3)^2+(-DR196/([2]Classes!$I$83)^2)^2*([2]Classes!$J$83)^2)</f>
        <v>55.90659464438842</v>
      </c>
      <c r="DT196" s="13">
        <v>3</v>
      </c>
      <c r="DU196" s="19">
        <f t="shared" si="834"/>
        <v>2.410881375687608</v>
      </c>
      <c r="DV196" s="19">
        <f t="shared" si="710"/>
        <v>2.8168846417575999</v>
      </c>
      <c r="DW196" s="12">
        <f t="shared" si="709"/>
        <v>51.68359104074446</v>
      </c>
      <c r="DX196" s="72">
        <f t="shared" si="641"/>
        <v>1780.7957219112807</v>
      </c>
      <c r="DY196" s="72">
        <f t="shared" si="642"/>
        <v>1780.7957219112807</v>
      </c>
      <c r="EA196" s="19" t="s">
        <v>37</v>
      </c>
      <c r="EB196" s="19" t="s">
        <v>37</v>
      </c>
      <c r="EC196" s="72" t="s">
        <v>37</v>
      </c>
      <c r="EE196" s="19" t="s">
        <v>37</v>
      </c>
      <c r="EF196" s="19" t="s">
        <v>37</v>
      </c>
      <c r="EG196" s="12" t="s">
        <v>37</v>
      </c>
      <c r="EM196" s="12" t="s">
        <v>39</v>
      </c>
      <c r="EN196" s="12">
        <v>-20.399999999999999</v>
      </c>
      <c r="EO196" s="12">
        <v>2.2999999999999998</v>
      </c>
      <c r="EP196" s="13">
        <v>3</v>
      </c>
      <c r="EQ196" s="19">
        <f t="shared" si="792"/>
        <v>0.11274509803921569</v>
      </c>
      <c r="ER196" s="12">
        <v>-28.4</v>
      </c>
      <c r="ES196" s="12">
        <v>3.2</v>
      </c>
      <c r="ET196" s="13">
        <v>3</v>
      </c>
      <c r="EU196" s="19">
        <f t="shared" si="793"/>
        <v>0.11267605633802819</v>
      </c>
      <c r="EV196" s="19">
        <f t="shared" si="701"/>
        <v>-8</v>
      </c>
      <c r="EW196" s="12">
        <f t="shared" si="702"/>
        <v>2.7865749586185546</v>
      </c>
      <c r="EX196" s="19">
        <f t="shared" si="703"/>
        <v>5.1766666666666667</v>
      </c>
      <c r="EY196" s="19">
        <f t="shared" si="704"/>
        <v>5.1766666666666667</v>
      </c>
      <c r="FB196" s="12" t="s">
        <v>37</v>
      </c>
      <c r="FC196" s="12" t="s">
        <v>37</v>
      </c>
      <c r="FD196" s="11" t="s">
        <v>37</v>
      </c>
      <c r="FE196" s="12" t="s">
        <v>37</v>
      </c>
      <c r="FF196" s="20" t="s">
        <v>37</v>
      </c>
      <c r="FG196" s="11" t="s">
        <v>37</v>
      </c>
      <c r="FI196" s="12" t="s">
        <v>37</v>
      </c>
      <c r="FJ196" s="12" t="s">
        <v>37</v>
      </c>
      <c r="FK196" s="11" t="s">
        <v>37</v>
      </c>
      <c r="FL196" s="13" t="s">
        <v>37</v>
      </c>
      <c r="FM196" s="11" t="s">
        <v>37</v>
      </c>
      <c r="FN196" s="11" t="s">
        <v>37</v>
      </c>
      <c r="FP196" s="12" t="s">
        <v>37</v>
      </c>
      <c r="FQ196" s="12" t="s">
        <v>37</v>
      </c>
      <c r="FR196" s="11" t="s">
        <v>37</v>
      </c>
      <c r="FS196" s="13" t="s">
        <v>37</v>
      </c>
      <c r="FT196" s="11" t="s">
        <v>37</v>
      </c>
      <c r="FU196" s="11" t="s">
        <v>37</v>
      </c>
      <c r="FW196" s="12" t="s">
        <v>37</v>
      </c>
      <c r="FX196" s="12" t="s">
        <v>37</v>
      </c>
      <c r="FY196" s="11" t="s">
        <v>37</v>
      </c>
      <c r="FZ196" s="13" t="s">
        <v>37</v>
      </c>
      <c r="GA196" s="11" t="s">
        <v>37</v>
      </c>
      <c r="GB196" s="11" t="s">
        <v>37</v>
      </c>
      <c r="GO196" s="12" t="s">
        <v>660</v>
      </c>
      <c r="GP196" s="12" t="s">
        <v>330</v>
      </c>
      <c r="GQ196" s="12">
        <v>11.9</v>
      </c>
      <c r="GR196" s="12">
        <v>0.1</v>
      </c>
      <c r="GS196" s="13">
        <v>3</v>
      </c>
      <c r="GT196" s="19">
        <f t="shared" si="835"/>
        <v>8.4033613445378148E-3</v>
      </c>
      <c r="GU196" s="12">
        <v>11.8</v>
      </c>
      <c r="GV196" s="12">
        <v>0.1</v>
      </c>
      <c r="GW196" s="13">
        <v>3</v>
      </c>
      <c r="GX196" s="19">
        <f t="shared" si="836"/>
        <v>8.4745762711864406E-3</v>
      </c>
      <c r="GY196" s="19">
        <f t="shared" si="837"/>
        <v>-8.4388686458645949E-3</v>
      </c>
      <c r="GZ196" s="19">
        <f t="shared" si="838"/>
        <v>4.7478308287676225E-5</v>
      </c>
      <c r="HA196" s="17" t="s">
        <v>63</v>
      </c>
      <c r="HB196" s="34" t="s">
        <v>372</v>
      </c>
      <c r="HC196" s="12">
        <v>0.09</v>
      </c>
      <c r="HD196" s="50">
        <f>ABS(HC196)*HF$474</f>
        <v>1.5517056883184187E-2</v>
      </c>
      <c r="HE196" s="13">
        <v>3</v>
      </c>
      <c r="IK196" s="12" t="s">
        <v>37</v>
      </c>
      <c r="IL196" s="12" t="s">
        <v>37</v>
      </c>
      <c r="IM196" s="12" t="s">
        <v>37</v>
      </c>
      <c r="IO196" s="12" t="s">
        <v>37</v>
      </c>
      <c r="IP196" s="12" t="s">
        <v>37</v>
      </c>
      <c r="IQ196" s="12" t="s">
        <v>37</v>
      </c>
      <c r="IV196" s="34" t="s">
        <v>372</v>
      </c>
      <c r="IW196" s="12">
        <v>5.3</v>
      </c>
      <c r="JH196" s="12" t="s">
        <v>37</v>
      </c>
      <c r="JI196" s="12" t="s">
        <v>37</v>
      </c>
      <c r="JJ196" s="13" t="s">
        <v>37</v>
      </c>
      <c r="JL196" s="12" t="s">
        <v>37</v>
      </c>
      <c r="JM196" s="12" t="s">
        <v>37</v>
      </c>
      <c r="JN196" s="12" t="s">
        <v>37</v>
      </c>
      <c r="JS196" s="12" t="s">
        <v>37</v>
      </c>
      <c r="JT196" s="12" t="s">
        <v>37</v>
      </c>
      <c r="JU196" s="13" t="s">
        <v>37</v>
      </c>
      <c r="JW196" s="12" t="s">
        <v>37</v>
      </c>
      <c r="JX196" s="12" t="s">
        <v>37</v>
      </c>
      <c r="JY196" s="12" t="s">
        <v>37</v>
      </c>
      <c r="KE196" s="12" t="s">
        <v>37</v>
      </c>
      <c r="KF196" s="12" t="s">
        <v>37</v>
      </c>
      <c r="KG196" s="13" t="s">
        <v>37</v>
      </c>
      <c r="KH196" s="12" t="s">
        <v>37</v>
      </c>
      <c r="KI196" s="12" t="s">
        <v>37</v>
      </c>
      <c r="KJ196" s="12" t="s">
        <v>37</v>
      </c>
      <c r="KM196" s="12" t="s">
        <v>37</v>
      </c>
      <c r="KN196" s="12" t="s">
        <v>37</v>
      </c>
      <c r="KO196" s="11" t="s">
        <v>37</v>
      </c>
      <c r="KQ196" s="12" t="s">
        <v>37</v>
      </c>
      <c r="KR196" s="12" t="s">
        <v>37</v>
      </c>
      <c r="KS196" s="12" t="s">
        <v>37</v>
      </c>
      <c r="KX196" s="12" t="s">
        <v>37</v>
      </c>
      <c r="KY196" s="12" t="s">
        <v>37</v>
      </c>
      <c r="KZ196" s="13" t="s">
        <v>37</v>
      </c>
      <c r="LB196" s="12" t="s">
        <v>37</v>
      </c>
      <c r="LC196" s="12" t="s">
        <v>37</v>
      </c>
      <c r="LD196" s="13" t="s">
        <v>37</v>
      </c>
      <c r="LI196" s="12" t="s">
        <v>37</v>
      </c>
      <c r="LJ196" s="12" t="s">
        <v>37</v>
      </c>
      <c r="LK196" s="12" t="s">
        <v>37</v>
      </c>
      <c r="LM196" s="12" t="s">
        <v>37</v>
      </c>
      <c r="LN196" s="12" t="s">
        <v>37</v>
      </c>
      <c r="LO196" s="12" t="s">
        <v>37</v>
      </c>
      <c r="LU196" s="12" t="s">
        <v>37</v>
      </c>
      <c r="LV196" s="12" t="s">
        <v>37</v>
      </c>
      <c r="LW196" s="13" t="s">
        <v>37</v>
      </c>
      <c r="LY196" s="12" t="s">
        <v>37</v>
      </c>
      <c r="LZ196" s="12" t="s">
        <v>37</v>
      </c>
      <c r="MA196" s="12" t="s">
        <v>37</v>
      </c>
      <c r="MF196" s="12" t="s">
        <v>37</v>
      </c>
      <c r="MG196" s="12" t="s">
        <v>37</v>
      </c>
      <c r="MH196" s="12" t="s">
        <v>37</v>
      </c>
      <c r="MJ196" s="12" t="s">
        <v>37</v>
      </c>
      <c r="MK196" s="12" t="s">
        <v>37</v>
      </c>
      <c r="ML196" s="12" t="s">
        <v>37</v>
      </c>
      <c r="MQ196" s="12" t="s">
        <v>37</v>
      </c>
      <c r="MR196" s="12" t="s">
        <v>37</v>
      </c>
      <c r="MS196" s="12" t="s">
        <v>37</v>
      </c>
      <c r="MU196" s="12" t="s">
        <v>37</v>
      </c>
      <c r="MV196" s="12" t="s">
        <v>37</v>
      </c>
      <c r="MW196" s="12" t="s">
        <v>37</v>
      </c>
      <c r="NC196" s="12" t="s">
        <v>37</v>
      </c>
      <c r="ND196" s="12" t="s">
        <v>37</v>
      </c>
      <c r="NE196" s="12" t="s">
        <v>37</v>
      </c>
      <c r="NG196" s="12" t="s">
        <v>37</v>
      </c>
      <c r="NH196" s="12" t="s">
        <v>37</v>
      </c>
      <c r="NI196" s="12" t="s">
        <v>37</v>
      </c>
      <c r="NO196" s="12" t="s">
        <v>37</v>
      </c>
      <c r="NP196" s="12" t="s">
        <v>37</v>
      </c>
      <c r="NQ196" s="12" t="s">
        <v>37</v>
      </c>
      <c r="NS196" s="12" t="s">
        <v>37</v>
      </c>
      <c r="NT196" s="12" t="s">
        <v>37</v>
      </c>
      <c r="NU196" s="12" t="s">
        <v>37</v>
      </c>
      <c r="OA196" s="12" t="s">
        <v>37</v>
      </c>
      <c r="OB196" s="12" t="s">
        <v>37</v>
      </c>
      <c r="OC196" s="12" t="s">
        <v>37</v>
      </c>
      <c r="OD196" s="12"/>
      <c r="OE196" s="12" t="s">
        <v>37</v>
      </c>
      <c r="OF196" s="12" t="s">
        <v>37</v>
      </c>
      <c r="OG196" s="12" t="s">
        <v>37</v>
      </c>
      <c r="OH196" s="12"/>
      <c r="OI196" s="12"/>
      <c r="OJ196" s="12"/>
      <c r="OM196" s="12" t="s">
        <v>37</v>
      </c>
      <c r="ON196" s="12" t="s">
        <v>37</v>
      </c>
      <c r="OO196" s="12" t="s">
        <v>37</v>
      </c>
      <c r="OP196" s="12" t="s">
        <v>37</v>
      </c>
      <c r="OQ196" s="12" t="s">
        <v>37</v>
      </c>
      <c r="OR196" s="12" t="s">
        <v>37</v>
      </c>
      <c r="OS196" s="12"/>
      <c r="OT196" s="12"/>
      <c r="OW196" s="12" t="s">
        <v>37</v>
      </c>
      <c r="OX196" s="12" t="s">
        <v>37</v>
      </c>
      <c r="OY196" s="13" t="s">
        <v>37</v>
      </c>
      <c r="OZ196" s="12" t="s">
        <v>37</v>
      </c>
      <c r="PA196" s="12" t="s">
        <v>37</v>
      </c>
      <c r="PB196" s="13" t="s">
        <v>37</v>
      </c>
      <c r="PG196" s="11" t="s">
        <v>37</v>
      </c>
      <c r="PH196" s="11" t="s">
        <v>37</v>
      </c>
      <c r="PI196" s="13" t="s">
        <v>37</v>
      </c>
      <c r="PJ196" s="11" t="s">
        <v>37</v>
      </c>
      <c r="PK196" s="11" t="s">
        <v>37</v>
      </c>
      <c r="PL196" s="13" t="s">
        <v>37</v>
      </c>
      <c r="PQ196" s="12" t="s">
        <v>37</v>
      </c>
      <c r="PR196" s="12" t="s">
        <v>37</v>
      </c>
      <c r="PS196" s="12" t="s">
        <v>37</v>
      </c>
      <c r="PT196" s="12" t="s">
        <v>37</v>
      </c>
      <c r="PU196" s="12" t="s">
        <v>37</v>
      </c>
      <c r="PV196" s="12" t="s">
        <v>37</v>
      </c>
      <c r="PW196" s="12"/>
      <c r="PX196" s="12"/>
      <c r="PZ196" s="12" t="s">
        <v>37</v>
      </c>
      <c r="QA196" s="12" t="s">
        <v>37</v>
      </c>
      <c r="QB196" s="11" t="s">
        <v>37</v>
      </c>
      <c r="QD196" s="12" t="s">
        <v>37</v>
      </c>
      <c r="QE196" s="12" t="s">
        <v>37</v>
      </c>
      <c r="QF196" s="12" t="s">
        <v>37</v>
      </c>
      <c r="QK196" s="12" t="s">
        <v>37</v>
      </c>
      <c r="QL196" s="12" t="s">
        <v>37</v>
      </c>
      <c r="QM196" s="12" t="s">
        <v>37</v>
      </c>
      <c r="QN196" s="12" t="s">
        <v>37</v>
      </c>
      <c r="QO196" s="12" t="s">
        <v>37</v>
      </c>
      <c r="QP196" s="12" t="s">
        <v>37</v>
      </c>
      <c r="QQ196" s="12"/>
      <c r="QR196" s="12"/>
      <c r="QU196" s="12" t="s">
        <v>37</v>
      </c>
      <c r="QV196" s="12" t="s">
        <v>37</v>
      </c>
      <c r="QW196" s="12" t="s">
        <v>37</v>
      </c>
      <c r="QX196" s="12" t="s">
        <v>37</v>
      </c>
      <c r="QY196" s="12" t="s">
        <v>37</v>
      </c>
      <c r="QZ196" s="12" t="s">
        <v>37</v>
      </c>
      <c r="RC196" s="12" t="s">
        <v>37</v>
      </c>
      <c r="RD196" s="12" t="s">
        <v>37</v>
      </c>
      <c r="RE196" s="13" t="s">
        <v>37</v>
      </c>
      <c r="RF196" s="12" t="s">
        <v>37</v>
      </c>
      <c r="RG196" s="12" t="s">
        <v>37</v>
      </c>
      <c r="RH196" s="13" t="s">
        <v>37</v>
      </c>
      <c r="RK196" s="12" t="s">
        <v>37</v>
      </c>
      <c r="RL196" s="12" t="s">
        <v>37</v>
      </c>
      <c r="RM196" s="11" t="s">
        <v>37</v>
      </c>
      <c r="RN196" s="12" t="s">
        <v>37</v>
      </c>
      <c r="RO196" s="12" t="s">
        <v>37</v>
      </c>
      <c r="RP196" s="11" t="s">
        <v>37</v>
      </c>
      <c r="RS196" s="12" t="s">
        <v>37</v>
      </c>
      <c r="RT196" s="12" t="s">
        <v>37</v>
      </c>
      <c r="RU196" s="12" t="s">
        <v>37</v>
      </c>
      <c r="RV196" s="12" t="s">
        <v>37</v>
      </c>
      <c r="RW196" s="12" t="s">
        <v>37</v>
      </c>
      <c r="RX196" s="12" t="s">
        <v>37</v>
      </c>
      <c r="SA196" s="12" t="s">
        <v>37</v>
      </c>
      <c r="SB196" s="12" t="s">
        <v>37</v>
      </c>
      <c r="SC196" s="12" t="s">
        <v>37</v>
      </c>
      <c r="SD196" s="12" t="s">
        <v>37</v>
      </c>
      <c r="SE196" s="12" t="s">
        <v>37</v>
      </c>
      <c r="SF196" s="12" t="s">
        <v>37</v>
      </c>
      <c r="SI196" s="12" t="s">
        <v>37</v>
      </c>
      <c r="SJ196" s="12" t="s">
        <v>37</v>
      </c>
      <c r="SK196" s="13" t="s">
        <v>37</v>
      </c>
      <c r="SM196" s="12" t="s">
        <v>37</v>
      </c>
      <c r="SN196" s="12" t="s">
        <v>37</v>
      </c>
      <c r="SO196" s="13" t="s">
        <v>37</v>
      </c>
      <c r="SU196" s="12" t="s">
        <v>37</v>
      </c>
      <c r="SV196" s="12" t="s">
        <v>37</v>
      </c>
      <c r="SW196" s="11" t="s">
        <v>37</v>
      </c>
      <c r="SX196" s="12" t="s">
        <v>37</v>
      </c>
      <c r="SY196" s="12" t="s">
        <v>37</v>
      </c>
      <c r="SZ196" s="11" t="s">
        <v>37</v>
      </c>
      <c r="TE196" s="12" t="s">
        <v>37</v>
      </c>
      <c r="TF196" s="12" t="s">
        <v>37</v>
      </c>
      <c r="TG196" s="11" t="s">
        <v>37</v>
      </c>
      <c r="TH196" s="12" t="s">
        <v>37</v>
      </c>
      <c r="TI196" s="12" t="s">
        <v>37</v>
      </c>
      <c r="TJ196" s="11" t="s">
        <v>37</v>
      </c>
      <c r="TO196" s="12" t="s">
        <v>37</v>
      </c>
      <c r="TP196" s="12" t="s">
        <v>37</v>
      </c>
      <c r="TQ196" s="11" t="s">
        <v>37</v>
      </c>
      <c r="TR196" s="12" t="s">
        <v>37</v>
      </c>
      <c r="TS196" s="12" t="s">
        <v>37</v>
      </c>
      <c r="TT196" s="11" t="s">
        <v>37</v>
      </c>
      <c r="TY196" s="12" t="s">
        <v>37</v>
      </c>
      <c r="TZ196" s="12" t="s">
        <v>37</v>
      </c>
      <c r="UA196" s="12" t="s">
        <v>37</v>
      </c>
      <c r="UB196" s="12" t="s">
        <v>37</v>
      </c>
      <c r="UC196" s="12" t="s">
        <v>37</v>
      </c>
      <c r="UD196" s="12" t="s">
        <v>37</v>
      </c>
      <c r="UE196" s="12"/>
      <c r="UF196" s="12"/>
      <c r="UI196" s="12" t="s">
        <v>37</v>
      </c>
      <c r="UJ196" s="12" t="s">
        <v>37</v>
      </c>
      <c r="UK196" s="12" t="s">
        <v>37</v>
      </c>
      <c r="UL196" s="12" t="s">
        <v>37</v>
      </c>
      <c r="UM196" s="12" t="s">
        <v>37</v>
      </c>
      <c r="UN196" s="12" t="s">
        <v>37</v>
      </c>
      <c r="UO196" s="12"/>
      <c r="UP196" s="12"/>
      <c r="UR196" s="12" t="s">
        <v>37</v>
      </c>
      <c r="US196" s="12" t="s">
        <v>37</v>
      </c>
      <c r="UT196" s="12" t="s">
        <v>37</v>
      </c>
      <c r="UU196" s="12" t="s">
        <v>37</v>
      </c>
      <c r="UV196" s="12" t="s">
        <v>37</v>
      </c>
      <c r="UW196" s="12" t="s">
        <v>37</v>
      </c>
      <c r="UX196" s="12"/>
      <c r="UY196" s="12"/>
      <c r="VB196" s="12" t="s">
        <v>37</v>
      </c>
      <c r="VC196" s="12" t="s">
        <v>37</v>
      </c>
      <c r="VD196" s="12" t="s">
        <v>37</v>
      </c>
      <c r="VE196" s="12" t="s">
        <v>37</v>
      </c>
      <c r="VF196" s="12" t="s">
        <v>37</v>
      </c>
      <c r="VG196" s="12" t="s">
        <v>37</v>
      </c>
      <c r="VI196" s="12" t="s">
        <v>37</v>
      </c>
      <c r="VJ196" s="12" t="s">
        <v>37</v>
      </c>
      <c r="VK196" s="12" t="s">
        <v>37</v>
      </c>
      <c r="VL196" s="12" t="s">
        <v>37</v>
      </c>
      <c r="VM196" s="12" t="s">
        <v>37</v>
      </c>
      <c r="VN196" s="12" t="s">
        <v>37</v>
      </c>
      <c r="VO196" s="12" t="s">
        <v>293</v>
      </c>
      <c r="VP196" s="12" t="s">
        <v>330</v>
      </c>
      <c r="VQ196" s="12">
        <v>19.934210526315798</v>
      </c>
      <c r="VR196" s="12">
        <v>6.6839644587943985</v>
      </c>
      <c r="VS196" s="13">
        <v>6</v>
      </c>
      <c r="VT196" s="12">
        <v>11.118421052631581</v>
      </c>
      <c r="VU196" s="12">
        <v>2.4508234666780773</v>
      </c>
      <c r="VV196" s="13">
        <v>6</v>
      </c>
      <c r="VW196" s="19">
        <f>LN(VT196/VQ196)</f>
        <v>-0.58383409058629587</v>
      </c>
      <c r="VX196" s="19">
        <f>VU196^2/(VV196*VT196^2)+VR196^2/(VS196*VQ196^2)</f>
        <v>2.6835978538749906E-2</v>
      </c>
      <c r="WA196" s="13" t="s">
        <v>37</v>
      </c>
      <c r="WB196" s="13" t="s">
        <v>37</v>
      </c>
      <c r="WC196" s="13" t="s">
        <v>37</v>
      </c>
      <c r="WD196" s="13" t="s">
        <v>37</v>
      </c>
      <c r="WE196" s="13" t="s">
        <v>37</v>
      </c>
      <c r="WF196" s="13" t="s">
        <v>37</v>
      </c>
    </row>
    <row r="197" spans="1:604" ht="18" customHeight="1" x14ac:dyDescent="0.3">
      <c r="A197" s="11">
        <v>48</v>
      </c>
      <c r="B197" s="16" t="s">
        <v>288</v>
      </c>
      <c r="C197" s="12" t="s">
        <v>26</v>
      </c>
      <c r="D197" s="12" t="s">
        <v>973</v>
      </c>
      <c r="E197" s="40">
        <v>1</v>
      </c>
      <c r="F197" s="14">
        <v>0</v>
      </c>
      <c r="G197" s="14">
        <v>0</v>
      </c>
      <c r="H197" s="12" t="s">
        <v>82</v>
      </c>
      <c r="I197" s="29">
        <v>64.819999999999993</v>
      </c>
      <c r="J197" s="29">
        <v>-147.87</v>
      </c>
      <c r="K197" s="12" t="s">
        <v>289</v>
      </c>
      <c r="L197" s="12" t="s">
        <v>290</v>
      </c>
      <c r="M197" s="13" t="s">
        <v>37</v>
      </c>
      <c r="N197" s="14">
        <v>-2.9</v>
      </c>
      <c r="O197" s="14">
        <v>269</v>
      </c>
      <c r="P197" s="14" t="s">
        <v>84</v>
      </c>
      <c r="Q197" s="75">
        <f>1/12</f>
        <v>8.3333333333333329E-2</v>
      </c>
      <c r="R197" s="11" t="s">
        <v>1000</v>
      </c>
      <c r="S197" s="12" t="s">
        <v>85</v>
      </c>
      <c r="T197" s="12" t="s">
        <v>138</v>
      </c>
      <c r="U197" s="12" t="s">
        <v>158</v>
      </c>
      <c r="V197" s="12" t="s">
        <v>275</v>
      </c>
      <c r="W197" s="23" t="s">
        <v>292</v>
      </c>
      <c r="X197" s="12" t="s">
        <v>281</v>
      </c>
      <c r="Y197" s="12" t="s">
        <v>37</v>
      </c>
      <c r="Z197" s="12" t="s">
        <v>37</v>
      </c>
      <c r="AA197" s="34" t="s">
        <v>372</v>
      </c>
      <c r="AB197" s="12">
        <v>5.3</v>
      </c>
      <c r="AC197" s="12" t="s">
        <v>42</v>
      </c>
      <c r="AD197" s="32" t="s">
        <v>372</v>
      </c>
      <c r="AE197" s="12">
        <v>410</v>
      </c>
      <c r="AH197" s="12" t="s">
        <v>37</v>
      </c>
      <c r="AK197" s="12" t="s">
        <v>37</v>
      </c>
      <c r="AL197" s="32" t="s">
        <v>546</v>
      </c>
      <c r="AM197" s="12" t="s">
        <v>317</v>
      </c>
      <c r="AN197" s="32" t="s">
        <v>880</v>
      </c>
      <c r="AO197" s="12" t="s">
        <v>318</v>
      </c>
      <c r="AP197" s="12" t="s">
        <v>167</v>
      </c>
      <c r="AQ197" s="12" t="s">
        <v>975</v>
      </c>
      <c r="AR197" s="12" t="s">
        <v>42</v>
      </c>
      <c r="AS197" s="32" t="s">
        <v>372</v>
      </c>
      <c r="AT197" s="12">
        <v>410</v>
      </c>
      <c r="AU197" s="50">
        <f>AT197*AW$474</f>
        <v>35.066129471862816</v>
      </c>
      <c r="AV197" s="13">
        <v>3</v>
      </c>
      <c r="AX197" s="12" t="s">
        <v>326</v>
      </c>
      <c r="AY197" s="12" t="s">
        <v>326</v>
      </c>
      <c r="AZ197" s="13" t="s">
        <v>326</v>
      </c>
      <c r="BE197" s="12" t="s">
        <v>326</v>
      </c>
      <c r="BF197" s="12" t="s">
        <v>326</v>
      </c>
      <c r="BG197" s="12" t="s">
        <v>326</v>
      </c>
      <c r="BI197" s="12" t="s">
        <v>326</v>
      </c>
      <c r="BJ197" s="12" t="s">
        <v>326</v>
      </c>
      <c r="BK197" s="12" t="s">
        <v>326</v>
      </c>
      <c r="BP197" s="12" t="s">
        <v>37</v>
      </c>
      <c r="BQ197" s="12" t="s">
        <v>37</v>
      </c>
      <c r="BR197" s="12" t="s">
        <v>37</v>
      </c>
      <c r="BT197" s="12" t="s">
        <v>37</v>
      </c>
      <c r="BU197" s="12" t="s">
        <v>37</v>
      </c>
      <c r="BV197" s="12" t="s">
        <v>37</v>
      </c>
      <c r="CA197" s="12" t="s">
        <v>37</v>
      </c>
      <c r="CB197" s="12" t="s">
        <v>37</v>
      </c>
      <c r="CC197" s="13" t="s">
        <v>37</v>
      </c>
      <c r="CE197" s="12" t="s">
        <v>37</v>
      </c>
      <c r="CF197" s="12" t="s">
        <v>37</v>
      </c>
      <c r="CG197" s="13" t="s">
        <v>37</v>
      </c>
      <c r="CI197" s="52"/>
      <c r="CJ197" s="52"/>
      <c r="CK197" s="73"/>
      <c r="CL197" s="73"/>
      <c r="CN197" s="12" t="s">
        <v>37</v>
      </c>
      <c r="CO197" s="12" t="s">
        <v>37</v>
      </c>
      <c r="CP197" s="13" t="s">
        <v>37</v>
      </c>
      <c r="CR197" s="12" t="s">
        <v>37</v>
      </c>
      <c r="CS197" s="12" t="s">
        <v>37</v>
      </c>
      <c r="CT197" s="13" t="s">
        <v>37</v>
      </c>
      <c r="CV197" s="52"/>
      <c r="CW197" s="52"/>
      <c r="CX197" s="73"/>
      <c r="CY197" s="73"/>
      <c r="CZ197" s="12" t="s">
        <v>47</v>
      </c>
      <c r="DA197" s="12">
        <f>-14.155722326454*("2005/09/30"-"2005/05/01")*44/12/'[8]classess-1'!$I$29</f>
        <v>-6476.6640398246809</v>
      </c>
      <c r="DB197" s="12">
        <f>SQRT((1/[7]Classess!$I$29)^2*(6.23306995627375*("2005/09/30"-"2005/05/01")*44/12)^2+(-DA197/([7]Classess!$I$29)^2)^2*([7]Classess!$J$29)^6)</f>
        <v>2851.847869896872</v>
      </c>
      <c r="DC197" s="13">
        <v>3</v>
      </c>
      <c r="DD197" s="19">
        <f t="shared" ref="DD197:DD198" si="839">DB197/ABS(DA197)</f>
        <v>0.44032666390614106</v>
      </c>
      <c r="DE197" s="12">
        <f>-1.88650306748467*("2005/09/30"-"2005/05/01")*44/12/'[8]classess-1'!$I$30</f>
        <v>303.7999143045227</v>
      </c>
      <c r="DF197" s="12">
        <f>SQRT((1/[7]Classess!$I$30)^2*(4.64027629650038*("2005/09/30"-"2005/05/01")*44/12)^2+(-DE197/([7]Classess!$I$30)^2)^2*([7]Classess!$J$30)^2)</f>
        <v>833.8763402434389</v>
      </c>
      <c r="DG197" s="13">
        <v>3</v>
      </c>
      <c r="DH197" s="19">
        <f>DF197/ABS(DE197)</f>
        <v>2.7448208540558658</v>
      </c>
      <c r="DI197" s="19">
        <f t="shared" ref="DI197:DI202" si="840">DE197-DA197</f>
        <v>6780.4639541292036</v>
      </c>
      <c r="DJ197" s="12">
        <f t="shared" ref="DJ197:DJ202" si="841">SQRT(((DC197-1)*DB197^2+(DG197-1)*DF197^2)/(DC197+DG197-2))</f>
        <v>2100.9980989821383</v>
      </c>
      <c r="DK197" s="72">
        <f t="shared" ref="DK197:DK202" si="842">(((DC197+DG197)/(DC197*DG197))*(((DC197-1)*DB197^2)+(DG197-1)*DF197^2)/(DC197+DG197-2))</f>
        <v>2942795.3412843724</v>
      </c>
      <c r="DL197" s="72">
        <f t="shared" ref="DL197:DL202" si="843">(DB197^2/DC197)+(DF197^2/DG197)</f>
        <v>2942795.3412843724</v>
      </c>
      <c r="DM197" s="11" t="s">
        <v>47</v>
      </c>
      <c r="DN197" s="19">
        <f>0.707264027838191*("2005/09/30"-"2005/05/01")*16/12/'[1]classes-1'!$I$82</f>
        <v>155.82698820258872</v>
      </c>
      <c r="DO197" s="12">
        <f>SQRT((1/[2]Classes!$I$82)^2*(0.0832061235251368*("2005/09/30"-"2005/05/01")*16/12)^2+(-DN197/([2]Classes!$I$82)^2)^2*([2]Classes!$J$82)^2)</f>
        <v>23.032741265577613</v>
      </c>
      <c r="DP197" s="13">
        <v>3</v>
      </c>
      <c r="DQ197" s="19">
        <f t="shared" si="833"/>
        <v>0.14780970569509458</v>
      </c>
      <c r="DR197" s="19">
        <f>0.398550724637681*("2005/09/30"-"2005/05/01")*16/12/'[1]classes-1'!$I$83</f>
        <v>112.44558555457438</v>
      </c>
      <c r="DS197" s="12">
        <f>SQRT((1/[2]Classes!$I$83)^2*(0.0602552058420507*("2005/09/30"-"2005/05/01")*16/12)^2+(-DR197/([2]Classes!$I$83)^2)^2*([2]Classes!$J$83)^2)</f>
        <v>45.444038695017397</v>
      </c>
      <c r="DT197" s="13">
        <v>3</v>
      </c>
      <c r="DU197" s="19">
        <f t="shared" si="834"/>
        <v>0.40414248786104257</v>
      </c>
      <c r="DV197" s="19">
        <f t="shared" si="710"/>
        <v>-43.381402648014344</v>
      </c>
      <c r="DW197" s="12">
        <f t="shared" si="709"/>
        <v>36.025461989551779</v>
      </c>
      <c r="DX197" s="72">
        <f t="shared" si="641"/>
        <v>865.2226077070934</v>
      </c>
      <c r="DY197" s="72">
        <f t="shared" si="642"/>
        <v>865.22260770709352</v>
      </c>
      <c r="EA197" s="19" t="s">
        <v>37</v>
      </c>
      <c r="EB197" s="19" t="s">
        <v>37</v>
      </c>
      <c r="EC197" s="72" t="s">
        <v>37</v>
      </c>
      <c r="EE197" s="19" t="s">
        <v>37</v>
      </c>
      <c r="EF197" s="19" t="s">
        <v>37</v>
      </c>
      <c r="EG197" s="12" t="s">
        <v>37</v>
      </c>
      <c r="EM197" s="12" t="s">
        <v>39</v>
      </c>
      <c r="EN197" s="12">
        <v>-8.1</v>
      </c>
      <c r="EO197" s="12">
        <v>1.2</v>
      </c>
      <c r="EP197" s="13">
        <v>3</v>
      </c>
      <c r="EQ197" s="19">
        <f t="shared" si="792"/>
        <v>0.14814814814814814</v>
      </c>
      <c r="ER197" s="12">
        <v>-13.1</v>
      </c>
      <c r="ES197" s="12">
        <v>0.8</v>
      </c>
      <c r="ET197" s="13">
        <v>3</v>
      </c>
      <c r="EU197" s="19">
        <f t="shared" si="793"/>
        <v>6.106870229007634E-2</v>
      </c>
      <c r="EV197" s="19">
        <f t="shared" si="701"/>
        <v>-5</v>
      </c>
      <c r="EW197" s="12">
        <f t="shared" si="702"/>
        <v>1.019803902718557</v>
      </c>
      <c r="EX197" s="19">
        <f t="shared" si="703"/>
        <v>0.69333333333333336</v>
      </c>
      <c r="EY197" s="19">
        <f t="shared" si="704"/>
        <v>0.69333333333333336</v>
      </c>
      <c r="FB197" s="12" t="s">
        <v>37</v>
      </c>
      <c r="FC197" s="12" t="s">
        <v>37</v>
      </c>
      <c r="FD197" s="11" t="s">
        <v>37</v>
      </c>
      <c r="FE197" s="12" t="s">
        <v>37</v>
      </c>
      <c r="FF197" s="20" t="s">
        <v>37</v>
      </c>
      <c r="FG197" s="11" t="s">
        <v>37</v>
      </c>
      <c r="FI197" s="12" t="s">
        <v>37</v>
      </c>
      <c r="FJ197" s="12" t="s">
        <v>37</v>
      </c>
      <c r="FK197" s="11" t="s">
        <v>37</v>
      </c>
      <c r="FL197" s="13" t="s">
        <v>37</v>
      </c>
      <c r="FM197" s="11" t="s">
        <v>37</v>
      </c>
      <c r="FN197" s="11" t="s">
        <v>37</v>
      </c>
      <c r="FP197" s="12" t="s">
        <v>37</v>
      </c>
      <c r="FQ197" s="12" t="s">
        <v>37</v>
      </c>
      <c r="FR197" s="11" t="s">
        <v>37</v>
      </c>
      <c r="FS197" s="13" t="s">
        <v>37</v>
      </c>
      <c r="FT197" s="11" t="s">
        <v>37</v>
      </c>
      <c r="FU197" s="11" t="s">
        <v>37</v>
      </c>
      <c r="FW197" s="12" t="s">
        <v>37</v>
      </c>
      <c r="FX197" s="12" t="s">
        <v>37</v>
      </c>
      <c r="FY197" s="11" t="s">
        <v>37</v>
      </c>
      <c r="FZ197" s="13" t="s">
        <v>37</v>
      </c>
      <c r="GA197" s="11" t="s">
        <v>37</v>
      </c>
      <c r="GB197" s="11" t="s">
        <v>37</v>
      </c>
      <c r="GO197" s="12" t="s">
        <v>660</v>
      </c>
      <c r="GP197" s="12" t="s">
        <v>330</v>
      </c>
      <c r="GQ197" s="12">
        <v>12.5</v>
      </c>
      <c r="GR197" s="12">
        <v>0.1</v>
      </c>
      <c r="GS197" s="13">
        <v>3</v>
      </c>
      <c r="GT197" s="19">
        <f t="shared" si="835"/>
        <v>8.0000000000000002E-3</v>
      </c>
      <c r="GU197" s="12">
        <v>12.5</v>
      </c>
      <c r="GV197" s="12">
        <v>0.1</v>
      </c>
      <c r="GW197" s="13">
        <v>3</v>
      </c>
      <c r="GX197" s="19">
        <f t="shared" si="836"/>
        <v>8.0000000000000002E-3</v>
      </c>
      <c r="GY197" s="19">
        <f t="shared" si="837"/>
        <v>0</v>
      </c>
      <c r="GZ197" s="19">
        <f t="shared" si="838"/>
        <v>4.2666666666666676E-5</v>
      </c>
      <c r="HA197" s="17" t="s">
        <v>63</v>
      </c>
      <c r="HB197" s="34" t="s">
        <v>372</v>
      </c>
      <c r="HC197" s="12">
        <v>0.09</v>
      </c>
      <c r="HD197" s="50">
        <f>ABS(HC197)*HF$474</f>
        <v>1.5517056883184187E-2</v>
      </c>
      <c r="HE197" s="13">
        <v>3</v>
      </c>
      <c r="IK197" s="12" t="s">
        <v>37</v>
      </c>
      <c r="IL197" s="12" t="s">
        <v>37</v>
      </c>
      <c r="IM197" s="12" t="s">
        <v>37</v>
      </c>
      <c r="IO197" s="12" t="s">
        <v>37</v>
      </c>
      <c r="IP197" s="12" t="s">
        <v>37</v>
      </c>
      <c r="IQ197" s="12" t="s">
        <v>37</v>
      </c>
      <c r="IV197" s="34" t="s">
        <v>372</v>
      </c>
      <c r="IW197" s="12">
        <v>5.3</v>
      </c>
      <c r="JH197" s="12" t="s">
        <v>37</v>
      </c>
      <c r="JI197" s="12" t="s">
        <v>37</v>
      </c>
      <c r="JJ197" s="13" t="s">
        <v>37</v>
      </c>
      <c r="JL197" s="12" t="s">
        <v>37</v>
      </c>
      <c r="JM197" s="12" t="s">
        <v>37</v>
      </c>
      <c r="JN197" s="12" t="s">
        <v>37</v>
      </c>
      <c r="JS197" s="12" t="s">
        <v>37</v>
      </c>
      <c r="JT197" s="12" t="s">
        <v>37</v>
      </c>
      <c r="JU197" s="13" t="s">
        <v>37</v>
      </c>
      <c r="JW197" s="12" t="s">
        <v>37</v>
      </c>
      <c r="JX197" s="12" t="s">
        <v>37</v>
      </c>
      <c r="JY197" s="12" t="s">
        <v>37</v>
      </c>
      <c r="KE197" s="12" t="s">
        <v>37</v>
      </c>
      <c r="KF197" s="12" t="s">
        <v>37</v>
      </c>
      <c r="KG197" s="13" t="s">
        <v>37</v>
      </c>
      <c r="KH197" s="12" t="s">
        <v>37</v>
      </c>
      <c r="KI197" s="12" t="s">
        <v>37</v>
      </c>
      <c r="KJ197" s="12" t="s">
        <v>37</v>
      </c>
      <c r="KM197" s="12" t="s">
        <v>37</v>
      </c>
      <c r="KN197" s="12" t="s">
        <v>37</v>
      </c>
      <c r="KO197" s="11" t="s">
        <v>37</v>
      </c>
      <c r="KQ197" s="12" t="s">
        <v>37</v>
      </c>
      <c r="KR197" s="12" t="s">
        <v>37</v>
      </c>
      <c r="KS197" s="12" t="s">
        <v>37</v>
      </c>
      <c r="KX197" s="12" t="s">
        <v>37</v>
      </c>
      <c r="KY197" s="12" t="s">
        <v>37</v>
      </c>
      <c r="KZ197" s="13" t="s">
        <v>37</v>
      </c>
      <c r="LB197" s="12" t="s">
        <v>37</v>
      </c>
      <c r="LC197" s="12" t="s">
        <v>37</v>
      </c>
      <c r="LD197" s="13" t="s">
        <v>37</v>
      </c>
      <c r="LI197" s="12" t="s">
        <v>37</v>
      </c>
      <c r="LJ197" s="12" t="s">
        <v>37</v>
      </c>
      <c r="LK197" s="12" t="s">
        <v>37</v>
      </c>
      <c r="LM197" s="12" t="s">
        <v>37</v>
      </c>
      <c r="LN197" s="12" t="s">
        <v>37</v>
      </c>
      <c r="LO197" s="12" t="s">
        <v>37</v>
      </c>
      <c r="LU197" s="12" t="s">
        <v>37</v>
      </c>
      <c r="LV197" s="12" t="s">
        <v>37</v>
      </c>
      <c r="LW197" s="13" t="s">
        <v>37</v>
      </c>
      <c r="LY197" s="12" t="s">
        <v>37</v>
      </c>
      <c r="LZ197" s="12" t="s">
        <v>37</v>
      </c>
      <c r="MA197" s="12" t="s">
        <v>37</v>
      </c>
      <c r="MF197" s="12" t="s">
        <v>37</v>
      </c>
      <c r="MG197" s="12" t="s">
        <v>37</v>
      </c>
      <c r="MH197" s="12" t="s">
        <v>37</v>
      </c>
      <c r="MJ197" s="12" t="s">
        <v>37</v>
      </c>
      <c r="MK197" s="12" t="s">
        <v>37</v>
      </c>
      <c r="ML197" s="12" t="s">
        <v>37</v>
      </c>
      <c r="MQ197" s="12" t="s">
        <v>37</v>
      </c>
      <c r="MR197" s="12" t="s">
        <v>37</v>
      </c>
      <c r="MS197" s="12" t="s">
        <v>37</v>
      </c>
      <c r="MU197" s="12" t="s">
        <v>37</v>
      </c>
      <c r="MV197" s="12" t="s">
        <v>37</v>
      </c>
      <c r="MW197" s="12" t="s">
        <v>37</v>
      </c>
      <c r="NC197" s="12" t="s">
        <v>37</v>
      </c>
      <c r="ND197" s="12" t="s">
        <v>37</v>
      </c>
      <c r="NE197" s="12" t="s">
        <v>37</v>
      </c>
      <c r="NG197" s="12" t="s">
        <v>37</v>
      </c>
      <c r="NH197" s="12" t="s">
        <v>37</v>
      </c>
      <c r="NI197" s="12" t="s">
        <v>37</v>
      </c>
      <c r="NO197" s="12" t="s">
        <v>37</v>
      </c>
      <c r="NP197" s="12" t="s">
        <v>37</v>
      </c>
      <c r="NQ197" s="12" t="s">
        <v>37</v>
      </c>
      <c r="NS197" s="12" t="s">
        <v>37</v>
      </c>
      <c r="NT197" s="12" t="s">
        <v>37</v>
      </c>
      <c r="NU197" s="12" t="s">
        <v>37</v>
      </c>
      <c r="OA197" s="12" t="s">
        <v>37</v>
      </c>
      <c r="OB197" s="12" t="s">
        <v>37</v>
      </c>
      <c r="OC197" s="12" t="s">
        <v>37</v>
      </c>
      <c r="OD197" s="12"/>
      <c r="OE197" s="12" t="s">
        <v>37</v>
      </c>
      <c r="OF197" s="12" t="s">
        <v>37</v>
      </c>
      <c r="OG197" s="12" t="s">
        <v>37</v>
      </c>
      <c r="OH197" s="12"/>
      <c r="OI197" s="12"/>
      <c r="OJ197" s="12"/>
      <c r="OM197" s="12" t="s">
        <v>37</v>
      </c>
      <c r="ON197" s="12" t="s">
        <v>37</v>
      </c>
      <c r="OO197" s="12" t="s">
        <v>37</v>
      </c>
      <c r="OP197" s="12" t="s">
        <v>37</v>
      </c>
      <c r="OQ197" s="12" t="s">
        <v>37</v>
      </c>
      <c r="OR197" s="12" t="s">
        <v>37</v>
      </c>
      <c r="OS197" s="12"/>
      <c r="OT197" s="12"/>
      <c r="OW197" s="12" t="s">
        <v>37</v>
      </c>
      <c r="OX197" s="12" t="s">
        <v>37</v>
      </c>
      <c r="OY197" s="13" t="s">
        <v>37</v>
      </c>
      <c r="OZ197" s="12" t="s">
        <v>37</v>
      </c>
      <c r="PA197" s="12" t="s">
        <v>37</v>
      </c>
      <c r="PB197" s="13" t="s">
        <v>37</v>
      </c>
      <c r="PG197" s="11" t="s">
        <v>37</v>
      </c>
      <c r="PH197" s="11" t="s">
        <v>37</v>
      </c>
      <c r="PI197" s="13" t="s">
        <v>37</v>
      </c>
      <c r="PJ197" s="11" t="s">
        <v>37</v>
      </c>
      <c r="PK197" s="11" t="s">
        <v>37</v>
      </c>
      <c r="PL197" s="13" t="s">
        <v>37</v>
      </c>
      <c r="PQ197" s="12" t="s">
        <v>37</v>
      </c>
      <c r="PR197" s="12" t="s">
        <v>37</v>
      </c>
      <c r="PS197" s="12" t="s">
        <v>37</v>
      </c>
      <c r="PT197" s="12" t="s">
        <v>37</v>
      </c>
      <c r="PU197" s="12" t="s">
        <v>37</v>
      </c>
      <c r="PV197" s="12" t="s">
        <v>37</v>
      </c>
      <c r="PW197" s="12"/>
      <c r="PX197" s="12"/>
      <c r="PZ197" s="12" t="s">
        <v>37</v>
      </c>
      <c r="QA197" s="12" t="s">
        <v>37</v>
      </c>
      <c r="QB197" s="11" t="s">
        <v>37</v>
      </c>
      <c r="QD197" s="12" t="s">
        <v>37</v>
      </c>
      <c r="QE197" s="12" t="s">
        <v>37</v>
      </c>
      <c r="QF197" s="12" t="s">
        <v>37</v>
      </c>
      <c r="QK197" s="12" t="s">
        <v>37</v>
      </c>
      <c r="QL197" s="12" t="s">
        <v>37</v>
      </c>
      <c r="QM197" s="12" t="s">
        <v>37</v>
      </c>
      <c r="QN197" s="12" t="s">
        <v>37</v>
      </c>
      <c r="QO197" s="12" t="s">
        <v>37</v>
      </c>
      <c r="QP197" s="12" t="s">
        <v>37</v>
      </c>
      <c r="QQ197" s="12"/>
      <c r="QR197" s="12"/>
      <c r="QU197" s="12" t="s">
        <v>37</v>
      </c>
      <c r="QV197" s="12" t="s">
        <v>37</v>
      </c>
      <c r="QW197" s="12" t="s">
        <v>37</v>
      </c>
      <c r="QX197" s="12" t="s">
        <v>37</v>
      </c>
      <c r="QY197" s="12" t="s">
        <v>37</v>
      </c>
      <c r="QZ197" s="12" t="s">
        <v>37</v>
      </c>
      <c r="RC197" s="12" t="s">
        <v>37</v>
      </c>
      <c r="RD197" s="12" t="s">
        <v>37</v>
      </c>
      <c r="RE197" s="13" t="s">
        <v>37</v>
      </c>
      <c r="RF197" s="12" t="s">
        <v>37</v>
      </c>
      <c r="RG197" s="12" t="s">
        <v>37</v>
      </c>
      <c r="RH197" s="13" t="s">
        <v>37</v>
      </c>
      <c r="RK197" s="12" t="s">
        <v>37</v>
      </c>
      <c r="RL197" s="12" t="s">
        <v>37</v>
      </c>
      <c r="RM197" s="11" t="s">
        <v>37</v>
      </c>
      <c r="RN197" s="12" t="s">
        <v>37</v>
      </c>
      <c r="RO197" s="12" t="s">
        <v>37</v>
      </c>
      <c r="RP197" s="11" t="s">
        <v>37</v>
      </c>
      <c r="RS197" s="12" t="s">
        <v>37</v>
      </c>
      <c r="RT197" s="12" t="s">
        <v>37</v>
      </c>
      <c r="RU197" s="12" t="s">
        <v>37</v>
      </c>
      <c r="RV197" s="12" t="s">
        <v>37</v>
      </c>
      <c r="RW197" s="12" t="s">
        <v>37</v>
      </c>
      <c r="RX197" s="12" t="s">
        <v>37</v>
      </c>
      <c r="SA197" s="12" t="s">
        <v>37</v>
      </c>
      <c r="SB197" s="12" t="s">
        <v>37</v>
      </c>
      <c r="SC197" s="12" t="s">
        <v>37</v>
      </c>
      <c r="SD197" s="12" t="s">
        <v>37</v>
      </c>
      <c r="SE197" s="12" t="s">
        <v>37</v>
      </c>
      <c r="SF197" s="12" t="s">
        <v>37</v>
      </c>
      <c r="SI197" s="12" t="s">
        <v>37</v>
      </c>
      <c r="SJ197" s="12" t="s">
        <v>37</v>
      </c>
      <c r="SK197" s="13" t="s">
        <v>37</v>
      </c>
      <c r="SM197" s="12" t="s">
        <v>37</v>
      </c>
      <c r="SN197" s="12" t="s">
        <v>37</v>
      </c>
      <c r="SO197" s="13" t="s">
        <v>37</v>
      </c>
      <c r="SU197" s="12" t="s">
        <v>37</v>
      </c>
      <c r="SV197" s="12" t="s">
        <v>37</v>
      </c>
      <c r="SW197" s="11" t="s">
        <v>37</v>
      </c>
      <c r="SX197" s="12" t="s">
        <v>37</v>
      </c>
      <c r="SY197" s="12" t="s">
        <v>37</v>
      </c>
      <c r="SZ197" s="11" t="s">
        <v>37</v>
      </c>
      <c r="TE197" s="12" t="s">
        <v>37</v>
      </c>
      <c r="TF197" s="12" t="s">
        <v>37</v>
      </c>
      <c r="TG197" s="11" t="s">
        <v>37</v>
      </c>
      <c r="TH197" s="12" t="s">
        <v>37</v>
      </c>
      <c r="TI197" s="12" t="s">
        <v>37</v>
      </c>
      <c r="TJ197" s="11" t="s">
        <v>37</v>
      </c>
      <c r="TO197" s="12" t="s">
        <v>37</v>
      </c>
      <c r="TP197" s="12" t="s">
        <v>37</v>
      </c>
      <c r="TQ197" s="11" t="s">
        <v>37</v>
      </c>
      <c r="TR197" s="12" t="s">
        <v>37</v>
      </c>
      <c r="TS197" s="12" t="s">
        <v>37</v>
      </c>
      <c r="TT197" s="11" t="s">
        <v>37</v>
      </c>
      <c r="TY197" s="12" t="s">
        <v>37</v>
      </c>
      <c r="TZ197" s="12" t="s">
        <v>37</v>
      </c>
      <c r="UA197" s="12" t="s">
        <v>37</v>
      </c>
      <c r="UB197" s="12" t="s">
        <v>37</v>
      </c>
      <c r="UC197" s="12" t="s">
        <v>37</v>
      </c>
      <c r="UD197" s="12" t="s">
        <v>37</v>
      </c>
      <c r="UE197" s="12"/>
      <c r="UF197" s="12"/>
      <c r="UI197" s="12" t="s">
        <v>37</v>
      </c>
      <c r="UJ197" s="12" t="s">
        <v>37</v>
      </c>
      <c r="UK197" s="12" t="s">
        <v>37</v>
      </c>
      <c r="UL197" s="12" t="s">
        <v>37</v>
      </c>
      <c r="UM197" s="12" t="s">
        <v>37</v>
      </c>
      <c r="UN197" s="12" t="s">
        <v>37</v>
      </c>
      <c r="UO197" s="12"/>
      <c r="UP197" s="12"/>
      <c r="UR197" s="12" t="s">
        <v>37</v>
      </c>
      <c r="US197" s="12" t="s">
        <v>37</v>
      </c>
      <c r="UT197" s="12" t="s">
        <v>37</v>
      </c>
      <c r="UU197" s="12" t="s">
        <v>37</v>
      </c>
      <c r="UV197" s="12" t="s">
        <v>37</v>
      </c>
      <c r="UW197" s="12" t="s">
        <v>37</v>
      </c>
      <c r="UX197" s="12"/>
      <c r="UY197" s="12"/>
      <c r="VB197" s="12" t="s">
        <v>37</v>
      </c>
      <c r="VC197" s="12" t="s">
        <v>37</v>
      </c>
      <c r="VD197" s="12" t="s">
        <v>37</v>
      </c>
      <c r="VE197" s="12" t="s">
        <v>37</v>
      </c>
      <c r="VF197" s="12" t="s">
        <v>37</v>
      </c>
      <c r="VG197" s="12" t="s">
        <v>37</v>
      </c>
      <c r="VI197" s="12" t="s">
        <v>37</v>
      </c>
      <c r="VJ197" s="12" t="s">
        <v>37</v>
      </c>
      <c r="VK197" s="12" t="s">
        <v>37</v>
      </c>
      <c r="VL197" s="12" t="s">
        <v>37</v>
      </c>
      <c r="VM197" s="12" t="s">
        <v>37</v>
      </c>
      <c r="VN197" s="12" t="s">
        <v>37</v>
      </c>
      <c r="VQ197" s="13" t="s">
        <v>37</v>
      </c>
      <c r="VR197" s="13" t="s">
        <v>37</v>
      </c>
      <c r="VS197" s="13" t="s">
        <v>37</v>
      </c>
      <c r="VT197" s="13" t="s">
        <v>37</v>
      </c>
      <c r="VU197" s="13" t="s">
        <v>37</v>
      </c>
      <c r="VV197" s="13" t="s">
        <v>37</v>
      </c>
      <c r="WA197" s="13" t="s">
        <v>37</v>
      </c>
      <c r="WB197" s="13" t="s">
        <v>37</v>
      </c>
      <c r="WC197" s="13" t="s">
        <v>37</v>
      </c>
      <c r="WD197" s="13" t="s">
        <v>37</v>
      </c>
      <c r="WE197" s="13" t="s">
        <v>37</v>
      </c>
      <c r="WF197" s="13" t="s">
        <v>37</v>
      </c>
    </row>
    <row r="198" spans="1:604" ht="18" customHeight="1" x14ac:dyDescent="0.3">
      <c r="A198" s="11">
        <v>48</v>
      </c>
      <c r="B198" s="16" t="s">
        <v>288</v>
      </c>
      <c r="C198" s="12" t="s">
        <v>26</v>
      </c>
      <c r="D198" s="12" t="s">
        <v>973</v>
      </c>
      <c r="E198" s="40">
        <v>1</v>
      </c>
      <c r="F198" s="14">
        <v>0</v>
      </c>
      <c r="G198" s="14">
        <v>0</v>
      </c>
      <c r="H198" s="12" t="s">
        <v>82</v>
      </c>
      <c r="I198" s="29">
        <v>64.819999999999993</v>
      </c>
      <c r="J198" s="29">
        <v>-147.87</v>
      </c>
      <c r="K198" s="12" t="s">
        <v>289</v>
      </c>
      <c r="L198" s="12" t="s">
        <v>290</v>
      </c>
      <c r="M198" s="13" t="s">
        <v>37</v>
      </c>
      <c r="N198" s="14">
        <v>-2.9</v>
      </c>
      <c r="O198" s="14">
        <v>269</v>
      </c>
      <c r="P198" s="14" t="s">
        <v>84</v>
      </c>
      <c r="Q198" s="75">
        <f>2/12</f>
        <v>0.16666666666666666</v>
      </c>
      <c r="R198" s="11" t="s">
        <v>1000</v>
      </c>
      <c r="S198" s="12" t="s">
        <v>85</v>
      </c>
      <c r="T198" s="12" t="s">
        <v>138</v>
      </c>
      <c r="U198" s="12" t="s">
        <v>158</v>
      </c>
      <c r="V198" s="12" t="s">
        <v>275</v>
      </c>
      <c r="W198" s="23" t="s">
        <v>292</v>
      </c>
      <c r="X198" s="12" t="s">
        <v>281</v>
      </c>
      <c r="Y198" s="12" t="s">
        <v>37</v>
      </c>
      <c r="Z198" s="12" t="s">
        <v>37</v>
      </c>
      <c r="AA198" s="34" t="s">
        <v>372</v>
      </c>
      <c r="AB198" s="12">
        <v>5.3</v>
      </c>
      <c r="AC198" s="12" t="s">
        <v>42</v>
      </c>
      <c r="AD198" s="32" t="s">
        <v>372</v>
      </c>
      <c r="AE198" s="12">
        <v>410</v>
      </c>
      <c r="AH198" s="12" t="s">
        <v>37</v>
      </c>
      <c r="AK198" s="12" t="s">
        <v>37</v>
      </c>
      <c r="AL198" s="32" t="s">
        <v>547</v>
      </c>
      <c r="AM198" s="12" t="s">
        <v>317</v>
      </c>
      <c r="AN198" s="32" t="s">
        <v>880</v>
      </c>
      <c r="AO198" s="12" t="s">
        <v>29</v>
      </c>
      <c r="AP198" s="12" t="s">
        <v>167</v>
      </c>
      <c r="AQ198" s="12" t="s">
        <v>975</v>
      </c>
      <c r="AR198" s="12" t="s">
        <v>42</v>
      </c>
      <c r="AS198" s="32" t="s">
        <v>372</v>
      </c>
      <c r="AT198" s="12">
        <v>410</v>
      </c>
      <c r="AU198" s="50">
        <f>AT198*AW$474</f>
        <v>35.066129471862816</v>
      </c>
      <c r="AV198" s="13">
        <v>3</v>
      </c>
      <c r="AX198" s="12" t="s">
        <v>326</v>
      </c>
      <c r="AY198" s="12" t="s">
        <v>326</v>
      </c>
      <c r="AZ198" s="13" t="s">
        <v>326</v>
      </c>
      <c r="BE198" s="12" t="s">
        <v>326</v>
      </c>
      <c r="BF198" s="12" t="s">
        <v>326</v>
      </c>
      <c r="BG198" s="12" t="s">
        <v>326</v>
      </c>
      <c r="BI198" s="12" t="s">
        <v>326</v>
      </c>
      <c r="BJ198" s="12" t="s">
        <v>326</v>
      </c>
      <c r="BK198" s="12" t="s">
        <v>326</v>
      </c>
      <c r="BP198" s="12" t="s">
        <v>37</v>
      </c>
      <c r="BQ198" s="12" t="s">
        <v>37</v>
      </c>
      <c r="BR198" s="12" t="s">
        <v>37</v>
      </c>
      <c r="BT198" s="12" t="s">
        <v>37</v>
      </c>
      <c r="BU198" s="12" t="s">
        <v>37</v>
      </c>
      <c r="BV198" s="12" t="s">
        <v>37</v>
      </c>
      <c r="CA198" s="12" t="s">
        <v>37</v>
      </c>
      <c r="CB198" s="12" t="s">
        <v>37</v>
      </c>
      <c r="CC198" s="13" t="s">
        <v>37</v>
      </c>
      <c r="CE198" s="12" t="s">
        <v>37</v>
      </c>
      <c r="CF198" s="12" t="s">
        <v>37</v>
      </c>
      <c r="CG198" s="13" t="s">
        <v>37</v>
      </c>
      <c r="CN198" s="12" t="s">
        <v>37</v>
      </c>
      <c r="CO198" s="12" t="s">
        <v>37</v>
      </c>
      <c r="CP198" s="13" t="s">
        <v>37</v>
      </c>
      <c r="CR198" s="12" t="s">
        <v>37</v>
      </c>
      <c r="CS198" s="12" t="s">
        <v>37</v>
      </c>
      <c r="CT198" s="13" t="s">
        <v>37</v>
      </c>
      <c r="CX198" s="72"/>
      <c r="CY198" s="72"/>
      <c r="CZ198" s="12" t="s">
        <v>47</v>
      </c>
      <c r="DA198" s="12">
        <f>-12.484756097561*("2005/09/30"-"2005/05/01")*44/12/'[8]classess-1'!$I$29</f>
        <v>-5712.1472856207492</v>
      </c>
      <c r="DB198" s="12">
        <f>SQRT((1/[7]Classess!$I$29)^2*(7.04716738182496*("2005/09/30"-"2005/05/01")*44/12)^2+(-DA198/([7]Classess!$I$29)^2)^2*([7]Classess!$J$29)^2)</f>
        <v>3273.2058172899874</v>
      </c>
      <c r="DC198" s="13">
        <v>3</v>
      </c>
      <c r="DD198" s="19">
        <f t="shared" si="839"/>
        <v>0.57302545848733</v>
      </c>
      <c r="DE198" s="12">
        <f>0.381244522348816*("2005/09/30"-"2005/05/01")*44/12/'[8]classess-1'!$I$30</f>
        <v>-61.395104632969371</v>
      </c>
      <c r="DF198" s="12">
        <f>SQRT((1/[7]Classess!$I$30)^2*(3.25452911370657*("2005/09/30"-"2005/05/01")*44/12)^2+(-DE198/([7]Classess!$I$30)^2)^2*([7]Classess!$J$30)^2)</f>
        <v>529.41384138606963</v>
      </c>
      <c r="DG198" s="13">
        <v>3</v>
      </c>
      <c r="DH198" s="19">
        <f t="shared" ref="DH198" si="844">DF198/ABS(DE198)</f>
        <v>8.6230627759492844</v>
      </c>
      <c r="DI198" s="19">
        <f t="shared" si="840"/>
        <v>5650.7521809877799</v>
      </c>
      <c r="DJ198" s="12">
        <f t="shared" si="841"/>
        <v>2344.5847540441109</v>
      </c>
      <c r="DK198" s="72">
        <f t="shared" si="842"/>
        <v>3664718.4459307222</v>
      </c>
      <c r="DL198" s="72">
        <f t="shared" si="843"/>
        <v>3664718.4459307226</v>
      </c>
      <c r="DM198" s="11" t="s">
        <v>47</v>
      </c>
      <c r="DN198" s="19">
        <f>0.118421052631579*("2005/09/30"-"2005/05/01")*16/12/'[1]classes-1'!$I$82</f>
        <v>26.090957895544143</v>
      </c>
      <c r="DO198" s="12">
        <f>SQRT((1/[2]Classes!$I$82)^2*(0.0175276701954327*("2005/09/30"-"2005/05/01")*16/12)^2+(-DN198/([2]Classes!$I$82)^2)^2*([2]Classes!$J$82)^2)</f>
        <v>4.5126597497032837</v>
      </c>
      <c r="DP198" s="13">
        <v>3</v>
      </c>
      <c r="DQ198" s="19">
        <f t="shared" si="833"/>
        <v>0.17295876095350118</v>
      </c>
      <c r="DR198" s="19">
        <f>0.130434782608696*("2005/09/30"-"2005/05/01")*16/12/'[1]classes-1'!$I$83</f>
        <v>36.800373454224456</v>
      </c>
      <c r="DS198" s="12">
        <f>SQRT((1/[2]Classes!$I$83)^2*(0.0300028504061893*("2005/09/30"-"2005/05/01")*16/12)^2+(-DR198/([2]Classes!$I$83)^2)^2*([2]Classes!$J$83)^2)</f>
        <v>16.18313151345119</v>
      </c>
      <c r="DT198" s="13">
        <v>3</v>
      </c>
      <c r="DU198" s="19">
        <f t="shared" si="834"/>
        <v>0.43975454579506357</v>
      </c>
      <c r="DV198" s="19">
        <f t="shared" si="710"/>
        <v>10.709415558680313</v>
      </c>
      <c r="DW198" s="12">
        <f t="shared" si="709"/>
        <v>11.879769433752683</v>
      </c>
      <c r="DX198" s="72">
        <f t="shared" si="641"/>
        <v>94.085947866083032</v>
      </c>
      <c r="DY198" s="72">
        <f t="shared" si="642"/>
        <v>94.085947866083046</v>
      </c>
      <c r="EA198" s="19" t="s">
        <v>37</v>
      </c>
      <c r="EB198" s="19" t="s">
        <v>37</v>
      </c>
      <c r="EC198" s="72" t="s">
        <v>37</v>
      </c>
      <c r="EE198" s="19" t="s">
        <v>37</v>
      </c>
      <c r="EF198" s="19" t="s">
        <v>37</v>
      </c>
      <c r="EG198" s="12" t="s">
        <v>37</v>
      </c>
      <c r="EM198" s="12" t="s">
        <v>39</v>
      </c>
      <c r="EN198" s="12">
        <v>-20.399999999999999</v>
      </c>
      <c r="EO198" s="12">
        <v>2.2999999999999998</v>
      </c>
      <c r="EP198" s="13">
        <v>3</v>
      </c>
      <c r="EQ198" s="19">
        <f t="shared" si="792"/>
        <v>0.11274509803921569</v>
      </c>
      <c r="ER198" s="12">
        <v>-28.4</v>
      </c>
      <c r="ES198" s="12">
        <v>3.2</v>
      </c>
      <c r="ET198" s="13">
        <v>3</v>
      </c>
      <c r="EU198" s="19">
        <f t="shared" si="793"/>
        <v>0.11267605633802819</v>
      </c>
      <c r="EV198" s="19">
        <f t="shared" si="701"/>
        <v>-8</v>
      </c>
      <c r="EW198" s="12">
        <f t="shared" si="702"/>
        <v>2.7865749586185546</v>
      </c>
      <c r="EX198" s="19">
        <f t="shared" si="703"/>
        <v>5.1766666666666667</v>
      </c>
      <c r="EY198" s="19">
        <f t="shared" si="704"/>
        <v>5.1766666666666667</v>
      </c>
      <c r="FB198" s="12" t="s">
        <v>37</v>
      </c>
      <c r="FC198" s="12" t="s">
        <v>37</v>
      </c>
      <c r="FD198" s="11" t="s">
        <v>37</v>
      </c>
      <c r="FE198" s="12" t="s">
        <v>37</v>
      </c>
      <c r="FF198" s="20" t="s">
        <v>37</v>
      </c>
      <c r="FG198" s="11" t="s">
        <v>37</v>
      </c>
      <c r="FI198" s="12" t="s">
        <v>37</v>
      </c>
      <c r="FJ198" s="12" t="s">
        <v>37</v>
      </c>
      <c r="FK198" s="11" t="s">
        <v>37</v>
      </c>
      <c r="FL198" s="13" t="s">
        <v>37</v>
      </c>
      <c r="FM198" s="11" t="s">
        <v>37</v>
      </c>
      <c r="FN198" s="11" t="s">
        <v>37</v>
      </c>
      <c r="FP198" s="12" t="s">
        <v>37</v>
      </c>
      <c r="FQ198" s="12" t="s">
        <v>37</v>
      </c>
      <c r="FR198" s="11" t="s">
        <v>37</v>
      </c>
      <c r="FS198" s="13" t="s">
        <v>37</v>
      </c>
      <c r="FT198" s="11" t="s">
        <v>37</v>
      </c>
      <c r="FU198" s="11" t="s">
        <v>37</v>
      </c>
      <c r="FW198" s="12" t="s">
        <v>37</v>
      </c>
      <c r="FX198" s="12" t="s">
        <v>37</v>
      </c>
      <c r="FY198" s="11" t="s">
        <v>37</v>
      </c>
      <c r="FZ198" s="13" t="s">
        <v>37</v>
      </c>
      <c r="GA198" s="11" t="s">
        <v>37</v>
      </c>
      <c r="GB198" s="11" t="s">
        <v>37</v>
      </c>
      <c r="GO198" s="12" t="s">
        <v>660</v>
      </c>
      <c r="GP198" s="12" t="s">
        <v>330</v>
      </c>
      <c r="GQ198" s="12">
        <v>11.9</v>
      </c>
      <c r="GR198" s="12">
        <v>0.1</v>
      </c>
      <c r="GS198" s="13">
        <v>3</v>
      </c>
      <c r="GT198" s="19">
        <f t="shared" si="835"/>
        <v>8.4033613445378148E-3</v>
      </c>
      <c r="GU198" s="12">
        <v>11.8</v>
      </c>
      <c r="GV198" s="12">
        <v>0.1</v>
      </c>
      <c r="GW198" s="13">
        <v>3</v>
      </c>
      <c r="GX198" s="19">
        <f t="shared" si="836"/>
        <v>8.4745762711864406E-3</v>
      </c>
      <c r="GY198" s="19">
        <f t="shared" si="837"/>
        <v>-8.4388686458645949E-3</v>
      </c>
      <c r="GZ198" s="19">
        <f t="shared" si="838"/>
        <v>4.7478308287676225E-5</v>
      </c>
      <c r="HA198" s="17" t="s">
        <v>63</v>
      </c>
      <c r="HB198" s="34" t="s">
        <v>372</v>
      </c>
      <c r="HC198" s="12">
        <v>0.09</v>
      </c>
      <c r="HD198" s="50">
        <f>ABS(HC198)*HF$474</f>
        <v>1.5517056883184187E-2</v>
      </c>
      <c r="HE198" s="13">
        <v>3</v>
      </c>
      <c r="IK198" s="12" t="s">
        <v>37</v>
      </c>
      <c r="IL198" s="12" t="s">
        <v>37</v>
      </c>
      <c r="IM198" s="12" t="s">
        <v>37</v>
      </c>
      <c r="IO198" s="12" t="s">
        <v>37</v>
      </c>
      <c r="IP198" s="12" t="s">
        <v>37</v>
      </c>
      <c r="IQ198" s="12" t="s">
        <v>37</v>
      </c>
      <c r="IV198" s="34" t="s">
        <v>372</v>
      </c>
      <c r="IW198" s="12">
        <v>5.3</v>
      </c>
      <c r="JH198" s="12" t="s">
        <v>37</v>
      </c>
      <c r="JI198" s="12" t="s">
        <v>37</v>
      </c>
      <c r="JJ198" s="13" t="s">
        <v>37</v>
      </c>
      <c r="JL198" s="12" t="s">
        <v>37</v>
      </c>
      <c r="JM198" s="12" t="s">
        <v>37</v>
      </c>
      <c r="JN198" s="12" t="s">
        <v>37</v>
      </c>
      <c r="JS198" s="12" t="s">
        <v>37</v>
      </c>
      <c r="JT198" s="12" t="s">
        <v>37</v>
      </c>
      <c r="JU198" s="13" t="s">
        <v>37</v>
      </c>
      <c r="JW198" s="12" t="s">
        <v>37</v>
      </c>
      <c r="JX198" s="12" t="s">
        <v>37</v>
      </c>
      <c r="JY198" s="12" t="s">
        <v>37</v>
      </c>
      <c r="KE198" s="12" t="s">
        <v>37</v>
      </c>
      <c r="KF198" s="12" t="s">
        <v>37</v>
      </c>
      <c r="KG198" s="13" t="s">
        <v>37</v>
      </c>
      <c r="KH198" s="12" t="s">
        <v>37</v>
      </c>
      <c r="KI198" s="12" t="s">
        <v>37</v>
      </c>
      <c r="KJ198" s="12" t="s">
        <v>37</v>
      </c>
      <c r="KM198" s="12" t="s">
        <v>37</v>
      </c>
      <c r="KN198" s="12" t="s">
        <v>37</v>
      </c>
      <c r="KO198" s="11" t="s">
        <v>37</v>
      </c>
      <c r="KQ198" s="12" t="s">
        <v>37</v>
      </c>
      <c r="KR198" s="12" t="s">
        <v>37</v>
      </c>
      <c r="KS198" s="12" t="s">
        <v>37</v>
      </c>
      <c r="KX198" s="12" t="s">
        <v>37</v>
      </c>
      <c r="KY198" s="12" t="s">
        <v>37</v>
      </c>
      <c r="KZ198" s="13" t="s">
        <v>37</v>
      </c>
      <c r="LB198" s="12" t="s">
        <v>37</v>
      </c>
      <c r="LC198" s="12" t="s">
        <v>37</v>
      </c>
      <c r="LD198" s="13" t="s">
        <v>37</v>
      </c>
      <c r="LI198" s="12" t="s">
        <v>37</v>
      </c>
      <c r="LJ198" s="12" t="s">
        <v>37</v>
      </c>
      <c r="LK198" s="12" t="s">
        <v>37</v>
      </c>
      <c r="LM198" s="12" t="s">
        <v>37</v>
      </c>
      <c r="LN198" s="12" t="s">
        <v>37</v>
      </c>
      <c r="LO198" s="12" t="s">
        <v>37</v>
      </c>
      <c r="LU198" s="12" t="s">
        <v>37</v>
      </c>
      <c r="LV198" s="12" t="s">
        <v>37</v>
      </c>
      <c r="LW198" s="13" t="s">
        <v>37</v>
      </c>
      <c r="LY198" s="12" t="s">
        <v>37</v>
      </c>
      <c r="LZ198" s="12" t="s">
        <v>37</v>
      </c>
      <c r="MA198" s="12" t="s">
        <v>37</v>
      </c>
      <c r="MF198" s="12" t="s">
        <v>37</v>
      </c>
      <c r="MG198" s="12" t="s">
        <v>37</v>
      </c>
      <c r="MH198" s="12" t="s">
        <v>37</v>
      </c>
      <c r="MJ198" s="12" t="s">
        <v>37</v>
      </c>
      <c r="MK198" s="12" t="s">
        <v>37</v>
      </c>
      <c r="ML198" s="12" t="s">
        <v>37</v>
      </c>
      <c r="MQ198" s="12" t="s">
        <v>37</v>
      </c>
      <c r="MR198" s="12" t="s">
        <v>37</v>
      </c>
      <c r="MS198" s="12" t="s">
        <v>37</v>
      </c>
      <c r="MU198" s="12" t="s">
        <v>37</v>
      </c>
      <c r="MV198" s="12" t="s">
        <v>37</v>
      </c>
      <c r="MW198" s="12" t="s">
        <v>37</v>
      </c>
      <c r="NC198" s="12" t="s">
        <v>37</v>
      </c>
      <c r="ND198" s="12" t="s">
        <v>37</v>
      </c>
      <c r="NE198" s="12" t="s">
        <v>37</v>
      </c>
      <c r="NG198" s="12" t="s">
        <v>37</v>
      </c>
      <c r="NH198" s="12" t="s">
        <v>37</v>
      </c>
      <c r="NI198" s="12" t="s">
        <v>37</v>
      </c>
      <c r="NO198" s="12" t="s">
        <v>37</v>
      </c>
      <c r="NP198" s="12" t="s">
        <v>37</v>
      </c>
      <c r="NQ198" s="12" t="s">
        <v>37</v>
      </c>
      <c r="NS198" s="12" t="s">
        <v>37</v>
      </c>
      <c r="NT198" s="12" t="s">
        <v>37</v>
      </c>
      <c r="NU198" s="12" t="s">
        <v>37</v>
      </c>
      <c r="OA198" s="12" t="s">
        <v>37</v>
      </c>
      <c r="OB198" s="12" t="s">
        <v>37</v>
      </c>
      <c r="OC198" s="12" t="s">
        <v>37</v>
      </c>
      <c r="OD198" s="12"/>
      <c r="OE198" s="12" t="s">
        <v>37</v>
      </c>
      <c r="OF198" s="12" t="s">
        <v>37</v>
      </c>
      <c r="OG198" s="12" t="s">
        <v>37</v>
      </c>
      <c r="OH198" s="12"/>
      <c r="OI198" s="12"/>
      <c r="OJ198" s="12"/>
      <c r="OM198" s="12" t="s">
        <v>37</v>
      </c>
      <c r="ON198" s="12" t="s">
        <v>37</v>
      </c>
      <c r="OO198" s="12" t="s">
        <v>37</v>
      </c>
      <c r="OP198" s="12" t="s">
        <v>37</v>
      </c>
      <c r="OQ198" s="12" t="s">
        <v>37</v>
      </c>
      <c r="OR198" s="12" t="s">
        <v>37</v>
      </c>
      <c r="OS198" s="12"/>
      <c r="OT198" s="12"/>
      <c r="OW198" s="12" t="s">
        <v>37</v>
      </c>
      <c r="OX198" s="12" t="s">
        <v>37</v>
      </c>
      <c r="OY198" s="13" t="s">
        <v>37</v>
      </c>
      <c r="OZ198" s="12" t="s">
        <v>37</v>
      </c>
      <c r="PA198" s="12" t="s">
        <v>37</v>
      </c>
      <c r="PB198" s="13" t="s">
        <v>37</v>
      </c>
      <c r="PG198" s="11" t="s">
        <v>37</v>
      </c>
      <c r="PH198" s="11" t="s">
        <v>37</v>
      </c>
      <c r="PI198" s="13" t="s">
        <v>37</v>
      </c>
      <c r="PJ198" s="11" t="s">
        <v>37</v>
      </c>
      <c r="PK198" s="11" t="s">
        <v>37</v>
      </c>
      <c r="PL198" s="13" t="s">
        <v>37</v>
      </c>
      <c r="PQ198" s="12" t="s">
        <v>37</v>
      </c>
      <c r="PR198" s="12" t="s">
        <v>37</v>
      </c>
      <c r="PS198" s="12" t="s">
        <v>37</v>
      </c>
      <c r="PT198" s="12" t="s">
        <v>37</v>
      </c>
      <c r="PU198" s="12" t="s">
        <v>37</v>
      </c>
      <c r="PV198" s="12" t="s">
        <v>37</v>
      </c>
      <c r="PW198" s="12"/>
      <c r="PX198" s="12"/>
      <c r="PZ198" s="12" t="s">
        <v>37</v>
      </c>
      <c r="QA198" s="12" t="s">
        <v>37</v>
      </c>
      <c r="QB198" s="11" t="s">
        <v>37</v>
      </c>
      <c r="QD198" s="12" t="s">
        <v>37</v>
      </c>
      <c r="QE198" s="12" t="s">
        <v>37</v>
      </c>
      <c r="QF198" s="12" t="s">
        <v>37</v>
      </c>
      <c r="QK198" s="12" t="s">
        <v>37</v>
      </c>
      <c r="QL198" s="12" t="s">
        <v>37</v>
      </c>
      <c r="QM198" s="12" t="s">
        <v>37</v>
      </c>
      <c r="QN198" s="12" t="s">
        <v>37</v>
      </c>
      <c r="QO198" s="12" t="s">
        <v>37</v>
      </c>
      <c r="QP198" s="12" t="s">
        <v>37</v>
      </c>
      <c r="QQ198" s="12"/>
      <c r="QR198" s="12"/>
      <c r="QU198" s="12" t="s">
        <v>37</v>
      </c>
      <c r="QV198" s="12" t="s">
        <v>37</v>
      </c>
      <c r="QW198" s="12" t="s">
        <v>37</v>
      </c>
      <c r="QX198" s="12" t="s">
        <v>37</v>
      </c>
      <c r="QY198" s="12" t="s">
        <v>37</v>
      </c>
      <c r="QZ198" s="12" t="s">
        <v>37</v>
      </c>
      <c r="RC198" s="12" t="s">
        <v>37</v>
      </c>
      <c r="RD198" s="12" t="s">
        <v>37</v>
      </c>
      <c r="RE198" s="13" t="s">
        <v>37</v>
      </c>
      <c r="RF198" s="12" t="s">
        <v>37</v>
      </c>
      <c r="RG198" s="12" t="s">
        <v>37</v>
      </c>
      <c r="RH198" s="13" t="s">
        <v>37</v>
      </c>
      <c r="RK198" s="12" t="s">
        <v>37</v>
      </c>
      <c r="RL198" s="12" t="s">
        <v>37</v>
      </c>
      <c r="RM198" s="11" t="s">
        <v>37</v>
      </c>
      <c r="RN198" s="12" t="s">
        <v>37</v>
      </c>
      <c r="RO198" s="12" t="s">
        <v>37</v>
      </c>
      <c r="RP198" s="11" t="s">
        <v>37</v>
      </c>
      <c r="RS198" s="12" t="s">
        <v>37</v>
      </c>
      <c r="RT198" s="12" t="s">
        <v>37</v>
      </c>
      <c r="RU198" s="12" t="s">
        <v>37</v>
      </c>
      <c r="RV198" s="12" t="s">
        <v>37</v>
      </c>
      <c r="RW198" s="12" t="s">
        <v>37</v>
      </c>
      <c r="RX198" s="12" t="s">
        <v>37</v>
      </c>
      <c r="SA198" s="12" t="s">
        <v>37</v>
      </c>
      <c r="SB198" s="12" t="s">
        <v>37</v>
      </c>
      <c r="SC198" s="12" t="s">
        <v>37</v>
      </c>
      <c r="SD198" s="12" t="s">
        <v>37</v>
      </c>
      <c r="SE198" s="12" t="s">
        <v>37</v>
      </c>
      <c r="SF198" s="12" t="s">
        <v>37</v>
      </c>
      <c r="SI198" s="12" t="s">
        <v>37</v>
      </c>
      <c r="SJ198" s="12" t="s">
        <v>37</v>
      </c>
      <c r="SK198" s="13" t="s">
        <v>37</v>
      </c>
      <c r="SM198" s="12" t="s">
        <v>37</v>
      </c>
      <c r="SN198" s="12" t="s">
        <v>37</v>
      </c>
      <c r="SO198" s="13" t="s">
        <v>37</v>
      </c>
      <c r="SU198" s="12" t="s">
        <v>37</v>
      </c>
      <c r="SV198" s="12" t="s">
        <v>37</v>
      </c>
      <c r="SW198" s="11" t="s">
        <v>37</v>
      </c>
      <c r="SX198" s="12" t="s">
        <v>37</v>
      </c>
      <c r="SY198" s="12" t="s">
        <v>37</v>
      </c>
      <c r="SZ198" s="11" t="s">
        <v>37</v>
      </c>
      <c r="TE198" s="12" t="s">
        <v>37</v>
      </c>
      <c r="TF198" s="12" t="s">
        <v>37</v>
      </c>
      <c r="TG198" s="11" t="s">
        <v>37</v>
      </c>
      <c r="TH198" s="12" t="s">
        <v>37</v>
      </c>
      <c r="TI198" s="12" t="s">
        <v>37</v>
      </c>
      <c r="TJ198" s="11" t="s">
        <v>37</v>
      </c>
      <c r="TO198" s="12" t="s">
        <v>37</v>
      </c>
      <c r="TP198" s="12" t="s">
        <v>37</v>
      </c>
      <c r="TQ198" s="11" t="s">
        <v>37</v>
      </c>
      <c r="TR198" s="12" t="s">
        <v>37</v>
      </c>
      <c r="TS198" s="12" t="s">
        <v>37</v>
      </c>
      <c r="TT198" s="11" t="s">
        <v>37</v>
      </c>
      <c r="TY198" s="12" t="s">
        <v>37</v>
      </c>
      <c r="TZ198" s="12" t="s">
        <v>37</v>
      </c>
      <c r="UA198" s="12" t="s">
        <v>37</v>
      </c>
      <c r="UB198" s="12" t="s">
        <v>37</v>
      </c>
      <c r="UC198" s="12" t="s">
        <v>37</v>
      </c>
      <c r="UD198" s="12" t="s">
        <v>37</v>
      </c>
      <c r="UE198" s="12"/>
      <c r="UF198" s="12"/>
      <c r="UI198" s="12" t="s">
        <v>37</v>
      </c>
      <c r="UJ198" s="12" t="s">
        <v>37</v>
      </c>
      <c r="UK198" s="12" t="s">
        <v>37</v>
      </c>
      <c r="UL198" s="12" t="s">
        <v>37</v>
      </c>
      <c r="UM198" s="12" t="s">
        <v>37</v>
      </c>
      <c r="UN198" s="12" t="s">
        <v>37</v>
      </c>
      <c r="UO198" s="12"/>
      <c r="UP198" s="12"/>
      <c r="UR198" s="12" t="s">
        <v>37</v>
      </c>
      <c r="US198" s="12" t="s">
        <v>37</v>
      </c>
      <c r="UT198" s="12" t="s">
        <v>37</v>
      </c>
      <c r="UU198" s="12" t="s">
        <v>37</v>
      </c>
      <c r="UV198" s="12" t="s">
        <v>37</v>
      </c>
      <c r="UW198" s="12" t="s">
        <v>37</v>
      </c>
      <c r="UX198" s="12"/>
      <c r="UY198" s="12"/>
      <c r="VB198" s="12" t="s">
        <v>37</v>
      </c>
      <c r="VC198" s="12" t="s">
        <v>37</v>
      </c>
      <c r="VD198" s="12" t="s">
        <v>37</v>
      </c>
      <c r="VE198" s="12" t="s">
        <v>37</v>
      </c>
      <c r="VF198" s="12" t="s">
        <v>37</v>
      </c>
      <c r="VG198" s="12" t="s">
        <v>37</v>
      </c>
      <c r="VI198" s="12" t="s">
        <v>37</v>
      </c>
      <c r="VJ198" s="12" t="s">
        <v>37</v>
      </c>
      <c r="VK198" s="12" t="s">
        <v>37</v>
      </c>
      <c r="VL198" s="12" t="s">
        <v>37</v>
      </c>
      <c r="VM198" s="12" t="s">
        <v>37</v>
      </c>
      <c r="VN198" s="12" t="s">
        <v>37</v>
      </c>
      <c r="VQ198" s="13" t="s">
        <v>37</v>
      </c>
      <c r="VR198" s="13" t="s">
        <v>37</v>
      </c>
      <c r="VS198" s="13" t="s">
        <v>37</v>
      </c>
      <c r="VT198" s="13" t="s">
        <v>37</v>
      </c>
      <c r="VU198" s="13" t="s">
        <v>37</v>
      </c>
      <c r="VV198" s="13" t="s">
        <v>37</v>
      </c>
      <c r="WA198" s="13" t="s">
        <v>37</v>
      </c>
      <c r="WB198" s="13" t="s">
        <v>37</v>
      </c>
      <c r="WC198" s="13" t="s">
        <v>37</v>
      </c>
      <c r="WD198" s="13" t="s">
        <v>37</v>
      </c>
      <c r="WE198" s="13" t="s">
        <v>37</v>
      </c>
      <c r="WF198" s="13" t="s">
        <v>37</v>
      </c>
    </row>
    <row r="199" spans="1:604" ht="18" customHeight="1" x14ac:dyDescent="0.3">
      <c r="A199" s="11">
        <v>49</v>
      </c>
      <c r="B199" s="16" t="s">
        <v>917</v>
      </c>
      <c r="C199" s="12" t="s">
        <v>26</v>
      </c>
      <c r="D199" s="12" t="s">
        <v>973</v>
      </c>
      <c r="E199" s="40">
        <v>2.2999999999999998</v>
      </c>
      <c r="F199" s="14">
        <v>0</v>
      </c>
      <c r="G199" s="14">
        <v>0</v>
      </c>
      <c r="H199" s="12" t="s">
        <v>82</v>
      </c>
      <c r="I199" s="29">
        <v>46.317</v>
      </c>
      <c r="J199" s="29">
        <v>-86.05</v>
      </c>
      <c r="K199" s="12" t="s">
        <v>661</v>
      </c>
      <c r="L199" s="12" t="s">
        <v>662</v>
      </c>
      <c r="M199" s="13" t="s">
        <v>37</v>
      </c>
      <c r="N199" s="14">
        <v>5.0999999999999996</v>
      </c>
      <c r="O199" s="14">
        <v>835</v>
      </c>
      <c r="P199" s="14" t="s">
        <v>16</v>
      </c>
      <c r="Q199" s="75">
        <v>60</v>
      </c>
      <c r="R199" s="11" t="s">
        <v>1000</v>
      </c>
      <c r="S199" s="12" t="s">
        <v>85</v>
      </c>
      <c r="T199" s="12" t="s">
        <v>138</v>
      </c>
      <c r="U199" s="12" t="s">
        <v>158</v>
      </c>
      <c r="V199" s="12" t="s">
        <v>275</v>
      </c>
      <c r="W199" s="23" t="s">
        <v>300</v>
      </c>
      <c r="X199" s="12" t="s">
        <v>281</v>
      </c>
      <c r="Y199" s="12" t="s">
        <v>37</v>
      </c>
      <c r="Z199" s="12" t="s">
        <v>37</v>
      </c>
      <c r="AA199" s="32" t="s">
        <v>345</v>
      </c>
      <c r="AB199" s="12">
        <v>3.78</v>
      </c>
      <c r="AE199" s="12" t="s">
        <v>37</v>
      </c>
      <c r="AH199" s="12" t="s">
        <v>37</v>
      </c>
      <c r="AK199" s="12" t="s">
        <v>37</v>
      </c>
      <c r="AL199" s="32" t="s">
        <v>550</v>
      </c>
      <c r="AM199" s="12" t="s">
        <v>317</v>
      </c>
      <c r="AN199" s="32" t="s">
        <v>880</v>
      </c>
      <c r="AO199" s="12" t="s">
        <v>37</v>
      </c>
      <c r="AP199" s="12" t="s">
        <v>301</v>
      </c>
      <c r="AQ199" s="12" t="s">
        <v>302</v>
      </c>
      <c r="AT199" s="12" t="s">
        <v>326</v>
      </c>
      <c r="AU199" s="12" t="s">
        <v>326</v>
      </c>
      <c r="AV199" s="13" t="s">
        <v>326</v>
      </c>
      <c r="AX199" s="12" t="s">
        <v>326</v>
      </c>
      <c r="AY199" s="12" t="s">
        <v>326</v>
      </c>
      <c r="AZ199" s="13" t="s">
        <v>326</v>
      </c>
      <c r="BE199" s="12" t="s">
        <v>326</v>
      </c>
      <c r="BF199" s="12" t="s">
        <v>326</v>
      </c>
      <c r="BG199" s="12" t="s">
        <v>326</v>
      </c>
      <c r="BI199" s="12" t="s">
        <v>326</v>
      </c>
      <c r="BJ199" s="12" t="s">
        <v>326</v>
      </c>
      <c r="BK199" s="12" t="s">
        <v>326</v>
      </c>
      <c r="BP199" s="12" t="s">
        <v>37</v>
      </c>
      <c r="BQ199" s="12" t="s">
        <v>37</v>
      </c>
      <c r="BR199" s="12" t="s">
        <v>37</v>
      </c>
      <c r="BT199" s="12" t="s">
        <v>37</v>
      </c>
      <c r="BU199" s="12" t="s">
        <v>37</v>
      </c>
      <c r="BV199" s="12" t="s">
        <v>37</v>
      </c>
      <c r="BZ199" s="12" t="s">
        <v>47</v>
      </c>
      <c r="CA199" s="12">
        <f>-454.2*44/12*10^4/10^3/'[6]classess-1'!$T$58</f>
        <v>-17120.448467345523</v>
      </c>
      <c r="CB199" s="50">
        <f>ABS(CA199)*CD$474</f>
        <v>4174.1444262492878</v>
      </c>
      <c r="CC199" s="13">
        <v>1</v>
      </c>
      <c r="CE199" s="12">
        <f>-369.9*44/12*10^4/10^3/'[6]classess-1'!$T$59</f>
        <v>-14041.350510064822</v>
      </c>
      <c r="CF199" s="50">
        <f>ABS(CE199)*CH$474</f>
        <v>5227.1608672305301</v>
      </c>
      <c r="CG199" s="13">
        <v>1</v>
      </c>
      <c r="CI199" s="75">
        <f t="shared" ref="CI199:CI200" si="845">CE199-CA199</f>
        <v>3079.0979572807009</v>
      </c>
      <c r="CJ199" s="12" t="e">
        <f t="shared" ref="CJ199:CJ200" si="846">SQRT(((CC199-1)*CB199^2+(CG199-1)*CF199^2)/(CC199+CG199-2))</f>
        <v>#DIV/0!</v>
      </c>
      <c r="CK199" s="72" t="e">
        <f t="shared" ref="CK199:CK200" si="847">(((CC199+CG199)/(CC199*CG199))*(((CC199-1)*CB199^2)+(CG199-1)*CF199^2)/(CC199+CG199-2))</f>
        <v>#DIV/0!</v>
      </c>
      <c r="CL199" s="72">
        <f t="shared" ref="CL199:CL200" si="848">(CB199^2/CC199)+(CF199^2/CG199)</f>
        <v>44746692.423094228</v>
      </c>
      <c r="CM199" s="12" t="s">
        <v>47</v>
      </c>
      <c r="CN199" s="12">
        <f>DA199-CA199</f>
        <v>12896.16741487473</v>
      </c>
      <c r="CO199" s="50">
        <f>ABS(CN199)*CQ$474</f>
        <v>3709.2899364025543</v>
      </c>
      <c r="CP199" s="13">
        <v>1</v>
      </c>
      <c r="CR199" s="12">
        <f>DE199-CE199</f>
        <v>14385.676578962597</v>
      </c>
      <c r="CS199" s="50">
        <f>ABS(CR199)*CU$474</f>
        <v>3774.6745086112619</v>
      </c>
      <c r="CT199" s="13">
        <v>1</v>
      </c>
      <c r="CV199" s="75">
        <f t="shared" ref="CV199:CV200" si="849">CR199-CN199</f>
        <v>1489.5091640878672</v>
      </c>
      <c r="CW199" s="12" t="e">
        <f t="shared" ref="CW199:CW200" si="850">SQRT(((CP199-1)*CO199^2+(CT199-1)*CS199^2)/(CP199+CT199-2))</f>
        <v>#DIV/0!</v>
      </c>
      <c r="CX199" s="72" t="e">
        <f t="shared" ref="CX199:CX200" si="851">(((CP199+CT199)/(CP199*CT199))*(((CP199-1)*CO199^2)+(CT199-1)*CS199^2)/(CP199+CT199-2))</f>
        <v>#DIV/0!</v>
      </c>
      <c r="CY199" s="72">
        <f t="shared" ref="CY199:CY200" si="852">(CO199^2/CP199)+(CS199^2/CT199)</f>
        <v>28006999.478256937</v>
      </c>
      <c r="CZ199" s="12" t="s">
        <v>47</v>
      </c>
      <c r="DA199" s="12">
        <f>-95.3*44/12*10^4/10^3/'[6]classess-1'!$I$12</f>
        <v>-4224.281052470792</v>
      </c>
      <c r="DB199" s="50">
        <f>ABS(DA199)*DD$474</f>
        <v>12671.392364777903</v>
      </c>
      <c r="DC199" s="13">
        <v>1</v>
      </c>
      <c r="DE199" s="12">
        <f>-32.5*44/12*10^4/10^3/'[6]classess-1'!$I$13</f>
        <v>344.32606889777549</v>
      </c>
      <c r="DF199" s="50">
        <f>ABS(DE199)*DH$474</f>
        <v>328.19191145947599</v>
      </c>
      <c r="DG199" s="13">
        <v>1</v>
      </c>
      <c r="DI199" s="19">
        <f t="shared" si="840"/>
        <v>4568.6071213685673</v>
      </c>
      <c r="DJ199" s="12" t="e">
        <f t="shared" si="841"/>
        <v>#DIV/0!</v>
      </c>
      <c r="DK199" s="72" t="e">
        <f t="shared" si="842"/>
        <v>#DIV/0!</v>
      </c>
      <c r="DL199" s="72">
        <f>(DB199^2/DC199)+(DF199^2/DG199)</f>
        <v>160671894.39289916</v>
      </c>
      <c r="DN199" s="19" t="s">
        <v>37</v>
      </c>
      <c r="DO199" s="12" t="s">
        <v>37</v>
      </c>
      <c r="DP199" s="13" t="s">
        <v>37</v>
      </c>
      <c r="DR199" s="19" t="s">
        <v>37</v>
      </c>
      <c r="DS199" s="12" t="s">
        <v>37</v>
      </c>
      <c r="DT199" s="13" t="s">
        <v>37</v>
      </c>
      <c r="DV199" s="52"/>
      <c r="DW199" s="52"/>
      <c r="EA199" s="19" t="s">
        <v>37</v>
      </c>
      <c r="EB199" s="19" t="s">
        <v>37</v>
      </c>
      <c r="EC199" s="72" t="s">
        <v>37</v>
      </c>
      <c r="EE199" s="19" t="s">
        <v>37</v>
      </c>
      <c r="EF199" s="19" t="s">
        <v>37</v>
      </c>
      <c r="EG199" s="12" t="s">
        <v>37</v>
      </c>
      <c r="EM199" s="12" t="s">
        <v>39</v>
      </c>
      <c r="EN199" s="12">
        <v>-20.100000000000001</v>
      </c>
      <c r="EO199" s="12">
        <f>0.5*SQRT(16)</f>
        <v>2</v>
      </c>
      <c r="EP199" s="13">
        <v>16</v>
      </c>
      <c r="EQ199" s="19">
        <f t="shared" si="792"/>
        <v>9.9502487562189046E-2</v>
      </c>
      <c r="ER199" s="12">
        <v>-38.200000000000003</v>
      </c>
      <c r="ES199" s="12">
        <f>0.5*SQRT(16)</f>
        <v>2</v>
      </c>
      <c r="ET199" s="13">
        <v>16</v>
      </c>
      <c r="EU199" s="19">
        <f t="shared" si="793"/>
        <v>5.235602094240837E-2</v>
      </c>
      <c r="EV199" s="19">
        <f t="shared" si="701"/>
        <v>-18.100000000000001</v>
      </c>
      <c r="EW199" s="12">
        <f t="shared" si="702"/>
        <v>2</v>
      </c>
      <c r="EX199" s="19">
        <f t="shared" si="703"/>
        <v>0.5</v>
      </c>
      <c r="EY199" s="19">
        <f t="shared" si="704"/>
        <v>0.5</v>
      </c>
      <c r="FB199" s="12" t="s">
        <v>37</v>
      </c>
      <c r="FC199" s="12" t="s">
        <v>37</v>
      </c>
      <c r="FD199" s="11" t="s">
        <v>37</v>
      </c>
      <c r="FE199" s="12" t="s">
        <v>37</v>
      </c>
      <c r="FF199" s="20" t="s">
        <v>37</v>
      </c>
      <c r="FG199" s="11" t="s">
        <v>37</v>
      </c>
      <c r="FI199" s="12" t="s">
        <v>37</v>
      </c>
      <c r="FJ199" s="12" t="s">
        <v>37</v>
      </c>
      <c r="FK199" s="11" t="s">
        <v>37</v>
      </c>
      <c r="FL199" s="13" t="s">
        <v>37</v>
      </c>
      <c r="FM199" s="11" t="s">
        <v>37</v>
      </c>
      <c r="FN199" s="11" t="s">
        <v>37</v>
      </c>
      <c r="FP199" s="12" t="s">
        <v>37</v>
      </c>
      <c r="FQ199" s="12" t="s">
        <v>37</v>
      </c>
      <c r="FR199" s="11" t="s">
        <v>37</v>
      </c>
      <c r="FS199" s="13" t="s">
        <v>37</v>
      </c>
      <c r="FT199" s="11" t="s">
        <v>37</v>
      </c>
      <c r="FU199" s="11" t="s">
        <v>37</v>
      </c>
      <c r="FW199" s="12" t="s">
        <v>37</v>
      </c>
      <c r="FX199" s="12" t="s">
        <v>37</v>
      </c>
      <c r="FY199" s="11" t="s">
        <v>37</v>
      </c>
      <c r="FZ199" s="13" t="s">
        <v>37</v>
      </c>
      <c r="GA199" s="11" t="s">
        <v>37</v>
      </c>
      <c r="GB199" s="11" t="s">
        <v>37</v>
      </c>
      <c r="IK199" s="12" t="s">
        <v>37</v>
      </c>
      <c r="IL199" s="12" t="s">
        <v>37</v>
      </c>
      <c r="IM199" s="12" t="s">
        <v>37</v>
      </c>
      <c r="IO199" s="12" t="s">
        <v>37</v>
      </c>
      <c r="IP199" s="12" t="s">
        <v>37</v>
      </c>
      <c r="IQ199" s="12" t="s">
        <v>37</v>
      </c>
      <c r="IV199" s="32" t="s">
        <v>345</v>
      </c>
      <c r="IW199" s="12">
        <v>3.78</v>
      </c>
      <c r="IX199" s="12">
        <f>0.02*SQRT(6)</f>
        <v>4.8989794855663557E-2</v>
      </c>
      <c r="IY199" s="13">
        <v>6</v>
      </c>
      <c r="IZ199" s="19">
        <f t="shared" ref="IZ199:IZ202" si="853">IX199/IW199</f>
        <v>1.2960263189328984E-2</v>
      </c>
      <c r="JA199" s="12">
        <v>3.7</v>
      </c>
      <c r="JB199" s="12">
        <f>0.01*SQRT(6)</f>
        <v>2.4494897427831779E-2</v>
      </c>
      <c r="JC199" s="13">
        <v>6</v>
      </c>
      <c r="JD199" s="19">
        <f t="shared" ref="JD199:JD200" si="854">JB199/JA199</f>
        <v>6.6202425480626423E-3</v>
      </c>
      <c r="JE199" s="19">
        <f t="shared" ref="JE199:JE200" si="855">LN(JA199/IW199)</f>
        <v>-2.1391189981317445E-2</v>
      </c>
      <c r="JF199" s="19">
        <f t="shared" ref="JF199:JF200" si="856">JB199^2/(JC199*JA199^2)+IX199^2/(IY199*IW199^2)</f>
        <v>3.5299338888642465E-5</v>
      </c>
      <c r="JH199" s="12" t="s">
        <v>37</v>
      </c>
      <c r="JI199" s="12" t="s">
        <v>37</v>
      </c>
      <c r="JJ199" s="13" t="s">
        <v>37</v>
      </c>
      <c r="JL199" s="12" t="s">
        <v>37</v>
      </c>
      <c r="JM199" s="12" t="s">
        <v>37</v>
      </c>
      <c r="JN199" s="12" t="s">
        <v>37</v>
      </c>
      <c r="JS199" s="12" t="s">
        <v>37</v>
      </c>
      <c r="JT199" s="12" t="s">
        <v>37</v>
      </c>
      <c r="JU199" s="13" t="s">
        <v>37</v>
      </c>
      <c r="JW199" s="12" t="s">
        <v>37</v>
      </c>
      <c r="JX199" s="12" t="s">
        <v>37</v>
      </c>
      <c r="JY199" s="12" t="s">
        <v>37</v>
      </c>
      <c r="KE199" s="12" t="s">
        <v>37</v>
      </c>
      <c r="KF199" s="12" t="s">
        <v>37</v>
      </c>
      <c r="KG199" s="13" t="s">
        <v>37</v>
      </c>
      <c r="KH199" s="12" t="s">
        <v>37</v>
      </c>
      <c r="KI199" s="12" t="s">
        <v>37</v>
      </c>
      <c r="KJ199" s="12" t="s">
        <v>37</v>
      </c>
      <c r="KM199" s="12" t="s">
        <v>37</v>
      </c>
      <c r="KN199" s="12" t="s">
        <v>37</v>
      </c>
      <c r="KO199" s="11" t="s">
        <v>37</v>
      </c>
      <c r="KQ199" s="12" t="s">
        <v>37</v>
      </c>
      <c r="KR199" s="12" t="s">
        <v>37</v>
      </c>
      <c r="KS199" s="12" t="s">
        <v>37</v>
      </c>
      <c r="KX199" s="12" t="s">
        <v>37</v>
      </c>
      <c r="KY199" s="12" t="s">
        <v>37</v>
      </c>
      <c r="KZ199" s="13" t="s">
        <v>37</v>
      </c>
      <c r="LB199" s="12" t="s">
        <v>37</v>
      </c>
      <c r="LC199" s="12" t="s">
        <v>37</v>
      </c>
      <c r="LD199" s="13" t="s">
        <v>37</v>
      </c>
      <c r="LI199" s="12" t="s">
        <v>37</v>
      </c>
      <c r="LJ199" s="12" t="s">
        <v>37</v>
      </c>
      <c r="LK199" s="12" t="s">
        <v>37</v>
      </c>
      <c r="LM199" s="12" t="s">
        <v>37</v>
      </c>
      <c r="LN199" s="12" t="s">
        <v>37</v>
      </c>
      <c r="LO199" s="12" t="s">
        <v>37</v>
      </c>
      <c r="LU199" s="12" t="s">
        <v>37</v>
      </c>
      <c r="LV199" s="12" t="s">
        <v>37</v>
      </c>
      <c r="LW199" s="13" t="s">
        <v>37</v>
      </c>
      <c r="LY199" s="12" t="s">
        <v>37</v>
      </c>
      <c r="LZ199" s="12" t="s">
        <v>37</v>
      </c>
      <c r="MA199" s="12" t="s">
        <v>37</v>
      </c>
      <c r="MF199" s="12" t="s">
        <v>37</v>
      </c>
      <c r="MG199" s="12" t="s">
        <v>37</v>
      </c>
      <c r="MH199" s="12" t="s">
        <v>37</v>
      </c>
      <c r="MJ199" s="12" t="s">
        <v>37</v>
      </c>
      <c r="MK199" s="12" t="s">
        <v>37</v>
      </c>
      <c r="ML199" s="12" t="s">
        <v>37</v>
      </c>
      <c r="MQ199" s="12" t="s">
        <v>37</v>
      </c>
      <c r="MR199" s="12" t="s">
        <v>37</v>
      </c>
      <c r="MS199" s="12" t="s">
        <v>37</v>
      </c>
      <c r="MU199" s="12" t="s">
        <v>37</v>
      </c>
      <c r="MV199" s="12" t="s">
        <v>37</v>
      </c>
      <c r="MW199" s="12" t="s">
        <v>37</v>
      </c>
      <c r="NC199" s="12" t="s">
        <v>37</v>
      </c>
      <c r="ND199" s="12" t="s">
        <v>37</v>
      </c>
      <c r="NE199" s="12" t="s">
        <v>37</v>
      </c>
      <c r="NG199" s="12" t="s">
        <v>37</v>
      </c>
      <c r="NH199" s="12" t="s">
        <v>37</v>
      </c>
      <c r="NI199" s="12" t="s">
        <v>37</v>
      </c>
      <c r="NO199" s="12" t="s">
        <v>37</v>
      </c>
      <c r="NP199" s="12" t="s">
        <v>37</v>
      </c>
      <c r="NQ199" s="12" t="s">
        <v>37</v>
      </c>
      <c r="NS199" s="12" t="s">
        <v>37</v>
      </c>
      <c r="NT199" s="12" t="s">
        <v>37</v>
      </c>
      <c r="NU199" s="12" t="s">
        <v>37</v>
      </c>
      <c r="OA199" s="12" t="s">
        <v>37</v>
      </c>
      <c r="OB199" s="12" t="s">
        <v>37</v>
      </c>
      <c r="OC199" s="12" t="s">
        <v>37</v>
      </c>
      <c r="OD199" s="12"/>
      <c r="OE199" s="12" t="s">
        <v>37</v>
      </c>
      <c r="OF199" s="12" t="s">
        <v>37</v>
      </c>
      <c r="OG199" s="12" t="s">
        <v>37</v>
      </c>
      <c r="OH199" s="12"/>
      <c r="OI199" s="12"/>
      <c r="OJ199" s="12"/>
      <c r="OM199" s="12" t="s">
        <v>37</v>
      </c>
      <c r="ON199" s="12" t="s">
        <v>37</v>
      </c>
      <c r="OO199" s="12" t="s">
        <v>37</v>
      </c>
      <c r="OP199" s="12" t="s">
        <v>37</v>
      </c>
      <c r="OQ199" s="12" t="s">
        <v>37</v>
      </c>
      <c r="OR199" s="12" t="s">
        <v>37</v>
      </c>
      <c r="OS199" s="12"/>
      <c r="OT199" s="12"/>
      <c r="OW199" s="12" t="s">
        <v>37</v>
      </c>
      <c r="OX199" s="12" t="s">
        <v>37</v>
      </c>
      <c r="OY199" s="13" t="s">
        <v>37</v>
      </c>
      <c r="OZ199" s="12" t="s">
        <v>37</v>
      </c>
      <c r="PA199" s="12" t="s">
        <v>37</v>
      </c>
      <c r="PB199" s="13" t="s">
        <v>37</v>
      </c>
      <c r="PG199" s="11" t="s">
        <v>37</v>
      </c>
      <c r="PH199" s="11" t="s">
        <v>37</v>
      </c>
      <c r="PI199" s="13" t="s">
        <v>37</v>
      </c>
      <c r="PJ199" s="11" t="s">
        <v>37</v>
      </c>
      <c r="PK199" s="11" t="s">
        <v>37</v>
      </c>
      <c r="PL199" s="13" t="s">
        <v>37</v>
      </c>
      <c r="PQ199" s="12" t="s">
        <v>37</v>
      </c>
      <c r="PR199" s="12" t="s">
        <v>37</v>
      </c>
      <c r="PS199" s="12" t="s">
        <v>37</v>
      </c>
      <c r="PT199" s="12" t="s">
        <v>37</v>
      </c>
      <c r="PU199" s="12" t="s">
        <v>37</v>
      </c>
      <c r="PV199" s="12" t="s">
        <v>37</v>
      </c>
      <c r="PW199" s="12"/>
      <c r="PX199" s="12"/>
      <c r="PZ199" s="12" t="s">
        <v>37</v>
      </c>
      <c r="QA199" s="12" t="s">
        <v>37</v>
      </c>
      <c r="QB199" s="11" t="s">
        <v>37</v>
      </c>
      <c r="QD199" s="12" t="s">
        <v>37</v>
      </c>
      <c r="QE199" s="12" t="s">
        <v>37</v>
      </c>
      <c r="QF199" s="12" t="s">
        <v>37</v>
      </c>
      <c r="QK199" s="12" t="s">
        <v>37</v>
      </c>
      <c r="QL199" s="12" t="s">
        <v>37</v>
      </c>
      <c r="QM199" s="12" t="s">
        <v>37</v>
      </c>
      <c r="QN199" s="12" t="s">
        <v>37</v>
      </c>
      <c r="QO199" s="12" t="s">
        <v>37</v>
      </c>
      <c r="QP199" s="12" t="s">
        <v>37</v>
      </c>
      <c r="QQ199" s="12"/>
      <c r="QR199" s="12"/>
      <c r="QU199" s="12" t="s">
        <v>37</v>
      </c>
      <c r="QV199" s="12" t="s">
        <v>37</v>
      </c>
      <c r="QW199" s="12" t="s">
        <v>37</v>
      </c>
      <c r="QX199" s="12" t="s">
        <v>37</v>
      </c>
      <c r="QY199" s="12" t="s">
        <v>37</v>
      </c>
      <c r="QZ199" s="12" t="s">
        <v>37</v>
      </c>
      <c r="RC199" s="12" t="s">
        <v>37</v>
      </c>
      <c r="RD199" s="12" t="s">
        <v>37</v>
      </c>
      <c r="RE199" s="13" t="s">
        <v>37</v>
      </c>
      <c r="RF199" s="12" t="s">
        <v>37</v>
      </c>
      <c r="RG199" s="12" t="s">
        <v>37</v>
      </c>
      <c r="RH199" s="13" t="s">
        <v>37</v>
      </c>
      <c r="RK199" s="12" t="s">
        <v>37</v>
      </c>
      <c r="RL199" s="12" t="s">
        <v>37</v>
      </c>
      <c r="RM199" s="11" t="s">
        <v>37</v>
      </c>
      <c r="RN199" s="12" t="s">
        <v>37</v>
      </c>
      <c r="RO199" s="12" t="s">
        <v>37</v>
      </c>
      <c r="RP199" s="11" t="s">
        <v>37</v>
      </c>
      <c r="RS199" s="12" t="s">
        <v>37</v>
      </c>
      <c r="RT199" s="12" t="s">
        <v>37</v>
      </c>
      <c r="RU199" s="12" t="s">
        <v>37</v>
      </c>
      <c r="RV199" s="12" t="s">
        <v>37</v>
      </c>
      <c r="RW199" s="12" t="s">
        <v>37</v>
      </c>
      <c r="RX199" s="12" t="s">
        <v>37</v>
      </c>
      <c r="SA199" s="12" t="s">
        <v>37</v>
      </c>
      <c r="SB199" s="12" t="s">
        <v>37</v>
      </c>
      <c r="SC199" s="12" t="s">
        <v>37</v>
      </c>
      <c r="SD199" s="12" t="s">
        <v>37</v>
      </c>
      <c r="SE199" s="12" t="s">
        <v>37</v>
      </c>
      <c r="SF199" s="12" t="s">
        <v>37</v>
      </c>
      <c r="SI199" s="12" t="s">
        <v>37</v>
      </c>
      <c r="SJ199" s="12" t="s">
        <v>37</v>
      </c>
      <c r="SK199" s="13" t="s">
        <v>37</v>
      </c>
      <c r="SM199" s="12" t="s">
        <v>37</v>
      </c>
      <c r="SN199" s="12" t="s">
        <v>37</v>
      </c>
      <c r="SO199" s="13" t="s">
        <v>37</v>
      </c>
      <c r="SU199" s="12" t="s">
        <v>37</v>
      </c>
      <c r="SV199" s="12" t="s">
        <v>37</v>
      </c>
      <c r="SW199" s="12" t="s">
        <v>37</v>
      </c>
      <c r="SX199" s="12" t="s">
        <v>37</v>
      </c>
      <c r="SY199" s="12" t="s">
        <v>37</v>
      </c>
      <c r="SZ199" s="12" t="s">
        <v>37</v>
      </c>
      <c r="TA199" s="12"/>
      <c r="TB199" s="12"/>
      <c r="TE199" s="12" t="s">
        <v>37</v>
      </c>
      <c r="TF199" s="12" t="s">
        <v>37</v>
      </c>
      <c r="TG199" s="11" t="s">
        <v>37</v>
      </c>
      <c r="TH199" s="12" t="s">
        <v>37</v>
      </c>
      <c r="TI199" s="12" t="s">
        <v>37</v>
      </c>
      <c r="TJ199" s="11" t="s">
        <v>37</v>
      </c>
      <c r="TO199" s="12" t="s">
        <v>37</v>
      </c>
      <c r="TP199" s="12" t="s">
        <v>37</v>
      </c>
      <c r="TQ199" s="11" t="s">
        <v>37</v>
      </c>
      <c r="TR199" s="12" t="s">
        <v>37</v>
      </c>
      <c r="TS199" s="12" t="s">
        <v>37</v>
      </c>
      <c r="TT199" s="11" t="s">
        <v>37</v>
      </c>
      <c r="TY199" s="12" t="s">
        <v>37</v>
      </c>
      <c r="TZ199" s="12" t="s">
        <v>37</v>
      </c>
      <c r="UA199" s="12" t="s">
        <v>37</v>
      </c>
      <c r="UB199" s="12" t="s">
        <v>37</v>
      </c>
      <c r="UC199" s="12" t="s">
        <v>37</v>
      </c>
      <c r="UD199" s="12" t="s">
        <v>37</v>
      </c>
      <c r="UE199" s="12"/>
      <c r="UF199" s="12"/>
      <c r="UI199" s="12" t="s">
        <v>37</v>
      </c>
      <c r="UJ199" s="12" t="s">
        <v>37</v>
      </c>
      <c r="UK199" s="12" t="s">
        <v>37</v>
      </c>
      <c r="UL199" s="12" t="s">
        <v>37</v>
      </c>
      <c r="UM199" s="12" t="s">
        <v>37</v>
      </c>
      <c r="UN199" s="12" t="s">
        <v>37</v>
      </c>
      <c r="UO199" s="12"/>
      <c r="UP199" s="12"/>
      <c r="UR199" s="12" t="s">
        <v>37</v>
      </c>
      <c r="US199" s="12" t="s">
        <v>37</v>
      </c>
      <c r="UT199" s="12" t="s">
        <v>37</v>
      </c>
      <c r="UU199" s="12" t="s">
        <v>37</v>
      </c>
      <c r="UV199" s="12" t="s">
        <v>37</v>
      </c>
      <c r="UW199" s="12" t="s">
        <v>37</v>
      </c>
      <c r="UX199" s="12"/>
      <c r="UY199" s="12"/>
      <c r="VB199" s="12" t="s">
        <v>37</v>
      </c>
      <c r="VC199" s="12" t="s">
        <v>37</v>
      </c>
      <c r="VD199" s="12" t="s">
        <v>37</v>
      </c>
      <c r="VE199" s="12" t="s">
        <v>37</v>
      </c>
      <c r="VF199" s="12" t="s">
        <v>37</v>
      </c>
      <c r="VG199" s="12" t="s">
        <v>37</v>
      </c>
      <c r="VI199" s="12" t="s">
        <v>37</v>
      </c>
      <c r="VJ199" s="12" t="s">
        <v>37</v>
      </c>
      <c r="VK199" s="12" t="s">
        <v>37</v>
      </c>
      <c r="VL199" s="12" t="s">
        <v>37</v>
      </c>
      <c r="VM199" s="12" t="s">
        <v>37</v>
      </c>
      <c r="VN199" s="12" t="s">
        <v>37</v>
      </c>
      <c r="VQ199" s="13" t="s">
        <v>37</v>
      </c>
      <c r="VR199" s="13" t="s">
        <v>37</v>
      </c>
      <c r="VS199" s="13" t="s">
        <v>37</v>
      </c>
      <c r="VT199" s="13" t="s">
        <v>37</v>
      </c>
      <c r="VU199" s="13" t="s">
        <v>37</v>
      </c>
      <c r="VV199" s="13" t="s">
        <v>37</v>
      </c>
      <c r="WA199" s="13" t="s">
        <v>37</v>
      </c>
      <c r="WB199" s="13" t="s">
        <v>37</v>
      </c>
      <c r="WC199" s="13" t="s">
        <v>37</v>
      </c>
      <c r="WD199" s="13" t="s">
        <v>37</v>
      </c>
      <c r="WE199" s="13" t="s">
        <v>37</v>
      </c>
      <c r="WF199" s="13" t="s">
        <v>37</v>
      </c>
    </row>
    <row r="200" spans="1:604" ht="18" customHeight="1" x14ac:dyDescent="0.3">
      <c r="A200" s="11">
        <v>49</v>
      </c>
      <c r="B200" s="16" t="s">
        <v>299</v>
      </c>
      <c r="C200" s="12" t="s">
        <v>26</v>
      </c>
      <c r="D200" s="12" t="s">
        <v>973</v>
      </c>
      <c r="E200" s="40">
        <v>2.2999999999999998</v>
      </c>
      <c r="F200" s="14">
        <v>0</v>
      </c>
      <c r="G200" s="14">
        <v>0</v>
      </c>
      <c r="H200" s="12" t="s">
        <v>82</v>
      </c>
      <c r="I200" s="29">
        <v>46.317</v>
      </c>
      <c r="J200" s="29">
        <v>-86.05</v>
      </c>
      <c r="K200" s="12" t="s">
        <v>661</v>
      </c>
      <c r="L200" s="12" t="s">
        <v>662</v>
      </c>
      <c r="M200" s="13" t="s">
        <v>37</v>
      </c>
      <c r="N200" s="14">
        <v>5.0999999999999996</v>
      </c>
      <c r="O200" s="14">
        <v>835</v>
      </c>
      <c r="P200" s="14" t="s">
        <v>16</v>
      </c>
      <c r="Q200" s="75">
        <v>61</v>
      </c>
      <c r="R200" s="11" t="s">
        <v>1000</v>
      </c>
      <c r="S200" s="12" t="s">
        <v>85</v>
      </c>
      <c r="T200" s="12" t="s">
        <v>138</v>
      </c>
      <c r="U200" s="12" t="s">
        <v>158</v>
      </c>
      <c r="V200" s="12" t="s">
        <v>275</v>
      </c>
      <c r="W200" s="23" t="s">
        <v>300</v>
      </c>
      <c r="X200" s="12" t="s">
        <v>281</v>
      </c>
      <c r="Y200" s="12" t="s">
        <v>37</v>
      </c>
      <c r="Z200" s="12" t="s">
        <v>37</v>
      </c>
      <c r="AA200" s="32" t="s">
        <v>345</v>
      </c>
      <c r="AB200" s="12">
        <v>3.78</v>
      </c>
      <c r="AE200" s="12" t="s">
        <v>37</v>
      </c>
      <c r="AH200" s="12" t="s">
        <v>37</v>
      </c>
      <c r="AK200" s="12" t="s">
        <v>37</v>
      </c>
      <c r="AL200" s="32" t="s">
        <v>551</v>
      </c>
      <c r="AM200" s="12" t="s">
        <v>317</v>
      </c>
      <c r="AN200" s="32" t="s">
        <v>880</v>
      </c>
      <c r="AO200" s="12" t="s">
        <v>37</v>
      </c>
      <c r="AP200" s="12" t="s">
        <v>301</v>
      </c>
      <c r="AQ200" s="12" t="s">
        <v>302</v>
      </c>
      <c r="AT200" s="12" t="s">
        <v>326</v>
      </c>
      <c r="AU200" s="12" t="s">
        <v>326</v>
      </c>
      <c r="AV200" s="13" t="s">
        <v>326</v>
      </c>
      <c r="AX200" s="12" t="s">
        <v>326</v>
      </c>
      <c r="AY200" s="12" t="s">
        <v>326</v>
      </c>
      <c r="AZ200" s="13" t="s">
        <v>326</v>
      </c>
      <c r="BE200" s="12" t="s">
        <v>326</v>
      </c>
      <c r="BF200" s="12" t="s">
        <v>326</v>
      </c>
      <c r="BG200" s="12" t="s">
        <v>326</v>
      </c>
      <c r="BI200" s="12" t="s">
        <v>326</v>
      </c>
      <c r="BJ200" s="12" t="s">
        <v>326</v>
      </c>
      <c r="BK200" s="12" t="s">
        <v>326</v>
      </c>
      <c r="BP200" s="12" t="s">
        <v>37</v>
      </c>
      <c r="BQ200" s="12" t="s">
        <v>37</v>
      </c>
      <c r="BR200" s="12" t="s">
        <v>37</v>
      </c>
      <c r="BT200" s="12" t="s">
        <v>37</v>
      </c>
      <c r="BU200" s="12" t="s">
        <v>37</v>
      </c>
      <c r="BV200" s="12" t="s">
        <v>37</v>
      </c>
      <c r="BZ200" s="12" t="s">
        <v>47</v>
      </c>
      <c r="CA200" s="12">
        <f>-417.2*44/12*10^4/10^3/'[6]classess-1'!$T$58</f>
        <v>-15725.784017121432</v>
      </c>
      <c r="CB200" s="50">
        <f>ABS(CA200)*CD$474</f>
        <v>3834.1106442782989</v>
      </c>
      <c r="CC200" s="13">
        <v>1</v>
      </c>
      <c r="CE200" s="12">
        <f>-437.6*44/12*10^4/10^3/'[6]classess-1'!$T$59</f>
        <v>-16611.232720206455</v>
      </c>
      <c r="CF200" s="50">
        <f>ABS(CE200)*CH$474</f>
        <v>6183.8485955665874</v>
      </c>
      <c r="CG200" s="13">
        <v>1</v>
      </c>
      <c r="CI200" s="75">
        <f t="shared" si="845"/>
        <v>-885.44870308502323</v>
      </c>
      <c r="CJ200" s="12" t="e">
        <f t="shared" si="846"/>
        <v>#DIV/0!</v>
      </c>
      <c r="CK200" s="72" t="e">
        <f t="shared" si="847"/>
        <v>#DIV/0!</v>
      </c>
      <c r="CL200" s="72">
        <f t="shared" si="848"/>
        <v>52940387.885459006</v>
      </c>
      <c r="CM200" s="12" t="s">
        <v>47</v>
      </c>
      <c r="CN200" s="12">
        <f>DA200-CA200</f>
        <v>12587.493371634213</v>
      </c>
      <c r="CO200" s="50">
        <f>ABS(CN200)*CQ$474</f>
        <v>3620.5068518327839</v>
      </c>
      <c r="CP200" s="13">
        <v>1</v>
      </c>
      <c r="CR200" s="12">
        <f>DE200-CE200</f>
        <v>17012.76988978263</v>
      </c>
      <c r="CS200" s="50">
        <f>ABS(CR200)*CU$474</f>
        <v>4464.0005961028419</v>
      </c>
      <c r="CT200" s="13">
        <v>1</v>
      </c>
      <c r="CV200" s="75">
        <f t="shared" si="849"/>
        <v>4425.2765181484174</v>
      </c>
      <c r="CW200" s="12" t="e">
        <f t="shared" si="850"/>
        <v>#DIV/0!</v>
      </c>
      <c r="CX200" s="72" t="e">
        <f t="shared" si="851"/>
        <v>#DIV/0!</v>
      </c>
      <c r="CY200" s="72">
        <f t="shared" si="852"/>
        <v>33035371.186174661</v>
      </c>
      <c r="CZ200" s="12" t="s">
        <v>47</v>
      </c>
      <c r="DA200" s="12">
        <f>-70.8*44/12*10^4/10^3/'[6]classess-1'!$I$12</f>
        <v>-3138.2906454872195</v>
      </c>
      <c r="DB200" s="50">
        <f>ABS(DA200)*DD$474</f>
        <v>9413.7941177993216</v>
      </c>
      <c r="DC200" s="13">
        <v>1</v>
      </c>
      <c r="DE200" s="12">
        <f>-37.9*44/12*10^4/10^3/'[6]classess-1'!$I$13</f>
        <v>401.53716957617513</v>
      </c>
      <c r="DF200" s="50">
        <f>ABS(DE200)*DH$474</f>
        <v>382.72225982505051</v>
      </c>
      <c r="DG200" s="13">
        <v>1</v>
      </c>
      <c r="DI200" s="19">
        <f t="shared" si="840"/>
        <v>3539.8278150633946</v>
      </c>
      <c r="DJ200" s="12" t="e">
        <f t="shared" si="841"/>
        <v>#DIV/0!</v>
      </c>
      <c r="DK200" s="72" t="e">
        <f t="shared" si="842"/>
        <v>#DIV/0!</v>
      </c>
      <c r="DL200" s="72">
        <f t="shared" si="843"/>
        <v>88765996.020478696</v>
      </c>
      <c r="DM200" s="11" t="s">
        <v>47</v>
      </c>
      <c r="DN200" s="19">
        <f>13*16/12*10^4/10^3/'[1]classes-1'!$I$54</f>
        <v>245.98402154970469</v>
      </c>
      <c r="DO200" s="50">
        <f>ABS(DN200)*DQ$474</f>
        <v>274.24249109003443</v>
      </c>
      <c r="DP200" s="13">
        <v>1</v>
      </c>
      <c r="DR200" s="19">
        <f>4.2*16/12*10^4/10^3/'[1]classes-1'!$I$57</f>
        <v>137.10405045597599</v>
      </c>
      <c r="DS200" s="50">
        <f>ABS(DR200)*DU$474</f>
        <v>512.38749142398558</v>
      </c>
      <c r="DT200" s="13">
        <v>1</v>
      </c>
      <c r="DV200" s="19">
        <f t="shared" ref="DV200:DV202" si="857">DR200-DN200</f>
        <v>-108.8799710937287</v>
      </c>
      <c r="DW200" s="12" t="e">
        <f>SQRT(((DP200-1)*DO200^2+(DT200-1)*DS200^2)/(DP200+DT200-2))</f>
        <v>#DIV/0!</v>
      </c>
      <c r="DX200" s="72" t="e">
        <f>(((DP200+DT200)/(DP200*DT200))*(((DP200-1)*DO200^2)+(DT200-1)*DS200^2)/(DP200+DT200-2))</f>
        <v>#DIV/0!</v>
      </c>
      <c r="DY200" s="72">
        <f>(DO200^2/DP200)+(DS200^2/DT200)</f>
        <v>337749.88528703252</v>
      </c>
      <c r="EA200" s="19" t="s">
        <v>37</v>
      </c>
      <c r="EB200" s="19" t="s">
        <v>37</v>
      </c>
      <c r="EC200" s="72" t="s">
        <v>37</v>
      </c>
      <c r="EE200" s="19" t="s">
        <v>37</v>
      </c>
      <c r="EF200" s="19" t="s">
        <v>37</v>
      </c>
      <c r="EG200" s="12" t="s">
        <v>37</v>
      </c>
      <c r="EM200" s="12" t="s">
        <v>39</v>
      </c>
      <c r="EN200" s="12">
        <v>-23</v>
      </c>
      <c r="EO200" s="12">
        <f>0.8*SQRT(16)</f>
        <v>3.2</v>
      </c>
      <c r="EP200" s="13">
        <v>16</v>
      </c>
      <c r="EQ200" s="19">
        <f t="shared" si="792"/>
        <v>0.1391304347826087</v>
      </c>
      <c r="ER200" s="12">
        <v>-35.299999999999997</v>
      </c>
      <c r="ES200" s="12">
        <f>1.1*SQRT(16)</f>
        <v>4.4000000000000004</v>
      </c>
      <c r="ET200" s="13">
        <v>16</v>
      </c>
      <c r="EU200" s="19">
        <f t="shared" si="793"/>
        <v>0.12464589235127481</v>
      </c>
      <c r="EV200" s="19">
        <f t="shared" si="701"/>
        <v>-12.299999999999997</v>
      </c>
      <c r="EW200" s="12">
        <f t="shared" si="702"/>
        <v>3.8470768123342691</v>
      </c>
      <c r="EX200" s="19">
        <f t="shared" si="703"/>
        <v>1.8500000000000003</v>
      </c>
      <c r="EY200" s="19">
        <f t="shared" si="704"/>
        <v>1.8500000000000003</v>
      </c>
      <c r="FB200" s="12" t="s">
        <v>37</v>
      </c>
      <c r="FC200" s="12" t="s">
        <v>37</v>
      </c>
      <c r="FD200" s="11" t="s">
        <v>37</v>
      </c>
      <c r="FE200" s="12" t="s">
        <v>37</v>
      </c>
      <c r="FF200" s="20" t="s">
        <v>37</v>
      </c>
      <c r="FG200" s="11" t="s">
        <v>37</v>
      </c>
      <c r="FI200" s="12" t="s">
        <v>37</v>
      </c>
      <c r="FJ200" s="12" t="s">
        <v>37</v>
      </c>
      <c r="FK200" s="11" t="s">
        <v>37</v>
      </c>
      <c r="FL200" s="13" t="s">
        <v>37</v>
      </c>
      <c r="FM200" s="11" t="s">
        <v>37</v>
      </c>
      <c r="FN200" s="11" t="s">
        <v>37</v>
      </c>
      <c r="FP200" s="12" t="s">
        <v>37</v>
      </c>
      <c r="FQ200" s="12" t="s">
        <v>37</v>
      </c>
      <c r="FR200" s="11" t="s">
        <v>37</v>
      </c>
      <c r="FS200" s="13" t="s">
        <v>37</v>
      </c>
      <c r="FT200" s="11" t="s">
        <v>37</v>
      </c>
      <c r="FU200" s="11" t="s">
        <v>37</v>
      </c>
      <c r="FW200" s="12" t="s">
        <v>37</v>
      </c>
      <c r="FX200" s="12" t="s">
        <v>37</v>
      </c>
      <c r="FY200" s="11" t="s">
        <v>37</v>
      </c>
      <c r="FZ200" s="13" t="s">
        <v>37</v>
      </c>
      <c r="GA200" s="11" t="s">
        <v>37</v>
      </c>
      <c r="GB200" s="11" t="s">
        <v>37</v>
      </c>
      <c r="IK200" s="12" t="s">
        <v>37</v>
      </c>
      <c r="IL200" s="12" t="s">
        <v>37</v>
      </c>
      <c r="IM200" s="12" t="s">
        <v>37</v>
      </c>
      <c r="IO200" s="12" t="s">
        <v>37</v>
      </c>
      <c r="IP200" s="12" t="s">
        <v>37</v>
      </c>
      <c r="IQ200" s="12" t="s">
        <v>37</v>
      </c>
      <c r="IV200" s="32" t="s">
        <v>345</v>
      </c>
      <c r="IW200" s="12">
        <v>3.78</v>
      </c>
      <c r="IX200" s="12">
        <f>0.02*SQRT(6)</f>
        <v>4.8989794855663557E-2</v>
      </c>
      <c r="IY200" s="13">
        <v>6</v>
      </c>
      <c r="IZ200" s="19">
        <f t="shared" si="853"/>
        <v>1.2960263189328984E-2</v>
      </c>
      <c r="JA200" s="12">
        <v>3.7</v>
      </c>
      <c r="JB200" s="12">
        <f>0.01*SQRT(6)</f>
        <v>2.4494897427831779E-2</v>
      </c>
      <c r="JC200" s="13">
        <v>6</v>
      </c>
      <c r="JD200" s="19">
        <f t="shared" si="854"/>
        <v>6.6202425480626423E-3</v>
      </c>
      <c r="JE200" s="19">
        <f t="shared" si="855"/>
        <v>-2.1391189981317445E-2</v>
      </c>
      <c r="JF200" s="19">
        <f t="shared" si="856"/>
        <v>3.5299338888642465E-5</v>
      </c>
      <c r="JH200" s="12" t="s">
        <v>37</v>
      </c>
      <c r="JI200" s="12" t="s">
        <v>37</v>
      </c>
      <c r="JJ200" s="13" t="s">
        <v>37</v>
      </c>
      <c r="JL200" s="12" t="s">
        <v>37</v>
      </c>
      <c r="JM200" s="12" t="s">
        <v>37</v>
      </c>
      <c r="JN200" s="12" t="s">
        <v>37</v>
      </c>
      <c r="JS200" s="12" t="s">
        <v>37</v>
      </c>
      <c r="JT200" s="12" t="s">
        <v>37</v>
      </c>
      <c r="JU200" s="13" t="s">
        <v>37</v>
      </c>
      <c r="JW200" s="12" t="s">
        <v>37</v>
      </c>
      <c r="JX200" s="12" t="s">
        <v>37</v>
      </c>
      <c r="JY200" s="12" t="s">
        <v>37</v>
      </c>
      <c r="KE200" s="12" t="s">
        <v>37</v>
      </c>
      <c r="KF200" s="12" t="s">
        <v>37</v>
      </c>
      <c r="KG200" s="13" t="s">
        <v>37</v>
      </c>
      <c r="KH200" s="12" t="s">
        <v>37</v>
      </c>
      <c r="KI200" s="12" t="s">
        <v>37</v>
      </c>
      <c r="KJ200" s="12" t="s">
        <v>37</v>
      </c>
      <c r="KM200" s="12" t="s">
        <v>37</v>
      </c>
      <c r="KN200" s="12" t="s">
        <v>37</v>
      </c>
      <c r="KO200" s="11" t="s">
        <v>37</v>
      </c>
      <c r="KQ200" s="12" t="s">
        <v>37</v>
      </c>
      <c r="KR200" s="12" t="s">
        <v>37</v>
      </c>
      <c r="KS200" s="12" t="s">
        <v>37</v>
      </c>
      <c r="KX200" s="12" t="s">
        <v>37</v>
      </c>
      <c r="KY200" s="12" t="s">
        <v>37</v>
      </c>
      <c r="KZ200" s="13" t="s">
        <v>37</v>
      </c>
      <c r="LB200" s="12" t="s">
        <v>37</v>
      </c>
      <c r="LC200" s="12" t="s">
        <v>37</v>
      </c>
      <c r="LD200" s="13" t="s">
        <v>37</v>
      </c>
      <c r="LI200" s="12" t="s">
        <v>37</v>
      </c>
      <c r="LJ200" s="12" t="s">
        <v>37</v>
      </c>
      <c r="LK200" s="12" t="s">
        <v>37</v>
      </c>
      <c r="LM200" s="12" t="s">
        <v>37</v>
      </c>
      <c r="LN200" s="12" t="s">
        <v>37</v>
      </c>
      <c r="LO200" s="12" t="s">
        <v>37</v>
      </c>
      <c r="LU200" s="12" t="s">
        <v>37</v>
      </c>
      <c r="LV200" s="12" t="s">
        <v>37</v>
      </c>
      <c r="LW200" s="13" t="s">
        <v>37</v>
      </c>
      <c r="LY200" s="12" t="s">
        <v>37</v>
      </c>
      <c r="LZ200" s="12" t="s">
        <v>37</v>
      </c>
      <c r="MA200" s="12" t="s">
        <v>37</v>
      </c>
      <c r="MF200" s="12" t="s">
        <v>37</v>
      </c>
      <c r="MG200" s="12" t="s">
        <v>37</v>
      </c>
      <c r="MH200" s="12" t="s">
        <v>37</v>
      </c>
      <c r="MJ200" s="12" t="s">
        <v>37</v>
      </c>
      <c r="MK200" s="12" t="s">
        <v>37</v>
      </c>
      <c r="ML200" s="12" t="s">
        <v>37</v>
      </c>
      <c r="MQ200" s="12" t="s">
        <v>37</v>
      </c>
      <c r="MR200" s="12" t="s">
        <v>37</v>
      </c>
      <c r="MS200" s="12" t="s">
        <v>37</v>
      </c>
      <c r="MU200" s="12" t="s">
        <v>37</v>
      </c>
      <c r="MV200" s="12" t="s">
        <v>37</v>
      </c>
      <c r="MW200" s="12" t="s">
        <v>37</v>
      </c>
      <c r="NC200" s="12" t="s">
        <v>37</v>
      </c>
      <c r="ND200" s="12" t="s">
        <v>37</v>
      </c>
      <c r="NE200" s="12" t="s">
        <v>37</v>
      </c>
      <c r="NG200" s="12" t="s">
        <v>37</v>
      </c>
      <c r="NH200" s="12" t="s">
        <v>37</v>
      </c>
      <c r="NI200" s="12" t="s">
        <v>37</v>
      </c>
      <c r="NO200" s="12" t="s">
        <v>37</v>
      </c>
      <c r="NP200" s="12" t="s">
        <v>37</v>
      </c>
      <c r="NQ200" s="12" t="s">
        <v>37</v>
      </c>
      <c r="NS200" s="12" t="s">
        <v>37</v>
      </c>
      <c r="NT200" s="12" t="s">
        <v>37</v>
      </c>
      <c r="NU200" s="12" t="s">
        <v>37</v>
      </c>
      <c r="OA200" s="12" t="s">
        <v>37</v>
      </c>
      <c r="OB200" s="12" t="s">
        <v>37</v>
      </c>
      <c r="OC200" s="12" t="s">
        <v>37</v>
      </c>
      <c r="OD200" s="12"/>
      <c r="OE200" s="12" t="s">
        <v>37</v>
      </c>
      <c r="OF200" s="12" t="s">
        <v>37</v>
      </c>
      <c r="OG200" s="12" t="s">
        <v>37</v>
      </c>
      <c r="OH200" s="12"/>
      <c r="OI200" s="12"/>
      <c r="OJ200" s="12"/>
      <c r="OM200" s="12" t="s">
        <v>37</v>
      </c>
      <c r="ON200" s="12" t="s">
        <v>37</v>
      </c>
      <c r="OO200" s="12" t="s">
        <v>37</v>
      </c>
      <c r="OP200" s="12" t="s">
        <v>37</v>
      </c>
      <c r="OQ200" s="12" t="s">
        <v>37</v>
      </c>
      <c r="OR200" s="12" t="s">
        <v>37</v>
      </c>
      <c r="OS200" s="12"/>
      <c r="OT200" s="12"/>
      <c r="OW200" s="12" t="s">
        <v>37</v>
      </c>
      <c r="OX200" s="12" t="s">
        <v>37</v>
      </c>
      <c r="OY200" s="13" t="s">
        <v>37</v>
      </c>
      <c r="OZ200" s="12" t="s">
        <v>37</v>
      </c>
      <c r="PA200" s="12" t="s">
        <v>37</v>
      </c>
      <c r="PB200" s="13" t="s">
        <v>37</v>
      </c>
      <c r="PG200" s="11" t="s">
        <v>37</v>
      </c>
      <c r="PH200" s="11" t="s">
        <v>37</v>
      </c>
      <c r="PI200" s="13" t="s">
        <v>37</v>
      </c>
      <c r="PJ200" s="11" t="s">
        <v>37</v>
      </c>
      <c r="PK200" s="11" t="s">
        <v>37</v>
      </c>
      <c r="PL200" s="13" t="s">
        <v>37</v>
      </c>
      <c r="PQ200" s="12" t="s">
        <v>37</v>
      </c>
      <c r="PR200" s="12" t="s">
        <v>37</v>
      </c>
      <c r="PS200" s="12" t="s">
        <v>37</v>
      </c>
      <c r="PT200" s="12" t="s">
        <v>37</v>
      </c>
      <c r="PU200" s="12" t="s">
        <v>37</v>
      </c>
      <c r="PV200" s="12" t="s">
        <v>37</v>
      </c>
      <c r="PW200" s="12"/>
      <c r="PX200" s="12"/>
      <c r="PZ200" s="12" t="s">
        <v>37</v>
      </c>
      <c r="QA200" s="12" t="s">
        <v>37</v>
      </c>
      <c r="QB200" s="11" t="s">
        <v>37</v>
      </c>
      <c r="QD200" s="12" t="s">
        <v>37</v>
      </c>
      <c r="QE200" s="12" t="s">
        <v>37</v>
      </c>
      <c r="QF200" s="12" t="s">
        <v>37</v>
      </c>
      <c r="QK200" s="12" t="s">
        <v>37</v>
      </c>
      <c r="QL200" s="12" t="s">
        <v>37</v>
      </c>
      <c r="QM200" s="12" t="s">
        <v>37</v>
      </c>
      <c r="QN200" s="12" t="s">
        <v>37</v>
      </c>
      <c r="QO200" s="12" t="s">
        <v>37</v>
      </c>
      <c r="QP200" s="12" t="s">
        <v>37</v>
      </c>
      <c r="QQ200" s="12"/>
      <c r="QR200" s="12"/>
      <c r="QU200" s="12" t="s">
        <v>37</v>
      </c>
      <c r="QV200" s="12" t="s">
        <v>37</v>
      </c>
      <c r="QW200" s="12" t="s">
        <v>37</v>
      </c>
      <c r="QX200" s="12" t="s">
        <v>37</v>
      </c>
      <c r="QY200" s="12" t="s">
        <v>37</v>
      </c>
      <c r="QZ200" s="12" t="s">
        <v>37</v>
      </c>
      <c r="RC200" s="12" t="s">
        <v>37</v>
      </c>
      <c r="RD200" s="12" t="s">
        <v>37</v>
      </c>
      <c r="RE200" s="13" t="s">
        <v>37</v>
      </c>
      <c r="RF200" s="12" t="s">
        <v>37</v>
      </c>
      <c r="RG200" s="12" t="s">
        <v>37</v>
      </c>
      <c r="RH200" s="13" t="s">
        <v>37</v>
      </c>
      <c r="RK200" s="12" t="s">
        <v>37</v>
      </c>
      <c r="RL200" s="12" t="s">
        <v>37</v>
      </c>
      <c r="RM200" s="11" t="s">
        <v>37</v>
      </c>
      <c r="RN200" s="12" t="s">
        <v>37</v>
      </c>
      <c r="RO200" s="12" t="s">
        <v>37</v>
      </c>
      <c r="RP200" s="11" t="s">
        <v>37</v>
      </c>
      <c r="RS200" s="12" t="s">
        <v>37</v>
      </c>
      <c r="RT200" s="12" t="s">
        <v>37</v>
      </c>
      <c r="RU200" s="12" t="s">
        <v>37</v>
      </c>
      <c r="RV200" s="12" t="s">
        <v>37</v>
      </c>
      <c r="RW200" s="12" t="s">
        <v>37</v>
      </c>
      <c r="RX200" s="12" t="s">
        <v>37</v>
      </c>
      <c r="SA200" s="12" t="s">
        <v>37</v>
      </c>
      <c r="SB200" s="12" t="s">
        <v>37</v>
      </c>
      <c r="SC200" s="12" t="s">
        <v>37</v>
      </c>
      <c r="SD200" s="12" t="s">
        <v>37</v>
      </c>
      <c r="SE200" s="12" t="s">
        <v>37</v>
      </c>
      <c r="SF200" s="12" t="s">
        <v>37</v>
      </c>
      <c r="SI200" s="12" t="s">
        <v>37</v>
      </c>
      <c r="SJ200" s="12" t="s">
        <v>37</v>
      </c>
      <c r="SK200" s="13" t="s">
        <v>37</v>
      </c>
      <c r="SM200" s="12" t="s">
        <v>37</v>
      </c>
      <c r="SN200" s="12" t="s">
        <v>37</v>
      </c>
      <c r="SO200" s="13" t="s">
        <v>37</v>
      </c>
      <c r="SU200" s="12" t="s">
        <v>37</v>
      </c>
      <c r="SV200" s="12" t="s">
        <v>37</v>
      </c>
      <c r="SW200" s="12" t="s">
        <v>37</v>
      </c>
      <c r="SX200" s="12" t="s">
        <v>37</v>
      </c>
      <c r="SY200" s="12" t="s">
        <v>37</v>
      </c>
      <c r="SZ200" s="12" t="s">
        <v>37</v>
      </c>
      <c r="TA200" s="12"/>
      <c r="TB200" s="12"/>
      <c r="TE200" s="12" t="s">
        <v>37</v>
      </c>
      <c r="TF200" s="12" t="s">
        <v>37</v>
      </c>
      <c r="TG200" s="11" t="s">
        <v>37</v>
      </c>
      <c r="TH200" s="12" t="s">
        <v>37</v>
      </c>
      <c r="TI200" s="12" t="s">
        <v>37</v>
      </c>
      <c r="TJ200" s="11" t="s">
        <v>37</v>
      </c>
      <c r="TO200" s="12" t="s">
        <v>37</v>
      </c>
      <c r="TP200" s="12" t="s">
        <v>37</v>
      </c>
      <c r="TQ200" s="11" t="s">
        <v>37</v>
      </c>
      <c r="TR200" s="12" t="s">
        <v>37</v>
      </c>
      <c r="TS200" s="12" t="s">
        <v>37</v>
      </c>
      <c r="TT200" s="11" t="s">
        <v>37</v>
      </c>
      <c r="TY200" s="12" t="s">
        <v>37</v>
      </c>
      <c r="TZ200" s="12" t="s">
        <v>37</v>
      </c>
      <c r="UA200" s="12" t="s">
        <v>37</v>
      </c>
      <c r="UB200" s="12" t="s">
        <v>37</v>
      </c>
      <c r="UC200" s="12" t="s">
        <v>37</v>
      </c>
      <c r="UD200" s="12" t="s">
        <v>37</v>
      </c>
      <c r="UE200" s="12"/>
      <c r="UF200" s="12"/>
      <c r="UI200" s="12" t="s">
        <v>37</v>
      </c>
      <c r="UJ200" s="12" t="s">
        <v>37</v>
      </c>
      <c r="UK200" s="12" t="s">
        <v>37</v>
      </c>
      <c r="UL200" s="12" t="s">
        <v>37</v>
      </c>
      <c r="UM200" s="12" t="s">
        <v>37</v>
      </c>
      <c r="UN200" s="12" t="s">
        <v>37</v>
      </c>
      <c r="UO200" s="12"/>
      <c r="UP200" s="12"/>
      <c r="UR200" s="12" t="s">
        <v>37</v>
      </c>
      <c r="US200" s="12" t="s">
        <v>37</v>
      </c>
      <c r="UT200" s="12" t="s">
        <v>37</v>
      </c>
      <c r="UU200" s="12" t="s">
        <v>37</v>
      </c>
      <c r="UV200" s="12" t="s">
        <v>37</v>
      </c>
      <c r="UW200" s="12" t="s">
        <v>37</v>
      </c>
      <c r="UX200" s="12"/>
      <c r="UY200" s="12"/>
      <c r="VB200" s="12" t="s">
        <v>37</v>
      </c>
      <c r="VC200" s="12" t="s">
        <v>37</v>
      </c>
      <c r="VD200" s="12" t="s">
        <v>37</v>
      </c>
      <c r="VE200" s="12" t="s">
        <v>37</v>
      </c>
      <c r="VF200" s="12" t="s">
        <v>37</v>
      </c>
      <c r="VG200" s="12" t="s">
        <v>37</v>
      </c>
      <c r="VI200" s="12" t="s">
        <v>37</v>
      </c>
      <c r="VJ200" s="12" t="s">
        <v>37</v>
      </c>
      <c r="VK200" s="12" t="s">
        <v>37</v>
      </c>
      <c r="VL200" s="12" t="s">
        <v>37</v>
      </c>
      <c r="VM200" s="12" t="s">
        <v>37</v>
      </c>
      <c r="VN200" s="12" t="s">
        <v>37</v>
      </c>
      <c r="VQ200" s="13" t="s">
        <v>37</v>
      </c>
      <c r="VR200" s="13" t="s">
        <v>37</v>
      </c>
      <c r="VS200" s="13" t="s">
        <v>37</v>
      </c>
      <c r="VT200" s="13" t="s">
        <v>37</v>
      </c>
      <c r="VU200" s="13" t="s">
        <v>37</v>
      </c>
      <c r="VV200" s="13" t="s">
        <v>37</v>
      </c>
      <c r="WA200" s="13" t="s">
        <v>37</v>
      </c>
      <c r="WB200" s="13" t="s">
        <v>37</v>
      </c>
      <c r="WC200" s="13" t="s">
        <v>37</v>
      </c>
      <c r="WD200" s="13" t="s">
        <v>37</v>
      </c>
      <c r="WE200" s="13" t="s">
        <v>37</v>
      </c>
      <c r="WF200" s="13" t="s">
        <v>37</v>
      </c>
    </row>
    <row r="201" spans="1:604" ht="18" customHeight="1" x14ac:dyDescent="0.3">
      <c r="A201" s="11">
        <v>50</v>
      </c>
      <c r="B201" s="16" t="s">
        <v>909</v>
      </c>
      <c r="C201" s="12" t="s">
        <v>26</v>
      </c>
      <c r="D201" s="12" t="s">
        <v>1050</v>
      </c>
      <c r="E201" s="40">
        <v>0.5</v>
      </c>
      <c r="F201" s="14">
        <v>0</v>
      </c>
      <c r="G201" s="14">
        <v>0</v>
      </c>
      <c r="H201" s="12" t="s">
        <v>106</v>
      </c>
      <c r="I201" s="29">
        <v>54.128</v>
      </c>
      <c r="J201" s="29">
        <v>-9.5559999999999992</v>
      </c>
      <c r="K201" s="12" t="s">
        <v>748</v>
      </c>
      <c r="L201" s="12" t="s">
        <v>749</v>
      </c>
      <c r="M201" s="13" t="s">
        <v>37</v>
      </c>
      <c r="N201" s="14">
        <v>10.3</v>
      </c>
      <c r="O201" s="14">
        <v>1245</v>
      </c>
      <c r="P201" s="14" t="s">
        <v>16</v>
      </c>
      <c r="Q201" s="75">
        <v>1</v>
      </c>
      <c r="R201" s="11" t="s">
        <v>999</v>
      </c>
      <c r="S201" s="12" t="s">
        <v>93</v>
      </c>
      <c r="T201" s="12" t="s">
        <v>141</v>
      </c>
      <c r="U201" s="12" t="s">
        <v>158</v>
      </c>
      <c r="V201" s="12" t="s">
        <v>275</v>
      </c>
      <c r="W201" s="23" t="s">
        <v>304</v>
      </c>
      <c r="X201" s="12" t="s">
        <v>281</v>
      </c>
      <c r="Y201" s="12" t="s">
        <v>37</v>
      </c>
      <c r="Z201" s="12" t="s">
        <v>37</v>
      </c>
      <c r="AA201" s="32" t="s">
        <v>345</v>
      </c>
      <c r="AB201" s="12">
        <v>3.8</v>
      </c>
      <c r="AE201" s="12" t="s">
        <v>37</v>
      </c>
      <c r="AH201" s="12" t="s">
        <v>37</v>
      </c>
      <c r="AK201" s="12" t="s">
        <v>326</v>
      </c>
      <c r="AL201" s="32" t="s">
        <v>305</v>
      </c>
      <c r="AM201" s="12" t="s">
        <v>344</v>
      </c>
      <c r="AO201" s="12" t="s">
        <v>37</v>
      </c>
      <c r="AP201" s="12" t="s">
        <v>238</v>
      </c>
      <c r="AQ201" s="12" t="s">
        <v>975</v>
      </c>
      <c r="AT201" s="12" t="s">
        <v>326</v>
      </c>
      <c r="AU201" s="12" t="s">
        <v>326</v>
      </c>
      <c r="AV201" s="13" t="s">
        <v>326</v>
      </c>
      <c r="AX201" s="12" t="s">
        <v>326</v>
      </c>
      <c r="AY201" s="12" t="s">
        <v>326</v>
      </c>
      <c r="AZ201" s="13" t="s">
        <v>326</v>
      </c>
      <c r="BE201" s="12" t="s">
        <v>326</v>
      </c>
      <c r="BF201" s="12" t="s">
        <v>326</v>
      </c>
      <c r="BG201" s="12" t="s">
        <v>326</v>
      </c>
      <c r="BI201" s="12" t="s">
        <v>326</v>
      </c>
      <c r="BJ201" s="12" t="s">
        <v>326</v>
      </c>
      <c r="BK201" s="12" t="s">
        <v>326</v>
      </c>
      <c r="BP201" s="12" t="s">
        <v>37</v>
      </c>
      <c r="BQ201" s="12" t="s">
        <v>37</v>
      </c>
      <c r="BR201" s="12" t="s">
        <v>37</v>
      </c>
      <c r="BT201" s="12" t="s">
        <v>37</v>
      </c>
      <c r="BU201" s="12" t="s">
        <v>37</v>
      </c>
      <c r="BV201" s="12" t="s">
        <v>37</v>
      </c>
      <c r="CA201" s="12" t="s">
        <v>37</v>
      </c>
      <c r="CB201" s="12" t="s">
        <v>37</v>
      </c>
      <c r="CC201" s="13" t="s">
        <v>37</v>
      </c>
      <c r="CE201" s="12" t="s">
        <v>37</v>
      </c>
      <c r="CF201" s="12" t="s">
        <v>37</v>
      </c>
      <c r="CG201" s="13" t="s">
        <v>37</v>
      </c>
      <c r="CN201" s="12" t="s">
        <v>37</v>
      </c>
      <c r="CO201" s="12" t="s">
        <v>37</v>
      </c>
      <c r="CP201" s="13" t="s">
        <v>37</v>
      </c>
      <c r="CR201" s="12">
        <f>138*44/12*10^4/10^3</f>
        <v>5060</v>
      </c>
      <c r="CS201" s="12">
        <f>11*44/12*10^4/10^3*SQRT(3)</f>
        <v>698.59382571944718</v>
      </c>
      <c r="CT201" s="13">
        <v>3</v>
      </c>
      <c r="CU201" s="19">
        <f t="shared" ref="CU201:CU202" si="858">CS201/ABS(CR201)</f>
        <v>0.13806202089317138</v>
      </c>
      <c r="CX201" s="72"/>
      <c r="CY201" s="72"/>
      <c r="CZ201" s="12" t="s">
        <v>47</v>
      </c>
      <c r="DA201" s="12">
        <f>-2.04*1000</f>
        <v>-2040</v>
      </c>
      <c r="DB201" s="50">
        <f>ABS(DA201)*DD$474</f>
        <v>6119.2993797198715</v>
      </c>
      <c r="DC201" s="13">
        <v>3</v>
      </c>
      <c r="DE201" s="12">
        <v>5060</v>
      </c>
      <c r="DF201" s="12">
        <f>11*44/12*10^4/10^3*SQRT(3)</f>
        <v>698.59382571944718</v>
      </c>
      <c r="DG201" s="13">
        <v>3</v>
      </c>
      <c r="DH201" s="19">
        <f>DF201/ABS(DE201)</f>
        <v>0.13806202089317138</v>
      </c>
      <c r="DI201" s="19">
        <f t="shared" si="840"/>
        <v>7100</v>
      </c>
      <c r="DJ201" s="12">
        <f t="shared" si="841"/>
        <v>4355.1038008280202</v>
      </c>
      <c r="DK201" s="72">
        <f t="shared" si="842"/>
        <v>12644619.41065778</v>
      </c>
      <c r="DL201" s="72">
        <f t="shared" si="843"/>
        <v>12644619.41065778</v>
      </c>
      <c r="DM201" s="11" t="s">
        <v>47</v>
      </c>
      <c r="DN201" s="19">
        <f>1860/34</f>
        <v>54.705882352941174</v>
      </c>
      <c r="DO201" s="50">
        <f>ABS(DN201)*DQ$474</f>
        <v>60.990455230513547</v>
      </c>
      <c r="DP201" s="13">
        <v>3</v>
      </c>
      <c r="DR201" s="19">
        <v>0</v>
      </c>
      <c r="DS201" s="50">
        <f>ABS(DR201)*DU$474</f>
        <v>0</v>
      </c>
      <c r="DT201" s="13">
        <v>3</v>
      </c>
      <c r="DV201" s="19">
        <f t="shared" si="857"/>
        <v>-54.705882352941174</v>
      </c>
      <c r="DW201" s="12">
        <f t="shared" ref="DW201:DW202" si="859">SQRT(((DP201-1)*DO201^2+(DT201-1)*DS201^2)/(DP201+DT201-2))</f>
        <v>43.126764481150666</v>
      </c>
      <c r="DX201" s="72">
        <f t="shared" si="641"/>
        <v>1239.9452097417591</v>
      </c>
      <c r="DY201" s="72">
        <f t="shared" si="642"/>
        <v>1239.9452097417591</v>
      </c>
      <c r="DZ201" s="11" t="s">
        <v>47</v>
      </c>
      <c r="EA201" s="19">
        <v>0</v>
      </c>
      <c r="EB201" s="50">
        <f>ABS(EA201)*ED$474</f>
        <v>0</v>
      </c>
      <c r="EC201" s="72">
        <v>3</v>
      </c>
      <c r="EE201" s="19">
        <v>0.03</v>
      </c>
      <c r="EF201" s="50">
        <f>ABS(EE201)*EH$474</f>
        <v>4.4794181450040799E-2</v>
      </c>
      <c r="EG201" s="13">
        <v>3</v>
      </c>
      <c r="EI201" s="19">
        <f t="shared" ref="EI201:EI205" si="860">EE201-EA201</f>
        <v>0.03</v>
      </c>
      <c r="EJ201" s="12">
        <f t="shared" ref="EJ201:EJ205" si="861">SQRT(((EC201-1)*EB201^2+(EG201-1)*EF201^2)/(EC201+EG201-2))</f>
        <v>3.1674269461024508E-2</v>
      </c>
      <c r="EK201" s="19">
        <f t="shared" ref="EK201:EK205" si="862">(((EC201+EG201)/(EC201*EG201))*(((EC201-1)*EB201^2)+(EG201-1)*EF201^2)/(EC201+EG201-2))</f>
        <v>6.6883956392639306E-4</v>
      </c>
      <c r="EL201" s="19">
        <f t="shared" ref="EL201:EL205" si="863">(EB201^2/EC201)+(EF201^2/EG201)</f>
        <v>6.6883956392639306E-4</v>
      </c>
      <c r="EM201" s="12" t="s">
        <v>39</v>
      </c>
      <c r="EN201" s="12">
        <v>7.1</v>
      </c>
      <c r="EO201" s="12">
        <f>STDEVA(8,6.1)</f>
        <v>1.3435028842544376</v>
      </c>
      <c r="EP201" s="13">
        <v>3</v>
      </c>
      <c r="EQ201" s="19">
        <f t="shared" si="792"/>
        <v>0.18922575834569547</v>
      </c>
      <c r="ER201" s="12">
        <v>-26</v>
      </c>
      <c r="ES201" s="12">
        <f>STDEVA(-22,-30)</f>
        <v>5.6568542494923806</v>
      </c>
      <c r="ET201" s="13">
        <v>3</v>
      </c>
      <c r="EU201" s="19">
        <f t="shared" si="793"/>
        <v>0.21757131728816848</v>
      </c>
      <c r="EV201" s="19">
        <f t="shared" si="701"/>
        <v>-33.1</v>
      </c>
      <c r="EW201" s="12">
        <f t="shared" si="702"/>
        <v>4.1112650121343428</v>
      </c>
      <c r="EX201" s="19">
        <f t="shared" si="703"/>
        <v>11.268333333333333</v>
      </c>
      <c r="EY201" s="19">
        <f t="shared" si="704"/>
        <v>11.268333333333334</v>
      </c>
      <c r="FB201" s="12" t="s">
        <v>37</v>
      </c>
      <c r="FC201" s="12" t="s">
        <v>37</v>
      </c>
      <c r="FD201" s="11" t="s">
        <v>37</v>
      </c>
      <c r="FE201" s="12" t="s">
        <v>37</v>
      </c>
      <c r="FF201" s="20" t="s">
        <v>37</v>
      </c>
      <c r="FG201" s="11" t="s">
        <v>37</v>
      </c>
      <c r="FI201" s="12" t="s">
        <v>37</v>
      </c>
      <c r="FJ201" s="12" t="s">
        <v>37</v>
      </c>
      <c r="FK201" s="11" t="s">
        <v>37</v>
      </c>
      <c r="FL201" s="13" t="s">
        <v>37</v>
      </c>
      <c r="FM201" s="11" t="s">
        <v>37</v>
      </c>
      <c r="FN201" s="11" t="s">
        <v>37</v>
      </c>
      <c r="FP201" s="12" t="s">
        <v>37</v>
      </c>
      <c r="FQ201" s="12" t="s">
        <v>37</v>
      </c>
      <c r="FR201" s="11" t="s">
        <v>37</v>
      </c>
      <c r="FS201" s="13" t="s">
        <v>37</v>
      </c>
      <c r="FT201" s="11" t="s">
        <v>37</v>
      </c>
      <c r="FU201" s="11" t="s">
        <v>37</v>
      </c>
      <c r="FW201" s="12" t="s">
        <v>37</v>
      </c>
      <c r="FX201" s="12" t="s">
        <v>37</v>
      </c>
      <c r="FY201" s="11" t="s">
        <v>37</v>
      </c>
      <c r="FZ201" s="13" t="s">
        <v>37</v>
      </c>
      <c r="GA201" s="11" t="s">
        <v>37</v>
      </c>
      <c r="GB201" s="11" t="s">
        <v>37</v>
      </c>
      <c r="IK201" s="12" t="s">
        <v>37</v>
      </c>
      <c r="IL201" s="12" t="s">
        <v>37</v>
      </c>
      <c r="IM201" s="12" t="s">
        <v>37</v>
      </c>
      <c r="IO201" s="12" t="s">
        <v>37</v>
      </c>
      <c r="IP201" s="12" t="s">
        <v>37</v>
      </c>
      <c r="IQ201" s="12" t="s">
        <v>37</v>
      </c>
      <c r="IV201" s="32" t="s">
        <v>345</v>
      </c>
      <c r="IW201" s="12">
        <v>3.8</v>
      </c>
      <c r="IX201" s="12">
        <v>0.3</v>
      </c>
      <c r="IY201" s="13">
        <v>3</v>
      </c>
      <c r="IZ201" s="19">
        <f t="shared" si="853"/>
        <v>7.8947368421052627E-2</v>
      </c>
      <c r="JH201" s="12" t="s">
        <v>37</v>
      </c>
      <c r="JI201" s="12" t="s">
        <v>37</v>
      </c>
      <c r="JJ201" s="13" t="s">
        <v>37</v>
      </c>
      <c r="JL201" s="12" t="s">
        <v>37</v>
      </c>
      <c r="JM201" s="12" t="s">
        <v>37</v>
      </c>
      <c r="JN201" s="12" t="s">
        <v>37</v>
      </c>
      <c r="JS201" s="12" t="s">
        <v>37</v>
      </c>
      <c r="JT201" s="12" t="s">
        <v>37</v>
      </c>
      <c r="JU201" s="13" t="s">
        <v>37</v>
      </c>
      <c r="JW201" s="12" t="s">
        <v>37</v>
      </c>
      <c r="JX201" s="12" t="s">
        <v>37</v>
      </c>
      <c r="JY201" s="12" t="s">
        <v>37</v>
      </c>
      <c r="KE201" s="12" t="s">
        <v>37</v>
      </c>
      <c r="KF201" s="12" t="s">
        <v>37</v>
      </c>
      <c r="KG201" s="13" t="s">
        <v>37</v>
      </c>
      <c r="KH201" s="12" t="s">
        <v>37</v>
      </c>
      <c r="KI201" s="12" t="s">
        <v>37</v>
      </c>
      <c r="KJ201" s="12" t="s">
        <v>37</v>
      </c>
      <c r="KM201" s="12" t="s">
        <v>37</v>
      </c>
      <c r="KN201" s="12" t="s">
        <v>37</v>
      </c>
      <c r="KO201" s="11" t="s">
        <v>37</v>
      </c>
      <c r="KQ201" s="12" t="s">
        <v>37</v>
      </c>
      <c r="KR201" s="12" t="s">
        <v>37</v>
      </c>
      <c r="KS201" s="12" t="s">
        <v>37</v>
      </c>
      <c r="KX201" s="12" t="s">
        <v>37</v>
      </c>
      <c r="KY201" s="12" t="s">
        <v>37</v>
      </c>
      <c r="KZ201" s="13" t="s">
        <v>37</v>
      </c>
      <c r="LB201" s="12" t="s">
        <v>37</v>
      </c>
      <c r="LC201" s="12" t="s">
        <v>37</v>
      </c>
      <c r="LD201" s="13" t="s">
        <v>37</v>
      </c>
      <c r="LI201" s="12" t="s">
        <v>37</v>
      </c>
      <c r="LJ201" s="12" t="s">
        <v>37</v>
      </c>
      <c r="LK201" s="12" t="s">
        <v>37</v>
      </c>
      <c r="LM201" s="12" t="s">
        <v>37</v>
      </c>
      <c r="LN201" s="12" t="s">
        <v>37</v>
      </c>
      <c r="LO201" s="12" t="s">
        <v>37</v>
      </c>
      <c r="LT201" s="12" t="s">
        <v>345</v>
      </c>
      <c r="LU201" s="12">
        <v>58</v>
      </c>
      <c r="LV201" s="50">
        <f>ABS(LU201)*LX$474</f>
        <v>8.2746590295050897</v>
      </c>
      <c r="LW201" s="13">
        <v>6</v>
      </c>
      <c r="MA201" s="12"/>
      <c r="MF201" s="12" t="s">
        <v>37</v>
      </c>
      <c r="MG201" s="12" t="s">
        <v>37</v>
      </c>
      <c r="MH201" s="12" t="s">
        <v>37</v>
      </c>
      <c r="MJ201" s="12" t="s">
        <v>37</v>
      </c>
      <c r="MK201" s="12" t="s">
        <v>37</v>
      </c>
      <c r="ML201" s="12" t="s">
        <v>37</v>
      </c>
      <c r="MQ201" s="12" t="s">
        <v>37</v>
      </c>
      <c r="MR201" s="12" t="s">
        <v>37</v>
      </c>
      <c r="MS201" s="12" t="s">
        <v>37</v>
      </c>
      <c r="MU201" s="12" t="s">
        <v>37</v>
      </c>
      <c r="MV201" s="12" t="s">
        <v>37</v>
      </c>
      <c r="MW201" s="12" t="s">
        <v>37</v>
      </c>
      <c r="NC201" s="12" t="s">
        <v>37</v>
      </c>
      <c r="ND201" s="12" t="s">
        <v>37</v>
      </c>
      <c r="NE201" s="12" t="s">
        <v>37</v>
      </c>
      <c r="NG201" s="12" t="s">
        <v>37</v>
      </c>
      <c r="NH201" s="12" t="s">
        <v>37</v>
      </c>
      <c r="NI201" s="12" t="s">
        <v>37</v>
      </c>
      <c r="NO201" s="12" t="s">
        <v>37</v>
      </c>
      <c r="NP201" s="12" t="s">
        <v>37</v>
      </c>
      <c r="NQ201" s="12" t="s">
        <v>37</v>
      </c>
      <c r="NS201" s="12" t="s">
        <v>37</v>
      </c>
      <c r="NT201" s="12" t="s">
        <v>37</v>
      </c>
      <c r="NU201" s="12" t="s">
        <v>37</v>
      </c>
      <c r="OA201" s="12" t="s">
        <v>37</v>
      </c>
      <c r="OB201" s="12" t="s">
        <v>37</v>
      </c>
      <c r="OC201" s="12" t="s">
        <v>37</v>
      </c>
      <c r="OD201" s="12"/>
      <c r="OE201" s="12" t="s">
        <v>37</v>
      </c>
      <c r="OF201" s="12" t="s">
        <v>37</v>
      </c>
      <c r="OG201" s="12" t="s">
        <v>37</v>
      </c>
      <c r="OH201" s="12"/>
      <c r="OI201" s="12"/>
      <c r="OJ201" s="12"/>
      <c r="OM201" s="12" t="s">
        <v>37</v>
      </c>
      <c r="ON201" s="12" t="s">
        <v>37</v>
      </c>
      <c r="OO201" s="12" t="s">
        <v>37</v>
      </c>
      <c r="OP201" s="12" t="s">
        <v>37</v>
      </c>
      <c r="OQ201" s="12" t="s">
        <v>37</v>
      </c>
      <c r="OR201" s="12" t="s">
        <v>37</v>
      </c>
      <c r="OS201" s="12"/>
      <c r="OT201" s="12"/>
      <c r="OW201" s="12" t="s">
        <v>37</v>
      </c>
      <c r="OX201" s="12" t="s">
        <v>37</v>
      </c>
      <c r="OY201" s="13" t="s">
        <v>37</v>
      </c>
      <c r="OZ201" s="12" t="s">
        <v>37</v>
      </c>
      <c r="PA201" s="12" t="s">
        <v>37</v>
      </c>
      <c r="PB201" s="13" t="s">
        <v>37</v>
      </c>
      <c r="PG201" s="11" t="s">
        <v>37</v>
      </c>
      <c r="PH201" s="11" t="s">
        <v>37</v>
      </c>
      <c r="PI201" s="13" t="s">
        <v>37</v>
      </c>
      <c r="PJ201" s="11" t="s">
        <v>37</v>
      </c>
      <c r="PK201" s="11" t="s">
        <v>37</v>
      </c>
      <c r="PL201" s="13" t="s">
        <v>37</v>
      </c>
      <c r="PQ201" s="12" t="s">
        <v>37</v>
      </c>
      <c r="PR201" s="12" t="s">
        <v>37</v>
      </c>
      <c r="PS201" s="12" t="s">
        <v>37</v>
      </c>
      <c r="PT201" s="12" t="s">
        <v>37</v>
      </c>
      <c r="PU201" s="12" t="s">
        <v>37</v>
      </c>
      <c r="PV201" s="12" t="s">
        <v>37</v>
      </c>
      <c r="PW201" s="12"/>
      <c r="PX201" s="12"/>
      <c r="PZ201" s="12" t="s">
        <v>37</v>
      </c>
      <c r="QA201" s="12" t="s">
        <v>37</v>
      </c>
      <c r="QB201" s="11" t="s">
        <v>37</v>
      </c>
      <c r="QD201" s="12" t="s">
        <v>37</v>
      </c>
      <c r="QE201" s="12" t="s">
        <v>37</v>
      </c>
      <c r="QF201" s="12" t="s">
        <v>37</v>
      </c>
      <c r="QK201" s="12" t="s">
        <v>37</v>
      </c>
      <c r="QL201" s="12" t="s">
        <v>37</v>
      </c>
      <c r="QM201" s="12" t="s">
        <v>37</v>
      </c>
      <c r="QN201" s="12" t="s">
        <v>37</v>
      </c>
      <c r="QO201" s="12" t="s">
        <v>37</v>
      </c>
      <c r="QP201" s="12" t="s">
        <v>37</v>
      </c>
      <c r="QQ201" s="12"/>
      <c r="QR201" s="12"/>
      <c r="QU201" s="12" t="s">
        <v>37</v>
      </c>
      <c r="QV201" s="12" t="s">
        <v>37</v>
      </c>
      <c r="QW201" s="12" t="s">
        <v>37</v>
      </c>
      <c r="QX201" s="12" t="s">
        <v>37</v>
      </c>
      <c r="QY201" s="12" t="s">
        <v>37</v>
      </c>
      <c r="QZ201" s="12" t="s">
        <v>37</v>
      </c>
      <c r="RC201" s="12" t="s">
        <v>37</v>
      </c>
      <c r="RD201" s="12" t="s">
        <v>37</v>
      </c>
      <c r="RE201" s="13" t="s">
        <v>37</v>
      </c>
      <c r="RF201" s="12" t="s">
        <v>37</v>
      </c>
      <c r="RG201" s="12" t="s">
        <v>37</v>
      </c>
      <c r="RH201" s="13" t="s">
        <v>37</v>
      </c>
      <c r="RK201" s="12" t="s">
        <v>37</v>
      </c>
      <c r="RL201" s="12" t="s">
        <v>37</v>
      </c>
      <c r="RM201" s="11" t="s">
        <v>37</v>
      </c>
      <c r="RN201" s="12" t="s">
        <v>37</v>
      </c>
      <c r="RO201" s="12" t="s">
        <v>37</v>
      </c>
      <c r="RP201" s="11" t="s">
        <v>37</v>
      </c>
      <c r="RS201" s="12" t="s">
        <v>37</v>
      </c>
      <c r="RT201" s="12" t="s">
        <v>37</v>
      </c>
      <c r="RU201" s="12" t="s">
        <v>37</v>
      </c>
      <c r="RV201" s="12" t="s">
        <v>37</v>
      </c>
      <c r="RW201" s="12" t="s">
        <v>37</v>
      </c>
      <c r="RX201" s="12" t="s">
        <v>37</v>
      </c>
      <c r="SA201" s="12" t="s">
        <v>37</v>
      </c>
      <c r="SB201" s="12" t="s">
        <v>37</v>
      </c>
      <c r="SC201" s="12" t="s">
        <v>37</v>
      </c>
      <c r="SD201" s="12" t="s">
        <v>37</v>
      </c>
      <c r="SE201" s="12" t="s">
        <v>37</v>
      </c>
      <c r="SF201" s="12" t="s">
        <v>37</v>
      </c>
      <c r="SI201" s="12" t="s">
        <v>37</v>
      </c>
      <c r="SJ201" s="12" t="s">
        <v>37</v>
      </c>
      <c r="SK201" s="13" t="s">
        <v>37</v>
      </c>
      <c r="SM201" s="12" t="s">
        <v>37</v>
      </c>
      <c r="SN201" s="12" t="s">
        <v>37</v>
      </c>
      <c r="SO201" s="13" t="s">
        <v>37</v>
      </c>
      <c r="SU201" s="12" t="s">
        <v>37</v>
      </c>
      <c r="SV201" s="12" t="s">
        <v>37</v>
      </c>
      <c r="SW201" s="12" t="s">
        <v>37</v>
      </c>
      <c r="SX201" s="12" t="s">
        <v>37</v>
      </c>
      <c r="SY201" s="12" t="s">
        <v>37</v>
      </c>
      <c r="SZ201" s="12" t="s">
        <v>37</v>
      </c>
      <c r="TA201" s="12"/>
      <c r="TB201" s="12"/>
      <c r="TE201" s="12" t="s">
        <v>37</v>
      </c>
      <c r="TF201" s="12" t="s">
        <v>37</v>
      </c>
      <c r="TG201" s="11" t="s">
        <v>37</v>
      </c>
      <c r="TH201" s="12" t="s">
        <v>37</v>
      </c>
      <c r="TI201" s="12" t="s">
        <v>37</v>
      </c>
      <c r="TJ201" s="11" t="s">
        <v>37</v>
      </c>
      <c r="TO201" s="12" t="s">
        <v>37</v>
      </c>
      <c r="TP201" s="12" t="s">
        <v>37</v>
      </c>
      <c r="TQ201" s="11" t="s">
        <v>37</v>
      </c>
      <c r="TR201" s="12" t="s">
        <v>37</v>
      </c>
      <c r="TS201" s="12" t="s">
        <v>37</v>
      </c>
      <c r="TT201" s="11" t="s">
        <v>37</v>
      </c>
      <c r="TY201" s="12" t="s">
        <v>37</v>
      </c>
      <c r="TZ201" s="12" t="s">
        <v>37</v>
      </c>
      <c r="UA201" s="12" t="s">
        <v>37</v>
      </c>
      <c r="UB201" s="12" t="s">
        <v>37</v>
      </c>
      <c r="UC201" s="12" t="s">
        <v>37</v>
      </c>
      <c r="UD201" s="12" t="s">
        <v>37</v>
      </c>
      <c r="UE201" s="12"/>
      <c r="UF201" s="12"/>
      <c r="UI201" s="12" t="s">
        <v>37</v>
      </c>
      <c r="UJ201" s="12" t="s">
        <v>37</v>
      </c>
      <c r="UK201" s="12" t="s">
        <v>37</v>
      </c>
      <c r="UL201" s="12" t="s">
        <v>37</v>
      </c>
      <c r="UM201" s="12" t="s">
        <v>37</v>
      </c>
      <c r="UN201" s="12" t="s">
        <v>37</v>
      </c>
      <c r="UO201" s="12"/>
      <c r="UP201" s="12"/>
      <c r="UR201" s="12" t="s">
        <v>37</v>
      </c>
      <c r="US201" s="12" t="s">
        <v>37</v>
      </c>
      <c r="UT201" s="12" t="s">
        <v>37</v>
      </c>
      <c r="UU201" s="12" t="s">
        <v>37</v>
      </c>
      <c r="UV201" s="12" t="s">
        <v>37</v>
      </c>
      <c r="UW201" s="12" t="s">
        <v>37</v>
      </c>
      <c r="UX201" s="12"/>
      <c r="UY201" s="12"/>
      <c r="VB201" s="12" t="s">
        <v>37</v>
      </c>
      <c r="VC201" s="12" t="s">
        <v>37</v>
      </c>
      <c r="VD201" s="12" t="s">
        <v>37</v>
      </c>
      <c r="VE201" s="12" t="s">
        <v>37</v>
      </c>
      <c r="VF201" s="12" t="s">
        <v>37</v>
      </c>
      <c r="VG201" s="12" t="s">
        <v>37</v>
      </c>
      <c r="VI201" s="12" t="s">
        <v>37</v>
      </c>
      <c r="VJ201" s="12" t="s">
        <v>37</v>
      </c>
      <c r="VK201" s="12" t="s">
        <v>37</v>
      </c>
      <c r="VL201" s="12" t="s">
        <v>37</v>
      </c>
      <c r="VM201" s="12" t="s">
        <v>37</v>
      </c>
      <c r="VN201" s="12" t="s">
        <v>37</v>
      </c>
      <c r="VQ201" s="13" t="s">
        <v>37</v>
      </c>
      <c r="VR201" s="13" t="s">
        <v>37</v>
      </c>
      <c r="VS201" s="13" t="s">
        <v>37</v>
      </c>
      <c r="VT201" s="13" t="s">
        <v>37</v>
      </c>
      <c r="VU201" s="13" t="s">
        <v>37</v>
      </c>
      <c r="VV201" s="13" t="s">
        <v>37</v>
      </c>
      <c r="WA201" s="13" t="s">
        <v>37</v>
      </c>
      <c r="WB201" s="13" t="s">
        <v>37</v>
      </c>
      <c r="WC201" s="13" t="s">
        <v>37</v>
      </c>
      <c r="WD201" s="13" t="s">
        <v>37</v>
      </c>
      <c r="WE201" s="13" t="s">
        <v>37</v>
      </c>
      <c r="WF201" s="13" t="s">
        <v>37</v>
      </c>
    </row>
    <row r="202" spans="1:604" ht="18" customHeight="1" x14ac:dyDescent="0.3">
      <c r="A202" s="11">
        <v>50</v>
      </c>
      <c r="B202" s="16" t="s">
        <v>303</v>
      </c>
      <c r="C202" s="12" t="s">
        <v>26</v>
      </c>
      <c r="D202" s="12" t="s">
        <v>1050</v>
      </c>
      <c r="E202" s="40">
        <v>0.5</v>
      </c>
      <c r="F202" s="14">
        <v>0</v>
      </c>
      <c r="G202" s="14">
        <v>0</v>
      </c>
      <c r="H202" s="12" t="s">
        <v>106</v>
      </c>
      <c r="I202" s="29">
        <v>54.128</v>
      </c>
      <c r="J202" s="29">
        <v>-9.5559999999999992</v>
      </c>
      <c r="K202" s="12" t="s">
        <v>748</v>
      </c>
      <c r="L202" s="12" t="s">
        <v>749</v>
      </c>
      <c r="M202" s="13" t="s">
        <v>37</v>
      </c>
      <c r="N202" s="14">
        <v>10.3</v>
      </c>
      <c r="O202" s="14">
        <v>1245</v>
      </c>
      <c r="P202" s="14" t="s">
        <v>16</v>
      </c>
      <c r="Q202" s="75">
        <v>1</v>
      </c>
      <c r="R202" s="11" t="s">
        <v>999</v>
      </c>
      <c r="S202" s="12" t="s">
        <v>93</v>
      </c>
      <c r="T202" s="12" t="s">
        <v>141</v>
      </c>
      <c r="U202" s="12" t="s">
        <v>158</v>
      </c>
      <c r="V202" s="12" t="s">
        <v>275</v>
      </c>
      <c r="W202" s="23" t="s">
        <v>304</v>
      </c>
      <c r="X202" s="12" t="s">
        <v>281</v>
      </c>
      <c r="Y202" s="12" t="s">
        <v>37</v>
      </c>
      <c r="Z202" s="12" t="s">
        <v>37</v>
      </c>
      <c r="AA202" s="32" t="s">
        <v>345</v>
      </c>
      <c r="AB202" s="12">
        <v>3.8</v>
      </c>
      <c r="AE202" s="12" t="s">
        <v>37</v>
      </c>
      <c r="AH202" s="12" t="s">
        <v>37</v>
      </c>
      <c r="AK202" s="12" t="s">
        <v>37</v>
      </c>
      <c r="AL202" s="32" t="s">
        <v>305</v>
      </c>
      <c r="AM202" s="12" t="s">
        <v>344</v>
      </c>
      <c r="AO202" s="12" t="s">
        <v>37</v>
      </c>
      <c r="AP202" s="12" t="s">
        <v>238</v>
      </c>
      <c r="AQ202" s="12" t="s">
        <v>975</v>
      </c>
      <c r="AT202" s="12" t="s">
        <v>326</v>
      </c>
      <c r="AU202" s="12" t="s">
        <v>326</v>
      </c>
      <c r="AV202" s="13" t="s">
        <v>326</v>
      </c>
      <c r="AX202" s="12" t="s">
        <v>326</v>
      </c>
      <c r="AY202" s="12" t="s">
        <v>326</v>
      </c>
      <c r="AZ202" s="13" t="s">
        <v>326</v>
      </c>
      <c r="BE202" s="12" t="s">
        <v>326</v>
      </c>
      <c r="BF202" s="12" t="s">
        <v>326</v>
      </c>
      <c r="BG202" s="12" t="s">
        <v>326</v>
      </c>
      <c r="BI202" s="12" t="s">
        <v>326</v>
      </c>
      <c r="BJ202" s="12" t="s">
        <v>326</v>
      </c>
      <c r="BK202" s="12" t="s">
        <v>326</v>
      </c>
      <c r="BP202" s="12" t="s">
        <v>37</v>
      </c>
      <c r="BQ202" s="12" t="s">
        <v>37</v>
      </c>
      <c r="BR202" s="12" t="s">
        <v>37</v>
      </c>
      <c r="BT202" s="12" t="s">
        <v>37</v>
      </c>
      <c r="BU202" s="12" t="s">
        <v>37</v>
      </c>
      <c r="BV202" s="12" t="s">
        <v>37</v>
      </c>
      <c r="CA202" s="12" t="s">
        <v>37</v>
      </c>
      <c r="CB202" s="12" t="s">
        <v>37</v>
      </c>
      <c r="CC202" s="13" t="s">
        <v>37</v>
      </c>
      <c r="CE202" s="12">
        <f>-378*44/12*10^4/10^3</f>
        <v>-13860</v>
      </c>
      <c r="CF202" s="12">
        <f>21*44/12*10^4/10^3*SQRT(3)</f>
        <v>1333.6791218280355</v>
      </c>
      <c r="CG202" s="13">
        <v>3</v>
      </c>
      <c r="CH202" s="19">
        <f>CF202/ABS(CE202)</f>
        <v>9.6225044864937631E-2</v>
      </c>
      <c r="CN202" s="12" t="s">
        <v>37</v>
      </c>
      <c r="CO202" s="12" t="s">
        <v>37</v>
      </c>
      <c r="CP202" s="13" t="s">
        <v>37</v>
      </c>
      <c r="CR202" s="12">
        <f>419*44/12*10^4/10^3</f>
        <v>15363.333333333332</v>
      </c>
      <c r="CS202" s="12">
        <f>8*44/12*10^4/10^3*SQRT(3)</f>
        <v>508.06823688687064</v>
      </c>
      <c r="CT202" s="13">
        <v>3</v>
      </c>
      <c r="CU202" s="19">
        <f t="shared" si="858"/>
        <v>3.3070182483415318E-2</v>
      </c>
      <c r="CX202" s="72"/>
      <c r="CY202" s="72"/>
      <c r="CZ202" s="12" t="s">
        <v>47</v>
      </c>
      <c r="DA202" s="12">
        <f>-4.18*1000</f>
        <v>-4180</v>
      </c>
      <c r="DB202" s="50">
        <f>ABS(DA202)*DD$474</f>
        <v>12538.564415308363</v>
      </c>
      <c r="DC202" s="13">
        <v>3</v>
      </c>
      <c r="DE202" s="12">
        <v>1540</v>
      </c>
      <c r="DF202" s="12">
        <f>23*44/12*10^4/10^3*SQRT(3)</f>
        <v>1460.696181049753</v>
      </c>
      <c r="DG202" s="13">
        <v>3</v>
      </c>
      <c r="DH202" s="19">
        <f t="shared" ref="DH202" si="864">DF202/ABS(DE202)</f>
        <v>0.94850401366867076</v>
      </c>
      <c r="DI202" s="19">
        <f t="shared" si="840"/>
        <v>5720</v>
      </c>
      <c r="DJ202" s="12">
        <f t="shared" si="841"/>
        <v>8926.0638281991487</v>
      </c>
      <c r="DK202" s="72">
        <f t="shared" si="842"/>
        <v>53116410.310056835</v>
      </c>
      <c r="DL202" s="72">
        <f t="shared" si="843"/>
        <v>53116410.310056835</v>
      </c>
      <c r="DM202" s="11" t="s">
        <v>47</v>
      </c>
      <c r="DN202" s="19">
        <f>1950/34</f>
        <v>57.352941176470587</v>
      </c>
      <c r="DO202" s="50">
        <f>ABS(DN202)*DQ$474</f>
        <v>63.941606290054523</v>
      </c>
      <c r="DP202" s="13">
        <v>3</v>
      </c>
      <c r="DR202" s="19">
        <v>0</v>
      </c>
      <c r="DS202" s="50">
        <f>ABS(DR202)*DU$474</f>
        <v>0</v>
      </c>
      <c r="DT202" s="13">
        <v>3</v>
      </c>
      <c r="DV202" s="19">
        <f t="shared" si="857"/>
        <v>-57.352941176470587</v>
      </c>
      <c r="DW202" s="12">
        <f t="shared" si="859"/>
        <v>45.213543407657959</v>
      </c>
      <c r="DX202" s="72">
        <f t="shared" si="641"/>
        <v>1362.8430049841133</v>
      </c>
      <c r="DY202" s="72">
        <f t="shared" si="642"/>
        <v>1362.8430049841133</v>
      </c>
      <c r="DZ202" s="11" t="s">
        <v>47</v>
      </c>
      <c r="EA202" s="19">
        <v>0</v>
      </c>
      <c r="EB202" s="50">
        <f>ABS(EA202)*ED$474</f>
        <v>0</v>
      </c>
      <c r="EC202" s="72">
        <v>3</v>
      </c>
      <c r="EE202" s="19">
        <v>0.05</v>
      </c>
      <c r="EF202" s="50">
        <f>ABS(EE202)*EH$474</f>
        <v>7.4656969083401345E-2</v>
      </c>
      <c r="EG202" s="13">
        <v>3</v>
      </c>
      <c r="EI202" s="19">
        <f t="shared" si="860"/>
        <v>0.05</v>
      </c>
      <c r="EJ202" s="12">
        <f t="shared" si="861"/>
        <v>5.2790449101707521E-2</v>
      </c>
      <c r="EK202" s="19">
        <f t="shared" si="862"/>
        <v>1.8578876775733146E-3</v>
      </c>
      <c r="EL202" s="19">
        <f t="shared" si="863"/>
        <v>1.8578876775733149E-3</v>
      </c>
      <c r="EM202" s="12" t="s">
        <v>39</v>
      </c>
      <c r="EN202" s="12">
        <v>14.2</v>
      </c>
      <c r="EO202" s="12">
        <f>STDEVA(15.5,12.8)</f>
        <v>1.9091883092036779</v>
      </c>
      <c r="EP202" s="13">
        <v>3</v>
      </c>
      <c r="EQ202" s="19">
        <f t="shared" si="792"/>
        <v>0.13444988092983648</v>
      </c>
      <c r="ER202" s="12">
        <v>-26.3</v>
      </c>
      <c r="ES202" s="12">
        <f>STDEVA(-23,-29.6)</f>
        <v>4.6669047558312107</v>
      </c>
      <c r="ET202" s="13">
        <v>3</v>
      </c>
      <c r="EU202" s="19">
        <f t="shared" si="793"/>
        <v>0.17744885003160496</v>
      </c>
      <c r="EV202" s="19">
        <f t="shared" si="701"/>
        <v>-40.5</v>
      </c>
      <c r="EW202" s="12">
        <f t="shared" si="702"/>
        <v>3.5654592972014121</v>
      </c>
      <c r="EX202" s="19">
        <f t="shared" si="703"/>
        <v>8.4749999999999908</v>
      </c>
      <c r="EY202" s="19">
        <f t="shared" si="704"/>
        <v>8.4749999999999908</v>
      </c>
      <c r="FB202" s="12" t="s">
        <v>37</v>
      </c>
      <c r="FC202" s="12" t="s">
        <v>37</v>
      </c>
      <c r="FD202" s="11" t="s">
        <v>37</v>
      </c>
      <c r="FE202" s="12" t="s">
        <v>37</v>
      </c>
      <c r="FF202" s="20" t="s">
        <v>37</v>
      </c>
      <c r="FG202" s="11" t="s">
        <v>37</v>
      </c>
      <c r="FI202" s="12" t="s">
        <v>37</v>
      </c>
      <c r="FJ202" s="12" t="s">
        <v>37</v>
      </c>
      <c r="FK202" s="11" t="s">
        <v>37</v>
      </c>
      <c r="FL202" s="13" t="s">
        <v>37</v>
      </c>
      <c r="FM202" s="11" t="s">
        <v>37</v>
      </c>
      <c r="FN202" s="11" t="s">
        <v>37</v>
      </c>
      <c r="FP202" s="12" t="s">
        <v>37</v>
      </c>
      <c r="FQ202" s="12" t="s">
        <v>37</v>
      </c>
      <c r="FR202" s="11" t="s">
        <v>37</v>
      </c>
      <c r="FS202" s="13" t="s">
        <v>37</v>
      </c>
      <c r="FT202" s="11" t="s">
        <v>37</v>
      </c>
      <c r="FU202" s="11" t="s">
        <v>37</v>
      </c>
      <c r="FW202" s="12" t="s">
        <v>37</v>
      </c>
      <c r="FX202" s="12" t="s">
        <v>37</v>
      </c>
      <c r="FY202" s="11" t="s">
        <v>37</v>
      </c>
      <c r="FZ202" s="13" t="s">
        <v>37</v>
      </c>
      <c r="GA202" s="11" t="s">
        <v>37</v>
      </c>
      <c r="GB202" s="11" t="s">
        <v>37</v>
      </c>
      <c r="IK202" s="12" t="s">
        <v>37</v>
      </c>
      <c r="IL202" s="12" t="s">
        <v>37</v>
      </c>
      <c r="IM202" s="12" t="s">
        <v>37</v>
      </c>
      <c r="IO202" s="12" t="s">
        <v>37</v>
      </c>
      <c r="IP202" s="12" t="s">
        <v>37</v>
      </c>
      <c r="IQ202" s="12" t="s">
        <v>37</v>
      </c>
      <c r="IV202" s="32" t="s">
        <v>345</v>
      </c>
      <c r="IW202" s="12">
        <v>3.8</v>
      </c>
      <c r="IX202" s="12">
        <v>0.3</v>
      </c>
      <c r="IY202" s="13">
        <v>3</v>
      </c>
      <c r="IZ202" s="19">
        <f t="shared" si="853"/>
        <v>7.8947368421052627E-2</v>
      </c>
      <c r="JH202" s="12" t="s">
        <v>37</v>
      </c>
      <c r="JI202" s="12" t="s">
        <v>37</v>
      </c>
      <c r="JJ202" s="13" t="s">
        <v>37</v>
      </c>
      <c r="JL202" s="12" t="s">
        <v>37</v>
      </c>
      <c r="JM202" s="12" t="s">
        <v>37</v>
      </c>
      <c r="JN202" s="12" t="s">
        <v>37</v>
      </c>
      <c r="JS202" s="12" t="s">
        <v>37</v>
      </c>
      <c r="JT202" s="12" t="s">
        <v>37</v>
      </c>
      <c r="JU202" s="13" t="s">
        <v>37</v>
      </c>
      <c r="JW202" s="12" t="s">
        <v>37</v>
      </c>
      <c r="JX202" s="12" t="s">
        <v>37</v>
      </c>
      <c r="JY202" s="12" t="s">
        <v>37</v>
      </c>
      <c r="KE202" s="12" t="s">
        <v>37</v>
      </c>
      <c r="KF202" s="12" t="s">
        <v>37</v>
      </c>
      <c r="KG202" s="13" t="s">
        <v>37</v>
      </c>
      <c r="KH202" s="12" t="s">
        <v>37</v>
      </c>
      <c r="KI202" s="12" t="s">
        <v>37</v>
      </c>
      <c r="KJ202" s="12" t="s">
        <v>37</v>
      </c>
      <c r="KM202" s="12" t="s">
        <v>37</v>
      </c>
      <c r="KN202" s="12" t="s">
        <v>37</v>
      </c>
      <c r="KO202" s="11" t="s">
        <v>37</v>
      </c>
      <c r="KQ202" s="12" t="s">
        <v>37</v>
      </c>
      <c r="KR202" s="12" t="s">
        <v>37</v>
      </c>
      <c r="KS202" s="12" t="s">
        <v>37</v>
      </c>
      <c r="KX202" s="12" t="s">
        <v>37</v>
      </c>
      <c r="KY202" s="12" t="s">
        <v>37</v>
      </c>
      <c r="KZ202" s="13" t="s">
        <v>37</v>
      </c>
      <c r="LB202" s="12" t="s">
        <v>37</v>
      </c>
      <c r="LC202" s="12" t="s">
        <v>37</v>
      </c>
      <c r="LD202" s="13" t="s">
        <v>37</v>
      </c>
      <c r="LI202" s="12" t="s">
        <v>37</v>
      </c>
      <c r="LJ202" s="12" t="s">
        <v>37</v>
      </c>
      <c r="LK202" s="12" t="s">
        <v>37</v>
      </c>
      <c r="LM202" s="12" t="s">
        <v>37</v>
      </c>
      <c r="LN202" s="12" t="s">
        <v>37</v>
      </c>
      <c r="LO202" s="12" t="s">
        <v>37</v>
      </c>
      <c r="LT202" s="12" t="s">
        <v>345</v>
      </c>
      <c r="LU202" s="12">
        <v>58</v>
      </c>
      <c r="LV202" s="50">
        <f>ABS(LU202)*LX$474</f>
        <v>8.2746590295050897</v>
      </c>
      <c r="LW202" s="13">
        <v>6</v>
      </c>
      <c r="MA202" s="12"/>
      <c r="MF202" s="12" t="s">
        <v>37</v>
      </c>
      <c r="MG202" s="12" t="s">
        <v>37</v>
      </c>
      <c r="MH202" s="12" t="s">
        <v>37</v>
      </c>
      <c r="MJ202" s="12" t="s">
        <v>37</v>
      </c>
      <c r="MK202" s="12" t="s">
        <v>37</v>
      </c>
      <c r="ML202" s="12" t="s">
        <v>37</v>
      </c>
      <c r="MQ202" s="12" t="s">
        <v>37</v>
      </c>
      <c r="MR202" s="12" t="s">
        <v>37</v>
      </c>
      <c r="MS202" s="12" t="s">
        <v>37</v>
      </c>
      <c r="MU202" s="12" t="s">
        <v>37</v>
      </c>
      <c r="MV202" s="12" t="s">
        <v>37</v>
      </c>
      <c r="MW202" s="12" t="s">
        <v>37</v>
      </c>
      <c r="NC202" s="12" t="s">
        <v>37</v>
      </c>
      <c r="ND202" s="12" t="s">
        <v>37</v>
      </c>
      <c r="NE202" s="12" t="s">
        <v>37</v>
      </c>
      <c r="NG202" s="12" t="s">
        <v>37</v>
      </c>
      <c r="NH202" s="12" t="s">
        <v>37</v>
      </c>
      <c r="NI202" s="12" t="s">
        <v>37</v>
      </c>
      <c r="NO202" s="12" t="s">
        <v>37</v>
      </c>
      <c r="NP202" s="12" t="s">
        <v>37</v>
      </c>
      <c r="NQ202" s="12" t="s">
        <v>37</v>
      </c>
      <c r="NS202" s="12" t="s">
        <v>37</v>
      </c>
      <c r="NT202" s="12" t="s">
        <v>37</v>
      </c>
      <c r="NU202" s="12" t="s">
        <v>37</v>
      </c>
      <c r="OA202" s="12" t="s">
        <v>37</v>
      </c>
      <c r="OB202" s="12" t="s">
        <v>37</v>
      </c>
      <c r="OC202" s="12" t="s">
        <v>37</v>
      </c>
      <c r="OD202" s="12"/>
      <c r="OE202" s="12" t="s">
        <v>37</v>
      </c>
      <c r="OF202" s="12" t="s">
        <v>37</v>
      </c>
      <c r="OG202" s="12" t="s">
        <v>37</v>
      </c>
      <c r="OH202" s="12"/>
      <c r="OI202" s="12"/>
      <c r="OJ202" s="12"/>
      <c r="OM202" s="12" t="s">
        <v>37</v>
      </c>
      <c r="ON202" s="12" t="s">
        <v>37</v>
      </c>
      <c r="OO202" s="12" t="s">
        <v>37</v>
      </c>
      <c r="OP202" s="12" t="s">
        <v>37</v>
      </c>
      <c r="OQ202" s="12" t="s">
        <v>37</v>
      </c>
      <c r="OR202" s="12" t="s">
        <v>37</v>
      </c>
      <c r="OS202" s="12"/>
      <c r="OT202" s="12"/>
      <c r="OW202" s="12" t="s">
        <v>37</v>
      </c>
      <c r="OX202" s="12" t="s">
        <v>37</v>
      </c>
      <c r="OY202" s="13" t="s">
        <v>37</v>
      </c>
      <c r="OZ202" s="12" t="s">
        <v>37</v>
      </c>
      <c r="PA202" s="12" t="s">
        <v>37</v>
      </c>
      <c r="PB202" s="13" t="s">
        <v>37</v>
      </c>
      <c r="PG202" s="11" t="s">
        <v>37</v>
      </c>
      <c r="PH202" s="11" t="s">
        <v>37</v>
      </c>
      <c r="PI202" s="13" t="s">
        <v>37</v>
      </c>
      <c r="PJ202" s="11" t="s">
        <v>37</v>
      </c>
      <c r="PK202" s="11" t="s">
        <v>37</v>
      </c>
      <c r="PL202" s="13" t="s">
        <v>37</v>
      </c>
      <c r="PQ202" s="12" t="s">
        <v>37</v>
      </c>
      <c r="PR202" s="12" t="s">
        <v>37</v>
      </c>
      <c r="PS202" s="12" t="s">
        <v>37</v>
      </c>
      <c r="PT202" s="12" t="s">
        <v>37</v>
      </c>
      <c r="PU202" s="12" t="s">
        <v>37</v>
      </c>
      <c r="PV202" s="12" t="s">
        <v>37</v>
      </c>
      <c r="PW202" s="12"/>
      <c r="PX202" s="12"/>
      <c r="PZ202" s="12" t="s">
        <v>37</v>
      </c>
      <c r="QA202" s="12" t="s">
        <v>37</v>
      </c>
      <c r="QB202" s="11" t="s">
        <v>37</v>
      </c>
      <c r="QD202" s="12" t="s">
        <v>37</v>
      </c>
      <c r="QE202" s="12" t="s">
        <v>37</v>
      </c>
      <c r="QF202" s="12" t="s">
        <v>37</v>
      </c>
      <c r="QK202" s="12" t="s">
        <v>37</v>
      </c>
      <c r="QL202" s="12" t="s">
        <v>37</v>
      </c>
      <c r="QM202" s="12" t="s">
        <v>37</v>
      </c>
      <c r="QN202" s="12" t="s">
        <v>37</v>
      </c>
      <c r="QO202" s="12" t="s">
        <v>37</v>
      </c>
      <c r="QP202" s="12" t="s">
        <v>37</v>
      </c>
      <c r="QQ202" s="12"/>
      <c r="QR202" s="12"/>
      <c r="QU202" s="12" t="s">
        <v>37</v>
      </c>
      <c r="QV202" s="12" t="s">
        <v>37</v>
      </c>
      <c r="QW202" s="12" t="s">
        <v>37</v>
      </c>
      <c r="QX202" s="12" t="s">
        <v>37</v>
      </c>
      <c r="QY202" s="12" t="s">
        <v>37</v>
      </c>
      <c r="QZ202" s="12" t="s">
        <v>37</v>
      </c>
      <c r="RC202" s="12" t="s">
        <v>37</v>
      </c>
      <c r="RD202" s="12" t="s">
        <v>37</v>
      </c>
      <c r="RE202" s="13" t="s">
        <v>37</v>
      </c>
      <c r="RF202" s="12" t="s">
        <v>37</v>
      </c>
      <c r="RG202" s="12" t="s">
        <v>37</v>
      </c>
      <c r="RH202" s="13" t="s">
        <v>37</v>
      </c>
      <c r="RK202" s="12" t="s">
        <v>37</v>
      </c>
      <c r="RL202" s="12" t="s">
        <v>37</v>
      </c>
      <c r="RM202" s="11" t="s">
        <v>37</v>
      </c>
      <c r="RN202" s="12" t="s">
        <v>37</v>
      </c>
      <c r="RO202" s="12" t="s">
        <v>37</v>
      </c>
      <c r="RP202" s="11" t="s">
        <v>37</v>
      </c>
      <c r="RS202" s="12" t="s">
        <v>37</v>
      </c>
      <c r="RT202" s="12" t="s">
        <v>37</v>
      </c>
      <c r="RU202" s="12" t="s">
        <v>37</v>
      </c>
      <c r="RV202" s="12" t="s">
        <v>37</v>
      </c>
      <c r="RW202" s="12" t="s">
        <v>37</v>
      </c>
      <c r="RX202" s="12" t="s">
        <v>37</v>
      </c>
      <c r="SA202" s="12" t="s">
        <v>37</v>
      </c>
      <c r="SB202" s="12" t="s">
        <v>37</v>
      </c>
      <c r="SC202" s="12" t="s">
        <v>37</v>
      </c>
      <c r="SD202" s="12" t="s">
        <v>37</v>
      </c>
      <c r="SE202" s="12" t="s">
        <v>37</v>
      </c>
      <c r="SF202" s="12" t="s">
        <v>37</v>
      </c>
      <c r="SI202" s="12" t="s">
        <v>37</v>
      </c>
      <c r="SJ202" s="12" t="s">
        <v>37</v>
      </c>
      <c r="SK202" s="13" t="s">
        <v>37</v>
      </c>
      <c r="SM202" s="12" t="s">
        <v>37</v>
      </c>
      <c r="SN202" s="12" t="s">
        <v>37</v>
      </c>
      <c r="SO202" s="13" t="s">
        <v>37</v>
      </c>
      <c r="SU202" s="12" t="s">
        <v>37</v>
      </c>
      <c r="SV202" s="12" t="s">
        <v>37</v>
      </c>
      <c r="SW202" s="12" t="s">
        <v>37</v>
      </c>
      <c r="SX202" s="12" t="s">
        <v>37</v>
      </c>
      <c r="SY202" s="12" t="s">
        <v>37</v>
      </c>
      <c r="SZ202" s="12" t="s">
        <v>37</v>
      </c>
      <c r="TA202" s="12"/>
      <c r="TB202" s="12"/>
      <c r="TE202" s="12" t="s">
        <v>37</v>
      </c>
      <c r="TF202" s="12" t="s">
        <v>37</v>
      </c>
      <c r="TG202" s="11" t="s">
        <v>37</v>
      </c>
      <c r="TH202" s="12" t="s">
        <v>37</v>
      </c>
      <c r="TI202" s="12" t="s">
        <v>37</v>
      </c>
      <c r="TJ202" s="11" t="s">
        <v>37</v>
      </c>
      <c r="TO202" s="12" t="s">
        <v>37</v>
      </c>
      <c r="TP202" s="12" t="s">
        <v>37</v>
      </c>
      <c r="TQ202" s="11" t="s">
        <v>37</v>
      </c>
      <c r="TR202" s="12" t="s">
        <v>37</v>
      </c>
      <c r="TS202" s="12" t="s">
        <v>37</v>
      </c>
      <c r="TT202" s="11" t="s">
        <v>37</v>
      </c>
      <c r="TY202" s="12" t="s">
        <v>37</v>
      </c>
      <c r="TZ202" s="12" t="s">
        <v>37</v>
      </c>
      <c r="UA202" s="12" t="s">
        <v>37</v>
      </c>
      <c r="UB202" s="12" t="s">
        <v>37</v>
      </c>
      <c r="UC202" s="12" t="s">
        <v>37</v>
      </c>
      <c r="UD202" s="12" t="s">
        <v>37</v>
      </c>
      <c r="UE202" s="12"/>
      <c r="UF202" s="12"/>
      <c r="UI202" s="12" t="s">
        <v>37</v>
      </c>
      <c r="UJ202" s="12" t="s">
        <v>37</v>
      </c>
      <c r="UK202" s="12" t="s">
        <v>37</v>
      </c>
      <c r="UL202" s="12" t="s">
        <v>37</v>
      </c>
      <c r="UM202" s="12" t="s">
        <v>37</v>
      </c>
      <c r="UN202" s="12" t="s">
        <v>37</v>
      </c>
      <c r="UO202" s="12"/>
      <c r="UP202" s="12"/>
      <c r="UR202" s="12" t="s">
        <v>37</v>
      </c>
      <c r="US202" s="12" t="s">
        <v>37</v>
      </c>
      <c r="UT202" s="12" t="s">
        <v>37</v>
      </c>
      <c r="UU202" s="12" t="s">
        <v>37</v>
      </c>
      <c r="UV202" s="12" t="s">
        <v>37</v>
      </c>
      <c r="UW202" s="12" t="s">
        <v>37</v>
      </c>
      <c r="UX202" s="12"/>
      <c r="UY202" s="12"/>
      <c r="VB202" s="12" t="s">
        <v>37</v>
      </c>
      <c r="VC202" s="12" t="s">
        <v>37</v>
      </c>
      <c r="VD202" s="12" t="s">
        <v>37</v>
      </c>
      <c r="VE202" s="12" t="s">
        <v>37</v>
      </c>
      <c r="VF202" s="12" t="s">
        <v>37</v>
      </c>
      <c r="VG202" s="12" t="s">
        <v>37</v>
      </c>
      <c r="VI202" s="12" t="s">
        <v>37</v>
      </c>
      <c r="VJ202" s="12" t="s">
        <v>37</v>
      </c>
      <c r="VK202" s="12" t="s">
        <v>37</v>
      </c>
      <c r="VL202" s="12" t="s">
        <v>37</v>
      </c>
      <c r="VM202" s="12" t="s">
        <v>37</v>
      </c>
      <c r="VN202" s="12" t="s">
        <v>37</v>
      </c>
      <c r="VQ202" s="13" t="s">
        <v>37</v>
      </c>
      <c r="VR202" s="13" t="s">
        <v>37</v>
      </c>
      <c r="VS202" s="13" t="s">
        <v>37</v>
      </c>
      <c r="VT202" s="13" t="s">
        <v>37</v>
      </c>
      <c r="VU202" s="13" t="s">
        <v>37</v>
      </c>
      <c r="VV202" s="13" t="s">
        <v>37</v>
      </c>
      <c r="WA202" s="13" t="s">
        <v>37</v>
      </c>
      <c r="WB202" s="13" t="s">
        <v>37</v>
      </c>
      <c r="WC202" s="13" t="s">
        <v>37</v>
      </c>
      <c r="WD202" s="13" t="s">
        <v>37</v>
      </c>
      <c r="WE202" s="13" t="s">
        <v>37</v>
      </c>
      <c r="WF202" s="13" t="s">
        <v>37</v>
      </c>
    </row>
    <row r="203" spans="1:604" ht="18" customHeight="1" x14ac:dyDescent="0.3">
      <c r="A203" s="11">
        <v>51</v>
      </c>
      <c r="B203" s="16" t="s">
        <v>306</v>
      </c>
      <c r="C203" s="12" t="s">
        <v>26</v>
      </c>
      <c r="D203" s="12" t="s">
        <v>54</v>
      </c>
      <c r="E203" s="40">
        <v>0.6</v>
      </c>
      <c r="F203" s="14">
        <v>0</v>
      </c>
      <c r="G203" s="14">
        <v>0</v>
      </c>
      <c r="H203" s="12" t="s">
        <v>136</v>
      </c>
      <c r="I203" s="29">
        <v>48.366999999999997</v>
      </c>
      <c r="J203" s="29">
        <v>11.667</v>
      </c>
      <c r="K203" s="12" t="s">
        <v>751</v>
      </c>
      <c r="L203" s="12" t="s">
        <v>752</v>
      </c>
      <c r="M203" s="13">
        <v>449</v>
      </c>
      <c r="N203" s="14">
        <v>7.5</v>
      </c>
      <c r="O203" s="14">
        <v>787</v>
      </c>
      <c r="P203" s="14" t="s">
        <v>16</v>
      </c>
      <c r="Q203" s="75">
        <v>45</v>
      </c>
      <c r="R203" s="11" t="s">
        <v>999</v>
      </c>
      <c r="S203" s="12" t="s">
        <v>85</v>
      </c>
      <c r="T203" s="12" t="s">
        <v>138</v>
      </c>
      <c r="U203" s="12" t="s">
        <v>158</v>
      </c>
      <c r="V203" s="12" t="s">
        <v>275</v>
      </c>
      <c r="W203" s="23" t="s">
        <v>750</v>
      </c>
      <c r="X203" s="12" t="s">
        <v>856</v>
      </c>
      <c r="Y203" s="12" t="s">
        <v>307</v>
      </c>
      <c r="Z203" s="12" t="s">
        <v>37</v>
      </c>
      <c r="AB203" s="12" t="s">
        <v>37</v>
      </c>
      <c r="AC203" s="12" t="s">
        <v>42</v>
      </c>
      <c r="AD203" s="32" t="s">
        <v>345</v>
      </c>
      <c r="AE203" s="12">
        <v>352</v>
      </c>
      <c r="AF203" s="12" t="s">
        <v>42</v>
      </c>
      <c r="AG203" s="32" t="s">
        <v>345</v>
      </c>
      <c r="AH203" s="12">
        <v>28</v>
      </c>
      <c r="AJ203" s="12" t="str">
        <f t="shared" ref="AJ203:AJ205" si="865">AD203</f>
        <v>0-10</v>
      </c>
      <c r="AK203" s="19">
        <f t="shared" ref="AK203:AK205" si="866">AE203/AH203</f>
        <v>12.571428571428571</v>
      </c>
      <c r="AL203" s="32" t="s">
        <v>308</v>
      </c>
      <c r="AM203" s="12" t="s">
        <v>344</v>
      </c>
      <c r="AO203" s="12" t="s">
        <v>37</v>
      </c>
      <c r="AP203" s="12" t="s">
        <v>108</v>
      </c>
      <c r="AQ203" s="12" t="s">
        <v>975</v>
      </c>
      <c r="AR203" s="12" t="s">
        <v>42</v>
      </c>
      <c r="AS203" s="32" t="s">
        <v>345</v>
      </c>
      <c r="AT203" s="12">
        <v>352</v>
      </c>
      <c r="AU203" s="12">
        <f>14*SQRT(3)</f>
        <v>24.248711305964282</v>
      </c>
      <c r="AV203" s="13">
        <v>3</v>
      </c>
      <c r="AW203" s="19">
        <f t="shared" ref="AW203:AW205" si="867">AU203/AT203</f>
        <v>6.8888384391943988E-2</v>
      </c>
      <c r="AX203" s="12">
        <v>146</v>
      </c>
      <c r="AY203" s="12">
        <f>1*SQRT(3)</f>
        <v>1.7320508075688772</v>
      </c>
      <c r="AZ203" s="13">
        <v>3</v>
      </c>
      <c r="BA203" s="19">
        <f t="shared" ref="BA203:BA205" si="868">AY203/AX203</f>
        <v>1.1863361695677241E-2</v>
      </c>
      <c r="BB203" s="52">
        <f t="shared" ref="BB203:BB205" si="869">LN(AX203/AT203)</f>
        <v>-0.88002455388976064</v>
      </c>
      <c r="BC203" s="19">
        <f>AY203^2/(AZ203*AX203^2)+AU203^2/(AV203*AT203^2)</f>
        <v>1.6287829516182311E-3</v>
      </c>
      <c r="BD203" s="32" t="s">
        <v>422</v>
      </c>
      <c r="BE203" s="12">
        <v>302</v>
      </c>
      <c r="BF203" s="12">
        <f>6*SQRT(3)</f>
        <v>10.392304845413264</v>
      </c>
      <c r="BG203" s="11">
        <v>3</v>
      </c>
      <c r="BH203" s="19">
        <f>BF203/BE203</f>
        <v>3.441160544838829E-2</v>
      </c>
      <c r="BI203" s="12">
        <v>130</v>
      </c>
      <c r="BJ203" s="12">
        <f>1*SQRT(3)</f>
        <v>1.7320508075688772</v>
      </c>
      <c r="BK203" s="13">
        <v>3</v>
      </c>
      <c r="BL203" s="19">
        <f>BJ203/BI203</f>
        <v>1.3323467750529824E-2</v>
      </c>
      <c r="BM203" s="52">
        <f>LN(BI203/BE203)</f>
        <v>-0.84289256691928727</v>
      </c>
      <c r="BN203" s="19">
        <f>BJ203^2/(BK203*BI203^2)+BF203^2/(BG203*BE203^2)</f>
        <v>4.5389112747831832E-4</v>
      </c>
      <c r="BP203" s="12" t="s">
        <v>37</v>
      </c>
      <c r="BQ203" s="12" t="s">
        <v>37</v>
      </c>
      <c r="BR203" s="12" t="s">
        <v>37</v>
      </c>
      <c r="BT203" s="12" t="s">
        <v>37</v>
      </c>
      <c r="BU203" s="12" t="s">
        <v>37</v>
      </c>
      <c r="BV203" s="12" t="s">
        <v>37</v>
      </c>
      <c r="CA203" s="12" t="s">
        <v>37</v>
      </c>
      <c r="CB203" s="12" t="s">
        <v>37</v>
      </c>
      <c r="CC203" s="13" t="s">
        <v>37</v>
      </c>
      <c r="CE203" s="12" t="s">
        <v>37</v>
      </c>
      <c r="CF203" s="12" t="s">
        <v>37</v>
      </c>
      <c r="CG203" s="13" t="s">
        <v>37</v>
      </c>
      <c r="CI203" s="52"/>
      <c r="CJ203" s="52"/>
      <c r="CK203" s="73"/>
      <c r="CL203" s="73"/>
      <c r="CN203" s="12" t="s">
        <v>37</v>
      </c>
      <c r="CO203" s="12" t="s">
        <v>37</v>
      </c>
      <c r="CP203" s="13" t="s">
        <v>37</v>
      </c>
      <c r="CR203" s="12" t="s">
        <v>37</v>
      </c>
      <c r="CS203" s="12" t="s">
        <v>37</v>
      </c>
      <c r="CT203" s="13" t="s">
        <v>37</v>
      </c>
      <c r="CV203" s="52"/>
      <c r="CW203" s="52"/>
      <c r="CX203" s="73"/>
      <c r="CY203" s="73"/>
      <c r="DA203" s="12" t="s">
        <v>37</v>
      </c>
      <c r="DB203" s="12" t="s">
        <v>37</v>
      </c>
      <c r="DC203" s="13" t="s">
        <v>37</v>
      </c>
      <c r="DE203" s="12" t="s">
        <v>37</v>
      </c>
      <c r="DF203" s="12" t="s">
        <v>37</v>
      </c>
      <c r="DG203" s="13" t="s">
        <v>37</v>
      </c>
      <c r="DN203" s="19" t="s">
        <v>37</v>
      </c>
      <c r="DO203" s="12" t="s">
        <v>37</v>
      </c>
      <c r="DP203" s="13" t="s">
        <v>37</v>
      </c>
      <c r="DR203" s="19" t="s">
        <v>37</v>
      </c>
      <c r="DS203" s="12" t="s">
        <v>37</v>
      </c>
      <c r="DT203" s="13" t="s">
        <v>37</v>
      </c>
      <c r="DZ203" s="11" t="s">
        <v>47</v>
      </c>
      <c r="EA203" s="19">
        <f>0.51*44/28</f>
        <v>0.80142857142857149</v>
      </c>
      <c r="EB203" s="19">
        <f>0.07*44/28*SQRT(3)</f>
        <v>0.1905255888325765</v>
      </c>
      <c r="EC203" s="72">
        <v>3</v>
      </c>
      <c r="ED203" s="52">
        <f t="shared" ref="ED203:ED205" si="870">EB203/ABS(EA203)</f>
        <v>0.23773246378396354</v>
      </c>
      <c r="EE203" s="19">
        <f>0.97*44/28</f>
        <v>1.5242857142857142</v>
      </c>
      <c r="EF203" s="19">
        <f>0.13*44/28*SQRT(3)</f>
        <v>0.3538332364033564</v>
      </c>
      <c r="EG203" s="13">
        <v>3</v>
      </c>
      <c r="EH203" s="52">
        <f t="shared" ref="EH203:EH205" si="871">EF203/ABS(EE203)</f>
        <v>0.2321305206020145</v>
      </c>
      <c r="EI203" s="19">
        <f t="shared" si="860"/>
        <v>0.72285714285714275</v>
      </c>
      <c r="EJ203" s="12">
        <f t="shared" si="861"/>
        <v>0.28416364931468052</v>
      </c>
      <c r="EK203" s="19">
        <f t="shared" si="862"/>
        <v>5.3832653061224492E-2</v>
      </c>
      <c r="EL203" s="19">
        <f t="shared" si="863"/>
        <v>5.3832653061224499E-2</v>
      </c>
      <c r="EM203" s="12" t="s">
        <v>39</v>
      </c>
      <c r="EN203" s="12">
        <v>3</v>
      </c>
      <c r="EO203" s="50">
        <f>ABS(EN203)*EQ$474</f>
        <v>1.22248919625388</v>
      </c>
      <c r="EP203" s="13">
        <v>3</v>
      </c>
      <c r="ER203" s="12">
        <v>-42</v>
      </c>
      <c r="ES203" s="50">
        <f>ABS(ER203)*EU$474</f>
        <v>9.5261902473861557</v>
      </c>
      <c r="ET203" s="13">
        <v>3</v>
      </c>
      <c r="EV203" s="19">
        <f t="shared" si="701"/>
        <v>-45</v>
      </c>
      <c r="EW203" s="12">
        <f t="shared" si="702"/>
        <v>6.791273093623631</v>
      </c>
      <c r="EX203" s="19">
        <f t="shared" si="703"/>
        <v>30.74759348811752</v>
      </c>
      <c r="EY203" s="19">
        <f t="shared" si="704"/>
        <v>30.74759348811752</v>
      </c>
      <c r="FB203" s="12" t="s">
        <v>37</v>
      </c>
      <c r="FC203" s="12" t="s">
        <v>37</v>
      </c>
      <c r="FD203" s="11" t="s">
        <v>37</v>
      </c>
      <c r="FE203" s="12" t="s">
        <v>37</v>
      </c>
      <c r="FF203" s="20" t="s">
        <v>37</v>
      </c>
      <c r="FG203" s="11" t="s">
        <v>37</v>
      </c>
      <c r="FI203" s="12" t="s">
        <v>37</v>
      </c>
      <c r="FJ203" s="12" t="s">
        <v>37</v>
      </c>
      <c r="FK203" s="11" t="s">
        <v>37</v>
      </c>
      <c r="FL203" s="13" t="s">
        <v>37</v>
      </c>
      <c r="FM203" s="11" t="s">
        <v>37</v>
      </c>
      <c r="FN203" s="11" t="s">
        <v>37</v>
      </c>
      <c r="FP203" s="12" t="s">
        <v>37</v>
      </c>
      <c r="FQ203" s="12" t="s">
        <v>37</v>
      </c>
      <c r="FR203" s="11" t="s">
        <v>37</v>
      </c>
      <c r="FS203" s="13" t="s">
        <v>37</v>
      </c>
      <c r="FT203" s="11" t="s">
        <v>37</v>
      </c>
      <c r="FU203" s="11" t="s">
        <v>37</v>
      </c>
      <c r="FW203" s="12" t="s">
        <v>37</v>
      </c>
      <c r="FX203" s="12" t="s">
        <v>37</v>
      </c>
      <c r="FY203" s="11" t="s">
        <v>37</v>
      </c>
      <c r="FZ203" s="13" t="s">
        <v>37</v>
      </c>
      <c r="GA203" s="11" t="s">
        <v>37</v>
      </c>
      <c r="GB203" s="11" t="s">
        <v>37</v>
      </c>
      <c r="GC203" s="12" t="s">
        <v>90</v>
      </c>
      <c r="GD203" s="12" t="s">
        <v>330</v>
      </c>
      <c r="GE203" s="12">
        <v>99</v>
      </c>
      <c r="GF203" s="50">
        <f>ABS(GE203)*GH$474</f>
        <v>14.615846958035807</v>
      </c>
      <c r="GG203" s="13">
        <v>6</v>
      </c>
      <c r="GI203" s="12">
        <v>81</v>
      </c>
      <c r="GJ203" s="50">
        <f>ABS(GI203)*GL$474</f>
        <v>15.492338920364132</v>
      </c>
      <c r="GK203" s="13">
        <v>6</v>
      </c>
      <c r="GM203" s="19">
        <f t="shared" ref="GM203:GM204" si="872">LN(GI203/GE203)</f>
        <v>-0.20067069546215111</v>
      </c>
      <c r="GN203" s="19">
        <f t="shared" ref="GN203:GN204" si="873">GJ203^2/(GK203*GI203^2)+GF203^2/(GG203*GE203^2)</f>
        <v>9.7296240365146308E-3</v>
      </c>
      <c r="HA203" s="17" t="s">
        <v>63</v>
      </c>
      <c r="HB203" s="34" t="s">
        <v>345</v>
      </c>
      <c r="HC203" s="12">
        <v>0.14000000000000001</v>
      </c>
      <c r="HD203" s="12">
        <f>0.01*SQRT(6)</f>
        <v>2.4494897427831779E-2</v>
      </c>
      <c r="HE203" s="13">
        <v>6</v>
      </c>
      <c r="HF203" s="19">
        <f t="shared" ref="HF203:HF205" si="874">HD203/HC203</f>
        <v>0.17496355305594125</v>
      </c>
      <c r="HG203" s="12">
        <v>0.36</v>
      </c>
      <c r="HH203" s="12">
        <f>0.02*SQRT(6)</f>
        <v>4.8989794855663557E-2</v>
      </c>
      <c r="HI203" s="13">
        <v>6</v>
      </c>
      <c r="HJ203" s="19">
        <f t="shared" ref="HJ203:HJ205" si="875">HH203/HG203</f>
        <v>0.13608276348795434</v>
      </c>
      <c r="HK203" s="19">
        <f t="shared" ref="HK203:HK205" si="876">LN(HG203/HC203)</f>
        <v>0.94446160884085129</v>
      </c>
      <c r="HL203" s="19">
        <f t="shared" ref="HL203:HL205" si="877">HH203^2/(HI203*HG203^2)+HD203^2/(HE203*HC203^2)</f>
        <v>8.1884605694129472E-3</v>
      </c>
      <c r="HM203" s="34" t="s">
        <v>844</v>
      </c>
      <c r="HN203" s="12">
        <v>0.13</v>
      </c>
      <c r="HO203" s="12">
        <f>0.001*SQRT(6)</f>
        <v>2.4494897427831779E-3</v>
      </c>
      <c r="HP203" s="13">
        <v>6</v>
      </c>
      <c r="HQ203" s="19">
        <f t="shared" ref="HQ203:HQ204" si="878">HO203/HN203</f>
        <v>1.884222879063983E-2</v>
      </c>
      <c r="HR203" s="12">
        <v>0.43</v>
      </c>
      <c r="HS203" s="12">
        <f>0.01*SQRT(6)</f>
        <v>2.4494897427831779E-2</v>
      </c>
      <c r="HT203" s="13">
        <v>6</v>
      </c>
      <c r="HU203" s="19">
        <f t="shared" ref="HU203:HU204" si="879">HS203/HR203</f>
        <v>5.6964877739143674E-2</v>
      </c>
      <c r="HV203" s="19">
        <f t="shared" ref="HV203:HV204" si="880">LN(HR203/HN203)</f>
        <v>1.1962507582320256</v>
      </c>
      <c r="HW203" s="19">
        <f t="shared" ref="HW203:HW204" si="881">HS203^2/(HT203*HR203^2)+HO203^2/(HP203*HN203^2)</f>
        <v>6.0000448027240042E-4</v>
      </c>
      <c r="IK203" s="12" t="s">
        <v>37</v>
      </c>
      <c r="IL203" s="12" t="s">
        <v>37</v>
      </c>
      <c r="IM203" s="12" t="s">
        <v>37</v>
      </c>
      <c r="IO203" s="12" t="s">
        <v>37</v>
      </c>
      <c r="IP203" s="12" t="s">
        <v>37</v>
      </c>
      <c r="IQ203" s="12" t="s">
        <v>37</v>
      </c>
      <c r="IW203" s="12" t="s">
        <v>37</v>
      </c>
      <c r="IX203" s="12" t="s">
        <v>37</v>
      </c>
      <c r="IY203" s="13" t="s">
        <v>37</v>
      </c>
      <c r="JA203" s="12" t="s">
        <v>37</v>
      </c>
      <c r="JB203" s="12" t="s">
        <v>37</v>
      </c>
      <c r="JC203" s="13" t="s">
        <v>37</v>
      </c>
      <c r="JH203" s="12" t="s">
        <v>37</v>
      </c>
      <c r="JI203" s="12" t="s">
        <v>37</v>
      </c>
      <c r="JJ203" s="13" t="s">
        <v>37</v>
      </c>
      <c r="JL203" s="12" t="s">
        <v>37</v>
      </c>
      <c r="JM203" s="12" t="s">
        <v>37</v>
      </c>
      <c r="JN203" s="12" t="s">
        <v>37</v>
      </c>
      <c r="JS203" s="12" t="s">
        <v>37</v>
      </c>
      <c r="JT203" s="12" t="s">
        <v>37</v>
      </c>
      <c r="JU203" s="13" t="s">
        <v>37</v>
      </c>
      <c r="JW203" s="12" t="s">
        <v>37</v>
      </c>
      <c r="JX203" s="12" t="s">
        <v>37</v>
      </c>
      <c r="JY203" s="12" t="s">
        <v>37</v>
      </c>
      <c r="KE203" s="12" t="s">
        <v>37</v>
      </c>
      <c r="KF203" s="12" t="s">
        <v>37</v>
      </c>
      <c r="KG203" s="13" t="s">
        <v>37</v>
      </c>
      <c r="KH203" s="12" t="s">
        <v>37</v>
      </c>
      <c r="KI203" s="12" t="s">
        <v>37</v>
      </c>
      <c r="KJ203" s="12" t="s">
        <v>37</v>
      </c>
      <c r="KK203" s="12" t="s">
        <v>42</v>
      </c>
      <c r="KL203" s="32" t="s">
        <v>345</v>
      </c>
      <c r="KM203" s="12">
        <v>28</v>
      </c>
      <c r="KN203" s="12">
        <f>1*SQRT(3)</f>
        <v>1.7320508075688772</v>
      </c>
      <c r="KO203" s="11">
        <v>3</v>
      </c>
      <c r="KP203" s="19">
        <f t="shared" ref="KP203:KP205" si="882">KN203/KM203</f>
        <v>6.1858957413174188E-2</v>
      </c>
      <c r="KQ203" s="12">
        <v>18</v>
      </c>
      <c r="KR203" s="12">
        <f>1*SQRT(3)</f>
        <v>1.7320508075688772</v>
      </c>
      <c r="KS203" s="13">
        <v>3</v>
      </c>
      <c r="KT203" s="19">
        <f t="shared" ref="KT203:KT205" si="883">KR203/KQ203</f>
        <v>9.6225044864937617E-2</v>
      </c>
      <c r="KU203" s="19">
        <f t="shared" ref="KU203:KU205" si="884">LN(KQ203/KM203)</f>
        <v>-0.44183275227903918</v>
      </c>
      <c r="KV203" s="19">
        <f t="shared" ref="KV203:KV205" si="885">KR203^2/(KS203*KQ203^2)+KN203^2/(KO203*KM203^2)</f>
        <v>4.3619299571680519E-3</v>
      </c>
      <c r="KW203" s="32" t="s">
        <v>422</v>
      </c>
      <c r="KX203" s="12">
        <v>20</v>
      </c>
      <c r="KY203" s="12">
        <f>0.1*SQRT(3)</f>
        <v>0.17320508075688773</v>
      </c>
      <c r="KZ203" s="11">
        <v>3</v>
      </c>
      <c r="LA203" s="19">
        <f>KY203/KX203</f>
        <v>8.6602540378443865E-3</v>
      </c>
      <c r="LB203" s="12">
        <v>15</v>
      </c>
      <c r="LC203" s="12">
        <f>1*SQRT(3)</f>
        <v>1.7320508075688772</v>
      </c>
      <c r="LD203" s="13">
        <v>3</v>
      </c>
      <c r="LE203" s="19">
        <f>LC203/LB203</f>
        <v>0.11547005383792515</v>
      </c>
      <c r="LF203" s="19">
        <f t="shared" ref="LF203:LF205" si="886">LN(LB203/KX203)</f>
        <v>-0.2876820724517809</v>
      </c>
      <c r="LG203" s="19">
        <f t="shared" ref="LG203:LG205" si="887">LC203^2/(LD203*LB203^2)+KY203^2/(KZ203*KX203^2)</f>
        <v>4.4694444444444434E-3</v>
      </c>
      <c r="LI203" s="12" t="s">
        <v>37</v>
      </c>
      <c r="LJ203" s="12" t="s">
        <v>37</v>
      </c>
      <c r="LK203" s="12" t="s">
        <v>37</v>
      </c>
      <c r="LM203" s="12" t="s">
        <v>37</v>
      </c>
      <c r="LN203" s="12" t="s">
        <v>37</v>
      </c>
      <c r="LO203" s="12" t="s">
        <v>37</v>
      </c>
      <c r="LT203" s="12" t="str">
        <f t="shared" ref="LT203:LT205" si="888">KL203</f>
        <v>0-10</v>
      </c>
      <c r="LU203" s="12">
        <f>AT203/KM203</f>
        <v>12.571428571428571</v>
      </c>
      <c r="LV203" s="12">
        <f>SQRT((1/KM203)^2*AU203^2+AT203^2*(-1/KM203^2)^2*KN203^2)</f>
        <v>1.1639364336842637</v>
      </c>
      <c r="LW203" s="13">
        <f t="shared" ref="LW203:LW205" si="889">KO203</f>
        <v>3</v>
      </c>
      <c r="LX203" s="19">
        <f t="shared" ref="LX203:LX205" si="890">LV203/LU203</f>
        <v>9.2585852679430064E-2</v>
      </c>
      <c r="LY203" s="12">
        <f>AX203/KQ203</f>
        <v>8.1111111111111107</v>
      </c>
      <c r="LZ203" s="12">
        <f>SQRT((1/KQ203)^2*AY203^2+AX203^2*(-1/KQ203^2)^2*KR203^2)</f>
        <v>0.78640134094770775</v>
      </c>
      <c r="MA203" s="13">
        <f>KS203</f>
        <v>3</v>
      </c>
      <c r="MB203" s="19">
        <f t="shared" ref="MB203:MB205" si="891">LZ203/LY203</f>
        <v>9.6953589979854385E-2</v>
      </c>
      <c r="MC203" s="19">
        <f t="shared" ref="MC203:MC205" si="892">LN(LY203/LU203)</f>
        <v>-0.43819180161072141</v>
      </c>
      <c r="MD203" s="19">
        <f t="shared" ref="MD203:MD205" si="893">LZ203^2/(MA203*LY203^2)+LV203^2/(LW203*LU203^2)</f>
        <v>5.9907129087862828E-3</v>
      </c>
      <c r="ME203" s="12" t="str">
        <f t="shared" ref="ME203:ME205" si="894">KW203</f>
        <v>10-20</v>
      </c>
      <c r="MF203" s="12">
        <f>BE203/KX203</f>
        <v>15.1</v>
      </c>
      <c r="MG203" s="12">
        <f>SQRT((1/KX203)^2*BF203^2+BE203^2*(-1/KX203^2)^2*KY203^2)</f>
        <v>0.53581783284993423</v>
      </c>
      <c r="MH203" s="13">
        <f t="shared" ref="MH203:MH204" si="895">KZ203</f>
        <v>3</v>
      </c>
      <c r="MI203" s="19">
        <f>MG203/MF203</f>
        <v>3.5484624692048626E-2</v>
      </c>
      <c r="MJ203" s="12">
        <f>BI203/LB203</f>
        <v>8.6666666666666661</v>
      </c>
      <c r="MK203" s="12">
        <f>SQRT((1/LB203)^2*BJ203^2+BI203^2*(-1/LB203^2)^2*LC203^2)</f>
        <v>1.0073801739238344</v>
      </c>
      <c r="ML203" s="13">
        <f t="shared" ref="ML203:ML204" si="896">LD203</f>
        <v>3</v>
      </c>
      <c r="MM203" s="19">
        <f>MK203/MJ203</f>
        <v>0.11623617391428859</v>
      </c>
      <c r="MN203" s="19">
        <f t="shared" ref="MN203:MN204" si="897">LN(MJ203/MF203)</f>
        <v>-0.55521049446750637</v>
      </c>
      <c r="MO203" s="19">
        <f t="shared" ref="MO203:MO204" si="898">MK203^2/(ML203*MJ203^2)+MG203^2/(MH203*MF203^2)</f>
        <v>4.9233355719227635E-3</v>
      </c>
      <c r="MQ203" s="12" t="s">
        <v>37</v>
      </c>
      <c r="MR203" s="12" t="s">
        <v>37</v>
      </c>
      <c r="MS203" s="12" t="s">
        <v>37</v>
      </c>
      <c r="MU203" s="12" t="s">
        <v>37</v>
      </c>
      <c r="MV203" s="12" t="s">
        <v>37</v>
      </c>
      <c r="MW203" s="12" t="s">
        <v>37</v>
      </c>
      <c r="NA203" s="12" t="s">
        <v>102</v>
      </c>
      <c r="NB203" s="12" t="s">
        <v>345</v>
      </c>
      <c r="NC203" s="12">
        <v>73</v>
      </c>
      <c r="ND203" s="50">
        <f>ABS(NC203)*NF$474</f>
        <v>20.230631600270804</v>
      </c>
      <c r="NE203" s="13">
        <v>26</v>
      </c>
      <c r="NG203" s="12">
        <v>18</v>
      </c>
      <c r="NH203" s="50">
        <f>ABS(NG203)*NJ$474</f>
        <v>5.0578741536618654</v>
      </c>
      <c r="NI203" s="13">
        <v>26</v>
      </c>
      <c r="NK203" s="19">
        <f t="shared" ref="NK203:NK204" si="899">LN(NG203/NC203)</f>
        <v>-1.4000876832522264</v>
      </c>
      <c r="NL203" s="19">
        <f t="shared" ref="NL203:NL204" si="900">NH203^2/(NI203*NG203^2)+ND203^2/(NE203*NC203^2)</f>
        <v>5.9907378024966181E-3</v>
      </c>
      <c r="NM203" s="12" t="s">
        <v>102</v>
      </c>
      <c r="NN203" s="12" t="s">
        <v>345</v>
      </c>
      <c r="NO203" s="12">
        <v>7</v>
      </c>
      <c r="NP203" s="50">
        <f>ABS(NO203)*NR$474</f>
        <v>5.8426504168470084</v>
      </c>
      <c r="NQ203" s="13">
        <v>26</v>
      </c>
      <c r="NS203" s="12">
        <v>103</v>
      </c>
      <c r="NT203" s="50">
        <f>ABS(NS203)*NV$474</f>
        <v>60.051819507162513</v>
      </c>
      <c r="NU203" s="13">
        <v>26</v>
      </c>
      <c r="NW203" s="19">
        <f t="shared" ref="NW203:NW204" si="901">LN(NS203/NO203)</f>
        <v>2.6888188391743224</v>
      </c>
      <c r="NX203" s="19">
        <f t="shared" ref="NX203:NX204" si="902">NT203^2/(NU203*NS203^2)+NP203^2/(NQ203*NO203^2)</f>
        <v>3.9868672612311813E-2</v>
      </c>
      <c r="OA203" s="12" t="s">
        <v>37</v>
      </c>
      <c r="OB203" s="12" t="s">
        <v>37</v>
      </c>
      <c r="OC203" s="12" t="s">
        <v>37</v>
      </c>
      <c r="OD203" s="12"/>
      <c r="OE203" s="12" t="s">
        <v>37</v>
      </c>
      <c r="OF203" s="12" t="s">
        <v>37</v>
      </c>
      <c r="OG203" s="12" t="s">
        <v>37</v>
      </c>
      <c r="OH203" s="12"/>
      <c r="OI203" s="12"/>
      <c r="OJ203" s="12"/>
      <c r="OM203" s="12" t="s">
        <v>37</v>
      </c>
      <c r="ON203" s="12" t="s">
        <v>37</v>
      </c>
      <c r="OO203" s="12" t="s">
        <v>37</v>
      </c>
      <c r="OP203" s="12" t="s">
        <v>37</v>
      </c>
      <c r="OQ203" s="12" t="s">
        <v>37</v>
      </c>
      <c r="OR203" s="12" t="s">
        <v>37</v>
      </c>
      <c r="OS203" s="12"/>
      <c r="OT203" s="12"/>
      <c r="OW203" s="12" t="s">
        <v>37</v>
      </c>
      <c r="OX203" s="12" t="s">
        <v>37</v>
      </c>
      <c r="OY203" s="13" t="s">
        <v>37</v>
      </c>
      <c r="OZ203" s="12" t="s">
        <v>37</v>
      </c>
      <c r="PA203" s="12" t="s">
        <v>37</v>
      </c>
      <c r="PB203" s="13" t="s">
        <v>37</v>
      </c>
      <c r="PG203" s="11" t="s">
        <v>37</v>
      </c>
      <c r="PH203" s="11" t="s">
        <v>37</v>
      </c>
      <c r="PI203" s="13" t="s">
        <v>37</v>
      </c>
      <c r="PJ203" s="11" t="s">
        <v>37</v>
      </c>
      <c r="PK203" s="11" t="s">
        <v>37</v>
      </c>
      <c r="PL203" s="13" t="s">
        <v>37</v>
      </c>
      <c r="PQ203" s="12" t="s">
        <v>37</v>
      </c>
      <c r="PR203" s="12" t="s">
        <v>37</v>
      </c>
      <c r="PS203" s="12" t="s">
        <v>37</v>
      </c>
      <c r="PT203" s="12" t="s">
        <v>37</v>
      </c>
      <c r="PU203" s="12" t="s">
        <v>37</v>
      </c>
      <c r="PV203" s="12" t="s">
        <v>37</v>
      </c>
      <c r="PW203" s="12"/>
      <c r="PX203" s="12"/>
      <c r="PZ203" s="12" t="s">
        <v>37</v>
      </c>
      <c r="QA203" s="12" t="s">
        <v>37</v>
      </c>
      <c r="QB203" s="11" t="s">
        <v>37</v>
      </c>
      <c r="QD203" s="12" t="s">
        <v>37</v>
      </c>
      <c r="QE203" s="12" t="s">
        <v>37</v>
      </c>
      <c r="QF203" s="12" t="s">
        <v>37</v>
      </c>
      <c r="QK203" s="12" t="s">
        <v>37</v>
      </c>
      <c r="QL203" s="12" t="s">
        <v>37</v>
      </c>
      <c r="QM203" s="12" t="s">
        <v>37</v>
      </c>
      <c r="QN203" s="12" t="s">
        <v>37</v>
      </c>
      <c r="QO203" s="12" t="s">
        <v>37</v>
      </c>
      <c r="QP203" s="12" t="s">
        <v>37</v>
      </c>
      <c r="QQ203" s="12"/>
      <c r="QR203" s="12"/>
      <c r="QU203" s="12" t="s">
        <v>37</v>
      </c>
      <c r="QV203" s="12" t="s">
        <v>37</v>
      </c>
      <c r="QW203" s="12" t="s">
        <v>37</v>
      </c>
      <c r="QX203" s="12" t="s">
        <v>37</v>
      </c>
      <c r="QY203" s="12" t="s">
        <v>37</v>
      </c>
      <c r="QZ203" s="12" t="s">
        <v>37</v>
      </c>
      <c r="RC203" s="12" t="s">
        <v>37</v>
      </c>
      <c r="RD203" s="12" t="s">
        <v>37</v>
      </c>
      <c r="RE203" s="13" t="s">
        <v>37</v>
      </c>
      <c r="RF203" s="12" t="s">
        <v>37</v>
      </c>
      <c r="RG203" s="12" t="s">
        <v>37</v>
      </c>
      <c r="RH203" s="13" t="s">
        <v>37</v>
      </c>
      <c r="RK203" s="12" t="s">
        <v>37</v>
      </c>
      <c r="RL203" s="12" t="s">
        <v>37</v>
      </c>
      <c r="RM203" s="11" t="s">
        <v>37</v>
      </c>
      <c r="RN203" s="12" t="s">
        <v>37</v>
      </c>
      <c r="RO203" s="12" t="s">
        <v>37</v>
      </c>
      <c r="RP203" s="11" t="s">
        <v>37</v>
      </c>
      <c r="RS203" s="12" t="s">
        <v>37</v>
      </c>
      <c r="RT203" s="12" t="s">
        <v>37</v>
      </c>
      <c r="RU203" s="12" t="s">
        <v>37</v>
      </c>
      <c r="RV203" s="12" t="s">
        <v>37</v>
      </c>
      <c r="RW203" s="12" t="s">
        <v>37</v>
      </c>
      <c r="RX203" s="12" t="s">
        <v>37</v>
      </c>
      <c r="SA203" s="12" t="s">
        <v>37</v>
      </c>
      <c r="SB203" s="12" t="s">
        <v>37</v>
      </c>
      <c r="SC203" s="12" t="s">
        <v>37</v>
      </c>
      <c r="SD203" s="12" t="s">
        <v>37</v>
      </c>
      <c r="SE203" s="12" t="s">
        <v>37</v>
      </c>
      <c r="SF203" s="12" t="s">
        <v>37</v>
      </c>
      <c r="SI203" s="12" t="s">
        <v>37</v>
      </c>
      <c r="SJ203" s="12" t="s">
        <v>37</v>
      </c>
      <c r="SK203" s="13" t="s">
        <v>37</v>
      </c>
      <c r="SM203" s="12" t="s">
        <v>37</v>
      </c>
      <c r="SN203" s="12" t="s">
        <v>37</v>
      </c>
      <c r="SO203" s="13" t="s">
        <v>37</v>
      </c>
      <c r="SU203" s="12" t="s">
        <v>37</v>
      </c>
      <c r="SV203" s="12" t="s">
        <v>37</v>
      </c>
      <c r="SW203" s="12" t="s">
        <v>37</v>
      </c>
      <c r="SX203" s="12" t="s">
        <v>37</v>
      </c>
      <c r="SY203" s="12" t="s">
        <v>37</v>
      </c>
      <c r="SZ203" s="12" t="s">
        <v>37</v>
      </c>
      <c r="TA203" s="12"/>
      <c r="TB203" s="12"/>
      <c r="TE203" s="12" t="s">
        <v>37</v>
      </c>
      <c r="TF203" s="12" t="s">
        <v>37</v>
      </c>
      <c r="TG203" s="11" t="s">
        <v>37</v>
      </c>
      <c r="TH203" s="12" t="s">
        <v>37</v>
      </c>
      <c r="TI203" s="12" t="s">
        <v>37</v>
      </c>
      <c r="TJ203" s="11" t="s">
        <v>37</v>
      </c>
      <c r="TO203" s="12" t="s">
        <v>37</v>
      </c>
      <c r="TP203" s="12" t="s">
        <v>37</v>
      </c>
      <c r="TQ203" s="11" t="s">
        <v>37</v>
      </c>
      <c r="TR203" s="12" t="s">
        <v>37</v>
      </c>
      <c r="TS203" s="12" t="s">
        <v>37</v>
      </c>
      <c r="TT203" s="11" t="s">
        <v>37</v>
      </c>
      <c r="TY203" s="12" t="s">
        <v>37</v>
      </c>
      <c r="TZ203" s="12" t="s">
        <v>37</v>
      </c>
      <c r="UA203" s="12" t="s">
        <v>37</v>
      </c>
      <c r="UB203" s="12" t="s">
        <v>37</v>
      </c>
      <c r="UC203" s="12" t="s">
        <v>37</v>
      </c>
      <c r="UD203" s="12" t="s">
        <v>37</v>
      </c>
      <c r="UE203" s="12"/>
      <c r="UF203" s="12"/>
      <c r="UI203" s="12" t="s">
        <v>37</v>
      </c>
      <c r="UJ203" s="12" t="s">
        <v>37</v>
      </c>
      <c r="UK203" s="12" t="s">
        <v>37</v>
      </c>
      <c r="UL203" s="12" t="s">
        <v>37</v>
      </c>
      <c r="UM203" s="12" t="s">
        <v>37</v>
      </c>
      <c r="UN203" s="12" t="s">
        <v>37</v>
      </c>
      <c r="UO203" s="12"/>
      <c r="UP203" s="12"/>
      <c r="UR203" s="12" t="s">
        <v>37</v>
      </c>
      <c r="US203" s="12" t="s">
        <v>37</v>
      </c>
      <c r="UT203" s="12" t="s">
        <v>37</v>
      </c>
      <c r="UU203" s="12" t="s">
        <v>37</v>
      </c>
      <c r="UV203" s="12" t="s">
        <v>37</v>
      </c>
      <c r="UW203" s="12" t="s">
        <v>37</v>
      </c>
      <c r="UX203" s="12"/>
      <c r="UY203" s="12"/>
      <c r="VB203" s="12" t="s">
        <v>37</v>
      </c>
      <c r="VC203" s="12" t="s">
        <v>37</v>
      </c>
      <c r="VD203" s="12" t="s">
        <v>37</v>
      </c>
      <c r="VE203" s="12" t="s">
        <v>37</v>
      </c>
      <c r="VF203" s="12" t="s">
        <v>37</v>
      </c>
      <c r="VG203" s="12" t="s">
        <v>37</v>
      </c>
      <c r="VI203" s="12" t="s">
        <v>37</v>
      </c>
      <c r="VJ203" s="12" t="s">
        <v>37</v>
      </c>
      <c r="VK203" s="12" t="s">
        <v>37</v>
      </c>
      <c r="VL203" s="12" t="s">
        <v>37</v>
      </c>
      <c r="VM203" s="12" t="s">
        <v>37</v>
      </c>
      <c r="VN203" s="12" t="s">
        <v>37</v>
      </c>
      <c r="VQ203" s="13" t="s">
        <v>37</v>
      </c>
      <c r="VR203" s="13" t="s">
        <v>37</v>
      </c>
      <c r="VS203" s="13" t="s">
        <v>37</v>
      </c>
      <c r="VT203" s="13" t="s">
        <v>37</v>
      </c>
      <c r="VU203" s="13" t="s">
        <v>37</v>
      </c>
      <c r="VV203" s="13" t="s">
        <v>37</v>
      </c>
      <c r="WA203" s="13" t="s">
        <v>37</v>
      </c>
      <c r="WB203" s="13" t="s">
        <v>37</v>
      </c>
      <c r="WC203" s="13" t="s">
        <v>37</v>
      </c>
      <c r="WD203" s="13" t="s">
        <v>37</v>
      </c>
      <c r="WE203" s="13" t="s">
        <v>37</v>
      </c>
      <c r="WF203" s="13" t="s">
        <v>37</v>
      </c>
    </row>
    <row r="204" spans="1:604" ht="18" customHeight="1" x14ac:dyDescent="0.3">
      <c r="A204" s="11">
        <v>51</v>
      </c>
      <c r="B204" s="16" t="s">
        <v>306</v>
      </c>
      <c r="C204" s="12" t="s">
        <v>26</v>
      </c>
      <c r="D204" s="12" t="s">
        <v>54</v>
      </c>
      <c r="E204" s="40">
        <v>0.6</v>
      </c>
      <c r="F204" s="14">
        <v>0</v>
      </c>
      <c r="G204" s="14">
        <v>0</v>
      </c>
      <c r="H204" s="12" t="s">
        <v>136</v>
      </c>
      <c r="I204" s="29">
        <v>48.366999999999997</v>
      </c>
      <c r="J204" s="29">
        <v>11.667</v>
      </c>
      <c r="K204" s="12" t="s">
        <v>751</v>
      </c>
      <c r="L204" s="12" t="s">
        <v>752</v>
      </c>
      <c r="M204" s="13">
        <v>449</v>
      </c>
      <c r="N204" s="14">
        <v>7.5</v>
      </c>
      <c r="O204" s="14">
        <v>787</v>
      </c>
      <c r="P204" s="14" t="s">
        <v>16</v>
      </c>
      <c r="Q204" s="75">
        <v>45</v>
      </c>
      <c r="R204" s="11" t="s">
        <v>999</v>
      </c>
      <c r="S204" s="12" t="s">
        <v>85</v>
      </c>
      <c r="T204" s="12" t="s">
        <v>138</v>
      </c>
      <c r="U204" s="12" t="s">
        <v>158</v>
      </c>
      <c r="V204" s="12" t="s">
        <v>275</v>
      </c>
      <c r="W204" s="23" t="s">
        <v>750</v>
      </c>
      <c r="X204" s="12" t="s">
        <v>856</v>
      </c>
      <c r="Y204" s="12" t="s">
        <v>307</v>
      </c>
      <c r="Z204" s="12" t="s">
        <v>37</v>
      </c>
      <c r="AB204" s="12" t="s">
        <v>37</v>
      </c>
      <c r="AC204" s="12" t="s">
        <v>42</v>
      </c>
      <c r="AD204" s="32" t="s">
        <v>345</v>
      </c>
      <c r="AE204" s="12">
        <v>352</v>
      </c>
      <c r="AF204" s="12" t="s">
        <v>42</v>
      </c>
      <c r="AG204" s="32" t="s">
        <v>345</v>
      </c>
      <c r="AH204" s="12">
        <v>28</v>
      </c>
      <c r="AJ204" s="12" t="str">
        <f t="shared" si="865"/>
        <v>0-10</v>
      </c>
      <c r="AK204" s="19">
        <f t="shared" si="866"/>
        <v>12.571428571428571</v>
      </c>
      <c r="AL204" s="32" t="s">
        <v>308</v>
      </c>
      <c r="AM204" s="12" t="s">
        <v>344</v>
      </c>
      <c r="AO204" s="12" t="s">
        <v>37</v>
      </c>
      <c r="AP204" s="12" t="s">
        <v>108</v>
      </c>
      <c r="AQ204" s="12" t="s">
        <v>975</v>
      </c>
      <c r="AR204" s="12" t="s">
        <v>42</v>
      </c>
      <c r="AS204" s="32" t="s">
        <v>345</v>
      </c>
      <c r="AT204" s="12">
        <v>352</v>
      </c>
      <c r="AU204" s="12">
        <f>14*SQRT(3)</f>
        <v>24.248711305964282</v>
      </c>
      <c r="AV204" s="13">
        <v>3</v>
      </c>
      <c r="AW204" s="19">
        <f t="shared" si="867"/>
        <v>6.8888384391943988E-2</v>
      </c>
      <c r="AX204" s="12">
        <v>97</v>
      </c>
      <c r="AY204" s="12">
        <f>4*SQRT(3)</f>
        <v>6.9282032302755088</v>
      </c>
      <c r="AZ204" s="13">
        <v>3</v>
      </c>
      <c r="BA204" s="19">
        <f t="shared" si="868"/>
        <v>7.1424775569850607E-2</v>
      </c>
      <c r="BB204" s="52">
        <f t="shared" si="869"/>
        <v>-1.2889201970947142</v>
      </c>
      <c r="BC204" s="19">
        <f t="shared" ref="BC204:BC205" si="903">AY204^2/(AZ204*AX204^2)+AU204^2/(AV204*AT204^2)</f>
        <v>3.2823693564452529E-3</v>
      </c>
      <c r="BD204" s="32" t="s">
        <v>422</v>
      </c>
      <c r="BE204" s="12">
        <v>302</v>
      </c>
      <c r="BF204" s="12">
        <f>6*SQRT(3)</f>
        <v>10.392304845413264</v>
      </c>
      <c r="BG204" s="11">
        <v>3</v>
      </c>
      <c r="BH204" s="19">
        <f t="shared" ref="BH204" si="904">BF204/BE204</f>
        <v>3.441160544838829E-2</v>
      </c>
      <c r="BI204" s="12">
        <v>83</v>
      </c>
      <c r="BJ204" s="12">
        <f>2*SQRT(3)</f>
        <v>3.4641016151377544</v>
      </c>
      <c r="BK204" s="13">
        <v>3</v>
      </c>
      <c r="BL204" s="19">
        <f>BJ204/BI204</f>
        <v>4.1736164037804273E-2</v>
      </c>
      <c r="BM204" s="52">
        <f>LN(BI204/BE204)</f>
        <v>-1.2915864095782716</v>
      </c>
      <c r="BN204" s="19">
        <f>BJ204^2/(BK204*BI204^2)+BF204^2/(BG204*BE204^2)</f>
        <v>9.7535532604201773E-4</v>
      </c>
      <c r="BP204" s="12" t="s">
        <v>37</v>
      </c>
      <c r="BQ204" s="12" t="s">
        <v>37</v>
      </c>
      <c r="BR204" s="12" t="s">
        <v>37</v>
      </c>
      <c r="BT204" s="12" t="s">
        <v>37</v>
      </c>
      <c r="BU204" s="12" t="s">
        <v>37</v>
      </c>
      <c r="BV204" s="12" t="s">
        <v>37</v>
      </c>
      <c r="CA204" s="12" t="s">
        <v>37</v>
      </c>
      <c r="CB204" s="12" t="s">
        <v>37</v>
      </c>
      <c r="CC204" s="13" t="s">
        <v>37</v>
      </c>
      <c r="CE204" s="12" t="s">
        <v>37</v>
      </c>
      <c r="CF204" s="12" t="s">
        <v>37</v>
      </c>
      <c r="CG204" s="13" t="s">
        <v>37</v>
      </c>
      <c r="CI204" s="13"/>
      <c r="CJ204" s="13"/>
      <c r="CN204" s="12" t="s">
        <v>37</v>
      </c>
      <c r="CO204" s="12" t="s">
        <v>37</v>
      </c>
      <c r="CP204" s="13" t="s">
        <v>37</v>
      </c>
      <c r="CR204" s="12" t="s">
        <v>37</v>
      </c>
      <c r="CS204" s="12" t="s">
        <v>37</v>
      </c>
      <c r="CT204" s="13" t="s">
        <v>37</v>
      </c>
      <c r="CV204" s="13"/>
      <c r="CW204" s="13"/>
      <c r="CX204" s="72"/>
      <c r="CY204" s="72"/>
      <c r="DA204" s="12" t="s">
        <v>37</v>
      </c>
      <c r="DB204" s="12" t="s">
        <v>37</v>
      </c>
      <c r="DC204" s="13" t="s">
        <v>37</v>
      </c>
      <c r="DE204" s="12" t="s">
        <v>37</v>
      </c>
      <c r="DF204" s="12" t="s">
        <v>37</v>
      </c>
      <c r="DG204" s="13" t="s">
        <v>37</v>
      </c>
      <c r="DN204" s="19" t="s">
        <v>37</v>
      </c>
      <c r="DO204" s="12" t="s">
        <v>37</v>
      </c>
      <c r="DP204" s="13" t="s">
        <v>37</v>
      </c>
      <c r="DR204" s="19" t="s">
        <v>37</v>
      </c>
      <c r="DS204" s="12" t="s">
        <v>37</v>
      </c>
      <c r="DT204" s="13" t="s">
        <v>37</v>
      </c>
      <c r="DZ204" s="11" t="s">
        <v>47</v>
      </c>
      <c r="EA204" s="19">
        <f>0.51*44/28</f>
        <v>0.80142857142857149</v>
      </c>
      <c r="EB204" s="19">
        <f>0.07*44/28*SQRT(3)</f>
        <v>0.1905255888325765</v>
      </c>
      <c r="EC204" s="72">
        <v>3</v>
      </c>
      <c r="ED204" s="52">
        <f t="shared" si="870"/>
        <v>0.23773246378396354</v>
      </c>
      <c r="EE204" s="19">
        <f>0.93*44/28</f>
        <v>1.4614285714285715</v>
      </c>
      <c r="EF204" s="19">
        <f>0.08*44/28*SQRT(3)</f>
        <v>0.21774353009437314</v>
      </c>
      <c r="EG204" s="13">
        <v>3</v>
      </c>
      <c r="EH204" s="52">
        <f t="shared" si="871"/>
        <v>0.14899361785538728</v>
      </c>
      <c r="EI204" s="19">
        <f t="shared" si="860"/>
        <v>0.66</v>
      </c>
      <c r="EJ204" s="12">
        <f t="shared" si="861"/>
        <v>0.204587688898867</v>
      </c>
      <c r="EK204" s="19">
        <f t="shared" si="862"/>
        <v>2.7904081632653056E-2</v>
      </c>
      <c r="EL204" s="19">
        <f t="shared" si="863"/>
        <v>2.7904081632653059E-2</v>
      </c>
      <c r="EM204" s="12" t="s">
        <v>39</v>
      </c>
      <c r="EN204" s="12">
        <v>3</v>
      </c>
      <c r="EO204" s="50">
        <f>ABS(EN204)*EQ$474</f>
        <v>1.22248919625388</v>
      </c>
      <c r="EP204" s="13">
        <v>3</v>
      </c>
      <c r="ER204" s="12">
        <v>-41</v>
      </c>
      <c r="ES204" s="50">
        <f>ABS(ER204)*EU$474</f>
        <v>9.2993761938769612</v>
      </c>
      <c r="ET204" s="13">
        <v>3</v>
      </c>
      <c r="EV204" s="19">
        <f t="shared" si="701"/>
        <v>-44</v>
      </c>
      <c r="EW204" s="12">
        <f t="shared" si="702"/>
        <v>6.6322272816227814</v>
      </c>
      <c r="EX204" s="19">
        <f t="shared" si="703"/>
        <v>29.324292476734335</v>
      </c>
      <c r="EY204" s="19">
        <f t="shared" si="704"/>
        <v>29.324292476734335</v>
      </c>
      <c r="FB204" s="12" t="s">
        <v>37</v>
      </c>
      <c r="FC204" s="12" t="s">
        <v>37</v>
      </c>
      <c r="FD204" s="11" t="s">
        <v>37</v>
      </c>
      <c r="FE204" s="12" t="s">
        <v>37</v>
      </c>
      <c r="FF204" s="20" t="s">
        <v>37</v>
      </c>
      <c r="FG204" s="11" t="s">
        <v>37</v>
      </c>
      <c r="FI204" s="12" t="s">
        <v>37</v>
      </c>
      <c r="FJ204" s="12" t="s">
        <v>37</v>
      </c>
      <c r="FK204" s="11" t="s">
        <v>37</v>
      </c>
      <c r="FL204" s="13" t="s">
        <v>37</v>
      </c>
      <c r="FM204" s="11" t="s">
        <v>37</v>
      </c>
      <c r="FN204" s="11" t="s">
        <v>37</v>
      </c>
      <c r="FP204" s="12" t="s">
        <v>37</v>
      </c>
      <c r="FQ204" s="12" t="s">
        <v>37</v>
      </c>
      <c r="FR204" s="11" t="s">
        <v>37</v>
      </c>
      <c r="FS204" s="13" t="s">
        <v>37</v>
      </c>
      <c r="FT204" s="11" t="s">
        <v>37</v>
      </c>
      <c r="FU204" s="11" t="s">
        <v>37</v>
      </c>
      <c r="FW204" s="12" t="s">
        <v>37</v>
      </c>
      <c r="FX204" s="12" t="s">
        <v>37</v>
      </c>
      <c r="FY204" s="11" t="s">
        <v>37</v>
      </c>
      <c r="FZ204" s="13" t="s">
        <v>37</v>
      </c>
      <c r="GA204" s="11" t="s">
        <v>37</v>
      </c>
      <c r="GB204" s="11" t="s">
        <v>37</v>
      </c>
      <c r="GC204" s="12" t="s">
        <v>90</v>
      </c>
      <c r="GD204" s="12" t="s">
        <v>330</v>
      </c>
      <c r="GE204" s="12">
        <v>99</v>
      </c>
      <c r="GF204" s="50">
        <f>ABS(GE204)*GH$474</f>
        <v>14.615846958035807</v>
      </c>
      <c r="GG204" s="13">
        <v>6</v>
      </c>
      <c r="GI204" s="12">
        <v>78</v>
      </c>
      <c r="GJ204" s="50">
        <f>ABS(GI204)*GL$474</f>
        <v>14.918548589980274</v>
      </c>
      <c r="GK204" s="13">
        <v>6</v>
      </c>
      <c r="GM204" s="19">
        <f t="shared" si="872"/>
        <v>-0.23841102344499823</v>
      </c>
      <c r="GN204" s="19">
        <f t="shared" si="873"/>
        <v>9.7296240365146308E-3</v>
      </c>
      <c r="HA204" s="17" t="s">
        <v>63</v>
      </c>
      <c r="HB204" s="34" t="s">
        <v>345</v>
      </c>
      <c r="HC204" s="12">
        <v>0.14000000000000001</v>
      </c>
      <c r="HD204" s="12">
        <f>0.01*SQRT(6)</f>
        <v>2.4494897427831779E-2</v>
      </c>
      <c r="HE204" s="13">
        <v>6</v>
      </c>
      <c r="HF204" s="19">
        <f t="shared" si="874"/>
        <v>0.17496355305594125</v>
      </c>
      <c r="HG204" s="12">
        <v>0.47</v>
      </c>
      <c r="HH204" s="12">
        <f>0.04*SQRT(6)</f>
        <v>9.7979589711327114E-2</v>
      </c>
      <c r="HI204" s="13">
        <v>6</v>
      </c>
      <c r="HJ204" s="19">
        <f t="shared" si="875"/>
        <v>0.20846721215175984</v>
      </c>
      <c r="HK204" s="19">
        <f t="shared" si="876"/>
        <v>1.2110902720947998</v>
      </c>
      <c r="HL204" s="19">
        <f t="shared" si="877"/>
        <v>1.2345137240047668E-2</v>
      </c>
      <c r="HM204" s="34" t="s">
        <v>844</v>
      </c>
      <c r="HN204" s="12">
        <v>0.13</v>
      </c>
      <c r="HO204" s="12">
        <f>0.001*SQRT(6)</f>
        <v>2.4494897427831779E-3</v>
      </c>
      <c r="HP204" s="13">
        <v>6</v>
      </c>
      <c r="HQ204" s="19">
        <f t="shared" si="878"/>
        <v>1.884222879063983E-2</v>
      </c>
      <c r="HR204" s="12">
        <v>0.6</v>
      </c>
      <c r="HS204" s="12">
        <f>0.03*SQRT(6)</f>
        <v>7.3484692283495329E-2</v>
      </c>
      <c r="HT204" s="13">
        <v>6</v>
      </c>
      <c r="HU204" s="19">
        <f t="shared" si="879"/>
        <v>0.12247448713915889</v>
      </c>
      <c r="HV204" s="19">
        <f t="shared" si="880"/>
        <v>1.5293952047605639</v>
      </c>
      <c r="HW204" s="19">
        <f t="shared" si="881"/>
        <v>2.5591715976331347E-3</v>
      </c>
      <c r="IK204" s="12" t="s">
        <v>37</v>
      </c>
      <c r="IL204" s="12" t="s">
        <v>37</v>
      </c>
      <c r="IM204" s="12" t="s">
        <v>37</v>
      </c>
      <c r="IO204" s="12" t="s">
        <v>37</v>
      </c>
      <c r="IP204" s="12" t="s">
        <v>37</v>
      </c>
      <c r="IQ204" s="12" t="s">
        <v>37</v>
      </c>
      <c r="IW204" s="12" t="s">
        <v>37</v>
      </c>
      <c r="IX204" s="12" t="s">
        <v>37</v>
      </c>
      <c r="IY204" s="13" t="s">
        <v>37</v>
      </c>
      <c r="JA204" s="12" t="s">
        <v>37</v>
      </c>
      <c r="JB204" s="12" t="s">
        <v>37</v>
      </c>
      <c r="JC204" s="13" t="s">
        <v>37</v>
      </c>
      <c r="JH204" s="12" t="s">
        <v>37</v>
      </c>
      <c r="JI204" s="12" t="s">
        <v>37</v>
      </c>
      <c r="JJ204" s="13" t="s">
        <v>37</v>
      </c>
      <c r="JL204" s="12" t="s">
        <v>37</v>
      </c>
      <c r="JM204" s="12" t="s">
        <v>37</v>
      </c>
      <c r="JN204" s="12" t="s">
        <v>37</v>
      </c>
      <c r="JS204" s="12" t="s">
        <v>37</v>
      </c>
      <c r="JT204" s="12" t="s">
        <v>37</v>
      </c>
      <c r="JU204" s="13" t="s">
        <v>37</v>
      </c>
      <c r="JW204" s="12" t="s">
        <v>37</v>
      </c>
      <c r="JX204" s="12" t="s">
        <v>37</v>
      </c>
      <c r="JY204" s="12" t="s">
        <v>37</v>
      </c>
      <c r="KE204" s="12" t="s">
        <v>37</v>
      </c>
      <c r="KF204" s="12" t="s">
        <v>37</v>
      </c>
      <c r="KG204" s="13" t="s">
        <v>37</v>
      </c>
      <c r="KH204" s="12" t="s">
        <v>37</v>
      </c>
      <c r="KI204" s="12" t="s">
        <v>37</v>
      </c>
      <c r="KJ204" s="12" t="s">
        <v>37</v>
      </c>
      <c r="KK204" s="12" t="s">
        <v>42</v>
      </c>
      <c r="KL204" s="32" t="s">
        <v>345</v>
      </c>
      <c r="KM204" s="12">
        <v>28</v>
      </c>
      <c r="KN204" s="12">
        <f>1*SQRT(3)</f>
        <v>1.7320508075688772</v>
      </c>
      <c r="KO204" s="11">
        <v>3</v>
      </c>
      <c r="KP204" s="19">
        <f t="shared" si="882"/>
        <v>6.1858957413174188E-2</v>
      </c>
      <c r="KQ204" s="12">
        <v>11</v>
      </c>
      <c r="KR204" s="12">
        <f>0.5*SQRT(3)</f>
        <v>0.8660254037844386</v>
      </c>
      <c r="KS204" s="13">
        <v>3</v>
      </c>
      <c r="KT204" s="19">
        <f t="shared" si="883"/>
        <v>7.8729582162221687E-2</v>
      </c>
      <c r="KU204" s="19">
        <f t="shared" si="884"/>
        <v>-0.93430923737683336</v>
      </c>
      <c r="KV204" s="19">
        <f t="shared" si="885"/>
        <v>3.3416259065609712E-3</v>
      </c>
      <c r="KW204" s="32" t="s">
        <v>422</v>
      </c>
      <c r="KX204" s="12">
        <v>20</v>
      </c>
      <c r="KY204" s="12">
        <f>0.1*SQRT(3)</f>
        <v>0.17320508075688773</v>
      </c>
      <c r="KZ204" s="11">
        <v>3</v>
      </c>
      <c r="LA204" s="19">
        <f t="shared" ref="LA204" si="905">KY204/KX204</f>
        <v>8.6602540378443865E-3</v>
      </c>
      <c r="LB204" s="12">
        <v>9</v>
      </c>
      <c r="LC204" s="12">
        <f>0.05*SQRT(3)</f>
        <v>8.6602540378443865E-2</v>
      </c>
      <c r="LD204" s="13">
        <v>3</v>
      </c>
      <c r="LE204" s="19">
        <f t="shared" ref="LE204" si="906">LC204/LB204</f>
        <v>9.6225044864937624E-3</v>
      </c>
      <c r="LF204" s="19">
        <f t="shared" si="886"/>
        <v>-0.79850769621777162</v>
      </c>
      <c r="LG204" s="19">
        <f t="shared" si="887"/>
        <v>5.5864197530864196E-5</v>
      </c>
      <c r="LI204" s="12" t="s">
        <v>37</v>
      </c>
      <c r="LJ204" s="12" t="s">
        <v>37</v>
      </c>
      <c r="LK204" s="12" t="s">
        <v>37</v>
      </c>
      <c r="LM204" s="12" t="s">
        <v>37</v>
      </c>
      <c r="LN204" s="12" t="s">
        <v>37</v>
      </c>
      <c r="LO204" s="12" t="s">
        <v>37</v>
      </c>
      <c r="LT204" s="12" t="str">
        <f t="shared" si="888"/>
        <v>0-10</v>
      </c>
      <c r="LU204" s="12">
        <f>AT204/KM204</f>
        <v>12.571428571428571</v>
      </c>
      <c r="LV204" s="12">
        <f>SQRT((1/KM204)^2*AU204^2+AT204^2*(-1/KM204^2)^2*KN204^2)</f>
        <v>1.1639364336842637</v>
      </c>
      <c r="LW204" s="13">
        <f t="shared" si="889"/>
        <v>3</v>
      </c>
      <c r="LX204" s="19">
        <f t="shared" si="890"/>
        <v>9.2585852679430064E-2</v>
      </c>
      <c r="LY204" s="12">
        <f>AX204/KQ204</f>
        <v>8.8181818181818183</v>
      </c>
      <c r="LZ204" s="12">
        <f>SQRT((1/KQ204)^2*AY204^2+AX204^2*(-1/KQ204^2)^2*KR204^2)</f>
        <v>0.93737918421030619</v>
      </c>
      <c r="MA204" s="13">
        <f>KS204</f>
        <v>3</v>
      </c>
      <c r="MB204" s="19">
        <f t="shared" si="891"/>
        <v>0.10630073223003472</v>
      </c>
      <c r="MC204" s="19">
        <f t="shared" si="892"/>
        <v>-0.35461095971788087</v>
      </c>
      <c r="MD204" s="19">
        <f t="shared" si="893"/>
        <v>6.6239952630062233E-3</v>
      </c>
      <c r="ME204" s="12" t="str">
        <f t="shared" si="894"/>
        <v>10-20</v>
      </c>
      <c r="MF204" s="12">
        <f>BE204/KX204</f>
        <v>15.1</v>
      </c>
      <c r="MG204" s="12">
        <f>SQRT((1/KX204)^2*BF204^2+BE204^2*(-1/KX204^2)^2*KY204^2)</f>
        <v>0.53581783284993423</v>
      </c>
      <c r="MH204" s="13">
        <f t="shared" si="895"/>
        <v>3</v>
      </c>
      <c r="MI204" s="19">
        <f>MG204/MF204</f>
        <v>3.5484624692048626E-2</v>
      </c>
      <c r="MJ204" s="12">
        <f>BI204/LB204</f>
        <v>9.2222222222222214</v>
      </c>
      <c r="MK204" s="12">
        <f>SQRT((1/LB204)^2*BJ204^2+BI204^2*(-1/LB204^2)^2*LC204^2)</f>
        <v>0.39499758352707265</v>
      </c>
      <c r="ML204" s="13">
        <f t="shared" si="896"/>
        <v>3</v>
      </c>
      <c r="MM204" s="19">
        <f>MK204/MJ204</f>
        <v>4.2831063274019927E-2</v>
      </c>
      <c r="MN204" s="19">
        <f t="shared" si="897"/>
        <v>-0.49307871336050013</v>
      </c>
      <c r="MO204" s="19">
        <f t="shared" si="898"/>
        <v>1.031219523572882E-3</v>
      </c>
      <c r="MQ204" s="12" t="s">
        <v>37</v>
      </c>
      <c r="MR204" s="12" t="s">
        <v>37</v>
      </c>
      <c r="MS204" s="12" t="s">
        <v>37</v>
      </c>
      <c r="MU204" s="12" t="s">
        <v>37</v>
      </c>
      <c r="MV204" s="12" t="s">
        <v>37</v>
      </c>
      <c r="MW204" s="12" t="s">
        <v>37</v>
      </c>
      <c r="NA204" s="12" t="s">
        <v>102</v>
      </c>
      <c r="NB204" s="12" t="s">
        <v>345</v>
      </c>
      <c r="NC204" s="12">
        <v>73</v>
      </c>
      <c r="ND204" s="50">
        <f>ABS(NC204)*NF$474</f>
        <v>20.230631600270804</v>
      </c>
      <c r="NE204" s="13">
        <v>26</v>
      </c>
      <c r="NG204" s="12">
        <v>10</v>
      </c>
      <c r="NH204" s="50">
        <f>ABS(NG204)*NJ$474</f>
        <v>2.8099300853677027</v>
      </c>
      <c r="NI204" s="13">
        <v>26</v>
      </c>
      <c r="NK204" s="19">
        <f t="shared" si="899"/>
        <v>-1.9878743481543455</v>
      </c>
      <c r="NL204" s="19">
        <f t="shared" si="900"/>
        <v>5.9907378024966172E-3</v>
      </c>
      <c r="NM204" s="12" t="s">
        <v>102</v>
      </c>
      <c r="NN204" s="12" t="s">
        <v>345</v>
      </c>
      <c r="NO204" s="12">
        <v>7</v>
      </c>
      <c r="NP204" s="50">
        <f>ABS(NO204)*NR$474</f>
        <v>5.8426504168470084</v>
      </c>
      <c r="NQ204" s="13">
        <v>26</v>
      </c>
      <c r="NS204" s="12">
        <v>60</v>
      </c>
      <c r="NT204" s="50">
        <f>ABS(NS204)*NV$474</f>
        <v>34.981642431356804</v>
      </c>
      <c r="NU204" s="13">
        <v>26</v>
      </c>
      <c r="NW204" s="19">
        <f t="shared" si="901"/>
        <v>2.1484344131667874</v>
      </c>
      <c r="NX204" s="19">
        <f t="shared" si="902"/>
        <v>3.9868672612311813E-2</v>
      </c>
      <c r="OA204" s="12" t="s">
        <v>37</v>
      </c>
      <c r="OB204" s="12" t="s">
        <v>37</v>
      </c>
      <c r="OC204" s="12" t="s">
        <v>37</v>
      </c>
      <c r="OD204" s="12"/>
      <c r="OE204" s="12" t="s">
        <v>37</v>
      </c>
      <c r="OF204" s="12" t="s">
        <v>37</v>
      </c>
      <c r="OG204" s="12" t="s">
        <v>37</v>
      </c>
      <c r="OH204" s="12"/>
      <c r="OI204" s="12"/>
      <c r="OJ204" s="12"/>
      <c r="OM204" s="12" t="s">
        <v>37</v>
      </c>
      <c r="ON204" s="12" t="s">
        <v>37</v>
      </c>
      <c r="OO204" s="12" t="s">
        <v>37</v>
      </c>
      <c r="OP204" s="12" t="s">
        <v>37</v>
      </c>
      <c r="OQ204" s="12" t="s">
        <v>37</v>
      </c>
      <c r="OR204" s="12" t="s">
        <v>37</v>
      </c>
      <c r="OS204" s="12"/>
      <c r="OT204" s="12"/>
      <c r="OW204" s="12" t="s">
        <v>37</v>
      </c>
      <c r="OX204" s="12" t="s">
        <v>37</v>
      </c>
      <c r="OY204" s="13" t="s">
        <v>37</v>
      </c>
      <c r="OZ204" s="12" t="s">
        <v>37</v>
      </c>
      <c r="PA204" s="12" t="s">
        <v>37</v>
      </c>
      <c r="PB204" s="13" t="s">
        <v>37</v>
      </c>
      <c r="PG204" s="11" t="s">
        <v>37</v>
      </c>
      <c r="PH204" s="11" t="s">
        <v>37</v>
      </c>
      <c r="PI204" s="13" t="s">
        <v>37</v>
      </c>
      <c r="PJ204" s="11" t="s">
        <v>37</v>
      </c>
      <c r="PK204" s="11" t="s">
        <v>37</v>
      </c>
      <c r="PL204" s="13" t="s">
        <v>37</v>
      </c>
      <c r="PQ204" s="12" t="s">
        <v>37</v>
      </c>
      <c r="PR204" s="12" t="s">
        <v>37</v>
      </c>
      <c r="PS204" s="12" t="s">
        <v>37</v>
      </c>
      <c r="PT204" s="12" t="s">
        <v>37</v>
      </c>
      <c r="PU204" s="12" t="s">
        <v>37</v>
      </c>
      <c r="PV204" s="12" t="s">
        <v>37</v>
      </c>
      <c r="PW204" s="12"/>
      <c r="PX204" s="12"/>
      <c r="PZ204" s="12" t="s">
        <v>37</v>
      </c>
      <c r="QA204" s="12" t="s">
        <v>37</v>
      </c>
      <c r="QB204" s="11" t="s">
        <v>37</v>
      </c>
      <c r="QD204" s="12" t="s">
        <v>37</v>
      </c>
      <c r="QE204" s="12" t="s">
        <v>37</v>
      </c>
      <c r="QF204" s="12" t="s">
        <v>37</v>
      </c>
      <c r="QK204" s="12" t="s">
        <v>37</v>
      </c>
      <c r="QL204" s="12" t="s">
        <v>37</v>
      </c>
      <c r="QM204" s="12" t="s">
        <v>37</v>
      </c>
      <c r="QN204" s="12" t="s">
        <v>37</v>
      </c>
      <c r="QO204" s="12" t="s">
        <v>37</v>
      </c>
      <c r="QP204" s="12" t="s">
        <v>37</v>
      </c>
      <c r="QQ204" s="12"/>
      <c r="QR204" s="12"/>
      <c r="QU204" s="12" t="s">
        <v>37</v>
      </c>
      <c r="QV204" s="12" t="s">
        <v>37</v>
      </c>
      <c r="QW204" s="12" t="s">
        <v>37</v>
      </c>
      <c r="QX204" s="12" t="s">
        <v>37</v>
      </c>
      <c r="QY204" s="12" t="s">
        <v>37</v>
      </c>
      <c r="QZ204" s="12" t="s">
        <v>37</v>
      </c>
      <c r="RC204" s="12" t="s">
        <v>37</v>
      </c>
      <c r="RD204" s="12" t="s">
        <v>37</v>
      </c>
      <c r="RE204" s="13" t="s">
        <v>37</v>
      </c>
      <c r="RF204" s="12" t="s">
        <v>37</v>
      </c>
      <c r="RG204" s="12" t="s">
        <v>37</v>
      </c>
      <c r="RH204" s="13" t="s">
        <v>37</v>
      </c>
      <c r="RK204" s="12" t="s">
        <v>37</v>
      </c>
      <c r="RL204" s="12" t="s">
        <v>37</v>
      </c>
      <c r="RM204" s="11" t="s">
        <v>37</v>
      </c>
      <c r="RN204" s="12" t="s">
        <v>37</v>
      </c>
      <c r="RO204" s="12" t="s">
        <v>37</v>
      </c>
      <c r="RP204" s="11" t="s">
        <v>37</v>
      </c>
      <c r="RS204" s="12" t="s">
        <v>37</v>
      </c>
      <c r="RT204" s="12" t="s">
        <v>37</v>
      </c>
      <c r="RU204" s="12" t="s">
        <v>37</v>
      </c>
      <c r="RV204" s="12" t="s">
        <v>37</v>
      </c>
      <c r="RW204" s="12" t="s">
        <v>37</v>
      </c>
      <c r="RX204" s="12" t="s">
        <v>37</v>
      </c>
      <c r="SA204" s="12" t="s">
        <v>37</v>
      </c>
      <c r="SB204" s="12" t="s">
        <v>37</v>
      </c>
      <c r="SC204" s="12" t="s">
        <v>37</v>
      </c>
      <c r="SD204" s="12" t="s">
        <v>37</v>
      </c>
      <c r="SE204" s="12" t="s">
        <v>37</v>
      </c>
      <c r="SF204" s="12" t="s">
        <v>37</v>
      </c>
      <c r="SI204" s="12" t="s">
        <v>37</v>
      </c>
      <c r="SJ204" s="12" t="s">
        <v>37</v>
      </c>
      <c r="SK204" s="13" t="s">
        <v>37</v>
      </c>
      <c r="SM204" s="12" t="s">
        <v>37</v>
      </c>
      <c r="SN204" s="12" t="s">
        <v>37</v>
      </c>
      <c r="SO204" s="13" t="s">
        <v>37</v>
      </c>
      <c r="SU204" s="12" t="s">
        <v>37</v>
      </c>
      <c r="SV204" s="12" t="s">
        <v>37</v>
      </c>
      <c r="SW204" s="12" t="s">
        <v>37</v>
      </c>
      <c r="SX204" s="12" t="s">
        <v>37</v>
      </c>
      <c r="SY204" s="12" t="s">
        <v>37</v>
      </c>
      <c r="SZ204" s="12" t="s">
        <v>37</v>
      </c>
      <c r="TA204" s="12"/>
      <c r="TB204" s="12"/>
      <c r="TE204" s="12" t="s">
        <v>37</v>
      </c>
      <c r="TF204" s="12" t="s">
        <v>37</v>
      </c>
      <c r="TG204" s="11" t="s">
        <v>37</v>
      </c>
      <c r="TH204" s="12" t="s">
        <v>37</v>
      </c>
      <c r="TI204" s="12" t="s">
        <v>37</v>
      </c>
      <c r="TJ204" s="11" t="s">
        <v>37</v>
      </c>
      <c r="TO204" s="12" t="s">
        <v>37</v>
      </c>
      <c r="TP204" s="12" t="s">
        <v>37</v>
      </c>
      <c r="TQ204" s="11" t="s">
        <v>37</v>
      </c>
      <c r="TR204" s="12" t="s">
        <v>37</v>
      </c>
      <c r="TS204" s="12" t="s">
        <v>37</v>
      </c>
      <c r="TT204" s="11" t="s">
        <v>37</v>
      </c>
      <c r="TY204" s="12" t="s">
        <v>37</v>
      </c>
      <c r="TZ204" s="12" t="s">
        <v>37</v>
      </c>
      <c r="UA204" s="12" t="s">
        <v>37</v>
      </c>
      <c r="UB204" s="12" t="s">
        <v>37</v>
      </c>
      <c r="UC204" s="12" t="s">
        <v>37</v>
      </c>
      <c r="UD204" s="12" t="s">
        <v>37</v>
      </c>
      <c r="UE204" s="12"/>
      <c r="UF204" s="12"/>
      <c r="UI204" s="12" t="s">
        <v>37</v>
      </c>
      <c r="UJ204" s="12" t="s">
        <v>37</v>
      </c>
      <c r="UK204" s="12" t="s">
        <v>37</v>
      </c>
      <c r="UL204" s="12" t="s">
        <v>37</v>
      </c>
      <c r="UM204" s="12" t="s">
        <v>37</v>
      </c>
      <c r="UN204" s="12" t="s">
        <v>37</v>
      </c>
      <c r="UO204" s="12"/>
      <c r="UP204" s="12"/>
      <c r="UR204" s="12" t="s">
        <v>37</v>
      </c>
      <c r="US204" s="12" t="s">
        <v>37</v>
      </c>
      <c r="UT204" s="12" t="s">
        <v>37</v>
      </c>
      <c r="UU204" s="12" t="s">
        <v>37</v>
      </c>
      <c r="UV204" s="12" t="s">
        <v>37</v>
      </c>
      <c r="UW204" s="12" t="s">
        <v>37</v>
      </c>
      <c r="UX204" s="12"/>
      <c r="UY204" s="12"/>
      <c r="VB204" s="12" t="s">
        <v>37</v>
      </c>
      <c r="VC204" s="12" t="s">
        <v>37</v>
      </c>
      <c r="VD204" s="12" t="s">
        <v>37</v>
      </c>
      <c r="VE204" s="12" t="s">
        <v>37</v>
      </c>
      <c r="VF204" s="12" t="s">
        <v>37</v>
      </c>
      <c r="VG204" s="12" t="s">
        <v>37</v>
      </c>
      <c r="VI204" s="12" t="s">
        <v>37</v>
      </c>
      <c r="VJ204" s="12" t="s">
        <v>37</v>
      </c>
      <c r="VK204" s="12" t="s">
        <v>37</v>
      </c>
      <c r="VL204" s="12" t="s">
        <v>37</v>
      </c>
      <c r="VM204" s="12" t="s">
        <v>37</v>
      </c>
      <c r="VN204" s="12" t="s">
        <v>37</v>
      </c>
      <c r="VQ204" s="13" t="s">
        <v>37</v>
      </c>
      <c r="VR204" s="13" t="s">
        <v>37</v>
      </c>
      <c r="VS204" s="13" t="s">
        <v>37</v>
      </c>
      <c r="VT204" s="13" t="s">
        <v>37</v>
      </c>
      <c r="VU204" s="13" t="s">
        <v>37</v>
      </c>
      <c r="VV204" s="13" t="s">
        <v>37</v>
      </c>
      <c r="WA204" s="13" t="s">
        <v>37</v>
      </c>
      <c r="WB204" s="13" t="s">
        <v>37</v>
      </c>
      <c r="WC204" s="13" t="s">
        <v>37</v>
      </c>
      <c r="WD204" s="13" t="s">
        <v>37</v>
      </c>
      <c r="WE204" s="13" t="s">
        <v>37</v>
      </c>
      <c r="WF204" s="13" t="s">
        <v>37</v>
      </c>
    </row>
    <row r="205" spans="1:604" ht="18" customHeight="1" x14ac:dyDescent="0.3">
      <c r="A205" s="11">
        <v>52</v>
      </c>
      <c r="B205" s="16" t="s">
        <v>309</v>
      </c>
      <c r="C205" s="12" t="s">
        <v>26</v>
      </c>
      <c r="D205" s="12" t="s">
        <v>54</v>
      </c>
      <c r="E205" s="40">
        <v>2.5</v>
      </c>
      <c r="F205" s="14">
        <v>0</v>
      </c>
      <c r="G205" s="14">
        <v>0</v>
      </c>
      <c r="H205" s="12" t="s">
        <v>88</v>
      </c>
      <c r="I205" s="29">
        <v>-2.3220000000000001</v>
      </c>
      <c r="J205" s="29">
        <v>113.902</v>
      </c>
      <c r="K205" s="12" t="s">
        <v>753</v>
      </c>
      <c r="L205" s="12" t="s">
        <v>754</v>
      </c>
      <c r="M205" s="13" t="s">
        <v>37</v>
      </c>
      <c r="N205" s="14">
        <v>25.6</v>
      </c>
      <c r="O205" s="14">
        <v>2700</v>
      </c>
      <c r="P205" s="14" t="s">
        <v>89</v>
      </c>
      <c r="Q205" s="75">
        <v>16</v>
      </c>
      <c r="R205" s="11" t="s">
        <v>999</v>
      </c>
      <c r="S205" s="12" t="s">
        <v>105</v>
      </c>
      <c r="T205" s="12" t="s">
        <v>37</v>
      </c>
      <c r="U205" s="12" t="s">
        <v>158</v>
      </c>
      <c r="V205" s="12" t="s">
        <v>275</v>
      </c>
      <c r="W205" s="23" t="s">
        <v>49</v>
      </c>
      <c r="X205" s="12" t="s">
        <v>49</v>
      </c>
      <c r="Y205" s="12" t="s">
        <v>37</v>
      </c>
      <c r="Z205" s="12" t="s">
        <v>37</v>
      </c>
      <c r="AA205" s="32" t="s">
        <v>553</v>
      </c>
      <c r="AB205" s="12">
        <v>3.3</v>
      </c>
      <c r="AC205" s="12" t="s">
        <v>42</v>
      </c>
      <c r="AD205" s="32" t="s">
        <v>552</v>
      </c>
      <c r="AE205" s="12">
        <v>553</v>
      </c>
      <c r="AF205" s="12" t="s">
        <v>42</v>
      </c>
      <c r="AG205" s="32" t="s">
        <v>552</v>
      </c>
      <c r="AH205" s="12">
        <v>16</v>
      </c>
      <c r="AJ205" s="12" t="str">
        <f t="shared" si="865"/>
        <v>10-15</v>
      </c>
      <c r="AK205" s="19">
        <f t="shared" si="866"/>
        <v>34.5625</v>
      </c>
      <c r="AL205" s="32" t="s">
        <v>310</v>
      </c>
      <c r="AM205" s="12" t="s">
        <v>344</v>
      </c>
      <c r="AO205" s="12" t="s">
        <v>37</v>
      </c>
      <c r="AP205" s="12" t="s">
        <v>81</v>
      </c>
      <c r="AQ205" s="12" t="s">
        <v>975</v>
      </c>
      <c r="AR205" s="12" t="s">
        <v>42</v>
      </c>
      <c r="AS205" s="32" t="s">
        <v>552</v>
      </c>
      <c r="AT205" s="12">
        <v>553</v>
      </c>
      <c r="AU205" s="12">
        <v>7</v>
      </c>
      <c r="AV205" s="13">
        <v>4</v>
      </c>
      <c r="AW205" s="19">
        <f t="shared" si="867"/>
        <v>1.2658227848101266E-2</v>
      </c>
      <c r="AX205" s="12">
        <v>543</v>
      </c>
      <c r="AY205" s="12">
        <v>24</v>
      </c>
      <c r="AZ205" s="13">
        <v>4</v>
      </c>
      <c r="BA205" s="19">
        <f t="shared" si="868"/>
        <v>4.4198895027624308E-2</v>
      </c>
      <c r="BB205" s="52">
        <f t="shared" si="869"/>
        <v>-1.8248681588399328E-2</v>
      </c>
      <c r="BC205" s="19">
        <f t="shared" si="903"/>
        <v>5.2844326347934974E-4</v>
      </c>
      <c r="BE205" s="12" t="s">
        <v>326</v>
      </c>
      <c r="BF205" s="12" t="s">
        <v>326</v>
      </c>
      <c r="BG205" s="12" t="s">
        <v>326</v>
      </c>
      <c r="BI205" s="12" t="s">
        <v>326</v>
      </c>
      <c r="BJ205" s="12" t="s">
        <v>326</v>
      </c>
      <c r="BK205" s="12" t="s">
        <v>326</v>
      </c>
      <c r="BO205" s="32" t="s">
        <v>553</v>
      </c>
      <c r="BP205" s="12">
        <v>580</v>
      </c>
      <c r="BQ205" s="12">
        <v>28</v>
      </c>
      <c r="BR205" s="11">
        <v>4</v>
      </c>
      <c r="BS205" s="19">
        <f t="shared" ref="BS205" si="907">BQ205/BP205</f>
        <v>4.8275862068965517E-2</v>
      </c>
      <c r="BT205" s="12">
        <v>586</v>
      </c>
      <c r="BU205" s="12">
        <v>34</v>
      </c>
      <c r="BV205" s="13">
        <v>4</v>
      </c>
      <c r="BW205" s="19">
        <f t="shared" ref="BW205" si="908">BU205/BT205</f>
        <v>5.8020477815699661E-2</v>
      </c>
      <c r="BX205" s="52">
        <f t="shared" ref="BX205" si="909">LN(BT205/BP205)</f>
        <v>1.0291686036547506E-2</v>
      </c>
      <c r="BY205" s="19">
        <f t="shared" ref="BY205" si="910">BU205^2/(BV205*BT205^2)+BQ205^2/(BR205*BP205^2)</f>
        <v>1.4242336761159701E-3</v>
      </c>
      <c r="CA205" s="12" t="s">
        <v>37</v>
      </c>
      <c r="CB205" s="12" t="s">
        <v>37</v>
      </c>
      <c r="CC205" s="13" t="s">
        <v>37</v>
      </c>
      <c r="CE205" s="12" t="s">
        <v>37</v>
      </c>
      <c r="CF205" s="12" t="s">
        <v>37</v>
      </c>
      <c r="CG205" s="13" t="s">
        <v>37</v>
      </c>
      <c r="CI205" s="52"/>
      <c r="CJ205" s="52"/>
      <c r="CK205" s="73"/>
      <c r="CL205" s="73"/>
      <c r="CN205" s="12" t="s">
        <v>37</v>
      </c>
      <c r="CO205" s="12" t="s">
        <v>37</v>
      </c>
      <c r="CP205" s="13" t="s">
        <v>37</v>
      </c>
      <c r="CR205" s="12" t="s">
        <v>37</v>
      </c>
      <c r="CS205" s="12" t="s">
        <v>37</v>
      </c>
      <c r="CT205" s="13" t="s">
        <v>37</v>
      </c>
      <c r="CV205" s="52"/>
      <c r="CW205" s="52"/>
      <c r="CX205" s="73"/>
      <c r="CY205" s="73"/>
      <c r="DA205" s="12" t="s">
        <v>37</v>
      </c>
      <c r="DB205" s="12" t="s">
        <v>37</v>
      </c>
      <c r="DC205" s="13" t="s">
        <v>37</v>
      </c>
      <c r="DE205" s="12" t="s">
        <v>37</v>
      </c>
      <c r="DF205" s="12" t="s">
        <v>37</v>
      </c>
      <c r="DG205" s="13" t="s">
        <v>37</v>
      </c>
      <c r="DM205" s="11" t="s">
        <v>47</v>
      </c>
      <c r="DN205" s="19">
        <v>1.365079365079364</v>
      </c>
      <c r="DO205" s="12">
        <f>1.12698412698413</f>
        <v>1.1269841269841301</v>
      </c>
      <c r="DP205" s="13">
        <v>4</v>
      </c>
      <c r="DQ205" s="19">
        <f t="shared" ref="DQ205:DQ209" si="911">DO205/ABS(DN205)</f>
        <v>0.82558139534884012</v>
      </c>
      <c r="DR205" s="19">
        <f>-0.0238095238095238</f>
        <v>-2.3809523809523801E-2</v>
      </c>
      <c r="DS205" s="12">
        <f>0.0476190476190476</f>
        <v>4.7619047619047603E-2</v>
      </c>
      <c r="DT205" s="13">
        <v>4</v>
      </c>
      <c r="DU205" s="19">
        <f t="shared" ref="DU205:DU209" si="912">DS205/ABS(DR205)</f>
        <v>2</v>
      </c>
      <c r="DV205" s="19">
        <f t="shared" ref="DV205:DV211" si="913">DR205-DN205</f>
        <v>-1.3888888888888877</v>
      </c>
      <c r="DW205" s="12">
        <f t="shared" ref="DW205:DW221" si="914">SQRT(((DP205-1)*DO205^2+(DT205-1)*DS205^2)/(DP205+DT205-2))</f>
        <v>0.79760917627943795</v>
      </c>
      <c r="DX205" s="72">
        <f t="shared" si="641"/>
        <v>0.31809019904258173</v>
      </c>
      <c r="DY205" s="72">
        <f t="shared" si="642"/>
        <v>0.31809019904258173</v>
      </c>
      <c r="DZ205" s="11" t="s">
        <v>47</v>
      </c>
      <c r="EA205" s="19">
        <f>55.9*10^4/10^6*44/28</f>
        <v>0.87842857142857156</v>
      </c>
      <c r="EB205" s="19">
        <f>10.3*10^4/10^6*44/28</f>
        <v>0.16185714285714287</v>
      </c>
      <c r="EC205" s="72">
        <v>4</v>
      </c>
      <c r="ED205" s="52">
        <f t="shared" si="870"/>
        <v>0.18425760286225401</v>
      </c>
      <c r="EE205" s="19">
        <f>1581.3*10^4/10^6*44/28</f>
        <v>24.849</v>
      </c>
      <c r="EF205" s="19">
        <f>41.7*10^4/10^6*44/28</f>
        <v>0.65528571428571425</v>
      </c>
      <c r="EG205" s="13">
        <v>4</v>
      </c>
      <c r="EH205" s="52">
        <f t="shared" si="871"/>
        <v>2.6370707645608043E-2</v>
      </c>
      <c r="EI205" s="19">
        <f t="shared" si="860"/>
        <v>23.970571428571429</v>
      </c>
      <c r="EJ205" s="12">
        <f t="shared" si="861"/>
        <v>0.47728246460603196</v>
      </c>
      <c r="EK205" s="19">
        <f t="shared" si="862"/>
        <v>0.11389927551020407</v>
      </c>
      <c r="EL205" s="19">
        <f t="shared" si="863"/>
        <v>0.11389927551020407</v>
      </c>
      <c r="EM205" s="12" t="s">
        <v>39</v>
      </c>
      <c r="EN205" s="12">
        <v>-10</v>
      </c>
      <c r="EO205" s="12">
        <v>23</v>
      </c>
      <c r="EP205" s="13">
        <v>4</v>
      </c>
      <c r="EQ205" s="19">
        <f t="shared" si="792"/>
        <v>2.2999999999999998</v>
      </c>
      <c r="ER205" s="12">
        <v>-56</v>
      </c>
      <c r="ES205" s="12">
        <v>34</v>
      </c>
      <c r="ET205" s="13">
        <v>4</v>
      </c>
      <c r="EU205" s="19">
        <f t="shared" si="793"/>
        <v>0.6071428571428571</v>
      </c>
      <c r="EV205" s="19">
        <f t="shared" si="701"/>
        <v>-46</v>
      </c>
      <c r="EW205" s="12">
        <f t="shared" si="702"/>
        <v>29.025850547399983</v>
      </c>
      <c r="EX205" s="19">
        <f t="shared" si="703"/>
        <v>421.25</v>
      </c>
      <c r="EY205" s="19">
        <f t="shared" si="704"/>
        <v>421.25</v>
      </c>
      <c r="FB205" s="12" t="s">
        <v>37</v>
      </c>
      <c r="FC205" s="12" t="s">
        <v>37</v>
      </c>
      <c r="FD205" s="11" t="s">
        <v>37</v>
      </c>
      <c r="FE205" s="12" t="s">
        <v>37</v>
      </c>
      <c r="FF205" s="20" t="s">
        <v>37</v>
      </c>
      <c r="FG205" s="11" t="s">
        <v>37</v>
      </c>
      <c r="FI205" s="12" t="s">
        <v>37</v>
      </c>
      <c r="FJ205" s="12" t="s">
        <v>37</v>
      </c>
      <c r="FK205" s="11" t="s">
        <v>37</v>
      </c>
      <c r="FL205" s="13" t="s">
        <v>37</v>
      </c>
      <c r="FM205" s="11" t="s">
        <v>37</v>
      </c>
      <c r="FN205" s="11" t="s">
        <v>37</v>
      </c>
      <c r="FP205" s="12" t="s">
        <v>37</v>
      </c>
      <c r="FQ205" s="12" t="s">
        <v>37</v>
      </c>
      <c r="FR205" s="11" t="s">
        <v>37</v>
      </c>
      <c r="FS205" s="13" t="s">
        <v>37</v>
      </c>
      <c r="FT205" s="11" t="s">
        <v>37</v>
      </c>
      <c r="FU205" s="11" t="s">
        <v>37</v>
      </c>
      <c r="FW205" s="12" t="s">
        <v>37</v>
      </c>
      <c r="FX205" s="12" t="s">
        <v>37</v>
      </c>
      <c r="FY205" s="11" t="s">
        <v>37</v>
      </c>
      <c r="FZ205" s="13" t="s">
        <v>37</v>
      </c>
      <c r="GA205" s="11" t="s">
        <v>37</v>
      </c>
      <c r="GB205" s="11" t="s">
        <v>37</v>
      </c>
      <c r="HA205" s="17" t="s">
        <v>63</v>
      </c>
      <c r="HB205" s="34" t="s">
        <v>552</v>
      </c>
      <c r="HC205" s="12">
        <v>0.13200000000000001</v>
      </c>
      <c r="HD205" s="12">
        <v>8.9999999999999993E-3</v>
      </c>
      <c r="HE205" s="13">
        <v>4</v>
      </c>
      <c r="HF205" s="19">
        <f t="shared" si="874"/>
        <v>6.8181818181818177E-2</v>
      </c>
      <c r="HG205" s="12">
        <v>0.17</v>
      </c>
      <c r="HH205" s="12">
        <v>2.9000000000000001E-2</v>
      </c>
      <c r="HI205" s="13">
        <v>4</v>
      </c>
      <c r="HJ205" s="19">
        <f t="shared" si="875"/>
        <v>0.17058823529411765</v>
      </c>
      <c r="HK205" s="19">
        <f t="shared" si="876"/>
        <v>0.25299651446389088</v>
      </c>
      <c r="HL205" s="19">
        <f t="shared" si="877"/>
        <v>8.4372765878349392E-3</v>
      </c>
      <c r="HX205" s="34" t="s">
        <v>553</v>
      </c>
      <c r="HY205" s="12">
        <v>0.14099999999999999</v>
      </c>
      <c r="HZ205" s="12">
        <v>1.7000000000000001E-2</v>
      </c>
      <c r="IA205" s="13">
        <v>4</v>
      </c>
      <c r="IB205" s="19">
        <v>0.12056737588652484</v>
      </c>
      <c r="IC205" s="12">
        <v>0.16400000000000001</v>
      </c>
      <c r="ID205" s="12">
        <v>4.1000000000000002E-2</v>
      </c>
      <c r="IE205" s="13">
        <v>4</v>
      </c>
      <c r="IF205" s="19">
        <v>0.25</v>
      </c>
      <c r="IG205" s="19">
        <f t="shared" ref="IG205:IG207" si="915">LN(IC205/HY205)</f>
        <v>0.15110653744603025</v>
      </c>
      <c r="IH205" s="19">
        <f t="shared" ref="IH205:IH207" si="916">ID205^2/(IE205*IC205^2)+HZ205^2/(IA205*HY205^2)</f>
        <v>1.9259123032040644E-2</v>
      </c>
      <c r="IK205" s="12" t="s">
        <v>37</v>
      </c>
      <c r="IL205" s="12" t="s">
        <v>37</v>
      </c>
      <c r="IM205" s="12" t="s">
        <v>37</v>
      </c>
      <c r="IO205" s="12" t="s">
        <v>37</v>
      </c>
      <c r="IP205" s="12" t="s">
        <v>37</v>
      </c>
      <c r="IQ205" s="12" t="s">
        <v>37</v>
      </c>
      <c r="IV205" s="32" t="s">
        <v>553</v>
      </c>
      <c r="IW205" s="12">
        <v>3.3</v>
      </c>
      <c r="IX205" s="50">
        <f>ABS(IW205)*IZ$474</f>
        <v>0.12082205067247635</v>
      </c>
      <c r="IY205" s="13">
        <v>4</v>
      </c>
      <c r="JA205" s="12">
        <v>3</v>
      </c>
      <c r="JB205" s="50">
        <f>ABS(JA205)*JD$474</f>
        <v>8.4026426357108275E-2</v>
      </c>
      <c r="JC205" s="13">
        <v>4</v>
      </c>
      <c r="JE205" s="19">
        <f t="shared" ref="JE205" si="917">LN(JA205/IW205)</f>
        <v>-9.5310179804324768E-2</v>
      </c>
      <c r="JF205" s="19">
        <f>JB205^2/(JC205*JA205^2)+IX205^2/(IY205*IW205^2)</f>
        <v>5.312465730849807E-4</v>
      </c>
      <c r="JH205" s="12" t="s">
        <v>37</v>
      </c>
      <c r="JI205" s="12" t="s">
        <v>37</v>
      </c>
      <c r="JJ205" s="13" t="s">
        <v>37</v>
      </c>
      <c r="JL205" s="12" t="s">
        <v>37</v>
      </c>
      <c r="JM205" s="12" t="s">
        <v>37</v>
      </c>
      <c r="JN205" s="12" t="s">
        <v>37</v>
      </c>
      <c r="JS205" s="12" t="s">
        <v>37</v>
      </c>
      <c r="JT205" s="12" t="s">
        <v>37</v>
      </c>
      <c r="JU205" s="13" t="s">
        <v>37</v>
      </c>
      <c r="JW205" s="12" t="s">
        <v>37</v>
      </c>
      <c r="JX205" s="12" t="s">
        <v>37</v>
      </c>
      <c r="JY205" s="12" t="s">
        <v>37</v>
      </c>
      <c r="KE205" s="12" t="s">
        <v>37</v>
      </c>
      <c r="KF205" s="12" t="s">
        <v>37</v>
      </c>
      <c r="KG205" s="13" t="s">
        <v>37</v>
      </c>
      <c r="KH205" s="12" t="s">
        <v>37</v>
      </c>
      <c r="KI205" s="12" t="s">
        <v>37</v>
      </c>
      <c r="KJ205" s="12" t="s">
        <v>37</v>
      </c>
      <c r="KK205" s="12" t="s">
        <v>42</v>
      </c>
      <c r="KL205" s="32" t="s">
        <v>552</v>
      </c>
      <c r="KM205" s="12">
        <v>16</v>
      </c>
      <c r="KN205" s="12">
        <v>0.4</v>
      </c>
      <c r="KO205" s="11">
        <v>4</v>
      </c>
      <c r="KP205" s="19">
        <f t="shared" si="882"/>
        <v>2.5000000000000001E-2</v>
      </c>
      <c r="KQ205" s="12">
        <v>17</v>
      </c>
      <c r="KR205" s="12">
        <v>0.1</v>
      </c>
      <c r="KS205" s="13">
        <v>4</v>
      </c>
      <c r="KT205" s="19">
        <f t="shared" si="883"/>
        <v>5.8823529411764705E-3</v>
      </c>
      <c r="KU205" s="19">
        <f t="shared" si="884"/>
        <v>6.062462181643484E-2</v>
      </c>
      <c r="KV205" s="19">
        <f t="shared" si="885"/>
        <v>1.649005190311419E-4</v>
      </c>
      <c r="KW205" s="32" t="s">
        <v>553</v>
      </c>
      <c r="KX205" s="12">
        <v>14</v>
      </c>
      <c r="KY205" s="12">
        <v>3.8</v>
      </c>
      <c r="KZ205" s="11">
        <v>4</v>
      </c>
      <c r="LA205" s="19">
        <f>KY205/KX205</f>
        <v>0.27142857142857141</v>
      </c>
      <c r="LB205" s="12">
        <v>10.4</v>
      </c>
      <c r="LC205" s="12">
        <v>4</v>
      </c>
      <c r="LD205" s="13">
        <v>4</v>
      </c>
      <c r="LE205" s="19">
        <f>LC205/LB205</f>
        <v>0.38461538461538458</v>
      </c>
      <c r="LF205" s="19">
        <f t="shared" si="886"/>
        <v>-0.2972515234679316</v>
      </c>
      <c r="LG205" s="19">
        <f t="shared" si="887"/>
        <v>5.5400615867648828E-2</v>
      </c>
      <c r="LI205" s="12" t="s">
        <v>37</v>
      </c>
      <c r="LJ205" s="12" t="s">
        <v>37</v>
      </c>
      <c r="LK205" s="12" t="s">
        <v>37</v>
      </c>
      <c r="LM205" s="12" t="s">
        <v>37</v>
      </c>
      <c r="LN205" s="12" t="s">
        <v>37</v>
      </c>
      <c r="LO205" s="12" t="s">
        <v>37</v>
      </c>
      <c r="LT205" s="12" t="str">
        <f t="shared" si="888"/>
        <v>10-15</v>
      </c>
      <c r="LU205" s="12">
        <f>AT205/KM205</f>
        <v>34.5625</v>
      </c>
      <c r="LV205" s="12">
        <f>SQRT((1/KM205)^2*AU205^2+AT205^2*(-1/KM205^2)^2*KN205^2)</f>
        <v>0.96850929469275104</v>
      </c>
      <c r="LW205" s="13">
        <f t="shared" si="889"/>
        <v>4</v>
      </c>
      <c r="LX205" s="19">
        <f t="shared" si="890"/>
        <v>2.8021968743370734E-2</v>
      </c>
      <c r="LY205" s="12">
        <f>AX205/KQ205</f>
        <v>31.941176470588236</v>
      </c>
      <c r="LZ205" s="12">
        <f>SQRT((1/KQ205)^2*AY205^2+AX205^2*(-1/KQ205^2)^2*KR205^2)</f>
        <v>1.4242127523012436</v>
      </c>
      <c r="MA205" s="13">
        <f>KS205</f>
        <v>4</v>
      </c>
      <c r="MB205" s="19">
        <f t="shared" si="891"/>
        <v>4.4588612871309649E-2</v>
      </c>
      <c r="MC205" s="19">
        <f t="shared" si="892"/>
        <v>-7.8873303404834158E-2</v>
      </c>
      <c r="MD205" s="19">
        <f t="shared" si="893"/>
        <v>6.9334378251049175E-4</v>
      </c>
      <c r="ME205" s="12" t="str">
        <f t="shared" si="894"/>
        <v>10-100</v>
      </c>
      <c r="MF205" s="12" t="s">
        <v>37</v>
      </c>
      <c r="MG205" s="12" t="s">
        <v>37</v>
      </c>
      <c r="MH205" s="12" t="s">
        <v>37</v>
      </c>
      <c r="MJ205" s="12" t="s">
        <v>37</v>
      </c>
      <c r="MK205" s="12" t="s">
        <v>37</v>
      </c>
      <c r="ML205" s="12" t="s">
        <v>37</v>
      </c>
      <c r="MQ205" s="12" t="s">
        <v>37</v>
      </c>
      <c r="MR205" s="12" t="s">
        <v>37</v>
      </c>
      <c r="MS205" s="12" t="s">
        <v>37</v>
      </c>
      <c r="MU205" s="12" t="s">
        <v>37</v>
      </c>
      <c r="MV205" s="12" t="s">
        <v>37</v>
      </c>
      <c r="MW205" s="12" t="s">
        <v>37</v>
      </c>
      <c r="NC205" s="12" t="s">
        <v>37</v>
      </c>
      <c r="ND205" s="12" t="s">
        <v>37</v>
      </c>
      <c r="NE205" s="12" t="s">
        <v>37</v>
      </c>
      <c r="NG205" s="12" t="s">
        <v>37</v>
      </c>
      <c r="NH205" s="12" t="s">
        <v>37</v>
      </c>
      <c r="NI205" s="12" t="s">
        <v>37</v>
      </c>
      <c r="NO205" s="12" t="s">
        <v>37</v>
      </c>
      <c r="NP205" s="12" t="s">
        <v>37</v>
      </c>
      <c r="NQ205" s="12" t="s">
        <v>37</v>
      </c>
      <c r="NS205" s="12" t="s">
        <v>37</v>
      </c>
      <c r="NT205" s="12" t="s">
        <v>37</v>
      </c>
      <c r="NU205" s="12" t="s">
        <v>37</v>
      </c>
      <c r="OA205" s="12" t="s">
        <v>37</v>
      </c>
      <c r="OB205" s="12" t="s">
        <v>37</v>
      </c>
      <c r="OC205" s="12" t="s">
        <v>37</v>
      </c>
      <c r="OD205" s="12"/>
      <c r="OE205" s="12" t="s">
        <v>37</v>
      </c>
      <c r="OF205" s="12" t="s">
        <v>37</v>
      </c>
      <c r="OG205" s="12" t="s">
        <v>37</v>
      </c>
      <c r="OH205" s="12"/>
      <c r="OI205" s="12"/>
      <c r="OJ205" s="12"/>
      <c r="OM205" s="12" t="s">
        <v>37</v>
      </c>
      <c r="ON205" s="12" t="s">
        <v>37</v>
      </c>
      <c r="OO205" s="12" t="s">
        <v>37</v>
      </c>
      <c r="OP205" s="12" t="s">
        <v>37</v>
      </c>
      <c r="OQ205" s="12" t="s">
        <v>37</v>
      </c>
      <c r="OR205" s="12" t="s">
        <v>37</v>
      </c>
      <c r="OS205" s="12"/>
      <c r="OT205" s="12"/>
      <c r="OW205" s="12" t="s">
        <v>37</v>
      </c>
      <c r="OX205" s="12" t="s">
        <v>37</v>
      </c>
      <c r="OY205" s="13" t="s">
        <v>37</v>
      </c>
      <c r="OZ205" s="12" t="s">
        <v>37</v>
      </c>
      <c r="PA205" s="12" t="s">
        <v>37</v>
      </c>
      <c r="PB205" s="13" t="s">
        <v>37</v>
      </c>
      <c r="PG205" s="11" t="s">
        <v>37</v>
      </c>
      <c r="PH205" s="11" t="s">
        <v>37</v>
      </c>
      <c r="PI205" s="13" t="s">
        <v>37</v>
      </c>
      <c r="PJ205" s="11" t="s">
        <v>37</v>
      </c>
      <c r="PK205" s="11" t="s">
        <v>37</v>
      </c>
      <c r="PL205" s="13" t="s">
        <v>37</v>
      </c>
      <c r="PQ205" s="12" t="s">
        <v>37</v>
      </c>
      <c r="PR205" s="12" t="s">
        <v>37</v>
      </c>
      <c r="PS205" s="12" t="s">
        <v>37</v>
      </c>
      <c r="PT205" s="12" t="s">
        <v>37</v>
      </c>
      <c r="PU205" s="12" t="s">
        <v>37</v>
      </c>
      <c r="PV205" s="12" t="s">
        <v>37</v>
      </c>
      <c r="PW205" s="12"/>
      <c r="PX205" s="12"/>
      <c r="PZ205" s="12" t="s">
        <v>37</v>
      </c>
      <c r="QA205" s="12" t="s">
        <v>37</v>
      </c>
      <c r="QB205" s="11" t="s">
        <v>37</v>
      </c>
      <c r="QD205" s="12" t="s">
        <v>37</v>
      </c>
      <c r="QE205" s="12" t="s">
        <v>37</v>
      </c>
      <c r="QF205" s="12" t="s">
        <v>37</v>
      </c>
      <c r="QK205" s="12" t="s">
        <v>37</v>
      </c>
      <c r="QL205" s="12" t="s">
        <v>37</v>
      </c>
      <c r="QM205" s="12" t="s">
        <v>37</v>
      </c>
      <c r="QN205" s="12" t="s">
        <v>37</v>
      </c>
      <c r="QO205" s="12" t="s">
        <v>37</v>
      </c>
      <c r="QP205" s="12" t="s">
        <v>37</v>
      </c>
      <c r="QQ205" s="12"/>
      <c r="QR205" s="12"/>
      <c r="QU205" s="12" t="s">
        <v>37</v>
      </c>
      <c r="QV205" s="12" t="s">
        <v>37</v>
      </c>
      <c r="QW205" s="12" t="s">
        <v>37</v>
      </c>
      <c r="QX205" s="12" t="s">
        <v>37</v>
      </c>
      <c r="QY205" s="12" t="s">
        <v>37</v>
      </c>
      <c r="QZ205" s="12" t="s">
        <v>37</v>
      </c>
      <c r="RC205" s="12" t="s">
        <v>37</v>
      </c>
      <c r="RD205" s="12" t="s">
        <v>37</v>
      </c>
      <c r="RE205" s="13" t="s">
        <v>37</v>
      </c>
      <c r="RF205" s="12" t="s">
        <v>37</v>
      </c>
      <c r="RG205" s="12" t="s">
        <v>37</v>
      </c>
      <c r="RH205" s="13" t="s">
        <v>37</v>
      </c>
      <c r="RK205" s="12" t="s">
        <v>37</v>
      </c>
      <c r="RL205" s="12" t="s">
        <v>37</v>
      </c>
      <c r="RM205" s="11" t="s">
        <v>37</v>
      </c>
      <c r="RN205" s="12" t="s">
        <v>37</v>
      </c>
      <c r="RO205" s="12" t="s">
        <v>37</v>
      </c>
      <c r="RP205" s="11" t="s">
        <v>37</v>
      </c>
      <c r="RS205" s="12" t="s">
        <v>37</v>
      </c>
      <c r="RT205" s="12" t="s">
        <v>37</v>
      </c>
      <c r="RU205" s="12" t="s">
        <v>37</v>
      </c>
      <c r="RV205" s="12" t="s">
        <v>37</v>
      </c>
      <c r="RW205" s="12" t="s">
        <v>37</v>
      </c>
      <c r="RX205" s="12" t="s">
        <v>37</v>
      </c>
      <c r="SA205" s="12" t="s">
        <v>37</v>
      </c>
      <c r="SB205" s="12" t="s">
        <v>37</v>
      </c>
      <c r="SC205" s="12" t="s">
        <v>37</v>
      </c>
      <c r="SD205" s="12" t="s">
        <v>37</v>
      </c>
      <c r="SE205" s="12" t="s">
        <v>37</v>
      </c>
      <c r="SF205" s="12" t="s">
        <v>37</v>
      </c>
      <c r="SI205" s="12" t="s">
        <v>37</v>
      </c>
      <c r="SJ205" s="12" t="s">
        <v>37</v>
      </c>
      <c r="SK205" s="13" t="s">
        <v>37</v>
      </c>
      <c r="SM205" s="12" t="s">
        <v>37</v>
      </c>
      <c r="SN205" s="12" t="s">
        <v>37</v>
      </c>
      <c r="SO205" s="13" t="s">
        <v>37</v>
      </c>
      <c r="SU205" s="12" t="s">
        <v>37</v>
      </c>
      <c r="SV205" s="12" t="s">
        <v>37</v>
      </c>
      <c r="SW205" s="12" t="s">
        <v>37</v>
      </c>
      <c r="SX205" s="12" t="s">
        <v>37</v>
      </c>
      <c r="SY205" s="12" t="s">
        <v>37</v>
      </c>
      <c r="SZ205" s="12" t="s">
        <v>37</v>
      </c>
      <c r="TA205" s="12"/>
      <c r="TB205" s="12"/>
      <c r="TE205" s="12" t="s">
        <v>37</v>
      </c>
      <c r="TF205" s="12" t="s">
        <v>37</v>
      </c>
      <c r="TG205" s="11" t="s">
        <v>37</v>
      </c>
      <c r="TH205" s="12" t="s">
        <v>37</v>
      </c>
      <c r="TI205" s="12" t="s">
        <v>37</v>
      </c>
      <c r="TJ205" s="11" t="s">
        <v>37</v>
      </c>
      <c r="TO205" s="12" t="s">
        <v>37</v>
      </c>
      <c r="TP205" s="12" t="s">
        <v>37</v>
      </c>
      <c r="TQ205" s="11" t="s">
        <v>37</v>
      </c>
      <c r="TR205" s="12" t="s">
        <v>37</v>
      </c>
      <c r="TS205" s="12" t="s">
        <v>37</v>
      </c>
      <c r="TT205" s="11" t="s">
        <v>37</v>
      </c>
      <c r="TY205" s="12" t="s">
        <v>37</v>
      </c>
      <c r="TZ205" s="12" t="s">
        <v>37</v>
      </c>
      <c r="UA205" s="12" t="s">
        <v>37</v>
      </c>
      <c r="UB205" s="12" t="s">
        <v>37</v>
      </c>
      <c r="UC205" s="12" t="s">
        <v>37</v>
      </c>
      <c r="UD205" s="12" t="s">
        <v>37</v>
      </c>
      <c r="UE205" s="12"/>
      <c r="UF205" s="12"/>
      <c r="UI205" s="12" t="s">
        <v>37</v>
      </c>
      <c r="UJ205" s="12" t="s">
        <v>37</v>
      </c>
      <c r="UK205" s="12" t="s">
        <v>37</v>
      </c>
      <c r="UL205" s="12" t="s">
        <v>37</v>
      </c>
      <c r="UM205" s="12" t="s">
        <v>37</v>
      </c>
      <c r="UN205" s="12" t="s">
        <v>37</v>
      </c>
      <c r="UO205" s="12"/>
      <c r="UP205" s="12"/>
      <c r="UR205" s="12" t="s">
        <v>37</v>
      </c>
      <c r="US205" s="12" t="s">
        <v>37</v>
      </c>
      <c r="UT205" s="12" t="s">
        <v>37</v>
      </c>
      <c r="UU205" s="12" t="s">
        <v>37</v>
      </c>
      <c r="UV205" s="12" t="s">
        <v>37</v>
      </c>
      <c r="UW205" s="12" t="s">
        <v>37</v>
      </c>
      <c r="UX205" s="12"/>
      <c r="UY205" s="12"/>
      <c r="VB205" s="12" t="s">
        <v>37</v>
      </c>
      <c r="VC205" s="12" t="s">
        <v>37</v>
      </c>
      <c r="VD205" s="12" t="s">
        <v>37</v>
      </c>
      <c r="VE205" s="12" t="s">
        <v>37</v>
      </c>
      <c r="VF205" s="12" t="s">
        <v>37</v>
      </c>
      <c r="VG205" s="12" t="s">
        <v>37</v>
      </c>
      <c r="VI205" s="12" t="s">
        <v>37</v>
      </c>
      <c r="VJ205" s="12" t="s">
        <v>37</v>
      </c>
      <c r="VK205" s="12" t="s">
        <v>37</v>
      </c>
      <c r="VL205" s="12" t="s">
        <v>37</v>
      </c>
      <c r="VM205" s="12" t="s">
        <v>37</v>
      </c>
      <c r="VN205" s="12" t="s">
        <v>37</v>
      </c>
      <c r="VQ205" s="13" t="s">
        <v>37</v>
      </c>
      <c r="VR205" s="13" t="s">
        <v>37</v>
      </c>
      <c r="VS205" s="13" t="s">
        <v>37</v>
      </c>
      <c r="VT205" s="13" t="s">
        <v>37</v>
      </c>
      <c r="VU205" s="13" t="s">
        <v>37</v>
      </c>
      <c r="VV205" s="13" t="s">
        <v>37</v>
      </c>
      <c r="WA205" s="13" t="s">
        <v>37</v>
      </c>
      <c r="WB205" s="13" t="s">
        <v>37</v>
      </c>
      <c r="WC205" s="13" t="s">
        <v>37</v>
      </c>
      <c r="WD205" s="13" t="s">
        <v>37</v>
      </c>
      <c r="WE205" s="13" t="s">
        <v>37</v>
      </c>
      <c r="WF205" s="13" t="s">
        <v>37</v>
      </c>
    </row>
    <row r="206" spans="1:604" ht="18" customHeight="1" x14ac:dyDescent="0.3">
      <c r="A206" s="11">
        <v>53</v>
      </c>
      <c r="B206" s="16" t="s">
        <v>312</v>
      </c>
      <c r="C206" s="12" t="s">
        <v>26</v>
      </c>
      <c r="D206" s="12" t="s">
        <v>973</v>
      </c>
      <c r="E206" s="40" t="s">
        <v>37</v>
      </c>
      <c r="F206" s="14">
        <v>0</v>
      </c>
      <c r="G206" s="14">
        <v>0</v>
      </c>
      <c r="H206" s="12" t="s">
        <v>313</v>
      </c>
      <c r="I206" s="29">
        <v>68.613</v>
      </c>
      <c r="J206" s="29">
        <v>161.34100000000001</v>
      </c>
      <c r="K206" s="12" t="s">
        <v>663</v>
      </c>
      <c r="L206" s="12" t="s">
        <v>664</v>
      </c>
      <c r="M206" s="13" t="s">
        <v>37</v>
      </c>
      <c r="N206" s="14" t="s">
        <v>37</v>
      </c>
      <c r="O206" s="14" t="s">
        <v>37</v>
      </c>
      <c r="P206" s="14" t="s">
        <v>84</v>
      </c>
      <c r="Q206" s="75">
        <v>10</v>
      </c>
      <c r="R206" s="11" t="s">
        <v>1000</v>
      </c>
      <c r="S206" s="12" t="s">
        <v>51</v>
      </c>
      <c r="T206" s="12" t="s">
        <v>37</v>
      </c>
      <c r="U206" s="12" t="s">
        <v>158</v>
      </c>
      <c r="V206" s="12" t="s">
        <v>275</v>
      </c>
      <c r="W206" s="23" t="s">
        <v>314</v>
      </c>
      <c r="X206" s="12" t="s">
        <v>280</v>
      </c>
      <c r="Y206" s="12" t="s">
        <v>37</v>
      </c>
      <c r="Z206" s="12" t="s">
        <v>315</v>
      </c>
      <c r="AB206" s="12" t="s">
        <v>37</v>
      </c>
      <c r="AE206" s="12" t="s">
        <v>37</v>
      </c>
      <c r="AH206" s="12" t="s">
        <v>37</v>
      </c>
      <c r="AK206" s="12" t="s">
        <v>37</v>
      </c>
      <c r="AL206" s="32" t="s">
        <v>319</v>
      </c>
      <c r="AM206" s="13" t="s">
        <v>317</v>
      </c>
      <c r="AN206" s="32" t="s">
        <v>892</v>
      </c>
      <c r="AO206" s="13" t="s">
        <v>318</v>
      </c>
      <c r="AP206" s="12" t="s">
        <v>81</v>
      </c>
      <c r="AQ206" s="12" t="s">
        <v>975</v>
      </c>
      <c r="AT206" s="12" t="s">
        <v>326</v>
      </c>
      <c r="AU206" s="12" t="s">
        <v>326</v>
      </c>
      <c r="AV206" s="13" t="s">
        <v>326</v>
      </c>
      <c r="AX206" s="12" t="s">
        <v>326</v>
      </c>
      <c r="AY206" s="12" t="s">
        <v>326</v>
      </c>
      <c r="AZ206" s="13" t="s">
        <v>326</v>
      </c>
      <c r="BE206" s="12" t="s">
        <v>326</v>
      </c>
      <c r="BF206" s="12" t="s">
        <v>326</v>
      </c>
      <c r="BG206" s="12" t="s">
        <v>326</v>
      </c>
      <c r="BI206" s="12" t="s">
        <v>326</v>
      </c>
      <c r="BJ206" s="12" t="s">
        <v>326</v>
      </c>
      <c r="BK206" s="12" t="s">
        <v>326</v>
      </c>
      <c r="BP206" s="12" t="s">
        <v>37</v>
      </c>
      <c r="BQ206" s="12" t="s">
        <v>37</v>
      </c>
      <c r="BR206" s="13" t="s">
        <v>37</v>
      </c>
      <c r="BT206" s="12" t="s">
        <v>37</v>
      </c>
      <c r="BU206" s="12" t="s">
        <v>37</v>
      </c>
      <c r="BV206" s="12" t="s">
        <v>37</v>
      </c>
      <c r="CA206" s="12" t="s">
        <v>37</v>
      </c>
      <c r="CB206" s="12" t="s">
        <v>37</v>
      </c>
      <c r="CC206" s="13" t="s">
        <v>37</v>
      </c>
      <c r="CE206" s="12" t="s">
        <v>37</v>
      </c>
      <c r="CF206" s="12" t="s">
        <v>37</v>
      </c>
      <c r="CG206" s="13" t="s">
        <v>37</v>
      </c>
      <c r="CN206" s="12" t="s">
        <v>37</v>
      </c>
      <c r="CO206" s="12" t="s">
        <v>37</v>
      </c>
      <c r="CP206" s="13" t="s">
        <v>37</v>
      </c>
      <c r="CR206" s="12" t="s">
        <v>37</v>
      </c>
      <c r="CS206" s="12" t="s">
        <v>37</v>
      </c>
      <c r="CT206" s="13" t="s">
        <v>37</v>
      </c>
      <c r="CX206" s="72"/>
      <c r="CY206" s="72"/>
      <c r="DA206" s="12" t="s">
        <v>37</v>
      </c>
      <c r="DB206" s="12" t="s">
        <v>37</v>
      </c>
      <c r="DC206" s="13" t="s">
        <v>37</v>
      </c>
      <c r="DE206" s="12" t="s">
        <v>37</v>
      </c>
      <c r="DF206" s="12" t="s">
        <v>37</v>
      </c>
      <c r="DG206" s="13" t="s">
        <v>37</v>
      </c>
      <c r="DM206" s="11" t="s">
        <v>47</v>
      </c>
      <c r="DN206" s="19">
        <f>267*("2013/09/30"-"2013/06/01")*10^4/10^6/'[1]classes-1'!$I$84</f>
        <v>463.27543921409523</v>
      </c>
      <c r="DO206" s="12">
        <f>SQRT((1/[2]Classes!$I$84)^2*(141*("2013/09/30"-"2013/06/01")*10^4/10^6)^2+(-DN206/([2]Classes!$I$84)^2)^2*([2]Classes!$J$84)^2)</f>
        <v>273.82684401702096</v>
      </c>
      <c r="DP206" s="13">
        <v>10</v>
      </c>
      <c r="DQ206" s="19">
        <f t="shared" si="911"/>
        <v>0.59106704314293756</v>
      </c>
      <c r="DR206" s="19">
        <f>77*("2013/09/30"-"2013/06/01")*10^4/10^6/'[1]classes-1'!$I$85</f>
        <v>96.95483735641497</v>
      </c>
      <c r="DS206" s="12">
        <f>SQRT((1/[2]Classes!$I$85)^2*(13*("2013/09/30"-"2013/06/01")*10^4/10^6)^2+(-DR206/([2]Classes!$I$85)^2)^2*([2]Classes!$J$85)^2)</f>
        <v>59.158355726925045</v>
      </c>
      <c r="DT206" s="13">
        <v>10</v>
      </c>
      <c r="DU206" s="19">
        <f t="shared" si="912"/>
        <v>0.61016404482690678</v>
      </c>
      <c r="DV206" s="19">
        <f t="shared" si="913"/>
        <v>-366.32060185768023</v>
      </c>
      <c r="DW206" s="12">
        <f t="shared" si="914"/>
        <v>198.09196293216357</v>
      </c>
      <c r="DX206" s="72">
        <f t="shared" si="641"/>
        <v>7848.0851556635334</v>
      </c>
      <c r="DY206" s="72">
        <f t="shared" si="642"/>
        <v>7848.0851556635334</v>
      </c>
      <c r="EA206" s="19" t="s">
        <v>37</v>
      </c>
      <c r="EB206" s="19" t="s">
        <v>37</v>
      </c>
      <c r="EC206" s="72" t="s">
        <v>37</v>
      </c>
      <c r="EE206" s="19" t="s">
        <v>37</v>
      </c>
      <c r="EF206" s="19" t="s">
        <v>37</v>
      </c>
      <c r="EG206" s="12" t="s">
        <v>37</v>
      </c>
      <c r="EM206" s="12" t="s">
        <v>39</v>
      </c>
      <c r="EN206" s="12">
        <v>3</v>
      </c>
      <c r="EO206" s="12">
        <v>3</v>
      </c>
      <c r="EP206" s="13">
        <v>10</v>
      </c>
      <c r="EQ206" s="19">
        <f t="shared" si="792"/>
        <v>1</v>
      </c>
      <c r="ER206" s="12">
        <v>4</v>
      </c>
      <c r="ES206" s="12">
        <v>2</v>
      </c>
      <c r="ET206" s="13">
        <v>10</v>
      </c>
      <c r="EU206" s="19">
        <f t="shared" si="793"/>
        <v>0.5</v>
      </c>
      <c r="EV206" s="19">
        <f t="shared" si="701"/>
        <v>1</v>
      </c>
      <c r="EW206" s="12">
        <f t="shared" si="702"/>
        <v>2.5495097567963922</v>
      </c>
      <c r="EX206" s="19">
        <f t="shared" si="703"/>
        <v>1.3</v>
      </c>
      <c r="EY206" s="19">
        <f t="shared" si="704"/>
        <v>1.3</v>
      </c>
      <c r="FB206" s="12" t="s">
        <v>37</v>
      </c>
      <c r="FC206" s="12" t="s">
        <v>37</v>
      </c>
      <c r="FD206" s="11" t="s">
        <v>37</v>
      </c>
      <c r="FE206" s="12" t="s">
        <v>37</v>
      </c>
      <c r="FF206" s="20" t="s">
        <v>37</v>
      </c>
      <c r="FG206" s="11" t="s">
        <v>37</v>
      </c>
      <c r="FI206" s="12" t="s">
        <v>37</v>
      </c>
      <c r="FJ206" s="12" t="s">
        <v>37</v>
      </c>
      <c r="FK206" s="11" t="s">
        <v>37</v>
      </c>
      <c r="FL206" s="13" t="s">
        <v>37</v>
      </c>
      <c r="FM206" s="11" t="s">
        <v>37</v>
      </c>
      <c r="FN206" s="11" t="s">
        <v>37</v>
      </c>
      <c r="FP206" s="12" t="s">
        <v>37</v>
      </c>
      <c r="FQ206" s="12" t="s">
        <v>37</v>
      </c>
      <c r="FR206" s="11" t="s">
        <v>37</v>
      </c>
      <c r="FS206" s="13" t="s">
        <v>37</v>
      </c>
      <c r="FT206" s="11" t="s">
        <v>37</v>
      </c>
      <c r="FU206" s="11" t="s">
        <v>37</v>
      </c>
      <c r="FW206" s="12" t="s">
        <v>37</v>
      </c>
      <c r="FX206" s="12" t="s">
        <v>37</v>
      </c>
      <c r="FY206" s="11" t="s">
        <v>37</v>
      </c>
      <c r="FZ206" s="13" t="s">
        <v>37</v>
      </c>
      <c r="GA206" s="11" t="s">
        <v>37</v>
      </c>
      <c r="GB206" s="11" t="s">
        <v>37</v>
      </c>
      <c r="HX206" s="34" t="s">
        <v>329</v>
      </c>
      <c r="HY206" s="12">
        <v>6.5000000000000002E-2</v>
      </c>
      <c r="HZ206" s="50">
        <v>1.8839576362033081E-2</v>
      </c>
      <c r="IA206" s="13">
        <v>3</v>
      </c>
      <c r="IC206" s="12">
        <v>0.12</v>
      </c>
      <c r="ID206" s="50">
        <f>ABS(IC206)*IF$474</f>
        <v>1.7531349132588789E-2</v>
      </c>
      <c r="IE206" s="13">
        <v>3</v>
      </c>
      <c r="IG206" s="19">
        <f t="shared" si="915"/>
        <v>0.61310447288640879</v>
      </c>
      <c r="IH206" s="19">
        <f t="shared" si="916"/>
        <v>3.5116879986792998E-2</v>
      </c>
      <c r="IK206" s="12" t="s">
        <v>37</v>
      </c>
      <c r="IL206" s="12" t="s">
        <v>37</v>
      </c>
      <c r="IM206" s="12" t="s">
        <v>37</v>
      </c>
      <c r="IO206" s="12" t="s">
        <v>37</v>
      </c>
      <c r="IP206" s="12" t="s">
        <v>37</v>
      </c>
      <c r="IQ206" s="12" t="s">
        <v>37</v>
      </c>
      <c r="IW206" s="12" t="s">
        <v>37</v>
      </c>
      <c r="IX206" s="12" t="s">
        <v>37</v>
      </c>
      <c r="IY206" s="13" t="s">
        <v>37</v>
      </c>
      <c r="JA206" s="12" t="s">
        <v>37</v>
      </c>
      <c r="JB206" s="12" t="s">
        <v>37</v>
      </c>
      <c r="JC206" s="13" t="s">
        <v>37</v>
      </c>
      <c r="JH206" s="12" t="s">
        <v>37</v>
      </c>
      <c r="JI206" s="12" t="s">
        <v>37</v>
      </c>
      <c r="JJ206" s="13" t="s">
        <v>37</v>
      </c>
      <c r="JL206" s="12" t="s">
        <v>37</v>
      </c>
      <c r="JM206" s="12" t="s">
        <v>37</v>
      </c>
      <c r="JN206" s="12" t="s">
        <v>37</v>
      </c>
      <c r="JS206" s="12" t="s">
        <v>37</v>
      </c>
      <c r="JT206" s="12" t="s">
        <v>37</v>
      </c>
      <c r="JU206" s="13" t="s">
        <v>37</v>
      </c>
      <c r="JW206" s="12" t="s">
        <v>37</v>
      </c>
      <c r="JX206" s="12" t="s">
        <v>37</v>
      </c>
      <c r="JY206" s="12" t="s">
        <v>37</v>
      </c>
      <c r="KE206" s="12" t="s">
        <v>37</v>
      </c>
      <c r="KF206" s="12" t="s">
        <v>37</v>
      </c>
      <c r="KG206" s="13" t="s">
        <v>37</v>
      </c>
      <c r="KH206" s="12" t="s">
        <v>37</v>
      </c>
      <c r="KI206" s="12" t="s">
        <v>37</v>
      </c>
      <c r="KJ206" s="12" t="s">
        <v>37</v>
      </c>
      <c r="KM206" s="12" t="s">
        <v>37</v>
      </c>
      <c r="KN206" s="12" t="s">
        <v>37</v>
      </c>
      <c r="KO206" s="11" t="s">
        <v>37</v>
      </c>
      <c r="KQ206" s="12" t="s">
        <v>37</v>
      </c>
      <c r="KR206" s="12" t="s">
        <v>37</v>
      </c>
      <c r="KS206" s="12" t="s">
        <v>37</v>
      </c>
      <c r="KX206" s="12" t="s">
        <v>37</v>
      </c>
      <c r="KY206" s="12" t="s">
        <v>37</v>
      </c>
      <c r="KZ206" s="13" t="s">
        <v>37</v>
      </c>
      <c r="LB206" s="12" t="s">
        <v>37</v>
      </c>
      <c r="LC206" s="12" t="s">
        <v>37</v>
      </c>
      <c r="LD206" s="13" t="s">
        <v>37</v>
      </c>
      <c r="LI206" s="12" t="s">
        <v>37</v>
      </c>
      <c r="LJ206" s="12" t="s">
        <v>37</v>
      </c>
      <c r="LK206" s="12" t="s">
        <v>37</v>
      </c>
      <c r="LM206" s="12" t="s">
        <v>37</v>
      </c>
      <c r="LN206" s="12" t="s">
        <v>37</v>
      </c>
      <c r="LO206" s="12" t="s">
        <v>37</v>
      </c>
      <c r="LU206" s="12" t="s">
        <v>37</v>
      </c>
      <c r="LV206" s="12" t="s">
        <v>37</v>
      </c>
      <c r="LW206" s="12" t="s">
        <v>37</v>
      </c>
      <c r="LY206" s="12" t="s">
        <v>37</v>
      </c>
      <c r="LZ206" s="12" t="s">
        <v>37</v>
      </c>
      <c r="MA206" s="12" t="s">
        <v>37</v>
      </c>
      <c r="MF206" s="12" t="s">
        <v>37</v>
      </c>
      <c r="MG206" s="12" t="s">
        <v>37</v>
      </c>
      <c r="MH206" s="12" t="s">
        <v>37</v>
      </c>
      <c r="MJ206" s="12" t="s">
        <v>37</v>
      </c>
      <c r="MK206" s="12" t="s">
        <v>37</v>
      </c>
      <c r="ML206" s="12" t="s">
        <v>37</v>
      </c>
      <c r="MQ206" s="12" t="s">
        <v>37</v>
      </c>
      <c r="MR206" s="12" t="s">
        <v>37</v>
      </c>
      <c r="MS206" s="12" t="s">
        <v>37</v>
      </c>
      <c r="MU206" s="12" t="s">
        <v>37</v>
      </c>
      <c r="MV206" s="12" t="s">
        <v>37</v>
      </c>
      <c r="MW206" s="12" t="s">
        <v>37</v>
      </c>
      <c r="NC206" s="12" t="s">
        <v>37</v>
      </c>
      <c r="ND206" s="12" t="s">
        <v>37</v>
      </c>
      <c r="NE206" s="12" t="s">
        <v>37</v>
      </c>
      <c r="NG206" s="12" t="s">
        <v>37</v>
      </c>
      <c r="NH206" s="12" t="s">
        <v>37</v>
      </c>
      <c r="NI206" s="12" t="s">
        <v>37</v>
      </c>
      <c r="NO206" s="12" t="s">
        <v>37</v>
      </c>
      <c r="NP206" s="12" t="s">
        <v>37</v>
      </c>
      <c r="NQ206" s="12" t="s">
        <v>37</v>
      </c>
      <c r="NS206" s="12" t="s">
        <v>37</v>
      </c>
      <c r="NT206" s="12" t="s">
        <v>37</v>
      </c>
      <c r="NU206" s="12" t="s">
        <v>37</v>
      </c>
      <c r="OA206" s="12" t="s">
        <v>37</v>
      </c>
      <c r="OB206" s="12" t="s">
        <v>37</v>
      </c>
      <c r="OC206" s="12" t="s">
        <v>37</v>
      </c>
      <c r="OD206" s="12"/>
      <c r="OE206" s="12" t="s">
        <v>37</v>
      </c>
      <c r="OF206" s="12" t="s">
        <v>37</v>
      </c>
      <c r="OG206" s="12" t="s">
        <v>37</v>
      </c>
      <c r="OH206" s="12"/>
      <c r="OI206" s="12"/>
      <c r="OJ206" s="12"/>
      <c r="OM206" s="12" t="s">
        <v>37</v>
      </c>
      <c r="ON206" s="12" t="s">
        <v>37</v>
      </c>
      <c r="OO206" s="12" t="s">
        <v>37</v>
      </c>
      <c r="OP206" s="12" t="s">
        <v>37</v>
      </c>
      <c r="OQ206" s="12" t="s">
        <v>37</v>
      </c>
      <c r="OR206" s="12" t="s">
        <v>37</v>
      </c>
      <c r="OS206" s="12"/>
      <c r="OT206" s="12"/>
      <c r="OW206" s="12" t="s">
        <v>37</v>
      </c>
      <c r="OX206" s="12" t="s">
        <v>37</v>
      </c>
      <c r="OY206" s="13" t="s">
        <v>37</v>
      </c>
      <c r="OZ206" s="12" t="s">
        <v>37</v>
      </c>
      <c r="PA206" s="12" t="s">
        <v>37</v>
      </c>
      <c r="PB206" s="13" t="s">
        <v>37</v>
      </c>
      <c r="PG206" s="11" t="s">
        <v>37</v>
      </c>
      <c r="PH206" s="11" t="s">
        <v>37</v>
      </c>
      <c r="PI206" s="13" t="s">
        <v>37</v>
      </c>
      <c r="PJ206" s="11" t="s">
        <v>37</v>
      </c>
      <c r="PK206" s="11" t="s">
        <v>37</v>
      </c>
      <c r="PL206" s="13" t="s">
        <v>37</v>
      </c>
      <c r="PQ206" s="12" t="s">
        <v>37</v>
      </c>
      <c r="PR206" s="12" t="s">
        <v>37</v>
      </c>
      <c r="PS206" s="12" t="s">
        <v>37</v>
      </c>
      <c r="PT206" s="12" t="s">
        <v>37</v>
      </c>
      <c r="PU206" s="12" t="s">
        <v>37</v>
      </c>
      <c r="PV206" s="12" t="s">
        <v>37</v>
      </c>
      <c r="PW206" s="12"/>
      <c r="PX206" s="12"/>
      <c r="PZ206" s="12" t="s">
        <v>37</v>
      </c>
      <c r="QA206" s="12" t="s">
        <v>37</v>
      </c>
      <c r="QB206" s="11" t="s">
        <v>37</v>
      </c>
      <c r="QD206" s="12" t="s">
        <v>37</v>
      </c>
      <c r="QE206" s="12" t="s">
        <v>37</v>
      </c>
      <c r="QF206" s="12" t="s">
        <v>37</v>
      </c>
      <c r="QK206" s="12" t="s">
        <v>37</v>
      </c>
      <c r="QL206" s="12" t="s">
        <v>37</v>
      </c>
      <c r="QM206" s="12" t="s">
        <v>37</v>
      </c>
      <c r="QN206" s="12" t="s">
        <v>37</v>
      </c>
      <c r="QO206" s="12" t="s">
        <v>37</v>
      </c>
      <c r="QP206" s="12" t="s">
        <v>37</v>
      </c>
      <c r="QQ206" s="12"/>
      <c r="QR206" s="12"/>
      <c r="QU206" s="12" t="s">
        <v>37</v>
      </c>
      <c r="QV206" s="12" t="s">
        <v>37</v>
      </c>
      <c r="QW206" s="12" t="s">
        <v>37</v>
      </c>
      <c r="QX206" s="12" t="s">
        <v>37</v>
      </c>
      <c r="QY206" s="12" t="s">
        <v>37</v>
      </c>
      <c r="QZ206" s="12" t="s">
        <v>37</v>
      </c>
      <c r="RC206" s="12" t="s">
        <v>37</v>
      </c>
      <c r="RD206" s="12" t="s">
        <v>37</v>
      </c>
      <c r="RE206" s="13" t="s">
        <v>37</v>
      </c>
      <c r="RF206" s="12" t="s">
        <v>37</v>
      </c>
      <c r="RG206" s="12" t="s">
        <v>37</v>
      </c>
      <c r="RH206" s="13" t="s">
        <v>37</v>
      </c>
      <c r="RK206" s="12" t="s">
        <v>37</v>
      </c>
      <c r="RL206" s="12" t="s">
        <v>37</v>
      </c>
      <c r="RM206" s="11" t="s">
        <v>37</v>
      </c>
      <c r="RN206" s="12" t="s">
        <v>37</v>
      </c>
      <c r="RO206" s="12" t="s">
        <v>37</v>
      </c>
      <c r="RP206" s="11" t="s">
        <v>37</v>
      </c>
      <c r="RS206" s="12" t="s">
        <v>37</v>
      </c>
      <c r="RT206" s="12" t="s">
        <v>37</v>
      </c>
      <c r="RU206" s="12" t="s">
        <v>37</v>
      </c>
      <c r="RV206" s="12" t="s">
        <v>37</v>
      </c>
      <c r="RW206" s="12" t="s">
        <v>37</v>
      </c>
      <c r="RX206" s="12" t="s">
        <v>37</v>
      </c>
      <c r="SA206" s="12" t="s">
        <v>37</v>
      </c>
      <c r="SB206" s="12" t="s">
        <v>37</v>
      </c>
      <c r="SC206" s="12" t="s">
        <v>37</v>
      </c>
      <c r="SD206" s="12" t="s">
        <v>37</v>
      </c>
      <c r="SE206" s="12" t="s">
        <v>37</v>
      </c>
      <c r="SF206" s="12" t="s">
        <v>37</v>
      </c>
      <c r="SI206" s="12" t="s">
        <v>37</v>
      </c>
      <c r="SJ206" s="12" t="s">
        <v>37</v>
      </c>
      <c r="SK206" s="13" t="s">
        <v>37</v>
      </c>
      <c r="SM206" s="12" t="s">
        <v>37</v>
      </c>
      <c r="SN206" s="12" t="s">
        <v>37</v>
      </c>
      <c r="SO206" s="13" t="s">
        <v>37</v>
      </c>
      <c r="SU206" s="12" t="s">
        <v>37</v>
      </c>
      <c r="SV206" s="12" t="s">
        <v>37</v>
      </c>
      <c r="SW206" s="12" t="s">
        <v>37</v>
      </c>
      <c r="SX206" s="12" t="s">
        <v>37</v>
      </c>
      <c r="SY206" s="12" t="s">
        <v>37</v>
      </c>
      <c r="SZ206" s="12" t="s">
        <v>37</v>
      </c>
      <c r="TA206" s="12"/>
      <c r="TB206" s="12"/>
      <c r="TE206" s="12" t="s">
        <v>37</v>
      </c>
      <c r="TF206" s="12" t="s">
        <v>37</v>
      </c>
      <c r="TG206" s="11" t="s">
        <v>37</v>
      </c>
      <c r="TH206" s="12" t="s">
        <v>37</v>
      </c>
      <c r="TI206" s="12" t="s">
        <v>37</v>
      </c>
      <c r="TJ206" s="11" t="s">
        <v>37</v>
      </c>
      <c r="TO206" s="12" t="s">
        <v>37</v>
      </c>
      <c r="TP206" s="12" t="s">
        <v>37</v>
      </c>
      <c r="TQ206" s="11" t="s">
        <v>37</v>
      </c>
      <c r="TR206" s="12" t="s">
        <v>37</v>
      </c>
      <c r="TS206" s="12" t="s">
        <v>37</v>
      </c>
      <c r="TT206" s="11" t="s">
        <v>37</v>
      </c>
      <c r="TY206" s="12" t="s">
        <v>37</v>
      </c>
      <c r="TZ206" s="12" t="s">
        <v>37</v>
      </c>
      <c r="UA206" s="12" t="s">
        <v>37</v>
      </c>
      <c r="UB206" s="12" t="s">
        <v>37</v>
      </c>
      <c r="UC206" s="12" t="s">
        <v>37</v>
      </c>
      <c r="UD206" s="12" t="s">
        <v>37</v>
      </c>
      <c r="UE206" s="12"/>
      <c r="UF206" s="12"/>
      <c r="UI206" s="12" t="s">
        <v>37</v>
      </c>
      <c r="UJ206" s="12" t="s">
        <v>37</v>
      </c>
      <c r="UK206" s="12" t="s">
        <v>37</v>
      </c>
      <c r="UL206" s="12" t="s">
        <v>37</v>
      </c>
      <c r="UM206" s="12" t="s">
        <v>37</v>
      </c>
      <c r="UN206" s="12" t="s">
        <v>37</v>
      </c>
      <c r="UO206" s="12"/>
      <c r="UP206" s="12"/>
      <c r="UR206" s="12" t="s">
        <v>37</v>
      </c>
      <c r="US206" s="12" t="s">
        <v>37</v>
      </c>
      <c r="UT206" s="12" t="s">
        <v>37</v>
      </c>
      <c r="UU206" s="12" t="s">
        <v>37</v>
      </c>
      <c r="UV206" s="12" t="s">
        <v>37</v>
      </c>
      <c r="UW206" s="12" t="s">
        <v>37</v>
      </c>
      <c r="UX206" s="12"/>
      <c r="UY206" s="12"/>
      <c r="VB206" s="12" t="s">
        <v>37</v>
      </c>
      <c r="VC206" s="12" t="s">
        <v>37</v>
      </c>
      <c r="VD206" s="12" t="s">
        <v>37</v>
      </c>
      <c r="VE206" s="12" t="s">
        <v>37</v>
      </c>
      <c r="VF206" s="12" t="s">
        <v>37</v>
      </c>
      <c r="VG206" s="12" t="s">
        <v>37</v>
      </c>
      <c r="VI206" s="12" t="s">
        <v>37</v>
      </c>
      <c r="VJ206" s="12" t="s">
        <v>37</v>
      </c>
      <c r="VK206" s="12" t="s">
        <v>37</v>
      </c>
      <c r="VL206" s="12" t="s">
        <v>37</v>
      </c>
      <c r="VM206" s="12" t="s">
        <v>37</v>
      </c>
      <c r="VN206" s="12" t="s">
        <v>37</v>
      </c>
      <c r="VQ206" s="13" t="s">
        <v>37</v>
      </c>
      <c r="VR206" s="13" t="s">
        <v>37</v>
      </c>
      <c r="VS206" s="13" t="s">
        <v>37</v>
      </c>
      <c r="VT206" s="13" t="s">
        <v>37</v>
      </c>
      <c r="VU206" s="13" t="s">
        <v>37</v>
      </c>
      <c r="VV206" s="13" t="s">
        <v>37</v>
      </c>
      <c r="WA206" s="13" t="s">
        <v>37</v>
      </c>
      <c r="WB206" s="13" t="s">
        <v>37</v>
      </c>
      <c r="WC206" s="13" t="s">
        <v>37</v>
      </c>
      <c r="WD206" s="13" t="s">
        <v>37</v>
      </c>
      <c r="WE206" s="13" t="s">
        <v>37</v>
      </c>
      <c r="WF206" s="13" t="s">
        <v>37</v>
      </c>
    </row>
    <row r="207" spans="1:604" ht="18" customHeight="1" x14ac:dyDescent="0.3">
      <c r="A207" s="11">
        <v>53</v>
      </c>
      <c r="B207" s="16" t="s">
        <v>312</v>
      </c>
      <c r="C207" s="12" t="s">
        <v>26</v>
      </c>
      <c r="D207" s="12" t="s">
        <v>973</v>
      </c>
      <c r="E207" s="40" t="s">
        <v>37</v>
      </c>
      <c r="F207" s="14">
        <v>0</v>
      </c>
      <c r="G207" s="14">
        <v>0</v>
      </c>
      <c r="H207" s="12" t="s">
        <v>313</v>
      </c>
      <c r="I207" s="29">
        <v>68.613</v>
      </c>
      <c r="J207" s="29">
        <v>161.34100000000001</v>
      </c>
      <c r="K207" s="12" t="s">
        <v>663</v>
      </c>
      <c r="L207" s="12" t="s">
        <v>664</v>
      </c>
      <c r="M207" s="13" t="s">
        <v>37</v>
      </c>
      <c r="N207" s="14" t="s">
        <v>37</v>
      </c>
      <c r="O207" s="14" t="s">
        <v>37</v>
      </c>
      <c r="P207" s="14" t="s">
        <v>84</v>
      </c>
      <c r="Q207" s="75">
        <v>11</v>
      </c>
      <c r="R207" s="11" t="s">
        <v>1000</v>
      </c>
      <c r="S207" s="12" t="s">
        <v>51</v>
      </c>
      <c r="T207" s="12" t="s">
        <v>37</v>
      </c>
      <c r="U207" s="12" t="s">
        <v>158</v>
      </c>
      <c r="V207" s="12" t="s">
        <v>275</v>
      </c>
      <c r="W207" s="23" t="s">
        <v>314</v>
      </c>
      <c r="X207" s="12" t="s">
        <v>280</v>
      </c>
      <c r="Y207" s="12" t="s">
        <v>37</v>
      </c>
      <c r="Z207" s="12" t="s">
        <v>315</v>
      </c>
      <c r="AB207" s="12" t="s">
        <v>37</v>
      </c>
      <c r="AE207" s="12" t="s">
        <v>37</v>
      </c>
      <c r="AH207" s="12" t="s">
        <v>37</v>
      </c>
      <c r="AK207" s="12" t="s">
        <v>37</v>
      </c>
      <c r="AL207" s="32" t="s">
        <v>319</v>
      </c>
      <c r="AM207" s="13" t="s">
        <v>317</v>
      </c>
      <c r="AN207" s="32" t="s">
        <v>892</v>
      </c>
      <c r="AO207" s="13" t="s">
        <v>29</v>
      </c>
      <c r="AP207" s="12" t="s">
        <v>81</v>
      </c>
      <c r="AQ207" s="12" t="s">
        <v>975</v>
      </c>
      <c r="AT207" s="12" t="s">
        <v>326</v>
      </c>
      <c r="AU207" s="12" t="s">
        <v>326</v>
      </c>
      <c r="AV207" s="13" t="s">
        <v>326</v>
      </c>
      <c r="AX207" s="12" t="s">
        <v>326</v>
      </c>
      <c r="AY207" s="12" t="s">
        <v>326</v>
      </c>
      <c r="AZ207" s="13" t="s">
        <v>326</v>
      </c>
      <c r="BE207" s="12" t="s">
        <v>326</v>
      </c>
      <c r="BF207" s="12" t="s">
        <v>326</v>
      </c>
      <c r="BG207" s="12" t="s">
        <v>326</v>
      </c>
      <c r="BI207" s="12" t="s">
        <v>326</v>
      </c>
      <c r="BJ207" s="12" t="s">
        <v>326</v>
      </c>
      <c r="BK207" s="12" t="s">
        <v>326</v>
      </c>
      <c r="BP207" s="12" t="s">
        <v>37</v>
      </c>
      <c r="BQ207" s="12" t="s">
        <v>37</v>
      </c>
      <c r="BR207" s="13" t="s">
        <v>37</v>
      </c>
      <c r="BT207" s="12" t="s">
        <v>37</v>
      </c>
      <c r="BU207" s="12" t="s">
        <v>37</v>
      </c>
      <c r="BV207" s="12" t="s">
        <v>37</v>
      </c>
      <c r="CA207" s="12" t="s">
        <v>37</v>
      </c>
      <c r="CB207" s="12" t="s">
        <v>37</v>
      </c>
      <c r="CC207" s="13" t="s">
        <v>37</v>
      </c>
      <c r="CE207" s="12" t="s">
        <v>37</v>
      </c>
      <c r="CF207" s="12" t="s">
        <v>37</v>
      </c>
      <c r="CG207" s="13" t="s">
        <v>37</v>
      </c>
      <c r="CN207" s="12" t="s">
        <v>37</v>
      </c>
      <c r="CO207" s="12" t="s">
        <v>37</v>
      </c>
      <c r="CP207" s="13" t="s">
        <v>37</v>
      </c>
      <c r="CR207" s="12" t="s">
        <v>37</v>
      </c>
      <c r="CS207" s="12" t="s">
        <v>37</v>
      </c>
      <c r="CT207" s="13" t="s">
        <v>37</v>
      </c>
      <c r="CX207" s="72"/>
      <c r="CY207" s="72"/>
      <c r="DA207" s="12" t="s">
        <v>37</v>
      </c>
      <c r="DB207" s="12" t="s">
        <v>37</v>
      </c>
      <c r="DC207" s="13" t="s">
        <v>37</v>
      </c>
      <c r="DE207" s="12" t="s">
        <v>37</v>
      </c>
      <c r="DF207" s="12" t="s">
        <v>37</v>
      </c>
      <c r="DG207" s="13" t="s">
        <v>37</v>
      </c>
      <c r="DI207" s="52"/>
      <c r="DJ207" s="52"/>
      <c r="DK207" s="73"/>
      <c r="DL207" s="73"/>
      <c r="DM207" s="11" t="s">
        <v>47</v>
      </c>
      <c r="DN207" s="19">
        <f>-2*("2014/09/30"-"2014/06/01")*10^4/10^6/'[1]classes-1'!$I$84</f>
        <v>-3.4702280090943463</v>
      </c>
      <c r="DO207" s="12">
        <f>SQRT((1/[2]Classes!$I$84)^2*(1*("2013/09/30"-"2013/06/01")*10^4/10^6)^2+(-DN207/([2]Classes!$I$84)^2)^2*([2]Classes!$J$84)^2)</f>
        <v>1.9645331933110226</v>
      </c>
      <c r="DP207" s="13">
        <v>10</v>
      </c>
      <c r="DQ207" s="19">
        <f t="shared" si="911"/>
        <v>0.56611069594349883</v>
      </c>
      <c r="DR207" s="19">
        <f>4*("2014/09/30"-"2014/06/01")*10^4/10^6/'[1]classes-1'!$I$85</f>
        <v>5.0366149276059726</v>
      </c>
      <c r="DS207" s="12">
        <f>SQRT((1/[2]Classes!$I$85)^2*(14*("2013/09/30"-"2013/06/01")*10^4/10^6)^2+(-DR207/([2]Classes!$I$85)^2)^2*([2]Classes!$J$85)^2)</f>
        <v>17.873807602780403</v>
      </c>
      <c r="DT207" s="13">
        <v>10</v>
      </c>
      <c r="DU207" s="19">
        <f t="shared" si="912"/>
        <v>3.5487739006635284</v>
      </c>
      <c r="DV207" s="19">
        <f t="shared" si="913"/>
        <v>8.5068429367003198</v>
      </c>
      <c r="DW207" s="12">
        <f t="shared" si="914"/>
        <v>12.71480217873702</v>
      </c>
      <c r="DX207" s="72">
        <f t="shared" si="641"/>
        <v>32.33323888888313</v>
      </c>
      <c r="DY207" s="72">
        <f t="shared" si="642"/>
        <v>32.33323888888313</v>
      </c>
      <c r="EA207" s="19" t="s">
        <v>37</v>
      </c>
      <c r="EB207" s="19" t="s">
        <v>37</v>
      </c>
      <c r="EC207" s="72" t="s">
        <v>37</v>
      </c>
      <c r="EE207" s="19" t="s">
        <v>37</v>
      </c>
      <c r="EF207" s="19" t="s">
        <v>37</v>
      </c>
      <c r="EG207" s="12" t="s">
        <v>37</v>
      </c>
      <c r="EM207" s="12" t="s">
        <v>39</v>
      </c>
      <c r="EN207" s="12">
        <v>-19</v>
      </c>
      <c r="EO207" s="12">
        <v>4</v>
      </c>
      <c r="EP207" s="13">
        <v>10</v>
      </c>
      <c r="EQ207" s="19">
        <f t="shared" si="792"/>
        <v>0.21052631578947367</v>
      </c>
      <c r="ER207" s="12">
        <v>-17</v>
      </c>
      <c r="ES207" s="12">
        <v>7</v>
      </c>
      <c r="ET207" s="13">
        <v>10</v>
      </c>
      <c r="EU207" s="19">
        <f t="shared" si="793"/>
        <v>0.41176470588235292</v>
      </c>
      <c r="EV207" s="19">
        <f t="shared" si="701"/>
        <v>2</v>
      </c>
      <c r="EW207" s="12">
        <f t="shared" si="702"/>
        <v>5.7008771254956896</v>
      </c>
      <c r="EX207" s="19">
        <f t="shared" si="703"/>
        <v>6.5</v>
      </c>
      <c r="EY207" s="19">
        <f t="shared" si="704"/>
        <v>6.5</v>
      </c>
      <c r="FB207" s="12" t="s">
        <v>37</v>
      </c>
      <c r="FC207" s="12" t="s">
        <v>37</v>
      </c>
      <c r="FD207" s="11" t="s">
        <v>37</v>
      </c>
      <c r="FE207" s="12" t="s">
        <v>37</v>
      </c>
      <c r="FF207" s="20" t="s">
        <v>37</v>
      </c>
      <c r="FG207" s="11" t="s">
        <v>37</v>
      </c>
      <c r="FI207" s="12" t="s">
        <v>37</v>
      </c>
      <c r="FJ207" s="12" t="s">
        <v>37</v>
      </c>
      <c r="FK207" s="11" t="s">
        <v>37</v>
      </c>
      <c r="FL207" s="13" t="s">
        <v>37</v>
      </c>
      <c r="FM207" s="11" t="s">
        <v>37</v>
      </c>
      <c r="FN207" s="11" t="s">
        <v>37</v>
      </c>
      <c r="FP207" s="12" t="s">
        <v>37</v>
      </c>
      <c r="FQ207" s="12" t="s">
        <v>37</v>
      </c>
      <c r="FR207" s="11" t="s">
        <v>37</v>
      </c>
      <c r="FS207" s="13" t="s">
        <v>37</v>
      </c>
      <c r="FT207" s="11" t="s">
        <v>37</v>
      </c>
      <c r="FU207" s="11" t="s">
        <v>37</v>
      </c>
      <c r="FW207" s="12" t="s">
        <v>37</v>
      </c>
      <c r="FX207" s="12" t="s">
        <v>37</v>
      </c>
      <c r="FY207" s="11" t="s">
        <v>37</v>
      </c>
      <c r="FZ207" s="13" t="s">
        <v>37</v>
      </c>
      <c r="GA207" s="11" t="s">
        <v>37</v>
      </c>
      <c r="GB207" s="11" t="s">
        <v>37</v>
      </c>
      <c r="HX207" s="34" t="s">
        <v>329</v>
      </c>
      <c r="HY207" s="12">
        <v>6.5000000000000002E-2</v>
      </c>
      <c r="HZ207" s="50">
        <v>1.8839576362033081E-2</v>
      </c>
      <c r="IA207" s="13">
        <v>3</v>
      </c>
      <c r="IC207" s="12">
        <v>0.14000000000000001</v>
      </c>
      <c r="ID207" s="50">
        <f>ABS(IC207)*IF$474</f>
        <v>2.0453240654686924E-2</v>
      </c>
      <c r="IE207" s="13">
        <v>4</v>
      </c>
      <c r="IG207" s="19">
        <f t="shared" si="915"/>
        <v>0.7672551527136674</v>
      </c>
      <c r="IH207" s="19">
        <f t="shared" si="916"/>
        <v>3.3338244556186968E-2</v>
      </c>
      <c r="IK207" s="12" t="s">
        <v>37</v>
      </c>
      <c r="IL207" s="12" t="s">
        <v>37</v>
      </c>
      <c r="IM207" s="12" t="s">
        <v>37</v>
      </c>
      <c r="IO207" s="12" t="s">
        <v>37</v>
      </c>
      <c r="IP207" s="12" t="s">
        <v>37</v>
      </c>
      <c r="IQ207" s="12" t="s">
        <v>37</v>
      </c>
      <c r="IW207" s="12" t="s">
        <v>37</v>
      </c>
      <c r="IX207" s="12" t="s">
        <v>37</v>
      </c>
      <c r="IY207" s="13" t="s">
        <v>37</v>
      </c>
      <c r="JA207" s="12" t="s">
        <v>37</v>
      </c>
      <c r="JB207" s="12" t="s">
        <v>37</v>
      </c>
      <c r="JC207" s="13" t="s">
        <v>37</v>
      </c>
      <c r="JH207" s="12" t="s">
        <v>37</v>
      </c>
      <c r="JI207" s="12" t="s">
        <v>37</v>
      </c>
      <c r="JJ207" s="13" t="s">
        <v>37</v>
      </c>
      <c r="JL207" s="12" t="s">
        <v>37</v>
      </c>
      <c r="JM207" s="12" t="s">
        <v>37</v>
      </c>
      <c r="JN207" s="12" t="s">
        <v>37</v>
      </c>
      <c r="JS207" s="12" t="s">
        <v>37</v>
      </c>
      <c r="JT207" s="12" t="s">
        <v>37</v>
      </c>
      <c r="JU207" s="13" t="s">
        <v>37</v>
      </c>
      <c r="JW207" s="12" t="s">
        <v>37</v>
      </c>
      <c r="JX207" s="12" t="s">
        <v>37</v>
      </c>
      <c r="JY207" s="12" t="s">
        <v>37</v>
      </c>
      <c r="KE207" s="12" t="s">
        <v>37</v>
      </c>
      <c r="KF207" s="12" t="s">
        <v>37</v>
      </c>
      <c r="KG207" s="13" t="s">
        <v>37</v>
      </c>
      <c r="KH207" s="12" t="s">
        <v>37</v>
      </c>
      <c r="KI207" s="12" t="s">
        <v>37</v>
      </c>
      <c r="KJ207" s="12" t="s">
        <v>37</v>
      </c>
      <c r="KM207" s="12" t="s">
        <v>37</v>
      </c>
      <c r="KN207" s="12" t="s">
        <v>37</v>
      </c>
      <c r="KO207" s="11" t="s">
        <v>37</v>
      </c>
      <c r="KQ207" s="12" t="s">
        <v>37</v>
      </c>
      <c r="KR207" s="12" t="s">
        <v>37</v>
      </c>
      <c r="KS207" s="12" t="s">
        <v>37</v>
      </c>
      <c r="KX207" s="12" t="s">
        <v>37</v>
      </c>
      <c r="KY207" s="12" t="s">
        <v>37</v>
      </c>
      <c r="KZ207" s="13" t="s">
        <v>37</v>
      </c>
      <c r="LB207" s="12" t="s">
        <v>37</v>
      </c>
      <c r="LC207" s="12" t="s">
        <v>37</v>
      </c>
      <c r="LD207" s="13" t="s">
        <v>37</v>
      </c>
      <c r="LI207" s="12" t="s">
        <v>37</v>
      </c>
      <c r="LJ207" s="12" t="s">
        <v>37</v>
      </c>
      <c r="LK207" s="12" t="s">
        <v>37</v>
      </c>
      <c r="LM207" s="12" t="s">
        <v>37</v>
      </c>
      <c r="LN207" s="12" t="s">
        <v>37</v>
      </c>
      <c r="LO207" s="12" t="s">
        <v>37</v>
      </c>
      <c r="LU207" s="12" t="s">
        <v>37</v>
      </c>
      <c r="LV207" s="12" t="s">
        <v>37</v>
      </c>
      <c r="LW207" s="12" t="s">
        <v>37</v>
      </c>
      <c r="LY207" s="12" t="s">
        <v>37</v>
      </c>
      <c r="LZ207" s="12" t="s">
        <v>37</v>
      </c>
      <c r="MA207" s="12" t="s">
        <v>37</v>
      </c>
      <c r="MF207" s="12" t="s">
        <v>37</v>
      </c>
      <c r="MG207" s="12" t="s">
        <v>37</v>
      </c>
      <c r="MH207" s="12" t="s">
        <v>37</v>
      </c>
      <c r="MJ207" s="12" t="s">
        <v>37</v>
      </c>
      <c r="MK207" s="12" t="s">
        <v>37</v>
      </c>
      <c r="ML207" s="12" t="s">
        <v>37</v>
      </c>
      <c r="MQ207" s="12" t="s">
        <v>37</v>
      </c>
      <c r="MR207" s="12" t="s">
        <v>37</v>
      </c>
      <c r="MS207" s="12" t="s">
        <v>37</v>
      </c>
      <c r="MU207" s="12" t="s">
        <v>37</v>
      </c>
      <c r="MV207" s="12" t="s">
        <v>37</v>
      </c>
      <c r="MW207" s="12" t="s">
        <v>37</v>
      </c>
      <c r="NC207" s="12" t="s">
        <v>37</v>
      </c>
      <c r="ND207" s="12" t="s">
        <v>37</v>
      </c>
      <c r="NE207" s="12" t="s">
        <v>37</v>
      </c>
      <c r="NG207" s="12" t="s">
        <v>37</v>
      </c>
      <c r="NH207" s="12" t="s">
        <v>37</v>
      </c>
      <c r="NI207" s="12" t="s">
        <v>37</v>
      </c>
      <c r="NO207" s="12" t="s">
        <v>37</v>
      </c>
      <c r="NP207" s="12" t="s">
        <v>37</v>
      </c>
      <c r="NQ207" s="12" t="s">
        <v>37</v>
      </c>
      <c r="NS207" s="12" t="s">
        <v>37</v>
      </c>
      <c r="NT207" s="12" t="s">
        <v>37</v>
      </c>
      <c r="NU207" s="12" t="s">
        <v>37</v>
      </c>
      <c r="OA207" s="12" t="s">
        <v>37</v>
      </c>
      <c r="OB207" s="12" t="s">
        <v>37</v>
      </c>
      <c r="OC207" s="12" t="s">
        <v>37</v>
      </c>
      <c r="OD207" s="12"/>
      <c r="OE207" s="12" t="s">
        <v>37</v>
      </c>
      <c r="OF207" s="12" t="s">
        <v>37</v>
      </c>
      <c r="OG207" s="12" t="s">
        <v>37</v>
      </c>
      <c r="OH207" s="12"/>
      <c r="OI207" s="12"/>
      <c r="OJ207" s="12"/>
      <c r="OM207" s="12" t="s">
        <v>37</v>
      </c>
      <c r="ON207" s="12" t="s">
        <v>37</v>
      </c>
      <c r="OO207" s="12" t="s">
        <v>37</v>
      </c>
      <c r="OP207" s="12" t="s">
        <v>37</v>
      </c>
      <c r="OQ207" s="12" t="s">
        <v>37</v>
      </c>
      <c r="OR207" s="12" t="s">
        <v>37</v>
      </c>
      <c r="OS207" s="12"/>
      <c r="OT207" s="12"/>
      <c r="OW207" s="12" t="s">
        <v>37</v>
      </c>
      <c r="OX207" s="12" t="s">
        <v>37</v>
      </c>
      <c r="OY207" s="13" t="s">
        <v>37</v>
      </c>
      <c r="OZ207" s="12" t="s">
        <v>37</v>
      </c>
      <c r="PA207" s="12" t="s">
        <v>37</v>
      </c>
      <c r="PB207" s="13" t="s">
        <v>37</v>
      </c>
      <c r="PG207" s="11" t="s">
        <v>37</v>
      </c>
      <c r="PH207" s="11" t="s">
        <v>37</v>
      </c>
      <c r="PI207" s="13" t="s">
        <v>37</v>
      </c>
      <c r="PJ207" s="11" t="s">
        <v>37</v>
      </c>
      <c r="PK207" s="11" t="s">
        <v>37</v>
      </c>
      <c r="PL207" s="13" t="s">
        <v>37</v>
      </c>
      <c r="PQ207" s="12" t="s">
        <v>37</v>
      </c>
      <c r="PR207" s="12" t="s">
        <v>37</v>
      </c>
      <c r="PS207" s="12" t="s">
        <v>37</v>
      </c>
      <c r="PT207" s="12" t="s">
        <v>37</v>
      </c>
      <c r="PU207" s="12" t="s">
        <v>37</v>
      </c>
      <c r="PV207" s="12" t="s">
        <v>37</v>
      </c>
      <c r="PW207" s="12"/>
      <c r="PX207" s="12"/>
      <c r="PZ207" s="12" t="s">
        <v>37</v>
      </c>
      <c r="QA207" s="12" t="s">
        <v>37</v>
      </c>
      <c r="QB207" s="11" t="s">
        <v>37</v>
      </c>
      <c r="QD207" s="12" t="s">
        <v>37</v>
      </c>
      <c r="QE207" s="12" t="s">
        <v>37</v>
      </c>
      <c r="QF207" s="12" t="s">
        <v>37</v>
      </c>
      <c r="QK207" s="12" t="s">
        <v>37</v>
      </c>
      <c r="QL207" s="12" t="s">
        <v>37</v>
      </c>
      <c r="QM207" s="12" t="s">
        <v>37</v>
      </c>
      <c r="QN207" s="12" t="s">
        <v>37</v>
      </c>
      <c r="QO207" s="12" t="s">
        <v>37</v>
      </c>
      <c r="QP207" s="12" t="s">
        <v>37</v>
      </c>
      <c r="QQ207" s="12"/>
      <c r="QR207" s="12"/>
      <c r="QU207" s="12" t="s">
        <v>37</v>
      </c>
      <c r="QV207" s="12" t="s">
        <v>37</v>
      </c>
      <c r="QW207" s="12" t="s">
        <v>37</v>
      </c>
      <c r="QX207" s="12" t="s">
        <v>37</v>
      </c>
      <c r="QY207" s="12" t="s">
        <v>37</v>
      </c>
      <c r="QZ207" s="12" t="s">
        <v>37</v>
      </c>
      <c r="RC207" s="12" t="s">
        <v>37</v>
      </c>
      <c r="RD207" s="12" t="s">
        <v>37</v>
      </c>
      <c r="RE207" s="13" t="s">
        <v>37</v>
      </c>
      <c r="RF207" s="12" t="s">
        <v>37</v>
      </c>
      <c r="RG207" s="12" t="s">
        <v>37</v>
      </c>
      <c r="RH207" s="13" t="s">
        <v>37</v>
      </c>
      <c r="RK207" s="12" t="s">
        <v>37</v>
      </c>
      <c r="RL207" s="12" t="s">
        <v>37</v>
      </c>
      <c r="RM207" s="11" t="s">
        <v>37</v>
      </c>
      <c r="RN207" s="12" t="s">
        <v>37</v>
      </c>
      <c r="RO207" s="12" t="s">
        <v>37</v>
      </c>
      <c r="RP207" s="11" t="s">
        <v>37</v>
      </c>
      <c r="RS207" s="12" t="s">
        <v>37</v>
      </c>
      <c r="RT207" s="12" t="s">
        <v>37</v>
      </c>
      <c r="RU207" s="12" t="s">
        <v>37</v>
      </c>
      <c r="RV207" s="12" t="s">
        <v>37</v>
      </c>
      <c r="RW207" s="12" t="s">
        <v>37</v>
      </c>
      <c r="RX207" s="12" t="s">
        <v>37</v>
      </c>
      <c r="SA207" s="12" t="s">
        <v>37</v>
      </c>
      <c r="SB207" s="12" t="s">
        <v>37</v>
      </c>
      <c r="SC207" s="12" t="s">
        <v>37</v>
      </c>
      <c r="SD207" s="12" t="s">
        <v>37</v>
      </c>
      <c r="SE207" s="12" t="s">
        <v>37</v>
      </c>
      <c r="SF207" s="12" t="s">
        <v>37</v>
      </c>
      <c r="SI207" s="12" t="s">
        <v>37</v>
      </c>
      <c r="SJ207" s="12" t="s">
        <v>37</v>
      </c>
      <c r="SK207" s="13" t="s">
        <v>37</v>
      </c>
      <c r="SM207" s="12" t="s">
        <v>37</v>
      </c>
      <c r="SN207" s="12" t="s">
        <v>37</v>
      </c>
      <c r="SO207" s="13" t="s">
        <v>37</v>
      </c>
      <c r="SU207" s="12" t="s">
        <v>37</v>
      </c>
      <c r="SV207" s="12" t="s">
        <v>37</v>
      </c>
      <c r="SW207" s="12" t="s">
        <v>37</v>
      </c>
      <c r="SX207" s="12" t="s">
        <v>37</v>
      </c>
      <c r="SY207" s="12" t="s">
        <v>37</v>
      </c>
      <c r="SZ207" s="12" t="s">
        <v>37</v>
      </c>
      <c r="TA207" s="12"/>
      <c r="TB207" s="12"/>
      <c r="TE207" s="12" t="s">
        <v>37</v>
      </c>
      <c r="TF207" s="12" t="s">
        <v>37</v>
      </c>
      <c r="TG207" s="11" t="s">
        <v>37</v>
      </c>
      <c r="TH207" s="12" t="s">
        <v>37</v>
      </c>
      <c r="TI207" s="12" t="s">
        <v>37</v>
      </c>
      <c r="TJ207" s="11" t="s">
        <v>37</v>
      </c>
      <c r="TO207" s="12" t="s">
        <v>37</v>
      </c>
      <c r="TP207" s="12" t="s">
        <v>37</v>
      </c>
      <c r="TQ207" s="11" t="s">
        <v>37</v>
      </c>
      <c r="TR207" s="12" t="s">
        <v>37</v>
      </c>
      <c r="TS207" s="12" t="s">
        <v>37</v>
      </c>
      <c r="TT207" s="11" t="s">
        <v>37</v>
      </c>
      <c r="TY207" s="12" t="s">
        <v>37</v>
      </c>
      <c r="TZ207" s="12" t="s">
        <v>37</v>
      </c>
      <c r="UA207" s="12" t="s">
        <v>37</v>
      </c>
      <c r="UB207" s="12" t="s">
        <v>37</v>
      </c>
      <c r="UC207" s="12" t="s">
        <v>37</v>
      </c>
      <c r="UD207" s="12" t="s">
        <v>37</v>
      </c>
      <c r="UE207" s="12"/>
      <c r="UF207" s="12"/>
      <c r="UI207" s="12" t="s">
        <v>37</v>
      </c>
      <c r="UJ207" s="12" t="s">
        <v>37</v>
      </c>
      <c r="UK207" s="12" t="s">
        <v>37</v>
      </c>
      <c r="UL207" s="12" t="s">
        <v>37</v>
      </c>
      <c r="UM207" s="12" t="s">
        <v>37</v>
      </c>
      <c r="UN207" s="12" t="s">
        <v>37</v>
      </c>
      <c r="UO207" s="12"/>
      <c r="UP207" s="12"/>
      <c r="UR207" s="12" t="s">
        <v>37</v>
      </c>
      <c r="US207" s="12" t="s">
        <v>37</v>
      </c>
      <c r="UT207" s="12" t="s">
        <v>37</v>
      </c>
      <c r="UU207" s="12" t="s">
        <v>37</v>
      </c>
      <c r="UV207" s="12" t="s">
        <v>37</v>
      </c>
      <c r="UW207" s="12" t="s">
        <v>37</v>
      </c>
      <c r="UX207" s="12"/>
      <c r="UY207" s="12"/>
      <c r="VB207" s="12" t="s">
        <v>37</v>
      </c>
      <c r="VC207" s="12" t="s">
        <v>37</v>
      </c>
      <c r="VD207" s="12" t="s">
        <v>37</v>
      </c>
      <c r="VE207" s="12" t="s">
        <v>37</v>
      </c>
      <c r="VF207" s="12" t="s">
        <v>37</v>
      </c>
      <c r="VG207" s="12" t="s">
        <v>37</v>
      </c>
      <c r="VI207" s="12" t="s">
        <v>37</v>
      </c>
      <c r="VJ207" s="12" t="s">
        <v>37</v>
      </c>
      <c r="VK207" s="12" t="s">
        <v>37</v>
      </c>
      <c r="VL207" s="12" t="s">
        <v>37</v>
      </c>
      <c r="VM207" s="12" t="s">
        <v>37</v>
      </c>
      <c r="VN207" s="12" t="s">
        <v>37</v>
      </c>
      <c r="VQ207" s="13" t="s">
        <v>37</v>
      </c>
      <c r="VR207" s="13" t="s">
        <v>37</v>
      </c>
      <c r="VS207" s="13" t="s">
        <v>37</v>
      </c>
      <c r="VT207" s="13" t="s">
        <v>37</v>
      </c>
      <c r="VU207" s="13" t="s">
        <v>37</v>
      </c>
      <c r="VV207" s="13" t="s">
        <v>37</v>
      </c>
      <c r="WA207" s="13" t="s">
        <v>37</v>
      </c>
      <c r="WB207" s="13" t="s">
        <v>37</v>
      </c>
      <c r="WC207" s="13" t="s">
        <v>37</v>
      </c>
      <c r="WD207" s="13" t="s">
        <v>37</v>
      </c>
      <c r="WE207" s="13" t="s">
        <v>37</v>
      </c>
      <c r="WF207" s="13" t="s">
        <v>37</v>
      </c>
    </row>
    <row r="208" spans="1:604" ht="18" customHeight="1" x14ac:dyDescent="0.3">
      <c r="A208" s="11">
        <v>53</v>
      </c>
      <c r="B208" s="16" t="s">
        <v>312</v>
      </c>
      <c r="C208" s="12" t="s">
        <v>26</v>
      </c>
      <c r="D208" s="12" t="s">
        <v>973</v>
      </c>
      <c r="E208" s="40" t="s">
        <v>37</v>
      </c>
      <c r="F208" s="14">
        <v>0</v>
      </c>
      <c r="G208" s="14">
        <v>0</v>
      </c>
      <c r="H208" s="12" t="s">
        <v>313</v>
      </c>
      <c r="I208" s="29">
        <v>68.613</v>
      </c>
      <c r="J208" s="29">
        <v>161.34100000000001</v>
      </c>
      <c r="K208" s="12" t="s">
        <v>663</v>
      </c>
      <c r="L208" s="12" t="s">
        <v>664</v>
      </c>
      <c r="M208" s="13" t="s">
        <v>37</v>
      </c>
      <c r="N208" s="14" t="s">
        <v>37</v>
      </c>
      <c r="O208" s="14" t="s">
        <v>37</v>
      </c>
      <c r="P208" s="14" t="s">
        <v>84</v>
      </c>
      <c r="Q208" s="75">
        <v>10</v>
      </c>
      <c r="R208" s="11" t="s">
        <v>1000</v>
      </c>
      <c r="S208" s="12" t="s">
        <v>51</v>
      </c>
      <c r="T208" s="12" t="s">
        <v>37</v>
      </c>
      <c r="U208" s="12" t="s">
        <v>158</v>
      </c>
      <c r="V208" s="12" t="s">
        <v>275</v>
      </c>
      <c r="W208" s="23" t="s">
        <v>314</v>
      </c>
      <c r="X208" s="12" t="s">
        <v>280</v>
      </c>
      <c r="Y208" s="12" t="s">
        <v>37</v>
      </c>
      <c r="Z208" s="12" t="s">
        <v>315</v>
      </c>
      <c r="AB208" s="12" t="s">
        <v>37</v>
      </c>
      <c r="AE208" s="12" t="s">
        <v>37</v>
      </c>
      <c r="AH208" s="12" t="s">
        <v>37</v>
      </c>
      <c r="AK208" s="12" t="s">
        <v>37</v>
      </c>
      <c r="AL208" s="32" t="s">
        <v>320</v>
      </c>
      <c r="AM208" s="13" t="s">
        <v>317</v>
      </c>
      <c r="AN208" s="32" t="s">
        <v>892</v>
      </c>
      <c r="AO208" s="12" t="s">
        <v>318</v>
      </c>
      <c r="AP208" s="12" t="s">
        <v>81</v>
      </c>
      <c r="AQ208" s="12" t="s">
        <v>975</v>
      </c>
      <c r="AT208" s="12" t="s">
        <v>326</v>
      </c>
      <c r="AU208" s="12" t="s">
        <v>326</v>
      </c>
      <c r="AV208" s="13" t="s">
        <v>326</v>
      </c>
      <c r="AX208" s="12" t="s">
        <v>326</v>
      </c>
      <c r="AY208" s="12" t="s">
        <v>326</v>
      </c>
      <c r="AZ208" s="13" t="s">
        <v>326</v>
      </c>
      <c r="BE208" s="12" t="s">
        <v>326</v>
      </c>
      <c r="BF208" s="12" t="s">
        <v>326</v>
      </c>
      <c r="BG208" s="12" t="s">
        <v>326</v>
      </c>
      <c r="BI208" s="12" t="s">
        <v>326</v>
      </c>
      <c r="BJ208" s="12" t="s">
        <v>326</v>
      </c>
      <c r="BK208" s="12" t="s">
        <v>326</v>
      </c>
      <c r="BP208" s="12" t="s">
        <v>37</v>
      </c>
      <c r="BQ208" s="12" t="s">
        <v>37</v>
      </c>
      <c r="BR208" s="13" t="s">
        <v>37</v>
      </c>
      <c r="BT208" s="12" t="s">
        <v>37</v>
      </c>
      <c r="BU208" s="12" t="s">
        <v>37</v>
      </c>
      <c r="BV208" s="12" t="s">
        <v>37</v>
      </c>
      <c r="CA208" s="12" t="s">
        <v>37</v>
      </c>
      <c r="CB208" s="12" t="s">
        <v>37</v>
      </c>
      <c r="CC208" s="13" t="s">
        <v>37</v>
      </c>
      <c r="CE208" s="12" t="s">
        <v>37</v>
      </c>
      <c r="CF208" s="12" t="s">
        <v>37</v>
      </c>
      <c r="CG208" s="13" t="s">
        <v>37</v>
      </c>
      <c r="CI208" s="52"/>
      <c r="CJ208" s="52"/>
      <c r="CK208" s="73"/>
      <c r="CL208" s="73"/>
      <c r="CN208" s="12" t="s">
        <v>37</v>
      </c>
      <c r="CO208" s="12" t="s">
        <v>37</v>
      </c>
      <c r="CP208" s="13" t="s">
        <v>37</v>
      </c>
      <c r="CR208" s="12" t="s">
        <v>37</v>
      </c>
      <c r="CS208" s="12" t="s">
        <v>37</v>
      </c>
      <c r="CT208" s="13" t="s">
        <v>37</v>
      </c>
      <c r="CV208" s="52"/>
      <c r="CW208" s="52"/>
      <c r="CX208" s="73"/>
      <c r="CY208" s="73"/>
      <c r="DA208" s="12" t="s">
        <v>37</v>
      </c>
      <c r="DB208" s="12" t="s">
        <v>37</v>
      </c>
      <c r="DC208" s="13" t="s">
        <v>37</v>
      </c>
      <c r="DE208" s="12" t="s">
        <v>37</v>
      </c>
      <c r="DF208" s="12" t="s">
        <v>37</v>
      </c>
      <c r="DG208" s="13" t="s">
        <v>37</v>
      </c>
      <c r="DM208" s="11" t="s">
        <v>47</v>
      </c>
      <c r="DN208" s="19">
        <f>332*("2014/09/30"-"2014/06/01")*10^4/10^6/'[1]classes-1'!$I$84</f>
        <v>576.05784950966154</v>
      </c>
      <c r="DO208" s="12">
        <f>SQRT((1/[2]Classes!$I$84)^2*(168*("2014/09/30"-"2014/06/01")*10^4/10^6)^2+(-DN208/([2]Classes!$I$84)^2)^2*([2]Classes!$J$84)^2)</f>
        <v>329.18150586510939</v>
      </c>
      <c r="DP208" s="13">
        <v>4</v>
      </c>
      <c r="DQ208" s="19">
        <f t="shared" si="911"/>
        <v>0.57143827854321849</v>
      </c>
      <c r="DR208" s="19">
        <f>105*("2014/09/30"-"2014/06/01")*10^4/10^6/'[1]classes-1'!$I$85</f>
        <v>132.21114184965677</v>
      </c>
      <c r="DS208" s="12">
        <f>SQRT((1/[2]Classes!$I$85)^2*(77*("2014/09/30"-"2014/06/01")*10^4/10^6)^2+(-DR208/([2]Classes!$I$85)^2)^2*([2]Classes!$J$85)^2)</f>
        <v>124.13591126677807</v>
      </c>
      <c r="DT208" s="13">
        <v>4</v>
      </c>
      <c r="DU208" s="19">
        <f t="shared" si="912"/>
        <v>0.93892170909421979</v>
      </c>
      <c r="DV208" s="19">
        <f t="shared" si="913"/>
        <v>-443.84670766000477</v>
      </c>
      <c r="DW208" s="12">
        <f t="shared" si="914"/>
        <v>248.76714842363577</v>
      </c>
      <c r="DX208" s="72">
        <f t="shared" si="641"/>
        <v>30942.547067413612</v>
      </c>
      <c r="DY208" s="72">
        <f t="shared" si="642"/>
        <v>30942.547067413609</v>
      </c>
      <c r="EA208" s="19" t="s">
        <v>37</v>
      </c>
      <c r="EB208" s="19" t="s">
        <v>37</v>
      </c>
      <c r="EC208" s="72" t="s">
        <v>37</v>
      </c>
      <c r="EE208" s="19" t="s">
        <v>37</v>
      </c>
      <c r="EF208" s="19" t="s">
        <v>37</v>
      </c>
      <c r="EG208" s="12" t="s">
        <v>37</v>
      </c>
      <c r="EM208" s="12" t="s">
        <v>39</v>
      </c>
      <c r="EN208" s="12">
        <v>3</v>
      </c>
      <c r="EO208" s="12">
        <v>3</v>
      </c>
      <c r="EP208" s="13">
        <v>10</v>
      </c>
      <c r="EQ208" s="19">
        <f t="shared" si="792"/>
        <v>1</v>
      </c>
      <c r="ER208" s="12">
        <v>4</v>
      </c>
      <c r="ES208" s="12">
        <v>2</v>
      </c>
      <c r="ET208" s="13">
        <v>10</v>
      </c>
      <c r="EU208" s="19">
        <f t="shared" si="793"/>
        <v>0.5</v>
      </c>
      <c r="EV208" s="19">
        <f t="shared" si="701"/>
        <v>1</v>
      </c>
      <c r="EW208" s="12">
        <f t="shared" si="702"/>
        <v>2.5495097567963922</v>
      </c>
      <c r="EX208" s="19">
        <f t="shared" si="703"/>
        <v>1.3</v>
      </c>
      <c r="EY208" s="19">
        <f t="shared" si="704"/>
        <v>1.3</v>
      </c>
      <c r="FB208" s="12" t="s">
        <v>37</v>
      </c>
      <c r="FC208" s="12" t="s">
        <v>37</v>
      </c>
      <c r="FD208" s="11" t="s">
        <v>37</v>
      </c>
      <c r="FE208" s="12" t="s">
        <v>37</v>
      </c>
      <c r="FF208" s="20" t="s">
        <v>37</v>
      </c>
      <c r="FG208" s="11" t="s">
        <v>37</v>
      </c>
      <c r="FI208" s="12" t="s">
        <v>37</v>
      </c>
      <c r="FJ208" s="12" t="s">
        <v>37</v>
      </c>
      <c r="FK208" s="11" t="s">
        <v>37</v>
      </c>
      <c r="FL208" s="13" t="s">
        <v>37</v>
      </c>
      <c r="FM208" s="11" t="s">
        <v>37</v>
      </c>
      <c r="FN208" s="11" t="s">
        <v>37</v>
      </c>
      <c r="FP208" s="12" t="s">
        <v>37</v>
      </c>
      <c r="FQ208" s="12" t="s">
        <v>37</v>
      </c>
      <c r="FR208" s="11" t="s">
        <v>37</v>
      </c>
      <c r="FS208" s="13" t="s">
        <v>37</v>
      </c>
      <c r="FT208" s="11" t="s">
        <v>37</v>
      </c>
      <c r="FU208" s="11" t="s">
        <v>37</v>
      </c>
      <c r="FW208" s="12" t="s">
        <v>37</v>
      </c>
      <c r="FX208" s="12" t="s">
        <v>37</v>
      </c>
      <c r="FY208" s="11" t="s">
        <v>37</v>
      </c>
      <c r="FZ208" s="13" t="s">
        <v>37</v>
      </c>
      <c r="GA208" s="11" t="s">
        <v>37</v>
      </c>
      <c r="GB208" s="11" t="s">
        <v>37</v>
      </c>
      <c r="IK208" s="12" t="s">
        <v>37</v>
      </c>
      <c r="IL208" s="12" t="s">
        <v>37</v>
      </c>
      <c r="IM208" s="12" t="s">
        <v>37</v>
      </c>
      <c r="IO208" s="12" t="s">
        <v>37</v>
      </c>
      <c r="IP208" s="12" t="s">
        <v>37</v>
      </c>
      <c r="IQ208" s="12" t="s">
        <v>37</v>
      </c>
      <c r="IW208" s="12" t="s">
        <v>37</v>
      </c>
      <c r="IX208" s="12" t="s">
        <v>37</v>
      </c>
      <c r="IY208" s="13" t="s">
        <v>37</v>
      </c>
      <c r="JA208" s="12" t="s">
        <v>37</v>
      </c>
      <c r="JB208" s="12" t="s">
        <v>37</v>
      </c>
      <c r="JC208" s="13" t="s">
        <v>37</v>
      </c>
      <c r="JH208" s="12" t="s">
        <v>37</v>
      </c>
      <c r="JI208" s="12" t="s">
        <v>37</v>
      </c>
      <c r="JJ208" s="13" t="s">
        <v>37</v>
      </c>
      <c r="JL208" s="12" t="s">
        <v>37</v>
      </c>
      <c r="JM208" s="12" t="s">
        <v>37</v>
      </c>
      <c r="JN208" s="12" t="s">
        <v>37</v>
      </c>
      <c r="JS208" s="12" t="s">
        <v>37</v>
      </c>
      <c r="JT208" s="12" t="s">
        <v>37</v>
      </c>
      <c r="JU208" s="13" t="s">
        <v>37</v>
      </c>
      <c r="JW208" s="12" t="s">
        <v>37</v>
      </c>
      <c r="JX208" s="12" t="s">
        <v>37</v>
      </c>
      <c r="JY208" s="12" t="s">
        <v>37</v>
      </c>
      <c r="KE208" s="12" t="s">
        <v>37</v>
      </c>
      <c r="KF208" s="12" t="s">
        <v>37</v>
      </c>
      <c r="KG208" s="13" t="s">
        <v>37</v>
      </c>
      <c r="KH208" s="12" t="s">
        <v>37</v>
      </c>
      <c r="KI208" s="12" t="s">
        <v>37</v>
      </c>
      <c r="KJ208" s="12" t="s">
        <v>37</v>
      </c>
      <c r="KM208" s="12" t="s">
        <v>37</v>
      </c>
      <c r="KN208" s="12" t="s">
        <v>37</v>
      </c>
      <c r="KO208" s="11" t="s">
        <v>37</v>
      </c>
      <c r="KQ208" s="12" t="s">
        <v>37</v>
      </c>
      <c r="KR208" s="12" t="s">
        <v>37</v>
      </c>
      <c r="KS208" s="12" t="s">
        <v>37</v>
      </c>
      <c r="KX208" s="12" t="s">
        <v>37</v>
      </c>
      <c r="KY208" s="12" t="s">
        <v>37</v>
      </c>
      <c r="KZ208" s="13" t="s">
        <v>37</v>
      </c>
      <c r="LB208" s="12" t="s">
        <v>37</v>
      </c>
      <c r="LC208" s="12" t="s">
        <v>37</v>
      </c>
      <c r="LD208" s="13" t="s">
        <v>37</v>
      </c>
      <c r="LI208" s="12" t="s">
        <v>37</v>
      </c>
      <c r="LJ208" s="12" t="s">
        <v>37</v>
      </c>
      <c r="LK208" s="12" t="s">
        <v>37</v>
      </c>
      <c r="LM208" s="12" t="s">
        <v>37</v>
      </c>
      <c r="LN208" s="12" t="s">
        <v>37</v>
      </c>
      <c r="LO208" s="12" t="s">
        <v>37</v>
      </c>
      <c r="LU208" s="12" t="s">
        <v>37</v>
      </c>
      <c r="LV208" s="12" t="s">
        <v>37</v>
      </c>
      <c r="LW208" s="12" t="s">
        <v>37</v>
      </c>
      <c r="LY208" s="12" t="s">
        <v>37</v>
      </c>
      <c r="LZ208" s="12" t="s">
        <v>37</v>
      </c>
      <c r="MA208" s="12" t="s">
        <v>37</v>
      </c>
      <c r="MF208" s="12" t="s">
        <v>37</v>
      </c>
      <c r="MG208" s="12" t="s">
        <v>37</v>
      </c>
      <c r="MH208" s="12" t="s">
        <v>37</v>
      </c>
      <c r="MJ208" s="12" t="s">
        <v>37</v>
      </c>
      <c r="MK208" s="12" t="s">
        <v>37</v>
      </c>
      <c r="ML208" s="12" t="s">
        <v>37</v>
      </c>
      <c r="MQ208" s="12" t="s">
        <v>37</v>
      </c>
      <c r="MR208" s="12" t="s">
        <v>37</v>
      </c>
      <c r="MS208" s="12" t="s">
        <v>37</v>
      </c>
      <c r="MU208" s="12" t="s">
        <v>37</v>
      </c>
      <c r="MV208" s="12" t="s">
        <v>37</v>
      </c>
      <c r="MW208" s="12" t="s">
        <v>37</v>
      </c>
      <c r="NC208" s="12" t="s">
        <v>37</v>
      </c>
      <c r="ND208" s="12" t="s">
        <v>37</v>
      </c>
      <c r="NE208" s="12" t="s">
        <v>37</v>
      </c>
      <c r="NG208" s="12" t="s">
        <v>37</v>
      </c>
      <c r="NH208" s="12" t="s">
        <v>37</v>
      </c>
      <c r="NI208" s="12" t="s">
        <v>37</v>
      </c>
      <c r="NO208" s="12" t="s">
        <v>37</v>
      </c>
      <c r="NP208" s="12" t="s">
        <v>37</v>
      </c>
      <c r="NQ208" s="12" t="s">
        <v>37</v>
      </c>
      <c r="NS208" s="12" t="s">
        <v>37</v>
      </c>
      <c r="NT208" s="12" t="s">
        <v>37</v>
      </c>
      <c r="NU208" s="12" t="s">
        <v>37</v>
      </c>
      <c r="OA208" s="12" t="s">
        <v>37</v>
      </c>
      <c r="OB208" s="12" t="s">
        <v>37</v>
      </c>
      <c r="OC208" s="12" t="s">
        <v>37</v>
      </c>
      <c r="OD208" s="12"/>
      <c r="OE208" s="12" t="s">
        <v>37</v>
      </c>
      <c r="OF208" s="12" t="s">
        <v>37</v>
      </c>
      <c r="OG208" s="12" t="s">
        <v>37</v>
      </c>
      <c r="OH208" s="12"/>
      <c r="OI208" s="12"/>
      <c r="OJ208" s="12"/>
      <c r="OM208" s="12" t="s">
        <v>37</v>
      </c>
      <c r="ON208" s="12" t="s">
        <v>37</v>
      </c>
      <c r="OO208" s="12" t="s">
        <v>37</v>
      </c>
      <c r="OP208" s="12" t="s">
        <v>37</v>
      </c>
      <c r="OQ208" s="12" t="s">
        <v>37</v>
      </c>
      <c r="OR208" s="12" t="s">
        <v>37</v>
      </c>
      <c r="OS208" s="12"/>
      <c r="OT208" s="12"/>
      <c r="OW208" s="12" t="s">
        <v>37</v>
      </c>
      <c r="OX208" s="12" t="s">
        <v>37</v>
      </c>
      <c r="OY208" s="13" t="s">
        <v>37</v>
      </c>
      <c r="OZ208" s="12" t="s">
        <v>37</v>
      </c>
      <c r="PA208" s="12" t="s">
        <v>37</v>
      </c>
      <c r="PB208" s="13" t="s">
        <v>37</v>
      </c>
      <c r="PG208" s="11" t="s">
        <v>37</v>
      </c>
      <c r="PH208" s="11" t="s">
        <v>37</v>
      </c>
      <c r="PI208" s="13" t="s">
        <v>37</v>
      </c>
      <c r="PJ208" s="11" t="s">
        <v>37</v>
      </c>
      <c r="PK208" s="11" t="s">
        <v>37</v>
      </c>
      <c r="PL208" s="13" t="s">
        <v>37</v>
      </c>
      <c r="PQ208" s="12" t="s">
        <v>37</v>
      </c>
      <c r="PR208" s="12" t="s">
        <v>37</v>
      </c>
      <c r="PS208" s="12" t="s">
        <v>37</v>
      </c>
      <c r="PT208" s="12" t="s">
        <v>37</v>
      </c>
      <c r="PU208" s="12" t="s">
        <v>37</v>
      </c>
      <c r="PV208" s="12" t="s">
        <v>37</v>
      </c>
      <c r="PW208" s="12"/>
      <c r="PX208" s="12"/>
      <c r="PZ208" s="12" t="s">
        <v>37</v>
      </c>
      <c r="QA208" s="12" t="s">
        <v>37</v>
      </c>
      <c r="QB208" s="11" t="s">
        <v>37</v>
      </c>
      <c r="QD208" s="12" t="s">
        <v>37</v>
      </c>
      <c r="QE208" s="12" t="s">
        <v>37</v>
      </c>
      <c r="QF208" s="12" t="s">
        <v>37</v>
      </c>
      <c r="QK208" s="12" t="s">
        <v>37</v>
      </c>
      <c r="QL208" s="12" t="s">
        <v>37</v>
      </c>
      <c r="QM208" s="12" t="s">
        <v>37</v>
      </c>
      <c r="QN208" s="12" t="s">
        <v>37</v>
      </c>
      <c r="QO208" s="12" t="s">
        <v>37</v>
      </c>
      <c r="QP208" s="12" t="s">
        <v>37</v>
      </c>
      <c r="QQ208" s="12"/>
      <c r="QR208" s="12"/>
      <c r="QU208" s="12" t="s">
        <v>37</v>
      </c>
      <c r="QV208" s="12" t="s">
        <v>37</v>
      </c>
      <c r="QW208" s="12" t="s">
        <v>37</v>
      </c>
      <c r="QX208" s="12" t="s">
        <v>37</v>
      </c>
      <c r="QY208" s="12" t="s">
        <v>37</v>
      </c>
      <c r="QZ208" s="12" t="s">
        <v>37</v>
      </c>
      <c r="RC208" s="12" t="s">
        <v>37</v>
      </c>
      <c r="RD208" s="12" t="s">
        <v>37</v>
      </c>
      <c r="RE208" s="13" t="s">
        <v>37</v>
      </c>
      <c r="RF208" s="12" t="s">
        <v>37</v>
      </c>
      <c r="RG208" s="12" t="s">
        <v>37</v>
      </c>
      <c r="RH208" s="13" t="s">
        <v>37</v>
      </c>
      <c r="RK208" s="12" t="s">
        <v>37</v>
      </c>
      <c r="RL208" s="12" t="s">
        <v>37</v>
      </c>
      <c r="RM208" s="11" t="s">
        <v>37</v>
      </c>
      <c r="RN208" s="12" t="s">
        <v>37</v>
      </c>
      <c r="RO208" s="12" t="s">
        <v>37</v>
      </c>
      <c r="RP208" s="11" t="s">
        <v>37</v>
      </c>
      <c r="RS208" s="12" t="s">
        <v>37</v>
      </c>
      <c r="RT208" s="12" t="s">
        <v>37</v>
      </c>
      <c r="RU208" s="12" t="s">
        <v>37</v>
      </c>
      <c r="RV208" s="12" t="s">
        <v>37</v>
      </c>
      <c r="RW208" s="12" t="s">
        <v>37</v>
      </c>
      <c r="RX208" s="12" t="s">
        <v>37</v>
      </c>
      <c r="SA208" s="12" t="s">
        <v>37</v>
      </c>
      <c r="SB208" s="12" t="s">
        <v>37</v>
      </c>
      <c r="SC208" s="12" t="s">
        <v>37</v>
      </c>
      <c r="SD208" s="12" t="s">
        <v>37</v>
      </c>
      <c r="SE208" s="12" t="s">
        <v>37</v>
      </c>
      <c r="SF208" s="12" t="s">
        <v>37</v>
      </c>
      <c r="SI208" s="12" t="s">
        <v>37</v>
      </c>
      <c r="SJ208" s="12" t="s">
        <v>37</v>
      </c>
      <c r="SK208" s="13" t="s">
        <v>37</v>
      </c>
      <c r="SM208" s="12" t="s">
        <v>37</v>
      </c>
      <c r="SN208" s="12" t="s">
        <v>37</v>
      </c>
      <c r="SO208" s="13" t="s">
        <v>37</v>
      </c>
      <c r="SU208" s="12" t="s">
        <v>37</v>
      </c>
      <c r="SV208" s="12" t="s">
        <v>37</v>
      </c>
      <c r="SW208" s="12" t="s">
        <v>37</v>
      </c>
      <c r="SX208" s="12" t="s">
        <v>37</v>
      </c>
      <c r="SY208" s="12" t="s">
        <v>37</v>
      </c>
      <c r="SZ208" s="12" t="s">
        <v>37</v>
      </c>
      <c r="TA208" s="12"/>
      <c r="TB208" s="12"/>
      <c r="TE208" s="12" t="s">
        <v>37</v>
      </c>
      <c r="TF208" s="12" t="s">
        <v>37</v>
      </c>
      <c r="TG208" s="11" t="s">
        <v>37</v>
      </c>
      <c r="TH208" s="12" t="s">
        <v>37</v>
      </c>
      <c r="TI208" s="12" t="s">
        <v>37</v>
      </c>
      <c r="TJ208" s="11" t="s">
        <v>37</v>
      </c>
      <c r="TO208" s="12" t="s">
        <v>37</v>
      </c>
      <c r="TP208" s="12" t="s">
        <v>37</v>
      </c>
      <c r="TQ208" s="11" t="s">
        <v>37</v>
      </c>
      <c r="TR208" s="12" t="s">
        <v>37</v>
      </c>
      <c r="TS208" s="12" t="s">
        <v>37</v>
      </c>
      <c r="TT208" s="11" t="s">
        <v>37</v>
      </c>
      <c r="TY208" s="12" t="s">
        <v>37</v>
      </c>
      <c r="TZ208" s="12" t="s">
        <v>37</v>
      </c>
      <c r="UA208" s="12" t="s">
        <v>37</v>
      </c>
      <c r="UB208" s="12" t="s">
        <v>37</v>
      </c>
      <c r="UC208" s="12" t="s">
        <v>37</v>
      </c>
      <c r="UD208" s="12" t="s">
        <v>37</v>
      </c>
      <c r="UE208" s="12"/>
      <c r="UF208" s="12"/>
      <c r="UI208" s="12" t="s">
        <v>37</v>
      </c>
      <c r="UJ208" s="12" t="s">
        <v>37</v>
      </c>
      <c r="UK208" s="12" t="s">
        <v>37</v>
      </c>
      <c r="UL208" s="12" t="s">
        <v>37</v>
      </c>
      <c r="UM208" s="12" t="s">
        <v>37</v>
      </c>
      <c r="UN208" s="12" t="s">
        <v>37</v>
      </c>
      <c r="UO208" s="12"/>
      <c r="UP208" s="12"/>
      <c r="UR208" s="12" t="s">
        <v>37</v>
      </c>
      <c r="US208" s="12" t="s">
        <v>37</v>
      </c>
      <c r="UT208" s="12" t="s">
        <v>37</v>
      </c>
      <c r="UU208" s="12" t="s">
        <v>37</v>
      </c>
      <c r="UV208" s="12" t="s">
        <v>37</v>
      </c>
      <c r="UW208" s="12" t="s">
        <v>37</v>
      </c>
      <c r="UX208" s="12"/>
      <c r="UY208" s="12"/>
      <c r="VB208" s="12" t="s">
        <v>37</v>
      </c>
      <c r="VC208" s="12" t="s">
        <v>37</v>
      </c>
      <c r="VD208" s="12" t="s">
        <v>37</v>
      </c>
      <c r="VE208" s="12" t="s">
        <v>37</v>
      </c>
      <c r="VF208" s="12" t="s">
        <v>37</v>
      </c>
      <c r="VG208" s="12" t="s">
        <v>37</v>
      </c>
      <c r="VI208" s="12" t="s">
        <v>37</v>
      </c>
      <c r="VJ208" s="12" t="s">
        <v>37</v>
      </c>
      <c r="VK208" s="12" t="s">
        <v>37</v>
      </c>
      <c r="VL208" s="12" t="s">
        <v>37</v>
      </c>
      <c r="VM208" s="12" t="s">
        <v>37</v>
      </c>
      <c r="VN208" s="12" t="s">
        <v>37</v>
      </c>
      <c r="VQ208" s="13" t="s">
        <v>37</v>
      </c>
      <c r="VR208" s="13" t="s">
        <v>37</v>
      </c>
      <c r="VS208" s="13" t="s">
        <v>37</v>
      </c>
      <c r="VT208" s="13" t="s">
        <v>37</v>
      </c>
      <c r="VU208" s="13" t="s">
        <v>37</v>
      </c>
      <c r="VV208" s="13" t="s">
        <v>37</v>
      </c>
      <c r="WA208" s="13" t="s">
        <v>37</v>
      </c>
      <c r="WB208" s="13" t="s">
        <v>37</v>
      </c>
      <c r="WC208" s="13" t="s">
        <v>37</v>
      </c>
      <c r="WD208" s="13" t="s">
        <v>37</v>
      </c>
      <c r="WE208" s="13" t="s">
        <v>37</v>
      </c>
      <c r="WF208" s="13" t="s">
        <v>37</v>
      </c>
    </row>
    <row r="209" spans="1:606" ht="18" customHeight="1" x14ac:dyDescent="0.3">
      <c r="A209" s="11">
        <v>53</v>
      </c>
      <c r="B209" s="16" t="s">
        <v>913</v>
      </c>
      <c r="C209" s="12" t="s">
        <v>26</v>
      </c>
      <c r="D209" s="12" t="s">
        <v>973</v>
      </c>
      <c r="E209" s="40" t="s">
        <v>37</v>
      </c>
      <c r="F209" s="14">
        <v>0</v>
      </c>
      <c r="G209" s="14">
        <v>0</v>
      </c>
      <c r="H209" s="12" t="s">
        <v>313</v>
      </c>
      <c r="I209" s="29">
        <v>68.613</v>
      </c>
      <c r="J209" s="29">
        <v>161.34100000000001</v>
      </c>
      <c r="K209" s="12" t="s">
        <v>663</v>
      </c>
      <c r="L209" s="12" t="s">
        <v>664</v>
      </c>
      <c r="M209" s="13" t="s">
        <v>37</v>
      </c>
      <c r="N209" s="14" t="s">
        <v>37</v>
      </c>
      <c r="O209" s="14" t="s">
        <v>37</v>
      </c>
      <c r="P209" s="14" t="s">
        <v>84</v>
      </c>
      <c r="Q209" s="75">
        <v>11</v>
      </c>
      <c r="R209" s="11" t="s">
        <v>1000</v>
      </c>
      <c r="S209" s="12" t="s">
        <v>51</v>
      </c>
      <c r="T209" s="12" t="s">
        <v>37</v>
      </c>
      <c r="U209" s="12" t="s">
        <v>158</v>
      </c>
      <c r="V209" s="12" t="s">
        <v>275</v>
      </c>
      <c r="W209" s="23" t="s">
        <v>314</v>
      </c>
      <c r="X209" s="12" t="s">
        <v>280</v>
      </c>
      <c r="Y209" s="12" t="s">
        <v>37</v>
      </c>
      <c r="Z209" s="12" t="s">
        <v>315</v>
      </c>
      <c r="AB209" s="12" t="s">
        <v>37</v>
      </c>
      <c r="AE209" s="12" t="s">
        <v>37</v>
      </c>
      <c r="AH209" s="12" t="s">
        <v>37</v>
      </c>
      <c r="AK209" s="12" t="s">
        <v>37</v>
      </c>
      <c r="AL209" s="32" t="s">
        <v>320</v>
      </c>
      <c r="AM209" s="13" t="s">
        <v>317</v>
      </c>
      <c r="AN209" s="32" t="s">
        <v>892</v>
      </c>
      <c r="AO209" s="12" t="s">
        <v>29</v>
      </c>
      <c r="AP209" s="12" t="s">
        <v>81</v>
      </c>
      <c r="AQ209" s="12" t="s">
        <v>975</v>
      </c>
      <c r="AT209" s="12" t="s">
        <v>326</v>
      </c>
      <c r="AU209" s="12" t="s">
        <v>326</v>
      </c>
      <c r="AV209" s="13" t="s">
        <v>326</v>
      </c>
      <c r="AX209" s="12" t="s">
        <v>326</v>
      </c>
      <c r="AY209" s="12" t="s">
        <v>326</v>
      </c>
      <c r="AZ209" s="13" t="s">
        <v>326</v>
      </c>
      <c r="BE209" s="12" t="s">
        <v>326</v>
      </c>
      <c r="BF209" s="12" t="s">
        <v>326</v>
      </c>
      <c r="BG209" s="12" t="s">
        <v>326</v>
      </c>
      <c r="BI209" s="12" t="s">
        <v>326</v>
      </c>
      <c r="BJ209" s="12" t="s">
        <v>326</v>
      </c>
      <c r="BK209" s="12" t="s">
        <v>326</v>
      </c>
      <c r="BP209" s="12" t="s">
        <v>37</v>
      </c>
      <c r="BQ209" s="12" t="s">
        <v>37</v>
      </c>
      <c r="BR209" s="13" t="s">
        <v>37</v>
      </c>
      <c r="BT209" s="12" t="s">
        <v>37</v>
      </c>
      <c r="BU209" s="12" t="s">
        <v>37</v>
      </c>
      <c r="BV209" s="12" t="s">
        <v>37</v>
      </c>
      <c r="CA209" s="12" t="s">
        <v>37</v>
      </c>
      <c r="CB209" s="12" t="s">
        <v>37</v>
      </c>
      <c r="CC209" s="13" t="s">
        <v>37</v>
      </c>
      <c r="CE209" s="12" t="s">
        <v>37</v>
      </c>
      <c r="CF209" s="12" t="s">
        <v>37</v>
      </c>
      <c r="CG209" s="13" t="s">
        <v>37</v>
      </c>
      <c r="CI209" s="13"/>
      <c r="CJ209" s="13"/>
      <c r="CN209" s="12" t="s">
        <v>37</v>
      </c>
      <c r="CO209" s="12" t="s">
        <v>37</v>
      </c>
      <c r="CP209" s="13" t="s">
        <v>37</v>
      </c>
      <c r="CR209" s="12" t="s">
        <v>37</v>
      </c>
      <c r="CS209" s="12" t="s">
        <v>37</v>
      </c>
      <c r="CT209" s="13" t="s">
        <v>37</v>
      </c>
      <c r="CV209" s="13"/>
      <c r="CW209" s="13"/>
      <c r="CX209" s="72"/>
      <c r="CY209" s="72"/>
      <c r="DA209" s="12" t="s">
        <v>37</v>
      </c>
      <c r="DB209" s="12" t="s">
        <v>37</v>
      </c>
      <c r="DC209" s="13" t="s">
        <v>37</v>
      </c>
      <c r="DE209" s="12" t="s">
        <v>37</v>
      </c>
      <c r="DF209" s="12" t="s">
        <v>37</v>
      </c>
      <c r="DG209" s="13" t="s">
        <v>37</v>
      </c>
      <c r="DI209" s="52"/>
      <c r="DJ209" s="52"/>
      <c r="DK209" s="73"/>
      <c r="DL209" s="73"/>
      <c r="DM209" s="11" t="s">
        <v>47</v>
      </c>
      <c r="DN209" s="19">
        <f>-3*("2013/09/30"-"2013/06/01")*10^4/10^6/'[1]classes-1'!$I$84</f>
        <v>-5.2053420136415198</v>
      </c>
      <c r="DO209" s="12">
        <f>SQRT((1/[2]Classes!$I$84)^2*(1*("2013/09/30"-"2013/06/01")*10^4/10^6)^2+(-DN20:DN209/([2]Classes!$I$84)^2)^2*([2]Classes!$J$84)^2)</f>
        <v>2.2181869265634826</v>
      </c>
      <c r="DP209" s="13">
        <v>4</v>
      </c>
      <c r="DQ209" s="19">
        <f t="shared" si="911"/>
        <v>0.42613663439411498</v>
      </c>
      <c r="DR209" s="19">
        <f>-1*("2014/09/30"-"2014/06/01")*10^4/10^6/'[1]classes-1'!$I$85</f>
        <v>-1.2591537319014932</v>
      </c>
      <c r="DS209" s="12">
        <f>SQRT((1/[2]Classes!$I$85)^2*(2*("2014/09/30"-"2014/06/01")*10^4/10^6)^2+(-DR209/([2]Classes!$I$85)^2)^2*([2]Classes!$J$85)^2)</f>
        <v>2.6242999817463004</v>
      </c>
      <c r="DT209" s="13">
        <v>4</v>
      </c>
      <c r="DU209" s="19">
        <f t="shared" si="912"/>
        <v>2.0841775831321652</v>
      </c>
      <c r="DV209" s="19">
        <f t="shared" si="913"/>
        <v>3.9461882817400267</v>
      </c>
      <c r="DW209" s="12">
        <f t="shared" si="914"/>
        <v>2.4297431587897083</v>
      </c>
      <c r="DX209" s="72">
        <f t="shared" si="641"/>
        <v>2.9518259088426952</v>
      </c>
      <c r="DY209" s="72">
        <f t="shared" si="642"/>
        <v>2.9518259088426957</v>
      </c>
      <c r="EA209" s="19" t="s">
        <v>37</v>
      </c>
      <c r="EB209" s="19" t="s">
        <v>37</v>
      </c>
      <c r="EC209" s="72" t="s">
        <v>37</v>
      </c>
      <c r="EE209" s="19" t="s">
        <v>37</v>
      </c>
      <c r="EF209" s="19" t="s">
        <v>37</v>
      </c>
      <c r="EG209" s="12" t="s">
        <v>37</v>
      </c>
      <c r="EM209" s="12" t="s">
        <v>39</v>
      </c>
      <c r="EN209" s="12">
        <v>-19</v>
      </c>
      <c r="EO209" s="12">
        <v>4</v>
      </c>
      <c r="EP209" s="13">
        <v>10</v>
      </c>
      <c r="EQ209" s="19">
        <f t="shared" si="792"/>
        <v>0.21052631578947367</v>
      </c>
      <c r="ER209" s="12">
        <v>-17</v>
      </c>
      <c r="ES209" s="12">
        <v>7</v>
      </c>
      <c r="ET209" s="13">
        <v>10</v>
      </c>
      <c r="EU209" s="19">
        <f t="shared" si="793"/>
        <v>0.41176470588235292</v>
      </c>
      <c r="EV209" s="19">
        <f t="shared" si="701"/>
        <v>2</v>
      </c>
      <c r="EW209" s="12">
        <f t="shared" si="702"/>
        <v>5.7008771254956896</v>
      </c>
      <c r="EX209" s="19">
        <f t="shared" si="703"/>
        <v>6.5</v>
      </c>
      <c r="EY209" s="19">
        <f t="shared" si="704"/>
        <v>6.5</v>
      </c>
      <c r="FB209" s="12" t="s">
        <v>37</v>
      </c>
      <c r="FC209" s="12" t="s">
        <v>37</v>
      </c>
      <c r="FD209" s="11" t="s">
        <v>37</v>
      </c>
      <c r="FE209" s="12" t="s">
        <v>37</v>
      </c>
      <c r="FF209" s="20" t="s">
        <v>37</v>
      </c>
      <c r="FG209" s="11" t="s">
        <v>37</v>
      </c>
      <c r="FI209" s="12" t="s">
        <v>37</v>
      </c>
      <c r="FJ209" s="12" t="s">
        <v>37</v>
      </c>
      <c r="FK209" s="11" t="s">
        <v>37</v>
      </c>
      <c r="FL209" s="13" t="s">
        <v>37</v>
      </c>
      <c r="FM209" s="11" t="s">
        <v>37</v>
      </c>
      <c r="FN209" s="11" t="s">
        <v>37</v>
      </c>
      <c r="FP209" s="12" t="s">
        <v>37</v>
      </c>
      <c r="FQ209" s="12" t="s">
        <v>37</v>
      </c>
      <c r="FR209" s="11" t="s">
        <v>37</v>
      </c>
      <c r="FS209" s="13" t="s">
        <v>37</v>
      </c>
      <c r="FT209" s="11" t="s">
        <v>37</v>
      </c>
      <c r="FU209" s="11" t="s">
        <v>37</v>
      </c>
      <c r="FW209" s="12" t="s">
        <v>37</v>
      </c>
      <c r="FX209" s="12" t="s">
        <v>37</v>
      </c>
      <c r="FY209" s="11" t="s">
        <v>37</v>
      </c>
      <c r="FZ209" s="13" t="s">
        <v>37</v>
      </c>
      <c r="GA209" s="11" t="s">
        <v>37</v>
      </c>
      <c r="GB209" s="11" t="s">
        <v>37</v>
      </c>
      <c r="IK209" s="12" t="s">
        <v>37</v>
      </c>
      <c r="IL209" s="12" t="s">
        <v>37</v>
      </c>
      <c r="IM209" s="12" t="s">
        <v>37</v>
      </c>
      <c r="IO209" s="12" t="s">
        <v>37</v>
      </c>
      <c r="IP209" s="12" t="s">
        <v>37</v>
      </c>
      <c r="IQ209" s="12" t="s">
        <v>37</v>
      </c>
      <c r="IW209" s="12" t="s">
        <v>37</v>
      </c>
      <c r="IX209" s="12" t="s">
        <v>37</v>
      </c>
      <c r="IY209" s="13" t="s">
        <v>37</v>
      </c>
      <c r="JA209" s="12" t="s">
        <v>37</v>
      </c>
      <c r="JB209" s="12" t="s">
        <v>37</v>
      </c>
      <c r="JC209" s="13" t="s">
        <v>37</v>
      </c>
      <c r="JH209" s="12" t="s">
        <v>37</v>
      </c>
      <c r="JI209" s="12" t="s">
        <v>37</v>
      </c>
      <c r="JJ209" s="13" t="s">
        <v>37</v>
      </c>
      <c r="JL209" s="12" t="s">
        <v>37</v>
      </c>
      <c r="JM209" s="12" t="s">
        <v>37</v>
      </c>
      <c r="JN209" s="12" t="s">
        <v>37</v>
      </c>
      <c r="JS209" s="12" t="s">
        <v>37</v>
      </c>
      <c r="JT209" s="12" t="s">
        <v>37</v>
      </c>
      <c r="JU209" s="13" t="s">
        <v>37</v>
      </c>
      <c r="JW209" s="12" t="s">
        <v>37</v>
      </c>
      <c r="JX209" s="12" t="s">
        <v>37</v>
      </c>
      <c r="JY209" s="12" t="s">
        <v>37</v>
      </c>
      <c r="KE209" s="12" t="s">
        <v>37</v>
      </c>
      <c r="KF209" s="12" t="s">
        <v>37</v>
      </c>
      <c r="KG209" s="13" t="s">
        <v>37</v>
      </c>
      <c r="KH209" s="12" t="s">
        <v>37</v>
      </c>
      <c r="KI209" s="12" t="s">
        <v>37</v>
      </c>
      <c r="KJ209" s="12" t="s">
        <v>37</v>
      </c>
      <c r="KM209" s="12" t="s">
        <v>37</v>
      </c>
      <c r="KN209" s="12" t="s">
        <v>37</v>
      </c>
      <c r="KO209" s="11" t="s">
        <v>37</v>
      </c>
      <c r="KQ209" s="12" t="s">
        <v>37</v>
      </c>
      <c r="KR209" s="12" t="s">
        <v>37</v>
      </c>
      <c r="KS209" s="12" t="s">
        <v>37</v>
      </c>
      <c r="KX209" s="12" t="s">
        <v>37</v>
      </c>
      <c r="KY209" s="12" t="s">
        <v>37</v>
      </c>
      <c r="KZ209" s="12" t="s">
        <v>37</v>
      </c>
      <c r="LB209" s="12" t="s">
        <v>326</v>
      </c>
      <c r="LC209" s="12" t="s">
        <v>37</v>
      </c>
      <c r="LD209" s="12" t="s">
        <v>37</v>
      </c>
      <c r="LI209" s="12" t="s">
        <v>37</v>
      </c>
      <c r="LJ209" s="12" t="s">
        <v>37</v>
      </c>
      <c r="LK209" s="12" t="s">
        <v>37</v>
      </c>
      <c r="LM209" s="12" t="s">
        <v>37</v>
      </c>
      <c r="LN209" s="12" t="s">
        <v>37</v>
      </c>
      <c r="LO209" s="12" t="s">
        <v>37</v>
      </c>
      <c r="LU209" s="12" t="s">
        <v>37</v>
      </c>
      <c r="LV209" s="12" t="s">
        <v>37</v>
      </c>
      <c r="LW209" s="12" t="s">
        <v>37</v>
      </c>
      <c r="LY209" s="12" t="s">
        <v>37</v>
      </c>
      <c r="LZ209" s="12" t="s">
        <v>37</v>
      </c>
      <c r="MA209" s="12" t="s">
        <v>37</v>
      </c>
      <c r="MF209" s="12" t="s">
        <v>37</v>
      </c>
      <c r="MG209" s="12" t="s">
        <v>37</v>
      </c>
      <c r="MH209" s="12" t="s">
        <v>37</v>
      </c>
      <c r="MJ209" s="12" t="s">
        <v>37</v>
      </c>
      <c r="MK209" s="12" t="s">
        <v>37</v>
      </c>
      <c r="ML209" s="12" t="s">
        <v>37</v>
      </c>
      <c r="MQ209" s="12" t="s">
        <v>37</v>
      </c>
      <c r="MR209" s="12" t="s">
        <v>37</v>
      </c>
      <c r="MS209" s="12" t="s">
        <v>37</v>
      </c>
      <c r="MU209" s="12" t="s">
        <v>37</v>
      </c>
      <c r="MV209" s="12" t="s">
        <v>37</v>
      </c>
      <c r="MW209" s="12" t="s">
        <v>37</v>
      </c>
      <c r="NC209" s="12" t="s">
        <v>37</v>
      </c>
      <c r="ND209" s="12" t="s">
        <v>37</v>
      </c>
      <c r="NE209" s="12" t="s">
        <v>37</v>
      </c>
      <c r="NG209" s="12" t="s">
        <v>37</v>
      </c>
      <c r="NH209" s="12" t="s">
        <v>37</v>
      </c>
      <c r="NI209" s="12" t="s">
        <v>37</v>
      </c>
      <c r="NO209" s="12" t="s">
        <v>37</v>
      </c>
      <c r="NP209" s="12" t="s">
        <v>37</v>
      </c>
      <c r="NQ209" s="12" t="s">
        <v>37</v>
      </c>
      <c r="NS209" s="12" t="s">
        <v>37</v>
      </c>
      <c r="NT209" s="12" t="s">
        <v>37</v>
      </c>
      <c r="NU209" s="12" t="s">
        <v>37</v>
      </c>
      <c r="OA209" s="12" t="s">
        <v>37</v>
      </c>
      <c r="OB209" s="12" t="s">
        <v>37</v>
      </c>
      <c r="OC209" s="12" t="s">
        <v>37</v>
      </c>
      <c r="OD209" s="12"/>
      <c r="OE209" s="12" t="s">
        <v>37</v>
      </c>
      <c r="OF209" s="12" t="s">
        <v>37</v>
      </c>
      <c r="OG209" s="12" t="s">
        <v>37</v>
      </c>
      <c r="OH209" s="12"/>
      <c r="OI209" s="12"/>
      <c r="OJ209" s="12"/>
      <c r="OM209" s="12" t="s">
        <v>37</v>
      </c>
      <c r="ON209" s="12" t="s">
        <v>37</v>
      </c>
      <c r="OO209" s="12" t="s">
        <v>37</v>
      </c>
      <c r="OP209" s="12" t="s">
        <v>37</v>
      </c>
      <c r="OQ209" s="12" t="s">
        <v>37</v>
      </c>
      <c r="OR209" s="12" t="s">
        <v>37</v>
      </c>
      <c r="OS209" s="12"/>
      <c r="OT209" s="12"/>
      <c r="OW209" s="12" t="s">
        <v>37</v>
      </c>
      <c r="OX209" s="12" t="s">
        <v>37</v>
      </c>
      <c r="OY209" s="13" t="s">
        <v>37</v>
      </c>
      <c r="OZ209" s="12" t="s">
        <v>37</v>
      </c>
      <c r="PA209" s="12" t="s">
        <v>37</v>
      </c>
      <c r="PB209" s="13" t="s">
        <v>37</v>
      </c>
      <c r="PG209" s="11" t="s">
        <v>37</v>
      </c>
      <c r="PH209" s="11" t="s">
        <v>37</v>
      </c>
      <c r="PI209" s="13" t="s">
        <v>37</v>
      </c>
      <c r="PJ209" s="11" t="s">
        <v>37</v>
      </c>
      <c r="PK209" s="11" t="s">
        <v>37</v>
      </c>
      <c r="PL209" s="13" t="s">
        <v>37</v>
      </c>
      <c r="PQ209" s="12" t="s">
        <v>37</v>
      </c>
      <c r="PR209" s="12" t="s">
        <v>37</v>
      </c>
      <c r="PS209" s="12" t="s">
        <v>37</v>
      </c>
      <c r="PT209" s="12" t="s">
        <v>37</v>
      </c>
      <c r="PU209" s="12" t="s">
        <v>37</v>
      </c>
      <c r="PV209" s="12" t="s">
        <v>37</v>
      </c>
      <c r="PW209" s="12"/>
      <c r="PX209" s="12"/>
      <c r="PZ209" s="12" t="s">
        <v>37</v>
      </c>
      <c r="QA209" s="12" t="s">
        <v>37</v>
      </c>
      <c r="QB209" s="11" t="s">
        <v>37</v>
      </c>
      <c r="QD209" s="12" t="s">
        <v>37</v>
      </c>
      <c r="QE209" s="12" t="s">
        <v>37</v>
      </c>
      <c r="QF209" s="12" t="s">
        <v>37</v>
      </c>
      <c r="QK209" s="12" t="s">
        <v>37</v>
      </c>
      <c r="QL209" s="12" t="s">
        <v>37</v>
      </c>
      <c r="QM209" s="12" t="s">
        <v>37</v>
      </c>
      <c r="QN209" s="12" t="s">
        <v>37</v>
      </c>
      <c r="QO209" s="12" t="s">
        <v>37</v>
      </c>
      <c r="QP209" s="12" t="s">
        <v>37</v>
      </c>
      <c r="QQ209" s="12"/>
      <c r="QR209" s="12"/>
      <c r="QU209" s="12" t="s">
        <v>37</v>
      </c>
      <c r="QV209" s="12" t="s">
        <v>37</v>
      </c>
      <c r="QW209" s="12" t="s">
        <v>37</v>
      </c>
      <c r="QX209" s="12" t="s">
        <v>37</v>
      </c>
      <c r="QY209" s="12" t="s">
        <v>37</v>
      </c>
      <c r="QZ209" s="12" t="s">
        <v>37</v>
      </c>
      <c r="RC209" s="12" t="s">
        <v>37</v>
      </c>
      <c r="RD209" s="12" t="s">
        <v>37</v>
      </c>
      <c r="RE209" s="13" t="s">
        <v>37</v>
      </c>
      <c r="RF209" s="12" t="s">
        <v>37</v>
      </c>
      <c r="RG209" s="12" t="s">
        <v>37</v>
      </c>
      <c r="RH209" s="13" t="s">
        <v>37</v>
      </c>
      <c r="RK209" s="12" t="s">
        <v>37</v>
      </c>
      <c r="RL209" s="12" t="s">
        <v>37</v>
      </c>
      <c r="RM209" s="11" t="s">
        <v>37</v>
      </c>
      <c r="RN209" s="12" t="s">
        <v>37</v>
      </c>
      <c r="RO209" s="12" t="s">
        <v>37</v>
      </c>
      <c r="RP209" s="11" t="s">
        <v>37</v>
      </c>
      <c r="RS209" s="12" t="s">
        <v>37</v>
      </c>
      <c r="RT209" s="12" t="s">
        <v>37</v>
      </c>
      <c r="RU209" s="12" t="s">
        <v>37</v>
      </c>
      <c r="RV209" s="12" t="s">
        <v>37</v>
      </c>
      <c r="RW209" s="12" t="s">
        <v>37</v>
      </c>
      <c r="RX209" s="12" t="s">
        <v>37</v>
      </c>
      <c r="SA209" s="12" t="s">
        <v>37</v>
      </c>
      <c r="SB209" s="12" t="s">
        <v>37</v>
      </c>
      <c r="SC209" s="12" t="s">
        <v>37</v>
      </c>
      <c r="SD209" s="12" t="s">
        <v>37</v>
      </c>
      <c r="SE209" s="12" t="s">
        <v>37</v>
      </c>
      <c r="SF209" s="12" t="s">
        <v>37</v>
      </c>
      <c r="SI209" s="12" t="s">
        <v>37</v>
      </c>
      <c r="SJ209" s="12" t="s">
        <v>37</v>
      </c>
      <c r="SK209" s="13" t="s">
        <v>37</v>
      </c>
      <c r="SM209" s="12" t="s">
        <v>37</v>
      </c>
      <c r="SN209" s="12" t="s">
        <v>37</v>
      </c>
      <c r="SO209" s="13" t="s">
        <v>37</v>
      </c>
      <c r="SU209" s="12" t="s">
        <v>37</v>
      </c>
      <c r="SV209" s="12" t="s">
        <v>37</v>
      </c>
      <c r="SW209" s="12" t="s">
        <v>37</v>
      </c>
      <c r="SX209" s="12" t="s">
        <v>37</v>
      </c>
      <c r="SY209" s="12" t="s">
        <v>37</v>
      </c>
      <c r="SZ209" s="12" t="s">
        <v>37</v>
      </c>
      <c r="TA209" s="12"/>
      <c r="TB209" s="12"/>
      <c r="TE209" s="12" t="s">
        <v>37</v>
      </c>
      <c r="TF209" s="12" t="s">
        <v>37</v>
      </c>
      <c r="TG209" s="11" t="s">
        <v>37</v>
      </c>
      <c r="TH209" s="12" t="s">
        <v>37</v>
      </c>
      <c r="TI209" s="12" t="s">
        <v>37</v>
      </c>
      <c r="TJ209" s="11" t="s">
        <v>37</v>
      </c>
      <c r="TO209" s="12" t="s">
        <v>37</v>
      </c>
      <c r="TP209" s="12" t="s">
        <v>37</v>
      </c>
      <c r="TQ209" s="11" t="s">
        <v>37</v>
      </c>
      <c r="TR209" s="12" t="s">
        <v>37</v>
      </c>
      <c r="TS209" s="12" t="s">
        <v>37</v>
      </c>
      <c r="TT209" s="11" t="s">
        <v>37</v>
      </c>
      <c r="TY209" s="12" t="s">
        <v>37</v>
      </c>
      <c r="TZ209" s="12" t="s">
        <v>37</v>
      </c>
      <c r="UA209" s="12" t="s">
        <v>37</v>
      </c>
      <c r="UB209" s="12" t="s">
        <v>37</v>
      </c>
      <c r="UC209" s="12" t="s">
        <v>37</v>
      </c>
      <c r="UD209" s="12" t="s">
        <v>37</v>
      </c>
      <c r="UE209" s="12"/>
      <c r="UF209" s="12"/>
      <c r="UI209" s="12" t="s">
        <v>37</v>
      </c>
      <c r="UJ209" s="12" t="s">
        <v>37</v>
      </c>
      <c r="UK209" s="12" t="s">
        <v>37</v>
      </c>
      <c r="UL209" s="12" t="s">
        <v>37</v>
      </c>
      <c r="UM209" s="12" t="s">
        <v>37</v>
      </c>
      <c r="UN209" s="12" t="s">
        <v>37</v>
      </c>
      <c r="UO209" s="12"/>
      <c r="UP209" s="12"/>
      <c r="UR209" s="12" t="s">
        <v>37</v>
      </c>
      <c r="US209" s="12" t="s">
        <v>37</v>
      </c>
      <c r="UT209" s="12" t="s">
        <v>37</v>
      </c>
      <c r="UU209" s="12" t="s">
        <v>37</v>
      </c>
      <c r="UV209" s="12" t="s">
        <v>37</v>
      </c>
      <c r="UW209" s="12" t="s">
        <v>37</v>
      </c>
      <c r="UX209" s="12"/>
      <c r="UY209" s="12"/>
      <c r="VB209" s="12" t="s">
        <v>37</v>
      </c>
      <c r="VC209" s="12" t="s">
        <v>37</v>
      </c>
      <c r="VD209" s="12" t="s">
        <v>37</v>
      </c>
      <c r="VE209" s="12" t="s">
        <v>37</v>
      </c>
      <c r="VF209" s="12" t="s">
        <v>37</v>
      </c>
      <c r="VG209" s="12" t="s">
        <v>37</v>
      </c>
      <c r="VI209" s="12" t="s">
        <v>37</v>
      </c>
      <c r="VJ209" s="12" t="s">
        <v>37</v>
      </c>
      <c r="VK209" s="12" t="s">
        <v>37</v>
      </c>
      <c r="VL209" s="12" t="s">
        <v>37</v>
      </c>
      <c r="VM209" s="12" t="s">
        <v>37</v>
      </c>
      <c r="VN209" s="12" t="s">
        <v>37</v>
      </c>
      <c r="VQ209" s="13" t="s">
        <v>37</v>
      </c>
      <c r="VR209" s="13" t="s">
        <v>37</v>
      </c>
      <c r="VS209" s="13" t="s">
        <v>37</v>
      </c>
      <c r="VT209" s="13" t="s">
        <v>37</v>
      </c>
      <c r="VU209" s="13" t="s">
        <v>37</v>
      </c>
      <c r="VV209" s="13" t="s">
        <v>37</v>
      </c>
      <c r="WA209" s="13" t="s">
        <v>37</v>
      </c>
      <c r="WB209" s="13" t="s">
        <v>37</v>
      </c>
      <c r="WC209" s="13" t="s">
        <v>37</v>
      </c>
      <c r="WD209" s="13" t="s">
        <v>37</v>
      </c>
      <c r="WE209" s="13" t="s">
        <v>37</v>
      </c>
      <c r="WF209" s="13" t="s">
        <v>37</v>
      </c>
    </row>
    <row r="210" spans="1:606" ht="18" customHeight="1" x14ac:dyDescent="0.3">
      <c r="A210" s="11">
        <v>53</v>
      </c>
      <c r="B210" s="16" t="s">
        <v>312</v>
      </c>
      <c r="C210" s="12" t="s">
        <v>26</v>
      </c>
      <c r="D210" s="12" t="s">
        <v>973</v>
      </c>
      <c r="E210" s="40" t="s">
        <v>37</v>
      </c>
      <c r="F210" s="14">
        <v>0</v>
      </c>
      <c r="G210" s="14">
        <v>0</v>
      </c>
      <c r="H210" s="12" t="s">
        <v>313</v>
      </c>
      <c r="I210" s="29">
        <v>68.613</v>
      </c>
      <c r="J210" s="29">
        <v>161.34100000000001</v>
      </c>
      <c r="K210" s="12" t="s">
        <v>663</v>
      </c>
      <c r="L210" s="12" t="s">
        <v>664</v>
      </c>
      <c r="M210" s="13" t="s">
        <v>37</v>
      </c>
      <c r="N210" s="14" t="s">
        <v>37</v>
      </c>
      <c r="O210" s="14" t="s">
        <v>37</v>
      </c>
      <c r="P210" s="14" t="s">
        <v>84</v>
      </c>
      <c r="Q210" s="75">
        <v>11</v>
      </c>
      <c r="R210" s="11" t="s">
        <v>37</v>
      </c>
      <c r="S210" s="12" t="s">
        <v>51</v>
      </c>
      <c r="T210" s="12" t="s">
        <v>37</v>
      </c>
      <c r="U210" s="12" t="s">
        <v>158</v>
      </c>
      <c r="V210" s="12" t="s">
        <v>275</v>
      </c>
      <c r="W210" s="23" t="s">
        <v>314</v>
      </c>
      <c r="X210" s="12" t="s">
        <v>280</v>
      </c>
      <c r="Y210" s="12" t="s">
        <v>37</v>
      </c>
      <c r="Z210" s="12" t="s">
        <v>315</v>
      </c>
      <c r="AB210" s="12" t="s">
        <v>37</v>
      </c>
      <c r="AE210" s="12" t="s">
        <v>37</v>
      </c>
      <c r="AH210" s="12" t="s">
        <v>37</v>
      </c>
      <c r="AK210" s="12" t="s">
        <v>37</v>
      </c>
      <c r="AL210" s="32" t="s">
        <v>322</v>
      </c>
      <c r="AM210" s="12" t="s">
        <v>321</v>
      </c>
      <c r="AN210" s="32" t="s">
        <v>893</v>
      </c>
      <c r="AO210" s="12" t="s">
        <v>37</v>
      </c>
      <c r="AP210" s="12" t="s">
        <v>81</v>
      </c>
      <c r="AQ210" s="12" t="s">
        <v>975</v>
      </c>
      <c r="AT210" s="12" t="s">
        <v>326</v>
      </c>
      <c r="AU210" s="12" t="s">
        <v>326</v>
      </c>
      <c r="AV210" s="13" t="s">
        <v>326</v>
      </c>
      <c r="AX210" s="12" t="s">
        <v>326</v>
      </c>
      <c r="AY210" s="12" t="s">
        <v>326</v>
      </c>
      <c r="AZ210" s="13" t="s">
        <v>326</v>
      </c>
      <c r="BE210" s="12" t="s">
        <v>326</v>
      </c>
      <c r="BF210" s="12" t="s">
        <v>326</v>
      </c>
      <c r="BG210" s="12" t="s">
        <v>326</v>
      </c>
      <c r="BI210" s="12" t="s">
        <v>326</v>
      </c>
      <c r="BJ210" s="12" t="s">
        <v>326</v>
      </c>
      <c r="BK210" s="12" t="s">
        <v>326</v>
      </c>
      <c r="BP210" s="12" t="s">
        <v>37</v>
      </c>
      <c r="BQ210" s="12" t="s">
        <v>37</v>
      </c>
      <c r="BR210" s="13" t="s">
        <v>37</v>
      </c>
      <c r="BT210" s="12" t="s">
        <v>37</v>
      </c>
      <c r="BU210" s="12" t="s">
        <v>37</v>
      </c>
      <c r="BV210" s="12" t="s">
        <v>37</v>
      </c>
      <c r="CA210" s="12" t="s">
        <v>37</v>
      </c>
      <c r="CB210" s="12" t="s">
        <v>37</v>
      </c>
      <c r="CC210" s="13" t="s">
        <v>37</v>
      </c>
      <c r="CE210" s="12" t="s">
        <v>37</v>
      </c>
      <c r="CF210" s="12" t="s">
        <v>37</v>
      </c>
      <c r="CG210" s="13" t="s">
        <v>37</v>
      </c>
      <c r="CI210" s="13"/>
      <c r="CJ210" s="13"/>
      <c r="CN210" s="12" t="s">
        <v>37</v>
      </c>
      <c r="CO210" s="12" t="s">
        <v>37</v>
      </c>
      <c r="CP210" s="13" t="s">
        <v>37</v>
      </c>
      <c r="CR210" s="12" t="s">
        <v>37</v>
      </c>
      <c r="CS210" s="12" t="s">
        <v>37</v>
      </c>
      <c r="CT210" s="13" t="s">
        <v>37</v>
      </c>
      <c r="CV210" s="13"/>
      <c r="CW210" s="13"/>
      <c r="CX210" s="72"/>
      <c r="CY210" s="72"/>
      <c r="DA210" s="12" t="s">
        <v>37</v>
      </c>
      <c r="DB210" s="12" t="s">
        <v>37</v>
      </c>
      <c r="DC210" s="13" t="s">
        <v>37</v>
      </c>
      <c r="DE210" s="12" t="s">
        <v>37</v>
      </c>
      <c r="DF210" s="12" t="s">
        <v>37</v>
      </c>
      <c r="DG210" s="13" t="s">
        <v>37</v>
      </c>
      <c r="DM210" s="11" t="s">
        <v>47</v>
      </c>
      <c r="DN210" s="19">
        <f>10*("2014/05/31"-"2013/10/01")*10^4/10^6/'[1]classes-1'!$I$84</f>
        <v>34.702280090943461</v>
      </c>
      <c r="DO210" s="50">
        <f>ABS(DN210)*DQ$474</f>
        <v>38.688853360019664</v>
      </c>
      <c r="DP210" s="13">
        <v>10</v>
      </c>
      <c r="DR210" s="19">
        <f>11*("2014/05/31"-"2013/10/01")*10^4/10^6/'[1]classes-1'!$I$85</f>
        <v>27.701382101832849</v>
      </c>
      <c r="DS210" s="50">
        <f>ABS(DR210)*DU$474</f>
        <v>103.52605657476954</v>
      </c>
      <c r="DT210" s="13">
        <v>10</v>
      </c>
      <c r="DV210" s="19">
        <f t="shared" si="913"/>
        <v>-7.0008979891106122</v>
      </c>
      <c r="DW210" s="12">
        <f t="shared" si="914"/>
        <v>78.148806018503848</v>
      </c>
      <c r="DX210" s="72">
        <f t="shared" si="641"/>
        <v>1221.4471764235486</v>
      </c>
      <c r="DY210" s="72">
        <f t="shared" si="642"/>
        <v>1221.4471764235489</v>
      </c>
      <c r="EA210" s="19" t="s">
        <v>37</v>
      </c>
      <c r="EB210" s="19" t="s">
        <v>37</v>
      </c>
      <c r="EC210" s="72" t="s">
        <v>37</v>
      </c>
      <c r="EE210" s="19" t="s">
        <v>37</v>
      </c>
      <c r="EF210" s="19" t="s">
        <v>37</v>
      </c>
      <c r="EG210" s="12" t="s">
        <v>37</v>
      </c>
      <c r="EN210" s="12" t="s">
        <v>37</v>
      </c>
      <c r="EO210" s="12" t="s">
        <v>37</v>
      </c>
      <c r="EP210" s="13" t="s">
        <v>37</v>
      </c>
      <c r="ER210" s="12" t="s">
        <v>37</v>
      </c>
      <c r="ES210" s="12" t="s">
        <v>37</v>
      </c>
      <c r="ET210" s="13" t="s">
        <v>37</v>
      </c>
      <c r="FB210" s="12" t="s">
        <v>37</v>
      </c>
      <c r="FC210" s="12" t="s">
        <v>37</v>
      </c>
      <c r="FD210" s="11" t="s">
        <v>37</v>
      </c>
      <c r="FE210" s="12" t="s">
        <v>37</v>
      </c>
      <c r="FF210" s="20" t="s">
        <v>37</v>
      </c>
      <c r="FG210" s="11" t="s">
        <v>37</v>
      </c>
      <c r="FI210" s="12" t="s">
        <v>37</v>
      </c>
      <c r="FJ210" s="12" t="s">
        <v>37</v>
      </c>
      <c r="FK210" s="11" t="s">
        <v>37</v>
      </c>
      <c r="FL210" s="13" t="s">
        <v>37</v>
      </c>
      <c r="FM210" s="11" t="s">
        <v>37</v>
      </c>
      <c r="FN210" s="11" t="s">
        <v>37</v>
      </c>
      <c r="FP210" s="12" t="s">
        <v>37</v>
      </c>
      <c r="FQ210" s="12" t="s">
        <v>37</v>
      </c>
      <c r="FR210" s="11" t="s">
        <v>37</v>
      </c>
      <c r="FS210" s="13" t="s">
        <v>37</v>
      </c>
      <c r="FT210" s="11" t="s">
        <v>37</v>
      </c>
      <c r="FU210" s="11" t="s">
        <v>37</v>
      </c>
      <c r="FW210" s="12" t="s">
        <v>37</v>
      </c>
      <c r="FX210" s="12" t="s">
        <v>37</v>
      </c>
      <c r="FY210" s="11" t="s">
        <v>37</v>
      </c>
      <c r="FZ210" s="13" t="s">
        <v>37</v>
      </c>
      <c r="GA210" s="11" t="s">
        <v>37</v>
      </c>
      <c r="GB210" s="11" t="s">
        <v>37</v>
      </c>
      <c r="IK210" s="12" t="s">
        <v>37</v>
      </c>
      <c r="IL210" s="12" t="s">
        <v>37</v>
      </c>
      <c r="IM210" s="12" t="s">
        <v>37</v>
      </c>
      <c r="IO210" s="12" t="s">
        <v>37</v>
      </c>
      <c r="IP210" s="12" t="s">
        <v>37</v>
      </c>
      <c r="IQ210" s="12" t="s">
        <v>37</v>
      </c>
      <c r="IW210" s="12" t="s">
        <v>37</v>
      </c>
      <c r="IX210" s="12" t="s">
        <v>37</v>
      </c>
      <c r="IY210" s="13" t="s">
        <v>37</v>
      </c>
      <c r="JA210" s="12" t="s">
        <v>37</v>
      </c>
      <c r="JB210" s="12" t="s">
        <v>37</v>
      </c>
      <c r="JC210" s="13" t="s">
        <v>37</v>
      </c>
      <c r="JH210" s="12" t="s">
        <v>37</v>
      </c>
      <c r="JI210" s="12" t="s">
        <v>37</v>
      </c>
      <c r="JJ210" s="13" t="s">
        <v>37</v>
      </c>
      <c r="JL210" s="12" t="s">
        <v>37</v>
      </c>
      <c r="JM210" s="12" t="s">
        <v>37</v>
      </c>
      <c r="JN210" s="12" t="s">
        <v>37</v>
      </c>
      <c r="JS210" s="12" t="s">
        <v>37</v>
      </c>
      <c r="JT210" s="12" t="s">
        <v>37</v>
      </c>
      <c r="JU210" s="13" t="s">
        <v>37</v>
      </c>
      <c r="JW210" s="12" t="s">
        <v>37</v>
      </c>
      <c r="JX210" s="12" t="s">
        <v>37</v>
      </c>
      <c r="JY210" s="12" t="s">
        <v>37</v>
      </c>
      <c r="KE210" s="12" t="s">
        <v>37</v>
      </c>
      <c r="KF210" s="12" t="s">
        <v>37</v>
      </c>
      <c r="KG210" s="13" t="s">
        <v>37</v>
      </c>
      <c r="KH210" s="12" t="s">
        <v>37</v>
      </c>
      <c r="KI210" s="12" t="s">
        <v>37</v>
      </c>
      <c r="KJ210" s="12" t="s">
        <v>37</v>
      </c>
      <c r="KM210" s="12" t="s">
        <v>37</v>
      </c>
      <c r="KN210" s="12" t="s">
        <v>37</v>
      </c>
      <c r="KO210" s="11" t="s">
        <v>37</v>
      </c>
      <c r="KQ210" s="12" t="s">
        <v>37</v>
      </c>
      <c r="KR210" s="12" t="s">
        <v>37</v>
      </c>
      <c r="KS210" s="12" t="s">
        <v>37</v>
      </c>
      <c r="KX210" s="12" t="s">
        <v>37</v>
      </c>
      <c r="KY210" s="12" t="s">
        <v>37</v>
      </c>
      <c r="KZ210" s="12" t="s">
        <v>37</v>
      </c>
      <c r="LB210" s="12" t="s">
        <v>37</v>
      </c>
      <c r="LC210" s="12" t="s">
        <v>37</v>
      </c>
      <c r="LD210" s="12" t="s">
        <v>37</v>
      </c>
      <c r="LI210" s="12" t="s">
        <v>37</v>
      </c>
      <c r="LJ210" s="12" t="s">
        <v>37</v>
      </c>
      <c r="LK210" s="12" t="s">
        <v>37</v>
      </c>
      <c r="LM210" s="12" t="s">
        <v>37</v>
      </c>
      <c r="LN210" s="12" t="s">
        <v>37</v>
      </c>
      <c r="LO210" s="12" t="s">
        <v>37</v>
      </c>
      <c r="LU210" s="12" t="s">
        <v>37</v>
      </c>
      <c r="LV210" s="12" t="s">
        <v>37</v>
      </c>
      <c r="LW210" s="12" t="s">
        <v>37</v>
      </c>
      <c r="LY210" s="12" t="s">
        <v>37</v>
      </c>
      <c r="LZ210" s="12" t="s">
        <v>37</v>
      </c>
      <c r="MA210" s="12" t="s">
        <v>37</v>
      </c>
      <c r="MF210" s="12" t="s">
        <v>37</v>
      </c>
      <c r="MG210" s="12" t="s">
        <v>37</v>
      </c>
      <c r="MH210" s="12" t="s">
        <v>37</v>
      </c>
      <c r="MJ210" s="12" t="s">
        <v>37</v>
      </c>
      <c r="MK210" s="12" t="s">
        <v>37</v>
      </c>
      <c r="ML210" s="12" t="s">
        <v>37</v>
      </c>
      <c r="MQ210" s="12" t="s">
        <v>37</v>
      </c>
      <c r="MR210" s="12" t="s">
        <v>37</v>
      </c>
      <c r="MS210" s="12" t="s">
        <v>37</v>
      </c>
      <c r="MU210" s="12" t="s">
        <v>37</v>
      </c>
      <c r="MV210" s="12" t="s">
        <v>37</v>
      </c>
      <c r="MW210" s="12" t="s">
        <v>37</v>
      </c>
      <c r="NC210" s="12" t="s">
        <v>37</v>
      </c>
      <c r="ND210" s="12" t="s">
        <v>37</v>
      </c>
      <c r="NE210" s="12" t="s">
        <v>37</v>
      </c>
      <c r="NG210" s="12" t="s">
        <v>37</v>
      </c>
      <c r="NH210" s="12" t="s">
        <v>37</v>
      </c>
      <c r="NI210" s="12" t="s">
        <v>37</v>
      </c>
      <c r="NO210" s="12" t="s">
        <v>37</v>
      </c>
      <c r="NP210" s="12" t="s">
        <v>37</v>
      </c>
      <c r="NQ210" s="12" t="s">
        <v>37</v>
      </c>
      <c r="NS210" s="12" t="s">
        <v>37</v>
      </c>
      <c r="NT210" s="12" t="s">
        <v>37</v>
      </c>
      <c r="NU210" s="12" t="s">
        <v>37</v>
      </c>
      <c r="OA210" s="12" t="s">
        <v>37</v>
      </c>
      <c r="OB210" s="12" t="s">
        <v>37</v>
      </c>
      <c r="OC210" s="12" t="s">
        <v>37</v>
      </c>
      <c r="OD210" s="12"/>
      <c r="OE210" s="12" t="s">
        <v>37</v>
      </c>
      <c r="OF210" s="12" t="s">
        <v>37</v>
      </c>
      <c r="OG210" s="12" t="s">
        <v>37</v>
      </c>
      <c r="OH210" s="12"/>
      <c r="OI210" s="12"/>
      <c r="OJ210" s="12"/>
      <c r="OM210" s="12" t="s">
        <v>37</v>
      </c>
      <c r="ON210" s="12" t="s">
        <v>37</v>
      </c>
      <c r="OO210" s="12" t="s">
        <v>37</v>
      </c>
      <c r="OP210" s="12" t="s">
        <v>37</v>
      </c>
      <c r="OQ210" s="12" t="s">
        <v>37</v>
      </c>
      <c r="OR210" s="12" t="s">
        <v>37</v>
      </c>
      <c r="OS210" s="12"/>
      <c r="OT210" s="12"/>
      <c r="OW210" s="12" t="s">
        <v>37</v>
      </c>
      <c r="OX210" s="12" t="s">
        <v>37</v>
      </c>
      <c r="OY210" s="13" t="s">
        <v>37</v>
      </c>
      <c r="OZ210" s="12" t="s">
        <v>37</v>
      </c>
      <c r="PA210" s="12" t="s">
        <v>37</v>
      </c>
      <c r="PB210" s="13" t="s">
        <v>37</v>
      </c>
      <c r="PG210" s="11" t="s">
        <v>37</v>
      </c>
      <c r="PH210" s="11" t="s">
        <v>37</v>
      </c>
      <c r="PI210" s="13" t="s">
        <v>37</v>
      </c>
      <c r="PJ210" s="11" t="s">
        <v>37</v>
      </c>
      <c r="PK210" s="11" t="s">
        <v>37</v>
      </c>
      <c r="PL210" s="13" t="s">
        <v>37</v>
      </c>
      <c r="PQ210" s="12" t="s">
        <v>37</v>
      </c>
      <c r="PR210" s="12" t="s">
        <v>37</v>
      </c>
      <c r="PS210" s="12" t="s">
        <v>37</v>
      </c>
      <c r="PT210" s="12" t="s">
        <v>37</v>
      </c>
      <c r="PU210" s="12" t="s">
        <v>37</v>
      </c>
      <c r="PV210" s="12" t="s">
        <v>37</v>
      </c>
      <c r="PW210" s="12"/>
      <c r="PX210" s="12"/>
      <c r="PZ210" s="12" t="s">
        <v>37</v>
      </c>
      <c r="QA210" s="12" t="s">
        <v>37</v>
      </c>
      <c r="QB210" s="11" t="s">
        <v>37</v>
      </c>
      <c r="QD210" s="12" t="s">
        <v>37</v>
      </c>
      <c r="QE210" s="12" t="s">
        <v>37</v>
      </c>
      <c r="QF210" s="12" t="s">
        <v>37</v>
      </c>
      <c r="QK210" s="12" t="s">
        <v>37</v>
      </c>
      <c r="QL210" s="12" t="s">
        <v>37</v>
      </c>
      <c r="QM210" s="12" t="s">
        <v>37</v>
      </c>
      <c r="QN210" s="12" t="s">
        <v>37</v>
      </c>
      <c r="QO210" s="12" t="s">
        <v>37</v>
      </c>
      <c r="QP210" s="12" t="s">
        <v>37</v>
      </c>
      <c r="QQ210" s="12"/>
      <c r="QR210" s="12"/>
      <c r="QU210" s="12" t="s">
        <v>37</v>
      </c>
      <c r="QV210" s="12" t="s">
        <v>37</v>
      </c>
      <c r="QW210" s="12" t="s">
        <v>37</v>
      </c>
      <c r="QX210" s="12" t="s">
        <v>37</v>
      </c>
      <c r="QY210" s="12" t="s">
        <v>37</v>
      </c>
      <c r="QZ210" s="12" t="s">
        <v>37</v>
      </c>
      <c r="RC210" s="12" t="s">
        <v>37</v>
      </c>
      <c r="RD210" s="12" t="s">
        <v>37</v>
      </c>
      <c r="RE210" s="13" t="s">
        <v>37</v>
      </c>
      <c r="RF210" s="12" t="s">
        <v>37</v>
      </c>
      <c r="RG210" s="12" t="s">
        <v>37</v>
      </c>
      <c r="RH210" s="13" t="s">
        <v>37</v>
      </c>
      <c r="RK210" s="12" t="s">
        <v>37</v>
      </c>
      <c r="RL210" s="12" t="s">
        <v>37</v>
      </c>
      <c r="RM210" s="11" t="s">
        <v>37</v>
      </c>
      <c r="RN210" s="12" t="s">
        <v>37</v>
      </c>
      <c r="RO210" s="12" t="s">
        <v>37</v>
      </c>
      <c r="RP210" s="11" t="s">
        <v>37</v>
      </c>
      <c r="RS210" s="12" t="s">
        <v>37</v>
      </c>
      <c r="RT210" s="12" t="s">
        <v>37</v>
      </c>
      <c r="RU210" s="12" t="s">
        <v>37</v>
      </c>
      <c r="RV210" s="12" t="s">
        <v>37</v>
      </c>
      <c r="RW210" s="12" t="s">
        <v>37</v>
      </c>
      <c r="RX210" s="12" t="s">
        <v>37</v>
      </c>
      <c r="SA210" s="12" t="s">
        <v>37</v>
      </c>
      <c r="SB210" s="12" t="s">
        <v>37</v>
      </c>
      <c r="SC210" s="12" t="s">
        <v>37</v>
      </c>
      <c r="SD210" s="12" t="s">
        <v>37</v>
      </c>
      <c r="SE210" s="12" t="s">
        <v>37</v>
      </c>
      <c r="SF210" s="12" t="s">
        <v>37</v>
      </c>
      <c r="SI210" s="12" t="s">
        <v>37</v>
      </c>
      <c r="SJ210" s="12" t="s">
        <v>37</v>
      </c>
      <c r="SK210" s="13" t="s">
        <v>37</v>
      </c>
      <c r="SM210" s="12" t="s">
        <v>37</v>
      </c>
      <c r="SN210" s="12" t="s">
        <v>37</v>
      </c>
      <c r="SO210" s="13" t="s">
        <v>37</v>
      </c>
      <c r="SU210" s="12" t="s">
        <v>37</v>
      </c>
      <c r="SV210" s="12" t="s">
        <v>37</v>
      </c>
      <c r="SW210" s="12" t="s">
        <v>37</v>
      </c>
      <c r="SX210" s="12" t="s">
        <v>37</v>
      </c>
      <c r="SY210" s="12" t="s">
        <v>37</v>
      </c>
      <c r="SZ210" s="12" t="s">
        <v>37</v>
      </c>
      <c r="TA210" s="12"/>
      <c r="TB210" s="12"/>
      <c r="TE210" s="12" t="s">
        <v>37</v>
      </c>
      <c r="TF210" s="12" t="s">
        <v>37</v>
      </c>
      <c r="TG210" s="11" t="s">
        <v>37</v>
      </c>
      <c r="TH210" s="12" t="s">
        <v>37</v>
      </c>
      <c r="TI210" s="12" t="s">
        <v>37</v>
      </c>
      <c r="TJ210" s="11" t="s">
        <v>37</v>
      </c>
      <c r="TO210" s="12" t="s">
        <v>37</v>
      </c>
      <c r="TP210" s="12" t="s">
        <v>37</v>
      </c>
      <c r="TQ210" s="11" t="s">
        <v>37</v>
      </c>
      <c r="TR210" s="12" t="s">
        <v>37</v>
      </c>
      <c r="TS210" s="12" t="s">
        <v>37</v>
      </c>
      <c r="TT210" s="11" t="s">
        <v>37</v>
      </c>
      <c r="TY210" s="12" t="s">
        <v>37</v>
      </c>
      <c r="TZ210" s="12" t="s">
        <v>37</v>
      </c>
      <c r="UA210" s="12" t="s">
        <v>37</v>
      </c>
      <c r="UB210" s="12" t="s">
        <v>37</v>
      </c>
      <c r="UC210" s="12" t="s">
        <v>37</v>
      </c>
      <c r="UD210" s="12" t="s">
        <v>37</v>
      </c>
      <c r="UE210" s="12"/>
      <c r="UF210" s="12"/>
      <c r="UI210" s="12" t="s">
        <v>37</v>
      </c>
      <c r="UJ210" s="12" t="s">
        <v>37</v>
      </c>
      <c r="UK210" s="12" t="s">
        <v>37</v>
      </c>
      <c r="UL210" s="12" t="s">
        <v>37</v>
      </c>
      <c r="UM210" s="12" t="s">
        <v>37</v>
      </c>
      <c r="UN210" s="12" t="s">
        <v>37</v>
      </c>
      <c r="UO210" s="12"/>
      <c r="UP210" s="12"/>
      <c r="UR210" s="12" t="s">
        <v>37</v>
      </c>
      <c r="US210" s="12" t="s">
        <v>37</v>
      </c>
      <c r="UT210" s="12" t="s">
        <v>37</v>
      </c>
      <c r="UU210" s="12" t="s">
        <v>37</v>
      </c>
      <c r="UV210" s="12" t="s">
        <v>37</v>
      </c>
      <c r="UW210" s="12" t="s">
        <v>37</v>
      </c>
      <c r="UX210" s="12"/>
      <c r="UY210" s="12"/>
      <c r="VB210" s="12" t="s">
        <v>37</v>
      </c>
      <c r="VC210" s="12" t="s">
        <v>37</v>
      </c>
      <c r="VD210" s="12" t="s">
        <v>37</v>
      </c>
      <c r="VE210" s="12" t="s">
        <v>37</v>
      </c>
      <c r="VF210" s="12" t="s">
        <v>37</v>
      </c>
      <c r="VG210" s="12" t="s">
        <v>37</v>
      </c>
      <c r="VI210" s="12" t="s">
        <v>37</v>
      </c>
      <c r="VJ210" s="12" t="s">
        <v>37</v>
      </c>
      <c r="VK210" s="12" t="s">
        <v>37</v>
      </c>
      <c r="VL210" s="12" t="s">
        <v>37</v>
      </c>
      <c r="VM210" s="12" t="s">
        <v>37</v>
      </c>
      <c r="VN210" s="12" t="s">
        <v>37</v>
      </c>
      <c r="VQ210" s="13" t="s">
        <v>37</v>
      </c>
      <c r="VR210" s="13" t="s">
        <v>37</v>
      </c>
      <c r="VS210" s="13" t="s">
        <v>37</v>
      </c>
      <c r="VT210" s="13" t="s">
        <v>37</v>
      </c>
      <c r="VU210" s="13" t="s">
        <v>37</v>
      </c>
      <c r="VV210" s="13" t="s">
        <v>37</v>
      </c>
      <c r="WA210" s="13" t="s">
        <v>37</v>
      </c>
      <c r="WB210" s="13" t="s">
        <v>37</v>
      </c>
      <c r="WC210" s="13" t="s">
        <v>37</v>
      </c>
      <c r="WD210" s="13" t="s">
        <v>37</v>
      </c>
      <c r="WE210" s="13" t="s">
        <v>37</v>
      </c>
      <c r="WF210" s="13" t="s">
        <v>37</v>
      </c>
    </row>
    <row r="211" spans="1:606" ht="18" customHeight="1" x14ac:dyDescent="0.3">
      <c r="A211" s="11">
        <v>54</v>
      </c>
      <c r="B211" s="16" t="s">
        <v>323</v>
      </c>
      <c r="C211" s="12" t="s">
        <v>26</v>
      </c>
      <c r="D211" s="12" t="s">
        <v>54</v>
      </c>
      <c r="E211" s="40">
        <v>1.75</v>
      </c>
      <c r="F211" s="14">
        <v>0</v>
      </c>
      <c r="G211" s="14">
        <v>0</v>
      </c>
      <c r="H211" s="12" t="s">
        <v>123</v>
      </c>
      <c r="I211" s="29">
        <v>71.53</v>
      </c>
      <c r="J211" s="29">
        <v>47.02</v>
      </c>
      <c r="K211" s="12" t="s">
        <v>324</v>
      </c>
      <c r="L211" s="12" t="s">
        <v>325</v>
      </c>
      <c r="M211" s="13" t="s">
        <v>37</v>
      </c>
      <c r="N211" s="14" t="s">
        <v>37</v>
      </c>
      <c r="O211" s="14" t="s">
        <v>37</v>
      </c>
      <c r="P211" s="14" t="s">
        <v>84</v>
      </c>
      <c r="Q211" s="75">
        <v>41</v>
      </c>
      <c r="R211" s="11" t="s">
        <v>1000</v>
      </c>
      <c r="S211" s="12" t="s">
        <v>93</v>
      </c>
      <c r="T211" s="12" t="s">
        <v>876</v>
      </c>
      <c r="U211" s="12" t="s">
        <v>158</v>
      </c>
      <c r="V211" s="12" t="s">
        <v>275</v>
      </c>
      <c r="W211" s="23" t="s">
        <v>107</v>
      </c>
      <c r="X211" s="12" t="s">
        <v>281</v>
      </c>
      <c r="Y211" s="12" t="s">
        <v>37</v>
      </c>
      <c r="Z211" s="12" t="s">
        <v>37</v>
      </c>
      <c r="AA211" s="32" t="s">
        <v>327</v>
      </c>
      <c r="AB211" s="12">
        <v>4.0999999999999996</v>
      </c>
      <c r="AC211" s="12" t="s">
        <v>42</v>
      </c>
      <c r="AD211" s="32" t="s">
        <v>327</v>
      </c>
      <c r="AE211" s="12">
        <f>990/1.724</f>
        <v>574.24593967517399</v>
      </c>
      <c r="AF211" s="12" t="s">
        <v>42</v>
      </c>
      <c r="AG211" s="32" t="s">
        <v>327</v>
      </c>
      <c r="AH211" s="12">
        <v>4.7</v>
      </c>
      <c r="AJ211" s="12" t="str">
        <f t="shared" ref="AJ211:AJ214" si="918">AD211</f>
        <v>0-15</v>
      </c>
      <c r="AK211" s="19">
        <f>AE211/AH211</f>
        <v>122.17998716493064</v>
      </c>
      <c r="AL211" s="32" t="s">
        <v>555</v>
      </c>
      <c r="AM211" s="12" t="s">
        <v>317</v>
      </c>
      <c r="AN211" s="32" t="s">
        <v>878</v>
      </c>
      <c r="AO211" s="12" t="s">
        <v>37</v>
      </c>
      <c r="AP211" s="12" t="s">
        <v>167</v>
      </c>
      <c r="AQ211" s="12" t="s">
        <v>975</v>
      </c>
      <c r="AR211" s="12" t="s">
        <v>42</v>
      </c>
      <c r="AS211" s="32" t="s">
        <v>327</v>
      </c>
      <c r="AT211" s="12">
        <f>990/1.724</f>
        <v>574.24593967517399</v>
      </c>
      <c r="AU211" s="50">
        <f>AT211*AW$474</f>
        <v>49.113615778880913</v>
      </c>
      <c r="AV211" s="13">
        <v>10</v>
      </c>
      <c r="AX211" s="12">
        <f>970/1.724</f>
        <v>562.64501160092811</v>
      </c>
      <c r="AY211" s="50">
        <f>AX211*BA$474</f>
        <v>39.728598275582975</v>
      </c>
      <c r="AZ211" s="13">
        <v>14</v>
      </c>
      <c r="BB211" s="52">
        <f t="shared" ref="BB211:BB214" si="919">LN(AX211/AT211)</f>
        <v>-2.0408871631207012E-2</v>
      </c>
      <c r="BC211" s="19">
        <f t="shared" ref="BC211:BC214" si="920">AY211^2/(AZ211*AX211^2)+AU211^2/(AV211*AT211^2)</f>
        <v>1.0876200279664183E-3</v>
      </c>
      <c r="BD211" s="32" t="s">
        <v>329</v>
      </c>
      <c r="BE211" s="12">
        <f>980/1.724</f>
        <v>568.44547563805111</v>
      </c>
      <c r="BF211" s="50">
        <f>BE211*BH$474</f>
        <v>142.7022609814791</v>
      </c>
      <c r="BG211" s="13">
        <v>9</v>
      </c>
      <c r="BI211" s="12">
        <f>970/1.724</f>
        <v>562.64501160092811</v>
      </c>
      <c r="BJ211" s="50">
        <f>BI211*BL$474</f>
        <v>39.419984261106443</v>
      </c>
      <c r="BK211" s="13">
        <v>14</v>
      </c>
      <c r="BM211" s="52">
        <f>LN(BI211/BE211)</f>
        <v>-1.025650016718911E-2</v>
      </c>
      <c r="BN211" s="19">
        <f>BJ211^2/(BK211*BI211^2)+BF211^2/(BG211*BE211^2)</f>
        <v>7.3529331952160992E-3</v>
      </c>
      <c r="BP211" s="12" t="s">
        <v>37</v>
      </c>
      <c r="BQ211" s="12" t="s">
        <v>37</v>
      </c>
      <c r="BR211" s="13" t="s">
        <v>37</v>
      </c>
      <c r="BT211" s="12" t="s">
        <v>37</v>
      </c>
      <c r="BU211" s="12" t="s">
        <v>37</v>
      </c>
      <c r="BV211" s="12" t="s">
        <v>37</v>
      </c>
      <c r="CA211" s="12" t="s">
        <v>37</v>
      </c>
      <c r="CB211" s="12" t="s">
        <v>37</v>
      </c>
      <c r="CC211" s="13" t="s">
        <v>37</v>
      </c>
      <c r="CE211" s="12" t="s">
        <v>37</v>
      </c>
      <c r="CF211" s="12" t="s">
        <v>37</v>
      </c>
      <c r="CG211" s="13" t="s">
        <v>37</v>
      </c>
      <c r="CI211" s="52"/>
      <c r="CJ211" s="52"/>
      <c r="CK211" s="73"/>
      <c r="CL211" s="73"/>
      <c r="CN211" s="12" t="s">
        <v>37</v>
      </c>
      <c r="CO211" s="12" t="s">
        <v>37</v>
      </c>
      <c r="CP211" s="13" t="s">
        <v>37</v>
      </c>
      <c r="CR211" s="12" t="s">
        <v>37</v>
      </c>
      <c r="CS211" s="12" t="s">
        <v>37</v>
      </c>
      <c r="CT211" s="13" t="s">
        <v>37</v>
      </c>
      <c r="CV211" s="52"/>
      <c r="CW211" s="52"/>
      <c r="CX211" s="73"/>
      <c r="CY211" s="73"/>
      <c r="DA211" s="12" t="s">
        <v>37</v>
      </c>
      <c r="DB211" s="12" t="s">
        <v>37</v>
      </c>
      <c r="DC211" s="13" t="s">
        <v>37</v>
      </c>
      <c r="DE211" s="12" t="s">
        <v>37</v>
      </c>
      <c r="DF211" s="12" t="s">
        <v>37</v>
      </c>
      <c r="DG211" s="13" t="s">
        <v>37</v>
      </c>
      <c r="DM211" s="11" t="s">
        <v>47</v>
      </c>
      <c r="DN211" s="19">
        <f>14.97325*("2011/10/31"-"2011/06/01")*10^4*24/10^6/'[1]classes-1'!$I$71</f>
        <v>679.54671344272833</v>
      </c>
      <c r="DO211" s="12">
        <f>SQRT((1/[2]Classes!$I$71)^2*(18.6078403530385*("2011/10/31"-"2011/06/01")*10^4*24/10^6)^2+(-DN211/([2]Classes!$I$71)^2)^2*([2]Classes!$J$71)^2)</f>
        <v>860.0591867401946</v>
      </c>
      <c r="DP211" s="13">
        <v>46</v>
      </c>
      <c r="DQ211" s="19">
        <f>DO211/ABS(DN211)</f>
        <v>1.2656365923439636</v>
      </c>
      <c r="DR211" s="19">
        <f>1.6805*("2011/10/31"-"2011/06/01")*10^4*24/10^6/'[1]classes-1'!$I$72</f>
        <v>15.65177995944169</v>
      </c>
      <c r="DS211" s="12">
        <f>SQRT((1/[2]Classes!$I$72)^2*(2.21282099366397*("2011/10/31"-"2011/06/01")*10^4*24/10^6)^2+(-DR211/([2]Classes!$I$72)^2)^2*([2]Classes!$J$72)^2)</f>
        <v>24.385487937237958</v>
      </c>
      <c r="DT211" s="13">
        <v>73</v>
      </c>
      <c r="DU211" s="19">
        <f>DS211/ABS(DR211)</f>
        <v>1.558000943051068</v>
      </c>
      <c r="DV211" s="19">
        <f t="shared" si="913"/>
        <v>-663.89493348328665</v>
      </c>
      <c r="DW211" s="12">
        <f t="shared" si="914"/>
        <v>533.72898911313825</v>
      </c>
      <c r="DX211" s="72">
        <f t="shared" si="641"/>
        <v>10095.035564189446</v>
      </c>
      <c r="DY211" s="72">
        <f t="shared" si="642"/>
        <v>16088.619933243619</v>
      </c>
      <c r="DZ211" s="11" t="s">
        <v>47</v>
      </c>
      <c r="EA211" s="19">
        <f>-2.05*("2011/10/31"-"2011/06/01")*10^4*24/10^9/'[3]classess-1'!$I$26</f>
        <v>-0.17393369108406392</v>
      </c>
      <c r="EB211" s="19">
        <f>SQRT((1/[5]Classess!$I$26)^2*(18.8693092966683*("2011/10/31"-"2011/06/01")*10^4*24/10^9)^2+(-EA211/([5]Classess!$I$26)^2)^2*([5]Classess!$J$26)^2)</f>
        <v>1.6605685683663671</v>
      </c>
      <c r="EC211" s="72">
        <v>46</v>
      </c>
      <c r="ED211" s="52">
        <f t="shared" ref="ED211" si="921">EB211/ABS(EA211)</f>
        <v>9.5471357965018839</v>
      </c>
      <c r="EE211" s="19">
        <f>124.5*("2011/10/31"-"2011/06/01")*10^4*24/10^9/'[3]classess-1'!$I$27</f>
        <v>6.6517114309370617</v>
      </c>
      <c r="EF211" s="19">
        <f>SQRT((1/[5]Classess!$I$27)^2*(200.121005061105*("2011/10/31"-"2011/06/01")*10^4*24/10^9)^2+(-EE211/([5]Classess!$I$27)^2)^2*([5]Classess!$J$27)^2)</f>
        <v>10.95710857096801</v>
      </c>
      <c r="EG211" s="13">
        <v>73</v>
      </c>
      <c r="EH211" s="52">
        <f t="shared" ref="EH211" si="922">EF211/ABS(EE211)</f>
        <v>1.6472615633935317</v>
      </c>
      <c r="EI211" s="19">
        <f>EE211-EA211</f>
        <v>6.8256451220211254</v>
      </c>
      <c r="EJ211" s="12">
        <f t="shared" ref="EJ211:EJ212" si="923">SQRT(((EC211-1)*EB211^2+(EG211-1)*EF211^2)/(EC211+EG211-2))</f>
        <v>8.6569370393347498</v>
      </c>
      <c r="EK211" s="19">
        <f t="shared" ref="EK211:EK212" si="924">(((EC211+EG211)/(EC211*EG211))*(((EC211-1)*EB211^2)+(EG211-1)*EF211^2)/(EC211+EG211-2))</f>
        <v>2.6557964590404115</v>
      </c>
      <c r="EL211" s="19">
        <f t="shared" ref="EL211:EL212" si="925">(EB211^2/EC211)+(EF211^2/EG211)</f>
        <v>1.704578654164113</v>
      </c>
      <c r="EM211" s="12" t="s">
        <v>39</v>
      </c>
      <c r="EN211" s="12">
        <v>-15</v>
      </c>
      <c r="EO211" s="12">
        <v>13</v>
      </c>
      <c r="EP211" s="13">
        <v>9836</v>
      </c>
      <c r="EQ211" s="19">
        <f t="shared" si="792"/>
        <v>0.8666666666666667</v>
      </c>
      <c r="ER211" s="12">
        <v>-22</v>
      </c>
      <c r="ES211" s="12">
        <v>10</v>
      </c>
      <c r="ET211" s="13">
        <v>11052</v>
      </c>
      <c r="EU211" s="19">
        <f t="shared" si="793"/>
        <v>0.45454545454545453</v>
      </c>
      <c r="EV211" s="19">
        <f t="shared" ref="EV211" si="926">ER211-EN211</f>
        <v>-7</v>
      </c>
      <c r="EW211" s="12">
        <f t="shared" ref="EW211:EW214" si="927">SQRT(((EP211-1)*EO211^2+(ET211-1)*ES211^2)/(EP211+ET211-2))</f>
        <v>11.510490075876129</v>
      </c>
      <c r="EX211" s="19">
        <f t="shared" ref="EX211:EX214" si="928">(((EP211+ET211)/(EP211*ET211))*(((EP211-1)*EO211^2)+(ET211-1)*ES211^2)/(EP211+ET211-2))</f>
        <v>2.5458047472243433E-2</v>
      </c>
      <c r="EY211" s="19">
        <f t="shared" ref="EY211:EY214" si="929">(EO211^2/EP211)+(ES211^2/ET211)</f>
        <v>2.622991729584145E-2</v>
      </c>
      <c r="FB211" s="12" t="s">
        <v>37</v>
      </c>
      <c r="FC211" s="12" t="s">
        <v>37</v>
      </c>
      <c r="FD211" s="11" t="s">
        <v>37</v>
      </c>
      <c r="FE211" s="12" t="s">
        <v>37</v>
      </c>
      <c r="FF211" s="20" t="s">
        <v>37</v>
      </c>
      <c r="FG211" s="11" t="s">
        <v>37</v>
      </c>
      <c r="FI211" s="12" t="s">
        <v>37</v>
      </c>
      <c r="FJ211" s="12" t="s">
        <v>37</v>
      </c>
      <c r="FK211" s="11" t="s">
        <v>37</v>
      </c>
      <c r="FL211" s="13" t="s">
        <v>37</v>
      </c>
      <c r="FM211" s="11" t="s">
        <v>37</v>
      </c>
      <c r="FN211" s="11" t="s">
        <v>37</v>
      </c>
      <c r="FP211" s="12" t="s">
        <v>37</v>
      </c>
      <c r="FQ211" s="12" t="s">
        <v>37</v>
      </c>
      <c r="FR211" s="11" t="s">
        <v>37</v>
      </c>
      <c r="FS211" s="13" t="s">
        <v>37</v>
      </c>
      <c r="FT211" s="11" t="s">
        <v>37</v>
      </c>
      <c r="FU211" s="11" t="s">
        <v>37</v>
      </c>
      <c r="FW211" s="12" t="s">
        <v>37</v>
      </c>
      <c r="FX211" s="12" t="s">
        <v>37</v>
      </c>
      <c r="FY211" s="11" t="s">
        <v>37</v>
      </c>
      <c r="FZ211" s="13" t="s">
        <v>37</v>
      </c>
      <c r="GA211" s="11" t="s">
        <v>37</v>
      </c>
      <c r="GB211" s="11" t="s">
        <v>37</v>
      </c>
      <c r="GC211" s="12" t="s">
        <v>101</v>
      </c>
      <c r="GD211" s="12" t="s">
        <v>327</v>
      </c>
      <c r="GE211" s="12">
        <v>83</v>
      </c>
      <c r="GF211" s="50">
        <f>ABS(GE211)*GH$474</f>
        <v>12.253689873908808</v>
      </c>
      <c r="GG211" s="13">
        <v>55</v>
      </c>
      <c r="GI211" s="12">
        <v>63</v>
      </c>
      <c r="GJ211" s="50">
        <f>ABS(GI211)*GL$474</f>
        <v>12.049596938060992</v>
      </c>
      <c r="GK211" s="13">
        <v>84</v>
      </c>
      <c r="GM211" s="19">
        <f t="shared" ref="GM211:GM212" si="930">LN(GI211/GE211)</f>
        <v>-0.27570588140506525</v>
      </c>
      <c r="GN211" s="19">
        <f t="shared" ref="GN211:GN212" si="931">GJ211^2/(GK211*GI211^2)+GF211^2/(GG211*GE211^2)</f>
        <v>8.3178811148657819E-4</v>
      </c>
      <c r="GO211" s="12" t="s">
        <v>660</v>
      </c>
      <c r="GP211" s="12" t="s">
        <v>330</v>
      </c>
      <c r="GQ211" s="12">
        <v>12.1</v>
      </c>
      <c r="GR211" s="12">
        <v>4.5</v>
      </c>
      <c r="GS211" s="13">
        <v>6152</v>
      </c>
      <c r="GT211" s="19">
        <f t="shared" ref="GT211" si="932">GR211/GQ211</f>
        <v>0.37190082644628103</v>
      </c>
      <c r="GU211" s="12">
        <v>11.3</v>
      </c>
      <c r="GV211" s="12">
        <v>3.1</v>
      </c>
      <c r="GW211" s="13">
        <v>11052</v>
      </c>
      <c r="GX211" s="19">
        <f>GV211/GU211</f>
        <v>0.27433628318584069</v>
      </c>
      <c r="GY211" s="19">
        <f t="shared" ref="GY211:GY212" si="933">LN(GU211/GQ211)</f>
        <v>-6.8402726884400397E-2</v>
      </c>
      <c r="GZ211" s="19">
        <f t="shared" ref="GZ211:GZ212" si="934">GV211^2/(GW211*GU211^2)+GR211^2/(GS211*GQ211^2)</f>
        <v>2.9291819234498827E-5</v>
      </c>
      <c r="HA211" s="17" t="s">
        <v>63</v>
      </c>
      <c r="HB211" s="34" t="s">
        <v>327</v>
      </c>
      <c r="HC211" s="12">
        <v>5.0999999999999997E-2</v>
      </c>
      <c r="HD211" s="50">
        <f>ABS(HC211)*HF$474</f>
        <v>8.7929989004710378E-3</v>
      </c>
      <c r="HE211" s="13">
        <v>3</v>
      </c>
      <c r="HG211" s="12">
        <v>0.14000000000000001</v>
      </c>
      <c r="HH211" s="50">
        <f>ABS(HG211)*HJ$474</f>
        <v>1.5659632795394712E-2</v>
      </c>
      <c r="HI211" s="13">
        <v>5</v>
      </c>
      <c r="HK211" s="19">
        <f t="shared" ref="HK211:HK214" si="935">LN(HG211/HC211)</f>
        <v>1.0098167898849788</v>
      </c>
      <c r="HL211" s="19">
        <f t="shared" ref="HL211:HL214" si="936">HH211^2/(HI211*HG211^2)+HD211^2/(HE211*HC211^2)</f>
        <v>1.2410889785684826E-2</v>
      </c>
      <c r="HX211" s="34" t="s">
        <v>329</v>
      </c>
      <c r="HY211" s="12">
        <v>6.5000000000000002E-2</v>
      </c>
      <c r="HZ211" s="50">
        <f>ABS(HY211)*IB$474</f>
        <v>1.9838382796844675E-2</v>
      </c>
      <c r="IA211" s="13">
        <v>3</v>
      </c>
      <c r="IC211" s="12">
        <v>0.12</v>
      </c>
      <c r="ID211" s="50">
        <f>ABS(IC211)*IF$474</f>
        <v>1.7531349132588789E-2</v>
      </c>
      <c r="IE211" s="13">
        <v>3</v>
      </c>
      <c r="IG211" s="19">
        <f t="shared" ref="IG211:IG212" si="937">LN(IC211/HY211)</f>
        <v>0.61310447288640879</v>
      </c>
      <c r="IH211" s="19">
        <f t="shared" ref="IH211:IH212" si="938">ID211^2/(IE211*IC211^2)+HZ211^2/(IA211*HY211^2)</f>
        <v>3.8164753319595138E-2</v>
      </c>
      <c r="IK211" s="12" t="s">
        <v>37</v>
      </c>
      <c r="IL211" s="12" t="s">
        <v>37</v>
      </c>
      <c r="IM211" s="12" t="s">
        <v>37</v>
      </c>
      <c r="IO211" s="12" t="s">
        <v>37</v>
      </c>
      <c r="IP211" s="12" t="s">
        <v>37</v>
      </c>
      <c r="IQ211" s="12" t="s">
        <v>37</v>
      </c>
      <c r="IV211" s="32" t="s">
        <v>327</v>
      </c>
      <c r="IW211" s="12">
        <v>4.0999999999999996</v>
      </c>
      <c r="IX211" s="50">
        <f>ABS(IW211)*IZ$474</f>
        <v>0.15011224477489485</v>
      </c>
      <c r="IY211" s="13">
        <v>4</v>
      </c>
      <c r="JA211" s="12">
        <v>4.3</v>
      </c>
      <c r="JB211" s="50">
        <f>ABS(JA211)*JD$474</f>
        <v>0.12043787777852186</v>
      </c>
      <c r="JC211" s="13">
        <v>5</v>
      </c>
      <c r="JE211" s="19">
        <f t="shared" ref="JE211:JE214" si="939">LN(JA211/IW211)</f>
        <v>4.7628048989254664E-2</v>
      </c>
      <c r="JF211" s="19">
        <f t="shared" ref="JF211:JF216" si="940">JB211^2/(JC211*JA211^2)+IX211^2/(IY211*IW211^2)</f>
        <v>4.9202190460527766E-4</v>
      </c>
      <c r="JG211" s="32" t="s">
        <v>329</v>
      </c>
      <c r="JH211" s="12">
        <v>3.9</v>
      </c>
      <c r="JI211" s="50">
        <f>ABS(JH211)*JK$474</f>
        <v>6.3714726135569416E-2</v>
      </c>
      <c r="JJ211" s="13">
        <v>3</v>
      </c>
      <c r="JL211" s="12">
        <v>5</v>
      </c>
      <c r="JM211" s="50">
        <f>ABS(JL211)*JO$474</f>
        <v>0.14248708566538842</v>
      </c>
      <c r="JN211" s="13">
        <v>4</v>
      </c>
      <c r="JP211" s="19">
        <f t="shared" ref="JP211:JP212" si="941">LN(JL211/JH211)</f>
        <v>0.24846135929849972</v>
      </c>
      <c r="JQ211" s="19">
        <f t="shared" ref="JQ211:JQ214" si="942">JM211^2/(JN211*JL211^2)+JI211^2/(JJ211*JH211^2)</f>
        <v>2.9199274219878619E-4</v>
      </c>
      <c r="JS211" s="12" t="s">
        <v>37</v>
      </c>
      <c r="JT211" s="12" t="s">
        <v>37</v>
      </c>
      <c r="JU211" s="13" t="s">
        <v>37</v>
      </c>
      <c r="JW211" s="12" t="s">
        <v>37</v>
      </c>
      <c r="JX211" s="12" t="s">
        <v>37</v>
      </c>
      <c r="JY211" s="12" t="s">
        <v>37</v>
      </c>
      <c r="KE211" s="12" t="s">
        <v>37</v>
      </c>
      <c r="KF211" s="12" t="s">
        <v>37</v>
      </c>
      <c r="KG211" s="13" t="s">
        <v>37</v>
      </c>
      <c r="KH211" s="12" t="s">
        <v>37</v>
      </c>
      <c r="KI211" s="12" t="s">
        <v>37</v>
      </c>
      <c r="KJ211" s="12" t="s">
        <v>37</v>
      </c>
      <c r="KK211" s="12" t="s">
        <v>42</v>
      </c>
      <c r="KL211" s="32" t="s">
        <v>327</v>
      </c>
      <c r="KM211" s="12">
        <v>4.7</v>
      </c>
      <c r="KN211" s="50">
        <f>ABS(KM211)*KP$474</f>
        <v>0.56067729450883963</v>
      </c>
      <c r="KO211" s="11">
        <v>4</v>
      </c>
      <c r="KQ211" s="12">
        <v>34</v>
      </c>
      <c r="KR211" s="50">
        <f>ABS(KQ211)*KT$474</f>
        <v>3.5850766257336493</v>
      </c>
      <c r="KS211" s="13">
        <v>3</v>
      </c>
      <c r="KU211" s="19">
        <f t="shared" ref="KU211:KU214" si="943">LN(KQ211/KM211)</f>
        <v>1.9787980159001484</v>
      </c>
      <c r="KV211" s="19">
        <f t="shared" ref="KV211:KV216" si="944">KR211^2/(KS211*KQ211^2)+KN211^2/(KO211*KM211^2)</f>
        <v>7.2638130859551744E-3</v>
      </c>
      <c r="KW211" s="32" t="s">
        <v>331</v>
      </c>
      <c r="KX211" s="12" t="s">
        <v>37</v>
      </c>
      <c r="KY211" s="12" t="s">
        <v>37</v>
      </c>
      <c r="KZ211" s="12" t="s">
        <v>37</v>
      </c>
      <c r="LB211" s="12">
        <v>30</v>
      </c>
      <c r="LC211" s="50">
        <f>ABS(LB211)*LE$474</f>
        <v>3.46113893457373</v>
      </c>
      <c r="LD211" s="13">
        <v>3</v>
      </c>
      <c r="LI211" s="12" t="s">
        <v>37</v>
      </c>
      <c r="LJ211" s="12" t="s">
        <v>37</v>
      </c>
      <c r="LK211" s="12" t="s">
        <v>37</v>
      </c>
      <c r="LM211" s="12" t="s">
        <v>37</v>
      </c>
      <c r="LN211" s="12" t="s">
        <v>37</v>
      </c>
      <c r="LO211" s="12" t="s">
        <v>37</v>
      </c>
      <c r="LT211" s="12" t="str">
        <f>KL211</f>
        <v>0-15</v>
      </c>
      <c r="LU211" s="12">
        <f>AT211/KM211</f>
        <v>122.17998716493064</v>
      </c>
      <c r="LV211" s="12">
        <f>SQRT((1/KM211)^2*AU211^2+AT211^2*(-1/KM211^2)^2*KN211^2)</f>
        <v>17.934141986792696</v>
      </c>
      <c r="LW211" s="13">
        <f t="shared" ref="LW211:LW214" si="945">KO211</f>
        <v>4</v>
      </c>
      <c r="LY211" s="12">
        <f>AX211/KQ211</f>
        <v>16.548382694144944</v>
      </c>
      <c r="LZ211" s="12">
        <f>SQRT((1/KQ211)^2*AY211^2+AX211^2*(-1/KQ211^2)^2*KR211^2)</f>
        <v>2.1000248294669852</v>
      </c>
      <c r="MA211" s="13">
        <f>KS211</f>
        <v>3</v>
      </c>
      <c r="MC211" s="19">
        <f t="shared" ref="MC211:MC214" si="946">LN(LY211/LU211)</f>
        <v>-1.9992068875313556</v>
      </c>
      <c r="MD211" s="19">
        <f t="shared" ref="MD211:MD214" si="947">LZ211^2/(MA211*LY211^2)+LV211^2/(LW211*LU211^2)</f>
        <v>1.0754479832587791E-2</v>
      </c>
      <c r="MF211" s="12" t="s">
        <v>37</v>
      </c>
      <c r="MG211" s="12" t="s">
        <v>37</v>
      </c>
      <c r="MH211" s="12" t="s">
        <v>37</v>
      </c>
      <c r="MJ211" s="12">
        <f>BI211/LB211</f>
        <v>18.754833720030938</v>
      </c>
      <c r="MK211" s="12">
        <f>SQRT((1/LB211)^2*BJ211^2+BI211^2*(-1/LB211^2)^2*LC211^2)</f>
        <v>2.5315001677331255</v>
      </c>
      <c r="ML211" s="13">
        <f t="shared" ref="ML211:ML214" si="948">LD211</f>
        <v>3</v>
      </c>
      <c r="MQ211" s="12" t="s">
        <v>37</v>
      </c>
      <c r="MR211" s="12" t="s">
        <v>37</v>
      </c>
      <c r="MS211" s="12" t="s">
        <v>37</v>
      </c>
      <c r="MU211" s="12" t="s">
        <v>37</v>
      </c>
      <c r="MV211" s="12" t="s">
        <v>37</v>
      </c>
      <c r="MW211" s="12" t="s">
        <v>37</v>
      </c>
      <c r="NA211" s="12" t="s">
        <v>102</v>
      </c>
      <c r="NB211" s="12" t="s">
        <v>327</v>
      </c>
      <c r="NC211" s="12">
        <v>9.6</v>
      </c>
      <c r="ND211" s="50">
        <f>ABS(NC211)*NF$474</f>
        <v>2.6604666214054755</v>
      </c>
      <c r="NE211" s="13">
        <v>4</v>
      </c>
      <c r="NG211" s="12">
        <v>80</v>
      </c>
      <c r="NH211" s="50">
        <f>ABS(NG211)*NJ$474</f>
        <v>22.479440682941622</v>
      </c>
      <c r="NI211" s="13">
        <v>4</v>
      </c>
      <c r="NK211" s="19">
        <f t="shared" ref="NK211:NK212" si="949">LN(NG211/NC211)</f>
        <v>2.120263536200091</v>
      </c>
      <c r="NL211" s="19">
        <f t="shared" ref="NL211:NL212" si="950">NH211^2/(NI211*NG211^2)+ND211^2/(NE211*NC211^2)</f>
        <v>3.8939795716228014E-2</v>
      </c>
      <c r="NM211" s="12" t="s">
        <v>102</v>
      </c>
      <c r="NN211" s="12" t="s">
        <v>327</v>
      </c>
      <c r="NO211" s="12">
        <v>0.04</v>
      </c>
      <c r="NP211" s="50">
        <f>ABS(NO211)*NR$474</f>
        <v>3.3386573810554335E-2</v>
      </c>
      <c r="NQ211" s="13">
        <v>4</v>
      </c>
      <c r="NS211" s="12">
        <v>0.4</v>
      </c>
      <c r="NT211" s="50">
        <f>ABS(NS211)*NV$474</f>
        <v>0.2332109495423787</v>
      </c>
      <c r="NU211" s="13">
        <v>4</v>
      </c>
      <c r="NW211" s="19">
        <f t="shared" ref="NW211:NW212" si="951">LN(NS211/NO211)</f>
        <v>2.3025850929940459</v>
      </c>
      <c r="NX211" s="19">
        <f t="shared" ref="NX211:NX212" si="952">NT211^2/(NU211*NS211^2)+NP211^2/(NQ211*NO211^2)</f>
        <v>0.25914637198002682</v>
      </c>
      <c r="OA211" s="12" t="s">
        <v>37</v>
      </c>
      <c r="OB211" s="12" t="s">
        <v>37</v>
      </c>
      <c r="OC211" s="12" t="s">
        <v>37</v>
      </c>
      <c r="OD211" s="12"/>
      <c r="OE211" s="12" t="s">
        <v>37</v>
      </c>
      <c r="OF211" s="12" t="s">
        <v>37</v>
      </c>
      <c r="OG211" s="12" t="s">
        <v>37</v>
      </c>
      <c r="OH211" s="12"/>
      <c r="OI211" s="12"/>
      <c r="OJ211" s="12"/>
      <c r="OM211" s="12" t="s">
        <v>37</v>
      </c>
      <c r="ON211" s="12" t="s">
        <v>37</v>
      </c>
      <c r="OO211" s="12" t="s">
        <v>37</v>
      </c>
      <c r="OP211" s="12" t="s">
        <v>37</v>
      </c>
      <c r="OQ211" s="12" t="s">
        <v>37</v>
      </c>
      <c r="OR211" s="12" t="s">
        <v>37</v>
      </c>
      <c r="OS211" s="12"/>
      <c r="OT211" s="12"/>
      <c r="OW211" s="12" t="s">
        <v>37</v>
      </c>
      <c r="OX211" s="12" t="s">
        <v>37</v>
      </c>
      <c r="OY211" s="13" t="s">
        <v>37</v>
      </c>
      <c r="OZ211" s="12" t="s">
        <v>37</v>
      </c>
      <c r="PA211" s="12" t="s">
        <v>37</v>
      </c>
      <c r="PB211" s="13" t="s">
        <v>37</v>
      </c>
      <c r="PG211" s="11" t="s">
        <v>37</v>
      </c>
      <c r="PH211" s="11" t="s">
        <v>37</v>
      </c>
      <c r="PI211" s="13" t="s">
        <v>37</v>
      </c>
      <c r="PJ211" s="11" t="s">
        <v>37</v>
      </c>
      <c r="PK211" s="11" t="s">
        <v>37</v>
      </c>
      <c r="PL211" s="13" t="s">
        <v>37</v>
      </c>
      <c r="PQ211" s="12" t="s">
        <v>37</v>
      </c>
      <c r="PR211" s="12" t="s">
        <v>37</v>
      </c>
      <c r="PS211" s="12" t="s">
        <v>37</v>
      </c>
      <c r="PT211" s="12" t="s">
        <v>37</v>
      </c>
      <c r="PU211" s="12" t="s">
        <v>37</v>
      </c>
      <c r="PV211" s="12" t="s">
        <v>37</v>
      </c>
      <c r="PW211" s="12"/>
      <c r="PX211" s="12"/>
      <c r="PZ211" s="12" t="s">
        <v>37</v>
      </c>
      <c r="QA211" s="12" t="s">
        <v>37</v>
      </c>
      <c r="QB211" s="11" t="s">
        <v>37</v>
      </c>
      <c r="QD211" s="12" t="s">
        <v>37</v>
      </c>
      <c r="QE211" s="12" t="s">
        <v>37</v>
      </c>
      <c r="QF211" s="12" t="s">
        <v>37</v>
      </c>
      <c r="QK211" s="12" t="s">
        <v>37</v>
      </c>
      <c r="QL211" s="12" t="s">
        <v>37</v>
      </c>
      <c r="QM211" s="12" t="s">
        <v>37</v>
      </c>
      <c r="QN211" s="12" t="s">
        <v>37</v>
      </c>
      <c r="QO211" s="12" t="s">
        <v>37</v>
      </c>
      <c r="QP211" s="12" t="s">
        <v>37</v>
      </c>
      <c r="QQ211" s="12"/>
      <c r="QR211" s="12"/>
      <c r="QU211" s="12" t="s">
        <v>37</v>
      </c>
      <c r="QV211" s="12" t="s">
        <v>37</v>
      </c>
      <c r="QW211" s="12" t="s">
        <v>37</v>
      </c>
      <c r="QX211" s="12" t="s">
        <v>37</v>
      </c>
      <c r="QY211" s="12" t="s">
        <v>37</v>
      </c>
      <c r="QZ211" s="12" t="s">
        <v>37</v>
      </c>
      <c r="RC211" s="12" t="s">
        <v>37</v>
      </c>
      <c r="RD211" s="12" t="s">
        <v>37</v>
      </c>
      <c r="RE211" s="13" t="s">
        <v>37</v>
      </c>
      <c r="RF211" s="12" t="s">
        <v>37</v>
      </c>
      <c r="RG211" s="12" t="s">
        <v>37</v>
      </c>
      <c r="RH211" s="13" t="s">
        <v>37</v>
      </c>
      <c r="RK211" s="12" t="s">
        <v>37</v>
      </c>
      <c r="RL211" s="12" t="s">
        <v>37</v>
      </c>
      <c r="RM211" s="11" t="s">
        <v>37</v>
      </c>
      <c r="RN211" s="12" t="s">
        <v>37</v>
      </c>
      <c r="RO211" s="12" t="s">
        <v>37</v>
      </c>
      <c r="RP211" s="11" t="s">
        <v>37</v>
      </c>
      <c r="RS211" s="12" t="s">
        <v>37</v>
      </c>
      <c r="RT211" s="12" t="s">
        <v>37</v>
      </c>
      <c r="RU211" s="12" t="s">
        <v>37</v>
      </c>
      <c r="RV211" s="12" t="s">
        <v>37</v>
      </c>
      <c r="RW211" s="12" t="s">
        <v>37</v>
      </c>
      <c r="RX211" s="12" t="s">
        <v>37</v>
      </c>
      <c r="SA211" s="12" t="s">
        <v>37</v>
      </c>
      <c r="SB211" s="12" t="s">
        <v>37</v>
      </c>
      <c r="SC211" s="12" t="s">
        <v>37</v>
      </c>
      <c r="SD211" s="12" t="s">
        <v>37</v>
      </c>
      <c r="SE211" s="12" t="s">
        <v>37</v>
      </c>
      <c r="SF211" s="12" t="s">
        <v>37</v>
      </c>
      <c r="SG211" s="12" t="s">
        <v>45</v>
      </c>
      <c r="SH211" s="12" t="s">
        <v>327</v>
      </c>
      <c r="SI211" s="12">
        <v>370</v>
      </c>
      <c r="SJ211" s="50">
        <f>ABS(SI211)*SL$474</f>
        <v>114.77793858204488</v>
      </c>
      <c r="SK211" s="13">
        <v>6</v>
      </c>
      <c r="SM211" s="12">
        <v>910</v>
      </c>
      <c r="SN211" s="50">
        <f>ABS(SM211)*SP$474</f>
        <v>247.46225452578207</v>
      </c>
      <c r="SO211" s="13">
        <v>6</v>
      </c>
      <c r="SQ211" s="19">
        <f t="shared" ref="SQ211:SQ212" si="953">LN(SM211/SI211)</f>
        <v>0.89994159387262562</v>
      </c>
      <c r="SR211" s="19">
        <f t="shared" ref="SR211:SR212" si="954">SN211^2/(SO211*SM211^2)+SJ211^2/(SK211*SI211^2)</f>
        <v>2.8363354635450491E-2</v>
      </c>
      <c r="SU211" s="12" t="s">
        <v>37</v>
      </c>
      <c r="SV211" s="12" t="s">
        <v>37</v>
      </c>
      <c r="SW211" s="12" t="s">
        <v>37</v>
      </c>
      <c r="SX211" s="12" t="s">
        <v>37</v>
      </c>
      <c r="SY211" s="12" t="s">
        <v>37</v>
      </c>
      <c r="SZ211" s="12" t="s">
        <v>37</v>
      </c>
      <c r="TA211" s="12"/>
      <c r="TB211" s="12"/>
      <c r="TE211" s="12" t="s">
        <v>37</v>
      </c>
      <c r="TF211" s="12" t="s">
        <v>37</v>
      </c>
      <c r="TG211" s="11" t="s">
        <v>37</v>
      </c>
      <c r="TH211" s="12" t="s">
        <v>37</v>
      </c>
      <c r="TI211" s="12" t="s">
        <v>37</v>
      </c>
      <c r="TJ211" s="11" t="s">
        <v>37</v>
      </c>
      <c r="TO211" s="12" t="s">
        <v>37</v>
      </c>
      <c r="TP211" s="12" t="s">
        <v>37</v>
      </c>
      <c r="TQ211" s="11" t="s">
        <v>37</v>
      </c>
      <c r="TR211" s="12" t="s">
        <v>37</v>
      </c>
      <c r="TS211" s="12" t="s">
        <v>37</v>
      </c>
      <c r="TT211" s="11" t="s">
        <v>37</v>
      </c>
      <c r="TY211" s="12" t="s">
        <v>37</v>
      </c>
      <c r="TZ211" s="12" t="s">
        <v>37</v>
      </c>
      <c r="UA211" s="12" t="s">
        <v>37</v>
      </c>
      <c r="UB211" s="12" t="s">
        <v>37</v>
      </c>
      <c r="UC211" s="12" t="s">
        <v>37</v>
      </c>
      <c r="UD211" s="12" t="s">
        <v>37</v>
      </c>
      <c r="UE211" s="12"/>
      <c r="UF211" s="12"/>
      <c r="UI211" s="12" t="s">
        <v>37</v>
      </c>
      <c r="UJ211" s="12" t="s">
        <v>37</v>
      </c>
      <c r="UK211" s="12" t="s">
        <v>37</v>
      </c>
      <c r="UL211" s="12" t="s">
        <v>37</v>
      </c>
      <c r="UM211" s="12" t="s">
        <v>37</v>
      </c>
      <c r="UN211" s="12" t="s">
        <v>37</v>
      </c>
      <c r="UO211" s="12"/>
      <c r="UP211" s="12"/>
      <c r="UR211" s="12" t="s">
        <v>37</v>
      </c>
      <c r="US211" s="12" t="s">
        <v>37</v>
      </c>
      <c r="UT211" s="12" t="s">
        <v>37</v>
      </c>
      <c r="UU211" s="12" t="s">
        <v>37</v>
      </c>
      <c r="UV211" s="12" t="s">
        <v>37</v>
      </c>
      <c r="UW211" s="12" t="s">
        <v>37</v>
      </c>
      <c r="UX211" s="12"/>
      <c r="UY211" s="12"/>
      <c r="VB211" s="12" t="s">
        <v>37</v>
      </c>
      <c r="VC211" s="12" t="s">
        <v>37</v>
      </c>
      <c r="VD211" s="12" t="s">
        <v>37</v>
      </c>
      <c r="VE211" s="12" t="s">
        <v>37</v>
      </c>
      <c r="VF211" s="12" t="s">
        <v>37</v>
      </c>
      <c r="VG211" s="12" t="s">
        <v>37</v>
      </c>
      <c r="VI211" s="12" t="s">
        <v>37</v>
      </c>
      <c r="VJ211" s="12" t="s">
        <v>37</v>
      </c>
      <c r="VK211" s="12" t="s">
        <v>37</v>
      </c>
      <c r="VL211" s="12" t="s">
        <v>37</v>
      </c>
      <c r="VM211" s="12" t="s">
        <v>37</v>
      </c>
      <c r="VN211" s="12" t="s">
        <v>37</v>
      </c>
      <c r="VQ211" s="13" t="s">
        <v>37</v>
      </c>
      <c r="VR211" s="13" t="s">
        <v>37</v>
      </c>
      <c r="VS211" s="13" t="s">
        <v>37</v>
      </c>
      <c r="VT211" s="13" t="s">
        <v>37</v>
      </c>
      <c r="VU211" s="13" t="s">
        <v>37</v>
      </c>
      <c r="VV211" s="13" t="s">
        <v>37</v>
      </c>
      <c r="WA211" s="13" t="s">
        <v>37</v>
      </c>
      <c r="WB211" s="13" t="s">
        <v>37</v>
      </c>
      <c r="WC211" s="13" t="s">
        <v>37</v>
      </c>
      <c r="WD211" s="13" t="s">
        <v>37</v>
      </c>
      <c r="WE211" s="13" t="s">
        <v>37</v>
      </c>
      <c r="WF211" s="13" t="s">
        <v>37</v>
      </c>
    </row>
    <row r="212" spans="1:606" ht="18" customHeight="1" x14ac:dyDescent="0.3">
      <c r="A212" s="11">
        <v>54</v>
      </c>
      <c r="B212" s="16" t="s">
        <v>323</v>
      </c>
      <c r="C212" s="12" t="s">
        <v>26</v>
      </c>
      <c r="D212" s="12" t="s">
        <v>1050</v>
      </c>
      <c r="E212" s="40">
        <v>1.75</v>
      </c>
      <c r="F212" s="14">
        <v>0</v>
      </c>
      <c r="G212" s="14">
        <v>0</v>
      </c>
      <c r="H212" s="12" t="s">
        <v>123</v>
      </c>
      <c r="I212" s="29">
        <v>71.53</v>
      </c>
      <c r="J212" s="29">
        <v>47.02</v>
      </c>
      <c r="K212" s="12" t="s">
        <v>324</v>
      </c>
      <c r="L212" s="12" t="s">
        <v>325</v>
      </c>
      <c r="M212" s="13" t="s">
        <v>37</v>
      </c>
      <c r="N212" s="14" t="s">
        <v>37</v>
      </c>
      <c r="O212" s="14" t="s">
        <v>37</v>
      </c>
      <c r="P212" s="14" t="s">
        <v>84</v>
      </c>
      <c r="Q212" s="75">
        <v>6</v>
      </c>
      <c r="R212" s="11" t="s">
        <v>999</v>
      </c>
      <c r="S212" s="12" t="s">
        <v>93</v>
      </c>
      <c r="T212" s="12" t="s">
        <v>876</v>
      </c>
      <c r="U212" s="12" t="s">
        <v>158</v>
      </c>
      <c r="V212" s="12" t="s">
        <v>275</v>
      </c>
      <c r="W212" s="23" t="s">
        <v>107</v>
      </c>
      <c r="X212" s="12" t="s">
        <v>281</v>
      </c>
      <c r="Y212" s="12" t="s">
        <v>37</v>
      </c>
      <c r="Z212" s="12" t="s">
        <v>37</v>
      </c>
      <c r="AA212" s="32" t="s">
        <v>327</v>
      </c>
      <c r="AB212" s="12">
        <v>4.0999999999999996</v>
      </c>
      <c r="AC212" s="12" t="s">
        <v>42</v>
      </c>
      <c r="AD212" s="32" t="s">
        <v>327</v>
      </c>
      <c r="AE212" s="12">
        <f t="shared" ref="AE212" si="955">990/1.724</f>
        <v>574.24593967517399</v>
      </c>
      <c r="AF212" s="12" t="s">
        <v>42</v>
      </c>
      <c r="AG212" s="32" t="s">
        <v>327</v>
      </c>
      <c r="AH212" s="12">
        <v>4.7</v>
      </c>
      <c r="AJ212" s="12" t="str">
        <f t="shared" si="918"/>
        <v>0-15</v>
      </c>
      <c r="AK212" s="19">
        <f t="shared" ref="AK212:AK214" si="956">AE212/AH212</f>
        <v>122.17998716493064</v>
      </c>
      <c r="AL212" s="32" t="s">
        <v>555</v>
      </c>
      <c r="AM212" s="12" t="s">
        <v>317</v>
      </c>
      <c r="AN212" s="32" t="s">
        <v>878</v>
      </c>
      <c r="AO212" s="12" t="s">
        <v>37</v>
      </c>
      <c r="AP212" s="12" t="s">
        <v>167</v>
      </c>
      <c r="AQ212" s="12" t="s">
        <v>975</v>
      </c>
      <c r="AR212" s="12" t="s">
        <v>42</v>
      </c>
      <c r="AS212" s="32" t="s">
        <v>327</v>
      </c>
      <c r="AT212" s="12">
        <f t="shared" ref="AT212" si="957">990/1.724</f>
        <v>574.24593967517399</v>
      </c>
      <c r="AU212" s="50">
        <f>AT212*AW$474</f>
        <v>49.113615778880913</v>
      </c>
      <c r="AV212" s="13">
        <v>10</v>
      </c>
      <c r="AX212" s="12">
        <f>950/1.724</f>
        <v>551.04408352668213</v>
      </c>
      <c r="AY212" s="50">
        <f>AX212*BA$474</f>
        <v>38.909451919385383</v>
      </c>
      <c r="AZ212" s="13">
        <v>16</v>
      </c>
      <c r="BB212" s="52">
        <f t="shared" si="919"/>
        <v>-4.1242958534049017E-2</v>
      </c>
      <c r="BC212" s="19">
        <f t="shared" si="920"/>
        <v>1.0431036812327699E-3</v>
      </c>
      <c r="BD212" s="32" t="s">
        <v>329</v>
      </c>
      <c r="BE212" s="12">
        <f t="shared" ref="BE212" si="958">980/1.724</f>
        <v>568.44547563805111</v>
      </c>
      <c r="BF212" s="50">
        <f>BE212*BH$474</f>
        <v>142.7022609814791</v>
      </c>
      <c r="BG212" s="13">
        <v>9</v>
      </c>
      <c r="BI212" s="12">
        <f>970/1.724</f>
        <v>562.64501160092811</v>
      </c>
      <c r="BJ212" s="50">
        <f>BI212*BL$474</f>
        <v>39.419984261106443</v>
      </c>
      <c r="BK212" s="13">
        <v>16</v>
      </c>
      <c r="BM212" s="52">
        <f>LN(BI212/BE212)</f>
        <v>-1.025650016718911E-2</v>
      </c>
      <c r="BN212" s="19">
        <f>BJ212^2/(BK212*BI212^2)+BF212^2/(BG212*BE212^2)</f>
        <v>7.3091057732799442E-3</v>
      </c>
      <c r="BP212" s="12" t="s">
        <v>37</v>
      </c>
      <c r="BQ212" s="12" t="s">
        <v>37</v>
      </c>
      <c r="BR212" s="13" t="s">
        <v>37</v>
      </c>
      <c r="BT212" s="12" t="s">
        <v>37</v>
      </c>
      <c r="BU212" s="12" t="s">
        <v>37</v>
      </c>
      <c r="BV212" s="12" t="s">
        <v>37</v>
      </c>
      <c r="CA212" s="12" t="s">
        <v>37</v>
      </c>
      <c r="CB212" s="12" t="s">
        <v>37</v>
      </c>
      <c r="CC212" s="13" t="s">
        <v>37</v>
      </c>
      <c r="CE212" s="12" t="s">
        <v>37</v>
      </c>
      <c r="CF212" s="12" t="s">
        <v>37</v>
      </c>
      <c r="CG212" s="13" t="s">
        <v>37</v>
      </c>
      <c r="CI212" s="52"/>
      <c r="CJ212" s="52"/>
      <c r="CK212" s="73"/>
      <c r="CL212" s="73"/>
      <c r="CN212" s="12" t="s">
        <v>37</v>
      </c>
      <c r="CO212" s="12" t="s">
        <v>37</v>
      </c>
      <c r="CP212" s="13" t="s">
        <v>37</v>
      </c>
      <c r="CR212" s="12" t="s">
        <v>37</v>
      </c>
      <c r="CS212" s="12" t="s">
        <v>37</v>
      </c>
      <c r="CT212" s="13" t="s">
        <v>37</v>
      </c>
      <c r="CV212" s="52"/>
      <c r="CW212" s="52"/>
      <c r="CX212" s="73"/>
      <c r="CY212" s="73"/>
      <c r="DA212" s="12" t="s">
        <v>37</v>
      </c>
      <c r="DB212" s="12" t="s">
        <v>37</v>
      </c>
      <c r="DC212" s="13" t="s">
        <v>37</v>
      </c>
      <c r="DE212" s="12" t="s">
        <v>37</v>
      </c>
      <c r="DF212" s="12" t="s">
        <v>37</v>
      </c>
      <c r="DG212" s="13" t="s">
        <v>37</v>
      </c>
      <c r="DM212" s="11" t="s">
        <v>47</v>
      </c>
      <c r="DN212" s="19">
        <f>1.5*1000/28/'[1]classes-1'!$I$98</f>
        <v>70.824570735895975</v>
      </c>
      <c r="DO212" s="50">
        <f>ABS(DN212)*DQ$474</f>
        <v>78.960847077092538</v>
      </c>
      <c r="DP212" s="13">
        <v>46</v>
      </c>
      <c r="DR212" s="19">
        <f>-0.0047*1000/28/'[1]classes-1'!$I$99</f>
        <v>-0.12589285714285717</v>
      </c>
      <c r="DS212" s="50">
        <f>ABS(DR212)*DU$474</f>
        <v>0.47048883709193973</v>
      </c>
      <c r="DT212" s="13">
        <v>66</v>
      </c>
      <c r="DV212" s="19">
        <f>DR212-DN212</f>
        <v>-70.950463593038833</v>
      </c>
      <c r="DW212" s="12">
        <f t="shared" si="914"/>
        <v>50.504822459608071</v>
      </c>
      <c r="DX212" s="72">
        <f t="shared" si="641"/>
        <v>94.098338032862827</v>
      </c>
      <c r="DY212" s="72">
        <f t="shared" si="642"/>
        <v>135.5428185253688</v>
      </c>
      <c r="DZ212" s="11" t="s">
        <v>47</v>
      </c>
      <c r="EA212" s="19">
        <f>0.0055*1000/298/'[3]classess-1'!$I$44</f>
        <v>4.2926101488275123E-2</v>
      </c>
      <c r="EB212" s="50">
        <f>ABS(EA212)*ED$474</f>
        <v>0.24682409549693443</v>
      </c>
      <c r="EC212" s="72">
        <v>46</v>
      </c>
      <c r="ED212" s="52"/>
      <c r="EE212" s="19">
        <f>5.7*1000/298/'[3]classess-1'!$I$45</f>
        <v>38.025961499819161</v>
      </c>
      <c r="EF212" s="50">
        <f>ABS(EE212)*EH$474</f>
        <v>56.778060641172175</v>
      </c>
      <c r="EG212" s="13">
        <v>66</v>
      </c>
      <c r="EH212" s="52"/>
      <c r="EI212" s="19">
        <f>EE212-EA212</f>
        <v>37.983035398330884</v>
      </c>
      <c r="EJ212" s="12">
        <f t="shared" si="923"/>
        <v>43.645927911407504</v>
      </c>
      <c r="EK212" s="19">
        <f t="shared" si="924"/>
        <v>70.275463308218534</v>
      </c>
      <c r="EL212" s="19">
        <f t="shared" si="925"/>
        <v>48.845993639259724</v>
      </c>
      <c r="EM212" s="12" t="s">
        <v>39</v>
      </c>
      <c r="EN212" s="12">
        <v>-15</v>
      </c>
      <c r="EO212" s="12">
        <v>13</v>
      </c>
      <c r="EP212" s="13">
        <v>9836</v>
      </c>
      <c r="EQ212" s="19">
        <f t="shared" ref="EQ212:EQ214" si="959">EO212/ABS(EN212)</f>
        <v>0.8666666666666667</v>
      </c>
      <c r="ER212" s="12">
        <v>-68</v>
      </c>
      <c r="ES212" s="12">
        <v>23</v>
      </c>
      <c r="ET212" s="13">
        <v>11052</v>
      </c>
      <c r="EU212" s="19">
        <f t="shared" ref="EU212:EU214" si="960">ES212/ABS(ER212)</f>
        <v>0.33823529411764708</v>
      </c>
      <c r="EV212" s="19">
        <f t="shared" ref="EV212:EV214" si="961">ER212-EN212</f>
        <v>-53</v>
      </c>
      <c r="EW212" s="12">
        <f t="shared" si="927"/>
        <v>18.959951139153308</v>
      </c>
      <c r="EX212" s="19">
        <f t="shared" si="928"/>
        <v>6.9073568001787392E-2</v>
      </c>
      <c r="EY212" s="19">
        <f t="shared" si="929"/>
        <v>6.5046421096058599E-2</v>
      </c>
      <c r="FB212" s="12" t="s">
        <v>37</v>
      </c>
      <c r="FC212" s="12" t="s">
        <v>37</v>
      </c>
      <c r="FD212" s="11" t="s">
        <v>37</v>
      </c>
      <c r="FE212" s="12" t="s">
        <v>37</v>
      </c>
      <c r="FF212" s="20" t="s">
        <v>37</v>
      </c>
      <c r="FG212" s="11" t="s">
        <v>37</v>
      </c>
      <c r="FI212" s="12" t="s">
        <v>37</v>
      </c>
      <c r="FJ212" s="12" t="s">
        <v>37</v>
      </c>
      <c r="FK212" s="11" t="s">
        <v>37</v>
      </c>
      <c r="FL212" s="13" t="s">
        <v>37</v>
      </c>
      <c r="FM212" s="11" t="s">
        <v>37</v>
      </c>
      <c r="FN212" s="11" t="s">
        <v>37</v>
      </c>
      <c r="FP212" s="12" t="s">
        <v>37</v>
      </c>
      <c r="FQ212" s="12" t="s">
        <v>37</v>
      </c>
      <c r="FR212" s="11" t="s">
        <v>37</v>
      </c>
      <c r="FS212" s="13" t="s">
        <v>37</v>
      </c>
      <c r="FT212" s="11" t="s">
        <v>37</v>
      </c>
      <c r="FU212" s="11" t="s">
        <v>37</v>
      </c>
      <c r="FW212" s="12" t="s">
        <v>37</v>
      </c>
      <c r="FX212" s="12" t="s">
        <v>37</v>
      </c>
      <c r="FY212" s="11" t="s">
        <v>37</v>
      </c>
      <c r="FZ212" s="13" t="s">
        <v>37</v>
      </c>
      <c r="GA212" s="11" t="s">
        <v>37</v>
      </c>
      <c r="GB212" s="11" t="s">
        <v>37</v>
      </c>
      <c r="GC212" s="12" t="s">
        <v>101</v>
      </c>
      <c r="GD212" s="12" t="s">
        <v>327</v>
      </c>
      <c r="GE212" s="12">
        <v>83</v>
      </c>
      <c r="GF212" s="50">
        <f>ABS(GE212)*GH$474</f>
        <v>12.253689873908808</v>
      </c>
      <c r="GG212" s="13">
        <v>55</v>
      </c>
      <c r="GI212" s="12">
        <v>57</v>
      </c>
      <c r="GJ212" s="50">
        <f>ABS(GI212)*GL$474</f>
        <v>10.902016277293278</v>
      </c>
      <c r="GK212" s="13">
        <v>80</v>
      </c>
      <c r="GM212" s="19">
        <f t="shared" si="930"/>
        <v>-0.37578933996204777</v>
      </c>
      <c r="GN212" s="19">
        <f t="shared" si="931"/>
        <v>8.5356293577507113E-4</v>
      </c>
      <c r="GO212" s="12" t="s">
        <v>660</v>
      </c>
      <c r="GP212" s="12" t="s">
        <v>330</v>
      </c>
      <c r="GQ212" s="12">
        <v>12.1</v>
      </c>
      <c r="GR212" s="12">
        <v>4.5</v>
      </c>
      <c r="GS212" s="13">
        <v>6152</v>
      </c>
      <c r="GT212" s="19">
        <f t="shared" ref="GT212" si="962">GR212/GQ212</f>
        <v>0.37190082644628103</v>
      </c>
      <c r="GU212" s="12">
        <v>12.1</v>
      </c>
      <c r="GV212" s="12">
        <v>4.0999999999999996</v>
      </c>
      <c r="GW212" s="13">
        <v>11052</v>
      </c>
      <c r="GX212" s="19">
        <f>GV212/GU212</f>
        <v>0.33884297520661155</v>
      </c>
      <c r="GY212" s="19">
        <f t="shared" si="933"/>
        <v>0</v>
      </c>
      <c r="GZ212" s="19">
        <f t="shared" si="934"/>
        <v>3.2870733962570356E-5</v>
      </c>
      <c r="HA212" s="17" t="s">
        <v>63</v>
      </c>
      <c r="HB212" s="34" t="s">
        <v>327</v>
      </c>
      <c r="HC212" s="12">
        <v>5.0999999999999997E-2</v>
      </c>
      <c r="HD212" s="50">
        <f>ABS(HC212)*HF$474</f>
        <v>8.7929989004710378E-3</v>
      </c>
      <c r="HE212" s="13">
        <v>3</v>
      </c>
      <c r="HG212" s="12">
        <v>0.19</v>
      </c>
      <c r="HH212" s="50">
        <f>ABS(HG212)*HJ$474</f>
        <v>2.1252358793749964E-2</v>
      </c>
      <c r="HI212" s="13">
        <v>5</v>
      </c>
      <c r="HK212" s="19">
        <f t="shared" si="935"/>
        <v>1.3151984394361604</v>
      </c>
      <c r="HL212" s="19">
        <f t="shared" si="936"/>
        <v>1.2410889785684826E-2</v>
      </c>
      <c r="HX212" s="34" t="s">
        <v>329</v>
      </c>
      <c r="HY212" s="12">
        <v>6.5000000000000002E-2</v>
      </c>
      <c r="HZ212" s="50">
        <f>ABS(HY212)*IB$474</f>
        <v>1.9838382796844675E-2</v>
      </c>
      <c r="IA212" s="13">
        <v>3</v>
      </c>
      <c r="IC212" s="12">
        <v>0.14000000000000001</v>
      </c>
      <c r="ID212" s="50">
        <f>ABS(IC212)*IF$474</f>
        <v>2.0453240654686924E-2</v>
      </c>
      <c r="IE212" s="13">
        <v>4</v>
      </c>
      <c r="IG212" s="19">
        <f t="shared" si="937"/>
        <v>0.7672551527136674</v>
      </c>
      <c r="IH212" s="19">
        <f t="shared" si="938"/>
        <v>3.6386117888989107E-2</v>
      </c>
      <c r="IK212" s="12" t="s">
        <v>37</v>
      </c>
      <c r="IL212" s="12" t="s">
        <v>37</v>
      </c>
      <c r="IM212" s="12" t="s">
        <v>37</v>
      </c>
      <c r="IO212" s="12" t="s">
        <v>37</v>
      </c>
      <c r="IP212" s="12" t="s">
        <v>37</v>
      </c>
      <c r="IQ212" s="12" t="s">
        <v>37</v>
      </c>
      <c r="IV212" s="32" t="s">
        <v>327</v>
      </c>
      <c r="IW212" s="12">
        <v>4.0999999999999996</v>
      </c>
      <c r="IX212" s="50">
        <f>ABS(IW212)*IZ$474</f>
        <v>0.15011224477489485</v>
      </c>
      <c r="IY212" s="13">
        <v>4</v>
      </c>
      <c r="JA212" s="12">
        <v>4.8</v>
      </c>
      <c r="JB212" s="50">
        <f>ABS(JA212)*JD$474</f>
        <v>0.13444228217137325</v>
      </c>
      <c r="JC212" s="13">
        <v>4</v>
      </c>
      <c r="JE212" s="19">
        <f t="shared" si="939"/>
        <v>0.15762894420358325</v>
      </c>
      <c r="JF212" s="19">
        <f t="shared" si="940"/>
        <v>5.312465730849806E-4</v>
      </c>
      <c r="JG212" s="32" t="s">
        <v>329</v>
      </c>
      <c r="JH212" s="12">
        <v>3.9</v>
      </c>
      <c r="JI212" s="50">
        <f>ABS(JH212)*JK$474</f>
        <v>6.3714726135569416E-2</v>
      </c>
      <c r="JJ212" s="13">
        <v>3</v>
      </c>
      <c r="JL212" s="12">
        <v>5.3</v>
      </c>
      <c r="JM212" s="50">
        <f>ABS(JL212)*JO$474</f>
        <v>0.15103631080531171</v>
      </c>
      <c r="JN212" s="13">
        <v>3</v>
      </c>
      <c r="JP212" s="19">
        <f t="shared" si="941"/>
        <v>0.30673026742247544</v>
      </c>
      <c r="JQ212" s="19">
        <f t="shared" si="942"/>
        <v>3.5966797413683861E-4</v>
      </c>
      <c r="JS212" s="12" t="s">
        <v>37</v>
      </c>
      <c r="JT212" s="12" t="s">
        <v>37</v>
      </c>
      <c r="JU212" s="13" t="s">
        <v>37</v>
      </c>
      <c r="JW212" s="12" t="s">
        <v>37</v>
      </c>
      <c r="JX212" s="12" t="s">
        <v>37</v>
      </c>
      <c r="JY212" s="12" t="s">
        <v>37</v>
      </c>
      <c r="KE212" s="12" t="s">
        <v>37</v>
      </c>
      <c r="KF212" s="12" t="s">
        <v>37</v>
      </c>
      <c r="KG212" s="13" t="s">
        <v>37</v>
      </c>
      <c r="KH212" s="12" t="s">
        <v>37</v>
      </c>
      <c r="KI212" s="12" t="s">
        <v>37</v>
      </c>
      <c r="KJ212" s="12" t="s">
        <v>37</v>
      </c>
      <c r="KK212" s="12" t="s">
        <v>42</v>
      </c>
      <c r="KL212" s="32" t="s">
        <v>327</v>
      </c>
      <c r="KM212" s="12">
        <v>4.7</v>
      </c>
      <c r="KN212" s="50">
        <f>ABS(KM212)*KP$474</f>
        <v>0.56067729450883963</v>
      </c>
      <c r="KO212" s="11">
        <v>4</v>
      </c>
      <c r="KQ212" s="12">
        <v>29</v>
      </c>
      <c r="KR212" s="50">
        <f>ABS(KQ212)*KT$474</f>
        <v>3.0578594748904657</v>
      </c>
      <c r="KS212" s="13">
        <v>3</v>
      </c>
      <c r="KU212" s="19">
        <f t="shared" si="943"/>
        <v>1.8197333212704609</v>
      </c>
      <c r="KV212" s="19">
        <f t="shared" si="944"/>
        <v>7.2638130859551744E-3</v>
      </c>
      <c r="KW212" s="32" t="s">
        <v>331</v>
      </c>
      <c r="KX212" s="12" t="s">
        <v>37</v>
      </c>
      <c r="KY212" s="12" t="s">
        <v>37</v>
      </c>
      <c r="KZ212" s="12" t="s">
        <v>37</v>
      </c>
      <c r="LB212" s="12">
        <v>21</v>
      </c>
      <c r="LC212" s="50">
        <f>ABS(LB212)*LE$474</f>
        <v>2.422797254201611</v>
      </c>
      <c r="LD212" s="13">
        <v>3</v>
      </c>
      <c r="LI212" s="12" t="s">
        <v>37</v>
      </c>
      <c r="LJ212" s="12" t="s">
        <v>37</v>
      </c>
      <c r="LK212" s="12" t="s">
        <v>37</v>
      </c>
      <c r="LM212" s="12" t="s">
        <v>37</v>
      </c>
      <c r="LN212" s="12" t="s">
        <v>37</v>
      </c>
      <c r="LO212" s="12" t="s">
        <v>37</v>
      </c>
      <c r="LT212" s="12" t="str">
        <f t="shared" ref="LT212:LT214" si="963">KL212</f>
        <v>0-15</v>
      </c>
      <c r="LU212" s="12">
        <f>AT212/KM212</f>
        <v>122.17998716493064</v>
      </c>
      <c r="LV212" s="12">
        <f>SQRT((1/KM212)^2*AU212^2+AT212^2*(-1/KM212^2)^2*KN212^2)</f>
        <v>17.934141986792696</v>
      </c>
      <c r="LW212" s="13">
        <f t="shared" si="945"/>
        <v>4</v>
      </c>
      <c r="LY212" s="12">
        <f>AX212/KQ212</f>
        <v>19.00152012160973</v>
      </c>
      <c r="LZ212" s="12">
        <f>SQRT((1/KQ212)^2*AY212^2+AX212^2*(-1/KQ212^2)^2*KR212^2)</f>
        <v>2.4113331671448139</v>
      </c>
      <c r="MA212" s="13">
        <f>KS212</f>
        <v>3</v>
      </c>
      <c r="MC212" s="19">
        <f t="shared" si="946"/>
        <v>-1.8609762798045102</v>
      </c>
      <c r="MD212" s="19">
        <f t="shared" si="947"/>
        <v>1.0754479832587791E-2</v>
      </c>
      <c r="MF212" s="12" t="s">
        <v>37</v>
      </c>
      <c r="MG212" s="12" t="s">
        <v>37</v>
      </c>
      <c r="MH212" s="12" t="s">
        <v>37</v>
      </c>
      <c r="MJ212" s="12">
        <f>BI212/LB212</f>
        <v>26.792619600044198</v>
      </c>
      <c r="MK212" s="12">
        <f>SQRT((1/LB212)^2*BJ212^2+BI212^2*(-1/LB212^2)^2*LC212^2)</f>
        <v>3.6164288110473222</v>
      </c>
      <c r="ML212" s="13">
        <f t="shared" si="948"/>
        <v>3</v>
      </c>
      <c r="MQ212" s="12" t="s">
        <v>37</v>
      </c>
      <c r="MR212" s="12" t="s">
        <v>37</v>
      </c>
      <c r="MS212" s="12" t="s">
        <v>37</v>
      </c>
      <c r="MU212" s="12" t="s">
        <v>37</v>
      </c>
      <c r="MV212" s="12" t="s">
        <v>37</v>
      </c>
      <c r="MW212" s="12" t="s">
        <v>37</v>
      </c>
      <c r="NA212" s="12" t="s">
        <v>102</v>
      </c>
      <c r="NB212" s="12" t="s">
        <v>327</v>
      </c>
      <c r="NC212" s="12">
        <v>9.6</v>
      </c>
      <c r="ND212" s="50">
        <f>ABS(NC212)*NF$474</f>
        <v>2.6604666214054755</v>
      </c>
      <c r="NE212" s="13">
        <v>4</v>
      </c>
      <c r="NG212" s="12">
        <v>170</v>
      </c>
      <c r="NH212" s="50">
        <f>ABS(NG212)*NJ$474</f>
        <v>47.768811451250947</v>
      </c>
      <c r="NI212" s="13">
        <v>4</v>
      </c>
      <c r="NK212" s="19">
        <f t="shared" si="949"/>
        <v>2.8740353385764714</v>
      </c>
      <c r="NL212" s="19">
        <f t="shared" si="950"/>
        <v>3.8939795716228014E-2</v>
      </c>
      <c r="NM212" s="12" t="s">
        <v>102</v>
      </c>
      <c r="NN212" s="12" t="s">
        <v>327</v>
      </c>
      <c r="NO212" s="12">
        <v>0.04</v>
      </c>
      <c r="NP212" s="50">
        <f>ABS(NO212)*NR$474</f>
        <v>3.3386573810554335E-2</v>
      </c>
      <c r="NQ212" s="13">
        <v>4</v>
      </c>
      <c r="NS212" s="12">
        <v>15</v>
      </c>
      <c r="NT212" s="50">
        <f>ABS(NS212)*NV$474</f>
        <v>8.7454106078392009</v>
      </c>
      <c r="NU212" s="13">
        <v>4</v>
      </c>
      <c r="NW212" s="19">
        <f t="shared" si="951"/>
        <v>5.9269260259704106</v>
      </c>
      <c r="NX212" s="19">
        <f t="shared" si="952"/>
        <v>0.25914637198002682</v>
      </c>
      <c r="OA212" s="12" t="s">
        <v>37</v>
      </c>
      <c r="OB212" s="12" t="s">
        <v>37</v>
      </c>
      <c r="OC212" s="12" t="s">
        <v>37</v>
      </c>
      <c r="OD212" s="12"/>
      <c r="OE212" s="12" t="s">
        <v>37</v>
      </c>
      <c r="OF212" s="12" t="s">
        <v>37</v>
      </c>
      <c r="OG212" s="12" t="s">
        <v>37</v>
      </c>
      <c r="OH212" s="12"/>
      <c r="OI212" s="12"/>
      <c r="OJ212" s="12"/>
      <c r="OM212" s="12" t="s">
        <v>37</v>
      </c>
      <c r="ON212" s="12" t="s">
        <v>37</v>
      </c>
      <c r="OO212" s="12" t="s">
        <v>37</v>
      </c>
      <c r="OP212" s="12" t="s">
        <v>37</v>
      </c>
      <c r="OQ212" s="12" t="s">
        <v>37</v>
      </c>
      <c r="OR212" s="12" t="s">
        <v>37</v>
      </c>
      <c r="OS212" s="12"/>
      <c r="OT212" s="12"/>
      <c r="OW212" s="12" t="s">
        <v>37</v>
      </c>
      <c r="OX212" s="12" t="s">
        <v>37</v>
      </c>
      <c r="OY212" s="13" t="s">
        <v>37</v>
      </c>
      <c r="OZ212" s="12" t="s">
        <v>37</v>
      </c>
      <c r="PA212" s="12" t="s">
        <v>37</v>
      </c>
      <c r="PB212" s="13" t="s">
        <v>37</v>
      </c>
      <c r="PG212" s="11" t="s">
        <v>37</v>
      </c>
      <c r="PH212" s="11" t="s">
        <v>37</v>
      </c>
      <c r="PI212" s="13" t="s">
        <v>37</v>
      </c>
      <c r="PJ212" s="11" t="s">
        <v>37</v>
      </c>
      <c r="PK212" s="11" t="s">
        <v>37</v>
      </c>
      <c r="PL212" s="13" t="s">
        <v>37</v>
      </c>
      <c r="PQ212" s="12" t="s">
        <v>37</v>
      </c>
      <c r="PR212" s="12" t="s">
        <v>37</v>
      </c>
      <c r="PS212" s="12" t="s">
        <v>37</v>
      </c>
      <c r="PT212" s="12" t="s">
        <v>37</v>
      </c>
      <c r="PU212" s="12" t="s">
        <v>37</v>
      </c>
      <c r="PV212" s="12" t="s">
        <v>37</v>
      </c>
      <c r="PW212" s="12"/>
      <c r="PX212" s="12"/>
      <c r="PZ212" s="12" t="s">
        <v>37</v>
      </c>
      <c r="QA212" s="12" t="s">
        <v>37</v>
      </c>
      <c r="QB212" s="11" t="s">
        <v>37</v>
      </c>
      <c r="QD212" s="12" t="s">
        <v>37</v>
      </c>
      <c r="QE212" s="12" t="s">
        <v>37</v>
      </c>
      <c r="QF212" s="12" t="s">
        <v>37</v>
      </c>
      <c r="QK212" s="12" t="s">
        <v>37</v>
      </c>
      <c r="QL212" s="12" t="s">
        <v>37</v>
      </c>
      <c r="QM212" s="12" t="s">
        <v>37</v>
      </c>
      <c r="QN212" s="12" t="s">
        <v>37</v>
      </c>
      <c r="QO212" s="12" t="s">
        <v>37</v>
      </c>
      <c r="QP212" s="12" t="s">
        <v>37</v>
      </c>
      <c r="QQ212" s="12"/>
      <c r="QR212" s="12"/>
      <c r="QU212" s="12" t="s">
        <v>37</v>
      </c>
      <c r="QV212" s="12" t="s">
        <v>37</v>
      </c>
      <c r="QW212" s="12" t="s">
        <v>37</v>
      </c>
      <c r="QX212" s="12" t="s">
        <v>37</v>
      </c>
      <c r="QY212" s="12" t="s">
        <v>37</v>
      </c>
      <c r="QZ212" s="12" t="s">
        <v>37</v>
      </c>
      <c r="RC212" s="12" t="s">
        <v>37</v>
      </c>
      <c r="RD212" s="12" t="s">
        <v>37</v>
      </c>
      <c r="RE212" s="13" t="s">
        <v>37</v>
      </c>
      <c r="RF212" s="12" t="s">
        <v>37</v>
      </c>
      <c r="RG212" s="12" t="s">
        <v>37</v>
      </c>
      <c r="RH212" s="13" t="s">
        <v>37</v>
      </c>
      <c r="RK212" s="12" t="s">
        <v>37</v>
      </c>
      <c r="RL212" s="12" t="s">
        <v>37</v>
      </c>
      <c r="RM212" s="11" t="s">
        <v>37</v>
      </c>
      <c r="RN212" s="12" t="s">
        <v>37</v>
      </c>
      <c r="RO212" s="12" t="s">
        <v>37</v>
      </c>
      <c r="RP212" s="11" t="s">
        <v>37</v>
      </c>
      <c r="RS212" s="12" t="s">
        <v>37</v>
      </c>
      <c r="RT212" s="12" t="s">
        <v>37</v>
      </c>
      <c r="RU212" s="12" t="s">
        <v>37</v>
      </c>
      <c r="RV212" s="12" t="s">
        <v>37</v>
      </c>
      <c r="RW212" s="12" t="s">
        <v>37</v>
      </c>
      <c r="RX212" s="12" t="s">
        <v>37</v>
      </c>
      <c r="SA212" s="12" t="s">
        <v>37</v>
      </c>
      <c r="SB212" s="12" t="s">
        <v>37</v>
      </c>
      <c r="SC212" s="12" t="s">
        <v>37</v>
      </c>
      <c r="SD212" s="12" t="s">
        <v>37</v>
      </c>
      <c r="SE212" s="12" t="s">
        <v>37</v>
      </c>
      <c r="SF212" s="12" t="s">
        <v>37</v>
      </c>
      <c r="SG212" s="12" t="s">
        <v>45</v>
      </c>
      <c r="SH212" s="12" t="s">
        <v>327</v>
      </c>
      <c r="SI212" s="12">
        <v>370</v>
      </c>
      <c r="SJ212" s="50">
        <f>ABS(SI212)*SL$474</f>
        <v>114.77793858204488</v>
      </c>
      <c r="SK212" s="13">
        <v>6</v>
      </c>
      <c r="SM212" s="12">
        <v>570</v>
      </c>
      <c r="SN212" s="50">
        <f>ABS(SM212)*SP$474</f>
        <v>155.00382975790745</v>
      </c>
      <c r="SO212" s="13">
        <v>6</v>
      </c>
      <c r="SQ212" s="19">
        <f t="shared" si="953"/>
        <v>0.43213335519032575</v>
      </c>
      <c r="SR212" s="19">
        <f t="shared" si="954"/>
        <v>2.8363354635450491E-2</v>
      </c>
      <c r="SU212" s="12" t="s">
        <v>37</v>
      </c>
      <c r="SV212" s="12" t="s">
        <v>37</v>
      </c>
      <c r="SW212" s="12" t="s">
        <v>37</v>
      </c>
      <c r="SX212" s="12" t="s">
        <v>37</v>
      </c>
      <c r="SY212" s="12" t="s">
        <v>37</v>
      </c>
      <c r="SZ212" s="12" t="s">
        <v>37</v>
      </c>
      <c r="TA212" s="12"/>
      <c r="TB212" s="12"/>
      <c r="TE212" s="12" t="s">
        <v>37</v>
      </c>
      <c r="TF212" s="12" t="s">
        <v>37</v>
      </c>
      <c r="TG212" s="11" t="s">
        <v>37</v>
      </c>
      <c r="TH212" s="12" t="s">
        <v>37</v>
      </c>
      <c r="TI212" s="12" t="s">
        <v>37</v>
      </c>
      <c r="TJ212" s="11" t="s">
        <v>37</v>
      </c>
      <c r="TO212" s="12" t="s">
        <v>37</v>
      </c>
      <c r="TP212" s="12" t="s">
        <v>37</v>
      </c>
      <c r="TQ212" s="11" t="s">
        <v>37</v>
      </c>
      <c r="TR212" s="12" t="s">
        <v>37</v>
      </c>
      <c r="TS212" s="12" t="s">
        <v>37</v>
      </c>
      <c r="TT212" s="11" t="s">
        <v>37</v>
      </c>
      <c r="TY212" s="12" t="s">
        <v>37</v>
      </c>
      <c r="TZ212" s="12" t="s">
        <v>37</v>
      </c>
      <c r="UA212" s="12" t="s">
        <v>37</v>
      </c>
      <c r="UB212" s="12" t="s">
        <v>37</v>
      </c>
      <c r="UC212" s="12" t="s">
        <v>37</v>
      </c>
      <c r="UD212" s="12" t="s">
        <v>37</v>
      </c>
      <c r="UE212" s="12"/>
      <c r="UF212" s="12"/>
      <c r="UI212" s="12" t="s">
        <v>37</v>
      </c>
      <c r="UJ212" s="12" t="s">
        <v>37</v>
      </c>
      <c r="UK212" s="12" t="s">
        <v>37</v>
      </c>
      <c r="UL212" s="12" t="s">
        <v>37</v>
      </c>
      <c r="UM212" s="12" t="s">
        <v>37</v>
      </c>
      <c r="UN212" s="12" t="s">
        <v>37</v>
      </c>
      <c r="UO212" s="12"/>
      <c r="UP212" s="12"/>
      <c r="UR212" s="12" t="s">
        <v>37</v>
      </c>
      <c r="US212" s="12" t="s">
        <v>37</v>
      </c>
      <c r="UT212" s="12" t="s">
        <v>37</v>
      </c>
      <c r="UU212" s="12" t="s">
        <v>37</v>
      </c>
      <c r="UV212" s="12" t="s">
        <v>37</v>
      </c>
      <c r="UW212" s="12" t="s">
        <v>37</v>
      </c>
      <c r="UX212" s="12"/>
      <c r="UY212" s="12"/>
      <c r="VB212" s="12" t="s">
        <v>37</v>
      </c>
      <c r="VC212" s="12" t="s">
        <v>37</v>
      </c>
      <c r="VD212" s="12" t="s">
        <v>37</v>
      </c>
      <c r="VE212" s="12" t="s">
        <v>37</v>
      </c>
      <c r="VF212" s="12" t="s">
        <v>37</v>
      </c>
      <c r="VG212" s="12" t="s">
        <v>37</v>
      </c>
      <c r="VI212" s="12" t="s">
        <v>37</v>
      </c>
      <c r="VJ212" s="12" t="s">
        <v>37</v>
      </c>
      <c r="VK212" s="12" t="s">
        <v>37</v>
      </c>
      <c r="VL212" s="12" t="s">
        <v>37</v>
      </c>
      <c r="VM212" s="12" t="s">
        <v>37</v>
      </c>
      <c r="VN212" s="12" t="s">
        <v>37</v>
      </c>
      <c r="VQ212" s="13" t="s">
        <v>37</v>
      </c>
      <c r="VR212" s="13" t="s">
        <v>37</v>
      </c>
      <c r="VS212" s="13" t="s">
        <v>37</v>
      </c>
      <c r="VT212" s="13" t="s">
        <v>37</v>
      </c>
      <c r="VU212" s="13" t="s">
        <v>37</v>
      </c>
      <c r="VV212" s="13" t="s">
        <v>37</v>
      </c>
      <c r="WA212" s="13" t="s">
        <v>37</v>
      </c>
      <c r="WB212" s="13" t="s">
        <v>37</v>
      </c>
      <c r="WC212" s="13" t="s">
        <v>37</v>
      </c>
      <c r="WD212" s="13" t="s">
        <v>37</v>
      </c>
      <c r="WE212" s="13" t="s">
        <v>37</v>
      </c>
      <c r="WF212" s="13" t="s">
        <v>37</v>
      </c>
    </row>
    <row r="213" spans="1:606" ht="18" customHeight="1" x14ac:dyDescent="0.3">
      <c r="A213" s="11">
        <v>55</v>
      </c>
      <c r="B213" s="16" t="s">
        <v>341</v>
      </c>
      <c r="C213" s="12" t="s">
        <v>26</v>
      </c>
      <c r="D213" s="12" t="s">
        <v>830</v>
      </c>
      <c r="E213" s="40">
        <v>4.5999999999999996</v>
      </c>
      <c r="F213" s="14">
        <v>0</v>
      </c>
      <c r="G213" s="14">
        <v>0</v>
      </c>
      <c r="H213" s="12" t="s">
        <v>131</v>
      </c>
      <c r="I213" s="29">
        <v>56.146000000000001</v>
      </c>
      <c r="J213" s="29">
        <v>-4.3</v>
      </c>
      <c r="K213" s="12" t="s">
        <v>755</v>
      </c>
      <c r="L213" s="12" t="s">
        <v>756</v>
      </c>
      <c r="M213" s="13">
        <v>15</v>
      </c>
      <c r="N213" s="14">
        <v>9.4</v>
      </c>
      <c r="O213" s="14">
        <v>1672</v>
      </c>
      <c r="P213" s="14" t="s">
        <v>16</v>
      </c>
      <c r="Q213" s="75">
        <v>88</v>
      </c>
      <c r="R213" s="11" t="s">
        <v>1000</v>
      </c>
      <c r="S213" s="12" t="s">
        <v>93</v>
      </c>
      <c r="T213" s="12" t="s">
        <v>141</v>
      </c>
      <c r="U213" s="12" t="s">
        <v>158</v>
      </c>
      <c r="V213" s="12" t="s">
        <v>275</v>
      </c>
      <c r="W213" s="23" t="s">
        <v>107</v>
      </c>
      <c r="X213" s="12" t="s">
        <v>281</v>
      </c>
      <c r="Y213" s="12" t="s">
        <v>37</v>
      </c>
      <c r="Z213" s="12" t="s">
        <v>315</v>
      </c>
      <c r="AA213" s="32" t="s">
        <v>345</v>
      </c>
      <c r="AB213" s="12">
        <v>3.61</v>
      </c>
      <c r="AC213" s="12" t="s">
        <v>42</v>
      </c>
      <c r="AD213" s="32" t="s">
        <v>327</v>
      </c>
      <c r="AE213" s="12">
        <v>499.4</v>
      </c>
      <c r="AF213" s="12" t="s">
        <v>434</v>
      </c>
      <c r="AG213" s="32" t="s">
        <v>345</v>
      </c>
      <c r="AH213" s="12">
        <v>16.600000000000001</v>
      </c>
      <c r="AJ213" s="12" t="str">
        <f t="shared" si="918"/>
        <v>0-15</v>
      </c>
      <c r="AK213" s="19">
        <f t="shared" si="956"/>
        <v>30.084337349397586</v>
      </c>
      <c r="AL213" s="32" t="s">
        <v>342</v>
      </c>
      <c r="AM213" s="12" t="s">
        <v>344</v>
      </c>
      <c r="AO213" s="12" t="s">
        <v>318</v>
      </c>
      <c r="AP213" s="12" t="s">
        <v>108</v>
      </c>
      <c r="AQ213" s="12" t="s">
        <v>975</v>
      </c>
      <c r="AR213" s="12" t="s">
        <v>42</v>
      </c>
      <c r="AS213" s="32" t="s">
        <v>327</v>
      </c>
      <c r="AT213" s="12">
        <v>499.4</v>
      </c>
      <c r="AU213" s="12">
        <f>4.6*SQRT(3)</f>
        <v>7.9674337148168348</v>
      </c>
      <c r="AV213" s="13">
        <v>3</v>
      </c>
      <c r="AW213" s="19">
        <f t="shared" ref="AW213:AW214" si="964">AU213/AT213</f>
        <v>1.5954012244326861E-2</v>
      </c>
      <c r="AX213" s="12">
        <v>506.5</v>
      </c>
      <c r="AY213" s="12">
        <f>6.1*SQRT(3)</f>
        <v>10.565509926170151</v>
      </c>
      <c r="AZ213" s="13">
        <v>3</v>
      </c>
      <c r="BA213" s="19">
        <f t="shared" ref="BA213:BA214" si="965">AY213/AX213</f>
        <v>2.0859841907542254E-2</v>
      </c>
      <c r="BB213" s="52">
        <f t="shared" si="919"/>
        <v>1.4116945843065247E-2</v>
      </c>
      <c r="BC213" s="19">
        <f t="shared" si="920"/>
        <v>2.2988783703326249E-4</v>
      </c>
      <c r="BD213" s="32" t="s">
        <v>422</v>
      </c>
      <c r="BE213" s="12">
        <v>508.2</v>
      </c>
      <c r="BF213" s="12">
        <f>5.8*SQRT(3)</f>
        <v>10.045894683899487</v>
      </c>
      <c r="BG213" s="13">
        <v>3</v>
      </c>
      <c r="BH213" s="19">
        <f>BF213/BE213</f>
        <v>1.9767600716055662E-2</v>
      </c>
      <c r="BI213" s="12">
        <v>508.1</v>
      </c>
      <c r="BJ213" s="12">
        <f>8.6*SQRT(3)</f>
        <v>14.895636945092344</v>
      </c>
      <c r="BK213" s="13">
        <v>3</v>
      </c>
      <c r="BL213" s="19">
        <f>BJ213/BI213</f>
        <v>2.9316349035804649E-2</v>
      </c>
      <c r="BM213" s="52">
        <f>LN(BI213/BE213)</f>
        <v>-1.9679228637747834E-4</v>
      </c>
      <c r="BN213" s="19">
        <f>BJ213^2/(BK213*BI213^2)+BF213^2/(BG213*BE213^2)</f>
        <v>4.1673545295284288E-4</v>
      </c>
      <c r="BO213" s="16"/>
      <c r="BP213" s="12" t="s">
        <v>37</v>
      </c>
      <c r="BQ213" s="12" t="s">
        <v>37</v>
      </c>
      <c r="BR213" s="13" t="s">
        <v>37</v>
      </c>
      <c r="BT213" s="12" t="s">
        <v>37</v>
      </c>
      <c r="BU213" s="12" t="s">
        <v>37</v>
      </c>
      <c r="BV213" s="12" t="s">
        <v>37</v>
      </c>
      <c r="CA213" s="12" t="s">
        <v>37</v>
      </c>
      <c r="CB213" s="12" t="s">
        <v>37</v>
      </c>
      <c r="CC213" s="13" t="s">
        <v>37</v>
      </c>
      <c r="CE213" s="12" t="s">
        <v>37</v>
      </c>
      <c r="CF213" s="12" t="s">
        <v>37</v>
      </c>
      <c r="CG213" s="13" t="s">
        <v>37</v>
      </c>
      <c r="CI213" s="52"/>
      <c r="CJ213" s="52"/>
      <c r="CK213" s="73"/>
      <c r="CL213" s="73"/>
      <c r="CN213" s="12" t="s">
        <v>37</v>
      </c>
      <c r="CO213" s="12" t="s">
        <v>37</v>
      </c>
      <c r="CP213" s="13" t="s">
        <v>37</v>
      </c>
      <c r="CR213" s="12" t="s">
        <v>37</v>
      </c>
      <c r="CS213" s="12" t="s">
        <v>37</v>
      </c>
      <c r="CT213" s="13" t="s">
        <v>37</v>
      </c>
      <c r="CV213" s="52"/>
      <c r="CW213" s="52"/>
      <c r="CX213" s="73"/>
      <c r="CY213" s="73"/>
      <c r="CZ213" s="12" t="s">
        <v>47</v>
      </c>
      <c r="DA213" s="12">
        <v>-5500</v>
      </c>
      <c r="DB213" s="50">
        <f>ABS(DA213)*DD$474</f>
        <v>16498.111072774162</v>
      </c>
      <c r="DC213" s="13">
        <v>3</v>
      </c>
      <c r="DE213" s="12">
        <v>-5500</v>
      </c>
      <c r="DF213" s="50">
        <f>ABS(DE213)*DH$474</f>
        <v>5242.2853686486578</v>
      </c>
      <c r="DG213" s="13">
        <v>3</v>
      </c>
      <c r="DI213" s="19">
        <f t="shared" ref="DI213:DI214" si="966">DE213-DA213</f>
        <v>0</v>
      </c>
      <c r="DJ213" s="12">
        <f>SQRT(((DC213-1)*DB213^2+(DG213-1)*DF213^2)/(DC213+DG213-2))</f>
        <v>12240.694932395407</v>
      </c>
      <c r="DK213" s="72">
        <f t="shared" ref="DK213:DK214" si="967">(((DC213+DG213)/(DC213*DG213))*(((DC213-1)*DB213^2)+(DG213-1)*DF213^2)/(DC213+DG213-2))</f>
        <v>99889741.618647054</v>
      </c>
      <c r="DL213" s="72">
        <f t="shared" ref="DL213:DL214" si="968">(DB213^2/DC213)+(DF213^2/DG213)</f>
        <v>99889741.618647069</v>
      </c>
      <c r="DM213" s="11" t="s">
        <v>47</v>
      </c>
      <c r="DN213" s="19">
        <v>5.4</v>
      </c>
      <c r="DO213" s="50">
        <f>ABS(DN213)*DQ$474</f>
        <v>6.0203481614635956</v>
      </c>
      <c r="DP213" s="13">
        <v>3</v>
      </c>
      <c r="DR213" s="19">
        <v>1.4</v>
      </c>
      <c r="DS213" s="50">
        <f>ABS(DR213)*DU$474</f>
        <v>5.2321028124834132</v>
      </c>
      <c r="DT213" s="13">
        <v>3</v>
      </c>
      <c r="DV213" s="19">
        <f t="shared" ref="DV213:DV214" si="969">DR213-DN213</f>
        <v>-4</v>
      </c>
      <c r="DW213" s="12">
        <f t="shared" si="914"/>
        <v>5.6400129355186293</v>
      </c>
      <c r="DX213" s="72">
        <f t="shared" si="641"/>
        <v>21.206497275211646</v>
      </c>
      <c r="DY213" s="72">
        <f t="shared" si="642"/>
        <v>21.206497275211646</v>
      </c>
      <c r="EA213" s="19" t="s">
        <v>37</v>
      </c>
      <c r="EB213" s="19" t="s">
        <v>37</v>
      </c>
      <c r="EC213" s="72" t="s">
        <v>37</v>
      </c>
      <c r="EE213" s="19" t="s">
        <v>37</v>
      </c>
      <c r="EF213" s="19" t="s">
        <v>37</v>
      </c>
      <c r="EG213" s="12" t="s">
        <v>37</v>
      </c>
      <c r="EM213" s="12" t="s">
        <v>39</v>
      </c>
      <c r="EN213" s="12">
        <v>-14.909844559585478</v>
      </c>
      <c r="EO213" s="12">
        <v>1.0723470663621506</v>
      </c>
      <c r="EP213" s="13">
        <v>3</v>
      </c>
      <c r="EQ213" s="19">
        <f t="shared" si="959"/>
        <v>7.1922082224039216E-2</v>
      </c>
      <c r="ER213" s="12">
        <v>-31.98942141623488</v>
      </c>
      <c r="ES213" s="12">
        <v>1.5801931444910506</v>
      </c>
      <c r="ET213" s="13">
        <v>3</v>
      </c>
      <c r="EU213" s="19">
        <f t="shared" si="960"/>
        <v>4.939736558314526E-2</v>
      </c>
      <c r="EV213" s="19">
        <f t="shared" si="961"/>
        <v>-17.079576856649403</v>
      </c>
      <c r="EW213" s="12">
        <f t="shared" si="927"/>
        <v>1.3503589531365401</v>
      </c>
      <c r="EX213" s="19">
        <f t="shared" si="928"/>
        <v>1.2156462015440082</v>
      </c>
      <c r="EY213" s="19">
        <f t="shared" si="929"/>
        <v>1.2156462015440084</v>
      </c>
      <c r="FB213" s="12" t="s">
        <v>37</v>
      </c>
      <c r="FC213" s="12" t="s">
        <v>37</v>
      </c>
      <c r="FD213" s="11" t="s">
        <v>37</v>
      </c>
      <c r="FE213" s="12" t="s">
        <v>37</v>
      </c>
      <c r="FF213" s="20" t="s">
        <v>37</v>
      </c>
      <c r="FG213" s="11" t="s">
        <v>37</v>
      </c>
      <c r="FI213" s="12" t="s">
        <v>37</v>
      </c>
      <c r="FJ213" s="12" t="s">
        <v>37</v>
      </c>
      <c r="FK213" s="11" t="s">
        <v>37</v>
      </c>
      <c r="FL213" s="13" t="s">
        <v>37</v>
      </c>
      <c r="FM213" s="11" t="s">
        <v>37</v>
      </c>
      <c r="FN213" s="11" t="s">
        <v>37</v>
      </c>
      <c r="FP213" s="12" t="s">
        <v>37</v>
      </c>
      <c r="FQ213" s="12" t="s">
        <v>37</v>
      </c>
      <c r="FR213" s="11" t="s">
        <v>37</v>
      </c>
      <c r="FS213" s="13" t="s">
        <v>37</v>
      </c>
      <c r="FT213" s="11" t="s">
        <v>37</v>
      </c>
      <c r="FU213" s="11" t="s">
        <v>37</v>
      </c>
      <c r="FW213" s="12" t="s">
        <v>37</v>
      </c>
      <c r="FX213" s="12" t="s">
        <v>37</v>
      </c>
      <c r="FY213" s="11" t="s">
        <v>37</v>
      </c>
      <c r="FZ213" s="13" t="s">
        <v>37</v>
      </c>
      <c r="GA213" s="11" t="s">
        <v>37</v>
      </c>
      <c r="GB213" s="11" t="s">
        <v>37</v>
      </c>
      <c r="HA213" s="17" t="s">
        <v>63</v>
      </c>
      <c r="HB213" s="34" t="s">
        <v>345</v>
      </c>
      <c r="HC213" s="12">
        <v>0.13</v>
      </c>
      <c r="HD213" s="12">
        <f>0.01*SQRT(3)</f>
        <v>1.7320508075688773E-2</v>
      </c>
      <c r="HE213" s="13">
        <v>3</v>
      </c>
      <c r="HF213" s="19">
        <f t="shared" ref="HF213:HF214" si="970">HD213/HC213</f>
        <v>0.13323467750529824</v>
      </c>
      <c r="HG213" s="12">
        <v>0.15</v>
      </c>
      <c r="HH213" s="12">
        <f>0.01*SQRT(3)</f>
        <v>1.7320508075688773E-2</v>
      </c>
      <c r="HI213" s="13">
        <v>3</v>
      </c>
      <c r="HJ213" s="19">
        <f t="shared" ref="HJ213:HJ214" si="971">HH213/HG213</f>
        <v>0.11547005383792516</v>
      </c>
      <c r="HK213" s="19">
        <f t="shared" si="935"/>
        <v>0.14310084364067324</v>
      </c>
      <c r="HL213" s="19">
        <f t="shared" si="936"/>
        <v>1.0361604207758054E-2</v>
      </c>
      <c r="HM213" s="34" t="s">
        <v>422</v>
      </c>
      <c r="HN213" s="12">
        <v>0.11</v>
      </c>
      <c r="HO213" s="12">
        <f>0.01*SQRT(3)</f>
        <v>1.7320508075688773E-2</v>
      </c>
      <c r="HP213" s="13">
        <v>3</v>
      </c>
      <c r="HQ213" s="19">
        <f t="shared" ref="HQ213:HQ214" si="972">HO213/HN213</f>
        <v>0.1574591643244434</v>
      </c>
      <c r="HR213" s="12">
        <v>0.13</v>
      </c>
      <c r="HS213" s="12">
        <f>0.01*SQRT(3)</f>
        <v>1.7320508075688773E-2</v>
      </c>
      <c r="HT213" s="13">
        <v>3</v>
      </c>
      <c r="HU213" s="19">
        <f t="shared" ref="HU213:HU214" si="973">HS213/HR213</f>
        <v>0.13323467750529824</v>
      </c>
      <c r="HV213" s="19">
        <f t="shared" ref="HV213:HV214" si="974">LN(HR213/HN213)</f>
        <v>0.16705408466316624</v>
      </c>
      <c r="HW213" s="19">
        <f t="shared" ref="HW213:HW214" si="975">HS213^2/(HT213*HR213^2)+HO213^2/(HP213*HN213^2)</f>
        <v>1.4181622573230964E-2</v>
      </c>
      <c r="IK213" s="12" t="s">
        <v>37</v>
      </c>
      <c r="IL213" s="12" t="s">
        <v>37</v>
      </c>
      <c r="IM213" s="12" t="s">
        <v>37</v>
      </c>
      <c r="IO213" s="12" t="s">
        <v>37</v>
      </c>
      <c r="IP213" s="12" t="s">
        <v>37</v>
      </c>
      <c r="IQ213" s="12" t="s">
        <v>37</v>
      </c>
      <c r="IV213" s="32" t="s">
        <v>345</v>
      </c>
      <c r="IW213" s="12">
        <v>3.61</v>
      </c>
      <c r="IX213" s="12">
        <f>0.06*SQRT(3)</f>
        <v>0.10392304845413262</v>
      </c>
      <c r="IY213" s="13">
        <v>3</v>
      </c>
      <c r="IZ213" s="19">
        <f t="shared" ref="IZ213:IZ214" si="976">IX213/IW213</f>
        <v>2.8787548048236185E-2</v>
      </c>
      <c r="JA213" s="12">
        <v>3.61</v>
      </c>
      <c r="JB213" s="12">
        <f>0.08*SQRT(3)</f>
        <v>0.13856406460551018</v>
      </c>
      <c r="JC213" s="13">
        <v>3</v>
      </c>
      <c r="JD213" s="19">
        <f t="shared" ref="JD213:JD214" si="977">JB213/JA213</f>
        <v>3.8383397397648254E-2</v>
      </c>
      <c r="JE213" s="19">
        <f t="shared" si="939"/>
        <v>0</v>
      </c>
      <c r="JF213" s="19">
        <f t="shared" si="940"/>
        <v>7.6733603947176589E-4</v>
      </c>
      <c r="JG213" s="32" t="s">
        <v>422</v>
      </c>
      <c r="JH213" s="12">
        <v>3.64</v>
      </c>
      <c r="JI213" s="12">
        <f>0.05*SQRT(3)</f>
        <v>8.6602540378443865E-2</v>
      </c>
      <c r="JJ213" s="13">
        <v>3</v>
      </c>
      <c r="JK213" s="19">
        <f>JI213/JH213</f>
        <v>2.3791906697374687E-2</v>
      </c>
      <c r="JL213" s="12">
        <v>3.6</v>
      </c>
      <c r="JM213" s="12">
        <f>0.1*SQRT(3)</f>
        <v>0.17320508075688773</v>
      </c>
      <c r="JN213" s="13">
        <v>3</v>
      </c>
      <c r="JO213" s="19">
        <f>JM213/JL213</f>
        <v>4.8112522432468816E-2</v>
      </c>
      <c r="JP213" s="19">
        <f t="shared" ref="JP213:JP214" si="978">LN(JL213/JH213)</f>
        <v>-1.1049836186584935E-2</v>
      </c>
      <c r="JQ213" s="19">
        <f t="shared" si="942"/>
        <v>9.6028987970379908E-4</v>
      </c>
      <c r="JS213" s="12" t="s">
        <v>37</v>
      </c>
      <c r="JT213" s="12" t="s">
        <v>37</v>
      </c>
      <c r="JU213" s="13" t="s">
        <v>37</v>
      </c>
      <c r="JW213" s="12" t="s">
        <v>37</v>
      </c>
      <c r="JX213" s="12" t="s">
        <v>37</v>
      </c>
      <c r="JY213" s="12" t="s">
        <v>37</v>
      </c>
      <c r="KE213" s="12" t="s">
        <v>37</v>
      </c>
      <c r="KF213" s="12" t="s">
        <v>37</v>
      </c>
      <c r="KG213" s="13" t="s">
        <v>37</v>
      </c>
      <c r="KH213" s="12" t="s">
        <v>37</v>
      </c>
      <c r="KI213" s="12" t="s">
        <v>37</v>
      </c>
      <c r="KJ213" s="12" t="s">
        <v>37</v>
      </c>
      <c r="KK213" s="12" t="s">
        <v>434</v>
      </c>
      <c r="KL213" s="32" t="s">
        <v>345</v>
      </c>
      <c r="KM213" s="12">
        <v>16.600000000000001</v>
      </c>
      <c r="KN213" s="12">
        <f>0.4*SQRT(3)</f>
        <v>0.69282032302755092</v>
      </c>
      <c r="KO213" s="11">
        <v>3</v>
      </c>
      <c r="KP213" s="19">
        <f t="shared" ref="KP213:KP214" si="979">KN213/KM213</f>
        <v>4.1736164037804266E-2</v>
      </c>
      <c r="KQ213" s="12">
        <v>17.2</v>
      </c>
      <c r="KR213" s="12">
        <f>1*SQRT(3)</f>
        <v>1.7320508075688772</v>
      </c>
      <c r="KS213" s="13">
        <v>3</v>
      </c>
      <c r="KT213" s="19">
        <f t="shared" ref="KT213:KT214" si="980">KR213/KQ213</f>
        <v>0.10070062834702775</v>
      </c>
      <c r="KU213" s="19">
        <f t="shared" si="943"/>
        <v>3.5506688456909602E-2</v>
      </c>
      <c r="KV213" s="19">
        <f t="shared" si="944"/>
        <v>3.9608413126922381E-3</v>
      </c>
      <c r="KW213" s="32" t="s">
        <v>422</v>
      </c>
      <c r="KX213" s="12">
        <v>15.8</v>
      </c>
      <c r="KY213" s="12">
        <f>0.6*SQRT(3)</f>
        <v>1.0392304845413263</v>
      </c>
      <c r="KZ213" s="13">
        <v>3</v>
      </c>
      <c r="LA213" s="19">
        <f>KY213/KX213</f>
        <v>6.5774081300083942E-2</v>
      </c>
      <c r="LB213" s="12">
        <v>14.7</v>
      </c>
      <c r="LC213" s="12">
        <f>0.7*SQRT(3)</f>
        <v>1.2124355652982139</v>
      </c>
      <c r="LD213" s="13">
        <v>3</v>
      </c>
      <c r="LE213" s="19">
        <f>LC213/LB213</f>
        <v>8.2478609884232251E-2</v>
      </c>
      <c r="LF213" s="19">
        <f t="shared" ref="LF213:LF214" si="981">LN(LB213/KX213)</f>
        <v>-7.2162446248230538E-2</v>
      </c>
      <c r="LG213" s="19">
        <f t="shared" ref="LG213:LG214" si="982">LC213^2/(LD213*LB213^2)+KY213^2/(KZ213*KX213^2)</f>
        <v>3.7096502864351413E-3</v>
      </c>
      <c r="LI213" s="12" t="s">
        <v>37</v>
      </c>
      <c r="LJ213" s="12" t="s">
        <v>37</v>
      </c>
      <c r="LK213" s="12" t="s">
        <v>37</v>
      </c>
      <c r="LM213" s="12" t="s">
        <v>37</v>
      </c>
      <c r="LN213" s="12" t="s">
        <v>37</v>
      </c>
      <c r="LO213" s="12" t="s">
        <v>37</v>
      </c>
      <c r="LT213" s="12" t="str">
        <f t="shared" si="963"/>
        <v>0-10</v>
      </c>
      <c r="LU213" s="12">
        <f>AT213/KM213</f>
        <v>30.084337349397586</v>
      </c>
      <c r="LV213" s="12">
        <f>SQRT((1/KM213)^2*AU213^2+AT213^2*(-1/KM213^2)^2*KN213^2)</f>
        <v>1.3442138084450648</v>
      </c>
      <c r="LW213" s="13">
        <f t="shared" si="945"/>
        <v>3</v>
      </c>
      <c r="LX213" s="19">
        <f t="shared" ref="LX213:LX214" si="983">LV213/LU213</f>
        <v>4.4681516259888025E-2</v>
      </c>
      <c r="LY213" s="12">
        <f>AX213/KQ213</f>
        <v>29.447674418604652</v>
      </c>
      <c r="LZ213" s="12">
        <f>SQRT((1/KQ213)^2*AY213^2+AX213^2*(-1/KQ213^2)^2*KR213^2)</f>
        <v>3.0283535878298533</v>
      </c>
      <c r="MA213" s="13">
        <f>KS213</f>
        <v>3</v>
      </c>
      <c r="MB213" s="19">
        <f t="shared" ref="MB213:MB214" si="984">LZ213/LY213</f>
        <v>0.10283846339718357</v>
      </c>
      <c r="MC213" s="19">
        <f t="shared" si="946"/>
        <v>-2.1389742613844454E-2</v>
      </c>
      <c r="MD213" s="19">
        <f t="shared" si="947"/>
        <v>4.1907291497255009E-3</v>
      </c>
      <c r="ME213" s="12" t="str">
        <f t="shared" ref="ME213:ME214" si="985">KW213</f>
        <v>10-20</v>
      </c>
      <c r="MF213" s="12">
        <f>BE213/KX213</f>
        <v>32.164556962025316</v>
      </c>
      <c r="MG213" s="12">
        <f>SQRT((1/KX213)^2*BF213^2+BE213^2*(-1/KX213^2)^2*KY213^2)</f>
        <v>2.2090724051957591</v>
      </c>
      <c r="MH213" s="13">
        <f t="shared" ref="MH213:MH214" si="986">KZ213</f>
        <v>3</v>
      </c>
      <c r="MI213" s="19">
        <f>MG213/MF213</f>
        <v>6.8680330582630844E-2</v>
      </c>
      <c r="MJ213" s="12">
        <f>BI213/LB213</f>
        <v>34.564625850340143</v>
      </c>
      <c r="MK213" s="12">
        <f>SQRT((1/LB213)^2*BJ213^2+BI213^2*(-1/LB213^2)^2*LC213^2)</f>
        <v>3.0255736912389106</v>
      </c>
      <c r="ML213" s="13">
        <f t="shared" si="948"/>
        <v>3</v>
      </c>
      <c r="MM213" s="19">
        <f>MK213/MJ213</f>
        <v>8.7533818660129853E-2</v>
      </c>
      <c r="MN213" s="19">
        <f t="shared" ref="MN213:MN214" si="987">LN(MJ213/MF213)</f>
        <v>7.1965653961853282E-2</v>
      </c>
      <c r="MO213" s="19">
        <f t="shared" ref="MO213:MO214" si="988">MK213^2/(ML213*MJ213^2)+MG213^2/(MH213*MF213^2)</f>
        <v>4.1263857393879855E-3</v>
      </c>
      <c r="MQ213" s="12" t="s">
        <v>37</v>
      </c>
      <c r="MR213" s="12" t="s">
        <v>37</v>
      </c>
      <c r="MS213" s="12" t="s">
        <v>37</v>
      </c>
      <c r="MU213" s="12" t="s">
        <v>37</v>
      </c>
      <c r="MV213" s="12" t="s">
        <v>37</v>
      </c>
      <c r="MW213" s="12" t="s">
        <v>37</v>
      </c>
      <c r="NC213" s="12" t="s">
        <v>37</v>
      </c>
      <c r="ND213" s="12" t="s">
        <v>37</v>
      </c>
      <c r="NE213" s="12" t="s">
        <v>37</v>
      </c>
      <c r="NG213" s="12" t="s">
        <v>37</v>
      </c>
      <c r="NH213" s="12" t="s">
        <v>37</v>
      </c>
      <c r="NI213" s="12" t="s">
        <v>37</v>
      </c>
      <c r="NO213" s="12" t="s">
        <v>37</v>
      </c>
      <c r="NP213" s="12" t="s">
        <v>37</v>
      </c>
      <c r="NQ213" s="12" t="s">
        <v>37</v>
      </c>
      <c r="NS213" s="12" t="s">
        <v>37</v>
      </c>
      <c r="NT213" s="12" t="s">
        <v>37</v>
      </c>
      <c r="NU213" s="12" t="s">
        <v>37</v>
      </c>
      <c r="OA213" s="12" t="s">
        <v>37</v>
      </c>
      <c r="OB213" s="12" t="s">
        <v>37</v>
      </c>
      <c r="OC213" s="12" t="s">
        <v>37</v>
      </c>
      <c r="OD213" s="12"/>
      <c r="OE213" s="12" t="s">
        <v>37</v>
      </c>
      <c r="OF213" s="12" t="s">
        <v>37</v>
      </c>
      <c r="OG213" s="12" t="s">
        <v>37</v>
      </c>
      <c r="OH213" s="12"/>
      <c r="OI213" s="12"/>
      <c r="OJ213" s="12"/>
      <c r="OM213" s="12" t="s">
        <v>37</v>
      </c>
      <c r="ON213" s="12" t="s">
        <v>37</v>
      </c>
      <c r="OO213" s="12" t="s">
        <v>37</v>
      </c>
      <c r="OP213" s="12" t="s">
        <v>37</v>
      </c>
      <c r="OQ213" s="12" t="s">
        <v>37</v>
      </c>
      <c r="OR213" s="12" t="s">
        <v>37</v>
      </c>
      <c r="OS213" s="12"/>
      <c r="OT213" s="12"/>
      <c r="OU213" s="12" t="s">
        <v>346</v>
      </c>
      <c r="OV213" s="12" t="s">
        <v>501</v>
      </c>
      <c r="OW213" s="12">
        <v>65.52884615384616</v>
      </c>
      <c r="OX213" s="12">
        <v>5.0968908211672916</v>
      </c>
      <c r="OY213" s="13">
        <v>3</v>
      </c>
      <c r="OZ213" s="12">
        <v>44.543269230769234</v>
      </c>
      <c r="PA213" s="12">
        <v>2.8914349143897167</v>
      </c>
      <c r="PB213" s="13">
        <v>3</v>
      </c>
      <c r="PC213" s="19">
        <f t="shared" ref="PC213:PC214" si="989">LN(OZ213/OW213)</f>
        <v>-0.38602938597111824</v>
      </c>
      <c r="PD213" s="19">
        <f t="shared" ref="PD213:PD214" si="990">PA213^2/(PB213*OZ213^2)+OX213^2/(OY213*OW213^2)</f>
        <v>3.421184971620252E-3</v>
      </c>
      <c r="PE213" s="12" t="s">
        <v>346</v>
      </c>
      <c r="PF213" s="12" t="s">
        <v>347</v>
      </c>
      <c r="PG213" s="12">
        <v>2.2317035191529122</v>
      </c>
      <c r="PH213" s="12">
        <v>0.19660796189256868</v>
      </c>
      <c r="PI213" s="13">
        <v>3</v>
      </c>
      <c r="PJ213" s="12">
        <v>1.9084397383992533</v>
      </c>
      <c r="PK213" s="12">
        <v>0.15237315628431033</v>
      </c>
      <c r="PL213" s="13">
        <v>3</v>
      </c>
      <c r="PM213" s="19">
        <f t="shared" ref="PM213:PM214" si="991">LN(PJ213/PG213)</f>
        <v>-0.15647918644447167</v>
      </c>
      <c r="PN213" s="19">
        <f t="shared" ref="PN213:PN214" si="992">PK213^2/(PL213*PJ213^2)+PH213^2/(PI213*PG213^2)</f>
        <v>4.7119699779997921E-3</v>
      </c>
      <c r="PQ213" s="12" t="s">
        <v>37</v>
      </c>
      <c r="PR213" s="12" t="s">
        <v>37</v>
      </c>
      <c r="PS213" s="12" t="s">
        <v>37</v>
      </c>
      <c r="PT213" s="12" t="s">
        <v>37</v>
      </c>
      <c r="PU213" s="12" t="s">
        <v>37</v>
      </c>
      <c r="PV213" s="12" t="s">
        <v>37</v>
      </c>
      <c r="PW213" s="12"/>
      <c r="PX213" s="12"/>
      <c r="PZ213" s="12" t="s">
        <v>37</v>
      </c>
      <c r="QA213" s="12" t="s">
        <v>37</v>
      </c>
      <c r="QB213" s="11" t="s">
        <v>37</v>
      </c>
      <c r="QD213" s="12" t="s">
        <v>37</v>
      </c>
      <c r="QE213" s="12" t="s">
        <v>37</v>
      </c>
      <c r="QF213" s="12" t="s">
        <v>37</v>
      </c>
      <c r="QK213" s="12" t="s">
        <v>37</v>
      </c>
      <c r="QL213" s="12" t="s">
        <v>37</v>
      </c>
      <c r="QM213" s="12" t="s">
        <v>37</v>
      </c>
      <c r="QN213" s="12" t="s">
        <v>37</v>
      </c>
      <c r="QO213" s="12" t="s">
        <v>37</v>
      </c>
      <c r="QP213" s="12" t="s">
        <v>37</v>
      </c>
      <c r="QQ213" s="12"/>
      <c r="QR213" s="12"/>
      <c r="QU213" s="12" t="s">
        <v>37</v>
      </c>
      <c r="QV213" s="12" t="s">
        <v>37</v>
      </c>
      <c r="QW213" s="12" t="s">
        <v>37</v>
      </c>
      <c r="QX213" s="12" t="s">
        <v>37</v>
      </c>
      <c r="QY213" s="12" t="s">
        <v>37</v>
      </c>
      <c r="QZ213" s="12" t="s">
        <v>37</v>
      </c>
      <c r="RC213" s="12" t="s">
        <v>37</v>
      </c>
      <c r="RD213" s="12" t="s">
        <v>37</v>
      </c>
      <c r="RE213" s="13" t="s">
        <v>37</v>
      </c>
      <c r="RF213" s="12" t="s">
        <v>37</v>
      </c>
      <c r="RG213" s="12" t="s">
        <v>37</v>
      </c>
      <c r="RH213" s="13" t="s">
        <v>37</v>
      </c>
      <c r="RK213" s="12" t="s">
        <v>37</v>
      </c>
      <c r="RL213" s="12" t="s">
        <v>37</v>
      </c>
      <c r="RM213" s="11" t="s">
        <v>37</v>
      </c>
      <c r="RN213" s="12" t="s">
        <v>37</v>
      </c>
      <c r="RO213" s="12" t="s">
        <v>37</v>
      </c>
      <c r="RP213" s="11" t="s">
        <v>37</v>
      </c>
      <c r="RS213" s="12" t="s">
        <v>37</v>
      </c>
      <c r="RT213" s="12" t="s">
        <v>37</v>
      </c>
      <c r="RU213" s="12" t="s">
        <v>37</v>
      </c>
      <c r="RV213" s="12" t="s">
        <v>37</v>
      </c>
      <c r="RW213" s="12" t="s">
        <v>37</v>
      </c>
      <c r="RX213" s="12" t="s">
        <v>37</v>
      </c>
      <c r="SA213" s="12" t="s">
        <v>37</v>
      </c>
      <c r="SB213" s="12" t="s">
        <v>37</v>
      </c>
      <c r="SC213" s="12" t="s">
        <v>37</v>
      </c>
      <c r="SD213" s="12" t="s">
        <v>37</v>
      </c>
      <c r="SE213" s="12" t="s">
        <v>37</v>
      </c>
      <c r="SF213" s="12" t="s">
        <v>37</v>
      </c>
      <c r="SI213" s="12" t="s">
        <v>37</v>
      </c>
      <c r="SJ213" s="12" t="s">
        <v>37</v>
      </c>
      <c r="SK213" s="13" t="s">
        <v>37</v>
      </c>
      <c r="SM213" s="12" t="s">
        <v>37</v>
      </c>
      <c r="SN213" s="12" t="s">
        <v>37</v>
      </c>
      <c r="SO213" s="13" t="s">
        <v>37</v>
      </c>
      <c r="SU213" s="12" t="s">
        <v>37</v>
      </c>
      <c r="SV213" s="12" t="s">
        <v>37</v>
      </c>
      <c r="SW213" s="12" t="s">
        <v>37</v>
      </c>
      <c r="SX213" s="12" t="s">
        <v>37</v>
      </c>
      <c r="SY213" s="12" t="s">
        <v>37</v>
      </c>
      <c r="SZ213" s="12" t="s">
        <v>37</v>
      </c>
      <c r="TA213" s="12"/>
      <c r="TB213" s="12"/>
      <c r="TE213" s="12" t="s">
        <v>37</v>
      </c>
      <c r="TF213" s="12" t="s">
        <v>37</v>
      </c>
      <c r="TG213" s="11" t="s">
        <v>37</v>
      </c>
      <c r="TH213" s="12" t="s">
        <v>37</v>
      </c>
      <c r="TI213" s="12" t="s">
        <v>37</v>
      </c>
      <c r="TJ213" s="11" t="s">
        <v>37</v>
      </c>
      <c r="TO213" s="12" t="s">
        <v>37</v>
      </c>
      <c r="TP213" s="12" t="s">
        <v>37</v>
      </c>
      <c r="TQ213" s="11" t="s">
        <v>37</v>
      </c>
      <c r="TR213" s="12" t="s">
        <v>37</v>
      </c>
      <c r="TS213" s="12" t="s">
        <v>37</v>
      </c>
      <c r="TT213" s="11" t="s">
        <v>37</v>
      </c>
      <c r="TY213" s="12" t="s">
        <v>37</v>
      </c>
      <c r="TZ213" s="12" t="s">
        <v>37</v>
      </c>
      <c r="UA213" s="12" t="s">
        <v>37</v>
      </c>
      <c r="UB213" s="12" t="s">
        <v>37</v>
      </c>
      <c r="UC213" s="12" t="s">
        <v>37</v>
      </c>
      <c r="UD213" s="12" t="s">
        <v>37</v>
      </c>
      <c r="UE213" s="12"/>
      <c r="UF213" s="12"/>
      <c r="UI213" s="12" t="s">
        <v>37</v>
      </c>
      <c r="UJ213" s="12" t="s">
        <v>37</v>
      </c>
      <c r="UK213" s="12" t="s">
        <v>37</v>
      </c>
      <c r="UL213" s="12" t="s">
        <v>37</v>
      </c>
      <c r="UM213" s="12" t="s">
        <v>37</v>
      </c>
      <c r="UN213" s="12" t="s">
        <v>37</v>
      </c>
      <c r="UO213" s="12"/>
      <c r="UP213" s="12"/>
      <c r="UR213" s="12" t="s">
        <v>37</v>
      </c>
      <c r="US213" s="12" t="s">
        <v>37</v>
      </c>
      <c r="UT213" s="12" t="s">
        <v>37</v>
      </c>
      <c r="UU213" s="12" t="s">
        <v>37</v>
      </c>
      <c r="UV213" s="12" t="s">
        <v>37</v>
      </c>
      <c r="UW213" s="12" t="s">
        <v>37</v>
      </c>
      <c r="UX213" s="12"/>
      <c r="UY213" s="12"/>
      <c r="VB213" s="12" t="s">
        <v>37</v>
      </c>
      <c r="VC213" s="12" t="s">
        <v>37</v>
      </c>
      <c r="VD213" s="12" t="s">
        <v>37</v>
      </c>
      <c r="VE213" s="12" t="s">
        <v>37</v>
      </c>
      <c r="VF213" s="12" t="s">
        <v>37</v>
      </c>
      <c r="VG213" s="12" t="s">
        <v>37</v>
      </c>
      <c r="VI213" s="12" t="s">
        <v>37</v>
      </c>
      <c r="VJ213" s="12" t="s">
        <v>37</v>
      </c>
      <c r="VK213" s="12" t="s">
        <v>37</v>
      </c>
      <c r="VL213" s="12" t="s">
        <v>37</v>
      </c>
      <c r="VM213" s="12" t="s">
        <v>37</v>
      </c>
      <c r="VN213" s="12" t="s">
        <v>37</v>
      </c>
      <c r="VQ213" s="13" t="s">
        <v>37</v>
      </c>
      <c r="VR213" s="13" t="s">
        <v>37</v>
      </c>
      <c r="VS213" s="13" t="s">
        <v>37</v>
      </c>
      <c r="VT213" s="13" t="s">
        <v>37</v>
      </c>
      <c r="VU213" s="13" t="s">
        <v>37</v>
      </c>
      <c r="VV213" s="13" t="s">
        <v>37</v>
      </c>
      <c r="WA213" s="13" t="s">
        <v>37</v>
      </c>
      <c r="WB213" s="13" t="s">
        <v>37</v>
      </c>
      <c r="WC213" s="13" t="s">
        <v>37</v>
      </c>
      <c r="WD213" s="13" t="s">
        <v>37</v>
      </c>
      <c r="WE213" s="13" t="s">
        <v>37</v>
      </c>
      <c r="WF213" s="13" t="s">
        <v>37</v>
      </c>
    </row>
    <row r="214" spans="1:606" ht="18" customHeight="1" x14ac:dyDescent="0.3">
      <c r="A214" s="11">
        <v>55</v>
      </c>
      <c r="B214" s="16" t="s">
        <v>341</v>
      </c>
      <c r="C214" s="12" t="s">
        <v>26</v>
      </c>
      <c r="D214" s="12" t="s">
        <v>830</v>
      </c>
      <c r="E214" s="40">
        <v>5.6</v>
      </c>
      <c r="F214" s="14">
        <v>0</v>
      </c>
      <c r="G214" s="14">
        <v>0</v>
      </c>
      <c r="H214" s="12" t="s">
        <v>131</v>
      </c>
      <c r="I214" s="29">
        <v>56.146000000000001</v>
      </c>
      <c r="J214" s="29">
        <v>-4.3</v>
      </c>
      <c r="K214" s="12" t="s">
        <v>755</v>
      </c>
      <c r="L214" s="12" t="s">
        <v>756</v>
      </c>
      <c r="M214" s="13">
        <v>15</v>
      </c>
      <c r="N214" s="14">
        <v>9.4</v>
      </c>
      <c r="O214" s="14">
        <v>1311</v>
      </c>
      <c r="P214" s="14" t="s">
        <v>16</v>
      </c>
      <c r="Q214" s="75">
        <v>89</v>
      </c>
      <c r="R214" s="11" t="s">
        <v>1000</v>
      </c>
      <c r="S214" s="12" t="s">
        <v>93</v>
      </c>
      <c r="T214" s="12" t="s">
        <v>141</v>
      </c>
      <c r="U214" s="12" t="s">
        <v>158</v>
      </c>
      <c r="V214" s="12" t="s">
        <v>275</v>
      </c>
      <c r="W214" s="23" t="s">
        <v>107</v>
      </c>
      <c r="X214" s="12" t="s">
        <v>281</v>
      </c>
      <c r="Y214" s="12" t="s">
        <v>37</v>
      </c>
      <c r="Z214" s="12" t="s">
        <v>315</v>
      </c>
      <c r="AA214" s="32" t="s">
        <v>345</v>
      </c>
      <c r="AB214" s="12">
        <v>3.61</v>
      </c>
      <c r="AC214" s="12" t="s">
        <v>42</v>
      </c>
      <c r="AD214" s="32" t="s">
        <v>327</v>
      </c>
      <c r="AE214" s="12">
        <v>499.4</v>
      </c>
      <c r="AF214" s="12" t="s">
        <v>42</v>
      </c>
      <c r="AG214" s="32" t="s">
        <v>345</v>
      </c>
      <c r="AH214" s="12">
        <v>16.600000000000001</v>
      </c>
      <c r="AJ214" s="12" t="str">
        <f t="shared" si="918"/>
        <v>0-15</v>
      </c>
      <c r="AK214" s="19">
        <f t="shared" si="956"/>
        <v>30.084337349397586</v>
      </c>
      <c r="AL214" s="32" t="s">
        <v>343</v>
      </c>
      <c r="AM214" s="12" t="s">
        <v>344</v>
      </c>
      <c r="AO214" s="12" t="s">
        <v>29</v>
      </c>
      <c r="AP214" s="12" t="s">
        <v>238</v>
      </c>
      <c r="AQ214" s="12" t="s">
        <v>975</v>
      </c>
      <c r="AR214" s="12" t="s">
        <v>42</v>
      </c>
      <c r="AS214" s="32" t="s">
        <v>327</v>
      </c>
      <c r="AT214" s="12">
        <v>499.4</v>
      </c>
      <c r="AU214" s="12">
        <f>4.6*SQRT(3)</f>
        <v>7.9674337148168348</v>
      </c>
      <c r="AV214" s="13">
        <v>3</v>
      </c>
      <c r="AW214" s="19">
        <f t="shared" si="964"/>
        <v>1.5954012244326861E-2</v>
      </c>
      <c r="AX214" s="12">
        <v>506.5</v>
      </c>
      <c r="AY214" s="12">
        <f>6.1*SQRT(3)</f>
        <v>10.565509926170151</v>
      </c>
      <c r="AZ214" s="13">
        <v>3</v>
      </c>
      <c r="BA214" s="19">
        <f t="shared" si="965"/>
        <v>2.0859841907542254E-2</v>
      </c>
      <c r="BB214" s="52">
        <f t="shared" si="919"/>
        <v>1.4116945843065247E-2</v>
      </c>
      <c r="BC214" s="19">
        <f t="shared" si="920"/>
        <v>2.2988783703326249E-4</v>
      </c>
      <c r="BD214" s="32" t="s">
        <v>422</v>
      </c>
      <c r="BE214" s="12">
        <v>508.2</v>
      </c>
      <c r="BF214" s="12">
        <f>5.8*SQRT(3)</f>
        <v>10.045894683899487</v>
      </c>
      <c r="BG214" s="13">
        <v>3</v>
      </c>
      <c r="BH214" s="19">
        <f>BF214/BE214</f>
        <v>1.9767600716055662E-2</v>
      </c>
      <c r="BI214" s="12">
        <v>508.1</v>
      </c>
      <c r="BJ214" s="12">
        <f>8.6*SQRT(3)</f>
        <v>14.895636945092344</v>
      </c>
      <c r="BK214" s="13">
        <v>3</v>
      </c>
      <c r="BL214" s="19">
        <f>BJ214/BI214</f>
        <v>2.9316349035804649E-2</v>
      </c>
      <c r="BM214" s="52">
        <f>LN(BI214/BE214)</f>
        <v>-1.9679228637747834E-4</v>
      </c>
      <c r="BN214" s="19">
        <f>BJ214^2/(BK214*BI214^2)+BF214^2/(BG214*BE214^2)</f>
        <v>4.1673545295284288E-4</v>
      </c>
      <c r="BO214" s="16"/>
      <c r="BP214" s="12" t="s">
        <v>37</v>
      </c>
      <c r="BQ214" s="12" t="s">
        <v>37</v>
      </c>
      <c r="BR214" s="13" t="s">
        <v>37</v>
      </c>
      <c r="BT214" s="12" t="s">
        <v>37</v>
      </c>
      <c r="BU214" s="12" t="s">
        <v>37</v>
      </c>
      <c r="BV214" s="12" t="s">
        <v>37</v>
      </c>
      <c r="CA214" s="12" t="s">
        <v>37</v>
      </c>
      <c r="CB214" s="12" t="s">
        <v>37</v>
      </c>
      <c r="CC214" s="13" t="s">
        <v>37</v>
      </c>
      <c r="CE214" s="12" t="s">
        <v>37</v>
      </c>
      <c r="CF214" s="12" t="s">
        <v>37</v>
      </c>
      <c r="CG214" s="13" t="s">
        <v>37</v>
      </c>
      <c r="CI214" s="52"/>
      <c r="CJ214" s="52"/>
      <c r="CK214" s="73"/>
      <c r="CL214" s="73"/>
      <c r="CN214" s="12" t="s">
        <v>37</v>
      </c>
      <c r="CO214" s="12" t="s">
        <v>37</v>
      </c>
      <c r="CP214" s="13" t="s">
        <v>37</v>
      </c>
      <c r="CR214" s="12" t="s">
        <v>37</v>
      </c>
      <c r="CS214" s="12" t="s">
        <v>37</v>
      </c>
      <c r="CT214" s="13" t="s">
        <v>37</v>
      </c>
      <c r="CV214" s="52"/>
      <c r="CW214" s="52"/>
      <c r="CX214" s="73"/>
      <c r="CY214" s="73"/>
      <c r="CZ214" s="12" t="s">
        <v>47</v>
      </c>
      <c r="DA214" s="12">
        <v>-5500</v>
      </c>
      <c r="DB214" s="50">
        <f>ABS(DA214)*DD$474</f>
        <v>16498.111072774162</v>
      </c>
      <c r="DC214" s="13">
        <v>3</v>
      </c>
      <c r="DE214" s="12">
        <v>-5500</v>
      </c>
      <c r="DF214" s="50">
        <f>ABS(DE214)*DH$474</f>
        <v>5242.2853686486578</v>
      </c>
      <c r="DG214" s="13">
        <v>3</v>
      </c>
      <c r="DI214" s="19">
        <f t="shared" si="966"/>
        <v>0</v>
      </c>
      <c r="DJ214" s="12">
        <f t="shared" ref="DJ214" si="993">SQRT(((DC214-1)*DB214^2+(DG214-1)*DF214^2)/(DC214+DG214-2))</f>
        <v>12240.694932395407</v>
      </c>
      <c r="DK214" s="72">
        <f t="shared" si="967"/>
        <v>99889741.618647054</v>
      </c>
      <c r="DL214" s="72">
        <f t="shared" si="968"/>
        <v>99889741.618647069</v>
      </c>
      <c r="DM214" s="11" t="s">
        <v>47</v>
      </c>
      <c r="DN214" s="19">
        <v>7.5</v>
      </c>
      <c r="DO214" s="50">
        <f>ABS(DN214)*DQ$474</f>
        <v>8.3615946686994373</v>
      </c>
      <c r="DP214" s="13">
        <v>3</v>
      </c>
      <c r="DR214" s="19">
        <v>1.6</v>
      </c>
      <c r="DS214" s="50">
        <f>ABS(DR214)*DU$474</f>
        <v>5.979546071409616</v>
      </c>
      <c r="DT214" s="13">
        <v>3</v>
      </c>
      <c r="DV214" s="19">
        <f t="shared" si="969"/>
        <v>-5.9</v>
      </c>
      <c r="DW214" s="12">
        <f t="shared" si="914"/>
        <v>7.2688113410561508</v>
      </c>
      <c r="DX214" s="72">
        <f t="shared" si="641"/>
        <v>35.223745541244341</v>
      </c>
      <c r="DY214" s="72">
        <f t="shared" si="642"/>
        <v>35.223745541244341</v>
      </c>
      <c r="DZ214" s="11" t="s">
        <v>47</v>
      </c>
      <c r="EA214" s="19">
        <v>0.7</v>
      </c>
      <c r="EB214" s="50">
        <f>ABS(EA214)*ED$474</f>
        <v>4.0249838876014987</v>
      </c>
      <c r="EC214" s="72">
        <v>3</v>
      </c>
      <c r="EE214" s="19">
        <v>0.8</v>
      </c>
      <c r="EF214" s="50">
        <f>ABS(EE214)*EH$474</f>
        <v>1.1945115053344215</v>
      </c>
      <c r="EG214" s="13">
        <v>3</v>
      </c>
      <c r="EI214" s="19">
        <f t="shared" ref="EI214" si="994">EE214-EA214</f>
        <v>0.10000000000000009</v>
      </c>
      <c r="EJ214" s="12">
        <f t="shared" ref="EJ214:EJ221" si="995">SQRT(((EC214-1)*EB214^2+(EG214-1)*EF214^2)/(EC214+EG214-2))</f>
        <v>2.9687836761734578</v>
      </c>
      <c r="EK214" s="19">
        <f t="shared" ref="EK214:EK221" si="996">(((EC214+EG214)/(EC214*EG214))*(((EC214-1)*EB214^2)+(EG214-1)*EF214^2)/(EC214+EG214-2))</f>
        <v>5.8757843439426596</v>
      </c>
      <c r="EL214" s="19">
        <f t="shared" ref="EL214:EL221" si="997">(EB214^2/EC214)+(EF214^2/EG214)</f>
        <v>5.8757843439426605</v>
      </c>
      <c r="EM214" s="12" t="s">
        <v>39</v>
      </c>
      <c r="EN214" s="12">
        <v>-13.449581506576324</v>
      </c>
      <c r="EO214" s="12">
        <v>1.4236979793576987</v>
      </c>
      <c r="EP214" s="13">
        <v>3</v>
      </c>
      <c r="EQ214" s="19">
        <f t="shared" si="959"/>
        <v>0.10585444451647552</v>
      </c>
      <c r="ER214" s="12">
        <v>-31.606217616580317</v>
      </c>
      <c r="ES214" s="12">
        <v>2.0517717022532898</v>
      </c>
      <c r="ET214" s="13">
        <v>3</v>
      </c>
      <c r="EU214" s="19">
        <f t="shared" si="960"/>
        <v>6.491671123522702E-2</v>
      </c>
      <c r="EV214" s="19">
        <f t="shared" si="961"/>
        <v>-18.156636110003994</v>
      </c>
      <c r="EW214" s="12">
        <f t="shared" si="927"/>
        <v>1.7658826482236236</v>
      </c>
      <c r="EX214" s="19">
        <f t="shared" si="928"/>
        <v>2.0788943515315186</v>
      </c>
      <c r="EY214" s="19">
        <f t="shared" si="929"/>
        <v>2.078894351531519</v>
      </c>
      <c r="FB214" s="12" t="s">
        <v>37</v>
      </c>
      <c r="FC214" s="12" t="s">
        <v>37</v>
      </c>
      <c r="FD214" s="11" t="s">
        <v>37</v>
      </c>
      <c r="FE214" s="12" t="s">
        <v>37</v>
      </c>
      <c r="FF214" s="20" t="s">
        <v>37</v>
      </c>
      <c r="FG214" s="11" t="s">
        <v>37</v>
      </c>
      <c r="FI214" s="12" t="s">
        <v>37</v>
      </c>
      <c r="FJ214" s="12" t="s">
        <v>37</v>
      </c>
      <c r="FK214" s="11" t="s">
        <v>37</v>
      </c>
      <c r="FL214" s="13" t="s">
        <v>37</v>
      </c>
      <c r="FM214" s="11" t="s">
        <v>37</v>
      </c>
      <c r="FN214" s="11" t="s">
        <v>37</v>
      </c>
      <c r="FP214" s="12" t="s">
        <v>37</v>
      </c>
      <c r="FQ214" s="12" t="s">
        <v>37</v>
      </c>
      <c r="FR214" s="11" t="s">
        <v>37</v>
      </c>
      <c r="FS214" s="13" t="s">
        <v>37</v>
      </c>
      <c r="FT214" s="11" t="s">
        <v>37</v>
      </c>
      <c r="FU214" s="11" t="s">
        <v>37</v>
      </c>
      <c r="FW214" s="12" t="s">
        <v>37</v>
      </c>
      <c r="FX214" s="12" t="s">
        <v>37</v>
      </c>
      <c r="FY214" s="11" t="s">
        <v>37</v>
      </c>
      <c r="FZ214" s="13" t="s">
        <v>37</v>
      </c>
      <c r="GA214" s="11" t="s">
        <v>37</v>
      </c>
      <c r="GB214" s="11" t="s">
        <v>37</v>
      </c>
      <c r="HA214" s="17" t="s">
        <v>63</v>
      </c>
      <c r="HB214" s="34" t="s">
        <v>345</v>
      </c>
      <c r="HC214" s="12">
        <v>0.13</v>
      </c>
      <c r="HD214" s="12">
        <f>0.01*SQRT(3)</f>
        <v>1.7320508075688773E-2</v>
      </c>
      <c r="HE214" s="13">
        <v>3</v>
      </c>
      <c r="HF214" s="19">
        <f t="shared" si="970"/>
        <v>0.13323467750529824</v>
      </c>
      <c r="HG214" s="12">
        <v>0.15</v>
      </c>
      <c r="HH214" s="12">
        <f>0.01*SQRT(3)</f>
        <v>1.7320508075688773E-2</v>
      </c>
      <c r="HI214" s="13">
        <v>3</v>
      </c>
      <c r="HJ214" s="19">
        <f t="shared" si="971"/>
        <v>0.11547005383792516</v>
      </c>
      <c r="HK214" s="19">
        <f t="shared" si="935"/>
        <v>0.14310084364067324</v>
      </c>
      <c r="HL214" s="19">
        <f t="shared" si="936"/>
        <v>1.0361604207758054E-2</v>
      </c>
      <c r="HM214" s="34" t="s">
        <v>422</v>
      </c>
      <c r="HN214" s="12">
        <v>0.11</v>
      </c>
      <c r="HO214" s="12">
        <f>0.01*SQRT(3)</f>
        <v>1.7320508075688773E-2</v>
      </c>
      <c r="HP214" s="13">
        <v>3</v>
      </c>
      <c r="HQ214" s="19">
        <f t="shared" si="972"/>
        <v>0.1574591643244434</v>
      </c>
      <c r="HR214" s="12">
        <v>0.13</v>
      </c>
      <c r="HS214" s="12">
        <f>0.01*SQRT(3)</f>
        <v>1.7320508075688773E-2</v>
      </c>
      <c r="HT214" s="13">
        <v>3</v>
      </c>
      <c r="HU214" s="19">
        <f t="shared" si="973"/>
        <v>0.13323467750529824</v>
      </c>
      <c r="HV214" s="19">
        <f t="shared" si="974"/>
        <v>0.16705408466316624</v>
      </c>
      <c r="HW214" s="19">
        <f t="shared" si="975"/>
        <v>1.4181622573230964E-2</v>
      </c>
      <c r="IK214" s="12" t="s">
        <v>37</v>
      </c>
      <c r="IL214" s="12" t="s">
        <v>37</v>
      </c>
      <c r="IM214" s="12" t="s">
        <v>37</v>
      </c>
      <c r="IO214" s="12" t="s">
        <v>37</v>
      </c>
      <c r="IP214" s="12" t="s">
        <v>37</v>
      </c>
      <c r="IQ214" s="12" t="s">
        <v>37</v>
      </c>
      <c r="IV214" s="32" t="s">
        <v>345</v>
      </c>
      <c r="IW214" s="12">
        <v>3.61</v>
      </c>
      <c r="IX214" s="12">
        <f>0.06*SQRT(3)</f>
        <v>0.10392304845413262</v>
      </c>
      <c r="IY214" s="13">
        <v>3</v>
      </c>
      <c r="IZ214" s="19">
        <f t="shared" si="976"/>
        <v>2.8787548048236185E-2</v>
      </c>
      <c r="JA214" s="12">
        <v>3.61</v>
      </c>
      <c r="JB214" s="12">
        <f>0.08*SQRT(3)</f>
        <v>0.13856406460551018</v>
      </c>
      <c r="JC214" s="13">
        <v>3</v>
      </c>
      <c r="JD214" s="19">
        <f t="shared" si="977"/>
        <v>3.8383397397648254E-2</v>
      </c>
      <c r="JE214" s="19">
        <f t="shared" si="939"/>
        <v>0</v>
      </c>
      <c r="JF214" s="19">
        <f t="shared" si="940"/>
        <v>7.6733603947176589E-4</v>
      </c>
      <c r="JG214" s="32" t="s">
        <v>422</v>
      </c>
      <c r="JH214" s="12">
        <v>3.64</v>
      </c>
      <c r="JI214" s="12">
        <f>0.05*SQRT(3)</f>
        <v>8.6602540378443865E-2</v>
      </c>
      <c r="JJ214" s="13">
        <v>3</v>
      </c>
      <c r="JK214" s="19">
        <f>JI214/JH214</f>
        <v>2.3791906697374687E-2</v>
      </c>
      <c r="JL214" s="12">
        <v>3.6</v>
      </c>
      <c r="JM214" s="12">
        <f>0.1*SQRT(3)</f>
        <v>0.17320508075688773</v>
      </c>
      <c r="JN214" s="13">
        <v>3</v>
      </c>
      <c r="JO214" s="19">
        <f>JM214/JL214</f>
        <v>4.8112522432468816E-2</v>
      </c>
      <c r="JP214" s="19">
        <f t="shared" si="978"/>
        <v>-1.1049836186584935E-2</v>
      </c>
      <c r="JQ214" s="19">
        <f t="shared" si="942"/>
        <v>9.6028987970379908E-4</v>
      </c>
      <c r="JS214" s="12" t="s">
        <v>37</v>
      </c>
      <c r="JT214" s="12" t="s">
        <v>37</v>
      </c>
      <c r="JU214" s="13" t="s">
        <v>37</v>
      </c>
      <c r="JW214" s="12" t="s">
        <v>37</v>
      </c>
      <c r="JX214" s="12" t="s">
        <v>37</v>
      </c>
      <c r="JY214" s="12" t="s">
        <v>37</v>
      </c>
      <c r="KE214" s="12" t="s">
        <v>37</v>
      </c>
      <c r="KF214" s="12" t="s">
        <v>37</v>
      </c>
      <c r="KG214" s="13" t="s">
        <v>37</v>
      </c>
      <c r="KH214" s="12" t="s">
        <v>37</v>
      </c>
      <c r="KI214" s="12" t="s">
        <v>37</v>
      </c>
      <c r="KJ214" s="12" t="s">
        <v>37</v>
      </c>
      <c r="KK214" s="12" t="s">
        <v>42</v>
      </c>
      <c r="KL214" s="32" t="s">
        <v>345</v>
      </c>
      <c r="KM214" s="12">
        <v>16.600000000000001</v>
      </c>
      <c r="KN214" s="12">
        <f>0.4*SQRT(3)</f>
        <v>0.69282032302755092</v>
      </c>
      <c r="KO214" s="11">
        <v>3</v>
      </c>
      <c r="KP214" s="19">
        <f t="shared" si="979"/>
        <v>4.1736164037804266E-2</v>
      </c>
      <c r="KQ214" s="12">
        <v>17.2</v>
      </c>
      <c r="KR214" s="12">
        <f>1*SQRT(3)</f>
        <v>1.7320508075688772</v>
      </c>
      <c r="KS214" s="13">
        <v>3</v>
      </c>
      <c r="KT214" s="19">
        <f t="shared" si="980"/>
        <v>0.10070062834702775</v>
      </c>
      <c r="KU214" s="19">
        <f t="shared" si="943"/>
        <v>3.5506688456909602E-2</v>
      </c>
      <c r="KV214" s="19">
        <f t="shared" si="944"/>
        <v>3.9608413126922381E-3</v>
      </c>
      <c r="KW214" s="32" t="s">
        <v>422</v>
      </c>
      <c r="KX214" s="12">
        <v>15.8</v>
      </c>
      <c r="KY214" s="12">
        <f>0.6*SQRT(3)</f>
        <v>1.0392304845413263</v>
      </c>
      <c r="KZ214" s="13">
        <v>3</v>
      </c>
      <c r="LA214" s="19">
        <f>KY214/KX214</f>
        <v>6.5774081300083942E-2</v>
      </c>
      <c r="LB214" s="12">
        <v>14.7</v>
      </c>
      <c r="LC214" s="12">
        <f>0.7*SQRT(3)</f>
        <v>1.2124355652982139</v>
      </c>
      <c r="LD214" s="13">
        <v>3</v>
      </c>
      <c r="LE214" s="19">
        <f>LC214/LB214</f>
        <v>8.2478609884232251E-2</v>
      </c>
      <c r="LF214" s="19">
        <f t="shared" si="981"/>
        <v>-7.2162446248230538E-2</v>
      </c>
      <c r="LG214" s="19">
        <f t="shared" si="982"/>
        <v>3.7096502864351413E-3</v>
      </c>
      <c r="LI214" s="12" t="s">
        <v>37</v>
      </c>
      <c r="LJ214" s="12" t="s">
        <v>37</v>
      </c>
      <c r="LK214" s="12" t="s">
        <v>37</v>
      </c>
      <c r="LM214" s="12" t="s">
        <v>37</v>
      </c>
      <c r="LN214" s="12" t="s">
        <v>37</v>
      </c>
      <c r="LO214" s="12" t="s">
        <v>37</v>
      </c>
      <c r="LT214" s="12" t="str">
        <f t="shared" si="963"/>
        <v>0-10</v>
      </c>
      <c r="LU214" s="12">
        <f>AT214/KM214</f>
        <v>30.084337349397586</v>
      </c>
      <c r="LV214" s="12">
        <f>SQRT((1/KM214)^2*AU214^2+AT214^2*(-1/KM214^2)^2*KN214^2)</f>
        <v>1.3442138084450648</v>
      </c>
      <c r="LW214" s="13">
        <f t="shared" si="945"/>
        <v>3</v>
      </c>
      <c r="LX214" s="19">
        <f t="shared" si="983"/>
        <v>4.4681516259888025E-2</v>
      </c>
      <c r="LY214" s="12">
        <f>AX214/KQ214</f>
        <v>29.447674418604652</v>
      </c>
      <c r="LZ214" s="12">
        <f>SQRT((1/KQ214)^2*AY214^2+AX214^2*(-1/KQ214^2)^2*KR214^2)</f>
        <v>3.0283535878298533</v>
      </c>
      <c r="MA214" s="13">
        <f>KS214</f>
        <v>3</v>
      </c>
      <c r="MB214" s="19">
        <f t="shared" si="984"/>
        <v>0.10283846339718357</v>
      </c>
      <c r="MC214" s="19">
        <f t="shared" si="946"/>
        <v>-2.1389742613844454E-2</v>
      </c>
      <c r="MD214" s="19">
        <f t="shared" si="947"/>
        <v>4.1907291497255009E-3</v>
      </c>
      <c r="ME214" s="12" t="str">
        <f t="shared" si="985"/>
        <v>10-20</v>
      </c>
      <c r="MF214" s="12">
        <f>BE214/KX214</f>
        <v>32.164556962025316</v>
      </c>
      <c r="MG214" s="12">
        <f>SQRT((1/KX214)^2*BF214^2+BE214^2*(-1/KX214^2)^2*KY214^2)</f>
        <v>2.2090724051957591</v>
      </c>
      <c r="MH214" s="13">
        <f t="shared" si="986"/>
        <v>3</v>
      </c>
      <c r="MI214" s="19">
        <f>MG214/MF214</f>
        <v>6.8680330582630844E-2</v>
      </c>
      <c r="MJ214" s="12">
        <f>BI214/LB214</f>
        <v>34.564625850340143</v>
      </c>
      <c r="MK214" s="12">
        <f>SQRT((1/LB214)^2*BJ214^2+BI214^2*(-1/LB214^2)^2*LC214^2)</f>
        <v>3.0255736912389106</v>
      </c>
      <c r="ML214" s="13">
        <f t="shared" si="948"/>
        <v>3</v>
      </c>
      <c r="MM214" s="19">
        <f>MK214/MJ214</f>
        <v>8.7533818660129853E-2</v>
      </c>
      <c r="MN214" s="19">
        <f t="shared" si="987"/>
        <v>7.1965653961853282E-2</v>
      </c>
      <c r="MO214" s="19">
        <f t="shared" si="988"/>
        <v>4.1263857393879855E-3</v>
      </c>
      <c r="MQ214" s="12" t="s">
        <v>37</v>
      </c>
      <c r="MR214" s="12" t="s">
        <v>37</v>
      </c>
      <c r="MS214" s="12" t="s">
        <v>37</v>
      </c>
      <c r="MU214" s="12" t="s">
        <v>37</v>
      </c>
      <c r="MV214" s="12" t="s">
        <v>37</v>
      </c>
      <c r="MW214" s="12" t="s">
        <v>37</v>
      </c>
      <c r="NC214" s="12" t="s">
        <v>37</v>
      </c>
      <c r="ND214" s="12" t="s">
        <v>37</v>
      </c>
      <c r="NE214" s="12" t="s">
        <v>37</v>
      </c>
      <c r="NG214" s="12" t="s">
        <v>37</v>
      </c>
      <c r="NH214" s="12" t="s">
        <v>37</v>
      </c>
      <c r="NI214" s="12" t="s">
        <v>37</v>
      </c>
      <c r="NO214" s="12" t="s">
        <v>37</v>
      </c>
      <c r="NP214" s="12" t="s">
        <v>37</v>
      </c>
      <c r="NQ214" s="12" t="s">
        <v>37</v>
      </c>
      <c r="NS214" s="12" t="s">
        <v>37</v>
      </c>
      <c r="NT214" s="12" t="s">
        <v>37</v>
      </c>
      <c r="NU214" s="12" t="s">
        <v>37</v>
      </c>
      <c r="OA214" s="12" t="s">
        <v>37</v>
      </c>
      <c r="OB214" s="12" t="s">
        <v>37</v>
      </c>
      <c r="OC214" s="12" t="s">
        <v>37</v>
      </c>
      <c r="OD214" s="12"/>
      <c r="OE214" s="12" t="s">
        <v>37</v>
      </c>
      <c r="OF214" s="12" t="s">
        <v>37</v>
      </c>
      <c r="OG214" s="12" t="s">
        <v>37</v>
      </c>
      <c r="OH214" s="12"/>
      <c r="OI214" s="12"/>
      <c r="OJ214" s="12"/>
      <c r="OM214" s="12" t="s">
        <v>37</v>
      </c>
      <c r="ON214" s="12" t="s">
        <v>37</v>
      </c>
      <c r="OO214" s="12" t="s">
        <v>37</v>
      </c>
      <c r="OP214" s="12" t="s">
        <v>37</v>
      </c>
      <c r="OQ214" s="12" t="s">
        <v>37</v>
      </c>
      <c r="OR214" s="12" t="s">
        <v>37</v>
      </c>
      <c r="OS214" s="12"/>
      <c r="OT214" s="12"/>
      <c r="OU214" s="12" t="s">
        <v>346</v>
      </c>
      <c r="OV214" s="12" t="s">
        <v>501</v>
      </c>
      <c r="OW214" s="12">
        <v>54.615384615384613</v>
      </c>
      <c r="OX214" s="12">
        <v>5.9582500364862128</v>
      </c>
      <c r="OY214" s="13">
        <v>3</v>
      </c>
      <c r="OZ214" s="12">
        <v>44.254807692307693</v>
      </c>
      <c r="PA214" s="12">
        <v>2.8851328328630381</v>
      </c>
      <c r="PB214" s="13">
        <v>3</v>
      </c>
      <c r="PC214" s="19">
        <f t="shared" si="989"/>
        <v>-0.21035159860796399</v>
      </c>
      <c r="PD214" s="19">
        <f t="shared" si="990"/>
        <v>5.383956952113177E-3</v>
      </c>
      <c r="PE214" s="12" t="s">
        <v>346</v>
      </c>
      <c r="PF214" s="12" t="s">
        <v>347</v>
      </c>
      <c r="PG214" s="12">
        <v>2.3289473684210527</v>
      </c>
      <c r="PH214" s="12">
        <v>0.32617015114292519</v>
      </c>
      <c r="PI214" s="13">
        <v>3</v>
      </c>
      <c r="PJ214" s="12">
        <v>2.5020242914979764</v>
      </c>
      <c r="PK214" s="12">
        <v>0.27889502489300838</v>
      </c>
      <c r="PL214" s="13">
        <v>3</v>
      </c>
      <c r="PM214" s="19">
        <f t="shared" si="991"/>
        <v>7.1683728542215719E-2</v>
      </c>
      <c r="PN214" s="19">
        <f t="shared" si="992"/>
        <v>1.0679730445594837E-2</v>
      </c>
      <c r="PQ214" s="12" t="s">
        <v>37</v>
      </c>
      <c r="PR214" s="12" t="s">
        <v>37</v>
      </c>
      <c r="PS214" s="12" t="s">
        <v>37</v>
      </c>
      <c r="PT214" s="12" t="s">
        <v>37</v>
      </c>
      <c r="PU214" s="12" t="s">
        <v>37</v>
      </c>
      <c r="PV214" s="12" t="s">
        <v>37</v>
      </c>
      <c r="PW214" s="12"/>
      <c r="PX214" s="12"/>
      <c r="PZ214" s="12" t="s">
        <v>37</v>
      </c>
      <c r="QA214" s="12" t="s">
        <v>37</v>
      </c>
      <c r="QB214" s="11" t="s">
        <v>37</v>
      </c>
      <c r="QD214" s="12" t="s">
        <v>37</v>
      </c>
      <c r="QE214" s="12" t="s">
        <v>37</v>
      </c>
      <c r="QF214" s="12" t="s">
        <v>37</v>
      </c>
      <c r="QK214" s="12" t="s">
        <v>37</v>
      </c>
      <c r="QL214" s="12" t="s">
        <v>37</v>
      </c>
      <c r="QM214" s="12" t="s">
        <v>37</v>
      </c>
      <c r="QN214" s="12" t="s">
        <v>37</v>
      </c>
      <c r="QO214" s="12" t="s">
        <v>37</v>
      </c>
      <c r="QP214" s="12" t="s">
        <v>37</v>
      </c>
      <c r="QQ214" s="12"/>
      <c r="QR214" s="12"/>
      <c r="QU214" s="12" t="s">
        <v>37</v>
      </c>
      <c r="QV214" s="12" t="s">
        <v>37</v>
      </c>
      <c r="QW214" s="12" t="s">
        <v>37</v>
      </c>
      <c r="QX214" s="12" t="s">
        <v>37</v>
      </c>
      <c r="QY214" s="12" t="s">
        <v>37</v>
      </c>
      <c r="QZ214" s="12" t="s">
        <v>37</v>
      </c>
      <c r="RC214" s="12" t="s">
        <v>37</v>
      </c>
      <c r="RD214" s="12" t="s">
        <v>37</v>
      </c>
      <c r="RE214" s="13" t="s">
        <v>37</v>
      </c>
      <c r="RF214" s="12" t="s">
        <v>37</v>
      </c>
      <c r="RG214" s="12" t="s">
        <v>37</v>
      </c>
      <c r="RH214" s="13" t="s">
        <v>37</v>
      </c>
      <c r="RK214" s="12" t="s">
        <v>37</v>
      </c>
      <c r="RL214" s="12" t="s">
        <v>37</v>
      </c>
      <c r="RM214" s="11" t="s">
        <v>37</v>
      </c>
      <c r="RN214" s="12" t="s">
        <v>37</v>
      </c>
      <c r="RO214" s="12" t="s">
        <v>37</v>
      </c>
      <c r="RP214" s="11" t="s">
        <v>37</v>
      </c>
      <c r="RS214" s="12" t="s">
        <v>37</v>
      </c>
      <c r="RT214" s="12" t="s">
        <v>37</v>
      </c>
      <c r="RU214" s="12" t="s">
        <v>37</v>
      </c>
      <c r="RV214" s="12" t="s">
        <v>37</v>
      </c>
      <c r="RW214" s="12" t="s">
        <v>37</v>
      </c>
      <c r="RX214" s="12" t="s">
        <v>37</v>
      </c>
      <c r="SA214" s="12" t="s">
        <v>37</v>
      </c>
      <c r="SB214" s="12" t="s">
        <v>37</v>
      </c>
      <c r="SC214" s="12" t="s">
        <v>37</v>
      </c>
      <c r="SD214" s="12" t="s">
        <v>37</v>
      </c>
      <c r="SE214" s="12" t="s">
        <v>37</v>
      </c>
      <c r="SF214" s="12" t="s">
        <v>37</v>
      </c>
      <c r="SI214" s="12" t="s">
        <v>37</v>
      </c>
      <c r="SJ214" s="12" t="s">
        <v>37</v>
      </c>
      <c r="SK214" s="13" t="s">
        <v>37</v>
      </c>
      <c r="SM214" s="12" t="s">
        <v>37</v>
      </c>
      <c r="SN214" s="12" t="s">
        <v>37</v>
      </c>
      <c r="SO214" s="13" t="s">
        <v>37</v>
      </c>
      <c r="SU214" s="12" t="s">
        <v>37</v>
      </c>
      <c r="SV214" s="12" t="s">
        <v>37</v>
      </c>
      <c r="SW214" s="12" t="s">
        <v>37</v>
      </c>
      <c r="SX214" s="12" t="s">
        <v>37</v>
      </c>
      <c r="SY214" s="12" t="s">
        <v>37</v>
      </c>
      <c r="SZ214" s="12" t="s">
        <v>37</v>
      </c>
      <c r="TA214" s="12"/>
      <c r="TB214" s="12"/>
      <c r="TE214" s="12" t="s">
        <v>37</v>
      </c>
      <c r="TF214" s="12" t="s">
        <v>37</v>
      </c>
      <c r="TG214" s="11" t="s">
        <v>37</v>
      </c>
      <c r="TH214" s="12" t="s">
        <v>37</v>
      </c>
      <c r="TI214" s="12" t="s">
        <v>37</v>
      </c>
      <c r="TJ214" s="11" t="s">
        <v>37</v>
      </c>
      <c r="TO214" s="12" t="s">
        <v>37</v>
      </c>
      <c r="TP214" s="12" t="s">
        <v>37</v>
      </c>
      <c r="TQ214" s="11" t="s">
        <v>37</v>
      </c>
      <c r="TR214" s="12" t="s">
        <v>37</v>
      </c>
      <c r="TS214" s="12" t="s">
        <v>37</v>
      </c>
      <c r="TT214" s="11" t="s">
        <v>37</v>
      </c>
      <c r="TY214" s="12" t="s">
        <v>37</v>
      </c>
      <c r="TZ214" s="12" t="s">
        <v>37</v>
      </c>
      <c r="UA214" s="12" t="s">
        <v>37</v>
      </c>
      <c r="UB214" s="12" t="s">
        <v>37</v>
      </c>
      <c r="UC214" s="12" t="s">
        <v>37</v>
      </c>
      <c r="UD214" s="12" t="s">
        <v>37</v>
      </c>
      <c r="UE214" s="12"/>
      <c r="UF214" s="12"/>
      <c r="UI214" s="12" t="s">
        <v>37</v>
      </c>
      <c r="UJ214" s="12" t="s">
        <v>37</v>
      </c>
      <c r="UK214" s="12" t="s">
        <v>37</v>
      </c>
      <c r="UL214" s="12" t="s">
        <v>37</v>
      </c>
      <c r="UM214" s="12" t="s">
        <v>37</v>
      </c>
      <c r="UN214" s="12" t="s">
        <v>37</v>
      </c>
      <c r="UO214" s="12"/>
      <c r="UP214" s="12"/>
      <c r="UR214" s="12" t="s">
        <v>37</v>
      </c>
      <c r="US214" s="12" t="s">
        <v>37</v>
      </c>
      <c r="UT214" s="12" t="s">
        <v>37</v>
      </c>
      <c r="UU214" s="12" t="s">
        <v>37</v>
      </c>
      <c r="UV214" s="12" t="s">
        <v>37</v>
      </c>
      <c r="UW214" s="12" t="s">
        <v>37</v>
      </c>
      <c r="UX214" s="12"/>
      <c r="UY214" s="12"/>
      <c r="VB214" s="12" t="s">
        <v>37</v>
      </c>
      <c r="VC214" s="12" t="s">
        <v>37</v>
      </c>
      <c r="VD214" s="12" t="s">
        <v>37</v>
      </c>
      <c r="VE214" s="12" t="s">
        <v>37</v>
      </c>
      <c r="VF214" s="12" t="s">
        <v>37</v>
      </c>
      <c r="VG214" s="12" t="s">
        <v>37</v>
      </c>
      <c r="VI214" s="12" t="s">
        <v>37</v>
      </c>
      <c r="VJ214" s="12" t="s">
        <v>37</v>
      </c>
      <c r="VK214" s="12" t="s">
        <v>37</v>
      </c>
      <c r="VL214" s="12" t="s">
        <v>37</v>
      </c>
      <c r="VM214" s="12" t="s">
        <v>37</v>
      </c>
      <c r="VN214" s="12" t="s">
        <v>37</v>
      </c>
      <c r="VQ214" s="13" t="s">
        <v>37</v>
      </c>
      <c r="VR214" s="13" t="s">
        <v>37</v>
      </c>
      <c r="VS214" s="13" t="s">
        <v>37</v>
      </c>
      <c r="VT214" s="13" t="s">
        <v>37</v>
      </c>
      <c r="VU214" s="13" t="s">
        <v>37</v>
      </c>
      <c r="VV214" s="13" t="s">
        <v>37</v>
      </c>
      <c r="WA214" s="13" t="s">
        <v>37</v>
      </c>
      <c r="WB214" s="13" t="s">
        <v>37</v>
      </c>
      <c r="WC214" s="13" t="s">
        <v>37</v>
      </c>
      <c r="WD214" s="13" t="s">
        <v>37</v>
      </c>
      <c r="WE214" s="13" t="s">
        <v>37</v>
      </c>
      <c r="WF214" s="13" t="s">
        <v>37</v>
      </c>
    </row>
    <row r="215" spans="1:606" ht="18" customHeight="1" x14ac:dyDescent="0.3">
      <c r="A215" s="11">
        <v>56</v>
      </c>
      <c r="B215" s="16" t="s">
        <v>936</v>
      </c>
      <c r="C215" s="12" t="s">
        <v>26</v>
      </c>
      <c r="D215" s="12" t="s">
        <v>119</v>
      </c>
      <c r="E215" s="40" t="s">
        <v>37</v>
      </c>
      <c r="F215" s="14">
        <v>0</v>
      </c>
      <c r="G215" s="14">
        <v>0</v>
      </c>
      <c r="H215" s="12" t="s">
        <v>82</v>
      </c>
      <c r="I215" s="29">
        <v>34.502000000000002</v>
      </c>
      <c r="J215" s="29">
        <v>-90.424000000000007</v>
      </c>
      <c r="K215" s="12" t="s">
        <v>757</v>
      </c>
      <c r="L215" s="12" t="s">
        <v>758</v>
      </c>
      <c r="M215" s="13" t="s">
        <v>37</v>
      </c>
      <c r="N215" s="14" t="s">
        <v>37</v>
      </c>
      <c r="O215" s="14" t="s">
        <v>37</v>
      </c>
      <c r="P215" s="14" t="s">
        <v>16</v>
      </c>
      <c r="Q215" s="75" t="s">
        <v>326</v>
      </c>
      <c r="R215" s="11" t="s">
        <v>37</v>
      </c>
      <c r="S215" s="12" t="s">
        <v>37</v>
      </c>
      <c r="T215" s="12" t="s">
        <v>37</v>
      </c>
      <c r="U215" s="12" t="s">
        <v>158</v>
      </c>
      <c r="V215" s="12" t="s">
        <v>37</v>
      </c>
      <c r="W215" s="23" t="s">
        <v>556</v>
      </c>
      <c r="X215" s="12" t="s">
        <v>858</v>
      </c>
      <c r="Y215" s="12" t="s">
        <v>37</v>
      </c>
      <c r="Z215" s="12" t="s">
        <v>315</v>
      </c>
      <c r="AB215" s="12" t="s">
        <v>37</v>
      </c>
      <c r="AE215" s="12" t="s">
        <v>37</v>
      </c>
      <c r="AH215" s="12" t="s">
        <v>37</v>
      </c>
      <c r="AK215" s="12" t="s">
        <v>37</v>
      </c>
      <c r="AL215" s="32" t="s">
        <v>557</v>
      </c>
      <c r="AM215" s="12" t="s">
        <v>317</v>
      </c>
      <c r="AN215" s="32" t="s">
        <v>879</v>
      </c>
      <c r="AO215" s="12" t="s">
        <v>37</v>
      </c>
      <c r="AP215" s="12" t="s">
        <v>167</v>
      </c>
      <c r="AQ215" s="12" t="s">
        <v>975</v>
      </c>
      <c r="AT215" s="12" t="s">
        <v>326</v>
      </c>
      <c r="AU215" s="12" t="s">
        <v>326</v>
      </c>
      <c r="AV215" s="13" t="s">
        <v>326</v>
      </c>
      <c r="AX215" s="12" t="s">
        <v>326</v>
      </c>
      <c r="AY215" s="12" t="s">
        <v>326</v>
      </c>
      <c r="AZ215" s="13" t="s">
        <v>326</v>
      </c>
      <c r="BE215" s="12" t="s">
        <v>326</v>
      </c>
      <c r="BF215" s="12" t="s">
        <v>326</v>
      </c>
      <c r="BG215" s="12" t="s">
        <v>326</v>
      </c>
      <c r="BI215" s="12" t="s">
        <v>326</v>
      </c>
      <c r="BJ215" s="12" t="s">
        <v>326</v>
      </c>
      <c r="BK215" s="12" t="s">
        <v>326</v>
      </c>
      <c r="BP215" s="12" t="s">
        <v>37</v>
      </c>
      <c r="BQ215" s="12" t="s">
        <v>37</v>
      </c>
      <c r="BR215" s="13" t="s">
        <v>37</v>
      </c>
      <c r="BT215" s="12" t="s">
        <v>37</v>
      </c>
      <c r="BU215" s="12" t="s">
        <v>37</v>
      </c>
      <c r="BV215" s="12" t="s">
        <v>37</v>
      </c>
      <c r="CA215" s="12" t="s">
        <v>37</v>
      </c>
      <c r="CB215" s="12" t="s">
        <v>37</v>
      </c>
      <c r="CC215" s="13" t="s">
        <v>37</v>
      </c>
      <c r="CE215" s="12" t="s">
        <v>37</v>
      </c>
      <c r="CF215" s="12" t="s">
        <v>37</v>
      </c>
      <c r="CG215" s="13" t="s">
        <v>37</v>
      </c>
      <c r="CI215" s="52"/>
      <c r="CJ215" s="52"/>
      <c r="CK215" s="73"/>
      <c r="CL215" s="73"/>
      <c r="CN215" s="12" t="s">
        <v>37</v>
      </c>
      <c r="CO215" s="12" t="s">
        <v>37</v>
      </c>
      <c r="CP215" s="13" t="s">
        <v>37</v>
      </c>
      <c r="CR215" s="12" t="s">
        <v>37</v>
      </c>
      <c r="CS215" s="12" t="s">
        <v>37</v>
      </c>
      <c r="CT215" s="13" t="s">
        <v>37</v>
      </c>
      <c r="CV215" s="52"/>
      <c r="CW215" s="52"/>
      <c r="CX215" s="73"/>
      <c r="CY215" s="73"/>
      <c r="DA215" s="12" t="s">
        <v>37</v>
      </c>
      <c r="DB215" s="12" t="s">
        <v>37</v>
      </c>
      <c r="DC215" s="13" t="s">
        <v>37</v>
      </c>
      <c r="DE215" s="12" t="s">
        <v>37</v>
      </c>
      <c r="DF215" s="12" t="s">
        <v>37</v>
      </c>
      <c r="DG215" s="13" t="s">
        <v>37</v>
      </c>
      <c r="DI215" s="52"/>
      <c r="DJ215" s="52"/>
      <c r="DK215" s="73"/>
      <c r="DL215" s="73"/>
      <c r="DM215" s="11" t="s">
        <v>47</v>
      </c>
      <c r="DN215" s="19">
        <f>26.3*("2013/10/31"-"2013/05/01")*16/12*24*10^4/10^6/'[1]classes-1'!$I$58</f>
        <v>1948.0617366827116</v>
      </c>
      <c r="DO215" s="12">
        <f>SQRT((1/[2]Classes!$I$58)^2*(6.9*SQRT(34)*("2013/10/31"-"2013/05/01")*16/12*24*10^4/10^6)^2+(-DN215/([2]Classes!$I$58)^2)^2*([2]Classes!$J$58)^2)</f>
        <v>3162.7708177229088</v>
      </c>
      <c r="DP215" s="13">
        <v>34</v>
      </c>
      <c r="DQ215" s="19">
        <f>DO215/ABS(DN215)</f>
        <v>1.6235475283800216</v>
      </c>
      <c r="DR215" s="19">
        <f>0.2*("2013/10/31"-"2013/05/01")*16/12*24*10^4/10^6/'[1]classes-1'!$I$59</f>
        <v>12.698456613428982</v>
      </c>
      <c r="DS215" s="12">
        <f>SQRT((1/[2]Classes!$I$59)^2*(0.02*SQRT(12)*("2013/10/31"-"2013/05/01")*16/12*24*10^4/10^6)^2+(-DR215/([2]Classes!$I$59)^2)^2*([2]Classes!$J$59)^2)</f>
        <v>4.590471281452122</v>
      </c>
      <c r="DT215" s="13">
        <v>12</v>
      </c>
      <c r="DU215" s="19">
        <f>DS215/ABS(DR215)</f>
        <v>0.36149836324184209</v>
      </c>
      <c r="DV215" s="19">
        <f>DR215-DN215</f>
        <v>-1935.3632800692826</v>
      </c>
      <c r="DW215" s="12">
        <f t="shared" si="914"/>
        <v>2739.0408361662617</v>
      </c>
      <c r="DX215" s="72">
        <f>(((DP215+DT215)/(DP215*DT215))*(((DP215-1)*DO215^2)+(DT215-1)*DS215^2)/(DP215+DT215-2))</f>
        <v>845852.5889719933</v>
      </c>
      <c r="DY215" s="72">
        <f t="shared" si="642"/>
        <v>294211.14560730284</v>
      </c>
      <c r="DZ215" s="11" t="s">
        <v>47</v>
      </c>
      <c r="EA215" s="19">
        <f>(10.8*("2013/10/31"-"2013/05/01")*44/28*24*10^4/10^9)/'[3]classess-1'!$I$8</f>
        <v>0.59306776707157072</v>
      </c>
      <c r="EB215" s="19">
        <f>SQRT((1/[5]Classess!$I$8)^2*(6.1*SQRT(34)*("2013/10/31"-"2013/05/01")*44/28*24*10^4/10^9)^2+(-EA215/([5]Classess!$I$8)^2)^2*([5]Classess!$J$8)^2)</f>
        <v>2.3125422244636824</v>
      </c>
      <c r="EC215" s="72">
        <v>34</v>
      </c>
      <c r="ED215" s="52">
        <f>EB215/ABS(EA215)</f>
        <v>3.8992883323982901</v>
      </c>
      <c r="EE215" s="19">
        <f>64.2*("2013/10/31"-"2013/05/01")*44/28*24*10^4/10^9/'[3]classess-1'!$I$9</f>
        <v>4.4926884730055843</v>
      </c>
      <c r="EF215" s="19">
        <f>SQRT((1/[5]Classess!$I$9)^2*(7.4*SQRT(12)*("2013/10/31"-"2013/05/01")*44/28*24*10^4/10^9)^2+(-EE215/([5]Classess!$I$9)^2)^2*([5]Classess!$J$9)^2)</f>
        <v>1.7938809583770348</v>
      </c>
      <c r="EG215" s="13">
        <v>12</v>
      </c>
      <c r="EH215" s="52">
        <f t="shared" ref="EH215" si="998">EF215/ABS(EE215)</f>
        <v>0.39928897121525503</v>
      </c>
      <c r="EI215" s="19">
        <f>EE215-EA215</f>
        <v>3.8996207059340136</v>
      </c>
      <c r="EJ215" s="12">
        <f t="shared" si="995"/>
        <v>2.1943998902097368</v>
      </c>
      <c r="EK215" s="19">
        <f t="shared" si="996"/>
        <v>0.54291171665444893</v>
      </c>
      <c r="EL215" s="19">
        <f t="shared" si="997"/>
        <v>0.42545715890997876</v>
      </c>
      <c r="EN215" s="12" t="s">
        <v>37</v>
      </c>
      <c r="EO215" s="12" t="s">
        <v>37</v>
      </c>
      <c r="EP215" s="13" t="s">
        <v>37</v>
      </c>
      <c r="ER215" s="12" t="s">
        <v>37</v>
      </c>
      <c r="ES215" s="12" t="s">
        <v>37</v>
      </c>
      <c r="ET215" s="13" t="s">
        <v>37</v>
      </c>
      <c r="FB215" s="12" t="s">
        <v>37</v>
      </c>
      <c r="FC215" s="12" t="s">
        <v>37</v>
      </c>
      <c r="FD215" s="11" t="s">
        <v>37</v>
      </c>
      <c r="FE215" s="12" t="s">
        <v>37</v>
      </c>
      <c r="FF215" s="20" t="s">
        <v>37</v>
      </c>
      <c r="FG215" s="11" t="s">
        <v>37</v>
      </c>
      <c r="FI215" s="12" t="s">
        <v>37</v>
      </c>
      <c r="FJ215" s="12" t="s">
        <v>37</v>
      </c>
      <c r="FK215" s="11" t="s">
        <v>37</v>
      </c>
      <c r="FL215" s="13" t="s">
        <v>37</v>
      </c>
      <c r="FM215" s="11" t="s">
        <v>37</v>
      </c>
      <c r="FN215" s="11" t="s">
        <v>37</v>
      </c>
      <c r="FP215" s="12" t="s">
        <v>37</v>
      </c>
      <c r="FQ215" s="12" t="s">
        <v>37</v>
      </c>
      <c r="FR215" s="11" t="s">
        <v>37</v>
      </c>
      <c r="FS215" s="13" t="s">
        <v>37</v>
      </c>
      <c r="FT215" s="11" t="s">
        <v>37</v>
      </c>
      <c r="FU215" s="11" t="s">
        <v>37</v>
      </c>
      <c r="FW215" s="12" t="s">
        <v>37</v>
      </c>
      <c r="FX215" s="12" t="s">
        <v>37</v>
      </c>
      <c r="FY215" s="11" t="s">
        <v>37</v>
      </c>
      <c r="FZ215" s="13" t="s">
        <v>37</v>
      </c>
      <c r="GA215" s="11" t="s">
        <v>37</v>
      </c>
      <c r="GB215" s="11" t="s">
        <v>37</v>
      </c>
      <c r="GC215" s="12" t="s">
        <v>101</v>
      </c>
      <c r="GD215" s="12" t="s">
        <v>345</v>
      </c>
      <c r="GE215" s="12">
        <v>100</v>
      </c>
      <c r="GF215" s="50">
        <f>ABS(GE215)*GH$474</f>
        <v>14.763481775793744</v>
      </c>
      <c r="GG215" s="13">
        <v>17</v>
      </c>
      <c r="GI215" s="12">
        <v>25.6</v>
      </c>
      <c r="GJ215" s="12">
        <f>1.5*SQRT(17)</f>
        <v>6.1846584384264904</v>
      </c>
      <c r="GK215" s="13">
        <v>17</v>
      </c>
      <c r="GM215" s="19">
        <f t="shared" ref="GM215:GM218" si="999">LN(GI215/GE215)</f>
        <v>-1.3625778345025745</v>
      </c>
      <c r="GN215" s="19">
        <f t="shared" ref="GN215:GN218" si="1000">GJ215^2/(GK215*GI215^2)+GF215^2/(GG215*GE215^2)</f>
        <v>4.7153475046165811E-3</v>
      </c>
      <c r="IK215" s="12" t="s">
        <v>37</v>
      </c>
      <c r="IL215" s="12" t="s">
        <v>37</v>
      </c>
      <c r="IM215" s="12" t="s">
        <v>37</v>
      </c>
      <c r="IO215" s="12" t="s">
        <v>37</v>
      </c>
      <c r="IP215" s="12" t="s">
        <v>37</v>
      </c>
      <c r="IQ215" s="12" t="s">
        <v>37</v>
      </c>
      <c r="IW215" s="12" t="s">
        <v>37</v>
      </c>
      <c r="IX215" s="12" t="s">
        <v>37</v>
      </c>
      <c r="IY215" s="13" t="s">
        <v>37</v>
      </c>
      <c r="JA215" s="12" t="s">
        <v>37</v>
      </c>
      <c r="JB215" s="12" t="s">
        <v>37</v>
      </c>
      <c r="JC215" s="13" t="s">
        <v>37</v>
      </c>
      <c r="JH215" s="12" t="s">
        <v>37</v>
      </c>
      <c r="JI215" s="12" t="s">
        <v>37</v>
      </c>
      <c r="JJ215" s="13" t="s">
        <v>37</v>
      </c>
      <c r="JL215" s="12" t="s">
        <v>37</v>
      </c>
      <c r="JM215" s="12" t="s">
        <v>37</v>
      </c>
      <c r="JN215" s="12" t="s">
        <v>37</v>
      </c>
      <c r="JS215" s="12" t="s">
        <v>37</v>
      </c>
      <c r="JT215" s="12" t="s">
        <v>37</v>
      </c>
      <c r="JU215" s="13" t="s">
        <v>37</v>
      </c>
      <c r="JW215" s="12" t="s">
        <v>37</v>
      </c>
      <c r="JX215" s="12" t="s">
        <v>37</v>
      </c>
      <c r="JY215" s="12" t="s">
        <v>37</v>
      </c>
      <c r="KE215" s="12" t="s">
        <v>37</v>
      </c>
      <c r="KF215" s="12" t="s">
        <v>37</v>
      </c>
      <c r="KG215" s="13" t="s">
        <v>37</v>
      </c>
      <c r="KH215" s="12" t="s">
        <v>37</v>
      </c>
      <c r="KI215" s="12" t="s">
        <v>37</v>
      </c>
      <c r="KJ215" s="12" t="s">
        <v>37</v>
      </c>
      <c r="KM215" s="12" t="s">
        <v>37</v>
      </c>
      <c r="KN215" s="12" t="s">
        <v>37</v>
      </c>
      <c r="KO215" s="11" t="s">
        <v>37</v>
      </c>
      <c r="KQ215" s="12" t="s">
        <v>37</v>
      </c>
      <c r="KR215" s="12" t="s">
        <v>37</v>
      </c>
      <c r="KS215" s="12" t="s">
        <v>37</v>
      </c>
      <c r="KX215" s="12" t="s">
        <v>37</v>
      </c>
      <c r="KY215" s="12" t="s">
        <v>37</v>
      </c>
      <c r="KZ215" s="12" t="s">
        <v>37</v>
      </c>
      <c r="LB215" s="12" t="s">
        <v>37</v>
      </c>
      <c r="LC215" s="12" t="s">
        <v>37</v>
      </c>
      <c r="LD215" s="12" t="s">
        <v>37</v>
      </c>
      <c r="LI215" s="12" t="s">
        <v>37</v>
      </c>
      <c r="LJ215" s="12" t="s">
        <v>37</v>
      </c>
      <c r="LK215" s="12" t="s">
        <v>37</v>
      </c>
      <c r="LM215" s="12" t="s">
        <v>37</v>
      </c>
      <c r="LN215" s="12" t="s">
        <v>37</v>
      </c>
      <c r="LO215" s="12" t="s">
        <v>37</v>
      </c>
      <c r="LU215" s="12" t="s">
        <v>37</v>
      </c>
      <c r="LV215" s="12" t="s">
        <v>37</v>
      </c>
      <c r="LW215" s="12" t="s">
        <v>37</v>
      </c>
      <c r="LY215" s="12" t="s">
        <v>37</v>
      </c>
      <c r="LZ215" s="12" t="s">
        <v>37</v>
      </c>
      <c r="MA215" s="12" t="s">
        <v>37</v>
      </c>
      <c r="MF215" s="12" t="s">
        <v>37</v>
      </c>
      <c r="MG215" s="12" t="s">
        <v>37</v>
      </c>
      <c r="MH215" s="12" t="s">
        <v>37</v>
      </c>
      <c r="MJ215" s="12" t="s">
        <v>37</v>
      </c>
      <c r="MK215" s="12" t="s">
        <v>37</v>
      </c>
      <c r="ML215" s="12" t="s">
        <v>37</v>
      </c>
      <c r="MQ215" s="12" t="s">
        <v>37</v>
      </c>
      <c r="MR215" s="12" t="s">
        <v>37</v>
      </c>
      <c r="MS215" s="12" t="s">
        <v>37</v>
      </c>
      <c r="MU215" s="12" t="s">
        <v>37</v>
      </c>
      <c r="MV215" s="12" t="s">
        <v>37</v>
      </c>
      <c r="MW215" s="12" t="s">
        <v>37</v>
      </c>
      <c r="NC215" s="12" t="s">
        <v>37</v>
      </c>
      <c r="ND215" s="12" t="s">
        <v>37</v>
      </c>
      <c r="NE215" s="12" t="s">
        <v>37</v>
      </c>
      <c r="NG215" s="12" t="s">
        <v>37</v>
      </c>
      <c r="NH215" s="12" t="s">
        <v>37</v>
      </c>
      <c r="NI215" s="12" t="s">
        <v>37</v>
      </c>
      <c r="NO215" s="12" t="s">
        <v>37</v>
      </c>
      <c r="NP215" s="12" t="s">
        <v>37</v>
      </c>
      <c r="NQ215" s="12" t="s">
        <v>37</v>
      </c>
      <c r="NS215" s="12" t="s">
        <v>37</v>
      </c>
      <c r="NT215" s="12" t="s">
        <v>37</v>
      </c>
      <c r="NU215" s="12" t="s">
        <v>37</v>
      </c>
      <c r="OA215" s="12" t="s">
        <v>37</v>
      </c>
      <c r="OB215" s="12" t="s">
        <v>37</v>
      </c>
      <c r="OC215" s="12" t="s">
        <v>37</v>
      </c>
      <c r="OD215" s="12"/>
      <c r="OE215" s="12" t="s">
        <v>37</v>
      </c>
      <c r="OF215" s="12" t="s">
        <v>37</v>
      </c>
      <c r="OG215" s="12" t="s">
        <v>37</v>
      </c>
      <c r="OH215" s="12"/>
      <c r="OI215" s="12"/>
      <c r="OJ215" s="12"/>
      <c r="OM215" s="12" t="s">
        <v>37</v>
      </c>
      <c r="ON215" s="12" t="s">
        <v>37</v>
      </c>
      <c r="OO215" s="12" t="s">
        <v>37</v>
      </c>
      <c r="OP215" s="12" t="s">
        <v>37</v>
      </c>
      <c r="OQ215" s="12" t="s">
        <v>37</v>
      </c>
      <c r="OR215" s="12" t="s">
        <v>37</v>
      </c>
      <c r="OS215" s="12"/>
      <c r="OT215" s="12"/>
      <c r="OW215" s="12" t="s">
        <v>37</v>
      </c>
      <c r="OX215" s="12" t="s">
        <v>37</v>
      </c>
      <c r="OY215" s="13" t="s">
        <v>37</v>
      </c>
      <c r="OZ215" s="12" t="s">
        <v>37</v>
      </c>
      <c r="PA215" s="12" t="s">
        <v>37</v>
      </c>
      <c r="PB215" s="13" t="s">
        <v>37</v>
      </c>
      <c r="PG215" s="12" t="s">
        <v>37</v>
      </c>
      <c r="PH215" s="12" t="s">
        <v>37</v>
      </c>
      <c r="PI215" s="12" t="s">
        <v>37</v>
      </c>
      <c r="PJ215" s="12" t="s">
        <v>37</v>
      </c>
      <c r="PK215" s="12" t="s">
        <v>37</v>
      </c>
      <c r="PL215" s="12" t="s">
        <v>37</v>
      </c>
      <c r="PM215" s="12"/>
      <c r="PN215" s="12"/>
      <c r="PQ215" s="12" t="s">
        <v>37</v>
      </c>
      <c r="PR215" s="12" t="s">
        <v>37</v>
      </c>
      <c r="PS215" s="12" t="s">
        <v>37</v>
      </c>
      <c r="PT215" s="12" t="s">
        <v>37</v>
      </c>
      <c r="PU215" s="12" t="s">
        <v>37</v>
      </c>
      <c r="PV215" s="12" t="s">
        <v>37</v>
      </c>
      <c r="PW215" s="12"/>
      <c r="PX215" s="12"/>
      <c r="PZ215" s="12" t="s">
        <v>37</v>
      </c>
      <c r="QA215" s="12" t="s">
        <v>37</v>
      </c>
      <c r="QB215" s="11" t="s">
        <v>37</v>
      </c>
      <c r="QD215" s="12" t="s">
        <v>37</v>
      </c>
      <c r="QE215" s="12" t="s">
        <v>37</v>
      </c>
      <c r="QF215" s="12" t="s">
        <v>37</v>
      </c>
      <c r="QK215" s="12" t="s">
        <v>37</v>
      </c>
      <c r="QL215" s="12" t="s">
        <v>37</v>
      </c>
      <c r="QM215" s="12" t="s">
        <v>37</v>
      </c>
      <c r="QN215" s="12" t="s">
        <v>37</v>
      </c>
      <c r="QO215" s="12" t="s">
        <v>37</v>
      </c>
      <c r="QP215" s="12" t="s">
        <v>37</v>
      </c>
      <c r="QQ215" s="12"/>
      <c r="QR215" s="12"/>
      <c r="QU215" s="12" t="s">
        <v>37</v>
      </c>
      <c r="QV215" s="12" t="s">
        <v>37</v>
      </c>
      <c r="QW215" s="12" t="s">
        <v>37</v>
      </c>
      <c r="QX215" s="12" t="s">
        <v>37</v>
      </c>
      <c r="QY215" s="12" t="s">
        <v>37</v>
      </c>
      <c r="QZ215" s="12" t="s">
        <v>37</v>
      </c>
      <c r="RC215" s="12" t="s">
        <v>37</v>
      </c>
      <c r="RD215" s="12" t="s">
        <v>37</v>
      </c>
      <c r="RE215" s="13" t="s">
        <v>37</v>
      </c>
      <c r="RF215" s="12" t="s">
        <v>37</v>
      </c>
      <c r="RG215" s="12" t="s">
        <v>37</v>
      </c>
      <c r="RH215" s="13" t="s">
        <v>37</v>
      </c>
      <c r="RK215" s="12" t="s">
        <v>37</v>
      </c>
      <c r="RL215" s="12" t="s">
        <v>37</v>
      </c>
      <c r="RM215" s="11" t="s">
        <v>37</v>
      </c>
      <c r="RN215" s="12" t="s">
        <v>37</v>
      </c>
      <c r="RO215" s="12" t="s">
        <v>37</v>
      </c>
      <c r="RP215" s="11" t="s">
        <v>37</v>
      </c>
      <c r="RS215" s="12" t="s">
        <v>37</v>
      </c>
      <c r="RT215" s="12" t="s">
        <v>37</v>
      </c>
      <c r="RU215" s="12" t="s">
        <v>37</v>
      </c>
      <c r="RV215" s="12" t="s">
        <v>37</v>
      </c>
      <c r="RW215" s="12" t="s">
        <v>37</v>
      </c>
      <c r="RX215" s="12" t="s">
        <v>37</v>
      </c>
      <c r="SA215" s="12" t="s">
        <v>37</v>
      </c>
      <c r="SB215" s="12" t="s">
        <v>37</v>
      </c>
      <c r="SC215" s="12" t="s">
        <v>37</v>
      </c>
      <c r="SD215" s="12" t="s">
        <v>37</v>
      </c>
      <c r="SE215" s="12" t="s">
        <v>37</v>
      </c>
      <c r="SF215" s="12" t="s">
        <v>37</v>
      </c>
      <c r="SI215" s="12" t="s">
        <v>37</v>
      </c>
      <c r="SJ215" s="12" t="s">
        <v>37</v>
      </c>
      <c r="SK215" s="13" t="s">
        <v>37</v>
      </c>
      <c r="SM215" s="12" t="s">
        <v>37</v>
      </c>
      <c r="SN215" s="12" t="s">
        <v>37</v>
      </c>
      <c r="SO215" s="13" t="s">
        <v>37</v>
      </c>
      <c r="SU215" s="12" t="s">
        <v>37</v>
      </c>
      <c r="SV215" s="12" t="s">
        <v>37</v>
      </c>
      <c r="SW215" s="12" t="s">
        <v>37</v>
      </c>
      <c r="SX215" s="12" t="s">
        <v>37</v>
      </c>
      <c r="SY215" s="12" t="s">
        <v>37</v>
      </c>
      <c r="SZ215" s="12" t="s">
        <v>37</v>
      </c>
      <c r="TA215" s="12"/>
      <c r="TB215" s="12"/>
      <c r="TE215" s="12" t="s">
        <v>37</v>
      </c>
      <c r="TF215" s="12" t="s">
        <v>37</v>
      </c>
      <c r="TG215" s="11" t="s">
        <v>37</v>
      </c>
      <c r="TH215" s="12" t="s">
        <v>37</v>
      </c>
      <c r="TI215" s="12" t="s">
        <v>37</v>
      </c>
      <c r="TJ215" s="11" t="s">
        <v>37</v>
      </c>
      <c r="TO215" s="12" t="s">
        <v>37</v>
      </c>
      <c r="TP215" s="12" t="s">
        <v>37</v>
      </c>
      <c r="TQ215" s="11" t="s">
        <v>37</v>
      </c>
      <c r="TR215" s="12" t="s">
        <v>37</v>
      </c>
      <c r="TS215" s="12" t="s">
        <v>37</v>
      </c>
      <c r="TT215" s="11" t="s">
        <v>37</v>
      </c>
      <c r="TY215" s="12" t="s">
        <v>37</v>
      </c>
      <c r="TZ215" s="12" t="s">
        <v>37</v>
      </c>
      <c r="UA215" s="12" t="s">
        <v>37</v>
      </c>
      <c r="UB215" s="12" t="s">
        <v>37</v>
      </c>
      <c r="UC215" s="12" t="s">
        <v>37</v>
      </c>
      <c r="UD215" s="12" t="s">
        <v>37</v>
      </c>
      <c r="UE215" s="12"/>
      <c r="UF215" s="12"/>
      <c r="UG215" s="12" t="s">
        <v>127</v>
      </c>
      <c r="UH215" s="12" t="s">
        <v>345</v>
      </c>
      <c r="UI215" s="12">
        <v>362000000</v>
      </c>
      <c r="UJ215" s="12">
        <v>269000000</v>
      </c>
      <c r="UK215" s="13">
        <v>71</v>
      </c>
      <c r="UL215" s="12">
        <v>23000000</v>
      </c>
      <c r="UM215" s="12">
        <v>4000000</v>
      </c>
      <c r="UN215" s="13">
        <v>30</v>
      </c>
      <c r="UO215" s="19">
        <f>LN(UL215/UI215)</f>
        <v>-2.7561499958966214</v>
      </c>
      <c r="UP215" s="19">
        <f>UM215^2/(UN215*UL215^2)+UJ215^2/(UK215*UI215^2)</f>
        <v>8.7854954702300536E-3</v>
      </c>
      <c r="UR215" s="12" t="s">
        <v>37</v>
      </c>
      <c r="US215" s="12" t="s">
        <v>37</v>
      </c>
      <c r="UT215" s="12" t="s">
        <v>37</v>
      </c>
      <c r="UU215" s="12" t="s">
        <v>37</v>
      </c>
      <c r="UV215" s="12" t="s">
        <v>37</v>
      </c>
      <c r="UW215" s="12" t="s">
        <v>37</v>
      </c>
      <c r="UX215" s="12"/>
      <c r="UY215" s="12"/>
      <c r="VB215" s="12" t="s">
        <v>37</v>
      </c>
      <c r="VC215" s="12" t="s">
        <v>37</v>
      </c>
      <c r="VD215" s="12" t="s">
        <v>37</v>
      </c>
      <c r="VE215" s="12" t="s">
        <v>37</v>
      </c>
      <c r="VF215" s="12" t="s">
        <v>37</v>
      </c>
      <c r="VG215" s="12" t="s">
        <v>37</v>
      </c>
      <c r="VI215" s="12" t="s">
        <v>37</v>
      </c>
      <c r="VJ215" s="12" t="s">
        <v>37</v>
      </c>
      <c r="VK215" s="12" t="s">
        <v>37</v>
      </c>
      <c r="VL215" s="12" t="s">
        <v>37</v>
      </c>
      <c r="VM215" s="12" t="s">
        <v>37</v>
      </c>
      <c r="VN215" s="12" t="s">
        <v>37</v>
      </c>
      <c r="VQ215" s="13" t="s">
        <v>37</v>
      </c>
      <c r="VR215" s="13" t="s">
        <v>37</v>
      </c>
      <c r="VS215" s="13" t="s">
        <v>37</v>
      </c>
      <c r="VT215" s="13" t="s">
        <v>37</v>
      </c>
      <c r="VU215" s="13" t="s">
        <v>37</v>
      </c>
      <c r="VV215" s="13" t="s">
        <v>37</v>
      </c>
      <c r="WA215" s="13" t="s">
        <v>37</v>
      </c>
      <c r="WB215" s="13" t="s">
        <v>37</v>
      </c>
      <c r="WC215" s="13" t="s">
        <v>37</v>
      </c>
      <c r="WD215" s="13" t="s">
        <v>37</v>
      </c>
      <c r="WE215" s="13" t="s">
        <v>37</v>
      </c>
      <c r="WF215" s="13" t="s">
        <v>37</v>
      </c>
    </row>
    <row r="216" spans="1:606" ht="18" customHeight="1" x14ac:dyDescent="0.3">
      <c r="A216" s="11">
        <v>58</v>
      </c>
      <c r="B216" s="16" t="s">
        <v>914</v>
      </c>
      <c r="C216" s="12" t="s">
        <v>26</v>
      </c>
      <c r="D216" s="12" t="s">
        <v>54</v>
      </c>
      <c r="E216" s="40" t="s">
        <v>37</v>
      </c>
      <c r="F216" s="14">
        <v>0</v>
      </c>
      <c r="G216" s="14">
        <v>0</v>
      </c>
      <c r="H216" s="12" t="s">
        <v>113</v>
      </c>
      <c r="I216" s="29">
        <v>58.866999999999997</v>
      </c>
      <c r="J216" s="29">
        <v>26.233000000000001</v>
      </c>
      <c r="K216" s="12" t="s">
        <v>759</v>
      </c>
      <c r="L216" s="12" t="s">
        <v>760</v>
      </c>
      <c r="M216" s="13">
        <v>80</v>
      </c>
      <c r="N216" s="14">
        <v>4.3</v>
      </c>
      <c r="O216" s="14">
        <v>889</v>
      </c>
      <c r="P216" s="14" t="s">
        <v>16</v>
      </c>
      <c r="Q216" s="75">
        <v>58</v>
      </c>
      <c r="R216" s="11" t="s">
        <v>1000</v>
      </c>
      <c r="S216" s="12" t="s">
        <v>93</v>
      </c>
      <c r="T216" s="12" t="s">
        <v>141</v>
      </c>
      <c r="U216" s="12" t="s">
        <v>158</v>
      </c>
      <c r="V216" s="12" t="s">
        <v>275</v>
      </c>
      <c r="W216" s="23" t="s">
        <v>349</v>
      </c>
      <c r="X216" s="12" t="s">
        <v>281</v>
      </c>
      <c r="Y216" s="12" t="s">
        <v>350</v>
      </c>
      <c r="Z216" s="12" t="s">
        <v>37</v>
      </c>
      <c r="AA216" s="32" t="s">
        <v>327</v>
      </c>
      <c r="AB216" s="12">
        <v>3.4</v>
      </c>
      <c r="AC216" s="12" t="s">
        <v>42</v>
      </c>
      <c r="AD216" s="32" t="s">
        <v>327</v>
      </c>
      <c r="AE216" s="12">
        <v>530</v>
      </c>
      <c r="AF216" s="12" t="s">
        <v>42</v>
      </c>
      <c r="AG216" s="32" t="s">
        <v>327</v>
      </c>
      <c r="AH216" s="12">
        <v>6</v>
      </c>
      <c r="AJ216" s="12" t="str">
        <f t="shared" ref="AJ216:AJ221" si="1001">AD216</f>
        <v>0-15</v>
      </c>
      <c r="AK216" s="19">
        <f t="shared" ref="AK216:AK221" si="1002">AE216/AH216</f>
        <v>88.333333333333329</v>
      </c>
      <c r="AL216" s="32" t="s">
        <v>351</v>
      </c>
      <c r="AM216" s="12" t="s">
        <v>344</v>
      </c>
      <c r="AO216" s="12" t="s">
        <v>37</v>
      </c>
      <c r="AP216" s="12" t="s">
        <v>238</v>
      </c>
      <c r="AQ216" s="12" t="s">
        <v>975</v>
      </c>
      <c r="AR216" s="12" t="s">
        <v>42</v>
      </c>
      <c r="AS216" s="32" t="s">
        <v>327</v>
      </c>
      <c r="AT216" s="12">
        <v>530</v>
      </c>
      <c r="AU216" s="50">
        <f>AT216*AW$474</f>
        <v>45.329386878261687</v>
      </c>
      <c r="AV216" s="13">
        <v>3</v>
      </c>
      <c r="AX216" s="12">
        <v>430</v>
      </c>
      <c r="AY216" s="50">
        <f>AX216*BA$474</f>
        <v>30.362478838819762</v>
      </c>
      <c r="AZ216" s="13">
        <v>3</v>
      </c>
      <c r="BB216" s="52">
        <f t="shared" ref="BB216" si="1003">LN(AX216/AT216)</f>
        <v>-0.20909179785855936</v>
      </c>
      <c r="BC216" s="19">
        <f t="shared" ref="BC216" si="1004">AY216^2/(AZ216*AX216^2)+AU216^2/(AV216*AT216^2)</f>
        <v>4.1002411250469781E-3</v>
      </c>
      <c r="BE216" s="12" t="s">
        <v>326</v>
      </c>
      <c r="BF216" s="12" t="s">
        <v>326</v>
      </c>
      <c r="BG216" s="12" t="s">
        <v>326</v>
      </c>
      <c r="BI216" s="12" t="s">
        <v>326</v>
      </c>
      <c r="BJ216" s="12" t="s">
        <v>326</v>
      </c>
      <c r="BK216" s="12" t="s">
        <v>326</v>
      </c>
      <c r="BP216" s="12" t="s">
        <v>37</v>
      </c>
      <c r="BQ216" s="12" t="s">
        <v>37</v>
      </c>
      <c r="BR216" s="13" t="s">
        <v>37</v>
      </c>
      <c r="BT216" s="12" t="s">
        <v>37</v>
      </c>
      <c r="BU216" s="12" t="s">
        <v>37</v>
      </c>
      <c r="BV216" s="12" t="s">
        <v>37</v>
      </c>
      <c r="CA216" s="12" t="s">
        <v>37</v>
      </c>
      <c r="CB216" s="12" t="s">
        <v>37</v>
      </c>
      <c r="CC216" s="13" t="s">
        <v>37</v>
      </c>
      <c r="CE216" s="12" t="s">
        <v>37</v>
      </c>
      <c r="CF216" s="12" t="s">
        <v>37</v>
      </c>
      <c r="CG216" s="13" t="s">
        <v>37</v>
      </c>
      <c r="CN216" s="12" t="s">
        <v>37</v>
      </c>
      <c r="CO216" s="12" t="s">
        <v>37</v>
      </c>
      <c r="CP216" s="13" t="s">
        <v>37</v>
      </c>
      <c r="CR216" s="12" t="s">
        <v>37</v>
      </c>
      <c r="CS216" s="12" t="s">
        <v>37</v>
      </c>
      <c r="CT216" s="13" t="s">
        <v>37</v>
      </c>
      <c r="CX216" s="72"/>
      <c r="CY216" s="72"/>
      <c r="DA216" s="12" t="s">
        <v>37</v>
      </c>
      <c r="DB216" s="12" t="s">
        <v>37</v>
      </c>
      <c r="DC216" s="13" t="s">
        <v>37</v>
      </c>
      <c r="DE216" s="12" t="s">
        <v>37</v>
      </c>
      <c r="DF216" s="12" t="s">
        <v>37</v>
      </c>
      <c r="DG216" s="13" t="s">
        <v>37</v>
      </c>
      <c r="DI216" s="52"/>
      <c r="DJ216" s="52"/>
      <c r="DK216" s="73"/>
      <c r="DL216" s="73"/>
      <c r="DM216" s="11" t="s">
        <v>47</v>
      </c>
      <c r="DN216" s="19">
        <f>2729/100*16/12</f>
        <v>36.386666666666663</v>
      </c>
      <c r="DO216" s="12">
        <f>180/100*16/12*SQRT(3)</f>
        <v>4.1569219381653051</v>
      </c>
      <c r="DP216" s="13">
        <v>3</v>
      </c>
      <c r="DQ216" s="19">
        <f t="shared" ref="DQ216:DQ221" si="1005">DO216/ABS(DN216)</f>
        <v>0.11424299939992595</v>
      </c>
      <c r="DR216" s="19">
        <f>943/100*16/12</f>
        <v>12.573333333333332</v>
      </c>
      <c r="DS216" s="12">
        <f>222/100*16/12*SQRT(3)</f>
        <v>5.1268703904038775</v>
      </c>
      <c r="DT216" s="13">
        <v>3</v>
      </c>
      <c r="DU216" s="19">
        <f t="shared" ref="DU216:DU221" si="1006">DS216/ABS(DR216)</f>
        <v>0.4077574541678588</v>
      </c>
      <c r="DV216" s="19">
        <f t="shared" ref="DV216:DV221" si="1007">DR216-DN216</f>
        <v>-23.813333333333333</v>
      </c>
      <c r="DW216" s="12">
        <f t="shared" si="914"/>
        <v>4.6671618784867537</v>
      </c>
      <c r="DX216" s="72">
        <f t="shared" si="641"/>
        <v>14.521600000000001</v>
      </c>
      <c r="DY216" s="72">
        <f t="shared" si="642"/>
        <v>14.521600000000003</v>
      </c>
      <c r="DZ216" s="11" t="s">
        <v>47</v>
      </c>
      <c r="EA216" s="19">
        <f>4.8/100*44/28</f>
        <v>7.5428571428571428E-2</v>
      </c>
      <c r="EB216" s="19">
        <f>5.7/100*44/28*SQRT(3)</f>
        <v>0.15514226519224084</v>
      </c>
      <c r="EC216" s="72">
        <v>3</v>
      </c>
      <c r="ED216" s="52">
        <f t="shared" ref="ED216:ED221" si="1008">EB216/ABS(EA216)</f>
        <v>2.0568103339880413</v>
      </c>
      <c r="EE216" s="19">
        <f>4.1/100*44/28</f>
        <v>6.4428571428571418E-2</v>
      </c>
      <c r="EF216" s="19">
        <f>7.9/100*44/28*SQRT(3)</f>
        <v>0.21502173596819346</v>
      </c>
      <c r="EG216" s="13">
        <v>3</v>
      </c>
      <c r="EH216" s="52">
        <f t="shared" ref="EH216:EH221" si="1009">EF216/ABS(EE216)</f>
        <v>3.3373661901936904</v>
      </c>
      <c r="EI216" s="19">
        <f t="shared" ref="EI216:EI221" si="1010">EE216-EA216</f>
        <v>-1.100000000000001E-2</v>
      </c>
      <c r="EJ216" s="12">
        <f t="shared" si="995"/>
        <v>0.18748795879703192</v>
      </c>
      <c r="EK216" s="19">
        <f t="shared" si="996"/>
        <v>2.3434489795918362E-2</v>
      </c>
      <c r="EL216" s="19">
        <f t="shared" si="997"/>
        <v>2.3434489795918362E-2</v>
      </c>
      <c r="EM216" s="12" t="s">
        <v>39</v>
      </c>
      <c r="EN216" s="12">
        <v>-15</v>
      </c>
      <c r="EO216" s="50">
        <f>ABS(EN216)*EQ$474</f>
        <v>6.1124459812694001</v>
      </c>
      <c r="EP216" s="13">
        <v>3</v>
      </c>
      <c r="ER216" s="12">
        <v>-38</v>
      </c>
      <c r="ES216" s="50">
        <f>ABS(ER216)*EU$474</f>
        <v>8.6189340333493778</v>
      </c>
      <c r="ET216" s="13">
        <v>3</v>
      </c>
      <c r="EV216" s="19">
        <f t="shared" ref="EV216" si="1011">ER216-EN216</f>
        <v>-23</v>
      </c>
      <c r="EW216" s="12">
        <f t="shared" ref="EW216:EW218" si="1012">SQRT(((EP216-1)*EO216^2+(ET216-1)*ES216^2)/(EP216+ET216-2))</f>
        <v>7.4715466854314911</v>
      </c>
      <c r="EX216" s="19">
        <f t="shared" ref="EX216:EX218" si="1013">(((EP216+ET216)/(EP216*ET216))*(((EP216-1)*EO216^2)+(ET216-1)*ES216^2)/(EP216+ET216-2))</f>
        <v>37.21600658172153</v>
      </c>
      <c r="EY216" s="19">
        <f t="shared" ref="EY216:EY218" si="1014">(EO216^2/EP216)+(ES216^2/ET216)</f>
        <v>37.21600658172153</v>
      </c>
      <c r="FB216" s="12" t="s">
        <v>37</v>
      </c>
      <c r="FC216" s="12" t="s">
        <v>37</v>
      </c>
      <c r="FD216" s="11" t="s">
        <v>37</v>
      </c>
      <c r="FE216" s="12" t="s">
        <v>37</v>
      </c>
      <c r="FF216" s="20" t="s">
        <v>37</v>
      </c>
      <c r="FG216" s="11" t="s">
        <v>37</v>
      </c>
      <c r="FI216" s="12" t="s">
        <v>37</v>
      </c>
      <c r="FJ216" s="12" t="s">
        <v>37</v>
      </c>
      <c r="FK216" s="11" t="s">
        <v>37</v>
      </c>
      <c r="FL216" s="13" t="s">
        <v>37</v>
      </c>
      <c r="FM216" s="11" t="s">
        <v>37</v>
      </c>
      <c r="FN216" s="11" t="s">
        <v>37</v>
      </c>
      <c r="FP216" s="12" t="s">
        <v>37</v>
      </c>
      <c r="FQ216" s="12" t="s">
        <v>37</v>
      </c>
      <c r="FR216" s="11" t="s">
        <v>37</v>
      </c>
      <c r="FS216" s="13" t="s">
        <v>37</v>
      </c>
      <c r="FT216" s="11" t="s">
        <v>37</v>
      </c>
      <c r="FU216" s="11" t="s">
        <v>37</v>
      </c>
      <c r="FW216" s="12" t="s">
        <v>37</v>
      </c>
      <c r="FX216" s="12" t="s">
        <v>37</v>
      </c>
      <c r="FY216" s="11" t="s">
        <v>37</v>
      </c>
      <c r="FZ216" s="13" t="s">
        <v>37</v>
      </c>
      <c r="GA216" s="11" t="s">
        <v>37</v>
      </c>
      <c r="GB216" s="11" t="s">
        <v>37</v>
      </c>
      <c r="GC216" s="12" t="s">
        <v>101</v>
      </c>
      <c r="GD216" s="12" t="s">
        <v>345</v>
      </c>
      <c r="GE216" s="12">
        <v>76.7</v>
      </c>
      <c r="GF216" s="50">
        <f>ABS(GE216)*GH$474</f>
        <v>11.323590522033802</v>
      </c>
      <c r="GG216" s="13">
        <v>3</v>
      </c>
      <c r="GI216" s="12">
        <v>37.200000000000003</v>
      </c>
      <c r="GJ216" s="50">
        <f>ABS(GI216)*GL$474</f>
        <v>7.1150000967598235</v>
      </c>
      <c r="GK216" s="13">
        <v>3</v>
      </c>
      <c r="GM216" s="19">
        <f t="shared" si="999"/>
        <v>-0.7235929470941096</v>
      </c>
      <c r="GN216" s="19">
        <f t="shared" si="1000"/>
        <v>1.9459248073029262E-2</v>
      </c>
      <c r="GO216" s="12" t="s">
        <v>660</v>
      </c>
      <c r="GP216" s="12" t="s">
        <v>330</v>
      </c>
      <c r="GQ216" s="12">
        <v>5.6</v>
      </c>
      <c r="GR216" s="50">
        <f>ABS(GQ216)*GT$474</f>
        <v>0.53496552222859406</v>
      </c>
      <c r="GS216" s="13">
        <v>3</v>
      </c>
      <c r="GU216" s="12">
        <v>5.9</v>
      </c>
      <c r="GV216" s="50">
        <f>ABS(GU216)*GX$474</f>
        <v>0.62797347559617644</v>
      </c>
      <c r="GW216" s="13">
        <v>3</v>
      </c>
      <c r="GY216" s="19">
        <f>LN(GU216/GQ216)</f>
        <v>5.2185753170570247E-2</v>
      </c>
      <c r="GZ216" s="19">
        <f t="shared" ref="GZ216" si="1015">GV216^2/(GW216*GU216^2)+GR216^2/(GS216*GQ216^2)</f>
        <v>6.8181857558293974E-3</v>
      </c>
      <c r="HA216" s="17" t="s">
        <v>63</v>
      </c>
      <c r="HB216" s="34" t="s">
        <v>327</v>
      </c>
      <c r="HC216" s="12">
        <v>0.01</v>
      </c>
      <c r="HD216" s="50">
        <f>ABS(HC216)*HF$474</f>
        <v>1.7241174314649096E-3</v>
      </c>
      <c r="HE216" s="13">
        <v>3</v>
      </c>
      <c r="HG216" s="12">
        <v>0.05</v>
      </c>
      <c r="HH216" s="50">
        <f>ABS(HG216)*HJ$474</f>
        <v>5.5927259983552541E-3</v>
      </c>
      <c r="HI216" s="13">
        <v>3</v>
      </c>
      <c r="HK216" s="19">
        <f t="shared" ref="HK216" si="1016">LN(HG216/HC216)</f>
        <v>1.6094379124341003</v>
      </c>
      <c r="HL216" s="19">
        <f t="shared" ref="HL216" si="1017">HH216^2/(HI216*HG216^2)+HD216^2/(HE216*HC216^2)</f>
        <v>1.4079080937294359E-2</v>
      </c>
      <c r="IK216" s="12" t="s">
        <v>37</v>
      </c>
      <c r="IL216" s="12" t="s">
        <v>37</v>
      </c>
      <c r="IM216" s="12" t="s">
        <v>37</v>
      </c>
      <c r="IO216" s="12" t="s">
        <v>37</v>
      </c>
      <c r="IP216" s="12" t="s">
        <v>37</v>
      </c>
      <c r="IQ216" s="12" t="s">
        <v>37</v>
      </c>
      <c r="IV216" s="32" t="s">
        <v>327</v>
      </c>
      <c r="IW216" s="12">
        <v>3.4</v>
      </c>
      <c r="IX216" s="50">
        <f>ABS(IW216)*IZ$474</f>
        <v>0.12448332493527867</v>
      </c>
      <c r="IY216" s="13">
        <v>3</v>
      </c>
      <c r="JA216" s="12">
        <v>2.2000000000000002</v>
      </c>
      <c r="JB216" s="50">
        <f>ABS(JA216)*JD$474</f>
        <v>6.1619379328546074E-2</v>
      </c>
      <c r="JC216" s="13">
        <v>3</v>
      </c>
      <c r="JE216" s="19">
        <f t="shared" ref="JE216" si="1018">LN(JA216/IW216)</f>
        <v>-0.4353180712578455</v>
      </c>
      <c r="JF216" s="19">
        <f t="shared" si="940"/>
        <v>7.0832876411330761E-4</v>
      </c>
      <c r="JH216" s="12" t="s">
        <v>37</v>
      </c>
      <c r="JI216" s="12" t="s">
        <v>37</v>
      </c>
      <c r="JJ216" s="13" t="s">
        <v>37</v>
      </c>
      <c r="JL216" s="12" t="s">
        <v>37</v>
      </c>
      <c r="JM216" s="12" t="s">
        <v>37</v>
      </c>
      <c r="JN216" s="12" t="s">
        <v>37</v>
      </c>
      <c r="JS216" s="12" t="s">
        <v>37</v>
      </c>
      <c r="JT216" s="12" t="s">
        <v>37</v>
      </c>
      <c r="JU216" s="13" t="s">
        <v>37</v>
      </c>
      <c r="JW216" s="12" t="s">
        <v>37</v>
      </c>
      <c r="JX216" s="12" t="s">
        <v>37</v>
      </c>
      <c r="JY216" s="12" t="s">
        <v>37</v>
      </c>
      <c r="KE216" s="12" t="s">
        <v>37</v>
      </c>
      <c r="KF216" s="12" t="s">
        <v>37</v>
      </c>
      <c r="KG216" s="13" t="s">
        <v>37</v>
      </c>
      <c r="KH216" s="12" t="s">
        <v>37</v>
      </c>
      <c r="KI216" s="12" t="s">
        <v>37</v>
      </c>
      <c r="KJ216" s="12" t="s">
        <v>37</v>
      </c>
      <c r="KK216" s="12" t="s">
        <v>42</v>
      </c>
      <c r="KL216" s="32" t="s">
        <v>327</v>
      </c>
      <c r="KM216" s="12">
        <v>6</v>
      </c>
      <c r="KN216" s="50">
        <f>ABS(KM216)*KP$474</f>
        <v>0.71575824830915691</v>
      </c>
      <c r="KO216" s="11">
        <v>3</v>
      </c>
      <c r="KQ216" s="12">
        <v>12</v>
      </c>
      <c r="KR216" s="50">
        <f>ABS(KQ216)*KT$474</f>
        <v>1.2653211620236409</v>
      </c>
      <c r="KS216" s="13">
        <v>3</v>
      </c>
      <c r="KU216" s="19">
        <f>LN(KQ216/KM216)</f>
        <v>0.69314718055994529</v>
      </c>
      <c r="KV216" s="19">
        <f t="shared" si="944"/>
        <v>8.4497155628593234E-3</v>
      </c>
      <c r="KX216" s="12" t="s">
        <v>37</v>
      </c>
      <c r="KY216" s="12" t="s">
        <v>37</v>
      </c>
      <c r="KZ216" s="12" t="s">
        <v>37</v>
      </c>
      <c r="LB216" s="12" t="s">
        <v>37</v>
      </c>
      <c r="LC216" s="12" t="s">
        <v>37</v>
      </c>
      <c r="LD216" s="12" t="s">
        <v>37</v>
      </c>
      <c r="LI216" s="12" t="s">
        <v>37</v>
      </c>
      <c r="LJ216" s="12" t="s">
        <v>37</v>
      </c>
      <c r="LK216" s="12" t="s">
        <v>37</v>
      </c>
      <c r="LM216" s="12" t="s">
        <v>37</v>
      </c>
      <c r="LN216" s="12" t="s">
        <v>37</v>
      </c>
      <c r="LO216" s="12" t="s">
        <v>37</v>
      </c>
      <c r="LT216" s="12" t="str">
        <f t="shared" ref="LT216:LT221" si="1019">KL216</f>
        <v>0-15</v>
      </c>
      <c r="LU216" s="12">
        <f t="shared" ref="LU216:LU221" si="1020">AT216/KM216</f>
        <v>88.333333333333329</v>
      </c>
      <c r="LV216" s="12">
        <f t="shared" ref="LV216:LV221" si="1021">SQRT((1/KM216)^2*AU216^2+AT216^2*(-1/KM216^2)^2*KN216^2)</f>
        <v>12.965974043099234</v>
      </c>
      <c r="LW216" s="13">
        <f t="shared" ref="LW216:LW221" si="1022">KO216</f>
        <v>3</v>
      </c>
      <c r="LY216" s="12">
        <f>AX216/KQ216</f>
        <v>35.833333333333336</v>
      </c>
      <c r="LZ216" s="12">
        <f>SQRT((1/KQ216)^2*AY216^2+AX216^2*(-1/KQ216^2)^2*KR216^2)</f>
        <v>4.5473259298742121</v>
      </c>
      <c r="MA216" s="13">
        <f t="shared" ref="MA216:MA221" si="1023">KS216</f>
        <v>3</v>
      </c>
      <c r="MC216" s="19">
        <f>LN(LY216/LU216)</f>
        <v>-0.90223897841850464</v>
      </c>
      <c r="MF216" s="12" t="s">
        <v>37</v>
      </c>
      <c r="MG216" s="12" t="s">
        <v>37</v>
      </c>
      <c r="MH216" s="12" t="s">
        <v>37</v>
      </c>
      <c r="MJ216" s="12" t="s">
        <v>37</v>
      </c>
      <c r="MK216" s="12" t="s">
        <v>37</v>
      </c>
      <c r="ML216" s="12" t="s">
        <v>37</v>
      </c>
      <c r="MQ216" s="12" t="s">
        <v>37</v>
      </c>
      <c r="MR216" s="12" t="s">
        <v>37</v>
      </c>
      <c r="MS216" s="12" t="s">
        <v>37</v>
      </c>
      <c r="MU216" s="12" t="s">
        <v>37</v>
      </c>
      <c r="MV216" s="12" t="s">
        <v>37</v>
      </c>
      <c r="MW216" s="12" t="s">
        <v>37</v>
      </c>
      <c r="NA216" s="12" t="s">
        <v>102</v>
      </c>
      <c r="NB216" s="12" t="s">
        <v>327</v>
      </c>
      <c r="NC216" s="12">
        <v>3.5</v>
      </c>
      <c r="ND216" s="12">
        <f>2.4*SQRT(3)</f>
        <v>4.1569219381653051</v>
      </c>
      <c r="NE216" s="13">
        <v>3</v>
      </c>
      <c r="NF216" s="19">
        <f t="shared" ref="NF216" si="1024">ND216/NC216</f>
        <v>1.1876919823329444</v>
      </c>
      <c r="NG216" s="12">
        <v>3.4</v>
      </c>
      <c r="NH216" s="12">
        <f>0.9*SQRT(3)</f>
        <v>1.5588457268119895</v>
      </c>
      <c r="NI216" s="13">
        <v>3</v>
      </c>
      <c r="NJ216" s="19">
        <f t="shared" ref="NJ216" si="1025">NH216/NG216</f>
        <v>0.45848403729764398</v>
      </c>
      <c r="NK216" s="19">
        <f t="shared" ref="NK216" si="1026">LN(NG216/NC216)</f>
        <v>-2.8987536873252298E-2</v>
      </c>
      <c r="NL216" s="19">
        <f t="shared" ref="NL216" si="1027">NH216^2/(NI216*NG216^2)+ND216^2/(NE216*NC216^2)</f>
        <v>0.54027328578490208</v>
      </c>
      <c r="NM216" s="12" t="s">
        <v>102</v>
      </c>
      <c r="NN216" s="12" t="s">
        <v>327</v>
      </c>
      <c r="NO216" s="12">
        <v>2.2000000000000002</v>
      </c>
      <c r="NP216" s="12">
        <f>0.2*SQRT(3)</f>
        <v>0.34641016151377546</v>
      </c>
      <c r="NQ216" s="13">
        <v>3</v>
      </c>
      <c r="NR216" s="19">
        <f>NP216/NO216</f>
        <v>0.15745916432444337</v>
      </c>
      <c r="NS216" s="12">
        <v>1</v>
      </c>
      <c r="NT216" s="12">
        <f>0.9*SQRT(3)</f>
        <v>1.5588457268119895</v>
      </c>
      <c r="NU216" s="13">
        <v>3</v>
      </c>
      <c r="NV216" s="19">
        <f>NT216/NS216</f>
        <v>1.5588457268119895</v>
      </c>
      <c r="NW216" s="19">
        <f t="shared" ref="NW216" si="1028">LN(NS216/NO216)</f>
        <v>-0.78845736036427017</v>
      </c>
      <c r="NX216" s="19">
        <f t="shared" ref="NX216" si="1029">NT216^2/(NU216*NS216^2)+NP216^2/(NQ216*NO216^2)</f>
        <v>0.81826446280991727</v>
      </c>
      <c r="OA216" s="12" t="s">
        <v>37</v>
      </c>
      <c r="OB216" s="12" t="s">
        <v>37</v>
      </c>
      <c r="OC216" s="12" t="s">
        <v>37</v>
      </c>
      <c r="OD216" s="12"/>
      <c r="OE216" s="12" t="s">
        <v>37</v>
      </c>
      <c r="OF216" s="12" t="s">
        <v>37</v>
      </c>
      <c r="OG216" s="12" t="s">
        <v>37</v>
      </c>
      <c r="OH216" s="12"/>
      <c r="OI216" s="12"/>
      <c r="OJ216" s="12"/>
      <c r="OM216" s="12" t="s">
        <v>37</v>
      </c>
      <c r="ON216" s="12" t="s">
        <v>37</v>
      </c>
      <c r="OO216" s="12" t="s">
        <v>37</v>
      </c>
      <c r="OP216" s="12" t="s">
        <v>37</v>
      </c>
      <c r="OQ216" s="12" t="s">
        <v>37</v>
      </c>
      <c r="OR216" s="12" t="s">
        <v>37</v>
      </c>
      <c r="OS216" s="12"/>
      <c r="OT216" s="12"/>
      <c r="OW216" s="12" t="s">
        <v>37</v>
      </c>
      <c r="OX216" s="12" t="s">
        <v>37</v>
      </c>
      <c r="OY216" s="13" t="s">
        <v>37</v>
      </c>
      <c r="OZ216" s="12" t="s">
        <v>37</v>
      </c>
      <c r="PA216" s="12" t="s">
        <v>37</v>
      </c>
      <c r="PB216" s="13" t="s">
        <v>37</v>
      </c>
      <c r="PG216" s="12" t="s">
        <v>37</v>
      </c>
      <c r="PH216" s="12" t="s">
        <v>37</v>
      </c>
      <c r="PI216" s="12" t="s">
        <v>37</v>
      </c>
      <c r="PJ216" s="12" t="s">
        <v>37</v>
      </c>
      <c r="PK216" s="12" t="s">
        <v>37</v>
      </c>
      <c r="PL216" s="12" t="s">
        <v>37</v>
      </c>
      <c r="PM216" s="12"/>
      <c r="PN216" s="12"/>
      <c r="PQ216" s="12" t="s">
        <v>37</v>
      </c>
      <c r="PR216" s="12" t="s">
        <v>37</v>
      </c>
      <c r="PS216" s="12" t="s">
        <v>37</v>
      </c>
      <c r="PT216" s="12" t="s">
        <v>37</v>
      </c>
      <c r="PU216" s="12" t="s">
        <v>37</v>
      </c>
      <c r="PV216" s="12" t="s">
        <v>37</v>
      </c>
      <c r="PW216" s="12"/>
      <c r="PX216" s="12"/>
      <c r="PZ216" s="12" t="s">
        <v>37</v>
      </c>
      <c r="QA216" s="12" t="s">
        <v>37</v>
      </c>
      <c r="QB216" s="12" t="s">
        <v>37</v>
      </c>
      <c r="QD216" s="12" t="s">
        <v>37</v>
      </c>
      <c r="QE216" s="12" t="s">
        <v>37</v>
      </c>
      <c r="QF216" s="12" t="s">
        <v>37</v>
      </c>
      <c r="QK216" s="12" t="s">
        <v>37</v>
      </c>
      <c r="QL216" s="12" t="s">
        <v>37</v>
      </c>
      <c r="QM216" s="12" t="s">
        <v>37</v>
      </c>
      <c r="QN216" s="12" t="s">
        <v>37</v>
      </c>
      <c r="QO216" s="12" t="s">
        <v>37</v>
      </c>
      <c r="QP216" s="12" t="s">
        <v>37</v>
      </c>
      <c r="QQ216" s="12"/>
      <c r="QR216" s="12"/>
      <c r="QU216" s="12" t="s">
        <v>37</v>
      </c>
      <c r="QV216" s="12" t="s">
        <v>37</v>
      </c>
      <c r="QW216" s="12" t="s">
        <v>37</v>
      </c>
      <c r="QX216" s="12" t="s">
        <v>37</v>
      </c>
      <c r="QY216" s="12" t="s">
        <v>37</v>
      </c>
      <c r="QZ216" s="12" t="s">
        <v>37</v>
      </c>
      <c r="RC216" s="12" t="s">
        <v>37</v>
      </c>
      <c r="RD216" s="12" t="s">
        <v>37</v>
      </c>
      <c r="RE216" s="13" t="s">
        <v>37</v>
      </c>
      <c r="RF216" s="12" t="s">
        <v>37</v>
      </c>
      <c r="RG216" s="12" t="s">
        <v>37</v>
      </c>
      <c r="RH216" s="13" t="s">
        <v>37</v>
      </c>
      <c r="RK216" s="12" t="s">
        <v>37</v>
      </c>
      <c r="RL216" s="12" t="s">
        <v>37</v>
      </c>
      <c r="RM216" s="11" t="s">
        <v>37</v>
      </c>
      <c r="RN216" s="12" t="s">
        <v>37</v>
      </c>
      <c r="RO216" s="12" t="s">
        <v>37</v>
      </c>
      <c r="RP216" s="11" t="s">
        <v>37</v>
      </c>
      <c r="RS216" s="12" t="s">
        <v>37</v>
      </c>
      <c r="RT216" s="12" t="s">
        <v>37</v>
      </c>
      <c r="RU216" s="12" t="s">
        <v>37</v>
      </c>
      <c r="RV216" s="12" t="s">
        <v>37</v>
      </c>
      <c r="RW216" s="12" t="s">
        <v>37</v>
      </c>
      <c r="RX216" s="12" t="s">
        <v>37</v>
      </c>
      <c r="SA216" s="12" t="s">
        <v>37</v>
      </c>
      <c r="SB216" s="12" t="s">
        <v>37</v>
      </c>
      <c r="SC216" s="12" t="s">
        <v>37</v>
      </c>
      <c r="SD216" s="12" t="s">
        <v>37</v>
      </c>
      <c r="SE216" s="12" t="s">
        <v>37</v>
      </c>
      <c r="SF216" s="12" t="s">
        <v>37</v>
      </c>
      <c r="SI216" s="12" t="s">
        <v>37</v>
      </c>
      <c r="SJ216" s="12" t="s">
        <v>37</v>
      </c>
      <c r="SK216" s="13" t="s">
        <v>37</v>
      </c>
      <c r="SM216" s="12" t="s">
        <v>37</v>
      </c>
      <c r="SN216" s="12" t="s">
        <v>37</v>
      </c>
      <c r="SO216" s="13" t="s">
        <v>37</v>
      </c>
      <c r="SU216" s="12" t="s">
        <v>37</v>
      </c>
      <c r="SV216" s="12" t="s">
        <v>37</v>
      </c>
      <c r="SW216" s="12" t="s">
        <v>37</v>
      </c>
      <c r="SX216" s="12" t="s">
        <v>37</v>
      </c>
      <c r="SY216" s="12" t="s">
        <v>37</v>
      </c>
      <c r="SZ216" s="12" t="s">
        <v>37</v>
      </c>
      <c r="TA216" s="12"/>
      <c r="TB216" s="12"/>
      <c r="TE216" s="12" t="s">
        <v>37</v>
      </c>
      <c r="TF216" s="12" t="s">
        <v>37</v>
      </c>
      <c r="TG216" s="11" t="s">
        <v>37</v>
      </c>
      <c r="TH216" s="12" t="s">
        <v>37</v>
      </c>
      <c r="TI216" s="12" t="s">
        <v>37</v>
      </c>
      <c r="TJ216" s="11" t="s">
        <v>37</v>
      </c>
      <c r="TO216" s="12" t="s">
        <v>37</v>
      </c>
      <c r="TP216" s="12" t="s">
        <v>37</v>
      </c>
      <c r="TQ216" s="11" t="s">
        <v>37</v>
      </c>
      <c r="TR216" s="12" t="s">
        <v>37</v>
      </c>
      <c r="TS216" s="12" t="s">
        <v>37</v>
      </c>
      <c r="TT216" s="11" t="s">
        <v>37</v>
      </c>
      <c r="TY216" s="12" t="s">
        <v>37</v>
      </c>
      <c r="TZ216" s="12" t="s">
        <v>37</v>
      </c>
      <c r="UA216" s="12" t="s">
        <v>37</v>
      </c>
      <c r="UB216" s="12" t="s">
        <v>37</v>
      </c>
      <c r="UC216" s="12" t="s">
        <v>37</v>
      </c>
      <c r="UD216" s="12" t="s">
        <v>37</v>
      </c>
      <c r="UE216" s="12"/>
      <c r="UF216" s="12"/>
      <c r="UI216" s="12" t="s">
        <v>37</v>
      </c>
      <c r="UJ216" s="12" t="s">
        <v>37</v>
      </c>
      <c r="UK216" s="12" t="s">
        <v>37</v>
      </c>
      <c r="UL216" s="12" t="s">
        <v>37</v>
      </c>
      <c r="UM216" s="12" t="s">
        <v>37</v>
      </c>
      <c r="UN216" s="12" t="s">
        <v>37</v>
      </c>
      <c r="UO216" s="12"/>
      <c r="UP216" s="12"/>
      <c r="UR216" s="12" t="s">
        <v>37</v>
      </c>
      <c r="US216" s="12" t="s">
        <v>37</v>
      </c>
      <c r="UT216" s="12" t="s">
        <v>37</v>
      </c>
      <c r="UU216" s="12" t="s">
        <v>37</v>
      </c>
      <c r="UV216" s="12" t="s">
        <v>37</v>
      </c>
      <c r="UW216" s="12" t="s">
        <v>37</v>
      </c>
      <c r="UX216" s="12"/>
      <c r="UY216" s="12"/>
      <c r="VB216" s="12" t="s">
        <v>37</v>
      </c>
      <c r="VC216" s="12" t="s">
        <v>37</v>
      </c>
      <c r="VD216" s="12" t="s">
        <v>37</v>
      </c>
      <c r="VE216" s="12" t="s">
        <v>37</v>
      </c>
      <c r="VF216" s="12" t="s">
        <v>37</v>
      </c>
      <c r="VG216" s="12" t="s">
        <v>37</v>
      </c>
      <c r="VI216" s="12" t="s">
        <v>37</v>
      </c>
      <c r="VJ216" s="12" t="s">
        <v>37</v>
      </c>
      <c r="VK216" s="12" t="s">
        <v>37</v>
      </c>
      <c r="VL216" s="12" t="s">
        <v>37</v>
      </c>
      <c r="VM216" s="12" t="s">
        <v>37</v>
      </c>
      <c r="VN216" s="12" t="s">
        <v>37</v>
      </c>
      <c r="VQ216" s="13" t="s">
        <v>37</v>
      </c>
      <c r="VR216" s="13" t="s">
        <v>37</v>
      </c>
      <c r="VS216" s="13" t="s">
        <v>37</v>
      </c>
      <c r="VT216" s="13" t="s">
        <v>37</v>
      </c>
      <c r="VU216" s="13" t="s">
        <v>37</v>
      </c>
      <c r="VV216" s="13" t="s">
        <v>37</v>
      </c>
      <c r="WA216" s="13" t="s">
        <v>37</v>
      </c>
      <c r="WB216" s="13" t="s">
        <v>37</v>
      </c>
      <c r="WC216" s="13" t="s">
        <v>37</v>
      </c>
      <c r="WD216" s="13" t="s">
        <v>37</v>
      </c>
      <c r="WE216" s="13" t="s">
        <v>37</v>
      </c>
      <c r="WF216" s="13" t="s">
        <v>37</v>
      </c>
    </row>
    <row r="217" spans="1:606" ht="18" customHeight="1" x14ac:dyDescent="0.3">
      <c r="A217" s="11">
        <v>59</v>
      </c>
      <c r="B217" s="16" t="s">
        <v>352</v>
      </c>
      <c r="C217" s="12" t="s">
        <v>31</v>
      </c>
      <c r="D217" s="12" t="s">
        <v>1039</v>
      </c>
      <c r="E217" s="40">
        <v>5.15</v>
      </c>
      <c r="F217" s="14">
        <v>0</v>
      </c>
      <c r="G217" s="14">
        <v>0</v>
      </c>
      <c r="H217" s="12" t="s">
        <v>79</v>
      </c>
      <c r="I217" s="29">
        <v>32.799999999999997</v>
      </c>
      <c r="J217" s="29">
        <v>102.55</v>
      </c>
      <c r="K217" s="12" t="s">
        <v>690</v>
      </c>
      <c r="L217" s="12" t="s">
        <v>691</v>
      </c>
      <c r="M217" s="13">
        <v>3500</v>
      </c>
      <c r="N217" s="14">
        <v>1.7</v>
      </c>
      <c r="O217" s="14">
        <v>756</v>
      </c>
      <c r="P217" s="14" t="s">
        <v>16</v>
      </c>
      <c r="Q217" s="75">
        <f>4/12</f>
        <v>0.33333333333333331</v>
      </c>
      <c r="R217" s="11" t="s">
        <v>1000</v>
      </c>
      <c r="S217" s="12" t="s">
        <v>85</v>
      </c>
      <c r="T217" s="12" t="s">
        <v>138</v>
      </c>
      <c r="U217" s="12" t="s">
        <v>158</v>
      </c>
      <c r="V217" s="12" t="s">
        <v>275</v>
      </c>
      <c r="W217" s="23" t="s">
        <v>353</v>
      </c>
      <c r="X217" s="12" t="s">
        <v>280</v>
      </c>
      <c r="Y217" s="12" t="s">
        <v>37</v>
      </c>
      <c r="Z217" s="12" t="s">
        <v>37</v>
      </c>
      <c r="AA217" s="32" t="s">
        <v>345</v>
      </c>
      <c r="AB217" s="12">
        <v>6.7</v>
      </c>
      <c r="AC217" s="12" t="s">
        <v>42</v>
      </c>
      <c r="AD217" s="32" t="s">
        <v>345</v>
      </c>
      <c r="AE217" s="12">
        <v>350</v>
      </c>
      <c r="AF217" s="12" t="s">
        <v>42</v>
      </c>
      <c r="AG217" s="32" t="s">
        <v>345</v>
      </c>
      <c r="AH217" s="12">
        <v>15</v>
      </c>
      <c r="AJ217" s="12" t="str">
        <f t="shared" si="1001"/>
        <v>0-10</v>
      </c>
      <c r="AK217" s="19">
        <f t="shared" si="1002"/>
        <v>23.333333333333332</v>
      </c>
      <c r="AL217" s="32" t="s">
        <v>354</v>
      </c>
      <c r="AM217" s="12" t="s">
        <v>344</v>
      </c>
      <c r="AO217" s="12" t="s">
        <v>37</v>
      </c>
      <c r="AP217" s="12" t="s">
        <v>238</v>
      </c>
      <c r="AQ217" s="12" t="s">
        <v>975</v>
      </c>
      <c r="AR217" s="12" t="s">
        <v>42</v>
      </c>
      <c r="AS217" s="32" t="s">
        <v>345</v>
      </c>
      <c r="AT217" s="12">
        <v>350</v>
      </c>
      <c r="AU217" s="50">
        <f>AT217*AW$474</f>
        <v>29.93450076866338</v>
      </c>
      <c r="AV217" s="13">
        <v>6</v>
      </c>
      <c r="AX217" s="12" t="s">
        <v>326</v>
      </c>
      <c r="AY217" s="12" t="s">
        <v>326</v>
      </c>
      <c r="AZ217" s="13" t="s">
        <v>326</v>
      </c>
      <c r="BE217" s="12" t="s">
        <v>326</v>
      </c>
      <c r="BF217" s="12" t="s">
        <v>326</v>
      </c>
      <c r="BG217" s="12" t="s">
        <v>326</v>
      </c>
      <c r="BI217" s="12" t="s">
        <v>326</v>
      </c>
      <c r="BJ217" s="12" t="s">
        <v>326</v>
      </c>
      <c r="BK217" s="12" t="s">
        <v>326</v>
      </c>
      <c r="BP217" s="12" t="s">
        <v>37</v>
      </c>
      <c r="BQ217" s="12" t="s">
        <v>37</v>
      </c>
      <c r="BR217" s="13" t="s">
        <v>37</v>
      </c>
      <c r="BT217" s="12" t="s">
        <v>37</v>
      </c>
      <c r="BU217" s="12" t="s">
        <v>37</v>
      </c>
      <c r="BV217" s="12" t="s">
        <v>37</v>
      </c>
      <c r="CA217" s="12" t="s">
        <v>37</v>
      </c>
      <c r="CB217" s="12" t="s">
        <v>37</v>
      </c>
      <c r="CC217" s="13" t="s">
        <v>37</v>
      </c>
      <c r="CE217" s="12" t="s">
        <v>37</v>
      </c>
      <c r="CF217" s="12" t="s">
        <v>37</v>
      </c>
      <c r="CG217" s="13" t="s">
        <v>37</v>
      </c>
      <c r="CN217" s="12" t="s">
        <v>37</v>
      </c>
      <c r="CO217" s="12" t="s">
        <v>37</v>
      </c>
      <c r="CP217" s="13" t="s">
        <v>37</v>
      </c>
      <c r="CR217" s="12" t="s">
        <v>37</v>
      </c>
      <c r="CS217" s="12" t="s">
        <v>37</v>
      </c>
      <c r="CT217" s="13" t="s">
        <v>37</v>
      </c>
      <c r="CX217" s="72"/>
      <c r="CY217" s="72"/>
      <c r="DA217" s="12" t="s">
        <v>37</v>
      </c>
      <c r="DB217" s="12" t="s">
        <v>37</v>
      </c>
      <c r="DC217" s="13" t="s">
        <v>37</v>
      </c>
      <c r="DE217" s="12" t="s">
        <v>37</v>
      </c>
      <c r="DF217" s="12" t="s">
        <v>37</v>
      </c>
      <c r="DG217" s="13" t="s">
        <v>37</v>
      </c>
      <c r="DM217" s="11" t="s">
        <v>47</v>
      </c>
      <c r="DN217" s="19">
        <v>42.739726027397303</v>
      </c>
      <c r="DO217" s="12">
        <v>33.554654010728207</v>
      </c>
      <c r="DP217" s="13">
        <v>6</v>
      </c>
      <c r="DQ217" s="19">
        <f t="shared" si="1005"/>
        <v>0.78509286627665276</v>
      </c>
      <c r="DR217" s="19">
        <v>15.6164383561644</v>
      </c>
      <c r="DS217" s="12">
        <v>21.474978566866142</v>
      </c>
      <c r="DT217" s="13">
        <v>6</v>
      </c>
      <c r="DU217" s="19">
        <f t="shared" si="1006"/>
        <v>1.3751521362993218</v>
      </c>
      <c r="DV217" s="19">
        <f t="shared" si="1007"/>
        <v>-27.123287671232902</v>
      </c>
      <c r="DW217" s="12">
        <f t="shared" si="914"/>
        <v>28.169926430743821</v>
      </c>
      <c r="DX217" s="72">
        <f t="shared" si="641"/>
        <v>264.51491837117311</v>
      </c>
      <c r="DY217" s="72">
        <f t="shared" si="642"/>
        <v>264.51491837117311</v>
      </c>
      <c r="DZ217" s="11" t="s">
        <v>47</v>
      </c>
      <c r="EA217" s="19">
        <v>1.3785046728971999</v>
      </c>
      <c r="EB217" s="19">
        <v>1.030159237619066</v>
      </c>
      <c r="EC217" s="72">
        <v>6</v>
      </c>
      <c r="ED217" s="52">
        <f t="shared" si="1008"/>
        <v>0.74730195542535438</v>
      </c>
      <c r="EE217" s="19">
        <v>3.2242990654205603</v>
      </c>
      <c r="EF217" s="19">
        <v>3.548326262910205</v>
      </c>
      <c r="EG217" s="13">
        <v>6</v>
      </c>
      <c r="EH217" s="52">
        <f t="shared" si="1009"/>
        <v>1.1004953916851941</v>
      </c>
      <c r="EI217" s="19">
        <f t="shared" si="1010"/>
        <v>1.8457943925233604</v>
      </c>
      <c r="EJ217" s="12">
        <f t="shared" si="995"/>
        <v>2.6126468688774414</v>
      </c>
      <c r="EK217" s="19">
        <f t="shared" si="996"/>
        <v>2.2753078871516994</v>
      </c>
      <c r="EL217" s="19">
        <f t="shared" si="997"/>
        <v>2.2753078871516994</v>
      </c>
      <c r="EM217" s="12" t="s">
        <v>39</v>
      </c>
      <c r="EN217" s="12">
        <v>-37.626417233560076</v>
      </c>
      <c r="EO217" s="12">
        <v>4.4214357150460231</v>
      </c>
      <c r="EP217" s="13">
        <v>6</v>
      </c>
      <c r="EQ217" s="19">
        <f t="shared" ref="EQ217:EQ275" si="1030">EO217/ABS(EN217)</f>
        <v>0.11750881535174224</v>
      </c>
      <c r="ER217" s="12">
        <v>-45.222713794142358</v>
      </c>
      <c r="ES217" s="12">
        <v>4.4131903136073891</v>
      </c>
      <c r="ET217" s="13">
        <v>6</v>
      </c>
      <c r="EU217" s="19">
        <f t="shared" ref="EU217:EU275" si="1031">ES217/ABS(ER217)</f>
        <v>9.7587914199413303E-2</v>
      </c>
      <c r="EV217" s="19">
        <f t="shared" ref="EV217:EV218" si="1032">ER217-EN217</f>
        <v>-7.5962965605822816</v>
      </c>
      <c r="EW217" s="12">
        <f t="shared" si="1012"/>
        <v>4.4173149381950694</v>
      </c>
      <c r="EX217" s="19">
        <f t="shared" si="1013"/>
        <v>6.5042237544004369</v>
      </c>
      <c r="EY217" s="19">
        <f t="shared" si="1014"/>
        <v>6.5042237544004369</v>
      </c>
      <c r="FB217" s="12" t="s">
        <v>37</v>
      </c>
      <c r="FC217" s="12" t="s">
        <v>37</v>
      </c>
      <c r="FD217" s="11" t="s">
        <v>37</v>
      </c>
      <c r="FE217" s="12" t="s">
        <v>37</v>
      </c>
      <c r="FF217" s="20" t="s">
        <v>37</v>
      </c>
      <c r="FG217" s="11" t="s">
        <v>37</v>
      </c>
      <c r="FI217" s="12" t="s">
        <v>37</v>
      </c>
      <c r="FJ217" s="12" t="s">
        <v>37</v>
      </c>
      <c r="FK217" s="11" t="s">
        <v>37</v>
      </c>
      <c r="FL217" s="13" t="s">
        <v>37</v>
      </c>
      <c r="FM217" s="11" t="s">
        <v>37</v>
      </c>
      <c r="FN217" s="11" t="s">
        <v>37</v>
      </c>
      <c r="FP217" s="12" t="s">
        <v>37</v>
      </c>
      <c r="FQ217" s="12" t="s">
        <v>37</v>
      </c>
      <c r="FR217" s="11" t="s">
        <v>37</v>
      </c>
      <c r="FS217" s="13" t="s">
        <v>37</v>
      </c>
      <c r="FT217" s="11" t="s">
        <v>37</v>
      </c>
      <c r="FU217" s="11" t="s">
        <v>37</v>
      </c>
      <c r="FW217" s="12" t="s">
        <v>37</v>
      </c>
      <c r="FX217" s="12" t="s">
        <v>37</v>
      </c>
      <c r="FY217" s="11" t="s">
        <v>37</v>
      </c>
      <c r="FZ217" s="13" t="s">
        <v>37</v>
      </c>
      <c r="GA217" s="11" t="s">
        <v>37</v>
      </c>
      <c r="GB217" s="11" t="s">
        <v>37</v>
      </c>
      <c r="GC217" s="12" t="s">
        <v>101</v>
      </c>
      <c r="GD217" s="12" t="s">
        <v>345</v>
      </c>
      <c r="GE217" s="12">
        <v>50.641407069655365</v>
      </c>
      <c r="GF217" s="12">
        <v>2.7666558756679702</v>
      </c>
      <c r="GG217" s="13">
        <v>6</v>
      </c>
      <c r="GH217" s="19">
        <f>GF217/GE217</f>
        <v>5.4632286813487196E-2</v>
      </c>
      <c r="GI217" s="12">
        <v>46.314157262134152</v>
      </c>
      <c r="GJ217" s="12">
        <v>2.7869278386820353</v>
      </c>
      <c r="GK217" s="13">
        <v>6</v>
      </c>
      <c r="GL217" s="19">
        <f>GJ217/GI217</f>
        <v>6.0174426210721339E-2</v>
      </c>
      <c r="GM217" s="19">
        <f t="shared" si="999"/>
        <v>-8.9321876431953745E-2</v>
      </c>
      <c r="GN217" s="19">
        <f t="shared" si="1000"/>
        <v>1.1009413887101125E-3</v>
      </c>
      <c r="IK217" s="12" t="s">
        <v>37</v>
      </c>
      <c r="IL217" s="12" t="s">
        <v>37</v>
      </c>
      <c r="IM217" s="12" t="s">
        <v>37</v>
      </c>
      <c r="IO217" s="12" t="s">
        <v>37</v>
      </c>
      <c r="IP217" s="12" t="s">
        <v>37</v>
      </c>
      <c r="IQ217" s="12" t="s">
        <v>37</v>
      </c>
      <c r="IV217" s="32" t="s">
        <v>345</v>
      </c>
      <c r="IW217" s="12">
        <v>6.7</v>
      </c>
      <c r="IX217" s="50">
        <f>ABS(IW217)*IZ$474</f>
        <v>0.24530537560775503</v>
      </c>
      <c r="IY217" s="13">
        <v>6</v>
      </c>
      <c r="JH217" s="12" t="s">
        <v>37</v>
      </c>
      <c r="JI217" s="12" t="s">
        <v>37</v>
      </c>
      <c r="JJ217" s="13" t="s">
        <v>37</v>
      </c>
      <c r="JL217" s="12" t="s">
        <v>37</v>
      </c>
      <c r="JM217" s="12" t="s">
        <v>37</v>
      </c>
      <c r="JN217" s="12" t="s">
        <v>37</v>
      </c>
      <c r="JS217" s="12" t="s">
        <v>37</v>
      </c>
      <c r="JT217" s="12" t="s">
        <v>37</v>
      </c>
      <c r="JU217" s="13" t="s">
        <v>37</v>
      </c>
      <c r="JW217" s="12" t="s">
        <v>37</v>
      </c>
      <c r="JX217" s="12" t="s">
        <v>37</v>
      </c>
      <c r="JY217" s="12" t="s">
        <v>37</v>
      </c>
      <c r="KE217" s="12" t="s">
        <v>37</v>
      </c>
      <c r="KF217" s="12" t="s">
        <v>37</v>
      </c>
      <c r="KG217" s="13" t="s">
        <v>37</v>
      </c>
      <c r="KH217" s="12" t="s">
        <v>37</v>
      </c>
      <c r="KI217" s="12" t="s">
        <v>37</v>
      </c>
      <c r="KJ217" s="12" t="s">
        <v>37</v>
      </c>
      <c r="KK217" s="12" t="s">
        <v>42</v>
      </c>
      <c r="KL217" s="32" t="s">
        <v>345</v>
      </c>
      <c r="KM217" s="12">
        <v>15</v>
      </c>
      <c r="KN217" s="50">
        <f>ABS(KM217)*KP$474</f>
        <v>1.7893956207728923</v>
      </c>
      <c r="KO217" s="11">
        <v>6</v>
      </c>
      <c r="KS217" s="12"/>
      <c r="KX217" s="12" t="s">
        <v>37</v>
      </c>
      <c r="KY217" s="12" t="s">
        <v>37</v>
      </c>
      <c r="KZ217" s="12" t="s">
        <v>37</v>
      </c>
      <c r="LB217" s="12" t="s">
        <v>37</v>
      </c>
      <c r="LC217" s="12" t="s">
        <v>37</v>
      </c>
      <c r="LD217" s="12" t="s">
        <v>37</v>
      </c>
      <c r="LI217" s="12" t="s">
        <v>37</v>
      </c>
      <c r="LJ217" s="12" t="s">
        <v>37</v>
      </c>
      <c r="LK217" s="12" t="s">
        <v>37</v>
      </c>
      <c r="LM217" s="12" t="s">
        <v>37</v>
      </c>
      <c r="LN217" s="12" t="s">
        <v>37</v>
      </c>
      <c r="LO217" s="12" t="s">
        <v>37</v>
      </c>
      <c r="LT217" s="12" t="str">
        <f t="shared" si="1019"/>
        <v>0-10</v>
      </c>
      <c r="LU217" s="12">
        <f t="shared" si="1020"/>
        <v>23.333333333333332</v>
      </c>
      <c r="LV217" s="12">
        <f t="shared" si="1021"/>
        <v>3.4249742755356465</v>
      </c>
      <c r="LW217" s="13">
        <f t="shared" si="1022"/>
        <v>6</v>
      </c>
      <c r="MF217" s="12" t="s">
        <v>37</v>
      </c>
      <c r="MG217" s="12" t="s">
        <v>37</v>
      </c>
      <c r="MH217" s="12" t="s">
        <v>37</v>
      </c>
      <c r="MJ217" s="12" t="s">
        <v>37</v>
      </c>
      <c r="MK217" s="12" t="s">
        <v>37</v>
      </c>
      <c r="ML217" s="12" t="s">
        <v>37</v>
      </c>
      <c r="MQ217" s="12" t="s">
        <v>37</v>
      </c>
      <c r="MR217" s="12" t="s">
        <v>37</v>
      </c>
      <c r="MS217" s="12" t="s">
        <v>37</v>
      </c>
      <c r="MU217" s="12" t="s">
        <v>37</v>
      </c>
      <c r="MV217" s="12" t="s">
        <v>37</v>
      </c>
      <c r="MW217" s="12" t="s">
        <v>37</v>
      </c>
      <c r="NC217" s="12" t="s">
        <v>37</v>
      </c>
      <c r="ND217" s="12" t="s">
        <v>37</v>
      </c>
      <c r="NE217" s="12" t="s">
        <v>37</v>
      </c>
      <c r="NG217" s="12" t="s">
        <v>37</v>
      </c>
      <c r="NH217" s="12" t="s">
        <v>37</v>
      </c>
      <c r="NI217" s="12" t="s">
        <v>37</v>
      </c>
      <c r="NO217" s="12" t="s">
        <v>37</v>
      </c>
      <c r="NP217" s="12" t="s">
        <v>37</v>
      </c>
      <c r="NQ217" s="12" t="s">
        <v>37</v>
      </c>
      <c r="NS217" s="12" t="s">
        <v>37</v>
      </c>
      <c r="NT217" s="12" t="s">
        <v>37</v>
      </c>
      <c r="NU217" s="12" t="s">
        <v>37</v>
      </c>
      <c r="OA217" s="12" t="s">
        <v>37</v>
      </c>
      <c r="OB217" s="12" t="s">
        <v>37</v>
      </c>
      <c r="OC217" s="12" t="s">
        <v>37</v>
      </c>
      <c r="OD217" s="12"/>
      <c r="OE217" s="12" t="s">
        <v>37</v>
      </c>
      <c r="OF217" s="12" t="s">
        <v>37</v>
      </c>
      <c r="OG217" s="12" t="s">
        <v>37</v>
      </c>
      <c r="OH217" s="12"/>
      <c r="OI217" s="12"/>
      <c r="OJ217" s="12"/>
      <c r="OM217" s="12" t="s">
        <v>37</v>
      </c>
      <c r="ON217" s="12" t="s">
        <v>37</v>
      </c>
      <c r="OO217" s="12" t="s">
        <v>37</v>
      </c>
      <c r="OP217" s="12" t="s">
        <v>37</v>
      </c>
      <c r="OQ217" s="12" t="s">
        <v>37</v>
      </c>
      <c r="OR217" s="12" t="s">
        <v>37</v>
      </c>
      <c r="OS217" s="12"/>
      <c r="OT217" s="12"/>
      <c r="OW217" s="12" t="s">
        <v>37</v>
      </c>
      <c r="OX217" s="12" t="s">
        <v>37</v>
      </c>
      <c r="OY217" s="13" t="s">
        <v>37</v>
      </c>
      <c r="OZ217" s="12" t="s">
        <v>37</v>
      </c>
      <c r="PA217" s="12" t="s">
        <v>37</v>
      </c>
      <c r="PB217" s="13" t="s">
        <v>37</v>
      </c>
      <c r="PG217" s="12" t="s">
        <v>37</v>
      </c>
      <c r="PH217" s="12" t="s">
        <v>37</v>
      </c>
      <c r="PI217" s="12" t="s">
        <v>37</v>
      </c>
      <c r="PJ217" s="12" t="s">
        <v>37</v>
      </c>
      <c r="PK217" s="12" t="s">
        <v>37</v>
      </c>
      <c r="PL217" s="12" t="s">
        <v>37</v>
      </c>
      <c r="PM217" s="12"/>
      <c r="PN217" s="12"/>
      <c r="PQ217" s="12" t="s">
        <v>37</v>
      </c>
      <c r="PR217" s="12" t="s">
        <v>37</v>
      </c>
      <c r="PS217" s="12" t="s">
        <v>37</v>
      </c>
      <c r="PT217" s="12" t="s">
        <v>37</v>
      </c>
      <c r="PU217" s="12" t="s">
        <v>37</v>
      </c>
      <c r="PV217" s="12" t="s">
        <v>37</v>
      </c>
      <c r="PW217" s="12"/>
      <c r="PX217" s="12"/>
      <c r="PZ217" s="12" t="s">
        <v>37</v>
      </c>
      <c r="QA217" s="12" t="s">
        <v>37</v>
      </c>
      <c r="QB217" s="12" t="s">
        <v>37</v>
      </c>
      <c r="QD217" s="12" t="s">
        <v>37</v>
      </c>
      <c r="QE217" s="12" t="s">
        <v>37</v>
      </c>
      <c r="QF217" s="12" t="s">
        <v>37</v>
      </c>
      <c r="QK217" s="12" t="s">
        <v>37</v>
      </c>
      <c r="QL217" s="12" t="s">
        <v>37</v>
      </c>
      <c r="QM217" s="12" t="s">
        <v>37</v>
      </c>
      <c r="QN217" s="12" t="s">
        <v>37</v>
      </c>
      <c r="QO217" s="12" t="s">
        <v>37</v>
      </c>
      <c r="QP217" s="12" t="s">
        <v>37</v>
      </c>
      <c r="QQ217" s="12"/>
      <c r="QR217" s="12"/>
      <c r="QU217" s="12" t="s">
        <v>37</v>
      </c>
      <c r="QV217" s="12" t="s">
        <v>37</v>
      </c>
      <c r="QW217" s="12" t="s">
        <v>37</v>
      </c>
      <c r="QX217" s="12" t="s">
        <v>37</v>
      </c>
      <c r="QY217" s="12" t="s">
        <v>37</v>
      </c>
      <c r="QZ217" s="12" t="s">
        <v>37</v>
      </c>
      <c r="RC217" s="12" t="s">
        <v>37</v>
      </c>
      <c r="RD217" s="12" t="s">
        <v>37</v>
      </c>
      <c r="RE217" s="13" t="s">
        <v>37</v>
      </c>
      <c r="RF217" s="12" t="s">
        <v>37</v>
      </c>
      <c r="RG217" s="12" t="s">
        <v>37</v>
      </c>
      <c r="RH217" s="13" t="s">
        <v>37</v>
      </c>
      <c r="RK217" s="12" t="s">
        <v>37</v>
      </c>
      <c r="RL217" s="12" t="s">
        <v>37</v>
      </c>
      <c r="RM217" s="11" t="s">
        <v>37</v>
      </c>
      <c r="RN217" s="12" t="s">
        <v>37</v>
      </c>
      <c r="RO217" s="12" t="s">
        <v>37</v>
      </c>
      <c r="RP217" s="11" t="s">
        <v>37</v>
      </c>
      <c r="RS217" s="12" t="s">
        <v>37</v>
      </c>
      <c r="RT217" s="12" t="s">
        <v>37</v>
      </c>
      <c r="RU217" s="12" t="s">
        <v>37</v>
      </c>
      <c r="RV217" s="12" t="s">
        <v>37</v>
      </c>
      <c r="RW217" s="12" t="s">
        <v>37</v>
      </c>
      <c r="RX217" s="12" t="s">
        <v>37</v>
      </c>
      <c r="SA217" s="12" t="s">
        <v>37</v>
      </c>
      <c r="SB217" s="12" t="s">
        <v>37</v>
      </c>
      <c r="SC217" s="12" t="s">
        <v>37</v>
      </c>
      <c r="SD217" s="12" t="s">
        <v>37</v>
      </c>
      <c r="SE217" s="12" t="s">
        <v>37</v>
      </c>
      <c r="SF217" s="12" t="s">
        <v>37</v>
      </c>
      <c r="SI217" s="12" t="s">
        <v>37</v>
      </c>
      <c r="SJ217" s="12" t="s">
        <v>37</v>
      </c>
      <c r="SK217" s="13" t="s">
        <v>37</v>
      </c>
      <c r="SM217" s="12" t="s">
        <v>37</v>
      </c>
      <c r="SN217" s="12" t="s">
        <v>37</v>
      </c>
      <c r="SO217" s="13" t="s">
        <v>37</v>
      </c>
      <c r="SU217" s="12" t="s">
        <v>37</v>
      </c>
      <c r="SV217" s="12" t="s">
        <v>37</v>
      </c>
      <c r="SW217" s="12" t="s">
        <v>37</v>
      </c>
      <c r="SX217" s="12" t="s">
        <v>37</v>
      </c>
      <c r="SY217" s="12" t="s">
        <v>37</v>
      </c>
      <c r="SZ217" s="12" t="s">
        <v>37</v>
      </c>
      <c r="TA217" s="12"/>
      <c r="TB217" s="12"/>
      <c r="TE217" s="12" t="s">
        <v>37</v>
      </c>
      <c r="TF217" s="12" t="s">
        <v>37</v>
      </c>
      <c r="TG217" s="12" t="s">
        <v>37</v>
      </c>
      <c r="TH217" s="12" t="s">
        <v>37</v>
      </c>
      <c r="TI217" s="12" t="s">
        <v>37</v>
      </c>
      <c r="TJ217" s="12" t="s">
        <v>37</v>
      </c>
      <c r="TK217" s="12"/>
      <c r="TL217" s="12"/>
      <c r="TO217" s="12" t="s">
        <v>37</v>
      </c>
      <c r="TP217" s="12" t="s">
        <v>37</v>
      </c>
      <c r="TQ217" s="12" t="s">
        <v>37</v>
      </c>
      <c r="TR217" s="12" t="s">
        <v>37</v>
      </c>
      <c r="TS217" s="12" t="s">
        <v>37</v>
      </c>
      <c r="TT217" s="12" t="s">
        <v>37</v>
      </c>
      <c r="TU217" s="12"/>
      <c r="TV217" s="12"/>
      <c r="TY217" s="12" t="s">
        <v>37</v>
      </c>
      <c r="TZ217" s="12" t="s">
        <v>37</v>
      </c>
      <c r="UA217" s="12" t="s">
        <v>37</v>
      </c>
      <c r="UB217" s="12" t="s">
        <v>37</v>
      </c>
      <c r="UC217" s="12" t="s">
        <v>37</v>
      </c>
      <c r="UD217" s="12" t="s">
        <v>37</v>
      </c>
      <c r="UE217" s="12"/>
      <c r="UF217" s="12"/>
      <c r="UI217" s="12" t="s">
        <v>37</v>
      </c>
      <c r="UJ217" s="12" t="s">
        <v>37</v>
      </c>
      <c r="UK217" s="12" t="s">
        <v>37</v>
      </c>
      <c r="UL217" s="12" t="s">
        <v>37</v>
      </c>
      <c r="UM217" s="12" t="s">
        <v>37</v>
      </c>
      <c r="UN217" s="12" t="s">
        <v>37</v>
      </c>
      <c r="UO217" s="12"/>
      <c r="UP217" s="12"/>
      <c r="UR217" s="12" t="s">
        <v>37</v>
      </c>
      <c r="US217" s="12" t="s">
        <v>37</v>
      </c>
      <c r="UT217" s="12" t="s">
        <v>37</v>
      </c>
      <c r="UU217" s="12" t="s">
        <v>37</v>
      </c>
      <c r="UV217" s="12" t="s">
        <v>37</v>
      </c>
      <c r="UW217" s="12" t="s">
        <v>37</v>
      </c>
      <c r="UX217" s="12"/>
      <c r="UY217" s="12"/>
      <c r="VB217" s="12" t="s">
        <v>37</v>
      </c>
      <c r="VC217" s="12" t="s">
        <v>37</v>
      </c>
      <c r="VD217" s="12" t="s">
        <v>37</v>
      </c>
      <c r="VE217" s="12" t="s">
        <v>37</v>
      </c>
      <c r="VF217" s="12" t="s">
        <v>37</v>
      </c>
      <c r="VG217" s="12" t="s">
        <v>37</v>
      </c>
      <c r="VI217" s="12" t="s">
        <v>37</v>
      </c>
      <c r="VJ217" s="12" t="s">
        <v>37</v>
      </c>
      <c r="VK217" s="12" t="s">
        <v>37</v>
      </c>
      <c r="VL217" s="12" t="s">
        <v>37</v>
      </c>
      <c r="VM217" s="12" t="s">
        <v>37</v>
      </c>
      <c r="VN217" s="12" t="s">
        <v>37</v>
      </c>
      <c r="VQ217" s="12" t="s">
        <v>37</v>
      </c>
      <c r="VR217" s="12" t="s">
        <v>37</v>
      </c>
      <c r="VS217" s="12" t="s">
        <v>37</v>
      </c>
      <c r="VT217" s="12" t="s">
        <v>37</v>
      </c>
      <c r="VU217" s="12" t="s">
        <v>37</v>
      </c>
      <c r="VV217" s="12" t="s">
        <v>37</v>
      </c>
      <c r="VW217" s="12"/>
      <c r="VX217" s="12"/>
      <c r="VY217" s="12" t="s">
        <v>558</v>
      </c>
      <c r="VZ217" s="12" t="s">
        <v>372</v>
      </c>
      <c r="WA217" s="12">
        <v>1.10377358490566</v>
      </c>
      <c r="WB217" s="12">
        <v>0.13865036279903417</v>
      </c>
      <c r="WC217" s="13">
        <v>6</v>
      </c>
      <c r="WD217" s="12">
        <v>1.29905660377358</v>
      </c>
      <c r="WE217" s="12">
        <v>0.2773007255981173</v>
      </c>
      <c r="WF217" s="13">
        <v>6</v>
      </c>
      <c r="WG217" s="19">
        <f t="shared" ref="WG217:WG218" si="1033">LN(WD217/WA217)</f>
        <v>0.16290347093684968</v>
      </c>
      <c r="WH217" s="19">
        <f t="shared" ref="WH217:WH218" si="1034">WE217^2/(WF217*WD217^2)+WB217^2/(WC217*WA217^2)</f>
        <v>1.0224268783600735E-2</v>
      </c>
    </row>
    <row r="218" spans="1:606" ht="18" customHeight="1" x14ac:dyDescent="0.3">
      <c r="A218" s="11">
        <v>59</v>
      </c>
      <c r="B218" s="16" t="s">
        <v>352</v>
      </c>
      <c r="C218" s="12" t="s">
        <v>32</v>
      </c>
      <c r="D218" s="12" t="s">
        <v>1039</v>
      </c>
      <c r="E218" s="40">
        <v>5.15</v>
      </c>
      <c r="F218" s="14">
        <v>0</v>
      </c>
      <c r="G218" s="14">
        <v>0</v>
      </c>
      <c r="H218" s="12" t="s">
        <v>79</v>
      </c>
      <c r="I218" s="29">
        <v>32.799999999999997</v>
      </c>
      <c r="J218" s="29">
        <v>102.55</v>
      </c>
      <c r="K218" s="12" t="s">
        <v>690</v>
      </c>
      <c r="L218" s="12" t="s">
        <v>691</v>
      </c>
      <c r="M218" s="13">
        <v>3500</v>
      </c>
      <c r="N218" s="14">
        <v>1.7</v>
      </c>
      <c r="O218" s="14">
        <v>756</v>
      </c>
      <c r="P218" s="14" t="s">
        <v>16</v>
      </c>
      <c r="Q218" s="75">
        <f>4/12</f>
        <v>0.33333333333333331</v>
      </c>
      <c r="R218" s="11" t="s">
        <v>1000</v>
      </c>
      <c r="S218" s="12" t="s">
        <v>85</v>
      </c>
      <c r="T218" s="12" t="s">
        <v>138</v>
      </c>
      <c r="U218" s="12" t="s">
        <v>158</v>
      </c>
      <c r="V218" s="12" t="s">
        <v>275</v>
      </c>
      <c r="W218" s="23" t="s">
        <v>353</v>
      </c>
      <c r="X218" s="12" t="s">
        <v>280</v>
      </c>
      <c r="Y218" s="12" t="s">
        <v>37</v>
      </c>
      <c r="Z218" s="12" t="s">
        <v>37</v>
      </c>
      <c r="AA218" s="32" t="s">
        <v>345</v>
      </c>
      <c r="AB218" s="12">
        <v>6.7</v>
      </c>
      <c r="AC218" s="12" t="s">
        <v>42</v>
      </c>
      <c r="AD218" s="32" t="s">
        <v>345</v>
      </c>
      <c r="AE218" s="12">
        <v>350</v>
      </c>
      <c r="AF218" s="12" t="s">
        <v>42</v>
      </c>
      <c r="AG218" s="32" t="s">
        <v>345</v>
      </c>
      <c r="AH218" s="12">
        <v>15</v>
      </c>
      <c r="AJ218" s="12" t="str">
        <f t="shared" si="1001"/>
        <v>0-10</v>
      </c>
      <c r="AK218" s="19">
        <f t="shared" si="1002"/>
        <v>23.333333333333332</v>
      </c>
      <c r="AL218" s="32" t="s">
        <v>354</v>
      </c>
      <c r="AM218" s="12" t="s">
        <v>344</v>
      </c>
      <c r="AO218" s="12" t="s">
        <v>37</v>
      </c>
      <c r="AP218" s="12" t="s">
        <v>238</v>
      </c>
      <c r="AQ218" s="12" t="s">
        <v>975</v>
      </c>
      <c r="AR218" s="12" t="s">
        <v>42</v>
      </c>
      <c r="AS218" s="32" t="s">
        <v>345</v>
      </c>
      <c r="AT218" s="12">
        <v>350</v>
      </c>
      <c r="AU218" s="50">
        <f>AT218*AW$474</f>
        <v>29.93450076866338</v>
      </c>
      <c r="AV218" s="13">
        <v>6</v>
      </c>
      <c r="AX218" s="12" t="s">
        <v>326</v>
      </c>
      <c r="AY218" s="12" t="s">
        <v>326</v>
      </c>
      <c r="AZ218" s="13" t="s">
        <v>326</v>
      </c>
      <c r="BE218" s="12" t="s">
        <v>326</v>
      </c>
      <c r="BF218" s="12" t="s">
        <v>326</v>
      </c>
      <c r="BG218" s="12" t="s">
        <v>326</v>
      </c>
      <c r="BI218" s="12" t="s">
        <v>326</v>
      </c>
      <c r="BJ218" s="12" t="s">
        <v>326</v>
      </c>
      <c r="BK218" s="12" t="s">
        <v>326</v>
      </c>
      <c r="BP218" s="12" t="s">
        <v>37</v>
      </c>
      <c r="BQ218" s="12" t="s">
        <v>37</v>
      </c>
      <c r="BR218" s="13" t="s">
        <v>37</v>
      </c>
      <c r="BT218" s="12" t="s">
        <v>37</v>
      </c>
      <c r="BU218" s="12" t="s">
        <v>37</v>
      </c>
      <c r="BV218" s="12" t="s">
        <v>37</v>
      </c>
      <c r="CA218" s="12" t="s">
        <v>37</v>
      </c>
      <c r="CB218" s="12" t="s">
        <v>37</v>
      </c>
      <c r="CC218" s="13" t="s">
        <v>37</v>
      </c>
      <c r="CE218" s="12" t="s">
        <v>37</v>
      </c>
      <c r="CF218" s="12" t="s">
        <v>37</v>
      </c>
      <c r="CG218" s="13" t="s">
        <v>37</v>
      </c>
      <c r="CN218" s="12" t="s">
        <v>37</v>
      </c>
      <c r="CO218" s="12" t="s">
        <v>37</v>
      </c>
      <c r="CP218" s="13" t="s">
        <v>37</v>
      </c>
      <c r="CR218" s="12" t="s">
        <v>37</v>
      </c>
      <c r="CS218" s="12" t="s">
        <v>37</v>
      </c>
      <c r="CT218" s="13" t="s">
        <v>37</v>
      </c>
      <c r="CX218" s="72"/>
      <c r="CY218" s="72"/>
      <c r="DA218" s="12" t="s">
        <v>37</v>
      </c>
      <c r="DB218" s="12" t="s">
        <v>37</v>
      </c>
      <c r="DC218" s="13" t="s">
        <v>37</v>
      </c>
      <c r="DE218" s="12" t="s">
        <v>37</v>
      </c>
      <c r="DF218" s="12" t="s">
        <v>37</v>
      </c>
      <c r="DG218" s="13" t="s">
        <v>37</v>
      </c>
      <c r="DM218" s="11" t="s">
        <v>47</v>
      </c>
      <c r="DN218" s="19">
        <v>42.739726027397296</v>
      </c>
      <c r="DO218" s="12">
        <v>33.554654010728207</v>
      </c>
      <c r="DP218" s="13">
        <v>6</v>
      </c>
      <c r="DQ218" s="19">
        <f t="shared" si="1005"/>
        <v>0.78509286627665287</v>
      </c>
      <c r="DR218" s="19">
        <v>16.164383561643799</v>
      </c>
      <c r="DS218" s="12">
        <v>14.764047764720594</v>
      </c>
      <c r="DT218" s="13">
        <v>6</v>
      </c>
      <c r="DU218" s="19">
        <f t="shared" si="1006"/>
        <v>0.91336905663102186</v>
      </c>
      <c r="DV218" s="19">
        <f t="shared" si="1007"/>
        <v>-26.575342465753497</v>
      </c>
      <c r="DW218" s="12">
        <f t="shared" si="914"/>
        <v>25.921920378114638</v>
      </c>
      <c r="DX218" s="72">
        <f t="shared" si="641"/>
        <v>223.98198536310491</v>
      </c>
      <c r="DY218" s="72">
        <f t="shared" si="642"/>
        <v>223.98198536310494</v>
      </c>
      <c r="DZ218" s="11" t="s">
        <v>47</v>
      </c>
      <c r="EA218" s="19">
        <v>1.3785046728971999</v>
      </c>
      <c r="EB218" s="19">
        <v>1.030159237619066</v>
      </c>
      <c r="EC218" s="72">
        <v>6</v>
      </c>
      <c r="ED218" s="52">
        <f t="shared" si="1008"/>
        <v>0.74730195542535438</v>
      </c>
      <c r="EE218" s="19">
        <v>2.8037383177570097</v>
      </c>
      <c r="EF218" s="19">
        <v>2.5181670252910933</v>
      </c>
      <c r="EG218" s="13">
        <v>6</v>
      </c>
      <c r="EH218" s="52">
        <f t="shared" si="1009"/>
        <v>0.89814623902048984</v>
      </c>
      <c r="EI218" s="19">
        <f t="shared" si="1010"/>
        <v>1.4252336448598097</v>
      </c>
      <c r="EJ218" s="12">
        <f t="shared" si="995"/>
        <v>1.9238494252559488</v>
      </c>
      <c r="EK218" s="19">
        <f t="shared" si="996"/>
        <v>1.2337322036858815</v>
      </c>
      <c r="EL218" s="19">
        <f t="shared" si="997"/>
        <v>1.2337322036858815</v>
      </c>
      <c r="EM218" s="12" t="s">
        <v>39</v>
      </c>
      <c r="EN218" s="12">
        <v>-37.626417233560076</v>
      </c>
      <c r="EO218" s="12">
        <v>4.4214357150460231</v>
      </c>
      <c r="EP218" s="13">
        <v>6</v>
      </c>
      <c r="EQ218" s="19">
        <f t="shared" si="1030"/>
        <v>0.11750881535174224</v>
      </c>
      <c r="ER218" s="12">
        <v>-55.775689347117904</v>
      </c>
      <c r="ES218" s="12">
        <v>3.8401258483742482</v>
      </c>
      <c r="ET218" s="13">
        <v>6</v>
      </c>
      <c r="EU218" s="19">
        <f t="shared" si="1031"/>
        <v>6.8849455619909405E-2</v>
      </c>
      <c r="EV218" s="19">
        <f t="shared" si="1032"/>
        <v>-18.149272113557828</v>
      </c>
      <c r="EW218" s="12">
        <f t="shared" si="1012"/>
        <v>4.1409938609974164</v>
      </c>
      <c r="EX218" s="19">
        <f t="shared" si="1013"/>
        <v>5.7159433856060957</v>
      </c>
      <c r="EY218" s="19">
        <f t="shared" si="1014"/>
        <v>5.7159433856060957</v>
      </c>
      <c r="FB218" s="12" t="s">
        <v>37</v>
      </c>
      <c r="FC218" s="12" t="s">
        <v>37</v>
      </c>
      <c r="FD218" s="11" t="s">
        <v>37</v>
      </c>
      <c r="FE218" s="12" t="s">
        <v>37</v>
      </c>
      <c r="FF218" s="20" t="s">
        <v>37</v>
      </c>
      <c r="FG218" s="11" t="s">
        <v>37</v>
      </c>
      <c r="FI218" s="12" t="s">
        <v>37</v>
      </c>
      <c r="FJ218" s="12" t="s">
        <v>37</v>
      </c>
      <c r="FK218" s="11" t="s">
        <v>37</v>
      </c>
      <c r="FL218" s="13" t="s">
        <v>37</v>
      </c>
      <c r="FM218" s="11" t="s">
        <v>37</v>
      </c>
      <c r="FN218" s="11" t="s">
        <v>37</v>
      </c>
      <c r="FP218" s="12" t="s">
        <v>37</v>
      </c>
      <c r="FQ218" s="12" t="s">
        <v>37</v>
      </c>
      <c r="FR218" s="11" t="s">
        <v>37</v>
      </c>
      <c r="FS218" s="13" t="s">
        <v>37</v>
      </c>
      <c r="FT218" s="11" t="s">
        <v>37</v>
      </c>
      <c r="FU218" s="11" t="s">
        <v>37</v>
      </c>
      <c r="FW218" s="12" t="s">
        <v>37</v>
      </c>
      <c r="FX218" s="12" t="s">
        <v>37</v>
      </c>
      <c r="FY218" s="11" t="s">
        <v>37</v>
      </c>
      <c r="FZ218" s="13" t="s">
        <v>37</v>
      </c>
      <c r="GA218" s="11" t="s">
        <v>37</v>
      </c>
      <c r="GB218" s="11" t="s">
        <v>37</v>
      </c>
      <c r="GC218" s="12" t="s">
        <v>101</v>
      </c>
      <c r="GD218" s="12" t="s">
        <v>345</v>
      </c>
      <c r="GE218" s="12">
        <v>50.641407069655365</v>
      </c>
      <c r="GF218" s="12">
        <v>2.7666558756679702</v>
      </c>
      <c r="GG218" s="13">
        <v>6</v>
      </c>
      <c r="GH218" s="19">
        <f>GF218/GE218</f>
        <v>5.4632286813487196E-2</v>
      </c>
      <c r="GI218" s="12">
        <v>43.42205706945591</v>
      </c>
      <c r="GJ218" s="12">
        <v>2.4832525811975641</v>
      </c>
      <c r="GK218" s="13">
        <v>6</v>
      </c>
      <c r="GL218" s="19">
        <f>GJ218/GI218</f>
        <v>5.7188736526817885E-2</v>
      </c>
      <c r="GM218" s="19">
        <f t="shared" si="999"/>
        <v>-0.15380202377622509</v>
      </c>
      <c r="GN218" s="19">
        <f t="shared" si="1000"/>
        <v>1.0425397246674869E-3</v>
      </c>
      <c r="IK218" s="12" t="s">
        <v>37</v>
      </c>
      <c r="IL218" s="12" t="s">
        <v>37</v>
      </c>
      <c r="IM218" s="12" t="s">
        <v>37</v>
      </c>
      <c r="IO218" s="12" t="s">
        <v>37</v>
      </c>
      <c r="IP218" s="12" t="s">
        <v>37</v>
      </c>
      <c r="IQ218" s="12" t="s">
        <v>37</v>
      </c>
      <c r="IV218" s="32" t="s">
        <v>345</v>
      </c>
      <c r="IW218" s="12">
        <v>6.7</v>
      </c>
      <c r="IX218" s="50">
        <f>ABS(IW218)*IZ$474</f>
        <v>0.24530537560775503</v>
      </c>
      <c r="IY218" s="13">
        <v>6</v>
      </c>
      <c r="JH218" s="12" t="s">
        <v>37</v>
      </c>
      <c r="JI218" s="12" t="s">
        <v>37</v>
      </c>
      <c r="JJ218" s="13" t="s">
        <v>37</v>
      </c>
      <c r="JL218" s="12" t="s">
        <v>37</v>
      </c>
      <c r="JM218" s="12" t="s">
        <v>37</v>
      </c>
      <c r="JN218" s="12" t="s">
        <v>37</v>
      </c>
      <c r="JS218" s="12" t="s">
        <v>37</v>
      </c>
      <c r="JT218" s="12" t="s">
        <v>37</v>
      </c>
      <c r="JU218" s="13" t="s">
        <v>37</v>
      </c>
      <c r="JW218" s="12" t="s">
        <v>37</v>
      </c>
      <c r="JX218" s="12" t="s">
        <v>37</v>
      </c>
      <c r="JY218" s="12" t="s">
        <v>37</v>
      </c>
      <c r="KE218" s="12" t="s">
        <v>37</v>
      </c>
      <c r="KF218" s="12" t="s">
        <v>37</v>
      </c>
      <c r="KG218" s="13" t="s">
        <v>37</v>
      </c>
      <c r="KH218" s="12" t="s">
        <v>37</v>
      </c>
      <c r="KI218" s="12" t="s">
        <v>37</v>
      </c>
      <c r="KJ218" s="12" t="s">
        <v>37</v>
      </c>
      <c r="KK218" s="12" t="s">
        <v>42</v>
      </c>
      <c r="KL218" s="32" t="s">
        <v>345</v>
      </c>
      <c r="KM218" s="12">
        <v>15</v>
      </c>
      <c r="KN218" s="50">
        <f>ABS(KM218)*KP$474</f>
        <v>1.7893956207728923</v>
      </c>
      <c r="KO218" s="11">
        <v>6</v>
      </c>
      <c r="KS218" s="12"/>
      <c r="KX218" s="12" t="s">
        <v>37</v>
      </c>
      <c r="KY218" s="12" t="s">
        <v>37</v>
      </c>
      <c r="KZ218" s="12" t="s">
        <v>37</v>
      </c>
      <c r="LB218" s="12" t="s">
        <v>37</v>
      </c>
      <c r="LC218" s="12" t="s">
        <v>37</v>
      </c>
      <c r="LD218" s="12" t="s">
        <v>37</v>
      </c>
      <c r="LI218" s="12" t="s">
        <v>37</v>
      </c>
      <c r="LJ218" s="12" t="s">
        <v>37</v>
      </c>
      <c r="LK218" s="12" t="s">
        <v>37</v>
      </c>
      <c r="LM218" s="12" t="s">
        <v>37</v>
      </c>
      <c r="LN218" s="12" t="s">
        <v>37</v>
      </c>
      <c r="LO218" s="12" t="s">
        <v>37</v>
      </c>
      <c r="LT218" s="12" t="str">
        <f t="shared" si="1019"/>
        <v>0-10</v>
      </c>
      <c r="LU218" s="12">
        <f t="shared" si="1020"/>
        <v>23.333333333333332</v>
      </c>
      <c r="LV218" s="12">
        <f t="shared" si="1021"/>
        <v>3.4249742755356465</v>
      </c>
      <c r="LW218" s="13">
        <f t="shared" si="1022"/>
        <v>6</v>
      </c>
      <c r="MF218" s="12" t="s">
        <v>37</v>
      </c>
      <c r="MG218" s="12" t="s">
        <v>37</v>
      </c>
      <c r="MH218" s="12" t="s">
        <v>37</v>
      </c>
      <c r="MJ218" s="12" t="s">
        <v>37</v>
      </c>
      <c r="MK218" s="12" t="s">
        <v>37</v>
      </c>
      <c r="ML218" s="12" t="s">
        <v>37</v>
      </c>
      <c r="MQ218" s="12" t="s">
        <v>37</v>
      </c>
      <c r="MR218" s="12" t="s">
        <v>37</v>
      </c>
      <c r="MS218" s="12" t="s">
        <v>37</v>
      </c>
      <c r="MU218" s="12" t="s">
        <v>37</v>
      </c>
      <c r="MV218" s="12" t="s">
        <v>37</v>
      </c>
      <c r="MW218" s="12" t="s">
        <v>37</v>
      </c>
      <c r="NC218" s="12" t="s">
        <v>37</v>
      </c>
      <c r="ND218" s="12" t="s">
        <v>37</v>
      </c>
      <c r="NE218" s="12" t="s">
        <v>37</v>
      </c>
      <c r="NG218" s="12" t="s">
        <v>37</v>
      </c>
      <c r="NH218" s="12" t="s">
        <v>37</v>
      </c>
      <c r="NI218" s="12" t="s">
        <v>37</v>
      </c>
      <c r="NO218" s="12" t="s">
        <v>37</v>
      </c>
      <c r="NP218" s="12" t="s">
        <v>37</v>
      </c>
      <c r="NQ218" s="12" t="s">
        <v>37</v>
      </c>
      <c r="NS218" s="12" t="s">
        <v>37</v>
      </c>
      <c r="NT218" s="12" t="s">
        <v>37</v>
      </c>
      <c r="NU218" s="12" t="s">
        <v>37</v>
      </c>
      <c r="OA218" s="12" t="s">
        <v>37</v>
      </c>
      <c r="OB218" s="12" t="s">
        <v>37</v>
      </c>
      <c r="OC218" s="12" t="s">
        <v>37</v>
      </c>
      <c r="OD218" s="12"/>
      <c r="OE218" s="12" t="s">
        <v>37</v>
      </c>
      <c r="OF218" s="12" t="s">
        <v>37</v>
      </c>
      <c r="OG218" s="12" t="s">
        <v>37</v>
      </c>
      <c r="OH218" s="12"/>
      <c r="OI218" s="12"/>
      <c r="OJ218" s="12"/>
      <c r="OM218" s="12" t="s">
        <v>37</v>
      </c>
      <c r="ON218" s="12" t="s">
        <v>37</v>
      </c>
      <c r="OO218" s="12" t="s">
        <v>37</v>
      </c>
      <c r="OP218" s="12" t="s">
        <v>37</v>
      </c>
      <c r="OQ218" s="12" t="s">
        <v>37</v>
      </c>
      <c r="OR218" s="12" t="s">
        <v>37</v>
      </c>
      <c r="OS218" s="12"/>
      <c r="OT218" s="12"/>
      <c r="OW218" s="12" t="s">
        <v>37</v>
      </c>
      <c r="OX218" s="12" t="s">
        <v>37</v>
      </c>
      <c r="OY218" s="13" t="s">
        <v>37</v>
      </c>
      <c r="OZ218" s="12" t="s">
        <v>37</v>
      </c>
      <c r="PA218" s="12" t="s">
        <v>37</v>
      </c>
      <c r="PB218" s="13" t="s">
        <v>37</v>
      </c>
      <c r="PG218" s="12" t="s">
        <v>37</v>
      </c>
      <c r="PH218" s="12" t="s">
        <v>37</v>
      </c>
      <c r="PI218" s="12" t="s">
        <v>37</v>
      </c>
      <c r="PJ218" s="12" t="s">
        <v>37</v>
      </c>
      <c r="PK218" s="12" t="s">
        <v>37</v>
      </c>
      <c r="PL218" s="12" t="s">
        <v>37</v>
      </c>
      <c r="PM218" s="12"/>
      <c r="PN218" s="12"/>
      <c r="PQ218" s="12" t="s">
        <v>37</v>
      </c>
      <c r="PR218" s="12" t="s">
        <v>37</v>
      </c>
      <c r="PS218" s="12" t="s">
        <v>37</v>
      </c>
      <c r="PT218" s="12" t="s">
        <v>37</v>
      </c>
      <c r="PU218" s="12" t="s">
        <v>37</v>
      </c>
      <c r="PV218" s="12" t="s">
        <v>37</v>
      </c>
      <c r="PW218" s="12"/>
      <c r="PX218" s="12"/>
      <c r="PZ218" s="12" t="s">
        <v>37</v>
      </c>
      <c r="QA218" s="12" t="s">
        <v>37</v>
      </c>
      <c r="QB218" s="12" t="s">
        <v>37</v>
      </c>
      <c r="QD218" s="12" t="s">
        <v>37</v>
      </c>
      <c r="QE218" s="12" t="s">
        <v>37</v>
      </c>
      <c r="QF218" s="12" t="s">
        <v>37</v>
      </c>
      <c r="QK218" s="12" t="s">
        <v>37</v>
      </c>
      <c r="QL218" s="12" t="s">
        <v>37</v>
      </c>
      <c r="QM218" s="12" t="s">
        <v>37</v>
      </c>
      <c r="QN218" s="12" t="s">
        <v>37</v>
      </c>
      <c r="QO218" s="12" t="s">
        <v>37</v>
      </c>
      <c r="QP218" s="12" t="s">
        <v>37</v>
      </c>
      <c r="QQ218" s="12"/>
      <c r="QR218" s="12"/>
      <c r="QU218" s="12" t="s">
        <v>37</v>
      </c>
      <c r="QV218" s="12" t="s">
        <v>37</v>
      </c>
      <c r="QW218" s="12" t="s">
        <v>37</v>
      </c>
      <c r="QX218" s="12" t="s">
        <v>37</v>
      </c>
      <c r="QY218" s="12" t="s">
        <v>37</v>
      </c>
      <c r="QZ218" s="12" t="s">
        <v>37</v>
      </c>
      <c r="RC218" s="12" t="s">
        <v>37</v>
      </c>
      <c r="RD218" s="12" t="s">
        <v>37</v>
      </c>
      <c r="RE218" s="13" t="s">
        <v>37</v>
      </c>
      <c r="RF218" s="12" t="s">
        <v>37</v>
      </c>
      <c r="RG218" s="12" t="s">
        <v>37</v>
      </c>
      <c r="RH218" s="13" t="s">
        <v>37</v>
      </c>
      <c r="RK218" s="12" t="s">
        <v>37</v>
      </c>
      <c r="RL218" s="12" t="s">
        <v>37</v>
      </c>
      <c r="RM218" s="11" t="s">
        <v>37</v>
      </c>
      <c r="RN218" s="12" t="s">
        <v>37</v>
      </c>
      <c r="RO218" s="12" t="s">
        <v>37</v>
      </c>
      <c r="RP218" s="11" t="s">
        <v>37</v>
      </c>
      <c r="RS218" s="12" t="s">
        <v>37</v>
      </c>
      <c r="RT218" s="12" t="s">
        <v>37</v>
      </c>
      <c r="RU218" s="12" t="s">
        <v>37</v>
      </c>
      <c r="RV218" s="12" t="s">
        <v>37</v>
      </c>
      <c r="RW218" s="12" t="s">
        <v>37</v>
      </c>
      <c r="RX218" s="12" t="s">
        <v>37</v>
      </c>
      <c r="SA218" s="12" t="s">
        <v>37</v>
      </c>
      <c r="SB218" s="12" t="s">
        <v>37</v>
      </c>
      <c r="SC218" s="12" t="s">
        <v>37</v>
      </c>
      <c r="SD218" s="12" t="s">
        <v>37</v>
      </c>
      <c r="SE218" s="12" t="s">
        <v>37</v>
      </c>
      <c r="SF218" s="12" t="s">
        <v>37</v>
      </c>
      <c r="SI218" s="12" t="s">
        <v>37</v>
      </c>
      <c r="SJ218" s="12" t="s">
        <v>37</v>
      </c>
      <c r="SK218" s="13" t="s">
        <v>37</v>
      </c>
      <c r="SM218" s="12" t="s">
        <v>37</v>
      </c>
      <c r="SN218" s="12" t="s">
        <v>37</v>
      </c>
      <c r="SO218" s="13" t="s">
        <v>37</v>
      </c>
      <c r="SU218" s="12" t="s">
        <v>37</v>
      </c>
      <c r="SV218" s="12" t="s">
        <v>37</v>
      </c>
      <c r="SW218" s="12" t="s">
        <v>37</v>
      </c>
      <c r="SX218" s="12" t="s">
        <v>37</v>
      </c>
      <c r="SY218" s="12" t="s">
        <v>37</v>
      </c>
      <c r="SZ218" s="12" t="s">
        <v>37</v>
      </c>
      <c r="TA218" s="12"/>
      <c r="TB218" s="12"/>
      <c r="TE218" s="12" t="s">
        <v>37</v>
      </c>
      <c r="TF218" s="12" t="s">
        <v>37</v>
      </c>
      <c r="TG218" s="12" t="s">
        <v>37</v>
      </c>
      <c r="TH218" s="12" t="s">
        <v>37</v>
      </c>
      <c r="TI218" s="12" t="s">
        <v>37</v>
      </c>
      <c r="TJ218" s="12" t="s">
        <v>37</v>
      </c>
      <c r="TK218" s="12"/>
      <c r="TL218" s="12"/>
      <c r="TO218" s="12" t="s">
        <v>37</v>
      </c>
      <c r="TP218" s="12" t="s">
        <v>37</v>
      </c>
      <c r="TQ218" s="12" t="s">
        <v>37</v>
      </c>
      <c r="TR218" s="12" t="s">
        <v>37</v>
      </c>
      <c r="TS218" s="12" t="s">
        <v>37</v>
      </c>
      <c r="TT218" s="12" t="s">
        <v>37</v>
      </c>
      <c r="TU218" s="12"/>
      <c r="TV218" s="12"/>
      <c r="TY218" s="12" t="s">
        <v>37</v>
      </c>
      <c r="TZ218" s="12" t="s">
        <v>37</v>
      </c>
      <c r="UA218" s="12" t="s">
        <v>37</v>
      </c>
      <c r="UB218" s="12" t="s">
        <v>37</v>
      </c>
      <c r="UC218" s="12" t="s">
        <v>37</v>
      </c>
      <c r="UD218" s="12" t="s">
        <v>37</v>
      </c>
      <c r="UE218" s="12"/>
      <c r="UF218" s="12"/>
      <c r="UI218" s="12" t="s">
        <v>37</v>
      </c>
      <c r="UJ218" s="12" t="s">
        <v>37</v>
      </c>
      <c r="UK218" s="12" t="s">
        <v>37</v>
      </c>
      <c r="UL218" s="12" t="s">
        <v>37</v>
      </c>
      <c r="UM218" s="12" t="s">
        <v>37</v>
      </c>
      <c r="UN218" s="12" t="s">
        <v>37</v>
      </c>
      <c r="UO218" s="12"/>
      <c r="UP218" s="12"/>
      <c r="UR218" s="12" t="s">
        <v>37</v>
      </c>
      <c r="US218" s="12" t="s">
        <v>37</v>
      </c>
      <c r="UT218" s="12" t="s">
        <v>37</v>
      </c>
      <c r="UU218" s="12" t="s">
        <v>37</v>
      </c>
      <c r="UV218" s="12" t="s">
        <v>37</v>
      </c>
      <c r="UW218" s="12" t="s">
        <v>37</v>
      </c>
      <c r="UX218" s="12"/>
      <c r="UY218" s="12"/>
      <c r="VB218" s="12" t="s">
        <v>37</v>
      </c>
      <c r="VC218" s="12" t="s">
        <v>37</v>
      </c>
      <c r="VD218" s="12" t="s">
        <v>37</v>
      </c>
      <c r="VE218" s="12" t="s">
        <v>37</v>
      </c>
      <c r="VF218" s="12" t="s">
        <v>37</v>
      </c>
      <c r="VG218" s="12" t="s">
        <v>37</v>
      </c>
      <c r="VI218" s="12" t="s">
        <v>37</v>
      </c>
      <c r="VJ218" s="12" t="s">
        <v>37</v>
      </c>
      <c r="VK218" s="12" t="s">
        <v>37</v>
      </c>
      <c r="VL218" s="12" t="s">
        <v>37</v>
      </c>
      <c r="VM218" s="12" t="s">
        <v>37</v>
      </c>
      <c r="VN218" s="12" t="s">
        <v>37</v>
      </c>
      <c r="VQ218" s="12" t="s">
        <v>37</v>
      </c>
      <c r="VR218" s="12" t="s">
        <v>37</v>
      </c>
      <c r="VS218" s="12" t="s">
        <v>37</v>
      </c>
      <c r="VT218" s="12" t="s">
        <v>37</v>
      </c>
      <c r="VU218" s="12" t="s">
        <v>37</v>
      </c>
      <c r="VV218" s="12" t="s">
        <v>37</v>
      </c>
      <c r="VW218" s="12"/>
      <c r="VX218" s="12"/>
      <c r="VY218" s="12" t="s">
        <v>558</v>
      </c>
      <c r="VZ218" s="12" t="s">
        <v>372</v>
      </c>
      <c r="WA218" s="12">
        <v>1.10377358490566</v>
      </c>
      <c r="WB218" s="12">
        <v>0.13865036279903417</v>
      </c>
      <c r="WC218" s="13">
        <v>6</v>
      </c>
      <c r="WD218" s="12">
        <v>1.4688679245283001</v>
      </c>
      <c r="WE218" s="12">
        <v>0.18024547163876836</v>
      </c>
      <c r="WF218" s="13">
        <v>6</v>
      </c>
      <c r="WG218" s="19">
        <f t="shared" si="1033"/>
        <v>0.28575714404219565</v>
      </c>
      <c r="WH218" s="19">
        <f t="shared" si="1034"/>
        <v>5.139491976287441E-3</v>
      </c>
    </row>
    <row r="219" spans="1:606" ht="18" customHeight="1" x14ac:dyDescent="0.3">
      <c r="A219" s="11">
        <v>60</v>
      </c>
      <c r="B219" s="16" t="s">
        <v>355</v>
      </c>
      <c r="C219" s="12" t="s">
        <v>26</v>
      </c>
      <c r="D219" s="12" t="s">
        <v>54</v>
      </c>
      <c r="E219" s="40">
        <v>0.27500000000000002</v>
      </c>
      <c r="F219" s="14">
        <v>0</v>
      </c>
      <c r="G219" s="14">
        <v>0</v>
      </c>
      <c r="H219" s="12" t="s">
        <v>131</v>
      </c>
      <c r="I219" s="29">
        <v>55.167000000000002</v>
      </c>
      <c r="J219" s="29">
        <v>-2.0499999999999998</v>
      </c>
      <c r="K219" s="12" t="s">
        <v>761</v>
      </c>
      <c r="L219" s="12" t="s">
        <v>762</v>
      </c>
      <c r="M219" s="13">
        <v>300</v>
      </c>
      <c r="N219" s="14">
        <v>7.6</v>
      </c>
      <c r="O219" s="14">
        <v>950</v>
      </c>
      <c r="P219" s="14" t="s">
        <v>16</v>
      </c>
      <c r="Q219" s="75">
        <f>2/12</f>
        <v>0.16666666666666666</v>
      </c>
      <c r="R219" s="11" t="s">
        <v>37</v>
      </c>
      <c r="S219" s="12" t="s">
        <v>105</v>
      </c>
      <c r="T219" s="12" t="s">
        <v>138</v>
      </c>
      <c r="U219" s="12" t="s">
        <v>158</v>
      </c>
      <c r="V219" s="12" t="s">
        <v>275</v>
      </c>
      <c r="W219" s="23" t="s">
        <v>357</v>
      </c>
      <c r="X219" s="12" t="s">
        <v>283</v>
      </c>
      <c r="Y219" s="12" t="s">
        <v>358</v>
      </c>
      <c r="Z219" s="12" t="s">
        <v>37</v>
      </c>
      <c r="AA219" s="32" t="s">
        <v>345</v>
      </c>
      <c r="AB219" s="12">
        <v>4</v>
      </c>
      <c r="AC219" s="12" t="s">
        <v>42</v>
      </c>
      <c r="AD219" s="32" t="s">
        <v>345</v>
      </c>
      <c r="AE219" s="12">
        <v>460.92</v>
      </c>
      <c r="AF219" s="12" t="s">
        <v>42</v>
      </c>
      <c r="AG219" s="32" t="s">
        <v>345</v>
      </c>
      <c r="AH219" s="12">
        <v>18.41</v>
      </c>
      <c r="AJ219" s="12" t="str">
        <f t="shared" si="1001"/>
        <v>0-10</v>
      </c>
      <c r="AK219" s="19">
        <f t="shared" si="1002"/>
        <v>25.036393264530147</v>
      </c>
      <c r="AL219" s="32" t="s">
        <v>359</v>
      </c>
      <c r="AM219" s="12" t="s">
        <v>344</v>
      </c>
      <c r="AO219" s="12" t="s">
        <v>37</v>
      </c>
      <c r="AP219" s="12" t="s">
        <v>238</v>
      </c>
      <c r="AQ219" s="12" t="s">
        <v>975</v>
      </c>
      <c r="AR219" s="12" t="s">
        <v>42</v>
      </c>
      <c r="AS219" s="32" t="s">
        <v>345</v>
      </c>
      <c r="AT219" s="12">
        <v>460.92</v>
      </c>
      <c r="AU219" s="12">
        <f>5.02*SQRT(3)</f>
        <v>8.6948950539957632</v>
      </c>
      <c r="AV219" s="13">
        <v>3</v>
      </c>
      <c r="AW219" s="19">
        <f t="shared" ref="AW219:AW221" si="1035">AU219/AT219</f>
        <v>1.8864217334886232E-2</v>
      </c>
      <c r="AX219" s="12">
        <v>429.43</v>
      </c>
      <c r="AY219" s="12">
        <f>8.06*SQRT(3)</f>
        <v>13.960329509005151</v>
      </c>
      <c r="AZ219" s="13">
        <v>3</v>
      </c>
      <c r="BA219" s="19">
        <f t="shared" ref="BA219:BA221" si="1036">AY219/AX219</f>
        <v>3.2508975872680416E-2</v>
      </c>
      <c r="BB219" s="52">
        <f t="shared" ref="BB219:BB221" si="1037">LN(AX219/AT219)</f>
        <v>-7.0765744213767301E-2</v>
      </c>
      <c r="BC219" s="19">
        <f t="shared" ref="BC219:BC221" si="1038">AY219^2/(AZ219*AX219^2)+AU219^2/(AV219*AT219^2)</f>
        <v>4.7089740264944651E-4</v>
      </c>
      <c r="BD219" s="32" t="s">
        <v>422</v>
      </c>
      <c r="BE219" s="12">
        <v>451.98</v>
      </c>
      <c r="BF219" s="12">
        <f>12.23*SQRT(3)</f>
        <v>21.182981376567369</v>
      </c>
      <c r="BG219" s="13">
        <v>3</v>
      </c>
      <c r="BH219" s="19">
        <f>BF219/BE219</f>
        <v>4.6867076809963645E-2</v>
      </c>
      <c r="BI219" s="12">
        <v>444.17</v>
      </c>
      <c r="BJ219" s="12">
        <f>16.54*SQRT(3)</f>
        <v>28.648120357189228</v>
      </c>
      <c r="BK219" s="13">
        <v>3</v>
      </c>
      <c r="BL219" s="19">
        <f>BJ219/BI219</f>
        <v>6.4498098379425051E-2</v>
      </c>
      <c r="BM219" s="52">
        <f>LN(BI219/BE219)</f>
        <v>-1.7430559031497008E-2</v>
      </c>
      <c r="BN219" s="19">
        <f>BJ219^2/(BK219*BI219^2)+BF219^2/(BG219*BE219^2)</f>
        <v>2.1188425277576749E-3</v>
      </c>
      <c r="BO219" s="16" t="s">
        <v>423</v>
      </c>
      <c r="BP219" s="12">
        <v>41.85</v>
      </c>
      <c r="BQ219" s="12">
        <f>7.11*SQRT(3)</f>
        <v>12.314881241814717</v>
      </c>
      <c r="BR219" s="13">
        <v>3</v>
      </c>
      <c r="BS219" s="19">
        <f>BQ219/BP219</f>
        <v>0.29426239526438991</v>
      </c>
      <c r="BT219" s="12">
        <v>35.81</v>
      </c>
      <c r="BU219" s="12">
        <f>3.82*SQRT(3)</f>
        <v>6.6164340849131102</v>
      </c>
      <c r="BV219" s="13">
        <v>3</v>
      </c>
      <c r="BW219" s="19">
        <f>BU219/BT219</f>
        <v>0.18476498421985785</v>
      </c>
      <c r="BX219" s="52">
        <f t="shared" ref="BX219:BX220" si="1039">LN(BT219/BP219)</f>
        <v>-0.155864612925143</v>
      </c>
      <c r="BY219" s="19">
        <f t="shared" ref="BY219:BY220" si="1040">BU219^2/(BV219*BT219^2)+BQ219^2/(BR219*BP219^2)</f>
        <v>4.0242818886833454E-2</v>
      </c>
      <c r="CA219" s="12" t="s">
        <v>37</v>
      </c>
      <c r="CB219" s="12" t="s">
        <v>37</v>
      </c>
      <c r="CC219" s="13" t="s">
        <v>37</v>
      </c>
      <c r="CE219" s="12" t="s">
        <v>37</v>
      </c>
      <c r="CF219" s="12" t="s">
        <v>37</v>
      </c>
      <c r="CG219" s="13" t="s">
        <v>37</v>
      </c>
      <c r="CN219" s="12" t="s">
        <v>37</v>
      </c>
      <c r="CO219" s="12" t="s">
        <v>37</v>
      </c>
      <c r="CP219" s="13" t="s">
        <v>37</v>
      </c>
      <c r="CR219" s="12" t="s">
        <v>37</v>
      </c>
      <c r="CS219" s="12" t="s">
        <v>37</v>
      </c>
      <c r="CT219" s="13" t="s">
        <v>37</v>
      </c>
      <c r="CX219" s="72"/>
      <c r="CY219" s="72"/>
      <c r="DA219" s="12" t="s">
        <v>37</v>
      </c>
      <c r="DB219" s="12" t="s">
        <v>37</v>
      </c>
      <c r="DC219" s="13" t="s">
        <v>37</v>
      </c>
      <c r="DE219" s="12" t="s">
        <v>37</v>
      </c>
      <c r="DF219" s="12" t="s">
        <v>37</v>
      </c>
      <c r="DG219" s="13" t="s">
        <v>37</v>
      </c>
      <c r="DM219" s="11" t="s">
        <v>47</v>
      </c>
      <c r="DN219" s="19">
        <v>21.18</v>
      </c>
      <c r="DO219" s="12">
        <f>1.3*SQRT(3)</f>
        <v>2.2516660498395402</v>
      </c>
      <c r="DP219" s="13">
        <v>3</v>
      </c>
      <c r="DQ219" s="19">
        <f t="shared" si="1005"/>
        <v>0.10631095608307556</v>
      </c>
      <c r="DR219" s="19">
        <v>9.06</v>
      </c>
      <c r="DS219" s="12">
        <f>0.55*SQRT(3)</f>
        <v>0.95262794416288255</v>
      </c>
      <c r="DT219" s="13">
        <v>3</v>
      </c>
      <c r="DU219" s="19">
        <f t="shared" si="1006"/>
        <v>0.10514657220340866</v>
      </c>
      <c r="DV219" s="19">
        <f t="shared" si="1007"/>
        <v>-12.12</v>
      </c>
      <c r="DW219" s="12">
        <f t="shared" si="914"/>
        <v>1.7288001619620468</v>
      </c>
      <c r="DX219" s="72">
        <f t="shared" si="641"/>
        <v>1.9924999999999993</v>
      </c>
      <c r="DY219" s="72">
        <f t="shared" si="642"/>
        <v>1.9924999999999995</v>
      </c>
      <c r="DZ219" s="11" t="s">
        <v>47</v>
      </c>
      <c r="EA219" s="19">
        <f>1.46*44/28</f>
        <v>2.294285714285714</v>
      </c>
      <c r="EB219" s="19">
        <f>0.32*SQRT(3)*44/28</f>
        <v>0.87097412037749256</v>
      </c>
      <c r="EC219" s="72">
        <v>3</v>
      </c>
      <c r="ED219" s="52">
        <f t="shared" si="1008"/>
        <v>0.37962757426167176</v>
      </c>
      <c r="EE219" s="19">
        <f>1.37*44/28</f>
        <v>2.152857142857143</v>
      </c>
      <c r="EF219" s="19">
        <f>0.3*SQRT(3)*44/28</f>
        <v>0.81653823785389912</v>
      </c>
      <c r="EG219" s="13">
        <v>3</v>
      </c>
      <c r="EH219" s="52">
        <f t="shared" si="1009"/>
        <v>0.37928119873771027</v>
      </c>
      <c r="EI219" s="19">
        <f t="shared" si="1010"/>
        <v>-0.14142857142857101</v>
      </c>
      <c r="EJ219" s="12">
        <f t="shared" si="995"/>
        <v>0.84419506402397826</v>
      </c>
      <c r="EK219" s="19">
        <f t="shared" si="996"/>
        <v>0.47511020408163251</v>
      </c>
      <c r="EL219" s="19">
        <f t="shared" si="997"/>
        <v>0.47511020408163251</v>
      </c>
      <c r="EN219" s="12" t="s">
        <v>37</v>
      </c>
      <c r="EO219" s="12" t="s">
        <v>37</v>
      </c>
      <c r="EP219" s="13" t="s">
        <v>37</v>
      </c>
      <c r="ER219" s="12" t="s">
        <v>37</v>
      </c>
      <c r="ES219" s="12" t="s">
        <v>37</v>
      </c>
      <c r="ET219" s="13" t="s">
        <v>37</v>
      </c>
      <c r="FB219" s="12" t="s">
        <v>37</v>
      </c>
      <c r="FC219" s="12" t="s">
        <v>37</v>
      </c>
      <c r="FD219" s="11" t="s">
        <v>37</v>
      </c>
      <c r="FE219" s="12" t="s">
        <v>37</v>
      </c>
      <c r="FF219" s="20" t="s">
        <v>37</v>
      </c>
      <c r="FG219" s="11" t="s">
        <v>37</v>
      </c>
      <c r="FI219" s="12" t="s">
        <v>37</v>
      </c>
      <c r="FJ219" s="12" t="s">
        <v>37</v>
      </c>
      <c r="FK219" s="11" t="s">
        <v>37</v>
      </c>
      <c r="FL219" s="13" t="s">
        <v>37</v>
      </c>
      <c r="FM219" s="11" t="s">
        <v>37</v>
      </c>
      <c r="FN219" s="11" t="s">
        <v>37</v>
      </c>
      <c r="FP219" s="12" t="s">
        <v>37</v>
      </c>
      <c r="FQ219" s="12" t="s">
        <v>37</v>
      </c>
      <c r="FR219" s="11" t="s">
        <v>37</v>
      </c>
      <c r="FS219" s="13" t="s">
        <v>37</v>
      </c>
      <c r="FT219" s="11" t="s">
        <v>37</v>
      </c>
      <c r="FU219" s="11" t="s">
        <v>37</v>
      </c>
      <c r="FW219" s="12" t="s">
        <v>37</v>
      </c>
      <c r="FX219" s="12" t="s">
        <v>37</v>
      </c>
      <c r="FY219" s="11" t="s">
        <v>37</v>
      </c>
      <c r="FZ219" s="13" t="s">
        <v>37</v>
      </c>
      <c r="GA219" s="11" t="s">
        <v>37</v>
      </c>
      <c r="GB219" s="11" t="s">
        <v>37</v>
      </c>
      <c r="HA219" s="17" t="s">
        <v>63</v>
      </c>
      <c r="HB219" s="34" t="s">
        <v>345</v>
      </c>
      <c r="HC219" s="12">
        <v>0.13</v>
      </c>
      <c r="HD219" s="12">
        <f>0.01*SQRT(3)</f>
        <v>1.7320508075688773E-2</v>
      </c>
      <c r="HE219" s="13">
        <v>3</v>
      </c>
      <c r="HF219" s="19">
        <f t="shared" ref="HF219:HF220" si="1041">HD219/HC219</f>
        <v>0.13323467750529824</v>
      </c>
      <c r="HG219" s="12">
        <v>0.15</v>
      </c>
      <c r="HH219" s="12">
        <f>0.01*SQRT(3)</f>
        <v>1.7320508075688773E-2</v>
      </c>
      <c r="HI219" s="13">
        <v>3</v>
      </c>
      <c r="HJ219" s="19">
        <f t="shared" ref="HJ219:HJ220" si="1042">HH219/HG219</f>
        <v>0.11547005383792516</v>
      </c>
      <c r="HK219" s="19">
        <f t="shared" ref="HK219:HK220" si="1043">LN(HG219/HC219)</f>
        <v>0.14310084364067324</v>
      </c>
      <c r="HL219" s="19">
        <f t="shared" ref="HL219:HL220" si="1044">HH219^2/(HI219*HG219^2)+HD219^2/(HE219*HC219^2)</f>
        <v>1.0361604207758054E-2</v>
      </c>
      <c r="HM219" s="34" t="s">
        <v>422</v>
      </c>
      <c r="HN219" s="12">
        <v>0.21</v>
      </c>
      <c r="HO219" s="12">
        <f>0.01*SQRT(3)</f>
        <v>1.7320508075688773E-2</v>
      </c>
      <c r="HP219" s="13">
        <v>3</v>
      </c>
      <c r="HQ219" s="19">
        <f t="shared" ref="HQ219:HQ220" si="1045">HO219/HN219</f>
        <v>8.2478609884232251E-2</v>
      </c>
      <c r="HR219" s="12">
        <v>0.2</v>
      </c>
      <c r="HS219" s="12">
        <f>0.01*SQRT(3)</f>
        <v>1.7320508075688773E-2</v>
      </c>
      <c r="HT219" s="13">
        <v>3</v>
      </c>
      <c r="HU219" s="19">
        <f>HS219/HR219</f>
        <v>8.6602540378443865E-2</v>
      </c>
      <c r="HV219" s="19">
        <f t="shared" ref="HV219:HV220" si="1046">LN(HR219/HN219)</f>
        <v>-4.8790164169431945E-2</v>
      </c>
      <c r="HW219" s="19">
        <f t="shared" ref="HW219:HW220" si="1047">HS219^2/(HT219*HR219^2)+HO219^2/(HP219*HN219^2)</f>
        <v>4.7675736961451248E-3</v>
      </c>
      <c r="HX219" s="34" t="s">
        <v>423</v>
      </c>
      <c r="HY219" s="12">
        <v>1.1299999999999999</v>
      </c>
      <c r="HZ219" s="12">
        <f>0.06*SQRT(3)</f>
        <v>0.10392304845413262</v>
      </c>
      <c r="IA219" s="13">
        <v>3</v>
      </c>
      <c r="IB219" s="19">
        <f t="shared" ref="IB219:IB220" si="1048">HZ219/HY219</f>
        <v>9.1967299516931542E-2</v>
      </c>
      <c r="IC219" s="12">
        <v>1.03</v>
      </c>
      <c r="ID219" s="12">
        <f>0.05*SQRT(3)</f>
        <v>8.6602540378443865E-2</v>
      </c>
      <c r="IE219" s="13">
        <v>3</v>
      </c>
      <c r="IF219" s="19">
        <f t="shared" ref="IF219:IF220" si="1049">ID219/IC219</f>
        <v>8.408013628975132E-2</v>
      </c>
      <c r="IG219" s="19">
        <f t="shared" ref="IG219:IG220" si="1050">LN(IC219/HY219)</f>
        <v>-9.2658830482704707E-2</v>
      </c>
      <c r="IH219" s="19">
        <f t="shared" ref="IH219:IH220" si="1051">ID219^2/(IE219*IC219^2)+HZ219^2/(IA219*HY219^2)</f>
        <v>5.1758178329800513E-3</v>
      </c>
      <c r="IK219" s="12" t="s">
        <v>37</v>
      </c>
      <c r="IL219" s="12" t="s">
        <v>37</v>
      </c>
      <c r="IM219" s="12" t="s">
        <v>37</v>
      </c>
      <c r="IO219" s="12" t="s">
        <v>37</v>
      </c>
      <c r="IP219" s="12" t="s">
        <v>37</v>
      </c>
      <c r="IQ219" s="12" t="s">
        <v>37</v>
      </c>
      <c r="IV219" s="32" t="s">
        <v>345</v>
      </c>
      <c r="IW219" s="12">
        <v>4</v>
      </c>
      <c r="IX219" s="12">
        <f>0.02*SQRT(3)</f>
        <v>3.4641016151377546E-2</v>
      </c>
      <c r="IY219" s="13">
        <v>3</v>
      </c>
      <c r="IZ219" s="19">
        <f t="shared" ref="IZ219:IZ220" si="1052">IX219/IW219</f>
        <v>8.6602540378443865E-3</v>
      </c>
      <c r="JA219" s="12">
        <v>4</v>
      </c>
      <c r="JB219" s="12">
        <f>0.01*SQRT(3)</f>
        <v>1.7320508075688773E-2</v>
      </c>
      <c r="JC219" s="13">
        <v>3</v>
      </c>
      <c r="JD219" s="19">
        <f>JB219/JA219</f>
        <v>4.3301270189221933E-3</v>
      </c>
      <c r="JE219" s="19">
        <f t="shared" ref="JE219:JE221" si="1053">LN(JA219/IW219)</f>
        <v>0</v>
      </c>
      <c r="JF219" s="19">
        <f t="shared" ref="JF219:JF221" si="1054">JB219^2/(JC219*JA219^2)+IX219^2/(IY219*IW219^2)</f>
        <v>3.1250000000000001E-5</v>
      </c>
      <c r="JG219" s="32" t="s">
        <v>422</v>
      </c>
      <c r="JH219" s="12">
        <v>3.9</v>
      </c>
      <c r="JI219" s="12">
        <f>0.02*SQRT(3)</f>
        <v>3.4641016151377546E-2</v>
      </c>
      <c r="JJ219" s="13">
        <v>3</v>
      </c>
      <c r="JK219" s="19">
        <f>JI219/JH219</f>
        <v>8.8823118336865507E-3</v>
      </c>
      <c r="JL219" s="12">
        <v>3.9</v>
      </c>
      <c r="JM219" s="12">
        <f>0.02*SQRT(3)</f>
        <v>3.4641016151377546E-2</v>
      </c>
      <c r="JN219" s="13">
        <v>3</v>
      </c>
      <c r="JO219" s="19">
        <f>JM219/JL219</f>
        <v>8.8823118336865507E-3</v>
      </c>
      <c r="JP219" s="19">
        <f t="shared" ref="JP219:JP220" si="1055">LN(JL219/JH219)</f>
        <v>0</v>
      </c>
      <c r="JQ219" s="19">
        <f>JM219^2/(JN219*JL219^2)+JI219^2/(JJ219*JH219^2)</f>
        <v>5.2596975673898759E-5</v>
      </c>
      <c r="JR219" s="32" t="s">
        <v>423</v>
      </c>
      <c r="JS219" s="12">
        <v>4.2</v>
      </c>
      <c r="JT219" s="12">
        <f>0.04*SQRT(3)</f>
        <v>6.9282032302755092E-2</v>
      </c>
      <c r="JU219" s="13">
        <v>3</v>
      </c>
      <c r="JV219" s="19">
        <f>JT219/JS219</f>
        <v>1.6495721976846449E-2</v>
      </c>
      <c r="JW219" s="12">
        <v>4.2</v>
      </c>
      <c r="JX219" s="12">
        <f>0.02*SQRT(3)</f>
        <v>3.4641016151377546E-2</v>
      </c>
      <c r="JY219" s="13">
        <v>3</v>
      </c>
      <c r="JZ219" s="19">
        <f>JX219/JW219</f>
        <v>8.2478609884232244E-3</v>
      </c>
      <c r="KA219" s="19">
        <f t="shared" ref="KA219:KA220" si="1056">LN(JW219/JS219)</f>
        <v>0</v>
      </c>
      <c r="KB219" s="19">
        <f>JX219^2/(JY219*JW219^2)+JT219^2/(JU219*JS219^2)</f>
        <v>1.1337868480725624E-4</v>
      </c>
      <c r="KE219" s="12" t="s">
        <v>37</v>
      </c>
      <c r="KF219" s="12" t="s">
        <v>37</v>
      </c>
      <c r="KG219" s="13" t="s">
        <v>37</v>
      </c>
      <c r="KH219" s="12" t="s">
        <v>37</v>
      </c>
      <c r="KI219" s="12" t="s">
        <v>37</v>
      </c>
      <c r="KJ219" s="12" t="s">
        <v>37</v>
      </c>
      <c r="KK219" s="12" t="s">
        <v>42</v>
      </c>
      <c r="KL219" s="32" t="s">
        <v>345</v>
      </c>
      <c r="KM219" s="12">
        <v>18.41</v>
      </c>
      <c r="KN219" s="12">
        <f>0.21*SQRT(3)</f>
        <v>0.36373066958946421</v>
      </c>
      <c r="KO219" s="11">
        <v>3</v>
      </c>
      <c r="KP219" s="19">
        <f t="shared" ref="KP219:KP221" si="1057">KN219/KM219</f>
        <v>1.9757233546413046E-2</v>
      </c>
      <c r="KQ219" s="12">
        <v>17.12</v>
      </c>
      <c r="KR219" s="12">
        <f>0.33*SQRT(3)</f>
        <v>0.57157676649772948</v>
      </c>
      <c r="KS219" s="13">
        <v>3</v>
      </c>
      <c r="KT219" s="19">
        <f t="shared" ref="KT219:KT220" si="1058">KR219/KQ219</f>
        <v>3.3386493370194475E-2</v>
      </c>
      <c r="KU219" s="19">
        <f t="shared" ref="KU219:KU221" si="1059">LN(KQ219/KM219)</f>
        <v>-7.2646624531390439E-2</v>
      </c>
      <c r="KV219" s="19">
        <f t="shared" ref="KV219:KV221" si="1060">KR219^2/(KS219*KQ219^2)+KN219^2/(KO219*KM219^2)</f>
        <v>5.0166873898851625E-4</v>
      </c>
      <c r="KW219" s="32" t="s">
        <v>422</v>
      </c>
      <c r="KX219" s="12">
        <v>18.04</v>
      </c>
      <c r="KY219" s="12">
        <f>0.5*SQRT(3)</f>
        <v>0.8660254037844386</v>
      </c>
      <c r="KZ219" s="13">
        <v>3</v>
      </c>
      <c r="LA219" s="19">
        <f>KY219/KX219</f>
        <v>4.8005842781842493E-2</v>
      </c>
      <c r="LB219" s="12">
        <v>17.72</v>
      </c>
      <c r="LC219" s="12">
        <f>0.68*SQRT(3)</f>
        <v>1.1777945491468367</v>
      </c>
      <c r="LD219" s="13">
        <v>3</v>
      </c>
      <c r="LE219" s="19">
        <f>LC219/LB219</f>
        <v>6.6466961012801168E-2</v>
      </c>
      <c r="LF219" s="19">
        <f t="shared" ref="LF219:LF220" si="1061">LN(LB219/KX219)</f>
        <v>-1.7897569457542676E-2</v>
      </c>
      <c r="LG219" s="19">
        <f t="shared" ref="LG219:LG220" si="1062">LC219^2/(LD219*LB219^2)+KY219^2/(KZ219*KX219^2)</f>
        <v>2.2408059491574035E-3</v>
      </c>
      <c r="LH219" s="32" t="s">
        <v>423</v>
      </c>
      <c r="LI219" s="12">
        <v>1.23</v>
      </c>
      <c r="LJ219" s="12">
        <f>0.29*SQRT(3)</f>
        <v>0.50229473419497439</v>
      </c>
      <c r="LK219" s="13">
        <v>3</v>
      </c>
      <c r="LL219" s="19">
        <f>LJ219/LI219</f>
        <v>0.40836970259754019</v>
      </c>
      <c r="LM219" s="12">
        <v>0.98</v>
      </c>
      <c r="LN219" s="12">
        <f>0.16*SQRT(3)</f>
        <v>0.27712812921102037</v>
      </c>
      <c r="LO219" s="13">
        <v>3</v>
      </c>
      <c r="LP219" s="19">
        <f>LN219/LM219</f>
        <v>0.28278380531736774</v>
      </c>
      <c r="LQ219" s="19">
        <f t="shared" ref="LQ219:LQ220" si="1063">LN(LM219/LI219)</f>
        <v>-0.22721687670184557</v>
      </c>
      <c r="LR219" s="19">
        <f t="shared" ref="LR219:LR220" si="1064">LN219^2/(LO219*LM219^2)+LJ219^2/(LK219*LI219^2)</f>
        <v>8.224416484979144E-2</v>
      </c>
      <c r="LT219" s="12" t="str">
        <f t="shared" si="1019"/>
        <v>0-10</v>
      </c>
      <c r="LU219" s="12">
        <f t="shared" si="1020"/>
        <v>25.036393264530147</v>
      </c>
      <c r="LV219" s="12">
        <f t="shared" si="1021"/>
        <v>0.68391387753328314</v>
      </c>
      <c r="LW219" s="13">
        <f t="shared" si="1022"/>
        <v>3</v>
      </c>
      <c r="LX219" s="19">
        <f t="shared" ref="LX219:LX221" si="1065">LV219/LU219</f>
        <v>2.7316789215889401E-2</v>
      </c>
      <c r="LY219" s="12">
        <f>AX219/KQ219</f>
        <v>25.083528037383175</v>
      </c>
      <c r="LZ219" s="12">
        <f>SQRT((1/KQ219)^2*AY219^2+AX219^2*(-1/KQ219^2)^2*KR219^2)</f>
        <v>1.168873957582315</v>
      </c>
      <c r="MA219" s="13">
        <f t="shared" si="1023"/>
        <v>3</v>
      </c>
      <c r="MB219" s="19">
        <f t="shared" ref="MB219:MB221" si="1066">LZ219/LY219</f>
        <v>4.6599264499008537E-2</v>
      </c>
      <c r="MC219" s="19">
        <f t="shared" ref="MC219:MC221" si="1067">LN(LY219/LU219)</f>
        <v>1.8808803176230541E-3</v>
      </c>
      <c r="MD219" s="19">
        <f t="shared" ref="MD219:MD221" si="1068">LZ219^2/(MA219*LY219^2)+LV219^2/(LW219*LU219^2)</f>
        <v>9.7256614163796287E-4</v>
      </c>
      <c r="ME219" s="12" t="str">
        <f t="shared" ref="ME219:ME220" si="1069">KW219</f>
        <v>10-20</v>
      </c>
      <c r="MF219" s="12">
        <f>BE219/KX219</f>
        <v>25.054323725055436</v>
      </c>
      <c r="MG219" s="12">
        <f>SQRT((1/KX219)^2*BF219^2+BE219^2*(-1/KX219^2)^2*KY219^2)</f>
        <v>1.6808975158268999</v>
      </c>
      <c r="MH219" s="13">
        <f t="shared" ref="MH219:MH220" si="1070">KZ219</f>
        <v>3</v>
      </c>
      <c r="MI219" s="19">
        <f>MG219/MF219</f>
        <v>6.7090117229782892E-2</v>
      </c>
      <c r="MJ219" s="12">
        <f>BI219/LB219</f>
        <v>25.066027088036119</v>
      </c>
      <c r="MK219" s="12">
        <f>SQRT((1/LB219)^2*BJ219^2+BI219^2*(-1/LB219^2)^2*LC219^2)</f>
        <v>2.3215338587927454</v>
      </c>
      <c r="ML219" s="13">
        <f>LD219</f>
        <v>3</v>
      </c>
      <c r="MM219" s="19">
        <f>MK219/MJ219</f>
        <v>9.2616745790592439E-2</v>
      </c>
      <c r="MN219" s="19">
        <f t="shared" ref="MN219:MN220" si="1071">LN(MJ219/MF219)</f>
        <v>4.6701042604568985E-4</v>
      </c>
      <c r="MO219" s="19">
        <f t="shared" ref="MO219:MO220" si="1072">MK219^2/(ML219*MJ219^2)+MG219^2/(MH219*MF219^2)</f>
        <v>4.3596484769150776E-3</v>
      </c>
      <c r="MP219" s="12" t="str">
        <f t="shared" ref="MP219:MP220" si="1073">LH219</f>
        <v>20-30</v>
      </c>
      <c r="MQ219" s="12">
        <f>BP219/LI219</f>
        <v>34.024390243902438</v>
      </c>
      <c r="MR219" s="12">
        <f>SQRT((1/LI219)^2*BQ219^2+BP219^2*(-1/LI219^2)^2*LJ219^2)</f>
        <v>17.126006107104885</v>
      </c>
      <c r="MS219" s="13">
        <f t="shared" ref="MS219:MS220" si="1074">LK219</f>
        <v>3</v>
      </c>
      <c r="MT219" s="19">
        <f>MR219/MQ219</f>
        <v>0.5033449823593551</v>
      </c>
      <c r="MU219" s="12">
        <f>BT219/LM219</f>
        <v>36.540816326530617</v>
      </c>
      <c r="MV219" s="12">
        <f>SQRT((1/LM219)^2*BU219^2+BT219^2*(-1/LM219^2)^2*LN219^2)</f>
        <v>12.343268159043369</v>
      </c>
      <c r="MW219" s="13">
        <f t="shared" ref="MW219:MW220" si="1075">LO219</f>
        <v>3</v>
      </c>
      <c r="MX219" s="19">
        <f>MV219/MU219</f>
        <v>0.33779399038990504</v>
      </c>
      <c r="MY219" s="19">
        <f t="shared" ref="MY219" si="1076">LN(MU219/MQ219)</f>
        <v>7.1352263776702812E-2</v>
      </c>
      <c r="MZ219" s="19">
        <f t="shared" ref="MZ219:MZ220" si="1077">MV219^2/(MW219*MU219^2)+MR219^2/(MS219*MQ219^2)</f>
        <v>0.12248698373662489</v>
      </c>
      <c r="NC219" s="12" t="s">
        <v>37</v>
      </c>
      <c r="ND219" s="12" t="s">
        <v>37</v>
      </c>
      <c r="NE219" s="12" t="s">
        <v>37</v>
      </c>
      <c r="NG219" s="12" t="s">
        <v>37</v>
      </c>
      <c r="NH219" s="12" t="s">
        <v>37</v>
      </c>
      <c r="NI219" s="12" t="s">
        <v>37</v>
      </c>
      <c r="NO219" s="12" t="s">
        <v>37</v>
      </c>
      <c r="NP219" s="12" t="s">
        <v>37</v>
      </c>
      <c r="NQ219" s="12" t="s">
        <v>37</v>
      </c>
      <c r="NS219" s="12" t="s">
        <v>37</v>
      </c>
      <c r="NT219" s="12" t="s">
        <v>37</v>
      </c>
      <c r="NU219" s="12" t="s">
        <v>37</v>
      </c>
      <c r="OA219" s="12" t="s">
        <v>37</v>
      </c>
      <c r="OB219" s="12" t="s">
        <v>37</v>
      </c>
      <c r="OC219" s="12" t="s">
        <v>37</v>
      </c>
      <c r="OD219" s="12"/>
      <c r="OE219" s="12" t="s">
        <v>37</v>
      </c>
      <c r="OF219" s="12" t="s">
        <v>37</v>
      </c>
      <c r="OG219" s="12" t="s">
        <v>37</v>
      </c>
      <c r="OH219" s="12"/>
      <c r="OI219" s="12"/>
      <c r="OJ219" s="12"/>
      <c r="OM219" s="12" t="s">
        <v>37</v>
      </c>
      <c r="ON219" s="12" t="s">
        <v>37</v>
      </c>
      <c r="OO219" s="12" t="s">
        <v>37</v>
      </c>
      <c r="OP219" s="12" t="s">
        <v>37</v>
      </c>
      <c r="OQ219" s="12" t="s">
        <v>37</v>
      </c>
      <c r="OR219" s="12" t="s">
        <v>37</v>
      </c>
      <c r="OS219" s="12"/>
      <c r="OT219" s="12"/>
      <c r="OW219" s="12" t="s">
        <v>37</v>
      </c>
      <c r="OX219" s="12" t="s">
        <v>37</v>
      </c>
      <c r="OY219" s="13" t="s">
        <v>37</v>
      </c>
      <c r="OZ219" s="12" t="s">
        <v>37</v>
      </c>
      <c r="PA219" s="12" t="s">
        <v>37</v>
      </c>
      <c r="PB219" s="13" t="s">
        <v>37</v>
      </c>
      <c r="PG219" s="12" t="s">
        <v>37</v>
      </c>
      <c r="PH219" s="12" t="s">
        <v>37</v>
      </c>
      <c r="PI219" s="12" t="s">
        <v>37</v>
      </c>
      <c r="PJ219" s="12" t="s">
        <v>37</v>
      </c>
      <c r="PK219" s="12" t="s">
        <v>37</v>
      </c>
      <c r="PL219" s="12" t="s">
        <v>37</v>
      </c>
      <c r="PM219" s="12"/>
      <c r="PN219" s="12"/>
      <c r="PQ219" s="12" t="s">
        <v>37</v>
      </c>
      <c r="PR219" s="12" t="s">
        <v>37</v>
      </c>
      <c r="PS219" s="12" t="s">
        <v>37</v>
      </c>
      <c r="PT219" s="12" t="s">
        <v>37</v>
      </c>
      <c r="PU219" s="12" t="s">
        <v>37</v>
      </c>
      <c r="PV219" s="12" t="s">
        <v>37</v>
      </c>
      <c r="PW219" s="12"/>
      <c r="PX219" s="12"/>
      <c r="PZ219" s="12" t="s">
        <v>37</v>
      </c>
      <c r="QA219" s="12" t="s">
        <v>37</v>
      </c>
      <c r="QB219" s="12" t="s">
        <v>37</v>
      </c>
      <c r="QD219" s="12" t="s">
        <v>37</v>
      </c>
      <c r="QE219" s="12" t="s">
        <v>37</v>
      </c>
      <c r="QF219" s="12" t="s">
        <v>37</v>
      </c>
      <c r="QK219" s="12" t="s">
        <v>37</v>
      </c>
      <c r="QL219" s="12" t="s">
        <v>37</v>
      </c>
      <c r="QM219" s="12" t="s">
        <v>37</v>
      </c>
      <c r="QN219" s="12" t="s">
        <v>37</v>
      </c>
      <c r="QO219" s="12" t="s">
        <v>37</v>
      </c>
      <c r="QP219" s="12" t="s">
        <v>37</v>
      </c>
      <c r="QQ219" s="12"/>
      <c r="QR219" s="12"/>
      <c r="QU219" s="12" t="s">
        <v>37</v>
      </c>
      <c r="QV219" s="12" t="s">
        <v>37</v>
      </c>
      <c r="QW219" s="12" t="s">
        <v>37</v>
      </c>
      <c r="QX219" s="12" t="s">
        <v>37</v>
      </c>
      <c r="QY219" s="12" t="s">
        <v>37</v>
      </c>
      <c r="QZ219" s="12" t="s">
        <v>37</v>
      </c>
      <c r="RC219" s="12" t="s">
        <v>37</v>
      </c>
      <c r="RD219" s="12" t="s">
        <v>37</v>
      </c>
      <c r="RE219" s="13" t="s">
        <v>37</v>
      </c>
      <c r="RF219" s="12" t="s">
        <v>37</v>
      </c>
      <c r="RG219" s="12" t="s">
        <v>37</v>
      </c>
      <c r="RH219" s="13" t="s">
        <v>37</v>
      </c>
      <c r="RK219" s="12" t="s">
        <v>37</v>
      </c>
      <c r="RL219" s="12" t="s">
        <v>37</v>
      </c>
      <c r="RM219" s="11" t="s">
        <v>37</v>
      </c>
      <c r="RN219" s="12" t="s">
        <v>37</v>
      </c>
      <c r="RO219" s="12" t="s">
        <v>37</v>
      </c>
      <c r="RP219" s="11" t="s">
        <v>37</v>
      </c>
      <c r="RS219" s="12" t="s">
        <v>37</v>
      </c>
      <c r="RT219" s="12" t="s">
        <v>37</v>
      </c>
      <c r="RU219" s="12" t="s">
        <v>37</v>
      </c>
      <c r="RV219" s="12" t="s">
        <v>37</v>
      </c>
      <c r="RW219" s="12" t="s">
        <v>37</v>
      </c>
      <c r="RX219" s="12" t="s">
        <v>37</v>
      </c>
      <c r="SA219" s="12" t="s">
        <v>37</v>
      </c>
      <c r="SB219" s="12" t="s">
        <v>37</v>
      </c>
      <c r="SC219" s="12" t="s">
        <v>37</v>
      </c>
      <c r="SD219" s="12" t="s">
        <v>37</v>
      </c>
      <c r="SE219" s="12" t="s">
        <v>37</v>
      </c>
      <c r="SF219" s="12" t="s">
        <v>37</v>
      </c>
      <c r="SI219" s="12" t="s">
        <v>37</v>
      </c>
      <c r="SJ219" s="12" t="s">
        <v>37</v>
      </c>
      <c r="SK219" s="13" t="s">
        <v>37</v>
      </c>
      <c r="SM219" s="12" t="s">
        <v>37</v>
      </c>
      <c r="SN219" s="12" t="s">
        <v>37</v>
      </c>
      <c r="SO219" s="13" t="s">
        <v>37</v>
      </c>
      <c r="SU219" s="12" t="s">
        <v>37</v>
      </c>
      <c r="SV219" s="12" t="s">
        <v>37</v>
      </c>
      <c r="SW219" s="12" t="s">
        <v>37</v>
      </c>
      <c r="SX219" s="12" t="s">
        <v>37</v>
      </c>
      <c r="SY219" s="12" t="s">
        <v>37</v>
      </c>
      <c r="SZ219" s="12" t="s">
        <v>37</v>
      </c>
      <c r="TA219" s="12"/>
      <c r="TB219" s="12"/>
      <c r="TE219" s="12" t="s">
        <v>37</v>
      </c>
      <c r="TF219" s="12" t="s">
        <v>37</v>
      </c>
      <c r="TG219" s="12" t="s">
        <v>37</v>
      </c>
      <c r="TH219" s="12" t="s">
        <v>37</v>
      </c>
      <c r="TI219" s="12" t="s">
        <v>37</v>
      </c>
      <c r="TJ219" s="12" t="s">
        <v>37</v>
      </c>
      <c r="TK219" s="12"/>
      <c r="TL219" s="12"/>
      <c r="TO219" s="12" t="s">
        <v>37</v>
      </c>
      <c r="TP219" s="12" t="s">
        <v>37</v>
      </c>
      <c r="TQ219" s="12" t="s">
        <v>37</v>
      </c>
      <c r="TR219" s="12" t="s">
        <v>37</v>
      </c>
      <c r="TS219" s="12" t="s">
        <v>37</v>
      </c>
      <c r="TT219" s="12" t="s">
        <v>37</v>
      </c>
      <c r="TU219" s="12"/>
      <c r="TV219" s="12"/>
      <c r="TY219" s="12" t="s">
        <v>37</v>
      </c>
      <c r="TZ219" s="12" t="s">
        <v>37</v>
      </c>
      <c r="UA219" s="12" t="s">
        <v>37</v>
      </c>
      <c r="UB219" s="12" t="s">
        <v>37</v>
      </c>
      <c r="UC219" s="12" t="s">
        <v>37</v>
      </c>
      <c r="UD219" s="12" t="s">
        <v>37</v>
      </c>
      <c r="UE219" s="12"/>
      <c r="UF219" s="12"/>
      <c r="UI219" s="12" t="s">
        <v>37</v>
      </c>
      <c r="UJ219" s="12" t="s">
        <v>37</v>
      </c>
      <c r="UK219" s="12" t="s">
        <v>37</v>
      </c>
      <c r="UL219" s="12" t="s">
        <v>37</v>
      </c>
      <c r="UM219" s="12" t="s">
        <v>37</v>
      </c>
      <c r="UN219" s="12" t="s">
        <v>37</v>
      </c>
      <c r="UO219" s="12"/>
      <c r="UP219" s="12"/>
      <c r="UR219" s="12" t="s">
        <v>37</v>
      </c>
      <c r="US219" s="12" t="s">
        <v>37</v>
      </c>
      <c r="UT219" s="12" t="s">
        <v>37</v>
      </c>
      <c r="UU219" s="12" t="s">
        <v>37</v>
      </c>
      <c r="UV219" s="12" t="s">
        <v>37</v>
      </c>
      <c r="UW219" s="12" t="s">
        <v>37</v>
      </c>
      <c r="UX219" s="12"/>
      <c r="UY219" s="12"/>
      <c r="VB219" s="12" t="s">
        <v>37</v>
      </c>
      <c r="VC219" s="12" t="s">
        <v>37</v>
      </c>
      <c r="VD219" s="12" t="s">
        <v>37</v>
      </c>
      <c r="VE219" s="12" t="s">
        <v>37</v>
      </c>
      <c r="VF219" s="12" t="s">
        <v>37</v>
      </c>
      <c r="VG219" s="12" t="s">
        <v>37</v>
      </c>
      <c r="VI219" s="12" t="s">
        <v>37</v>
      </c>
      <c r="VJ219" s="12" t="s">
        <v>37</v>
      </c>
      <c r="VK219" s="12" t="s">
        <v>37</v>
      </c>
      <c r="VL219" s="12" t="s">
        <v>37</v>
      </c>
      <c r="VM219" s="12" t="s">
        <v>37</v>
      </c>
      <c r="VN219" s="12" t="s">
        <v>37</v>
      </c>
      <c r="VQ219" s="12" t="s">
        <v>37</v>
      </c>
      <c r="VR219" s="12" t="s">
        <v>37</v>
      </c>
      <c r="VS219" s="12" t="s">
        <v>37</v>
      </c>
      <c r="VT219" s="12" t="s">
        <v>37</v>
      </c>
      <c r="VU219" s="12" t="s">
        <v>37</v>
      </c>
      <c r="VV219" s="12" t="s">
        <v>37</v>
      </c>
      <c r="VW219" s="12"/>
      <c r="VX219" s="12"/>
      <c r="WA219" s="12" t="s">
        <v>37</v>
      </c>
      <c r="WB219" s="12" t="s">
        <v>37</v>
      </c>
      <c r="WC219" s="12" t="s">
        <v>37</v>
      </c>
      <c r="WD219" s="12" t="s">
        <v>37</v>
      </c>
      <c r="WE219" s="12" t="s">
        <v>37</v>
      </c>
      <c r="WF219" s="12" t="s">
        <v>37</v>
      </c>
    </row>
    <row r="220" spans="1:606" ht="18" customHeight="1" x14ac:dyDescent="0.3">
      <c r="A220" s="11">
        <v>60</v>
      </c>
      <c r="B220" s="16" t="s">
        <v>355</v>
      </c>
      <c r="C220" s="12" t="s">
        <v>26</v>
      </c>
      <c r="D220" s="12" t="s">
        <v>54</v>
      </c>
      <c r="E220" s="40">
        <v>0.27500000000000002</v>
      </c>
      <c r="F220" s="14">
        <v>0</v>
      </c>
      <c r="G220" s="14">
        <v>0</v>
      </c>
      <c r="H220" s="12" t="s">
        <v>131</v>
      </c>
      <c r="I220" s="29">
        <v>55.167000000000002</v>
      </c>
      <c r="J220" s="29">
        <v>-2.0499999999999998</v>
      </c>
      <c r="K220" s="12" t="s">
        <v>761</v>
      </c>
      <c r="L220" s="12" t="s">
        <v>762</v>
      </c>
      <c r="M220" s="13">
        <v>300</v>
      </c>
      <c r="N220" s="14">
        <v>7.6</v>
      </c>
      <c r="O220" s="14">
        <v>950</v>
      </c>
      <c r="P220" s="14" t="s">
        <v>16</v>
      </c>
      <c r="Q220" s="75">
        <f>2/12</f>
        <v>0.16666666666666666</v>
      </c>
      <c r="R220" s="11" t="s">
        <v>37</v>
      </c>
      <c r="S220" s="12" t="s">
        <v>105</v>
      </c>
      <c r="T220" s="12" t="s">
        <v>138</v>
      </c>
      <c r="U220" s="12" t="s">
        <v>158</v>
      </c>
      <c r="V220" s="12" t="s">
        <v>275</v>
      </c>
      <c r="W220" s="23" t="s">
        <v>357</v>
      </c>
      <c r="X220" s="12" t="s">
        <v>283</v>
      </c>
      <c r="Y220" s="12" t="s">
        <v>358</v>
      </c>
      <c r="Z220" s="12" t="s">
        <v>37</v>
      </c>
      <c r="AA220" s="32" t="s">
        <v>345</v>
      </c>
      <c r="AB220" s="12">
        <v>4</v>
      </c>
      <c r="AC220" s="12" t="s">
        <v>42</v>
      </c>
      <c r="AD220" s="32" t="s">
        <v>345</v>
      </c>
      <c r="AE220" s="12">
        <v>460.92</v>
      </c>
      <c r="AF220" s="12" t="s">
        <v>42</v>
      </c>
      <c r="AG220" s="32" t="s">
        <v>345</v>
      </c>
      <c r="AH220" s="12">
        <v>18.41</v>
      </c>
      <c r="AJ220" s="12" t="str">
        <f t="shared" si="1001"/>
        <v>0-10</v>
      </c>
      <c r="AK220" s="19">
        <f t="shared" si="1002"/>
        <v>25.036393264530147</v>
      </c>
      <c r="AL220" s="32" t="s">
        <v>360</v>
      </c>
      <c r="AM220" s="12" t="s">
        <v>344</v>
      </c>
      <c r="AO220" s="12" t="s">
        <v>37</v>
      </c>
      <c r="AP220" s="12" t="s">
        <v>238</v>
      </c>
      <c r="AQ220" s="12" t="s">
        <v>975</v>
      </c>
      <c r="AR220" s="12" t="s">
        <v>42</v>
      </c>
      <c r="AS220" s="32" t="s">
        <v>345</v>
      </c>
      <c r="AT220" s="12">
        <v>460.92</v>
      </c>
      <c r="AU220" s="12">
        <f>5.02*SQRT(3)</f>
        <v>8.6948950539957632</v>
      </c>
      <c r="AV220" s="13">
        <v>3</v>
      </c>
      <c r="AW220" s="19">
        <f t="shared" si="1035"/>
        <v>1.8864217334886232E-2</v>
      </c>
      <c r="AX220" s="12">
        <v>429.43</v>
      </c>
      <c r="AY220" s="12">
        <f>8.06*SQRT(3)</f>
        <v>13.960329509005151</v>
      </c>
      <c r="AZ220" s="13">
        <v>3</v>
      </c>
      <c r="BA220" s="19">
        <f t="shared" si="1036"/>
        <v>3.2508975872680416E-2</v>
      </c>
      <c r="BB220" s="52">
        <f t="shared" si="1037"/>
        <v>-7.0765744213767301E-2</v>
      </c>
      <c r="BC220" s="19">
        <f t="shared" si="1038"/>
        <v>4.7089740264944651E-4</v>
      </c>
      <c r="BD220" s="32" t="s">
        <v>422</v>
      </c>
      <c r="BE220" s="12">
        <v>451.98</v>
      </c>
      <c r="BF220" s="12">
        <f>12.23*SQRT(3)</f>
        <v>21.182981376567369</v>
      </c>
      <c r="BG220" s="13">
        <v>3</v>
      </c>
      <c r="BH220" s="19">
        <f>BF220/BE220</f>
        <v>4.6867076809963645E-2</v>
      </c>
      <c r="BI220" s="12">
        <v>444.17</v>
      </c>
      <c r="BJ220" s="12">
        <f>16.54*SQRT(3)</f>
        <v>28.648120357189228</v>
      </c>
      <c r="BK220" s="13">
        <v>3</v>
      </c>
      <c r="BL220" s="19">
        <f>BJ220/BI220</f>
        <v>6.4498098379425051E-2</v>
      </c>
      <c r="BM220" s="52">
        <f>LN(BI220/BE220)</f>
        <v>-1.7430559031497008E-2</v>
      </c>
      <c r="BN220" s="19">
        <f>BJ220^2/(BK220*BI220^2)+BF220^2/(BG220*BE220^2)</f>
        <v>2.1188425277576749E-3</v>
      </c>
      <c r="BO220" s="16" t="s">
        <v>423</v>
      </c>
      <c r="BP220" s="12">
        <v>41.85</v>
      </c>
      <c r="BQ220" s="12">
        <f>7.11*SQRT(3)</f>
        <v>12.314881241814717</v>
      </c>
      <c r="BR220" s="13">
        <v>3</v>
      </c>
      <c r="BS220" s="19">
        <f t="shared" ref="BS220" si="1078">BQ220/BP220</f>
        <v>0.29426239526438991</v>
      </c>
      <c r="BT220" s="12">
        <v>35.81</v>
      </c>
      <c r="BU220" s="12">
        <f>3.82*SQRT(3)</f>
        <v>6.6164340849131102</v>
      </c>
      <c r="BV220" s="13">
        <v>3</v>
      </c>
      <c r="BW220" s="19">
        <f t="shared" ref="BW220" si="1079">BU220/BT220</f>
        <v>0.18476498421985785</v>
      </c>
      <c r="BX220" s="52">
        <f t="shared" si="1039"/>
        <v>-0.155864612925143</v>
      </c>
      <c r="BY220" s="19">
        <f t="shared" si="1040"/>
        <v>4.0242818886833454E-2</v>
      </c>
      <c r="CA220" s="12" t="s">
        <v>37</v>
      </c>
      <c r="CB220" s="12" t="s">
        <v>37</v>
      </c>
      <c r="CC220" s="13" t="s">
        <v>37</v>
      </c>
      <c r="CE220" s="12" t="s">
        <v>37</v>
      </c>
      <c r="CF220" s="12" t="s">
        <v>37</v>
      </c>
      <c r="CG220" s="13" t="s">
        <v>37</v>
      </c>
      <c r="CN220" s="12" t="s">
        <v>37</v>
      </c>
      <c r="CO220" s="12" t="s">
        <v>37</v>
      </c>
      <c r="CP220" s="13" t="s">
        <v>37</v>
      </c>
      <c r="CR220" s="12" t="s">
        <v>37</v>
      </c>
      <c r="CS220" s="12" t="s">
        <v>37</v>
      </c>
      <c r="CT220" s="13" t="s">
        <v>37</v>
      </c>
      <c r="CX220" s="72"/>
      <c r="CY220" s="72"/>
      <c r="DA220" s="12" t="s">
        <v>37</v>
      </c>
      <c r="DB220" s="12" t="s">
        <v>37</v>
      </c>
      <c r="DC220" s="13" t="s">
        <v>37</v>
      </c>
      <c r="DE220" s="12" t="s">
        <v>37</v>
      </c>
      <c r="DF220" s="12" t="s">
        <v>37</v>
      </c>
      <c r="DG220" s="13" t="s">
        <v>37</v>
      </c>
      <c r="DM220" s="11" t="s">
        <v>47</v>
      </c>
      <c r="DN220" s="19">
        <v>13.53</v>
      </c>
      <c r="DO220" s="12">
        <f>0.92*SQRT(3)</f>
        <v>1.593486742963367</v>
      </c>
      <c r="DP220" s="13">
        <v>3</v>
      </c>
      <c r="DQ220" s="19">
        <f t="shared" si="1005"/>
        <v>0.11777433429145359</v>
      </c>
      <c r="DR220" s="19">
        <v>3.23</v>
      </c>
      <c r="DS220" s="12">
        <f>0.43*SQRT(3)</f>
        <v>0.74478184725461716</v>
      </c>
      <c r="DT220" s="13">
        <v>3</v>
      </c>
      <c r="DU220" s="19">
        <f t="shared" si="1006"/>
        <v>0.23058261524910748</v>
      </c>
      <c r="DV220" s="19">
        <f t="shared" si="1007"/>
        <v>-10.299999999999999</v>
      </c>
      <c r="DW220" s="12">
        <f t="shared" si="914"/>
        <v>1.2437644471522733</v>
      </c>
      <c r="DX220" s="72">
        <f t="shared" si="641"/>
        <v>1.0312999999999999</v>
      </c>
      <c r="DY220" s="72">
        <f t="shared" si="642"/>
        <v>1.0312999999999999</v>
      </c>
      <c r="DZ220" s="11" t="s">
        <v>47</v>
      </c>
      <c r="EA220" s="19">
        <f>0.22*44/28</f>
        <v>0.3457142857142857</v>
      </c>
      <c r="EB220" s="19">
        <f>0.04*SQRT(3)*44/28</f>
        <v>0.10887176504718657</v>
      </c>
      <c r="EC220" s="72">
        <v>3</v>
      </c>
      <c r="ED220" s="52">
        <f t="shared" si="1008"/>
        <v>0.3149183286488868</v>
      </c>
      <c r="EE220" s="19">
        <f>0.19*44/28</f>
        <v>0.29857142857142854</v>
      </c>
      <c r="EF220" s="19">
        <f>0.03*SQRT(3)*44/28</f>
        <v>8.165382378538992E-2</v>
      </c>
      <c r="EG220" s="13">
        <v>3</v>
      </c>
      <c r="EH220" s="52">
        <f t="shared" si="1009"/>
        <v>0.27348170645824377</v>
      </c>
      <c r="EI220" s="19">
        <f t="shared" si="1010"/>
        <v>-4.7142857142857153E-2</v>
      </c>
      <c r="EJ220" s="12">
        <f t="shared" si="995"/>
        <v>9.6229954180767699E-2</v>
      </c>
      <c r="EK220" s="19">
        <f t="shared" si="996"/>
        <v>6.1734693877551006E-3</v>
      </c>
      <c r="EL220" s="19">
        <f t="shared" si="997"/>
        <v>6.1734693877551015E-3</v>
      </c>
      <c r="EN220" s="12" t="s">
        <v>37</v>
      </c>
      <c r="EO220" s="12" t="s">
        <v>37</v>
      </c>
      <c r="EP220" s="13" t="s">
        <v>37</v>
      </c>
      <c r="ER220" s="12" t="s">
        <v>37</v>
      </c>
      <c r="ES220" s="12" t="s">
        <v>37</v>
      </c>
      <c r="ET220" s="13" t="s">
        <v>37</v>
      </c>
      <c r="FB220" s="12" t="s">
        <v>37</v>
      </c>
      <c r="FC220" s="12" t="s">
        <v>37</v>
      </c>
      <c r="FD220" s="11" t="s">
        <v>37</v>
      </c>
      <c r="FE220" s="12" t="s">
        <v>37</v>
      </c>
      <c r="FF220" s="20" t="s">
        <v>37</v>
      </c>
      <c r="FG220" s="11" t="s">
        <v>37</v>
      </c>
      <c r="FI220" s="12" t="s">
        <v>37</v>
      </c>
      <c r="FJ220" s="12" t="s">
        <v>37</v>
      </c>
      <c r="FK220" s="11" t="s">
        <v>37</v>
      </c>
      <c r="FL220" s="13" t="s">
        <v>37</v>
      </c>
      <c r="FM220" s="11" t="s">
        <v>37</v>
      </c>
      <c r="FN220" s="11" t="s">
        <v>37</v>
      </c>
      <c r="FP220" s="12" t="s">
        <v>37</v>
      </c>
      <c r="FQ220" s="12" t="s">
        <v>37</v>
      </c>
      <c r="FR220" s="11" t="s">
        <v>37</v>
      </c>
      <c r="FS220" s="13" t="s">
        <v>37</v>
      </c>
      <c r="FT220" s="11" t="s">
        <v>37</v>
      </c>
      <c r="FU220" s="11" t="s">
        <v>37</v>
      </c>
      <c r="FW220" s="12" t="s">
        <v>37</v>
      </c>
      <c r="FX220" s="12" t="s">
        <v>37</v>
      </c>
      <c r="FY220" s="11" t="s">
        <v>37</v>
      </c>
      <c r="FZ220" s="13" t="s">
        <v>37</v>
      </c>
      <c r="GA220" s="11" t="s">
        <v>37</v>
      </c>
      <c r="GB220" s="11" t="s">
        <v>37</v>
      </c>
      <c r="HA220" s="17" t="s">
        <v>63</v>
      </c>
      <c r="HB220" s="34" t="s">
        <v>345</v>
      </c>
      <c r="HC220" s="12">
        <v>0.13</v>
      </c>
      <c r="HD220" s="12">
        <f>0.01*SQRT(3)</f>
        <v>1.7320508075688773E-2</v>
      </c>
      <c r="HE220" s="13">
        <v>3</v>
      </c>
      <c r="HF220" s="19">
        <f t="shared" si="1041"/>
        <v>0.13323467750529824</v>
      </c>
      <c r="HG220" s="12">
        <v>0.15</v>
      </c>
      <c r="HH220" s="12">
        <f>0.01*SQRT(3)</f>
        <v>1.7320508075688773E-2</v>
      </c>
      <c r="HI220" s="13">
        <v>3</v>
      </c>
      <c r="HJ220" s="19">
        <f t="shared" si="1042"/>
        <v>0.11547005383792516</v>
      </c>
      <c r="HK220" s="19">
        <f t="shared" si="1043"/>
        <v>0.14310084364067324</v>
      </c>
      <c r="HL220" s="19">
        <f t="shared" si="1044"/>
        <v>1.0361604207758054E-2</v>
      </c>
      <c r="HM220" s="34" t="s">
        <v>422</v>
      </c>
      <c r="HN220" s="12">
        <v>0.21</v>
      </c>
      <c r="HO220" s="12">
        <f>0.01*SQRT(3)</f>
        <v>1.7320508075688773E-2</v>
      </c>
      <c r="HP220" s="13">
        <v>3</v>
      </c>
      <c r="HQ220" s="19">
        <f t="shared" si="1045"/>
        <v>8.2478609884232251E-2</v>
      </c>
      <c r="HR220" s="12">
        <v>0.2</v>
      </c>
      <c r="HS220" s="12">
        <f>0.01*SQRT(3)</f>
        <v>1.7320508075688773E-2</v>
      </c>
      <c r="HT220" s="13">
        <v>3</v>
      </c>
      <c r="HU220" s="19">
        <f t="shared" ref="HU220" si="1080">HS220/HR220</f>
        <v>8.6602540378443865E-2</v>
      </c>
      <c r="HV220" s="19">
        <f t="shared" si="1046"/>
        <v>-4.8790164169431945E-2</v>
      </c>
      <c r="HW220" s="19">
        <f t="shared" si="1047"/>
        <v>4.7675736961451248E-3</v>
      </c>
      <c r="HX220" s="34" t="s">
        <v>423</v>
      </c>
      <c r="HY220" s="12">
        <v>1.1299999999999999</v>
      </c>
      <c r="HZ220" s="12">
        <f>0.06*SQRT(3)</f>
        <v>0.10392304845413262</v>
      </c>
      <c r="IA220" s="13">
        <v>3</v>
      </c>
      <c r="IB220" s="19">
        <f t="shared" si="1048"/>
        <v>9.1967299516931542E-2</v>
      </c>
      <c r="IC220" s="12">
        <v>1.03</v>
      </c>
      <c r="ID220" s="12">
        <f>0.05*SQRT(3)</f>
        <v>8.6602540378443865E-2</v>
      </c>
      <c r="IE220" s="13">
        <v>3</v>
      </c>
      <c r="IF220" s="19">
        <f t="shared" si="1049"/>
        <v>8.408013628975132E-2</v>
      </c>
      <c r="IG220" s="19">
        <f t="shared" si="1050"/>
        <v>-9.2658830482704707E-2</v>
      </c>
      <c r="IH220" s="19">
        <f t="shared" si="1051"/>
        <v>5.1758178329800513E-3</v>
      </c>
      <c r="IK220" s="12" t="s">
        <v>37</v>
      </c>
      <c r="IL220" s="12" t="s">
        <v>37</v>
      </c>
      <c r="IM220" s="12" t="s">
        <v>37</v>
      </c>
      <c r="IO220" s="12" t="s">
        <v>37</v>
      </c>
      <c r="IP220" s="12" t="s">
        <v>37</v>
      </c>
      <c r="IQ220" s="12" t="s">
        <v>37</v>
      </c>
      <c r="IV220" s="32" t="s">
        <v>345</v>
      </c>
      <c r="IW220" s="12">
        <v>4</v>
      </c>
      <c r="IX220" s="12">
        <f>0.02*SQRT(3)</f>
        <v>3.4641016151377546E-2</v>
      </c>
      <c r="IY220" s="13">
        <v>3</v>
      </c>
      <c r="IZ220" s="19">
        <f t="shared" si="1052"/>
        <v>8.6602540378443865E-3</v>
      </c>
      <c r="JA220" s="12">
        <v>4</v>
      </c>
      <c r="JB220" s="12">
        <f>0.01*SQRT(3)</f>
        <v>1.7320508075688773E-2</v>
      </c>
      <c r="JC220" s="13">
        <v>3</v>
      </c>
      <c r="JD220" s="19">
        <f>JB220/JA220</f>
        <v>4.3301270189221933E-3</v>
      </c>
      <c r="JE220" s="19">
        <f t="shared" si="1053"/>
        <v>0</v>
      </c>
      <c r="JF220" s="19">
        <f t="shared" si="1054"/>
        <v>3.1250000000000001E-5</v>
      </c>
      <c r="JG220" s="32" t="s">
        <v>422</v>
      </c>
      <c r="JH220" s="12">
        <v>3.9</v>
      </c>
      <c r="JI220" s="12">
        <f>0.02*SQRT(3)</f>
        <v>3.4641016151377546E-2</v>
      </c>
      <c r="JJ220" s="13">
        <v>3</v>
      </c>
      <c r="JK220" s="19">
        <f>JI220/JH220</f>
        <v>8.8823118336865507E-3</v>
      </c>
      <c r="JL220" s="12">
        <v>3.9</v>
      </c>
      <c r="JM220" s="12">
        <f>0.02*SQRT(3)</f>
        <v>3.4641016151377546E-2</v>
      </c>
      <c r="JN220" s="13">
        <v>3</v>
      </c>
      <c r="JO220" s="19">
        <f>JM220/JL220</f>
        <v>8.8823118336865507E-3</v>
      </c>
      <c r="JP220" s="19">
        <f t="shared" si="1055"/>
        <v>0</v>
      </c>
      <c r="JQ220" s="19">
        <f t="shared" ref="JQ220" si="1081">JM220^2/(JN220*JL220^2)+JI220^2/(JJ220*JH220^2)</f>
        <v>5.2596975673898759E-5</v>
      </c>
      <c r="JR220" s="32" t="s">
        <v>423</v>
      </c>
      <c r="JS220" s="12">
        <v>4.2</v>
      </c>
      <c r="JT220" s="12">
        <f>0.04*SQRT(3)</f>
        <v>6.9282032302755092E-2</v>
      </c>
      <c r="JU220" s="13">
        <v>3</v>
      </c>
      <c r="JV220" s="19">
        <f>JT220/JS220</f>
        <v>1.6495721976846449E-2</v>
      </c>
      <c r="JW220" s="12">
        <v>4.2</v>
      </c>
      <c r="JX220" s="12">
        <f>0.02*SQRT(3)</f>
        <v>3.4641016151377546E-2</v>
      </c>
      <c r="JY220" s="13">
        <v>3</v>
      </c>
      <c r="JZ220" s="19">
        <f>JX220/JW220</f>
        <v>8.2478609884232244E-3</v>
      </c>
      <c r="KA220" s="19">
        <f t="shared" si="1056"/>
        <v>0</v>
      </c>
      <c r="KB220" s="19">
        <f>JX220^2/(JY220*JW220^2)+JT220^2/(JU220*JS220^2)</f>
        <v>1.1337868480725624E-4</v>
      </c>
      <c r="KE220" s="12" t="s">
        <v>37</v>
      </c>
      <c r="KF220" s="12" t="s">
        <v>37</v>
      </c>
      <c r="KG220" s="13" t="s">
        <v>37</v>
      </c>
      <c r="KH220" s="12" t="s">
        <v>37</v>
      </c>
      <c r="KI220" s="12" t="s">
        <v>37</v>
      </c>
      <c r="KJ220" s="12" t="s">
        <v>37</v>
      </c>
      <c r="KK220" s="12" t="s">
        <v>42</v>
      </c>
      <c r="KL220" s="32" t="s">
        <v>345</v>
      </c>
      <c r="KM220" s="12">
        <v>18.41</v>
      </c>
      <c r="KN220" s="12">
        <f>0.21*SQRT(3)</f>
        <v>0.36373066958946421</v>
      </c>
      <c r="KO220" s="11">
        <v>3</v>
      </c>
      <c r="KP220" s="19">
        <f t="shared" si="1057"/>
        <v>1.9757233546413046E-2</v>
      </c>
      <c r="KQ220" s="12">
        <v>17.12</v>
      </c>
      <c r="KR220" s="12">
        <f>0.33*SQRT(3)</f>
        <v>0.57157676649772948</v>
      </c>
      <c r="KS220" s="13">
        <v>3</v>
      </c>
      <c r="KT220" s="19">
        <f t="shared" si="1058"/>
        <v>3.3386493370194475E-2</v>
      </c>
      <c r="KU220" s="19">
        <f t="shared" si="1059"/>
        <v>-7.2646624531390439E-2</v>
      </c>
      <c r="KV220" s="19">
        <f t="shared" si="1060"/>
        <v>5.0166873898851625E-4</v>
      </c>
      <c r="KW220" s="32" t="s">
        <v>422</v>
      </c>
      <c r="KX220" s="12">
        <v>18.04</v>
      </c>
      <c r="KY220" s="12">
        <f>0.5*SQRT(3)</f>
        <v>0.8660254037844386</v>
      </c>
      <c r="KZ220" s="13">
        <v>3</v>
      </c>
      <c r="LA220" s="19">
        <f>KY220/KX220</f>
        <v>4.8005842781842493E-2</v>
      </c>
      <c r="LB220" s="12">
        <v>17.72</v>
      </c>
      <c r="LC220" s="12">
        <f>0.68*SQRT(3)</f>
        <v>1.1777945491468367</v>
      </c>
      <c r="LD220" s="13">
        <v>3</v>
      </c>
      <c r="LE220" s="19">
        <f>LC220/LB220</f>
        <v>6.6466961012801168E-2</v>
      </c>
      <c r="LF220" s="19">
        <f t="shared" si="1061"/>
        <v>-1.7897569457542676E-2</v>
      </c>
      <c r="LG220" s="19">
        <f t="shared" si="1062"/>
        <v>2.2408059491574035E-3</v>
      </c>
      <c r="LH220" s="32" t="s">
        <v>423</v>
      </c>
      <c r="LI220" s="12">
        <v>1.23</v>
      </c>
      <c r="LJ220" s="12">
        <f>0.29*SQRT(3)</f>
        <v>0.50229473419497439</v>
      </c>
      <c r="LK220" s="13">
        <v>3</v>
      </c>
      <c r="LL220" s="19">
        <f>LJ220/LI220</f>
        <v>0.40836970259754019</v>
      </c>
      <c r="LM220" s="12">
        <v>0.98</v>
      </c>
      <c r="LN220" s="12">
        <f>0.16*SQRT(3)</f>
        <v>0.27712812921102037</v>
      </c>
      <c r="LO220" s="13">
        <v>3</v>
      </c>
      <c r="LP220" s="19">
        <f>LN220/LM220</f>
        <v>0.28278380531736774</v>
      </c>
      <c r="LQ220" s="19">
        <f t="shared" si="1063"/>
        <v>-0.22721687670184557</v>
      </c>
      <c r="LR220" s="19">
        <f t="shared" si="1064"/>
        <v>8.224416484979144E-2</v>
      </c>
      <c r="LT220" s="12" t="str">
        <f t="shared" si="1019"/>
        <v>0-10</v>
      </c>
      <c r="LU220" s="12">
        <f t="shared" si="1020"/>
        <v>25.036393264530147</v>
      </c>
      <c r="LV220" s="12">
        <f t="shared" si="1021"/>
        <v>0.68391387753328314</v>
      </c>
      <c r="LW220" s="13">
        <f t="shared" si="1022"/>
        <v>3</v>
      </c>
      <c r="LX220" s="19">
        <f t="shared" si="1065"/>
        <v>2.7316789215889401E-2</v>
      </c>
      <c r="LY220" s="12">
        <f>AX220/KQ220</f>
        <v>25.083528037383175</v>
      </c>
      <c r="LZ220" s="12">
        <f>SQRT((1/KQ220)^2*AY220^2+AX220^2*(-1/KQ220^2)^2*KR220^2)</f>
        <v>1.168873957582315</v>
      </c>
      <c r="MA220" s="13">
        <f t="shared" si="1023"/>
        <v>3</v>
      </c>
      <c r="MB220" s="19">
        <f t="shared" si="1066"/>
        <v>4.6599264499008537E-2</v>
      </c>
      <c r="MC220" s="19">
        <f t="shared" si="1067"/>
        <v>1.8808803176230541E-3</v>
      </c>
      <c r="MD220" s="19">
        <f t="shared" si="1068"/>
        <v>9.7256614163796287E-4</v>
      </c>
      <c r="ME220" s="12" t="str">
        <f t="shared" si="1069"/>
        <v>10-20</v>
      </c>
      <c r="MF220" s="12">
        <f>BE220/KX220</f>
        <v>25.054323725055436</v>
      </c>
      <c r="MG220" s="12">
        <f>SQRT((1/KX220)^2*BF220^2+BE220^2*(-1/KX220^2)^2*KY220^2)</f>
        <v>1.6808975158268999</v>
      </c>
      <c r="MH220" s="13">
        <f t="shared" si="1070"/>
        <v>3</v>
      </c>
      <c r="MI220" s="19">
        <f>MG220/MF220</f>
        <v>6.7090117229782892E-2</v>
      </c>
      <c r="MJ220" s="12">
        <f>BI220/LB220</f>
        <v>25.066027088036119</v>
      </c>
      <c r="MK220" s="12">
        <f>SQRT((1/LB220)^2*BJ220^2+BI220^2*(-1/LB220^2)^2*LC220^2)</f>
        <v>2.3215338587927454</v>
      </c>
      <c r="ML220" s="13">
        <f>LD220</f>
        <v>3</v>
      </c>
      <c r="MM220" s="19">
        <f>MK220/MJ220</f>
        <v>9.2616745790592439E-2</v>
      </c>
      <c r="MN220" s="19">
        <f t="shared" si="1071"/>
        <v>4.6701042604568985E-4</v>
      </c>
      <c r="MO220" s="19">
        <f t="shared" si="1072"/>
        <v>4.3596484769150776E-3</v>
      </c>
      <c r="MP220" s="12" t="str">
        <f t="shared" si="1073"/>
        <v>20-30</v>
      </c>
      <c r="MQ220" s="12">
        <f>BP220/LI220</f>
        <v>34.024390243902438</v>
      </c>
      <c r="MR220" s="12">
        <f>SQRT((1/LI220)^2*BQ220^2+BP220^2*(-1/LI220^2)^2*LJ220^2)</f>
        <v>17.126006107104885</v>
      </c>
      <c r="MS220" s="13">
        <f t="shared" si="1074"/>
        <v>3</v>
      </c>
      <c r="MT220" s="19">
        <f>MR220/MQ220</f>
        <v>0.5033449823593551</v>
      </c>
      <c r="MU220" s="12">
        <f>BT220/LM220</f>
        <v>36.540816326530617</v>
      </c>
      <c r="MV220" s="12">
        <f>SQRT((1/LM220)^2*BU220^2+BT220^2*(-1/LM220^2)^2*LN220^2)</f>
        <v>12.343268159043369</v>
      </c>
      <c r="MW220" s="13">
        <f t="shared" si="1075"/>
        <v>3</v>
      </c>
      <c r="MX220" s="19">
        <f>MV220/MU220</f>
        <v>0.33779399038990504</v>
      </c>
      <c r="MY220" s="19">
        <f>LN(MU220/MQ220)</f>
        <v>7.1352263776702812E-2</v>
      </c>
      <c r="MZ220" s="19">
        <f t="shared" si="1077"/>
        <v>0.12248698373662489</v>
      </c>
      <c r="NC220" s="12" t="s">
        <v>37</v>
      </c>
      <c r="ND220" s="12" t="s">
        <v>37</v>
      </c>
      <c r="NE220" s="12" t="s">
        <v>37</v>
      </c>
      <c r="NG220" s="12" t="s">
        <v>37</v>
      </c>
      <c r="NH220" s="12" t="s">
        <v>37</v>
      </c>
      <c r="NI220" s="12" t="s">
        <v>37</v>
      </c>
      <c r="NO220" s="12" t="s">
        <v>37</v>
      </c>
      <c r="NP220" s="12" t="s">
        <v>37</v>
      </c>
      <c r="NQ220" s="12" t="s">
        <v>37</v>
      </c>
      <c r="NS220" s="12" t="s">
        <v>37</v>
      </c>
      <c r="NT220" s="12" t="s">
        <v>37</v>
      </c>
      <c r="NU220" s="12" t="s">
        <v>37</v>
      </c>
      <c r="OA220" s="12" t="s">
        <v>37</v>
      </c>
      <c r="OB220" s="12" t="s">
        <v>37</v>
      </c>
      <c r="OC220" s="12" t="s">
        <v>37</v>
      </c>
      <c r="OD220" s="12"/>
      <c r="OE220" s="12" t="s">
        <v>37</v>
      </c>
      <c r="OF220" s="12" t="s">
        <v>37</v>
      </c>
      <c r="OG220" s="12" t="s">
        <v>37</v>
      </c>
      <c r="OH220" s="12"/>
      <c r="OI220" s="12"/>
      <c r="OJ220" s="12"/>
      <c r="OM220" s="12" t="s">
        <v>37</v>
      </c>
      <c r="ON220" s="12" t="s">
        <v>37</v>
      </c>
      <c r="OO220" s="12" t="s">
        <v>37</v>
      </c>
      <c r="OP220" s="12" t="s">
        <v>37</v>
      </c>
      <c r="OQ220" s="12" t="s">
        <v>37</v>
      </c>
      <c r="OR220" s="12" t="s">
        <v>37</v>
      </c>
      <c r="OS220" s="12"/>
      <c r="OT220" s="12"/>
      <c r="OW220" s="12" t="s">
        <v>37</v>
      </c>
      <c r="OX220" s="12" t="s">
        <v>37</v>
      </c>
      <c r="OY220" s="13" t="s">
        <v>37</v>
      </c>
      <c r="OZ220" s="12" t="s">
        <v>37</v>
      </c>
      <c r="PA220" s="12" t="s">
        <v>37</v>
      </c>
      <c r="PB220" s="13" t="s">
        <v>37</v>
      </c>
      <c r="PG220" s="12" t="s">
        <v>37</v>
      </c>
      <c r="PH220" s="12" t="s">
        <v>37</v>
      </c>
      <c r="PI220" s="12" t="s">
        <v>37</v>
      </c>
      <c r="PJ220" s="12" t="s">
        <v>37</v>
      </c>
      <c r="PK220" s="12" t="s">
        <v>37</v>
      </c>
      <c r="PL220" s="12" t="s">
        <v>37</v>
      </c>
      <c r="PM220" s="12"/>
      <c r="PN220" s="12"/>
      <c r="PQ220" s="12" t="s">
        <v>37</v>
      </c>
      <c r="PR220" s="12" t="s">
        <v>37</v>
      </c>
      <c r="PS220" s="12" t="s">
        <v>37</v>
      </c>
      <c r="PT220" s="12" t="s">
        <v>37</v>
      </c>
      <c r="PU220" s="12" t="s">
        <v>37</v>
      </c>
      <c r="PV220" s="12" t="s">
        <v>37</v>
      </c>
      <c r="PW220" s="12"/>
      <c r="PX220" s="12"/>
      <c r="PZ220" s="12" t="s">
        <v>37</v>
      </c>
      <c r="QA220" s="12" t="s">
        <v>37</v>
      </c>
      <c r="QB220" s="12" t="s">
        <v>37</v>
      </c>
      <c r="QD220" s="12" t="s">
        <v>37</v>
      </c>
      <c r="QE220" s="12" t="s">
        <v>37</v>
      </c>
      <c r="QF220" s="12" t="s">
        <v>37</v>
      </c>
      <c r="QK220" s="12" t="s">
        <v>37</v>
      </c>
      <c r="QL220" s="12" t="s">
        <v>37</v>
      </c>
      <c r="QM220" s="12" t="s">
        <v>37</v>
      </c>
      <c r="QN220" s="12" t="s">
        <v>37</v>
      </c>
      <c r="QO220" s="12" t="s">
        <v>37</v>
      </c>
      <c r="QP220" s="12" t="s">
        <v>37</v>
      </c>
      <c r="QQ220" s="12"/>
      <c r="QR220" s="12"/>
      <c r="QU220" s="12" t="s">
        <v>37</v>
      </c>
      <c r="QV220" s="12" t="s">
        <v>37</v>
      </c>
      <c r="QW220" s="12" t="s">
        <v>37</v>
      </c>
      <c r="QX220" s="12" t="s">
        <v>37</v>
      </c>
      <c r="QY220" s="12" t="s">
        <v>37</v>
      </c>
      <c r="QZ220" s="12" t="s">
        <v>37</v>
      </c>
      <c r="RC220" s="12" t="s">
        <v>37</v>
      </c>
      <c r="RD220" s="12" t="s">
        <v>37</v>
      </c>
      <c r="RE220" s="13" t="s">
        <v>37</v>
      </c>
      <c r="RF220" s="12" t="s">
        <v>37</v>
      </c>
      <c r="RG220" s="12" t="s">
        <v>37</v>
      </c>
      <c r="RH220" s="13" t="s">
        <v>37</v>
      </c>
      <c r="RK220" s="12" t="s">
        <v>37</v>
      </c>
      <c r="RL220" s="12" t="s">
        <v>37</v>
      </c>
      <c r="RM220" s="11" t="s">
        <v>37</v>
      </c>
      <c r="RN220" s="12" t="s">
        <v>37</v>
      </c>
      <c r="RO220" s="12" t="s">
        <v>37</v>
      </c>
      <c r="RP220" s="11" t="s">
        <v>37</v>
      </c>
      <c r="RS220" s="12" t="s">
        <v>37</v>
      </c>
      <c r="RT220" s="12" t="s">
        <v>37</v>
      </c>
      <c r="RU220" s="12" t="s">
        <v>37</v>
      </c>
      <c r="RV220" s="12" t="s">
        <v>37</v>
      </c>
      <c r="RW220" s="12" t="s">
        <v>37</v>
      </c>
      <c r="RX220" s="12" t="s">
        <v>37</v>
      </c>
      <c r="SA220" s="12" t="s">
        <v>37</v>
      </c>
      <c r="SB220" s="12" t="s">
        <v>37</v>
      </c>
      <c r="SC220" s="12" t="s">
        <v>37</v>
      </c>
      <c r="SD220" s="12" t="s">
        <v>37</v>
      </c>
      <c r="SE220" s="12" t="s">
        <v>37</v>
      </c>
      <c r="SF220" s="12" t="s">
        <v>37</v>
      </c>
      <c r="SI220" s="12" t="s">
        <v>37</v>
      </c>
      <c r="SJ220" s="12" t="s">
        <v>37</v>
      </c>
      <c r="SK220" s="13" t="s">
        <v>37</v>
      </c>
      <c r="SM220" s="12" t="s">
        <v>37</v>
      </c>
      <c r="SN220" s="12" t="s">
        <v>37</v>
      </c>
      <c r="SO220" s="13" t="s">
        <v>37</v>
      </c>
      <c r="SU220" s="12" t="s">
        <v>37</v>
      </c>
      <c r="SV220" s="12" t="s">
        <v>37</v>
      </c>
      <c r="SW220" s="12" t="s">
        <v>37</v>
      </c>
      <c r="SX220" s="12" t="s">
        <v>37</v>
      </c>
      <c r="SY220" s="12" t="s">
        <v>37</v>
      </c>
      <c r="SZ220" s="12" t="s">
        <v>37</v>
      </c>
      <c r="TA220" s="12"/>
      <c r="TB220" s="12"/>
      <c r="TE220" s="12" t="s">
        <v>37</v>
      </c>
      <c r="TF220" s="12" t="s">
        <v>37</v>
      </c>
      <c r="TG220" s="12" t="s">
        <v>37</v>
      </c>
      <c r="TH220" s="12" t="s">
        <v>37</v>
      </c>
      <c r="TI220" s="12" t="s">
        <v>37</v>
      </c>
      <c r="TJ220" s="12" t="s">
        <v>37</v>
      </c>
      <c r="TK220" s="12"/>
      <c r="TL220" s="12"/>
      <c r="TO220" s="12" t="s">
        <v>37</v>
      </c>
      <c r="TP220" s="12" t="s">
        <v>37</v>
      </c>
      <c r="TQ220" s="12" t="s">
        <v>37</v>
      </c>
      <c r="TR220" s="12" t="s">
        <v>37</v>
      </c>
      <c r="TS220" s="12" t="s">
        <v>37</v>
      </c>
      <c r="TT220" s="12" t="s">
        <v>37</v>
      </c>
      <c r="TU220" s="12"/>
      <c r="TV220" s="12"/>
      <c r="TY220" s="12" t="s">
        <v>37</v>
      </c>
      <c r="TZ220" s="12" t="s">
        <v>37</v>
      </c>
      <c r="UA220" s="12" t="s">
        <v>37</v>
      </c>
      <c r="UB220" s="12" t="s">
        <v>37</v>
      </c>
      <c r="UC220" s="12" t="s">
        <v>37</v>
      </c>
      <c r="UD220" s="12" t="s">
        <v>37</v>
      </c>
      <c r="UE220" s="12"/>
      <c r="UF220" s="12"/>
      <c r="UI220" s="12" t="s">
        <v>37</v>
      </c>
      <c r="UJ220" s="12" t="s">
        <v>37</v>
      </c>
      <c r="UK220" s="12" t="s">
        <v>37</v>
      </c>
      <c r="UL220" s="12" t="s">
        <v>37</v>
      </c>
      <c r="UM220" s="12" t="s">
        <v>37</v>
      </c>
      <c r="UN220" s="12" t="s">
        <v>37</v>
      </c>
      <c r="UO220" s="12"/>
      <c r="UP220" s="12"/>
      <c r="UR220" s="12" t="s">
        <v>37</v>
      </c>
      <c r="US220" s="12" t="s">
        <v>37</v>
      </c>
      <c r="UT220" s="12" t="s">
        <v>37</v>
      </c>
      <c r="UU220" s="12" t="s">
        <v>37</v>
      </c>
      <c r="UV220" s="12" t="s">
        <v>37</v>
      </c>
      <c r="UW220" s="12" t="s">
        <v>37</v>
      </c>
      <c r="UX220" s="12"/>
      <c r="UY220" s="12"/>
      <c r="VB220" s="12" t="s">
        <v>37</v>
      </c>
      <c r="VC220" s="12" t="s">
        <v>37</v>
      </c>
      <c r="VD220" s="12" t="s">
        <v>37</v>
      </c>
      <c r="VE220" s="12" t="s">
        <v>37</v>
      </c>
      <c r="VF220" s="12" t="s">
        <v>37</v>
      </c>
      <c r="VG220" s="12" t="s">
        <v>37</v>
      </c>
      <c r="VI220" s="12" t="s">
        <v>37</v>
      </c>
      <c r="VJ220" s="12" t="s">
        <v>37</v>
      </c>
      <c r="VK220" s="12" t="s">
        <v>37</v>
      </c>
      <c r="VL220" s="12" t="s">
        <v>37</v>
      </c>
      <c r="VM220" s="12" t="s">
        <v>37</v>
      </c>
      <c r="VN220" s="12" t="s">
        <v>37</v>
      </c>
      <c r="VQ220" s="12" t="s">
        <v>37</v>
      </c>
      <c r="VR220" s="12" t="s">
        <v>37</v>
      </c>
      <c r="VS220" s="12" t="s">
        <v>37</v>
      </c>
      <c r="VT220" s="12" t="s">
        <v>37</v>
      </c>
      <c r="VU220" s="12" t="s">
        <v>37</v>
      </c>
      <c r="VV220" s="12" t="s">
        <v>37</v>
      </c>
      <c r="VW220" s="12"/>
      <c r="VX220" s="12"/>
      <c r="WA220" s="12" t="s">
        <v>37</v>
      </c>
      <c r="WB220" s="12" t="s">
        <v>37</v>
      </c>
      <c r="WC220" s="12" t="s">
        <v>37</v>
      </c>
      <c r="WD220" s="12" t="s">
        <v>37</v>
      </c>
      <c r="WE220" s="12" t="s">
        <v>37</v>
      </c>
      <c r="WF220" s="12" t="s">
        <v>37</v>
      </c>
    </row>
    <row r="221" spans="1:606" ht="18" customHeight="1" x14ac:dyDescent="0.3">
      <c r="A221" s="11">
        <v>61</v>
      </c>
      <c r="B221" s="16" t="s">
        <v>361</v>
      </c>
      <c r="C221" s="12" t="s">
        <v>26</v>
      </c>
      <c r="D221" s="12" t="s">
        <v>54</v>
      </c>
      <c r="E221" s="40">
        <v>2.9</v>
      </c>
      <c r="F221" s="14">
        <v>0</v>
      </c>
      <c r="G221" s="14">
        <v>0</v>
      </c>
      <c r="H221" s="12" t="s">
        <v>88</v>
      </c>
      <c r="I221" s="29">
        <v>-2.5830000000000002</v>
      </c>
      <c r="J221" s="29">
        <v>113.167</v>
      </c>
      <c r="K221" s="12" t="s">
        <v>763</v>
      </c>
      <c r="L221" s="12" t="s">
        <v>764</v>
      </c>
      <c r="M221" s="13" t="s">
        <v>37</v>
      </c>
      <c r="N221" s="14">
        <v>26.1</v>
      </c>
      <c r="O221" s="14">
        <v>2452</v>
      </c>
      <c r="P221" s="14" t="s">
        <v>89</v>
      </c>
      <c r="Q221" s="75">
        <v>15</v>
      </c>
      <c r="R221" s="11" t="s">
        <v>1000</v>
      </c>
      <c r="S221" s="12" t="s">
        <v>105</v>
      </c>
      <c r="T221" s="12" t="s">
        <v>37</v>
      </c>
      <c r="U221" s="12" t="s">
        <v>158</v>
      </c>
      <c r="V221" s="12" t="s">
        <v>275</v>
      </c>
      <c r="W221" s="23" t="s">
        <v>362</v>
      </c>
      <c r="X221" s="12" t="s">
        <v>49</v>
      </c>
      <c r="Y221" s="12" t="s">
        <v>363</v>
      </c>
      <c r="Z221" s="12" t="s">
        <v>37</v>
      </c>
      <c r="AA221" s="32" t="s">
        <v>345</v>
      </c>
      <c r="AB221" s="12">
        <v>3.9</v>
      </c>
      <c r="AC221" s="12" t="s">
        <v>42</v>
      </c>
      <c r="AD221" s="32" t="s">
        <v>345</v>
      </c>
      <c r="AE221" s="12">
        <v>555</v>
      </c>
      <c r="AF221" s="12" t="s">
        <v>42</v>
      </c>
      <c r="AG221" s="32" t="s">
        <v>345</v>
      </c>
      <c r="AH221" s="12">
        <v>18.600000000000001</v>
      </c>
      <c r="AJ221" s="12" t="str">
        <f t="shared" si="1001"/>
        <v>0-10</v>
      </c>
      <c r="AK221" s="19">
        <f t="shared" si="1002"/>
        <v>29.838709677419352</v>
      </c>
      <c r="AL221" s="32" t="s">
        <v>643</v>
      </c>
      <c r="AM221" s="12" t="s">
        <v>894</v>
      </c>
      <c r="AN221" s="32" t="s">
        <v>878</v>
      </c>
      <c r="AO221" s="12" t="s">
        <v>847</v>
      </c>
      <c r="AP221" s="12" t="s">
        <v>108</v>
      </c>
      <c r="AQ221" s="12" t="s">
        <v>975</v>
      </c>
      <c r="AR221" s="12" t="s">
        <v>42</v>
      </c>
      <c r="AS221" s="32" t="s">
        <v>345</v>
      </c>
      <c r="AT221" s="12">
        <v>555</v>
      </c>
      <c r="AU221" s="12">
        <v>8</v>
      </c>
      <c r="AV221" s="13">
        <v>2</v>
      </c>
      <c r="AW221" s="19">
        <f t="shared" si="1035"/>
        <v>1.4414414414414415E-2</v>
      </c>
      <c r="AX221" s="12">
        <v>513</v>
      </c>
      <c r="AY221" s="12">
        <v>15</v>
      </c>
      <c r="AZ221" s="13">
        <v>6</v>
      </c>
      <c r="BA221" s="19">
        <f t="shared" si="1036"/>
        <v>2.9239766081871343E-2</v>
      </c>
      <c r="BB221" s="52">
        <f t="shared" si="1037"/>
        <v>-7.8692268575664984E-2</v>
      </c>
      <c r="BC221" s="19">
        <f t="shared" si="1038"/>
        <v>2.4638165820899799E-4</v>
      </c>
      <c r="BE221" s="12" t="s">
        <v>326</v>
      </c>
      <c r="BF221" s="12" t="s">
        <v>326</v>
      </c>
      <c r="BG221" s="12" t="s">
        <v>326</v>
      </c>
      <c r="BI221" s="12" t="s">
        <v>326</v>
      </c>
      <c r="BJ221" s="12" t="s">
        <v>326</v>
      </c>
      <c r="BK221" s="12" t="s">
        <v>326</v>
      </c>
      <c r="BP221" s="12" t="s">
        <v>37</v>
      </c>
      <c r="BQ221" s="12" t="s">
        <v>37</v>
      </c>
      <c r="BR221" s="13" t="s">
        <v>37</v>
      </c>
      <c r="BT221" s="12" t="s">
        <v>37</v>
      </c>
      <c r="BU221" s="12" t="s">
        <v>37</v>
      </c>
      <c r="BV221" s="12" t="s">
        <v>37</v>
      </c>
      <c r="CA221" s="12" t="s">
        <v>37</v>
      </c>
      <c r="CB221" s="12" t="s">
        <v>37</v>
      </c>
      <c r="CC221" s="13" t="s">
        <v>37</v>
      </c>
      <c r="CE221" s="12" t="s">
        <v>37</v>
      </c>
      <c r="CF221" s="12" t="s">
        <v>37</v>
      </c>
      <c r="CG221" s="13" t="s">
        <v>37</v>
      </c>
      <c r="CN221" s="12" t="s">
        <v>37</v>
      </c>
      <c r="CO221" s="12" t="s">
        <v>37</v>
      </c>
      <c r="CP221" s="13" t="s">
        <v>37</v>
      </c>
      <c r="CR221" s="12" t="s">
        <v>37</v>
      </c>
      <c r="CS221" s="12" t="s">
        <v>37</v>
      </c>
      <c r="CT221" s="13" t="s">
        <v>37</v>
      </c>
      <c r="CX221" s="72"/>
      <c r="CY221" s="72"/>
      <c r="DA221" s="12" t="s">
        <v>37</v>
      </c>
      <c r="DB221" s="12" t="s">
        <v>37</v>
      </c>
      <c r="DC221" s="13" t="s">
        <v>37</v>
      </c>
      <c r="DE221" s="12" t="s">
        <v>37</v>
      </c>
      <c r="DF221" s="12" t="s">
        <v>37</v>
      </c>
      <c r="DG221" s="13" t="s">
        <v>37</v>
      </c>
      <c r="DM221" s="11" t="s">
        <v>47</v>
      </c>
      <c r="DN221" s="19">
        <f>(0.76*16/12*10^4*("2011/10/31"-"2011/07/01")*24/10^6)/(1-'[1]classes-1'!$I$2)</f>
        <v>102.01732234975572</v>
      </c>
      <c r="DO221" s="12">
        <f>SQRT((1/[2]Classes!$I$58)^2*(1.03*16/12*10^4*("2011/10/31"-"2011/07/01")*24/10^6)^2+(-DN221/([2]Classes!$I$2)^2)^2*([2]Classes!$J$2)^2)</f>
        <v>83.345787424497175</v>
      </c>
      <c r="DP221" s="13">
        <v>2</v>
      </c>
      <c r="DQ221" s="19">
        <f t="shared" si="1005"/>
        <v>0.81697681829714042</v>
      </c>
      <c r="DR221" s="19">
        <f>0.01*16/12*10^4*("2011/10/31"-"2011/07/01")*24/10^6/(1-'[1]classes-1'!$I$3)</f>
        <v>0.61419354838709672</v>
      </c>
      <c r="DS221" s="12">
        <f>SQRT((1/[2]Classes!$I$3)^2*(0.11*16/12*10^4*("2011/10/31"-"2011/07/01")*24/10^6)^2+(-DR221/([2]Classes!$I$3)^2)^2*([2]Classes!$J$3)^2)</f>
        <v>11.86963649409887</v>
      </c>
      <c r="DT221" s="13">
        <v>6</v>
      </c>
      <c r="DU221" s="19">
        <f t="shared" si="1006"/>
        <v>19.325563619593751</v>
      </c>
      <c r="DV221" s="19">
        <f t="shared" si="1007"/>
        <v>-101.40312880136862</v>
      </c>
      <c r="DW221" s="12">
        <f t="shared" si="914"/>
        <v>35.709386333567096</v>
      </c>
      <c r="DX221" s="72">
        <f>(((DP221+DT221)/(DP221*DT221))*(((DP221-1)*DO221^2)+(DT221-1)*DS221^2)/(DP221+DT221-2))</f>
        <v>850.10684821329869</v>
      </c>
      <c r="DY221" s="72">
        <f>(DO221^2/DP221)+(DS221^2/DT221)</f>
        <v>3496.7415191217428</v>
      </c>
      <c r="DZ221" s="11" t="s">
        <v>47</v>
      </c>
      <c r="EA221" s="19">
        <f>(15.2*44/28*10^4*("2011/10/31"-"2011/07/01")*24/10^9)/(1-AVERAGEA('[3]Wet season flux for tropical'!$AZ$2,'[3]Wet season flux for tropical'!$AZ$3))</f>
        <v>1.1800914940670852</v>
      </c>
      <c r="EB221" s="19">
        <f>16*44/28*10^4*("2011/10/31"-"2011/07/01")*24/10^9</f>
        <v>0.73618285714285703</v>
      </c>
      <c r="EC221" s="72">
        <v>2</v>
      </c>
      <c r="ED221" s="52">
        <f t="shared" si="1008"/>
        <v>0.62383540669856474</v>
      </c>
      <c r="EE221" s="19">
        <f>(8.7*44/28*10^4*("2011/10/31"-"2011/07/01")*24/10^9)/(1-'[3]Wet season flux for tropical'!$BC$2)</f>
        <v>0.9163634502292034</v>
      </c>
      <c r="EF221" s="19">
        <f>12.1*44/28*10^4*("2011/10/31"-"2011/07/01")*24/10^9</f>
        <v>0.55673828571428574</v>
      </c>
      <c r="EG221" s="13">
        <v>6</v>
      </c>
      <c r="EH221" s="52">
        <f t="shared" si="1009"/>
        <v>0.60755182408795638</v>
      </c>
      <c r="EI221" s="19">
        <f t="shared" si="1010"/>
        <v>-0.26372804383788184</v>
      </c>
      <c r="EJ221" s="12">
        <f t="shared" si="995"/>
        <v>0.59044514182824082</v>
      </c>
      <c r="EK221" s="19">
        <f t="shared" si="996"/>
        <v>0.23241697700571429</v>
      </c>
      <c r="EL221" s="19">
        <f t="shared" si="997"/>
        <v>0.32264218603885708</v>
      </c>
      <c r="EM221" s="12" t="s">
        <v>39</v>
      </c>
      <c r="EN221" s="12">
        <v>-16</v>
      </c>
      <c r="EO221" s="12">
        <v>0.7</v>
      </c>
      <c r="EP221" s="13">
        <v>2</v>
      </c>
      <c r="EQ221" s="19">
        <f t="shared" si="1030"/>
        <v>4.3749999999999997E-2</v>
      </c>
      <c r="ER221" s="12">
        <v>-44</v>
      </c>
      <c r="ES221" s="12">
        <v>14</v>
      </c>
      <c r="ET221" s="13">
        <v>6</v>
      </c>
      <c r="EU221" s="19">
        <f t="shared" si="1031"/>
        <v>0.31818181818181818</v>
      </c>
      <c r="EV221" s="19">
        <f t="shared" ref="EV221" si="1082">ER221-EN221</f>
        <v>-28</v>
      </c>
      <c r="EW221" s="12">
        <f>SQRT(((EP221-1)*EO221^2+(ET221-1)*ES221^2)/(EP221+ET221-2))</f>
        <v>12.783387657424772</v>
      </c>
      <c r="EX221" s="19">
        <f>(((EP221+ET221)/(EP221*ET221))*(((EP221-1)*EO221^2)+(ET221-1)*ES221^2)/(EP221+ET221-2))</f>
        <v>108.94333333333333</v>
      </c>
      <c r="EY221" s="19">
        <f>(EO221^2/EP221)+(ES221^2/ET221)</f>
        <v>32.911666666666662</v>
      </c>
      <c r="FB221" s="12" t="s">
        <v>37</v>
      </c>
      <c r="FC221" s="12" t="s">
        <v>37</v>
      </c>
      <c r="FD221" s="11" t="s">
        <v>37</v>
      </c>
      <c r="FE221" s="12" t="s">
        <v>37</v>
      </c>
      <c r="FF221" s="20" t="s">
        <v>37</v>
      </c>
      <c r="FG221" s="11" t="s">
        <v>37</v>
      </c>
      <c r="FI221" s="12" t="s">
        <v>37</v>
      </c>
      <c r="FJ221" s="12" t="s">
        <v>37</v>
      </c>
      <c r="FK221" s="11" t="s">
        <v>37</v>
      </c>
      <c r="FL221" s="13" t="s">
        <v>37</v>
      </c>
      <c r="FM221" s="11" t="s">
        <v>37</v>
      </c>
      <c r="FN221" s="11" t="s">
        <v>37</v>
      </c>
      <c r="FP221" s="12" t="s">
        <v>37</v>
      </c>
      <c r="FQ221" s="12" t="s">
        <v>37</v>
      </c>
      <c r="FR221" s="11" t="s">
        <v>37</v>
      </c>
      <c r="FS221" s="13" t="s">
        <v>37</v>
      </c>
      <c r="FT221" s="11" t="s">
        <v>37</v>
      </c>
      <c r="FU221" s="11" t="s">
        <v>37</v>
      </c>
      <c r="FW221" s="12" t="s">
        <v>37</v>
      </c>
      <c r="FX221" s="12" t="s">
        <v>37</v>
      </c>
      <c r="FY221" s="11" t="s">
        <v>37</v>
      </c>
      <c r="FZ221" s="13" t="s">
        <v>37</v>
      </c>
      <c r="GA221" s="11" t="s">
        <v>37</v>
      </c>
      <c r="GB221" s="11" t="s">
        <v>37</v>
      </c>
      <c r="GC221" s="12" t="s">
        <v>90</v>
      </c>
      <c r="GD221" s="12" t="s">
        <v>364</v>
      </c>
      <c r="GE221" s="12">
        <v>100</v>
      </c>
      <c r="GF221" s="12">
        <v>0</v>
      </c>
      <c r="GG221" s="13">
        <v>2</v>
      </c>
      <c r="GH221" s="19">
        <f>GF221/GE221</f>
        <v>0</v>
      </c>
      <c r="GI221" s="12">
        <v>60</v>
      </c>
      <c r="GJ221" s="12">
        <v>6</v>
      </c>
      <c r="GK221" s="13">
        <v>6</v>
      </c>
      <c r="GL221" s="19">
        <f>GJ221/GI221</f>
        <v>0.1</v>
      </c>
      <c r="GM221" s="19">
        <f>LN(GI221/GE221)</f>
        <v>-0.51082562376599072</v>
      </c>
      <c r="GN221" s="19">
        <f>GJ221^2/(GK221*GI221^2)+GF221^2/(GG221*GE221^2)</f>
        <v>1.6666666666666668E-3</v>
      </c>
      <c r="GO221" s="12" t="s">
        <v>660</v>
      </c>
      <c r="GP221" s="12" t="s">
        <v>364</v>
      </c>
      <c r="GQ221" s="12">
        <v>25.3</v>
      </c>
      <c r="GR221" s="12">
        <v>0.7</v>
      </c>
      <c r="GS221" s="13">
        <v>2</v>
      </c>
      <c r="GT221" s="19">
        <f t="shared" ref="GT221" si="1083">GR221/GQ221</f>
        <v>2.7667984189723317E-2</v>
      </c>
      <c r="GU221" s="12">
        <v>26.7</v>
      </c>
      <c r="GV221" s="12">
        <v>0.5</v>
      </c>
      <c r="GW221" s="13">
        <v>6</v>
      </c>
      <c r="GX221" s="19">
        <f>GV221/GU221</f>
        <v>1.8726591760299626E-2</v>
      </c>
      <c r="GY221" s="19">
        <f>LN(GU221/GQ221)</f>
        <v>5.3859169672729204E-2</v>
      </c>
      <c r="GZ221" s="19">
        <f t="shared" ref="GZ221" si="1084">GV221^2/(GW221*GU221^2)+GR221^2/(GS221*GQ221^2)</f>
        <v>4.4120621438754339E-4</v>
      </c>
      <c r="IK221" s="12" t="s">
        <v>37</v>
      </c>
      <c r="IL221" s="12" t="s">
        <v>37</v>
      </c>
      <c r="IM221" s="12" t="s">
        <v>37</v>
      </c>
      <c r="IO221" s="12" t="s">
        <v>37</v>
      </c>
      <c r="IP221" s="12" t="s">
        <v>37</v>
      </c>
      <c r="IQ221" s="12" t="s">
        <v>37</v>
      </c>
      <c r="IV221" s="32" t="s">
        <v>345</v>
      </c>
      <c r="IW221" s="12">
        <v>3.9</v>
      </c>
      <c r="IX221" s="12">
        <v>0.1</v>
      </c>
      <c r="IY221" s="13">
        <v>2</v>
      </c>
      <c r="IZ221" s="19">
        <f>IX221/IW221</f>
        <v>2.5641025641025644E-2</v>
      </c>
      <c r="JA221" s="12">
        <v>3.6</v>
      </c>
      <c r="JB221" s="12">
        <v>0.1</v>
      </c>
      <c r="JC221" s="13">
        <v>6</v>
      </c>
      <c r="JD221" s="19">
        <f t="shared" ref="JD221" si="1085">JB221/JA221</f>
        <v>2.777777777777778E-2</v>
      </c>
      <c r="JE221" s="19">
        <f t="shared" si="1053"/>
        <v>-8.004270767353637E-2</v>
      </c>
      <c r="JF221" s="19">
        <f t="shared" si="1054"/>
        <v>4.5733192100713476E-4</v>
      </c>
      <c r="JH221" s="12" t="s">
        <v>37</v>
      </c>
      <c r="JI221" s="12" t="s">
        <v>37</v>
      </c>
      <c r="JJ221" s="13" t="s">
        <v>37</v>
      </c>
      <c r="JL221" s="12" t="s">
        <v>37</v>
      </c>
      <c r="JM221" s="12" t="s">
        <v>37</v>
      </c>
      <c r="JN221" s="12" t="s">
        <v>37</v>
      </c>
      <c r="JS221" s="12" t="s">
        <v>37</v>
      </c>
      <c r="JT221" s="12" t="s">
        <v>37</v>
      </c>
      <c r="JU221" s="13" t="s">
        <v>37</v>
      </c>
      <c r="JW221" s="12" t="s">
        <v>37</v>
      </c>
      <c r="JX221" s="12" t="s">
        <v>37</v>
      </c>
      <c r="JY221" s="12" t="s">
        <v>37</v>
      </c>
      <c r="KE221" s="12" t="s">
        <v>37</v>
      </c>
      <c r="KF221" s="12" t="s">
        <v>37</v>
      </c>
      <c r="KG221" s="13" t="s">
        <v>37</v>
      </c>
      <c r="KH221" s="12" t="s">
        <v>37</v>
      </c>
      <c r="KI221" s="12" t="s">
        <v>37</v>
      </c>
      <c r="KJ221" s="12" t="s">
        <v>37</v>
      </c>
      <c r="KK221" s="12" t="s">
        <v>42</v>
      </c>
      <c r="KL221" s="32" t="s">
        <v>345</v>
      </c>
      <c r="KM221" s="12">
        <v>18.600000000000001</v>
      </c>
      <c r="KN221" s="12">
        <v>0.8</v>
      </c>
      <c r="KO221" s="11">
        <v>2</v>
      </c>
      <c r="KP221" s="19">
        <f t="shared" si="1057"/>
        <v>4.301075268817204E-2</v>
      </c>
      <c r="KQ221" s="12">
        <v>22.2</v>
      </c>
      <c r="KR221" s="12">
        <v>1.3</v>
      </c>
      <c r="KS221" s="13">
        <v>6</v>
      </c>
      <c r="KT221" s="19">
        <f>KR221/KQ221</f>
        <v>5.8558558558558564E-2</v>
      </c>
      <c r="KU221" s="19">
        <f t="shared" si="1059"/>
        <v>0.17693070815907805</v>
      </c>
      <c r="KV221" s="19">
        <f t="shared" si="1060"/>
        <v>1.4964798868109049E-3</v>
      </c>
      <c r="KX221" s="12" t="s">
        <v>37</v>
      </c>
      <c r="KY221" s="12" t="s">
        <v>37</v>
      </c>
      <c r="KZ221" s="12" t="s">
        <v>37</v>
      </c>
      <c r="LB221" s="12" t="s">
        <v>37</v>
      </c>
      <c r="LC221" s="12" t="s">
        <v>37</v>
      </c>
      <c r="LD221" s="12" t="s">
        <v>37</v>
      </c>
      <c r="LI221" s="12" t="s">
        <v>37</v>
      </c>
      <c r="LJ221" s="12" t="s">
        <v>37</v>
      </c>
      <c r="LK221" s="12" t="s">
        <v>37</v>
      </c>
      <c r="LM221" s="12" t="s">
        <v>37</v>
      </c>
      <c r="LN221" s="12" t="s">
        <v>37</v>
      </c>
      <c r="LO221" s="12" t="s">
        <v>37</v>
      </c>
      <c r="LT221" s="12" t="str">
        <f t="shared" si="1019"/>
        <v>0-10</v>
      </c>
      <c r="LU221" s="12">
        <f t="shared" si="1020"/>
        <v>29.838709677419352</v>
      </c>
      <c r="LV221" s="12">
        <f t="shared" si="1021"/>
        <v>1.3535399784571063</v>
      </c>
      <c r="LW221" s="13">
        <f t="shared" si="1022"/>
        <v>2</v>
      </c>
      <c r="LX221" s="19">
        <f t="shared" si="1065"/>
        <v>4.5361880359103025E-2</v>
      </c>
      <c r="LY221" s="12">
        <f>AX221/KQ221</f>
        <v>23.108108108108109</v>
      </c>
      <c r="LZ221" s="12">
        <f>SQRT((1/KQ221)^2*AY221^2+AX221^2*(-1/KQ221^2)^2*KR221^2)</f>
        <v>1.5124903206791911</v>
      </c>
      <c r="MA221" s="13">
        <f t="shared" si="1023"/>
        <v>6</v>
      </c>
      <c r="MB221" s="19">
        <f t="shared" si="1066"/>
        <v>6.5452797503076102E-2</v>
      </c>
      <c r="MC221" s="19">
        <f t="shared" si="1067"/>
        <v>-0.2556229767347431</v>
      </c>
      <c r="MD221" s="19">
        <f t="shared" si="1068"/>
        <v>1.7428615450199025E-3</v>
      </c>
      <c r="MF221" s="12" t="s">
        <v>37</v>
      </c>
      <c r="MG221" s="12" t="s">
        <v>37</v>
      </c>
      <c r="MH221" s="12" t="s">
        <v>37</v>
      </c>
      <c r="MJ221" s="12" t="s">
        <v>37</v>
      </c>
      <c r="MK221" s="12" t="s">
        <v>37</v>
      </c>
      <c r="ML221" s="12" t="s">
        <v>37</v>
      </c>
      <c r="MQ221" s="12" t="s">
        <v>37</v>
      </c>
      <c r="MR221" s="12" t="s">
        <v>37</v>
      </c>
      <c r="MS221" s="12" t="s">
        <v>37</v>
      </c>
      <c r="MU221" s="12" t="s">
        <v>37</v>
      </c>
      <c r="MV221" s="12" t="s">
        <v>37</v>
      </c>
      <c r="MW221" s="12" t="s">
        <v>37</v>
      </c>
      <c r="NA221" s="12" t="s">
        <v>102</v>
      </c>
      <c r="NB221" s="12" t="s">
        <v>345</v>
      </c>
      <c r="NC221" s="12">
        <v>0.7</v>
      </c>
      <c r="ND221" s="12">
        <v>0.3</v>
      </c>
      <c r="NE221" s="13">
        <v>2</v>
      </c>
      <c r="NF221" s="19">
        <f t="shared" ref="NF221" si="1086">ND221/NC221</f>
        <v>0.4285714285714286</v>
      </c>
      <c r="NG221" s="12">
        <v>40.700000000000003</v>
      </c>
      <c r="NH221" s="12">
        <v>24.7</v>
      </c>
      <c r="NI221" s="13">
        <v>6</v>
      </c>
      <c r="NJ221" s="19">
        <f t="shared" ref="NJ221" si="1087">NH221/NG221</f>
        <v>0.60687960687960685</v>
      </c>
      <c r="NK221" s="19">
        <f t="shared" ref="NK221" si="1088">LN(NG221/NC221)</f>
        <v>4.062903036387282</v>
      </c>
      <c r="NL221" s="19">
        <f t="shared" ref="NL221" si="1089">NH221^2/(NI221*NG221^2)+ND221^2/(NE221*NC221^2)</f>
        <v>0.15322054423493522</v>
      </c>
      <c r="NM221" s="12" t="s">
        <v>102</v>
      </c>
      <c r="NN221" s="12" t="s">
        <v>345</v>
      </c>
      <c r="NO221" s="12">
        <v>25.7</v>
      </c>
      <c r="NP221" s="12">
        <v>7.7</v>
      </c>
      <c r="NQ221" s="13">
        <v>2</v>
      </c>
      <c r="NR221" s="19">
        <f>NP221/NO221</f>
        <v>0.29961089494163423</v>
      </c>
      <c r="NS221" s="12">
        <v>23.2</v>
      </c>
      <c r="NT221" s="12">
        <v>21.3</v>
      </c>
      <c r="NU221" s="13">
        <v>6</v>
      </c>
      <c r="NV221" s="19">
        <f>NT221/NS221</f>
        <v>0.9181034482758621</v>
      </c>
      <c r="NW221" s="19">
        <f t="shared" ref="NW221" si="1090">LN(NS221/NO221)</f>
        <v>-0.10233871322890983</v>
      </c>
      <c r="NX221" s="19">
        <f t="shared" ref="NX221" si="1091">NT221^2/(NU221*NS221^2)+NP221^2/(NQ221*NO221^2)</f>
        <v>0.18536900113986826</v>
      </c>
      <c r="OA221" s="12" t="s">
        <v>37</v>
      </c>
      <c r="OB221" s="12" t="s">
        <v>37</v>
      </c>
      <c r="OC221" s="12" t="s">
        <v>37</v>
      </c>
      <c r="OD221" s="12"/>
      <c r="OE221" s="12" t="s">
        <v>37</v>
      </c>
      <c r="OF221" s="12" t="s">
        <v>37</v>
      </c>
      <c r="OG221" s="12" t="s">
        <v>37</v>
      </c>
      <c r="OH221" s="12"/>
      <c r="OI221" s="12"/>
      <c r="OJ221" s="12"/>
      <c r="OM221" s="12" t="s">
        <v>37</v>
      </c>
      <c r="ON221" s="12" t="s">
        <v>37</v>
      </c>
      <c r="OO221" s="12" t="s">
        <v>37</v>
      </c>
      <c r="OP221" s="12" t="s">
        <v>37</v>
      </c>
      <c r="OQ221" s="12" t="s">
        <v>37</v>
      </c>
      <c r="OR221" s="12" t="s">
        <v>37</v>
      </c>
      <c r="OS221" s="12"/>
      <c r="OT221" s="12"/>
      <c r="OW221" s="12" t="s">
        <v>37</v>
      </c>
      <c r="OX221" s="12" t="s">
        <v>37</v>
      </c>
      <c r="OY221" s="13" t="s">
        <v>37</v>
      </c>
      <c r="OZ221" s="12" t="s">
        <v>37</v>
      </c>
      <c r="PA221" s="12" t="s">
        <v>37</v>
      </c>
      <c r="PB221" s="13" t="s">
        <v>37</v>
      </c>
      <c r="PG221" s="12" t="s">
        <v>37</v>
      </c>
      <c r="PH221" s="12" t="s">
        <v>37</v>
      </c>
      <c r="PI221" s="12" t="s">
        <v>37</v>
      </c>
      <c r="PJ221" s="12" t="s">
        <v>37</v>
      </c>
      <c r="PK221" s="12" t="s">
        <v>37</v>
      </c>
      <c r="PL221" s="12" t="s">
        <v>37</v>
      </c>
      <c r="PM221" s="12"/>
      <c r="PN221" s="12"/>
      <c r="PQ221" s="12" t="s">
        <v>37</v>
      </c>
      <c r="PR221" s="12" t="s">
        <v>37</v>
      </c>
      <c r="PS221" s="12" t="s">
        <v>37</v>
      </c>
      <c r="PT221" s="12" t="s">
        <v>37</v>
      </c>
      <c r="PU221" s="12" t="s">
        <v>37</v>
      </c>
      <c r="PV221" s="12" t="s">
        <v>37</v>
      </c>
      <c r="PW221" s="12"/>
      <c r="PX221" s="12"/>
      <c r="PZ221" s="12" t="s">
        <v>37</v>
      </c>
      <c r="QA221" s="12" t="s">
        <v>37</v>
      </c>
      <c r="QB221" s="12" t="s">
        <v>37</v>
      </c>
      <c r="QD221" s="12" t="s">
        <v>37</v>
      </c>
      <c r="QE221" s="12" t="s">
        <v>37</v>
      </c>
      <c r="QF221" s="12" t="s">
        <v>37</v>
      </c>
      <c r="QK221" s="12" t="s">
        <v>37</v>
      </c>
      <c r="QL221" s="12" t="s">
        <v>37</v>
      </c>
      <c r="QM221" s="12" t="s">
        <v>37</v>
      </c>
      <c r="QN221" s="12" t="s">
        <v>37</v>
      </c>
      <c r="QO221" s="12" t="s">
        <v>37</v>
      </c>
      <c r="QP221" s="12" t="s">
        <v>37</v>
      </c>
      <c r="QQ221" s="12"/>
      <c r="QR221" s="12"/>
      <c r="QU221" s="12" t="s">
        <v>37</v>
      </c>
      <c r="QV221" s="12" t="s">
        <v>37</v>
      </c>
      <c r="QW221" s="12" t="s">
        <v>37</v>
      </c>
      <c r="QX221" s="12" t="s">
        <v>37</v>
      </c>
      <c r="QY221" s="12" t="s">
        <v>37</v>
      </c>
      <c r="QZ221" s="12" t="s">
        <v>37</v>
      </c>
      <c r="RC221" s="12" t="s">
        <v>37</v>
      </c>
      <c r="RD221" s="12" t="s">
        <v>37</v>
      </c>
      <c r="RE221" s="13" t="s">
        <v>37</v>
      </c>
      <c r="RF221" s="12" t="s">
        <v>37</v>
      </c>
      <c r="RG221" s="12" t="s">
        <v>37</v>
      </c>
      <c r="RH221" s="13" t="s">
        <v>37</v>
      </c>
      <c r="RK221" s="12" t="s">
        <v>37</v>
      </c>
      <c r="RL221" s="12" t="s">
        <v>37</v>
      </c>
      <c r="RM221" s="11" t="s">
        <v>37</v>
      </c>
      <c r="RN221" s="12" t="s">
        <v>37</v>
      </c>
      <c r="RO221" s="12" t="s">
        <v>37</v>
      </c>
      <c r="RP221" s="11" t="s">
        <v>37</v>
      </c>
      <c r="RS221" s="12" t="s">
        <v>37</v>
      </c>
      <c r="RT221" s="12" t="s">
        <v>37</v>
      </c>
      <c r="RU221" s="12" t="s">
        <v>37</v>
      </c>
      <c r="RV221" s="12" t="s">
        <v>37</v>
      </c>
      <c r="RW221" s="12" t="s">
        <v>37</v>
      </c>
      <c r="RX221" s="12" t="s">
        <v>37</v>
      </c>
      <c r="SA221" s="12" t="s">
        <v>37</v>
      </c>
      <c r="SB221" s="12" t="s">
        <v>37</v>
      </c>
      <c r="SC221" s="12" t="s">
        <v>37</v>
      </c>
      <c r="SD221" s="12" t="s">
        <v>37</v>
      </c>
      <c r="SE221" s="12" t="s">
        <v>37</v>
      </c>
      <c r="SF221" s="12" t="s">
        <v>37</v>
      </c>
      <c r="SI221" s="12" t="s">
        <v>37</v>
      </c>
      <c r="SJ221" s="12" t="s">
        <v>37</v>
      </c>
      <c r="SK221" s="13" t="s">
        <v>37</v>
      </c>
      <c r="SM221" s="12" t="s">
        <v>37</v>
      </c>
      <c r="SN221" s="12" t="s">
        <v>37</v>
      </c>
      <c r="SO221" s="13" t="s">
        <v>37</v>
      </c>
      <c r="SU221" s="12" t="s">
        <v>37</v>
      </c>
      <c r="SV221" s="12" t="s">
        <v>37</v>
      </c>
      <c r="SW221" s="12" t="s">
        <v>37</v>
      </c>
      <c r="SX221" s="12" t="s">
        <v>37</v>
      </c>
      <c r="SY221" s="12" t="s">
        <v>37</v>
      </c>
      <c r="SZ221" s="12" t="s">
        <v>37</v>
      </c>
      <c r="TA221" s="12"/>
      <c r="TB221" s="12"/>
      <c r="TE221" s="12" t="s">
        <v>37</v>
      </c>
      <c r="TF221" s="12" t="s">
        <v>37</v>
      </c>
      <c r="TG221" s="12" t="s">
        <v>37</v>
      </c>
      <c r="TH221" s="12" t="s">
        <v>37</v>
      </c>
      <c r="TI221" s="12" t="s">
        <v>37</v>
      </c>
      <c r="TJ221" s="12" t="s">
        <v>37</v>
      </c>
      <c r="TK221" s="12"/>
      <c r="TL221" s="12"/>
      <c r="TO221" s="12" t="s">
        <v>37</v>
      </c>
      <c r="TP221" s="12" t="s">
        <v>37</v>
      </c>
      <c r="TQ221" s="12" t="s">
        <v>37</v>
      </c>
      <c r="TR221" s="12" t="s">
        <v>37</v>
      </c>
      <c r="TS221" s="12" t="s">
        <v>37</v>
      </c>
      <c r="TT221" s="12" t="s">
        <v>37</v>
      </c>
      <c r="TU221" s="12"/>
      <c r="TV221" s="12"/>
      <c r="TY221" s="12" t="s">
        <v>37</v>
      </c>
      <c r="TZ221" s="12" t="s">
        <v>37</v>
      </c>
      <c r="UA221" s="12" t="s">
        <v>37</v>
      </c>
      <c r="UB221" s="12" t="s">
        <v>37</v>
      </c>
      <c r="UC221" s="12" t="s">
        <v>37</v>
      </c>
      <c r="UD221" s="12" t="s">
        <v>37</v>
      </c>
      <c r="UE221" s="12"/>
      <c r="UF221" s="12"/>
      <c r="UI221" s="12" t="s">
        <v>37</v>
      </c>
      <c r="UJ221" s="12" t="s">
        <v>37</v>
      </c>
      <c r="UK221" s="12" t="s">
        <v>37</v>
      </c>
      <c r="UL221" s="12" t="s">
        <v>37</v>
      </c>
      <c r="UM221" s="12" t="s">
        <v>37</v>
      </c>
      <c r="UN221" s="12" t="s">
        <v>37</v>
      </c>
      <c r="UO221" s="12"/>
      <c r="UP221" s="12"/>
      <c r="UR221" s="12" t="s">
        <v>37</v>
      </c>
      <c r="US221" s="12" t="s">
        <v>37</v>
      </c>
      <c r="UT221" s="12" t="s">
        <v>37</v>
      </c>
      <c r="UU221" s="12" t="s">
        <v>37</v>
      </c>
      <c r="UV221" s="12" t="s">
        <v>37</v>
      </c>
      <c r="UW221" s="12" t="s">
        <v>37</v>
      </c>
      <c r="UX221" s="12"/>
      <c r="UY221" s="12"/>
      <c r="VB221" s="12" t="s">
        <v>37</v>
      </c>
      <c r="VC221" s="12" t="s">
        <v>37</v>
      </c>
      <c r="VD221" s="12" t="s">
        <v>37</v>
      </c>
      <c r="VE221" s="12" t="s">
        <v>37</v>
      </c>
      <c r="VF221" s="12" t="s">
        <v>37</v>
      </c>
      <c r="VG221" s="12" t="s">
        <v>37</v>
      </c>
      <c r="VI221" s="12" t="s">
        <v>37</v>
      </c>
      <c r="VJ221" s="12" t="s">
        <v>37</v>
      </c>
      <c r="VK221" s="12" t="s">
        <v>37</v>
      </c>
      <c r="VL221" s="12" t="s">
        <v>37</v>
      </c>
      <c r="VM221" s="12" t="s">
        <v>37</v>
      </c>
      <c r="VN221" s="12" t="s">
        <v>37</v>
      </c>
      <c r="VQ221" s="12" t="s">
        <v>37</v>
      </c>
      <c r="VR221" s="12" t="s">
        <v>37</v>
      </c>
      <c r="VS221" s="12" t="s">
        <v>37</v>
      </c>
      <c r="VT221" s="12" t="s">
        <v>37</v>
      </c>
      <c r="VU221" s="12" t="s">
        <v>37</v>
      </c>
      <c r="VV221" s="12" t="s">
        <v>37</v>
      </c>
      <c r="VW221" s="12"/>
      <c r="VX221" s="12"/>
      <c r="WA221" s="12" t="s">
        <v>37</v>
      </c>
      <c r="WB221" s="12" t="s">
        <v>37</v>
      </c>
      <c r="WC221" s="12" t="s">
        <v>37</v>
      </c>
      <c r="WD221" s="12" t="s">
        <v>37</v>
      </c>
      <c r="WE221" s="12" t="s">
        <v>37</v>
      </c>
      <c r="WF221" s="12" t="s">
        <v>37</v>
      </c>
    </row>
    <row r="222" spans="1:606" ht="18" customHeight="1" x14ac:dyDescent="0.3">
      <c r="A222" s="11">
        <v>62</v>
      </c>
      <c r="B222" s="16" t="s">
        <v>937</v>
      </c>
      <c r="C222" s="12" t="s">
        <v>26</v>
      </c>
      <c r="D222" s="12" t="s">
        <v>973</v>
      </c>
      <c r="E222" s="40" t="s">
        <v>37</v>
      </c>
      <c r="F222" s="14">
        <v>0</v>
      </c>
      <c r="G222" s="14">
        <v>0</v>
      </c>
      <c r="H222" s="12" t="s">
        <v>123</v>
      </c>
      <c r="I222" s="29">
        <v>61.8</v>
      </c>
      <c r="J222" s="29">
        <v>24.315999999999999</v>
      </c>
      <c r="K222" s="12" t="s">
        <v>665</v>
      </c>
      <c r="L222" s="12" t="s">
        <v>666</v>
      </c>
      <c r="M222" s="13" t="s">
        <v>37</v>
      </c>
      <c r="N222" s="14">
        <v>3.5</v>
      </c>
      <c r="O222" s="14">
        <v>700</v>
      </c>
      <c r="P222" s="14" t="s">
        <v>84</v>
      </c>
      <c r="Q222" s="75">
        <v>3</v>
      </c>
      <c r="R222" s="11" t="s">
        <v>37</v>
      </c>
      <c r="S222" s="12" t="s">
        <v>85</v>
      </c>
      <c r="T222" s="12" t="s">
        <v>138</v>
      </c>
      <c r="U222" s="12" t="s">
        <v>158</v>
      </c>
      <c r="V222" s="12" t="s">
        <v>275</v>
      </c>
      <c r="W222" s="23" t="s">
        <v>365</v>
      </c>
      <c r="X222" s="12" t="s">
        <v>367</v>
      </c>
      <c r="Y222" s="12" t="s">
        <v>37</v>
      </c>
      <c r="Z222" s="12" t="s">
        <v>37</v>
      </c>
      <c r="AB222" s="12" t="s">
        <v>37</v>
      </c>
      <c r="AE222" s="12" t="s">
        <v>37</v>
      </c>
      <c r="AG222" s="32" t="s">
        <v>37</v>
      </c>
      <c r="AH222" s="12" t="s">
        <v>37</v>
      </c>
      <c r="AK222" s="12" t="s">
        <v>37</v>
      </c>
      <c r="AL222" s="32" t="s">
        <v>559</v>
      </c>
      <c r="AM222" s="12" t="s">
        <v>317</v>
      </c>
      <c r="AN222" s="32" t="s">
        <v>879</v>
      </c>
      <c r="AO222" s="12" t="s">
        <v>847</v>
      </c>
      <c r="AP222" s="12" t="s">
        <v>167</v>
      </c>
      <c r="AQ222" s="12" t="s">
        <v>975</v>
      </c>
      <c r="AT222" s="12" t="s">
        <v>326</v>
      </c>
      <c r="AU222" s="12" t="s">
        <v>326</v>
      </c>
      <c r="AV222" s="13" t="s">
        <v>326</v>
      </c>
      <c r="AX222" s="12" t="s">
        <v>326</v>
      </c>
      <c r="AY222" s="12" t="s">
        <v>326</v>
      </c>
      <c r="AZ222" s="13" t="s">
        <v>326</v>
      </c>
      <c r="BE222" s="12" t="s">
        <v>326</v>
      </c>
      <c r="BF222" s="12" t="s">
        <v>326</v>
      </c>
      <c r="BG222" s="12" t="s">
        <v>326</v>
      </c>
      <c r="BI222" s="12" t="s">
        <v>326</v>
      </c>
      <c r="BJ222" s="12" t="s">
        <v>326</v>
      </c>
      <c r="BK222" s="12" t="s">
        <v>326</v>
      </c>
      <c r="BP222" s="12" t="s">
        <v>37</v>
      </c>
      <c r="BQ222" s="12" t="s">
        <v>37</v>
      </c>
      <c r="BR222" s="13" t="s">
        <v>37</v>
      </c>
      <c r="BT222" s="12" t="s">
        <v>37</v>
      </c>
      <c r="BU222" s="12" t="s">
        <v>37</v>
      </c>
      <c r="BV222" s="12" t="s">
        <v>37</v>
      </c>
      <c r="BZ222" s="12" t="s">
        <v>47</v>
      </c>
      <c r="CA222" s="12">
        <f>-1583.5*10^4/10^3/'[6]classess-1'!$T$90</f>
        <v>-17643.02413085182</v>
      </c>
      <c r="CB222" s="12">
        <f>SQRT((1/[7]Classess!$T$90)^2*(204.17*10^4/10^3)^2+(-CA222/([7]Classess!$T$90)^2)^2*([7]Classess!$U$90)^2)</f>
        <v>3122.5184951907863</v>
      </c>
      <c r="CC222" s="13">
        <v>3</v>
      </c>
      <c r="CD222" s="19">
        <f t="shared" ref="CD222:CD225" si="1092">CB222/ABS(CA222)</f>
        <v>0.17698317884917095</v>
      </c>
      <c r="CE222" s="12">
        <f>-1787.82*10^4/10^3/'[6]classess-1'!$T$91</f>
        <v>-18545.337897111574</v>
      </c>
      <c r="CF222" s="12">
        <f>SQRT((1/[7]Classess!$T$91)^2*(108.89*10^4/10^3)^2+(-CE222/([7]Classess!$T$91)^2)^2*([7]Classess!$U$91)^2)</f>
        <v>1220.592996774214</v>
      </c>
      <c r="CG222" s="13">
        <v>3</v>
      </c>
      <c r="CH222" s="19">
        <f t="shared" ref="CH222:CH225" si="1093">CF222/ABS(CE222)</f>
        <v>6.5816703019701828E-2</v>
      </c>
      <c r="CI222" s="75">
        <f t="shared" ref="CI222:CI225" si="1094">CE222-CA222</f>
        <v>-902.31376625975463</v>
      </c>
      <c r="CJ222" s="12">
        <f t="shared" ref="CJ222" si="1095">SQRT(((CC222-1)*CB222^2+(CG222-1)*CF222^2)/(CC222+CG222-2))</f>
        <v>2370.6506508322555</v>
      </c>
      <c r="CK222" s="72">
        <f t="shared" ref="CK222:CK225" si="1096">(((CC222+CG222)/(CC222*CG222))*(((CC222-1)*CB222^2)+(CG222-1)*CF222^2)/(CC222+CG222-2))</f>
        <v>3746656.3388609299</v>
      </c>
      <c r="CL222" s="72">
        <f t="shared" ref="CL222:CL225" si="1097">(CB222^2/CC222)+(CF222^2/CG222)</f>
        <v>3746656.3388609299</v>
      </c>
      <c r="CM222" s="12" t="s">
        <v>47</v>
      </c>
      <c r="CN222" s="12">
        <f>888.015717092338*10^4/10^3/'[6]classess-1'!$I$90</f>
        <v>12120.970993298208</v>
      </c>
      <c r="CO222" s="12">
        <f>SQRT((1/[7]Classess!$I$90)^2*(176.94821609741*10^4/10^3)^2+(-CN222/([7]Classess!$I$90)^2)^2*([7]Classess!$J$90)^2)</f>
        <v>2737.6911459160037</v>
      </c>
      <c r="CP222" s="13">
        <v>3</v>
      </c>
      <c r="CQ222" s="19">
        <f>CO222/ABS(CN222)</f>
        <v>0.22586401266282194</v>
      </c>
      <c r="CR222" s="12">
        <f>1273.08447937132*10^4/10^3/'[6]classess-1'!$I$91</f>
        <v>14804.615301473419</v>
      </c>
      <c r="CS222" s="12">
        <f>SQRT((1/[7]Classess!$I$91)^2*(176.948216097404*10^4/10^3)^2+(-CR222/([7]Classess!$I$91)^2)^2*([7]Classess!$J$91)^2)</f>
        <v>2182.1730906862158</v>
      </c>
      <c r="CT222" s="13">
        <v>3</v>
      </c>
      <c r="CU222" s="19">
        <f t="shared" ref="CU222:CU225" si="1098">CS222/ABS(CR222)</f>
        <v>0.14739816241419232</v>
      </c>
      <c r="CV222" s="75">
        <f t="shared" ref="CV222:CV225" si="1099">CR222-CN222</f>
        <v>2683.6443081752113</v>
      </c>
      <c r="CW222" s="12">
        <f t="shared" ref="CW222:CW225" si="1100">SQRT(((CP222-1)*CO222^2+(CT222-1)*CS222^2)/(CP222+CT222-2))</f>
        <v>2475.5637951931185</v>
      </c>
      <c r="CX222" s="72">
        <f t="shared" ref="CX222:CX225" si="1101">(((CP222+CT222)/(CP222*CT222))*(((CP222-1)*CO222^2)+(CT222-1)*CS222^2)/(CP222+CT222-2))</f>
        <v>4085610.7360473038</v>
      </c>
      <c r="CY222" s="72">
        <f t="shared" ref="CY222:CY225" si="1102">(CO222^2/CP222)+(CS222^2/CT222)</f>
        <v>4085610.7360473042</v>
      </c>
      <c r="CZ222" s="12" t="s">
        <v>47</v>
      </c>
      <c r="DA222" s="12">
        <f>CA222+CN222</f>
        <v>-5522.053137553612</v>
      </c>
      <c r="DB222" s="12">
        <f>SQRT((1/[7]Classess!$I$58)^2*(333.479330337428*10^4/10^3)^2+(-DA222/([7]Classess!$I$58)^2)^2*([7]Classess!$J$58)^2)</f>
        <v>3799.0509125782523</v>
      </c>
      <c r="DC222" s="13">
        <v>3</v>
      </c>
      <c r="DD222" s="19">
        <f t="shared" ref="DD222:DD225" si="1103">DB222/ABS(DA222)</f>
        <v>0.68797797086416912</v>
      </c>
      <c r="DE222" s="12">
        <f>CE222+CR222</f>
        <v>-3740.7225956381553</v>
      </c>
      <c r="DF222" s="12">
        <f>SQRT((1/[7]Classess!$I$59)^2*(292.645126622641*10^4/10^3)^2+(-DE222/([7]Classess!$I$59)^2)^2*([7]Classess!$J$59)^2)</f>
        <v>3396.3473178087561</v>
      </c>
      <c r="DG222" s="13">
        <v>3</v>
      </c>
      <c r="DH222" s="19">
        <f>DF222/ABS(DE222)</f>
        <v>0.90793883560599875</v>
      </c>
      <c r="DI222" s="19">
        <f t="shared" ref="DI222:DI230" si="1104">DE222-DA222</f>
        <v>1781.3305419154567</v>
      </c>
      <c r="DJ222" s="12">
        <f t="shared" ref="DJ222:DJ230" si="1105">SQRT(((DC222-1)*DB222^2+(DG222-1)*DF222^2)/(DC222+DG222-2))</f>
        <v>3603.3292202870102</v>
      </c>
      <c r="DK222" s="72">
        <f t="shared" ref="DK222:DK230" si="1106">(((DC222+DG222)/(DC222*DG222))*(((DC222-1)*DB222^2)+(DG222-1)*DF222^2)/(DC222+DG222-2))</f>
        <v>8655987.6465161275</v>
      </c>
      <c r="DL222" s="72">
        <f t="shared" ref="DL222:DL230" si="1107">(DB222^2/DC222)+(DF222^2/DG222)</f>
        <v>8655987.6465161275</v>
      </c>
      <c r="DN222" s="19" t="s">
        <v>37</v>
      </c>
      <c r="DO222" s="12" t="s">
        <v>37</v>
      </c>
      <c r="DP222" s="13" t="s">
        <v>37</v>
      </c>
      <c r="DR222" s="19" t="s">
        <v>37</v>
      </c>
      <c r="DS222" s="12" t="s">
        <v>37</v>
      </c>
      <c r="DT222" s="13" t="s">
        <v>37</v>
      </c>
      <c r="EA222" s="19" t="s">
        <v>37</v>
      </c>
      <c r="EB222" s="19" t="s">
        <v>37</v>
      </c>
      <c r="EC222" s="72" t="s">
        <v>37</v>
      </c>
      <c r="EE222" s="19" t="s">
        <v>37</v>
      </c>
      <c r="EF222" s="19" t="s">
        <v>37</v>
      </c>
      <c r="EG222" s="12" t="s">
        <v>37</v>
      </c>
      <c r="EM222" s="12" t="s">
        <v>39</v>
      </c>
      <c r="EN222" s="12">
        <v>-12</v>
      </c>
      <c r="EO222" s="50">
        <f t="shared" ref="EO222:EO245" si="1108">ABS(EN222)*EQ$474</f>
        <v>4.8899567850155199</v>
      </c>
      <c r="EP222" s="13">
        <v>3</v>
      </c>
      <c r="ER222" s="12" t="s">
        <v>37</v>
      </c>
      <c r="ES222" s="12" t="s">
        <v>37</v>
      </c>
      <c r="ET222" s="13" t="s">
        <v>37</v>
      </c>
      <c r="FB222" s="12" t="s">
        <v>37</v>
      </c>
      <c r="FC222" s="12" t="s">
        <v>37</v>
      </c>
      <c r="FD222" s="11" t="s">
        <v>37</v>
      </c>
      <c r="FE222" s="12" t="s">
        <v>37</v>
      </c>
      <c r="FF222" s="20" t="s">
        <v>37</v>
      </c>
      <c r="FG222" s="11" t="s">
        <v>37</v>
      </c>
      <c r="FI222" s="12" t="s">
        <v>37</v>
      </c>
      <c r="FJ222" s="12" t="s">
        <v>37</v>
      </c>
      <c r="FK222" s="11" t="s">
        <v>37</v>
      </c>
      <c r="FL222" s="13" t="s">
        <v>37</v>
      </c>
      <c r="FM222" s="11" t="s">
        <v>37</v>
      </c>
      <c r="FN222" s="11" t="s">
        <v>37</v>
      </c>
      <c r="FP222" s="12" t="s">
        <v>37</v>
      </c>
      <c r="FQ222" s="12" t="s">
        <v>37</v>
      </c>
      <c r="FR222" s="11" t="s">
        <v>37</v>
      </c>
      <c r="FS222" s="13" t="s">
        <v>37</v>
      </c>
      <c r="FT222" s="11" t="s">
        <v>37</v>
      </c>
      <c r="FU222" s="11" t="s">
        <v>37</v>
      </c>
      <c r="FW222" s="12" t="s">
        <v>37</v>
      </c>
      <c r="FX222" s="12" t="s">
        <v>37</v>
      </c>
      <c r="FY222" s="11" t="s">
        <v>37</v>
      </c>
      <c r="FZ222" s="13" t="s">
        <v>37</v>
      </c>
      <c r="GA222" s="11" t="s">
        <v>37</v>
      </c>
      <c r="GB222" s="11" t="s">
        <v>37</v>
      </c>
      <c r="GK222" s="12"/>
      <c r="IK222" s="12" t="s">
        <v>37</v>
      </c>
      <c r="IL222" s="12" t="s">
        <v>37</v>
      </c>
      <c r="IM222" s="12" t="s">
        <v>37</v>
      </c>
      <c r="IO222" s="12" t="s">
        <v>37</v>
      </c>
      <c r="IP222" s="12" t="s">
        <v>37</v>
      </c>
      <c r="IQ222" s="12" t="s">
        <v>37</v>
      </c>
      <c r="IW222" s="12" t="s">
        <v>37</v>
      </c>
      <c r="IX222" s="12" t="s">
        <v>37</v>
      </c>
      <c r="IY222" s="13" t="s">
        <v>37</v>
      </c>
      <c r="JA222" s="12" t="s">
        <v>37</v>
      </c>
      <c r="JB222" s="12" t="s">
        <v>37</v>
      </c>
      <c r="JC222" s="13" t="s">
        <v>37</v>
      </c>
      <c r="JH222" s="12" t="s">
        <v>37</v>
      </c>
      <c r="JI222" s="12" t="s">
        <v>37</v>
      </c>
      <c r="JJ222" s="13" t="s">
        <v>37</v>
      </c>
      <c r="JL222" s="12" t="s">
        <v>37</v>
      </c>
      <c r="JM222" s="12" t="s">
        <v>37</v>
      </c>
      <c r="JN222" s="12" t="s">
        <v>37</v>
      </c>
      <c r="JS222" s="12" t="s">
        <v>37</v>
      </c>
      <c r="JT222" s="12" t="s">
        <v>37</v>
      </c>
      <c r="JU222" s="13" t="s">
        <v>37</v>
      </c>
      <c r="JW222" s="12" t="s">
        <v>37</v>
      </c>
      <c r="JX222" s="12" t="s">
        <v>37</v>
      </c>
      <c r="JY222" s="12" t="s">
        <v>37</v>
      </c>
      <c r="KE222" s="12" t="s">
        <v>37</v>
      </c>
      <c r="KF222" s="12" t="s">
        <v>37</v>
      </c>
      <c r="KG222" s="13" t="s">
        <v>37</v>
      </c>
      <c r="KH222" s="12" t="s">
        <v>37</v>
      </c>
      <c r="KI222" s="12" t="s">
        <v>37</v>
      </c>
      <c r="KJ222" s="12" t="s">
        <v>37</v>
      </c>
      <c r="KL222" s="32" t="s">
        <v>37</v>
      </c>
      <c r="KM222" s="12" t="s">
        <v>37</v>
      </c>
      <c r="KN222" s="12" t="s">
        <v>37</v>
      </c>
      <c r="KO222" s="11" t="s">
        <v>37</v>
      </c>
      <c r="KQ222" s="12" t="s">
        <v>37</v>
      </c>
      <c r="KR222" s="12" t="s">
        <v>37</v>
      </c>
      <c r="KS222" s="12" t="s">
        <v>37</v>
      </c>
      <c r="KX222" s="12" t="s">
        <v>37</v>
      </c>
      <c r="KY222" s="12" t="s">
        <v>37</v>
      </c>
      <c r="KZ222" s="12" t="s">
        <v>37</v>
      </c>
      <c r="LB222" s="12" t="s">
        <v>37</v>
      </c>
      <c r="LC222" s="12" t="s">
        <v>37</v>
      </c>
      <c r="LD222" s="12" t="s">
        <v>37</v>
      </c>
      <c r="LI222" s="12" t="s">
        <v>37</v>
      </c>
      <c r="LJ222" s="12" t="s">
        <v>37</v>
      </c>
      <c r="LK222" s="12" t="s">
        <v>37</v>
      </c>
      <c r="LM222" s="12" t="s">
        <v>37</v>
      </c>
      <c r="LN222" s="12" t="s">
        <v>37</v>
      </c>
      <c r="LO222" s="12" t="s">
        <v>37</v>
      </c>
      <c r="LU222" s="12" t="s">
        <v>37</v>
      </c>
      <c r="LV222" s="12" t="s">
        <v>37</v>
      </c>
      <c r="LW222" s="12" t="s">
        <v>37</v>
      </c>
      <c r="LY222" s="12" t="s">
        <v>37</v>
      </c>
      <c r="LZ222" s="12" t="s">
        <v>37</v>
      </c>
      <c r="MA222" s="12" t="s">
        <v>37</v>
      </c>
      <c r="MF222" s="12" t="s">
        <v>37</v>
      </c>
      <c r="MG222" s="12" t="s">
        <v>37</v>
      </c>
      <c r="MH222" s="12" t="s">
        <v>37</v>
      </c>
      <c r="MJ222" s="12" t="s">
        <v>37</v>
      </c>
      <c r="MK222" s="12" t="s">
        <v>37</v>
      </c>
      <c r="ML222" s="12" t="s">
        <v>37</v>
      </c>
      <c r="MQ222" s="12" t="s">
        <v>37</v>
      </c>
      <c r="MR222" s="12" t="s">
        <v>37</v>
      </c>
      <c r="MS222" s="12" t="s">
        <v>37</v>
      </c>
      <c r="MU222" s="12" t="s">
        <v>37</v>
      </c>
      <c r="MV222" s="12" t="s">
        <v>37</v>
      </c>
      <c r="MW222" s="12" t="s">
        <v>37</v>
      </c>
      <c r="NC222" s="12" t="s">
        <v>37</v>
      </c>
      <c r="ND222" s="12" t="s">
        <v>37</v>
      </c>
      <c r="NE222" s="12" t="s">
        <v>37</v>
      </c>
      <c r="NG222" s="12" t="s">
        <v>37</v>
      </c>
      <c r="NH222" s="12" t="s">
        <v>37</v>
      </c>
      <c r="NI222" s="12" t="s">
        <v>37</v>
      </c>
      <c r="NO222" s="12" t="s">
        <v>37</v>
      </c>
      <c r="NP222" s="12" t="s">
        <v>37</v>
      </c>
      <c r="NQ222" s="12" t="s">
        <v>37</v>
      </c>
      <c r="NS222" s="12" t="s">
        <v>37</v>
      </c>
      <c r="NT222" s="12" t="s">
        <v>37</v>
      </c>
      <c r="NU222" s="12" t="s">
        <v>37</v>
      </c>
      <c r="OA222" s="12" t="s">
        <v>37</v>
      </c>
      <c r="OB222" s="12" t="s">
        <v>37</v>
      </c>
      <c r="OC222" s="12" t="s">
        <v>37</v>
      </c>
      <c r="OD222" s="12"/>
      <c r="OE222" s="12" t="s">
        <v>37</v>
      </c>
      <c r="OF222" s="12" t="s">
        <v>37</v>
      </c>
      <c r="OG222" s="12" t="s">
        <v>37</v>
      </c>
      <c r="OH222" s="12"/>
      <c r="OI222" s="12"/>
      <c r="OJ222" s="12"/>
      <c r="OM222" s="12" t="s">
        <v>37</v>
      </c>
      <c r="ON222" s="12" t="s">
        <v>37</v>
      </c>
      <c r="OO222" s="12" t="s">
        <v>37</v>
      </c>
      <c r="OP222" s="12" t="s">
        <v>37</v>
      </c>
      <c r="OQ222" s="12" t="s">
        <v>37</v>
      </c>
      <c r="OR222" s="12" t="s">
        <v>37</v>
      </c>
      <c r="OS222" s="12"/>
      <c r="OT222" s="12"/>
      <c r="OW222" s="12" t="s">
        <v>37</v>
      </c>
      <c r="OX222" s="12" t="s">
        <v>37</v>
      </c>
      <c r="OY222" s="13" t="s">
        <v>37</v>
      </c>
      <c r="OZ222" s="12" t="s">
        <v>37</v>
      </c>
      <c r="PA222" s="12" t="s">
        <v>37</v>
      </c>
      <c r="PB222" s="13" t="s">
        <v>37</v>
      </c>
      <c r="PG222" s="12" t="s">
        <v>37</v>
      </c>
      <c r="PH222" s="12" t="s">
        <v>37</v>
      </c>
      <c r="PI222" s="12" t="s">
        <v>37</v>
      </c>
      <c r="PJ222" s="12" t="s">
        <v>37</v>
      </c>
      <c r="PK222" s="12" t="s">
        <v>37</v>
      </c>
      <c r="PL222" s="12" t="s">
        <v>37</v>
      </c>
      <c r="PM222" s="12"/>
      <c r="PN222" s="12"/>
      <c r="PQ222" s="12" t="s">
        <v>37</v>
      </c>
      <c r="PR222" s="12" t="s">
        <v>37</v>
      </c>
      <c r="PS222" s="12" t="s">
        <v>37</v>
      </c>
      <c r="PT222" s="12" t="s">
        <v>37</v>
      </c>
      <c r="PU222" s="12" t="s">
        <v>37</v>
      </c>
      <c r="PV222" s="12" t="s">
        <v>37</v>
      </c>
      <c r="PW222" s="12"/>
      <c r="PX222" s="12"/>
      <c r="PZ222" s="12" t="s">
        <v>37</v>
      </c>
      <c r="QA222" s="12" t="s">
        <v>37</v>
      </c>
      <c r="QB222" s="12" t="s">
        <v>37</v>
      </c>
      <c r="QD222" s="12" t="s">
        <v>37</v>
      </c>
      <c r="QE222" s="12" t="s">
        <v>37</v>
      </c>
      <c r="QF222" s="12" t="s">
        <v>37</v>
      </c>
      <c r="QK222" s="12" t="s">
        <v>37</v>
      </c>
      <c r="QL222" s="12" t="s">
        <v>37</v>
      </c>
      <c r="QM222" s="12" t="s">
        <v>37</v>
      </c>
      <c r="QN222" s="12" t="s">
        <v>37</v>
      </c>
      <c r="QO222" s="12" t="s">
        <v>37</v>
      </c>
      <c r="QP222" s="12" t="s">
        <v>37</v>
      </c>
      <c r="QQ222" s="12"/>
      <c r="QR222" s="12"/>
      <c r="QU222" s="12" t="s">
        <v>37</v>
      </c>
      <c r="QV222" s="12" t="s">
        <v>37</v>
      </c>
      <c r="QW222" s="12" t="s">
        <v>37</v>
      </c>
      <c r="QX222" s="12" t="s">
        <v>37</v>
      </c>
      <c r="QY222" s="12" t="s">
        <v>37</v>
      </c>
      <c r="QZ222" s="12" t="s">
        <v>37</v>
      </c>
      <c r="RC222" s="12" t="s">
        <v>37</v>
      </c>
      <c r="RD222" s="12" t="s">
        <v>37</v>
      </c>
      <c r="RE222" s="13" t="s">
        <v>37</v>
      </c>
      <c r="RF222" s="12" t="s">
        <v>37</v>
      </c>
      <c r="RG222" s="12" t="s">
        <v>37</v>
      </c>
      <c r="RH222" s="13" t="s">
        <v>37</v>
      </c>
      <c r="RK222" s="12" t="s">
        <v>37</v>
      </c>
      <c r="RL222" s="12" t="s">
        <v>37</v>
      </c>
      <c r="RM222" s="11" t="s">
        <v>37</v>
      </c>
      <c r="RN222" s="12" t="s">
        <v>37</v>
      </c>
      <c r="RO222" s="12" t="s">
        <v>37</v>
      </c>
      <c r="RP222" s="11" t="s">
        <v>37</v>
      </c>
      <c r="RS222" s="12" t="s">
        <v>37</v>
      </c>
      <c r="RT222" s="12" t="s">
        <v>37</v>
      </c>
      <c r="RU222" s="12" t="s">
        <v>37</v>
      </c>
      <c r="RV222" s="12" t="s">
        <v>37</v>
      </c>
      <c r="RW222" s="12" t="s">
        <v>37</v>
      </c>
      <c r="RX222" s="12" t="s">
        <v>37</v>
      </c>
      <c r="SA222" s="12" t="s">
        <v>37</v>
      </c>
      <c r="SB222" s="12" t="s">
        <v>37</v>
      </c>
      <c r="SC222" s="12" t="s">
        <v>37</v>
      </c>
      <c r="SD222" s="12" t="s">
        <v>37</v>
      </c>
      <c r="SE222" s="12" t="s">
        <v>37</v>
      </c>
      <c r="SF222" s="12" t="s">
        <v>37</v>
      </c>
      <c r="SI222" s="12" t="s">
        <v>37</v>
      </c>
      <c r="SJ222" s="12" t="s">
        <v>37</v>
      </c>
      <c r="SK222" s="13" t="s">
        <v>37</v>
      </c>
      <c r="SM222" s="12" t="s">
        <v>37</v>
      </c>
      <c r="SN222" s="12" t="s">
        <v>37</v>
      </c>
      <c r="SO222" s="13" t="s">
        <v>37</v>
      </c>
      <c r="SU222" s="12" t="s">
        <v>37</v>
      </c>
      <c r="SV222" s="12" t="s">
        <v>37</v>
      </c>
      <c r="SW222" s="12" t="s">
        <v>37</v>
      </c>
      <c r="SX222" s="12" t="s">
        <v>37</v>
      </c>
      <c r="SY222" s="12" t="s">
        <v>37</v>
      </c>
      <c r="SZ222" s="12" t="s">
        <v>37</v>
      </c>
      <c r="TA222" s="12"/>
      <c r="TB222" s="12"/>
      <c r="TE222" s="12" t="s">
        <v>37</v>
      </c>
      <c r="TF222" s="12" t="s">
        <v>37</v>
      </c>
      <c r="TG222" s="12" t="s">
        <v>37</v>
      </c>
      <c r="TH222" s="12" t="s">
        <v>37</v>
      </c>
      <c r="TI222" s="12" t="s">
        <v>37</v>
      </c>
      <c r="TJ222" s="12" t="s">
        <v>37</v>
      </c>
      <c r="TK222" s="12"/>
      <c r="TL222" s="12"/>
      <c r="TO222" s="12" t="s">
        <v>37</v>
      </c>
      <c r="TP222" s="12" t="s">
        <v>37</v>
      </c>
      <c r="TQ222" s="12" t="s">
        <v>37</v>
      </c>
      <c r="TR222" s="12" t="s">
        <v>37</v>
      </c>
      <c r="TS222" s="12" t="s">
        <v>37</v>
      </c>
      <c r="TT222" s="12" t="s">
        <v>37</v>
      </c>
      <c r="TU222" s="12"/>
      <c r="TV222" s="12"/>
      <c r="TY222" s="12" t="s">
        <v>37</v>
      </c>
      <c r="TZ222" s="12" t="s">
        <v>37</v>
      </c>
      <c r="UA222" s="12" t="s">
        <v>37</v>
      </c>
      <c r="UB222" s="12" t="s">
        <v>37</v>
      </c>
      <c r="UC222" s="12" t="s">
        <v>37</v>
      </c>
      <c r="UD222" s="12" t="s">
        <v>37</v>
      </c>
      <c r="UE222" s="12"/>
      <c r="UF222" s="12"/>
      <c r="UI222" s="12" t="s">
        <v>37</v>
      </c>
      <c r="UJ222" s="12" t="s">
        <v>37</v>
      </c>
      <c r="UK222" s="12" t="s">
        <v>37</v>
      </c>
      <c r="UL222" s="12" t="s">
        <v>37</v>
      </c>
      <c r="UM222" s="12" t="s">
        <v>37</v>
      </c>
      <c r="UN222" s="12" t="s">
        <v>37</v>
      </c>
      <c r="UO222" s="12"/>
      <c r="UP222" s="12"/>
      <c r="UR222" s="12" t="s">
        <v>37</v>
      </c>
      <c r="US222" s="12" t="s">
        <v>37</v>
      </c>
      <c r="UT222" s="12" t="s">
        <v>37</v>
      </c>
      <c r="UU222" s="12" t="s">
        <v>37</v>
      </c>
      <c r="UV222" s="12" t="s">
        <v>37</v>
      </c>
      <c r="UW222" s="12" t="s">
        <v>37</v>
      </c>
      <c r="UX222" s="12"/>
      <c r="UY222" s="12"/>
      <c r="VB222" s="12" t="s">
        <v>37</v>
      </c>
      <c r="VC222" s="12" t="s">
        <v>37</v>
      </c>
      <c r="VD222" s="12" t="s">
        <v>37</v>
      </c>
      <c r="VE222" s="12" t="s">
        <v>37</v>
      </c>
      <c r="VF222" s="12" t="s">
        <v>37</v>
      </c>
      <c r="VG222" s="12" t="s">
        <v>37</v>
      </c>
      <c r="VI222" s="12" t="s">
        <v>37</v>
      </c>
      <c r="VJ222" s="12" t="s">
        <v>37</v>
      </c>
      <c r="VK222" s="12" t="s">
        <v>37</v>
      </c>
      <c r="VL222" s="12" t="s">
        <v>37</v>
      </c>
      <c r="VM222" s="12" t="s">
        <v>37</v>
      </c>
      <c r="VN222" s="12" t="s">
        <v>37</v>
      </c>
      <c r="VQ222" s="12" t="s">
        <v>37</v>
      </c>
      <c r="VR222" s="12" t="s">
        <v>37</v>
      </c>
      <c r="VS222" s="12" t="s">
        <v>37</v>
      </c>
      <c r="VT222" s="12" t="s">
        <v>37</v>
      </c>
      <c r="VU222" s="12" t="s">
        <v>37</v>
      </c>
      <c r="VV222" s="12" t="s">
        <v>37</v>
      </c>
      <c r="VW222" s="12"/>
      <c r="VX222" s="12"/>
      <c r="WA222" s="12" t="s">
        <v>37</v>
      </c>
      <c r="WB222" s="12" t="s">
        <v>37</v>
      </c>
      <c r="WC222" s="12" t="s">
        <v>37</v>
      </c>
      <c r="WD222" s="12" t="s">
        <v>37</v>
      </c>
      <c r="WE222" s="12" t="s">
        <v>37</v>
      </c>
      <c r="WF222" s="12" t="s">
        <v>37</v>
      </c>
    </row>
    <row r="223" spans="1:606" ht="18" customHeight="1" x14ac:dyDescent="0.3">
      <c r="A223" s="11">
        <v>62</v>
      </c>
      <c r="B223" s="16" t="s">
        <v>937</v>
      </c>
      <c r="C223" s="12" t="s">
        <v>26</v>
      </c>
      <c r="D223" s="12" t="s">
        <v>973</v>
      </c>
      <c r="E223" s="40" t="s">
        <v>37</v>
      </c>
      <c r="F223" s="14">
        <v>0</v>
      </c>
      <c r="G223" s="14">
        <v>0</v>
      </c>
      <c r="H223" s="12" t="s">
        <v>123</v>
      </c>
      <c r="I223" s="29">
        <v>61.8</v>
      </c>
      <c r="J223" s="29">
        <v>24.315999999999999</v>
      </c>
      <c r="K223" s="12" t="s">
        <v>665</v>
      </c>
      <c r="L223" s="12" t="s">
        <v>666</v>
      </c>
      <c r="M223" s="13" t="s">
        <v>37</v>
      </c>
      <c r="N223" s="14">
        <v>3.5</v>
      </c>
      <c r="O223" s="14">
        <v>700</v>
      </c>
      <c r="P223" s="14" t="s">
        <v>84</v>
      </c>
      <c r="Q223" s="75">
        <v>4</v>
      </c>
      <c r="R223" s="11" t="s">
        <v>37</v>
      </c>
      <c r="S223" s="12" t="s">
        <v>85</v>
      </c>
      <c r="T223" s="12" t="s">
        <v>138</v>
      </c>
      <c r="U223" s="12" t="s">
        <v>158</v>
      </c>
      <c r="V223" s="12" t="s">
        <v>275</v>
      </c>
      <c r="W223" s="23" t="s">
        <v>365</v>
      </c>
      <c r="X223" s="12" t="s">
        <v>367</v>
      </c>
      <c r="Y223" s="12" t="s">
        <v>37</v>
      </c>
      <c r="Z223" s="12" t="s">
        <v>37</v>
      </c>
      <c r="AB223" s="12" t="s">
        <v>37</v>
      </c>
      <c r="AE223" s="12" t="s">
        <v>37</v>
      </c>
      <c r="AG223" s="32" t="s">
        <v>37</v>
      </c>
      <c r="AH223" s="12" t="s">
        <v>37</v>
      </c>
      <c r="AK223" s="12" t="s">
        <v>37</v>
      </c>
      <c r="AL223" s="32" t="s">
        <v>559</v>
      </c>
      <c r="AM223" s="12" t="s">
        <v>317</v>
      </c>
      <c r="AN223" s="32" t="s">
        <v>879</v>
      </c>
      <c r="AO223" s="12" t="s">
        <v>848</v>
      </c>
      <c r="AP223" s="12" t="s">
        <v>167</v>
      </c>
      <c r="AQ223" s="12" t="s">
        <v>975</v>
      </c>
      <c r="AT223" s="12" t="s">
        <v>326</v>
      </c>
      <c r="AU223" s="12" t="s">
        <v>326</v>
      </c>
      <c r="AV223" s="13" t="s">
        <v>326</v>
      </c>
      <c r="AX223" s="12" t="s">
        <v>326</v>
      </c>
      <c r="AY223" s="12" t="s">
        <v>326</v>
      </c>
      <c r="AZ223" s="13" t="s">
        <v>326</v>
      </c>
      <c r="BE223" s="12" t="s">
        <v>326</v>
      </c>
      <c r="BF223" s="12" t="s">
        <v>326</v>
      </c>
      <c r="BG223" s="12" t="s">
        <v>326</v>
      </c>
      <c r="BI223" s="12" t="s">
        <v>326</v>
      </c>
      <c r="BJ223" s="12" t="s">
        <v>326</v>
      </c>
      <c r="BK223" s="12" t="s">
        <v>326</v>
      </c>
      <c r="BP223" s="12" t="s">
        <v>37</v>
      </c>
      <c r="BQ223" s="12" t="s">
        <v>37</v>
      </c>
      <c r="BR223" s="13" t="s">
        <v>37</v>
      </c>
      <c r="BT223" s="12" t="s">
        <v>37</v>
      </c>
      <c r="BU223" s="12" t="s">
        <v>37</v>
      </c>
      <c r="BV223" s="12" t="s">
        <v>37</v>
      </c>
      <c r="BZ223" s="12" t="s">
        <v>47</v>
      </c>
      <c r="CA223" s="12">
        <f>-1500.98*10^4/10^3/'[6]classess-1'!$T$90</f>
        <v>-16723.603637465083</v>
      </c>
      <c r="CB223" s="12">
        <f>SQRT((1/[7]Classess!$T$90)^2*(108.89*10^4/10^3)^2+(-CA223/([7]Classess!$T$90)^2)^2*([7]Classess!$U$90)^2)</f>
        <v>2362.7967430320127</v>
      </c>
      <c r="CC223" s="13">
        <v>3</v>
      </c>
      <c r="CD223" s="19">
        <f t="shared" si="1092"/>
        <v>0.14128514369586906</v>
      </c>
      <c r="CE223" s="12">
        <f>-1618.86*10^4/10^3/'[6]classess-1'!$T$91</f>
        <v>-16792.689257373804</v>
      </c>
      <c r="CF223" s="12">
        <f>SQRT((1/[7]Classess!$T$91)^2*(217.78*10^4/10^3)^2+(-CE223/([7]Classess!$T$91)^2)^2*([7]Classess!$U$91)^2)</f>
        <v>2297.5736170821519</v>
      </c>
      <c r="CG223" s="13">
        <v>3</v>
      </c>
      <c r="CH223" s="19">
        <f t="shared" si="1093"/>
        <v>0.13681987333108478</v>
      </c>
      <c r="CI223" s="75">
        <f t="shared" si="1094"/>
        <v>-69.085619908721128</v>
      </c>
      <c r="CJ223" s="12">
        <f t="shared" ref="CJ223:CJ225" si="1109">SQRT(((CC223-1)*CB223^2+(CG223-1)*CF223^2)/(CC223+CG223-2))</f>
        <v>2330.4133726438586</v>
      </c>
      <c r="CK223" s="72">
        <f t="shared" si="1096"/>
        <v>3620550.9915982159</v>
      </c>
      <c r="CL223" s="72">
        <f t="shared" si="1097"/>
        <v>3620550.9915982168</v>
      </c>
      <c r="CM223" s="12" t="s">
        <v>47</v>
      </c>
      <c r="CN223" s="12">
        <f>774.066797642436*10^4/10^3/'[6]classess-1'!$I$90</f>
        <v>10565.625157874983</v>
      </c>
      <c r="CO223" s="12">
        <f>SQRT((1/[7]Classess!$I$90)^2*(217.782419812197*10^4/10^3)^2+(-CN223/([7]Classess!$I$90)^2)^2*([7]Classess!$J$90)^2)</f>
        <v>3177.8813752357983</v>
      </c>
      <c r="CP223" s="13">
        <v>3</v>
      </c>
      <c r="CQ223" s="19">
        <f t="shared" ref="CQ223:CQ225" si="1110">CO223/ABS(CN223)</f>
        <v>0.30077551756293341</v>
      </c>
      <c r="CR223" s="12">
        <f>1139.48919449902*10^4/10^3/'[6]classess-1'!$I$91</f>
        <v>13251.044559960765</v>
      </c>
      <c r="CS223" s="12">
        <f>SQRT((1/[7]Classess!$I$91)^2*(231.393821050461*10^4/10^3)^2+(-CR223/([7]Classess!$I$91)^2)^2*([7]Classess!$J$91)^2)</f>
        <v>2768.2995631046829</v>
      </c>
      <c r="CT223" s="13">
        <v>3</v>
      </c>
      <c r="CU223" s="19">
        <f t="shared" si="1098"/>
        <v>0.20891179941159896</v>
      </c>
      <c r="CV223" s="75">
        <f t="shared" si="1099"/>
        <v>2685.4194020857813</v>
      </c>
      <c r="CW223" s="12">
        <f t="shared" si="1100"/>
        <v>2980.1352742917684</v>
      </c>
      <c r="CX223" s="72">
        <f t="shared" si="1101"/>
        <v>5920804.1687187152</v>
      </c>
      <c r="CY223" s="72">
        <f t="shared" si="1102"/>
        <v>5920804.1687187161</v>
      </c>
      <c r="CZ223" s="12" t="s">
        <v>47</v>
      </c>
      <c r="DA223" s="12">
        <f t="shared" ref="DA223:DA225" si="1111">CA223+CN223</f>
        <v>-6157.9784795900996</v>
      </c>
      <c r="DB223" s="12">
        <f>SQRT((1/[7]Classess!$I$58)^2*(245.005222288722*10^4/10^3)^2+(-DA223/([7]Classess!$I$58)^2)^2*([7]Classess!$J$58)^2)</f>
        <v>2847.6279977138138</v>
      </c>
      <c r="DC223" s="13">
        <v>3</v>
      </c>
      <c r="DD223" s="19">
        <f t="shared" si="1103"/>
        <v>0.46242902718025797</v>
      </c>
      <c r="DE223" s="12">
        <f t="shared" ref="DE223:DE225" si="1112">CE223+CR223</f>
        <v>-3541.6446974130395</v>
      </c>
      <c r="DF223" s="12">
        <f>SQRT((1/[7]Classess!$I$59)^2*(210.976719193064*10^4/10^3)^2+(-DE223/([7]Classess!$I$59)^2)^2*([7]Classess!$J$59)^2)</f>
        <v>2451.0546798159935</v>
      </c>
      <c r="DG223" s="13">
        <v>3</v>
      </c>
      <c r="DH223" s="19">
        <f t="shared" ref="DH223:DH225" si="1113">DF223/ABS(DE223)</f>
        <v>0.69206679077840383</v>
      </c>
      <c r="DI223" s="19">
        <f t="shared" si="1104"/>
        <v>2616.3337821770601</v>
      </c>
      <c r="DJ223" s="12">
        <f t="shared" si="1105"/>
        <v>2656.7512357023065</v>
      </c>
      <c r="DK223" s="72">
        <f t="shared" si="1106"/>
        <v>4705551.418937155</v>
      </c>
      <c r="DL223" s="72">
        <f t="shared" si="1107"/>
        <v>4705551.418937156</v>
      </c>
      <c r="DN223" s="19" t="s">
        <v>37</v>
      </c>
      <c r="DO223" s="12" t="s">
        <v>37</v>
      </c>
      <c r="DP223" s="13" t="s">
        <v>37</v>
      </c>
      <c r="DR223" s="19" t="s">
        <v>37</v>
      </c>
      <c r="DS223" s="12" t="s">
        <v>37</v>
      </c>
      <c r="DT223" s="13" t="s">
        <v>37</v>
      </c>
      <c r="EA223" s="19" t="s">
        <v>37</v>
      </c>
      <c r="EB223" s="19" t="s">
        <v>37</v>
      </c>
      <c r="EC223" s="72" t="s">
        <v>37</v>
      </c>
      <c r="EE223" s="19" t="s">
        <v>37</v>
      </c>
      <c r="EF223" s="19" t="s">
        <v>37</v>
      </c>
      <c r="EG223" s="12" t="s">
        <v>37</v>
      </c>
      <c r="EM223" s="12" t="s">
        <v>39</v>
      </c>
      <c r="EN223" s="12">
        <v>-6</v>
      </c>
      <c r="EO223" s="50">
        <f t="shared" si="1108"/>
        <v>2.4449783925077599</v>
      </c>
      <c r="EP223" s="13">
        <v>3</v>
      </c>
      <c r="ER223" s="12" t="s">
        <v>37</v>
      </c>
      <c r="ES223" s="12" t="s">
        <v>37</v>
      </c>
      <c r="ET223" s="13" t="s">
        <v>37</v>
      </c>
      <c r="FB223" s="12" t="s">
        <v>37</v>
      </c>
      <c r="FC223" s="12" t="s">
        <v>37</v>
      </c>
      <c r="FD223" s="11" t="s">
        <v>37</v>
      </c>
      <c r="FE223" s="12" t="s">
        <v>37</v>
      </c>
      <c r="FF223" s="20" t="s">
        <v>37</v>
      </c>
      <c r="FG223" s="11" t="s">
        <v>37</v>
      </c>
      <c r="FI223" s="12" t="s">
        <v>37</v>
      </c>
      <c r="FJ223" s="12" t="s">
        <v>37</v>
      </c>
      <c r="FK223" s="11" t="s">
        <v>37</v>
      </c>
      <c r="FL223" s="13" t="s">
        <v>37</v>
      </c>
      <c r="FM223" s="11" t="s">
        <v>37</v>
      </c>
      <c r="FN223" s="11" t="s">
        <v>37</v>
      </c>
      <c r="FP223" s="12" t="s">
        <v>37</v>
      </c>
      <c r="FQ223" s="12" t="s">
        <v>37</v>
      </c>
      <c r="FR223" s="11" t="s">
        <v>37</v>
      </c>
      <c r="FS223" s="13" t="s">
        <v>37</v>
      </c>
      <c r="FT223" s="11" t="s">
        <v>37</v>
      </c>
      <c r="FU223" s="11" t="s">
        <v>37</v>
      </c>
      <c r="FW223" s="12" t="s">
        <v>37</v>
      </c>
      <c r="FX223" s="12" t="s">
        <v>37</v>
      </c>
      <c r="FY223" s="11" t="s">
        <v>37</v>
      </c>
      <c r="FZ223" s="13" t="s">
        <v>37</v>
      </c>
      <c r="GA223" s="11" t="s">
        <v>37</v>
      </c>
      <c r="GB223" s="11" t="s">
        <v>37</v>
      </c>
      <c r="GK223" s="12"/>
      <c r="IK223" s="12" t="s">
        <v>37</v>
      </c>
      <c r="IL223" s="12" t="s">
        <v>37</v>
      </c>
      <c r="IM223" s="12" t="s">
        <v>37</v>
      </c>
      <c r="IO223" s="12" t="s">
        <v>37</v>
      </c>
      <c r="IP223" s="12" t="s">
        <v>37</v>
      </c>
      <c r="IQ223" s="12" t="s">
        <v>37</v>
      </c>
      <c r="IW223" s="12" t="s">
        <v>37</v>
      </c>
      <c r="IX223" s="12" t="s">
        <v>37</v>
      </c>
      <c r="IY223" s="13" t="s">
        <v>37</v>
      </c>
      <c r="JA223" s="12" t="s">
        <v>37</v>
      </c>
      <c r="JB223" s="12" t="s">
        <v>37</v>
      </c>
      <c r="JC223" s="13" t="s">
        <v>37</v>
      </c>
      <c r="JH223" s="12" t="s">
        <v>37</v>
      </c>
      <c r="JI223" s="12" t="s">
        <v>37</v>
      </c>
      <c r="JJ223" s="13" t="s">
        <v>37</v>
      </c>
      <c r="JL223" s="12" t="s">
        <v>37</v>
      </c>
      <c r="JM223" s="12" t="s">
        <v>37</v>
      </c>
      <c r="JN223" s="12" t="s">
        <v>37</v>
      </c>
      <c r="JS223" s="12" t="s">
        <v>37</v>
      </c>
      <c r="JT223" s="12" t="s">
        <v>37</v>
      </c>
      <c r="JU223" s="13" t="s">
        <v>37</v>
      </c>
      <c r="JW223" s="12" t="s">
        <v>37</v>
      </c>
      <c r="JX223" s="12" t="s">
        <v>37</v>
      </c>
      <c r="JY223" s="12" t="s">
        <v>37</v>
      </c>
      <c r="KE223" s="12" t="s">
        <v>37</v>
      </c>
      <c r="KF223" s="12" t="s">
        <v>37</v>
      </c>
      <c r="KG223" s="13" t="s">
        <v>37</v>
      </c>
      <c r="KH223" s="12" t="s">
        <v>37</v>
      </c>
      <c r="KI223" s="12" t="s">
        <v>37</v>
      </c>
      <c r="KJ223" s="12" t="s">
        <v>37</v>
      </c>
      <c r="KL223" s="32" t="s">
        <v>37</v>
      </c>
      <c r="KM223" s="12" t="s">
        <v>37</v>
      </c>
      <c r="KN223" s="12" t="s">
        <v>37</v>
      </c>
      <c r="KO223" s="11" t="s">
        <v>37</v>
      </c>
      <c r="KQ223" s="12" t="s">
        <v>37</v>
      </c>
      <c r="KR223" s="12" t="s">
        <v>37</v>
      </c>
      <c r="KS223" s="12" t="s">
        <v>37</v>
      </c>
      <c r="KX223" s="12" t="s">
        <v>37</v>
      </c>
      <c r="KY223" s="12" t="s">
        <v>37</v>
      </c>
      <c r="KZ223" s="12" t="s">
        <v>37</v>
      </c>
      <c r="LB223" s="12" t="s">
        <v>37</v>
      </c>
      <c r="LC223" s="12" t="s">
        <v>37</v>
      </c>
      <c r="LD223" s="12" t="s">
        <v>37</v>
      </c>
      <c r="LI223" s="12" t="s">
        <v>37</v>
      </c>
      <c r="LJ223" s="12" t="s">
        <v>37</v>
      </c>
      <c r="LK223" s="12" t="s">
        <v>37</v>
      </c>
      <c r="LM223" s="12" t="s">
        <v>37</v>
      </c>
      <c r="LN223" s="12" t="s">
        <v>37</v>
      </c>
      <c r="LO223" s="12" t="s">
        <v>37</v>
      </c>
      <c r="LU223" s="12" t="s">
        <v>37</v>
      </c>
      <c r="LV223" s="12" t="s">
        <v>37</v>
      </c>
      <c r="LW223" s="12" t="s">
        <v>37</v>
      </c>
      <c r="LY223" s="12" t="s">
        <v>37</v>
      </c>
      <c r="LZ223" s="12" t="s">
        <v>37</v>
      </c>
      <c r="MA223" s="12" t="s">
        <v>37</v>
      </c>
      <c r="MF223" s="12" t="s">
        <v>37</v>
      </c>
      <c r="MG223" s="12" t="s">
        <v>37</v>
      </c>
      <c r="MH223" s="12" t="s">
        <v>37</v>
      </c>
      <c r="MJ223" s="12" t="s">
        <v>37</v>
      </c>
      <c r="MK223" s="12" t="s">
        <v>37</v>
      </c>
      <c r="ML223" s="12" t="s">
        <v>37</v>
      </c>
      <c r="MQ223" s="12" t="s">
        <v>37</v>
      </c>
      <c r="MR223" s="12" t="s">
        <v>37</v>
      </c>
      <c r="MS223" s="12" t="s">
        <v>37</v>
      </c>
      <c r="MU223" s="12" t="s">
        <v>37</v>
      </c>
      <c r="MV223" s="12" t="s">
        <v>37</v>
      </c>
      <c r="MW223" s="12" t="s">
        <v>37</v>
      </c>
      <c r="NC223" s="12" t="s">
        <v>37</v>
      </c>
      <c r="ND223" s="12" t="s">
        <v>37</v>
      </c>
      <c r="NE223" s="12" t="s">
        <v>37</v>
      </c>
      <c r="NG223" s="12" t="s">
        <v>37</v>
      </c>
      <c r="NH223" s="12" t="s">
        <v>37</v>
      </c>
      <c r="NI223" s="12" t="s">
        <v>37</v>
      </c>
      <c r="NO223" s="12" t="s">
        <v>37</v>
      </c>
      <c r="NP223" s="12" t="s">
        <v>37</v>
      </c>
      <c r="NQ223" s="12" t="s">
        <v>37</v>
      </c>
      <c r="NS223" s="12" t="s">
        <v>37</v>
      </c>
      <c r="NT223" s="12" t="s">
        <v>37</v>
      </c>
      <c r="NU223" s="12" t="s">
        <v>37</v>
      </c>
      <c r="OA223" s="12" t="s">
        <v>37</v>
      </c>
      <c r="OB223" s="12" t="s">
        <v>37</v>
      </c>
      <c r="OC223" s="12" t="s">
        <v>37</v>
      </c>
      <c r="OD223" s="12"/>
      <c r="OE223" s="12" t="s">
        <v>37</v>
      </c>
      <c r="OF223" s="12" t="s">
        <v>37</v>
      </c>
      <c r="OG223" s="12" t="s">
        <v>37</v>
      </c>
      <c r="OH223" s="12"/>
      <c r="OI223" s="12"/>
      <c r="OJ223" s="12"/>
      <c r="OM223" s="12" t="s">
        <v>37</v>
      </c>
      <c r="ON223" s="12" t="s">
        <v>37</v>
      </c>
      <c r="OO223" s="12" t="s">
        <v>37</v>
      </c>
      <c r="OP223" s="12" t="s">
        <v>37</v>
      </c>
      <c r="OQ223" s="12" t="s">
        <v>37</v>
      </c>
      <c r="OR223" s="12" t="s">
        <v>37</v>
      </c>
      <c r="OS223" s="12"/>
      <c r="OT223" s="12"/>
      <c r="OW223" s="12" t="s">
        <v>37</v>
      </c>
      <c r="OX223" s="12" t="s">
        <v>37</v>
      </c>
      <c r="OY223" s="13" t="s">
        <v>37</v>
      </c>
      <c r="OZ223" s="12" t="s">
        <v>37</v>
      </c>
      <c r="PA223" s="12" t="s">
        <v>37</v>
      </c>
      <c r="PB223" s="13" t="s">
        <v>37</v>
      </c>
      <c r="PG223" s="12" t="s">
        <v>37</v>
      </c>
      <c r="PH223" s="12" t="s">
        <v>37</v>
      </c>
      <c r="PI223" s="12" t="s">
        <v>37</v>
      </c>
      <c r="PJ223" s="12" t="s">
        <v>37</v>
      </c>
      <c r="PK223" s="12" t="s">
        <v>37</v>
      </c>
      <c r="PL223" s="12" t="s">
        <v>37</v>
      </c>
      <c r="PM223" s="12"/>
      <c r="PN223" s="12"/>
      <c r="PQ223" s="12" t="s">
        <v>37</v>
      </c>
      <c r="PR223" s="12" t="s">
        <v>37</v>
      </c>
      <c r="PS223" s="12" t="s">
        <v>37</v>
      </c>
      <c r="PT223" s="12" t="s">
        <v>37</v>
      </c>
      <c r="PU223" s="12" t="s">
        <v>37</v>
      </c>
      <c r="PV223" s="12" t="s">
        <v>37</v>
      </c>
      <c r="PW223" s="12"/>
      <c r="PX223" s="12"/>
      <c r="PZ223" s="12" t="s">
        <v>37</v>
      </c>
      <c r="QA223" s="12" t="s">
        <v>37</v>
      </c>
      <c r="QB223" s="12" t="s">
        <v>37</v>
      </c>
      <c r="QD223" s="12" t="s">
        <v>37</v>
      </c>
      <c r="QE223" s="12" t="s">
        <v>37</v>
      </c>
      <c r="QF223" s="12" t="s">
        <v>37</v>
      </c>
      <c r="QK223" s="12" t="s">
        <v>37</v>
      </c>
      <c r="QL223" s="12" t="s">
        <v>37</v>
      </c>
      <c r="QM223" s="12" t="s">
        <v>37</v>
      </c>
      <c r="QN223" s="12" t="s">
        <v>37</v>
      </c>
      <c r="QO223" s="12" t="s">
        <v>37</v>
      </c>
      <c r="QP223" s="12" t="s">
        <v>37</v>
      </c>
      <c r="QQ223" s="12"/>
      <c r="QR223" s="12"/>
      <c r="QU223" s="12" t="s">
        <v>37</v>
      </c>
      <c r="QV223" s="12" t="s">
        <v>37</v>
      </c>
      <c r="QW223" s="12" t="s">
        <v>37</v>
      </c>
      <c r="QX223" s="12" t="s">
        <v>37</v>
      </c>
      <c r="QY223" s="12" t="s">
        <v>37</v>
      </c>
      <c r="QZ223" s="12" t="s">
        <v>37</v>
      </c>
      <c r="RC223" s="12" t="s">
        <v>37</v>
      </c>
      <c r="RD223" s="12" t="s">
        <v>37</v>
      </c>
      <c r="RE223" s="13" t="s">
        <v>37</v>
      </c>
      <c r="RF223" s="12" t="s">
        <v>37</v>
      </c>
      <c r="RG223" s="12" t="s">
        <v>37</v>
      </c>
      <c r="RH223" s="13" t="s">
        <v>37</v>
      </c>
      <c r="RK223" s="12" t="s">
        <v>37</v>
      </c>
      <c r="RL223" s="12" t="s">
        <v>37</v>
      </c>
      <c r="RM223" s="11" t="s">
        <v>37</v>
      </c>
      <c r="RN223" s="12" t="s">
        <v>37</v>
      </c>
      <c r="RO223" s="12" t="s">
        <v>37</v>
      </c>
      <c r="RP223" s="11" t="s">
        <v>37</v>
      </c>
      <c r="RS223" s="12" t="s">
        <v>37</v>
      </c>
      <c r="RT223" s="12" t="s">
        <v>37</v>
      </c>
      <c r="RU223" s="12" t="s">
        <v>37</v>
      </c>
      <c r="RV223" s="12" t="s">
        <v>37</v>
      </c>
      <c r="RW223" s="12" t="s">
        <v>37</v>
      </c>
      <c r="RX223" s="12" t="s">
        <v>37</v>
      </c>
      <c r="SA223" s="12" t="s">
        <v>37</v>
      </c>
      <c r="SB223" s="12" t="s">
        <v>37</v>
      </c>
      <c r="SC223" s="12" t="s">
        <v>37</v>
      </c>
      <c r="SD223" s="12" t="s">
        <v>37</v>
      </c>
      <c r="SE223" s="12" t="s">
        <v>37</v>
      </c>
      <c r="SF223" s="12" t="s">
        <v>37</v>
      </c>
      <c r="SI223" s="12" t="s">
        <v>37</v>
      </c>
      <c r="SJ223" s="12" t="s">
        <v>37</v>
      </c>
      <c r="SK223" s="13" t="s">
        <v>37</v>
      </c>
      <c r="SM223" s="12" t="s">
        <v>37</v>
      </c>
      <c r="SN223" s="12" t="s">
        <v>37</v>
      </c>
      <c r="SO223" s="13" t="s">
        <v>37</v>
      </c>
      <c r="SU223" s="12" t="s">
        <v>37</v>
      </c>
      <c r="SV223" s="12" t="s">
        <v>37</v>
      </c>
      <c r="SW223" s="12" t="s">
        <v>37</v>
      </c>
      <c r="SX223" s="12" t="s">
        <v>37</v>
      </c>
      <c r="SY223" s="12" t="s">
        <v>37</v>
      </c>
      <c r="SZ223" s="12" t="s">
        <v>37</v>
      </c>
      <c r="TA223" s="12"/>
      <c r="TB223" s="12"/>
      <c r="TE223" s="12" t="s">
        <v>37</v>
      </c>
      <c r="TF223" s="12" t="s">
        <v>37</v>
      </c>
      <c r="TG223" s="12" t="s">
        <v>37</v>
      </c>
      <c r="TH223" s="12" t="s">
        <v>37</v>
      </c>
      <c r="TI223" s="12" t="s">
        <v>37</v>
      </c>
      <c r="TJ223" s="12" t="s">
        <v>37</v>
      </c>
      <c r="TK223" s="12"/>
      <c r="TL223" s="12"/>
      <c r="TO223" s="12" t="s">
        <v>37</v>
      </c>
      <c r="TP223" s="12" t="s">
        <v>37</v>
      </c>
      <c r="TQ223" s="12" t="s">
        <v>37</v>
      </c>
      <c r="TR223" s="12" t="s">
        <v>37</v>
      </c>
      <c r="TS223" s="12" t="s">
        <v>37</v>
      </c>
      <c r="TT223" s="12" t="s">
        <v>37</v>
      </c>
      <c r="TU223" s="12"/>
      <c r="TV223" s="12"/>
      <c r="TY223" s="12" t="s">
        <v>37</v>
      </c>
      <c r="TZ223" s="12" t="s">
        <v>37</v>
      </c>
      <c r="UA223" s="12" t="s">
        <v>37</v>
      </c>
      <c r="UB223" s="12" t="s">
        <v>37</v>
      </c>
      <c r="UC223" s="12" t="s">
        <v>37</v>
      </c>
      <c r="UD223" s="12" t="s">
        <v>37</v>
      </c>
      <c r="UE223" s="12"/>
      <c r="UF223" s="12"/>
      <c r="UI223" s="12" t="s">
        <v>37</v>
      </c>
      <c r="UJ223" s="12" t="s">
        <v>37</v>
      </c>
      <c r="UK223" s="12" t="s">
        <v>37</v>
      </c>
      <c r="UL223" s="12" t="s">
        <v>37</v>
      </c>
      <c r="UM223" s="12" t="s">
        <v>37</v>
      </c>
      <c r="UN223" s="12" t="s">
        <v>37</v>
      </c>
      <c r="UO223" s="12"/>
      <c r="UP223" s="12"/>
      <c r="UR223" s="12" t="s">
        <v>37</v>
      </c>
      <c r="US223" s="12" t="s">
        <v>37</v>
      </c>
      <c r="UT223" s="12" t="s">
        <v>37</v>
      </c>
      <c r="UU223" s="12" t="s">
        <v>37</v>
      </c>
      <c r="UV223" s="12" t="s">
        <v>37</v>
      </c>
      <c r="UW223" s="12" t="s">
        <v>37</v>
      </c>
      <c r="UX223" s="12"/>
      <c r="UY223" s="12"/>
      <c r="VB223" s="12" t="s">
        <v>37</v>
      </c>
      <c r="VC223" s="12" t="s">
        <v>37</v>
      </c>
      <c r="VD223" s="12" t="s">
        <v>37</v>
      </c>
      <c r="VE223" s="12" t="s">
        <v>37</v>
      </c>
      <c r="VF223" s="12" t="s">
        <v>37</v>
      </c>
      <c r="VG223" s="12" t="s">
        <v>37</v>
      </c>
      <c r="VI223" s="12" t="s">
        <v>37</v>
      </c>
      <c r="VJ223" s="12" t="s">
        <v>37</v>
      </c>
      <c r="VK223" s="12" t="s">
        <v>37</v>
      </c>
      <c r="VL223" s="12" t="s">
        <v>37</v>
      </c>
      <c r="VM223" s="12" t="s">
        <v>37</v>
      </c>
      <c r="VN223" s="12" t="s">
        <v>37</v>
      </c>
      <c r="VQ223" s="12" t="s">
        <v>37</v>
      </c>
      <c r="VR223" s="12" t="s">
        <v>37</v>
      </c>
      <c r="VS223" s="12" t="s">
        <v>37</v>
      </c>
      <c r="VT223" s="12" t="s">
        <v>37</v>
      </c>
      <c r="VU223" s="12" t="s">
        <v>37</v>
      </c>
      <c r="VV223" s="12" t="s">
        <v>37</v>
      </c>
      <c r="VW223" s="12"/>
      <c r="VX223" s="12"/>
      <c r="WA223" s="12" t="s">
        <v>37</v>
      </c>
      <c r="WB223" s="12" t="s">
        <v>37</v>
      </c>
      <c r="WC223" s="12" t="s">
        <v>37</v>
      </c>
      <c r="WD223" s="12" t="s">
        <v>37</v>
      </c>
      <c r="WE223" s="12" t="s">
        <v>37</v>
      </c>
      <c r="WF223" s="12" t="s">
        <v>37</v>
      </c>
    </row>
    <row r="224" spans="1:606" ht="18" customHeight="1" x14ac:dyDescent="0.3">
      <c r="A224" s="11">
        <v>62</v>
      </c>
      <c r="B224" s="16" t="s">
        <v>937</v>
      </c>
      <c r="C224" s="12" t="s">
        <v>26</v>
      </c>
      <c r="D224" s="12" t="s">
        <v>973</v>
      </c>
      <c r="E224" s="40" t="s">
        <v>37</v>
      </c>
      <c r="F224" s="14">
        <v>0</v>
      </c>
      <c r="G224" s="14">
        <v>0</v>
      </c>
      <c r="H224" s="12" t="s">
        <v>123</v>
      </c>
      <c r="I224" s="29">
        <v>68</v>
      </c>
      <c r="J224" s="29">
        <v>24.2</v>
      </c>
      <c r="K224" s="12" t="s">
        <v>667</v>
      </c>
      <c r="L224" s="12" t="s">
        <v>668</v>
      </c>
      <c r="M224" s="13" t="s">
        <v>37</v>
      </c>
      <c r="N224" s="14">
        <v>3.5</v>
      </c>
      <c r="O224" s="14">
        <v>700</v>
      </c>
      <c r="P224" s="14" t="s">
        <v>84</v>
      </c>
      <c r="Q224" s="75">
        <v>3</v>
      </c>
      <c r="R224" s="11" t="s">
        <v>37</v>
      </c>
      <c r="S224" s="12" t="s">
        <v>85</v>
      </c>
      <c r="T224" s="12" t="s">
        <v>138</v>
      </c>
      <c r="U224" s="12" t="s">
        <v>158</v>
      </c>
      <c r="V224" s="12" t="s">
        <v>275</v>
      </c>
      <c r="W224" s="23" t="s">
        <v>366</v>
      </c>
      <c r="X224" s="12" t="s">
        <v>367</v>
      </c>
      <c r="Y224" s="12" t="s">
        <v>37</v>
      </c>
      <c r="Z224" s="12" t="s">
        <v>37</v>
      </c>
      <c r="AB224" s="12" t="s">
        <v>37</v>
      </c>
      <c r="AE224" s="12" t="s">
        <v>37</v>
      </c>
      <c r="AG224" s="32" t="s">
        <v>37</v>
      </c>
      <c r="AH224" s="12" t="s">
        <v>37</v>
      </c>
      <c r="AK224" s="12" t="s">
        <v>37</v>
      </c>
      <c r="AL224" s="32" t="s">
        <v>560</v>
      </c>
      <c r="AM224" s="12" t="s">
        <v>317</v>
      </c>
      <c r="AN224" s="32" t="s">
        <v>879</v>
      </c>
      <c r="AO224" s="12" t="s">
        <v>847</v>
      </c>
      <c r="AP224" s="12" t="s">
        <v>167</v>
      </c>
      <c r="AQ224" s="12" t="s">
        <v>975</v>
      </c>
      <c r="AT224" s="12" t="s">
        <v>326</v>
      </c>
      <c r="AU224" s="12" t="s">
        <v>326</v>
      </c>
      <c r="AV224" s="13" t="s">
        <v>326</v>
      </c>
      <c r="AX224" s="12" t="s">
        <v>326</v>
      </c>
      <c r="AY224" s="12" t="s">
        <v>326</v>
      </c>
      <c r="AZ224" s="13" t="s">
        <v>326</v>
      </c>
      <c r="BE224" s="12" t="s">
        <v>326</v>
      </c>
      <c r="BF224" s="12" t="s">
        <v>326</v>
      </c>
      <c r="BG224" s="12" t="s">
        <v>326</v>
      </c>
      <c r="BI224" s="12" t="s">
        <v>326</v>
      </c>
      <c r="BJ224" s="12" t="s">
        <v>326</v>
      </c>
      <c r="BK224" s="12" t="s">
        <v>326</v>
      </c>
      <c r="BP224" s="12" t="s">
        <v>37</v>
      </c>
      <c r="BQ224" s="12" t="s">
        <v>37</v>
      </c>
      <c r="BR224" s="13" t="s">
        <v>37</v>
      </c>
      <c r="BT224" s="12" t="s">
        <v>37</v>
      </c>
      <c r="BU224" s="12" t="s">
        <v>37</v>
      </c>
      <c r="BV224" s="12" t="s">
        <v>37</v>
      </c>
      <c r="BZ224" s="12" t="s">
        <v>47</v>
      </c>
      <c r="CA224" s="12">
        <f>-1186.64*10^4/10^3/'[6]classess-1'!$T$90</f>
        <v>-13221.293435196718</v>
      </c>
      <c r="CB224" s="12">
        <f>SQRT((1/[7]Classess!$T$90)^2*(503.62*10^4/10^3)^2+(-CA224/([7]Classess!$T$90)^2)^2*([7]Classess!$U$90)^2)</f>
        <v>5835.686028701105</v>
      </c>
      <c r="CC224" s="13">
        <v>3</v>
      </c>
      <c r="CD224" s="19">
        <f t="shared" si="1092"/>
        <v>0.44138541038396345</v>
      </c>
      <c r="CE224" s="12">
        <f>-1335.95*10^4/10^3/'[6]classess-1'!$T$91</f>
        <v>-13858.019355218201</v>
      </c>
      <c r="CF224" s="12">
        <f>SQRT((1/[7]Classess!$T$91)^2*(775.85*10^4/10^3)^2+(-CE224/([7]Classess!$T$91)^2)^2*([7]Classess!$U$91)^2)</f>
        <v>8055.4344954724056</v>
      </c>
      <c r="CG224" s="13">
        <v>3</v>
      </c>
      <c r="CH224" s="19">
        <f t="shared" si="1093"/>
        <v>0.58128324755435945</v>
      </c>
      <c r="CI224" s="75">
        <f t="shared" si="1094"/>
        <v>-636.72592002148303</v>
      </c>
      <c r="CJ224" s="12">
        <f t="shared" si="1109"/>
        <v>7033.678139367199</v>
      </c>
      <c r="CK224" s="72">
        <f t="shared" si="1096"/>
        <v>32981752.112141348</v>
      </c>
      <c r="CL224" s="72">
        <f t="shared" si="1097"/>
        <v>32981752.112141348</v>
      </c>
      <c r="CM224" s="12" t="s">
        <v>47</v>
      </c>
      <c r="CN224" s="12">
        <f>679.764243614931*10^4/10^3/'[6]classess-1'!$I$90</f>
        <v>9278.44239752473</v>
      </c>
      <c r="CO224" s="12">
        <f>SQRT((1/[7]Classess!$I$90)^2*(258.616623526983*10^4/10^3)^2+(-CN224/([7]Classess!$I$90)^2)^2*([7]Classess!$J$90)^2)</f>
        <v>3665.2968271222612</v>
      </c>
      <c r="CP224" s="13">
        <v>3</v>
      </c>
      <c r="CQ224" s="19">
        <f t="shared" si="1110"/>
        <v>0.39503363496658406</v>
      </c>
      <c r="CR224" s="12">
        <f>766.208251473477*10^4/10^3/'[6]classess-1'!$I$91</f>
        <v>8910.18513514601</v>
      </c>
      <c r="CS224" s="12">
        <f>SQRT((1/[7]Classess!$I$91)^2*(421.953438386133*10^4/10^3)^2+(-CR224/([7]Classess!$I$91)^2)^2*([7]Classess!$J$91)^2)</f>
        <v>4926.3065430817614</v>
      </c>
      <c r="CT224" s="13">
        <v>3</v>
      </c>
      <c r="CU224" s="19">
        <f t="shared" si="1098"/>
        <v>0.55288486920996338</v>
      </c>
      <c r="CV224" s="75">
        <f t="shared" si="1099"/>
        <v>-368.25726237872004</v>
      </c>
      <c r="CW224" s="12">
        <f t="shared" si="1100"/>
        <v>4341.8254794108598</v>
      </c>
      <c r="CX224" s="72">
        <f t="shared" si="1101"/>
        <v>12567632.329107562</v>
      </c>
      <c r="CY224" s="72">
        <f t="shared" si="1102"/>
        <v>12567632.329107564</v>
      </c>
      <c r="CZ224" s="12" t="s">
        <v>47</v>
      </c>
      <c r="DA224" s="12">
        <f t="shared" si="1111"/>
        <v>-3942.8510376719878</v>
      </c>
      <c r="DB224" s="12">
        <f>SQRT((1/[7]Classess!$I$58)^2*(279.033725384377*10^4/10^3)^2+(-DA224/([7]Classess!$I$58)^2)^2*([7]Classess!$J$58)^2)</f>
        <v>3165.2218188801453</v>
      </c>
      <c r="DC224" s="13">
        <v>3</v>
      </c>
      <c r="DD224" s="19">
        <f t="shared" si="1103"/>
        <v>0.80277489274588854</v>
      </c>
      <c r="DE224" s="12">
        <f t="shared" si="1112"/>
        <v>-4947.8342200721909</v>
      </c>
      <c r="DF224" s="12">
        <f>SQRT((1/[7]Classess!$I$59)^2*(54.4456049530475*10^4/10^3)^2+(-DE224/([7]Classess!$I$59)^2)^2*([7]Classess!$J$59)^2)</f>
        <v>674.98350911365401</v>
      </c>
      <c r="DG224" s="13">
        <v>3</v>
      </c>
      <c r="DH224" s="19">
        <f t="shared" si="1113"/>
        <v>0.13641999288808138</v>
      </c>
      <c r="DI224" s="19">
        <f>DE224-DA224</f>
        <v>-1004.9831824002031</v>
      </c>
      <c r="DJ224" s="12">
        <f t="shared" si="1105"/>
        <v>2288.474590233669</v>
      </c>
      <c r="DK224" s="72">
        <f t="shared" si="1106"/>
        <v>3491410.6334301056</v>
      </c>
      <c r="DL224" s="72">
        <f t="shared" si="1107"/>
        <v>3491410.6334301061</v>
      </c>
      <c r="DN224" s="19" t="s">
        <v>37</v>
      </c>
      <c r="DO224" s="12" t="s">
        <v>37</v>
      </c>
      <c r="DP224" s="13" t="s">
        <v>37</v>
      </c>
      <c r="DR224" s="19" t="s">
        <v>37</v>
      </c>
      <c r="DS224" s="12" t="s">
        <v>37</v>
      </c>
      <c r="DT224" s="13" t="s">
        <v>37</v>
      </c>
      <c r="EA224" s="19" t="s">
        <v>37</v>
      </c>
      <c r="EB224" s="19" t="s">
        <v>37</v>
      </c>
      <c r="EC224" s="72" t="s">
        <v>37</v>
      </c>
      <c r="EE224" s="19" t="s">
        <v>37</v>
      </c>
      <c r="EF224" s="19" t="s">
        <v>37</v>
      </c>
      <c r="EG224" s="12" t="s">
        <v>37</v>
      </c>
      <c r="EM224" s="12" t="s">
        <v>39</v>
      </c>
      <c r="EN224" s="12">
        <v>-9</v>
      </c>
      <c r="EO224" s="50">
        <f t="shared" si="1108"/>
        <v>3.6674675887616401</v>
      </c>
      <c r="EP224" s="13">
        <v>3</v>
      </c>
      <c r="ER224" s="12" t="s">
        <v>37</v>
      </c>
      <c r="ES224" s="12" t="s">
        <v>37</v>
      </c>
      <c r="ET224" s="13" t="s">
        <v>37</v>
      </c>
      <c r="FB224" s="12" t="s">
        <v>37</v>
      </c>
      <c r="FC224" s="12" t="s">
        <v>37</v>
      </c>
      <c r="FD224" s="11" t="s">
        <v>37</v>
      </c>
      <c r="FE224" s="12" t="s">
        <v>37</v>
      </c>
      <c r="FF224" s="20" t="s">
        <v>37</v>
      </c>
      <c r="FG224" s="11" t="s">
        <v>37</v>
      </c>
      <c r="FI224" s="12" t="s">
        <v>37</v>
      </c>
      <c r="FJ224" s="12" t="s">
        <v>37</v>
      </c>
      <c r="FK224" s="11" t="s">
        <v>37</v>
      </c>
      <c r="FL224" s="13" t="s">
        <v>37</v>
      </c>
      <c r="FM224" s="11" t="s">
        <v>37</v>
      </c>
      <c r="FN224" s="11" t="s">
        <v>37</v>
      </c>
      <c r="FP224" s="12" t="s">
        <v>37</v>
      </c>
      <c r="FQ224" s="12" t="s">
        <v>37</v>
      </c>
      <c r="FR224" s="11" t="s">
        <v>37</v>
      </c>
      <c r="FS224" s="13" t="s">
        <v>37</v>
      </c>
      <c r="FT224" s="11" t="s">
        <v>37</v>
      </c>
      <c r="FU224" s="11" t="s">
        <v>37</v>
      </c>
      <c r="FW224" s="12" t="s">
        <v>37</v>
      </c>
      <c r="FX224" s="12" t="s">
        <v>37</v>
      </c>
      <c r="FY224" s="11" t="s">
        <v>37</v>
      </c>
      <c r="FZ224" s="13" t="s">
        <v>37</v>
      </c>
      <c r="GA224" s="11" t="s">
        <v>37</v>
      </c>
      <c r="GB224" s="11" t="s">
        <v>37</v>
      </c>
      <c r="GK224" s="12"/>
      <c r="IK224" s="12" t="s">
        <v>37</v>
      </c>
      <c r="IL224" s="12" t="s">
        <v>37</v>
      </c>
      <c r="IM224" s="12" t="s">
        <v>37</v>
      </c>
      <c r="IO224" s="12" t="s">
        <v>37</v>
      </c>
      <c r="IP224" s="12" t="s">
        <v>37</v>
      </c>
      <c r="IQ224" s="12" t="s">
        <v>37</v>
      </c>
      <c r="IW224" s="12" t="s">
        <v>37</v>
      </c>
      <c r="IX224" s="12" t="s">
        <v>37</v>
      </c>
      <c r="IY224" s="13" t="s">
        <v>37</v>
      </c>
      <c r="JA224" s="12" t="s">
        <v>37</v>
      </c>
      <c r="JB224" s="12" t="s">
        <v>37</v>
      </c>
      <c r="JC224" s="13" t="s">
        <v>37</v>
      </c>
      <c r="JH224" s="12" t="s">
        <v>37</v>
      </c>
      <c r="JI224" s="12" t="s">
        <v>37</v>
      </c>
      <c r="JJ224" s="13" t="s">
        <v>37</v>
      </c>
      <c r="JL224" s="12" t="s">
        <v>37</v>
      </c>
      <c r="JM224" s="12" t="s">
        <v>37</v>
      </c>
      <c r="JN224" s="12" t="s">
        <v>37</v>
      </c>
      <c r="JS224" s="12" t="s">
        <v>37</v>
      </c>
      <c r="JT224" s="12" t="s">
        <v>37</v>
      </c>
      <c r="JU224" s="13" t="s">
        <v>37</v>
      </c>
      <c r="JW224" s="12" t="s">
        <v>37</v>
      </c>
      <c r="JX224" s="12" t="s">
        <v>37</v>
      </c>
      <c r="JY224" s="12" t="s">
        <v>37</v>
      </c>
      <c r="KE224" s="12" t="s">
        <v>37</v>
      </c>
      <c r="KF224" s="12" t="s">
        <v>37</v>
      </c>
      <c r="KG224" s="13" t="s">
        <v>37</v>
      </c>
      <c r="KH224" s="12" t="s">
        <v>37</v>
      </c>
      <c r="KI224" s="12" t="s">
        <v>37</v>
      </c>
      <c r="KJ224" s="12" t="s">
        <v>37</v>
      </c>
      <c r="KL224" s="32" t="s">
        <v>37</v>
      </c>
      <c r="KM224" s="12" t="s">
        <v>37</v>
      </c>
      <c r="KN224" s="12" t="s">
        <v>37</v>
      </c>
      <c r="KO224" s="11" t="s">
        <v>37</v>
      </c>
      <c r="KQ224" s="12" t="s">
        <v>37</v>
      </c>
      <c r="KR224" s="12" t="s">
        <v>37</v>
      </c>
      <c r="KS224" s="12" t="s">
        <v>37</v>
      </c>
      <c r="KX224" s="12" t="s">
        <v>37</v>
      </c>
      <c r="KY224" s="12" t="s">
        <v>37</v>
      </c>
      <c r="KZ224" s="12" t="s">
        <v>37</v>
      </c>
      <c r="LB224" s="12" t="s">
        <v>37</v>
      </c>
      <c r="LC224" s="12" t="s">
        <v>37</v>
      </c>
      <c r="LD224" s="12" t="s">
        <v>37</v>
      </c>
      <c r="LI224" s="12" t="s">
        <v>37</v>
      </c>
      <c r="LJ224" s="12" t="s">
        <v>37</v>
      </c>
      <c r="LK224" s="12" t="s">
        <v>37</v>
      </c>
      <c r="LM224" s="12" t="s">
        <v>37</v>
      </c>
      <c r="LN224" s="12" t="s">
        <v>37</v>
      </c>
      <c r="LO224" s="12" t="s">
        <v>37</v>
      </c>
      <c r="LU224" s="12" t="s">
        <v>37</v>
      </c>
      <c r="LV224" s="12" t="s">
        <v>37</v>
      </c>
      <c r="LW224" s="12" t="s">
        <v>37</v>
      </c>
      <c r="LY224" s="12" t="s">
        <v>37</v>
      </c>
      <c r="LZ224" s="12" t="s">
        <v>37</v>
      </c>
      <c r="MA224" s="12" t="s">
        <v>37</v>
      </c>
      <c r="MF224" s="12" t="s">
        <v>37</v>
      </c>
      <c r="MG224" s="12" t="s">
        <v>37</v>
      </c>
      <c r="MH224" s="12" t="s">
        <v>37</v>
      </c>
      <c r="MJ224" s="12" t="s">
        <v>37</v>
      </c>
      <c r="MK224" s="12" t="s">
        <v>37</v>
      </c>
      <c r="ML224" s="12" t="s">
        <v>37</v>
      </c>
      <c r="MQ224" s="12" t="s">
        <v>37</v>
      </c>
      <c r="MR224" s="12" t="s">
        <v>37</v>
      </c>
      <c r="MS224" s="12" t="s">
        <v>37</v>
      </c>
      <c r="MU224" s="12" t="s">
        <v>37</v>
      </c>
      <c r="MV224" s="12" t="s">
        <v>37</v>
      </c>
      <c r="MW224" s="12" t="s">
        <v>37</v>
      </c>
      <c r="NC224" s="12" t="s">
        <v>37</v>
      </c>
      <c r="ND224" s="12" t="s">
        <v>37</v>
      </c>
      <c r="NE224" s="12" t="s">
        <v>37</v>
      </c>
      <c r="NG224" s="12" t="s">
        <v>37</v>
      </c>
      <c r="NH224" s="12" t="s">
        <v>37</v>
      </c>
      <c r="NI224" s="12" t="s">
        <v>37</v>
      </c>
      <c r="NO224" s="12" t="s">
        <v>37</v>
      </c>
      <c r="NP224" s="12" t="s">
        <v>37</v>
      </c>
      <c r="NQ224" s="12" t="s">
        <v>37</v>
      </c>
      <c r="NS224" s="12" t="s">
        <v>37</v>
      </c>
      <c r="NT224" s="12" t="s">
        <v>37</v>
      </c>
      <c r="NU224" s="12" t="s">
        <v>37</v>
      </c>
      <c r="OA224" s="12" t="s">
        <v>37</v>
      </c>
      <c r="OB224" s="12" t="s">
        <v>37</v>
      </c>
      <c r="OC224" s="12" t="s">
        <v>37</v>
      </c>
      <c r="OD224" s="12"/>
      <c r="OE224" s="12" t="s">
        <v>37</v>
      </c>
      <c r="OF224" s="12" t="s">
        <v>37</v>
      </c>
      <c r="OG224" s="12" t="s">
        <v>37</v>
      </c>
      <c r="OH224" s="12"/>
      <c r="OI224" s="12"/>
      <c r="OJ224" s="12"/>
      <c r="OM224" s="12" t="s">
        <v>37</v>
      </c>
      <c r="ON224" s="12" t="s">
        <v>37</v>
      </c>
      <c r="OO224" s="12" t="s">
        <v>37</v>
      </c>
      <c r="OP224" s="12" t="s">
        <v>37</v>
      </c>
      <c r="OQ224" s="12" t="s">
        <v>37</v>
      </c>
      <c r="OR224" s="12" t="s">
        <v>37</v>
      </c>
      <c r="OS224" s="12"/>
      <c r="OT224" s="12"/>
      <c r="OW224" s="12" t="s">
        <v>37</v>
      </c>
      <c r="OX224" s="12" t="s">
        <v>37</v>
      </c>
      <c r="OY224" s="13" t="s">
        <v>37</v>
      </c>
      <c r="OZ224" s="12" t="s">
        <v>37</v>
      </c>
      <c r="PA224" s="12" t="s">
        <v>37</v>
      </c>
      <c r="PB224" s="13" t="s">
        <v>37</v>
      </c>
      <c r="PG224" s="12" t="s">
        <v>37</v>
      </c>
      <c r="PH224" s="12" t="s">
        <v>37</v>
      </c>
      <c r="PI224" s="12" t="s">
        <v>37</v>
      </c>
      <c r="PJ224" s="12" t="s">
        <v>37</v>
      </c>
      <c r="PK224" s="12" t="s">
        <v>37</v>
      </c>
      <c r="PL224" s="12" t="s">
        <v>37</v>
      </c>
      <c r="PM224" s="12"/>
      <c r="PN224" s="12"/>
      <c r="PQ224" s="12" t="s">
        <v>37</v>
      </c>
      <c r="PR224" s="12" t="s">
        <v>37</v>
      </c>
      <c r="PS224" s="12" t="s">
        <v>37</v>
      </c>
      <c r="PT224" s="12" t="s">
        <v>37</v>
      </c>
      <c r="PU224" s="12" t="s">
        <v>37</v>
      </c>
      <c r="PV224" s="12" t="s">
        <v>37</v>
      </c>
      <c r="PW224" s="12"/>
      <c r="PX224" s="12"/>
      <c r="PZ224" s="12" t="s">
        <v>37</v>
      </c>
      <c r="QA224" s="12" t="s">
        <v>37</v>
      </c>
      <c r="QB224" s="12" t="s">
        <v>37</v>
      </c>
      <c r="QD224" s="12" t="s">
        <v>37</v>
      </c>
      <c r="QE224" s="12" t="s">
        <v>37</v>
      </c>
      <c r="QF224" s="12" t="s">
        <v>37</v>
      </c>
      <c r="QK224" s="12" t="s">
        <v>37</v>
      </c>
      <c r="QL224" s="12" t="s">
        <v>37</v>
      </c>
      <c r="QM224" s="12" t="s">
        <v>37</v>
      </c>
      <c r="QN224" s="12" t="s">
        <v>37</v>
      </c>
      <c r="QO224" s="12" t="s">
        <v>37</v>
      </c>
      <c r="QP224" s="12" t="s">
        <v>37</v>
      </c>
      <c r="QQ224" s="12"/>
      <c r="QR224" s="12"/>
      <c r="QU224" s="12" t="s">
        <v>37</v>
      </c>
      <c r="QV224" s="12" t="s">
        <v>37</v>
      </c>
      <c r="QW224" s="12" t="s">
        <v>37</v>
      </c>
      <c r="QX224" s="12" t="s">
        <v>37</v>
      </c>
      <c r="QY224" s="12" t="s">
        <v>37</v>
      </c>
      <c r="QZ224" s="12" t="s">
        <v>37</v>
      </c>
      <c r="RC224" s="12" t="s">
        <v>37</v>
      </c>
      <c r="RD224" s="12" t="s">
        <v>37</v>
      </c>
      <c r="RE224" s="13" t="s">
        <v>37</v>
      </c>
      <c r="RF224" s="12" t="s">
        <v>37</v>
      </c>
      <c r="RG224" s="12" t="s">
        <v>37</v>
      </c>
      <c r="RH224" s="13" t="s">
        <v>37</v>
      </c>
      <c r="RK224" s="12" t="s">
        <v>37</v>
      </c>
      <c r="RL224" s="12" t="s">
        <v>37</v>
      </c>
      <c r="RM224" s="11" t="s">
        <v>37</v>
      </c>
      <c r="RN224" s="12" t="s">
        <v>37</v>
      </c>
      <c r="RO224" s="12" t="s">
        <v>37</v>
      </c>
      <c r="RP224" s="11" t="s">
        <v>37</v>
      </c>
      <c r="RS224" s="12" t="s">
        <v>37</v>
      </c>
      <c r="RT224" s="12" t="s">
        <v>37</v>
      </c>
      <c r="RU224" s="12" t="s">
        <v>37</v>
      </c>
      <c r="RV224" s="12" t="s">
        <v>37</v>
      </c>
      <c r="RW224" s="12" t="s">
        <v>37</v>
      </c>
      <c r="RX224" s="12" t="s">
        <v>37</v>
      </c>
      <c r="SA224" s="12" t="s">
        <v>37</v>
      </c>
      <c r="SB224" s="12" t="s">
        <v>37</v>
      </c>
      <c r="SC224" s="12" t="s">
        <v>37</v>
      </c>
      <c r="SD224" s="12" t="s">
        <v>37</v>
      </c>
      <c r="SE224" s="12" t="s">
        <v>37</v>
      </c>
      <c r="SF224" s="12" t="s">
        <v>37</v>
      </c>
      <c r="SI224" s="12" t="s">
        <v>37</v>
      </c>
      <c r="SJ224" s="12" t="s">
        <v>37</v>
      </c>
      <c r="SK224" s="13" t="s">
        <v>37</v>
      </c>
      <c r="SM224" s="12" t="s">
        <v>37</v>
      </c>
      <c r="SN224" s="12" t="s">
        <v>37</v>
      </c>
      <c r="SO224" s="13" t="s">
        <v>37</v>
      </c>
      <c r="SU224" s="12" t="s">
        <v>37</v>
      </c>
      <c r="SV224" s="12" t="s">
        <v>37</v>
      </c>
      <c r="SW224" s="12" t="s">
        <v>37</v>
      </c>
      <c r="SX224" s="12" t="s">
        <v>37</v>
      </c>
      <c r="SY224" s="12" t="s">
        <v>37</v>
      </c>
      <c r="SZ224" s="12" t="s">
        <v>37</v>
      </c>
      <c r="TA224" s="12"/>
      <c r="TB224" s="12"/>
      <c r="TE224" s="12" t="s">
        <v>37</v>
      </c>
      <c r="TF224" s="12" t="s">
        <v>37</v>
      </c>
      <c r="TG224" s="12" t="s">
        <v>37</v>
      </c>
      <c r="TH224" s="12" t="s">
        <v>37</v>
      </c>
      <c r="TI224" s="12" t="s">
        <v>37</v>
      </c>
      <c r="TJ224" s="12" t="s">
        <v>37</v>
      </c>
      <c r="TK224" s="12"/>
      <c r="TL224" s="12"/>
      <c r="TO224" s="12" t="s">
        <v>37</v>
      </c>
      <c r="TP224" s="12" t="s">
        <v>37</v>
      </c>
      <c r="TQ224" s="12" t="s">
        <v>37</v>
      </c>
      <c r="TR224" s="12" t="s">
        <v>37</v>
      </c>
      <c r="TS224" s="12" t="s">
        <v>37</v>
      </c>
      <c r="TT224" s="12" t="s">
        <v>37</v>
      </c>
      <c r="TU224" s="12"/>
      <c r="TV224" s="12"/>
      <c r="TY224" s="12" t="s">
        <v>37</v>
      </c>
      <c r="TZ224" s="12" t="s">
        <v>37</v>
      </c>
      <c r="UA224" s="12" t="s">
        <v>37</v>
      </c>
      <c r="UB224" s="12" t="s">
        <v>37</v>
      </c>
      <c r="UC224" s="12" t="s">
        <v>37</v>
      </c>
      <c r="UD224" s="12" t="s">
        <v>37</v>
      </c>
      <c r="UE224" s="12"/>
      <c r="UF224" s="12"/>
      <c r="UI224" s="12" t="s">
        <v>37</v>
      </c>
      <c r="UJ224" s="12" t="s">
        <v>37</v>
      </c>
      <c r="UK224" s="12" t="s">
        <v>37</v>
      </c>
      <c r="UL224" s="12" t="s">
        <v>37</v>
      </c>
      <c r="UM224" s="12" t="s">
        <v>37</v>
      </c>
      <c r="UN224" s="12" t="s">
        <v>37</v>
      </c>
      <c r="UO224" s="12"/>
      <c r="UP224" s="12"/>
      <c r="UR224" s="12" t="s">
        <v>37</v>
      </c>
      <c r="US224" s="12" t="s">
        <v>37</v>
      </c>
      <c r="UT224" s="12" t="s">
        <v>37</v>
      </c>
      <c r="UU224" s="12" t="s">
        <v>37</v>
      </c>
      <c r="UV224" s="12" t="s">
        <v>37</v>
      </c>
      <c r="UW224" s="12" t="s">
        <v>37</v>
      </c>
      <c r="UX224" s="12"/>
      <c r="UY224" s="12"/>
      <c r="VB224" s="12" t="s">
        <v>37</v>
      </c>
      <c r="VC224" s="12" t="s">
        <v>37</v>
      </c>
      <c r="VD224" s="12" t="s">
        <v>37</v>
      </c>
      <c r="VE224" s="12" t="s">
        <v>37</v>
      </c>
      <c r="VF224" s="12" t="s">
        <v>37</v>
      </c>
      <c r="VG224" s="12" t="s">
        <v>37</v>
      </c>
      <c r="VI224" s="12" t="s">
        <v>37</v>
      </c>
      <c r="VJ224" s="12" t="s">
        <v>37</v>
      </c>
      <c r="VK224" s="12" t="s">
        <v>37</v>
      </c>
      <c r="VL224" s="12" t="s">
        <v>37</v>
      </c>
      <c r="VM224" s="12" t="s">
        <v>37</v>
      </c>
      <c r="VN224" s="12" t="s">
        <v>37</v>
      </c>
      <c r="VQ224" s="12" t="s">
        <v>37</v>
      </c>
      <c r="VR224" s="12" t="s">
        <v>37</v>
      </c>
      <c r="VS224" s="12" t="s">
        <v>37</v>
      </c>
      <c r="VT224" s="12" t="s">
        <v>37</v>
      </c>
      <c r="VU224" s="12" t="s">
        <v>37</v>
      </c>
      <c r="VV224" s="12" t="s">
        <v>37</v>
      </c>
      <c r="VW224" s="12"/>
      <c r="VX224" s="12"/>
      <c r="WA224" s="12" t="s">
        <v>37</v>
      </c>
      <c r="WB224" s="12" t="s">
        <v>37</v>
      </c>
      <c r="WC224" s="12" t="s">
        <v>37</v>
      </c>
      <c r="WD224" s="12" t="s">
        <v>37</v>
      </c>
      <c r="WE224" s="12" t="s">
        <v>37</v>
      </c>
      <c r="WF224" s="12" t="s">
        <v>37</v>
      </c>
    </row>
    <row r="225" spans="1:604" ht="18" customHeight="1" x14ac:dyDescent="0.3">
      <c r="A225" s="11">
        <v>62</v>
      </c>
      <c r="B225" s="16" t="s">
        <v>937</v>
      </c>
      <c r="C225" s="12" t="s">
        <v>26</v>
      </c>
      <c r="D225" s="12" t="s">
        <v>973</v>
      </c>
      <c r="E225" s="40" t="s">
        <v>37</v>
      </c>
      <c r="F225" s="14">
        <v>0</v>
      </c>
      <c r="G225" s="14">
        <v>0</v>
      </c>
      <c r="H225" s="12" t="s">
        <v>123</v>
      </c>
      <c r="I225" s="29">
        <v>68</v>
      </c>
      <c r="J225" s="29">
        <v>24.2</v>
      </c>
      <c r="K225" s="12" t="s">
        <v>667</v>
      </c>
      <c r="L225" s="12" t="s">
        <v>668</v>
      </c>
      <c r="M225" s="13" t="s">
        <v>37</v>
      </c>
      <c r="N225" s="14">
        <v>-1.4</v>
      </c>
      <c r="O225" s="14">
        <v>511</v>
      </c>
      <c r="P225" s="14" t="s">
        <v>84</v>
      </c>
      <c r="Q225" s="75">
        <v>4</v>
      </c>
      <c r="R225" s="11" t="s">
        <v>37</v>
      </c>
      <c r="S225" s="12" t="s">
        <v>85</v>
      </c>
      <c r="T225" s="12" t="s">
        <v>138</v>
      </c>
      <c r="U225" s="12" t="s">
        <v>158</v>
      </c>
      <c r="V225" s="12" t="s">
        <v>275</v>
      </c>
      <c r="W225" s="23" t="s">
        <v>366</v>
      </c>
      <c r="X225" s="12" t="s">
        <v>367</v>
      </c>
      <c r="Y225" s="12" t="s">
        <v>37</v>
      </c>
      <c r="Z225" s="12" t="s">
        <v>37</v>
      </c>
      <c r="AB225" s="12" t="s">
        <v>37</v>
      </c>
      <c r="AE225" s="12" t="s">
        <v>37</v>
      </c>
      <c r="AG225" s="32" t="s">
        <v>37</v>
      </c>
      <c r="AH225" s="12" t="s">
        <v>37</v>
      </c>
      <c r="AK225" s="12" t="s">
        <v>37</v>
      </c>
      <c r="AL225" s="32" t="s">
        <v>560</v>
      </c>
      <c r="AM225" s="12" t="s">
        <v>317</v>
      </c>
      <c r="AN225" s="32" t="s">
        <v>879</v>
      </c>
      <c r="AO225" s="12" t="s">
        <v>848</v>
      </c>
      <c r="AP225" s="12" t="s">
        <v>167</v>
      </c>
      <c r="AQ225" s="12" t="s">
        <v>975</v>
      </c>
      <c r="AT225" s="12" t="s">
        <v>326</v>
      </c>
      <c r="AU225" s="12" t="s">
        <v>326</v>
      </c>
      <c r="AV225" s="13" t="s">
        <v>326</v>
      </c>
      <c r="AX225" s="12" t="s">
        <v>326</v>
      </c>
      <c r="AY225" s="12" t="s">
        <v>326</v>
      </c>
      <c r="AZ225" s="13" t="s">
        <v>326</v>
      </c>
      <c r="BE225" s="12" t="s">
        <v>326</v>
      </c>
      <c r="BF225" s="12" t="s">
        <v>326</v>
      </c>
      <c r="BG225" s="12" t="s">
        <v>326</v>
      </c>
      <c r="BI225" s="12" t="s">
        <v>326</v>
      </c>
      <c r="BJ225" s="12" t="s">
        <v>326</v>
      </c>
      <c r="BK225" s="12" t="s">
        <v>326</v>
      </c>
      <c r="BP225" s="12" t="s">
        <v>37</v>
      </c>
      <c r="BQ225" s="12" t="s">
        <v>37</v>
      </c>
      <c r="BR225" s="13" t="s">
        <v>37</v>
      </c>
      <c r="BT225" s="12" t="s">
        <v>37</v>
      </c>
      <c r="BU225" s="12" t="s">
        <v>37</v>
      </c>
      <c r="BV225" s="12" t="s">
        <v>37</v>
      </c>
      <c r="BZ225" s="12" t="s">
        <v>47</v>
      </c>
      <c r="CA225" s="12">
        <f>-1115.91*10^4/10^3/'[6]classess-1'!$T$90</f>
        <v>-12433.234643422073</v>
      </c>
      <c r="CB225" s="12">
        <f>SQRT((1/[7]Classess!$T$90)^2*(340.29*10^4/10^3)^2+(-CA225/([7]Classess!$T$90)^2)^2*([7]Classess!$U$90)^2)</f>
        <v>4080.0979371640278</v>
      </c>
      <c r="CC225" s="13">
        <v>3</v>
      </c>
      <c r="CD225" s="19">
        <f t="shared" si="1092"/>
        <v>0.32816061581550254</v>
      </c>
      <c r="CE225" s="12">
        <f>-1237.72*10^4/10^3/'[6]classess-1'!$T$91</f>
        <v>-12839.064123912327</v>
      </c>
      <c r="CF225" s="12">
        <f>SQRT((1/[7]Classess!$T$91)^2*(585.29*10^4/10^3)^2+(-CE225/([7]Classess!$T$91)^2)^2*([7]Classess!$U$91)^2)</f>
        <v>6079.7463275012169</v>
      </c>
      <c r="CG225" s="13">
        <v>3</v>
      </c>
      <c r="CH225" s="19">
        <f t="shared" si="1093"/>
        <v>0.47353500760058459</v>
      </c>
      <c r="CI225" s="75">
        <f t="shared" si="1094"/>
        <v>-405.82948049025435</v>
      </c>
      <c r="CJ225" s="12">
        <f t="shared" si="1109"/>
        <v>5177.3793845735645</v>
      </c>
      <c r="CK225" s="72">
        <f t="shared" si="1096"/>
        <v>17870171.527871564</v>
      </c>
      <c r="CL225" s="72">
        <f t="shared" si="1097"/>
        <v>17870171.527871564</v>
      </c>
      <c r="CM225" s="12" t="s">
        <v>47</v>
      </c>
      <c r="CN225" s="12">
        <f>628.683693516699*10^4/10^3/'[6]classess-1'!$I$90</f>
        <v>8581.2184023350092</v>
      </c>
      <c r="CO225" s="12">
        <f>SQRT((1/[7]Classess!$I$90)^2*(245.005222288722*10^4/10^3)^2+(-CN225/([7]Classess!$I$90)^2)^2*([7]Classess!$J$90)^2)</f>
        <v>3466.4725308910288</v>
      </c>
      <c r="CP225" s="13">
        <v>3</v>
      </c>
      <c r="CQ225" s="19">
        <f t="shared" si="1110"/>
        <v>0.4039604131212623</v>
      </c>
      <c r="CR225" s="12">
        <f>656.188605108055*10^4/10^3/'[6]classess-1'!$I$91</f>
        <v>7630.773936253252</v>
      </c>
      <c r="CS225" s="12">
        <f>SQRT((1/[7]Classess!$I$91)^2*(313.062228480035*10^4/10^3)^2+(-CR225/([7]Classess!$I$91)^2)^2*([7]Classess!$J$91)^2)</f>
        <v>3659.7826622477482</v>
      </c>
      <c r="CT225" s="13">
        <v>3</v>
      </c>
      <c r="CU225" s="19">
        <f t="shared" si="1098"/>
        <v>0.47960831926371017</v>
      </c>
      <c r="CV225" s="75">
        <f t="shared" si="1099"/>
        <v>-950.44446608175713</v>
      </c>
      <c r="CW225" s="12">
        <f t="shared" si="1100"/>
        <v>3564.4383107518688</v>
      </c>
      <c r="CX225" s="72">
        <f t="shared" si="1101"/>
        <v>8470146.980770424</v>
      </c>
      <c r="CY225" s="72">
        <f t="shared" si="1102"/>
        <v>8470146.980770424</v>
      </c>
      <c r="CZ225" s="12" t="s">
        <v>47</v>
      </c>
      <c r="DA225" s="12">
        <f t="shared" si="1111"/>
        <v>-3852.0162410870635</v>
      </c>
      <c r="DB225" s="12">
        <f>SQRT((1/[7]Classess!$I$58)^2*(129.308311763492*10^4/10^3)^2+(-DA225/([7]Classess!$I$58)^2)^2*([7]Classess!$J$58)^2)</f>
        <v>1523.8784102336624</v>
      </c>
      <c r="DC225" s="13">
        <v>3</v>
      </c>
      <c r="DD225" s="19">
        <f t="shared" si="1103"/>
        <v>0.39560539594288269</v>
      </c>
      <c r="DE225" s="12">
        <f t="shared" si="1112"/>
        <v>-5208.2901876590749</v>
      </c>
      <c r="DF225" s="12">
        <f>SQRT((1/[7]Classess!$I$59)^2*(95.2798086678373*10^4/10^3)^2+(-DE225/([7]Classess!$I$59)^2)^2*([7]Classess!$J$59)^2)</f>
        <v>1132.6794776566101</v>
      </c>
      <c r="DG225" s="13">
        <v>3</v>
      </c>
      <c r="DH225" s="19">
        <f t="shared" si="1113"/>
        <v>0.2174762612767753</v>
      </c>
      <c r="DI225" s="19">
        <f t="shared" si="1104"/>
        <v>-1356.2739465720115</v>
      </c>
      <c r="DJ225" s="12">
        <f t="shared" si="1105"/>
        <v>1342.6034798630467</v>
      </c>
      <c r="DK225" s="72">
        <f t="shared" si="1106"/>
        <v>1201722.7360935751</v>
      </c>
      <c r="DL225" s="72">
        <f t="shared" si="1107"/>
        <v>1201722.7360935751</v>
      </c>
      <c r="DN225" s="19" t="s">
        <v>37</v>
      </c>
      <c r="DO225" s="12" t="s">
        <v>37</v>
      </c>
      <c r="DP225" s="13" t="s">
        <v>37</v>
      </c>
      <c r="DR225" s="19" t="s">
        <v>37</v>
      </c>
      <c r="DS225" s="12" t="s">
        <v>37</v>
      </c>
      <c r="DT225" s="13" t="s">
        <v>37</v>
      </c>
      <c r="EA225" s="19" t="s">
        <v>37</v>
      </c>
      <c r="EB225" s="19" t="s">
        <v>37</v>
      </c>
      <c r="EC225" s="72" t="s">
        <v>37</v>
      </c>
      <c r="EE225" s="19" t="s">
        <v>37</v>
      </c>
      <c r="EF225" s="19" t="s">
        <v>37</v>
      </c>
      <c r="EG225" s="12" t="s">
        <v>37</v>
      </c>
      <c r="EM225" s="12" t="s">
        <v>39</v>
      </c>
      <c r="EN225" s="12">
        <v>-7</v>
      </c>
      <c r="EO225" s="50">
        <f t="shared" si="1108"/>
        <v>2.8524747912590533</v>
      </c>
      <c r="EP225" s="13">
        <v>3</v>
      </c>
      <c r="ER225" s="12" t="s">
        <v>37</v>
      </c>
      <c r="ES225" s="12" t="s">
        <v>37</v>
      </c>
      <c r="ET225" s="13" t="s">
        <v>37</v>
      </c>
      <c r="FB225" s="12" t="s">
        <v>37</v>
      </c>
      <c r="FC225" s="12" t="s">
        <v>37</v>
      </c>
      <c r="FD225" s="11" t="s">
        <v>37</v>
      </c>
      <c r="FE225" s="12" t="s">
        <v>37</v>
      </c>
      <c r="FF225" s="20" t="s">
        <v>37</v>
      </c>
      <c r="FG225" s="11" t="s">
        <v>37</v>
      </c>
      <c r="FI225" s="12" t="s">
        <v>37</v>
      </c>
      <c r="FJ225" s="12" t="s">
        <v>37</v>
      </c>
      <c r="FK225" s="11" t="s">
        <v>37</v>
      </c>
      <c r="FL225" s="13" t="s">
        <v>37</v>
      </c>
      <c r="FM225" s="11" t="s">
        <v>37</v>
      </c>
      <c r="FN225" s="11" t="s">
        <v>37</v>
      </c>
      <c r="FP225" s="12" t="s">
        <v>37</v>
      </c>
      <c r="FQ225" s="12" t="s">
        <v>37</v>
      </c>
      <c r="FR225" s="11" t="s">
        <v>37</v>
      </c>
      <c r="FS225" s="13" t="s">
        <v>37</v>
      </c>
      <c r="FT225" s="11" t="s">
        <v>37</v>
      </c>
      <c r="FU225" s="11" t="s">
        <v>37</v>
      </c>
      <c r="FW225" s="12" t="s">
        <v>37</v>
      </c>
      <c r="FX225" s="12" t="s">
        <v>37</v>
      </c>
      <c r="FY225" s="11" t="s">
        <v>37</v>
      </c>
      <c r="FZ225" s="13" t="s">
        <v>37</v>
      </c>
      <c r="GA225" s="11" t="s">
        <v>37</v>
      </c>
      <c r="GB225" s="11" t="s">
        <v>37</v>
      </c>
      <c r="GK225" s="12"/>
      <c r="IK225" s="12" t="s">
        <v>37</v>
      </c>
      <c r="IL225" s="12" t="s">
        <v>37</v>
      </c>
      <c r="IM225" s="12" t="s">
        <v>37</v>
      </c>
      <c r="IO225" s="12" t="s">
        <v>37</v>
      </c>
      <c r="IP225" s="12" t="s">
        <v>37</v>
      </c>
      <c r="IQ225" s="12" t="s">
        <v>37</v>
      </c>
      <c r="IW225" s="12" t="s">
        <v>37</v>
      </c>
      <c r="IX225" s="12" t="s">
        <v>37</v>
      </c>
      <c r="IY225" s="13" t="s">
        <v>37</v>
      </c>
      <c r="JA225" s="12" t="s">
        <v>37</v>
      </c>
      <c r="JB225" s="12" t="s">
        <v>37</v>
      </c>
      <c r="JC225" s="13" t="s">
        <v>37</v>
      </c>
      <c r="JH225" s="12" t="s">
        <v>37</v>
      </c>
      <c r="JI225" s="12" t="s">
        <v>37</v>
      </c>
      <c r="JJ225" s="13" t="s">
        <v>37</v>
      </c>
      <c r="JL225" s="12" t="s">
        <v>37</v>
      </c>
      <c r="JM225" s="12" t="s">
        <v>37</v>
      </c>
      <c r="JN225" s="12" t="s">
        <v>37</v>
      </c>
      <c r="JS225" s="12" t="s">
        <v>37</v>
      </c>
      <c r="JT225" s="12" t="s">
        <v>37</v>
      </c>
      <c r="JU225" s="13" t="s">
        <v>37</v>
      </c>
      <c r="JW225" s="12" t="s">
        <v>37</v>
      </c>
      <c r="JX225" s="12" t="s">
        <v>37</v>
      </c>
      <c r="JY225" s="12" t="s">
        <v>37</v>
      </c>
      <c r="KE225" s="12" t="s">
        <v>37</v>
      </c>
      <c r="KF225" s="12" t="s">
        <v>37</v>
      </c>
      <c r="KG225" s="13" t="s">
        <v>37</v>
      </c>
      <c r="KH225" s="12" t="s">
        <v>37</v>
      </c>
      <c r="KI225" s="12" t="s">
        <v>37</v>
      </c>
      <c r="KJ225" s="12" t="s">
        <v>37</v>
      </c>
      <c r="KL225" s="32" t="s">
        <v>37</v>
      </c>
      <c r="KM225" s="12" t="s">
        <v>37</v>
      </c>
      <c r="KN225" s="12" t="s">
        <v>37</v>
      </c>
      <c r="KO225" s="11" t="s">
        <v>37</v>
      </c>
      <c r="KQ225" s="12" t="s">
        <v>37</v>
      </c>
      <c r="KR225" s="12" t="s">
        <v>37</v>
      </c>
      <c r="KS225" s="12" t="s">
        <v>37</v>
      </c>
      <c r="KX225" s="12" t="s">
        <v>37</v>
      </c>
      <c r="KY225" s="12" t="s">
        <v>37</v>
      </c>
      <c r="KZ225" s="12" t="s">
        <v>37</v>
      </c>
      <c r="LB225" s="12" t="s">
        <v>37</v>
      </c>
      <c r="LC225" s="12" t="s">
        <v>37</v>
      </c>
      <c r="LD225" s="12" t="s">
        <v>37</v>
      </c>
      <c r="LI225" s="12" t="s">
        <v>37</v>
      </c>
      <c r="LJ225" s="12" t="s">
        <v>37</v>
      </c>
      <c r="LK225" s="12" t="s">
        <v>37</v>
      </c>
      <c r="LM225" s="12" t="s">
        <v>37</v>
      </c>
      <c r="LN225" s="12" t="s">
        <v>37</v>
      </c>
      <c r="LO225" s="12" t="s">
        <v>37</v>
      </c>
      <c r="LU225" s="12" t="s">
        <v>37</v>
      </c>
      <c r="LV225" s="12" t="s">
        <v>37</v>
      </c>
      <c r="LW225" s="12" t="s">
        <v>37</v>
      </c>
      <c r="LY225" s="12" t="s">
        <v>37</v>
      </c>
      <c r="LZ225" s="12" t="s">
        <v>37</v>
      </c>
      <c r="MA225" s="12" t="s">
        <v>37</v>
      </c>
      <c r="MF225" s="12" t="s">
        <v>37</v>
      </c>
      <c r="MG225" s="12" t="s">
        <v>37</v>
      </c>
      <c r="MH225" s="12" t="s">
        <v>37</v>
      </c>
      <c r="MJ225" s="12" t="s">
        <v>37</v>
      </c>
      <c r="MK225" s="12" t="s">
        <v>37</v>
      </c>
      <c r="ML225" s="12" t="s">
        <v>37</v>
      </c>
      <c r="MQ225" s="12" t="s">
        <v>37</v>
      </c>
      <c r="MR225" s="12" t="s">
        <v>37</v>
      </c>
      <c r="MS225" s="12" t="s">
        <v>37</v>
      </c>
      <c r="MU225" s="12" t="s">
        <v>37</v>
      </c>
      <c r="MV225" s="12" t="s">
        <v>37</v>
      </c>
      <c r="MW225" s="12" t="s">
        <v>37</v>
      </c>
      <c r="NC225" s="12" t="s">
        <v>37</v>
      </c>
      <c r="ND225" s="12" t="s">
        <v>37</v>
      </c>
      <c r="NE225" s="12" t="s">
        <v>37</v>
      </c>
      <c r="NG225" s="12" t="s">
        <v>37</v>
      </c>
      <c r="NH225" s="12" t="s">
        <v>37</v>
      </c>
      <c r="NI225" s="12" t="s">
        <v>37</v>
      </c>
      <c r="NO225" s="12" t="s">
        <v>37</v>
      </c>
      <c r="NP225" s="12" t="s">
        <v>37</v>
      </c>
      <c r="NQ225" s="12" t="s">
        <v>37</v>
      </c>
      <c r="NS225" s="12" t="s">
        <v>37</v>
      </c>
      <c r="NT225" s="12" t="s">
        <v>37</v>
      </c>
      <c r="NU225" s="12" t="s">
        <v>37</v>
      </c>
      <c r="OA225" s="12" t="s">
        <v>37</v>
      </c>
      <c r="OB225" s="12" t="s">
        <v>37</v>
      </c>
      <c r="OC225" s="12" t="s">
        <v>37</v>
      </c>
      <c r="OD225" s="12"/>
      <c r="OE225" s="12" t="s">
        <v>37</v>
      </c>
      <c r="OF225" s="12" t="s">
        <v>37</v>
      </c>
      <c r="OG225" s="12" t="s">
        <v>37</v>
      </c>
      <c r="OH225" s="12"/>
      <c r="OI225" s="12"/>
      <c r="OJ225" s="12"/>
      <c r="OM225" s="12" t="s">
        <v>37</v>
      </c>
      <c r="ON225" s="12" t="s">
        <v>37</v>
      </c>
      <c r="OO225" s="12" t="s">
        <v>37</v>
      </c>
      <c r="OP225" s="12" t="s">
        <v>37</v>
      </c>
      <c r="OQ225" s="12" t="s">
        <v>37</v>
      </c>
      <c r="OR225" s="12" t="s">
        <v>37</v>
      </c>
      <c r="OS225" s="12"/>
      <c r="OT225" s="12"/>
      <c r="OW225" s="12" t="s">
        <v>37</v>
      </c>
      <c r="OX225" s="12" t="s">
        <v>37</v>
      </c>
      <c r="OY225" s="13" t="s">
        <v>37</v>
      </c>
      <c r="OZ225" s="12" t="s">
        <v>37</v>
      </c>
      <c r="PA225" s="12" t="s">
        <v>37</v>
      </c>
      <c r="PB225" s="13" t="s">
        <v>37</v>
      </c>
      <c r="PG225" s="12" t="s">
        <v>37</v>
      </c>
      <c r="PH225" s="12" t="s">
        <v>37</v>
      </c>
      <c r="PI225" s="12" t="s">
        <v>37</v>
      </c>
      <c r="PJ225" s="12" t="s">
        <v>37</v>
      </c>
      <c r="PK225" s="12" t="s">
        <v>37</v>
      </c>
      <c r="PL225" s="12" t="s">
        <v>37</v>
      </c>
      <c r="PM225" s="12"/>
      <c r="PN225" s="12"/>
      <c r="PQ225" s="12" t="s">
        <v>37</v>
      </c>
      <c r="PR225" s="12" t="s">
        <v>37</v>
      </c>
      <c r="PS225" s="12" t="s">
        <v>37</v>
      </c>
      <c r="PT225" s="12" t="s">
        <v>37</v>
      </c>
      <c r="PU225" s="12" t="s">
        <v>37</v>
      </c>
      <c r="PV225" s="12" t="s">
        <v>37</v>
      </c>
      <c r="PW225" s="12"/>
      <c r="PX225" s="12"/>
      <c r="PZ225" s="12" t="s">
        <v>37</v>
      </c>
      <c r="QA225" s="12" t="s">
        <v>37</v>
      </c>
      <c r="QB225" s="12" t="s">
        <v>37</v>
      </c>
      <c r="QD225" s="12" t="s">
        <v>37</v>
      </c>
      <c r="QE225" s="12" t="s">
        <v>37</v>
      </c>
      <c r="QF225" s="12" t="s">
        <v>37</v>
      </c>
      <c r="QK225" s="12" t="s">
        <v>37</v>
      </c>
      <c r="QL225" s="12" t="s">
        <v>37</v>
      </c>
      <c r="QM225" s="12" t="s">
        <v>37</v>
      </c>
      <c r="QN225" s="12" t="s">
        <v>37</v>
      </c>
      <c r="QO225" s="12" t="s">
        <v>37</v>
      </c>
      <c r="QP225" s="12" t="s">
        <v>37</v>
      </c>
      <c r="QQ225" s="12"/>
      <c r="QR225" s="12"/>
      <c r="QU225" s="12" t="s">
        <v>37</v>
      </c>
      <c r="QV225" s="12" t="s">
        <v>37</v>
      </c>
      <c r="QW225" s="12" t="s">
        <v>37</v>
      </c>
      <c r="QX225" s="12" t="s">
        <v>37</v>
      </c>
      <c r="QY225" s="12" t="s">
        <v>37</v>
      </c>
      <c r="QZ225" s="12" t="s">
        <v>37</v>
      </c>
      <c r="RC225" s="12" t="s">
        <v>37</v>
      </c>
      <c r="RD225" s="12" t="s">
        <v>37</v>
      </c>
      <c r="RE225" s="13" t="s">
        <v>37</v>
      </c>
      <c r="RF225" s="12" t="s">
        <v>37</v>
      </c>
      <c r="RG225" s="12" t="s">
        <v>37</v>
      </c>
      <c r="RH225" s="13" t="s">
        <v>37</v>
      </c>
      <c r="RK225" s="12" t="s">
        <v>37</v>
      </c>
      <c r="RL225" s="12" t="s">
        <v>37</v>
      </c>
      <c r="RM225" s="11" t="s">
        <v>37</v>
      </c>
      <c r="RN225" s="12" t="s">
        <v>37</v>
      </c>
      <c r="RO225" s="12" t="s">
        <v>37</v>
      </c>
      <c r="RP225" s="11" t="s">
        <v>37</v>
      </c>
      <c r="RS225" s="12" t="s">
        <v>37</v>
      </c>
      <c r="RT225" s="12" t="s">
        <v>37</v>
      </c>
      <c r="RU225" s="12" t="s">
        <v>37</v>
      </c>
      <c r="RV225" s="12" t="s">
        <v>37</v>
      </c>
      <c r="RW225" s="12" t="s">
        <v>37</v>
      </c>
      <c r="RX225" s="12" t="s">
        <v>37</v>
      </c>
      <c r="SA225" s="12" t="s">
        <v>37</v>
      </c>
      <c r="SB225" s="12" t="s">
        <v>37</v>
      </c>
      <c r="SC225" s="12" t="s">
        <v>37</v>
      </c>
      <c r="SD225" s="12" t="s">
        <v>37</v>
      </c>
      <c r="SE225" s="12" t="s">
        <v>37</v>
      </c>
      <c r="SF225" s="12" t="s">
        <v>37</v>
      </c>
      <c r="SI225" s="12" t="s">
        <v>37</v>
      </c>
      <c r="SJ225" s="12" t="s">
        <v>37</v>
      </c>
      <c r="SK225" s="13" t="s">
        <v>37</v>
      </c>
      <c r="SM225" s="12" t="s">
        <v>37</v>
      </c>
      <c r="SN225" s="12" t="s">
        <v>37</v>
      </c>
      <c r="SO225" s="13" t="s">
        <v>37</v>
      </c>
      <c r="SU225" s="12" t="s">
        <v>37</v>
      </c>
      <c r="SV225" s="12" t="s">
        <v>37</v>
      </c>
      <c r="SW225" s="12" t="s">
        <v>37</v>
      </c>
      <c r="SX225" s="12" t="s">
        <v>37</v>
      </c>
      <c r="SY225" s="12" t="s">
        <v>37</v>
      </c>
      <c r="SZ225" s="12" t="s">
        <v>37</v>
      </c>
      <c r="TA225" s="12"/>
      <c r="TB225" s="12"/>
      <c r="TE225" s="12" t="s">
        <v>37</v>
      </c>
      <c r="TF225" s="12" t="s">
        <v>37</v>
      </c>
      <c r="TG225" s="12" t="s">
        <v>37</v>
      </c>
      <c r="TH225" s="12" t="s">
        <v>37</v>
      </c>
      <c r="TI225" s="12" t="s">
        <v>37</v>
      </c>
      <c r="TJ225" s="12" t="s">
        <v>37</v>
      </c>
      <c r="TK225" s="12"/>
      <c r="TL225" s="12"/>
      <c r="TO225" s="12" t="s">
        <v>37</v>
      </c>
      <c r="TP225" s="12" t="s">
        <v>37</v>
      </c>
      <c r="TQ225" s="12" t="s">
        <v>37</v>
      </c>
      <c r="TR225" s="12" t="s">
        <v>37</v>
      </c>
      <c r="TS225" s="12" t="s">
        <v>37</v>
      </c>
      <c r="TT225" s="12" t="s">
        <v>37</v>
      </c>
      <c r="TU225" s="12"/>
      <c r="TV225" s="12"/>
      <c r="TY225" s="12" t="s">
        <v>37</v>
      </c>
      <c r="TZ225" s="12" t="s">
        <v>37</v>
      </c>
      <c r="UA225" s="12" t="s">
        <v>37</v>
      </c>
      <c r="UB225" s="12" t="s">
        <v>37</v>
      </c>
      <c r="UC225" s="12" t="s">
        <v>37</v>
      </c>
      <c r="UD225" s="12" t="s">
        <v>37</v>
      </c>
      <c r="UE225" s="12"/>
      <c r="UF225" s="12"/>
      <c r="UI225" s="12" t="s">
        <v>37</v>
      </c>
      <c r="UJ225" s="12" t="s">
        <v>37</v>
      </c>
      <c r="UK225" s="12" t="s">
        <v>37</v>
      </c>
      <c r="UL225" s="12" t="s">
        <v>37</v>
      </c>
      <c r="UM225" s="12" t="s">
        <v>37</v>
      </c>
      <c r="UN225" s="12" t="s">
        <v>37</v>
      </c>
      <c r="UO225" s="12"/>
      <c r="UP225" s="12"/>
      <c r="UR225" s="12" t="s">
        <v>37</v>
      </c>
      <c r="US225" s="12" t="s">
        <v>37</v>
      </c>
      <c r="UT225" s="12" t="s">
        <v>37</v>
      </c>
      <c r="UU225" s="12" t="s">
        <v>37</v>
      </c>
      <c r="UV225" s="12" t="s">
        <v>37</v>
      </c>
      <c r="UW225" s="12" t="s">
        <v>37</v>
      </c>
      <c r="UX225" s="12"/>
      <c r="UY225" s="12"/>
      <c r="VB225" s="12" t="s">
        <v>37</v>
      </c>
      <c r="VC225" s="12" t="s">
        <v>37</v>
      </c>
      <c r="VD225" s="12" t="s">
        <v>37</v>
      </c>
      <c r="VE225" s="12" t="s">
        <v>37</v>
      </c>
      <c r="VF225" s="12" t="s">
        <v>37</v>
      </c>
      <c r="VG225" s="12" t="s">
        <v>37</v>
      </c>
      <c r="VI225" s="12" t="s">
        <v>37</v>
      </c>
      <c r="VJ225" s="12" t="s">
        <v>37</v>
      </c>
      <c r="VK225" s="12" t="s">
        <v>37</v>
      </c>
      <c r="VL225" s="12" t="s">
        <v>37</v>
      </c>
      <c r="VM225" s="12" t="s">
        <v>37</v>
      </c>
      <c r="VN225" s="12" t="s">
        <v>37</v>
      </c>
      <c r="VQ225" s="12" t="s">
        <v>37</v>
      </c>
      <c r="VR225" s="12" t="s">
        <v>37</v>
      </c>
      <c r="VS225" s="12" t="s">
        <v>37</v>
      </c>
      <c r="VT225" s="12" t="s">
        <v>37</v>
      </c>
      <c r="VU225" s="12" t="s">
        <v>37</v>
      </c>
      <c r="VV225" s="12" t="s">
        <v>37</v>
      </c>
      <c r="VW225" s="12"/>
      <c r="VX225" s="12"/>
      <c r="WA225" s="12" t="s">
        <v>37</v>
      </c>
      <c r="WB225" s="12" t="s">
        <v>37</v>
      </c>
      <c r="WC225" s="12" t="s">
        <v>37</v>
      </c>
      <c r="WD225" s="12" t="s">
        <v>37</v>
      </c>
      <c r="WE225" s="12" t="s">
        <v>37</v>
      </c>
      <c r="WF225" s="12" t="s">
        <v>37</v>
      </c>
    </row>
    <row r="226" spans="1:604" ht="18" customHeight="1" x14ac:dyDescent="0.3">
      <c r="A226" s="11">
        <v>63</v>
      </c>
      <c r="B226" s="16" t="s">
        <v>374</v>
      </c>
      <c r="C226" s="12" t="s">
        <v>26</v>
      </c>
      <c r="D226" s="12" t="s">
        <v>119</v>
      </c>
      <c r="E226" s="40">
        <v>12</v>
      </c>
      <c r="F226" s="14">
        <v>0</v>
      </c>
      <c r="G226" s="14">
        <v>0</v>
      </c>
      <c r="H226" s="12" t="s">
        <v>104</v>
      </c>
      <c r="I226" s="29">
        <v>4.1669999999999998</v>
      </c>
      <c r="J226" s="29">
        <v>114.25</v>
      </c>
      <c r="K226" s="12" t="s">
        <v>765</v>
      </c>
      <c r="L226" s="12" t="s">
        <v>766</v>
      </c>
      <c r="M226" s="13" t="s">
        <v>37</v>
      </c>
      <c r="N226" s="12" t="s">
        <v>37</v>
      </c>
      <c r="O226" s="12" t="s">
        <v>37</v>
      </c>
      <c r="P226" s="14" t="s">
        <v>89</v>
      </c>
      <c r="Q226" s="75" t="s">
        <v>326</v>
      </c>
      <c r="R226" s="11" t="s">
        <v>999</v>
      </c>
      <c r="S226" s="12" t="s">
        <v>105</v>
      </c>
      <c r="T226" s="12" t="s">
        <v>37</v>
      </c>
      <c r="U226" s="12" t="s">
        <v>158</v>
      </c>
      <c r="V226" s="12" t="s">
        <v>275</v>
      </c>
      <c r="W226" s="23" t="s">
        <v>49</v>
      </c>
      <c r="X226" s="12" t="s">
        <v>49</v>
      </c>
      <c r="Y226" s="12" t="s">
        <v>37</v>
      </c>
      <c r="Z226" s="12" t="s">
        <v>37</v>
      </c>
      <c r="AB226" s="12" t="s">
        <v>37</v>
      </c>
      <c r="AE226" s="12" t="s">
        <v>37</v>
      </c>
      <c r="AG226" s="32" t="s">
        <v>37</v>
      </c>
      <c r="AH226" s="12" t="s">
        <v>37</v>
      </c>
      <c r="AK226" s="12" t="s">
        <v>37</v>
      </c>
      <c r="AL226" s="32" t="s">
        <v>37</v>
      </c>
      <c r="AM226" s="12" t="s">
        <v>344</v>
      </c>
      <c r="AO226" s="12" t="s">
        <v>37</v>
      </c>
      <c r="AP226" s="12" t="s">
        <v>37</v>
      </c>
      <c r="AQ226" s="12" t="s">
        <v>975</v>
      </c>
      <c r="AT226" s="12" t="s">
        <v>326</v>
      </c>
      <c r="AU226" s="12" t="s">
        <v>326</v>
      </c>
      <c r="AV226" s="13" t="s">
        <v>326</v>
      </c>
      <c r="AX226" s="12" t="s">
        <v>326</v>
      </c>
      <c r="AY226" s="12" t="s">
        <v>326</v>
      </c>
      <c r="AZ226" s="13" t="s">
        <v>326</v>
      </c>
      <c r="BE226" s="12" t="s">
        <v>326</v>
      </c>
      <c r="BF226" s="12" t="s">
        <v>326</v>
      </c>
      <c r="BG226" s="12" t="s">
        <v>326</v>
      </c>
      <c r="BI226" s="12" t="s">
        <v>326</v>
      </c>
      <c r="BJ226" s="12" t="s">
        <v>326</v>
      </c>
      <c r="BK226" s="12" t="s">
        <v>326</v>
      </c>
      <c r="BP226" s="12" t="s">
        <v>37</v>
      </c>
      <c r="BQ226" s="12" t="s">
        <v>37</v>
      </c>
      <c r="BR226" s="13" t="s">
        <v>37</v>
      </c>
      <c r="BT226" s="12" t="s">
        <v>37</v>
      </c>
      <c r="BU226" s="12" t="s">
        <v>37</v>
      </c>
      <c r="BV226" s="12" t="s">
        <v>37</v>
      </c>
      <c r="CA226" s="12" t="s">
        <v>37</v>
      </c>
      <c r="CB226" s="12" t="s">
        <v>37</v>
      </c>
      <c r="CC226" s="13" t="s">
        <v>37</v>
      </c>
      <c r="CE226" s="12" t="s">
        <v>37</v>
      </c>
      <c r="CF226" s="12" t="s">
        <v>37</v>
      </c>
      <c r="CG226" s="12" t="s">
        <v>37</v>
      </c>
      <c r="CN226" s="12" t="s">
        <v>37</v>
      </c>
      <c r="CO226" s="12" t="s">
        <v>37</v>
      </c>
      <c r="CP226" s="13" t="s">
        <v>37</v>
      </c>
      <c r="CR226" s="12" t="s">
        <v>37</v>
      </c>
      <c r="CS226" s="12" t="s">
        <v>37</v>
      </c>
      <c r="CT226" s="13" t="s">
        <v>37</v>
      </c>
      <c r="CX226" s="72"/>
      <c r="CY226" s="72"/>
      <c r="CZ226" s="12" t="s">
        <v>47</v>
      </c>
      <c r="DA226" s="12">
        <f>-400*10</f>
        <v>-4000</v>
      </c>
      <c r="DB226" s="50">
        <f>ABS(DA226)*DD$474</f>
        <v>11998.626234744846</v>
      </c>
      <c r="DC226" s="13">
        <v>4</v>
      </c>
      <c r="DE226" s="12">
        <f>6600+DA226</f>
        <v>2600</v>
      </c>
      <c r="DF226" s="50">
        <f>ABS(DE226)*DH$474</f>
        <v>2478.1712651793655</v>
      </c>
      <c r="DG226" s="13">
        <v>4</v>
      </c>
      <c r="DI226" s="19">
        <f>DE226-DA226</f>
        <v>6600</v>
      </c>
      <c r="DJ226" s="12">
        <f t="shared" si="1105"/>
        <v>8663.3816821339442</v>
      </c>
      <c r="DK226" s="72">
        <f t="shared" si="1106"/>
        <v>37527091.085166991</v>
      </c>
      <c r="DL226" s="72">
        <f t="shared" si="1107"/>
        <v>37527091.085166998</v>
      </c>
      <c r="DM226" s="11" t="s">
        <v>47</v>
      </c>
      <c r="DN226" s="19">
        <f>2.3*10^4/10^3</f>
        <v>23</v>
      </c>
      <c r="DO226" s="50">
        <f>ABS(DN226)*DQ$474</f>
        <v>25.642223650678275</v>
      </c>
      <c r="DP226" s="13">
        <v>4</v>
      </c>
      <c r="DR226" s="19">
        <f>0.003*10^4/10^3</f>
        <v>0.03</v>
      </c>
      <c r="DS226" s="50">
        <f>ABS(DR226)*DU$474</f>
        <v>0.11211648883893029</v>
      </c>
      <c r="DT226" s="13">
        <v>4</v>
      </c>
      <c r="DV226" s="19">
        <f t="shared" ref="DV226:DV230" si="1114">DR226-DN226</f>
        <v>-22.97</v>
      </c>
      <c r="DW226" s="12">
        <f t="shared" ref="DW226:DW230" si="1115">SQRT(((DP226-1)*DO226^2+(DT226-1)*DS226^2)/(DP226+DT226-2))</f>
        <v>18.131963543125629</v>
      </c>
      <c r="DX226" s="72">
        <f t="shared" si="641"/>
        <v>164.38405096461847</v>
      </c>
      <c r="DY226" s="72">
        <f t="shared" si="642"/>
        <v>164.38405096461847</v>
      </c>
      <c r="EA226" s="19" t="s">
        <v>37</v>
      </c>
      <c r="EB226" s="19" t="s">
        <v>37</v>
      </c>
      <c r="EC226" s="72" t="s">
        <v>37</v>
      </c>
      <c r="EE226" s="19" t="s">
        <v>37</v>
      </c>
      <c r="EF226" s="19" t="s">
        <v>37</v>
      </c>
      <c r="EG226" s="12" t="s">
        <v>37</v>
      </c>
      <c r="EM226" s="12" t="s">
        <v>39</v>
      </c>
      <c r="EN226" s="12">
        <v>-15</v>
      </c>
      <c r="EO226" s="50">
        <f t="shared" si="1108"/>
        <v>6.1124459812694001</v>
      </c>
      <c r="EP226" s="13">
        <v>4</v>
      </c>
      <c r="ER226" s="12">
        <v>-60</v>
      </c>
      <c r="ES226" s="50">
        <f t="shared" ref="ES226:ES245" si="1116">ABS(ER226)*EU$474</f>
        <v>13.608843210551651</v>
      </c>
      <c r="ET226" s="13">
        <v>4</v>
      </c>
      <c r="EV226" s="19">
        <f t="shared" ref="EV226:EV245" si="1117">ER226-EN226</f>
        <v>-45</v>
      </c>
      <c r="EW226" s="12">
        <f t="shared" ref="EW226:EW245" si="1118">SQRT(((EP226-1)*EO226^2+(ET226-1)*ES226^2)/(EP226+ET226-2))</f>
        <v>10.548995435663867</v>
      </c>
      <c r="EX226" s="19">
        <f t="shared" ref="EX226:EX245" si="1119">(((EP226+ET226)/(EP226*ET226))*(((EP226-1)*EO226^2)+(ET226-1)*ES226^2)/(EP226+ET226-2))</f>
        <v>55.640652350828553</v>
      </c>
      <c r="EY226" s="19">
        <f t="shared" ref="EY226:EY245" si="1120">(EO226^2/EP226)+(ES226^2/ET226)</f>
        <v>55.640652350828546</v>
      </c>
      <c r="FB226" s="12" t="s">
        <v>37</v>
      </c>
      <c r="FC226" s="12" t="s">
        <v>37</v>
      </c>
      <c r="FD226" s="12" t="s">
        <v>37</v>
      </c>
      <c r="FE226" s="12" t="s">
        <v>37</v>
      </c>
      <c r="FF226" s="20" t="s">
        <v>37</v>
      </c>
      <c r="FG226" s="12" t="s">
        <v>37</v>
      </c>
      <c r="FI226" s="12" t="s">
        <v>37</v>
      </c>
      <c r="FJ226" s="12" t="s">
        <v>37</v>
      </c>
      <c r="FK226" s="12" t="s">
        <v>37</v>
      </c>
      <c r="FL226" s="12" t="s">
        <v>37</v>
      </c>
      <c r="FM226" s="12" t="s">
        <v>37</v>
      </c>
      <c r="FN226" s="12" t="s">
        <v>37</v>
      </c>
      <c r="FP226" s="12" t="s">
        <v>37</v>
      </c>
      <c r="FQ226" s="12" t="s">
        <v>37</v>
      </c>
      <c r="FR226" s="12" t="s">
        <v>37</v>
      </c>
      <c r="FS226" s="12" t="s">
        <v>37</v>
      </c>
      <c r="FT226" s="12" t="s">
        <v>37</v>
      </c>
      <c r="FU226" s="12" t="s">
        <v>37</v>
      </c>
      <c r="FW226" s="12" t="s">
        <v>37</v>
      </c>
      <c r="FX226" s="12" t="s">
        <v>37</v>
      </c>
      <c r="FY226" s="12" t="s">
        <v>37</v>
      </c>
      <c r="FZ226" s="12" t="s">
        <v>37</v>
      </c>
      <c r="GA226" s="12" t="s">
        <v>37</v>
      </c>
      <c r="GB226" s="12" t="s">
        <v>37</v>
      </c>
      <c r="IK226" s="12" t="s">
        <v>37</v>
      </c>
      <c r="IL226" s="12" t="s">
        <v>37</v>
      </c>
      <c r="IM226" s="12" t="s">
        <v>37</v>
      </c>
      <c r="IO226" s="12" t="s">
        <v>37</v>
      </c>
      <c r="IP226" s="12" t="s">
        <v>37</v>
      </c>
      <c r="IQ226" s="12" t="s">
        <v>37</v>
      </c>
      <c r="IW226" s="12" t="s">
        <v>37</v>
      </c>
      <c r="IX226" s="12" t="s">
        <v>37</v>
      </c>
      <c r="IY226" s="13" t="s">
        <v>37</v>
      </c>
      <c r="JA226" s="12" t="s">
        <v>37</v>
      </c>
      <c r="JB226" s="12" t="s">
        <v>37</v>
      </c>
      <c r="JC226" s="13" t="s">
        <v>37</v>
      </c>
      <c r="JH226" s="12" t="s">
        <v>37</v>
      </c>
      <c r="JI226" s="12" t="s">
        <v>37</v>
      </c>
      <c r="JJ226" s="13" t="s">
        <v>37</v>
      </c>
      <c r="JL226" s="12" t="s">
        <v>37</v>
      </c>
      <c r="JM226" s="12" t="s">
        <v>37</v>
      </c>
      <c r="JN226" s="12" t="s">
        <v>37</v>
      </c>
      <c r="JS226" s="12" t="s">
        <v>37</v>
      </c>
      <c r="JT226" s="12" t="s">
        <v>37</v>
      </c>
      <c r="JU226" s="13" t="s">
        <v>37</v>
      </c>
      <c r="JW226" s="12" t="s">
        <v>37</v>
      </c>
      <c r="JX226" s="12" t="s">
        <v>37</v>
      </c>
      <c r="JY226" s="12" t="s">
        <v>37</v>
      </c>
      <c r="KE226" s="12" t="s">
        <v>37</v>
      </c>
      <c r="KF226" s="12" t="s">
        <v>37</v>
      </c>
      <c r="KG226" s="13" t="s">
        <v>37</v>
      </c>
      <c r="KH226" s="12" t="s">
        <v>37</v>
      </c>
      <c r="KI226" s="12" t="s">
        <v>37</v>
      </c>
      <c r="KJ226" s="12" t="s">
        <v>37</v>
      </c>
      <c r="KL226" s="32" t="s">
        <v>37</v>
      </c>
      <c r="KM226" s="12" t="s">
        <v>37</v>
      </c>
      <c r="KN226" s="12" t="s">
        <v>37</v>
      </c>
      <c r="KO226" s="11" t="s">
        <v>37</v>
      </c>
      <c r="KQ226" s="12" t="s">
        <v>37</v>
      </c>
      <c r="KR226" s="12" t="s">
        <v>37</v>
      </c>
      <c r="KS226" s="12" t="s">
        <v>37</v>
      </c>
      <c r="KX226" s="12" t="s">
        <v>37</v>
      </c>
      <c r="KY226" s="12" t="s">
        <v>37</v>
      </c>
      <c r="KZ226" s="12" t="s">
        <v>37</v>
      </c>
      <c r="LB226" s="12" t="s">
        <v>37</v>
      </c>
      <c r="LC226" s="12" t="s">
        <v>37</v>
      </c>
      <c r="LD226" s="12" t="s">
        <v>37</v>
      </c>
      <c r="LI226" s="12" t="s">
        <v>37</v>
      </c>
      <c r="LJ226" s="12" t="s">
        <v>37</v>
      </c>
      <c r="LK226" s="12" t="s">
        <v>37</v>
      </c>
      <c r="LM226" s="12" t="s">
        <v>37</v>
      </c>
      <c r="LN226" s="12" t="s">
        <v>37</v>
      </c>
      <c r="LO226" s="12" t="s">
        <v>37</v>
      </c>
      <c r="LU226" s="12" t="s">
        <v>37</v>
      </c>
      <c r="LV226" s="12" t="s">
        <v>37</v>
      </c>
      <c r="LW226" s="12" t="s">
        <v>37</v>
      </c>
      <c r="LY226" s="12" t="s">
        <v>37</v>
      </c>
      <c r="LZ226" s="12" t="s">
        <v>37</v>
      </c>
      <c r="MA226" s="12" t="s">
        <v>37</v>
      </c>
      <c r="MF226" s="12" t="s">
        <v>37</v>
      </c>
      <c r="MG226" s="12" t="s">
        <v>37</v>
      </c>
      <c r="MH226" s="12" t="s">
        <v>37</v>
      </c>
      <c r="MJ226" s="12" t="s">
        <v>37</v>
      </c>
      <c r="MK226" s="12" t="s">
        <v>37</v>
      </c>
      <c r="ML226" s="12" t="s">
        <v>37</v>
      </c>
      <c r="MQ226" s="12" t="s">
        <v>37</v>
      </c>
      <c r="MR226" s="12" t="s">
        <v>37</v>
      </c>
      <c r="MS226" s="12" t="s">
        <v>37</v>
      </c>
      <c r="MU226" s="12" t="s">
        <v>37</v>
      </c>
      <c r="MV226" s="12" t="s">
        <v>37</v>
      </c>
      <c r="MW226" s="12" t="s">
        <v>37</v>
      </c>
      <c r="NC226" s="12" t="s">
        <v>37</v>
      </c>
      <c r="ND226" s="12" t="s">
        <v>37</v>
      </c>
      <c r="NE226" s="12" t="s">
        <v>37</v>
      </c>
      <c r="NG226" s="12" t="s">
        <v>37</v>
      </c>
      <c r="NH226" s="12" t="s">
        <v>37</v>
      </c>
      <c r="NI226" s="12" t="s">
        <v>37</v>
      </c>
      <c r="NO226" s="12" t="s">
        <v>37</v>
      </c>
      <c r="NP226" s="12" t="s">
        <v>37</v>
      </c>
      <c r="NQ226" s="12" t="s">
        <v>37</v>
      </c>
      <c r="NS226" s="12" t="s">
        <v>37</v>
      </c>
      <c r="NT226" s="12" t="s">
        <v>37</v>
      </c>
      <c r="NU226" s="12" t="s">
        <v>37</v>
      </c>
      <c r="OA226" s="12" t="s">
        <v>37</v>
      </c>
      <c r="OB226" s="12" t="s">
        <v>37</v>
      </c>
      <c r="OC226" s="12" t="s">
        <v>37</v>
      </c>
      <c r="OD226" s="12"/>
      <c r="OE226" s="12" t="s">
        <v>37</v>
      </c>
      <c r="OF226" s="12" t="s">
        <v>37</v>
      </c>
      <c r="OG226" s="12" t="s">
        <v>37</v>
      </c>
      <c r="OH226" s="12"/>
      <c r="OI226" s="12"/>
      <c r="OJ226" s="12"/>
      <c r="OM226" s="12" t="s">
        <v>37</v>
      </c>
      <c r="ON226" s="12" t="s">
        <v>37</v>
      </c>
      <c r="OO226" s="12" t="s">
        <v>37</v>
      </c>
      <c r="OP226" s="12" t="s">
        <v>37</v>
      </c>
      <c r="OQ226" s="12" t="s">
        <v>37</v>
      </c>
      <c r="OR226" s="12" t="s">
        <v>37</v>
      </c>
      <c r="OS226" s="12"/>
      <c r="OT226" s="12"/>
      <c r="OW226" s="12" t="s">
        <v>37</v>
      </c>
      <c r="OX226" s="12" t="s">
        <v>37</v>
      </c>
      <c r="OY226" s="13" t="s">
        <v>37</v>
      </c>
      <c r="OZ226" s="12" t="s">
        <v>37</v>
      </c>
      <c r="PA226" s="12" t="s">
        <v>37</v>
      </c>
      <c r="PB226" s="13" t="s">
        <v>37</v>
      </c>
      <c r="PG226" s="12" t="s">
        <v>37</v>
      </c>
      <c r="PH226" s="12" t="s">
        <v>37</v>
      </c>
      <c r="PI226" s="12" t="s">
        <v>37</v>
      </c>
      <c r="PJ226" s="12" t="s">
        <v>37</v>
      </c>
      <c r="PK226" s="12" t="s">
        <v>37</v>
      </c>
      <c r="PL226" s="12" t="s">
        <v>37</v>
      </c>
      <c r="PM226" s="12"/>
      <c r="PN226" s="12"/>
      <c r="PQ226" s="12" t="s">
        <v>37</v>
      </c>
      <c r="PR226" s="12" t="s">
        <v>37</v>
      </c>
      <c r="PS226" s="12" t="s">
        <v>37</v>
      </c>
      <c r="PT226" s="12" t="s">
        <v>37</v>
      </c>
      <c r="PU226" s="12" t="s">
        <v>37</v>
      </c>
      <c r="PV226" s="12" t="s">
        <v>37</v>
      </c>
      <c r="PW226" s="12"/>
      <c r="PX226" s="12"/>
      <c r="PZ226" s="12" t="s">
        <v>37</v>
      </c>
      <c r="QA226" s="12" t="s">
        <v>37</v>
      </c>
      <c r="QB226" s="12" t="s">
        <v>37</v>
      </c>
      <c r="QD226" s="12" t="s">
        <v>37</v>
      </c>
      <c r="QE226" s="12" t="s">
        <v>37</v>
      </c>
      <c r="QF226" s="12" t="s">
        <v>37</v>
      </c>
      <c r="QK226" s="12" t="s">
        <v>37</v>
      </c>
      <c r="QL226" s="12" t="s">
        <v>37</v>
      </c>
      <c r="QM226" s="12" t="s">
        <v>37</v>
      </c>
      <c r="QN226" s="12" t="s">
        <v>37</v>
      </c>
      <c r="QO226" s="12" t="s">
        <v>37</v>
      </c>
      <c r="QP226" s="12" t="s">
        <v>37</v>
      </c>
      <c r="QQ226" s="12"/>
      <c r="QR226" s="12"/>
      <c r="QU226" s="12" t="s">
        <v>37</v>
      </c>
      <c r="QV226" s="12" t="s">
        <v>37</v>
      </c>
      <c r="QW226" s="12" t="s">
        <v>37</v>
      </c>
      <c r="QX226" s="12" t="s">
        <v>37</v>
      </c>
      <c r="QY226" s="12" t="s">
        <v>37</v>
      </c>
      <c r="QZ226" s="12" t="s">
        <v>37</v>
      </c>
      <c r="RC226" s="12" t="s">
        <v>37</v>
      </c>
      <c r="RD226" s="12" t="s">
        <v>37</v>
      </c>
      <c r="RE226" s="13" t="s">
        <v>37</v>
      </c>
      <c r="RF226" s="12" t="s">
        <v>37</v>
      </c>
      <c r="RG226" s="12" t="s">
        <v>37</v>
      </c>
      <c r="RH226" s="13" t="s">
        <v>37</v>
      </c>
      <c r="RK226" s="12" t="s">
        <v>37</v>
      </c>
      <c r="RL226" s="12" t="s">
        <v>37</v>
      </c>
      <c r="RM226" s="11" t="s">
        <v>37</v>
      </c>
      <c r="RN226" s="12" t="s">
        <v>37</v>
      </c>
      <c r="RO226" s="12" t="s">
        <v>37</v>
      </c>
      <c r="RP226" s="11" t="s">
        <v>37</v>
      </c>
      <c r="RS226" s="12" t="s">
        <v>37</v>
      </c>
      <c r="RT226" s="12" t="s">
        <v>37</v>
      </c>
      <c r="RU226" s="12" t="s">
        <v>37</v>
      </c>
      <c r="RV226" s="12" t="s">
        <v>37</v>
      </c>
      <c r="RW226" s="12" t="s">
        <v>37</v>
      </c>
      <c r="RX226" s="12" t="s">
        <v>37</v>
      </c>
      <c r="SA226" s="12" t="s">
        <v>37</v>
      </c>
      <c r="SB226" s="12" t="s">
        <v>37</v>
      </c>
      <c r="SC226" s="12" t="s">
        <v>37</v>
      </c>
      <c r="SD226" s="12" t="s">
        <v>37</v>
      </c>
      <c r="SE226" s="12" t="s">
        <v>37</v>
      </c>
      <c r="SF226" s="12" t="s">
        <v>37</v>
      </c>
      <c r="SI226" s="12" t="s">
        <v>37</v>
      </c>
      <c r="SJ226" s="12" t="s">
        <v>37</v>
      </c>
      <c r="SK226" s="13" t="s">
        <v>37</v>
      </c>
      <c r="SM226" s="12" t="s">
        <v>37</v>
      </c>
      <c r="SN226" s="12" t="s">
        <v>37</v>
      </c>
      <c r="SO226" s="13" t="s">
        <v>37</v>
      </c>
      <c r="SU226" s="12" t="s">
        <v>37</v>
      </c>
      <c r="SV226" s="12" t="s">
        <v>37</v>
      </c>
      <c r="SW226" s="12" t="s">
        <v>37</v>
      </c>
      <c r="SX226" s="12" t="s">
        <v>37</v>
      </c>
      <c r="SY226" s="12" t="s">
        <v>37</v>
      </c>
      <c r="SZ226" s="12" t="s">
        <v>37</v>
      </c>
      <c r="TA226" s="12"/>
      <c r="TB226" s="12"/>
      <c r="TE226" s="12" t="s">
        <v>37</v>
      </c>
      <c r="TF226" s="12" t="s">
        <v>37</v>
      </c>
      <c r="TG226" s="12" t="s">
        <v>37</v>
      </c>
      <c r="TH226" s="12" t="s">
        <v>37</v>
      </c>
      <c r="TI226" s="12" t="s">
        <v>37</v>
      </c>
      <c r="TJ226" s="12" t="s">
        <v>37</v>
      </c>
      <c r="TK226" s="12"/>
      <c r="TL226" s="12"/>
      <c r="TO226" s="12" t="s">
        <v>37</v>
      </c>
      <c r="TP226" s="12" t="s">
        <v>37</v>
      </c>
      <c r="TQ226" s="12" t="s">
        <v>37</v>
      </c>
      <c r="TR226" s="12" t="s">
        <v>37</v>
      </c>
      <c r="TS226" s="12" t="s">
        <v>37</v>
      </c>
      <c r="TT226" s="12" t="s">
        <v>37</v>
      </c>
      <c r="TU226" s="12"/>
      <c r="TV226" s="12"/>
      <c r="TY226" s="12" t="s">
        <v>37</v>
      </c>
      <c r="TZ226" s="12" t="s">
        <v>37</v>
      </c>
      <c r="UA226" s="12" t="s">
        <v>37</v>
      </c>
      <c r="UB226" s="12" t="s">
        <v>37</v>
      </c>
      <c r="UC226" s="12" t="s">
        <v>37</v>
      </c>
      <c r="UD226" s="12" t="s">
        <v>37</v>
      </c>
      <c r="UE226" s="12"/>
      <c r="UF226" s="12"/>
      <c r="UI226" s="12" t="s">
        <v>37</v>
      </c>
      <c r="UJ226" s="12" t="s">
        <v>37</v>
      </c>
      <c r="UK226" s="12" t="s">
        <v>37</v>
      </c>
      <c r="UL226" s="12" t="s">
        <v>37</v>
      </c>
      <c r="UM226" s="12" t="s">
        <v>37</v>
      </c>
      <c r="UN226" s="12" t="s">
        <v>37</v>
      </c>
      <c r="UO226" s="12"/>
      <c r="UP226" s="12"/>
      <c r="UR226" s="12" t="s">
        <v>37</v>
      </c>
      <c r="US226" s="12" t="s">
        <v>37</v>
      </c>
      <c r="UT226" s="12" t="s">
        <v>37</v>
      </c>
      <c r="UU226" s="12" t="s">
        <v>37</v>
      </c>
      <c r="UV226" s="12" t="s">
        <v>37</v>
      </c>
      <c r="UW226" s="12" t="s">
        <v>37</v>
      </c>
      <c r="UX226" s="12"/>
      <c r="UY226" s="12"/>
      <c r="VB226" s="12" t="s">
        <v>37</v>
      </c>
      <c r="VC226" s="12" t="s">
        <v>37</v>
      </c>
      <c r="VD226" s="12" t="s">
        <v>37</v>
      </c>
      <c r="VE226" s="12" t="s">
        <v>37</v>
      </c>
      <c r="VF226" s="12" t="s">
        <v>37</v>
      </c>
      <c r="VG226" s="12" t="s">
        <v>37</v>
      </c>
      <c r="VI226" s="12" t="s">
        <v>37</v>
      </c>
      <c r="VJ226" s="12" t="s">
        <v>37</v>
      </c>
      <c r="VK226" s="12" t="s">
        <v>37</v>
      </c>
      <c r="VL226" s="12" t="s">
        <v>37</v>
      </c>
      <c r="VM226" s="12" t="s">
        <v>37</v>
      </c>
      <c r="VN226" s="12" t="s">
        <v>37</v>
      </c>
      <c r="VQ226" s="12" t="s">
        <v>37</v>
      </c>
      <c r="VR226" s="12" t="s">
        <v>37</v>
      </c>
      <c r="VS226" s="12" t="s">
        <v>37</v>
      </c>
      <c r="VT226" s="12" t="s">
        <v>37</v>
      </c>
      <c r="VU226" s="12" t="s">
        <v>37</v>
      </c>
      <c r="VV226" s="12" t="s">
        <v>37</v>
      </c>
      <c r="VW226" s="12"/>
      <c r="VX226" s="12"/>
      <c r="WA226" s="12" t="s">
        <v>37</v>
      </c>
      <c r="WB226" s="12" t="s">
        <v>37</v>
      </c>
      <c r="WC226" s="12" t="s">
        <v>37</v>
      </c>
      <c r="WD226" s="12" t="s">
        <v>37</v>
      </c>
      <c r="WE226" s="12" t="s">
        <v>37</v>
      </c>
      <c r="WF226" s="12" t="s">
        <v>37</v>
      </c>
    </row>
    <row r="227" spans="1:604" ht="18" customHeight="1" x14ac:dyDescent="0.3">
      <c r="A227" s="11">
        <v>63</v>
      </c>
      <c r="B227" s="16" t="s">
        <v>374</v>
      </c>
      <c r="C227" s="12" t="s">
        <v>26</v>
      </c>
      <c r="D227" s="12" t="s">
        <v>119</v>
      </c>
      <c r="E227" s="40">
        <v>7</v>
      </c>
      <c r="F227" s="14">
        <v>0</v>
      </c>
      <c r="G227" s="14">
        <v>0</v>
      </c>
      <c r="H227" s="12" t="s">
        <v>104</v>
      </c>
      <c r="I227" s="29">
        <v>-0.23300000000000001</v>
      </c>
      <c r="J227" s="29">
        <v>109.417</v>
      </c>
      <c r="K227" s="12" t="s">
        <v>767</v>
      </c>
      <c r="L227" s="12" t="s">
        <v>768</v>
      </c>
      <c r="M227" s="13" t="s">
        <v>37</v>
      </c>
      <c r="N227" s="12" t="s">
        <v>37</v>
      </c>
      <c r="O227" s="12" t="s">
        <v>37</v>
      </c>
      <c r="P227" s="14" t="s">
        <v>89</v>
      </c>
      <c r="Q227" s="75" t="s">
        <v>326</v>
      </c>
      <c r="R227" s="11" t="s">
        <v>999</v>
      </c>
      <c r="S227" s="12" t="s">
        <v>105</v>
      </c>
      <c r="T227" s="12" t="s">
        <v>37</v>
      </c>
      <c r="U227" s="12" t="s">
        <v>158</v>
      </c>
      <c r="V227" s="12" t="s">
        <v>275</v>
      </c>
      <c r="W227" s="23" t="s">
        <v>49</v>
      </c>
      <c r="X227" s="12" t="s">
        <v>49</v>
      </c>
      <c r="Y227" s="12" t="s">
        <v>37</v>
      </c>
      <c r="Z227" s="12" t="s">
        <v>37</v>
      </c>
      <c r="AB227" s="12" t="s">
        <v>37</v>
      </c>
      <c r="AE227" s="12" t="s">
        <v>37</v>
      </c>
      <c r="AG227" s="32" t="s">
        <v>37</v>
      </c>
      <c r="AH227" s="12" t="s">
        <v>37</v>
      </c>
      <c r="AK227" s="12" t="s">
        <v>37</v>
      </c>
      <c r="AL227" s="32" t="s">
        <v>37</v>
      </c>
      <c r="AM227" s="12" t="s">
        <v>344</v>
      </c>
      <c r="AO227" s="12" t="s">
        <v>37</v>
      </c>
      <c r="AP227" s="12" t="s">
        <v>37</v>
      </c>
      <c r="AQ227" s="12" t="s">
        <v>975</v>
      </c>
      <c r="AT227" s="12" t="s">
        <v>326</v>
      </c>
      <c r="AU227" s="12" t="s">
        <v>326</v>
      </c>
      <c r="AV227" s="13" t="s">
        <v>326</v>
      </c>
      <c r="AX227" s="12" t="s">
        <v>326</v>
      </c>
      <c r="AY227" s="12" t="s">
        <v>326</v>
      </c>
      <c r="AZ227" s="13" t="s">
        <v>326</v>
      </c>
      <c r="BE227" s="12" t="s">
        <v>326</v>
      </c>
      <c r="BF227" s="12" t="s">
        <v>326</v>
      </c>
      <c r="BG227" s="12" t="s">
        <v>326</v>
      </c>
      <c r="BI227" s="12" t="s">
        <v>326</v>
      </c>
      <c r="BJ227" s="12" t="s">
        <v>326</v>
      </c>
      <c r="BK227" s="12" t="s">
        <v>326</v>
      </c>
      <c r="BP227" s="12" t="s">
        <v>37</v>
      </c>
      <c r="BQ227" s="12" t="s">
        <v>37</v>
      </c>
      <c r="BR227" s="13" t="s">
        <v>37</v>
      </c>
      <c r="BT227" s="12" t="s">
        <v>37</v>
      </c>
      <c r="BU227" s="12" t="s">
        <v>37</v>
      </c>
      <c r="BV227" s="12" t="s">
        <v>37</v>
      </c>
      <c r="CA227" s="12" t="s">
        <v>37</v>
      </c>
      <c r="CB227" s="12" t="s">
        <v>37</v>
      </c>
      <c r="CC227" s="13" t="s">
        <v>37</v>
      </c>
      <c r="CE227" s="12" t="s">
        <v>37</v>
      </c>
      <c r="CF227" s="12" t="s">
        <v>37</v>
      </c>
      <c r="CG227" s="12" t="s">
        <v>37</v>
      </c>
      <c r="CN227" s="12" t="s">
        <v>37</v>
      </c>
      <c r="CO227" s="12" t="s">
        <v>37</v>
      </c>
      <c r="CP227" s="13" t="s">
        <v>37</v>
      </c>
      <c r="CR227" s="12" t="s">
        <v>37</v>
      </c>
      <c r="CS227" s="12" t="s">
        <v>37</v>
      </c>
      <c r="CT227" s="13" t="s">
        <v>37</v>
      </c>
      <c r="CX227" s="72"/>
      <c r="CY227" s="72"/>
      <c r="CZ227" s="12" t="s">
        <v>47</v>
      </c>
      <c r="DA227" s="12">
        <f>-270*10</f>
        <v>-2700</v>
      </c>
      <c r="DB227" s="50">
        <f>ABS(DA227)*DD$474</f>
        <v>8099.0727084527707</v>
      </c>
      <c r="DC227" s="13">
        <v>4</v>
      </c>
      <c r="DE227" s="12">
        <f>6600+DA227</f>
        <v>3900</v>
      </c>
      <c r="DF227" s="50">
        <f>ABS(DE227)*DH$474</f>
        <v>3717.256897769048</v>
      </c>
      <c r="DG227" s="13">
        <v>4</v>
      </c>
      <c r="DI227" s="19">
        <f t="shared" ref="DI227" si="1121">DE227-DA227</f>
        <v>6600</v>
      </c>
      <c r="DJ227" s="12">
        <f t="shared" si="1105"/>
        <v>6301.3084982730406</v>
      </c>
      <c r="DK227" s="72">
        <f t="shared" si="1106"/>
        <v>19853244.395204019</v>
      </c>
      <c r="DL227" s="72">
        <f t="shared" si="1107"/>
        <v>19853244.395204015</v>
      </c>
      <c r="DM227" s="11" t="s">
        <v>47</v>
      </c>
      <c r="DN227" s="19">
        <f t="shared" ref="DN227:DN230" si="1122">2.3*10^4/10^3</f>
        <v>23</v>
      </c>
      <c r="DO227" s="50">
        <f>ABS(DN227)*DQ$474</f>
        <v>25.642223650678275</v>
      </c>
      <c r="DP227" s="13">
        <v>4</v>
      </c>
      <c r="DR227" s="19">
        <f t="shared" ref="DR227:DR228" si="1123">0.003*10^4/10^3</f>
        <v>0.03</v>
      </c>
      <c r="DS227" s="50">
        <f>ABS(DR227)*DU$474</f>
        <v>0.11211648883893029</v>
      </c>
      <c r="DT227" s="13">
        <v>4</v>
      </c>
      <c r="DV227" s="19">
        <f t="shared" si="1114"/>
        <v>-22.97</v>
      </c>
      <c r="DW227" s="12">
        <f t="shared" si="1115"/>
        <v>18.131963543125629</v>
      </c>
      <c r="DX227" s="72">
        <f t="shared" ref="DX227:DX290" si="1124">(((DP227+DT227)/(DP227*DT227))*(((DP227-1)*DO227^2)+(DT227-1)*DS227^2)/(DP227+DT227-2))</f>
        <v>164.38405096461847</v>
      </c>
      <c r="DY227" s="72">
        <f t="shared" ref="DY227:DY290" si="1125">(DO227^2/DP227)+(DS227^2/DT227)</f>
        <v>164.38405096461847</v>
      </c>
      <c r="EA227" s="19" t="s">
        <v>37</v>
      </c>
      <c r="EB227" s="19" t="s">
        <v>37</v>
      </c>
      <c r="EC227" s="72" t="s">
        <v>37</v>
      </c>
      <c r="EE227" s="19" t="s">
        <v>37</v>
      </c>
      <c r="EF227" s="19" t="s">
        <v>37</v>
      </c>
      <c r="EG227" s="12" t="s">
        <v>37</v>
      </c>
      <c r="EM227" s="12" t="s">
        <v>39</v>
      </c>
      <c r="EN227" s="12">
        <v>-9.6300000000000008</v>
      </c>
      <c r="EO227" s="50">
        <f t="shared" si="1108"/>
        <v>3.9241903199749553</v>
      </c>
      <c r="EP227" s="13">
        <v>4</v>
      </c>
      <c r="ER227" s="12">
        <v>-60</v>
      </c>
      <c r="ES227" s="50">
        <f t="shared" si="1116"/>
        <v>13.608843210551651</v>
      </c>
      <c r="ET227" s="13">
        <v>4</v>
      </c>
      <c r="EV227" s="19">
        <f t="shared" si="1117"/>
        <v>-50.37</v>
      </c>
      <c r="EW227" s="12">
        <f t="shared" si="1118"/>
        <v>10.014985851132364</v>
      </c>
      <c r="EX227" s="19">
        <f t="shared" si="1119"/>
        <v>50.149970799190726</v>
      </c>
      <c r="EY227" s="19">
        <f t="shared" si="1120"/>
        <v>50.149970799190726</v>
      </c>
      <c r="FB227" s="12" t="s">
        <v>37</v>
      </c>
      <c r="FC227" s="12" t="s">
        <v>37</v>
      </c>
      <c r="FD227" s="12" t="s">
        <v>37</v>
      </c>
      <c r="FE227" s="12" t="s">
        <v>37</v>
      </c>
      <c r="FF227" s="20" t="s">
        <v>37</v>
      </c>
      <c r="FG227" s="12" t="s">
        <v>37</v>
      </c>
      <c r="FI227" s="12" t="s">
        <v>37</v>
      </c>
      <c r="FJ227" s="12" t="s">
        <v>37</v>
      </c>
      <c r="FK227" s="12" t="s">
        <v>37</v>
      </c>
      <c r="FL227" s="12" t="s">
        <v>37</v>
      </c>
      <c r="FM227" s="12" t="s">
        <v>37</v>
      </c>
      <c r="FN227" s="12" t="s">
        <v>37</v>
      </c>
      <c r="FP227" s="12" t="s">
        <v>37</v>
      </c>
      <c r="FQ227" s="12" t="s">
        <v>37</v>
      </c>
      <c r="FR227" s="12" t="s">
        <v>37</v>
      </c>
      <c r="FS227" s="12" t="s">
        <v>37</v>
      </c>
      <c r="FT227" s="12" t="s">
        <v>37</v>
      </c>
      <c r="FU227" s="12" t="s">
        <v>37</v>
      </c>
      <c r="FW227" s="12" t="s">
        <v>37</v>
      </c>
      <c r="FX227" s="12" t="s">
        <v>37</v>
      </c>
      <c r="FY227" s="12" t="s">
        <v>37</v>
      </c>
      <c r="FZ227" s="12" t="s">
        <v>37</v>
      </c>
      <c r="GA227" s="12" t="s">
        <v>37</v>
      </c>
      <c r="GB227" s="12" t="s">
        <v>37</v>
      </c>
      <c r="IK227" s="12" t="s">
        <v>37</v>
      </c>
      <c r="IL227" s="12" t="s">
        <v>37</v>
      </c>
      <c r="IM227" s="12" t="s">
        <v>37</v>
      </c>
      <c r="IO227" s="12" t="s">
        <v>37</v>
      </c>
      <c r="IP227" s="12" t="s">
        <v>37</v>
      </c>
      <c r="IQ227" s="12" t="s">
        <v>37</v>
      </c>
      <c r="IW227" s="12" t="s">
        <v>37</v>
      </c>
      <c r="IX227" s="12" t="s">
        <v>37</v>
      </c>
      <c r="IY227" s="13" t="s">
        <v>37</v>
      </c>
      <c r="JA227" s="12" t="s">
        <v>37</v>
      </c>
      <c r="JB227" s="12" t="s">
        <v>37</v>
      </c>
      <c r="JC227" s="13" t="s">
        <v>37</v>
      </c>
      <c r="JH227" s="12" t="s">
        <v>37</v>
      </c>
      <c r="JI227" s="12" t="s">
        <v>37</v>
      </c>
      <c r="JJ227" s="13" t="s">
        <v>37</v>
      </c>
      <c r="JL227" s="12" t="s">
        <v>37</v>
      </c>
      <c r="JM227" s="12" t="s">
        <v>37</v>
      </c>
      <c r="JN227" s="12" t="s">
        <v>37</v>
      </c>
      <c r="JS227" s="12" t="s">
        <v>37</v>
      </c>
      <c r="JT227" s="12" t="s">
        <v>37</v>
      </c>
      <c r="JU227" s="13" t="s">
        <v>37</v>
      </c>
      <c r="JW227" s="12" t="s">
        <v>37</v>
      </c>
      <c r="JX227" s="12" t="s">
        <v>37</v>
      </c>
      <c r="JY227" s="12" t="s">
        <v>37</v>
      </c>
      <c r="KE227" s="12" t="s">
        <v>37</v>
      </c>
      <c r="KF227" s="12" t="s">
        <v>37</v>
      </c>
      <c r="KG227" s="13" t="s">
        <v>37</v>
      </c>
      <c r="KH227" s="12" t="s">
        <v>37</v>
      </c>
      <c r="KI227" s="12" t="s">
        <v>37</v>
      </c>
      <c r="KJ227" s="12" t="s">
        <v>37</v>
      </c>
      <c r="KL227" s="32" t="s">
        <v>37</v>
      </c>
      <c r="KM227" s="12" t="s">
        <v>37</v>
      </c>
      <c r="KN227" s="12" t="s">
        <v>37</v>
      </c>
      <c r="KO227" s="11" t="s">
        <v>37</v>
      </c>
      <c r="KQ227" s="12" t="s">
        <v>37</v>
      </c>
      <c r="KR227" s="12" t="s">
        <v>37</v>
      </c>
      <c r="KS227" s="12" t="s">
        <v>37</v>
      </c>
      <c r="KX227" s="12" t="s">
        <v>37</v>
      </c>
      <c r="KY227" s="12" t="s">
        <v>37</v>
      </c>
      <c r="KZ227" s="12" t="s">
        <v>37</v>
      </c>
      <c r="LB227" s="12" t="s">
        <v>37</v>
      </c>
      <c r="LC227" s="12" t="s">
        <v>37</v>
      </c>
      <c r="LD227" s="12" t="s">
        <v>37</v>
      </c>
      <c r="LI227" s="12" t="s">
        <v>37</v>
      </c>
      <c r="LJ227" s="12" t="s">
        <v>37</v>
      </c>
      <c r="LK227" s="12" t="s">
        <v>37</v>
      </c>
      <c r="LM227" s="12" t="s">
        <v>37</v>
      </c>
      <c r="LN227" s="12" t="s">
        <v>37</v>
      </c>
      <c r="LO227" s="12" t="s">
        <v>37</v>
      </c>
      <c r="LU227" s="12" t="s">
        <v>37</v>
      </c>
      <c r="LV227" s="12" t="s">
        <v>37</v>
      </c>
      <c r="LW227" s="12" t="s">
        <v>37</v>
      </c>
      <c r="LY227" s="12" t="s">
        <v>37</v>
      </c>
      <c r="LZ227" s="12" t="s">
        <v>37</v>
      </c>
      <c r="MA227" s="12" t="s">
        <v>37</v>
      </c>
      <c r="MF227" s="12" t="s">
        <v>37</v>
      </c>
      <c r="MG227" s="12" t="s">
        <v>37</v>
      </c>
      <c r="MH227" s="12" t="s">
        <v>37</v>
      </c>
      <c r="MJ227" s="12" t="s">
        <v>37</v>
      </c>
      <c r="MK227" s="12" t="s">
        <v>37</v>
      </c>
      <c r="ML227" s="12" t="s">
        <v>37</v>
      </c>
      <c r="MQ227" s="12" t="s">
        <v>37</v>
      </c>
      <c r="MR227" s="12" t="s">
        <v>37</v>
      </c>
      <c r="MS227" s="12" t="s">
        <v>37</v>
      </c>
      <c r="MU227" s="12" t="s">
        <v>37</v>
      </c>
      <c r="MV227" s="12" t="s">
        <v>37</v>
      </c>
      <c r="MW227" s="12" t="s">
        <v>37</v>
      </c>
      <c r="NC227" s="12" t="s">
        <v>37</v>
      </c>
      <c r="ND227" s="12" t="s">
        <v>37</v>
      </c>
      <c r="NE227" s="12" t="s">
        <v>37</v>
      </c>
      <c r="NG227" s="12" t="s">
        <v>37</v>
      </c>
      <c r="NH227" s="12" t="s">
        <v>37</v>
      </c>
      <c r="NI227" s="12" t="s">
        <v>37</v>
      </c>
      <c r="NO227" s="12" t="s">
        <v>37</v>
      </c>
      <c r="NP227" s="12" t="s">
        <v>37</v>
      </c>
      <c r="NQ227" s="12" t="s">
        <v>37</v>
      </c>
      <c r="NS227" s="12" t="s">
        <v>37</v>
      </c>
      <c r="NT227" s="12" t="s">
        <v>37</v>
      </c>
      <c r="NU227" s="12" t="s">
        <v>37</v>
      </c>
      <c r="OA227" s="12" t="s">
        <v>37</v>
      </c>
      <c r="OB227" s="12" t="s">
        <v>37</v>
      </c>
      <c r="OC227" s="12" t="s">
        <v>37</v>
      </c>
      <c r="OD227" s="12"/>
      <c r="OE227" s="12" t="s">
        <v>37</v>
      </c>
      <c r="OF227" s="12" t="s">
        <v>37</v>
      </c>
      <c r="OG227" s="12" t="s">
        <v>37</v>
      </c>
      <c r="OH227" s="12"/>
      <c r="OI227" s="12"/>
      <c r="OJ227" s="12"/>
      <c r="OM227" s="12" t="s">
        <v>37</v>
      </c>
      <c r="ON227" s="12" t="s">
        <v>37</v>
      </c>
      <c r="OO227" s="12" t="s">
        <v>37</v>
      </c>
      <c r="OP227" s="12" t="s">
        <v>37</v>
      </c>
      <c r="OQ227" s="12" t="s">
        <v>37</v>
      </c>
      <c r="OR227" s="12" t="s">
        <v>37</v>
      </c>
      <c r="OS227" s="12"/>
      <c r="OT227" s="12"/>
      <c r="OW227" s="12" t="s">
        <v>37</v>
      </c>
      <c r="OX227" s="12" t="s">
        <v>37</v>
      </c>
      <c r="OY227" s="13" t="s">
        <v>37</v>
      </c>
      <c r="OZ227" s="12" t="s">
        <v>37</v>
      </c>
      <c r="PA227" s="12" t="s">
        <v>37</v>
      </c>
      <c r="PB227" s="13" t="s">
        <v>37</v>
      </c>
      <c r="PG227" s="12" t="s">
        <v>37</v>
      </c>
      <c r="PH227" s="12" t="s">
        <v>37</v>
      </c>
      <c r="PI227" s="12" t="s">
        <v>37</v>
      </c>
      <c r="PJ227" s="12" t="s">
        <v>37</v>
      </c>
      <c r="PK227" s="12" t="s">
        <v>37</v>
      </c>
      <c r="PL227" s="12" t="s">
        <v>37</v>
      </c>
      <c r="PM227" s="12"/>
      <c r="PN227" s="12"/>
      <c r="PQ227" s="12" t="s">
        <v>37</v>
      </c>
      <c r="PR227" s="12" t="s">
        <v>37</v>
      </c>
      <c r="PS227" s="12" t="s">
        <v>37</v>
      </c>
      <c r="PT227" s="12" t="s">
        <v>37</v>
      </c>
      <c r="PU227" s="12" t="s">
        <v>37</v>
      </c>
      <c r="PV227" s="12" t="s">
        <v>37</v>
      </c>
      <c r="PW227" s="12"/>
      <c r="PX227" s="12"/>
      <c r="PZ227" s="12" t="s">
        <v>37</v>
      </c>
      <c r="QA227" s="12" t="s">
        <v>37</v>
      </c>
      <c r="QB227" s="12" t="s">
        <v>37</v>
      </c>
      <c r="QD227" s="12" t="s">
        <v>37</v>
      </c>
      <c r="QE227" s="12" t="s">
        <v>37</v>
      </c>
      <c r="QF227" s="12" t="s">
        <v>37</v>
      </c>
      <c r="QK227" s="12" t="s">
        <v>37</v>
      </c>
      <c r="QL227" s="12" t="s">
        <v>37</v>
      </c>
      <c r="QM227" s="12" t="s">
        <v>37</v>
      </c>
      <c r="QN227" s="12" t="s">
        <v>37</v>
      </c>
      <c r="QO227" s="12" t="s">
        <v>37</v>
      </c>
      <c r="QP227" s="12" t="s">
        <v>37</v>
      </c>
      <c r="QQ227" s="12"/>
      <c r="QR227" s="12"/>
      <c r="QU227" s="12" t="s">
        <v>37</v>
      </c>
      <c r="QV227" s="12" t="s">
        <v>37</v>
      </c>
      <c r="QW227" s="12" t="s">
        <v>37</v>
      </c>
      <c r="QX227" s="12" t="s">
        <v>37</v>
      </c>
      <c r="QY227" s="12" t="s">
        <v>37</v>
      </c>
      <c r="QZ227" s="12" t="s">
        <v>37</v>
      </c>
      <c r="RC227" s="12" t="s">
        <v>37</v>
      </c>
      <c r="RD227" s="12" t="s">
        <v>37</v>
      </c>
      <c r="RE227" s="13" t="s">
        <v>37</v>
      </c>
      <c r="RF227" s="12" t="s">
        <v>37</v>
      </c>
      <c r="RG227" s="12" t="s">
        <v>37</v>
      </c>
      <c r="RH227" s="13" t="s">
        <v>37</v>
      </c>
      <c r="RK227" s="12" t="s">
        <v>37</v>
      </c>
      <c r="RL227" s="12" t="s">
        <v>37</v>
      </c>
      <c r="RM227" s="11" t="s">
        <v>37</v>
      </c>
      <c r="RN227" s="12" t="s">
        <v>37</v>
      </c>
      <c r="RO227" s="12" t="s">
        <v>37</v>
      </c>
      <c r="RP227" s="11" t="s">
        <v>37</v>
      </c>
      <c r="RS227" s="12" t="s">
        <v>37</v>
      </c>
      <c r="RT227" s="12" t="s">
        <v>37</v>
      </c>
      <c r="RU227" s="12" t="s">
        <v>37</v>
      </c>
      <c r="RV227" s="12" t="s">
        <v>37</v>
      </c>
      <c r="RW227" s="12" t="s">
        <v>37</v>
      </c>
      <c r="RX227" s="12" t="s">
        <v>37</v>
      </c>
      <c r="SA227" s="12" t="s">
        <v>37</v>
      </c>
      <c r="SB227" s="12" t="s">
        <v>37</v>
      </c>
      <c r="SC227" s="12" t="s">
        <v>37</v>
      </c>
      <c r="SD227" s="12" t="s">
        <v>37</v>
      </c>
      <c r="SE227" s="12" t="s">
        <v>37</v>
      </c>
      <c r="SF227" s="12" t="s">
        <v>37</v>
      </c>
      <c r="SI227" s="12" t="s">
        <v>37</v>
      </c>
      <c r="SJ227" s="12" t="s">
        <v>37</v>
      </c>
      <c r="SK227" s="13" t="s">
        <v>37</v>
      </c>
      <c r="SM227" s="12" t="s">
        <v>37</v>
      </c>
      <c r="SN227" s="12" t="s">
        <v>37</v>
      </c>
      <c r="SO227" s="13" t="s">
        <v>37</v>
      </c>
      <c r="SU227" s="12" t="s">
        <v>37</v>
      </c>
      <c r="SV227" s="12" t="s">
        <v>37</v>
      </c>
      <c r="SW227" s="12" t="s">
        <v>37</v>
      </c>
      <c r="SX227" s="12" t="s">
        <v>37</v>
      </c>
      <c r="SY227" s="12" t="s">
        <v>37</v>
      </c>
      <c r="SZ227" s="12" t="s">
        <v>37</v>
      </c>
      <c r="TA227" s="12"/>
      <c r="TB227" s="12"/>
      <c r="TE227" s="12" t="s">
        <v>37</v>
      </c>
      <c r="TF227" s="12" t="s">
        <v>37</v>
      </c>
      <c r="TG227" s="12" t="s">
        <v>37</v>
      </c>
      <c r="TH227" s="12" t="s">
        <v>37</v>
      </c>
      <c r="TI227" s="12" t="s">
        <v>37</v>
      </c>
      <c r="TJ227" s="12" t="s">
        <v>37</v>
      </c>
      <c r="TK227" s="12"/>
      <c r="TL227" s="12"/>
      <c r="TO227" s="12" t="s">
        <v>37</v>
      </c>
      <c r="TP227" s="12" t="s">
        <v>37</v>
      </c>
      <c r="TQ227" s="12" t="s">
        <v>37</v>
      </c>
      <c r="TR227" s="12" t="s">
        <v>37</v>
      </c>
      <c r="TS227" s="12" t="s">
        <v>37</v>
      </c>
      <c r="TT227" s="12" t="s">
        <v>37</v>
      </c>
      <c r="TU227" s="12"/>
      <c r="TV227" s="12"/>
      <c r="TY227" s="12" t="s">
        <v>37</v>
      </c>
      <c r="TZ227" s="12" t="s">
        <v>37</v>
      </c>
      <c r="UA227" s="12" t="s">
        <v>37</v>
      </c>
      <c r="UB227" s="12" t="s">
        <v>37</v>
      </c>
      <c r="UC227" s="12" t="s">
        <v>37</v>
      </c>
      <c r="UD227" s="12" t="s">
        <v>37</v>
      </c>
      <c r="UE227" s="12"/>
      <c r="UF227" s="12"/>
      <c r="UI227" s="12" t="s">
        <v>37</v>
      </c>
      <c r="UJ227" s="12" t="s">
        <v>37</v>
      </c>
      <c r="UK227" s="12" t="s">
        <v>37</v>
      </c>
      <c r="UL227" s="12" t="s">
        <v>37</v>
      </c>
      <c r="UM227" s="12" t="s">
        <v>37</v>
      </c>
      <c r="UN227" s="12" t="s">
        <v>37</v>
      </c>
      <c r="UO227" s="12"/>
      <c r="UP227" s="12"/>
      <c r="UR227" s="12" t="s">
        <v>37</v>
      </c>
      <c r="US227" s="12" t="s">
        <v>37</v>
      </c>
      <c r="UT227" s="12" t="s">
        <v>37</v>
      </c>
      <c r="UU227" s="12" t="s">
        <v>37</v>
      </c>
      <c r="UV227" s="12" t="s">
        <v>37</v>
      </c>
      <c r="UW227" s="12" t="s">
        <v>37</v>
      </c>
      <c r="UX227" s="12"/>
      <c r="UY227" s="12"/>
      <c r="VB227" s="12" t="s">
        <v>37</v>
      </c>
      <c r="VC227" s="12" t="s">
        <v>37</v>
      </c>
      <c r="VD227" s="12" t="s">
        <v>37</v>
      </c>
      <c r="VE227" s="12" t="s">
        <v>37</v>
      </c>
      <c r="VF227" s="12" t="s">
        <v>37</v>
      </c>
      <c r="VG227" s="12" t="s">
        <v>37</v>
      </c>
      <c r="VI227" s="12" t="s">
        <v>37</v>
      </c>
      <c r="VJ227" s="12" t="s">
        <v>37</v>
      </c>
      <c r="VK227" s="12" t="s">
        <v>37</v>
      </c>
      <c r="VL227" s="12" t="s">
        <v>37</v>
      </c>
      <c r="VM227" s="12" t="s">
        <v>37</v>
      </c>
      <c r="VN227" s="12" t="s">
        <v>37</v>
      </c>
      <c r="VQ227" s="12" t="s">
        <v>37</v>
      </c>
      <c r="VR227" s="12" t="s">
        <v>37</v>
      </c>
      <c r="VS227" s="12" t="s">
        <v>37</v>
      </c>
      <c r="VT227" s="12" t="s">
        <v>37</v>
      </c>
      <c r="VU227" s="12" t="s">
        <v>37</v>
      </c>
      <c r="VV227" s="12" t="s">
        <v>37</v>
      </c>
      <c r="VW227" s="12"/>
      <c r="VX227" s="12"/>
      <c r="WA227" s="12" t="s">
        <v>37</v>
      </c>
      <c r="WB227" s="12" t="s">
        <v>37</v>
      </c>
      <c r="WC227" s="12" t="s">
        <v>37</v>
      </c>
      <c r="WD227" s="12" t="s">
        <v>37</v>
      </c>
      <c r="WE227" s="12" t="s">
        <v>37</v>
      </c>
      <c r="WF227" s="12" t="s">
        <v>37</v>
      </c>
    </row>
    <row r="228" spans="1:604" ht="18" customHeight="1" x14ac:dyDescent="0.3">
      <c r="A228" s="11">
        <v>63</v>
      </c>
      <c r="B228" s="16" t="s">
        <v>374</v>
      </c>
      <c r="C228" s="12" t="s">
        <v>26</v>
      </c>
      <c r="D228" s="12" t="s">
        <v>119</v>
      </c>
      <c r="E228" s="40">
        <v>2.2000000000000002</v>
      </c>
      <c r="F228" s="14">
        <v>0</v>
      </c>
      <c r="G228" s="14">
        <v>0</v>
      </c>
      <c r="H228" s="12" t="s">
        <v>104</v>
      </c>
      <c r="I228" s="29">
        <v>4.5170000000000003</v>
      </c>
      <c r="J228" s="29">
        <v>114.083</v>
      </c>
      <c r="K228" s="12" t="s">
        <v>769</v>
      </c>
      <c r="L228" s="12" t="s">
        <v>770</v>
      </c>
      <c r="M228" s="13" t="s">
        <v>37</v>
      </c>
      <c r="N228" s="12" t="s">
        <v>37</v>
      </c>
      <c r="O228" s="12" t="s">
        <v>37</v>
      </c>
      <c r="P228" s="14" t="s">
        <v>89</v>
      </c>
      <c r="Q228" s="75" t="s">
        <v>326</v>
      </c>
      <c r="R228" s="11" t="s">
        <v>999</v>
      </c>
      <c r="S228" s="12" t="s">
        <v>105</v>
      </c>
      <c r="T228" s="12" t="s">
        <v>37</v>
      </c>
      <c r="U228" s="12" t="s">
        <v>158</v>
      </c>
      <c r="V228" s="12" t="s">
        <v>275</v>
      </c>
      <c r="W228" s="23" t="s">
        <v>49</v>
      </c>
      <c r="X228" s="12" t="s">
        <v>49</v>
      </c>
      <c r="Y228" s="12" t="s">
        <v>37</v>
      </c>
      <c r="Z228" s="12" t="s">
        <v>37</v>
      </c>
      <c r="AB228" s="12" t="s">
        <v>37</v>
      </c>
      <c r="AE228" s="12" t="s">
        <v>37</v>
      </c>
      <c r="AG228" s="32" t="s">
        <v>37</v>
      </c>
      <c r="AH228" s="12" t="s">
        <v>37</v>
      </c>
      <c r="AK228" s="12" t="s">
        <v>37</v>
      </c>
      <c r="AL228" s="32" t="s">
        <v>37</v>
      </c>
      <c r="AM228" s="12" t="s">
        <v>344</v>
      </c>
      <c r="AO228" s="12" t="s">
        <v>37</v>
      </c>
      <c r="AP228" s="12" t="s">
        <v>37</v>
      </c>
      <c r="AQ228" s="12" t="s">
        <v>975</v>
      </c>
      <c r="AT228" s="12" t="s">
        <v>326</v>
      </c>
      <c r="AU228" s="12" t="s">
        <v>326</v>
      </c>
      <c r="AV228" s="13" t="s">
        <v>326</v>
      </c>
      <c r="AX228" s="12" t="s">
        <v>326</v>
      </c>
      <c r="AY228" s="12" t="s">
        <v>326</v>
      </c>
      <c r="AZ228" s="13" t="s">
        <v>326</v>
      </c>
      <c r="BE228" s="12" t="s">
        <v>326</v>
      </c>
      <c r="BF228" s="12" t="s">
        <v>326</v>
      </c>
      <c r="BG228" s="12" t="s">
        <v>326</v>
      </c>
      <c r="BI228" s="12" t="s">
        <v>326</v>
      </c>
      <c r="BJ228" s="12" t="s">
        <v>326</v>
      </c>
      <c r="BK228" s="12" t="s">
        <v>326</v>
      </c>
      <c r="BP228" s="12" t="s">
        <v>37</v>
      </c>
      <c r="BQ228" s="12" t="s">
        <v>37</v>
      </c>
      <c r="BR228" s="13" t="s">
        <v>37</v>
      </c>
      <c r="BT228" s="12" t="s">
        <v>37</v>
      </c>
      <c r="BU228" s="12" t="s">
        <v>37</v>
      </c>
      <c r="BV228" s="12" t="s">
        <v>37</v>
      </c>
      <c r="CA228" s="12" t="s">
        <v>37</v>
      </c>
      <c r="CB228" s="12" t="s">
        <v>37</v>
      </c>
      <c r="CC228" s="13" t="s">
        <v>37</v>
      </c>
      <c r="CE228" s="12" t="s">
        <v>37</v>
      </c>
      <c r="CF228" s="12" t="s">
        <v>37</v>
      </c>
      <c r="CG228" s="12" t="s">
        <v>37</v>
      </c>
      <c r="CN228" s="12" t="s">
        <v>37</v>
      </c>
      <c r="CO228" s="12" t="s">
        <v>37</v>
      </c>
      <c r="CP228" s="13" t="s">
        <v>37</v>
      </c>
      <c r="CR228" s="12" t="s">
        <v>37</v>
      </c>
      <c r="CS228" s="12" t="s">
        <v>37</v>
      </c>
      <c r="CT228" s="13" t="s">
        <v>37</v>
      </c>
      <c r="CX228" s="72"/>
      <c r="CY228" s="72"/>
      <c r="CZ228" s="12" t="s">
        <v>47</v>
      </c>
      <c r="DA228" s="12">
        <f>-240*10</f>
        <v>-2400</v>
      </c>
      <c r="DB228" s="50">
        <f>ABS(DA228)*DD$474</f>
        <v>7199.1757408469075</v>
      </c>
      <c r="DC228" s="13">
        <v>4</v>
      </c>
      <c r="DE228" s="12">
        <f t="shared" ref="DE228" si="1126">6600+DA228</f>
        <v>4200</v>
      </c>
      <c r="DF228" s="50">
        <f>ABS(DE228)*DH$474</f>
        <v>4003.1997360589748</v>
      </c>
      <c r="DG228" s="13">
        <v>4</v>
      </c>
      <c r="DI228" s="19">
        <f>DE228-DA228</f>
        <v>6600</v>
      </c>
      <c r="DJ228" s="12">
        <f t="shared" si="1105"/>
        <v>5824.6776509254687</v>
      </c>
      <c r="DK228" s="72">
        <f t="shared" si="1106"/>
        <v>16963434.868595317</v>
      </c>
      <c r="DL228" s="72">
        <f t="shared" si="1107"/>
        <v>16963434.868595317</v>
      </c>
      <c r="DM228" s="11" t="s">
        <v>47</v>
      </c>
      <c r="DN228" s="19">
        <f t="shared" si="1122"/>
        <v>23</v>
      </c>
      <c r="DO228" s="50">
        <f>ABS(DN228)*DQ$474</f>
        <v>25.642223650678275</v>
      </c>
      <c r="DP228" s="13">
        <v>4</v>
      </c>
      <c r="DR228" s="19">
        <f t="shared" si="1123"/>
        <v>0.03</v>
      </c>
      <c r="DS228" s="50">
        <f>ABS(DR228)*DU$474</f>
        <v>0.11211648883893029</v>
      </c>
      <c r="DT228" s="13">
        <v>4</v>
      </c>
      <c r="DV228" s="19">
        <f t="shared" si="1114"/>
        <v>-22.97</v>
      </c>
      <c r="DW228" s="12">
        <f t="shared" si="1115"/>
        <v>18.131963543125629</v>
      </c>
      <c r="DX228" s="72">
        <f t="shared" si="1124"/>
        <v>164.38405096461847</v>
      </c>
      <c r="DY228" s="72">
        <f t="shared" si="1125"/>
        <v>164.38405096461847</v>
      </c>
      <c r="EA228" s="19" t="s">
        <v>37</v>
      </c>
      <c r="EB228" s="19" t="s">
        <v>37</v>
      </c>
      <c r="EC228" s="72" t="s">
        <v>37</v>
      </c>
      <c r="EE228" s="19" t="s">
        <v>37</v>
      </c>
      <c r="EF228" s="19" t="s">
        <v>37</v>
      </c>
      <c r="EG228" s="12" t="s">
        <v>37</v>
      </c>
      <c r="EM228" s="12" t="s">
        <v>39</v>
      </c>
      <c r="EN228" s="12">
        <v>-8.65</v>
      </c>
      <c r="EO228" s="50">
        <f t="shared" si="1108"/>
        <v>3.5248438491986875</v>
      </c>
      <c r="EP228" s="13">
        <v>4</v>
      </c>
      <c r="ER228" s="12">
        <v>-60</v>
      </c>
      <c r="ES228" s="50">
        <f t="shared" si="1116"/>
        <v>13.608843210551651</v>
      </c>
      <c r="ET228" s="13">
        <v>4</v>
      </c>
      <c r="EV228" s="19">
        <f t="shared" si="1117"/>
        <v>-51.35</v>
      </c>
      <c r="EW228" s="12">
        <f t="shared" si="1118"/>
        <v>9.9404511389225085</v>
      </c>
      <c r="EX228" s="19">
        <f t="shared" si="1119"/>
        <v>49.406284422652902</v>
      </c>
      <c r="EY228" s="19">
        <f t="shared" si="1120"/>
        <v>49.406284422652895</v>
      </c>
      <c r="FB228" s="12" t="s">
        <v>37</v>
      </c>
      <c r="FC228" s="12" t="s">
        <v>37</v>
      </c>
      <c r="FD228" s="12" t="s">
        <v>37</v>
      </c>
      <c r="FE228" s="12" t="s">
        <v>37</v>
      </c>
      <c r="FF228" s="20" t="s">
        <v>37</v>
      </c>
      <c r="FG228" s="12" t="s">
        <v>37</v>
      </c>
      <c r="FI228" s="12" t="s">
        <v>37</v>
      </c>
      <c r="FJ228" s="12" t="s">
        <v>37</v>
      </c>
      <c r="FK228" s="12" t="s">
        <v>37</v>
      </c>
      <c r="FL228" s="12" t="s">
        <v>37</v>
      </c>
      <c r="FM228" s="12" t="s">
        <v>37</v>
      </c>
      <c r="FN228" s="12" t="s">
        <v>37</v>
      </c>
      <c r="FP228" s="12" t="s">
        <v>37</v>
      </c>
      <c r="FQ228" s="12" t="s">
        <v>37</v>
      </c>
      <c r="FR228" s="12" t="s">
        <v>37</v>
      </c>
      <c r="FS228" s="12" t="s">
        <v>37</v>
      </c>
      <c r="FT228" s="12" t="s">
        <v>37</v>
      </c>
      <c r="FU228" s="12" t="s">
        <v>37</v>
      </c>
      <c r="FW228" s="12" t="s">
        <v>37</v>
      </c>
      <c r="FX228" s="12" t="s">
        <v>37</v>
      </c>
      <c r="FY228" s="12" t="s">
        <v>37</v>
      </c>
      <c r="FZ228" s="12" t="s">
        <v>37</v>
      </c>
      <c r="GA228" s="12" t="s">
        <v>37</v>
      </c>
      <c r="GB228" s="12" t="s">
        <v>37</v>
      </c>
      <c r="IK228" s="12" t="s">
        <v>37</v>
      </c>
      <c r="IL228" s="12" t="s">
        <v>37</v>
      </c>
      <c r="IM228" s="12" t="s">
        <v>37</v>
      </c>
      <c r="IO228" s="12" t="s">
        <v>37</v>
      </c>
      <c r="IP228" s="12" t="s">
        <v>37</v>
      </c>
      <c r="IQ228" s="12" t="s">
        <v>37</v>
      </c>
      <c r="IW228" s="12" t="s">
        <v>37</v>
      </c>
      <c r="IX228" s="12" t="s">
        <v>37</v>
      </c>
      <c r="IY228" s="13" t="s">
        <v>37</v>
      </c>
      <c r="JA228" s="12" t="s">
        <v>37</v>
      </c>
      <c r="JB228" s="12" t="s">
        <v>37</v>
      </c>
      <c r="JC228" s="13" t="s">
        <v>37</v>
      </c>
      <c r="JH228" s="12" t="s">
        <v>37</v>
      </c>
      <c r="JI228" s="12" t="s">
        <v>37</v>
      </c>
      <c r="JJ228" s="13" t="s">
        <v>37</v>
      </c>
      <c r="JL228" s="12" t="s">
        <v>37</v>
      </c>
      <c r="JM228" s="12" t="s">
        <v>37</v>
      </c>
      <c r="JN228" s="12" t="s">
        <v>37</v>
      </c>
      <c r="JS228" s="12" t="s">
        <v>37</v>
      </c>
      <c r="JT228" s="12" t="s">
        <v>37</v>
      </c>
      <c r="JU228" s="13" t="s">
        <v>37</v>
      </c>
      <c r="JW228" s="12" t="s">
        <v>37</v>
      </c>
      <c r="JX228" s="12" t="s">
        <v>37</v>
      </c>
      <c r="JY228" s="12" t="s">
        <v>37</v>
      </c>
      <c r="KE228" s="12" t="s">
        <v>37</v>
      </c>
      <c r="KF228" s="12" t="s">
        <v>37</v>
      </c>
      <c r="KG228" s="13" t="s">
        <v>37</v>
      </c>
      <c r="KH228" s="12" t="s">
        <v>37</v>
      </c>
      <c r="KI228" s="12" t="s">
        <v>37</v>
      </c>
      <c r="KJ228" s="12" t="s">
        <v>37</v>
      </c>
      <c r="KL228" s="32" t="s">
        <v>37</v>
      </c>
      <c r="KM228" s="12" t="s">
        <v>37</v>
      </c>
      <c r="KN228" s="12" t="s">
        <v>37</v>
      </c>
      <c r="KO228" s="11" t="s">
        <v>37</v>
      </c>
      <c r="KQ228" s="12" t="s">
        <v>37</v>
      </c>
      <c r="KR228" s="12" t="s">
        <v>37</v>
      </c>
      <c r="KS228" s="12" t="s">
        <v>37</v>
      </c>
      <c r="KX228" s="12" t="s">
        <v>37</v>
      </c>
      <c r="KY228" s="12" t="s">
        <v>37</v>
      </c>
      <c r="KZ228" s="12" t="s">
        <v>37</v>
      </c>
      <c r="LB228" s="12" t="s">
        <v>37</v>
      </c>
      <c r="LC228" s="12" t="s">
        <v>37</v>
      </c>
      <c r="LD228" s="12" t="s">
        <v>37</v>
      </c>
      <c r="LI228" s="12" t="s">
        <v>37</v>
      </c>
      <c r="LJ228" s="12" t="s">
        <v>37</v>
      </c>
      <c r="LK228" s="12" t="s">
        <v>37</v>
      </c>
      <c r="LM228" s="12" t="s">
        <v>37</v>
      </c>
      <c r="LN228" s="12" t="s">
        <v>37</v>
      </c>
      <c r="LO228" s="12" t="s">
        <v>37</v>
      </c>
      <c r="LU228" s="12" t="s">
        <v>37</v>
      </c>
      <c r="LV228" s="12" t="s">
        <v>37</v>
      </c>
      <c r="LW228" s="12" t="s">
        <v>37</v>
      </c>
      <c r="LY228" s="12" t="s">
        <v>37</v>
      </c>
      <c r="LZ228" s="12" t="s">
        <v>37</v>
      </c>
      <c r="MA228" s="12" t="s">
        <v>37</v>
      </c>
      <c r="MF228" s="12" t="s">
        <v>37</v>
      </c>
      <c r="MG228" s="12" t="s">
        <v>37</v>
      </c>
      <c r="MH228" s="12" t="s">
        <v>37</v>
      </c>
      <c r="MJ228" s="12" t="s">
        <v>37</v>
      </c>
      <c r="MK228" s="12" t="s">
        <v>37</v>
      </c>
      <c r="ML228" s="12" t="s">
        <v>37</v>
      </c>
      <c r="MQ228" s="12" t="s">
        <v>37</v>
      </c>
      <c r="MR228" s="12" t="s">
        <v>37</v>
      </c>
      <c r="MS228" s="12" t="s">
        <v>37</v>
      </c>
      <c r="MU228" s="12" t="s">
        <v>37</v>
      </c>
      <c r="MV228" s="12" t="s">
        <v>37</v>
      </c>
      <c r="MW228" s="12" t="s">
        <v>37</v>
      </c>
      <c r="NC228" s="12" t="s">
        <v>37</v>
      </c>
      <c r="ND228" s="12" t="s">
        <v>37</v>
      </c>
      <c r="NE228" s="12" t="s">
        <v>37</v>
      </c>
      <c r="NG228" s="12" t="s">
        <v>37</v>
      </c>
      <c r="NH228" s="12" t="s">
        <v>37</v>
      </c>
      <c r="NI228" s="12" t="s">
        <v>37</v>
      </c>
      <c r="NO228" s="12" t="s">
        <v>37</v>
      </c>
      <c r="NP228" s="12" t="s">
        <v>37</v>
      </c>
      <c r="NQ228" s="12" t="s">
        <v>37</v>
      </c>
      <c r="NS228" s="12" t="s">
        <v>37</v>
      </c>
      <c r="NT228" s="12" t="s">
        <v>37</v>
      </c>
      <c r="NU228" s="12" t="s">
        <v>37</v>
      </c>
      <c r="OA228" s="12" t="s">
        <v>37</v>
      </c>
      <c r="OB228" s="12" t="s">
        <v>37</v>
      </c>
      <c r="OC228" s="12" t="s">
        <v>37</v>
      </c>
      <c r="OD228" s="12"/>
      <c r="OE228" s="12" t="s">
        <v>37</v>
      </c>
      <c r="OF228" s="12" t="s">
        <v>37</v>
      </c>
      <c r="OG228" s="12" t="s">
        <v>37</v>
      </c>
      <c r="OH228" s="12"/>
      <c r="OI228" s="12"/>
      <c r="OJ228" s="12"/>
      <c r="OM228" s="12" t="s">
        <v>37</v>
      </c>
      <c r="ON228" s="12" t="s">
        <v>37</v>
      </c>
      <c r="OO228" s="12" t="s">
        <v>37</v>
      </c>
      <c r="OP228" s="12" t="s">
        <v>37</v>
      </c>
      <c r="OQ228" s="12" t="s">
        <v>37</v>
      </c>
      <c r="OR228" s="12" t="s">
        <v>37</v>
      </c>
      <c r="OS228" s="12"/>
      <c r="OT228" s="12"/>
      <c r="OW228" s="12" t="s">
        <v>37</v>
      </c>
      <c r="OX228" s="12" t="s">
        <v>37</v>
      </c>
      <c r="OY228" s="13" t="s">
        <v>37</v>
      </c>
      <c r="OZ228" s="12" t="s">
        <v>37</v>
      </c>
      <c r="PA228" s="12" t="s">
        <v>37</v>
      </c>
      <c r="PB228" s="13" t="s">
        <v>37</v>
      </c>
      <c r="PG228" s="12" t="s">
        <v>37</v>
      </c>
      <c r="PH228" s="12" t="s">
        <v>37</v>
      </c>
      <c r="PI228" s="12" t="s">
        <v>37</v>
      </c>
      <c r="PJ228" s="12" t="s">
        <v>37</v>
      </c>
      <c r="PK228" s="12" t="s">
        <v>37</v>
      </c>
      <c r="PL228" s="12" t="s">
        <v>37</v>
      </c>
      <c r="PM228" s="12"/>
      <c r="PN228" s="12"/>
      <c r="PQ228" s="12" t="s">
        <v>37</v>
      </c>
      <c r="PR228" s="12" t="s">
        <v>37</v>
      </c>
      <c r="PS228" s="12" t="s">
        <v>37</v>
      </c>
      <c r="PT228" s="12" t="s">
        <v>37</v>
      </c>
      <c r="PU228" s="12" t="s">
        <v>37</v>
      </c>
      <c r="PV228" s="12" t="s">
        <v>37</v>
      </c>
      <c r="PW228" s="12"/>
      <c r="PX228" s="12"/>
      <c r="PZ228" s="12" t="s">
        <v>37</v>
      </c>
      <c r="QA228" s="12" t="s">
        <v>37</v>
      </c>
      <c r="QB228" s="12" t="s">
        <v>37</v>
      </c>
      <c r="QD228" s="12" t="s">
        <v>37</v>
      </c>
      <c r="QE228" s="12" t="s">
        <v>37</v>
      </c>
      <c r="QF228" s="12" t="s">
        <v>37</v>
      </c>
      <c r="QK228" s="12" t="s">
        <v>37</v>
      </c>
      <c r="QL228" s="12" t="s">
        <v>37</v>
      </c>
      <c r="QM228" s="12" t="s">
        <v>37</v>
      </c>
      <c r="QN228" s="12" t="s">
        <v>37</v>
      </c>
      <c r="QO228" s="12" t="s">
        <v>37</v>
      </c>
      <c r="QP228" s="12" t="s">
        <v>37</v>
      </c>
      <c r="QQ228" s="12"/>
      <c r="QR228" s="12"/>
      <c r="QU228" s="12" t="s">
        <v>37</v>
      </c>
      <c r="QV228" s="12" t="s">
        <v>37</v>
      </c>
      <c r="QW228" s="12" t="s">
        <v>37</v>
      </c>
      <c r="QX228" s="12" t="s">
        <v>37</v>
      </c>
      <c r="QY228" s="12" t="s">
        <v>37</v>
      </c>
      <c r="QZ228" s="12" t="s">
        <v>37</v>
      </c>
      <c r="RC228" s="12" t="s">
        <v>37</v>
      </c>
      <c r="RD228" s="12" t="s">
        <v>37</v>
      </c>
      <c r="RE228" s="13" t="s">
        <v>37</v>
      </c>
      <c r="RF228" s="12" t="s">
        <v>37</v>
      </c>
      <c r="RG228" s="12" t="s">
        <v>37</v>
      </c>
      <c r="RH228" s="13" t="s">
        <v>37</v>
      </c>
      <c r="RK228" s="12" t="s">
        <v>37</v>
      </c>
      <c r="RL228" s="12" t="s">
        <v>37</v>
      </c>
      <c r="RM228" s="11" t="s">
        <v>37</v>
      </c>
      <c r="RN228" s="12" t="s">
        <v>37</v>
      </c>
      <c r="RO228" s="12" t="s">
        <v>37</v>
      </c>
      <c r="RP228" s="11" t="s">
        <v>37</v>
      </c>
      <c r="RS228" s="12" t="s">
        <v>37</v>
      </c>
      <c r="RT228" s="12" t="s">
        <v>37</v>
      </c>
      <c r="RU228" s="12" t="s">
        <v>37</v>
      </c>
      <c r="RV228" s="12" t="s">
        <v>37</v>
      </c>
      <c r="RW228" s="12" t="s">
        <v>37</v>
      </c>
      <c r="RX228" s="12" t="s">
        <v>37</v>
      </c>
      <c r="SA228" s="12" t="s">
        <v>37</v>
      </c>
      <c r="SB228" s="12" t="s">
        <v>37</v>
      </c>
      <c r="SC228" s="12" t="s">
        <v>37</v>
      </c>
      <c r="SD228" s="12" t="s">
        <v>37</v>
      </c>
      <c r="SE228" s="12" t="s">
        <v>37</v>
      </c>
      <c r="SF228" s="12" t="s">
        <v>37</v>
      </c>
      <c r="SI228" s="12" t="s">
        <v>37</v>
      </c>
      <c r="SJ228" s="12" t="s">
        <v>37</v>
      </c>
      <c r="SK228" s="13" t="s">
        <v>37</v>
      </c>
      <c r="SM228" s="12" t="s">
        <v>37</v>
      </c>
      <c r="SN228" s="12" t="s">
        <v>37</v>
      </c>
      <c r="SO228" s="13" t="s">
        <v>37</v>
      </c>
      <c r="SU228" s="12" t="s">
        <v>37</v>
      </c>
      <c r="SV228" s="12" t="s">
        <v>37</v>
      </c>
      <c r="SW228" s="12" t="s">
        <v>37</v>
      </c>
      <c r="SX228" s="12" t="s">
        <v>37</v>
      </c>
      <c r="SY228" s="12" t="s">
        <v>37</v>
      </c>
      <c r="SZ228" s="12" t="s">
        <v>37</v>
      </c>
      <c r="TA228" s="12"/>
      <c r="TB228" s="12"/>
      <c r="TE228" s="12" t="s">
        <v>37</v>
      </c>
      <c r="TF228" s="12" t="s">
        <v>37</v>
      </c>
      <c r="TG228" s="12" t="s">
        <v>37</v>
      </c>
      <c r="TH228" s="12" t="s">
        <v>37</v>
      </c>
      <c r="TI228" s="12" t="s">
        <v>37</v>
      </c>
      <c r="TJ228" s="12" t="s">
        <v>37</v>
      </c>
      <c r="TK228" s="12"/>
      <c r="TL228" s="12"/>
      <c r="TO228" s="12" t="s">
        <v>37</v>
      </c>
      <c r="TP228" s="12" t="s">
        <v>37</v>
      </c>
      <c r="TQ228" s="12" t="s">
        <v>37</v>
      </c>
      <c r="TR228" s="12" t="s">
        <v>37</v>
      </c>
      <c r="TS228" s="12" t="s">
        <v>37</v>
      </c>
      <c r="TT228" s="12" t="s">
        <v>37</v>
      </c>
      <c r="TU228" s="12"/>
      <c r="TV228" s="12"/>
      <c r="TY228" s="12" t="s">
        <v>37</v>
      </c>
      <c r="TZ228" s="12" t="s">
        <v>37</v>
      </c>
      <c r="UA228" s="12" t="s">
        <v>37</v>
      </c>
      <c r="UB228" s="12" t="s">
        <v>37</v>
      </c>
      <c r="UC228" s="12" t="s">
        <v>37</v>
      </c>
      <c r="UD228" s="12" t="s">
        <v>37</v>
      </c>
      <c r="UE228" s="12"/>
      <c r="UF228" s="12"/>
      <c r="UI228" s="12" t="s">
        <v>37</v>
      </c>
      <c r="UJ228" s="12" t="s">
        <v>37</v>
      </c>
      <c r="UK228" s="12" t="s">
        <v>37</v>
      </c>
      <c r="UL228" s="12" t="s">
        <v>37</v>
      </c>
      <c r="UM228" s="12" t="s">
        <v>37</v>
      </c>
      <c r="UN228" s="12" t="s">
        <v>37</v>
      </c>
      <c r="UO228" s="12"/>
      <c r="UP228" s="12"/>
      <c r="UR228" s="12" t="s">
        <v>37</v>
      </c>
      <c r="US228" s="12" t="s">
        <v>37</v>
      </c>
      <c r="UT228" s="12" t="s">
        <v>37</v>
      </c>
      <c r="UU228" s="12" t="s">
        <v>37</v>
      </c>
      <c r="UV228" s="12" t="s">
        <v>37</v>
      </c>
      <c r="UW228" s="12" t="s">
        <v>37</v>
      </c>
      <c r="UX228" s="12"/>
      <c r="UY228" s="12"/>
      <c r="VB228" s="12" t="s">
        <v>37</v>
      </c>
      <c r="VC228" s="12" t="s">
        <v>37</v>
      </c>
      <c r="VD228" s="12" t="s">
        <v>37</v>
      </c>
      <c r="VE228" s="12" t="s">
        <v>37</v>
      </c>
      <c r="VF228" s="12" t="s">
        <v>37</v>
      </c>
      <c r="VG228" s="12" t="s">
        <v>37</v>
      </c>
      <c r="VI228" s="12" t="s">
        <v>37</v>
      </c>
      <c r="VJ228" s="12" t="s">
        <v>37</v>
      </c>
      <c r="VK228" s="12" t="s">
        <v>37</v>
      </c>
      <c r="VL228" s="12" t="s">
        <v>37</v>
      </c>
      <c r="VM228" s="12" t="s">
        <v>37</v>
      </c>
      <c r="VN228" s="12" t="s">
        <v>37</v>
      </c>
      <c r="VQ228" s="12" t="s">
        <v>37</v>
      </c>
      <c r="VR228" s="12" t="s">
        <v>37</v>
      </c>
      <c r="VS228" s="12" t="s">
        <v>37</v>
      </c>
      <c r="VT228" s="12" t="s">
        <v>37</v>
      </c>
      <c r="VU228" s="12" t="s">
        <v>37</v>
      </c>
      <c r="VV228" s="12" t="s">
        <v>37</v>
      </c>
      <c r="VW228" s="12"/>
      <c r="VX228" s="12"/>
      <c r="WA228" s="12" t="s">
        <v>37</v>
      </c>
      <c r="WB228" s="12" t="s">
        <v>37</v>
      </c>
      <c r="WC228" s="12" t="s">
        <v>37</v>
      </c>
      <c r="WD228" s="12" t="s">
        <v>37</v>
      </c>
      <c r="WE228" s="12" t="s">
        <v>37</v>
      </c>
      <c r="WF228" s="12" t="s">
        <v>37</v>
      </c>
    </row>
    <row r="229" spans="1:604" ht="18" customHeight="1" x14ac:dyDescent="0.3">
      <c r="A229" s="11">
        <v>63</v>
      </c>
      <c r="B229" s="16" t="s">
        <v>374</v>
      </c>
      <c r="C229" s="12" t="s">
        <v>26</v>
      </c>
      <c r="D229" s="12" t="s">
        <v>119</v>
      </c>
      <c r="E229" s="40">
        <v>9.9</v>
      </c>
      <c r="F229" s="14">
        <v>0</v>
      </c>
      <c r="G229" s="14">
        <v>0</v>
      </c>
      <c r="H229" s="12" t="s">
        <v>104</v>
      </c>
      <c r="I229" s="29">
        <v>0.86699999999999999</v>
      </c>
      <c r="J229" s="29">
        <v>102.133</v>
      </c>
      <c r="K229" s="12" t="s">
        <v>771</v>
      </c>
      <c r="L229" s="12" t="s">
        <v>772</v>
      </c>
      <c r="M229" s="13" t="s">
        <v>37</v>
      </c>
      <c r="N229" s="12" t="s">
        <v>37</v>
      </c>
      <c r="O229" s="12" t="s">
        <v>37</v>
      </c>
      <c r="P229" s="14" t="s">
        <v>89</v>
      </c>
      <c r="Q229" s="75" t="s">
        <v>326</v>
      </c>
      <c r="R229" s="11" t="s">
        <v>999</v>
      </c>
      <c r="S229" s="12" t="s">
        <v>105</v>
      </c>
      <c r="T229" s="12" t="s">
        <v>37</v>
      </c>
      <c r="U229" s="12" t="s">
        <v>158</v>
      </c>
      <c r="V229" s="12" t="s">
        <v>275</v>
      </c>
      <c r="W229" s="23" t="s">
        <v>49</v>
      </c>
      <c r="X229" s="12" t="s">
        <v>49</v>
      </c>
      <c r="Y229" s="12" t="s">
        <v>37</v>
      </c>
      <c r="Z229" s="12" t="s">
        <v>37</v>
      </c>
      <c r="AB229" s="12" t="s">
        <v>37</v>
      </c>
      <c r="AE229" s="12" t="s">
        <v>37</v>
      </c>
      <c r="AG229" s="32" t="s">
        <v>37</v>
      </c>
      <c r="AH229" s="12" t="s">
        <v>37</v>
      </c>
      <c r="AK229" s="12" t="s">
        <v>37</v>
      </c>
      <c r="AL229" s="32" t="s">
        <v>37</v>
      </c>
      <c r="AM229" s="12" t="s">
        <v>344</v>
      </c>
      <c r="AO229" s="12" t="s">
        <v>37</v>
      </c>
      <c r="AP229" s="12" t="s">
        <v>37</v>
      </c>
      <c r="AQ229" s="12" t="s">
        <v>975</v>
      </c>
      <c r="AT229" s="12" t="s">
        <v>326</v>
      </c>
      <c r="AU229" s="12" t="s">
        <v>326</v>
      </c>
      <c r="AV229" s="13" t="s">
        <v>326</v>
      </c>
      <c r="AX229" s="12" t="s">
        <v>326</v>
      </c>
      <c r="AY229" s="12" t="s">
        <v>326</v>
      </c>
      <c r="AZ229" s="13" t="s">
        <v>326</v>
      </c>
      <c r="BE229" s="12" t="s">
        <v>326</v>
      </c>
      <c r="BF229" s="12" t="s">
        <v>326</v>
      </c>
      <c r="BG229" s="12" t="s">
        <v>326</v>
      </c>
      <c r="BI229" s="12" t="s">
        <v>326</v>
      </c>
      <c r="BJ229" s="12" t="s">
        <v>326</v>
      </c>
      <c r="BK229" s="12" t="s">
        <v>326</v>
      </c>
      <c r="BP229" s="12" t="s">
        <v>37</v>
      </c>
      <c r="BQ229" s="12" t="s">
        <v>37</v>
      </c>
      <c r="BR229" s="13" t="s">
        <v>37</v>
      </c>
      <c r="BT229" s="12" t="s">
        <v>37</v>
      </c>
      <c r="BU229" s="12" t="s">
        <v>37</v>
      </c>
      <c r="BV229" s="12" t="s">
        <v>37</v>
      </c>
      <c r="CA229" s="12" t="s">
        <v>37</v>
      </c>
      <c r="CB229" s="12" t="s">
        <v>37</v>
      </c>
      <c r="CC229" s="13" t="s">
        <v>37</v>
      </c>
      <c r="CE229" s="12" t="s">
        <v>37</v>
      </c>
      <c r="CF229" s="12" t="s">
        <v>37</v>
      </c>
      <c r="CG229" s="12" t="s">
        <v>37</v>
      </c>
      <c r="CN229" s="12" t="s">
        <v>37</v>
      </c>
      <c r="CO229" s="12" t="s">
        <v>37</v>
      </c>
      <c r="CP229" s="13" t="s">
        <v>37</v>
      </c>
      <c r="CR229" s="12" t="s">
        <v>37</v>
      </c>
      <c r="CS229" s="12" t="s">
        <v>37</v>
      </c>
      <c r="CT229" s="13" t="s">
        <v>37</v>
      </c>
      <c r="CX229" s="72"/>
      <c r="CY229" s="72"/>
      <c r="CZ229" s="12" t="s">
        <v>47</v>
      </c>
      <c r="DA229" s="12">
        <f>-270*10</f>
        <v>-2700</v>
      </c>
      <c r="DB229" s="50">
        <f>ABS(DA229)*DD$474</f>
        <v>8099.0727084527707</v>
      </c>
      <c r="DC229" s="13">
        <v>4</v>
      </c>
      <c r="DE229" s="12">
        <f>8000+DA229</f>
        <v>5300</v>
      </c>
      <c r="DF229" s="50">
        <f>ABS(DE229)*DH$474</f>
        <v>5051.6568097887066</v>
      </c>
      <c r="DG229" s="13">
        <v>4</v>
      </c>
      <c r="DI229" s="19">
        <f t="shared" si="1104"/>
        <v>8000</v>
      </c>
      <c r="DJ229" s="12">
        <f t="shared" si="1105"/>
        <v>6749.6005533916277</v>
      </c>
      <c r="DK229" s="72">
        <f t="shared" si="1106"/>
        <v>22778553.815172281</v>
      </c>
      <c r="DL229" s="72">
        <f t="shared" si="1107"/>
        <v>22778553.815172277</v>
      </c>
      <c r="DM229" s="11" t="s">
        <v>47</v>
      </c>
      <c r="DN229" s="19">
        <f t="shared" si="1122"/>
        <v>23</v>
      </c>
      <c r="DO229" s="50">
        <f>ABS(DN229)*DQ$474</f>
        <v>25.642223650678275</v>
      </c>
      <c r="DP229" s="13">
        <v>4</v>
      </c>
      <c r="DR229" s="19">
        <f>0.22*10^4/10^3</f>
        <v>2.2000000000000002</v>
      </c>
      <c r="DS229" s="50">
        <f>ABS(DR229)*DU$474</f>
        <v>8.2218758481882226</v>
      </c>
      <c r="DT229" s="13">
        <v>4</v>
      </c>
      <c r="DV229" s="19">
        <f t="shared" si="1114"/>
        <v>-20.8</v>
      </c>
      <c r="DW229" s="12">
        <f t="shared" si="1115"/>
        <v>19.041046140042109</v>
      </c>
      <c r="DX229" s="72">
        <f t="shared" si="1124"/>
        <v>181.28071905360628</v>
      </c>
      <c r="DY229" s="72">
        <f t="shared" si="1125"/>
        <v>181.28071905360628</v>
      </c>
      <c r="EA229" s="19" t="s">
        <v>37</v>
      </c>
      <c r="EB229" s="19" t="s">
        <v>37</v>
      </c>
      <c r="EC229" s="72" t="s">
        <v>37</v>
      </c>
      <c r="EE229" s="19" t="s">
        <v>37</v>
      </c>
      <c r="EF229" s="19" t="s">
        <v>37</v>
      </c>
      <c r="EG229" s="12" t="s">
        <v>37</v>
      </c>
      <c r="EM229" s="12" t="s">
        <v>39</v>
      </c>
      <c r="EN229" s="12">
        <v>-9.6199999999999992</v>
      </c>
      <c r="EO229" s="50">
        <f t="shared" si="1108"/>
        <v>3.9201153559874418</v>
      </c>
      <c r="EP229" s="13">
        <v>4</v>
      </c>
      <c r="ER229" s="12">
        <v>-80</v>
      </c>
      <c r="ES229" s="50">
        <f t="shared" si="1116"/>
        <v>18.145124280735534</v>
      </c>
      <c r="ET229" s="13">
        <v>4</v>
      </c>
      <c r="EV229" s="19">
        <f t="shared" si="1117"/>
        <v>-70.38</v>
      </c>
      <c r="EW229" s="12">
        <f t="shared" si="1118"/>
        <v>13.126553995005443</v>
      </c>
      <c r="EX229" s="19">
        <f t="shared" si="1119"/>
        <v>86.15320989189668</v>
      </c>
      <c r="EY229" s="19">
        <f t="shared" si="1120"/>
        <v>86.153209891896694</v>
      </c>
      <c r="FB229" s="12" t="s">
        <v>37</v>
      </c>
      <c r="FC229" s="12" t="s">
        <v>37</v>
      </c>
      <c r="FD229" s="12" t="s">
        <v>37</v>
      </c>
      <c r="FE229" s="12" t="s">
        <v>37</v>
      </c>
      <c r="FF229" s="20" t="s">
        <v>37</v>
      </c>
      <c r="FG229" s="12" t="s">
        <v>37</v>
      </c>
      <c r="FI229" s="12" t="s">
        <v>37</v>
      </c>
      <c r="FJ229" s="12" t="s">
        <v>37</v>
      </c>
      <c r="FK229" s="12" t="s">
        <v>37</v>
      </c>
      <c r="FL229" s="12" t="s">
        <v>37</v>
      </c>
      <c r="FM229" s="12" t="s">
        <v>37</v>
      </c>
      <c r="FN229" s="12" t="s">
        <v>37</v>
      </c>
      <c r="FP229" s="12" t="s">
        <v>37</v>
      </c>
      <c r="FQ229" s="12" t="s">
        <v>37</v>
      </c>
      <c r="FR229" s="12" t="s">
        <v>37</v>
      </c>
      <c r="FS229" s="12" t="s">
        <v>37</v>
      </c>
      <c r="FT229" s="12" t="s">
        <v>37</v>
      </c>
      <c r="FU229" s="12" t="s">
        <v>37</v>
      </c>
      <c r="FW229" s="12" t="s">
        <v>37</v>
      </c>
      <c r="FX229" s="12" t="s">
        <v>37</v>
      </c>
      <c r="FY229" s="12" t="s">
        <v>37</v>
      </c>
      <c r="FZ229" s="12" t="s">
        <v>37</v>
      </c>
      <c r="GA229" s="12" t="s">
        <v>37</v>
      </c>
      <c r="GB229" s="12" t="s">
        <v>37</v>
      </c>
      <c r="IK229" s="12" t="s">
        <v>37</v>
      </c>
      <c r="IL229" s="12" t="s">
        <v>37</v>
      </c>
      <c r="IM229" s="12" t="s">
        <v>37</v>
      </c>
      <c r="IO229" s="12" t="s">
        <v>37</v>
      </c>
      <c r="IP229" s="12" t="s">
        <v>37</v>
      </c>
      <c r="IQ229" s="12" t="s">
        <v>37</v>
      </c>
      <c r="IW229" s="12" t="s">
        <v>37</v>
      </c>
      <c r="IX229" s="12" t="s">
        <v>37</v>
      </c>
      <c r="IY229" s="13" t="s">
        <v>37</v>
      </c>
      <c r="JA229" s="12" t="s">
        <v>37</v>
      </c>
      <c r="JB229" s="12" t="s">
        <v>37</v>
      </c>
      <c r="JC229" s="13" t="s">
        <v>37</v>
      </c>
      <c r="JH229" s="12" t="s">
        <v>37</v>
      </c>
      <c r="JI229" s="12" t="s">
        <v>37</v>
      </c>
      <c r="JJ229" s="13" t="s">
        <v>37</v>
      </c>
      <c r="JL229" s="12" t="s">
        <v>37</v>
      </c>
      <c r="JM229" s="12" t="s">
        <v>37</v>
      </c>
      <c r="JN229" s="12" t="s">
        <v>37</v>
      </c>
      <c r="JS229" s="12" t="s">
        <v>37</v>
      </c>
      <c r="JT229" s="12" t="s">
        <v>37</v>
      </c>
      <c r="JU229" s="13" t="s">
        <v>37</v>
      </c>
      <c r="JW229" s="12" t="s">
        <v>37</v>
      </c>
      <c r="JX229" s="12" t="s">
        <v>37</v>
      </c>
      <c r="JY229" s="12" t="s">
        <v>37</v>
      </c>
      <c r="KE229" s="12" t="s">
        <v>37</v>
      </c>
      <c r="KF229" s="12" t="s">
        <v>37</v>
      </c>
      <c r="KG229" s="13" t="s">
        <v>37</v>
      </c>
      <c r="KH229" s="12" t="s">
        <v>37</v>
      </c>
      <c r="KI229" s="12" t="s">
        <v>37</v>
      </c>
      <c r="KJ229" s="12" t="s">
        <v>37</v>
      </c>
      <c r="KL229" s="32" t="s">
        <v>37</v>
      </c>
      <c r="KM229" s="12" t="s">
        <v>37</v>
      </c>
      <c r="KN229" s="12" t="s">
        <v>37</v>
      </c>
      <c r="KO229" s="11" t="s">
        <v>37</v>
      </c>
      <c r="KQ229" s="12" t="s">
        <v>37</v>
      </c>
      <c r="KR229" s="12" t="s">
        <v>37</v>
      </c>
      <c r="KS229" s="12" t="s">
        <v>37</v>
      </c>
      <c r="KX229" s="12" t="s">
        <v>37</v>
      </c>
      <c r="KY229" s="12" t="s">
        <v>37</v>
      </c>
      <c r="KZ229" s="12" t="s">
        <v>37</v>
      </c>
      <c r="LB229" s="12" t="s">
        <v>37</v>
      </c>
      <c r="LC229" s="12" t="s">
        <v>37</v>
      </c>
      <c r="LD229" s="12" t="s">
        <v>37</v>
      </c>
      <c r="LI229" s="12" t="s">
        <v>37</v>
      </c>
      <c r="LJ229" s="12" t="s">
        <v>37</v>
      </c>
      <c r="LK229" s="12" t="s">
        <v>37</v>
      </c>
      <c r="LM229" s="12" t="s">
        <v>37</v>
      </c>
      <c r="LN229" s="12" t="s">
        <v>37</v>
      </c>
      <c r="LO229" s="12" t="s">
        <v>37</v>
      </c>
      <c r="LU229" s="12" t="s">
        <v>37</v>
      </c>
      <c r="LV229" s="12" t="s">
        <v>37</v>
      </c>
      <c r="LW229" s="12" t="s">
        <v>37</v>
      </c>
      <c r="LY229" s="12" t="s">
        <v>37</v>
      </c>
      <c r="LZ229" s="12" t="s">
        <v>37</v>
      </c>
      <c r="MA229" s="12" t="s">
        <v>37</v>
      </c>
      <c r="MF229" s="12" t="s">
        <v>37</v>
      </c>
      <c r="MG229" s="12" t="s">
        <v>37</v>
      </c>
      <c r="MH229" s="12" t="s">
        <v>37</v>
      </c>
      <c r="MJ229" s="12" t="s">
        <v>37</v>
      </c>
      <c r="MK229" s="12" t="s">
        <v>37</v>
      </c>
      <c r="ML229" s="12" t="s">
        <v>37</v>
      </c>
      <c r="MQ229" s="12" t="s">
        <v>37</v>
      </c>
      <c r="MR229" s="12" t="s">
        <v>37</v>
      </c>
      <c r="MS229" s="12" t="s">
        <v>37</v>
      </c>
      <c r="MU229" s="12" t="s">
        <v>37</v>
      </c>
      <c r="MV229" s="12" t="s">
        <v>37</v>
      </c>
      <c r="MW229" s="12" t="s">
        <v>37</v>
      </c>
      <c r="NC229" s="12" t="s">
        <v>37</v>
      </c>
      <c r="ND229" s="12" t="s">
        <v>37</v>
      </c>
      <c r="NE229" s="12" t="s">
        <v>37</v>
      </c>
      <c r="NG229" s="12" t="s">
        <v>37</v>
      </c>
      <c r="NH229" s="12" t="s">
        <v>37</v>
      </c>
      <c r="NI229" s="12" t="s">
        <v>37</v>
      </c>
      <c r="NO229" s="12" t="s">
        <v>37</v>
      </c>
      <c r="NP229" s="12" t="s">
        <v>37</v>
      </c>
      <c r="NQ229" s="12" t="s">
        <v>37</v>
      </c>
      <c r="NS229" s="12" t="s">
        <v>37</v>
      </c>
      <c r="NT229" s="12" t="s">
        <v>37</v>
      </c>
      <c r="NU229" s="12" t="s">
        <v>37</v>
      </c>
      <c r="OA229" s="12" t="s">
        <v>37</v>
      </c>
      <c r="OB229" s="12" t="s">
        <v>37</v>
      </c>
      <c r="OC229" s="12" t="s">
        <v>37</v>
      </c>
      <c r="OD229" s="12"/>
      <c r="OE229" s="12" t="s">
        <v>37</v>
      </c>
      <c r="OF229" s="12" t="s">
        <v>37</v>
      </c>
      <c r="OG229" s="12" t="s">
        <v>37</v>
      </c>
      <c r="OH229" s="12"/>
      <c r="OI229" s="12"/>
      <c r="OJ229" s="12"/>
      <c r="OM229" s="12" t="s">
        <v>37</v>
      </c>
      <c r="ON229" s="12" t="s">
        <v>37</v>
      </c>
      <c r="OO229" s="12" t="s">
        <v>37</v>
      </c>
      <c r="OP229" s="12" t="s">
        <v>37</v>
      </c>
      <c r="OQ229" s="12" t="s">
        <v>37</v>
      </c>
      <c r="OR229" s="12" t="s">
        <v>37</v>
      </c>
      <c r="OS229" s="12"/>
      <c r="OT229" s="12"/>
      <c r="OW229" s="12" t="s">
        <v>37</v>
      </c>
      <c r="OX229" s="12" t="s">
        <v>37</v>
      </c>
      <c r="OY229" s="13" t="s">
        <v>37</v>
      </c>
      <c r="OZ229" s="12" t="s">
        <v>37</v>
      </c>
      <c r="PA229" s="12" t="s">
        <v>37</v>
      </c>
      <c r="PB229" s="13" t="s">
        <v>37</v>
      </c>
      <c r="PG229" s="12" t="s">
        <v>37</v>
      </c>
      <c r="PH229" s="12" t="s">
        <v>37</v>
      </c>
      <c r="PI229" s="12" t="s">
        <v>37</v>
      </c>
      <c r="PJ229" s="12" t="s">
        <v>37</v>
      </c>
      <c r="PK229" s="12" t="s">
        <v>37</v>
      </c>
      <c r="PL229" s="12" t="s">
        <v>37</v>
      </c>
      <c r="PM229" s="12"/>
      <c r="PN229" s="12"/>
      <c r="PQ229" s="12" t="s">
        <v>37</v>
      </c>
      <c r="PR229" s="12" t="s">
        <v>37</v>
      </c>
      <c r="PS229" s="12" t="s">
        <v>37</v>
      </c>
      <c r="PT229" s="12" t="s">
        <v>37</v>
      </c>
      <c r="PU229" s="12" t="s">
        <v>37</v>
      </c>
      <c r="PV229" s="12" t="s">
        <v>37</v>
      </c>
      <c r="PW229" s="12"/>
      <c r="PX229" s="12"/>
      <c r="PZ229" s="12" t="s">
        <v>37</v>
      </c>
      <c r="QA229" s="12" t="s">
        <v>37</v>
      </c>
      <c r="QB229" s="12" t="s">
        <v>37</v>
      </c>
      <c r="QD229" s="12" t="s">
        <v>37</v>
      </c>
      <c r="QE229" s="12" t="s">
        <v>37</v>
      </c>
      <c r="QF229" s="12" t="s">
        <v>37</v>
      </c>
      <c r="QK229" s="12" t="s">
        <v>37</v>
      </c>
      <c r="QL229" s="12" t="s">
        <v>37</v>
      </c>
      <c r="QM229" s="12" t="s">
        <v>37</v>
      </c>
      <c r="QN229" s="12" t="s">
        <v>37</v>
      </c>
      <c r="QO229" s="12" t="s">
        <v>37</v>
      </c>
      <c r="QP229" s="12" t="s">
        <v>37</v>
      </c>
      <c r="QQ229" s="12"/>
      <c r="QR229" s="12"/>
      <c r="QU229" s="12" t="s">
        <v>37</v>
      </c>
      <c r="QV229" s="12" t="s">
        <v>37</v>
      </c>
      <c r="QW229" s="12" t="s">
        <v>37</v>
      </c>
      <c r="QX229" s="12" t="s">
        <v>37</v>
      </c>
      <c r="QY229" s="12" t="s">
        <v>37</v>
      </c>
      <c r="QZ229" s="12" t="s">
        <v>37</v>
      </c>
      <c r="RC229" s="12" t="s">
        <v>37</v>
      </c>
      <c r="RD229" s="12" t="s">
        <v>37</v>
      </c>
      <c r="RE229" s="13" t="s">
        <v>37</v>
      </c>
      <c r="RF229" s="12" t="s">
        <v>37</v>
      </c>
      <c r="RG229" s="12" t="s">
        <v>37</v>
      </c>
      <c r="RH229" s="13" t="s">
        <v>37</v>
      </c>
      <c r="RK229" s="12" t="s">
        <v>37</v>
      </c>
      <c r="RL229" s="12" t="s">
        <v>37</v>
      </c>
      <c r="RM229" s="11" t="s">
        <v>37</v>
      </c>
      <c r="RN229" s="12" t="s">
        <v>37</v>
      </c>
      <c r="RO229" s="12" t="s">
        <v>37</v>
      </c>
      <c r="RP229" s="11" t="s">
        <v>37</v>
      </c>
      <c r="RS229" s="12" t="s">
        <v>37</v>
      </c>
      <c r="RT229" s="12" t="s">
        <v>37</v>
      </c>
      <c r="RU229" s="12" t="s">
        <v>37</v>
      </c>
      <c r="RV229" s="12" t="s">
        <v>37</v>
      </c>
      <c r="RW229" s="12" t="s">
        <v>37</v>
      </c>
      <c r="RX229" s="12" t="s">
        <v>37</v>
      </c>
      <c r="SA229" s="12" t="s">
        <v>37</v>
      </c>
      <c r="SB229" s="12" t="s">
        <v>37</v>
      </c>
      <c r="SC229" s="12" t="s">
        <v>37</v>
      </c>
      <c r="SD229" s="12" t="s">
        <v>37</v>
      </c>
      <c r="SE229" s="12" t="s">
        <v>37</v>
      </c>
      <c r="SF229" s="12" t="s">
        <v>37</v>
      </c>
      <c r="SI229" s="12" t="s">
        <v>37</v>
      </c>
      <c r="SJ229" s="12" t="s">
        <v>37</v>
      </c>
      <c r="SK229" s="13" t="s">
        <v>37</v>
      </c>
      <c r="SM229" s="12" t="s">
        <v>37</v>
      </c>
      <c r="SN229" s="12" t="s">
        <v>37</v>
      </c>
      <c r="SO229" s="13" t="s">
        <v>37</v>
      </c>
      <c r="SU229" s="12" t="s">
        <v>37</v>
      </c>
      <c r="SV229" s="12" t="s">
        <v>37</v>
      </c>
      <c r="SW229" s="12" t="s">
        <v>37</v>
      </c>
      <c r="SX229" s="12" t="s">
        <v>37</v>
      </c>
      <c r="SY229" s="12" t="s">
        <v>37</v>
      </c>
      <c r="SZ229" s="12" t="s">
        <v>37</v>
      </c>
      <c r="TA229" s="12"/>
      <c r="TB229" s="12"/>
      <c r="TE229" s="12" t="s">
        <v>37</v>
      </c>
      <c r="TF229" s="12" t="s">
        <v>37</v>
      </c>
      <c r="TG229" s="12" t="s">
        <v>37</v>
      </c>
      <c r="TH229" s="12" t="s">
        <v>37</v>
      </c>
      <c r="TI229" s="12" t="s">
        <v>37</v>
      </c>
      <c r="TJ229" s="12" t="s">
        <v>37</v>
      </c>
      <c r="TK229" s="12"/>
      <c r="TL229" s="12"/>
      <c r="TO229" s="12" t="s">
        <v>37</v>
      </c>
      <c r="TP229" s="12" t="s">
        <v>37</v>
      </c>
      <c r="TQ229" s="12" t="s">
        <v>37</v>
      </c>
      <c r="TR229" s="12" t="s">
        <v>37</v>
      </c>
      <c r="TS229" s="12" t="s">
        <v>37</v>
      </c>
      <c r="TT229" s="12" t="s">
        <v>37</v>
      </c>
      <c r="TU229" s="12"/>
      <c r="TV229" s="12"/>
      <c r="TY229" s="12" t="s">
        <v>37</v>
      </c>
      <c r="TZ229" s="12" t="s">
        <v>37</v>
      </c>
      <c r="UA229" s="12" t="s">
        <v>37</v>
      </c>
      <c r="UB229" s="12" t="s">
        <v>37</v>
      </c>
      <c r="UC229" s="12" t="s">
        <v>37</v>
      </c>
      <c r="UD229" s="12" t="s">
        <v>37</v>
      </c>
      <c r="UE229" s="12"/>
      <c r="UF229" s="12"/>
      <c r="UI229" s="12" t="s">
        <v>37</v>
      </c>
      <c r="UJ229" s="12" t="s">
        <v>37</v>
      </c>
      <c r="UK229" s="12" t="s">
        <v>37</v>
      </c>
      <c r="UL229" s="12" t="s">
        <v>37</v>
      </c>
      <c r="UM229" s="12" t="s">
        <v>37</v>
      </c>
      <c r="UN229" s="12" t="s">
        <v>37</v>
      </c>
      <c r="UO229" s="12"/>
      <c r="UP229" s="12"/>
      <c r="UR229" s="12" t="s">
        <v>37</v>
      </c>
      <c r="US229" s="12" t="s">
        <v>37</v>
      </c>
      <c r="UT229" s="12" t="s">
        <v>37</v>
      </c>
      <c r="UU229" s="12" t="s">
        <v>37</v>
      </c>
      <c r="UV229" s="12" t="s">
        <v>37</v>
      </c>
      <c r="UW229" s="12" t="s">
        <v>37</v>
      </c>
      <c r="UX229" s="12"/>
      <c r="UY229" s="12"/>
      <c r="VB229" s="12" t="s">
        <v>37</v>
      </c>
      <c r="VC229" s="12" t="s">
        <v>37</v>
      </c>
      <c r="VD229" s="12" t="s">
        <v>37</v>
      </c>
      <c r="VE229" s="12" t="s">
        <v>37</v>
      </c>
      <c r="VF229" s="12" t="s">
        <v>37</v>
      </c>
      <c r="VG229" s="12" t="s">
        <v>37</v>
      </c>
      <c r="VI229" s="12" t="s">
        <v>37</v>
      </c>
      <c r="VJ229" s="12" t="s">
        <v>37</v>
      </c>
      <c r="VK229" s="12" t="s">
        <v>37</v>
      </c>
      <c r="VL229" s="12" t="s">
        <v>37</v>
      </c>
      <c r="VM229" s="12" t="s">
        <v>37</v>
      </c>
      <c r="VN229" s="12" t="s">
        <v>37</v>
      </c>
      <c r="VQ229" s="12" t="s">
        <v>37</v>
      </c>
      <c r="VR229" s="12" t="s">
        <v>37</v>
      </c>
      <c r="VS229" s="12" t="s">
        <v>37</v>
      </c>
      <c r="VT229" s="12" t="s">
        <v>37</v>
      </c>
      <c r="VU229" s="12" t="s">
        <v>37</v>
      </c>
      <c r="VV229" s="12" t="s">
        <v>37</v>
      </c>
      <c r="VW229" s="12"/>
      <c r="VX229" s="12"/>
      <c r="WA229" s="12" t="s">
        <v>37</v>
      </c>
      <c r="WB229" s="12" t="s">
        <v>37</v>
      </c>
      <c r="WC229" s="12" t="s">
        <v>37</v>
      </c>
      <c r="WD229" s="12" t="s">
        <v>37</v>
      </c>
      <c r="WE229" s="12" t="s">
        <v>37</v>
      </c>
      <c r="WF229" s="12" t="s">
        <v>37</v>
      </c>
    </row>
    <row r="230" spans="1:604" ht="18" customHeight="1" x14ac:dyDescent="0.3">
      <c r="A230" s="11">
        <v>63</v>
      </c>
      <c r="B230" s="16" t="s">
        <v>374</v>
      </c>
      <c r="C230" s="12" t="s">
        <v>26</v>
      </c>
      <c r="D230" s="12" t="s">
        <v>119</v>
      </c>
      <c r="E230" s="40">
        <v>3</v>
      </c>
      <c r="F230" s="14">
        <v>0</v>
      </c>
      <c r="G230" s="14">
        <v>0</v>
      </c>
      <c r="H230" s="12" t="s">
        <v>104</v>
      </c>
      <c r="I230" s="29">
        <v>-1.95</v>
      </c>
      <c r="J230" s="29">
        <v>103.917</v>
      </c>
      <c r="K230" s="12" t="s">
        <v>773</v>
      </c>
      <c r="L230" s="12" t="s">
        <v>774</v>
      </c>
      <c r="M230" s="13" t="s">
        <v>37</v>
      </c>
      <c r="N230" s="12" t="s">
        <v>37</v>
      </c>
      <c r="O230" s="12" t="s">
        <v>37</v>
      </c>
      <c r="P230" s="14" t="s">
        <v>89</v>
      </c>
      <c r="Q230" s="75" t="s">
        <v>326</v>
      </c>
      <c r="R230" s="11" t="s">
        <v>999</v>
      </c>
      <c r="S230" s="12" t="s">
        <v>105</v>
      </c>
      <c r="T230" s="12" t="s">
        <v>37</v>
      </c>
      <c r="U230" s="12" t="s">
        <v>158</v>
      </c>
      <c r="V230" s="12" t="s">
        <v>275</v>
      </c>
      <c r="W230" s="23" t="s">
        <v>49</v>
      </c>
      <c r="X230" s="12" t="s">
        <v>49</v>
      </c>
      <c r="Y230" s="12" t="s">
        <v>37</v>
      </c>
      <c r="Z230" s="12" t="s">
        <v>37</v>
      </c>
      <c r="AB230" s="12" t="s">
        <v>37</v>
      </c>
      <c r="AE230" s="12" t="s">
        <v>37</v>
      </c>
      <c r="AG230" s="32" t="s">
        <v>37</v>
      </c>
      <c r="AH230" s="12" t="s">
        <v>37</v>
      </c>
      <c r="AK230" s="12" t="s">
        <v>37</v>
      </c>
      <c r="AL230" s="32" t="s">
        <v>37</v>
      </c>
      <c r="AM230" s="12" t="s">
        <v>344</v>
      </c>
      <c r="AO230" s="12" t="s">
        <v>37</v>
      </c>
      <c r="AP230" s="12" t="s">
        <v>37</v>
      </c>
      <c r="AQ230" s="12" t="s">
        <v>975</v>
      </c>
      <c r="AT230" s="12" t="s">
        <v>326</v>
      </c>
      <c r="AU230" s="12" t="s">
        <v>326</v>
      </c>
      <c r="AV230" s="13" t="s">
        <v>326</v>
      </c>
      <c r="AX230" s="12" t="s">
        <v>326</v>
      </c>
      <c r="AY230" s="12" t="s">
        <v>326</v>
      </c>
      <c r="AZ230" s="13" t="s">
        <v>326</v>
      </c>
      <c r="BE230" s="12" t="s">
        <v>326</v>
      </c>
      <c r="BF230" s="12" t="s">
        <v>326</v>
      </c>
      <c r="BG230" s="12" t="s">
        <v>326</v>
      </c>
      <c r="BI230" s="12" t="s">
        <v>326</v>
      </c>
      <c r="BJ230" s="12" t="s">
        <v>326</v>
      </c>
      <c r="BK230" s="12" t="s">
        <v>326</v>
      </c>
      <c r="BP230" s="12" t="s">
        <v>37</v>
      </c>
      <c r="BQ230" s="12" t="s">
        <v>37</v>
      </c>
      <c r="BR230" s="13" t="s">
        <v>37</v>
      </c>
      <c r="BT230" s="12" t="s">
        <v>37</v>
      </c>
      <c r="BU230" s="12" t="s">
        <v>37</v>
      </c>
      <c r="BV230" s="12" t="s">
        <v>37</v>
      </c>
      <c r="CA230" s="12" t="s">
        <v>37</v>
      </c>
      <c r="CB230" s="12" t="s">
        <v>37</v>
      </c>
      <c r="CC230" s="13" t="s">
        <v>37</v>
      </c>
      <c r="CE230" s="12" t="s">
        <v>37</v>
      </c>
      <c r="CF230" s="12" t="s">
        <v>37</v>
      </c>
      <c r="CG230" s="12" t="s">
        <v>37</v>
      </c>
      <c r="CN230" s="12" t="s">
        <v>37</v>
      </c>
      <c r="CO230" s="12" t="s">
        <v>37</v>
      </c>
      <c r="CP230" s="13" t="s">
        <v>37</v>
      </c>
      <c r="CR230" s="12" t="s">
        <v>37</v>
      </c>
      <c r="CS230" s="12" t="s">
        <v>37</v>
      </c>
      <c r="CT230" s="13" t="s">
        <v>37</v>
      </c>
      <c r="CX230" s="72"/>
      <c r="CY230" s="72"/>
      <c r="CZ230" s="12" t="s">
        <v>47</v>
      </c>
      <c r="DA230" s="12">
        <f>-285*10</f>
        <v>-2850</v>
      </c>
      <c r="DB230" s="50">
        <f>ABS(DA230)*DD$474</f>
        <v>8549.0211922557028</v>
      </c>
      <c r="DC230" s="13">
        <v>4</v>
      </c>
      <c r="DE230" s="12">
        <f>8000+DA230</f>
        <v>5150</v>
      </c>
      <c r="DF230" s="50">
        <f>ABS(DE230)*DH$474</f>
        <v>4908.6853906437427</v>
      </c>
      <c r="DG230" s="13">
        <v>4</v>
      </c>
      <c r="DI230" s="19">
        <f t="shared" si="1104"/>
        <v>8000</v>
      </c>
      <c r="DJ230" s="12">
        <f t="shared" si="1105"/>
        <v>6970.6870396667655</v>
      </c>
      <c r="DK230" s="72">
        <f t="shared" si="1106"/>
        <v>24295238.902489107</v>
      </c>
      <c r="DL230" s="72">
        <f t="shared" si="1107"/>
        <v>24295238.902489107</v>
      </c>
      <c r="DM230" s="11" t="s">
        <v>47</v>
      </c>
      <c r="DN230" s="19">
        <f t="shared" si="1122"/>
        <v>23</v>
      </c>
      <c r="DO230" s="50">
        <f>ABS(DN230)*DQ$474</f>
        <v>25.642223650678275</v>
      </c>
      <c r="DP230" s="13">
        <v>4</v>
      </c>
      <c r="DR230" s="19">
        <f>0.22*10^4/10^3</f>
        <v>2.2000000000000002</v>
      </c>
      <c r="DS230" s="50">
        <f>ABS(DR230)*DU$474</f>
        <v>8.2218758481882226</v>
      </c>
      <c r="DT230" s="13">
        <v>4</v>
      </c>
      <c r="DV230" s="19">
        <f t="shared" si="1114"/>
        <v>-20.8</v>
      </c>
      <c r="DW230" s="12">
        <f t="shared" si="1115"/>
        <v>19.041046140042109</v>
      </c>
      <c r="DX230" s="72">
        <f t="shared" si="1124"/>
        <v>181.28071905360628</v>
      </c>
      <c r="DY230" s="72">
        <f t="shared" si="1125"/>
        <v>181.28071905360628</v>
      </c>
      <c r="EA230" s="19" t="s">
        <v>37</v>
      </c>
      <c r="EB230" s="19" t="s">
        <v>37</v>
      </c>
      <c r="EC230" s="72" t="s">
        <v>37</v>
      </c>
      <c r="EE230" s="19" t="s">
        <v>37</v>
      </c>
      <c r="EF230" s="19" t="s">
        <v>37</v>
      </c>
      <c r="EG230" s="12" t="s">
        <v>37</v>
      </c>
      <c r="EM230" s="12" t="s">
        <v>39</v>
      </c>
      <c r="EN230" s="12">
        <v>-5.36</v>
      </c>
      <c r="EO230" s="50">
        <f t="shared" si="1108"/>
        <v>2.1841806973069327</v>
      </c>
      <c r="EP230" s="13">
        <v>4</v>
      </c>
      <c r="ER230" s="12">
        <v>-80</v>
      </c>
      <c r="ES230" s="50">
        <f t="shared" si="1116"/>
        <v>18.145124280735534</v>
      </c>
      <c r="ET230" s="13">
        <v>4</v>
      </c>
      <c r="EV230" s="19">
        <f t="shared" si="1117"/>
        <v>-74.64</v>
      </c>
      <c r="EW230" s="12">
        <f t="shared" si="1118"/>
        <v>12.92316100034791</v>
      </c>
      <c r="EX230" s="19">
        <f t="shared" si="1119"/>
        <v>83.50404512045661</v>
      </c>
      <c r="EY230" s="19">
        <f t="shared" si="1120"/>
        <v>83.50404512045661</v>
      </c>
      <c r="FB230" s="12" t="s">
        <v>37</v>
      </c>
      <c r="FC230" s="12" t="s">
        <v>37</v>
      </c>
      <c r="FD230" s="12" t="s">
        <v>37</v>
      </c>
      <c r="FE230" s="12" t="s">
        <v>37</v>
      </c>
      <c r="FF230" s="20" t="s">
        <v>37</v>
      </c>
      <c r="FG230" s="12" t="s">
        <v>37</v>
      </c>
      <c r="FI230" s="12" t="s">
        <v>37</v>
      </c>
      <c r="FJ230" s="12" t="s">
        <v>37</v>
      </c>
      <c r="FK230" s="12" t="s">
        <v>37</v>
      </c>
      <c r="FL230" s="12" t="s">
        <v>37</v>
      </c>
      <c r="FM230" s="12" t="s">
        <v>37</v>
      </c>
      <c r="FN230" s="12" t="s">
        <v>37</v>
      </c>
      <c r="FP230" s="12" t="s">
        <v>37</v>
      </c>
      <c r="FQ230" s="12" t="s">
        <v>37</v>
      </c>
      <c r="FR230" s="12" t="s">
        <v>37</v>
      </c>
      <c r="FS230" s="12" t="s">
        <v>37</v>
      </c>
      <c r="FT230" s="12" t="s">
        <v>37</v>
      </c>
      <c r="FU230" s="12" t="s">
        <v>37</v>
      </c>
      <c r="FW230" s="12" t="s">
        <v>37</v>
      </c>
      <c r="FX230" s="12" t="s">
        <v>37</v>
      </c>
      <c r="FY230" s="12" t="s">
        <v>37</v>
      </c>
      <c r="FZ230" s="12" t="s">
        <v>37</v>
      </c>
      <c r="GA230" s="12" t="s">
        <v>37</v>
      </c>
      <c r="GB230" s="12" t="s">
        <v>37</v>
      </c>
      <c r="IK230" s="12" t="s">
        <v>37</v>
      </c>
      <c r="IL230" s="12" t="s">
        <v>37</v>
      </c>
      <c r="IM230" s="12" t="s">
        <v>37</v>
      </c>
      <c r="IO230" s="12" t="s">
        <v>37</v>
      </c>
      <c r="IP230" s="12" t="s">
        <v>37</v>
      </c>
      <c r="IQ230" s="12" t="s">
        <v>37</v>
      </c>
      <c r="IW230" s="12" t="s">
        <v>37</v>
      </c>
      <c r="IX230" s="12" t="s">
        <v>37</v>
      </c>
      <c r="IY230" s="13" t="s">
        <v>37</v>
      </c>
      <c r="JA230" s="12" t="s">
        <v>37</v>
      </c>
      <c r="JB230" s="12" t="s">
        <v>37</v>
      </c>
      <c r="JC230" s="13" t="s">
        <v>37</v>
      </c>
      <c r="JH230" s="12" t="s">
        <v>37</v>
      </c>
      <c r="JI230" s="12" t="s">
        <v>37</v>
      </c>
      <c r="JJ230" s="13" t="s">
        <v>37</v>
      </c>
      <c r="JL230" s="12" t="s">
        <v>37</v>
      </c>
      <c r="JM230" s="12" t="s">
        <v>37</v>
      </c>
      <c r="JN230" s="12" t="s">
        <v>37</v>
      </c>
      <c r="JS230" s="12" t="s">
        <v>37</v>
      </c>
      <c r="JT230" s="12" t="s">
        <v>37</v>
      </c>
      <c r="JU230" s="13" t="s">
        <v>37</v>
      </c>
      <c r="JW230" s="12" t="s">
        <v>37</v>
      </c>
      <c r="JX230" s="12" t="s">
        <v>37</v>
      </c>
      <c r="JY230" s="12" t="s">
        <v>37</v>
      </c>
      <c r="KE230" s="12" t="s">
        <v>37</v>
      </c>
      <c r="KF230" s="12" t="s">
        <v>37</v>
      </c>
      <c r="KG230" s="13" t="s">
        <v>37</v>
      </c>
      <c r="KH230" s="12" t="s">
        <v>37</v>
      </c>
      <c r="KI230" s="12" t="s">
        <v>37</v>
      </c>
      <c r="KJ230" s="12" t="s">
        <v>37</v>
      </c>
      <c r="KL230" s="32" t="s">
        <v>37</v>
      </c>
      <c r="KM230" s="12" t="s">
        <v>37</v>
      </c>
      <c r="KN230" s="12" t="s">
        <v>37</v>
      </c>
      <c r="KO230" s="11" t="s">
        <v>37</v>
      </c>
      <c r="KQ230" s="12" t="s">
        <v>37</v>
      </c>
      <c r="KR230" s="12" t="s">
        <v>37</v>
      </c>
      <c r="KS230" s="12" t="s">
        <v>37</v>
      </c>
      <c r="KX230" s="12" t="s">
        <v>37</v>
      </c>
      <c r="KY230" s="12" t="s">
        <v>37</v>
      </c>
      <c r="KZ230" s="12" t="s">
        <v>37</v>
      </c>
      <c r="LB230" s="12" t="s">
        <v>37</v>
      </c>
      <c r="LC230" s="12" t="s">
        <v>37</v>
      </c>
      <c r="LD230" s="12" t="s">
        <v>37</v>
      </c>
      <c r="LI230" s="12" t="s">
        <v>37</v>
      </c>
      <c r="LJ230" s="12" t="s">
        <v>37</v>
      </c>
      <c r="LK230" s="12" t="s">
        <v>37</v>
      </c>
      <c r="LM230" s="12" t="s">
        <v>37</v>
      </c>
      <c r="LN230" s="12" t="s">
        <v>37</v>
      </c>
      <c r="LO230" s="12" t="s">
        <v>37</v>
      </c>
      <c r="LU230" s="12" t="s">
        <v>37</v>
      </c>
      <c r="LV230" s="12" t="s">
        <v>37</v>
      </c>
      <c r="LW230" s="12" t="s">
        <v>37</v>
      </c>
      <c r="LY230" s="12" t="s">
        <v>37</v>
      </c>
      <c r="LZ230" s="12" t="s">
        <v>37</v>
      </c>
      <c r="MA230" s="12" t="s">
        <v>37</v>
      </c>
      <c r="MF230" s="12" t="s">
        <v>37</v>
      </c>
      <c r="MG230" s="12" t="s">
        <v>37</v>
      </c>
      <c r="MH230" s="12" t="s">
        <v>37</v>
      </c>
      <c r="MJ230" s="12" t="s">
        <v>37</v>
      </c>
      <c r="MK230" s="12" t="s">
        <v>37</v>
      </c>
      <c r="ML230" s="12" t="s">
        <v>37</v>
      </c>
      <c r="MQ230" s="12" t="s">
        <v>37</v>
      </c>
      <c r="MR230" s="12" t="s">
        <v>37</v>
      </c>
      <c r="MS230" s="12" t="s">
        <v>37</v>
      </c>
      <c r="MU230" s="12" t="s">
        <v>37</v>
      </c>
      <c r="MV230" s="12" t="s">
        <v>37</v>
      </c>
      <c r="MW230" s="12" t="s">
        <v>37</v>
      </c>
      <c r="NC230" s="12" t="s">
        <v>37</v>
      </c>
      <c r="ND230" s="12" t="s">
        <v>37</v>
      </c>
      <c r="NE230" s="12" t="s">
        <v>37</v>
      </c>
      <c r="NG230" s="12" t="s">
        <v>37</v>
      </c>
      <c r="NH230" s="12" t="s">
        <v>37</v>
      </c>
      <c r="NI230" s="12" t="s">
        <v>37</v>
      </c>
      <c r="NO230" s="12" t="s">
        <v>37</v>
      </c>
      <c r="NP230" s="12" t="s">
        <v>37</v>
      </c>
      <c r="NQ230" s="12" t="s">
        <v>37</v>
      </c>
      <c r="NS230" s="12" t="s">
        <v>37</v>
      </c>
      <c r="NT230" s="12" t="s">
        <v>37</v>
      </c>
      <c r="NU230" s="12" t="s">
        <v>37</v>
      </c>
      <c r="OA230" s="12" t="s">
        <v>37</v>
      </c>
      <c r="OB230" s="12" t="s">
        <v>37</v>
      </c>
      <c r="OC230" s="12" t="s">
        <v>37</v>
      </c>
      <c r="OD230" s="12"/>
      <c r="OE230" s="12" t="s">
        <v>37</v>
      </c>
      <c r="OF230" s="12" t="s">
        <v>37</v>
      </c>
      <c r="OG230" s="12" t="s">
        <v>37</v>
      </c>
      <c r="OH230" s="12"/>
      <c r="OI230" s="12"/>
      <c r="OJ230" s="12"/>
      <c r="OM230" s="12" t="s">
        <v>37</v>
      </c>
      <c r="ON230" s="12" t="s">
        <v>37</v>
      </c>
      <c r="OO230" s="12" t="s">
        <v>37</v>
      </c>
      <c r="OP230" s="12" t="s">
        <v>37</v>
      </c>
      <c r="OQ230" s="12" t="s">
        <v>37</v>
      </c>
      <c r="OR230" s="12" t="s">
        <v>37</v>
      </c>
      <c r="OS230" s="12"/>
      <c r="OT230" s="12"/>
      <c r="OW230" s="12" t="s">
        <v>37</v>
      </c>
      <c r="OX230" s="12" t="s">
        <v>37</v>
      </c>
      <c r="OY230" s="13" t="s">
        <v>37</v>
      </c>
      <c r="OZ230" s="12" t="s">
        <v>37</v>
      </c>
      <c r="PA230" s="12" t="s">
        <v>37</v>
      </c>
      <c r="PB230" s="13" t="s">
        <v>37</v>
      </c>
      <c r="PG230" s="12" t="s">
        <v>37</v>
      </c>
      <c r="PH230" s="12" t="s">
        <v>37</v>
      </c>
      <c r="PI230" s="12" t="s">
        <v>37</v>
      </c>
      <c r="PJ230" s="12" t="s">
        <v>37</v>
      </c>
      <c r="PK230" s="12" t="s">
        <v>37</v>
      </c>
      <c r="PL230" s="12" t="s">
        <v>37</v>
      </c>
      <c r="PM230" s="12"/>
      <c r="PN230" s="12"/>
      <c r="PQ230" s="12" t="s">
        <v>37</v>
      </c>
      <c r="PR230" s="12" t="s">
        <v>37</v>
      </c>
      <c r="PS230" s="12" t="s">
        <v>37</v>
      </c>
      <c r="PT230" s="12" t="s">
        <v>37</v>
      </c>
      <c r="PU230" s="12" t="s">
        <v>37</v>
      </c>
      <c r="PV230" s="12" t="s">
        <v>37</v>
      </c>
      <c r="PW230" s="12"/>
      <c r="PX230" s="12"/>
      <c r="PZ230" s="12" t="s">
        <v>37</v>
      </c>
      <c r="QA230" s="12" t="s">
        <v>37</v>
      </c>
      <c r="QB230" s="12" t="s">
        <v>37</v>
      </c>
      <c r="QD230" s="12" t="s">
        <v>37</v>
      </c>
      <c r="QE230" s="12" t="s">
        <v>37</v>
      </c>
      <c r="QF230" s="12" t="s">
        <v>37</v>
      </c>
      <c r="QK230" s="12" t="s">
        <v>37</v>
      </c>
      <c r="QL230" s="12" t="s">
        <v>37</v>
      </c>
      <c r="QM230" s="12" t="s">
        <v>37</v>
      </c>
      <c r="QN230" s="12" t="s">
        <v>37</v>
      </c>
      <c r="QO230" s="12" t="s">
        <v>37</v>
      </c>
      <c r="QP230" s="12" t="s">
        <v>37</v>
      </c>
      <c r="QQ230" s="12"/>
      <c r="QR230" s="12"/>
      <c r="QU230" s="12" t="s">
        <v>37</v>
      </c>
      <c r="QV230" s="12" t="s">
        <v>37</v>
      </c>
      <c r="QW230" s="12" t="s">
        <v>37</v>
      </c>
      <c r="QX230" s="12" t="s">
        <v>37</v>
      </c>
      <c r="QY230" s="12" t="s">
        <v>37</v>
      </c>
      <c r="QZ230" s="12" t="s">
        <v>37</v>
      </c>
      <c r="RC230" s="12" t="s">
        <v>37</v>
      </c>
      <c r="RD230" s="12" t="s">
        <v>37</v>
      </c>
      <c r="RE230" s="13" t="s">
        <v>37</v>
      </c>
      <c r="RF230" s="12" t="s">
        <v>37</v>
      </c>
      <c r="RG230" s="12" t="s">
        <v>37</v>
      </c>
      <c r="RH230" s="13" t="s">
        <v>37</v>
      </c>
      <c r="RK230" s="12" t="s">
        <v>37</v>
      </c>
      <c r="RL230" s="12" t="s">
        <v>37</v>
      </c>
      <c r="RM230" s="11" t="s">
        <v>37</v>
      </c>
      <c r="RN230" s="12" t="s">
        <v>37</v>
      </c>
      <c r="RO230" s="12" t="s">
        <v>37</v>
      </c>
      <c r="RP230" s="11" t="s">
        <v>37</v>
      </c>
      <c r="RS230" s="12" t="s">
        <v>37</v>
      </c>
      <c r="RT230" s="12" t="s">
        <v>37</v>
      </c>
      <c r="RU230" s="12" t="s">
        <v>37</v>
      </c>
      <c r="RV230" s="12" t="s">
        <v>37</v>
      </c>
      <c r="RW230" s="12" t="s">
        <v>37</v>
      </c>
      <c r="RX230" s="12" t="s">
        <v>37</v>
      </c>
      <c r="SA230" s="12" t="s">
        <v>37</v>
      </c>
      <c r="SB230" s="12" t="s">
        <v>37</v>
      </c>
      <c r="SC230" s="12" t="s">
        <v>37</v>
      </c>
      <c r="SD230" s="12" t="s">
        <v>37</v>
      </c>
      <c r="SE230" s="12" t="s">
        <v>37</v>
      </c>
      <c r="SF230" s="12" t="s">
        <v>37</v>
      </c>
      <c r="SI230" s="12" t="s">
        <v>37</v>
      </c>
      <c r="SJ230" s="12" t="s">
        <v>37</v>
      </c>
      <c r="SK230" s="13" t="s">
        <v>37</v>
      </c>
      <c r="SM230" s="12" t="s">
        <v>37</v>
      </c>
      <c r="SN230" s="12" t="s">
        <v>37</v>
      </c>
      <c r="SO230" s="13" t="s">
        <v>37</v>
      </c>
      <c r="SU230" s="12" t="s">
        <v>37</v>
      </c>
      <c r="SV230" s="12" t="s">
        <v>37</v>
      </c>
      <c r="SW230" s="12" t="s">
        <v>37</v>
      </c>
      <c r="SX230" s="12" t="s">
        <v>37</v>
      </c>
      <c r="SY230" s="12" t="s">
        <v>37</v>
      </c>
      <c r="SZ230" s="12" t="s">
        <v>37</v>
      </c>
      <c r="TA230" s="12"/>
      <c r="TB230" s="12"/>
      <c r="TE230" s="12" t="s">
        <v>37</v>
      </c>
      <c r="TF230" s="12" t="s">
        <v>37</v>
      </c>
      <c r="TG230" s="12" t="s">
        <v>37</v>
      </c>
      <c r="TH230" s="12" t="s">
        <v>37</v>
      </c>
      <c r="TI230" s="12" t="s">
        <v>37</v>
      </c>
      <c r="TJ230" s="12" t="s">
        <v>37</v>
      </c>
      <c r="TK230" s="12"/>
      <c r="TL230" s="12"/>
      <c r="TO230" s="12" t="s">
        <v>37</v>
      </c>
      <c r="TP230" s="12" t="s">
        <v>37</v>
      </c>
      <c r="TQ230" s="12" t="s">
        <v>37</v>
      </c>
      <c r="TR230" s="12" t="s">
        <v>37</v>
      </c>
      <c r="TS230" s="12" t="s">
        <v>37</v>
      </c>
      <c r="TT230" s="12" t="s">
        <v>37</v>
      </c>
      <c r="TU230" s="12"/>
      <c r="TV230" s="12"/>
      <c r="TY230" s="12" t="s">
        <v>37</v>
      </c>
      <c r="TZ230" s="12" t="s">
        <v>37</v>
      </c>
      <c r="UA230" s="12" t="s">
        <v>37</v>
      </c>
      <c r="UB230" s="12" t="s">
        <v>37</v>
      </c>
      <c r="UC230" s="12" t="s">
        <v>37</v>
      </c>
      <c r="UD230" s="12" t="s">
        <v>37</v>
      </c>
      <c r="UE230" s="12"/>
      <c r="UF230" s="12"/>
      <c r="UI230" s="12" t="s">
        <v>37</v>
      </c>
      <c r="UJ230" s="12" t="s">
        <v>37</v>
      </c>
      <c r="UK230" s="12" t="s">
        <v>37</v>
      </c>
      <c r="UL230" s="12" t="s">
        <v>37</v>
      </c>
      <c r="UM230" s="12" t="s">
        <v>37</v>
      </c>
      <c r="UN230" s="12" t="s">
        <v>37</v>
      </c>
      <c r="UO230" s="12"/>
      <c r="UP230" s="12"/>
      <c r="UR230" s="12" t="s">
        <v>37</v>
      </c>
      <c r="US230" s="12" t="s">
        <v>37</v>
      </c>
      <c r="UT230" s="12" t="s">
        <v>37</v>
      </c>
      <c r="UU230" s="12" t="s">
        <v>37</v>
      </c>
      <c r="UV230" s="12" t="s">
        <v>37</v>
      </c>
      <c r="UW230" s="12" t="s">
        <v>37</v>
      </c>
      <c r="UX230" s="12"/>
      <c r="UY230" s="12"/>
      <c r="VB230" s="12" t="s">
        <v>37</v>
      </c>
      <c r="VC230" s="12" t="s">
        <v>37</v>
      </c>
      <c r="VD230" s="12" t="s">
        <v>37</v>
      </c>
      <c r="VE230" s="12" t="s">
        <v>37</v>
      </c>
      <c r="VF230" s="12" t="s">
        <v>37</v>
      </c>
      <c r="VG230" s="12" t="s">
        <v>37</v>
      </c>
      <c r="VI230" s="12" t="s">
        <v>37</v>
      </c>
      <c r="VJ230" s="12" t="s">
        <v>37</v>
      </c>
      <c r="VK230" s="12" t="s">
        <v>37</v>
      </c>
      <c r="VL230" s="12" t="s">
        <v>37</v>
      </c>
      <c r="VM230" s="12" t="s">
        <v>37</v>
      </c>
      <c r="VN230" s="12" t="s">
        <v>37</v>
      </c>
      <c r="VQ230" s="12" t="s">
        <v>37</v>
      </c>
      <c r="VR230" s="12" t="s">
        <v>37</v>
      </c>
      <c r="VS230" s="12" t="s">
        <v>37</v>
      </c>
      <c r="VT230" s="12" t="s">
        <v>37</v>
      </c>
      <c r="VU230" s="12" t="s">
        <v>37</v>
      </c>
      <c r="VV230" s="12" t="s">
        <v>37</v>
      </c>
      <c r="VW230" s="12"/>
      <c r="VX230" s="12"/>
      <c r="WA230" s="12" t="s">
        <v>37</v>
      </c>
      <c r="WB230" s="12" t="s">
        <v>37</v>
      </c>
      <c r="WC230" s="12" t="s">
        <v>37</v>
      </c>
      <c r="WD230" s="12" t="s">
        <v>37</v>
      </c>
      <c r="WE230" s="12" t="s">
        <v>37</v>
      </c>
      <c r="WF230" s="12" t="s">
        <v>37</v>
      </c>
    </row>
    <row r="231" spans="1:604" ht="18" customHeight="1" x14ac:dyDescent="0.3">
      <c r="A231" s="11">
        <v>64</v>
      </c>
      <c r="B231" s="16" t="s">
        <v>375</v>
      </c>
      <c r="C231" s="12" t="s">
        <v>26</v>
      </c>
      <c r="D231" s="12" t="s">
        <v>54</v>
      </c>
      <c r="E231" s="40">
        <v>2.15</v>
      </c>
      <c r="F231" s="14">
        <v>0</v>
      </c>
      <c r="G231" s="14">
        <v>0</v>
      </c>
      <c r="H231" s="12" t="s">
        <v>123</v>
      </c>
      <c r="I231" s="29">
        <v>61.783000000000001</v>
      </c>
      <c r="J231" s="29">
        <v>24.3</v>
      </c>
      <c r="K231" s="12" t="s">
        <v>775</v>
      </c>
      <c r="L231" s="12" t="s">
        <v>709</v>
      </c>
      <c r="M231" s="13" t="s">
        <v>37</v>
      </c>
      <c r="N231" s="12" t="s">
        <v>37</v>
      </c>
      <c r="O231" s="12" t="s">
        <v>37</v>
      </c>
      <c r="P231" s="14" t="s">
        <v>84</v>
      </c>
      <c r="Q231" s="75">
        <v>30</v>
      </c>
      <c r="R231" s="11" t="s">
        <v>1000</v>
      </c>
      <c r="S231" s="12" t="s">
        <v>93</v>
      </c>
      <c r="T231" s="12" t="s">
        <v>141</v>
      </c>
      <c r="U231" s="12" t="s">
        <v>158</v>
      </c>
      <c r="V231" s="12" t="s">
        <v>275</v>
      </c>
      <c r="W231" s="23" t="s">
        <v>376</v>
      </c>
      <c r="X231" s="12" t="s">
        <v>280</v>
      </c>
      <c r="Y231" s="12" t="s">
        <v>37</v>
      </c>
      <c r="Z231" s="12" t="s">
        <v>37</v>
      </c>
      <c r="AA231" s="32" t="s">
        <v>345</v>
      </c>
      <c r="AB231" s="12">
        <v>3.9</v>
      </c>
      <c r="AE231" s="12" t="s">
        <v>37</v>
      </c>
      <c r="AF231" s="12" t="s">
        <v>42</v>
      </c>
      <c r="AG231" s="32" t="s">
        <v>372</v>
      </c>
      <c r="AH231" s="12">
        <v>6</v>
      </c>
      <c r="AK231" s="12" t="s">
        <v>37</v>
      </c>
      <c r="AL231" s="32" t="s">
        <v>37</v>
      </c>
      <c r="AM231" s="12" t="s">
        <v>344</v>
      </c>
      <c r="AO231" s="12" t="s">
        <v>37</v>
      </c>
      <c r="AP231" s="12" t="s">
        <v>37</v>
      </c>
      <c r="AQ231" s="12" t="s">
        <v>975</v>
      </c>
      <c r="AT231" s="12" t="s">
        <v>326</v>
      </c>
      <c r="AU231" s="12" t="s">
        <v>326</v>
      </c>
      <c r="AV231" s="13" t="s">
        <v>326</v>
      </c>
      <c r="AX231" s="12" t="s">
        <v>326</v>
      </c>
      <c r="AY231" s="12" t="s">
        <v>326</v>
      </c>
      <c r="AZ231" s="13" t="s">
        <v>326</v>
      </c>
      <c r="BE231" s="12" t="s">
        <v>326</v>
      </c>
      <c r="BF231" s="12" t="s">
        <v>326</v>
      </c>
      <c r="BG231" s="12" t="s">
        <v>326</v>
      </c>
      <c r="BI231" s="12" t="s">
        <v>326</v>
      </c>
      <c r="BJ231" s="12" t="s">
        <v>326</v>
      </c>
      <c r="BK231" s="12" t="s">
        <v>326</v>
      </c>
      <c r="BP231" s="12" t="s">
        <v>37</v>
      </c>
      <c r="BQ231" s="12" t="s">
        <v>37</v>
      </c>
      <c r="BR231" s="13" t="s">
        <v>37</v>
      </c>
      <c r="BT231" s="12" t="s">
        <v>37</v>
      </c>
      <c r="BU231" s="12" t="s">
        <v>37</v>
      </c>
      <c r="BV231" s="12" t="s">
        <v>37</v>
      </c>
      <c r="CA231" s="12" t="s">
        <v>37</v>
      </c>
      <c r="CB231" s="12" t="s">
        <v>37</v>
      </c>
      <c r="CC231" s="13" t="s">
        <v>37</v>
      </c>
      <c r="CE231" s="12" t="s">
        <v>37</v>
      </c>
      <c r="CF231" s="12" t="s">
        <v>37</v>
      </c>
      <c r="CG231" s="12" t="s">
        <v>37</v>
      </c>
      <c r="CN231" s="12" t="s">
        <v>37</v>
      </c>
      <c r="CO231" s="12" t="s">
        <v>37</v>
      </c>
      <c r="CP231" s="13" t="s">
        <v>37</v>
      </c>
      <c r="CR231" s="12" t="s">
        <v>37</v>
      </c>
      <c r="CS231" s="12" t="s">
        <v>37</v>
      </c>
      <c r="CT231" s="13" t="s">
        <v>37</v>
      </c>
      <c r="CX231" s="72"/>
      <c r="CY231" s="72"/>
      <c r="DA231" s="12" t="s">
        <v>37</v>
      </c>
      <c r="DB231" s="12" t="s">
        <v>37</v>
      </c>
      <c r="DC231" s="13" t="s">
        <v>37</v>
      </c>
      <c r="DE231" s="12" t="s">
        <v>37</v>
      </c>
      <c r="DF231" s="12" t="s">
        <v>37</v>
      </c>
      <c r="DG231" s="12" t="s">
        <v>37</v>
      </c>
      <c r="DN231" s="19" t="s">
        <v>37</v>
      </c>
      <c r="DO231" s="12" t="s">
        <v>37</v>
      </c>
      <c r="DP231" s="13" t="s">
        <v>37</v>
      </c>
      <c r="DR231" s="19" t="s">
        <v>37</v>
      </c>
      <c r="DS231" s="12" t="s">
        <v>37</v>
      </c>
      <c r="DT231" s="13" t="s">
        <v>37</v>
      </c>
      <c r="EA231" s="19" t="s">
        <v>37</v>
      </c>
      <c r="EB231" s="19" t="s">
        <v>37</v>
      </c>
      <c r="EC231" s="72" t="s">
        <v>37</v>
      </c>
      <c r="EE231" s="19" t="s">
        <v>37</v>
      </c>
      <c r="EF231" s="19" t="s">
        <v>37</v>
      </c>
      <c r="EG231" s="12" t="s">
        <v>37</v>
      </c>
      <c r="EM231" s="12" t="s">
        <v>39</v>
      </c>
      <c r="EN231" s="12">
        <v>-11</v>
      </c>
      <c r="EO231" s="50">
        <f t="shared" si="1108"/>
        <v>4.4824603862642265</v>
      </c>
      <c r="EP231" s="13">
        <v>3</v>
      </c>
      <c r="ER231" s="12">
        <v>-23</v>
      </c>
      <c r="ES231" s="50">
        <f t="shared" si="1116"/>
        <v>5.2167232307114659</v>
      </c>
      <c r="ET231" s="13">
        <v>3</v>
      </c>
      <c r="EV231" s="19">
        <f t="shared" si="1117"/>
        <v>-12</v>
      </c>
      <c r="EW231" s="12">
        <f t="shared" si="1118"/>
        <v>4.8634685349178888</v>
      </c>
      <c r="EX231" s="19">
        <f t="shared" si="1119"/>
        <v>15.76888412675757</v>
      </c>
      <c r="EY231" s="19">
        <f t="shared" si="1120"/>
        <v>15.76888412675757</v>
      </c>
      <c r="FB231" s="12" t="s">
        <v>37</v>
      </c>
      <c r="FC231" s="12" t="s">
        <v>37</v>
      </c>
      <c r="FD231" s="12" t="s">
        <v>37</v>
      </c>
      <c r="FE231" s="12" t="s">
        <v>37</v>
      </c>
      <c r="FF231" s="20" t="s">
        <v>37</v>
      </c>
      <c r="FG231" s="12" t="s">
        <v>37</v>
      </c>
      <c r="FI231" s="12" t="s">
        <v>37</v>
      </c>
      <c r="FJ231" s="12" t="s">
        <v>37</v>
      </c>
      <c r="FK231" s="12" t="s">
        <v>37</v>
      </c>
      <c r="FL231" s="12" t="s">
        <v>37</v>
      </c>
      <c r="FM231" s="12" t="s">
        <v>37</v>
      </c>
      <c r="FN231" s="12" t="s">
        <v>37</v>
      </c>
      <c r="FP231" s="12" t="s">
        <v>37</v>
      </c>
      <c r="FQ231" s="12" t="s">
        <v>37</v>
      </c>
      <c r="FR231" s="12" t="s">
        <v>37</v>
      </c>
      <c r="FS231" s="12" t="s">
        <v>37</v>
      </c>
      <c r="FT231" s="12" t="s">
        <v>37</v>
      </c>
      <c r="FU231" s="12" t="s">
        <v>37</v>
      </c>
      <c r="FW231" s="12" t="s">
        <v>37</v>
      </c>
      <c r="FX231" s="12" t="s">
        <v>37</v>
      </c>
      <c r="FY231" s="12" t="s">
        <v>37</v>
      </c>
      <c r="FZ231" s="12" t="s">
        <v>37</v>
      </c>
      <c r="GA231" s="12" t="s">
        <v>37</v>
      </c>
      <c r="GB231" s="12" t="s">
        <v>37</v>
      </c>
      <c r="HA231" s="17" t="s">
        <v>63</v>
      </c>
      <c r="HB231" s="34" t="s">
        <v>372</v>
      </c>
      <c r="HC231" s="12">
        <v>3.5000000000000003E-2</v>
      </c>
      <c r="HD231" s="50">
        <f t="shared" ref="HD231:HD243" si="1127">ABS(HC231)*HF$474</f>
        <v>6.0344110101271846E-3</v>
      </c>
      <c r="HE231" s="13">
        <v>3</v>
      </c>
      <c r="HG231" s="12">
        <v>4.7E-2</v>
      </c>
      <c r="HH231" s="50">
        <f t="shared" ref="HH231:HH245" si="1128">ABS(HG231)*HJ$474</f>
        <v>5.2571624384539382E-3</v>
      </c>
      <c r="HI231" s="13">
        <v>3</v>
      </c>
      <c r="HK231" s="19">
        <f t="shared" ref="HK231:HK243" si="1129">LN(HG231/HC231)</f>
        <v>0.29479954022064481</v>
      </c>
      <c r="HL231" s="19">
        <f t="shared" ref="HL231:HL243" si="1130">HH231^2/(HI231*HG231^2)+HD231^2/(HE231*HC231^2)</f>
        <v>1.4079080937294361E-2</v>
      </c>
      <c r="IK231" s="12" t="s">
        <v>37</v>
      </c>
      <c r="IL231" s="12" t="s">
        <v>37</v>
      </c>
      <c r="IM231" s="12" t="s">
        <v>37</v>
      </c>
      <c r="IO231" s="12" t="s">
        <v>37</v>
      </c>
      <c r="IP231" s="12" t="s">
        <v>37</v>
      </c>
      <c r="IQ231" s="12" t="s">
        <v>37</v>
      </c>
      <c r="IV231" s="32" t="s">
        <v>345</v>
      </c>
      <c r="IW231" s="12">
        <v>3.9</v>
      </c>
      <c r="IX231" s="50">
        <f t="shared" ref="IX231:IX243" si="1131">ABS(IW231)*IZ$474</f>
        <v>0.14278969624929022</v>
      </c>
      <c r="IY231" s="13">
        <v>3</v>
      </c>
      <c r="JA231" s="12">
        <v>3.7</v>
      </c>
      <c r="JB231" s="50">
        <f t="shared" ref="JB231:JB242" si="1132">ABS(JA231)*JD$474</f>
        <v>0.10363259250710022</v>
      </c>
      <c r="JC231" s="13">
        <v>3</v>
      </c>
      <c r="JE231" s="19">
        <f t="shared" ref="JE231:JE242" si="1133">LN(JA231/IW231)</f>
        <v>-5.2643733485421909E-2</v>
      </c>
      <c r="JF231" s="19">
        <f t="shared" ref="JF231:JF242" si="1134">JB231^2/(JC231*JA231^2)+IX231^2/(IY231*IW231^2)</f>
        <v>7.083287641133075E-4</v>
      </c>
      <c r="JH231" s="12" t="s">
        <v>37</v>
      </c>
      <c r="JI231" s="12" t="s">
        <v>37</v>
      </c>
      <c r="JJ231" s="13" t="s">
        <v>37</v>
      </c>
      <c r="JL231" s="12" t="s">
        <v>37</v>
      </c>
      <c r="JM231" s="12" t="s">
        <v>37</v>
      </c>
      <c r="JN231" s="12" t="s">
        <v>37</v>
      </c>
      <c r="JS231" s="12" t="s">
        <v>37</v>
      </c>
      <c r="JT231" s="12" t="s">
        <v>37</v>
      </c>
      <c r="JU231" s="13" t="s">
        <v>37</v>
      </c>
      <c r="JW231" s="12" t="s">
        <v>37</v>
      </c>
      <c r="JX231" s="12" t="s">
        <v>37</v>
      </c>
      <c r="JY231" s="12" t="s">
        <v>37</v>
      </c>
      <c r="KE231" s="12" t="s">
        <v>37</v>
      </c>
      <c r="KF231" s="12" t="s">
        <v>37</v>
      </c>
      <c r="KG231" s="13" t="s">
        <v>37</v>
      </c>
      <c r="KH231" s="12" t="s">
        <v>37</v>
      </c>
      <c r="KI231" s="12" t="s">
        <v>37</v>
      </c>
      <c r="KJ231" s="12" t="s">
        <v>37</v>
      </c>
      <c r="KK231" s="12" t="s">
        <v>42</v>
      </c>
      <c r="KL231" s="32" t="s">
        <v>372</v>
      </c>
      <c r="KM231" s="12">
        <v>6</v>
      </c>
      <c r="KN231" s="50">
        <f t="shared" ref="KN231:KN243" si="1135">ABS(KM231)*KP$474</f>
        <v>0.71575824830915691</v>
      </c>
      <c r="KO231" s="11">
        <v>3</v>
      </c>
      <c r="KQ231" s="12">
        <v>8</v>
      </c>
      <c r="KR231" s="50">
        <f t="shared" ref="KR231:KR242" si="1136">ABS(KQ231)*KT$474</f>
        <v>0.84354744134909398</v>
      </c>
      <c r="KS231" s="11">
        <v>3</v>
      </c>
      <c r="KU231" s="19">
        <f t="shared" ref="KU231:KU242" si="1137">LN(KQ231/KM231)</f>
        <v>0.28768207245178085</v>
      </c>
      <c r="KV231" s="19">
        <f t="shared" ref="KV231:KV242" si="1138">KR231^2/(KS231*KQ231^2)+KN231^2/(KO231*KM231^2)</f>
        <v>8.4497155628593234E-3</v>
      </c>
      <c r="KX231" s="12" t="s">
        <v>37</v>
      </c>
      <c r="KY231" s="12" t="s">
        <v>37</v>
      </c>
      <c r="KZ231" s="12" t="s">
        <v>37</v>
      </c>
      <c r="LB231" s="12" t="s">
        <v>37</v>
      </c>
      <c r="LC231" s="12" t="s">
        <v>37</v>
      </c>
      <c r="LD231" s="12" t="s">
        <v>37</v>
      </c>
      <c r="LI231" s="12" t="s">
        <v>37</v>
      </c>
      <c r="LJ231" s="12" t="s">
        <v>37</v>
      </c>
      <c r="LK231" s="12" t="s">
        <v>37</v>
      </c>
      <c r="LM231" s="12" t="s">
        <v>37</v>
      </c>
      <c r="LN231" s="12" t="s">
        <v>37</v>
      </c>
      <c r="LO231" s="12" t="s">
        <v>37</v>
      </c>
      <c r="LU231" s="12" t="s">
        <v>37</v>
      </c>
      <c r="LV231" s="12" t="s">
        <v>37</v>
      </c>
      <c r="LW231" s="12" t="s">
        <v>37</v>
      </c>
      <c r="LY231" s="12" t="s">
        <v>37</v>
      </c>
      <c r="LZ231" s="12" t="s">
        <v>37</v>
      </c>
      <c r="MA231" s="12" t="s">
        <v>37</v>
      </c>
      <c r="MF231" s="12" t="s">
        <v>37</v>
      </c>
      <c r="MG231" s="12" t="s">
        <v>37</v>
      </c>
      <c r="MH231" s="12" t="s">
        <v>37</v>
      </c>
      <c r="MJ231" s="12" t="s">
        <v>37</v>
      </c>
      <c r="MK231" s="12" t="s">
        <v>37</v>
      </c>
      <c r="ML231" s="12" t="s">
        <v>37</v>
      </c>
      <c r="MQ231" s="12" t="s">
        <v>37</v>
      </c>
      <c r="MR231" s="12" t="s">
        <v>37</v>
      </c>
      <c r="MS231" s="12" t="s">
        <v>37</v>
      </c>
      <c r="MU231" s="12" t="s">
        <v>37</v>
      </c>
      <c r="MV231" s="12" t="s">
        <v>37</v>
      </c>
      <c r="MW231" s="12" t="s">
        <v>37</v>
      </c>
      <c r="NC231" s="12" t="s">
        <v>37</v>
      </c>
      <c r="ND231" s="12" t="s">
        <v>37</v>
      </c>
      <c r="NE231" s="12" t="s">
        <v>37</v>
      </c>
      <c r="NG231" s="12" t="s">
        <v>37</v>
      </c>
      <c r="NH231" s="12" t="s">
        <v>37</v>
      </c>
      <c r="NI231" s="12" t="s">
        <v>37</v>
      </c>
      <c r="NO231" s="12" t="s">
        <v>37</v>
      </c>
      <c r="NP231" s="12" t="s">
        <v>37</v>
      </c>
      <c r="NQ231" s="12" t="s">
        <v>37</v>
      </c>
      <c r="NS231" s="12" t="s">
        <v>37</v>
      </c>
      <c r="NT231" s="12" t="s">
        <v>37</v>
      </c>
      <c r="NU231" s="12" t="s">
        <v>37</v>
      </c>
      <c r="OA231" s="12" t="s">
        <v>37</v>
      </c>
      <c r="OB231" s="12" t="s">
        <v>37</v>
      </c>
      <c r="OC231" s="12" t="s">
        <v>37</v>
      </c>
      <c r="OD231" s="12"/>
      <c r="OE231" s="12" t="s">
        <v>37</v>
      </c>
      <c r="OF231" s="12" t="s">
        <v>37</v>
      </c>
      <c r="OG231" s="12" t="s">
        <v>37</v>
      </c>
      <c r="OH231" s="12"/>
      <c r="OI231" s="12"/>
      <c r="OJ231" s="12"/>
      <c r="OM231" s="12" t="s">
        <v>37</v>
      </c>
      <c r="ON231" s="12" t="s">
        <v>37</v>
      </c>
      <c r="OO231" s="12" t="s">
        <v>37</v>
      </c>
      <c r="OP231" s="12" t="s">
        <v>37</v>
      </c>
      <c r="OQ231" s="12" t="s">
        <v>37</v>
      </c>
      <c r="OR231" s="12" t="s">
        <v>37</v>
      </c>
      <c r="OS231" s="12"/>
      <c r="OT231" s="12"/>
      <c r="OW231" s="12" t="s">
        <v>37</v>
      </c>
      <c r="OX231" s="12" t="s">
        <v>37</v>
      </c>
      <c r="OY231" s="13" t="s">
        <v>37</v>
      </c>
      <c r="OZ231" s="12" t="s">
        <v>37</v>
      </c>
      <c r="PA231" s="12" t="s">
        <v>37</v>
      </c>
      <c r="PB231" s="13" t="s">
        <v>37</v>
      </c>
      <c r="PG231" s="12" t="s">
        <v>37</v>
      </c>
      <c r="PH231" s="12" t="s">
        <v>37</v>
      </c>
      <c r="PI231" s="12" t="s">
        <v>37</v>
      </c>
      <c r="PJ231" s="12" t="s">
        <v>37</v>
      </c>
      <c r="PK231" s="12" t="s">
        <v>37</v>
      </c>
      <c r="PL231" s="12" t="s">
        <v>37</v>
      </c>
      <c r="PM231" s="12"/>
      <c r="PN231" s="12"/>
      <c r="PQ231" s="12" t="s">
        <v>37</v>
      </c>
      <c r="PR231" s="12" t="s">
        <v>37</v>
      </c>
      <c r="PS231" s="12" t="s">
        <v>37</v>
      </c>
      <c r="PT231" s="12" t="s">
        <v>37</v>
      </c>
      <c r="PU231" s="12" t="s">
        <v>37</v>
      </c>
      <c r="PV231" s="12" t="s">
        <v>37</v>
      </c>
      <c r="PW231" s="12"/>
      <c r="PX231" s="12"/>
      <c r="PZ231" s="12" t="s">
        <v>37</v>
      </c>
      <c r="QA231" s="12" t="s">
        <v>37</v>
      </c>
      <c r="QB231" s="12" t="s">
        <v>37</v>
      </c>
      <c r="QD231" s="12" t="s">
        <v>37</v>
      </c>
      <c r="QE231" s="12" t="s">
        <v>37</v>
      </c>
      <c r="QF231" s="12" t="s">
        <v>37</v>
      </c>
      <c r="QK231" s="12" t="s">
        <v>37</v>
      </c>
      <c r="QL231" s="12" t="s">
        <v>37</v>
      </c>
      <c r="QM231" s="12" t="s">
        <v>37</v>
      </c>
      <c r="QN231" s="12" t="s">
        <v>37</v>
      </c>
      <c r="QO231" s="12" t="s">
        <v>37</v>
      </c>
      <c r="QP231" s="12" t="s">
        <v>37</v>
      </c>
      <c r="QQ231" s="12"/>
      <c r="QR231" s="12"/>
      <c r="QU231" s="12" t="s">
        <v>37</v>
      </c>
      <c r="QV231" s="12" t="s">
        <v>37</v>
      </c>
      <c r="QW231" s="12" t="s">
        <v>37</v>
      </c>
      <c r="QX231" s="12" t="s">
        <v>37</v>
      </c>
      <c r="QY231" s="12" t="s">
        <v>37</v>
      </c>
      <c r="QZ231" s="12" t="s">
        <v>37</v>
      </c>
      <c r="RC231" s="12" t="s">
        <v>37</v>
      </c>
      <c r="RD231" s="12" t="s">
        <v>37</v>
      </c>
      <c r="RE231" s="13" t="s">
        <v>37</v>
      </c>
      <c r="RF231" s="12" t="s">
        <v>37</v>
      </c>
      <c r="RG231" s="12" t="s">
        <v>37</v>
      </c>
      <c r="RH231" s="13" t="s">
        <v>37</v>
      </c>
      <c r="RK231" s="12" t="s">
        <v>37</v>
      </c>
      <c r="RL231" s="12" t="s">
        <v>37</v>
      </c>
      <c r="RM231" s="11" t="s">
        <v>37</v>
      </c>
      <c r="RN231" s="12" t="s">
        <v>37</v>
      </c>
      <c r="RO231" s="12" t="s">
        <v>37</v>
      </c>
      <c r="RP231" s="11" t="s">
        <v>37</v>
      </c>
      <c r="RS231" s="12" t="s">
        <v>37</v>
      </c>
      <c r="RT231" s="12" t="s">
        <v>37</v>
      </c>
      <c r="RU231" s="12" t="s">
        <v>37</v>
      </c>
      <c r="RV231" s="12" t="s">
        <v>37</v>
      </c>
      <c r="RW231" s="12" t="s">
        <v>37</v>
      </c>
      <c r="RX231" s="12" t="s">
        <v>37</v>
      </c>
      <c r="SA231" s="12" t="s">
        <v>37</v>
      </c>
      <c r="SB231" s="12" t="s">
        <v>37</v>
      </c>
      <c r="SC231" s="12" t="s">
        <v>37</v>
      </c>
      <c r="SD231" s="12" t="s">
        <v>37</v>
      </c>
      <c r="SE231" s="12" t="s">
        <v>37</v>
      </c>
      <c r="SF231" s="12" t="s">
        <v>37</v>
      </c>
      <c r="SI231" s="12" t="s">
        <v>37</v>
      </c>
      <c r="SJ231" s="12" t="s">
        <v>37</v>
      </c>
      <c r="SK231" s="13" t="s">
        <v>37</v>
      </c>
      <c r="SM231" s="12" t="s">
        <v>37</v>
      </c>
      <c r="SN231" s="12" t="s">
        <v>37</v>
      </c>
      <c r="SO231" s="13" t="s">
        <v>37</v>
      </c>
      <c r="SU231" s="12" t="s">
        <v>37</v>
      </c>
      <c r="SV231" s="12" t="s">
        <v>37</v>
      </c>
      <c r="SW231" s="12" t="s">
        <v>37</v>
      </c>
      <c r="SX231" s="12" t="s">
        <v>37</v>
      </c>
      <c r="SY231" s="12" t="s">
        <v>37</v>
      </c>
      <c r="SZ231" s="12" t="s">
        <v>37</v>
      </c>
      <c r="TA231" s="12"/>
      <c r="TB231" s="12"/>
      <c r="TE231" s="12" t="s">
        <v>37</v>
      </c>
      <c r="TF231" s="12" t="s">
        <v>37</v>
      </c>
      <c r="TG231" s="12" t="s">
        <v>37</v>
      </c>
      <c r="TH231" s="12" t="s">
        <v>37</v>
      </c>
      <c r="TI231" s="12" t="s">
        <v>37</v>
      </c>
      <c r="TJ231" s="12" t="s">
        <v>37</v>
      </c>
      <c r="TK231" s="12"/>
      <c r="TL231" s="12"/>
      <c r="TO231" s="12" t="s">
        <v>37</v>
      </c>
      <c r="TP231" s="12" t="s">
        <v>37</v>
      </c>
      <c r="TQ231" s="12" t="s">
        <v>37</v>
      </c>
      <c r="TR231" s="12" t="s">
        <v>37</v>
      </c>
      <c r="TS231" s="12" t="s">
        <v>37</v>
      </c>
      <c r="TT231" s="12" t="s">
        <v>37</v>
      </c>
      <c r="TU231" s="12"/>
      <c r="TV231" s="12"/>
      <c r="TY231" s="12" t="s">
        <v>37</v>
      </c>
      <c r="TZ231" s="12" t="s">
        <v>37</v>
      </c>
      <c r="UA231" s="12" t="s">
        <v>37</v>
      </c>
      <c r="UB231" s="12" t="s">
        <v>37</v>
      </c>
      <c r="UC231" s="12" t="s">
        <v>37</v>
      </c>
      <c r="UD231" s="12" t="s">
        <v>37</v>
      </c>
      <c r="UE231" s="12"/>
      <c r="UF231" s="12"/>
      <c r="UI231" s="12" t="s">
        <v>37</v>
      </c>
      <c r="UJ231" s="12" t="s">
        <v>37</v>
      </c>
      <c r="UK231" s="12" t="s">
        <v>37</v>
      </c>
      <c r="UL231" s="12" t="s">
        <v>37</v>
      </c>
      <c r="UM231" s="12" t="s">
        <v>37</v>
      </c>
      <c r="UN231" s="12" t="s">
        <v>37</v>
      </c>
      <c r="UO231" s="12"/>
      <c r="UP231" s="12"/>
      <c r="UR231" s="12" t="s">
        <v>37</v>
      </c>
      <c r="US231" s="12" t="s">
        <v>37</v>
      </c>
      <c r="UT231" s="12" t="s">
        <v>37</v>
      </c>
      <c r="UU231" s="12" t="s">
        <v>37</v>
      </c>
      <c r="UV231" s="12" t="s">
        <v>37</v>
      </c>
      <c r="UW231" s="12" t="s">
        <v>37</v>
      </c>
      <c r="UX231" s="12"/>
      <c r="UY231" s="12"/>
      <c r="VB231" s="12" t="s">
        <v>37</v>
      </c>
      <c r="VC231" s="12" t="s">
        <v>37</v>
      </c>
      <c r="VD231" s="12" t="s">
        <v>37</v>
      </c>
      <c r="VE231" s="12" t="s">
        <v>37</v>
      </c>
      <c r="VF231" s="12" t="s">
        <v>37</v>
      </c>
      <c r="VG231" s="12" t="s">
        <v>37</v>
      </c>
      <c r="VI231" s="12" t="s">
        <v>37</v>
      </c>
      <c r="VJ231" s="12" t="s">
        <v>37</v>
      </c>
      <c r="VK231" s="12" t="s">
        <v>37</v>
      </c>
      <c r="VL231" s="12" t="s">
        <v>37</v>
      </c>
      <c r="VM231" s="12" t="s">
        <v>37</v>
      </c>
      <c r="VN231" s="12" t="s">
        <v>37</v>
      </c>
      <c r="VQ231" s="12" t="s">
        <v>37</v>
      </c>
      <c r="VR231" s="12" t="s">
        <v>37</v>
      </c>
      <c r="VS231" s="12" t="s">
        <v>37</v>
      </c>
      <c r="VT231" s="12" t="s">
        <v>37</v>
      </c>
      <c r="VU231" s="12" t="s">
        <v>37</v>
      </c>
      <c r="VV231" s="12" t="s">
        <v>37</v>
      </c>
      <c r="VW231" s="12"/>
      <c r="VX231" s="12"/>
      <c r="WA231" s="12" t="s">
        <v>37</v>
      </c>
      <c r="WB231" s="12" t="s">
        <v>37</v>
      </c>
      <c r="WC231" s="12" t="s">
        <v>37</v>
      </c>
      <c r="WD231" s="12" t="s">
        <v>37</v>
      </c>
      <c r="WE231" s="12" t="s">
        <v>37</v>
      </c>
      <c r="WF231" s="12" t="s">
        <v>37</v>
      </c>
    </row>
    <row r="232" spans="1:604" ht="18" customHeight="1" x14ac:dyDescent="0.3">
      <c r="A232" s="11">
        <v>64</v>
      </c>
      <c r="B232" s="16" t="s">
        <v>375</v>
      </c>
      <c r="C232" s="12" t="s">
        <v>26</v>
      </c>
      <c r="D232" s="12" t="s">
        <v>54</v>
      </c>
      <c r="E232" s="40">
        <v>2.15</v>
      </c>
      <c r="F232" s="14">
        <v>0</v>
      </c>
      <c r="G232" s="14">
        <v>0</v>
      </c>
      <c r="H232" s="12" t="s">
        <v>123</v>
      </c>
      <c r="I232" s="29">
        <v>61.783000000000001</v>
      </c>
      <c r="J232" s="29">
        <v>24.3</v>
      </c>
      <c r="K232" s="12" t="s">
        <v>775</v>
      </c>
      <c r="L232" s="12" t="s">
        <v>709</v>
      </c>
      <c r="M232" s="13" t="s">
        <v>37</v>
      </c>
      <c r="N232" s="12" t="s">
        <v>37</v>
      </c>
      <c r="O232" s="12" t="s">
        <v>37</v>
      </c>
      <c r="P232" s="14" t="s">
        <v>84</v>
      </c>
      <c r="Q232" s="75">
        <v>30</v>
      </c>
      <c r="R232" s="11" t="s">
        <v>1000</v>
      </c>
      <c r="S232" s="12" t="s">
        <v>93</v>
      </c>
      <c r="T232" s="12" t="s">
        <v>141</v>
      </c>
      <c r="U232" s="12" t="s">
        <v>158</v>
      </c>
      <c r="V232" s="12" t="s">
        <v>275</v>
      </c>
      <c r="W232" s="23" t="s">
        <v>376</v>
      </c>
      <c r="X232" s="12" t="s">
        <v>280</v>
      </c>
      <c r="Y232" s="12" t="s">
        <v>37</v>
      </c>
      <c r="Z232" s="12" t="s">
        <v>37</v>
      </c>
      <c r="AA232" s="32" t="s">
        <v>345</v>
      </c>
      <c r="AB232" s="12">
        <v>3.9</v>
      </c>
      <c r="AE232" s="12" t="s">
        <v>37</v>
      </c>
      <c r="AF232" s="12" t="s">
        <v>42</v>
      </c>
      <c r="AG232" s="32" t="s">
        <v>372</v>
      </c>
      <c r="AH232" s="12">
        <v>6</v>
      </c>
      <c r="AK232" s="12" t="s">
        <v>37</v>
      </c>
      <c r="AL232" s="32" t="s">
        <v>37</v>
      </c>
      <c r="AM232" s="12" t="s">
        <v>344</v>
      </c>
      <c r="AO232" s="12" t="s">
        <v>37</v>
      </c>
      <c r="AP232" s="12" t="s">
        <v>37</v>
      </c>
      <c r="AQ232" s="12" t="s">
        <v>975</v>
      </c>
      <c r="AT232" s="12" t="s">
        <v>326</v>
      </c>
      <c r="AU232" s="12" t="s">
        <v>326</v>
      </c>
      <c r="AV232" s="13" t="s">
        <v>326</v>
      </c>
      <c r="AX232" s="12" t="s">
        <v>326</v>
      </c>
      <c r="AY232" s="12" t="s">
        <v>326</v>
      </c>
      <c r="AZ232" s="13" t="s">
        <v>326</v>
      </c>
      <c r="BE232" s="12" t="s">
        <v>326</v>
      </c>
      <c r="BF232" s="12" t="s">
        <v>326</v>
      </c>
      <c r="BG232" s="12" t="s">
        <v>326</v>
      </c>
      <c r="BI232" s="12" t="s">
        <v>326</v>
      </c>
      <c r="BJ232" s="12" t="s">
        <v>326</v>
      </c>
      <c r="BK232" s="12" t="s">
        <v>326</v>
      </c>
      <c r="BP232" s="12" t="s">
        <v>37</v>
      </c>
      <c r="BQ232" s="12" t="s">
        <v>37</v>
      </c>
      <c r="BR232" s="13" t="s">
        <v>37</v>
      </c>
      <c r="BT232" s="12" t="s">
        <v>37</v>
      </c>
      <c r="BU232" s="12" t="s">
        <v>37</v>
      </c>
      <c r="BV232" s="12" t="s">
        <v>37</v>
      </c>
      <c r="CA232" s="12" t="s">
        <v>37</v>
      </c>
      <c r="CB232" s="12" t="s">
        <v>37</v>
      </c>
      <c r="CC232" s="13" t="s">
        <v>37</v>
      </c>
      <c r="CE232" s="12" t="s">
        <v>37</v>
      </c>
      <c r="CF232" s="12" t="s">
        <v>37</v>
      </c>
      <c r="CG232" s="12" t="s">
        <v>37</v>
      </c>
      <c r="CN232" s="12" t="s">
        <v>37</v>
      </c>
      <c r="CO232" s="12" t="s">
        <v>37</v>
      </c>
      <c r="CP232" s="13" t="s">
        <v>37</v>
      </c>
      <c r="CR232" s="12" t="s">
        <v>37</v>
      </c>
      <c r="CS232" s="12" t="s">
        <v>37</v>
      </c>
      <c r="CT232" s="13" t="s">
        <v>37</v>
      </c>
      <c r="CX232" s="72"/>
      <c r="CY232" s="72"/>
      <c r="DA232" s="12" t="s">
        <v>37</v>
      </c>
      <c r="DB232" s="12" t="s">
        <v>37</v>
      </c>
      <c r="DC232" s="13" t="s">
        <v>37</v>
      </c>
      <c r="DE232" s="12" t="s">
        <v>37</v>
      </c>
      <c r="DF232" s="12" t="s">
        <v>37</v>
      </c>
      <c r="DG232" s="12" t="s">
        <v>37</v>
      </c>
      <c r="DN232" s="19" t="s">
        <v>37</v>
      </c>
      <c r="DO232" s="12" t="s">
        <v>37</v>
      </c>
      <c r="DP232" s="13" t="s">
        <v>37</v>
      </c>
      <c r="DR232" s="19" t="s">
        <v>37</v>
      </c>
      <c r="DS232" s="12" t="s">
        <v>37</v>
      </c>
      <c r="DT232" s="13" t="s">
        <v>37</v>
      </c>
      <c r="EA232" s="19" t="s">
        <v>37</v>
      </c>
      <c r="EB232" s="19" t="s">
        <v>37</v>
      </c>
      <c r="EC232" s="72" t="s">
        <v>37</v>
      </c>
      <c r="EE232" s="19" t="s">
        <v>37</v>
      </c>
      <c r="EF232" s="19" t="s">
        <v>37</v>
      </c>
      <c r="EG232" s="12" t="s">
        <v>37</v>
      </c>
      <c r="EM232" s="12" t="s">
        <v>39</v>
      </c>
      <c r="EN232" s="12">
        <v>-11</v>
      </c>
      <c r="EO232" s="50">
        <f t="shared" si="1108"/>
        <v>4.4824603862642265</v>
      </c>
      <c r="EP232" s="13">
        <v>3</v>
      </c>
      <c r="ER232" s="12">
        <v>-23</v>
      </c>
      <c r="ES232" s="50">
        <f t="shared" si="1116"/>
        <v>5.2167232307114659</v>
      </c>
      <c r="ET232" s="13">
        <v>3</v>
      </c>
      <c r="EV232" s="19">
        <f t="shared" si="1117"/>
        <v>-12</v>
      </c>
      <c r="EW232" s="12">
        <f t="shared" si="1118"/>
        <v>4.8634685349178888</v>
      </c>
      <c r="EX232" s="19">
        <f t="shared" si="1119"/>
        <v>15.76888412675757</v>
      </c>
      <c r="EY232" s="19">
        <f t="shared" si="1120"/>
        <v>15.76888412675757</v>
      </c>
      <c r="FB232" s="12" t="s">
        <v>37</v>
      </c>
      <c r="FC232" s="12" t="s">
        <v>37</v>
      </c>
      <c r="FD232" s="12" t="s">
        <v>37</v>
      </c>
      <c r="FE232" s="12" t="s">
        <v>37</v>
      </c>
      <c r="FF232" s="20" t="s">
        <v>37</v>
      </c>
      <c r="FG232" s="12" t="s">
        <v>37</v>
      </c>
      <c r="FI232" s="12" t="s">
        <v>37</v>
      </c>
      <c r="FJ232" s="12" t="s">
        <v>37</v>
      </c>
      <c r="FK232" s="12" t="s">
        <v>37</v>
      </c>
      <c r="FL232" s="12" t="s">
        <v>37</v>
      </c>
      <c r="FM232" s="12" t="s">
        <v>37</v>
      </c>
      <c r="FN232" s="12" t="s">
        <v>37</v>
      </c>
      <c r="FP232" s="12" t="s">
        <v>37</v>
      </c>
      <c r="FQ232" s="12" t="s">
        <v>37</v>
      </c>
      <c r="FR232" s="12" t="s">
        <v>37</v>
      </c>
      <c r="FS232" s="12" t="s">
        <v>37</v>
      </c>
      <c r="FT232" s="12" t="s">
        <v>37</v>
      </c>
      <c r="FU232" s="12" t="s">
        <v>37</v>
      </c>
      <c r="FW232" s="12" t="s">
        <v>37</v>
      </c>
      <c r="FX232" s="12" t="s">
        <v>37</v>
      </c>
      <c r="FY232" s="12" t="s">
        <v>37</v>
      </c>
      <c r="FZ232" s="12" t="s">
        <v>37</v>
      </c>
      <c r="GA232" s="12" t="s">
        <v>37</v>
      </c>
      <c r="GB232" s="12" t="s">
        <v>37</v>
      </c>
      <c r="HA232" s="17" t="s">
        <v>63</v>
      </c>
      <c r="HB232" s="34" t="s">
        <v>372</v>
      </c>
      <c r="HC232" s="12">
        <v>3.5000000000000003E-2</v>
      </c>
      <c r="HD232" s="50">
        <f t="shared" si="1127"/>
        <v>6.0344110101271846E-3</v>
      </c>
      <c r="HE232" s="13">
        <v>3</v>
      </c>
      <c r="HG232" s="12">
        <v>1.0469999999999999</v>
      </c>
      <c r="HH232" s="50">
        <f t="shared" si="1128"/>
        <v>0.11711168240555901</v>
      </c>
      <c r="HI232" s="13">
        <v>3</v>
      </c>
      <c r="HK232" s="19">
        <f t="shared" si="1129"/>
        <v>3.3983361493811231</v>
      </c>
      <c r="HL232" s="19">
        <f t="shared" si="1130"/>
        <v>1.4079080937294363E-2</v>
      </c>
      <c r="IK232" s="12" t="s">
        <v>37</v>
      </c>
      <c r="IL232" s="12" t="s">
        <v>37</v>
      </c>
      <c r="IM232" s="12" t="s">
        <v>37</v>
      </c>
      <c r="IO232" s="12" t="s">
        <v>37</v>
      </c>
      <c r="IP232" s="12" t="s">
        <v>37</v>
      </c>
      <c r="IQ232" s="12" t="s">
        <v>37</v>
      </c>
      <c r="IV232" s="32" t="s">
        <v>345</v>
      </c>
      <c r="IW232" s="12">
        <v>3.9</v>
      </c>
      <c r="IX232" s="50">
        <f t="shared" si="1131"/>
        <v>0.14278969624929022</v>
      </c>
      <c r="IY232" s="13">
        <v>3</v>
      </c>
      <c r="JA232" s="12">
        <v>3.7</v>
      </c>
      <c r="JB232" s="50">
        <f t="shared" si="1132"/>
        <v>0.10363259250710022</v>
      </c>
      <c r="JC232" s="13">
        <v>3</v>
      </c>
      <c r="JE232" s="19">
        <f t="shared" si="1133"/>
        <v>-5.2643733485421909E-2</v>
      </c>
      <c r="JF232" s="19">
        <f t="shared" si="1134"/>
        <v>7.083287641133075E-4</v>
      </c>
      <c r="JH232" s="12" t="s">
        <v>37</v>
      </c>
      <c r="JI232" s="12" t="s">
        <v>37</v>
      </c>
      <c r="JJ232" s="13" t="s">
        <v>37</v>
      </c>
      <c r="JL232" s="12" t="s">
        <v>37</v>
      </c>
      <c r="JM232" s="12" t="s">
        <v>37</v>
      </c>
      <c r="JN232" s="12" t="s">
        <v>37</v>
      </c>
      <c r="JS232" s="12" t="s">
        <v>37</v>
      </c>
      <c r="JT232" s="12" t="s">
        <v>37</v>
      </c>
      <c r="JU232" s="13" t="s">
        <v>37</v>
      </c>
      <c r="JW232" s="12" t="s">
        <v>37</v>
      </c>
      <c r="JX232" s="12" t="s">
        <v>37</v>
      </c>
      <c r="JY232" s="12" t="s">
        <v>37</v>
      </c>
      <c r="KE232" s="12" t="s">
        <v>37</v>
      </c>
      <c r="KF232" s="12" t="s">
        <v>37</v>
      </c>
      <c r="KG232" s="13" t="s">
        <v>37</v>
      </c>
      <c r="KH232" s="12" t="s">
        <v>37</v>
      </c>
      <c r="KI232" s="12" t="s">
        <v>37</v>
      </c>
      <c r="KJ232" s="12" t="s">
        <v>37</v>
      </c>
      <c r="KK232" s="12" t="s">
        <v>42</v>
      </c>
      <c r="KL232" s="32" t="s">
        <v>372</v>
      </c>
      <c r="KM232" s="12">
        <v>6</v>
      </c>
      <c r="KN232" s="50">
        <f t="shared" si="1135"/>
        <v>0.71575824830915691</v>
      </c>
      <c r="KO232" s="11">
        <v>3</v>
      </c>
      <c r="KQ232" s="12">
        <v>8</v>
      </c>
      <c r="KR232" s="50">
        <f t="shared" si="1136"/>
        <v>0.84354744134909398</v>
      </c>
      <c r="KS232" s="11">
        <v>3</v>
      </c>
      <c r="KU232" s="19">
        <f t="shared" si="1137"/>
        <v>0.28768207245178085</v>
      </c>
      <c r="KV232" s="19">
        <f t="shared" si="1138"/>
        <v>8.4497155628593234E-3</v>
      </c>
      <c r="KX232" s="12" t="s">
        <v>37</v>
      </c>
      <c r="KY232" s="12" t="s">
        <v>37</v>
      </c>
      <c r="KZ232" s="12" t="s">
        <v>37</v>
      </c>
      <c r="LB232" s="12" t="s">
        <v>37</v>
      </c>
      <c r="LC232" s="12" t="s">
        <v>37</v>
      </c>
      <c r="LD232" s="12" t="s">
        <v>37</v>
      </c>
      <c r="LI232" s="12" t="s">
        <v>37</v>
      </c>
      <c r="LJ232" s="12" t="s">
        <v>37</v>
      </c>
      <c r="LK232" s="12" t="s">
        <v>37</v>
      </c>
      <c r="LM232" s="12" t="s">
        <v>37</v>
      </c>
      <c r="LN232" s="12" t="s">
        <v>37</v>
      </c>
      <c r="LO232" s="12" t="s">
        <v>37</v>
      </c>
      <c r="LU232" s="12" t="s">
        <v>37</v>
      </c>
      <c r="LV232" s="12" t="s">
        <v>37</v>
      </c>
      <c r="LW232" s="12" t="s">
        <v>37</v>
      </c>
      <c r="LY232" s="12" t="s">
        <v>37</v>
      </c>
      <c r="LZ232" s="12" t="s">
        <v>37</v>
      </c>
      <c r="MA232" s="12" t="s">
        <v>37</v>
      </c>
      <c r="MF232" s="12" t="s">
        <v>37</v>
      </c>
      <c r="MG232" s="12" t="s">
        <v>37</v>
      </c>
      <c r="MH232" s="12" t="s">
        <v>37</v>
      </c>
      <c r="MJ232" s="12" t="s">
        <v>37</v>
      </c>
      <c r="MK232" s="12" t="s">
        <v>37</v>
      </c>
      <c r="ML232" s="12" t="s">
        <v>37</v>
      </c>
      <c r="MQ232" s="12" t="s">
        <v>37</v>
      </c>
      <c r="MR232" s="12" t="s">
        <v>37</v>
      </c>
      <c r="MS232" s="12" t="s">
        <v>37</v>
      </c>
      <c r="MU232" s="12" t="s">
        <v>37</v>
      </c>
      <c r="MV232" s="12" t="s">
        <v>37</v>
      </c>
      <c r="MW232" s="12" t="s">
        <v>37</v>
      </c>
      <c r="NC232" s="12" t="s">
        <v>37</v>
      </c>
      <c r="ND232" s="12" t="s">
        <v>37</v>
      </c>
      <c r="NE232" s="12" t="s">
        <v>37</v>
      </c>
      <c r="NG232" s="12" t="s">
        <v>37</v>
      </c>
      <c r="NH232" s="12" t="s">
        <v>37</v>
      </c>
      <c r="NI232" s="12" t="s">
        <v>37</v>
      </c>
      <c r="NO232" s="12" t="s">
        <v>37</v>
      </c>
      <c r="NP232" s="12" t="s">
        <v>37</v>
      </c>
      <c r="NQ232" s="12" t="s">
        <v>37</v>
      </c>
      <c r="NS232" s="12" t="s">
        <v>37</v>
      </c>
      <c r="NT232" s="12" t="s">
        <v>37</v>
      </c>
      <c r="NU232" s="12" t="s">
        <v>37</v>
      </c>
      <c r="OA232" s="12" t="s">
        <v>37</v>
      </c>
      <c r="OB232" s="12" t="s">
        <v>37</v>
      </c>
      <c r="OC232" s="12" t="s">
        <v>37</v>
      </c>
      <c r="OD232" s="12"/>
      <c r="OE232" s="12" t="s">
        <v>37</v>
      </c>
      <c r="OF232" s="12" t="s">
        <v>37</v>
      </c>
      <c r="OG232" s="12" t="s">
        <v>37</v>
      </c>
      <c r="OH232" s="12"/>
      <c r="OI232" s="12"/>
      <c r="OJ232" s="12"/>
      <c r="OM232" s="12" t="s">
        <v>37</v>
      </c>
      <c r="ON232" s="12" t="s">
        <v>37</v>
      </c>
      <c r="OO232" s="12" t="s">
        <v>37</v>
      </c>
      <c r="OP232" s="12" t="s">
        <v>37</v>
      </c>
      <c r="OQ232" s="12" t="s">
        <v>37</v>
      </c>
      <c r="OR232" s="12" t="s">
        <v>37</v>
      </c>
      <c r="OS232" s="12"/>
      <c r="OT232" s="12"/>
      <c r="OW232" s="12" t="s">
        <v>37</v>
      </c>
      <c r="OX232" s="12" t="s">
        <v>37</v>
      </c>
      <c r="OY232" s="13" t="s">
        <v>37</v>
      </c>
      <c r="OZ232" s="12" t="s">
        <v>37</v>
      </c>
      <c r="PA232" s="12" t="s">
        <v>37</v>
      </c>
      <c r="PB232" s="13" t="s">
        <v>37</v>
      </c>
      <c r="PG232" s="12" t="s">
        <v>37</v>
      </c>
      <c r="PH232" s="12" t="s">
        <v>37</v>
      </c>
      <c r="PI232" s="12" t="s">
        <v>37</v>
      </c>
      <c r="PJ232" s="12" t="s">
        <v>37</v>
      </c>
      <c r="PK232" s="12" t="s">
        <v>37</v>
      </c>
      <c r="PL232" s="12" t="s">
        <v>37</v>
      </c>
      <c r="PM232" s="12"/>
      <c r="PN232" s="12"/>
      <c r="PQ232" s="12" t="s">
        <v>37</v>
      </c>
      <c r="PR232" s="12" t="s">
        <v>37</v>
      </c>
      <c r="PS232" s="12" t="s">
        <v>37</v>
      </c>
      <c r="PT232" s="12" t="s">
        <v>37</v>
      </c>
      <c r="PU232" s="12" t="s">
        <v>37</v>
      </c>
      <c r="PV232" s="12" t="s">
        <v>37</v>
      </c>
      <c r="PW232" s="12"/>
      <c r="PX232" s="12"/>
      <c r="PZ232" s="12" t="s">
        <v>37</v>
      </c>
      <c r="QA232" s="12" t="s">
        <v>37</v>
      </c>
      <c r="QB232" s="12" t="s">
        <v>37</v>
      </c>
      <c r="QD232" s="12" t="s">
        <v>37</v>
      </c>
      <c r="QE232" s="12" t="s">
        <v>37</v>
      </c>
      <c r="QF232" s="12" t="s">
        <v>37</v>
      </c>
      <c r="QK232" s="12" t="s">
        <v>37</v>
      </c>
      <c r="QL232" s="12" t="s">
        <v>37</v>
      </c>
      <c r="QM232" s="12" t="s">
        <v>37</v>
      </c>
      <c r="QN232" s="12" t="s">
        <v>37</v>
      </c>
      <c r="QO232" s="12" t="s">
        <v>37</v>
      </c>
      <c r="QP232" s="12" t="s">
        <v>37</v>
      </c>
      <c r="QQ232" s="12"/>
      <c r="QR232" s="12"/>
      <c r="QU232" s="12" t="s">
        <v>37</v>
      </c>
      <c r="QV232" s="12" t="s">
        <v>37</v>
      </c>
      <c r="QW232" s="12" t="s">
        <v>37</v>
      </c>
      <c r="QX232" s="12" t="s">
        <v>37</v>
      </c>
      <c r="QY232" s="12" t="s">
        <v>37</v>
      </c>
      <c r="QZ232" s="12" t="s">
        <v>37</v>
      </c>
      <c r="RC232" s="12" t="s">
        <v>37</v>
      </c>
      <c r="RD232" s="12" t="s">
        <v>37</v>
      </c>
      <c r="RE232" s="13" t="s">
        <v>37</v>
      </c>
      <c r="RF232" s="12" t="s">
        <v>37</v>
      </c>
      <c r="RG232" s="12" t="s">
        <v>37</v>
      </c>
      <c r="RH232" s="13" t="s">
        <v>37</v>
      </c>
      <c r="RK232" s="12" t="s">
        <v>37</v>
      </c>
      <c r="RL232" s="12" t="s">
        <v>37</v>
      </c>
      <c r="RM232" s="11" t="s">
        <v>37</v>
      </c>
      <c r="RN232" s="12" t="s">
        <v>37</v>
      </c>
      <c r="RO232" s="12" t="s">
        <v>37</v>
      </c>
      <c r="RP232" s="11" t="s">
        <v>37</v>
      </c>
      <c r="RS232" s="12" t="s">
        <v>37</v>
      </c>
      <c r="RT232" s="12" t="s">
        <v>37</v>
      </c>
      <c r="RU232" s="12" t="s">
        <v>37</v>
      </c>
      <c r="RV232" s="12" t="s">
        <v>37</v>
      </c>
      <c r="RW232" s="12" t="s">
        <v>37</v>
      </c>
      <c r="RX232" s="12" t="s">
        <v>37</v>
      </c>
      <c r="SA232" s="12" t="s">
        <v>37</v>
      </c>
      <c r="SB232" s="12" t="s">
        <v>37</v>
      </c>
      <c r="SC232" s="12" t="s">
        <v>37</v>
      </c>
      <c r="SD232" s="12" t="s">
        <v>37</v>
      </c>
      <c r="SE232" s="12" t="s">
        <v>37</v>
      </c>
      <c r="SF232" s="12" t="s">
        <v>37</v>
      </c>
      <c r="SI232" s="12" t="s">
        <v>37</v>
      </c>
      <c r="SJ232" s="12" t="s">
        <v>37</v>
      </c>
      <c r="SK232" s="13" t="s">
        <v>37</v>
      </c>
      <c r="SM232" s="12" t="s">
        <v>37</v>
      </c>
      <c r="SN232" s="12" t="s">
        <v>37</v>
      </c>
      <c r="SO232" s="13" t="s">
        <v>37</v>
      </c>
      <c r="SU232" s="12" t="s">
        <v>37</v>
      </c>
      <c r="SV232" s="12" t="s">
        <v>37</v>
      </c>
      <c r="SW232" s="12" t="s">
        <v>37</v>
      </c>
      <c r="SX232" s="12" t="s">
        <v>37</v>
      </c>
      <c r="SY232" s="12" t="s">
        <v>37</v>
      </c>
      <c r="SZ232" s="12" t="s">
        <v>37</v>
      </c>
      <c r="TA232" s="12"/>
      <c r="TB232" s="12"/>
      <c r="TE232" s="12" t="s">
        <v>37</v>
      </c>
      <c r="TF232" s="12" t="s">
        <v>37</v>
      </c>
      <c r="TG232" s="12" t="s">
        <v>37</v>
      </c>
      <c r="TH232" s="12" t="s">
        <v>37</v>
      </c>
      <c r="TI232" s="12" t="s">
        <v>37</v>
      </c>
      <c r="TJ232" s="12" t="s">
        <v>37</v>
      </c>
      <c r="TK232" s="12"/>
      <c r="TL232" s="12"/>
      <c r="TO232" s="12" t="s">
        <v>37</v>
      </c>
      <c r="TP232" s="12" t="s">
        <v>37</v>
      </c>
      <c r="TQ232" s="12" t="s">
        <v>37</v>
      </c>
      <c r="TR232" s="12" t="s">
        <v>37</v>
      </c>
      <c r="TS232" s="12" t="s">
        <v>37</v>
      </c>
      <c r="TT232" s="12" t="s">
        <v>37</v>
      </c>
      <c r="TU232" s="12"/>
      <c r="TV232" s="12"/>
      <c r="TY232" s="12" t="s">
        <v>37</v>
      </c>
      <c r="TZ232" s="12" t="s">
        <v>37</v>
      </c>
      <c r="UA232" s="12" t="s">
        <v>37</v>
      </c>
      <c r="UB232" s="12" t="s">
        <v>37</v>
      </c>
      <c r="UC232" s="12" t="s">
        <v>37</v>
      </c>
      <c r="UD232" s="12" t="s">
        <v>37</v>
      </c>
      <c r="UE232" s="12"/>
      <c r="UF232" s="12"/>
      <c r="UI232" s="12" t="s">
        <v>37</v>
      </c>
      <c r="UJ232" s="12" t="s">
        <v>37</v>
      </c>
      <c r="UK232" s="12" t="s">
        <v>37</v>
      </c>
      <c r="UL232" s="12" t="s">
        <v>37</v>
      </c>
      <c r="UM232" s="12" t="s">
        <v>37</v>
      </c>
      <c r="UN232" s="12" t="s">
        <v>37</v>
      </c>
      <c r="UO232" s="12"/>
      <c r="UP232" s="12"/>
      <c r="UR232" s="12" t="s">
        <v>37</v>
      </c>
      <c r="US232" s="12" t="s">
        <v>37</v>
      </c>
      <c r="UT232" s="12" t="s">
        <v>37</v>
      </c>
      <c r="UU232" s="12" t="s">
        <v>37</v>
      </c>
      <c r="UV232" s="12" t="s">
        <v>37</v>
      </c>
      <c r="UW232" s="12" t="s">
        <v>37</v>
      </c>
      <c r="UX232" s="12"/>
      <c r="UY232" s="12"/>
      <c r="VB232" s="12" t="s">
        <v>37</v>
      </c>
      <c r="VC232" s="12" t="s">
        <v>37</v>
      </c>
      <c r="VD232" s="12" t="s">
        <v>37</v>
      </c>
      <c r="VE232" s="12" t="s">
        <v>37</v>
      </c>
      <c r="VF232" s="12" t="s">
        <v>37</v>
      </c>
      <c r="VG232" s="12" t="s">
        <v>37</v>
      </c>
      <c r="VI232" s="12" t="s">
        <v>37</v>
      </c>
      <c r="VJ232" s="12" t="s">
        <v>37</v>
      </c>
      <c r="VK232" s="12" t="s">
        <v>37</v>
      </c>
      <c r="VL232" s="12" t="s">
        <v>37</v>
      </c>
      <c r="VM232" s="12" t="s">
        <v>37</v>
      </c>
      <c r="VN232" s="12" t="s">
        <v>37</v>
      </c>
      <c r="VQ232" s="12" t="s">
        <v>37</v>
      </c>
      <c r="VR232" s="12" t="s">
        <v>37</v>
      </c>
      <c r="VS232" s="12" t="s">
        <v>37</v>
      </c>
      <c r="VT232" s="12" t="s">
        <v>37</v>
      </c>
      <c r="VU232" s="12" t="s">
        <v>37</v>
      </c>
      <c r="VV232" s="12" t="s">
        <v>37</v>
      </c>
      <c r="VW232" s="12"/>
      <c r="VX232" s="12"/>
      <c r="WA232" s="12" t="s">
        <v>37</v>
      </c>
      <c r="WB232" s="12" t="s">
        <v>37</v>
      </c>
      <c r="WC232" s="12" t="s">
        <v>37</v>
      </c>
      <c r="WD232" s="12" t="s">
        <v>37</v>
      </c>
      <c r="WE232" s="12" t="s">
        <v>37</v>
      </c>
      <c r="WF232" s="12" t="s">
        <v>37</v>
      </c>
    </row>
    <row r="233" spans="1:604" ht="18" customHeight="1" x14ac:dyDescent="0.3">
      <c r="A233" s="11">
        <v>64</v>
      </c>
      <c r="B233" s="16" t="s">
        <v>375</v>
      </c>
      <c r="C233" s="12" t="s">
        <v>26</v>
      </c>
      <c r="D233" s="12" t="s">
        <v>54</v>
      </c>
      <c r="E233" s="40">
        <v>2.2999999999999998</v>
      </c>
      <c r="F233" s="14">
        <v>0</v>
      </c>
      <c r="G233" s="14">
        <v>0</v>
      </c>
      <c r="H233" s="12" t="s">
        <v>123</v>
      </c>
      <c r="I233" s="29">
        <v>61.783000000000001</v>
      </c>
      <c r="J233" s="29">
        <v>24.3</v>
      </c>
      <c r="K233" s="12" t="s">
        <v>775</v>
      </c>
      <c r="L233" s="12" t="s">
        <v>709</v>
      </c>
      <c r="M233" s="13" t="s">
        <v>37</v>
      </c>
      <c r="N233" s="12" t="s">
        <v>37</v>
      </c>
      <c r="O233" s="12" t="s">
        <v>37</v>
      </c>
      <c r="P233" s="14" t="s">
        <v>84</v>
      </c>
      <c r="Q233" s="75">
        <v>30</v>
      </c>
      <c r="R233" s="11" t="s">
        <v>1000</v>
      </c>
      <c r="S233" s="12" t="s">
        <v>93</v>
      </c>
      <c r="T233" s="12" t="s">
        <v>141</v>
      </c>
      <c r="U233" s="12" t="s">
        <v>158</v>
      </c>
      <c r="V233" s="12" t="s">
        <v>275</v>
      </c>
      <c r="W233" s="23" t="s">
        <v>376</v>
      </c>
      <c r="X233" s="12" t="s">
        <v>280</v>
      </c>
      <c r="Y233" s="12" t="s">
        <v>37</v>
      </c>
      <c r="Z233" s="12" t="s">
        <v>37</v>
      </c>
      <c r="AA233" s="32" t="s">
        <v>345</v>
      </c>
      <c r="AB233" s="12">
        <v>3.8</v>
      </c>
      <c r="AE233" s="12" t="s">
        <v>37</v>
      </c>
      <c r="AF233" s="12" t="s">
        <v>42</v>
      </c>
      <c r="AG233" s="32" t="s">
        <v>372</v>
      </c>
      <c r="AH233" s="12">
        <v>5</v>
      </c>
      <c r="AK233" s="12" t="s">
        <v>37</v>
      </c>
      <c r="AL233" s="32" t="s">
        <v>37</v>
      </c>
      <c r="AM233" s="12" t="s">
        <v>344</v>
      </c>
      <c r="AO233" s="12" t="s">
        <v>37</v>
      </c>
      <c r="AP233" s="12" t="s">
        <v>37</v>
      </c>
      <c r="AQ233" s="12" t="s">
        <v>975</v>
      </c>
      <c r="AT233" s="12" t="s">
        <v>326</v>
      </c>
      <c r="AU233" s="12" t="s">
        <v>326</v>
      </c>
      <c r="AV233" s="13" t="s">
        <v>326</v>
      </c>
      <c r="AX233" s="12" t="s">
        <v>326</v>
      </c>
      <c r="AY233" s="12" t="s">
        <v>326</v>
      </c>
      <c r="AZ233" s="13" t="s">
        <v>326</v>
      </c>
      <c r="BE233" s="12" t="s">
        <v>326</v>
      </c>
      <c r="BF233" s="12" t="s">
        <v>326</v>
      </c>
      <c r="BG233" s="12" t="s">
        <v>326</v>
      </c>
      <c r="BI233" s="12" t="s">
        <v>326</v>
      </c>
      <c r="BJ233" s="12" t="s">
        <v>326</v>
      </c>
      <c r="BK233" s="12" t="s">
        <v>326</v>
      </c>
      <c r="BP233" s="12" t="s">
        <v>37</v>
      </c>
      <c r="BQ233" s="12" t="s">
        <v>37</v>
      </c>
      <c r="BR233" s="13" t="s">
        <v>37</v>
      </c>
      <c r="BT233" s="12" t="s">
        <v>37</v>
      </c>
      <c r="BU233" s="12" t="s">
        <v>37</v>
      </c>
      <c r="BV233" s="12" t="s">
        <v>37</v>
      </c>
      <c r="CA233" s="12" t="s">
        <v>37</v>
      </c>
      <c r="CB233" s="12" t="s">
        <v>37</v>
      </c>
      <c r="CC233" s="13" t="s">
        <v>37</v>
      </c>
      <c r="CE233" s="12" t="s">
        <v>37</v>
      </c>
      <c r="CF233" s="12" t="s">
        <v>37</v>
      </c>
      <c r="CG233" s="12" t="s">
        <v>37</v>
      </c>
      <c r="CN233" s="12" t="s">
        <v>37</v>
      </c>
      <c r="CO233" s="12" t="s">
        <v>37</v>
      </c>
      <c r="CP233" s="13" t="s">
        <v>37</v>
      </c>
      <c r="CR233" s="12" t="s">
        <v>37</v>
      </c>
      <c r="CS233" s="12" t="s">
        <v>37</v>
      </c>
      <c r="CT233" s="13" t="s">
        <v>37</v>
      </c>
      <c r="CX233" s="72"/>
      <c r="CY233" s="72"/>
      <c r="DA233" s="12" t="s">
        <v>37</v>
      </c>
      <c r="DB233" s="12" t="s">
        <v>37</v>
      </c>
      <c r="DC233" s="13" t="s">
        <v>37</v>
      </c>
      <c r="DE233" s="12" t="s">
        <v>37</v>
      </c>
      <c r="DF233" s="12" t="s">
        <v>37</v>
      </c>
      <c r="DG233" s="12" t="s">
        <v>37</v>
      </c>
      <c r="DN233" s="19" t="s">
        <v>37</v>
      </c>
      <c r="DO233" s="12" t="s">
        <v>37</v>
      </c>
      <c r="DP233" s="13" t="s">
        <v>37</v>
      </c>
      <c r="DR233" s="19" t="s">
        <v>37</v>
      </c>
      <c r="DS233" s="12" t="s">
        <v>37</v>
      </c>
      <c r="DT233" s="13" t="s">
        <v>37</v>
      </c>
      <c r="EA233" s="19" t="s">
        <v>37</v>
      </c>
      <c r="EB233" s="19" t="s">
        <v>37</v>
      </c>
      <c r="EC233" s="72" t="s">
        <v>37</v>
      </c>
      <c r="EE233" s="19" t="s">
        <v>37</v>
      </c>
      <c r="EF233" s="19" t="s">
        <v>37</v>
      </c>
      <c r="EG233" s="12" t="s">
        <v>37</v>
      </c>
      <c r="EM233" s="12" t="s">
        <v>39</v>
      </c>
      <c r="EN233" s="12">
        <v>-15</v>
      </c>
      <c r="EO233" s="50">
        <f t="shared" si="1108"/>
        <v>6.1124459812694001</v>
      </c>
      <c r="EP233" s="13">
        <v>3</v>
      </c>
      <c r="ER233" s="12">
        <v>-20</v>
      </c>
      <c r="ES233" s="50">
        <f t="shared" si="1116"/>
        <v>4.5362810701838834</v>
      </c>
      <c r="ET233" s="13">
        <v>3</v>
      </c>
      <c r="EV233" s="19">
        <f t="shared" si="1117"/>
        <v>-5</v>
      </c>
      <c r="EW233" s="12">
        <f t="shared" si="1118"/>
        <v>5.3823713092671834</v>
      </c>
      <c r="EX233" s="19">
        <f t="shared" si="1119"/>
        <v>19.313280607215024</v>
      </c>
      <c r="EY233" s="19">
        <f t="shared" si="1120"/>
        <v>19.313280607215024</v>
      </c>
      <c r="FB233" s="12" t="s">
        <v>37</v>
      </c>
      <c r="FC233" s="12" t="s">
        <v>37</v>
      </c>
      <c r="FD233" s="12" t="s">
        <v>37</v>
      </c>
      <c r="FE233" s="12" t="s">
        <v>37</v>
      </c>
      <c r="FF233" s="20" t="s">
        <v>37</v>
      </c>
      <c r="FG233" s="12" t="s">
        <v>37</v>
      </c>
      <c r="FI233" s="12" t="s">
        <v>37</v>
      </c>
      <c r="FJ233" s="12" t="s">
        <v>37</v>
      </c>
      <c r="FK233" s="12" t="s">
        <v>37</v>
      </c>
      <c r="FL233" s="12" t="s">
        <v>37</v>
      </c>
      <c r="FM233" s="12" t="s">
        <v>37</v>
      </c>
      <c r="FN233" s="12" t="s">
        <v>37</v>
      </c>
      <c r="FP233" s="12" t="s">
        <v>37</v>
      </c>
      <c r="FQ233" s="12" t="s">
        <v>37</v>
      </c>
      <c r="FR233" s="12" t="s">
        <v>37</v>
      </c>
      <c r="FS233" s="12" t="s">
        <v>37</v>
      </c>
      <c r="FT233" s="12" t="s">
        <v>37</v>
      </c>
      <c r="FU233" s="12" t="s">
        <v>37</v>
      </c>
      <c r="FW233" s="12" t="s">
        <v>37</v>
      </c>
      <c r="FX233" s="12" t="s">
        <v>37</v>
      </c>
      <c r="FY233" s="12" t="s">
        <v>37</v>
      </c>
      <c r="FZ233" s="12" t="s">
        <v>37</v>
      </c>
      <c r="GA233" s="12" t="s">
        <v>37</v>
      </c>
      <c r="GB233" s="12" t="s">
        <v>37</v>
      </c>
      <c r="HA233" s="17" t="s">
        <v>63</v>
      </c>
      <c r="HB233" s="34" t="s">
        <v>372</v>
      </c>
      <c r="HC233" s="12">
        <v>3.7999999999999999E-2</v>
      </c>
      <c r="HD233" s="50">
        <f t="shared" si="1127"/>
        <v>6.5516462395666568E-3</v>
      </c>
      <c r="HE233" s="13">
        <v>3</v>
      </c>
      <c r="HG233" s="12">
        <v>3.5999999999999997E-2</v>
      </c>
      <c r="HH233" s="50">
        <f t="shared" si="1128"/>
        <v>4.0267627188157826E-3</v>
      </c>
      <c r="HI233" s="13">
        <v>3</v>
      </c>
      <c r="HK233" s="19">
        <f t="shared" si="1129"/>
        <v>-5.4067221270275821E-2</v>
      </c>
      <c r="HL233" s="19">
        <f t="shared" si="1130"/>
        <v>1.4079080937294361E-2</v>
      </c>
      <c r="IK233" s="12" t="s">
        <v>37</v>
      </c>
      <c r="IL233" s="12" t="s">
        <v>37</v>
      </c>
      <c r="IM233" s="12" t="s">
        <v>37</v>
      </c>
      <c r="IO233" s="12" t="s">
        <v>37</v>
      </c>
      <c r="IP233" s="12" t="s">
        <v>37</v>
      </c>
      <c r="IQ233" s="12" t="s">
        <v>37</v>
      </c>
      <c r="IV233" s="32" t="s">
        <v>345</v>
      </c>
      <c r="IW233" s="12">
        <v>3.8</v>
      </c>
      <c r="IX233" s="50">
        <f t="shared" si="1131"/>
        <v>0.13912842198648792</v>
      </c>
      <c r="IY233" s="13">
        <v>3</v>
      </c>
      <c r="JA233" s="12">
        <v>3.8</v>
      </c>
      <c r="JB233" s="50">
        <f t="shared" si="1132"/>
        <v>0.10643347338567048</v>
      </c>
      <c r="JC233" s="13">
        <v>3</v>
      </c>
      <c r="JE233" s="19">
        <f t="shared" si="1133"/>
        <v>0</v>
      </c>
      <c r="JF233" s="19">
        <f t="shared" si="1134"/>
        <v>7.083287641133075E-4</v>
      </c>
      <c r="JH233" s="12" t="s">
        <v>37</v>
      </c>
      <c r="JI233" s="12" t="s">
        <v>37</v>
      </c>
      <c r="JJ233" s="13" t="s">
        <v>37</v>
      </c>
      <c r="JL233" s="12" t="s">
        <v>37</v>
      </c>
      <c r="JM233" s="12" t="s">
        <v>37</v>
      </c>
      <c r="JN233" s="12" t="s">
        <v>37</v>
      </c>
      <c r="JS233" s="12" t="s">
        <v>37</v>
      </c>
      <c r="JT233" s="12" t="s">
        <v>37</v>
      </c>
      <c r="JU233" s="13" t="s">
        <v>37</v>
      </c>
      <c r="JW233" s="12" t="s">
        <v>37</v>
      </c>
      <c r="JX233" s="12" t="s">
        <v>37</v>
      </c>
      <c r="JY233" s="12" t="s">
        <v>37</v>
      </c>
      <c r="KE233" s="12" t="s">
        <v>37</v>
      </c>
      <c r="KF233" s="12" t="s">
        <v>37</v>
      </c>
      <c r="KG233" s="13" t="s">
        <v>37</v>
      </c>
      <c r="KH233" s="12" t="s">
        <v>37</v>
      </c>
      <c r="KI233" s="12" t="s">
        <v>37</v>
      </c>
      <c r="KJ233" s="12" t="s">
        <v>37</v>
      </c>
      <c r="KK233" s="12" t="s">
        <v>42</v>
      </c>
      <c r="KL233" s="32" t="s">
        <v>372</v>
      </c>
      <c r="KM233" s="12">
        <v>5</v>
      </c>
      <c r="KN233" s="50">
        <f t="shared" si="1135"/>
        <v>0.59646520692429739</v>
      </c>
      <c r="KO233" s="11">
        <v>3</v>
      </c>
      <c r="KQ233" s="12">
        <v>5</v>
      </c>
      <c r="KR233" s="50">
        <f t="shared" si="1136"/>
        <v>0.52721715084318377</v>
      </c>
      <c r="KS233" s="11">
        <v>3</v>
      </c>
      <c r="KU233" s="19">
        <f t="shared" si="1137"/>
        <v>0</v>
      </c>
      <c r="KV233" s="19">
        <f t="shared" si="1138"/>
        <v>8.4497155628593234E-3</v>
      </c>
      <c r="KX233" s="12" t="s">
        <v>37</v>
      </c>
      <c r="KY233" s="12" t="s">
        <v>37</v>
      </c>
      <c r="KZ233" s="12" t="s">
        <v>37</v>
      </c>
      <c r="LB233" s="12" t="s">
        <v>37</v>
      </c>
      <c r="LC233" s="12" t="s">
        <v>37</v>
      </c>
      <c r="LD233" s="12" t="s">
        <v>37</v>
      </c>
      <c r="LI233" s="12" t="s">
        <v>37</v>
      </c>
      <c r="LJ233" s="12" t="s">
        <v>37</v>
      </c>
      <c r="LK233" s="12" t="s">
        <v>37</v>
      </c>
      <c r="LM233" s="12" t="s">
        <v>37</v>
      </c>
      <c r="LN233" s="12" t="s">
        <v>37</v>
      </c>
      <c r="LO233" s="12" t="s">
        <v>37</v>
      </c>
      <c r="LU233" s="12" t="s">
        <v>37</v>
      </c>
      <c r="LV233" s="12" t="s">
        <v>37</v>
      </c>
      <c r="LW233" s="12" t="s">
        <v>37</v>
      </c>
      <c r="LY233" s="12" t="s">
        <v>37</v>
      </c>
      <c r="LZ233" s="12" t="s">
        <v>37</v>
      </c>
      <c r="MA233" s="12" t="s">
        <v>37</v>
      </c>
      <c r="MF233" s="12" t="s">
        <v>37</v>
      </c>
      <c r="MG233" s="12" t="s">
        <v>37</v>
      </c>
      <c r="MH233" s="12" t="s">
        <v>37</v>
      </c>
      <c r="MJ233" s="12" t="s">
        <v>37</v>
      </c>
      <c r="MK233" s="12" t="s">
        <v>37</v>
      </c>
      <c r="ML233" s="12" t="s">
        <v>37</v>
      </c>
      <c r="MQ233" s="12" t="s">
        <v>37</v>
      </c>
      <c r="MR233" s="12" t="s">
        <v>37</v>
      </c>
      <c r="MS233" s="12" t="s">
        <v>37</v>
      </c>
      <c r="MU233" s="12" t="s">
        <v>37</v>
      </c>
      <c r="MV233" s="12" t="s">
        <v>37</v>
      </c>
      <c r="MW233" s="12" t="s">
        <v>37</v>
      </c>
      <c r="NC233" s="12" t="s">
        <v>37</v>
      </c>
      <c r="ND233" s="12" t="s">
        <v>37</v>
      </c>
      <c r="NE233" s="12" t="s">
        <v>37</v>
      </c>
      <c r="NG233" s="12" t="s">
        <v>37</v>
      </c>
      <c r="NH233" s="12" t="s">
        <v>37</v>
      </c>
      <c r="NI233" s="12" t="s">
        <v>37</v>
      </c>
      <c r="NO233" s="12" t="s">
        <v>37</v>
      </c>
      <c r="NP233" s="12" t="s">
        <v>37</v>
      </c>
      <c r="NQ233" s="12" t="s">
        <v>37</v>
      </c>
      <c r="NS233" s="12" t="s">
        <v>37</v>
      </c>
      <c r="NT233" s="12" t="s">
        <v>37</v>
      </c>
      <c r="NU233" s="12" t="s">
        <v>37</v>
      </c>
      <c r="OA233" s="12" t="s">
        <v>37</v>
      </c>
      <c r="OB233" s="12" t="s">
        <v>37</v>
      </c>
      <c r="OC233" s="12" t="s">
        <v>37</v>
      </c>
      <c r="OD233" s="12"/>
      <c r="OE233" s="12" t="s">
        <v>37</v>
      </c>
      <c r="OF233" s="12" t="s">
        <v>37</v>
      </c>
      <c r="OG233" s="12" t="s">
        <v>37</v>
      </c>
      <c r="OH233" s="12"/>
      <c r="OI233" s="12"/>
      <c r="OJ233" s="12"/>
      <c r="OM233" s="12" t="s">
        <v>37</v>
      </c>
      <c r="ON233" s="12" t="s">
        <v>37</v>
      </c>
      <c r="OO233" s="12" t="s">
        <v>37</v>
      </c>
      <c r="OP233" s="12" t="s">
        <v>37</v>
      </c>
      <c r="OQ233" s="12" t="s">
        <v>37</v>
      </c>
      <c r="OR233" s="12" t="s">
        <v>37</v>
      </c>
      <c r="OS233" s="12"/>
      <c r="OT233" s="12"/>
      <c r="OW233" s="12" t="s">
        <v>37</v>
      </c>
      <c r="OX233" s="12" t="s">
        <v>37</v>
      </c>
      <c r="OY233" s="13" t="s">
        <v>37</v>
      </c>
      <c r="OZ233" s="12" t="s">
        <v>37</v>
      </c>
      <c r="PA233" s="12" t="s">
        <v>37</v>
      </c>
      <c r="PB233" s="13" t="s">
        <v>37</v>
      </c>
      <c r="PG233" s="12" t="s">
        <v>37</v>
      </c>
      <c r="PH233" s="12" t="s">
        <v>37</v>
      </c>
      <c r="PI233" s="12" t="s">
        <v>37</v>
      </c>
      <c r="PJ233" s="12" t="s">
        <v>37</v>
      </c>
      <c r="PK233" s="12" t="s">
        <v>37</v>
      </c>
      <c r="PL233" s="12" t="s">
        <v>37</v>
      </c>
      <c r="PM233" s="12"/>
      <c r="PN233" s="12"/>
      <c r="PQ233" s="12" t="s">
        <v>37</v>
      </c>
      <c r="PR233" s="12" t="s">
        <v>37</v>
      </c>
      <c r="PS233" s="12" t="s">
        <v>37</v>
      </c>
      <c r="PT233" s="12" t="s">
        <v>37</v>
      </c>
      <c r="PU233" s="12" t="s">
        <v>37</v>
      </c>
      <c r="PV233" s="12" t="s">
        <v>37</v>
      </c>
      <c r="PW233" s="12"/>
      <c r="PX233" s="12"/>
      <c r="PZ233" s="12" t="s">
        <v>37</v>
      </c>
      <c r="QA233" s="12" t="s">
        <v>37</v>
      </c>
      <c r="QB233" s="12" t="s">
        <v>37</v>
      </c>
      <c r="QD233" s="12" t="s">
        <v>37</v>
      </c>
      <c r="QE233" s="12" t="s">
        <v>37</v>
      </c>
      <c r="QF233" s="12" t="s">
        <v>37</v>
      </c>
      <c r="QK233" s="12" t="s">
        <v>37</v>
      </c>
      <c r="QL233" s="12" t="s">
        <v>37</v>
      </c>
      <c r="QM233" s="12" t="s">
        <v>37</v>
      </c>
      <c r="QN233" s="12" t="s">
        <v>37</v>
      </c>
      <c r="QO233" s="12" t="s">
        <v>37</v>
      </c>
      <c r="QP233" s="12" t="s">
        <v>37</v>
      </c>
      <c r="QQ233" s="12"/>
      <c r="QR233" s="12"/>
      <c r="QU233" s="12" t="s">
        <v>37</v>
      </c>
      <c r="QV233" s="12" t="s">
        <v>37</v>
      </c>
      <c r="QW233" s="12" t="s">
        <v>37</v>
      </c>
      <c r="QX233" s="12" t="s">
        <v>37</v>
      </c>
      <c r="QY233" s="12" t="s">
        <v>37</v>
      </c>
      <c r="QZ233" s="12" t="s">
        <v>37</v>
      </c>
      <c r="RC233" s="12" t="s">
        <v>37</v>
      </c>
      <c r="RD233" s="12" t="s">
        <v>37</v>
      </c>
      <c r="RE233" s="13" t="s">
        <v>37</v>
      </c>
      <c r="RF233" s="12" t="s">
        <v>37</v>
      </c>
      <c r="RG233" s="12" t="s">
        <v>37</v>
      </c>
      <c r="RH233" s="13" t="s">
        <v>37</v>
      </c>
      <c r="RK233" s="12" t="s">
        <v>37</v>
      </c>
      <c r="RL233" s="12" t="s">
        <v>37</v>
      </c>
      <c r="RM233" s="11" t="s">
        <v>37</v>
      </c>
      <c r="RN233" s="12" t="s">
        <v>37</v>
      </c>
      <c r="RO233" s="12" t="s">
        <v>37</v>
      </c>
      <c r="RP233" s="11" t="s">
        <v>37</v>
      </c>
      <c r="RS233" s="12" t="s">
        <v>37</v>
      </c>
      <c r="RT233" s="12" t="s">
        <v>37</v>
      </c>
      <c r="RU233" s="12" t="s">
        <v>37</v>
      </c>
      <c r="RV233" s="12" t="s">
        <v>37</v>
      </c>
      <c r="RW233" s="12" t="s">
        <v>37</v>
      </c>
      <c r="RX233" s="12" t="s">
        <v>37</v>
      </c>
      <c r="SA233" s="12" t="s">
        <v>37</v>
      </c>
      <c r="SB233" s="12" t="s">
        <v>37</v>
      </c>
      <c r="SC233" s="12" t="s">
        <v>37</v>
      </c>
      <c r="SD233" s="12" t="s">
        <v>37</v>
      </c>
      <c r="SE233" s="12" t="s">
        <v>37</v>
      </c>
      <c r="SF233" s="12" t="s">
        <v>37</v>
      </c>
      <c r="SI233" s="12" t="s">
        <v>37</v>
      </c>
      <c r="SJ233" s="12" t="s">
        <v>37</v>
      </c>
      <c r="SK233" s="13" t="s">
        <v>37</v>
      </c>
      <c r="SM233" s="12" t="s">
        <v>37</v>
      </c>
      <c r="SN233" s="12" t="s">
        <v>37</v>
      </c>
      <c r="SO233" s="13" t="s">
        <v>37</v>
      </c>
      <c r="SU233" s="12" t="s">
        <v>37</v>
      </c>
      <c r="SV233" s="12" t="s">
        <v>37</v>
      </c>
      <c r="SW233" s="12" t="s">
        <v>37</v>
      </c>
      <c r="SX233" s="12" t="s">
        <v>37</v>
      </c>
      <c r="SY233" s="12" t="s">
        <v>37</v>
      </c>
      <c r="SZ233" s="12" t="s">
        <v>37</v>
      </c>
      <c r="TA233" s="12"/>
      <c r="TB233" s="12"/>
      <c r="TE233" s="12" t="s">
        <v>37</v>
      </c>
      <c r="TF233" s="12" t="s">
        <v>37</v>
      </c>
      <c r="TG233" s="12" t="s">
        <v>37</v>
      </c>
      <c r="TH233" s="12" t="s">
        <v>37</v>
      </c>
      <c r="TI233" s="12" t="s">
        <v>37</v>
      </c>
      <c r="TJ233" s="12" t="s">
        <v>37</v>
      </c>
      <c r="TK233" s="12"/>
      <c r="TL233" s="12"/>
      <c r="TO233" s="12" t="s">
        <v>37</v>
      </c>
      <c r="TP233" s="12" t="s">
        <v>37</v>
      </c>
      <c r="TQ233" s="12" t="s">
        <v>37</v>
      </c>
      <c r="TR233" s="12" t="s">
        <v>37</v>
      </c>
      <c r="TS233" s="12" t="s">
        <v>37</v>
      </c>
      <c r="TT233" s="12" t="s">
        <v>37</v>
      </c>
      <c r="TU233" s="12"/>
      <c r="TV233" s="12"/>
      <c r="TY233" s="12" t="s">
        <v>37</v>
      </c>
      <c r="TZ233" s="12" t="s">
        <v>37</v>
      </c>
      <c r="UA233" s="12" t="s">
        <v>37</v>
      </c>
      <c r="UB233" s="12" t="s">
        <v>37</v>
      </c>
      <c r="UC233" s="12" t="s">
        <v>37</v>
      </c>
      <c r="UD233" s="12" t="s">
        <v>37</v>
      </c>
      <c r="UE233" s="12"/>
      <c r="UF233" s="12"/>
      <c r="UI233" s="12" t="s">
        <v>37</v>
      </c>
      <c r="UJ233" s="12" t="s">
        <v>37</v>
      </c>
      <c r="UK233" s="12" t="s">
        <v>37</v>
      </c>
      <c r="UL233" s="12" t="s">
        <v>37</v>
      </c>
      <c r="UM233" s="12" t="s">
        <v>37</v>
      </c>
      <c r="UN233" s="12" t="s">
        <v>37</v>
      </c>
      <c r="UO233" s="12"/>
      <c r="UP233" s="12"/>
      <c r="UR233" s="12" t="s">
        <v>37</v>
      </c>
      <c r="US233" s="12" t="s">
        <v>37</v>
      </c>
      <c r="UT233" s="12" t="s">
        <v>37</v>
      </c>
      <c r="UU233" s="12" t="s">
        <v>37</v>
      </c>
      <c r="UV233" s="12" t="s">
        <v>37</v>
      </c>
      <c r="UW233" s="12" t="s">
        <v>37</v>
      </c>
      <c r="UX233" s="12"/>
      <c r="UY233" s="12"/>
      <c r="VB233" s="12" t="s">
        <v>37</v>
      </c>
      <c r="VC233" s="12" t="s">
        <v>37</v>
      </c>
      <c r="VD233" s="12" t="s">
        <v>37</v>
      </c>
      <c r="VE233" s="12" t="s">
        <v>37</v>
      </c>
      <c r="VF233" s="12" t="s">
        <v>37</v>
      </c>
      <c r="VG233" s="12" t="s">
        <v>37</v>
      </c>
      <c r="VI233" s="12" t="s">
        <v>37</v>
      </c>
      <c r="VJ233" s="12" t="s">
        <v>37</v>
      </c>
      <c r="VK233" s="12" t="s">
        <v>37</v>
      </c>
      <c r="VL233" s="12" t="s">
        <v>37</v>
      </c>
      <c r="VM233" s="12" t="s">
        <v>37</v>
      </c>
      <c r="VN233" s="12" t="s">
        <v>37</v>
      </c>
      <c r="VQ233" s="12" t="s">
        <v>37</v>
      </c>
      <c r="VR233" s="12" t="s">
        <v>37</v>
      </c>
      <c r="VS233" s="12" t="s">
        <v>37</v>
      </c>
      <c r="VT233" s="12" t="s">
        <v>37</v>
      </c>
      <c r="VU233" s="12" t="s">
        <v>37</v>
      </c>
      <c r="VV233" s="12" t="s">
        <v>37</v>
      </c>
      <c r="VW233" s="12"/>
      <c r="VX233" s="12"/>
      <c r="WA233" s="12" t="s">
        <v>37</v>
      </c>
      <c r="WB233" s="12" t="s">
        <v>37</v>
      </c>
      <c r="WC233" s="12" t="s">
        <v>37</v>
      </c>
      <c r="WD233" s="12" t="s">
        <v>37</v>
      </c>
      <c r="WE233" s="12" t="s">
        <v>37</v>
      </c>
      <c r="WF233" s="12" t="s">
        <v>37</v>
      </c>
    </row>
    <row r="234" spans="1:604" ht="18" customHeight="1" x14ac:dyDescent="0.3">
      <c r="A234" s="11">
        <v>64</v>
      </c>
      <c r="B234" s="16" t="s">
        <v>375</v>
      </c>
      <c r="C234" s="12" t="s">
        <v>26</v>
      </c>
      <c r="D234" s="12" t="s">
        <v>54</v>
      </c>
      <c r="E234" s="40">
        <v>3.3</v>
      </c>
      <c r="F234" s="14">
        <v>0</v>
      </c>
      <c r="G234" s="14">
        <v>0</v>
      </c>
      <c r="H234" s="12" t="s">
        <v>123</v>
      </c>
      <c r="I234" s="29">
        <v>61.783000000000001</v>
      </c>
      <c r="J234" s="29">
        <v>24.3</v>
      </c>
      <c r="K234" s="12" t="s">
        <v>775</v>
      </c>
      <c r="L234" s="12" t="s">
        <v>709</v>
      </c>
      <c r="M234" s="13" t="s">
        <v>37</v>
      </c>
      <c r="N234" s="12" t="s">
        <v>37</v>
      </c>
      <c r="O234" s="12" t="s">
        <v>37</v>
      </c>
      <c r="P234" s="14" t="s">
        <v>84</v>
      </c>
      <c r="Q234" s="75">
        <v>30</v>
      </c>
      <c r="R234" s="11" t="s">
        <v>1000</v>
      </c>
      <c r="S234" s="12" t="s">
        <v>93</v>
      </c>
      <c r="T234" s="12" t="s">
        <v>141</v>
      </c>
      <c r="U234" s="12" t="s">
        <v>158</v>
      </c>
      <c r="V234" s="12" t="s">
        <v>275</v>
      </c>
      <c r="W234" s="23" t="s">
        <v>376</v>
      </c>
      <c r="X234" s="12" t="s">
        <v>280</v>
      </c>
      <c r="Y234" s="12" t="s">
        <v>37</v>
      </c>
      <c r="Z234" s="12" t="s">
        <v>37</v>
      </c>
      <c r="AA234" s="32" t="s">
        <v>345</v>
      </c>
      <c r="AB234" s="12">
        <v>3.8</v>
      </c>
      <c r="AE234" s="12" t="s">
        <v>37</v>
      </c>
      <c r="AF234" s="12" t="s">
        <v>42</v>
      </c>
      <c r="AG234" s="32" t="s">
        <v>372</v>
      </c>
      <c r="AH234" s="12">
        <v>5</v>
      </c>
      <c r="AK234" s="12" t="s">
        <v>37</v>
      </c>
      <c r="AL234" s="32" t="s">
        <v>37</v>
      </c>
      <c r="AM234" s="12" t="s">
        <v>344</v>
      </c>
      <c r="AO234" s="12" t="s">
        <v>37</v>
      </c>
      <c r="AP234" s="12" t="s">
        <v>37</v>
      </c>
      <c r="AQ234" s="12" t="s">
        <v>975</v>
      </c>
      <c r="AT234" s="12" t="s">
        <v>326</v>
      </c>
      <c r="AU234" s="12" t="s">
        <v>326</v>
      </c>
      <c r="AV234" s="13" t="s">
        <v>326</v>
      </c>
      <c r="AX234" s="12" t="s">
        <v>326</v>
      </c>
      <c r="AY234" s="12" t="s">
        <v>326</v>
      </c>
      <c r="AZ234" s="13" t="s">
        <v>326</v>
      </c>
      <c r="BE234" s="12" t="s">
        <v>326</v>
      </c>
      <c r="BF234" s="12" t="s">
        <v>326</v>
      </c>
      <c r="BG234" s="12" t="s">
        <v>326</v>
      </c>
      <c r="BI234" s="12" t="s">
        <v>326</v>
      </c>
      <c r="BJ234" s="12" t="s">
        <v>326</v>
      </c>
      <c r="BK234" s="12" t="s">
        <v>326</v>
      </c>
      <c r="BP234" s="12" t="s">
        <v>37</v>
      </c>
      <c r="BQ234" s="12" t="s">
        <v>37</v>
      </c>
      <c r="BR234" s="13" t="s">
        <v>37</v>
      </c>
      <c r="BT234" s="12" t="s">
        <v>37</v>
      </c>
      <c r="BU234" s="12" t="s">
        <v>37</v>
      </c>
      <c r="BV234" s="12" t="s">
        <v>37</v>
      </c>
      <c r="CA234" s="12" t="s">
        <v>37</v>
      </c>
      <c r="CB234" s="12" t="s">
        <v>37</v>
      </c>
      <c r="CC234" s="13" t="s">
        <v>37</v>
      </c>
      <c r="CE234" s="12" t="s">
        <v>37</v>
      </c>
      <c r="CF234" s="12" t="s">
        <v>37</v>
      </c>
      <c r="CG234" s="12" t="s">
        <v>37</v>
      </c>
      <c r="CN234" s="12" t="s">
        <v>37</v>
      </c>
      <c r="CO234" s="12" t="s">
        <v>37</v>
      </c>
      <c r="CP234" s="13" t="s">
        <v>37</v>
      </c>
      <c r="CR234" s="12" t="s">
        <v>37</v>
      </c>
      <c r="CS234" s="12" t="s">
        <v>37</v>
      </c>
      <c r="CT234" s="13" t="s">
        <v>37</v>
      </c>
      <c r="CX234" s="72"/>
      <c r="CY234" s="72"/>
      <c r="DA234" s="12" t="s">
        <v>37</v>
      </c>
      <c r="DB234" s="12" t="s">
        <v>37</v>
      </c>
      <c r="DC234" s="13" t="s">
        <v>37</v>
      </c>
      <c r="DE234" s="12" t="s">
        <v>37</v>
      </c>
      <c r="DF234" s="12" t="s">
        <v>37</v>
      </c>
      <c r="DG234" s="12" t="s">
        <v>37</v>
      </c>
      <c r="DN234" s="19" t="s">
        <v>37</v>
      </c>
      <c r="DO234" s="12" t="s">
        <v>37</v>
      </c>
      <c r="DP234" s="13" t="s">
        <v>37</v>
      </c>
      <c r="DR234" s="19" t="s">
        <v>37</v>
      </c>
      <c r="DS234" s="12" t="s">
        <v>37</v>
      </c>
      <c r="DT234" s="13" t="s">
        <v>37</v>
      </c>
      <c r="EA234" s="19" t="s">
        <v>37</v>
      </c>
      <c r="EB234" s="19" t="s">
        <v>37</v>
      </c>
      <c r="EC234" s="72" t="s">
        <v>37</v>
      </c>
      <c r="EE234" s="19" t="s">
        <v>37</v>
      </c>
      <c r="EF234" s="19" t="s">
        <v>37</v>
      </c>
      <c r="EG234" s="12" t="s">
        <v>37</v>
      </c>
      <c r="EM234" s="12" t="s">
        <v>39</v>
      </c>
      <c r="EN234" s="12">
        <v>-15</v>
      </c>
      <c r="EO234" s="50">
        <f t="shared" si="1108"/>
        <v>6.1124459812694001</v>
      </c>
      <c r="EP234" s="13">
        <v>3</v>
      </c>
      <c r="ER234" s="12">
        <v>-20</v>
      </c>
      <c r="ES234" s="50">
        <f t="shared" si="1116"/>
        <v>4.5362810701838834</v>
      </c>
      <c r="ET234" s="13">
        <v>3</v>
      </c>
      <c r="EV234" s="19">
        <f t="shared" si="1117"/>
        <v>-5</v>
      </c>
      <c r="EW234" s="12">
        <f t="shared" si="1118"/>
        <v>5.3823713092671834</v>
      </c>
      <c r="EX234" s="19">
        <f t="shared" si="1119"/>
        <v>19.313280607215024</v>
      </c>
      <c r="EY234" s="19">
        <f t="shared" si="1120"/>
        <v>19.313280607215024</v>
      </c>
      <c r="FB234" s="12" t="s">
        <v>37</v>
      </c>
      <c r="FC234" s="12" t="s">
        <v>37</v>
      </c>
      <c r="FD234" s="12" t="s">
        <v>37</v>
      </c>
      <c r="FE234" s="12" t="s">
        <v>37</v>
      </c>
      <c r="FF234" s="20" t="s">
        <v>37</v>
      </c>
      <c r="FG234" s="12" t="s">
        <v>37</v>
      </c>
      <c r="FI234" s="12" t="s">
        <v>37</v>
      </c>
      <c r="FJ234" s="12" t="s">
        <v>37</v>
      </c>
      <c r="FK234" s="12" t="s">
        <v>37</v>
      </c>
      <c r="FL234" s="12" t="s">
        <v>37</v>
      </c>
      <c r="FM234" s="12" t="s">
        <v>37</v>
      </c>
      <c r="FN234" s="12" t="s">
        <v>37</v>
      </c>
      <c r="FP234" s="12" t="s">
        <v>37</v>
      </c>
      <c r="FQ234" s="12" t="s">
        <v>37</v>
      </c>
      <c r="FR234" s="12" t="s">
        <v>37</v>
      </c>
      <c r="FS234" s="12" t="s">
        <v>37</v>
      </c>
      <c r="FT234" s="12" t="s">
        <v>37</v>
      </c>
      <c r="FU234" s="12" t="s">
        <v>37</v>
      </c>
      <c r="FW234" s="12" t="s">
        <v>37</v>
      </c>
      <c r="FX234" s="12" t="s">
        <v>37</v>
      </c>
      <c r="FY234" s="12" t="s">
        <v>37</v>
      </c>
      <c r="FZ234" s="12" t="s">
        <v>37</v>
      </c>
      <c r="GA234" s="12" t="s">
        <v>37</v>
      </c>
      <c r="GB234" s="12" t="s">
        <v>37</v>
      </c>
      <c r="HA234" s="17" t="s">
        <v>63</v>
      </c>
      <c r="HB234" s="34" t="s">
        <v>372</v>
      </c>
      <c r="HC234" s="12">
        <v>3.7999999999999999E-2</v>
      </c>
      <c r="HD234" s="50">
        <f t="shared" si="1127"/>
        <v>6.5516462395666568E-3</v>
      </c>
      <c r="HE234" s="13">
        <v>3</v>
      </c>
      <c r="HG234" s="12">
        <v>3.5999999999999997E-2</v>
      </c>
      <c r="HH234" s="50">
        <f t="shared" si="1128"/>
        <v>4.0267627188157826E-3</v>
      </c>
      <c r="HI234" s="13">
        <v>3</v>
      </c>
      <c r="HK234" s="19">
        <f t="shared" si="1129"/>
        <v>-5.4067221270275821E-2</v>
      </c>
      <c r="HL234" s="19">
        <f t="shared" si="1130"/>
        <v>1.4079080937294361E-2</v>
      </c>
      <c r="IK234" s="12" t="s">
        <v>37</v>
      </c>
      <c r="IL234" s="12" t="s">
        <v>37</v>
      </c>
      <c r="IM234" s="12" t="s">
        <v>37</v>
      </c>
      <c r="IO234" s="12" t="s">
        <v>37</v>
      </c>
      <c r="IP234" s="12" t="s">
        <v>37</v>
      </c>
      <c r="IQ234" s="12" t="s">
        <v>37</v>
      </c>
      <c r="IV234" s="32" t="s">
        <v>345</v>
      </c>
      <c r="IW234" s="12">
        <v>3.8</v>
      </c>
      <c r="IX234" s="50">
        <f t="shared" si="1131"/>
        <v>0.13912842198648792</v>
      </c>
      <c r="IY234" s="13">
        <v>3</v>
      </c>
      <c r="JA234" s="12">
        <v>3.8</v>
      </c>
      <c r="JB234" s="50">
        <f t="shared" si="1132"/>
        <v>0.10643347338567048</v>
      </c>
      <c r="JC234" s="13">
        <v>3</v>
      </c>
      <c r="JE234" s="19">
        <f t="shared" si="1133"/>
        <v>0</v>
      </c>
      <c r="JF234" s="19">
        <f t="shared" si="1134"/>
        <v>7.083287641133075E-4</v>
      </c>
      <c r="JH234" s="12" t="s">
        <v>37</v>
      </c>
      <c r="JI234" s="12" t="s">
        <v>37</v>
      </c>
      <c r="JJ234" s="13" t="s">
        <v>37</v>
      </c>
      <c r="JL234" s="12" t="s">
        <v>37</v>
      </c>
      <c r="JM234" s="12" t="s">
        <v>37</v>
      </c>
      <c r="JN234" s="12" t="s">
        <v>37</v>
      </c>
      <c r="JS234" s="12" t="s">
        <v>37</v>
      </c>
      <c r="JT234" s="12" t="s">
        <v>37</v>
      </c>
      <c r="JU234" s="13" t="s">
        <v>37</v>
      </c>
      <c r="JW234" s="12" t="s">
        <v>37</v>
      </c>
      <c r="JX234" s="12" t="s">
        <v>37</v>
      </c>
      <c r="JY234" s="12" t="s">
        <v>37</v>
      </c>
      <c r="KE234" s="12" t="s">
        <v>37</v>
      </c>
      <c r="KF234" s="12" t="s">
        <v>37</v>
      </c>
      <c r="KG234" s="13" t="s">
        <v>37</v>
      </c>
      <c r="KH234" s="12" t="s">
        <v>37</v>
      </c>
      <c r="KI234" s="12" t="s">
        <v>37</v>
      </c>
      <c r="KJ234" s="12" t="s">
        <v>37</v>
      </c>
      <c r="KK234" s="12" t="s">
        <v>42</v>
      </c>
      <c r="KL234" s="32" t="s">
        <v>372</v>
      </c>
      <c r="KM234" s="12">
        <v>5</v>
      </c>
      <c r="KN234" s="50">
        <f t="shared" si="1135"/>
        <v>0.59646520692429739</v>
      </c>
      <c r="KO234" s="11">
        <v>3</v>
      </c>
      <c r="KQ234" s="12">
        <v>5</v>
      </c>
      <c r="KR234" s="50">
        <f t="shared" si="1136"/>
        <v>0.52721715084318377</v>
      </c>
      <c r="KS234" s="11">
        <v>3</v>
      </c>
      <c r="KU234" s="19">
        <f t="shared" si="1137"/>
        <v>0</v>
      </c>
      <c r="KV234" s="19">
        <f t="shared" si="1138"/>
        <v>8.4497155628593234E-3</v>
      </c>
      <c r="KX234" s="12" t="s">
        <v>37</v>
      </c>
      <c r="KY234" s="12" t="s">
        <v>37</v>
      </c>
      <c r="KZ234" s="12" t="s">
        <v>37</v>
      </c>
      <c r="LB234" s="12" t="s">
        <v>37</v>
      </c>
      <c r="LC234" s="12" t="s">
        <v>37</v>
      </c>
      <c r="LD234" s="12" t="s">
        <v>37</v>
      </c>
      <c r="LI234" s="12" t="s">
        <v>37</v>
      </c>
      <c r="LJ234" s="12" t="s">
        <v>37</v>
      </c>
      <c r="LK234" s="12" t="s">
        <v>37</v>
      </c>
      <c r="LM234" s="12" t="s">
        <v>37</v>
      </c>
      <c r="LN234" s="12" t="s">
        <v>37</v>
      </c>
      <c r="LO234" s="12" t="s">
        <v>37</v>
      </c>
      <c r="LU234" s="12" t="s">
        <v>37</v>
      </c>
      <c r="LV234" s="12" t="s">
        <v>37</v>
      </c>
      <c r="LW234" s="12" t="s">
        <v>37</v>
      </c>
      <c r="LY234" s="12" t="s">
        <v>37</v>
      </c>
      <c r="LZ234" s="12" t="s">
        <v>37</v>
      </c>
      <c r="MA234" s="12" t="s">
        <v>37</v>
      </c>
      <c r="MF234" s="12" t="s">
        <v>37</v>
      </c>
      <c r="MG234" s="12" t="s">
        <v>37</v>
      </c>
      <c r="MH234" s="12" t="s">
        <v>37</v>
      </c>
      <c r="MJ234" s="12" t="s">
        <v>37</v>
      </c>
      <c r="MK234" s="12" t="s">
        <v>37</v>
      </c>
      <c r="ML234" s="12" t="s">
        <v>37</v>
      </c>
      <c r="MQ234" s="12" t="s">
        <v>37</v>
      </c>
      <c r="MR234" s="12" t="s">
        <v>37</v>
      </c>
      <c r="MS234" s="12" t="s">
        <v>37</v>
      </c>
      <c r="MU234" s="12" t="s">
        <v>37</v>
      </c>
      <c r="MV234" s="12" t="s">
        <v>37</v>
      </c>
      <c r="MW234" s="12" t="s">
        <v>37</v>
      </c>
      <c r="NC234" s="12" t="s">
        <v>37</v>
      </c>
      <c r="ND234" s="12" t="s">
        <v>37</v>
      </c>
      <c r="NE234" s="12" t="s">
        <v>37</v>
      </c>
      <c r="NG234" s="12" t="s">
        <v>37</v>
      </c>
      <c r="NH234" s="12" t="s">
        <v>37</v>
      </c>
      <c r="NI234" s="12" t="s">
        <v>37</v>
      </c>
      <c r="NO234" s="12" t="s">
        <v>37</v>
      </c>
      <c r="NP234" s="12" t="s">
        <v>37</v>
      </c>
      <c r="NQ234" s="12" t="s">
        <v>37</v>
      </c>
      <c r="NS234" s="12" t="s">
        <v>37</v>
      </c>
      <c r="NT234" s="12" t="s">
        <v>37</v>
      </c>
      <c r="NU234" s="12" t="s">
        <v>37</v>
      </c>
      <c r="OA234" s="12" t="s">
        <v>37</v>
      </c>
      <c r="OB234" s="12" t="s">
        <v>37</v>
      </c>
      <c r="OC234" s="12" t="s">
        <v>37</v>
      </c>
      <c r="OD234" s="12"/>
      <c r="OE234" s="12" t="s">
        <v>37</v>
      </c>
      <c r="OF234" s="12" t="s">
        <v>37</v>
      </c>
      <c r="OG234" s="12" t="s">
        <v>37</v>
      </c>
      <c r="OH234" s="12"/>
      <c r="OI234" s="12"/>
      <c r="OJ234" s="12"/>
      <c r="OM234" s="12" t="s">
        <v>37</v>
      </c>
      <c r="ON234" s="12" t="s">
        <v>37</v>
      </c>
      <c r="OO234" s="12" t="s">
        <v>37</v>
      </c>
      <c r="OP234" s="12" t="s">
        <v>37</v>
      </c>
      <c r="OQ234" s="12" t="s">
        <v>37</v>
      </c>
      <c r="OR234" s="12" t="s">
        <v>37</v>
      </c>
      <c r="OS234" s="12"/>
      <c r="OT234" s="12"/>
      <c r="OW234" s="12" t="s">
        <v>37</v>
      </c>
      <c r="OX234" s="12" t="s">
        <v>37</v>
      </c>
      <c r="OY234" s="13" t="s">
        <v>37</v>
      </c>
      <c r="OZ234" s="12" t="s">
        <v>37</v>
      </c>
      <c r="PA234" s="12" t="s">
        <v>37</v>
      </c>
      <c r="PB234" s="13" t="s">
        <v>37</v>
      </c>
      <c r="PG234" s="12" t="s">
        <v>37</v>
      </c>
      <c r="PH234" s="12" t="s">
        <v>37</v>
      </c>
      <c r="PI234" s="12" t="s">
        <v>37</v>
      </c>
      <c r="PJ234" s="12" t="s">
        <v>37</v>
      </c>
      <c r="PK234" s="12" t="s">
        <v>37</v>
      </c>
      <c r="PL234" s="12" t="s">
        <v>37</v>
      </c>
      <c r="PM234" s="12"/>
      <c r="PN234" s="12"/>
      <c r="PQ234" s="12" t="s">
        <v>37</v>
      </c>
      <c r="PR234" s="12" t="s">
        <v>37</v>
      </c>
      <c r="PS234" s="12" t="s">
        <v>37</v>
      </c>
      <c r="PT234" s="12" t="s">
        <v>37</v>
      </c>
      <c r="PU234" s="12" t="s">
        <v>37</v>
      </c>
      <c r="PV234" s="12" t="s">
        <v>37</v>
      </c>
      <c r="PW234" s="12"/>
      <c r="PX234" s="12"/>
      <c r="PZ234" s="12" t="s">
        <v>37</v>
      </c>
      <c r="QA234" s="12" t="s">
        <v>37</v>
      </c>
      <c r="QB234" s="12" t="s">
        <v>37</v>
      </c>
      <c r="QD234" s="12" t="s">
        <v>37</v>
      </c>
      <c r="QE234" s="12" t="s">
        <v>37</v>
      </c>
      <c r="QF234" s="12" t="s">
        <v>37</v>
      </c>
      <c r="QK234" s="12" t="s">
        <v>37</v>
      </c>
      <c r="QL234" s="12" t="s">
        <v>37</v>
      </c>
      <c r="QM234" s="12" t="s">
        <v>37</v>
      </c>
      <c r="QN234" s="12" t="s">
        <v>37</v>
      </c>
      <c r="QO234" s="12" t="s">
        <v>37</v>
      </c>
      <c r="QP234" s="12" t="s">
        <v>37</v>
      </c>
      <c r="QQ234" s="12"/>
      <c r="QR234" s="12"/>
      <c r="QU234" s="12" t="s">
        <v>37</v>
      </c>
      <c r="QV234" s="12" t="s">
        <v>37</v>
      </c>
      <c r="QW234" s="12" t="s">
        <v>37</v>
      </c>
      <c r="QX234" s="12" t="s">
        <v>37</v>
      </c>
      <c r="QY234" s="12" t="s">
        <v>37</v>
      </c>
      <c r="QZ234" s="12" t="s">
        <v>37</v>
      </c>
      <c r="RC234" s="12" t="s">
        <v>37</v>
      </c>
      <c r="RD234" s="12" t="s">
        <v>37</v>
      </c>
      <c r="RE234" s="13" t="s">
        <v>37</v>
      </c>
      <c r="RF234" s="12" t="s">
        <v>37</v>
      </c>
      <c r="RG234" s="12" t="s">
        <v>37</v>
      </c>
      <c r="RH234" s="13" t="s">
        <v>37</v>
      </c>
      <c r="RK234" s="12" t="s">
        <v>37</v>
      </c>
      <c r="RL234" s="12" t="s">
        <v>37</v>
      </c>
      <c r="RM234" s="11" t="s">
        <v>37</v>
      </c>
      <c r="RN234" s="12" t="s">
        <v>37</v>
      </c>
      <c r="RO234" s="12" t="s">
        <v>37</v>
      </c>
      <c r="RP234" s="11" t="s">
        <v>37</v>
      </c>
      <c r="RS234" s="12" t="s">
        <v>37</v>
      </c>
      <c r="RT234" s="12" t="s">
        <v>37</v>
      </c>
      <c r="RU234" s="12" t="s">
        <v>37</v>
      </c>
      <c r="RV234" s="12" t="s">
        <v>37</v>
      </c>
      <c r="RW234" s="12" t="s">
        <v>37</v>
      </c>
      <c r="RX234" s="12" t="s">
        <v>37</v>
      </c>
      <c r="SA234" s="12" t="s">
        <v>37</v>
      </c>
      <c r="SB234" s="12" t="s">
        <v>37</v>
      </c>
      <c r="SC234" s="12" t="s">
        <v>37</v>
      </c>
      <c r="SD234" s="12" t="s">
        <v>37</v>
      </c>
      <c r="SE234" s="12" t="s">
        <v>37</v>
      </c>
      <c r="SF234" s="12" t="s">
        <v>37</v>
      </c>
      <c r="SI234" s="12" t="s">
        <v>37</v>
      </c>
      <c r="SJ234" s="12" t="s">
        <v>37</v>
      </c>
      <c r="SK234" s="13" t="s">
        <v>37</v>
      </c>
      <c r="SM234" s="12" t="s">
        <v>37</v>
      </c>
      <c r="SN234" s="12" t="s">
        <v>37</v>
      </c>
      <c r="SO234" s="13" t="s">
        <v>37</v>
      </c>
      <c r="SU234" s="12" t="s">
        <v>37</v>
      </c>
      <c r="SV234" s="12" t="s">
        <v>37</v>
      </c>
      <c r="SW234" s="12" t="s">
        <v>37</v>
      </c>
      <c r="SX234" s="12" t="s">
        <v>37</v>
      </c>
      <c r="SY234" s="12" t="s">
        <v>37</v>
      </c>
      <c r="SZ234" s="12" t="s">
        <v>37</v>
      </c>
      <c r="TA234" s="12"/>
      <c r="TB234" s="12"/>
      <c r="TE234" s="12" t="s">
        <v>37</v>
      </c>
      <c r="TF234" s="12" t="s">
        <v>37</v>
      </c>
      <c r="TG234" s="12" t="s">
        <v>37</v>
      </c>
      <c r="TH234" s="12" t="s">
        <v>37</v>
      </c>
      <c r="TI234" s="12" t="s">
        <v>37</v>
      </c>
      <c r="TJ234" s="12" t="s">
        <v>37</v>
      </c>
      <c r="TK234" s="12"/>
      <c r="TL234" s="12"/>
      <c r="TO234" s="12" t="s">
        <v>37</v>
      </c>
      <c r="TP234" s="12" t="s">
        <v>37</v>
      </c>
      <c r="TQ234" s="12" t="s">
        <v>37</v>
      </c>
      <c r="TR234" s="12" t="s">
        <v>37</v>
      </c>
      <c r="TS234" s="12" t="s">
        <v>37</v>
      </c>
      <c r="TT234" s="12" t="s">
        <v>37</v>
      </c>
      <c r="TU234" s="12"/>
      <c r="TV234" s="12"/>
      <c r="TY234" s="12" t="s">
        <v>37</v>
      </c>
      <c r="TZ234" s="12" t="s">
        <v>37</v>
      </c>
      <c r="UA234" s="12" t="s">
        <v>37</v>
      </c>
      <c r="UB234" s="12" t="s">
        <v>37</v>
      </c>
      <c r="UC234" s="12" t="s">
        <v>37</v>
      </c>
      <c r="UD234" s="12" t="s">
        <v>37</v>
      </c>
      <c r="UE234" s="12"/>
      <c r="UF234" s="12"/>
      <c r="UI234" s="12" t="s">
        <v>37</v>
      </c>
      <c r="UJ234" s="12" t="s">
        <v>37</v>
      </c>
      <c r="UK234" s="12" t="s">
        <v>37</v>
      </c>
      <c r="UL234" s="12" t="s">
        <v>37</v>
      </c>
      <c r="UM234" s="12" t="s">
        <v>37</v>
      </c>
      <c r="UN234" s="12" t="s">
        <v>37</v>
      </c>
      <c r="UO234" s="12"/>
      <c r="UP234" s="12"/>
      <c r="UR234" s="12" t="s">
        <v>37</v>
      </c>
      <c r="US234" s="12" t="s">
        <v>37</v>
      </c>
      <c r="UT234" s="12" t="s">
        <v>37</v>
      </c>
      <c r="UU234" s="12" t="s">
        <v>37</v>
      </c>
      <c r="UV234" s="12" t="s">
        <v>37</v>
      </c>
      <c r="UW234" s="12" t="s">
        <v>37</v>
      </c>
      <c r="UX234" s="12"/>
      <c r="UY234" s="12"/>
      <c r="VB234" s="12" t="s">
        <v>37</v>
      </c>
      <c r="VC234" s="12" t="s">
        <v>37</v>
      </c>
      <c r="VD234" s="12" t="s">
        <v>37</v>
      </c>
      <c r="VE234" s="12" t="s">
        <v>37</v>
      </c>
      <c r="VF234" s="12" t="s">
        <v>37</v>
      </c>
      <c r="VG234" s="12" t="s">
        <v>37</v>
      </c>
      <c r="VI234" s="12" t="s">
        <v>37</v>
      </c>
      <c r="VJ234" s="12" t="s">
        <v>37</v>
      </c>
      <c r="VK234" s="12" t="s">
        <v>37</v>
      </c>
      <c r="VL234" s="12" t="s">
        <v>37</v>
      </c>
      <c r="VM234" s="12" t="s">
        <v>37</v>
      </c>
      <c r="VN234" s="12" t="s">
        <v>37</v>
      </c>
      <c r="VQ234" s="12" t="s">
        <v>37</v>
      </c>
      <c r="VR234" s="12" t="s">
        <v>37</v>
      </c>
      <c r="VS234" s="12" t="s">
        <v>37</v>
      </c>
      <c r="VT234" s="12" t="s">
        <v>37</v>
      </c>
      <c r="VU234" s="12" t="s">
        <v>37</v>
      </c>
      <c r="VV234" s="12" t="s">
        <v>37</v>
      </c>
      <c r="VW234" s="12"/>
      <c r="VX234" s="12"/>
      <c r="WA234" s="12" t="s">
        <v>37</v>
      </c>
      <c r="WB234" s="12" t="s">
        <v>37</v>
      </c>
      <c r="WC234" s="12" t="s">
        <v>37</v>
      </c>
      <c r="WD234" s="12" t="s">
        <v>37</v>
      </c>
      <c r="WE234" s="12" t="s">
        <v>37</v>
      </c>
      <c r="WF234" s="12" t="s">
        <v>37</v>
      </c>
    </row>
    <row r="235" spans="1:604" ht="18" customHeight="1" x14ac:dyDescent="0.3">
      <c r="A235" s="11">
        <v>64</v>
      </c>
      <c r="B235" s="16" t="s">
        <v>375</v>
      </c>
      <c r="C235" s="12" t="s">
        <v>26</v>
      </c>
      <c r="D235" s="12" t="s">
        <v>54</v>
      </c>
      <c r="E235" s="40">
        <v>2.15</v>
      </c>
      <c r="F235" s="14">
        <v>0</v>
      </c>
      <c r="G235" s="14">
        <v>0</v>
      </c>
      <c r="H235" s="12" t="s">
        <v>123</v>
      </c>
      <c r="I235" s="29">
        <v>61.783000000000001</v>
      </c>
      <c r="J235" s="29">
        <v>24.3</v>
      </c>
      <c r="K235" s="12" t="s">
        <v>775</v>
      </c>
      <c r="L235" s="12" t="s">
        <v>709</v>
      </c>
      <c r="M235" s="13" t="s">
        <v>37</v>
      </c>
      <c r="N235" s="12" t="s">
        <v>37</v>
      </c>
      <c r="O235" s="12" t="s">
        <v>37</v>
      </c>
      <c r="P235" s="14" t="s">
        <v>84</v>
      </c>
      <c r="Q235" s="75">
        <v>30</v>
      </c>
      <c r="R235" s="11" t="s">
        <v>1000</v>
      </c>
      <c r="S235" s="12" t="s">
        <v>93</v>
      </c>
      <c r="T235" s="12" t="s">
        <v>141</v>
      </c>
      <c r="U235" s="12" t="s">
        <v>158</v>
      </c>
      <c r="V235" s="12" t="s">
        <v>275</v>
      </c>
      <c r="W235" s="23" t="s">
        <v>376</v>
      </c>
      <c r="X235" s="12" t="s">
        <v>280</v>
      </c>
      <c r="Y235" s="12" t="s">
        <v>37</v>
      </c>
      <c r="Z235" s="12" t="s">
        <v>37</v>
      </c>
      <c r="AA235" s="32" t="s">
        <v>345</v>
      </c>
      <c r="AB235" s="12">
        <v>3.8</v>
      </c>
      <c r="AE235" s="12" t="s">
        <v>37</v>
      </c>
      <c r="AF235" s="12" t="s">
        <v>42</v>
      </c>
      <c r="AG235" s="32" t="s">
        <v>372</v>
      </c>
      <c r="AH235" s="12">
        <v>9</v>
      </c>
      <c r="AK235" s="12" t="s">
        <v>37</v>
      </c>
      <c r="AL235" s="32" t="s">
        <v>37</v>
      </c>
      <c r="AM235" s="12" t="s">
        <v>344</v>
      </c>
      <c r="AO235" s="12" t="s">
        <v>37</v>
      </c>
      <c r="AP235" s="12" t="s">
        <v>37</v>
      </c>
      <c r="AQ235" s="12" t="s">
        <v>975</v>
      </c>
      <c r="AT235" s="12" t="s">
        <v>326</v>
      </c>
      <c r="AU235" s="12" t="s">
        <v>326</v>
      </c>
      <c r="AV235" s="13" t="s">
        <v>326</v>
      </c>
      <c r="AX235" s="12" t="s">
        <v>326</v>
      </c>
      <c r="AY235" s="12" t="s">
        <v>326</v>
      </c>
      <c r="AZ235" s="13" t="s">
        <v>326</v>
      </c>
      <c r="BE235" s="12" t="s">
        <v>326</v>
      </c>
      <c r="BF235" s="12" t="s">
        <v>326</v>
      </c>
      <c r="BG235" s="12" t="s">
        <v>326</v>
      </c>
      <c r="BI235" s="12" t="s">
        <v>326</v>
      </c>
      <c r="BJ235" s="12" t="s">
        <v>326</v>
      </c>
      <c r="BK235" s="12" t="s">
        <v>326</v>
      </c>
      <c r="BP235" s="12" t="s">
        <v>37</v>
      </c>
      <c r="BQ235" s="12" t="s">
        <v>37</v>
      </c>
      <c r="BR235" s="13" t="s">
        <v>37</v>
      </c>
      <c r="BT235" s="12" t="s">
        <v>37</v>
      </c>
      <c r="BU235" s="12" t="s">
        <v>37</v>
      </c>
      <c r="BV235" s="12" t="s">
        <v>37</v>
      </c>
      <c r="CA235" s="12" t="s">
        <v>37</v>
      </c>
      <c r="CB235" s="12" t="s">
        <v>37</v>
      </c>
      <c r="CC235" s="13" t="s">
        <v>37</v>
      </c>
      <c r="CE235" s="12" t="s">
        <v>37</v>
      </c>
      <c r="CF235" s="12" t="s">
        <v>37</v>
      </c>
      <c r="CG235" s="12" t="s">
        <v>37</v>
      </c>
      <c r="CN235" s="12" t="s">
        <v>37</v>
      </c>
      <c r="CO235" s="12" t="s">
        <v>37</v>
      </c>
      <c r="CP235" s="13" t="s">
        <v>37</v>
      </c>
      <c r="CR235" s="12" t="s">
        <v>37</v>
      </c>
      <c r="CS235" s="12" t="s">
        <v>37</v>
      </c>
      <c r="CT235" s="13" t="s">
        <v>37</v>
      </c>
      <c r="CX235" s="72"/>
      <c r="CY235" s="72"/>
      <c r="DA235" s="12" t="s">
        <v>37</v>
      </c>
      <c r="DB235" s="12" t="s">
        <v>37</v>
      </c>
      <c r="DC235" s="13" t="s">
        <v>37</v>
      </c>
      <c r="DE235" s="12" t="s">
        <v>37</v>
      </c>
      <c r="DF235" s="12" t="s">
        <v>37</v>
      </c>
      <c r="DG235" s="12" t="s">
        <v>37</v>
      </c>
      <c r="DN235" s="19" t="s">
        <v>37</v>
      </c>
      <c r="DO235" s="12" t="s">
        <v>37</v>
      </c>
      <c r="DP235" s="13" t="s">
        <v>37</v>
      </c>
      <c r="DR235" s="19" t="s">
        <v>37</v>
      </c>
      <c r="DS235" s="12" t="s">
        <v>37</v>
      </c>
      <c r="DT235" s="13" t="s">
        <v>37</v>
      </c>
      <c r="EA235" s="19" t="s">
        <v>37</v>
      </c>
      <c r="EB235" s="19" t="s">
        <v>37</v>
      </c>
      <c r="EC235" s="72" t="s">
        <v>37</v>
      </c>
      <c r="EE235" s="19" t="s">
        <v>37</v>
      </c>
      <c r="EF235" s="19" t="s">
        <v>37</v>
      </c>
      <c r="EG235" s="12" t="s">
        <v>37</v>
      </c>
      <c r="EM235" s="12" t="s">
        <v>39</v>
      </c>
      <c r="EN235" s="12">
        <v>-12</v>
      </c>
      <c r="EO235" s="50">
        <f t="shared" si="1108"/>
        <v>4.8899567850155199</v>
      </c>
      <c r="EP235" s="13">
        <v>3</v>
      </c>
      <c r="ER235" s="12">
        <v>-14</v>
      </c>
      <c r="ES235" s="50">
        <f t="shared" si="1116"/>
        <v>3.1753967491287183</v>
      </c>
      <c r="ET235" s="13">
        <v>3</v>
      </c>
      <c r="EV235" s="19">
        <f t="shared" si="1117"/>
        <v>-2</v>
      </c>
      <c r="EW235" s="12">
        <f t="shared" si="1118"/>
        <v>4.1227916436376306</v>
      </c>
      <c r="EX235" s="19">
        <f t="shared" si="1119"/>
        <v>11.331607291232183</v>
      </c>
      <c r="EY235" s="19">
        <f t="shared" si="1120"/>
        <v>11.331607291232183</v>
      </c>
      <c r="FB235" s="12" t="s">
        <v>37</v>
      </c>
      <c r="FC235" s="12" t="s">
        <v>37</v>
      </c>
      <c r="FD235" s="12" t="s">
        <v>37</v>
      </c>
      <c r="FE235" s="12" t="s">
        <v>37</v>
      </c>
      <c r="FF235" s="20" t="s">
        <v>37</v>
      </c>
      <c r="FG235" s="12" t="s">
        <v>37</v>
      </c>
      <c r="FI235" s="12" t="s">
        <v>37</v>
      </c>
      <c r="FJ235" s="12" t="s">
        <v>37</v>
      </c>
      <c r="FK235" s="12" t="s">
        <v>37</v>
      </c>
      <c r="FL235" s="12" t="s">
        <v>37</v>
      </c>
      <c r="FM235" s="12" t="s">
        <v>37</v>
      </c>
      <c r="FN235" s="12" t="s">
        <v>37</v>
      </c>
      <c r="FP235" s="12" t="s">
        <v>37</v>
      </c>
      <c r="FQ235" s="12" t="s">
        <v>37</v>
      </c>
      <c r="FR235" s="12" t="s">
        <v>37</v>
      </c>
      <c r="FS235" s="12" t="s">
        <v>37</v>
      </c>
      <c r="FT235" s="12" t="s">
        <v>37</v>
      </c>
      <c r="FU235" s="12" t="s">
        <v>37</v>
      </c>
      <c r="FW235" s="12" t="s">
        <v>37</v>
      </c>
      <c r="FX235" s="12" t="s">
        <v>37</v>
      </c>
      <c r="FY235" s="12" t="s">
        <v>37</v>
      </c>
      <c r="FZ235" s="12" t="s">
        <v>37</v>
      </c>
      <c r="GA235" s="12" t="s">
        <v>37</v>
      </c>
      <c r="GB235" s="12" t="s">
        <v>37</v>
      </c>
      <c r="HA235" s="17" t="s">
        <v>63</v>
      </c>
      <c r="HB235" s="34" t="s">
        <v>372</v>
      </c>
      <c r="HC235" s="12">
        <v>5.8000000000000003E-2</v>
      </c>
      <c r="HD235" s="50">
        <f t="shared" si="1127"/>
        <v>9.999881102496477E-3</v>
      </c>
      <c r="HE235" s="13">
        <v>3</v>
      </c>
      <c r="HG235" s="12">
        <v>5.8000000000000003E-2</v>
      </c>
      <c r="HH235" s="50">
        <f t="shared" si="1128"/>
        <v>6.4875621580920946E-3</v>
      </c>
      <c r="HI235" s="13">
        <v>3</v>
      </c>
      <c r="HK235" s="19">
        <f t="shared" si="1129"/>
        <v>0</v>
      </c>
      <c r="HL235" s="19">
        <f t="shared" si="1130"/>
        <v>1.4079080937294363E-2</v>
      </c>
      <c r="IK235" s="12" t="s">
        <v>37</v>
      </c>
      <c r="IL235" s="12" t="s">
        <v>37</v>
      </c>
      <c r="IM235" s="12" t="s">
        <v>37</v>
      </c>
      <c r="IO235" s="12" t="s">
        <v>37</v>
      </c>
      <c r="IP235" s="12" t="s">
        <v>37</v>
      </c>
      <c r="IQ235" s="12" t="s">
        <v>37</v>
      </c>
      <c r="IV235" s="32" t="s">
        <v>345</v>
      </c>
      <c r="IW235" s="12">
        <v>3.8</v>
      </c>
      <c r="IX235" s="50">
        <f t="shared" si="1131"/>
        <v>0.13912842198648792</v>
      </c>
      <c r="IY235" s="13">
        <v>3</v>
      </c>
      <c r="JA235" s="12">
        <v>3.8</v>
      </c>
      <c r="JB235" s="50">
        <f t="shared" si="1132"/>
        <v>0.10643347338567048</v>
      </c>
      <c r="JC235" s="13">
        <v>3</v>
      </c>
      <c r="JE235" s="19">
        <f t="shared" si="1133"/>
        <v>0</v>
      </c>
      <c r="JF235" s="19">
        <f t="shared" si="1134"/>
        <v>7.083287641133075E-4</v>
      </c>
      <c r="JH235" s="12" t="s">
        <v>37</v>
      </c>
      <c r="JI235" s="12" t="s">
        <v>37</v>
      </c>
      <c r="JJ235" s="13" t="s">
        <v>37</v>
      </c>
      <c r="JL235" s="12" t="s">
        <v>37</v>
      </c>
      <c r="JM235" s="12" t="s">
        <v>37</v>
      </c>
      <c r="JN235" s="12" t="s">
        <v>37</v>
      </c>
      <c r="JS235" s="12" t="s">
        <v>37</v>
      </c>
      <c r="JT235" s="12" t="s">
        <v>37</v>
      </c>
      <c r="JU235" s="13" t="s">
        <v>37</v>
      </c>
      <c r="JW235" s="12" t="s">
        <v>37</v>
      </c>
      <c r="JX235" s="12" t="s">
        <v>37</v>
      </c>
      <c r="JY235" s="12" t="s">
        <v>37</v>
      </c>
      <c r="KE235" s="12" t="s">
        <v>37</v>
      </c>
      <c r="KF235" s="12" t="s">
        <v>37</v>
      </c>
      <c r="KG235" s="13" t="s">
        <v>37</v>
      </c>
      <c r="KH235" s="12" t="s">
        <v>37</v>
      </c>
      <c r="KI235" s="12" t="s">
        <v>37</v>
      </c>
      <c r="KJ235" s="12" t="s">
        <v>37</v>
      </c>
      <c r="KK235" s="12" t="s">
        <v>42</v>
      </c>
      <c r="KL235" s="32" t="s">
        <v>372</v>
      </c>
      <c r="KM235" s="12">
        <v>9</v>
      </c>
      <c r="KN235" s="50">
        <f t="shared" si="1135"/>
        <v>1.0736373724637354</v>
      </c>
      <c r="KO235" s="11">
        <v>3</v>
      </c>
      <c r="KQ235" s="12">
        <v>10</v>
      </c>
      <c r="KR235" s="50">
        <f t="shared" si="1136"/>
        <v>1.0544343016863675</v>
      </c>
      <c r="KS235" s="11">
        <v>3</v>
      </c>
      <c r="KU235" s="19">
        <f t="shared" si="1137"/>
        <v>0.10536051565782635</v>
      </c>
      <c r="KV235" s="19">
        <f t="shared" si="1138"/>
        <v>8.4497155628593251E-3</v>
      </c>
      <c r="KX235" s="12" t="s">
        <v>37</v>
      </c>
      <c r="KY235" s="12" t="s">
        <v>37</v>
      </c>
      <c r="KZ235" s="12" t="s">
        <v>37</v>
      </c>
      <c r="LB235" s="12" t="s">
        <v>37</v>
      </c>
      <c r="LC235" s="12" t="s">
        <v>37</v>
      </c>
      <c r="LD235" s="12" t="s">
        <v>37</v>
      </c>
      <c r="LI235" s="12" t="s">
        <v>37</v>
      </c>
      <c r="LJ235" s="12" t="s">
        <v>37</v>
      </c>
      <c r="LK235" s="12" t="s">
        <v>37</v>
      </c>
      <c r="LM235" s="12" t="s">
        <v>37</v>
      </c>
      <c r="LN235" s="12" t="s">
        <v>37</v>
      </c>
      <c r="LO235" s="12" t="s">
        <v>37</v>
      </c>
      <c r="LU235" s="12" t="s">
        <v>37</v>
      </c>
      <c r="LV235" s="12" t="s">
        <v>37</v>
      </c>
      <c r="LW235" s="12" t="s">
        <v>37</v>
      </c>
      <c r="LY235" s="12" t="s">
        <v>37</v>
      </c>
      <c r="LZ235" s="12" t="s">
        <v>37</v>
      </c>
      <c r="MA235" s="12" t="s">
        <v>37</v>
      </c>
      <c r="MF235" s="12" t="s">
        <v>37</v>
      </c>
      <c r="MG235" s="12" t="s">
        <v>37</v>
      </c>
      <c r="MH235" s="12" t="s">
        <v>37</v>
      </c>
      <c r="MJ235" s="12" t="s">
        <v>37</v>
      </c>
      <c r="MK235" s="12" t="s">
        <v>37</v>
      </c>
      <c r="ML235" s="12" t="s">
        <v>37</v>
      </c>
      <c r="MQ235" s="12" t="s">
        <v>37</v>
      </c>
      <c r="MR235" s="12" t="s">
        <v>37</v>
      </c>
      <c r="MS235" s="12" t="s">
        <v>37</v>
      </c>
      <c r="MU235" s="12" t="s">
        <v>37</v>
      </c>
      <c r="MV235" s="12" t="s">
        <v>37</v>
      </c>
      <c r="MW235" s="12" t="s">
        <v>37</v>
      </c>
      <c r="NC235" s="12" t="s">
        <v>37</v>
      </c>
      <c r="ND235" s="12" t="s">
        <v>37</v>
      </c>
      <c r="NE235" s="12" t="s">
        <v>37</v>
      </c>
      <c r="NG235" s="12" t="s">
        <v>37</v>
      </c>
      <c r="NH235" s="12" t="s">
        <v>37</v>
      </c>
      <c r="NI235" s="12" t="s">
        <v>37</v>
      </c>
      <c r="NO235" s="12" t="s">
        <v>37</v>
      </c>
      <c r="NP235" s="12" t="s">
        <v>37</v>
      </c>
      <c r="NQ235" s="12" t="s">
        <v>37</v>
      </c>
      <c r="NS235" s="12" t="s">
        <v>37</v>
      </c>
      <c r="NT235" s="12" t="s">
        <v>37</v>
      </c>
      <c r="NU235" s="12" t="s">
        <v>37</v>
      </c>
      <c r="OA235" s="12" t="s">
        <v>37</v>
      </c>
      <c r="OB235" s="12" t="s">
        <v>37</v>
      </c>
      <c r="OC235" s="12" t="s">
        <v>37</v>
      </c>
      <c r="OD235" s="12"/>
      <c r="OE235" s="12" t="s">
        <v>37</v>
      </c>
      <c r="OF235" s="12" t="s">
        <v>37</v>
      </c>
      <c r="OG235" s="12" t="s">
        <v>37</v>
      </c>
      <c r="OH235" s="12"/>
      <c r="OI235" s="12"/>
      <c r="OJ235" s="12"/>
      <c r="OM235" s="12" t="s">
        <v>37</v>
      </c>
      <c r="ON235" s="12" t="s">
        <v>37</v>
      </c>
      <c r="OO235" s="12" t="s">
        <v>37</v>
      </c>
      <c r="OP235" s="12" t="s">
        <v>37</v>
      </c>
      <c r="OQ235" s="12" t="s">
        <v>37</v>
      </c>
      <c r="OR235" s="12" t="s">
        <v>37</v>
      </c>
      <c r="OS235" s="12"/>
      <c r="OT235" s="12"/>
      <c r="OW235" s="12" t="s">
        <v>37</v>
      </c>
      <c r="OX235" s="12" t="s">
        <v>37</v>
      </c>
      <c r="OY235" s="13" t="s">
        <v>37</v>
      </c>
      <c r="OZ235" s="12" t="s">
        <v>37</v>
      </c>
      <c r="PA235" s="12" t="s">
        <v>37</v>
      </c>
      <c r="PB235" s="13" t="s">
        <v>37</v>
      </c>
      <c r="PG235" s="12" t="s">
        <v>37</v>
      </c>
      <c r="PH235" s="12" t="s">
        <v>37</v>
      </c>
      <c r="PI235" s="12" t="s">
        <v>37</v>
      </c>
      <c r="PJ235" s="12" t="s">
        <v>37</v>
      </c>
      <c r="PK235" s="12" t="s">
        <v>37</v>
      </c>
      <c r="PL235" s="12" t="s">
        <v>37</v>
      </c>
      <c r="PM235" s="12"/>
      <c r="PN235" s="12"/>
      <c r="PQ235" s="12" t="s">
        <v>37</v>
      </c>
      <c r="PR235" s="12" t="s">
        <v>37</v>
      </c>
      <c r="PS235" s="12" t="s">
        <v>37</v>
      </c>
      <c r="PT235" s="12" t="s">
        <v>37</v>
      </c>
      <c r="PU235" s="12" t="s">
        <v>37</v>
      </c>
      <c r="PV235" s="12" t="s">
        <v>37</v>
      </c>
      <c r="PW235" s="12"/>
      <c r="PX235" s="12"/>
      <c r="PZ235" s="12" t="s">
        <v>37</v>
      </c>
      <c r="QA235" s="12" t="s">
        <v>37</v>
      </c>
      <c r="QB235" s="12" t="s">
        <v>37</v>
      </c>
      <c r="QD235" s="12" t="s">
        <v>37</v>
      </c>
      <c r="QE235" s="12" t="s">
        <v>37</v>
      </c>
      <c r="QF235" s="12" t="s">
        <v>37</v>
      </c>
      <c r="QK235" s="12" t="s">
        <v>37</v>
      </c>
      <c r="QL235" s="12" t="s">
        <v>37</v>
      </c>
      <c r="QM235" s="12" t="s">
        <v>37</v>
      </c>
      <c r="QN235" s="12" t="s">
        <v>37</v>
      </c>
      <c r="QO235" s="12" t="s">
        <v>37</v>
      </c>
      <c r="QP235" s="12" t="s">
        <v>37</v>
      </c>
      <c r="QQ235" s="12"/>
      <c r="QR235" s="12"/>
      <c r="QU235" s="12" t="s">
        <v>37</v>
      </c>
      <c r="QV235" s="12" t="s">
        <v>37</v>
      </c>
      <c r="QW235" s="12" t="s">
        <v>37</v>
      </c>
      <c r="QX235" s="12" t="s">
        <v>37</v>
      </c>
      <c r="QY235" s="12" t="s">
        <v>37</v>
      </c>
      <c r="QZ235" s="12" t="s">
        <v>37</v>
      </c>
      <c r="RC235" s="12" t="s">
        <v>37</v>
      </c>
      <c r="RD235" s="12" t="s">
        <v>37</v>
      </c>
      <c r="RE235" s="13" t="s">
        <v>37</v>
      </c>
      <c r="RF235" s="12" t="s">
        <v>37</v>
      </c>
      <c r="RG235" s="12" t="s">
        <v>37</v>
      </c>
      <c r="RH235" s="13" t="s">
        <v>37</v>
      </c>
      <c r="RK235" s="12" t="s">
        <v>37</v>
      </c>
      <c r="RL235" s="12" t="s">
        <v>37</v>
      </c>
      <c r="RM235" s="11" t="s">
        <v>37</v>
      </c>
      <c r="RN235" s="12" t="s">
        <v>37</v>
      </c>
      <c r="RO235" s="12" t="s">
        <v>37</v>
      </c>
      <c r="RP235" s="11" t="s">
        <v>37</v>
      </c>
      <c r="RS235" s="12" t="s">
        <v>37</v>
      </c>
      <c r="RT235" s="12" t="s">
        <v>37</v>
      </c>
      <c r="RU235" s="12" t="s">
        <v>37</v>
      </c>
      <c r="RV235" s="12" t="s">
        <v>37</v>
      </c>
      <c r="RW235" s="12" t="s">
        <v>37</v>
      </c>
      <c r="RX235" s="12" t="s">
        <v>37</v>
      </c>
      <c r="SA235" s="12" t="s">
        <v>37</v>
      </c>
      <c r="SB235" s="12" t="s">
        <v>37</v>
      </c>
      <c r="SC235" s="12" t="s">
        <v>37</v>
      </c>
      <c r="SD235" s="12" t="s">
        <v>37</v>
      </c>
      <c r="SE235" s="12" t="s">
        <v>37</v>
      </c>
      <c r="SF235" s="12" t="s">
        <v>37</v>
      </c>
      <c r="SI235" s="12" t="s">
        <v>37</v>
      </c>
      <c r="SJ235" s="12" t="s">
        <v>37</v>
      </c>
      <c r="SK235" s="13" t="s">
        <v>37</v>
      </c>
      <c r="SM235" s="12" t="s">
        <v>37</v>
      </c>
      <c r="SN235" s="12" t="s">
        <v>37</v>
      </c>
      <c r="SO235" s="13" t="s">
        <v>37</v>
      </c>
      <c r="SU235" s="12" t="s">
        <v>37</v>
      </c>
      <c r="SV235" s="12" t="s">
        <v>37</v>
      </c>
      <c r="SW235" s="12" t="s">
        <v>37</v>
      </c>
      <c r="SX235" s="12" t="s">
        <v>37</v>
      </c>
      <c r="SY235" s="12" t="s">
        <v>37</v>
      </c>
      <c r="SZ235" s="12" t="s">
        <v>37</v>
      </c>
      <c r="TA235" s="12"/>
      <c r="TB235" s="12"/>
      <c r="TE235" s="12" t="s">
        <v>37</v>
      </c>
      <c r="TF235" s="12" t="s">
        <v>37</v>
      </c>
      <c r="TG235" s="12" t="s">
        <v>37</v>
      </c>
      <c r="TH235" s="12" t="s">
        <v>37</v>
      </c>
      <c r="TI235" s="12" t="s">
        <v>37</v>
      </c>
      <c r="TJ235" s="12" t="s">
        <v>37</v>
      </c>
      <c r="TK235" s="12"/>
      <c r="TL235" s="12"/>
      <c r="TO235" s="12" t="s">
        <v>37</v>
      </c>
      <c r="TP235" s="12" t="s">
        <v>37</v>
      </c>
      <c r="TQ235" s="12" t="s">
        <v>37</v>
      </c>
      <c r="TR235" s="12" t="s">
        <v>37</v>
      </c>
      <c r="TS235" s="12" t="s">
        <v>37</v>
      </c>
      <c r="TT235" s="12" t="s">
        <v>37</v>
      </c>
      <c r="TU235" s="12"/>
      <c r="TV235" s="12"/>
      <c r="TY235" s="12" t="s">
        <v>37</v>
      </c>
      <c r="TZ235" s="12" t="s">
        <v>37</v>
      </c>
      <c r="UA235" s="12" t="s">
        <v>37</v>
      </c>
      <c r="UB235" s="12" t="s">
        <v>37</v>
      </c>
      <c r="UC235" s="12" t="s">
        <v>37</v>
      </c>
      <c r="UD235" s="12" t="s">
        <v>37</v>
      </c>
      <c r="UE235" s="12"/>
      <c r="UF235" s="12"/>
      <c r="UI235" s="12" t="s">
        <v>37</v>
      </c>
      <c r="UJ235" s="12" t="s">
        <v>37</v>
      </c>
      <c r="UK235" s="12" t="s">
        <v>37</v>
      </c>
      <c r="UL235" s="12" t="s">
        <v>37</v>
      </c>
      <c r="UM235" s="12" t="s">
        <v>37</v>
      </c>
      <c r="UN235" s="12" t="s">
        <v>37</v>
      </c>
      <c r="UO235" s="12"/>
      <c r="UP235" s="12"/>
      <c r="UR235" s="12" t="s">
        <v>37</v>
      </c>
      <c r="US235" s="12" t="s">
        <v>37</v>
      </c>
      <c r="UT235" s="12" t="s">
        <v>37</v>
      </c>
      <c r="UU235" s="12" t="s">
        <v>37</v>
      </c>
      <c r="UV235" s="12" t="s">
        <v>37</v>
      </c>
      <c r="UW235" s="12" t="s">
        <v>37</v>
      </c>
      <c r="UX235" s="12"/>
      <c r="UY235" s="12"/>
      <c r="VB235" s="12" t="s">
        <v>37</v>
      </c>
      <c r="VC235" s="12" t="s">
        <v>37</v>
      </c>
      <c r="VD235" s="12" t="s">
        <v>37</v>
      </c>
      <c r="VE235" s="12" t="s">
        <v>37</v>
      </c>
      <c r="VF235" s="12" t="s">
        <v>37</v>
      </c>
      <c r="VG235" s="12" t="s">
        <v>37</v>
      </c>
      <c r="VI235" s="12" t="s">
        <v>37</v>
      </c>
      <c r="VJ235" s="12" t="s">
        <v>37</v>
      </c>
      <c r="VK235" s="12" t="s">
        <v>37</v>
      </c>
      <c r="VL235" s="12" t="s">
        <v>37</v>
      </c>
      <c r="VM235" s="12" t="s">
        <v>37</v>
      </c>
      <c r="VN235" s="12" t="s">
        <v>37</v>
      </c>
      <c r="VQ235" s="12" t="s">
        <v>37</v>
      </c>
      <c r="VR235" s="12" t="s">
        <v>37</v>
      </c>
      <c r="VS235" s="12" t="s">
        <v>37</v>
      </c>
      <c r="VT235" s="12" t="s">
        <v>37</v>
      </c>
      <c r="VU235" s="12" t="s">
        <v>37</v>
      </c>
      <c r="VV235" s="12" t="s">
        <v>37</v>
      </c>
      <c r="VW235" s="12"/>
      <c r="VX235" s="12"/>
      <c r="WA235" s="12" t="s">
        <v>37</v>
      </c>
      <c r="WB235" s="12" t="s">
        <v>37</v>
      </c>
      <c r="WC235" s="12" t="s">
        <v>37</v>
      </c>
      <c r="WD235" s="12" t="s">
        <v>37</v>
      </c>
      <c r="WE235" s="12" t="s">
        <v>37</v>
      </c>
      <c r="WF235" s="12" t="s">
        <v>37</v>
      </c>
    </row>
    <row r="236" spans="1:604" ht="18" customHeight="1" x14ac:dyDescent="0.3">
      <c r="A236" s="11">
        <v>64</v>
      </c>
      <c r="B236" s="16" t="s">
        <v>375</v>
      </c>
      <c r="C236" s="12" t="s">
        <v>26</v>
      </c>
      <c r="D236" s="12" t="s">
        <v>54</v>
      </c>
      <c r="E236" s="40">
        <v>2.15</v>
      </c>
      <c r="F236" s="14">
        <v>0</v>
      </c>
      <c r="G236" s="14">
        <v>0</v>
      </c>
      <c r="H236" s="12" t="s">
        <v>123</v>
      </c>
      <c r="I236" s="29">
        <v>61.783000000000001</v>
      </c>
      <c r="J236" s="29">
        <v>24.3</v>
      </c>
      <c r="K236" s="12" t="s">
        <v>775</v>
      </c>
      <c r="L236" s="12" t="s">
        <v>709</v>
      </c>
      <c r="M236" s="13" t="s">
        <v>37</v>
      </c>
      <c r="N236" s="12" t="s">
        <v>37</v>
      </c>
      <c r="O236" s="12" t="s">
        <v>37</v>
      </c>
      <c r="P236" s="14" t="s">
        <v>84</v>
      </c>
      <c r="Q236" s="75">
        <v>30</v>
      </c>
      <c r="R236" s="11" t="s">
        <v>1000</v>
      </c>
      <c r="S236" s="12" t="s">
        <v>93</v>
      </c>
      <c r="T236" s="12" t="s">
        <v>141</v>
      </c>
      <c r="U236" s="12" t="s">
        <v>158</v>
      </c>
      <c r="V236" s="12" t="s">
        <v>275</v>
      </c>
      <c r="W236" s="23" t="s">
        <v>376</v>
      </c>
      <c r="X236" s="12" t="s">
        <v>280</v>
      </c>
      <c r="Y236" s="12" t="s">
        <v>37</v>
      </c>
      <c r="Z236" s="12" t="s">
        <v>37</v>
      </c>
      <c r="AA236" s="32" t="s">
        <v>345</v>
      </c>
      <c r="AB236" s="12">
        <v>3.8</v>
      </c>
      <c r="AE236" s="12" t="s">
        <v>37</v>
      </c>
      <c r="AF236" s="12" t="s">
        <v>42</v>
      </c>
      <c r="AG236" s="32" t="s">
        <v>372</v>
      </c>
      <c r="AH236" s="12">
        <v>9</v>
      </c>
      <c r="AK236" s="12" t="s">
        <v>37</v>
      </c>
      <c r="AL236" s="32" t="s">
        <v>37</v>
      </c>
      <c r="AM236" s="12" t="s">
        <v>344</v>
      </c>
      <c r="AO236" s="12" t="s">
        <v>37</v>
      </c>
      <c r="AP236" s="12" t="s">
        <v>37</v>
      </c>
      <c r="AQ236" s="12" t="s">
        <v>975</v>
      </c>
      <c r="AT236" s="12" t="s">
        <v>326</v>
      </c>
      <c r="AU236" s="12" t="s">
        <v>326</v>
      </c>
      <c r="AV236" s="13" t="s">
        <v>326</v>
      </c>
      <c r="AX236" s="12" t="s">
        <v>326</v>
      </c>
      <c r="AY236" s="12" t="s">
        <v>326</v>
      </c>
      <c r="AZ236" s="13" t="s">
        <v>326</v>
      </c>
      <c r="BE236" s="12" t="s">
        <v>326</v>
      </c>
      <c r="BF236" s="12" t="s">
        <v>326</v>
      </c>
      <c r="BG236" s="12" t="s">
        <v>326</v>
      </c>
      <c r="BI236" s="12" t="s">
        <v>326</v>
      </c>
      <c r="BJ236" s="12" t="s">
        <v>326</v>
      </c>
      <c r="BK236" s="12" t="s">
        <v>326</v>
      </c>
      <c r="BP236" s="12" t="s">
        <v>37</v>
      </c>
      <c r="BQ236" s="12" t="s">
        <v>37</v>
      </c>
      <c r="BR236" s="13" t="s">
        <v>37</v>
      </c>
      <c r="BT236" s="12" t="s">
        <v>37</v>
      </c>
      <c r="BU236" s="12" t="s">
        <v>37</v>
      </c>
      <c r="BV236" s="12" t="s">
        <v>37</v>
      </c>
      <c r="CA236" s="12" t="s">
        <v>37</v>
      </c>
      <c r="CB236" s="12" t="s">
        <v>37</v>
      </c>
      <c r="CC236" s="13" t="s">
        <v>37</v>
      </c>
      <c r="CE236" s="12" t="s">
        <v>37</v>
      </c>
      <c r="CF236" s="12" t="s">
        <v>37</v>
      </c>
      <c r="CG236" s="12" t="s">
        <v>37</v>
      </c>
      <c r="CI236" s="52"/>
      <c r="CJ236" s="52"/>
      <c r="CK236" s="73"/>
      <c r="CL236" s="73"/>
      <c r="CN236" s="12" t="s">
        <v>37</v>
      </c>
      <c r="CO236" s="12" t="s">
        <v>37</v>
      </c>
      <c r="CP236" s="13" t="s">
        <v>37</v>
      </c>
      <c r="CR236" s="12" t="s">
        <v>37</v>
      </c>
      <c r="CS236" s="12" t="s">
        <v>37</v>
      </c>
      <c r="CT236" s="13" t="s">
        <v>37</v>
      </c>
      <c r="CV236" s="52"/>
      <c r="CW236" s="52"/>
      <c r="CX236" s="73"/>
      <c r="CY236" s="73"/>
      <c r="DA236" s="12" t="s">
        <v>37</v>
      </c>
      <c r="DB236" s="12" t="s">
        <v>37</v>
      </c>
      <c r="DC236" s="13" t="s">
        <v>37</v>
      </c>
      <c r="DE236" s="12" t="s">
        <v>37</v>
      </c>
      <c r="DF236" s="12" t="s">
        <v>37</v>
      </c>
      <c r="DG236" s="12" t="s">
        <v>37</v>
      </c>
      <c r="DN236" s="19" t="s">
        <v>37</v>
      </c>
      <c r="DO236" s="12" t="s">
        <v>37</v>
      </c>
      <c r="DP236" s="13" t="s">
        <v>37</v>
      </c>
      <c r="DR236" s="19" t="s">
        <v>37</v>
      </c>
      <c r="DS236" s="12" t="s">
        <v>37</v>
      </c>
      <c r="DT236" s="13" t="s">
        <v>37</v>
      </c>
      <c r="EA236" s="19" t="s">
        <v>37</v>
      </c>
      <c r="EB236" s="19" t="s">
        <v>37</v>
      </c>
      <c r="EC236" s="72" t="s">
        <v>37</v>
      </c>
      <c r="EE236" s="19" t="s">
        <v>37</v>
      </c>
      <c r="EF236" s="19" t="s">
        <v>37</v>
      </c>
      <c r="EG236" s="12" t="s">
        <v>37</v>
      </c>
      <c r="EM236" s="12" t="s">
        <v>39</v>
      </c>
      <c r="EN236" s="12">
        <v>-12</v>
      </c>
      <c r="EO236" s="50">
        <f t="shared" si="1108"/>
        <v>4.8899567850155199</v>
      </c>
      <c r="EP236" s="13">
        <v>3</v>
      </c>
      <c r="ER236" s="12">
        <v>-14</v>
      </c>
      <c r="ES236" s="50">
        <f t="shared" si="1116"/>
        <v>3.1753967491287183</v>
      </c>
      <c r="ET236" s="13">
        <v>3</v>
      </c>
      <c r="EV236" s="19">
        <f t="shared" si="1117"/>
        <v>-2</v>
      </c>
      <c r="EW236" s="12">
        <f t="shared" si="1118"/>
        <v>4.1227916436376306</v>
      </c>
      <c r="EX236" s="19">
        <f t="shared" si="1119"/>
        <v>11.331607291232183</v>
      </c>
      <c r="EY236" s="19">
        <f t="shared" si="1120"/>
        <v>11.331607291232183</v>
      </c>
      <c r="FB236" s="12" t="s">
        <v>37</v>
      </c>
      <c r="FC236" s="12" t="s">
        <v>37</v>
      </c>
      <c r="FD236" s="12" t="s">
        <v>37</v>
      </c>
      <c r="FE236" s="12" t="s">
        <v>37</v>
      </c>
      <c r="FF236" s="20" t="s">
        <v>37</v>
      </c>
      <c r="FG236" s="12" t="s">
        <v>37</v>
      </c>
      <c r="FI236" s="12" t="s">
        <v>37</v>
      </c>
      <c r="FJ236" s="12" t="s">
        <v>37</v>
      </c>
      <c r="FK236" s="12" t="s">
        <v>37</v>
      </c>
      <c r="FL236" s="12" t="s">
        <v>37</v>
      </c>
      <c r="FM236" s="12" t="s">
        <v>37</v>
      </c>
      <c r="FN236" s="12" t="s">
        <v>37</v>
      </c>
      <c r="FP236" s="12" t="s">
        <v>37</v>
      </c>
      <c r="FQ236" s="12" t="s">
        <v>37</v>
      </c>
      <c r="FR236" s="12" t="s">
        <v>37</v>
      </c>
      <c r="FS236" s="12" t="s">
        <v>37</v>
      </c>
      <c r="FT236" s="12" t="s">
        <v>37</v>
      </c>
      <c r="FU236" s="12" t="s">
        <v>37</v>
      </c>
      <c r="FW236" s="12" t="s">
        <v>37</v>
      </c>
      <c r="FX236" s="12" t="s">
        <v>37</v>
      </c>
      <c r="FY236" s="12" t="s">
        <v>37</v>
      </c>
      <c r="FZ236" s="12" t="s">
        <v>37</v>
      </c>
      <c r="GA236" s="12" t="s">
        <v>37</v>
      </c>
      <c r="GB236" s="12" t="s">
        <v>37</v>
      </c>
      <c r="HA236" s="17" t="s">
        <v>63</v>
      </c>
      <c r="HB236" s="34" t="s">
        <v>372</v>
      </c>
      <c r="HC236" s="12">
        <v>5.8000000000000003E-2</v>
      </c>
      <c r="HD236" s="50">
        <f t="shared" si="1127"/>
        <v>9.999881102496477E-3</v>
      </c>
      <c r="HE236" s="13">
        <v>3</v>
      </c>
      <c r="HG236" s="12">
        <v>5.8000000000000003E-2</v>
      </c>
      <c r="HH236" s="50">
        <f t="shared" si="1128"/>
        <v>6.4875621580920946E-3</v>
      </c>
      <c r="HI236" s="13">
        <v>3</v>
      </c>
      <c r="HK236" s="19">
        <f t="shared" si="1129"/>
        <v>0</v>
      </c>
      <c r="HL236" s="19">
        <f t="shared" si="1130"/>
        <v>1.4079080937294363E-2</v>
      </c>
      <c r="IK236" s="12" t="s">
        <v>37</v>
      </c>
      <c r="IL236" s="12" t="s">
        <v>37</v>
      </c>
      <c r="IM236" s="12" t="s">
        <v>37</v>
      </c>
      <c r="IO236" s="12" t="s">
        <v>37</v>
      </c>
      <c r="IP236" s="12" t="s">
        <v>37</v>
      </c>
      <c r="IQ236" s="12" t="s">
        <v>37</v>
      </c>
      <c r="IV236" s="32" t="s">
        <v>345</v>
      </c>
      <c r="IW236" s="12">
        <v>3.8</v>
      </c>
      <c r="IX236" s="50">
        <f t="shared" si="1131"/>
        <v>0.13912842198648792</v>
      </c>
      <c r="IY236" s="13">
        <v>3</v>
      </c>
      <c r="JA236" s="12">
        <v>3.8</v>
      </c>
      <c r="JB236" s="50">
        <f t="shared" si="1132"/>
        <v>0.10643347338567048</v>
      </c>
      <c r="JC236" s="13">
        <v>3</v>
      </c>
      <c r="JE236" s="19">
        <f t="shared" si="1133"/>
        <v>0</v>
      </c>
      <c r="JF236" s="19">
        <f t="shared" si="1134"/>
        <v>7.083287641133075E-4</v>
      </c>
      <c r="JH236" s="12" t="s">
        <v>37</v>
      </c>
      <c r="JI236" s="12" t="s">
        <v>37</v>
      </c>
      <c r="JJ236" s="13" t="s">
        <v>37</v>
      </c>
      <c r="JL236" s="12" t="s">
        <v>37</v>
      </c>
      <c r="JM236" s="12" t="s">
        <v>37</v>
      </c>
      <c r="JN236" s="12" t="s">
        <v>37</v>
      </c>
      <c r="JS236" s="12" t="s">
        <v>37</v>
      </c>
      <c r="JT236" s="12" t="s">
        <v>37</v>
      </c>
      <c r="JU236" s="13" t="s">
        <v>37</v>
      </c>
      <c r="JW236" s="12" t="s">
        <v>37</v>
      </c>
      <c r="JX236" s="12" t="s">
        <v>37</v>
      </c>
      <c r="JY236" s="12" t="s">
        <v>37</v>
      </c>
      <c r="KE236" s="12" t="s">
        <v>37</v>
      </c>
      <c r="KF236" s="12" t="s">
        <v>37</v>
      </c>
      <c r="KG236" s="13" t="s">
        <v>37</v>
      </c>
      <c r="KH236" s="12" t="s">
        <v>37</v>
      </c>
      <c r="KI236" s="12" t="s">
        <v>37</v>
      </c>
      <c r="KJ236" s="12" t="s">
        <v>37</v>
      </c>
      <c r="KK236" s="12" t="s">
        <v>42</v>
      </c>
      <c r="KL236" s="32" t="s">
        <v>372</v>
      </c>
      <c r="KM236" s="12">
        <v>9</v>
      </c>
      <c r="KN236" s="50">
        <f t="shared" si="1135"/>
        <v>1.0736373724637354</v>
      </c>
      <c r="KO236" s="11">
        <v>3</v>
      </c>
      <c r="KQ236" s="12">
        <v>10</v>
      </c>
      <c r="KR236" s="50">
        <f t="shared" si="1136"/>
        <v>1.0544343016863675</v>
      </c>
      <c r="KS236" s="11">
        <v>3</v>
      </c>
      <c r="KU236" s="19">
        <f t="shared" si="1137"/>
        <v>0.10536051565782635</v>
      </c>
      <c r="KV236" s="19">
        <f t="shared" si="1138"/>
        <v>8.4497155628593251E-3</v>
      </c>
      <c r="KX236" s="12" t="s">
        <v>37</v>
      </c>
      <c r="KY236" s="12" t="s">
        <v>37</v>
      </c>
      <c r="KZ236" s="12" t="s">
        <v>37</v>
      </c>
      <c r="LB236" s="12" t="s">
        <v>37</v>
      </c>
      <c r="LC236" s="12" t="s">
        <v>37</v>
      </c>
      <c r="LD236" s="12" t="s">
        <v>37</v>
      </c>
      <c r="LI236" s="12" t="s">
        <v>37</v>
      </c>
      <c r="LJ236" s="12" t="s">
        <v>37</v>
      </c>
      <c r="LK236" s="12" t="s">
        <v>37</v>
      </c>
      <c r="LM236" s="12" t="s">
        <v>37</v>
      </c>
      <c r="LN236" s="12" t="s">
        <v>37</v>
      </c>
      <c r="LO236" s="12" t="s">
        <v>37</v>
      </c>
      <c r="LU236" s="12" t="s">
        <v>37</v>
      </c>
      <c r="LV236" s="12" t="s">
        <v>37</v>
      </c>
      <c r="LW236" s="12" t="s">
        <v>37</v>
      </c>
      <c r="LY236" s="12" t="s">
        <v>37</v>
      </c>
      <c r="LZ236" s="12" t="s">
        <v>37</v>
      </c>
      <c r="MA236" s="12" t="s">
        <v>37</v>
      </c>
      <c r="MF236" s="12" t="s">
        <v>37</v>
      </c>
      <c r="MG236" s="12" t="s">
        <v>37</v>
      </c>
      <c r="MH236" s="12" t="s">
        <v>37</v>
      </c>
      <c r="MJ236" s="12" t="s">
        <v>37</v>
      </c>
      <c r="MK236" s="12" t="s">
        <v>37</v>
      </c>
      <c r="ML236" s="12" t="s">
        <v>37</v>
      </c>
      <c r="MQ236" s="12" t="s">
        <v>37</v>
      </c>
      <c r="MR236" s="12" t="s">
        <v>37</v>
      </c>
      <c r="MS236" s="12" t="s">
        <v>37</v>
      </c>
      <c r="MU236" s="12" t="s">
        <v>37</v>
      </c>
      <c r="MV236" s="12" t="s">
        <v>37</v>
      </c>
      <c r="MW236" s="12" t="s">
        <v>37</v>
      </c>
      <c r="NC236" s="12" t="s">
        <v>37</v>
      </c>
      <c r="ND236" s="12" t="s">
        <v>37</v>
      </c>
      <c r="NE236" s="12" t="s">
        <v>37</v>
      </c>
      <c r="NG236" s="12" t="s">
        <v>37</v>
      </c>
      <c r="NH236" s="12" t="s">
        <v>37</v>
      </c>
      <c r="NI236" s="12" t="s">
        <v>37</v>
      </c>
      <c r="NO236" s="12" t="s">
        <v>37</v>
      </c>
      <c r="NP236" s="12" t="s">
        <v>37</v>
      </c>
      <c r="NQ236" s="12" t="s">
        <v>37</v>
      </c>
      <c r="NS236" s="12" t="s">
        <v>37</v>
      </c>
      <c r="NT236" s="12" t="s">
        <v>37</v>
      </c>
      <c r="NU236" s="12" t="s">
        <v>37</v>
      </c>
      <c r="OA236" s="12" t="s">
        <v>37</v>
      </c>
      <c r="OB236" s="12" t="s">
        <v>37</v>
      </c>
      <c r="OC236" s="12" t="s">
        <v>37</v>
      </c>
      <c r="OD236" s="12"/>
      <c r="OE236" s="12" t="s">
        <v>37</v>
      </c>
      <c r="OF236" s="12" t="s">
        <v>37</v>
      </c>
      <c r="OG236" s="12" t="s">
        <v>37</v>
      </c>
      <c r="OH236" s="12"/>
      <c r="OI236" s="12"/>
      <c r="OJ236" s="12"/>
      <c r="OM236" s="12" t="s">
        <v>37</v>
      </c>
      <c r="ON236" s="12" t="s">
        <v>37</v>
      </c>
      <c r="OO236" s="12" t="s">
        <v>37</v>
      </c>
      <c r="OP236" s="12" t="s">
        <v>37</v>
      </c>
      <c r="OQ236" s="12" t="s">
        <v>37</v>
      </c>
      <c r="OR236" s="12" t="s">
        <v>37</v>
      </c>
      <c r="OS236" s="12"/>
      <c r="OT236" s="12"/>
      <c r="OW236" s="12" t="s">
        <v>37</v>
      </c>
      <c r="OX236" s="12" t="s">
        <v>37</v>
      </c>
      <c r="OY236" s="13" t="s">
        <v>37</v>
      </c>
      <c r="OZ236" s="12" t="s">
        <v>37</v>
      </c>
      <c r="PA236" s="12" t="s">
        <v>37</v>
      </c>
      <c r="PB236" s="13" t="s">
        <v>37</v>
      </c>
      <c r="PG236" s="12" t="s">
        <v>37</v>
      </c>
      <c r="PH236" s="12" t="s">
        <v>37</v>
      </c>
      <c r="PI236" s="12" t="s">
        <v>37</v>
      </c>
      <c r="PJ236" s="12" t="s">
        <v>37</v>
      </c>
      <c r="PK236" s="12" t="s">
        <v>37</v>
      </c>
      <c r="PL236" s="12" t="s">
        <v>37</v>
      </c>
      <c r="PM236" s="12"/>
      <c r="PN236" s="12"/>
      <c r="PQ236" s="12" t="s">
        <v>37</v>
      </c>
      <c r="PR236" s="12" t="s">
        <v>37</v>
      </c>
      <c r="PS236" s="12" t="s">
        <v>37</v>
      </c>
      <c r="PT236" s="12" t="s">
        <v>37</v>
      </c>
      <c r="PU236" s="12" t="s">
        <v>37</v>
      </c>
      <c r="PV236" s="12" t="s">
        <v>37</v>
      </c>
      <c r="PW236" s="12"/>
      <c r="PX236" s="12"/>
      <c r="PZ236" s="12" t="s">
        <v>37</v>
      </c>
      <c r="QA236" s="12" t="s">
        <v>37</v>
      </c>
      <c r="QB236" s="12" t="s">
        <v>37</v>
      </c>
      <c r="QD236" s="12" t="s">
        <v>37</v>
      </c>
      <c r="QE236" s="12" t="s">
        <v>37</v>
      </c>
      <c r="QF236" s="12" t="s">
        <v>37</v>
      </c>
      <c r="QK236" s="12" t="s">
        <v>37</v>
      </c>
      <c r="QL236" s="12" t="s">
        <v>37</v>
      </c>
      <c r="QM236" s="12" t="s">
        <v>37</v>
      </c>
      <c r="QN236" s="12" t="s">
        <v>37</v>
      </c>
      <c r="QO236" s="12" t="s">
        <v>37</v>
      </c>
      <c r="QP236" s="12" t="s">
        <v>37</v>
      </c>
      <c r="QQ236" s="12"/>
      <c r="QR236" s="12"/>
      <c r="QU236" s="12" t="s">
        <v>37</v>
      </c>
      <c r="QV236" s="12" t="s">
        <v>37</v>
      </c>
      <c r="QW236" s="12" t="s">
        <v>37</v>
      </c>
      <c r="QX236" s="12" t="s">
        <v>37</v>
      </c>
      <c r="QY236" s="12" t="s">
        <v>37</v>
      </c>
      <c r="QZ236" s="12" t="s">
        <v>37</v>
      </c>
      <c r="RC236" s="12" t="s">
        <v>37</v>
      </c>
      <c r="RD236" s="12" t="s">
        <v>37</v>
      </c>
      <c r="RE236" s="13" t="s">
        <v>37</v>
      </c>
      <c r="RF236" s="12" t="s">
        <v>37</v>
      </c>
      <c r="RG236" s="12" t="s">
        <v>37</v>
      </c>
      <c r="RH236" s="13" t="s">
        <v>37</v>
      </c>
      <c r="RK236" s="12" t="s">
        <v>37</v>
      </c>
      <c r="RL236" s="12" t="s">
        <v>37</v>
      </c>
      <c r="RM236" s="11" t="s">
        <v>37</v>
      </c>
      <c r="RN236" s="12" t="s">
        <v>37</v>
      </c>
      <c r="RO236" s="12" t="s">
        <v>37</v>
      </c>
      <c r="RP236" s="11" t="s">
        <v>37</v>
      </c>
      <c r="RS236" s="12" t="s">
        <v>37</v>
      </c>
      <c r="RT236" s="12" t="s">
        <v>37</v>
      </c>
      <c r="RU236" s="12" t="s">
        <v>37</v>
      </c>
      <c r="RV236" s="12" t="s">
        <v>37</v>
      </c>
      <c r="RW236" s="12" t="s">
        <v>37</v>
      </c>
      <c r="RX236" s="12" t="s">
        <v>37</v>
      </c>
      <c r="SA236" s="12" t="s">
        <v>37</v>
      </c>
      <c r="SB236" s="12" t="s">
        <v>37</v>
      </c>
      <c r="SC236" s="12" t="s">
        <v>37</v>
      </c>
      <c r="SD236" s="12" t="s">
        <v>37</v>
      </c>
      <c r="SE236" s="12" t="s">
        <v>37</v>
      </c>
      <c r="SF236" s="12" t="s">
        <v>37</v>
      </c>
      <c r="SI236" s="12" t="s">
        <v>37</v>
      </c>
      <c r="SJ236" s="12" t="s">
        <v>37</v>
      </c>
      <c r="SK236" s="13" t="s">
        <v>37</v>
      </c>
      <c r="SM236" s="12" t="s">
        <v>37</v>
      </c>
      <c r="SN236" s="12" t="s">
        <v>37</v>
      </c>
      <c r="SO236" s="13" t="s">
        <v>37</v>
      </c>
      <c r="SU236" s="12" t="s">
        <v>37</v>
      </c>
      <c r="SV236" s="12" t="s">
        <v>37</v>
      </c>
      <c r="SW236" s="12" t="s">
        <v>37</v>
      </c>
      <c r="SX236" s="12" t="s">
        <v>37</v>
      </c>
      <c r="SY236" s="12" t="s">
        <v>37</v>
      </c>
      <c r="SZ236" s="12" t="s">
        <v>37</v>
      </c>
      <c r="TA236" s="12"/>
      <c r="TB236" s="12"/>
      <c r="TE236" s="12" t="s">
        <v>37</v>
      </c>
      <c r="TF236" s="12" t="s">
        <v>37</v>
      </c>
      <c r="TG236" s="12" t="s">
        <v>37</v>
      </c>
      <c r="TH236" s="12" t="s">
        <v>37</v>
      </c>
      <c r="TI236" s="12" t="s">
        <v>37</v>
      </c>
      <c r="TJ236" s="12" t="s">
        <v>37</v>
      </c>
      <c r="TK236" s="12"/>
      <c r="TL236" s="12"/>
      <c r="TO236" s="12" t="s">
        <v>37</v>
      </c>
      <c r="TP236" s="12" t="s">
        <v>37</v>
      </c>
      <c r="TQ236" s="12" t="s">
        <v>37</v>
      </c>
      <c r="TR236" s="12" t="s">
        <v>37</v>
      </c>
      <c r="TS236" s="12" t="s">
        <v>37</v>
      </c>
      <c r="TT236" s="12" t="s">
        <v>37</v>
      </c>
      <c r="TU236" s="12"/>
      <c r="TV236" s="12"/>
      <c r="TY236" s="12" t="s">
        <v>37</v>
      </c>
      <c r="TZ236" s="12" t="s">
        <v>37</v>
      </c>
      <c r="UA236" s="12" t="s">
        <v>37</v>
      </c>
      <c r="UB236" s="12" t="s">
        <v>37</v>
      </c>
      <c r="UC236" s="12" t="s">
        <v>37</v>
      </c>
      <c r="UD236" s="12" t="s">
        <v>37</v>
      </c>
      <c r="UE236" s="12"/>
      <c r="UF236" s="12"/>
      <c r="UI236" s="12" t="s">
        <v>37</v>
      </c>
      <c r="UJ236" s="12" t="s">
        <v>37</v>
      </c>
      <c r="UK236" s="12" t="s">
        <v>37</v>
      </c>
      <c r="UL236" s="12" t="s">
        <v>37</v>
      </c>
      <c r="UM236" s="12" t="s">
        <v>37</v>
      </c>
      <c r="UN236" s="12" t="s">
        <v>37</v>
      </c>
      <c r="UO236" s="12"/>
      <c r="UP236" s="12"/>
      <c r="UR236" s="12" t="s">
        <v>37</v>
      </c>
      <c r="US236" s="12" t="s">
        <v>37</v>
      </c>
      <c r="UT236" s="12" t="s">
        <v>37</v>
      </c>
      <c r="UU236" s="12" t="s">
        <v>37</v>
      </c>
      <c r="UV236" s="12" t="s">
        <v>37</v>
      </c>
      <c r="UW236" s="12" t="s">
        <v>37</v>
      </c>
      <c r="UX236" s="12"/>
      <c r="UY236" s="12"/>
      <c r="VB236" s="12" t="s">
        <v>37</v>
      </c>
      <c r="VC236" s="12" t="s">
        <v>37</v>
      </c>
      <c r="VD236" s="12" t="s">
        <v>37</v>
      </c>
      <c r="VE236" s="12" t="s">
        <v>37</v>
      </c>
      <c r="VF236" s="12" t="s">
        <v>37</v>
      </c>
      <c r="VG236" s="12" t="s">
        <v>37</v>
      </c>
      <c r="VI236" s="12" t="s">
        <v>37</v>
      </c>
      <c r="VJ236" s="12" t="s">
        <v>37</v>
      </c>
      <c r="VK236" s="12" t="s">
        <v>37</v>
      </c>
      <c r="VL236" s="12" t="s">
        <v>37</v>
      </c>
      <c r="VM236" s="12" t="s">
        <v>37</v>
      </c>
      <c r="VN236" s="12" t="s">
        <v>37</v>
      </c>
      <c r="VQ236" s="12" t="s">
        <v>37</v>
      </c>
      <c r="VR236" s="12" t="s">
        <v>37</v>
      </c>
      <c r="VS236" s="12" t="s">
        <v>37</v>
      </c>
      <c r="VT236" s="12" t="s">
        <v>37</v>
      </c>
      <c r="VU236" s="12" t="s">
        <v>37</v>
      </c>
      <c r="VV236" s="12" t="s">
        <v>37</v>
      </c>
      <c r="VW236" s="12"/>
      <c r="VX236" s="12"/>
      <c r="WA236" s="12" t="s">
        <v>37</v>
      </c>
      <c r="WB236" s="12" t="s">
        <v>37</v>
      </c>
      <c r="WC236" s="12" t="s">
        <v>37</v>
      </c>
      <c r="WD236" s="12" t="s">
        <v>37</v>
      </c>
      <c r="WE236" s="12" t="s">
        <v>37</v>
      </c>
      <c r="WF236" s="12" t="s">
        <v>37</v>
      </c>
    </row>
    <row r="237" spans="1:604" ht="18" customHeight="1" x14ac:dyDescent="0.3">
      <c r="A237" s="11">
        <v>64</v>
      </c>
      <c r="B237" s="16" t="s">
        <v>375</v>
      </c>
      <c r="C237" s="12" t="s">
        <v>26</v>
      </c>
      <c r="D237" s="12" t="s">
        <v>54</v>
      </c>
      <c r="E237" s="40">
        <v>2.5499999999999998</v>
      </c>
      <c r="F237" s="14">
        <v>0</v>
      </c>
      <c r="G237" s="14">
        <v>0</v>
      </c>
      <c r="H237" s="12" t="s">
        <v>123</v>
      </c>
      <c r="I237" s="29">
        <v>61.783000000000001</v>
      </c>
      <c r="J237" s="29">
        <v>24.3</v>
      </c>
      <c r="K237" s="12" t="s">
        <v>775</v>
      </c>
      <c r="L237" s="12" t="s">
        <v>709</v>
      </c>
      <c r="M237" s="13" t="s">
        <v>37</v>
      </c>
      <c r="N237" s="12" t="s">
        <v>37</v>
      </c>
      <c r="O237" s="12" t="s">
        <v>37</v>
      </c>
      <c r="P237" s="14" t="s">
        <v>84</v>
      </c>
      <c r="Q237" s="75">
        <v>30</v>
      </c>
      <c r="R237" s="11" t="s">
        <v>1000</v>
      </c>
      <c r="S237" s="12" t="s">
        <v>93</v>
      </c>
      <c r="T237" s="12" t="s">
        <v>141</v>
      </c>
      <c r="U237" s="12" t="s">
        <v>158</v>
      </c>
      <c r="V237" s="12" t="s">
        <v>275</v>
      </c>
      <c r="W237" s="23" t="s">
        <v>376</v>
      </c>
      <c r="X237" s="12" t="s">
        <v>280</v>
      </c>
      <c r="Y237" s="12" t="s">
        <v>37</v>
      </c>
      <c r="Z237" s="12" t="s">
        <v>37</v>
      </c>
      <c r="AA237" s="32" t="s">
        <v>345</v>
      </c>
      <c r="AB237" s="12">
        <v>3.8</v>
      </c>
      <c r="AE237" s="12" t="s">
        <v>37</v>
      </c>
      <c r="AF237" s="12" t="s">
        <v>42</v>
      </c>
      <c r="AG237" s="32" t="s">
        <v>372</v>
      </c>
      <c r="AH237" s="12">
        <v>9</v>
      </c>
      <c r="AK237" s="12" t="s">
        <v>37</v>
      </c>
      <c r="AL237" s="32" t="s">
        <v>37</v>
      </c>
      <c r="AM237" s="12" t="s">
        <v>344</v>
      </c>
      <c r="AO237" s="12" t="s">
        <v>37</v>
      </c>
      <c r="AP237" s="12" t="s">
        <v>37</v>
      </c>
      <c r="AQ237" s="12" t="s">
        <v>975</v>
      </c>
      <c r="AT237" s="12" t="s">
        <v>326</v>
      </c>
      <c r="AU237" s="12" t="s">
        <v>326</v>
      </c>
      <c r="AV237" s="13" t="s">
        <v>326</v>
      </c>
      <c r="AX237" s="12" t="s">
        <v>326</v>
      </c>
      <c r="AY237" s="12" t="s">
        <v>326</v>
      </c>
      <c r="AZ237" s="13" t="s">
        <v>326</v>
      </c>
      <c r="BE237" s="12" t="s">
        <v>326</v>
      </c>
      <c r="BF237" s="12" t="s">
        <v>326</v>
      </c>
      <c r="BG237" s="12" t="s">
        <v>326</v>
      </c>
      <c r="BI237" s="12" t="s">
        <v>326</v>
      </c>
      <c r="BJ237" s="12" t="s">
        <v>326</v>
      </c>
      <c r="BK237" s="12" t="s">
        <v>326</v>
      </c>
      <c r="BP237" s="12" t="s">
        <v>37</v>
      </c>
      <c r="BQ237" s="12" t="s">
        <v>37</v>
      </c>
      <c r="BR237" s="13" t="s">
        <v>37</v>
      </c>
      <c r="BT237" s="12" t="s">
        <v>37</v>
      </c>
      <c r="BU237" s="12" t="s">
        <v>37</v>
      </c>
      <c r="BV237" s="12" t="s">
        <v>37</v>
      </c>
      <c r="CA237" s="12" t="s">
        <v>37</v>
      </c>
      <c r="CB237" s="12" t="s">
        <v>37</v>
      </c>
      <c r="CC237" s="13" t="s">
        <v>37</v>
      </c>
      <c r="CE237" s="12" t="s">
        <v>37</v>
      </c>
      <c r="CF237" s="12" t="s">
        <v>37</v>
      </c>
      <c r="CG237" s="12" t="s">
        <v>37</v>
      </c>
      <c r="CI237" s="52"/>
      <c r="CJ237" s="52"/>
      <c r="CK237" s="73"/>
      <c r="CL237" s="73"/>
      <c r="CN237" s="12" t="s">
        <v>37</v>
      </c>
      <c r="CO237" s="12" t="s">
        <v>37</v>
      </c>
      <c r="CP237" s="13" t="s">
        <v>37</v>
      </c>
      <c r="CR237" s="12" t="s">
        <v>37</v>
      </c>
      <c r="CS237" s="12" t="s">
        <v>37</v>
      </c>
      <c r="CT237" s="13" t="s">
        <v>37</v>
      </c>
      <c r="CV237" s="52"/>
      <c r="CW237" s="52"/>
      <c r="CX237" s="73"/>
      <c r="CY237" s="73"/>
      <c r="DA237" s="12" t="s">
        <v>37</v>
      </c>
      <c r="DB237" s="12" t="s">
        <v>37</v>
      </c>
      <c r="DC237" s="13" t="s">
        <v>37</v>
      </c>
      <c r="DE237" s="12" t="s">
        <v>37</v>
      </c>
      <c r="DF237" s="12" t="s">
        <v>37</v>
      </c>
      <c r="DG237" s="12" t="s">
        <v>37</v>
      </c>
      <c r="DN237" s="19" t="s">
        <v>37</v>
      </c>
      <c r="DO237" s="12" t="s">
        <v>37</v>
      </c>
      <c r="DP237" s="13" t="s">
        <v>37</v>
      </c>
      <c r="DR237" s="19" t="s">
        <v>37</v>
      </c>
      <c r="DS237" s="12" t="s">
        <v>37</v>
      </c>
      <c r="DT237" s="13" t="s">
        <v>37</v>
      </c>
      <c r="EA237" s="19" t="s">
        <v>37</v>
      </c>
      <c r="EB237" s="19" t="s">
        <v>37</v>
      </c>
      <c r="EC237" s="72" t="s">
        <v>37</v>
      </c>
      <c r="EE237" s="19" t="s">
        <v>37</v>
      </c>
      <c r="EF237" s="19" t="s">
        <v>37</v>
      </c>
      <c r="EG237" s="12" t="s">
        <v>37</v>
      </c>
      <c r="EM237" s="12" t="s">
        <v>39</v>
      </c>
      <c r="EN237" s="12">
        <v>-22</v>
      </c>
      <c r="EO237" s="50">
        <f t="shared" si="1108"/>
        <v>8.964920772528453</v>
      </c>
      <c r="EP237" s="13">
        <v>3</v>
      </c>
      <c r="ER237" s="12">
        <v>-31</v>
      </c>
      <c r="ES237" s="50">
        <f t="shared" si="1116"/>
        <v>7.0312356587850191</v>
      </c>
      <c r="ET237" s="13">
        <v>3</v>
      </c>
      <c r="EV237" s="19">
        <f t="shared" si="1117"/>
        <v>-9</v>
      </c>
      <c r="EW237" s="12">
        <f t="shared" si="1118"/>
        <v>8.0563043434034363</v>
      </c>
      <c r="EX237" s="19">
        <f t="shared" si="1119"/>
        <v>43.269359782360716</v>
      </c>
      <c r="EY237" s="19">
        <f t="shared" si="1120"/>
        <v>43.269359782360716</v>
      </c>
      <c r="FB237" s="12" t="s">
        <v>37</v>
      </c>
      <c r="FC237" s="12" t="s">
        <v>37</v>
      </c>
      <c r="FD237" s="12" t="s">
        <v>37</v>
      </c>
      <c r="FE237" s="12" t="s">
        <v>37</v>
      </c>
      <c r="FF237" s="20" t="s">
        <v>37</v>
      </c>
      <c r="FG237" s="12" t="s">
        <v>37</v>
      </c>
      <c r="FI237" s="12" t="s">
        <v>37</v>
      </c>
      <c r="FJ237" s="12" t="s">
        <v>37</v>
      </c>
      <c r="FK237" s="12" t="s">
        <v>37</v>
      </c>
      <c r="FL237" s="12" t="s">
        <v>37</v>
      </c>
      <c r="FM237" s="12" t="s">
        <v>37</v>
      </c>
      <c r="FN237" s="12" t="s">
        <v>37</v>
      </c>
      <c r="FP237" s="12" t="s">
        <v>37</v>
      </c>
      <c r="FQ237" s="12" t="s">
        <v>37</v>
      </c>
      <c r="FR237" s="12" t="s">
        <v>37</v>
      </c>
      <c r="FS237" s="12" t="s">
        <v>37</v>
      </c>
      <c r="FT237" s="12" t="s">
        <v>37</v>
      </c>
      <c r="FU237" s="12" t="s">
        <v>37</v>
      </c>
      <c r="FW237" s="12" t="s">
        <v>37</v>
      </c>
      <c r="FX237" s="12" t="s">
        <v>37</v>
      </c>
      <c r="FY237" s="12" t="s">
        <v>37</v>
      </c>
      <c r="FZ237" s="12" t="s">
        <v>37</v>
      </c>
      <c r="GA237" s="12" t="s">
        <v>37</v>
      </c>
      <c r="GB237" s="12" t="s">
        <v>37</v>
      </c>
      <c r="HA237" s="17" t="s">
        <v>63</v>
      </c>
      <c r="HB237" s="34" t="s">
        <v>372</v>
      </c>
      <c r="HC237" s="12">
        <v>0.06</v>
      </c>
      <c r="HD237" s="50">
        <f t="shared" si="1127"/>
        <v>1.0344704588789458E-2</v>
      </c>
      <c r="HE237" s="13">
        <v>3</v>
      </c>
      <c r="HG237" s="12">
        <v>7.4999999999999997E-2</v>
      </c>
      <c r="HH237" s="50">
        <f t="shared" si="1128"/>
        <v>8.3890889975328804E-3</v>
      </c>
      <c r="HI237" s="13">
        <v>3</v>
      </c>
      <c r="HK237" s="19">
        <f t="shared" si="1129"/>
        <v>0.22314355131420976</v>
      </c>
      <c r="HL237" s="19">
        <f t="shared" si="1130"/>
        <v>1.4079080937294359E-2</v>
      </c>
      <c r="IK237" s="12" t="s">
        <v>37</v>
      </c>
      <c r="IL237" s="12" t="s">
        <v>37</v>
      </c>
      <c r="IM237" s="12" t="s">
        <v>37</v>
      </c>
      <c r="IO237" s="12" t="s">
        <v>37</v>
      </c>
      <c r="IP237" s="12" t="s">
        <v>37</v>
      </c>
      <c r="IQ237" s="12" t="s">
        <v>37</v>
      </c>
      <c r="IV237" s="32" t="s">
        <v>345</v>
      </c>
      <c r="IW237" s="12">
        <v>3.8</v>
      </c>
      <c r="IX237" s="50">
        <f t="shared" si="1131"/>
        <v>0.13912842198648792</v>
      </c>
      <c r="IY237" s="13">
        <v>3</v>
      </c>
      <c r="JA237" s="12">
        <v>3.8</v>
      </c>
      <c r="JB237" s="50">
        <f t="shared" si="1132"/>
        <v>0.10643347338567048</v>
      </c>
      <c r="JC237" s="13">
        <v>3</v>
      </c>
      <c r="JE237" s="19">
        <f t="shared" si="1133"/>
        <v>0</v>
      </c>
      <c r="JF237" s="19">
        <f t="shared" si="1134"/>
        <v>7.083287641133075E-4</v>
      </c>
      <c r="JH237" s="12" t="s">
        <v>37</v>
      </c>
      <c r="JI237" s="12" t="s">
        <v>37</v>
      </c>
      <c r="JJ237" s="13" t="s">
        <v>37</v>
      </c>
      <c r="JL237" s="12" t="s">
        <v>37</v>
      </c>
      <c r="JM237" s="12" t="s">
        <v>37</v>
      </c>
      <c r="JN237" s="12" t="s">
        <v>37</v>
      </c>
      <c r="JS237" s="12" t="s">
        <v>37</v>
      </c>
      <c r="JT237" s="12" t="s">
        <v>37</v>
      </c>
      <c r="JU237" s="13" t="s">
        <v>37</v>
      </c>
      <c r="JW237" s="12" t="s">
        <v>37</v>
      </c>
      <c r="JX237" s="12" t="s">
        <v>37</v>
      </c>
      <c r="JY237" s="12" t="s">
        <v>37</v>
      </c>
      <c r="KE237" s="12" t="s">
        <v>37</v>
      </c>
      <c r="KF237" s="12" t="s">
        <v>37</v>
      </c>
      <c r="KG237" s="13" t="s">
        <v>37</v>
      </c>
      <c r="KH237" s="12" t="s">
        <v>37</v>
      </c>
      <c r="KI237" s="12" t="s">
        <v>37</v>
      </c>
      <c r="KJ237" s="12" t="s">
        <v>37</v>
      </c>
      <c r="KK237" s="12" t="s">
        <v>42</v>
      </c>
      <c r="KL237" s="32" t="s">
        <v>372</v>
      </c>
      <c r="KM237" s="12">
        <v>9</v>
      </c>
      <c r="KN237" s="50">
        <f t="shared" si="1135"/>
        <v>1.0736373724637354</v>
      </c>
      <c r="KO237" s="11">
        <v>3</v>
      </c>
      <c r="KQ237" s="12">
        <v>9</v>
      </c>
      <c r="KR237" s="50">
        <f t="shared" si="1136"/>
        <v>0.94899087151773076</v>
      </c>
      <c r="KS237" s="11">
        <v>3</v>
      </c>
      <c r="KU237" s="19">
        <f t="shared" si="1137"/>
        <v>0</v>
      </c>
      <c r="KV237" s="19">
        <f t="shared" si="1138"/>
        <v>8.4497155628593251E-3</v>
      </c>
      <c r="KX237" s="12" t="s">
        <v>37</v>
      </c>
      <c r="KY237" s="12" t="s">
        <v>37</v>
      </c>
      <c r="KZ237" s="12" t="s">
        <v>37</v>
      </c>
      <c r="LB237" s="12" t="s">
        <v>37</v>
      </c>
      <c r="LC237" s="12" t="s">
        <v>37</v>
      </c>
      <c r="LD237" s="12" t="s">
        <v>37</v>
      </c>
      <c r="LI237" s="12" t="s">
        <v>37</v>
      </c>
      <c r="LJ237" s="12" t="s">
        <v>37</v>
      </c>
      <c r="LK237" s="12" t="s">
        <v>37</v>
      </c>
      <c r="LM237" s="12" t="s">
        <v>37</v>
      </c>
      <c r="LN237" s="12" t="s">
        <v>37</v>
      </c>
      <c r="LO237" s="12" t="s">
        <v>37</v>
      </c>
      <c r="LU237" s="12" t="s">
        <v>37</v>
      </c>
      <c r="LV237" s="12" t="s">
        <v>37</v>
      </c>
      <c r="LW237" s="12" t="s">
        <v>37</v>
      </c>
      <c r="LY237" s="12" t="s">
        <v>37</v>
      </c>
      <c r="LZ237" s="12" t="s">
        <v>37</v>
      </c>
      <c r="MA237" s="12" t="s">
        <v>37</v>
      </c>
      <c r="MF237" s="12" t="s">
        <v>37</v>
      </c>
      <c r="MG237" s="12" t="s">
        <v>37</v>
      </c>
      <c r="MH237" s="12" t="s">
        <v>37</v>
      </c>
      <c r="MJ237" s="12" t="s">
        <v>37</v>
      </c>
      <c r="MK237" s="12" t="s">
        <v>37</v>
      </c>
      <c r="ML237" s="12" t="s">
        <v>37</v>
      </c>
      <c r="MQ237" s="12" t="s">
        <v>37</v>
      </c>
      <c r="MR237" s="12" t="s">
        <v>37</v>
      </c>
      <c r="MS237" s="12" t="s">
        <v>37</v>
      </c>
      <c r="MU237" s="12" t="s">
        <v>37</v>
      </c>
      <c r="MV237" s="12" t="s">
        <v>37</v>
      </c>
      <c r="MW237" s="12" t="s">
        <v>37</v>
      </c>
      <c r="NC237" s="12" t="s">
        <v>37</v>
      </c>
      <c r="ND237" s="12" t="s">
        <v>37</v>
      </c>
      <c r="NE237" s="12" t="s">
        <v>37</v>
      </c>
      <c r="NG237" s="12" t="s">
        <v>37</v>
      </c>
      <c r="NH237" s="12" t="s">
        <v>37</v>
      </c>
      <c r="NI237" s="12" t="s">
        <v>37</v>
      </c>
      <c r="NO237" s="12" t="s">
        <v>37</v>
      </c>
      <c r="NP237" s="12" t="s">
        <v>37</v>
      </c>
      <c r="NQ237" s="12" t="s">
        <v>37</v>
      </c>
      <c r="NS237" s="12" t="s">
        <v>37</v>
      </c>
      <c r="NT237" s="12" t="s">
        <v>37</v>
      </c>
      <c r="NU237" s="12" t="s">
        <v>37</v>
      </c>
      <c r="OA237" s="12" t="s">
        <v>37</v>
      </c>
      <c r="OB237" s="12" t="s">
        <v>37</v>
      </c>
      <c r="OC237" s="12" t="s">
        <v>37</v>
      </c>
      <c r="OD237" s="12"/>
      <c r="OE237" s="12" t="s">
        <v>37</v>
      </c>
      <c r="OF237" s="12" t="s">
        <v>37</v>
      </c>
      <c r="OG237" s="12" t="s">
        <v>37</v>
      </c>
      <c r="OH237" s="12"/>
      <c r="OI237" s="12"/>
      <c r="OJ237" s="12"/>
      <c r="OM237" s="12" t="s">
        <v>37</v>
      </c>
      <c r="ON237" s="12" t="s">
        <v>37</v>
      </c>
      <c r="OO237" s="12" t="s">
        <v>37</v>
      </c>
      <c r="OP237" s="12" t="s">
        <v>37</v>
      </c>
      <c r="OQ237" s="12" t="s">
        <v>37</v>
      </c>
      <c r="OR237" s="12" t="s">
        <v>37</v>
      </c>
      <c r="OS237" s="12"/>
      <c r="OT237" s="12"/>
      <c r="OW237" s="12" t="s">
        <v>37</v>
      </c>
      <c r="OX237" s="12" t="s">
        <v>37</v>
      </c>
      <c r="OY237" s="13" t="s">
        <v>37</v>
      </c>
      <c r="OZ237" s="12" t="s">
        <v>37</v>
      </c>
      <c r="PA237" s="12" t="s">
        <v>37</v>
      </c>
      <c r="PB237" s="13" t="s">
        <v>37</v>
      </c>
      <c r="PG237" s="12" t="s">
        <v>37</v>
      </c>
      <c r="PH237" s="12" t="s">
        <v>37</v>
      </c>
      <c r="PI237" s="12" t="s">
        <v>37</v>
      </c>
      <c r="PJ237" s="12" t="s">
        <v>37</v>
      </c>
      <c r="PK237" s="12" t="s">
        <v>37</v>
      </c>
      <c r="PL237" s="12" t="s">
        <v>37</v>
      </c>
      <c r="PM237" s="12"/>
      <c r="PN237" s="12"/>
      <c r="PQ237" s="12" t="s">
        <v>37</v>
      </c>
      <c r="PR237" s="12" t="s">
        <v>37</v>
      </c>
      <c r="PS237" s="12" t="s">
        <v>37</v>
      </c>
      <c r="PT237" s="12" t="s">
        <v>37</v>
      </c>
      <c r="PU237" s="12" t="s">
        <v>37</v>
      </c>
      <c r="PV237" s="12" t="s">
        <v>37</v>
      </c>
      <c r="PW237" s="12"/>
      <c r="PX237" s="12"/>
      <c r="PZ237" s="12" t="s">
        <v>37</v>
      </c>
      <c r="QA237" s="12" t="s">
        <v>37</v>
      </c>
      <c r="QB237" s="12" t="s">
        <v>37</v>
      </c>
      <c r="QD237" s="12" t="s">
        <v>37</v>
      </c>
      <c r="QE237" s="12" t="s">
        <v>37</v>
      </c>
      <c r="QF237" s="12" t="s">
        <v>37</v>
      </c>
      <c r="QK237" s="12" t="s">
        <v>37</v>
      </c>
      <c r="QL237" s="12" t="s">
        <v>37</v>
      </c>
      <c r="QM237" s="12" t="s">
        <v>37</v>
      </c>
      <c r="QN237" s="12" t="s">
        <v>37</v>
      </c>
      <c r="QO237" s="12" t="s">
        <v>37</v>
      </c>
      <c r="QP237" s="12" t="s">
        <v>37</v>
      </c>
      <c r="QQ237" s="12"/>
      <c r="QR237" s="12"/>
      <c r="QU237" s="12" t="s">
        <v>37</v>
      </c>
      <c r="QV237" s="12" t="s">
        <v>37</v>
      </c>
      <c r="QW237" s="12" t="s">
        <v>37</v>
      </c>
      <c r="QX237" s="12" t="s">
        <v>37</v>
      </c>
      <c r="QY237" s="12" t="s">
        <v>37</v>
      </c>
      <c r="QZ237" s="12" t="s">
        <v>37</v>
      </c>
      <c r="RC237" s="12" t="s">
        <v>37</v>
      </c>
      <c r="RD237" s="12" t="s">
        <v>37</v>
      </c>
      <c r="RE237" s="13" t="s">
        <v>37</v>
      </c>
      <c r="RF237" s="12" t="s">
        <v>37</v>
      </c>
      <c r="RG237" s="12" t="s">
        <v>37</v>
      </c>
      <c r="RH237" s="13" t="s">
        <v>37</v>
      </c>
      <c r="RK237" s="12" t="s">
        <v>37</v>
      </c>
      <c r="RL237" s="12" t="s">
        <v>37</v>
      </c>
      <c r="RM237" s="11" t="s">
        <v>37</v>
      </c>
      <c r="RN237" s="12" t="s">
        <v>37</v>
      </c>
      <c r="RO237" s="12" t="s">
        <v>37</v>
      </c>
      <c r="RP237" s="11" t="s">
        <v>37</v>
      </c>
      <c r="RS237" s="12" t="s">
        <v>37</v>
      </c>
      <c r="RT237" s="12" t="s">
        <v>37</v>
      </c>
      <c r="RU237" s="12" t="s">
        <v>37</v>
      </c>
      <c r="RV237" s="12" t="s">
        <v>37</v>
      </c>
      <c r="RW237" s="12" t="s">
        <v>37</v>
      </c>
      <c r="RX237" s="12" t="s">
        <v>37</v>
      </c>
      <c r="SA237" s="12" t="s">
        <v>37</v>
      </c>
      <c r="SB237" s="12" t="s">
        <v>37</v>
      </c>
      <c r="SC237" s="12" t="s">
        <v>37</v>
      </c>
      <c r="SD237" s="12" t="s">
        <v>37</v>
      </c>
      <c r="SE237" s="12" t="s">
        <v>37</v>
      </c>
      <c r="SF237" s="12" t="s">
        <v>37</v>
      </c>
      <c r="SI237" s="12" t="s">
        <v>37</v>
      </c>
      <c r="SJ237" s="12" t="s">
        <v>37</v>
      </c>
      <c r="SK237" s="13" t="s">
        <v>37</v>
      </c>
      <c r="SM237" s="12" t="s">
        <v>37</v>
      </c>
      <c r="SN237" s="12" t="s">
        <v>37</v>
      </c>
      <c r="SO237" s="13" t="s">
        <v>37</v>
      </c>
      <c r="SU237" s="12" t="s">
        <v>37</v>
      </c>
      <c r="SV237" s="12" t="s">
        <v>37</v>
      </c>
      <c r="SW237" s="12" t="s">
        <v>37</v>
      </c>
      <c r="SX237" s="12" t="s">
        <v>37</v>
      </c>
      <c r="SY237" s="12" t="s">
        <v>37</v>
      </c>
      <c r="SZ237" s="12" t="s">
        <v>37</v>
      </c>
      <c r="TA237" s="12"/>
      <c r="TB237" s="12"/>
      <c r="TE237" s="12" t="s">
        <v>37</v>
      </c>
      <c r="TF237" s="12" t="s">
        <v>37</v>
      </c>
      <c r="TG237" s="12" t="s">
        <v>37</v>
      </c>
      <c r="TH237" s="12" t="s">
        <v>37</v>
      </c>
      <c r="TI237" s="12" t="s">
        <v>37</v>
      </c>
      <c r="TJ237" s="12" t="s">
        <v>37</v>
      </c>
      <c r="TK237" s="12"/>
      <c r="TL237" s="12"/>
      <c r="TO237" s="12" t="s">
        <v>37</v>
      </c>
      <c r="TP237" s="12" t="s">
        <v>37</v>
      </c>
      <c r="TQ237" s="12" t="s">
        <v>37</v>
      </c>
      <c r="TR237" s="12" t="s">
        <v>37</v>
      </c>
      <c r="TS237" s="12" t="s">
        <v>37</v>
      </c>
      <c r="TT237" s="12" t="s">
        <v>37</v>
      </c>
      <c r="TU237" s="12"/>
      <c r="TV237" s="12"/>
      <c r="TY237" s="12" t="s">
        <v>37</v>
      </c>
      <c r="TZ237" s="12" t="s">
        <v>37</v>
      </c>
      <c r="UA237" s="12" t="s">
        <v>37</v>
      </c>
      <c r="UB237" s="12" t="s">
        <v>37</v>
      </c>
      <c r="UC237" s="12" t="s">
        <v>37</v>
      </c>
      <c r="UD237" s="12" t="s">
        <v>37</v>
      </c>
      <c r="UE237" s="12"/>
      <c r="UF237" s="12"/>
      <c r="UI237" s="12" t="s">
        <v>37</v>
      </c>
      <c r="UJ237" s="12" t="s">
        <v>37</v>
      </c>
      <c r="UK237" s="12" t="s">
        <v>37</v>
      </c>
      <c r="UL237" s="12" t="s">
        <v>37</v>
      </c>
      <c r="UM237" s="12" t="s">
        <v>37</v>
      </c>
      <c r="UN237" s="12" t="s">
        <v>37</v>
      </c>
      <c r="UO237" s="12"/>
      <c r="UP237" s="12"/>
      <c r="UR237" s="12" t="s">
        <v>37</v>
      </c>
      <c r="US237" s="12" t="s">
        <v>37</v>
      </c>
      <c r="UT237" s="12" t="s">
        <v>37</v>
      </c>
      <c r="UU237" s="12" t="s">
        <v>37</v>
      </c>
      <c r="UV237" s="12" t="s">
        <v>37</v>
      </c>
      <c r="UW237" s="12" t="s">
        <v>37</v>
      </c>
      <c r="UX237" s="12"/>
      <c r="UY237" s="12"/>
      <c r="VB237" s="12" t="s">
        <v>37</v>
      </c>
      <c r="VC237" s="12" t="s">
        <v>37</v>
      </c>
      <c r="VD237" s="12" t="s">
        <v>37</v>
      </c>
      <c r="VE237" s="12" t="s">
        <v>37</v>
      </c>
      <c r="VF237" s="12" t="s">
        <v>37</v>
      </c>
      <c r="VG237" s="12" t="s">
        <v>37</v>
      </c>
      <c r="VI237" s="12" t="s">
        <v>37</v>
      </c>
      <c r="VJ237" s="12" t="s">
        <v>37</v>
      </c>
      <c r="VK237" s="12" t="s">
        <v>37</v>
      </c>
      <c r="VL237" s="12" t="s">
        <v>37</v>
      </c>
      <c r="VM237" s="12" t="s">
        <v>37</v>
      </c>
      <c r="VN237" s="12" t="s">
        <v>37</v>
      </c>
      <c r="VQ237" s="12" t="s">
        <v>37</v>
      </c>
      <c r="VR237" s="12" t="s">
        <v>37</v>
      </c>
      <c r="VS237" s="12" t="s">
        <v>37</v>
      </c>
      <c r="VT237" s="12" t="s">
        <v>37</v>
      </c>
      <c r="VU237" s="12" t="s">
        <v>37</v>
      </c>
      <c r="VV237" s="12" t="s">
        <v>37</v>
      </c>
      <c r="VW237" s="12"/>
      <c r="VX237" s="12"/>
      <c r="WA237" s="12" t="s">
        <v>37</v>
      </c>
      <c r="WB237" s="12" t="s">
        <v>37</v>
      </c>
      <c r="WC237" s="12" t="s">
        <v>37</v>
      </c>
      <c r="WD237" s="12" t="s">
        <v>37</v>
      </c>
      <c r="WE237" s="12" t="s">
        <v>37</v>
      </c>
      <c r="WF237" s="12" t="s">
        <v>37</v>
      </c>
    </row>
    <row r="238" spans="1:604" ht="18" customHeight="1" x14ac:dyDescent="0.3">
      <c r="A238" s="11">
        <v>64</v>
      </c>
      <c r="B238" s="16" t="s">
        <v>375</v>
      </c>
      <c r="C238" s="12" t="s">
        <v>26</v>
      </c>
      <c r="D238" s="12" t="s">
        <v>54</v>
      </c>
      <c r="E238" s="40">
        <v>2.5499999999999998</v>
      </c>
      <c r="F238" s="14">
        <v>0</v>
      </c>
      <c r="G238" s="14">
        <v>0</v>
      </c>
      <c r="H238" s="12" t="s">
        <v>123</v>
      </c>
      <c r="I238" s="29">
        <v>61.783000000000001</v>
      </c>
      <c r="J238" s="29">
        <v>24.3</v>
      </c>
      <c r="K238" s="12" t="s">
        <v>775</v>
      </c>
      <c r="L238" s="12" t="s">
        <v>709</v>
      </c>
      <c r="M238" s="13" t="s">
        <v>37</v>
      </c>
      <c r="N238" s="12" t="s">
        <v>37</v>
      </c>
      <c r="O238" s="12" t="s">
        <v>37</v>
      </c>
      <c r="P238" s="14" t="s">
        <v>84</v>
      </c>
      <c r="Q238" s="75">
        <v>30</v>
      </c>
      <c r="R238" s="11" t="s">
        <v>1000</v>
      </c>
      <c r="S238" s="12" t="s">
        <v>93</v>
      </c>
      <c r="T238" s="12" t="s">
        <v>141</v>
      </c>
      <c r="U238" s="12" t="s">
        <v>158</v>
      </c>
      <c r="V238" s="12" t="s">
        <v>275</v>
      </c>
      <c r="W238" s="23" t="s">
        <v>376</v>
      </c>
      <c r="X238" s="12" t="s">
        <v>280</v>
      </c>
      <c r="Y238" s="12" t="s">
        <v>37</v>
      </c>
      <c r="Z238" s="12" t="s">
        <v>37</v>
      </c>
      <c r="AA238" s="32" t="s">
        <v>345</v>
      </c>
      <c r="AB238" s="12">
        <v>3.8</v>
      </c>
      <c r="AE238" s="12" t="s">
        <v>37</v>
      </c>
      <c r="AF238" s="12" t="s">
        <v>42</v>
      </c>
      <c r="AG238" s="32" t="s">
        <v>372</v>
      </c>
      <c r="AH238" s="12">
        <v>9</v>
      </c>
      <c r="AK238" s="12" t="s">
        <v>37</v>
      </c>
      <c r="AL238" s="32" t="s">
        <v>37</v>
      </c>
      <c r="AM238" s="12" t="s">
        <v>344</v>
      </c>
      <c r="AO238" s="12" t="s">
        <v>37</v>
      </c>
      <c r="AP238" s="12" t="s">
        <v>37</v>
      </c>
      <c r="AQ238" s="12" t="s">
        <v>975</v>
      </c>
      <c r="AT238" s="12" t="s">
        <v>326</v>
      </c>
      <c r="AU238" s="12" t="s">
        <v>326</v>
      </c>
      <c r="AV238" s="13" t="s">
        <v>326</v>
      </c>
      <c r="AX238" s="12" t="s">
        <v>326</v>
      </c>
      <c r="AY238" s="12" t="s">
        <v>326</v>
      </c>
      <c r="AZ238" s="13" t="s">
        <v>326</v>
      </c>
      <c r="BE238" s="12" t="s">
        <v>326</v>
      </c>
      <c r="BF238" s="12" t="s">
        <v>326</v>
      </c>
      <c r="BG238" s="12" t="s">
        <v>326</v>
      </c>
      <c r="BI238" s="12" t="s">
        <v>326</v>
      </c>
      <c r="BJ238" s="12" t="s">
        <v>326</v>
      </c>
      <c r="BK238" s="12" t="s">
        <v>326</v>
      </c>
      <c r="BP238" s="12" t="s">
        <v>37</v>
      </c>
      <c r="BQ238" s="12" t="s">
        <v>37</v>
      </c>
      <c r="BR238" s="13" t="s">
        <v>37</v>
      </c>
      <c r="BT238" s="12" t="s">
        <v>37</v>
      </c>
      <c r="BU238" s="12" t="s">
        <v>37</v>
      </c>
      <c r="BV238" s="12" t="s">
        <v>37</v>
      </c>
      <c r="CA238" s="12" t="s">
        <v>37</v>
      </c>
      <c r="CB238" s="12" t="s">
        <v>37</v>
      </c>
      <c r="CC238" s="13" t="s">
        <v>37</v>
      </c>
      <c r="CE238" s="12" t="s">
        <v>37</v>
      </c>
      <c r="CF238" s="12" t="s">
        <v>37</v>
      </c>
      <c r="CG238" s="12" t="s">
        <v>37</v>
      </c>
      <c r="CN238" s="12" t="s">
        <v>37</v>
      </c>
      <c r="CO238" s="12" t="s">
        <v>37</v>
      </c>
      <c r="CP238" s="13" t="s">
        <v>37</v>
      </c>
      <c r="CR238" s="12" t="s">
        <v>37</v>
      </c>
      <c r="CS238" s="12" t="s">
        <v>37</v>
      </c>
      <c r="CT238" s="13" t="s">
        <v>37</v>
      </c>
      <c r="CX238" s="72"/>
      <c r="CY238" s="72"/>
      <c r="DA238" s="12" t="s">
        <v>37</v>
      </c>
      <c r="DB238" s="12" t="s">
        <v>37</v>
      </c>
      <c r="DC238" s="13" t="s">
        <v>37</v>
      </c>
      <c r="DE238" s="12" t="s">
        <v>37</v>
      </c>
      <c r="DF238" s="12" t="s">
        <v>37</v>
      </c>
      <c r="DG238" s="12" t="s">
        <v>37</v>
      </c>
      <c r="DN238" s="19" t="s">
        <v>37</v>
      </c>
      <c r="DO238" s="12" t="s">
        <v>37</v>
      </c>
      <c r="DP238" s="13" t="s">
        <v>37</v>
      </c>
      <c r="DR238" s="19" t="s">
        <v>37</v>
      </c>
      <c r="DS238" s="12" t="s">
        <v>37</v>
      </c>
      <c r="DT238" s="13" t="s">
        <v>37</v>
      </c>
      <c r="EA238" s="19" t="s">
        <v>37</v>
      </c>
      <c r="EB238" s="19" t="s">
        <v>37</v>
      </c>
      <c r="EC238" s="72" t="s">
        <v>37</v>
      </c>
      <c r="EE238" s="19" t="s">
        <v>37</v>
      </c>
      <c r="EF238" s="19" t="s">
        <v>37</v>
      </c>
      <c r="EG238" s="12" t="s">
        <v>37</v>
      </c>
      <c r="EM238" s="12" t="s">
        <v>39</v>
      </c>
      <c r="EN238" s="12">
        <v>-22</v>
      </c>
      <c r="EO238" s="50">
        <f t="shared" si="1108"/>
        <v>8.964920772528453</v>
      </c>
      <c r="EP238" s="13">
        <v>3</v>
      </c>
      <c r="ER238" s="12">
        <v>-31</v>
      </c>
      <c r="ES238" s="50">
        <f t="shared" si="1116"/>
        <v>7.0312356587850191</v>
      </c>
      <c r="ET238" s="13">
        <v>3</v>
      </c>
      <c r="EV238" s="19">
        <f t="shared" si="1117"/>
        <v>-9</v>
      </c>
      <c r="EW238" s="12">
        <f t="shared" si="1118"/>
        <v>8.0563043434034363</v>
      </c>
      <c r="EX238" s="19">
        <f t="shared" si="1119"/>
        <v>43.269359782360716</v>
      </c>
      <c r="EY238" s="19">
        <f t="shared" si="1120"/>
        <v>43.269359782360716</v>
      </c>
      <c r="FB238" s="12" t="s">
        <v>37</v>
      </c>
      <c r="FC238" s="12" t="s">
        <v>37</v>
      </c>
      <c r="FD238" s="12" t="s">
        <v>37</v>
      </c>
      <c r="FE238" s="12" t="s">
        <v>37</v>
      </c>
      <c r="FF238" s="20" t="s">
        <v>37</v>
      </c>
      <c r="FG238" s="12" t="s">
        <v>37</v>
      </c>
      <c r="FI238" s="12" t="s">
        <v>37</v>
      </c>
      <c r="FJ238" s="12" t="s">
        <v>37</v>
      </c>
      <c r="FK238" s="12" t="s">
        <v>37</v>
      </c>
      <c r="FL238" s="12" t="s">
        <v>37</v>
      </c>
      <c r="FM238" s="12" t="s">
        <v>37</v>
      </c>
      <c r="FN238" s="12" t="s">
        <v>37</v>
      </c>
      <c r="FP238" s="12" t="s">
        <v>37</v>
      </c>
      <c r="FQ238" s="12" t="s">
        <v>37</v>
      </c>
      <c r="FR238" s="12" t="s">
        <v>37</v>
      </c>
      <c r="FS238" s="12" t="s">
        <v>37</v>
      </c>
      <c r="FT238" s="12" t="s">
        <v>37</v>
      </c>
      <c r="FU238" s="12" t="s">
        <v>37</v>
      </c>
      <c r="FW238" s="12" t="s">
        <v>37</v>
      </c>
      <c r="FX238" s="12" t="s">
        <v>37</v>
      </c>
      <c r="FY238" s="12" t="s">
        <v>37</v>
      </c>
      <c r="FZ238" s="12" t="s">
        <v>37</v>
      </c>
      <c r="GA238" s="12" t="s">
        <v>37</v>
      </c>
      <c r="GB238" s="12" t="s">
        <v>37</v>
      </c>
      <c r="HA238" s="17" t="s">
        <v>63</v>
      </c>
      <c r="HB238" s="34" t="s">
        <v>372</v>
      </c>
      <c r="HC238" s="12">
        <v>0.06</v>
      </c>
      <c r="HD238" s="50">
        <f t="shared" si="1127"/>
        <v>1.0344704588789458E-2</v>
      </c>
      <c r="HE238" s="13">
        <v>3</v>
      </c>
      <c r="HG238" s="12">
        <v>7.4999999999999997E-2</v>
      </c>
      <c r="HH238" s="50">
        <f t="shared" si="1128"/>
        <v>8.3890889975328804E-3</v>
      </c>
      <c r="HI238" s="13">
        <v>3</v>
      </c>
      <c r="HK238" s="19">
        <f t="shared" si="1129"/>
        <v>0.22314355131420976</v>
      </c>
      <c r="HL238" s="19">
        <f t="shared" si="1130"/>
        <v>1.4079080937294359E-2</v>
      </c>
      <c r="IK238" s="12" t="s">
        <v>37</v>
      </c>
      <c r="IL238" s="12" t="s">
        <v>37</v>
      </c>
      <c r="IM238" s="12" t="s">
        <v>37</v>
      </c>
      <c r="IO238" s="12" t="s">
        <v>37</v>
      </c>
      <c r="IP238" s="12" t="s">
        <v>37</v>
      </c>
      <c r="IQ238" s="12" t="s">
        <v>37</v>
      </c>
      <c r="IV238" s="32" t="s">
        <v>345</v>
      </c>
      <c r="IW238" s="12">
        <v>3.8</v>
      </c>
      <c r="IX238" s="50">
        <f t="shared" si="1131"/>
        <v>0.13912842198648792</v>
      </c>
      <c r="IY238" s="13">
        <v>3</v>
      </c>
      <c r="JA238" s="12">
        <v>3.8</v>
      </c>
      <c r="JB238" s="50">
        <f t="shared" si="1132"/>
        <v>0.10643347338567048</v>
      </c>
      <c r="JC238" s="13">
        <v>3</v>
      </c>
      <c r="JE238" s="19">
        <f t="shared" si="1133"/>
        <v>0</v>
      </c>
      <c r="JF238" s="19">
        <f t="shared" si="1134"/>
        <v>7.083287641133075E-4</v>
      </c>
      <c r="JH238" s="12" t="s">
        <v>37</v>
      </c>
      <c r="JI238" s="12" t="s">
        <v>37</v>
      </c>
      <c r="JJ238" s="13" t="s">
        <v>37</v>
      </c>
      <c r="JL238" s="12" t="s">
        <v>37</v>
      </c>
      <c r="JM238" s="12" t="s">
        <v>37</v>
      </c>
      <c r="JN238" s="12" t="s">
        <v>37</v>
      </c>
      <c r="JS238" s="12" t="s">
        <v>37</v>
      </c>
      <c r="JT238" s="12" t="s">
        <v>37</v>
      </c>
      <c r="JU238" s="13" t="s">
        <v>37</v>
      </c>
      <c r="JW238" s="12" t="s">
        <v>37</v>
      </c>
      <c r="JX238" s="12" t="s">
        <v>37</v>
      </c>
      <c r="JY238" s="12" t="s">
        <v>37</v>
      </c>
      <c r="KE238" s="12" t="s">
        <v>37</v>
      </c>
      <c r="KF238" s="12" t="s">
        <v>37</v>
      </c>
      <c r="KG238" s="13" t="s">
        <v>37</v>
      </c>
      <c r="KH238" s="12" t="s">
        <v>37</v>
      </c>
      <c r="KI238" s="12" t="s">
        <v>37</v>
      </c>
      <c r="KJ238" s="12" t="s">
        <v>37</v>
      </c>
      <c r="KK238" s="12" t="s">
        <v>42</v>
      </c>
      <c r="KL238" s="32" t="s">
        <v>372</v>
      </c>
      <c r="KM238" s="12">
        <v>9</v>
      </c>
      <c r="KN238" s="50">
        <f t="shared" si="1135"/>
        <v>1.0736373724637354</v>
      </c>
      <c r="KO238" s="11">
        <v>3</v>
      </c>
      <c r="KQ238" s="12">
        <v>9</v>
      </c>
      <c r="KR238" s="50">
        <f t="shared" si="1136"/>
        <v>0.94899087151773076</v>
      </c>
      <c r="KS238" s="11">
        <v>3</v>
      </c>
      <c r="KU238" s="19">
        <f t="shared" si="1137"/>
        <v>0</v>
      </c>
      <c r="KV238" s="19">
        <f t="shared" si="1138"/>
        <v>8.4497155628593251E-3</v>
      </c>
      <c r="KX238" s="12" t="s">
        <v>37</v>
      </c>
      <c r="KY238" s="12" t="s">
        <v>37</v>
      </c>
      <c r="KZ238" s="12" t="s">
        <v>37</v>
      </c>
      <c r="LB238" s="12" t="s">
        <v>37</v>
      </c>
      <c r="LC238" s="12" t="s">
        <v>37</v>
      </c>
      <c r="LD238" s="12" t="s">
        <v>37</v>
      </c>
      <c r="LI238" s="12" t="s">
        <v>37</v>
      </c>
      <c r="LJ238" s="12" t="s">
        <v>37</v>
      </c>
      <c r="LK238" s="12" t="s">
        <v>37</v>
      </c>
      <c r="LM238" s="12" t="s">
        <v>37</v>
      </c>
      <c r="LN238" s="12" t="s">
        <v>37</v>
      </c>
      <c r="LO238" s="12" t="s">
        <v>37</v>
      </c>
      <c r="LU238" s="12" t="s">
        <v>37</v>
      </c>
      <c r="LV238" s="12" t="s">
        <v>37</v>
      </c>
      <c r="LW238" s="12" t="s">
        <v>37</v>
      </c>
      <c r="LY238" s="12" t="s">
        <v>37</v>
      </c>
      <c r="LZ238" s="12" t="s">
        <v>37</v>
      </c>
      <c r="MA238" s="12" t="s">
        <v>37</v>
      </c>
      <c r="MF238" s="12" t="s">
        <v>37</v>
      </c>
      <c r="MG238" s="12" t="s">
        <v>37</v>
      </c>
      <c r="MH238" s="12" t="s">
        <v>37</v>
      </c>
      <c r="MJ238" s="12" t="s">
        <v>37</v>
      </c>
      <c r="MK238" s="12" t="s">
        <v>37</v>
      </c>
      <c r="ML238" s="12" t="s">
        <v>37</v>
      </c>
      <c r="MQ238" s="12" t="s">
        <v>37</v>
      </c>
      <c r="MR238" s="12" t="s">
        <v>37</v>
      </c>
      <c r="MS238" s="12" t="s">
        <v>37</v>
      </c>
      <c r="MU238" s="12" t="s">
        <v>37</v>
      </c>
      <c r="MV238" s="12" t="s">
        <v>37</v>
      </c>
      <c r="MW238" s="12" t="s">
        <v>37</v>
      </c>
      <c r="NC238" s="12" t="s">
        <v>37</v>
      </c>
      <c r="ND238" s="12" t="s">
        <v>37</v>
      </c>
      <c r="NE238" s="12" t="s">
        <v>37</v>
      </c>
      <c r="NG238" s="12" t="s">
        <v>37</v>
      </c>
      <c r="NH238" s="12" t="s">
        <v>37</v>
      </c>
      <c r="NI238" s="12" t="s">
        <v>37</v>
      </c>
      <c r="NO238" s="12" t="s">
        <v>37</v>
      </c>
      <c r="NP238" s="12" t="s">
        <v>37</v>
      </c>
      <c r="NQ238" s="12" t="s">
        <v>37</v>
      </c>
      <c r="NS238" s="12" t="s">
        <v>37</v>
      </c>
      <c r="NT238" s="12" t="s">
        <v>37</v>
      </c>
      <c r="NU238" s="12" t="s">
        <v>37</v>
      </c>
      <c r="OA238" s="12" t="s">
        <v>37</v>
      </c>
      <c r="OB238" s="12" t="s">
        <v>37</v>
      </c>
      <c r="OC238" s="12" t="s">
        <v>37</v>
      </c>
      <c r="OD238" s="12"/>
      <c r="OE238" s="12" t="s">
        <v>37</v>
      </c>
      <c r="OF238" s="12" t="s">
        <v>37</v>
      </c>
      <c r="OG238" s="12" t="s">
        <v>37</v>
      </c>
      <c r="OH238" s="12"/>
      <c r="OI238" s="12"/>
      <c r="OJ238" s="12"/>
      <c r="OM238" s="12" t="s">
        <v>37</v>
      </c>
      <c r="ON238" s="12" t="s">
        <v>37</v>
      </c>
      <c r="OO238" s="12" t="s">
        <v>37</v>
      </c>
      <c r="OP238" s="12" t="s">
        <v>37</v>
      </c>
      <c r="OQ238" s="12" t="s">
        <v>37</v>
      </c>
      <c r="OR238" s="12" t="s">
        <v>37</v>
      </c>
      <c r="OS238" s="12"/>
      <c r="OT238" s="12"/>
      <c r="OW238" s="12" t="s">
        <v>37</v>
      </c>
      <c r="OX238" s="12" t="s">
        <v>37</v>
      </c>
      <c r="OY238" s="13" t="s">
        <v>37</v>
      </c>
      <c r="OZ238" s="12" t="s">
        <v>37</v>
      </c>
      <c r="PA238" s="12" t="s">
        <v>37</v>
      </c>
      <c r="PB238" s="13" t="s">
        <v>37</v>
      </c>
      <c r="PG238" s="12" t="s">
        <v>37</v>
      </c>
      <c r="PH238" s="12" t="s">
        <v>37</v>
      </c>
      <c r="PI238" s="12" t="s">
        <v>37</v>
      </c>
      <c r="PJ238" s="12" t="s">
        <v>37</v>
      </c>
      <c r="PK238" s="12" t="s">
        <v>37</v>
      </c>
      <c r="PL238" s="12" t="s">
        <v>37</v>
      </c>
      <c r="PM238" s="12"/>
      <c r="PN238" s="12"/>
      <c r="PQ238" s="12" t="s">
        <v>37</v>
      </c>
      <c r="PR238" s="12" t="s">
        <v>37</v>
      </c>
      <c r="PS238" s="12" t="s">
        <v>37</v>
      </c>
      <c r="PT238" s="12" t="s">
        <v>37</v>
      </c>
      <c r="PU238" s="12" t="s">
        <v>37</v>
      </c>
      <c r="PV238" s="12" t="s">
        <v>37</v>
      </c>
      <c r="PW238" s="12"/>
      <c r="PX238" s="12"/>
      <c r="PZ238" s="12" t="s">
        <v>37</v>
      </c>
      <c r="QA238" s="12" t="s">
        <v>37</v>
      </c>
      <c r="QB238" s="12" t="s">
        <v>37</v>
      </c>
      <c r="QD238" s="12" t="s">
        <v>37</v>
      </c>
      <c r="QE238" s="12" t="s">
        <v>37</v>
      </c>
      <c r="QF238" s="12" t="s">
        <v>37</v>
      </c>
      <c r="QK238" s="12" t="s">
        <v>37</v>
      </c>
      <c r="QL238" s="12" t="s">
        <v>37</v>
      </c>
      <c r="QM238" s="12" t="s">
        <v>37</v>
      </c>
      <c r="QN238" s="12" t="s">
        <v>37</v>
      </c>
      <c r="QO238" s="12" t="s">
        <v>37</v>
      </c>
      <c r="QP238" s="12" t="s">
        <v>37</v>
      </c>
      <c r="QQ238" s="12"/>
      <c r="QR238" s="12"/>
      <c r="QU238" s="12" t="s">
        <v>37</v>
      </c>
      <c r="QV238" s="12" t="s">
        <v>37</v>
      </c>
      <c r="QW238" s="12" t="s">
        <v>37</v>
      </c>
      <c r="QX238" s="12" t="s">
        <v>37</v>
      </c>
      <c r="QY238" s="12" t="s">
        <v>37</v>
      </c>
      <c r="QZ238" s="12" t="s">
        <v>37</v>
      </c>
      <c r="RC238" s="12" t="s">
        <v>37</v>
      </c>
      <c r="RD238" s="12" t="s">
        <v>37</v>
      </c>
      <c r="RE238" s="13" t="s">
        <v>37</v>
      </c>
      <c r="RF238" s="12" t="s">
        <v>37</v>
      </c>
      <c r="RG238" s="12" t="s">
        <v>37</v>
      </c>
      <c r="RH238" s="13" t="s">
        <v>37</v>
      </c>
      <c r="RK238" s="12" t="s">
        <v>37</v>
      </c>
      <c r="RL238" s="12" t="s">
        <v>37</v>
      </c>
      <c r="RM238" s="11" t="s">
        <v>37</v>
      </c>
      <c r="RN238" s="12" t="s">
        <v>37</v>
      </c>
      <c r="RO238" s="12" t="s">
        <v>37</v>
      </c>
      <c r="RP238" s="11" t="s">
        <v>37</v>
      </c>
      <c r="RS238" s="12" t="s">
        <v>37</v>
      </c>
      <c r="RT238" s="12" t="s">
        <v>37</v>
      </c>
      <c r="RU238" s="12" t="s">
        <v>37</v>
      </c>
      <c r="RV238" s="12" t="s">
        <v>37</v>
      </c>
      <c r="RW238" s="12" t="s">
        <v>37</v>
      </c>
      <c r="RX238" s="12" t="s">
        <v>37</v>
      </c>
      <c r="SA238" s="12" t="s">
        <v>37</v>
      </c>
      <c r="SB238" s="12" t="s">
        <v>37</v>
      </c>
      <c r="SC238" s="12" t="s">
        <v>37</v>
      </c>
      <c r="SD238" s="12" t="s">
        <v>37</v>
      </c>
      <c r="SE238" s="12" t="s">
        <v>37</v>
      </c>
      <c r="SF238" s="12" t="s">
        <v>37</v>
      </c>
      <c r="SI238" s="12" t="s">
        <v>37</v>
      </c>
      <c r="SJ238" s="12" t="s">
        <v>37</v>
      </c>
      <c r="SK238" s="13" t="s">
        <v>37</v>
      </c>
      <c r="SM238" s="12" t="s">
        <v>37</v>
      </c>
      <c r="SN238" s="12" t="s">
        <v>37</v>
      </c>
      <c r="SO238" s="13" t="s">
        <v>37</v>
      </c>
      <c r="SU238" s="12" t="s">
        <v>37</v>
      </c>
      <c r="SV238" s="12" t="s">
        <v>37</v>
      </c>
      <c r="SW238" s="12" t="s">
        <v>37</v>
      </c>
      <c r="SX238" s="12" t="s">
        <v>37</v>
      </c>
      <c r="SY238" s="12" t="s">
        <v>37</v>
      </c>
      <c r="SZ238" s="12" t="s">
        <v>37</v>
      </c>
      <c r="TA238" s="12"/>
      <c r="TB238" s="12"/>
      <c r="TE238" s="12" t="s">
        <v>37</v>
      </c>
      <c r="TF238" s="12" t="s">
        <v>37</v>
      </c>
      <c r="TG238" s="12" t="s">
        <v>37</v>
      </c>
      <c r="TH238" s="12" t="s">
        <v>37</v>
      </c>
      <c r="TI238" s="12" t="s">
        <v>37</v>
      </c>
      <c r="TJ238" s="12" t="s">
        <v>37</v>
      </c>
      <c r="TK238" s="12"/>
      <c r="TL238" s="12"/>
      <c r="TO238" s="12" t="s">
        <v>37</v>
      </c>
      <c r="TP238" s="12" t="s">
        <v>37</v>
      </c>
      <c r="TQ238" s="12" t="s">
        <v>37</v>
      </c>
      <c r="TR238" s="12" t="s">
        <v>37</v>
      </c>
      <c r="TS238" s="12" t="s">
        <v>37</v>
      </c>
      <c r="TT238" s="12" t="s">
        <v>37</v>
      </c>
      <c r="TU238" s="12"/>
      <c r="TV238" s="12"/>
      <c r="TY238" s="12" t="s">
        <v>37</v>
      </c>
      <c r="TZ238" s="12" t="s">
        <v>37</v>
      </c>
      <c r="UA238" s="12" t="s">
        <v>37</v>
      </c>
      <c r="UB238" s="12" t="s">
        <v>37</v>
      </c>
      <c r="UC238" s="12" t="s">
        <v>37</v>
      </c>
      <c r="UD238" s="12" t="s">
        <v>37</v>
      </c>
      <c r="UE238" s="12"/>
      <c r="UF238" s="12"/>
      <c r="UI238" s="12" t="s">
        <v>37</v>
      </c>
      <c r="UJ238" s="12" t="s">
        <v>37</v>
      </c>
      <c r="UK238" s="12" t="s">
        <v>37</v>
      </c>
      <c r="UL238" s="12" t="s">
        <v>37</v>
      </c>
      <c r="UM238" s="12" t="s">
        <v>37</v>
      </c>
      <c r="UN238" s="12" t="s">
        <v>37</v>
      </c>
      <c r="UO238" s="12"/>
      <c r="UP238" s="12"/>
      <c r="UR238" s="12" t="s">
        <v>37</v>
      </c>
      <c r="US238" s="12" t="s">
        <v>37</v>
      </c>
      <c r="UT238" s="12" t="s">
        <v>37</v>
      </c>
      <c r="UU238" s="12" t="s">
        <v>37</v>
      </c>
      <c r="UV238" s="12" t="s">
        <v>37</v>
      </c>
      <c r="UW238" s="12" t="s">
        <v>37</v>
      </c>
      <c r="UX238" s="12"/>
      <c r="UY238" s="12"/>
      <c r="VB238" s="12" t="s">
        <v>37</v>
      </c>
      <c r="VC238" s="12" t="s">
        <v>37</v>
      </c>
      <c r="VD238" s="12" t="s">
        <v>37</v>
      </c>
      <c r="VE238" s="12" t="s">
        <v>37</v>
      </c>
      <c r="VF238" s="12" t="s">
        <v>37</v>
      </c>
      <c r="VG238" s="12" t="s">
        <v>37</v>
      </c>
      <c r="VI238" s="12" t="s">
        <v>37</v>
      </c>
      <c r="VJ238" s="12" t="s">
        <v>37</v>
      </c>
      <c r="VK238" s="12" t="s">
        <v>37</v>
      </c>
      <c r="VL238" s="12" t="s">
        <v>37</v>
      </c>
      <c r="VM238" s="12" t="s">
        <v>37</v>
      </c>
      <c r="VN238" s="12" t="s">
        <v>37</v>
      </c>
      <c r="VQ238" s="12" t="s">
        <v>37</v>
      </c>
      <c r="VR238" s="12" t="s">
        <v>37</v>
      </c>
      <c r="VS238" s="12" t="s">
        <v>37</v>
      </c>
      <c r="VT238" s="12" t="s">
        <v>37</v>
      </c>
      <c r="VU238" s="12" t="s">
        <v>37</v>
      </c>
      <c r="VV238" s="12" t="s">
        <v>37</v>
      </c>
      <c r="VW238" s="12"/>
      <c r="VX238" s="12"/>
      <c r="WA238" s="12" t="s">
        <v>37</v>
      </c>
      <c r="WB238" s="12" t="s">
        <v>37</v>
      </c>
      <c r="WC238" s="12" t="s">
        <v>37</v>
      </c>
      <c r="WD238" s="12" t="s">
        <v>37</v>
      </c>
      <c r="WE238" s="12" t="s">
        <v>37</v>
      </c>
      <c r="WF238" s="12" t="s">
        <v>37</v>
      </c>
    </row>
    <row r="239" spans="1:604" ht="18" customHeight="1" x14ac:dyDescent="0.3">
      <c r="A239" s="11">
        <v>64</v>
      </c>
      <c r="B239" s="16" t="s">
        <v>375</v>
      </c>
      <c r="C239" s="12" t="s">
        <v>26</v>
      </c>
      <c r="D239" s="12" t="s">
        <v>54</v>
      </c>
      <c r="E239" s="40">
        <v>1.6</v>
      </c>
      <c r="F239" s="14">
        <v>0</v>
      </c>
      <c r="G239" s="14">
        <v>0</v>
      </c>
      <c r="H239" s="12" t="s">
        <v>123</v>
      </c>
      <c r="I239" s="29">
        <v>61.783000000000001</v>
      </c>
      <c r="J239" s="29">
        <v>24.3</v>
      </c>
      <c r="K239" s="12" t="s">
        <v>775</v>
      </c>
      <c r="L239" s="12" t="s">
        <v>709</v>
      </c>
      <c r="M239" s="13" t="s">
        <v>37</v>
      </c>
      <c r="N239" s="12" t="s">
        <v>37</v>
      </c>
      <c r="O239" s="12" t="s">
        <v>37</v>
      </c>
      <c r="P239" s="14" t="s">
        <v>84</v>
      </c>
      <c r="Q239" s="75">
        <v>30</v>
      </c>
      <c r="R239" s="11" t="s">
        <v>1000</v>
      </c>
      <c r="S239" s="12" t="s">
        <v>85</v>
      </c>
      <c r="T239" s="12" t="s">
        <v>138</v>
      </c>
      <c r="U239" s="12" t="s">
        <v>158</v>
      </c>
      <c r="V239" s="12" t="s">
        <v>275</v>
      </c>
      <c r="W239" s="23" t="s">
        <v>376</v>
      </c>
      <c r="X239" s="12" t="s">
        <v>280</v>
      </c>
      <c r="Y239" s="12" t="s">
        <v>37</v>
      </c>
      <c r="Z239" s="12" t="s">
        <v>37</v>
      </c>
      <c r="AA239" s="32" t="s">
        <v>345</v>
      </c>
      <c r="AB239" s="12">
        <v>5.6</v>
      </c>
      <c r="AE239" s="12" t="s">
        <v>37</v>
      </c>
      <c r="AF239" s="12" t="s">
        <v>42</v>
      </c>
      <c r="AG239" s="32" t="s">
        <v>372</v>
      </c>
      <c r="AH239" s="12">
        <v>19</v>
      </c>
      <c r="AK239" s="12" t="s">
        <v>37</v>
      </c>
      <c r="AL239" s="32" t="s">
        <v>37</v>
      </c>
      <c r="AM239" s="12" t="s">
        <v>344</v>
      </c>
      <c r="AO239" s="12" t="s">
        <v>37</v>
      </c>
      <c r="AP239" s="12" t="s">
        <v>37</v>
      </c>
      <c r="AQ239" s="12" t="s">
        <v>975</v>
      </c>
      <c r="AT239" s="12" t="s">
        <v>326</v>
      </c>
      <c r="AU239" s="12" t="s">
        <v>326</v>
      </c>
      <c r="AV239" s="13" t="s">
        <v>326</v>
      </c>
      <c r="AX239" s="12" t="s">
        <v>326</v>
      </c>
      <c r="AY239" s="12" t="s">
        <v>326</v>
      </c>
      <c r="AZ239" s="13" t="s">
        <v>326</v>
      </c>
      <c r="BE239" s="12" t="s">
        <v>326</v>
      </c>
      <c r="BF239" s="12" t="s">
        <v>326</v>
      </c>
      <c r="BG239" s="12" t="s">
        <v>326</v>
      </c>
      <c r="BI239" s="12" t="s">
        <v>326</v>
      </c>
      <c r="BJ239" s="12" t="s">
        <v>326</v>
      </c>
      <c r="BK239" s="12" t="s">
        <v>326</v>
      </c>
      <c r="BP239" s="12" t="s">
        <v>37</v>
      </c>
      <c r="BQ239" s="12" t="s">
        <v>37</v>
      </c>
      <c r="BR239" s="13" t="s">
        <v>37</v>
      </c>
      <c r="BT239" s="12" t="s">
        <v>37</v>
      </c>
      <c r="BU239" s="12" t="s">
        <v>37</v>
      </c>
      <c r="BV239" s="12" t="s">
        <v>37</v>
      </c>
      <c r="CA239" s="12" t="s">
        <v>37</v>
      </c>
      <c r="CB239" s="12" t="s">
        <v>37</v>
      </c>
      <c r="CC239" s="13" t="s">
        <v>37</v>
      </c>
      <c r="CE239" s="12" t="s">
        <v>37</v>
      </c>
      <c r="CF239" s="12" t="s">
        <v>37</v>
      </c>
      <c r="CG239" s="12" t="s">
        <v>37</v>
      </c>
      <c r="CN239" s="12" t="s">
        <v>37</v>
      </c>
      <c r="CO239" s="12" t="s">
        <v>37</v>
      </c>
      <c r="CP239" s="13" t="s">
        <v>37</v>
      </c>
      <c r="CR239" s="12" t="s">
        <v>37</v>
      </c>
      <c r="CS239" s="12" t="s">
        <v>37</v>
      </c>
      <c r="CT239" s="13" t="s">
        <v>37</v>
      </c>
      <c r="CX239" s="72"/>
      <c r="CY239" s="72"/>
      <c r="DA239" s="12" t="s">
        <v>37</v>
      </c>
      <c r="DB239" s="12" t="s">
        <v>37</v>
      </c>
      <c r="DC239" s="13" t="s">
        <v>37</v>
      </c>
      <c r="DE239" s="12" t="s">
        <v>37</v>
      </c>
      <c r="DF239" s="12" t="s">
        <v>37</v>
      </c>
      <c r="DG239" s="12" t="s">
        <v>37</v>
      </c>
      <c r="DN239" s="19" t="s">
        <v>37</v>
      </c>
      <c r="DO239" s="12" t="s">
        <v>37</v>
      </c>
      <c r="DP239" s="13" t="s">
        <v>37</v>
      </c>
      <c r="DR239" s="19" t="s">
        <v>37</v>
      </c>
      <c r="DS239" s="12" t="s">
        <v>37</v>
      </c>
      <c r="DT239" s="13" t="s">
        <v>37</v>
      </c>
      <c r="EA239" s="19" t="s">
        <v>37</v>
      </c>
      <c r="EB239" s="19" t="s">
        <v>37</v>
      </c>
      <c r="EC239" s="72" t="s">
        <v>37</v>
      </c>
      <c r="EE239" s="19" t="s">
        <v>37</v>
      </c>
      <c r="EF239" s="19" t="s">
        <v>37</v>
      </c>
      <c r="EG239" s="12" t="s">
        <v>37</v>
      </c>
      <c r="EM239" s="12" t="s">
        <v>39</v>
      </c>
      <c r="EN239" s="12">
        <v>-2</v>
      </c>
      <c r="EO239" s="50">
        <f t="shared" si="1108"/>
        <v>0.81499279750258669</v>
      </c>
      <c r="EP239" s="13">
        <v>3</v>
      </c>
      <c r="ER239" s="12">
        <v>-30</v>
      </c>
      <c r="ES239" s="50">
        <f t="shared" si="1116"/>
        <v>6.8044216052758255</v>
      </c>
      <c r="ET239" s="13">
        <v>3</v>
      </c>
      <c r="EV239" s="19">
        <f t="shared" si="1117"/>
        <v>-28</v>
      </c>
      <c r="EW239" s="12">
        <f t="shared" si="1118"/>
        <v>4.8458418588685666</v>
      </c>
      <c r="EX239" s="19">
        <f t="shared" si="1119"/>
        <v>15.654788880775175</v>
      </c>
      <c r="EY239" s="19">
        <f t="shared" si="1120"/>
        <v>15.654788880775179</v>
      </c>
      <c r="FB239" s="12" t="s">
        <v>37</v>
      </c>
      <c r="FC239" s="12" t="s">
        <v>37</v>
      </c>
      <c r="FD239" s="12" t="s">
        <v>37</v>
      </c>
      <c r="FE239" s="12" t="s">
        <v>37</v>
      </c>
      <c r="FF239" s="20" t="s">
        <v>37</v>
      </c>
      <c r="FG239" s="12" t="s">
        <v>37</v>
      </c>
      <c r="FI239" s="12" t="s">
        <v>37</v>
      </c>
      <c r="FJ239" s="12" t="s">
        <v>37</v>
      </c>
      <c r="FK239" s="12" t="s">
        <v>37</v>
      </c>
      <c r="FL239" s="12" t="s">
        <v>37</v>
      </c>
      <c r="FM239" s="12" t="s">
        <v>37</v>
      </c>
      <c r="FN239" s="12" t="s">
        <v>37</v>
      </c>
      <c r="FP239" s="12" t="s">
        <v>37</v>
      </c>
      <c r="FQ239" s="12" t="s">
        <v>37</v>
      </c>
      <c r="FR239" s="12" t="s">
        <v>37</v>
      </c>
      <c r="FS239" s="12" t="s">
        <v>37</v>
      </c>
      <c r="FT239" s="12" t="s">
        <v>37</v>
      </c>
      <c r="FU239" s="12" t="s">
        <v>37</v>
      </c>
      <c r="FW239" s="12" t="s">
        <v>37</v>
      </c>
      <c r="FX239" s="12" t="s">
        <v>37</v>
      </c>
      <c r="FY239" s="12" t="s">
        <v>37</v>
      </c>
      <c r="FZ239" s="12" t="s">
        <v>37</v>
      </c>
      <c r="GA239" s="12" t="s">
        <v>37</v>
      </c>
      <c r="GB239" s="12" t="s">
        <v>37</v>
      </c>
      <c r="HA239" s="17" t="s">
        <v>63</v>
      </c>
      <c r="HB239" s="34" t="s">
        <v>372</v>
      </c>
      <c r="HC239" s="12">
        <v>6.7000000000000004E-2</v>
      </c>
      <c r="HD239" s="50">
        <f t="shared" si="1127"/>
        <v>1.1551586790814895E-2</v>
      </c>
      <c r="HE239" s="13">
        <v>3</v>
      </c>
      <c r="HG239" s="12">
        <v>0.11</v>
      </c>
      <c r="HH239" s="50">
        <f t="shared" si="1128"/>
        <v>1.2303997196381559E-2</v>
      </c>
      <c r="HI239" s="13">
        <v>3</v>
      </c>
      <c r="HK239" s="19">
        <f t="shared" si="1129"/>
        <v>0.49578774640145007</v>
      </c>
      <c r="HL239" s="19">
        <f t="shared" si="1130"/>
        <v>1.4079080937294359E-2</v>
      </c>
      <c r="IK239" s="12" t="s">
        <v>37</v>
      </c>
      <c r="IL239" s="12" t="s">
        <v>37</v>
      </c>
      <c r="IM239" s="12" t="s">
        <v>37</v>
      </c>
      <c r="IO239" s="12" t="s">
        <v>37</v>
      </c>
      <c r="IP239" s="12" t="s">
        <v>37</v>
      </c>
      <c r="IQ239" s="12" t="s">
        <v>37</v>
      </c>
      <c r="IV239" s="32" t="s">
        <v>345</v>
      </c>
      <c r="IW239" s="12">
        <v>5.6</v>
      </c>
      <c r="IX239" s="50">
        <f t="shared" si="1131"/>
        <v>0.20503135871692957</v>
      </c>
      <c r="IY239" s="13">
        <v>3</v>
      </c>
      <c r="JA239" s="12">
        <v>4.5</v>
      </c>
      <c r="JB239" s="50">
        <f t="shared" si="1132"/>
        <v>0.12603963953566241</v>
      </c>
      <c r="JC239" s="13">
        <v>3</v>
      </c>
      <c r="JE239" s="19">
        <f t="shared" si="1133"/>
        <v>-0.21868920096482944</v>
      </c>
      <c r="JF239" s="19">
        <f t="shared" si="1134"/>
        <v>7.0832876411330761E-4</v>
      </c>
      <c r="JH239" s="12" t="s">
        <v>37</v>
      </c>
      <c r="JI239" s="12" t="s">
        <v>37</v>
      </c>
      <c r="JJ239" s="13" t="s">
        <v>37</v>
      </c>
      <c r="JL239" s="12" t="s">
        <v>37</v>
      </c>
      <c r="JM239" s="12" t="s">
        <v>37</v>
      </c>
      <c r="JN239" s="12" t="s">
        <v>37</v>
      </c>
      <c r="JS239" s="12" t="s">
        <v>37</v>
      </c>
      <c r="JT239" s="12" t="s">
        <v>37</v>
      </c>
      <c r="JU239" s="13" t="s">
        <v>37</v>
      </c>
      <c r="JW239" s="12" t="s">
        <v>37</v>
      </c>
      <c r="JX239" s="12" t="s">
        <v>37</v>
      </c>
      <c r="JY239" s="12" t="s">
        <v>37</v>
      </c>
      <c r="KE239" s="12" t="s">
        <v>37</v>
      </c>
      <c r="KF239" s="12" t="s">
        <v>37</v>
      </c>
      <c r="KG239" s="13" t="s">
        <v>37</v>
      </c>
      <c r="KH239" s="12" t="s">
        <v>37</v>
      </c>
      <c r="KI239" s="12" t="s">
        <v>37</v>
      </c>
      <c r="KJ239" s="12" t="s">
        <v>37</v>
      </c>
      <c r="KK239" s="12" t="s">
        <v>42</v>
      </c>
      <c r="KL239" s="32" t="s">
        <v>372</v>
      </c>
      <c r="KM239" s="12">
        <v>19</v>
      </c>
      <c r="KN239" s="50">
        <f t="shared" si="1135"/>
        <v>2.2665677863123301</v>
      </c>
      <c r="KO239" s="11">
        <v>3</v>
      </c>
      <c r="KQ239" s="12">
        <v>21</v>
      </c>
      <c r="KR239" s="50">
        <f t="shared" si="1136"/>
        <v>2.2143120335413715</v>
      </c>
      <c r="KS239" s="11">
        <v>3</v>
      </c>
      <c r="KU239" s="19">
        <f t="shared" si="1137"/>
        <v>0.10008345855698263</v>
      </c>
      <c r="KV239" s="19">
        <f t="shared" si="1138"/>
        <v>8.4497155628593234E-3</v>
      </c>
      <c r="KX239" s="12" t="s">
        <v>37</v>
      </c>
      <c r="KY239" s="12" t="s">
        <v>37</v>
      </c>
      <c r="KZ239" s="12" t="s">
        <v>37</v>
      </c>
      <c r="LB239" s="12" t="s">
        <v>37</v>
      </c>
      <c r="LC239" s="12" t="s">
        <v>37</v>
      </c>
      <c r="LD239" s="12" t="s">
        <v>37</v>
      </c>
      <c r="LI239" s="12" t="s">
        <v>37</v>
      </c>
      <c r="LJ239" s="12" t="s">
        <v>37</v>
      </c>
      <c r="LK239" s="12" t="s">
        <v>37</v>
      </c>
      <c r="LM239" s="12" t="s">
        <v>37</v>
      </c>
      <c r="LN239" s="12" t="s">
        <v>37</v>
      </c>
      <c r="LO239" s="12" t="s">
        <v>37</v>
      </c>
      <c r="LU239" s="12" t="s">
        <v>37</v>
      </c>
      <c r="LV239" s="12" t="s">
        <v>37</v>
      </c>
      <c r="LW239" s="12" t="s">
        <v>37</v>
      </c>
      <c r="LY239" s="12" t="s">
        <v>37</v>
      </c>
      <c r="LZ239" s="12" t="s">
        <v>37</v>
      </c>
      <c r="MA239" s="12" t="s">
        <v>37</v>
      </c>
      <c r="MF239" s="12" t="s">
        <v>37</v>
      </c>
      <c r="MG239" s="12" t="s">
        <v>37</v>
      </c>
      <c r="MH239" s="12" t="s">
        <v>37</v>
      </c>
      <c r="MJ239" s="12" t="s">
        <v>37</v>
      </c>
      <c r="MK239" s="12" t="s">
        <v>37</v>
      </c>
      <c r="ML239" s="12" t="s">
        <v>37</v>
      </c>
      <c r="MQ239" s="12" t="s">
        <v>37</v>
      </c>
      <c r="MR239" s="12" t="s">
        <v>37</v>
      </c>
      <c r="MS239" s="12" t="s">
        <v>37</v>
      </c>
      <c r="MU239" s="12" t="s">
        <v>37</v>
      </c>
      <c r="MV239" s="12" t="s">
        <v>37</v>
      </c>
      <c r="MW239" s="12" t="s">
        <v>37</v>
      </c>
      <c r="NC239" s="12" t="s">
        <v>37</v>
      </c>
      <c r="ND239" s="12" t="s">
        <v>37</v>
      </c>
      <c r="NE239" s="12" t="s">
        <v>37</v>
      </c>
      <c r="NG239" s="12" t="s">
        <v>37</v>
      </c>
      <c r="NH239" s="12" t="s">
        <v>37</v>
      </c>
      <c r="NI239" s="12" t="s">
        <v>37</v>
      </c>
      <c r="NO239" s="12" t="s">
        <v>37</v>
      </c>
      <c r="NP239" s="12" t="s">
        <v>37</v>
      </c>
      <c r="NQ239" s="12" t="s">
        <v>37</v>
      </c>
      <c r="NS239" s="12" t="s">
        <v>37</v>
      </c>
      <c r="NT239" s="12" t="s">
        <v>37</v>
      </c>
      <c r="NU239" s="12" t="s">
        <v>37</v>
      </c>
      <c r="OA239" s="12" t="s">
        <v>37</v>
      </c>
      <c r="OB239" s="12" t="s">
        <v>37</v>
      </c>
      <c r="OC239" s="12" t="s">
        <v>37</v>
      </c>
      <c r="OD239" s="12"/>
      <c r="OE239" s="12" t="s">
        <v>37</v>
      </c>
      <c r="OF239" s="12" t="s">
        <v>37</v>
      </c>
      <c r="OG239" s="12" t="s">
        <v>37</v>
      </c>
      <c r="OH239" s="12"/>
      <c r="OI239" s="12"/>
      <c r="OJ239" s="12"/>
      <c r="OM239" s="12" t="s">
        <v>37</v>
      </c>
      <c r="ON239" s="12" t="s">
        <v>37</v>
      </c>
      <c r="OO239" s="12" t="s">
        <v>37</v>
      </c>
      <c r="OP239" s="12" t="s">
        <v>37</v>
      </c>
      <c r="OQ239" s="12" t="s">
        <v>37</v>
      </c>
      <c r="OR239" s="12" t="s">
        <v>37</v>
      </c>
      <c r="OS239" s="12"/>
      <c r="OT239" s="12"/>
      <c r="OW239" s="12" t="s">
        <v>37</v>
      </c>
      <c r="OX239" s="12" t="s">
        <v>37</v>
      </c>
      <c r="OY239" s="13" t="s">
        <v>37</v>
      </c>
      <c r="OZ239" s="12" t="s">
        <v>37</v>
      </c>
      <c r="PA239" s="12" t="s">
        <v>37</v>
      </c>
      <c r="PB239" s="13" t="s">
        <v>37</v>
      </c>
      <c r="PG239" s="12" t="s">
        <v>37</v>
      </c>
      <c r="PH239" s="12" t="s">
        <v>37</v>
      </c>
      <c r="PI239" s="12" t="s">
        <v>37</v>
      </c>
      <c r="PJ239" s="12" t="s">
        <v>37</v>
      </c>
      <c r="PK239" s="12" t="s">
        <v>37</v>
      </c>
      <c r="PL239" s="12" t="s">
        <v>37</v>
      </c>
      <c r="PM239" s="12"/>
      <c r="PN239" s="12"/>
      <c r="PQ239" s="12" t="s">
        <v>37</v>
      </c>
      <c r="PR239" s="12" t="s">
        <v>37</v>
      </c>
      <c r="PS239" s="12" t="s">
        <v>37</v>
      </c>
      <c r="PT239" s="12" t="s">
        <v>37</v>
      </c>
      <c r="PU239" s="12" t="s">
        <v>37</v>
      </c>
      <c r="PV239" s="12" t="s">
        <v>37</v>
      </c>
      <c r="PW239" s="12"/>
      <c r="PX239" s="12"/>
      <c r="PZ239" s="12" t="s">
        <v>37</v>
      </c>
      <c r="QA239" s="12" t="s">
        <v>37</v>
      </c>
      <c r="QB239" s="12" t="s">
        <v>37</v>
      </c>
      <c r="QD239" s="12" t="s">
        <v>37</v>
      </c>
      <c r="QE239" s="12" t="s">
        <v>37</v>
      </c>
      <c r="QF239" s="12" t="s">
        <v>37</v>
      </c>
      <c r="QK239" s="12" t="s">
        <v>37</v>
      </c>
      <c r="QL239" s="12" t="s">
        <v>37</v>
      </c>
      <c r="QM239" s="12" t="s">
        <v>37</v>
      </c>
      <c r="QN239" s="12" t="s">
        <v>37</v>
      </c>
      <c r="QO239" s="12" t="s">
        <v>37</v>
      </c>
      <c r="QP239" s="12" t="s">
        <v>37</v>
      </c>
      <c r="QQ239" s="12"/>
      <c r="QR239" s="12"/>
      <c r="QU239" s="12" t="s">
        <v>37</v>
      </c>
      <c r="QV239" s="12" t="s">
        <v>37</v>
      </c>
      <c r="QW239" s="12" t="s">
        <v>37</v>
      </c>
      <c r="QX239" s="12" t="s">
        <v>37</v>
      </c>
      <c r="QY239" s="12" t="s">
        <v>37</v>
      </c>
      <c r="QZ239" s="12" t="s">
        <v>37</v>
      </c>
      <c r="RC239" s="12" t="s">
        <v>37</v>
      </c>
      <c r="RD239" s="12" t="s">
        <v>37</v>
      </c>
      <c r="RE239" s="13" t="s">
        <v>37</v>
      </c>
      <c r="RF239" s="12" t="s">
        <v>37</v>
      </c>
      <c r="RG239" s="12" t="s">
        <v>37</v>
      </c>
      <c r="RH239" s="13" t="s">
        <v>37</v>
      </c>
      <c r="RK239" s="12" t="s">
        <v>37</v>
      </c>
      <c r="RL239" s="12" t="s">
        <v>37</v>
      </c>
      <c r="RM239" s="11" t="s">
        <v>37</v>
      </c>
      <c r="RN239" s="12" t="s">
        <v>37</v>
      </c>
      <c r="RO239" s="12" t="s">
        <v>37</v>
      </c>
      <c r="RP239" s="11" t="s">
        <v>37</v>
      </c>
      <c r="RS239" s="12" t="s">
        <v>37</v>
      </c>
      <c r="RT239" s="12" t="s">
        <v>37</v>
      </c>
      <c r="RU239" s="12" t="s">
        <v>37</v>
      </c>
      <c r="RV239" s="12" t="s">
        <v>37</v>
      </c>
      <c r="RW239" s="12" t="s">
        <v>37</v>
      </c>
      <c r="RX239" s="12" t="s">
        <v>37</v>
      </c>
      <c r="SA239" s="12" t="s">
        <v>37</v>
      </c>
      <c r="SB239" s="12" t="s">
        <v>37</v>
      </c>
      <c r="SC239" s="12" t="s">
        <v>37</v>
      </c>
      <c r="SD239" s="12" t="s">
        <v>37</v>
      </c>
      <c r="SE239" s="12" t="s">
        <v>37</v>
      </c>
      <c r="SF239" s="12" t="s">
        <v>37</v>
      </c>
      <c r="SI239" s="12" t="s">
        <v>37</v>
      </c>
      <c r="SJ239" s="12" t="s">
        <v>37</v>
      </c>
      <c r="SK239" s="13" t="s">
        <v>37</v>
      </c>
      <c r="SM239" s="12" t="s">
        <v>37</v>
      </c>
      <c r="SN239" s="12" t="s">
        <v>37</v>
      </c>
      <c r="SO239" s="13" t="s">
        <v>37</v>
      </c>
      <c r="SU239" s="12" t="s">
        <v>37</v>
      </c>
      <c r="SV239" s="12" t="s">
        <v>37</v>
      </c>
      <c r="SW239" s="12" t="s">
        <v>37</v>
      </c>
      <c r="SX239" s="12" t="s">
        <v>37</v>
      </c>
      <c r="SY239" s="12" t="s">
        <v>37</v>
      </c>
      <c r="SZ239" s="12" t="s">
        <v>37</v>
      </c>
      <c r="TA239" s="12"/>
      <c r="TB239" s="12"/>
      <c r="TE239" s="12" t="s">
        <v>37</v>
      </c>
      <c r="TF239" s="12" t="s">
        <v>37</v>
      </c>
      <c r="TG239" s="12" t="s">
        <v>37</v>
      </c>
      <c r="TH239" s="12" t="s">
        <v>37</v>
      </c>
      <c r="TI239" s="12" t="s">
        <v>37</v>
      </c>
      <c r="TJ239" s="12" t="s">
        <v>37</v>
      </c>
      <c r="TK239" s="12"/>
      <c r="TL239" s="12"/>
      <c r="TO239" s="12" t="s">
        <v>37</v>
      </c>
      <c r="TP239" s="12" t="s">
        <v>37</v>
      </c>
      <c r="TQ239" s="12" t="s">
        <v>37</v>
      </c>
      <c r="TR239" s="12" t="s">
        <v>37</v>
      </c>
      <c r="TS239" s="12" t="s">
        <v>37</v>
      </c>
      <c r="TT239" s="12" t="s">
        <v>37</v>
      </c>
      <c r="TU239" s="12"/>
      <c r="TV239" s="12"/>
      <c r="TY239" s="12" t="s">
        <v>37</v>
      </c>
      <c r="TZ239" s="12" t="s">
        <v>37</v>
      </c>
      <c r="UA239" s="12" t="s">
        <v>37</v>
      </c>
      <c r="UB239" s="12" t="s">
        <v>37</v>
      </c>
      <c r="UC239" s="12" t="s">
        <v>37</v>
      </c>
      <c r="UD239" s="12" t="s">
        <v>37</v>
      </c>
      <c r="UE239" s="12"/>
      <c r="UF239" s="12"/>
      <c r="UI239" s="12" t="s">
        <v>37</v>
      </c>
      <c r="UJ239" s="12" t="s">
        <v>37</v>
      </c>
      <c r="UK239" s="12" t="s">
        <v>37</v>
      </c>
      <c r="UL239" s="12" t="s">
        <v>37</v>
      </c>
      <c r="UM239" s="12" t="s">
        <v>37</v>
      </c>
      <c r="UN239" s="12" t="s">
        <v>37</v>
      </c>
      <c r="UO239" s="12"/>
      <c r="UP239" s="12"/>
      <c r="UR239" s="12" t="s">
        <v>37</v>
      </c>
      <c r="US239" s="12" t="s">
        <v>37</v>
      </c>
      <c r="UT239" s="12" t="s">
        <v>37</v>
      </c>
      <c r="UU239" s="12" t="s">
        <v>37</v>
      </c>
      <c r="UV239" s="12" t="s">
        <v>37</v>
      </c>
      <c r="UW239" s="12" t="s">
        <v>37</v>
      </c>
      <c r="UX239" s="12"/>
      <c r="UY239" s="12"/>
      <c r="VB239" s="12" t="s">
        <v>37</v>
      </c>
      <c r="VC239" s="12" t="s">
        <v>37</v>
      </c>
      <c r="VD239" s="12" t="s">
        <v>37</v>
      </c>
      <c r="VE239" s="12" t="s">
        <v>37</v>
      </c>
      <c r="VF239" s="12" t="s">
        <v>37</v>
      </c>
      <c r="VG239" s="12" t="s">
        <v>37</v>
      </c>
      <c r="VI239" s="12" t="s">
        <v>37</v>
      </c>
      <c r="VJ239" s="12" t="s">
        <v>37</v>
      </c>
      <c r="VK239" s="12" t="s">
        <v>37</v>
      </c>
      <c r="VL239" s="12" t="s">
        <v>37</v>
      </c>
      <c r="VM239" s="12" t="s">
        <v>37</v>
      </c>
      <c r="VN239" s="12" t="s">
        <v>37</v>
      </c>
      <c r="VQ239" s="12" t="s">
        <v>37</v>
      </c>
      <c r="VR239" s="12" t="s">
        <v>37</v>
      </c>
      <c r="VS239" s="12" t="s">
        <v>37</v>
      </c>
      <c r="VT239" s="12" t="s">
        <v>37</v>
      </c>
      <c r="VU239" s="12" t="s">
        <v>37</v>
      </c>
      <c r="VV239" s="12" t="s">
        <v>37</v>
      </c>
      <c r="VW239" s="12"/>
      <c r="VX239" s="12"/>
      <c r="WA239" s="12" t="s">
        <v>37</v>
      </c>
      <c r="WB239" s="12" t="s">
        <v>37</v>
      </c>
      <c r="WC239" s="12" t="s">
        <v>37</v>
      </c>
      <c r="WD239" s="12" t="s">
        <v>37</v>
      </c>
      <c r="WE239" s="12" t="s">
        <v>37</v>
      </c>
      <c r="WF239" s="12" t="s">
        <v>37</v>
      </c>
    </row>
    <row r="240" spans="1:604" ht="18" customHeight="1" x14ac:dyDescent="0.3">
      <c r="A240" s="11">
        <v>64</v>
      </c>
      <c r="B240" s="16" t="s">
        <v>375</v>
      </c>
      <c r="C240" s="12" t="s">
        <v>26</v>
      </c>
      <c r="D240" s="12" t="s">
        <v>54</v>
      </c>
      <c r="E240" s="40">
        <v>1.6</v>
      </c>
      <c r="F240" s="14">
        <v>0</v>
      </c>
      <c r="G240" s="14">
        <v>0</v>
      </c>
      <c r="H240" s="12" t="s">
        <v>123</v>
      </c>
      <c r="I240" s="29">
        <v>61.783000000000001</v>
      </c>
      <c r="J240" s="29">
        <v>24.3</v>
      </c>
      <c r="K240" s="12" t="s">
        <v>775</v>
      </c>
      <c r="L240" s="12" t="s">
        <v>709</v>
      </c>
      <c r="M240" s="13" t="s">
        <v>37</v>
      </c>
      <c r="N240" s="12" t="s">
        <v>37</v>
      </c>
      <c r="O240" s="12" t="s">
        <v>37</v>
      </c>
      <c r="P240" s="14" t="s">
        <v>84</v>
      </c>
      <c r="Q240" s="75">
        <v>30</v>
      </c>
      <c r="R240" s="11" t="s">
        <v>1000</v>
      </c>
      <c r="S240" s="12" t="s">
        <v>85</v>
      </c>
      <c r="T240" s="12" t="s">
        <v>138</v>
      </c>
      <c r="U240" s="12" t="s">
        <v>158</v>
      </c>
      <c r="V240" s="12" t="s">
        <v>275</v>
      </c>
      <c r="W240" s="23" t="s">
        <v>376</v>
      </c>
      <c r="X240" s="12" t="s">
        <v>280</v>
      </c>
      <c r="Y240" s="12" t="s">
        <v>37</v>
      </c>
      <c r="Z240" s="12" t="s">
        <v>37</v>
      </c>
      <c r="AA240" s="32" t="s">
        <v>345</v>
      </c>
      <c r="AB240" s="12">
        <v>5.6</v>
      </c>
      <c r="AE240" s="12" t="s">
        <v>37</v>
      </c>
      <c r="AF240" s="12" t="s">
        <v>42</v>
      </c>
      <c r="AG240" s="32" t="s">
        <v>372</v>
      </c>
      <c r="AH240" s="12">
        <v>19</v>
      </c>
      <c r="AK240" s="12" t="s">
        <v>37</v>
      </c>
      <c r="AL240" s="32" t="s">
        <v>37</v>
      </c>
      <c r="AM240" s="12" t="s">
        <v>344</v>
      </c>
      <c r="AO240" s="12" t="s">
        <v>37</v>
      </c>
      <c r="AP240" s="12" t="s">
        <v>37</v>
      </c>
      <c r="AQ240" s="12" t="s">
        <v>975</v>
      </c>
      <c r="AT240" s="12" t="s">
        <v>326</v>
      </c>
      <c r="AU240" s="12" t="s">
        <v>326</v>
      </c>
      <c r="AV240" s="13" t="s">
        <v>326</v>
      </c>
      <c r="AX240" s="12" t="s">
        <v>326</v>
      </c>
      <c r="AY240" s="12" t="s">
        <v>326</v>
      </c>
      <c r="AZ240" s="13" t="s">
        <v>326</v>
      </c>
      <c r="BE240" s="12" t="s">
        <v>326</v>
      </c>
      <c r="BF240" s="12" t="s">
        <v>326</v>
      </c>
      <c r="BG240" s="12" t="s">
        <v>326</v>
      </c>
      <c r="BI240" s="12" t="s">
        <v>326</v>
      </c>
      <c r="BJ240" s="12" t="s">
        <v>326</v>
      </c>
      <c r="BK240" s="12" t="s">
        <v>326</v>
      </c>
      <c r="BP240" s="12" t="s">
        <v>37</v>
      </c>
      <c r="BQ240" s="12" t="s">
        <v>37</v>
      </c>
      <c r="BR240" s="13" t="s">
        <v>37</v>
      </c>
      <c r="BT240" s="12" t="s">
        <v>37</v>
      </c>
      <c r="BU240" s="12" t="s">
        <v>37</v>
      </c>
      <c r="BV240" s="12" t="s">
        <v>37</v>
      </c>
      <c r="CA240" s="12" t="s">
        <v>37</v>
      </c>
      <c r="CB240" s="12" t="s">
        <v>37</v>
      </c>
      <c r="CC240" s="13" t="s">
        <v>37</v>
      </c>
      <c r="CE240" s="12" t="s">
        <v>37</v>
      </c>
      <c r="CF240" s="12" t="s">
        <v>37</v>
      </c>
      <c r="CG240" s="12" t="s">
        <v>37</v>
      </c>
      <c r="CI240" s="52"/>
      <c r="CJ240" s="52"/>
      <c r="CK240" s="73"/>
      <c r="CL240" s="73"/>
      <c r="CN240" s="12" t="s">
        <v>37</v>
      </c>
      <c r="CO240" s="12" t="s">
        <v>37</v>
      </c>
      <c r="CP240" s="13" t="s">
        <v>37</v>
      </c>
      <c r="CR240" s="12" t="s">
        <v>37</v>
      </c>
      <c r="CS240" s="12" t="s">
        <v>37</v>
      </c>
      <c r="CT240" s="13" t="s">
        <v>37</v>
      </c>
      <c r="CV240" s="52"/>
      <c r="CW240" s="52"/>
      <c r="CX240" s="73"/>
      <c r="CY240" s="73"/>
      <c r="DA240" s="12" t="s">
        <v>37</v>
      </c>
      <c r="DB240" s="12" t="s">
        <v>37</v>
      </c>
      <c r="DC240" s="13" t="s">
        <v>37</v>
      </c>
      <c r="DE240" s="12" t="s">
        <v>37</v>
      </c>
      <c r="DF240" s="12" t="s">
        <v>37</v>
      </c>
      <c r="DG240" s="12" t="s">
        <v>37</v>
      </c>
      <c r="DN240" s="19" t="s">
        <v>37</v>
      </c>
      <c r="DO240" s="12" t="s">
        <v>37</v>
      </c>
      <c r="DP240" s="13" t="s">
        <v>37</v>
      </c>
      <c r="DR240" s="19" t="s">
        <v>37</v>
      </c>
      <c r="DS240" s="12" t="s">
        <v>37</v>
      </c>
      <c r="DT240" s="13" t="s">
        <v>37</v>
      </c>
      <c r="EA240" s="19" t="s">
        <v>37</v>
      </c>
      <c r="EB240" s="19" t="s">
        <v>37</v>
      </c>
      <c r="EC240" s="72" t="s">
        <v>37</v>
      </c>
      <c r="EE240" s="19" t="s">
        <v>37</v>
      </c>
      <c r="EF240" s="19" t="s">
        <v>37</v>
      </c>
      <c r="EG240" s="12" t="s">
        <v>37</v>
      </c>
      <c r="EM240" s="12" t="s">
        <v>39</v>
      </c>
      <c r="EN240" s="12">
        <v>-2</v>
      </c>
      <c r="EO240" s="50">
        <f t="shared" si="1108"/>
        <v>0.81499279750258669</v>
      </c>
      <c r="EP240" s="13">
        <v>3</v>
      </c>
      <c r="ER240" s="12">
        <v>-30</v>
      </c>
      <c r="ES240" s="50">
        <f t="shared" si="1116"/>
        <v>6.8044216052758255</v>
      </c>
      <c r="ET240" s="13">
        <v>3</v>
      </c>
      <c r="EV240" s="19">
        <f t="shared" si="1117"/>
        <v>-28</v>
      </c>
      <c r="EW240" s="12">
        <f t="shared" si="1118"/>
        <v>4.8458418588685666</v>
      </c>
      <c r="EX240" s="19">
        <f t="shared" si="1119"/>
        <v>15.654788880775175</v>
      </c>
      <c r="EY240" s="19">
        <f t="shared" si="1120"/>
        <v>15.654788880775179</v>
      </c>
      <c r="FB240" s="12" t="s">
        <v>37</v>
      </c>
      <c r="FC240" s="12" t="s">
        <v>37</v>
      </c>
      <c r="FD240" s="12" t="s">
        <v>37</v>
      </c>
      <c r="FE240" s="12" t="s">
        <v>37</v>
      </c>
      <c r="FF240" s="20" t="s">
        <v>37</v>
      </c>
      <c r="FG240" s="12" t="s">
        <v>37</v>
      </c>
      <c r="FI240" s="12" t="s">
        <v>37</v>
      </c>
      <c r="FJ240" s="12" t="s">
        <v>37</v>
      </c>
      <c r="FK240" s="12" t="s">
        <v>37</v>
      </c>
      <c r="FL240" s="12" t="s">
        <v>37</v>
      </c>
      <c r="FM240" s="12" t="s">
        <v>37</v>
      </c>
      <c r="FN240" s="12" t="s">
        <v>37</v>
      </c>
      <c r="FP240" s="12" t="s">
        <v>37</v>
      </c>
      <c r="FQ240" s="12" t="s">
        <v>37</v>
      </c>
      <c r="FR240" s="12" t="s">
        <v>37</v>
      </c>
      <c r="FS240" s="12" t="s">
        <v>37</v>
      </c>
      <c r="FT240" s="12" t="s">
        <v>37</v>
      </c>
      <c r="FU240" s="12" t="s">
        <v>37</v>
      </c>
      <c r="FW240" s="12" t="s">
        <v>37</v>
      </c>
      <c r="FX240" s="12" t="s">
        <v>37</v>
      </c>
      <c r="FY240" s="12" t="s">
        <v>37</v>
      </c>
      <c r="FZ240" s="12" t="s">
        <v>37</v>
      </c>
      <c r="GA240" s="12" t="s">
        <v>37</v>
      </c>
      <c r="GB240" s="12" t="s">
        <v>37</v>
      </c>
      <c r="HA240" s="17" t="s">
        <v>63</v>
      </c>
      <c r="HB240" s="34" t="s">
        <v>372</v>
      </c>
      <c r="HC240" s="12">
        <v>6.7000000000000004E-2</v>
      </c>
      <c r="HD240" s="50">
        <f t="shared" si="1127"/>
        <v>1.1551586790814895E-2</v>
      </c>
      <c r="HE240" s="13">
        <v>3</v>
      </c>
      <c r="HG240" s="12">
        <v>0.11</v>
      </c>
      <c r="HH240" s="50">
        <f t="shared" si="1128"/>
        <v>1.2303997196381559E-2</v>
      </c>
      <c r="HI240" s="13">
        <v>3</v>
      </c>
      <c r="HK240" s="19">
        <f t="shared" si="1129"/>
        <v>0.49578774640145007</v>
      </c>
      <c r="HL240" s="19">
        <f t="shared" si="1130"/>
        <v>1.4079080937294359E-2</v>
      </c>
      <c r="IK240" s="12" t="s">
        <v>37</v>
      </c>
      <c r="IL240" s="12" t="s">
        <v>37</v>
      </c>
      <c r="IM240" s="12" t="s">
        <v>37</v>
      </c>
      <c r="IO240" s="12" t="s">
        <v>37</v>
      </c>
      <c r="IP240" s="12" t="s">
        <v>37</v>
      </c>
      <c r="IQ240" s="12" t="s">
        <v>37</v>
      </c>
      <c r="IV240" s="32" t="s">
        <v>345</v>
      </c>
      <c r="IW240" s="12">
        <v>5.6</v>
      </c>
      <c r="IX240" s="50">
        <f t="shared" si="1131"/>
        <v>0.20503135871692957</v>
      </c>
      <c r="IY240" s="13">
        <v>3</v>
      </c>
      <c r="JA240" s="12">
        <v>4.5</v>
      </c>
      <c r="JB240" s="50">
        <f t="shared" si="1132"/>
        <v>0.12603963953566241</v>
      </c>
      <c r="JC240" s="13">
        <v>3</v>
      </c>
      <c r="JE240" s="19">
        <f t="shared" si="1133"/>
        <v>-0.21868920096482944</v>
      </c>
      <c r="JF240" s="19">
        <f t="shared" si="1134"/>
        <v>7.0832876411330761E-4</v>
      </c>
      <c r="JH240" s="12" t="s">
        <v>37</v>
      </c>
      <c r="JI240" s="12" t="s">
        <v>37</v>
      </c>
      <c r="JJ240" s="13" t="s">
        <v>37</v>
      </c>
      <c r="JL240" s="12" t="s">
        <v>37</v>
      </c>
      <c r="JM240" s="12" t="s">
        <v>37</v>
      </c>
      <c r="JN240" s="12" t="s">
        <v>37</v>
      </c>
      <c r="JS240" s="12" t="s">
        <v>37</v>
      </c>
      <c r="JT240" s="12" t="s">
        <v>37</v>
      </c>
      <c r="JU240" s="13" t="s">
        <v>37</v>
      </c>
      <c r="JW240" s="12" t="s">
        <v>37</v>
      </c>
      <c r="JX240" s="12" t="s">
        <v>37</v>
      </c>
      <c r="JY240" s="12" t="s">
        <v>37</v>
      </c>
      <c r="KE240" s="12" t="s">
        <v>37</v>
      </c>
      <c r="KF240" s="12" t="s">
        <v>37</v>
      </c>
      <c r="KG240" s="13" t="s">
        <v>37</v>
      </c>
      <c r="KH240" s="12" t="s">
        <v>37</v>
      </c>
      <c r="KI240" s="12" t="s">
        <v>37</v>
      </c>
      <c r="KJ240" s="12" t="s">
        <v>37</v>
      </c>
      <c r="KK240" s="12" t="s">
        <v>42</v>
      </c>
      <c r="KL240" s="32" t="s">
        <v>372</v>
      </c>
      <c r="KM240" s="12">
        <v>19</v>
      </c>
      <c r="KN240" s="50">
        <f t="shared" si="1135"/>
        <v>2.2665677863123301</v>
      </c>
      <c r="KO240" s="11">
        <v>3</v>
      </c>
      <c r="KQ240" s="12">
        <v>21</v>
      </c>
      <c r="KR240" s="50">
        <f t="shared" si="1136"/>
        <v>2.2143120335413715</v>
      </c>
      <c r="KS240" s="11">
        <v>3</v>
      </c>
      <c r="KU240" s="19">
        <f t="shared" si="1137"/>
        <v>0.10008345855698263</v>
      </c>
      <c r="KV240" s="19">
        <f t="shared" si="1138"/>
        <v>8.4497155628593234E-3</v>
      </c>
      <c r="KX240" s="12" t="s">
        <v>37</v>
      </c>
      <c r="KY240" s="12" t="s">
        <v>37</v>
      </c>
      <c r="KZ240" s="12" t="s">
        <v>37</v>
      </c>
      <c r="LB240" s="12" t="s">
        <v>37</v>
      </c>
      <c r="LC240" s="12" t="s">
        <v>37</v>
      </c>
      <c r="LD240" s="12" t="s">
        <v>37</v>
      </c>
      <c r="LI240" s="12" t="s">
        <v>37</v>
      </c>
      <c r="LJ240" s="12" t="s">
        <v>37</v>
      </c>
      <c r="LK240" s="12" t="s">
        <v>37</v>
      </c>
      <c r="LM240" s="12" t="s">
        <v>37</v>
      </c>
      <c r="LN240" s="12" t="s">
        <v>37</v>
      </c>
      <c r="LO240" s="12" t="s">
        <v>37</v>
      </c>
      <c r="LU240" s="12" t="s">
        <v>37</v>
      </c>
      <c r="LV240" s="12" t="s">
        <v>37</v>
      </c>
      <c r="LW240" s="12" t="s">
        <v>37</v>
      </c>
      <c r="LY240" s="12" t="s">
        <v>37</v>
      </c>
      <c r="LZ240" s="12" t="s">
        <v>37</v>
      </c>
      <c r="MA240" s="12" t="s">
        <v>37</v>
      </c>
      <c r="MF240" s="12" t="s">
        <v>37</v>
      </c>
      <c r="MG240" s="12" t="s">
        <v>37</v>
      </c>
      <c r="MH240" s="12" t="s">
        <v>37</v>
      </c>
      <c r="MJ240" s="12" t="s">
        <v>37</v>
      </c>
      <c r="MK240" s="12" t="s">
        <v>37</v>
      </c>
      <c r="ML240" s="12" t="s">
        <v>37</v>
      </c>
      <c r="MQ240" s="12" t="s">
        <v>37</v>
      </c>
      <c r="MR240" s="12" t="s">
        <v>37</v>
      </c>
      <c r="MS240" s="12" t="s">
        <v>37</v>
      </c>
      <c r="MU240" s="12" t="s">
        <v>37</v>
      </c>
      <c r="MV240" s="12" t="s">
        <v>37</v>
      </c>
      <c r="MW240" s="12" t="s">
        <v>37</v>
      </c>
      <c r="NC240" s="12" t="s">
        <v>37</v>
      </c>
      <c r="ND240" s="12" t="s">
        <v>37</v>
      </c>
      <c r="NE240" s="12" t="s">
        <v>37</v>
      </c>
      <c r="NG240" s="12" t="s">
        <v>37</v>
      </c>
      <c r="NH240" s="12" t="s">
        <v>37</v>
      </c>
      <c r="NI240" s="12" t="s">
        <v>37</v>
      </c>
      <c r="NO240" s="12" t="s">
        <v>37</v>
      </c>
      <c r="NP240" s="12" t="s">
        <v>37</v>
      </c>
      <c r="NQ240" s="12" t="s">
        <v>37</v>
      </c>
      <c r="NS240" s="12" t="s">
        <v>37</v>
      </c>
      <c r="NT240" s="12" t="s">
        <v>37</v>
      </c>
      <c r="NU240" s="12" t="s">
        <v>37</v>
      </c>
      <c r="OA240" s="12" t="s">
        <v>37</v>
      </c>
      <c r="OB240" s="12" t="s">
        <v>37</v>
      </c>
      <c r="OC240" s="12" t="s">
        <v>37</v>
      </c>
      <c r="OD240" s="12"/>
      <c r="OE240" s="12" t="s">
        <v>37</v>
      </c>
      <c r="OF240" s="12" t="s">
        <v>37</v>
      </c>
      <c r="OG240" s="12" t="s">
        <v>37</v>
      </c>
      <c r="OH240" s="12"/>
      <c r="OI240" s="12"/>
      <c r="OJ240" s="12"/>
      <c r="OM240" s="12" t="s">
        <v>37</v>
      </c>
      <c r="ON240" s="12" t="s">
        <v>37</v>
      </c>
      <c r="OO240" s="12" t="s">
        <v>37</v>
      </c>
      <c r="OP240" s="12" t="s">
        <v>37</v>
      </c>
      <c r="OQ240" s="12" t="s">
        <v>37</v>
      </c>
      <c r="OR240" s="12" t="s">
        <v>37</v>
      </c>
      <c r="OS240" s="12"/>
      <c r="OT240" s="12"/>
      <c r="OW240" s="12" t="s">
        <v>37</v>
      </c>
      <c r="OX240" s="12" t="s">
        <v>37</v>
      </c>
      <c r="OY240" s="13" t="s">
        <v>37</v>
      </c>
      <c r="OZ240" s="12" t="s">
        <v>37</v>
      </c>
      <c r="PA240" s="12" t="s">
        <v>37</v>
      </c>
      <c r="PB240" s="13" t="s">
        <v>37</v>
      </c>
      <c r="PG240" s="12" t="s">
        <v>37</v>
      </c>
      <c r="PH240" s="12" t="s">
        <v>37</v>
      </c>
      <c r="PI240" s="12" t="s">
        <v>37</v>
      </c>
      <c r="PJ240" s="12" t="s">
        <v>37</v>
      </c>
      <c r="PK240" s="12" t="s">
        <v>37</v>
      </c>
      <c r="PL240" s="12" t="s">
        <v>37</v>
      </c>
      <c r="PM240" s="12"/>
      <c r="PN240" s="12"/>
      <c r="PQ240" s="12" t="s">
        <v>37</v>
      </c>
      <c r="PR240" s="12" t="s">
        <v>37</v>
      </c>
      <c r="PS240" s="12" t="s">
        <v>37</v>
      </c>
      <c r="PT240" s="12" t="s">
        <v>37</v>
      </c>
      <c r="PU240" s="12" t="s">
        <v>37</v>
      </c>
      <c r="PV240" s="12" t="s">
        <v>37</v>
      </c>
      <c r="PW240" s="12"/>
      <c r="PX240" s="12"/>
      <c r="PZ240" s="12" t="s">
        <v>37</v>
      </c>
      <c r="QA240" s="12" t="s">
        <v>37</v>
      </c>
      <c r="QB240" s="12" t="s">
        <v>37</v>
      </c>
      <c r="QD240" s="12" t="s">
        <v>37</v>
      </c>
      <c r="QE240" s="12" t="s">
        <v>37</v>
      </c>
      <c r="QF240" s="12" t="s">
        <v>37</v>
      </c>
      <c r="QK240" s="12" t="s">
        <v>37</v>
      </c>
      <c r="QL240" s="12" t="s">
        <v>37</v>
      </c>
      <c r="QM240" s="12" t="s">
        <v>37</v>
      </c>
      <c r="QN240" s="12" t="s">
        <v>37</v>
      </c>
      <c r="QO240" s="12" t="s">
        <v>37</v>
      </c>
      <c r="QP240" s="12" t="s">
        <v>37</v>
      </c>
      <c r="QQ240" s="12"/>
      <c r="QR240" s="12"/>
      <c r="QU240" s="12" t="s">
        <v>37</v>
      </c>
      <c r="QV240" s="12" t="s">
        <v>37</v>
      </c>
      <c r="QW240" s="12" t="s">
        <v>37</v>
      </c>
      <c r="QX240" s="12" t="s">
        <v>37</v>
      </c>
      <c r="QY240" s="12" t="s">
        <v>37</v>
      </c>
      <c r="QZ240" s="12" t="s">
        <v>37</v>
      </c>
      <c r="RC240" s="12" t="s">
        <v>37</v>
      </c>
      <c r="RD240" s="12" t="s">
        <v>37</v>
      </c>
      <c r="RE240" s="13" t="s">
        <v>37</v>
      </c>
      <c r="RF240" s="12" t="s">
        <v>37</v>
      </c>
      <c r="RG240" s="12" t="s">
        <v>37</v>
      </c>
      <c r="RH240" s="13" t="s">
        <v>37</v>
      </c>
      <c r="RK240" s="12" t="s">
        <v>37</v>
      </c>
      <c r="RL240" s="12" t="s">
        <v>37</v>
      </c>
      <c r="RM240" s="11" t="s">
        <v>37</v>
      </c>
      <c r="RN240" s="12" t="s">
        <v>37</v>
      </c>
      <c r="RO240" s="12" t="s">
        <v>37</v>
      </c>
      <c r="RP240" s="11" t="s">
        <v>37</v>
      </c>
      <c r="RS240" s="12" t="s">
        <v>37</v>
      </c>
      <c r="RT240" s="12" t="s">
        <v>37</v>
      </c>
      <c r="RU240" s="12" t="s">
        <v>37</v>
      </c>
      <c r="RV240" s="12" t="s">
        <v>37</v>
      </c>
      <c r="RW240" s="12" t="s">
        <v>37</v>
      </c>
      <c r="RX240" s="12" t="s">
        <v>37</v>
      </c>
      <c r="SA240" s="12" t="s">
        <v>37</v>
      </c>
      <c r="SB240" s="12" t="s">
        <v>37</v>
      </c>
      <c r="SC240" s="12" t="s">
        <v>37</v>
      </c>
      <c r="SD240" s="12" t="s">
        <v>37</v>
      </c>
      <c r="SE240" s="12" t="s">
        <v>37</v>
      </c>
      <c r="SF240" s="12" t="s">
        <v>37</v>
      </c>
      <c r="SI240" s="12" t="s">
        <v>37</v>
      </c>
      <c r="SJ240" s="12" t="s">
        <v>37</v>
      </c>
      <c r="SK240" s="13" t="s">
        <v>37</v>
      </c>
      <c r="SM240" s="12" t="s">
        <v>37</v>
      </c>
      <c r="SN240" s="12" t="s">
        <v>37</v>
      </c>
      <c r="SO240" s="13" t="s">
        <v>37</v>
      </c>
      <c r="SU240" s="12" t="s">
        <v>37</v>
      </c>
      <c r="SV240" s="12" t="s">
        <v>37</v>
      </c>
      <c r="SW240" s="12" t="s">
        <v>37</v>
      </c>
      <c r="SX240" s="12" t="s">
        <v>37</v>
      </c>
      <c r="SY240" s="12" t="s">
        <v>37</v>
      </c>
      <c r="SZ240" s="12" t="s">
        <v>37</v>
      </c>
      <c r="TA240" s="12"/>
      <c r="TB240" s="12"/>
      <c r="TE240" s="12" t="s">
        <v>37</v>
      </c>
      <c r="TF240" s="12" t="s">
        <v>37</v>
      </c>
      <c r="TG240" s="12" t="s">
        <v>37</v>
      </c>
      <c r="TH240" s="12" t="s">
        <v>37</v>
      </c>
      <c r="TI240" s="12" t="s">
        <v>37</v>
      </c>
      <c r="TJ240" s="12" t="s">
        <v>37</v>
      </c>
      <c r="TK240" s="12"/>
      <c r="TL240" s="12"/>
      <c r="TO240" s="12" t="s">
        <v>37</v>
      </c>
      <c r="TP240" s="12" t="s">
        <v>37</v>
      </c>
      <c r="TQ240" s="12" t="s">
        <v>37</v>
      </c>
      <c r="TR240" s="12" t="s">
        <v>37</v>
      </c>
      <c r="TS240" s="12" t="s">
        <v>37</v>
      </c>
      <c r="TT240" s="12" t="s">
        <v>37</v>
      </c>
      <c r="TU240" s="12"/>
      <c r="TV240" s="12"/>
      <c r="TY240" s="12" t="s">
        <v>37</v>
      </c>
      <c r="TZ240" s="12" t="s">
        <v>37</v>
      </c>
      <c r="UA240" s="12" t="s">
        <v>37</v>
      </c>
      <c r="UB240" s="12" t="s">
        <v>37</v>
      </c>
      <c r="UC240" s="12" t="s">
        <v>37</v>
      </c>
      <c r="UD240" s="12" t="s">
        <v>37</v>
      </c>
      <c r="UE240" s="12"/>
      <c r="UF240" s="12"/>
      <c r="UI240" s="12" t="s">
        <v>37</v>
      </c>
      <c r="UJ240" s="12" t="s">
        <v>37</v>
      </c>
      <c r="UK240" s="12" t="s">
        <v>37</v>
      </c>
      <c r="UL240" s="12" t="s">
        <v>37</v>
      </c>
      <c r="UM240" s="12" t="s">
        <v>37</v>
      </c>
      <c r="UN240" s="12" t="s">
        <v>37</v>
      </c>
      <c r="UO240" s="12"/>
      <c r="UP240" s="12"/>
      <c r="UR240" s="12" t="s">
        <v>37</v>
      </c>
      <c r="US240" s="12" t="s">
        <v>37</v>
      </c>
      <c r="UT240" s="12" t="s">
        <v>37</v>
      </c>
      <c r="UU240" s="12" t="s">
        <v>37</v>
      </c>
      <c r="UV240" s="12" t="s">
        <v>37</v>
      </c>
      <c r="UW240" s="12" t="s">
        <v>37</v>
      </c>
      <c r="UX240" s="12"/>
      <c r="UY240" s="12"/>
      <c r="VB240" s="12" t="s">
        <v>37</v>
      </c>
      <c r="VC240" s="12" t="s">
        <v>37</v>
      </c>
      <c r="VD240" s="12" t="s">
        <v>37</v>
      </c>
      <c r="VE240" s="12" t="s">
        <v>37</v>
      </c>
      <c r="VF240" s="12" t="s">
        <v>37</v>
      </c>
      <c r="VG240" s="12" t="s">
        <v>37</v>
      </c>
      <c r="VI240" s="12" t="s">
        <v>37</v>
      </c>
      <c r="VJ240" s="12" t="s">
        <v>37</v>
      </c>
      <c r="VK240" s="12" t="s">
        <v>37</v>
      </c>
      <c r="VL240" s="12" t="s">
        <v>37</v>
      </c>
      <c r="VM240" s="12" t="s">
        <v>37</v>
      </c>
      <c r="VN240" s="12" t="s">
        <v>37</v>
      </c>
      <c r="VQ240" s="12" t="s">
        <v>37</v>
      </c>
      <c r="VR240" s="12" t="s">
        <v>37</v>
      </c>
      <c r="VS240" s="12" t="s">
        <v>37</v>
      </c>
      <c r="VT240" s="12" t="s">
        <v>37</v>
      </c>
      <c r="VU240" s="12" t="s">
        <v>37</v>
      </c>
      <c r="VV240" s="12" t="s">
        <v>37</v>
      </c>
      <c r="VW240" s="12"/>
      <c r="VX240" s="12"/>
      <c r="WA240" s="12" t="s">
        <v>37</v>
      </c>
      <c r="WB240" s="12" t="s">
        <v>37</v>
      </c>
      <c r="WC240" s="12" t="s">
        <v>37</v>
      </c>
      <c r="WD240" s="12" t="s">
        <v>37</v>
      </c>
      <c r="WE240" s="12" t="s">
        <v>37</v>
      </c>
      <c r="WF240" s="12" t="s">
        <v>37</v>
      </c>
    </row>
    <row r="241" spans="1:604" ht="18" customHeight="1" x14ac:dyDescent="0.3">
      <c r="A241" s="11">
        <v>64</v>
      </c>
      <c r="B241" s="16" t="s">
        <v>375</v>
      </c>
      <c r="C241" s="12" t="s">
        <v>26</v>
      </c>
      <c r="D241" s="12" t="s">
        <v>54</v>
      </c>
      <c r="E241" s="40">
        <v>1.9</v>
      </c>
      <c r="F241" s="14">
        <v>0</v>
      </c>
      <c r="G241" s="14">
        <v>0</v>
      </c>
      <c r="H241" s="12" t="s">
        <v>123</v>
      </c>
      <c r="I241" s="29">
        <v>61.783000000000001</v>
      </c>
      <c r="J241" s="29">
        <v>24.3</v>
      </c>
      <c r="K241" s="12" t="s">
        <v>775</v>
      </c>
      <c r="L241" s="12" t="s">
        <v>709</v>
      </c>
      <c r="M241" s="13" t="s">
        <v>37</v>
      </c>
      <c r="N241" s="12" t="s">
        <v>37</v>
      </c>
      <c r="O241" s="12" t="s">
        <v>37</v>
      </c>
      <c r="P241" s="14" t="s">
        <v>84</v>
      </c>
      <c r="Q241" s="75">
        <v>30</v>
      </c>
      <c r="R241" s="11" t="s">
        <v>1000</v>
      </c>
      <c r="S241" s="12" t="s">
        <v>85</v>
      </c>
      <c r="T241" s="12" t="s">
        <v>138</v>
      </c>
      <c r="U241" s="12" t="s">
        <v>158</v>
      </c>
      <c r="V241" s="12" t="s">
        <v>275</v>
      </c>
      <c r="W241" s="23" t="s">
        <v>376</v>
      </c>
      <c r="X241" s="12" t="s">
        <v>280</v>
      </c>
      <c r="Y241" s="12" t="s">
        <v>37</v>
      </c>
      <c r="Z241" s="12" t="s">
        <v>37</v>
      </c>
      <c r="AA241" s="32" t="s">
        <v>345</v>
      </c>
      <c r="AB241" s="12">
        <v>4.4000000000000004</v>
      </c>
      <c r="AE241" s="12" t="s">
        <v>37</v>
      </c>
      <c r="AF241" s="12" t="s">
        <v>42</v>
      </c>
      <c r="AG241" s="32" t="s">
        <v>372</v>
      </c>
      <c r="AH241" s="12">
        <v>14</v>
      </c>
      <c r="AK241" s="12" t="s">
        <v>37</v>
      </c>
      <c r="AL241" s="32" t="s">
        <v>37</v>
      </c>
      <c r="AM241" s="12" t="s">
        <v>344</v>
      </c>
      <c r="AO241" s="12" t="s">
        <v>37</v>
      </c>
      <c r="AP241" s="12" t="s">
        <v>37</v>
      </c>
      <c r="AQ241" s="12" t="s">
        <v>975</v>
      </c>
      <c r="AT241" s="12" t="s">
        <v>326</v>
      </c>
      <c r="AU241" s="12" t="s">
        <v>326</v>
      </c>
      <c r="AV241" s="13" t="s">
        <v>326</v>
      </c>
      <c r="AX241" s="12" t="s">
        <v>326</v>
      </c>
      <c r="AY241" s="12" t="s">
        <v>326</v>
      </c>
      <c r="AZ241" s="13" t="s">
        <v>326</v>
      </c>
      <c r="BE241" s="12" t="s">
        <v>326</v>
      </c>
      <c r="BF241" s="12" t="s">
        <v>326</v>
      </c>
      <c r="BG241" s="12" t="s">
        <v>326</v>
      </c>
      <c r="BI241" s="12" t="s">
        <v>326</v>
      </c>
      <c r="BJ241" s="12" t="s">
        <v>326</v>
      </c>
      <c r="BK241" s="12" t="s">
        <v>326</v>
      </c>
      <c r="BP241" s="12" t="s">
        <v>37</v>
      </c>
      <c r="BQ241" s="12" t="s">
        <v>37</v>
      </c>
      <c r="BR241" s="13" t="s">
        <v>37</v>
      </c>
      <c r="BT241" s="12" t="s">
        <v>37</v>
      </c>
      <c r="BU241" s="12" t="s">
        <v>37</v>
      </c>
      <c r="BV241" s="12" t="s">
        <v>37</v>
      </c>
      <c r="CA241" s="12" t="s">
        <v>37</v>
      </c>
      <c r="CB241" s="12" t="s">
        <v>37</v>
      </c>
      <c r="CC241" s="13" t="s">
        <v>37</v>
      </c>
      <c r="CE241" s="12" t="s">
        <v>37</v>
      </c>
      <c r="CF241" s="12" t="s">
        <v>37</v>
      </c>
      <c r="CG241" s="12" t="s">
        <v>37</v>
      </c>
      <c r="CI241" s="52"/>
      <c r="CJ241" s="52"/>
      <c r="CK241" s="73"/>
      <c r="CL241" s="73"/>
      <c r="CN241" s="12" t="s">
        <v>37</v>
      </c>
      <c r="CO241" s="12" t="s">
        <v>37</v>
      </c>
      <c r="CP241" s="13" t="s">
        <v>37</v>
      </c>
      <c r="CR241" s="12" t="s">
        <v>37</v>
      </c>
      <c r="CS241" s="12" t="s">
        <v>37</v>
      </c>
      <c r="CT241" s="13" t="s">
        <v>37</v>
      </c>
      <c r="CV241" s="52"/>
      <c r="CW241" s="52"/>
      <c r="CX241" s="73"/>
      <c r="CY241" s="73"/>
      <c r="DA241" s="12" t="s">
        <v>37</v>
      </c>
      <c r="DB241" s="12" t="s">
        <v>37</v>
      </c>
      <c r="DC241" s="13" t="s">
        <v>37</v>
      </c>
      <c r="DE241" s="12" t="s">
        <v>37</v>
      </c>
      <c r="DF241" s="12" t="s">
        <v>37</v>
      </c>
      <c r="DG241" s="12" t="s">
        <v>37</v>
      </c>
      <c r="DN241" s="19" t="s">
        <v>37</v>
      </c>
      <c r="DO241" s="12" t="s">
        <v>37</v>
      </c>
      <c r="DP241" s="13" t="s">
        <v>37</v>
      </c>
      <c r="DR241" s="19" t="s">
        <v>37</v>
      </c>
      <c r="DS241" s="12" t="s">
        <v>37</v>
      </c>
      <c r="DT241" s="13" t="s">
        <v>37</v>
      </c>
      <c r="EA241" s="19" t="s">
        <v>37</v>
      </c>
      <c r="EB241" s="19" t="s">
        <v>37</v>
      </c>
      <c r="EC241" s="72" t="s">
        <v>37</v>
      </c>
      <c r="EE241" s="19" t="s">
        <v>37</v>
      </c>
      <c r="EF241" s="19" t="s">
        <v>37</v>
      </c>
      <c r="EG241" s="12" t="s">
        <v>37</v>
      </c>
      <c r="EM241" s="12" t="s">
        <v>39</v>
      </c>
      <c r="EN241" s="12">
        <v>-20</v>
      </c>
      <c r="EO241" s="50">
        <f t="shared" si="1108"/>
        <v>8.1499279750258662</v>
      </c>
      <c r="EP241" s="13">
        <v>3</v>
      </c>
      <c r="ER241" s="12">
        <v>-36</v>
      </c>
      <c r="ES241" s="50">
        <f t="shared" si="1116"/>
        <v>8.1653059263309906</v>
      </c>
      <c r="ET241" s="13">
        <v>3</v>
      </c>
      <c r="EV241" s="19">
        <f t="shared" si="1117"/>
        <v>-16</v>
      </c>
      <c r="EW241" s="12">
        <f t="shared" si="1118"/>
        <v>8.1576205743061259</v>
      </c>
      <c r="EX241" s="19">
        <f t="shared" si="1119"/>
        <v>44.36451562289507</v>
      </c>
      <c r="EY241" s="19">
        <f t="shared" si="1120"/>
        <v>44.36451562289507</v>
      </c>
      <c r="FB241" s="12" t="s">
        <v>37</v>
      </c>
      <c r="FC241" s="12" t="s">
        <v>37</v>
      </c>
      <c r="FD241" s="12" t="s">
        <v>37</v>
      </c>
      <c r="FE241" s="12" t="s">
        <v>37</v>
      </c>
      <c r="FF241" s="20" t="s">
        <v>37</v>
      </c>
      <c r="FG241" s="12" t="s">
        <v>37</v>
      </c>
      <c r="FI241" s="12" t="s">
        <v>37</v>
      </c>
      <c r="FJ241" s="12" t="s">
        <v>37</v>
      </c>
      <c r="FK241" s="12" t="s">
        <v>37</v>
      </c>
      <c r="FL241" s="12" t="s">
        <v>37</v>
      </c>
      <c r="FM241" s="12" t="s">
        <v>37</v>
      </c>
      <c r="FN241" s="12" t="s">
        <v>37</v>
      </c>
      <c r="FP241" s="12" t="s">
        <v>37</v>
      </c>
      <c r="FQ241" s="12" t="s">
        <v>37</v>
      </c>
      <c r="FR241" s="12" t="s">
        <v>37</v>
      </c>
      <c r="FS241" s="12" t="s">
        <v>37</v>
      </c>
      <c r="FT241" s="12" t="s">
        <v>37</v>
      </c>
      <c r="FU241" s="12" t="s">
        <v>37</v>
      </c>
      <c r="FW241" s="12" t="s">
        <v>37</v>
      </c>
      <c r="FX241" s="12" t="s">
        <v>37</v>
      </c>
      <c r="FY241" s="12" t="s">
        <v>37</v>
      </c>
      <c r="FZ241" s="12" t="s">
        <v>37</v>
      </c>
      <c r="GA241" s="12" t="s">
        <v>37</v>
      </c>
      <c r="GB241" s="12" t="s">
        <v>37</v>
      </c>
      <c r="HA241" s="17" t="s">
        <v>63</v>
      </c>
      <c r="HB241" s="34" t="s">
        <v>372</v>
      </c>
      <c r="HC241" s="12">
        <v>6.4000000000000001E-2</v>
      </c>
      <c r="HD241" s="50">
        <f t="shared" si="1127"/>
        <v>1.1034351561375421E-2</v>
      </c>
      <c r="HE241" s="13">
        <v>3</v>
      </c>
      <c r="HG241" s="12">
        <v>0.1</v>
      </c>
      <c r="HH241" s="50">
        <f t="shared" si="1128"/>
        <v>1.1185451996710508E-2</v>
      </c>
      <c r="HI241" s="13">
        <v>3</v>
      </c>
      <c r="HK241" s="19">
        <f t="shared" si="1129"/>
        <v>0.44628710262841953</v>
      </c>
      <c r="HL241" s="19">
        <f t="shared" si="1130"/>
        <v>1.4079080937294359E-2</v>
      </c>
      <c r="IK241" s="12" t="s">
        <v>37</v>
      </c>
      <c r="IL241" s="12" t="s">
        <v>37</v>
      </c>
      <c r="IM241" s="12" t="s">
        <v>37</v>
      </c>
      <c r="IO241" s="12" t="s">
        <v>37</v>
      </c>
      <c r="IP241" s="12" t="s">
        <v>37</v>
      </c>
      <c r="IQ241" s="12" t="s">
        <v>37</v>
      </c>
      <c r="IV241" s="32" t="s">
        <v>345</v>
      </c>
      <c r="IW241" s="12">
        <v>4.4000000000000004</v>
      </c>
      <c r="IX241" s="50">
        <f t="shared" si="1131"/>
        <v>0.1610960675633018</v>
      </c>
      <c r="IY241" s="13">
        <v>3</v>
      </c>
      <c r="JA241" s="12">
        <v>4</v>
      </c>
      <c r="JB241" s="50">
        <f t="shared" si="1132"/>
        <v>0.11203523514281104</v>
      </c>
      <c r="JC241" s="13">
        <v>3</v>
      </c>
      <c r="JE241" s="19">
        <f t="shared" si="1133"/>
        <v>-9.5310179804324893E-2</v>
      </c>
      <c r="JF241" s="19">
        <f t="shared" si="1134"/>
        <v>7.0832876411330739E-4</v>
      </c>
      <c r="JH241" s="12" t="s">
        <v>37</v>
      </c>
      <c r="JI241" s="12" t="s">
        <v>37</v>
      </c>
      <c r="JJ241" s="13" t="s">
        <v>37</v>
      </c>
      <c r="JL241" s="12" t="s">
        <v>37</v>
      </c>
      <c r="JM241" s="12" t="s">
        <v>37</v>
      </c>
      <c r="JN241" s="12" t="s">
        <v>37</v>
      </c>
      <c r="JS241" s="12" t="s">
        <v>37</v>
      </c>
      <c r="JT241" s="12" t="s">
        <v>37</v>
      </c>
      <c r="JU241" s="13" t="s">
        <v>37</v>
      </c>
      <c r="JW241" s="12" t="s">
        <v>37</v>
      </c>
      <c r="JX241" s="12" t="s">
        <v>37</v>
      </c>
      <c r="JY241" s="12" t="s">
        <v>37</v>
      </c>
      <c r="KE241" s="12" t="s">
        <v>37</v>
      </c>
      <c r="KF241" s="12" t="s">
        <v>37</v>
      </c>
      <c r="KG241" s="13" t="s">
        <v>37</v>
      </c>
      <c r="KH241" s="12" t="s">
        <v>37</v>
      </c>
      <c r="KI241" s="12" t="s">
        <v>37</v>
      </c>
      <c r="KJ241" s="12" t="s">
        <v>37</v>
      </c>
      <c r="KK241" s="12" t="s">
        <v>42</v>
      </c>
      <c r="KL241" s="32" t="s">
        <v>372</v>
      </c>
      <c r="KM241" s="12">
        <v>14</v>
      </c>
      <c r="KN241" s="50">
        <f t="shared" si="1135"/>
        <v>1.6701025793880326</v>
      </c>
      <c r="KO241" s="11">
        <v>3</v>
      </c>
      <c r="KQ241" s="12">
        <v>23</v>
      </c>
      <c r="KR241" s="50">
        <f t="shared" si="1136"/>
        <v>2.4251988938786453</v>
      </c>
      <c r="KS241" s="11">
        <v>3</v>
      </c>
      <c r="KU241" s="19">
        <f t="shared" si="1137"/>
        <v>0.49643688631389105</v>
      </c>
      <c r="KV241" s="19">
        <f t="shared" si="1138"/>
        <v>8.4497155628593234E-3</v>
      </c>
      <c r="KX241" s="12" t="s">
        <v>37</v>
      </c>
      <c r="KY241" s="12" t="s">
        <v>37</v>
      </c>
      <c r="KZ241" s="12" t="s">
        <v>37</v>
      </c>
      <c r="LB241" s="12" t="s">
        <v>37</v>
      </c>
      <c r="LC241" s="12" t="s">
        <v>37</v>
      </c>
      <c r="LD241" s="12" t="s">
        <v>37</v>
      </c>
      <c r="LI241" s="12" t="s">
        <v>37</v>
      </c>
      <c r="LJ241" s="12" t="s">
        <v>37</v>
      </c>
      <c r="LK241" s="12" t="s">
        <v>37</v>
      </c>
      <c r="LM241" s="12" t="s">
        <v>37</v>
      </c>
      <c r="LN241" s="12" t="s">
        <v>37</v>
      </c>
      <c r="LO241" s="12" t="s">
        <v>37</v>
      </c>
      <c r="LU241" s="12" t="s">
        <v>37</v>
      </c>
      <c r="LV241" s="12" t="s">
        <v>37</v>
      </c>
      <c r="LW241" s="12" t="s">
        <v>37</v>
      </c>
      <c r="LY241" s="12" t="s">
        <v>37</v>
      </c>
      <c r="LZ241" s="12" t="s">
        <v>37</v>
      </c>
      <c r="MA241" s="12" t="s">
        <v>37</v>
      </c>
      <c r="MF241" s="12" t="s">
        <v>37</v>
      </c>
      <c r="MG241" s="12" t="s">
        <v>37</v>
      </c>
      <c r="MH241" s="12" t="s">
        <v>37</v>
      </c>
      <c r="MJ241" s="12" t="s">
        <v>37</v>
      </c>
      <c r="MK241" s="12" t="s">
        <v>37</v>
      </c>
      <c r="ML241" s="12" t="s">
        <v>37</v>
      </c>
      <c r="MQ241" s="12" t="s">
        <v>37</v>
      </c>
      <c r="MR241" s="12" t="s">
        <v>37</v>
      </c>
      <c r="MS241" s="12" t="s">
        <v>37</v>
      </c>
      <c r="MU241" s="12" t="s">
        <v>37</v>
      </c>
      <c r="MV241" s="12" t="s">
        <v>37</v>
      </c>
      <c r="MW241" s="12" t="s">
        <v>37</v>
      </c>
      <c r="NC241" s="12" t="s">
        <v>37</v>
      </c>
      <c r="ND241" s="12" t="s">
        <v>37</v>
      </c>
      <c r="NE241" s="12" t="s">
        <v>37</v>
      </c>
      <c r="NG241" s="12" t="s">
        <v>37</v>
      </c>
      <c r="NH241" s="12" t="s">
        <v>37</v>
      </c>
      <c r="NI241" s="12" t="s">
        <v>37</v>
      </c>
      <c r="NO241" s="12" t="s">
        <v>37</v>
      </c>
      <c r="NP241" s="12" t="s">
        <v>37</v>
      </c>
      <c r="NQ241" s="12" t="s">
        <v>37</v>
      </c>
      <c r="NS241" s="12" t="s">
        <v>37</v>
      </c>
      <c r="NT241" s="12" t="s">
        <v>37</v>
      </c>
      <c r="NU241" s="12" t="s">
        <v>37</v>
      </c>
      <c r="OA241" s="12" t="s">
        <v>37</v>
      </c>
      <c r="OB241" s="12" t="s">
        <v>37</v>
      </c>
      <c r="OC241" s="12" t="s">
        <v>37</v>
      </c>
      <c r="OD241" s="12"/>
      <c r="OE241" s="12" t="s">
        <v>37</v>
      </c>
      <c r="OF241" s="12" t="s">
        <v>37</v>
      </c>
      <c r="OG241" s="12" t="s">
        <v>37</v>
      </c>
      <c r="OH241" s="12"/>
      <c r="OI241" s="12"/>
      <c r="OJ241" s="12"/>
      <c r="OM241" s="12" t="s">
        <v>37</v>
      </c>
      <c r="ON241" s="12" t="s">
        <v>37</v>
      </c>
      <c r="OO241" s="12" t="s">
        <v>37</v>
      </c>
      <c r="OP241" s="12" t="s">
        <v>37</v>
      </c>
      <c r="OQ241" s="12" t="s">
        <v>37</v>
      </c>
      <c r="OR241" s="12" t="s">
        <v>37</v>
      </c>
      <c r="OS241" s="12"/>
      <c r="OT241" s="12"/>
      <c r="OW241" s="12" t="s">
        <v>37</v>
      </c>
      <c r="OX241" s="12" t="s">
        <v>37</v>
      </c>
      <c r="OY241" s="13" t="s">
        <v>37</v>
      </c>
      <c r="OZ241" s="12" t="s">
        <v>37</v>
      </c>
      <c r="PA241" s="12" t="s">
        <v>37</v>
      </c>
      <c r="PB241" s="13" t="s">
        <v>37</v>
      </c>
      <c r="PG241" s="12" t="s">
        <v>37</v>
      </c>
      <c r="PH241" s="12" t="s">
        <v>37</v>
      </c>
      <c r="PI241" s="12" t="s">
        <v>37</v>
      </c>
      <c r="PJ241" s="12" t="s">
        <v>37</v>
      </c>
      <c r="PK241" s="12" t="s">
        <v>37</v>
      </c>
      <c r="PL241" s="12" t="s">
        <v>37</v>
      </c>
      <c r="PM241" s="12"/>
      <c r="PN241" s="12"/>
      <c r="PQ241" s="12" t="s">
        <v>37</v>
      </c>
      <c r="PR241" s="12" t="s">
        <v>37</v>
      </c>
      <c r="PS241" s="12" t="s">
        <v>37</v>
      </c>
      <c r="PT241" s="12" t="s">
        <v>37</v>
      </c>
      <c r="PU241" s="12" t="s">
        <v>37</v>
      </c>
      <c r="PV241" s="12" t="s">
        <v>37</v>
      </c>
      <c r="PW241" s="12"/>
      <c r="PX241" s="12"/>
      <c r="PZ241" s="12" t="s">
        <v>37</v>
      </c>
      <c r="QA241" s="12" t="s">
        <v>37</v>
      </c>
      <c r="QB241" s="12" t="s">
        <v>37</v>
      </c>
      <c r="QD241" s="12" t="s">
        <v>37</v>
      </c>
      <c r="QE241" s="12" t="s">
        <v>37</v>
      </c>
      <c r="QF241" s="12" t="s">
        <v>37</v>
      </c>
      <c r="QK241" s="12" t="s">
        <v>37</v>
      </c>
      <c r="QL241" s="12" t="s">
        <v>37</v>
      </c>
      <c r="QM241" s="12" t="s">
        <v>37</v>
      </c>
      <c r="QN241" s="12" t="s">
        <v>37</v>
      </c>
      <c r="QO241" s="12" t="s">
        <v>37</v>
      </c>
      <c r="QP241" s="12" t="s">
        <v>37</v>
      </c>
      <c r="QQ241" s="12"/>
      <c r="QR241" s="12"/>
      <c r="QU241" s="12" t="s">
        <v>37</v>
      </c>
      <c r="QV241" s="12" t="s">
        <v>37</v>
      </c>
      <c r="QW241" s="12" t="s">
        <v>37</v>
      </c>
      <c r="QX241" s="12" t="s">
        <v>37</v>
      </c>
      <c r="QY241" s="12" t="s">
        <v>37</v>
      </c>
      <c r="QZ241" s="12" t="s">
        <v>37</v>
      </c>
      <c r="RC241" s="12" t="s">
        <v>37</v>
      </c>
      <c r="RD241" s="12" t="s">
        <v>37</v>
      </c>
      <c r="RE241" s="13" t="s">
        <v>37</v>
      </c>
      <c r="RF241" s="12" t="s">
        <v>37</v>
      </c>
      <c r="RG241" s="12" t="s">
        <v>37</v>
      </c>
      <c r="RH241" s="13" t="s">
        <v>37</v>
      </c>
      <c r="RK241" s="12" t="s">
        <v>37</v>
      </c>
      <c r="RL241" s="12" t="s">
        <v>37</v>
      </c>
      <c r="RM241" s="11" t="s">
        <v>37</v>
      </c>
      <c r="RN241" s="12" t="s">
        <v>37</v>
      </c>
      <c r="RO241" s="12" t="s">
        <v>37</v>
      </c>
      <c r="RP241" s="11" t="s">
        <v>37</v>
      </c>
      <c r="RS241" s="12" t="s">
        <v>37</v>
      </c>
      <c r="RT241" s="12" t="s">
        <v>37</v>
      </c>
      <c r="RU241" s="12" t="s">
        <v>37</v>
      </c>
      <c r="RV241" s="12" t="s">
        <v>37</v>
      </c>
      <c r="RW241" s="12" t="s">
        <v>37</v>
      </c>
      <c r="RX241" s="12" t="s">
        <v>37</v>
      </c>
      <c r="SA241" s="12" t="s">
        <v>37</v>
      </c>
      <c r="SB241" s="12" t="s">
        <v>37</v>
      </c>
      <c r="SC241" s="12" t="s">
        <v>37</v>
      </c>
      <c r="SD241" s="12" t="s">
        <v>37</v>
      </c>
      <c r="SE241" s="12" t="s">
        <v>37</v>
      </c>
      <c r="SF241" s="12" t="s">
        <v>37</v>
      </c>
      <c r="SI241" s="12" t="s">
        <v>37</v>
      </c>
      <c r="SJ241" s="12" t="s">
        <v>37</v>
      </c>
      <c r="SK241" s="13" t="s">
        <v>37</v>
      </c>
      <c r="SM241" s="12" t="s">
        <v>37</v>
      </c>
      <c r="SN241" s="12" t="s">
        <v>37</v>
      </c>
      <c r="SO241" s="13" t="s">
        <v>37</v>
      </c>
      <c r="SU241" s="12" t="s">
        <v>37</v>
      </c>
      <c r="SV241" s="12" t="s">
        <v>37</v>
      </c>
      <c r="SW241" s="12" t="s">
        <v>37</v>
      </c>
      <c r="SX241" s="12" t="s">
        <v>37</v>
      </c>
      <c r="SY241" s="12" t="s">
        <v>37</v>
      </c>
      <c r="SZ241" s="12" t="s">
        <v>37</v>
      </c>
      <c r="TA241" s="12"/>
      <c r="TB241" s="12"/>
      <c r="TE241" s="12" t="s">
        <v>37</v>
      </c>
      <c r="TF241" s="12" t="s">
        <v>37</v>
      </c>
      <c r="TG241" s="12" t="s">
        <v>37</v>
      </c>
      <c r="TH241" s="12" t="s">
        <v>37</v>
      </c>
      <c r="TI241" s="12" t="s">
        <v>37</v>
      </c>
      <c r="TJ241" s="12" t="s">
        <v>37</v>
      </c>
      <c r="TK241" s="12"/>
      <c r="TL241" s="12"/>
      <c r="TO241" s="12" t="s">
        <v>37</v>
      </c>
      <c r="TP241" s="12" t="s">
        <v>37</v>
      </c>
      <c r="TQ241" s="12" t="s">
        <v>37</v>
      </c>
      <c r="TR241" s="12" t="s">
        <v>37</v>
      </c>
      <c r="TS241" s="12" t="s">
        <v>37</v>
      </c>
      <c r="TT241" s="12" t="s">
        <v>37</v>
      </c>
      <c r="TU241" s="12"/>
      <c r="TV241" s="12"/>
      <c r="TY241" s="12" t="s">
        <v>37</v>
      </c>
      <c r="TZ241" s="12" t="s">
        <v>37</v>
      </c>
      <c r="UA241" s="12" t="s">
        <v>37</v>
      </c>
      <c r="UB241" s="12" t="s">
        <v>37</v>
      </c>
      <c r="UC241" s="12" t="s">
        <v>37</v>
      </c>
      <c r="UD241" s="12" t="s">
        <v>37</v>
      </c>
      <c r="UE241" s="12"/>
      <c r="UF241" s="12"/>
      <c r="UI241" s="12" t="s">
        <v>37</v>
      </c>
      <c r="UJ241" s="12" t="s">
        <v>37</v>
      </c>
      <c r="UK241" s="12" t="s">
        <v>37</v>
      </c>
      <c r="UL241" s="12" t="s">
        <v>37</v>
      </c>
      <c r="UM241" s="12" t="s">
        <v>37</v>
      </c>
      <c r="UN241" s="12" t="s">
        <v>37</v>
      </c>
      <c r="UO241" s="12"/>
      <c r="UP241" s="12"/>
      <c r="UR241" s="12" t="s">
        <v>37</v>
      </c>
      <c r="US241" s="12" t="s">
        <v>37</v>
      </c>
      <c r="UT241" s="12" t="s">
        <v>37</v>
      </c>
      <c r="UU241" s="12" t="s">
        <v>37</v>
      </c>
      <c r="UV241" s="12" t="s">
        <v>37</v>
      </c>
      <c r="UW241" s="12" t="s">
        <v>37</v>
      </c>
      <c r="UX241" s="12"/>
      <c r="UY241" s="12"/>
      <c r="VB241" s="12" t="s">
        <v>37</v>
      </c>
      <c r="VC241" s="12" t="s">
        <v>37</v>
      </c>
      <c r="VD241" s="12" t="s">
        <v>37</v>
      </c>
      <c r="VE241" s="12" t="s">
        <v>37</v>
      </c>
      <c r="VF241" s="12" t="s">
        <v>37</v>
      </c>
      <c r="VG241" s="12" t="s">
        <v>37</v>
      </c>
      <c r="VI241" s="12" t="s">
        <v>37</v>
      </c>
      <c r="VJ241" s="12" t="s">
        <v>37</v>
      </c>
      <c r="VK241" s="12" t="s">
        <v>37</v>
      </c>
      <c r="VL241" s="12" t="s">
        <v>37</v>
      </c>
      <c r="VM241" s="12" t="s">
        <v>37</v>
      </c>
      <c r="VN241" s="12" t="s">
        <v>37</v>
      </c>
      <c r="VQ241" s="12" t="s">
        <v>37</v>
      </c>
      <c r="VR241" s="12" t="s">
        <v>37</v>
      </c>
      <c r="VS241" s="12" t="s">
        <v>37</v>
      </c>
      <c r="VT241" s="12" t="s">
        <v>37</v>
      </c>
      <c r="VU241" s="12" t="s">
        <v>37</v>
      </c>
      <c r="VV241" s="12" t="s">
        <v>37</v>
      </c>
      <c r="VW241" s="12"/>
      <c r="VX241" s="12"/>
      <c r="WA241" s="12" t="s">
        <v>37</v>
      </c>
      <c r="WB241" s="12" t="s">
        <v>37</v>
      </c>
      <c r="WC241" s="12" t="s">
        <v>37</v>
      </c>
      <c r="WD241" s="12" t="s">
        <v>37</v>
      </c>
      <c r="WE241" s="12" t="s">
        <v>37</v>
      </c>
      <c r="WF241" s="12" t="s">
        <v>37</v>
      </c>
    </row>
    <row r="242" spans="1:604" ht="18" customHeight="1" x14ac:dyDescent="0.3">
      <c r="A242" s="11">
        <v>64</v>
      </c>
      <c r="B242" s="16" t="s">
        <v>375</v>
      </c>
      <c r="C242" s="12" t="s">
        <v>26</v>
      </c>
      <c r="D242" s="12" t="s">
        <v>54</v>
      </c>
      <c r="E242" s="40">
        <v>1.9</v>
      </c>
      <c r="F242" s="14">
        <v>0</v>
      </c>
      <c r="G242" s="14">
        <v>0</v>
      </c>
      <c r="H242" s="12" t="s">
        <v>123</v>
      </c>
      <c r="I242" s="29">
        <v>61.783000000000001</v>
      </c>
      <c r="J242" s="29">
        <v>24.3</v>
      </c>
      <c r="K242" s="12" t="s">
        <v>775</v>
      </c>
      <c r="L242" s="12" t="s">
        <v>709</v>
      </c>
      <c r="M242" s="13" t="s">
        <v>37</v>
      </c>
      <c r="N242" s="12" t="s">
        <v>37</v>
      </c>
      <c r="O242" s="12" t="s">
        <v>37</v>
      </c>
      <c r="P242" s="14" t="s">
        <v>84</v>
      </c>
      <c r="Q242" s="75">
        <v>30</v>
      </c>
      <c r="R242" s="11" t="s">
        <v>1000</v>
      </c>
      <c r="S242" s="12" t="s">
        <v>85</v>
      </c>
      <c r="T242" s="12" t="s">
        <v>138</v>
      </c>
      <c r="U242" s="12" t="s">
        <v>158</v>
      </c>
      <c r="V242" s="12" t="s">
        <v>275</v>
      </c>
      <c r="W242" s="23" t="s">
        <v>376</v>
      </c>
      <c r="X242" s="12" t="s">
        <v>280</v>
      </c>
      <c r="Y242" s="12" t="s">
        <v>37</v>
      </c>
      <c r="Z242" s="12" t="s">
        <v>37</v>
      </c>
      <c r="AA242" s="32" t="s">
        <v>345</v>
      </c>
      <c r="AB242" s="12">
        <v>4.4000000000000004</v>
      </c>
      <c r="AE242" s="12" t="s">
        <v>37</v>
      </c>
      <c r="AF242" s="12" t="s">
        <v>42</v>
      </c>
      <c r="AG242" s="32" t="s">
        <v>372</v>
      </c>
      <c r="AH242" s="12">
        <v>14</v>
      </c>
      <c r="AK242" s="12" t="s">
        <v>37</v>
      </c>
      <c r="AL242" s="32" t="s">
        <v>37</v>
      </c>
      <c r="AM242" s="12" t="s">
        <v>344</v>
      </c>
      <c r="AO242" s="12" t="s">
        <v>37</v>
      </c>
      <c r="AP242" s="12" t="s">
        <v>37</v>
      </c>
      <c r="AQ242" s="12" t="s">
        <v>975</v>
      </c>
      <c r="AT242" s="12" t="s">
        <v>326</v>
      </c>
      <c r="AU242" s="12" t="s">
        <v>326</v>
      </c>
      <c r="AV242" s="13" t="s">
        <v>326</v>
      </c>
      <c r="AX242" s="12" t="s">
        <v>326</v>
      </c>
      <c r="AY242" s="12" t="s">
        <v>326</v>
      </c>
      <c r="AZ242" s="13" t="s">
        <v>326</v>
      </c>
      <c r="BE242" s="12" t="s">
        <v>326</v>
      </c>
      <c r="BF242" s="12" t="s">
        <v>326</v>
      </c>
      <c r="BG242" s="12" t="s">
        <v>326</v>
      </c>
      <c r="BI242" s="12" t="s">
        <v>326</v>
      </c>
      <c r="BJ242" s="12" t="s">
        <v>326</v>
      </c>
      <c r="BK242" s="12" t="s">
        <v>326</v>
      </c>
      <c r="BP242" s="12" t="s">
        <v>37</v>
      </c>
      <c r="BQ242" s="12" t="s">
        <v>37</v>
      </c>
      <c r="BR242" s="13" t="s">
        <v>37</v>
      </c>
      <c r="BT242" s="12" t="s">
        <v>37</v>
      </c>
      <c r="BU242" s="12" t="s">
        <v>37</v>
      </c>
      <c r="BV242" s="12" t="s">
        <v>37</v>
      </c>
      <c r="CA242" s="12" t="s">
        <v>37</v>
      </c>
      <c r="CB242" s="12" t="s">
        <v>37</v>
      </c>
      <c r="CC242" s="13" t="s">
        <v>37</v>
      </c>
      <c r="CE242" s="12" t="s">
        <v>37</v>
      </c>
      <c r="CF242" s="12" t="s">
        <v>37</v>
      </c>
      <c r="CG242" s="12" t="s">
        <v>37</v>
      </c>
      <c r="CI242" s="52"/>
      <c r="CJ242" s="52"/>
      <c r="CK242" s="73"/>
      <c r="CL242" s="73"/>
      <c r="CN242" s="12" t="s">
        <v>37</v>
      </c>
      <c r="CO242" s="12" t="s">
        <v>37</v>
      </c>
      <c r="CP242" s="13" t="s">
        <v>37</v>
      </c>
      <c r="CR242" s="12" t="s">
        <v>37</v>
      </c>
      <c r="CS242" s="12" t="s">
        <v>37</v>
      </c>
      <c r="CT242" s="13" t="s">
        <v>37</v>
      </c>
      <c r="CV242" s="52"/>
      <c r="CW242" s="52"/>
      <c r="CX242" s="73"/>
      <c r="CY242" s="73"/>
      <c r="DA242" s="12" t="s">
        <v>37</v>
      </c>
      <c r="DB242" s="12" t="s">
        <v>37</v>
      </c>
      <c r="DC242" s="13" t="s">
        <v>37</v>
      </c>
      <c r="DE242" s="12" t="s">
        <v>37</v>
      </c>
      <c r="DF242" s="12" t="s">
        <v>37</v>
      </c>
      <c r="DG242" s="12" t="s">
        <v>37</v>
      </c>
      <c r="DN242" s="19" t="s">
        <v>37</v>
      </c>
      <c r="DO242" s="12" t="s">
        <v>37</v>
      </c>
      <c r="DP242" s="13" t="s">
        <v>37</v>
      </c>
      <c r="DR242" s="19" t="s">
        <v>37</v>
      </c>
      <c r="DS242" s="12" t="s">
        <v>37</v>
      </c>
      <c r="DT242" s="13" t="s">
        <v>37</v>
      </c>
      <c r="EA242" s="19" t="s">
        <v>37</v>
      </c>
      <c r="EB242" s="19" t="s">
        <v>37</v>
      </c>
      <c r="EC242" s="72" t="s">
        <v>37</v>
      </c>
      <c r="EE242" s="19" t="s">
        <v>37</v>
      </c>
      <c r="EF242" s="19" t="s">
        <v>37</v>
      </c>
      <c r="EG242" s="12" t="s">
        <v>37</v>
      </c>
      <c r="EM242" s="12" t="s">
        <v>39</v>
      </c>
      <c r="EN242" s="12">
        <v>-20</v>
      </c>
      <c r="EO242" s="50">
        <f t="shared" si="1108"/>
        <v>8.1499279750258662</v>
      </c>
      <c r="EP242" s="13">
        <v>3</v>
      </c>
      <c r="ER242" s="12">
        <v>-36</v>
      </c>
      <c r="ES242" s="50">
        <f t="shared" si="1116"/>
        <v>8.1653059263309906</v>
      </c>
      <c r="ET242" s="13">
        <v>3</v>
      </c>
      <c r="EV242" s="19">
        <f t="shared" si="1117"/>
        <v>-16</v>
      </c>
      <c r="EW242" s="12">
        <f t="shared" si="1118"/>
        <v>8.1576205743061259</v>
      </c>
      <c r="EX242" s="19">
        <f t="shared" si="1119"/>
        <v>44.36451562289507</v>
      </c>
      <c r="EY242" s="19">
        <f t="shared" si="1120"/>
        <v>44.36451562289507</v>
      </c>
      <c r="FB242" s="12" t="s">
        <v>37</v>
      </c>
      <c r="FC242" s="12" t="s">
        <v>37</v>
      </c>
      <c r="FD242" s="12" t="s">
        <v>37</v>
      </c>
      <c r="FE242" s="12" t="s">
        <v>37</v>
      </c>
      <c r="FF242" s="20" t="s">
        <v>37</v>
      </c>
      <c r="FG242" s="12" t="s">
        <v>37</v>
      </c>
      <c r="FI242" s="12" t="s">
        <v>37</v>
      </c>
      <c r="FJ242" s="12" t="s">
        <v>37</v>
      </c>
      <c r="FK242" s="12" t="s">
        <v>37</v>
      </c>
      <c r="FL242" s="12" t="s">
        <v>37</v>
      </c>
      <c r="FM242" s="12" t="s">
        <v>37</v>
      </c>
      <c r="FN242" s="12" t="s">
        <v>37</v>
      </c>
      <c r="FP242" s="12" t="s">
        <v>37</v>
      </c>
      <c r="FQ242" s="12" t="s">
        <v>37</v>
      </c>
      <c r="FR242" s="12" t="s">
        <v>37</v>
      </c>
      <c r="FS242" s="12" t="s">
        <v>37</v>
      </c>
      <c r="FT242" s="12" t="s">
        <v>37</v>
      </c>
      <c r="FU242" s="12" t="s">
        <v>37</v>
      </c>
      <c r="FW242" s="12" t="s">
        <v>37</v>
      </c>
      <c r="FX242" s="12" t="s">
        <v>37</v>
      </c>
      <c r="FY242" s="12" t="s">
        <v>37</v>
      </c>
      <c r="FZ242" s="12" t="s">
        <v>37</v>
      </c>
      <c r="GA242" s="12" t="s">
        <v>37</v>
      </c>
      <c r="GB242" s="12" t="s">
        <v>37</v>
      </c>
      <c r="HA242" s="17" t="s">
        <v>63</v>
      </c>
      <c r="HB242" s="34" t="s">
        <v>372</v>
      </c>
      <c r="HC242" s="12">
        <v>6.4000000000000001E-2</v>
      </c>
      <c r="HD242" s="50">
        <f t="shared" si="1127"/>
        <v>1.1034351561375421E-2</v>
      </c>
      <c r="HE242" s="13">
        <v>3</v>
      </c>
      <c r="HG242" s="12">
        <v>0.1</v>
      </c>
      <c r="HH242" s="50">
        <f t="shared" si="1128"/>
        <v>1.1185451996710508E-2</v>
      </c>
      <c r="HI242" s="13">
        <v>3</v>
      </c>
      <c r="HK242" s="19">
        <f t="shared" si="1129"/>
        <v>0.44628710262841953</v>
      </c>
      <c r="HL242" s="19">
        <f t="shared" si="1130"/>
        <v>1.4079080937294359E-2</v>
      </c>
      <c r="IK242" s="12" t="s">
        <v>37</v>
      </c>
      <c r="IL242" s="12" t="s">
        <v>37</v>
      </c>
      <c r="IM242" s="12" t="s">
        <v>37</v>
      </c>
      <c r="IO242" s="12" t="s">
        <v>37</v>
      </c>
      <c r="IP242" s="12" t="s">
        <v>37</v>
      </c>
      <c r="IQ242" s="12" t="s">
        <v>37</v>
      </c>
      <c r="IV242" s="32" t="s">
        <v>345</v>
      </c>
      <c r="IW242" s="12">
        <v>4.4000000000000004</v>
      </c>
      <c r="IX242" s="50">
        <f t="shared" si="1131"/>
        <v>0.1610960675633018</v>
      </c>
      <c r="IY242" s="13">
        <v>3</v>
      </c>
      <c r="JA242" s="12">
        <v>4</v>
      </c>
      <c r="JB242" s="50">
        <f t="shared" si="1132"/>
        <v>0.11203523514281104</v>
      </c>
      <c r="JC242" s="13">
        <v>3</v>
      </c>
      <c r="JE242" s="19">
        <f t="shared" si="1133"/>
        <v>-9.5310179804324893E-2</v>
      </c>
      <c r="JF242" s="19">
        <f t="shared" si="1134"/>
        <v>7.0832876411330739E-4</v>
      </c>
      <c r="JH242" s="12" t="s">
        <v>37</v>
      </c>
      <c r="JI242" s="12" t="s">
        <v>37</v>
      </c>
      <c r="JJ242" s="13" t="s">
        <v>37</v>
      </c>
      <c r="JL242" s="12" t="s">
        <v>37</v>
      </c>
      <c r="JM242" s="12" t="s">
        <v>37</v>
      </c>
      <c r="JN242" s="12" t="s">
        <v>37</v>
      </c>
      <c r="JS242" s="12" t="s">
        <v>37</v>
      </c>
      <c r="JT242" s="12" t="s">
        <v>37</v>
      </c>
      <c r="JU242" s="13" t="s">
        <v>37</v>
      </c>
      <c r="JW242" s="12" t="s">
        <v>37</v>
      </c>
      <c r="JX242" s="12" t="s">
        <v>37</v>
      </c>
      <c r="JY242" s="12" t="s">
        <v>37</v>
      </c>
      <c r="KE242" s="12" t="s">
        <v>37</v>
      </c>
      <c r="KF242" s="12" t="s">
        <v>37</v>
      </c>
      <c r="KG242" s="13" t="s">
        <v>37</v>
      </c>
      <c r="KH242" s="12" t="s">
        <v>37</v>
      </c>
      <c r="KI242" s="12" t="s">
        <v>37</v>
      </c>
      <c r="KJ242" s="12" t="s">
        <v>37</v>
      </c>
      <c r="KK242" s="12" t="s">
        <v>42</v>
      </c>
      <c r="KL242" s="32" t="s">
        <v>372</v>
      </c>
      <c r="KM242" s="12">
        <v>14</v>
      </c>
      <c r="KN242" s="50">
        <f t="shared" si="1135"/>
        <v>1.6701025793880326</v>
      </c>
      <c r="KO242" s="11">
        <v>3</v>
      </c>
      <c r="KQ242" s="12">
        <v>23</v>
      </c>
      <c r="KR242" s="50">
        <f t="shared" si="1136"/>
        <v>2.4251988938786453</v>
      </c>
      <c r="KS242" s="11">
        <v>3</v>
      </c>
      <c r="KU242" s="19">
        <f t="shared" si="1137"/>
        <v>0.49643688631389105</v>
      </c>
      <c r="KV242" s="19">
        <f t="shared" si="1138"/>
        <v>8.4497155628593234E-3</v>
      </c>
      <c r="KX242" s="12" t="s">
        <v>37</v>
      </c>
      <c r="KY242" s="12" t="s">
        <v>37</v>
      </c>
      <c r="KZ242" s="12" t="s">
        <v>37</v>
      </c>
      <c r="LB242" s="12" t="s">
        <v>37</v>
      </c>
      <c r="LC242" s="12" t="s">
        <v>37</v>
      </c>
      <c r="LD242" s="12" t="s">
        <v>37</v>
      </c>
      <c r="LI242" s="12" t="s">
        <v>37</v>
      </c>
      <c r="LJ242" s="12" t="s">
        <v>37</v>
      </c>
      <c r="LK242" s="12" t="s">
        <v>37</v>
      </c>
      <c r="LM242" s="12" t="s">
        <v>37</v>
      </c>
      <c r="LN242" s="12" t="s">
        <v>37</v>
      </c>
      <c r="LO242" s="12" t="s">
        <v>37</v>
      </c>
      <c r="LU242" s="12" t="s">
        <v>37</v>
      </c>
      <c r="LV242" s="12" t="s">
        <v>37</v>
      </c>
      <c r="LW242" s="12" t="s">
        <v>37</v>
      </c>
      <c r="LY242" s="12" t="s">
        <v>37</v>
      </c>
      <c r="LZ242" s="12" t="s">
        <v>37</v>
      </c>
      <c r="MA242" s="12" t="s">
        <v>37</v>
      </c>
      <c r="MF242" s="12" t="s">
        <v>37</v>
      </c>
      <c r="MG242" s="12" t="s">
        <v>37</v>
      </c>
      <c r="MH242" s="12" t="s">
        <v>37</v>
      </c>
      <c r="MJ242" s="12" t="s">
        <v>37</v>
      </c>
      <c r="MK242" s="12" t="s">
        <v>37</v>
      </c>
      <c r="ML242" s="12" t="s">
        <v>37</v>
      </c>
      <c r="MQ242" s="12" t="s">
        <v>37</v>
      </c>
      <c r="MR242" s="12" t="s">
        <v>37</v>
      </c>
      <c r="MS242" s="12" t="s">
        <v>37</v>
      </c>
      <c r="MU242" s="12" t="s">
        <v>37</v>
      </c>
      <c r="MV242" s="12" t="s">
        <v>37</v>
      </c>
      <c r="MW242" s="12" t="s">
        <v>37</v>
      </c>
      <c r="NC242" s="12" t="s">
        <v>37</v>
      </c>
      <c r="ND242" s="12" t="s">
        <v>37</v>
      </c>
      <c r="NE242" s="12" t="s">
        <v>37</v>
      </c>
      <c r="NG242" s="12" t="s">
        <v>37</v>
      </c>
      <c r="NH242" s="12" t="s">
        <v>37</v>
      </c>
      <c r="NI242" s="12" t="s">
        <v>37</v>
      </c>
      <c r="NO242" s="12" t="s">
        <v>37</v>
      </c>
      <c r="NP242" s="12" t="s">
        <v>37</v>
      </c>
      <c r="NQ242" s="12" t="s">
        <v>37</v>
      </c>
      <c r="NS242" s="12" t="s">
        <v>37</v>
      </c>
      <c r="NT242" s="12" t="s">
        <v>37</v>
      </c>
      <c r="NU242" s="12" t="s">
        <v>37</v>
      </c>
      <c r="OA242" s="12" t="s">
        <v>37</v>
      </c>
      <c r="OB242" s="12" t="s">
        <v>37</v>
      </c>
      <c r="OC242" s="12" t="s">
        <v>37</v>
      </c>
      <c r="OD242" s="12"/>
      <c r="OE242" s="12" t="s">
        <v>37</v>
      </c>
      <c r="OF242" s="12" t="s">
        <v>37</v>
      </c>
      <c r="OG242" s="12" t="s">
        <v>37</v>
      </c>
      <c r="OH242" s="12"/>
      <c r="OI242" s="12"/>
      <c r="OJ242" s="12"/>
      <c r="OM242" s="12" t="s">
        <v>37</v>
      </c>
      <c r="ON242" s="12" t="s">
        <v>37</v>
      </c>
      <c r="OO242" s="12" t="s">
        <v>37</v>
      </c>
      <c r="OP242" s="12" t="s">
        <v>37</v>
      </c>
      <c r="OQ242" s="12" t="s">
        <v>37</v>
      </c>
      <c r="OR242" s="12" t="s">
        <v>37</v>
      </c>
      <c r="OS242" s="12"/>
      <c r="OT242" s="12"/>
      <c r="OW242" s="12" t="s">
        <v>37</v>
      </c>
      <c r="OX242" s="12" t="s">
        <v>37</v>
      </c>
      <c r="OY242" s="13" t="s">
        <v>37</v>
      </c>
      <c r="OZ242" s="12" t="s">
        <v>37</v>
      </c>
      <c r="PA242" s="12" t="s">
        <v>37</v>
      </c>
      <c r="PB242" s="13" t="s">
        <v>37</v>
      </c>
      <c r="PG242" s="12" t="s">
        <v>37</v>
      </c>
      <c r="PH242" s="12" t="s">
        <v>37</v>
      </c>
      <c r="PI242" s="12" t="s">
        <v>37</v>
      </c>
      <c r="PJ242" s="12" t="s">
        <v>37</v>
      </c>
      <c r="PK242" s="12" t="s">
        <v>37</v>
      </c>
      <c r="PL242" s="12" t="s">
        <v>37</v>
      </c>
      <c r="PM242" s="12"/>
      <c r="PN242" s="12"/>
      <c r="PQ242" s="12" t="s">
        <v>37</v>
      </c>
      <c r="PR242" s="12" t="s">
        <v>37</v>
      </c>
      <c r="PS242" s="12" t="s">
        <v>37</v>
      </c>
      <c r="PT242" s="12" t="s">
        <v>37</v>
      </c>
      <c r="PU242" s="12" t="s">
        <v>37</v>
      </c>
      <c r="PV242" s="12" t="s">
        <v>37</v>
      </c>
      <c r="PW242" s="12"/>
      <c r="PX242" s="12"/>
      <c r="PZ242" s="12" t="s">
        <v>37</v>
      </c>
      <c r="QA242" s="12" t="s">
        <v>37</v>
      </c>
      <c r="QB242" s="12" t="s">
        <v>37</v>
      </c>
      <c r="QD242" s="12" t="s">
        <v>37</v>
      </c>
      <c r="QE242" s="12" t="s">
        <v>37</v>
      </c>
      <c r="QF242" s="12" t="s">
        <v>37</v>
      </c>
      <c r="QK242" s="12" t="s">
        <v>37</v>
      </c>
      <c r="QL242" s="12" t="s">
        <v>37</v>
      </c>
      <c r="QM242" s="12" t="s">
        <v>37</v>
      </c>
      <c r="QN242" s="12" t="s">
        <v>37</v>
      </c>
      <c r="QO242" s="12" t="s">
        <v>37</v>
      </c>
      <c r="QP242" s="12" t="s">
        <v>37</v>
      </c>
      <c r="QQ242" s="12"/>
      <c r="QR242" s="12"/>
      <c r="QU242" s="12" t="s">
        <v>37</v>
      </c>
      <c r="QV242" s="12" t="s">
        <v>37</v>
      </c>
      <c r="QW242" s="12" t="s">
        <v>37</v>
      </c>
      <c r="QX242" s="12" t="s">
        <v>37</v>
      </c>
      <c r="QY242" s="12" t="s">
        <v>37</v>
      </c>
      <c r="QZ242" s="12" t="s">
        <v>37</v>
      </c>
      <c r="RC242" s="12" t="s">
        <v>37</v>
      </c>
      <c r="RD242" s="12" t="s">
        <v>37</v>
      </c>
      <c r="RE242" s="13" t="s">
        <v>37</v>
      </c>
      <c r="RF242" s="12" t="s">
        <v>37</v>
      </c>
      <c r="RG242" s="12" t="s">
        <v>37</v>
      </c>
      <c r="RH242" s="13" t="s">
        <v>37</v>
      </c>
      <c r="RK242" s="12" t="s">
        <v>37</v>
      </c>
      <c r="RL242" s="12" t="s">
        <v>37</v>
      </c>
      <c r="RM242" s="11" t="s">
        <v>37</v>
      </c>
      <c r="RN242" s="12" t="s">
        <v>37</v>
      </c>
      <c r="RO242" s="12" t="s">
        <v>37</v>
      </c>
      <c r="RP242" s="11" t="s">
        <v>37</v>
      </c>
      <c r="RS242" s="12" t="s">
        <v>37</v>
      </c>
      <c r="RT242" s="12" t="s">
        <v>37</v>
      </c>
      <c r="RU242" s="12" t="s">
        <v>37</v>
      </c>
      <c r="RV242" s="12" t="s">
        <v>37</v>
      </c>
      <c r="RW242" s="12" t="s">
        <v>37</v>
      </c>
      <c r="RX242" s="12" t="s">
        <v>37</v>
      </c>
      <c r="SA242" s="12" t="s">
        <v>37</v>
      </c>
      <c r="SB242" s="12" t="s">
        <v>37</v>
      </c>
      <c r="SC242" s="12" t="s">
        <v>37</v>
      </c>
      <c r="SD242" s="12" t="s">
        <v>37</v>
      </c>
      <c r="SE242" s="12" t="s">
        <v>37</v>
      </c>
      <c r="SF242" s="12" t="s">
        <v>37</v>
      </c>
      <c r="SI242" s="12" t="s">
        <v>37</v>
      </c>
      <c r="SJ242" s="12" t="s">
        <v>37</v>
      </c>
      <c r="SK242" s="13" t="s">
        <v>37</v>
      </c>
      <c r="SM242" s="12" t="s">
        <v>37</v>
      </c>
      <c r="SN242" s="12" t="s">
        <v>37</v>
      </c>
      <c r="SO242" s="13" t="s">
        <v>37</v>
      </c>
      <c r="SU242" s="12" t="s">
        <v>37</v>
      </c>
      <c r="SV242" s="12" t="s">
        <v>37</v>
      </c>
      <c r="SW242" s="12" t="s">
        <v>37</v>
      </c>
      <c r="SX242" s="12" t="s">
        <v>37</v>
      </c>
      <c r="SY242" s="12" t="s">
        <v>37</v>
      </c>
      <c r="SZ242" s="12" t="s">
        <v>37</v>
      </c>
      <c r="TA242" s="12"/>
      <c r="TB242" s="12"/>
      <c r="TE242" s="12" t="s">
        <v>37</v>
      </c>
      <c r="TF242" s="12" t="s">
        <v>37</v>
      </c>
      <c r="TG242" s="12" t="s">
        <v>37</v>
      </c>
      <c r="TH242" s="12" t="s">
        <v>37</v>
      </c>
      <c r="TI242" s="12" t="s">
        <v>37</v>
      </c>
      <c r="TJ242" s="12" t="s">
        <v>37</v>
      </c>
      <c r="TK242" s="12"/>
      <c r="TL242" s="12"/>
      <c r="TO242" s="12" t="s">
        <v>37</v>
      </c>
      <c r="TP242" s="12" t="s">
        <v>37</v>
      </c>
      <c r="TQ242" s="12" t="s">
        <v>37</v>
      </c>
      <c r="TR242" s="12" t="s">
        <v>37</v>
      </c>
      <c r="TS242" s="12" t="s">
        <v>37</v>
      </c>
      <c r="TT242" s="12" t="s">
        <v>37</v>
      </c>
      <c r="TU242" s="12"/>
      <c r="TV242" s="12"/>
      <c r="TY242" s="12" t="s">
        <v>37</v>
      </c>
      <c r="TZ242" s="12" t="s">
        <v>37</v>
      </c>
      <c r="UA242" s="12" t="s">
        <v>37</v>
      </c>
      <c r="UB242" s="12" t="s">
        <v>37</v>
      </c>
      <c r="UC242" s="12" t="s">
        <v>37</v>
      </c>
      <c r="UD242" s="12" t="s">
        <v>37</v>
      </c>
      <c r="UE242" s="12"/>
      <c r="UF242" s="12"/>
      <c r="UI242" s="12" t="s">
        <v>37</v>
      </c>
      <c r="UJ242" s="12" t="s">
        <v>37</v>
      </c>
      <c r="UK242" s="12" t="s">
        <v>37</v>
      </c>
      <c r="UL242" s="12" t="s">
        <v>37</v>
      </c>
      <c r="UM242" s="12" t="s">
        <v>37</v>
      </c>
      <c r="UN242" s="12" t="s">
        <v>37</v>
      </c>
      <c r="UO242" s="12"/>
      <c r="UP242" s="12"/>
      <c r="UR242" s="12" t="s">
        <v>37</v>
      </c>
      <c r="US242" s="12" t="s">
        <v>37</v>
      </c>
      <c r="UT242" s="12" t="s">
        <v>37</v>
      </c>
      <c r="UU242" s="12" t="s">
        <v>37</v>
      </c>
      <c r="UV242" s="12" t="s">
        <v>37</v>
      </c>
      <c r="UW242" s="12" t="s">
        <v>37</v>
      </c>
      <c r="UX242" s="12"/>
      <c r="UY242" s="12"/>
      <c r="VB242" s="12" t="s">
        <v>37</v>
      </c>
      <c r="VC242" s="12" t="s">
        <v>37</v>
      </c>
      <c r="VD242" s="12" t="s">
        <v>37</v>
      </c>
      <c r="VE242" s="12" t="s">
        <v>37</v>
      </c>
      <c r="VF242" s="12" t="s">
        <v>37</v>
      </c>
      <c r="VG242" s="12" t="s">
        <v>37</v>
      </c>
      <c r="VI242" s="12" t="s">
        <v>37</v>
      </c>
      <c r="VJ242" s="12" t="s">
        <v>37</v>
      </c>
      <c r="VK242" s="12" t="s">
        <v>37</v>
      </c>
      <c r="VL242" s="12" t="s">
        <v>37</v>
      </c>
      <c r="VM242" s="12" t="s">
        <v>37</v>
      </c>
      <c r="VN242" s="12" t="s">
        <v>37</v>
      </c>
      <c r="VQ242" s="12" t="s">
        <v>37</v>
      </c>
      <c r="VR242" s="12" t="s">
        <v>37</v>
      </c>
      <c r="VS242" s="12" t="s">
        <v>37</v>
      </c>
      <c r="VT242" s="12" t="s">
        <v>37</v>
      </c>
      <c r="VU242" s="12" t="s">
        <v>37</v>
      </c>
      <c r="VV242" s="12" t="s">
        <v>37</v>
      </c>
      <c r="VW242" s="12"/>
      <c r="VX242" s="12"/>
      <c r="WA242" s="12" t="s">
        <v>37</v>
      </c>
      <c r="WB242" s="12" t="s">
        <v>37</v>
      </c>
      <c r="WC242" s="12" t="s">
        <v>37</v>
      </c>
      <c r="WD242" s="12" t="s">
        <v>37</v>
      </c>
      <c r="WE242" s="12" t="s">
        <v>37</v>
      </c>
      <c r="WF242" s="12" t="s">
        <v>37</v>
      </c>
    </row>
    <row r="243" spans="1:604" ht="18" customHeight="1" x14ac:dyDescent="0.3">
      <c r="A243" s="11">
        <v>64</v>
      </c>
      <c r="B243" s="16" t="s">
        <v>375</v>
      </c>
      <c r="C243" s="12" t="s">
        <v>26</v>
      </c>
      <c r="D243" s="12" t="s">
        <v>54</v>
      </c>
      <c r="E243" s="40">
        <v>0.5</v>
      </c>
      <c r="F243" s="14">
        <v>0</v>
      </c>
      <c r="G243" s="14">
        <v>0</v>
      </c>
      <c r="H243" s="12" t="s">
        <v>123</v>
      </c>
      <c r="I243" s="29">
        <v>61.783000000000001</v>
      </c>
      <c r="J243" s="29">
        <v>24.3</v>
      </c>
      <c r="K243" s="12" t="s">
        <v>775</v>
      </c>
      <c r="L243" s="12" t="s">
        <v>709</v>
      </c>
      <c r="M243" s="13" t="s">
        <v>37</v>
      </c>
      <c r="N243" s="12" t="s">
        <v>37</v>
      </c>
      <c r="O243" s="12" t="s">
        <v>37</v>
      </c>
      <c r="P243" s="14" t="s">
        <v>84</v>
      </c>
      <c r="Q243" s="75">
        <v>30</v>
      </c>
      <c r="R243" s="11" t="s">
        <v>1000</v>
      </c>
      <c r="S243" s="12" t="s">
        <v>85</v>
      </c>
      <c r="T243" s="12" t="s">
        <v>138</v>
      </c>
      <c r="U243" s="12" t="s">
        <v>158</v>
      </c>
      <c r="V243" s="12" t="s">
        <v>275</v>
      </c>
      <c r="W243" s="23" t="s">
        <v>376</v>
      </c>
      <c r="X243" s="12" t="s">
        <v>280</v>
      </c>
      <c r="Y243" s="12" t="s">
        <v>37</v>
      </c>
      <c r="Z243" s="12" t="s">
        <v>37</v>
      </c>
      <c r="AA243" s="32" t="s">
        <v>345</v>
      </c>
      <c r="AB243" s="12">
        <v>4.5</v>
      </c>
      <c r="AE243" s="12" t="s">
        <v>37</v>
      </c>
      <c r="AF243" s="12" t="s">
        <v>42</v>
      </c>
      <c r="AG243" s="32" t="s">
        <v>372</v>
      </c>
      <c r="AH243" s="12">
        <v>15</v>
      </c>
      <c r="AK243" s="12" t="s">
        <v>37</v>
      </c>
      <c r="AL243" s="32" t="s">
        <v>37</v>
      </c>
      <c r="AM243" s="12" t="s">
        <v>344</v>
      </c>
      <c r="AO243" s="12" t="s">
        <v>37</v>
      </c>
      <c r="AP243" s="12" t="s">
        <v>37</v>
      </c>
      <c r="AQ243" s="12" t="s">
        <v>975</v>
      </c>
      <c r="AT243" s="12" t="s">
        <v>326</v>
      </c>
      <c r="AU243" s="12" t="s">
        <v>326</v>
      </c>
      <c r="AV243" s="13" t="s">
        <v>326</v>
      </c>
      <c r="AX243" s="12" t="s">
        <v>326</v>
      </c>
      <c r="AY243" s="12" t="s">
        <v>326</v>
      </c>
      <c r="AZ243" s="13" t="s">
        <v>326</v>
      </c>
      <c r="BE243" s="12" t="s">
        <v>326</v>
      </c>
      <c r="BF243" s="12" t="s">
        <v>326</v>
      </c>
      <c r="BG243" s="12" t="s">
        <v>326</v>
      </c>
      <c r="BI243" s="12" t="s">
        <v>326</v>
      </c>
      <c r="BJ243" s="12" t="s">
        <v>326</v>
      </c>
      <c r="BK243" s="12" t="s">
        <v>326</v>
      </c>
      <c r="BP243" s="12" t="s">
        <v>37</v>
      </c>
      <c r="BQ243" s="12" t="s">
        <v>37</v>
      </c>
      <c r="BR243" s="13" t="s">
        <v>37</v>
      </c>
      <c r="BT243" s="12" t="s">
        <v>37</v>
      </c>
      <c r="BU243" s="12" t="s">
        <v>37</v>
      </c>
      <c r="BV243" s="12" t="s">
        <v>37</v>
      </c>
      <c r="CA243" s="12" t="s">
        <v>37</v>
      </c>
      <c r="CB243" s="12" t="s">
        <v>37</v>
      </c>
      <c r="CC243" s="13" t="s">
        <v>37</v>
      </c>
      <c r="CE243" s="12" t="s">
        <v>37</v>
      </c>
      <c r="CF243" s="12" t="s">
        <v>37</v>
      </c>
      <c r="CG243" s="12" t="s">
        <v>37</v>
      </c>
      <c r="CI243" s="52"/>
      <c r="CJ243" s="52"/>
      <c r="CK243" s="73"/>
      <c r="CL243" s="73"/>
      <c r="CN243" s="12" t="s">
        <v>37</v>
      </c>
      <c r="CO243" s="12" t="s">
        <v>37</v>
      </c>
      <c r="CP243" s="13" t="s">
        <v>37</v>
      </c>
      <c r="CR243" s="12" t="s">
        <v>37</v>
      </c>
      <c r="CS243" s="12" t="s">
        <v>37</v>
      </c>
      <c r="CT243" s="13" t="s">
        <v>37</v>
      </c>
      <c r="CV243" s="52"/>
      <c r="CW243" s="52"/>
      <c r="CX243" s="73"/>
      <c r="CY243" s="73"/>
      <c r="DA243" s="12" t="s">
        <v>37</v>
      </c>
      <c r="DB243" s="12" t="s">
        <v>37</v>
      </c>
      <c r="DC243" s="13" t="s">
        <v>37</v>
      </c>
      <c r="DE243" s="12" t="s">
        <v>37</v>
      </c>
      <c r="DF243" s="12" t="s">
        <v>37</v>
      </c>
      <c r="DG243" s="12" t="s">
        <v>37</v>
      </c>
      <c r="DI243" s="52"/>
      <c r="DJ243" s="52"/>
      <c r="DK243" s="73"/>
      <c r="DL243" s="73"/>
      <c r="DN243" s="19" t="s">
        <v>37</v>
      </c>
      <c r="DO243" s="12" t="s">
        <v>37</v>
      </c>
      <c r="DP243" s="13" t="s">
        <v>37</v>
      </c>
      <c r="DR243" s="19" t="s">
        <v>37</v>
      </c>
      <c r="DS243" s="12" t="s">
        <v>37</v>
      </c>
      <c r="DT243" s="13" t="s">
        <v>37</v>
      </c>
      <c r="DV243" s="52"/>
      <c r="DW243" s="52"/>
      <c r="EA243" s="19" t="s">
        <v>37</v>
      </c>
      <c r="EB243" s="19" t="s">
        <v>37</v>
      </c>
      <c r="EC243" s="72" t="s">
        <v>37</v>
      </c>
      <c r="EE243" s="19" t="s">
        <v>37</v>
      </c>
      <c r="EF243" s="19" t="s">
        <v>37</v>
      </c>
      <c r="EG243" s="12" t="s">
        <v>37</v>
      </c>
      <c r="EM243" s="12" t="s">
        <v>39</v>
      </c>
      <c r="EN243" s="12">
        <v>-16</v>
      </c>
      <c r="EO243" s="50">
        <f t="shared" si="1108"/>
        <v>6.5199423800206935</v>
      </c>
      <c r="EP243" s="13">
        <v>3</v>
      </c>
      <c r="ER243" s="12">
        <v>-43</v>
      </c>
      <c r="ES243" s="50">
        <f t="shared" si="1116"/>
        <v>9.7530043008953502</v>
      </c>
      <c r="ET243" s="13">
        <v>3</v>
      </c>
      <c r="EV243" s="19">
        <f t="shared" si="1117"/>
        <v>-27</v>
      </c>
      <c r="EW243" s="12">
        <f t="shared" si="1118"/>
        <v>8.2955030447849598</v>
      </c>
      <c r="EX243" s="19">
        <f t="shared" si="1119"/>
        <v>45.876913844024365</v>
      </c>
      <c r="EY243" s="19">
        <f t="shared" si="1120"/>
        <v>45.876913844024372</v>
      </c>
      <c r="FB243" s="12" t="s">
        <v>37</v>
      </c>
      <c r="FC243" s="12" t="s">
        <v>37</v>
      </c>
      <c r="FD243" s="12" t="s">
        <v>37</v>
      </c>
      <c r="FE243" s="12" t="s">
        <v>37</v>
      </c>
      <c r="FF243" s="20" t="s">
        <v>37</v>
      </c>
      <c r="FG243" s="12" t="s">
        <v>37</v>
      </c>
      <c r="FI243" s="12" t="s">
        <v>37</v>
      </c>
      <c r="FJ243" s="12" t="s">
        <v>37</v>
      </c>
      <c r="FK243" s="12" t="s">
        <v>37</v>
      </c>
      <c r="FL243" s="12" t="s">
        <v>37</v>
      </c>
      <c r="FM243" s="12" t="s">
        <v>37</v>
      </c>
      <c r="FN243" s="12" t="s">
        <v>37</v>
      </c>
      <c r="FP243" s="12" t="s">
        <v>37</v>
      </c>
      <c r="FQ243" s="12" t="s">
        <v>37</v>
      </c>
      <c r="FR243" s="12" t="s">
        <v>37</v>
      </c>
      <c r="FS243" s="12" t="s">
        <v>37</v>
      </c>
      <c r="FT243" s="12" t="s">
        <v>37</v>
      </c>
      <c r="FU243" s="12" t="s">
        <v>37</v>
      </c>
      <c r="FW243" s="12" t="s">
        <v>37</v>
      </c>
      <c r="FX243" s="12" t="s">
        <v>37</v>
      </c>
      <c r="FY243" s="12" t="s">
        <v>37</v>
      </c>
      <c r="FZ243" s="12" t="s">
        <v>37</v>
      </c>
      <c r="GA243" s="12" t="s">
        <v>37</v>
      </c>
      <c r="GB243" s="12" t="s">
        <v>37</v>
      </c>
      <c r="HA243" s="17" t="s">
        <v>63</v>
      </c>
      <c r="HB243" s="34" t="s">
        <v>372</v>
      </c>
      <c r="HC243" s="12">
        <v>0.13900000000000001</v>
      </c>
      <c r="HD243" s="50">
        <f t="shared" si="1127"/>
        <v>2.3965232297362245E-2</v>
      </c>
      <c r="HE243" s="13">
        <v>3</v>
      </c>
      <c r="HG243" s="12">
        <v>0.14099999999999999</v>
      </c>
      <c r="HH243" s="50">
        <f t="shared" si="1128"/>
        <v>1.5771487315361814E-2</v>
      </c>
      <c r="HI243" s="13">
        <v>3</v>
      </c>
      <c r="HK243" s="19">
        <f t="shared" si="1129"/>
        <v>1.4285957247476434E-2</v>
      </c>
      <c r="HL243" s="19">
        <f t="shared" si="1130"/>
        <v>1.4079080937294361E-2</v>
      </c>
      <c r="IK243" s="12" t="s">
        <v>37</v>
      </c>
      <c r="IL243" s="12" t="s">
        <v>37</v>
      </c>
      <c r="IM243" s="12" t="s">
        <v>37</v>
      </c>
      <c r="IO243" s="12" t="s">
        <v>37</v>
      </c>
      <c r="IP243" s="12" t="s">
        <v>37</v>
      </c>
      <c r="IQ243" s="12" t="s">
        <v>37</v>
      </c>
      <c r="IV243" s="32" t="s">
        <v>345</v>
      </c>
      <c r="IW243" s="12">
        <v>4.5</v>
      </c>
      <c r="IX243" s="50">
        <f t="shared" si="1131"/>
        <v>0.16475734182610413</v>
      </c>
      <c r="IY243" s="13">
        <v>3</v>
      </c>
      <c r="JH243" s="12" t="s">
        <v>37</v>
      </c>
      <c r="JI243" s="12" t="s">
        <v>37</v>
      </c>
      <c r="JJ243" s="13" t="s">
        <v>37</v>
      </c>
      <c r="JL243" s="12" t="s">
        <v>37</v>
      </c>
      <c r="JM243" s="12" t="s">
        <v>37</v>
      </c>
      <c r="JN243" s="12" t="s">
        <v>37</v>
      </c>
      <c r="JS243" s="12" t="s">
        <v>37</v>
      </c>
      <c r="JT243" s="12" t="s">
        <v>37</v>
      </c>
      <c r="JU243" s="13" t="s">
        <v>37</v>
      </c>
      <c r="JW243" s="12" t="s">
        <v>37</v>
      </c>
      <c r="JX243" s="12" t="s">
        <v>37</v>
      </c>
      <c r="JY243" s="12" t="s">
        <v>37</v>
      </c>
      <c r="KE243" s="12" t="s">
        <v>37</v>
      </c>
      <c r="KF243" s="12" t="s">
        <v>37</v>
      </c>
      <c r="KG243" s="13" t="s">
        <v>37</v>
      </c>
      <c r="KH243" s="12" t="s">
        <v>37</v>
      </c>
      <c r="KI243" s="12" t="s">
        <v>37</v>
      </c>
      <c r="KJ243" s="12" t="s">
        <v>37</v>
      </c>
      <c r="KK243" s="12" t="s">
        <v>42</v>
      </c>
      <c r="KL243" s="32" t="s">
        <v>372</v>
      </c>
      <c r="KM243" s="12">
        <v>15</v>
      </c>
      <c r="KN243" s="50">
        <f t="shared" si="1135"/>
        <v>1.7893956207728923</v>
      </c>
      <c r="KO243" s="11">
        <v>3</v>
      </c>
      <c r="KS243" s="11"/>
      <c r="KX243" s="12" t="s">
        <v>37</v>
      </c>
      <c r="KY243" s="12" t="s">
        <v>37</v>
      </c>
      <c r="KZ243" s="12" t="s">
        <v>37</v>
      </c>
      <c r="LB243" s="12" t="s">
        <v>37</v>
      </c>
      <c r="LC243" s="12" t="s">
        <v>37</v>
      </c>
      <c r="LD243" s="12" t="s">
        <v>37</v>
      </c>
      <c r="LI243" s="12" t="s">
        <v>37</v>
      </c>
      <c r="LJ243" s="12" t="s">
        <v>37</v>
      </c>
      <c r="LK243" s="12" t="s">
        <v>37</v>
      </c>
      <c r="LM243" s="12" t="s">
        <v>37</v>
      </c>
      <c r="LN243" s="12" t="s">
        <v>37</v>
      </c>
      <c r="LO243" s="12" t="s">
        <v>37</v>
      </c>
      <c r="LU243" s="12" t="s">
        <v>37</v>
      </c>
      <c r="LV243" s="12" t="s">
        <v>37</v>
      </c>
      <c r="LW243" s="12" t="s">
        <v>37</v>
      </c>
      <c r="LY243" s="12" t="s">
        <v>37</v>
      </c>
      <c r="LZ243" s="12" t="s">
        <v>37</v>
      </c>
      <c r="MA243" s="12" t="s">
        <v>37</v>
      </c>
      <c r="MF243" s="12" t="s">
        <v>37</v>
      </c>
      <c r="MG243" s="12" t="s">
        <v>37</v>
      </c>
      <c r="MH243" s="12" t="s">
        <v>37</v>
      </c>
      <c r="MJ243" s="12" t="s">
        <v>37</v>
      </c>
      <c r="MK243" s="12" t="s">
        <v>37</v>
      </c>
      <c r="ML243" s="12" t="s">
        <v>37</v>
      </c>
      <c r="MQ243" s="12" t="s">
        <v>37</v>
      </c>
      <c r="MR243" s="12" t="s">
        <v>37</v>
      </c>
      <c r="MS243" s="12" t="s">
        <v>37</v>
      </c>
      <c r="MU243" s="12" t="s">
        <v>37</v>
      </c>
      <c r="MV243" s="12" t="s">
        <v>37</v>
      </c>
      <c r="MW243" s="12" t="s">
        <v>37</v>
      </c>
      <c r="NC243" s="12" t="s">
        <v>37</v>
      </c>
      <c r="ND243" s="12" t="s">
        <v>37</v>
      </c>
      <c r="NE243" s="12" t="s">
        <v>37</v>
      </c>
      <c r="NG243" s="12" t="s">
        <v>37</v>
      </c>
      <c r="NH243" s="12" t="s">
        <v>37</v>
      </c>
      <c r="NI243" s="12" t="s">
        <v>37</v>
      </c>
      <c r="NO243" s="12" t="s">
        <v>37</v>
      </c>
      <c r="NP243" s="12" t="s">
        <v>37</v>
      </c>
      <c r="NQ243" s="12" t="s">
        <v>37</v>
      </c>
      <c r="NS243" s="12" t="s">
        <v>37</v>
      </c>
      <c r="NT243" s="12" t="s">
        <v>37</v>
      </c>
      <c r="NU243" s="12" t="s">
        <v>37</v>
      </c>
      <c r="OA243" s="12" t="s">
        <v>37</v>
      </c>
      <c r="OB243" s="12" t="s">
        <v>37</v>
      </c>
      <c r="OC243" s="12" t="s">
        <v>37</v>
      </c>
      <c r="OD243" s="12"/>
      <c r="OE243" s="12" t="s">
        <v>37</v>
      </c>
      <c r="OF243" s="12" t="s">
        <v>37</v>
      </c>
      <c r="OG243" s="12" t="s">
        <v>37</v>
      </c>
      <c r="OH243" s="12"/>
      <c r="OI243" s="12"/>
      <c r="OJ243" s="12"/>
      <c r="OM243" s="12" t="s">
        <v>37</v>
      </c>
      <c r="ON243" s="12" t="s">
        <v>37</v>
      </c>
      <c r="OO243" s="12" t="s">
        <v>37</v>
      </c>
      <c r="OP243" s="12" t="s">
        <v>37</v>
      </c>
      <c r="OQ243" s="12" t="s">
        <v>37</v>
      </c>
      <c r="OR243" s="12" t="s">
        <v>37</v>
      </c>
      <c r="OS243" s="12"/>
      <c r="OT243" s="12"/>
      <c r="OW243" s="12" t="s">
        <v>37</v>
      </c>
      <c r="OX243" s="12" t="s">
        <v>37</v>
      </c>
      <c r="OY243" s="13" t="s">
        <v>37</v>
      </c>
      <c r="OZ243" s="12" t="s">
        <v>37</v>
      </c>
      <c r="PA243" s="12" t="s">
        <v>37</v>
      </c>
      <c r="PB243" s="13" t="s">
        <v>37</v>
      </c>
      <c r="PG243" s="12" t="s">
        <v>37</v>
      </c>
      <c r="PH243" s="12" t="s">
        <v>37</v>
      </c>
      <c r="PI243" s="12" t="s">
        <v>37</v>
      </c>
      <c r="PJ243" s="12" t="s">
        <v>37</v>
      </c>
      <c r="PK243" s="12" t="s">
        <v>37</v>
      </c>
      <c r="PL243" s="12" t="s">
        <v>37</v>
      </c>
      <c r="PM243" s="12"/>
      <c r="PN243" s="12"/>
      <c r="PQ243" s="12" t="s">
        <v>37</v>
      </c>
      <c r="PR243" s="12" t="s">
        <v>37</v>
      </c>
      <c r="PS243" s="12" t="s">
        <v>37</v>
      </c>
      <c r="PT243" s="12" t="s">
        <v>37</v>
      </c>
      <c r="PU243" s="12" t="s">
        <v>37</v>
      </c>
      <c r="PV243" s="12" t="s">
        <v>37</v>
      </c>
      <c r="PW243" s="12"/>
      <c r="PX243" s="12"/>
      <c r="PZ243" s="12" t="s">
        <v>37</v>
      </c>
      <c r="QA243" s="12" t="s">
        <v>37</v>
      </c>
      <c r="QB243" s="12" t="s">
        <v>37</v>
      </c>
      <c r="QD243" s="12" t="s">
        <v>37</v>
      </c>
      <c r="QE243" s="12" t="s">
        <v>37</v>
      </c>
      <c r="QF243" s="12" t="s">
        <v>37</v>
      </c>
      <c r="QK243" s="12" t="s">
        <v>37</v>
      </c>
      <c r="QL243" s="12" t="s">
        <v>37</v>
      </c>
      <c r="QM243" s="12" t="s">
        <v>37</v>
      </c>
      <c r="QN243" s="12" t="s">
        <v>37</v>
      </c>
      <c r="QO243" s="12" t="s">
        <v>37</v>
      </c>
      <c r="QP243" s="12" t="s">
        <v>37</v>
      </c>
      <c r="QQ243" s="12"/>
      <c r="QR243" s="12"/>
      <c r="QU243" s="12" t="s">
        <v>37</v>
      </c>
      <c r="QV243" s="12" t="s">
        <v>37</v>
      </c>
      <c r="QW243" s="12" t="s">
        <v>37</v>
      </c>
      <c r="QX243" s="12" t="s">
        <v>37</v>
      </c>
      <c r="QY243" s="12" t="s">
        <v>37</v>
      </c>
      <c r="QZ243" s="12" t="s">
        <v>37</v>
      </c>
      <c r="RC243" s="12" t="s">
        <v>37</v>
      </c>
      <c r="RD243" s="12" t="s">
        <v>37</v>
      </c>
      <c r="RE243" s="13" t="s">
        <v>37</v>
      </c>
      <c r="RF243" s="12" t="s">
        <v>37</v>
      </c>
      <c r="RG243" s="12" t="s">
        <v>37</v>
      </c>
      <c r="RH243" s="13" t="s">
        <v>37</v>
      </c>
      <c r="RK243" s="12" t="s">
        <v>37</v>
      </c>
      <c r="RL243" s="12" t="s">
        <v>37</v>
      </c>
      <c r="RM243" s="11" t="s">
        <v>37</v>
      </c>
      <c r="RN243" s="12" t="s">
        <v>37</v>
      </c>
      <c r="RO243" s="12" t="s">
        <v>37</v>
      </c>
      <c r="RP243" s="11" t="s">
        <v>37</v>
      </c>
      <c r="RS243" s="12" t="s">
        <v>37</v>
      </c>
      <c r="RT243" s="12" t="s">
        <v>37</v>
      </c>
      <c r="RU243" s="12" t="s">
        <v>37</v>
      </c>
      <c r="RV243" s="12" t="s">
        <v>37</v>
      </c>
      <c r="RW243" s="12" t="s">
        <v>37</v>
      </c>
      <c r="RX243" s="12" t="s">
        <v>37</v>
      </c>
      <c r="SA243" s="12" t="s">
        <v>37</v>
      </c>
      <c r="SB243" s="12" t="s">
        <v>37</v>
      </c>
      <c r="SC243" s="12" t="s">
        <v>37</v>
      </c>
      <c r="SD243" s="12" t="s">
        <v>37</v>
      </c>
      <c r="SE243" s="12" t="s">
        <v>37</v>
      </c>
      <c r="SF243" s="12" t="s">
        <v>37</v>
      </c>
      <c r="SI243" s="12" t="s">
        <v>37</v>
      </c>
      <c r="SJ243" s="12" t="s">
        <v>37</v>
      </c>
      <c r="SK243" s="13" t="s">
        <v>37</v>
      </c>
      <c r="SM243" s="12" t="s">
        <v>37</v>
      </c>
      <c r="SN243" s="12" t="s">
        <v>37</v>
      </c>
      <c r="SO243" s="13" t="s">
        <v>37</v>
      </c>
      <c r="SU243" s="12" t="s">
        <v>37</v>
      </c>
      <c r="SV243" s="12" t="s">
        <v>37</v>
      </c>
      <c r="SW243" s="12" t="s">
        <v>37</v>
      </c>
      <c r="SX243" s="12" t="s">
        <v>37</v>
      </c>
      <c r="SY243" s="12" t="s">
        <v>37</v>
      </c>
      <c r="SZ243" s="12" t="s">
        <v>37</v>
      </c>
      <c r="TA243" s="12"/>
      <c r="TB243" s="12"/>
      <c r="TE243" s="12" t="s">
        <v>37</v>
      </c>
      <c r="TF243" s="12" t="s">
        <v>37</v>
      </c>
      <c r="TG243" s="12" t="s">
        <v>37</v>
      </c>
      <c r="TH243" s="12" t="s">
        <v>37</v>
      </c>
      <c r="TI243" s="12" t="s">
        <v>37</v>
      </c>
      <c r="TJ243" s="12" t="s">
        <v>37</v>
      </c>
      <c r="TK243" s="12"/>
      <c r="TL243" s="12"/>
      <c r="TO243" s="12" t="s">
        <v>37</v>
      </c>
      <c r="TP243" s="12" t="s">
        <v>37</v>
      </c>
      <c r="TQ243" s="12" t="s">
        <v>37</v>
      </c>
      <c r="TR243" s="12" t="s">
        <v>37</v>
      </c>
      <c r="TS243" s="12" t="s">
        <v>37</v>
      </c>
      <c r="TT243" s="12" t="s">
        <v>37</v>
      </c>
      <c r="TU243" s="12"/>
      <c r="TV243" s="12"/>
      <c r="TY243" s="12" t="s">
        <v>37</v>
      </c>
      <c r="TZ243" s="12" t="s">
        <v>37</v>
      </c>
      <c r="UA243" s="12" t="s">
        <v>37</v>
      </c>
      <c r="UB243" s="12" t="s">
        <v>37</v>
      </c>
      <c r="UC243" s="12" t="s">
        <v>37</v>
      </c>
      <c r="UD243" s="12" t="s">
        <v>37</v>
      </c>
      <c r="UE243" s="12"/>
      <c r="UF243" s="12"/>
      <c r="UI243" s="12" t="s">
        <v>37</v>
      </c>
      <c r="UJ243" s="12" t="s">
        <v>37</v>
      </c>
      <c r="UK243" s="12" t="s">
        <v>37</v>
      </c>
      <c r="UL243" s="12" t="s">
        <v>37</v>
      </c>
      <c r="UM243" s="12" t="s">
        <v>37</v>
      </c>
      <c r="UN243" s="12" t="s">
        <v>37</v>
      </c>
      <c r="UO243" s="12"/>
      <c r="UP243" s="12"/>
      <c r="UR243" s="12" t="s">
        <v>37</v>
      </c>
      <c r="US243" s="12" t="s">
        <v>37</v>
      </c>
      <c r="UT243" s="12" t="s">
        <v>37</v>
      </c>
      <c r="UU243" s="12" t="s">
        <v>37</v>
      </c>
      <c r="UV243" s="12" t="s">
        <v>37</v>
      </c>
      <c r="UW243" s="12" t="s">
        <v>37</v>
      </c>
      <c r="UX243" s="12"/>
      <c r="UY243" s="12"/>
      <c r="VB243" s="12" t="s">
        <v>37</v>
      </c>
      <c r="VC243" s="12" t="s">
        <v>37</v>
      </c>
      <c r="VD243" s="12" t="s">
        <v>37</v>
      </c>
      <c r="VE243" s="12" t="s">
        <v>37</v>
      </c>
      <c r="VF243" s="12" t="s">
        <v>37</v>
      </c>
      <c r="VG243" s="12" t="s">
        <v>37</v>
      </c>
      <c r="VI243" s="12" t="s">
        <v>37</v>
      </c>
      <c r="VJ243" s="12" t="s">
        <v>37</v>
      </c>
      <c r="VK243" s="12" t="s">
        <v>37</v>
      </c>
      <c r="VL243" s="12" t="s">
        <v>37</v>
      </c>
      <c r="VM243" s="12" t="s">
        <v>37</v>
      </c>
      <c r="VN243" s="12" t="s">
        <v>37</v>
      </c>
      <c r="VQ243" s="12" t="s">
        <v>37</v>
      </c>
      <c r="VR243" s="12" t="s">
        <v>37</v>
      </c>
      <c r="VS243" s="12" t="s">
        <v>37</v>
      </c>
      <c r="VT243" s="12" t="s">
        <v>37</v>
      </c>
      <c r="VU243" s="12" t="s">
        <v>37</v>
      </c>
      <c r="VV243" s="12" t="s">
        <v>37</v>
      </c>
      <c r="VW243" s="12"/>
      <c r="VX243" s="12"/>
      <c r="WA243" s="12" t="s">
        <v>37</v>
      </c>
      <c r="WB243" s="12" t="s">
        <v>37</v>
      </c>
      <c r="WC243" s="12" t="s">
        <v>37</v>
      </c>
      <c r="WD243" s="12" t="s">
        <v>37</v>
      </c>
      <c r="WE243" s="12" t="s">
        <v>37</v>
      </c>
      <c r="WF243" s="12" t="s">
        <v>37</v>
      </c>
    </row>
    <row r="244" spans="1:604" ht="18" customHeight="1" x14ac:dyDescent="0.3">
      <c r="A244" s="11">
        <v>64</v>
      </c>
      <c r="B244" s="16" t="s">
        <v>375</v>
      </c>
      <c r="C244" s="12" t="s">
        <v>26</v>
      </c>
      <c r="D244" s="12" t="s">
        <v>54</v>
      </c>
      <c r="E244" s="40">
        <v>2</v>
      </c>
      <c r="F244" s="14">
        <v>0</v>
      </c>
      <c r="G244" s="14">
        <v>0</v>
      </c>
      <c r="H244" s="12" t="s">
        <v>123</v>
      </c>
      <c r="I244" s="29">
        <v>62.767000000000003</v>
      </c>
      <c r="J244" s="29">
        <v>30.966999999999999</v>
      </c>
      <c r="K244" s="12" t="s">
        <v>776</v>
      </c>
      <c r="L244" s="12" t="s">
        <v>777</v>
      </c>
      <c r="M244" s="13" t="s">
        <v>37</v>
      </c>
      <c r="N244" s="12" t="s">
        <v>37</v>
      </c>
      <c r="O244" s="12" t="s">
        <v>37</v>
      </c>
      <c r="P244" s="14" t="s">
        <v>84</v>
      </c>
      <c r="Q244" s="75">
        <v>24</v>
      </c>
      <c r="R244" s="11" t="s">
        <v>1000</v>
      </c>
      <c r="S244" s="12" t="s">
        <v>93</v>
      </c>
      <c r="T244" s="12" t="s">
        <v>141</v>
      </c>
      <c r="U244" s="12" t="s">
        <v>158</v>
      </c>
      <c r="V244" s="12" t="s">
        <v>275</v>
      </c>
      <c r="W244" s="23" t="s">
        <v>377</v>
      </c>
      <c r="X244" s="12" t="s">
        <v>281</v>
      </c>
      <c r="Y244" s="12" t="s">
        <v>37</v>
      </c>
      <c r="Z244" s="12" t="s">
        <v>37</v>
      </c>
      <c r="AA244" s="32" t="s">
        <v>345</v>
      </c>
      <c r="AB244" s="12" t="s">
        <v>37</v>
      </c>
      <c r="AE244" s="12" t="s">
        <v>37</v>
      </c>
      <c r="AF244" s="12" t="s">
        <v>42</v>
      </c>
      <c r="AG244" s="32" t="s">
        <v>372</v>
      </c>
      <c r="AH244" s="12" t="s">
        <v>37</v>
      </c>
      <c r="AK244" s="12" t="s">
        <v>37</v>
      </c>
      <c r="AL244" s="32" t="s">
        <v>37</v>
      </c>
      <c r="AM244" s="12" t="s">
        <v>344</v>
      </c>
      <c r="AO244" s="12" t="s">
        <v>37</v>
      </c>
      <c r="AP244" s="12" t="s">
        <v>37</v>
      </c>
      <c r="AQ244" s="12" t="s">
        <v>975</v>
      </c>
      <c r="AT244" s="12" t="s">
        <v>326</v>
      </c>
      <c r="AU244" s="12" t="s">
        <v>326</v>
      </c>
      <c r="AV244" s="13" t="s">
        <v>326</v>
      </c>
      <c r="AX244" s="12" t="s">
        <v>326</v>
      </c>
      <c r="AY244" s="12" t="s">
        <v>326</v>
      </c>
      <c r="AZ244" s="13" t="s">
        <v>326</v>
      </c>
      <c r="BE244" s="12" t="s">
        <v>326</v>
      </c>
      <c r="BF244" s="12" t="s">
        <v>326</v>
      </c>
      <c r="BG244" s="12" t="s">
        <v>326</v>
      </c>
      <c r="BI244" s="12" t="s">
        <v>326</v>
      </c>
      <c r="BJ244" s="12" t="s">
        <v>326</v>
      </c>
      <c r="BK244" s="12" t="s">
        <v>326</v>
      </c>
      <c r="BP244" s="12" t="s">
        <v>37</v>
      </c>
      <c r="BQ244" s="12" t="s">
        <v>37</v>
      </c>
      <c r="BR244" s="13" t="s">
        <v>37</v>
      </c>
      <c r="BT244" s="12" t="s">
        <v>37</v>
      </c>
      <c r="BU244" s="12" t="s">
        <v>37</v>
      </c>
      <c r="BV244" s="12" t="s">
        <v>37</v>
      </c>
      <c r="CA244" s="12" t="s">
        <v>37</v>
      </c>
      <c r="CB244" s="12" t="s">
        <v>37</v>
      </c>
      <c r="CC244" s="13" t="s">
        <v>37</v>
      </c>
      <c r="CE244" s="12" t="s">
        <v>37</v>
      </c>
      <c r="CF244" s="12" t="s">
        <v>37</v>
      </c>
      <c r="CG244" s="12" t="s">
        <v>37</v>
      </c>
      <c r="CI244" s="52"/>
      <c r="CJ244" s="52"/>
      <c r="CK244" s="73"/>
      <c r="CL244" s="73"/>
      <c r="CN244" s="12" t="s">
        <v>37</v>
      </c>
      <c r="CO244" s="12" t="s">
        <v>37</v>
      </c>
      <c r="CP244" s="13" t="s">
        <v>37</v>
      </c>
      <c r="CR244" s="12" t="s">
        <v>37</v>
      </c>
      <c r="CS244" s="12" t="s">
        <v>37</v>
      </c>
      <c r="CT244" s="13" t="s">
        <v>37</v>
      </c>
      <c r="CV244" s="52"/>
      <c r="CW244" s="52"/>
      <c r="CX244" s="73"/>
      <c r="CY244" s="73"/>
      <c r="DA244" s="12" t="s">
        <v>37</v>
      </c>
      <c r="DB244" s="12" t="s">
        <v>37</v>
      </c>
      <c r="DC244" s="13" t="s">
        <v>37</v>
      </c>
      <c r="DE244" s="12" t="s">
        <v>37</v>
      </c>
      <c r="DF244" s="12" t="s">
        <v>37</v>
      </c>
      <c r="DG244" s="12" t="s">
        <v>37</v>
      </c>
      <c r="DI244" s="52"/>
      <c r="DJ244" s="52"/>
      <c r="DK244" s="73"/>
      <c r="DL244" s="73"/>
      <c r="DN244" s="19" t="s">
        <v>37</v>
      </c>
      <c r="DO244" s="12" t="s">
        <v>37</v>
      </c>
      <c r="DP244" s="13" t="s">
        <v>37</v>
      </c>
      <c r="DR244" s="19" t="s">
        <v>37</v>
      </c>
      <c r="DS244" s="12" t="s">
        <v>37</v>
      </c>
      <c r="DT244" s="13" t="s">
        <v>37</v>
      </c>
      <c r="DV244" s="52"/>
      <c r="DW244" s="52"/>
      <c r="EA244" s="19" t="s">
        <v>37</v>
      </c>
      <c r="EB244" s="19" t="s">
        <v>37</v>
      </c>
      <c r="EC244" s="72" t="s">
        <v>37</v>
      </c>
      <c r="EE244" s="19" t="s">
        <v>37</v>
      </c>
      <c r="EF244" s="19" t="s">
        <v>37</v>
      </c>
      <c r="EG244" s="12" t="s">
        <v>37</v>
      </c>
      <c r="EM244" s="12" t="s">
        <v>39</v>
      </c>
      <c r="EN244" s="12">
        <v>-16</v>
      </c>
      <c r="EO244" s="50">
        <f t="shared" si="1108"/>
        <v>6.5199423800206935</v>
      </c>
      <c r="EP244" s="13">
        <v>3</v>
      </c>
      <c r="ER244" s="12">
        <v>-21</v>
      </c>
      <c r="ES244" s="50">
        <f t="shared" si="1116"/>
        <v>4.7630951236930779</v>
      </c>
      <c r="ET244" s="13">
        <v>3</v>
      </c>
      <c r="EV244" s="19">
        <f t="shared" si="1117"/>
        <v>-5</v>
      </c>
      <c r="EW244" s="12">
        <f t="shared" si="1118"/>
        <v>5.7094975171261213</v>
      </c>
      <c r="EX244" s="19">
        <f t="shared" si="1119"/>
        <v>21.73224126537956</v>
      </c>
      <c r="EY244" s="19">
        <f t="shared" si="1120"/>
        <v>21.73224126537956</v>
      </c>
      <c r="FB244" s="12" t="s">
        <v>37</v>
      </c>
      <c r="FC244" s="12" t="s">
        <v>37</v>
      </c>
      <c r="FD244" s="12" t="s">
        <v>37</v>
      </c>
      <c r="FE244" s="12" t="s">
        <v>37</v>
      </c>
      <c r="FF244" s="20" t="s">
        <v>37</v>
      </c>
      <c r="FG244" s="12" t="s">
        <v>37</v>
      </c>
      <c r="FI244" s="12" t="s">
        <v>37</v>
      </c>
      <c r="FJ244" s="12" t="s">
        <v>37</v>
      </c>
      <c r="FK244" s="12" t="s">
        <v>37</v>
      </c>
      <c r="FL244" s="12" t="s">
        <v>37</v>
      </c>
      <c r="FM244" s="12" t="s">
        <v>37</v>
      </c>
      <c r="FN244" s="12" t="s">
        <v>37</v>
      </c>
      <c r="FP244" s="12" t="s">
        <v>37</v>
      </c>
      <c r="FQ244" s="12" t="s">
        <v>37</v>
      </c>
      <c r="FR244" s="12" t="s">
        <v>37</v>
      </c>
      <c r="FS244" s="12" t="s">
        <v>37</v>
      </c>
      <c r="FT244" s="12" t="s">
        <v>37</v>
      </c>
      <c r="FU244" s="12" t="s">
        <v>37</v>
      </c>
      <c r="FW244" s="12" t="s">
        <v>37</v>
      </c>
      <c r="FX244" s="12" t="s">
        <v>37</v>
      </c>
      <c r="FY244" s="12" t="s">
        <v>37</v>
      </c>
      <c r="FZ244" s="12" t="s">
        <v>37</v>
      </c>
      <c r="GA244" s="12" t="s">
        <v>37</v>
      </c>
      <c r="GB244" s="12" t="s">
        <v>37</v>
      </c>
      <c r="HA244" s="17" t="s">
        <v>63</v>
      </c>
      <c r="HB244" s="34" t="s">
        <v>372</v>
      </c>
      <c r="HG244" s="12">
        <v>7.9000000000000001E-2</v>
      </c>
      <c r="HH244" s="50">
        <f t="shared" si="1128"/>
        <v>8.836507077401301E-3</v>
      </c>
      <c r="HI244" s="13">
        <v>3</v>
      </c>
      <c r="IK244" s="12" t="s">
        <v>37</v>
      </c>
      <c r="IL244" s="12" t="s">
        <v>37</v>
      </c>
      <c r="IM244" s="12" t="s">
        <v>37</v>
      </c>
      <c r="IO244" s="12" t="s">
        <v>37</v>
      </c>
      <c r="IP244" s="12" t="s">
        <v>37</v>
      </c>
      <c r="IQ244" s="12" t="s">
        <v>37</v>
      </c>
      <c r="JH244" s="12" t="s">
        <v>37</v>
      </c>
      <c r="JI244" s="12" t="s">
        <v>37</v>
      </c>
      <c r="JJ244" s="13" t="s">
        <v>37</v>
      </c>
      <c r="JL244" s="12" t="s">
        <v>37</v>
      </c>
      <c r="JM244" s="12" t="s">
        <v>37</v>
      </c>
      <c r="JN244" s="12" t="s">
        <v>37</v>
      </c>
      <c r="JS244" s="12" t="s">
        <v>37</v>
      </c>
      <c r="JT244" s="12" t="s">
        <v>37</v>
      </c>
      <c r="JU244" s="13" t="s">
        <v>37</v>
      </c>
      <c r="JW244" s="12" t="s">
        <v>37</v>
      </c>
      <c r="JX244" s="12" t="s">
        <v>37</v>
      </c>
      <c r="JY244" s="12" t="s">
        <v>37</v>
      </c>
      <c r="KE244" s="12" t="s">
        <v>37</v>
      </c>
      <c r="KF244" s="12" t="s">
        <v>37</v>
      </c>
      <c r="KG244" s="13" t="s">
        <v>37</v>
      </c>
      <c r="KH244" s="12" t="s">
        <v>37</v>
      </c>
      <c r="KI244" s="12" t="s">
        <v>37</v>
      </c>
      <c r="KJ244" s="12" t="s">
        <v>37</v>
      </c>
      <c r="KS244" s="12"/>
      <c r="KX244" s="12" t="s">
        <v>37</v>
      </c>
      <c r="KY244" s="12" t="s">
        <v>37</v>
      </c>
      <c r="KZ244" s="12" t="s">
        <v>37</v>
      </c>
      <c r="LB244" s="12" t="s">
        <v>37</v>
      </c>
      <c r="LC244" s="12" t="s">
        <v>37</v>
      </c>
      <c r="LD244" s="12" t="s">
        <v>37</v>
      </c>
      <c r="LI244" s="12" t="s">
        <v>37</v>
      </c>
      <c r="LJ244" s="12" t="s">
        <v>37</v>
      </c>
      <c r="LK244" s="12" t="s">
        <v>37</v>
      </c>
      <c r="LM244" s="12" t="s">
        <v>37</v>
      </c>
      <c r="LN244" s="12" t="s">
        <v>37</v>
      </c>
      <c r="LO244" s="12" t="s">
        <v>37</v>
      </c>
      <c r="LU244" s="12" t="s">
        <v>37</v>
      </c>
      <c r="LV244" s="12" t="s">
        <v>37</v>
      </c>
      <c r="LW244" s="12" t="s">
        <v>37</v>
      </c>
      <c r="LY244" s="12" t="s">
        <v>37</v>
      </c>
      <c r="LZ244" s="12" t="s">
        <v>37</v>
      </c>
      <c r="MA244" s="12" t="s">
        <v>37</v>
      </c>
      <c r="MF244" s="12" t="s">
        <v>37</v>
      </c>
      <c r="MG244" s="12" t="s">
        <v>37</v>
      </c>
      <c r="MH244" s="12" t="s">
        <v>37</v>
      </c>
      <c r="MJ244" s="12" t="s">
        <v>37</v>
      </c>
      <c r="MK244" s="12" t="s">
        <v>37</v>
      </c>
      <c r="ML244" s="12" t="s">
        <v>37</v>
      </c>
      <c r="MQ244" s="12" t="s">
        <v>37</v>
      </c>
      <c r="MR244" s="12" t="s">
        <v>37</v>
      </c>
      <c r="MS244" s="12" t="s">
        <v>37</v>
      </c>
      <c r="MU244" s="12" t="s">
        <v>37</v>
      </c>
      <c r="MV244" s="12" t="s">
        <v>37</v>
      </c>
      <c r="MW244" s="12" t="s">
        <v>37</v>
      </c>
      <c r="NC244" s="12" t="s">
        <v>37</v>
      </c>
      <c r="ND244" s="12" t="s">
        <v>37</v>
      </c>
      <c r="NE244" s="12" t="s">
        <v>37</v>
      </c>
      <c r="NG244" s="12" t="s">
        <v>37</v>
      </c>
      <c r="NH244" s="12" t="s">
        <v>37</v>
      </c>
      <c r="NI244" s="12" t="s">
        <v>37</v>
      </c>
      <c r="NO244" s="12" t="s">
        <v>37</v>
      </c>
      <c r="NP244" s="12" t="s">
        <v>37</v>
      </c>
      <c r="NQ244" s="12" t="s">
        <v>37</v>
      </c>
      <c r="NS244" s="12" t="s">
        <v>37</v>
      </c>
      <c r="NT244" s="12" t="s">
        <v>37</v>
      </c>
      <c r="NU244" s="12" t="s">
        <v>37</v>
      </c>
      <c r="OA244" s="12" t="s">
        <v>37</v>
      </c>
      <c r="OB244" s="12" t="s">
        <v>37</v>
      </c>
      <c r="OC244" s="12" t="s">
        <v>37</v>
      </c>
      <c r="OD244" s="12"/>
      <c r="OE244" s="12" t="s">
        <v>37</v>
      </c>
      <c r="OF244" s="12" t="s">
        <v>37</v>
      </c>
      <c r="OG244" s="12" t="s">
        <v>37</v>
      </c>
      <c r="OH244" s="12"/>
      <c r="OI244" s="12"/>
      <c r="OJ244" s="12"/>
      <c r="OM244" s="12" t="s">
        <v>37</v>
      </c>
      <c r="ON244" s="12" t="s">
        <v>37</v>
      </c>
      <c r="OO244" s="12" t="s">
        <v>37</v>
      </c>
      <c r="OP244" s="12" t="s">
        <v>37</v>
      </c>
      <c r="OQ244" s="12" t="s">
        <v>37</v>
      </c>
      <c r="OR244" s="12" t="s">
        <v>37</v>
      </c>
      <c r="OS244" s="12"/>
      <c r="OT244" s="12"/>
      <c r="OW244" s="12" t="s">
        <v>37</v>
      </c>
      <c r="OX244" s="12" t="s">
        <v>37</v>
      </c>
      <c r="OY244" s="13" t="s">
        <v>37</v>
      </c>
      <c r="OZ244" s="12" t="s">
        <v>37</v>
      </c>
      <c r="PA244" s="12" t="s">
        <v>37</v>
      </c>
      <c r="PB244" s="13" t="s">
        <v>37</v>
      </c>
      <c r="PG244" s="12" t="s">
        <v>37</v>
      </c>
      <c r="PH244" s="12" t="s">
        <v>37</v>
      </c>
      <c r="PI244" s="12" t="s">
        <v>37</v>
      </c>
      <c r="PJ244" s="12" t="s">
        <v>37</v>
      </c>
      <c r="PK244" s="12" t="s">
        <v>37</v>
      </c>
      <c r="PL244" s="12" t="s">
        <v>37</v>
      </c>
      <c r="PM244" s="12"/>
      <c r="PN244" s="12"/>
      <c r="PQ244" s="12" t="s">
        <v>37</v>
      </c>
      <c r="PR244" s="12" t="s">
        <v>37</v>
      </c>
      <c r="PS244" s="12" t="s">
        <v>37</v>
      </c>
      <c r="PT244" s="12" t="s">
        <v>37</v>
      </c>
      <c r="PU244" s="12" t="s">
        <v>37</v>
      </c>
      <c r="PV244" s="12" t="s">
        <v>37</v>
      </c>
      <c r="PW244" s="12"/>
      <c r="PX244" s="12"/>
      <c r="PZ244" s="12" t="s">
        <v>37</v>
      </c>
      <c r="QA244" s="12" t="s">
        <v>37</v>
      </c>
      <c r="QB244" s="12" t="s">
        <v>37</v>
      </c>
      <c r="QD244" s="12" t="s">
        <v>37</v>
      </c>
      <c r="QE244" s="12" t="s">
        <v>37</v>
      </c>
      <c r="QF244" s="12" t="s">
        <v>37</v>
      </c>
      <c r="QK244" s="12" t="s">
        <v>37</v>
      </c>
      <c r="QL244" s="12" t="s">
        <v>37</v>
      </c>
      <c r="QM244" s="12" t="s">
        <v>37</v>
      </c>
      <c r="QN244" s="12" t="s">
        <v>37</v>
      </c>
      <c r="QO244" s="12" t="s">
        <v>37</v>
      </c>
      <c r="QP244" s="12" t="s">
        <v>37</v>
      </c>
      <c r="QQ244" s="12"/>
      <c r="QR244" s="12"/>
      <c r="QU244" s="12" t="s">
        <v>37</v>
      </c>
      <c r="QV244" s="12" t="s">
        <v>37</v>
      </c>
      <c r="QW244" s="12" t="s">
        <v>37</v>
      </c>
      <c r="QX244" s="12" t="s">
        <v>37</v>
      </c>
      <c r="QY244" s="12" t="s">
        <v>37</v>
      </c>
      <c r="QZ244" s="12" t="s">
        <v>37</v>
      </c>
      <c r="RC244" s="12" t="s">
        <v>37</v>
      </c>
      <c r="RD244" s="12" t="s">
        <v>37</v>
      </c>
      <c r="RE244" s="13" t="s">
        <v>37</v>
      </c>
      <c r="RF244" s="12" t="s">
        <v>37</v>
      </c>
      <c r="RG244" s="12" t="s">
        <v>37</v>
      </c>
      <c r="RH244" s="13" t="s">
        <v>37</v>
      </c>
      <c r="RK244" s="12" t="s">
        <v>37</v>
      </c>
      <c r="RL244" s="12" t="s">
        <v>37</v>
      </c>
      <c r="RM244" s="11" t="s">
        <v>37</v>
      </c>
      <c r="RN244" s="12" t="s">
        <v>37</v>
      </c>
      <c r="RO244" s="12" t="s">
        <v>37</v>
      </c>
      <c r="RP244" s="11" t="s">
        <v>37</v>
      </c>
      <c r="RS244" s="12" t="s">
        <v>37</v>
      </c>
      <c r="RT244" s="12" t="s">
        <v>37</v>
      </c>
      <c r="RU244" s="12" t="s">
        <v>37</v>
      </c>
      <c r="RV244" s="12" t="s">
        <v>37</v>
      </c>
      <c r="RW244" s="12" t="s">
        <v>37</v>
      </c>
      <c r="RX244" s="12" t="s">
        <v>37</v>
      </c>
      <c r="SA244" s="12" t="s">
        <v>37</v>
      </c>
      <c r="SB244" s="12" t="s">
        <v>37</v>
      </c>
      <c r="SC244" s="12" t="s">
        <v>37</v>
      </c>
      <c r="SD244" s="12" t="s">
        <v>37</v>
      </c>
      <c r="SE244" s="12" t="s">
        <v>37</v>
      </c>
      <c r="SF244" s="12" t="s">
        <v>37</v>
      </c>
      <c r="SI244" s="12" t="s">
        <v>37</v>
      </c>
      <c r="SJ244" s="12" t="s">
        <v>37</v>
      </c>
      <c r="SK244" s="13" t="s">
        <v>37</v>
      </c>
      <c r="SM244" s="12" t="s">
        <v>37</v>
      </c>
      <c r="SN244" s="12" t="s">
        <v>37</v>
      </c>
      <c r="SO244" s="13" t="s">
        <v>37</v>
      </c>
      <c r="SU244" s="12" t="s">
        <v>37</v>
      </c>
      <c r="SV244" s="12" t="s">
        <v>37</v>
      </c>
      <c r="SW244" s="12" t="s">
        <v>37</v>
      </c>
      <c r="SX244" s="12" t="s">
        <v>37</v>
      </c>
      <c r="SY244" s="12" t="s">
        <v>37</v>
      </c>
      <c r="SZ244" s="12" t="s">
        <v>37</v>
      </c>
      <c r="TA244" s="12"/>
      <c r="TB244" s="12"/>
      <c r="TE244" s="12" t="s">
        <v>37</v>
      </c>
      <c r="TF244" s="12" t="s">
        <v>37</v>
      </c>
      <c r="TG244" s="12" t="s">
        <v>37</v>
      </c>
      <c r="TH244" s="12" t="s">
        <v>37</v>
      </c>
      <c r="TI244" s="12" t="s">
        <v>37</v>
      </c>
      <c r="TJ244" s="12" t="s">
        <v>37</v>
      </c>
      <c r="TK244" s="12"/>
      <c r="TL244" s="12"/>
      <c r="TO244" s="12" t="s">
        <v>37</v>
      </c>
      <c r="TP244" s="12" t="s">
        <v>37</v>
      </c>
      <c r="TQ244" s="12" t="s">
        <v>37</v>
      </c>
      <c r="TR244" s="12" t="s">
        <v>37</v>
      </c>
      <c r="TS244" s="12" t="s">
        <v>37</v>
      </c>
      <c r="TT244" s="12" t="s">
        <v>37</v>
      </c>
      <c r="TU244" s="12"/>
      <c r="TV244" s="12"/>
      <c r="TY244" s="12" t="s">
        <v>37</v>
      </c>
      <c r="TZ244" s="12" t="s">
        <v>37</v>
      </c>
      <c r="UA244" s="12" t="s">
        <v>37</v>
      </c>
      <c r="UB244" s="12" t="s">
        <v>37</v>
      </c>
      <c r="UC244" s="12" t="s">
        <v>37</v>
      </c>
      <c r="UD244" s="12" t="s">
        <v>37</v>
      </c>
      <c r="UE244" s="12"/>
      <c r="UF244" s="12"/>
      <c r="UI244" s="12" t="s">
        <v>37</v>
      </c>
      <c r="UJ244" s="12" t="s">
        <v>37</v>
      </c>
      <c r="UK244" s="12" t="s">
        <v>37</v>
      </c>
      <c r="UL244" s="12" t="s">
        <v>37</v>
      </c>
      <c r="UM244" s="12" t="s">
        <v>37</v>
      </c>
      <c r="UN244" s="12" t="s">
        <v>37</v>
      </c>
      <c r="UO244" s="12"/>
      <c r="UP244" s="12"/>
      <c r="UR244" s="12" t="s">
        <v>37</v>
      </c>
      <c r="US244" s="12" t="s">
        <v>37</v>
      </c>
      <c r="UT244" s="12" t="s">
        <v>37</v>
      </c>
      <c r="UU244" s="12" t="s">
        <v>37</v>
      </c>
      <c r="UV244" s="12" t="s">
        <v>37</v>
      </c>
      <c r="UW244" s="12" t="s">
        <v>37</v>
      </c>
      <c r="UX244" s="12"/>
      <c r="UY244" s="12"/>
      <c r="VB244" s="12" t="s">
        <v>37</v>
      </c>
      <c r="VC244" s="12" t="s">
        <v>37</v>
      </c>
      <c r="VD244" s="12" t="s">
        <v>37</v>
      </c>
      <c r="VE244" s="12" t="s">
        <v>37</v>
      </c>
      <c r="VF244" s="12" t="s">
        <v>37</v>
      </c>
      <c r="VG244" s="12" t="s">
        <v>37</v>
      </c>
      <c r="VI244" s="12" t="s">
        <v>37</v>
      </c>
      <c r="VJ244" s="12" t="s">
        <v>37</v>
      </c>
      <c r="VK244" s="12" t="s">
        <v>37</v>
      </c>
      <c r="VL244" s="12" t="s">
        <v>37</v>
      </c>
      <c r="VM244" s="12" t="s">
        <v>37</v>
      </c>
      <c r="VN244" s="12" t="s">
        <v>37</v>
      </c>
      <c r="VQ244" s="12" t="s">
        <v>37</v>
      </c>
      <c r="VR244" s="12" t="s">
        <v>37</v>
      </c>
      <c r="VS244" s="12" t="s">
        <v>37</v>
      </c>
      <c r="VT244" s="12" t="s">
        <v>37</v>
      </c>
      <c r="VU244" s="12" t="s">
        <v>37</v>
      </c>
      <c r="VV244" s="12" t="s">
        <v>37</v>
      </c>
      <c r="VW244" s="12"/>
      <c r="VX244" s="12"/>
      <c r="WA244" s="12" t="s">
        <v>37</v>
      </c>
      <c r="WB244" s="12" t="s">
        <v>37</v>
      </c>
      <c r="WC244" s="12" t="s">
        <v>37</v>
      </c>
      <c r="WD244" s="12" t="s">
        <v>37</v>
      </c>
      <c r="WE244" s="12" t="s">
        <v>37</v>
      </c>
      <c r="WF244" s="12" t="s">
        <v>37</v>
      </c>
    </row>
    <row r="245" spans="1:604" ht="18" customHeight="1" x14ac:dyDescent="0.3">
      <c r="A245" s="11">
        <v>64</v>
      </c>
      <c r="B245" s="16" t="s">
        <v>375</v>
      </c>
      <c r="C245" s="12" t="s">
        <v>26</v>
      </c>
      <c r="D245" s="12" t="s">
        <v>54</v>
      </c>
      <c r="E245" s="40">
        <v>2</v>
      </c>
      <c r="F245" s="14">
        <v>0</v>
      </c>
      <c r="G245" s="14">
        <v>0</v>
      </c>
      <c r="H245" s="12" t="s">
        <v>123</v>
      </c>
      <c r="I245" s="29">
        <v>62.767000000000003</v>
      </c>
      <c r="J245" s="29">
        <v>30.966999999999999</v>
      </c>
      <c r="K245" s="12" t="s">
        <v>776</v>
      </c>
      <c r="L245" s="12" t="s">
        <v>777</v>
      </c>
      <c r="M245" s="13" t="s">
        <v>37</v>
      </c>
      <c r="N245" s="12" t="s">
        <v>37</v>
      </c>
      <c r="O245" s="12" t="s">
        <v>37</v>
      </c>
      <c r="P245" s="14" t="s">
        <v>84</v>
      </c>
      <c r="Q245" s="75">
        <v>25</v>
      </c>
      <c r="R245" s="11" t="s">
        <v>1000</v>
      </c>
      <c r="S245" s="12" t="s">
        <v>93</v>
      </c>
      <c r="T245" s="12" t="s">
        <v>141</v>
      </c>
      <c r="U245" s="12" t="s">
        <v>158</v>
      </c>
      <c r="V245" s="12" t="s">
        <v>275</v>
      </c>
      <c r="W245" s="23" t="s">
        <v>377</v>
      </c>
      <c r="X245" s="12" t="s">
        <v>281</v>
      </c>
      <c r="Y245" s="12" t="s">
        <v>37</v>
      </c>
      <c r="Z245" s="12" t="s">
        <v>37</v>
      </c>
      <c r="AA245" s="32" t="s">
        <v>345</v>
      </c>
      <c r="AB245" s="12" t="s">
        <v>37</v>
      </c>
      <c r="AE245" s="12" t="s">
        <v>37</v>
      </c>
      <c r="AF245" s="12" t="s">
        <v>42</v>
      </c>
      <c r="AG245" s="32" t="s">
        <v>372</v>
      </c>
      <c r="AH245" s="12" t="s">
        <v>37</v>
      </c>
      <c r="AK245" s="12" t="s">
        <v>37</v>
      </c>
      <c r="AL245" s="32" t="s">
        <v>37</v>
      </c>
      <c r="AM245" s="12" t="s">
        <v>344</v>
      </c>
      <c r="AO245" s="12" t="s">
        <v>37</v>
      </c>
      <c r="AP245" s="12" t="s">
        <v>37</v>
      </c>
      <c r="AQ245" s="12" t="s">
        <v>975</v>
      </c>
      <c r="AT245" s="12" t="s">
        <v>326</v>
      </c>
      <c r="AU245" s="12" t="s">
        <v>326</v>
      </c>
      <c r="AV245" s="13" t="s">
        <v>326</v>
      </c>
      <c r="AX245" s="12" t="s">
        <v>326</v>
      </c>
      <c r="AY245" s="12" t="s">
        <v>326</v>
      </c>
      <c r="AZ245" s="13" t="s">
        <v>326</v>
      </c>
      <c r="BE245" s="12" t="s">
        <v>326</v>
      </c>
      <c r="BF245" s="12" t="s">
        <v>326</v>
      </c>
      <c r="BG245" s="12" t="s">
        <v>326</v>
      </c>
      <c r="BI245" s="12" t="s">
        <v>326</v>
      </c>
      <c r="BJ245" s="12" t="s">
        <v>326</v>
      </c>
      <c r="BK245" s="12" t="s">
        <v>326</v>
      </c>
      <c r="BP245" s="12" t="s">
        <v>37</v>
      </c>
      <c r="BQ245" s="12" t="s">
        <v>37</v>
      </c>
      <c r="BR245" s="13" t="s">
        <v>37</v>
      </c>
      <c r="BT245" s="12" t="s">
        <v>37</v>
      </c>
      <c r="BU245" s="12" t="s">
        <v>37</v>
      </c>
      <c r="BV245" s="12" t="s">
        <v>37</v>
      </c>
      <c r="CA245" s="12" t="s">
        <v>37</v>
      </c>
      <c r="CB245" s="12" t="s">
        <v>37</v>
      </c>
      <c r="CC245" s="13" t="s">
        <v>37</v>
      </c>
      <c r="CE245" s="12" t="s">
        <v>37</v>
      </c>
      <c r="CF245" s="12" t="s">
        <v>37</v>
      </c>
      <c r="CG245" s="12" t="s">
        <v>37</v>
      </c>
      <c r="CI245" s="52"/>
      <c r="CJ245" s="52"/>
      <c r="CK245" s="73"/>
      <c r="CL245" s="73"/>
      <c r="CN245" s="12" t="s">
        <v>37</v>
      </c>
      <c r="CO245" s="12" t="s">
        <v>37</v>
      </c>
      <c r="CP245" s="13" t="s">
        <v>37</v>
      </c>
      <c r="CR245" s="12" t="s">
        <v>37</v>
      </c>
      <c r="CS245" s="12" t="s">
        <v>37</v>
      </c>
      <c r="CT245" s="13" t="s">
        <v>37</v>
      </c>
      <c r="CV245" s="52"/>
      <c r="CW245" s="52"/>
      <c r="CX245" s="73"/>
      <c r="CY245" s="73"/>
      <c r="DA245" s="12" t="s">
        <v>37</v>
      </c>
      <c r="DB245" s="12" t="s">
        <v>37</v>
      </c>
      <c r="DC245" s="13" t="s">
        <v>37</v>
      </c>
      <c r="DE245" s="12" t="s">
        <v>37</v>
      </c>
      <c r="DF245" s="12" t="s">
        <v>37</v>
      </c>
      <c r="DG245" s="12" t="s">
        <v>37</v>
      </c>
      <c r="DN245" s="19" t="s">
        <v>37</v>
      </c>
      <c r="DO245" s="12" t="s">
        <v>37</v>
      </c>
      <c r="DP245" s="13" t="s">
        <v>37</v>
      </c>
      <c r="DR245" s="19" t="s">
        <v>37</v>
      </c>
      <c r="DS245" s="12" t="s">
        <v>37</v>
      </c>
      <c r="DT245" s="13" t="s">
        <v>37</v>
      </c>
      <c r="EA245" s="19" t="s">
        <v>37</v>
      </c>
      <c r="EB245" s="19" t="s">
        <v>37</v>
      </c>
      <c r="EC245" s="72" t="s">
        <v>37</v>
      </c>
      <c r="EE245" s="19" t="s">
        <v>37</v>
      </c>
      <c r="EF245" s="19" t="s">
        <v>37</v>
      </c>
      <c r="EG245" s="12" t="s">
        <v>37</v>
      </c>
      <c r="EM245" s="12" t="s">
        <v>39</v>
      </c>
      <c r="EN245" s="12">
        <v>-16</v>
      </c>
      <c r="EO245" s="50">
        <f t="shared" si="1108"/>
        <v>6.5199423800206935</v>
      </c>
      <c r="EP245" s="13">
        <v>3</v>
      </c>
      <c r="ER245" s="12">
        <v>-21</v>
      </c>
      <c r="ES245" s="50">
        <f t="shared" si="1116"/>
        <v>4.7630951236930779</v>
      </c>
      <c r="ET245" s="13">
        <v>3</v>
      </c>
      <c r="EV245" s="19">
        <f t="shared" si="1117"/>
        <v>-5</v>
      </c>
      <c r="EW245" s="12">
        <f t="shared" si="1118"/>
        <v>5.7094975171261213</v>
      </c>
      <c r="EX245" s="19">
        <f t="shared" si="1119"/>
        <v>21.73224126537956</v>
      </c>
      <c r="EY245" s="19">
        <f t="shared" si="1120"/>
        <v>21.73224126537956</v>
      </c>
      <c r="FB245" s="12" t="s">
        <v>37</v>
      </c>
      <c r="FC245" s="12" t="s">
        <v>37</v>
      </c>
      <c r="FD245" s="12" t="s">
        <v>37</v>
      </c>
      <c r="FE245" s="12" t="s">
        <v>37</v>
      </c>
      <c r="FF245" s="20" t="s">
        <v>37</v>
      </c>
      <c r="FG245" s="12" t="s">
        <v>37</v>
      </c>
      <c r="FI245" s="12" t="s">
        <v>37</v>
      </c>
      <c r="FJ245" s="12" t="s">
        <v>37</v>
      </c>
      <c r="FK245" s="12" t="s">
        <v>37</v>
      </c>
      <c r="FL245" s="12" t="s">
        <v>37</v>
      </c>
      <c r="FM245" s="12" t="s">
        <v>37</v>
      </c>
      <c r="FN245" s="12" t="s">
        <v>37</v>
      </c>
      <c r="FP245" s="12" t="s">
        <v>37</v>
      </c>
      <c r="FQ245" s="12" t="s">
        <v>37</v>
      </c>
      <c r="FR245" s="12" t="s">
        <v>37</v>
      </c>
      <c r="FS245" s="12" t="s">
        <v>37</v>
      </c>
      <c r="FT245" s="12" t="s">
        <v>37</v>
      </c>
      <c r="FU245" s="12" t="s">
        <v>37</v>
      </c>
      <c r="FW245" s="12" t="s">
        <v>37</v>
      </c>
      <c r="FX245" s="12" t="s">
        <v>37</v>
      </c>
      <c r="FY245" s="12" t="s">
        <v>37</v>
      </c>
      <c r="FZ245" s="12" t="s">
        <v>37</v>
      </c>
      <c r="GA245" s="12" t="s">
        <v>37</v>
      </c>
      <c r="GB245" s="12" t="s">
        <v>37</v>
      </c>
      <c r="HA245" s="17" t="s">
        <v>63</v>
      </c>
      <c r="HB245" s="34" t="s">
        <v>372</v>
      </c>
      <c r="HG245" s="12">
        <v>7.9000000000000001E-2</v>
      </c>
      <c r="HH245" s="50">
        <f t="shared" si="1128"/>
        <v>8.836507077401301E-3</v>
      </c>
      <c r="HI245" s="13">
        <v>3</v>
      </c>
      <c r="IK245" s="12" t="s">
        <v>37</v>
      </c>
      <c r="IL245" s="12" t="s">
        <v>37</v>
      </c>
      <c r="IM245" s="12" t="s">
        <v>37</v>
      </c>
      <c r="IO245" s="12" t="s">
        <v>37</v>
      </c>
      <c r="IP245" s="12" t="s">
        <v>37</v>
      </c>
      <c r="IQ245" s="12" t="s">
        <v>37</v>
      </c>
      <c r="JH245" s="12" t="s">
        <v>37</v>
      </c>
      <c r="JI245" s="12" t="s">
        <v>37</v>
      </c>
      <c r="JJ245" s="13" t="s">
        <v>37</v>
      </c>
      <c r="JL245" s="12" t="s">
        <v>37</v>
      </c>
      <c r="JM245" s="12" t="s">
        <v>37</v>
      </c>
      <c r="JN245" s="12" t="s">
        <v>37</v>
      </c>
      <c r="JS245" s="12" t="s">
        <v>37</v>
      </c>
      <c r="JT245" s="12" t="s">
        <v>37</v>
      </c>
      <c r="JU245" s="13" t="s">
        <v>37</v>
      </c>
      <c r="JW245" s="12" t="s">
        <v>37</v>
      </c>
      <c r="JX245" s="12" t="s">
        <v>37</v>
      </c>
      <c r="JY245" s="12" t="s">
        <v>37</v>
      </c>
      <c r="KE245" s="12" t="s">
        <v>37</v>
      </c>
      <c r="KF245" s="12" t="s">
        <v>37</v>
      </c>
      <c r="KG245" s="13" t="s">
        <v>37</v>
      </c>
      <c r="KH245" s="12" t="s">
        <v>37</v>
      </c>
      <c r="KI245" s="12" t="s">
        <v>37</v>
      </c>
      <c r="KJ245" s="12" t="s">
        <v>37</v>
      </c>
      <c r="KS245" s="12"/>
      <c r="KX245" s="12" t="s">
        <v>37</v>
      </c>
      <c r="KY245" s="12" t="s">
        <v>37</v>
      </c>
      <c r="KZ245" s="12" t="s">
        <v>37</v>
      </c>
      <c r="LB245" s="12" t="s">
        <v>37</v>
      </c>
      <c r="LC245" s="12" t="s">
        <v>37</v>
      </c>
      <c r="LD245" s="12" t="s">
        <v>37</v>
      </c>
      <c r="LI245" s="12" t="s">
        <v>37</v>
      </c>
      <c r="LJ245" s="12" t="s">
        <v>37</v>
      </c>
      <c r="LK245" s="12" t="s">
        <v>37</v>
      </c>
      <c r="LM245" s="12" t="s">
        <v>37</v>
      </c>
      <c r="LN245" s="12" t="s">
        <v>37</v>
      </c>
      <c r="LO245" s="12" t="s">
        <v>37</v>
      </c>
      <c r="LU245" s="12" t="s">
        <v>37</v>
      </c>
      <c r="LV245" s="12" t="s">
        <v>37</v>
      </c>
      <c r="LW245" s="12" t="s">
        <v>37</v>
      </c>
      <c r="LY245" s="12" t="s">
        <v>37</v>
      </c>
      <c r="LZ245" s="12" t="s">
        <v>37</v>
      </c>
      <c r="MA245" s="12" t="s">
        <v>37</v>
      </c>
      <c r="MF245" s="12" t="s">
        <v>37</v>
      </c>
      <c r="MG245" s="12" t="s">
        <v>37</v>
      </c>
      <c r="MH245" s="12" t="s">
        <v>37</v>
      </c>
      <c r="MJ245" s="12" t="s">
        <v>37</v>
      </c>
      <c r="MK245" s="12" t="s">
        <v>37</v>
      </c>
      <c r="ML245" s="12" t="s">
        <v>37</v>
      </c>
      <c r="MQ245" s="12" t="s">
        <v>37</v>
      </c>
      <c r="MR245" s="12" t="s">
        <v>37</v>
      </c>
      <c r="MS245" s="12" t="s">
        <v>37</v>
      </c>
      <c r="MU245" s="12" t="s">
        <v>37</v>
      </c>
      <c r="MV245" s="12" t="s">
        <v>37</v>
      </c>
      <c r="MW245" s="12" t="s">
        <v>37</v>
      </c>
      <c r="NC245" s="12" t="s">
        <v>37</v>
      </c>
      <c r="ND245" s="12" t="s">
        <v>37</v>
      </c>
      <c r="NE245" s="12" t="s">
        <v>37</v>
      </c>
      <c r="NG245" s="12" t="s">
        <v>37</v>
      </c>
      <c r="NH245" s="12" t="s">
        <v>37</v>
      </c>
      <c r="NI245" s="12" t="s">
        <v>37</v>
      </c>
      <c r="NO245" s="12" t="s">
        <v>37</v>
      </c>
      <c r="NP245" s="12" t="s">
        <v>37</v>
      </c>
      <c r="NQ245" s="12" t="s">
        <v>37</v>
      </c>
      <c r="NS245" s="12" t="s">
        <v>37</v>
      </c>
      <c r="NT245" s="12" t="s">
        <v>37</v>
      </c>
      <c r="NU245" s="12" t="s">
        <v>37</v>
      </c>
      <c r="OA245" s="12" t="s">
        <v>37</v>
      </c>
      <c r="OB245" s="12" t="s">
        <v>37</v>
      </c>
      <c r="OC245" s="12" t="s">
        <v>37</v>
      </c>
      <c r="OD245" s="12"/>
      <c r="OE245" s="12" t="s">
        <v>37</v>
      </c>
      <c r="OF245" s="12" t="s">
        <v>37</v>
      </c>
      <c r="OG245" s="12" t="s">
        <v>37</v>
      </c>
      <c r="OH245" s="12"/>
      <c r="OI245" s="12"/>
      <c r="OJ245" s="12"/>
      <c r="OM245" s="12" t="s">
        <v>37</v>
      </c>
      <c r="ON245" s="12" t="s">
        <v>37</v>
      </c>
      <c r="OO245" s="12" t="s">
        <v>37</v>
      </c>
      <c r="OP245" s="12" t="s">
        <v>37</v>
      </c>
      <c r="OQ245" s="12" t="s">
        <v>37</v>
      </c>
      <c r="OR245" s="12" t="s">
        <v>37</v>
      </c>
      <c r="OS245" s="12"/>
      <c r="OT245" s="12"/>
      <c r="OW245" s="12" t="s">
        <v>37</v>
      </c>
      <c r="OX245" s="12" t="s">
        <v>37</v>
      </c>
      <c r="OY245" s="13" t="s">
        <v>37</v>
      </c>
      <c r="OZ245" s="12" t="s">
        <v>37</v>
      </c>
      <c r="PA245" s="12" t="s">
        <v>37</v>
      </c>
      <c r="PB245" s="13" t="s">
        <v>37</v>
      </c>
      <c r="PG245" s="12" t="s">
        <v>37</v>
      </c>
      <c r="PH245" s="12" t="s">
        <v>37</v>
      </c>
      <c r="PI245" s="12" t="s">
        <v>37</v>
      </c>
      <c r="PJ245" s="12" t="s">
        <v>37</v>
      </c>
      <c r="PK245" s="12" t="s">
        <v>37</v>
      </c>
      <c r="PL245" s="12" t="s">
        <v>37</v>
      </c>
      <c r="PM245" s="12"/>
      <c r="PN245" s="12"/>
      <c r="PQ245" s="12" t="s">
        <v>37</v>
      </c>
      <c r="PR245" s="12" t="s">
        <v>37</v>
      </c>
      <c r="PS245" s="12" t="s">
        <v>37</v>
      </c>
      <c r="PT245" s="12" t="s">
        <v>37</v>
      </c>
      <c r="PU245" s="12" t="s">
        <v>37</v>
      </c>
      <c r="PV245" s="12" t="s">
        <v>37</v>
      </c>
      <c r="PW245" s="12"/>
      <c r="PX245" s="12"/>
      <c r="PZ245" s="12" t="s">
        <v>37</v>
      </c>
      <c r="QA245" s="12" t="s">
        <v>37</v>
      </c>
      <c r="QB245" s="12" t="s">
        <v>37</v>
      </c>
      <c r="QD245" s="12" t="s">
        <v>37</v>
      </c>
      <c r="QE245" s="12" t="s">
        <v>37</v>
      </c>
      <c r="QF245" s="12" t="s">
        <v>37</v>
      </c>
      <c r="QK245" s="12" t="s">
        <v>37</v>
      </c>
      <c r="QL245" s="12" t="s">
        <v>37</v>
      </c>
      <c r="QM245" s="12" t="s">
        <v>37</v>
      </c>
      <c r="QN245" s="12" t="s">
        <v>37</v>
      </c>
      <c r="QO245" s="12" t="s">
        <v>37</v>
      </c>
      <c r="QP245" s="12" t="s">
        <v>37</v>
      </c>
      <c r="QQ245" s="12"/>
      <c r="QR245" s="12"/>
      <c r="QU245" s="12" t="s">
        <v>37</v>
      </c>
      <c r="QV245" s="12" t="s">
        <v>37</v>
      </c>
      <c r="QW245" s="12" t="s">
        <v>37</v>
      </c>
      <c r="QX245" s="12" t="s">
        <v>37</v>
      </c>
      <c r="QY245" s="12" t="s">
        <v>37</v>
      </c>
      <c r="QZ245" s="12" t="s">
        <v>37</v>
      </c>
      <c r="RC245" s="12" t="s">
        <v>37</v>
      </c>
      <c r="RD245" s="12" t="s">
        <v>37</v>
      </c>
      <c r="RE245" s="13" t="s">
        <v>37</v>
      </c>
      <c r="RF245" s="12" t="s">
        <v>37</v>
      </c>
      <c r="RG245" s="12" t="s">
        <v>37</v>
      </c>
      <c r="RH245" s="13" t="s">
        <v>37</v>
      </c>
      <c r="RK245" s="12" t="s">
        <v>37</v>
      </c>
      <c r="RL245" s="12" t="s">
        <v>37</v>
      </c>
      <c r="RM245" s="11" t="s">
        <v>37</v>
      </c>
      <c r="RN245" s="12" t="s">
        <v>37</v>
      </c>
      <c r="RO245" s="12" t="s">
        <v>37</v>
      </c>
      <c r="RP245" s="11" t="s">
        <v>37</v>
      </c>
      <c r="RS245" s="12" t="s">
        <v>37</v>
      </c>
      <c r="RT245" s="12" t="s">
        <v>37</v>
      </c>
      <c r="RU245" s="12" t="s">
        <v>37</v>
      </c>
      <c r="RV245" s="12" t="s">
        <v>37</v>
      </c>
      <c r="RW245" s="12" t="s">
        <v>37</v>
      </c>
      <c r="RX245" s="12" t="s">
        <v>37</v>
      </c>
      <c r="SA245" s="12" t="s">
        <v>37</v>
      </c>
      <c r="SB245" s="12" t="s">
        <v>37</v>
      </c>
      <c r="SC245" s="12" t="s">
        <v>37</v>
      </c>
      <c r="SD245" s="12" t="s">
        <v>37</v>
      </c>
      <c r="SE245" s="12" t="s">
        <v>37</v>
      </c>
      <c r="SF245" s="12" t="s">
        <v>37</v>
      </c>
      <c r="SI245" s="12" t="s">
        <v>37</v>
      </c>
      <c r="SJ245" s="12" t="s">
        <v>37</v>
      </c>
      <c r="SK245" s="13" t="s">
        <v>37</v>
      </c>
      <c r="SM245" s="12" t="s">
        <v>37</v>
      </c>
      <c r="SN245" s="12" t="s">
        <v>37</v>
      </c>
      <c r="SO245" s="13" t="s">
        <v>37</v>
      </c>
      <c r="SU245" s="12" t="s">
        <v>37</v>
      </c>
      <c r="SV245" s="12" t="s">
        <v>37</v>
      </c>
      <c r="SW245" s="12" t="s">
        <v>37</v>
      </c>
      <c r="SX245" s="12" t="s">
        <v>37</v>
      </c>
      <c r="SY245" s="12" t="s">
        <v>37</v>
      </c>
      <c r="SZ245" s="12" t="s">
        <v>37</v>
      </c>
      <c r="TA245" s="12"/>
      <c r="TB245" s="12"/>
      <c r="TE245" s="12" t="s">
        <v>37</v>
      </c>
      <c r="TF245" s="12" t="s">
        <v>37</v>
      </c>
      <c r="TG245" s="12" t="s">
        <v>37</v>
      </c>
      <c r="TH245" s="12" t="s">
        <v>37</v>
      </c>
      <c r="TI245" s="12" t="s">
        <v>37</v>
      </c>
      <c r="TJ245" s="12" t="s">
        <v>37</v>
      </c>
      <c r="TK245" s="12"/>
      <c r="TL245" s="12"/>
      <c r="TO245" s="12" t="s">
        <v>37</v>
      </c>
      <c r="TP245" s="12" t="s">
        <v>37</v>
      </c>
      <c r="TQ245" s="12" t="s">
        <v>37</v>
      </c>
      <c r="TR245" s="12" t="s">
        <v>37</v>
      </c>
      <c r="TS245" s="12" t="s">
        <v>37</v>
      </c>
      <c r="TT245" s="12" t="s">
        <v>37</v>
      </c>
      <c r="TU245" s="12"/>
      <c r="TV245" s="12"/>
      <c r="TY245" s="12" t="s">
        <v>37</v>
      </c>
      <c r="TZ245" s="12" t="s">
        <v>37</v>
      </c>
      <c r="UA245" s="12" t="s">
        <v>37</v>
      </c>
      <c r="UB245" s="12" t="s">
        <v>37</v>
      </c>
      <c r="UC245" s="12" t="s">
        <v>37</v>
      </c>
      <c r="UD245" s="12" t="s">
        <v>37</v>
      </c>
      <c r="UE245" s="12"/>
      <c r="UF245" s="12"/>
      <c r="UI245" s="12" t="s">
        <v>37</v>
      </c>
      <c r="UJ245" s="12" t="s">
        <v>37</v>
      </c>
      <c r="UK245" s="12" t="s">
        <v>37</v>
      </c>
      <c r="UL245" s="12" t="s">
        <v>37</v>
      </c>
      <c r="UM245" s="12" t="s">
        <v>37</v>
      </c>
      <c r="UN245" s="12" t="s">
        <v>37</v>
      </c>
      <c r="UO245" s="12"/>
      <c r="UP245" s="12"/>
      <c r="UR245" s="12" t="s">
        <v>37</v>
      </c>
      <c r="US245" s="12" t="s">
        <v>37</v>
      </c>
      <c r="UT245" s="12" t="s">
        <v>37</v>
      </c>
      <c r="UU245" s="12" t="s">
        <v>37</v>
      </c>
      <c r="UV245" s="12" t="s">
        <v>37</v>
      </c>
      <c r="UW245" s="12" t="s">
        <v>37</v>
      </c>
      <c r="UX245" s="12"/>
      <c r="UY245" s="12"/>
      <c r="VB245" s="12" t="s">
        <v>37</v>
      </c>
      <c r="VC245" s="12" t="s">
        <v>37</v>
      </c>
      <c r="VD245" s="12" t="s">
        <v>37</v>
      </c>
      <c r="VE245" s="12" t="s">
        <v>37</v>
      </c>
      <c r="VF245" s="12" t="s">
        <v>37</v>
      </c>
      <c r="VG245" s="12" t="s">
        <v>37</v>
      </c>
      <c r="VI245" s="12" t="s">
        <v>37</v>
      </c>
      <c r="VJ245" s="12" t="s">
        <v>37</v>
      </c>
      <c r="VK245" s="12" t="s">
        <v>37</v>
      </c>
      <c r="VL245" s="12" t="s">
        <v>37</v>
      </c>
      <c r="VM245" s="12" t="s">
        <v>37</v>
      </c>
      <c r="VN245" s="12" t="s">
        <v>37</v>
      </c>
      <c r="VQ245" s="12" t="s">
        <v>37</v>
      </c>
      <c r="VR245" s="12" t="s">
        <v>37</v>
      </c>
      <c r="VS245" s="12" t="s">
        <v>37</v>
      </c>
      <c r="VT245" s="12" t="s">
        <v>37</v>
      </c>
      <c r="VU245" s="12" t="s">
        <v>37</v>
      </c>
      <c r="VV245" s="12" t="s">
        <v>37</v>
      </c>
      <c r="VW245" s="12"/>
      <c r="VX245" s="12"/>
      <c r="WA245" s="12" t="s">
        <v>37</v>
      </c>
      <c r="WB245" s="12" t="s">
        <v>37</v>
      </c>
      <c r="WC245" s="12" t="s">
        <v>37</v>
      </c>
      <c r="WD245" s="12" t="s">
        <v>37</v>
      </c>
      <c r="WE245" s="12" t="s">
        <v>37</v>
      </c>
      <c r="WF245" s="12" t="s">
        <v>37</v>
      </c>
    </row>
    <row r="246" spans="1:604" ht="18" customHeight="1" x14ac:dyDescent="0.3">
      <c r="A246" s="11">
        <v>65</v>
      </c>
      <c r="B246" s="16" t="s">
        <v>898</v>
      </c>
      <c r="C246" s="12" t="s">
        <v>26</v>
      </c>
      <c r="D246" s="12" t="s">
        <v>830</v>
      </c>
      <c r="E246" s="40">
        <v>2.5</v>
      </c>
      <c r="F246" s="14">
        <v>0</v>
      </c>
      <c r="G246" s="14">
        <v>0</v>
      </c>
      <c r="H246" s="12" t="s">
        <v>88</v>
      </c>
      <c r="I246" s="29">
        <v>-2.3199999999999998</v>
      </c>
      <c r="J246" s="29">
        <v>113.9</v>
      </c>
      <c r="K246" s="12" t="s">
        <v>379</v>
      </c>
      <c r="L246" s="12" t="s">
        <v>380</v>
      </c>
      <c r="M246" s="13" t="s">
        <v>37</v>
      </c>
      <c r="N246" s="14">
        <v>26.1</v>
      </c>
      <c r="O246" s="14">
        <v>2561</v>
      </c>
      <c r="P246" s="14" t="s">
        <v>89</v>
      </c>
      <c r="Q246" s="75">
        <v>8</v>
      </c>
      <c r="R246" s="11" t="s">
        <v>37</v>
      </c>
      <c r="S246" s="12" t="s">
        <v>105</v>
      </c>
      <c r="T246" s="90" t="s">
        <v>141</v>
      </c>
      <c r="U246" s="12" t="s">
        <v>158</v>
      </c>
      <c r="V246" s="12" t="s">
        <v>275</v>
      </c>
      <c r="W246" s="23" t="s">
        <v>381</v>
      </c>
      <c r="X246" s="12" t="s">
        <v>49</v>
      </c>
      <c r="Y246" s="12" t="s">
        <v>37</v>
      </c>
      <c r="Z246" s="12" t="s">
        <v>37</v>
      </c>
      <c r="AB246" s="12" t="s">
        <v>37</v>
      </c>
      <c r="AE246" s="12" t="s">
        <v>37</v>
      </c>
      <c r="AH246" s="12" t="s">
        <v>37</v>
      </c>
      <c r="AK246" s="12" t="s">
        <v>37</v>
      </c>
      <c r="AL246" s="32" t="s">
        <v>382</v>
      </c>
      <c r="AM246" s="12" t="s">
        <v>344</v>
      </c>
      <c r="AO246" s="12" t="s">
        <v>37</v>
      </c>
      <c r="AP246" s="12" t="s">
        <v>370</v>
      </c>
      <c r="AQ246" s="12" t="s">
        <v>849</v>
      </c>
      <c r="AT246" s="12" t="s">
        <v>326</v>
      </c>
      <c r="AU246" s="12" t="s">
        <v>326</v>
      </c>
      <c r="AV246" s="13" t="s">
        <v>326</v>
      </c>
      <c r="AX246" s="12" t="s">
        <v>326</v>
      </c>
      <c r="AY246" s="12" t="s">
        <v>326</v>
      </c>
      <c r="AZ246" s="13" t="s">
        <v>326</v>
      </c>
      <c r="BE246" s="12" t="s">
        <v>326</v>
      </c>
      <c r="BF246" s="12" t="s">
        <v>326</v>
      </c>
      <c r="BG246" s="12" t="s">
        <v>326</v>
      </c>
      <c r="BI246" s="12" t="s">
        <v>326</v>
      </c>
      <c r="BJ246" s="12" t="s">
        <v>326</v>
      </c>
      <c r="BK246" s="12" t="s">
        <v>326</v>
      </c>
      <c r="BP246" s="12" t="s">
        <v>37</v>
      </c>
      <c r="BQ246" s="12" t="s">
        <v>37</v>
      </c>
      <c r="BR246" s="13" t="s">
        <v>37</v>
      </c>
      <c r="BT246" s="12" t="s">
        <v>37</v>
      </c>
      <c r="BU246" s="12" t="s">
        <v>37</v>
      </c>
      <c r="BV246" s="12" t="s">
        <v>37</v>
      </c>
      <c r="BZ246" s="12" t="s">
        <v>47</v>
      </c>
      <c r="CA246" s="12">
        <f>-3521*44/12*10^4/10^3</f>
        <v>-129103.33333333334</v>
      </c>
      <c r="CB246" s="50">
        <f>ABS(CA246)*CD$474</f>
        <v>31476.743163089086</v>
      </c>
      <c r="CC246" s="13">
        <v>1</v>
      </c>
      <c r="CE246" s="12">
        <f>-3174*44/12*10^4/10^3</f>
        <v>-116380</v>
      </c>
      <c r="CF246" s="50">
        <f>ABS(CE246)*CH$474</f>
        <v>43324.677444112938</v>
      </c>
      <c r="CG246" s="13">
        <v>1</v>
      </c>
      <c r="CI246" s="75">
        <f t="shared" ref="CI246:CI249" si="1139">CE246-CA246</f>
        <v>12723.333333333343</v>
      </c>
      <c r="CJ246" s="12" t="e">
        <f t="shared" ref="CJ246:CJ249" si="1140">SQRT(((CC246-1)*CB246^2+(CG246-1)*CF246^2)/(CC246+CG246-2))</f>
        <v>#DIV/0!</v>
      </c>
      <c r="CK246" s="72" t="e">
        <f t="shared" ref="CK246:CK249" si="1141">(((CC246+CG246)/(CC246*CG246))*(((CC246-1)*CB246^2)+(CG246-1)*CF246^2)/(CC246+CG246-2))</f>
        <v>#DIV/0!</v>
      </c>
      <c r="CL246" s="72">
        <f t="shared" ref="CL246:CL249" si="1142">(CB246^2/CC246)+(CF246^2/CG246)</f>
        <v>2867813035.7915039</v>
      </c>
      <c r="CM246" s="12" t="s">
        <v>47</v>
      </c>
      <c r="CN246" s="12">
        <f>3721*44/12*10^4/10^3</f>
        <v>136436.66666666666</v>
      </c>
      <c r="CO246" s="50">
        <f>ABS(CN246)*CQ$474</f>
        <v>39242.911350487644</v>
      </c>
      <c r="CP246" s="13">
        <v>1</v>
      </c>
      <c r="CR246" s="12">
        <f>3671*44/12*10^4/10^3</f>
        <v>134603.33333333334</v>
      </c>
      <c r="CS246" s="50">
        <f>ABS(CR246)*CU$474</f>
        <v>35318.726117508595</v>
      </c>
      <c r="CT246" s="13">
        <v>1</v>
      </c>
      <c r="CV246" s="75">
        <f t="shared" ref="CV246:CV249" si="1143">CR246-CN246</f>
        <v>-1833.3333333333139</v>
      </c>
      <c r="CW246" s="12" t="e">
        <f t="shared" ref="CW246:CW249" si="1144">SQRT(((CP246-1)*CO246^2+(CT246-1)*CS246^2)/(CP246+CT246-2))</f>
        <v>#DIV/0!</v>
      </c>
      <c r="CX246" s="72" t="e">
        <f t="shared" ref="CX246:CX249" si="1145">(((CP246+CT246)/(CP246*CT246))*(((CP246-1)*CO246^2)+(CT246-1)*CS246^2)/(CP246+CT246-2))</f>
        <v>#DIV/0!</v>
      </c>
      <c r="CY246" s="72">
        <f t="shared" ref="CY246:CY249" si="1146">(CO246^2/CP246)+(CS246^2/CT246)</f>
        <v>2787418505.8258162</v>
      </c>
      <c r="CZ246" s="12" t="s">
        <v>47</v>
      </c>
      <c r="DA246" s="12">
        <f>209*44/12*10^4/10^3</f>
        <v>7663.3333333333339</v>
      </c>
      <c r="DB246" s="50">
        <f>ABS(DA246)*DD$474</f>
        <v>22987.368094732003</v>
      </c>
      <c r="DC246" s="13">
        <v>1</v>
      </c>
      <c r="DE246" s="12">
        <f>497*44/12*10^4/10^3</f>
        <v>18223.333333333332</v>
      </c>
      <c r="DF246" s="50">
        <f>ABS(DE246)*DH$474</f>
        <v>17369.438854789216</v>
      </c>
      <c r="DG246" s="13">
        <v>1</v>
      </c>
      <c r="DI246" s="19">
        <f>DE246-DA246</f>
        <v>10559.999999999998</v>
      </c>
      <c r="DJ246" s="12" t="e">
        <f t="shared" ref="DJ246:DJ249" si="1147">SQRT(((DC246-1)*DB246^2+(DG246-1)*DF246^2)/(DC246+DG246-2))</f>
        <v>#DIV/0!</v>
      </c>
      <c r="DK246" s="72" t="e">
        <f t="shared" ref="DK246:DK249" si="1148">(((DC246+DG246)/(DC246*DG246))*(((DC246-1)*DB246^2)+(DG246-1)*DF246^2)/(DC246+DG246-2))</f>
        <v>#DIV/0!</v>
      </c>
      <c r="DL246" s="72">
        <f>(DB246^2/DC246)+(DF246^2/DG246)</f>
        <v>830116498.05296421</v>
      </c>
      <c r="DN246" s="19" t="s">
        <v>37</v>
      </c>
      <c r="DO246" s="12" t="s">
        <v>37</v>
      </c>
      <c r="DP246" s="13" t="s">
        <v>37</v>
      </c>
      <c r="DR246" s="19" t="s">
        <v>37</v>
      </c>
      <c r="DS246" s="12" t="s">
        <v>37</v>
      </c>
      <c r="DT246" s="13" t="s">
        <v>37</v>
      </c>
      <c r="EA246" s="19" t="s">
        <v>37</v>
      </c>
      <c r="EB246" s="19" t="s">
        <v>37</v>
      </c>
      <c r="EC246" s="72" t="s">
        <v>37</v>
      </c>
      <c r="EE246" s="19" t="s">
        <v>37</v>
      </c>
      <c r="EF246" s="19" t="s">
        <v>37</v>
      </c>
      <c r="EG246" s="12" t="s">
        <v>37</v>
      </c>
      <c r="EN246" s="12" t="s">
        <v>37</v>
      </c>
      <c r="EO246" s="12" t="s">
        <v>37</v>
      </c>
      <c r="EP246" s="13" t="s">
        <v>37</v>
      </c>
      <c r="ER246" s="12">
        <v>-65</v>
      </c>
      <c r="ES246" s="12" t="s">
        <v>37</v>
      </c>
      <c r="ET246" s="13" t="s">
        <v>37</v>
      </c>
      <c r="FB246" s="12" t="s">
        <v>37</v>
      </c>
      <c r="FC246" s="12" t="s">
        <v>37</v>
      </c>
      <c r="FD246" s="12" t="s">
        <v>37</v>
      </c>
      <c r="FE246" s="12" t="s">
        <v>37</v>
      </c>
      <c r="FF246" s="20" t="s">
        <v>37</v>
      </c>
      <c r="FG246" s="12" t="s">
        <v>37</v>
      </c>
      <c r="FI246" s="12" t="s">
        <v>37</v>
      </c>
      <c r="FJ246" s="12" t="s">
        <v>37</v>
      </c>
      <c r="FK246" s="12" t="s">
        <v>37</v>
      </c>
      <c r="FL246" s="12" t="s">
        <v>37</v>
      </c>
      <c r="FM246" s="12" t="s">
        <v>37</v>
      </c>
      <c r="FN246" s="12" t="s">
        <v>37</v>
      </c>
      <c r="FP246" s="12" t="s">
        <v>37</v>
      </c>
      <c r="FQ246" s="12" t="s">
        <v>37</v>
      </c>
      <c r="FR246" s="12" t="s">
        <v>37</v>
      </c>
      <c r="FS246" s="12" t="s">
        <v>37</v>
      </c>
      <c r="FT246" s="12" t="s">
        <v>37</v>
      </c>
      <c r="FU246" s="12" t="s">
        <v>37</v>
      </c>
      <c r="FW246" s="12" t="s">
        <v>37</v>
      </c>
      <c r="FX246" s="12" t="s">
        <v>37</v>
      </c>
      <c r="FY246" s="12" t="s">
        <v>37</v>
      </c>
      <c r="FZ246" s="12" t="s">
        <v>37</v>
      </c>
      <c r="GA246" s="12" t="s">
        <v>37</v>
      </c>
      <c r="GB246" s="12" t="s">
        <v>37</v>
      </c>
      <c r="IK246" s="12" t="s">
        <v>37</v>
      </c>
      <c r="IL246" s="12" t="s">
        <v>37</v>
      </c>
      <c r="IM246" s="12" t="s">
        <v>37</v>
      </c>
      <c r="IO246" s="12" t="s">
        <v>37</v>
      </c>
      <c r="IP246" s="12" t="s">
        <v>37</v>
      </c>
      <c r="IQ246" s="12" t="s">
        <v>37</v>
      </c>
      <c r="IW246" s="12" t="s">
        <v>37</v>
      </c>
      <c r="IX246" s="12" t="s">
        <v>37</v>
      </c>
      <c r="IY246" s="13" t="s">
        <v>37</v>
      </c>
      <c r="JA246" s="12" t="s">
        <v>37</v>
      </c>
      <c r="JB246" s="12" t="s">
        <v>37</v>
      </c>
      <c r="JC246" s="13" t="s">
        <v>37</v>
      </c>
      <c r="JH246" s="12" t="s">
        <v>37</v>
      </c>
      <c r="JI246" s="12" t="s">
        <v>37</v>
      </c>
      <c r="JJ246" s="13" t="s">
        <v>37</v>
      </c>
      <c r="JL246" s="12" t="s">
        <v>37</v>
      </c>
      <c r="JM246" s="12" t="s">
        <v>37</v>
      </c>
      <c r="JN246" s="12" t="s">
        <v>37</v>
      </c>
      <c r="JS246" s="12" t="s">
        <v>37</v>
      </c>
      <c r="JT246" s="12" t="s">
        <v>37</v>
      </c>
      <c r="JU246" s="13" t="s">
        <v>37</v>
      </c>
      <c r="JW246" s="12" t="s">
        <v>37</v>
      </c>
      <c r="JX246" s="12" t="s">
        <v>37</v>
      </c>
      <c r="JY246" s="12" t="s">
        <v>37</v>
      </c>
      <c r="KE246" s="12" t="s">
        <v>37</v>
      </c>
      <c r="KF246" s="12" t="s">
        <v>37</v>
      </c>
      <c r="KG246" s="13" t="s">
        <v>37</v>
      </c>
      <c r="KH246" s="12" t="s">
        <v>37</v>
      </c>
      <c r="KI246" s="12" t="s">
        <v>37</v>
      </c>
      <c r="KJ246" s="12" t="s">
        <v>37</v>
      </c>
      <c r="KM246" s="12" t="s">
        <v>37</v>
      </c>
      <c r="KN246" s="12" t="s">
        <v>37</v>
      </c>
      <c r="KO246" s="11" t="s">
        <v>37</v>
      </c>
      <c r="KQ246" s="12" t="s">
        <v>37</v>
      </c>
      <c r="KR246" s="12" t="s">
        <v>37</v>
      </c>
      <c r="KS246" s="12" t="s">
        <v>37</v>
      </c>
      <c r="KX246" s="12" t="s">
        <v>37</v>
      </c>
      <c r="KY246" s="12" t="s">
        <v>37</v>
      </c>
      <c r="KZ246" s="12" t="s">
        <v>37</v>
      </c>
      <c r="LB246" s="12" t="s">
        <v>37</v>
      </c>
      <c r="LC246" s="12" t="s">
        <v>37</v>
      </c>
      <c r="LD246" s="12" t="s">
        <v>37</v>
      </c>
      <c r="LI246" s="12" t="s">
        <v>37</v>
      </c>
      <c r="LJ246" s="12" t="s">
        <v>37</v>
      </c>
      <c r="LK246" s="12" t="s">
        <v>37</v>
      </c>
      <c r="LM246" s="12" t="s">
        <v>37</v>
      </c>
      <c r="LN246" s="12" t="s">
        <v>37</v>
      </c>
      <c r="LO246" s="12" t="s">
        <v>37</v>
      </c>
      <c r="LU246" s="12" t="s">
        <v>37</v>
      </c>
      <c r="LV246" s="12" t="s">
        <v>37</v>
      </c>
      <c r="LW246" s="12" t="s">
        <v>37</v>
      </c>
      <c r="LY246" s="12" t="s">
        <v>37</v>
      </c>
      <c r="LZ246" s="12" t="s">
        <v>37</v>
      </c>
      <c r="MA246" s="12" t="s">
        <v>37</v>
      </c>
      <c r="MF246" s="12" t="s">
        <v>37</v>
      </c>
      <c r="MG246" s="12" t="s">
        <v>37</v>
      </c>
      <c r="MH246" s="12" t="s">
        <v>37</v>
      </c>
      <c r="MJ246" s="12" t="s">
        <v>37</v>
      </c>
      <c r="MK246" s="12" t="s">
        <v>37</v>
      </c>
      <c r="ML246" s="12" t="s">
        <v>37</v>
      </c>
      <c r="MQ246" s="12" t="s">
        <v>37</v>
      </c>
      <c r="MR246" s="12" t="s">
        <v>37</v>
      </c>
      <c r="MS246" s="12" t="s">
        <v>37</v>
      </c>
      <c r="MU246" s="12" t="s">
        <v>37</v>
      </c>
      <c r="MV246" s="12" t="s">
        <v>37</v>
      </c>
      <c r="MW246" s="12" t="s">
        <v>37</v>
      </c>
      <c r="NC246" s="12" t="s">
        <v>37</v>
      </c>
      <c r="ND246" s="12" t="s">
        <v>37</v>
      </c>
      <c r="NE246" s="12" t="s">
        <v>37</v>
      </c>
      <c r="NG246" s="12" t="s">
        <v>37</v>
      </c>
      <c r="NH246" s="12" t="s">
        <v>37</v>
      </c>
      <c r="NI246" s="12" t="s">
        <v>37</v>
      </c>
      <c r="NO246" s="12" t="s">
        <v>37</v>
      </c>
      <c r="NP246" s="12" t="s">
        <v>37</v>
      </c>
      <c r="NQ246" s="12" t="s">
        <v>37</v>
      </c>
      <c r="NS246" s="12" t="s">
        <v>37</v>
      </c>
      <c r="NT246" s="12" t="s">
        <v>37</v>
      </c>
      <c r="NU246" s="12" t="s">
        <v>37</v>
      </c>
      <c r="OA246" s="12" t="s">
        <v>37</v>
      </c>
      <c r="OB246" s="12" t="s">
        <v>37</v>
      </c>
      <c r="OC246" s="12" t="s">
        <v>37</v>
      </c>
      <c r="OD246" s="12"/>
      <c r="OE246" s="12" t="s">
        <v>37</v>
      </c>
      <c r="OF246" s="12" t="s">
        <v>37</v>
      </c>
      <c r="OG246" s="12" t="s">
        <v>37</v>
      </c>
      <c r="OH246" s="12"/>
      <c r="OI246" s="12"/>
      <c r="OJ246" s="12"/>
      <c r="OM246" s="12" t="s">
        <v>37</v>
      </c>
      <c r="ON246" s="12" t="s">
        <v>37</v>
      </c>
      <c r="OO246" s="12" t="s">
        <v>37</v>
      </c>
      <c r="OP246" s="12" t="s">
        <v>37</v>
      </c>
      <c r="OQ246" s="12" t="s">
        <v>37</v>
      </c>
      <c r="OR246" s="12" t="s">
        <v>37</v>
      </c>
      <c r="OS246" s="12"/>
      <c r="OT246" s="12"/>
      <c r="OW246" s="12" t="s">
        <v>37</v>
      </c>
      <c r="OX246" s="12" t="s">
        <v>37</v>
      </c>
      <c r="OY246" s="13" t="s">
        <v>37</v>
      </c>
      <c r="OZ246" s="12" t="s">
        <v>37</v>
      </c>
      <c r="PA246" s="12" t="s">
        <v>37</v>
      </c>
      <c r="PB246" s="13" t="s">
        <v>37</v>
      </c>
      <c r="PG246" s="12" t="s">
        <v>37</v>
      </c>
      <c r="PH246" s="12" t="s">
        <v>37</v>
      </c>
      <c r="PI246" s="12" t="s">
        <v>37</v>
      </c>
      <c r="PJ246" s="12" t="s">
        <v>37</v>
      </c>
      <c r="PK246" s="12" t="s">
        <v>37</v>
      </c>
      <c r="PL246" s="12" t="s">
        <v>37</v>
      </c>
      <c r="PM246" s="12"/>
      <c r="PN246" s="12"/>
      <c r="PQ246" s="12" t="s">
        <v>37</v>
      </c>
      <c r="PR246" s="12" t="s">
        <v>37</v>
      </c>
      <c r="PS246" s="12" t="s">
        <v>37</v>
      </c>
      <c r="PT246" s="12" t="s">
        <v>37</v>
      </c>
      <c r="PU246" s="12" t="s">
        <v>37</v>
      </c>
      <c r="PV246" s="12" t="s">
        <v>37</v>
      </c>
      <c r="PW246" s="12"/>
      <c r="PX246" s="12"/>
      <c r="PZ246" s="12" t="s">
        <v>37</v>
      </c>
      <c r="QA246" s="12" t="s">
        <v>37</v>
      </c>
      <c r="QB246" s="12" t="s">
        <v>37</v>
      </c>
      <c r="QD246" s="12" t="s">
        <v>37</v>
      </c>
      <c r="QE246" s="12" t="s">
        <v>37</v>
      </c>
      <c r="QF246" s="12" t="s">
        <v>37</v>
      </c>
      <c r="QK246" s="12" t="s">
        <v>37</v>
      </c>
      <c r="QL246" s="12" t="s">
        <v>37</v>
      </c>
      <c r="QM246" s="12" t="s">
        <v>37</v>
      </c>
      <c r="QN246" s="12" t="s">
        <v>37</v>
      </c>
      <c r="QO246" s="12" t="s">
        <v>37</v>
      </c>
      <c r="QP246" s="12" t="s">
        <v>37</v>
      </c>
      <c r="QQ246" s="12"/>
      <c r="QR246" s="12"/>
      <c r="QU246" s="12" t="s">
        <v>37</v>
      </c>
      <c r="QV246" s="12" t="s">
        <v>37</v>
      </c>
      <c r="QW246" s="12" t="s">
        <v>37</v>
      </c>
      <c r="QX246" s="12" t="s">
        <v>37</v>
      </c>
      <c r="QY246" s="12" t="s">
        <v>37</v>
      </c>
      <c r="QZ246" s="12" t="s">
        <v>37</v>
      </c>
      <c r="RC246" s="12" t="s">
        <v>37</v>
      </c>
      <c r="RD246" s="12" t="s">
        <v>37</v>
      </c>
      <c r="RE246" s="13" t="s">
        <v>37</v>
      </c>
      <c r="RF246" s="12" t="s">
        <v>37</v>
      </c>
      <c r="RG246" s="12" t="s">
        <v>37</v>
      </c>
      <c r="RH246" s="13" t="s">
        <v>37</v>
      </c>
      <c r="RK246" s="12" t="s">
        <v>37</v>
      </c>
      <c r="RL246" s="12" t="s">
        <v>37</v>
      </c>
      <c r="RM246" s="11" t="s">
        <v>37</v>
      </c>
      <c r="RN246" s="12" t="s">
        <v>37</v>
      </c>
      <c r="RO246" s="12" t="s">
        <v>37</v>
      </c>
      <c r="RP246" s="11" t="s">
        <v>37</v>
      </c>
      <c r="RS246" s="12" t="s">
        <v>37</v>
      </c>
      <c r="RT246" s="12" t="s">
        <v>37</v>
      </c>
      <c r="RU246" s="12" t="s">
        <v>37</v>
      </c>
      <c r="RV246" s="12" t="s">
        <v>37</v>
      </c>
      <c r="RW246" s="12" t="s">
        <v>37</v>
      </c>
      <c r="RX246" s="12" t="s">
        <v>37</v>
      </c>
      <c r="SA246" s="12" t="s">
        <v>37</v>
      </c>
      <c r="SB246" s="12" t="s">
        <v>37</v>
      </c>
      <c r="SC246" s="12" t="s">
        <v>37</v>
      </c>
      <c r="SD246" s="12" t="s">
        <v>37</v>
      </c>
      <c r="SE246" s="12" t="s">
        <v>37</v>
      </c>
      <c r="SF246" s="12" t="s">
        <v>37</v>
      </c>
      <c r="SI246" s="12" t="s">
        <v>37</v>
      </c>
      <c r="SJ246" s="12" t="s">
        <v>37</v>
      </c>
      <c r="SK246" s="13" t="s">
        <v>37</v>
      </c>
      <c r="SM246" s="12" t="s">
        <v>37</v>
      </c>
      <c r="SN246" s="12" t="s">
        <v>37</v>
      </c>
      <c r="SO246" s="13" t="s">
        <v>37</v>
      </c>
      <c r="SU246" s="12" t="s">
        <v>37</v>
      </c>
      <c r="SV246" s="12" t="s">
        <v>37</v>
      </c>
      <c r="SW246" s="12" t="s">
        <v>37</v>
      </c>
      <c r="SX246" s="12" t="s">
        <v>37</v>
      </c>
      <c r="SY246" s="12" t="s">
        <v>37</v>
      </c>
      <c r="SZ246" s="12" t="s">
        <v>37</v>
      </c>
      <c r="TA246" s="12"/>
      <c r="TB246" s="12"/>
      <c r="TE246" s="12" t="s">
        <v>37</v>
      </c>
      <c r="TF246" s="12" t="s">
        <v>37</v>
      </c>
      <c r="TG246" s="12" t="s">
        <v>37</v>
      </c>
      <c r="TH246" s="12" t="s">
        <v>37</v>
      </c>
      <c r="TI246" s="12" t="s">
        <v>37</v>
      </c>
      <c r="TJ246" s="12" t="s">
        <v>37</v>
      </c>
      <c r="TK246" s="12"/>
      <c r="TL246" s="12"/>
      <c r="TO246" s="12" t="s">
        <v>37</v>
      </c>
      <c r="TP246" s="12" t="s">
        <v>37</v>
      </c>
      <c r="TQ246" s="12" t="s">
        <v>37</v>
      </c>
      <c r="TR246" s="12" t="s">
        <v>37</v>
      </c>
      <c r="TS246" s="12" t="s">
        <v>37</v>
      </c>
      <c r="TT246" s="12" t="s">
        <v>37</v>
      </c>
      <c r="TU246" s="12"/>
      <c r="TV246" s="12"/>
      <c r="TY246" s="12" t="s">
        <v>37</v>
      </c>
      <c r="TZ246" s="12" t="s">
        <v>37</v>
      </c>
      <c r="UA246" s="12" t="s">
        <v>37</v>
      </c>
      <c r="UB246" s="12" t="s">
        <v>37</v>
      </c>
      <c r="UC246" s="12" t="s">
        <v>37</v>
      </c>
      <c r="UD246" s="12" t="s">
        <v>37</v>
      </c>
      <c r="UE246" s="12"/>
      <c r="UF246" s="12"/>
      <c r="UI246" s="12" t="s">
        <v>37</v>
      </c>
      <c r="UJ246" s="12" t="s">
        <v>37</v>
      </c>
      <c r="UK246" s="12" t="s">
        <v>37</v>
      </c>
      <c r="UL246" s="12" t="s">
        <v>37</v>
      </c>
      <c r="UM246" s="12" t="s">
        <v>37</v>
      </c>
      <c r="UN246" s="12" t="s">
        <v>37</v>
      </c>
      <c r="UO246" s="12"/>
      <c r="UP246" s="12"/>
      <c r="UR246" s="12" t="s">
        <v>37</v>
      </c>
      <c r="US246" s="12" t="s">
        <v>37</v>
      </c>
      <c r="UT246" s="12" t="s">
        <v>37</v>
      </c>
      <c r="UU246" s="12" t="s">
        <v>37</v>
      </c>
      <c r="UV246" s="12" t="s">
        <v>37</v>
      </c>
      <c r="UW246" s="12" t="s">
        <v>37</v>
      </c>
      <c r="UX246" s="12"/>
      <c r="UY246" s="12"/>
      <c r="VB246" s="12" t="s">
        <v>37</v>
      </c>
      <c r="VC246" s="12" t="s">
        <v>37</v>
      </c>
      <c r="VD246" s="12" t="s">
        <v>37</v>
      </c>
      <c r="VE246" s="12" t="s">
        <v>37</v>
      </c>
      <c r="VF246" s="12" t="s">
        <v>37</v>
      </c>
      <c r="VG246" s="12" t="s">
        <v>37</v>
      </c>
      <c r="VI246" s="12" t="s">
        <v>37</v>
      </c>
      <c r="VJ246" s="12" t="s">
        <v>37</v>
      </c>
      <c r="VK246" s="12" t="s">
        <v>37</v>
      </c>
      <c r="VL246" s="12" t="s">
        <v>37</v>
      </c>
      <c r="VM246" s="12" t="s">
        <v>37</v>
      </c>
      <c r="VN246" s="12" t="s">
        <v>37</v>
      </c>
      <c r="VQ246" s="12" t="s">
        <v>37</v>
      </c>
      <c r="VR246" s="12" t="s">
        <v>37</v>
      </c>
      <c r="VS246" s="12" t="s">
        <v>37</v>
      </c>
      <c r="VT246" s="12" t="s">
        <v>37</v>
      </c>
      <c r="VU246" s="12" t="s">
        <v>37</v>
      </c>
      <c r="VV246" s="12" t="s">
        <v>37</v>
      </c>
      <c r="VW246" s="12"/>
      <c r="VX246" s="12"/>
      <c r="WA246" s="12" t="s">
        <v>37</v>
      </c>
      <c r="WB246" s="12" t="s">
        <v>37</v>
      </c>
      <c r="WC246" s="12" t="s">
        <v>37</v>
      </c>
      <c r="WD246" s="12" t="s">
        <v>37</v>
      </c>
      <c r="WE246" s="12" t="s">
        <v>37</v>
      </c>
      <c r="WF246" s="12" t="s">
        <v>37</v>
      </c>
    </row>
    <row r="247" spans="1:604" ht="18" customHeight="1" x14ac:dyDescent="0.3">
      <c r="A247" s="11">
        <v>65</v>
      </c>
      <c r="B247" s="16" t="s">
        <v>378</v>
      </c>
      <c r="C247" s="12" t="s">
        <v>26</v>
      </c>
      <c r="D247" s="12" t="s">
        <v>830</v>
      </c>
      <c r="E247" s="40">
        <v>2.5</v>
      </c>
      <c r="F247" s="14">
        <v>0</v>
      </c>
      <c r="G247" s="14">
        <v>0</v>
      </c>
      <c r="H247" s="12" t="s">
        <v>88</v>
      </c>
      <c r="I247" s="29">
        <v>-2.3199999999999998</v>
      </c>
      <c r="J247" s="29">
        <v>113.9</v>
      </c>
      <c r="K247" s="12" t="s">
        <v>379</v>
      </c>
      <c r="L247" s="12" t="s">
        <v>380</v>
      </c>
      <c r="M247" s="13" t="s">
        <v>37</v>
      </c>
      <c r="N247" s="14">
        <v>25.9</v>
      </c>
      <c r="O247" s="14">
        <v>2510</v>
      </c>
      <c r="P247" s="14" t="s">
        <v>89</v>
      </c>
      <c r="Q247" s="75">
        <v>9</v>
      </c>
      <c r="R247" s="11" t="s">
        <v>37</v>
      </c>
      <c r="S247" s="12" t="s">
        <v>105</v>
      </c>
      <c r="T247" s="90" t="s">
        <v>141</v>
      </c>
      <c r="U247" s="12" t="s">
        <v>158</v>
      </c>
      <c r="V247" s="12" t="s">
        <v>275</v>
      </c>
      <c r="W247" s="23" t="s">
        <v>381</v>
      </c>
      <c r="X247" s="12" t="s">
        <v>49</v>
      </c>
      <c r="Y247" s="12" t="s">
        <v>37</v>
      </c>
      <c r="Z247" s="12" t="s">
        <v>37</v>
      </c>
      <c r="AB247" s="12" t="s">
        <v>37</v>
      </c>
      <c r="AE247" s="12" t="s">
        <v>37</v>
      </c>
      <c r="AH247" s="12" t="s">
        <v>37</v>
      </c>
      <c r="AK247" s="12" t="s">
        <v>37</v>
      </c>
      <c r="AL247" s="32" t="s">
        <v>383</v>
      </c>
      <c r="AM247" s="12" t="s">
        <v>344</v>
      </c>
      <c r="AO247" s="12" t="s">
        <v>37</v>
      </c>
      <c r="AP247" s="12" t="s">
        <v>370</v>
      </c>
      <c r="AQ247" s="12" t="s">
        <v>849</v>
      </c>
      <c r="AT247" s="12" t="s">
        <v>326</v>
      </c>
      <c r="AU247" s="12" t="s">
        <v>326</v>
      </c>
      <c r="AV247" s="13" t="s">
        <v>326</v>
      </c>
      <c r="AX247" s="12" t="s">
        <v>326</v>
      </c>
      <c r="AY247" s="12" t="s">
        <v>326</v>
      </c>
      <c r="AZ247" s="13" t="s">
        <v>326</v>
      </c>
      <c r="BE247" s="12" t="s">
        <v>326</v>
      </c>
      <c r="BF247" s="12" t="s">
        <v>326</v>
      </c>
      <c r="BG247" s="12" t="s">
        <v>326</v>
      </c>
      <c r="BI247" s="12" t="s">
        <v>326</v>
      </c>
      <c r="BJ247" s="12" t="s">
        <v>326</v>
      </c>
      <c r="BK247" s="12" t="s">
        <v>326</v>
      </c>
      <c r="BP247" s="12" t="s">
        <v>37</v>
      </c>
      <c r="BQ247" s="12" t="s">
        <v>37</v>
      </c>
      <c r="BR247" s="13" t="s">
        <v>37</v>
      </c>
      <c r="BT247" s="12" t="s">
        <v>37</v>
      </c>
      <c r="BU247" s="12" t="s">
        <v>37</v>
      </c>
      <c r="BV247" s="12" t="s">
        <v>37</v>
      </c>
      <c r="BZ247" s="12" t="s">
        <v>47</v>
      </c>
      <c r="CA247" s="12">
        <f>-3554*44/12*10^4/10^3</f>
        <v>-130313.33333333334</v>
      </c>
      <c r="CB247" s="50">
        <f>ABS(CA247)*CD$474</f>
        <v>31771.753820397222</v>
      </c>
      <c r="CC247" s="13">
        <v>1</v>
      </c>
      <c r="CE247" s="12">
        <f>-3304*44/12*10^4/10^3</f>
        <v>-121146.66666666666</v>
      </c>
      <c r="CF247" s="50">
        <f>ABS(CE247)*CH$474</f>
        <v>45099.160137161038</v>
      </c>
      <c r="CG247" s="13">
        <v>1</v>
      </c>
      <c r="CI247" s="75">
        <f t="shared" si="1139"/>
        <v>9166.6666666666861</v>
      </c>
      <c r="CJ247" s="12" t="e">
        <f t="shared" si="1140"/>
        <v>#DIV/0!</v>
      </c>
      <c r="CK247" s="72" t="e">
        <f t="shared" si="1141"/>
        <v>#DIV/0!</v>
      </c>
      <c r="CL247" s="72">
        <f t="shared" si="1142"/>
        <v>3043378585.9012208</v>
      </c>
      <c r="CM247" s="12" t="s">
        <v>47</v>
      </c>
      <c r="CN247" s="12">
        <f>3626*44/12*10^4/10^3</f>
        <v>132953.33333333334</v>
      </c>
      <c r="CO247" s="50">
        <f>ABS(CN247)*CQ$474</f>
        <v>38241.009555729164</v>
      </c>
      <c r="CP247" s="13">
        <v>1</v>
      </c>
      <c r="CR247" s="12">
        <f>3506*44/12*10^4/10^3</f>
        <v>128553.33333333334</v>
      </c>
      <c r="CS247" s="50">
        <f>ABS(CR247)*CU$474</f>
        <v>33731.259539086117</v>
      </c>
      <c r="CT247" s="13">
        <v>1</v>
      </c>
      <c r="CV247" s="75">
        <f t="shared" si="1143"/>
        <v>-4400</v>
      </c>
      <c r="CW247" s="12" t="e">
        <f t="shared" si="1144"/>
        <v>#DIV/0!</v>
      </c>
      <c r="CX247" s="72" t="e">
        <f t="shared" si="1145"/>
        <v>#DIV/0!</v>
      </c>
      <c r="CY247" s="72">
        <f t="shared" si="1146"/>
        <v>2600172681.934557</v>
      </c>
      <c r="CZ247" s="12" t="s">
        <v>47</v>
      </c>
      <c r="DA247" s="12">
        <f>72*44/12*10^4/10^3</f>
        <v>2640</v>
      </c>
      <c r="DB247" s="50">
        <f>ABS(DA247)*DD$474</f>
        <v>7919.0933149315979</v>
      </c>
      <c r="DC247" s="13">
        <v>1</v>
      </c>
      <c r="DE247" s="12">
        <f>202*44/12*10^4/10^3</f>
        <v>7406.6666666666661</v>
      </c>
      <c r="DF247" s="50">
        <f>ABS(DE247)*DH$474</f>
        <v>7059.610963113525</v>
      </c>
      <c r="DG247" s="13">
        <v>1</v>
      </c>
      <c r="DI247" s="19">
        <f t="shared" ref="DI247:DI249" si="1149">DE247-DA247</f>
        <v>4766.6666666666661</v>
      </c>
      <c r="DJ247" s="12" t="e">
        <f t="shared" si="1147"/>
        <v>#DIV/0!</v>
      </c>
      <c r="DK247" s="72" t="e">
        <f t="shared" si="1148"/>
        <v>#DIV/0!</v>
      </c>
      <c r="DL247" s="72">
        <f t="shared" ref="DL247:DL249" si="1150">(DB247^2/DC247)+(DF247^2/DG247)</f>
        <v>112550145.881107</v>
      </c>
      <c r="DN247" s="19" t="s">
        <v>37</v>
      </c>
      <c r="DO247" s="12" t="s">
        <v>37</v>
      </c>
      <c r="DP247" s="13" t="s">
        <v>37</v>
      </c>
      <c r="DR247" s="19" t="s">
        <v>37</v>
      </c>
      <c r="DS247" s="12" t="s">
        <v>37</v>
      </c>
      <c r="DT247" s="13" t="s">
        <v>37</v>
      </c>
      <c r="DV247" s="52"/>
      <c r="DW247" s="52"/>
      <c r="EA247" s="19" t="s">
        <v>37</v>
      </c>
      <c r="EB247" s="19" t="s">
        <v>37</v>
      </c>
      <c r="EC247" s="72" t="s">
        <v>37</v>
      </c>
      <c r="EE247" s="19" t="s">
        <v>37</v>
      </c>
      <c r="EF247" s="19" t="s">
        <v>37</v>
      </c>
      <c r="EG247" s="12" t="s">
        <v>37</v>
      </c>
      <c r="EN247" s="12" t="s">
        <v>37</v>
      </c>
      <c r="EO247" s="12" t="s">
        <v>37</v>
      </c>
      <c r="EP247" s="13" t="s">
        <v>37</v>
      </c>
      <c r="ER247" s="12">
        <v>-48</v>
      </c>
      <c r="ES247" s="12" t="s">
        <v>37</v>
      </c>
      <c r="ET247" s="13" t="s">
        <v>37</v>
      </c>
      <c r="FB247" s="12" t="s">
        <v>37</v>
      </c>
      <c r="FC247" s="12" t="s">
        <v>37</v>
      </c>
      <c r="FD247" s="12" t="s">
        <v>37</v>
      </c>
      <c r="FE247" s="12" t="s">
        <v>37</v>
      </c>
      <c r="FF247" s="20" t="s">
        <v>37</v>
      </c>
      <c r="FG247" s="12" t="s">
        <v>37</v>
      </c>
      <c r="FI247" s="12" t="s">
        <v>37</v>
      </c>
      <c r="FJ247" s="12" t="s">
        <v>37</v>
      </c>
      <c r="FK247" s="12" t="s">
        <v>37</v>
      </c>
      <c r="FL247" s="12" t="s">
        <v>37</v>
      </c>
      <c r="FM247" s="12" t="s">
        <v>37</v>
      </c>
      <c r="FN247" s="12" t="s">
        <v>37</v>
      </c>
      <c r="FP247" s="12" t="s">
        <v>37</v>
      </c>
      <c r="FQ247" s="12" t="s">
        <v>37</v>
      </c>
      <c r="FR247" s="12" t="s">
        <v>37</v>
      </c>
      <c r="FS247" s="12" t="s">
        <v>37</v>
      </c>
      <c r="FT247" s="12" t="s">
        <v>37</v>
      </c>
      <c r="FU247" s="12" t="s">
        <v>37</v>
      </c>
      <c r="FW247" s="12" t="s">
        <v>37</v>
      </c>
      <c r="FX247" s="12" t="s">
        <v>37</v>
      </c>
      <c r="FY247" s="12" t="s">
        <v>37</v>
      </c>
      <c r="FZ247" s="12" t="s">
        <v>37</v>
      </c>
      <c r="GA247" s="12" t="s">
        <v>37</v>
      </c>
      <c r="GB247" s="12" t="s">
        <v>37</v>
      </c>
      <c r="IK247" s="12" t="s">
        <v>37</v>
      </c>
      <c r="IL247" s="12" t="s">
        <v>37</v>
      </c>
      <c r="IM247" s="12" t="s">
        <v>37</v>
      </c>
      <c r="IO247" s="12" t="s">
        <v>37</v>
      </c>
      <c r="IP247" s="12" t="s">
        <v>37</v>
      </c>
      <c r="IQ247" s="12" t="s">
        <v>37</v>
      </c>
      <c r="IW247" s="12" t="s">
        <v>37</v>
      </c>
      <c r="IX247" s="12" t="s">
        <v>37</v>
      </c>
      <c r="IY247" s="13" t="s">
        <v>37</v>
      </c>
      <c r="JA247" s="12" t="s">
        <v>37</v>
      </c>
      <c r="JB247" s="12" t="s">
        <v>37</v>
      </c>
      <c r="JC247" s="13" t="s">
        <v>37</v>
      </c>
      <c r="JH247" s="12" t="s">
        <v>37</v>
      </c>
      <c r="JI247" s="12" t="s">
        <v>37</v>
      </c>
      <c r="JJ247" s="13" t="s">
        <v>37</v>
      </c>
      <c r="JL247" s="12" t="s">
        <v>37</v>
      </c>
      <c r="JM247" s="12" t="s">
        <v>37</v>
      </c>
      <c r="JN247" s="12" t="s">
        <v>37</v>
      </c>
      <c r="JS247" s="12" t="s">
        <v>37</v>
      </c>
      <c r="JT247" s="12" t="s">
        <v>37</v>
      </c>
      <c r="JU247" s="13" t="s">
        <v>37</v>
      </c>
      <c r="JW247" s="12" t="s">
        <v>37</v>
      </c>
      <c r="JX247" s="12" t="s">
        <v>37</v>
      </c>
      <c r="JY247" s="12" t="s">
        <v>37</v>
      </c>
      <c r="KE247" s="12" t="s">
        <v>37</v>
      </c>
      <c r="KF247" s="12" t="s">
        <v>37</v>
      </c>
      <c r="KG247" s="13" t="s">
        <v>37</v>
      </c>
      <c r="KH247" s="12" t="s">
        <v>37</v>
      </c>
      <c r="KI247" s="12" t="s">
        <v>37</v>
      </c>
      <c r="KJ247" s="12" t="s">
        <v>37</v>
      </c>
      <c r="KM247" s="12" t="s">
        <v>37</v>
      </c>
      <c r="KN247" s="12" t="s">
        <v>37</v>
      </c>
      <c r="KO247" s="11" t="s">
        <v>37</v>
      </c>
      <c r="KQ247" s="12" t="s">
        <v>37</v>
      </c>
      <c r="KR247" s="12" t="s">
        <v>37</v>
      </c>
      <c r="KS247" s="12" t="s">
        <v>37</v>
      </c>
      <c r="KX247" s="12" t="s">
        <v>37</v>
      </c>
      <c r="KY247" s="12" t="s">
        <v>37</v>
      </c>
      <c r="KZ247" s="12" t="s">
        <v>37</v>
      </c>
      <c r="LB247" s="12" t="s">
        <v>37</v>
      </c>
      <c r="LC247" s="12" t="s">
        <v>37</v>
      </c>
      <c r="LD247" s="12" t="s">
        <v>37</v>
      </c>
      <c r="LI247" s="12" t="s">
        <v>37</v>
      </c>
      <c r="LJ247" s="12" t="s">
        <v>37</v>
      </c>
      <c r="LK247" s="12" t="s">
        <v>37</v>
      </c>
      <c r="LM247" s="12" t="s">
        <v>37</v>
      </c>
      <c r="LN247" s="12" t="s">
        <v>37</v>
      </c>
      <c r="LO247" s="12" t="s">
        <v>37</v>
      </c>
      <c r="LU247" s="12" t="s">
        <v>37</v>
      </c>
      <c r="LV247" s="12" t="s">
        <v>37</v>
      </c>
      <c r="LW247" s="12" t="s">
        <v>37</v>
      </c>
      <c r="LY247" s="12" t="s">
        <v>37</v>
      </c>
      <c r="LZ247" s="12" t="s">
        <v>37</v>
      </c>
      <c r="MA247" s="12" t="s">
        <v>37</v>
      </c>
      <c r="MF247" s="12" t="s">
        <v>37</v>
      </c>
      <c r="MG247" s="12" t="s">
        <v>37</v>
      </c>
      <c r="MH247" s="12" t="s">
        <v>37</v>
      </c>
      <c r="MJ247" s="12" t="s">
        <v>37</v>
      </c>
      <c r="MK247" s="12" t="s">
        <v>37</v>
      </c>
      <c r="ML247" s="12" t="s">
        <v>37</v>
      </c>
      <c r="MQ247" s="12" t="s">
        <v>37</v>
      </c>
      <c r="MR247" s="12" t="s">
        <v>37</v>
      </c>
      <c r="MS247" s="12" t="s">
        <v>37</v>
      </c>
      <c r="MU247" s="12" t="s">
        <v>37</v>
      </c>
      <c r="MV247" s="12" t="s">
        <v>37</v>
      </c>
      <c r="MW247" s="12" t="s">
        <v>37</v>
      </c>
      <c r="NC247" s="12" t="s">
        <v>37</v>
      </c>
      <c r="ND247" s="12" t="s">
        <v>37</v>
      </c>
      <c r="NE247" s="12" t="s">
        <v>37</v>
      </c>
      <c r="NG247" s="12" t="s">
        <v>37</v>
      </c>
      <c r="NH247" s="12" t="s">
        <v>37</v>
      </c>
      <c r="NI247" s="12" t="s">
        <v>37</v>
      </c>
      <c r="NO247" s="12" t="s">
        <v>37</v>
      </c>
      <c r="NP247" s="12" t="s">
        <v>37</v>
      </c>
      <c r="NQ247" s="12" t="s">
        <v>37</v>
      </c>
      <c r="NS247" s="12" t="s">
        <v>37</v>
      </c>
      <c r="NT247" s="12" t="s">
        <v>37</v>
      </c>
      <c r="NU247" s="12" t="s">
        <v>37</v>
      </c>
      <c r="OA247" s="12" t="s">
        <v>37</v>
      </c>
      <c r="OB247" s="12" t="s">
        <v>37</v>
      </c>
      <c r="OC247" s="12" t="s">
        <v>37</v>
      </c>
      <c r="OD247" s="12"/>
      <c r="OE247" s="12" t="s">
        <v>37</v>
      </c>
      <c r="OF247" s="12" t="s">
        <v>37</v>
      </c>
      <c r="OG247" s="12" t="s">
        <v>37</v>
      </c>
      <c r="OH247" s="12"/>
      <c r="OI247" s="12"/>
      <c r="OJ247" s="12"/>
      <c r="OM247" s="12" t="s">
        <v>37</v>
      </c>
      <c r="ON247" s="12" t="s">
        <v>37</v>
      </c>
      <c r="OO247" s="12" t="s">
        <v>37</v>
      </c>
      <c r="OP247" s="12" t="s">
        <v>37</v>
      </c>
      <c r="OQ247" s="12" t="s">
        <v>37</v>
      </c>
      <c r="OR247" s="12" t="s">
        <v>37</v>
      </c>
      <c r="OS247" s="12"/>
      <c r="OT247" s="12"/>
      <c r="OW247" s="12" t="s">
        <v>37</v>
      </c>
      <c r="OX247" s="12" t="s">
        <v>37</v>
      </c>
      <c r="OY247" s="13" t="s">
        <v>37</v>
      </c>
      <c r="OZ247" s="12" t="s">
        <v>37</v>
      </c>
      <c r="PA247" s="12" t="s">
        <v>37</v>
      </c>
      <c r="PB247" s="13" t="s">
        <v>37</v>
      </c>
      <c r="PG247" s="12" t="s">
        <v>37</v>
      </c>
      <c r="PH247" s="12" t="s">
        <v>37</v>
      </c>
      <c r="PI247" s="12" t="s">
        <v>37</v>
      </c>
      <c r="PJ247" s="12" t="s">
        <v>37</v>
      </c>
      <c r="PK247" s="12" t="s">
        <v>37</v>
      </c>
      <c r="PL247" s="12" t="s">
        <v>37</v>
      </c>
      <c r="PM247" s="12"/>
      <c r="PN247" s="12"/>
      <c r="PQ247" s="12" t="s">
        <v>37</v>
      </c>
      <c r="PR247" s="12" t="s">
        <v>37</v>
      </c>
      <c r="PS247" s="12" t="s">
        <v>37</v>
      </c>
      <c r="PT247" s="12" t="s">
        <v>37</v>
      </c>
      <c r="PU247" s="12" t="s">
        <v>37</v>
      </c>
      <c r="PV247" s="12" t="s">
        <v>37</v>
      </c>
      <c r="PW247" s="12"/>
      <c r="PX247" s="12"/>
      <c r="PZ247" s="12" t="s">
        <v>37</v>
      </c>
      <c r="QA247" s="12" t="s">
        <v>37</v>
      </c>
      <c r="QB247" s="12" t="s">
        <v>37</v>
      </c>
      <c r="QD247" s="12" t="s">
        <v>37</v>
      </c>
      <c r="QE247" s="12" t="s">
        <v>37</v>
      </c>
      <c r="QF247" s="12" t="s">
        <v>37</v>
      </c>
      <c r="QK247" s="12" t="s">
        <v>37</v>
      </c>
      <c r="QL247" s="12" t="s">
        <v>37</v>
      </c>
      <c r="QM247" s="12" t="s">
        <v>37</v>
      </c>
      <c r="QN247" s="12" t="s">
        <v>37</v>
      </c>
      <c r="QO247" s="12" t="s">
        <v>37</v>
      </c>
      <c r="QP247" s="12" t="s">
        <v>37</v>
      </c>
      <c r="QQ247" s="12"/>
      <c r="QR247" s="12"/>
      <c r="QU247" s="12" t="s">
        <v>37</v>
      </c>
      <c r="QV247" s="12" t="s">
        <v>37</v>
      </c>
      <c r="QW247" s="12" t="s">
        <v>37</v>
      </c>
      <c r="QX247" s="12" t="s">
        <v>37</v>
      </c>
      <c r="QY247" s="12" t="s">
        <v>37</v>
      </c>
      <c r="QZ247" s="12" t="s">
        <v>37</v>
      </c>
      <c r="RC247" s="12" t="s">
        <v>37</v>
      </c>
      <c r="RD247" s="12" t="s">
        <v>37</v>
      </c>
      <c r="RE247" s="13" t="s">
        <v>37</v>
      </c>
      <c r="RF247" s="12" t="s">
        <v>37</v>
      </c>
      <c r="RG247" s="12" t="s">
        <v>37</v>
      </c>
      <c r="RH247" s="13" t="s">
        <v>37</v>
      </c>
      <c r="RK247" s="12" t="s">
        <v>37</v>
      </c>
      <c r="RL247" s="12" t="s">
        <v>37</v>
      </c>
      <c r="RM247" s="11" t="s">
        <v>37</v>
      </c>
      <c r="RN247" s="12" t="s">
        <v>37</v>
      </c>
      <c r="RO247" s="12" t="s">
        <v>37</v>
      </c>
      <c r="RP247" s="11" t="s">
        <v>37</v>
      </c>
      <c r="RS247" s="12" t="s">
        <v>37</v>
      </c>
      <c r="RT247" s="12" t="s">
        <v>37</v>
      </c>
      <c r="RU247" s="12" t="s">
        <v>37</v>
      </c>
      <c r="RV247" s="12" t="s">
        <v>37</v>
      </c>
      <c r="RW247" s="12" t="s">
        <v>37</v>
      </c>
      <c r="RX247" s="12" t="s">
        <v>37</v>
      </c>
      <c r="SA247" s="12" t="s">
        <v>37</v>
      </c>
      <c r="SB247" s="12" t="s">
        <v>37</v>
      </c>
      <c r="SC247" s="12" t="s">
        <v>37</v>
      </c>
      <c r="SD247" s="12" t="s">
        <v>37</v>
      </c>
      <c r="SE247" s="12" t="s">
        <v>37</v>
      </c>
      <c r="SF247" s="12" t="s">
        <v>37</v>
      </c>
      <c r="SI247" s="12" t="s">
        <v>37</v>
      </c>
      <c r="SJ247" s="12" t="s">
        <v>37</v>
      </c>
      <c r="SK247" s="13" t="s">
        <v>37</v>
      </c>
      <c r="SM247" s="12" t="s">
        <v>37</v>
      </c>
      <c r="SN247" s="12" t="s">
        <v>37</v>
      </c>
      <c r="SO247" s="13" t="s">
        <v>37</v>
      </c>
      <c r="SU247" s="12" t="s">
        <v>37</v>
      </c>
      <c r="SV247" s="12" t="s">
        <v>37</v>
      </c>
      <c r="SW247" s="12" t="s">
        <v>37</v>
      </c>
      <c r="SX247" s="12" t="s">
        <v>37</v>
      </c>
      <c r="SY247" s="12" t="s">
        <v>37</v>
      </c>
      <c r="SZ247" s="12" t="s">
        <v>37</v>
      </c>
      <c r="TA247" s="12"/>
      <c r="TB247" s="12"/>
      <c r="TE247" s="12" t="s">
        <v>37</v>
      </c>
      <c r="TF247" s="12" t="s">
        <v>37</v>
      </c>
      <c r="TG247" s="12" t="s">
        <v>37</v>
      </c>
      <c r="TH247" s="12" t="s">
        <v>37</v>
      </c>
      <c r="TI247" s="12" t="s">
        <v>37</v>
      </c>
      <c r="TJ247" s="12" t="s">
        <v>37</v>
      </c>
      <c r="TK247" s="12"/>
      <c r="TL247" s="12"/>
      <c r="TO247" s="12" t="s">
        <v>37</v>
      </c>
      <c r="TP247" s="12" t="s">
        <v>37</v>
      </c>
      <c r="TQ247" s="12" t="s">
        <v>37</v>
      </c>
      <c r="TR247" s="12" t="s">
        <v>37</v>
      </c>
      <c r="TS247" s="12" t="s">
        <v>37</v>
      </c>
      <c r="TT247" s="12" t="s">
        <v>37</v>
      </c>
      <c r="TU247" s="12"/>
      <c r="TV247" s="12"/>
      <c r="TY247" s="12" t="s">
        <v>37</v>
      </c>
      <c r="TZ247" s="12" t="s">
        <v>37</v>
      </c>
      <c r="UA247" s="12" t="s">
        <v>37</v>
      </c>
      <c r="UB247" s="12" t="s">
        <v>37</v>
      </c>
      <c r="UC247" s="12" t="s">
        <v>37</v>
      </c>
      <c r="UD247" s="12" t="s">
        <v>37</v>
      </c>
      <c r="UE247" s="12"/>
      <c r="UF247" s="12"/>
      <c r="UI247" s="12" t="s">
        <v>37</v>
      </c>
      <c r="UJ247" s="12" t="s">
        <v>37</v>
      </c>
      <c r="UK247" s="12" t="s">
        <v>37</v>
      </c>
      <c r="UL247" s="12" t="s">
        <v>37</v>
      </c>
      <c r="UM247" s="12" t="s">
        <v>37</v>
      </c>
      <c r="UN247" s="12" t="s">
        <v>37</v>
      </c>
      <c r="UO247" s="12"/>
      <c r="UP247" s="12"/>
      <c r="UR247" s="12" t="s">
        <v>37</v>
      </c>
      <c r="US247" s="12" t="s">
        <v>37</v>
      </c>
      <c r="UT247" s="12" t="s">
        <v>37</v>
      </c>
      <c r="UU247" s="12" t="s">
        <v>37</v>
      </c>
      <c r="UV247" s="12" t="s">
        <v>37</v>
      </c>
      <c r="UW247" s="12" t="s">
        <v>37</v>
      </c>
      <c r="UX247" s="12"/>
      <c r="UY247" s="12"/>
      <c r="VB247" s="12" t="s">
        <v>37</v>
      </c>
      <c r="VC247" s="12" t="s">
        <v>37</v>
      </c>
      <c r="VD247" s="12" t="s">
        <v>37</v>
      </c>
      <c r="VE247" s="12" t="s">
        <v>37</v>
      </c>
      <c r="VF247" s="12" t="s">
        <v>37</v>
      </c>
      <c r="VG247" s="12" t="s">
        <v>37</v>
      </c>
      <c r="VI247" s="12" t="s">
        <v>37</v>
      </c>
      <c r="VJ247" s="12" t="s">
        <v>37</v>
      </c>
      <c r="VK247" s="12" t="s">
        <v>37</v>
      </c>
      <c r="VL247" s="12" t="s">
        <v>37</v>
      </c>
      <c r="VM247" s="12" t="s">
        <v>37</v>
      </c>
      <c r="VN247" s="12" t="s">
        <v>37</v>
      </c>
      <c r="VQ247" s="12" t="s">
        <v>37</v>
      </c>
      <c r="VR247" s="12" t="s">
        <v>37</v>
      </c>
      <c r="VS247" s="12" t="s">
        <v>37</v>
      </c>
      <c r="VT247" s="12" t="s">
        <v>37</v>
      </c>
      <c r="VU247" s="12" t="s">
        <v>37</v>
      </c>
      <c r="VV247" s="12" t="s">
        <v>37</v>
      </c>
      <c r="VW247" s="12"/>
      <c r="VX247" s="12"/>
      <c r="WA247" s="12" t="s">
        <v>37</v>
      </c>
      <c r="WB247" s="12" t="s">
        <v>37</v>
      </c>
      <c r="WC247" s="12" t="s">
        <v>37</v>
      </c>
      <c r="WD247" s="12" t="s">
        <v>37</v>
      </c>
      <c r="WE247" s="12" t="s">
        <v>37</v>
      </c>
      <c r="WF247" s="12" t="s">
        <v>37</v>
      </c>
    </row>
    <row r="248" spans="1:604" ht="18" customHeight="1" x14ac:dyDescent="0.3">
      <c r="A248" s="11">
        <v>65</v>
      </c>
      <c r="B248" s="16" t="s">
        <v>378</v>
      </c>
      <c r="C248" s="12" t="s">
        <v>26</v>
      </c>
      <c r="D248" s="12" t="s">
        <v>830</v>
      </c>
      <c r="E248" s="40">
        <v>2.5</v>
      </c>
      <c r="F248" s="14">
        <v>0</v>
      </c>
      <c r="G248" s="14">
        <v>0</v>
      </c>
      <c r="H248" s="12" t="s">
        <v>88</v>
      </c>
      <c r="I248" s="29">
        <v>-2.3199999999999998</v>
      </c>
      <c r="J248" s="29">
        <v>113.9</v>
      </c>
      <c r="K248" s="12" t="s">
        <v>379</v>
      </c>
      <c r="L248" s="12" t="s">
        <v>380</v>
      </c>
      <c r="M248" s="13" t="s">
        <v>37</v>
      </c>
      <c r="N248" s="14">
        <v>26</v>
      </c>
      <c r="O248" s="14">
        <v>2360</v>
      </c>
      <c r="P248" s="14" t="s">
        <v>89</v>
      </c>
      <c r="Q248" s="75">
        <v>10</v>
      </c>
      <c r="R248" s="11" t="s">
        <v>37</v>
      </c>
      <c r="S248" s="12" t="s">
        <v>105</v>
      </c>
      <c r="T248" s="90" t="s">
        <v>141</v>
      </c>
      <c r="U248" s="12" t="s">
        <v>158</v>
      </c>
      <c r="V248" s="12" t="s">
        <v>275</v>
      </c>
      <c r="W248" s="23" t="s">
        <v>381</v>
      </c>
      <c r="X248" s="12" t="s">
        <v>49</v>
      </c>
      <c r="Y248" s="12" t="s">
        <v>37</v>
      </c>
      <c r="Z248" s="12" t="s">
        <v>37</v>
      </c>
      <c r="AB248" s="12" t="s">
        <v>37</v>
      </c>
      <c r="AE248" s="12" t="s">
        <v>37</v>
      </c>
      <c r="AH248" s="12" t="s">
        <v>37</v>
      </c>
      <c r="AK248" s="12" t="s">
        <v>37</v>
      </c>
      <c r="AL248" s="32" t="s">
        <v>384</v>
      </c>
      <c r="AM248" s="12" t="s">
        <v>344</v>
      </c>
      <c r="AO248" s="12" t="s">
        <v>37</v>
      </c>
      <c r="AP248" s="12" t="s">
        <v>370</v>
      </c>
      <c r="AQ248" s="12" t="s">
        <v>849</v>
      </c>
      <c r="AT248" s="12" t="s">
        <v>326</v>
      </c>
      <c r="AU248" s="12" t="s">
        <v>326</v>
      </c>
      <c r="AV248" s="13" t="s">
        <v>326</v>
      </c>
      <c r="AX248" s="12" t="s">
        <v>326</v>
      </c>
      <c r="AY248" s="12" t="s">
        <v>326</v>
      </c>
      <c r="AZ248" s="13" t="s">
        <v>326</v>
      </c>
      <c r="BE248" s="12" t="s">
        <v>326</v>
      </c>
      <c r="BF248" s="12" t="s">
        <v>326</v>
      </c>
      <c r="BG248" s="12" t="s">
        <v>326</v>
      </c>
      <c r="BI248" s="12" t="s">
        <v>326</v>
      </c>
      <c r="BJ248" s="12" t="s">
        <v>326</v>
      </c>
      <c r="BK248" s="12" t="s">
        <v>326</v>
      </c>
      <c r="BP248" s="12" t="s">
        <v>37</v>
      </c>
      <c r="BQ248" s="12" t="s">
        <v>37</v>
      </c>
      <c r="BR248" s="13" t="s">
        <v>37</v>
      </c>
      <c r="BT248" s="12" t="s">
        <v>37</v>
      </c>
      <c r="BU248" s="12" t="s">
        <v>37</v>
      </c>
      <c r="BV248" s="12" t="s">
        <v>37</v>
      </c>
      <c r="BZ248" s="12" t="s">
        <v>47</v>
      </c>
      <c r="CA248" s="12">
        <f>-3293*44/12*10^4/10^3</f>
        <v>-120743.33333333334</v>
      </c>
      <c r="CB248" s="50">
        <f>ABS(CA248)*CD$474</f>
        <v>29438.487712596525</v>
      </c>
      <c r="CC248" s="13">
        <v>1</v>
      </c>
      <c r="CE248" s="12">
        <f>-3044*44/12*10^4/10^3</f>
        <v>-111613.33333333334</v>
      </c>
      <c r="CF248" s="50">
        <f>ABS(CE248)*CH$474</f>
        <v>41550.194751064839</v>
      </c>
      <c r="CG248" s="13">
        <v>1</v>
      </c>
      <c r="CI248" s="75">
        <f t="shared" si="1139"/>
        <v>9130</v>
      </c>
      <c r="CJ248" s="12" t="e">
        <f t="shared" si="1140"/>
        <v>#DIV/0!</v>
      </c>
      <c r="CK248" s="72" t="e">
        <f t="shared" si="1141"/>
        <v>#DIV/0!</v>
      </c>
      <c r="CL248" s="72">
        <f t="shared" si="1142"/>
        <v>2593043242.6561127</v>
      </c>
      <c r="CM248" s="12" t="s">
        <v>47</v>
      </c>
      <c r="CN248" s="12">
        <f>3736*44/12*10^4/10^3</f>
        <v>136986.66666666666</v>
      </c>
      <c r="CO248" s="50">
        <f>ABS(CN248)*CQ$474</f>
        <v>39401.106370712667</v>
      </c>
      <c r="CP248" s="13">
        <v>1</v>
      </c>
      <c r="CR248" s="12">
        <f>3548*44/12*10^4/10^3</f>
        <v>130093.33333333334</v>
      </c>
      <c r="CS248" s="50">
        <f>ABS(CR248)*CU$474</f>
        <v>34135.341940866383</v>
      </c>
      <c r="CT248" s="13">
        <v>1</v>
      </c>
      <c r="CV248" s="75">
        <f t="shared" si="1143"/>
        <v>-6893.3333333333139</v>
      </c>
      <c r="CW248" s="12" t="e">
        <f t="shared" si="1144"/>
        <v>#DIV/0!</v>
      </c>
      <c r="CX248" s="72" t="e">
        <f t="shared" si="1145"/>
        <v>#DIV/0!</v>
      </c>
      <c r="CY248" s="72">
        <f t="shared" si="1146"/>
        <v>2717668752.656086</v>
      </c>
      <c r="CZ248" s="12" t="s">
        <v>47</v>
      </c>
      <c r="DA248" s="12">
        <f>443*44/12*10^4/10^3</f>
        <v>16243.333333333332</v>
      </c>
      <c r="DB248" s="50">
        <f>ABS(DA248)*DD$474</f>
        <v>48724.421368259689</v>
      </c>
      <c r="DC248" s="13">
        <v>1</v>
      </c>
      <c r="DE248" s="12">
        <f>504*44/12*10^4/10^3</f>
        <v>18480</v>
      </c>
      <c r="DF248" s="50">
        <f>ABS(DE248)*DH$474</f>
        <v>17614.07883865949</v>
      </c>
      <c r="DG248" s="13">
        <v>1</v>
      </c>
      <c r="DI248" s="19">
        <f t="shared" si="1149"/>
        <v>2236.6666666666679</v>
      </c>
      <c r="DJ248" s="12" t="e">
        <f t="shared" si="1147"/>
        <v>#DIV/0!</v>
      </c>
      <c r="DK248" s="72" t="e">
        <f t="shared" si="1148"/>
        <v>#DIV/0!</v>
      </c>
      <c r="DL248" s="72">
        <f t="shared" si="1150"/>
        <v>2684325011.0062337</v>
      </c>
      <c r="DN248" s="19" t="s">
        <v>37</v>
      </c>
      <c r="DO248" s="12" t="s">
        <v>37</v>
      </c>
      <c r="DP248" s="13" t="s">
        <v>37</v>
      </c>
      <c r="DR248" s="19" t="s">
        <v>37</v>
      </c>
      <c r="DS248" s="12" t="s">
        <v>37</v>
      </c>
      <c r="DT248" s="13" t="s">
        <v>37</v>
      </c>
      <c r="DV248" s="52"/>
      <c r="DW248" s="52"/>
      <c r="EA248" s="19" t="s">
        <v>37</v>
      </c>
      <c r="EB248" s="19" t="s">
        <v>37</v>
      </c>
      <c r="EC248" s="72" t="s">
        <v>37</v>
      </c>
      <c r="EE248" s="19" t="s">
        <v>37</v>
      </c>
      <c r="EF248" s="19" t="s">
        <v>37</v>
      </c>
      <c r="EG248" s="12" t="s">
        <v>37</v>
      </c>
      <c r="EN248" s="12" t="s">
        <v>37</v>
      </c>
      <c r="EO248" s="12" t="s">
        <v>37</v>
      </c>
      <c r="EP248" s="13" t="s">
        <v>37</v>
      </c>
      <c r="ER248" s="12">
        <v>-67</v>
      </c>
      <c r="ES248" s="12" t="s">
        <v>37</v>
      </c>
      <c r="ET248" s="13" t="s">
        <v>37</v>
      </c>
      <c r="FB248" s="12" t="s">
        <v>37</v>
      </c>
      <c r="FC248" s="12" t="s">
        <v>37</v>
      </c>
      <c r="FD248" s="12" t="s">
        <v>37</v>
      </c>
      <c r="FE248" s="12" t="s">
        <v>37</v>
      </c>
      <c r="FF248" s="20" t="s">
        <v>37</v>
      </c>
      <c r="FG248" s="12" t="s">
        <v>37</v>
      </c>
      <c r="FI248" s="12" t="s">
        <v>37</v>
      </c>
      <c r="FJ248" s="12" t="s">
        <v>37</v>
      </c>
      <c r="FK248" s="12" t="s">
        <v>37</v>
      </c>
      <c r="FL248" s="12" t="s">
        <v>37</v>
      </c>
      <c r="FM248" s="12" t="s">
        <v>37</v>
      </c>
      <c r="FN248" s="12" t="s">
        <v>37</v>
      </c>
      <c r="FP248" s="12" t="s">
        <v>37</v>
      </c>
      <c r="FQ248" s="12" t="s">
        <v>37</v>
      </c>
      <c r="FR248" s="12" t="s">
        <v>37</v>
      </c>
      <c r="FS248" s="12" t="s">
        <v>37</v>
      </c>
      <c r="FT248" s="12" t="s">
        <v>37</v>
      </c>
      <c r="FU248" s="12" t="s">
        <v>37</v>
      </c>
      <c r="FW248" s="12" t="s">
        <v>37</v>
      </c>
      <c r="FX248" s="12" t="s">
        <v>37</v>
      </c>
      <c r="FY248" s="12" t="s">
        <v>37</v>
      </c>
      <c r="FZ248" s="12" t="s">
        <v>37</v>
      </c>
      <c r="GA248" s="12" t="s">
        <v>37</v>
      </c>
      <c r="GB248" s="12" t="s">
        <v>37</v>
      </c>
      <c r="IK248" s="12" t="s">
        <v>37</v>
      </c>
      <c r="IL248" s="12" t="s">
        <v>37</v>
      </c>
      <c r="IM248" s="12" t="s">
        <v>37</v>
      </c>
      <c r="IO248" s="12" t="s">
        <v>37</v>
      </c>
      <c r="IP248" s="12" t="s">
        <v>37</v>
      </c>
      <c r="IQ248" s="12" t="s">
        <v>37</v>
      </c>
      <c r="IW248" s="12" t="s">
        <v>37</v>
      </c>
      <c r="IX248" s="12" t="s">
        <v>37</v>
      </c>
      <c r="IY248" s="13" t="s">
        <v>37</v>
      </c>
      <c r="JA248" s="12" t="s">
        <v>37</v>
      </c>
      <c r="JB248" s="12" t="s">
        <v>37</v>
      </c>
      <c r="JC248" s="13" t="s">
        <v>37</v>
      </c>
      <c r="JH248" s="12" t="s">
        <v>37</v>
      </c>
      <c r="JI248" s="12" t="s">
        <v>37</v>
      </c>
      <c r="JJ248" s="13" t="s">
        <v>37</v>
      </c>
      <c r="JL248" s="12" t="s">
        <v>37</v>
      </c>
      <c r="JM248" s="12" t="s">
        <v>37</v>
      </c>
      <c r="JN248" s="12" t="s">
        <v>37</v>
      </c>
      <c r="JS248" s="12" t="s">
        <v>37</v>
      </c>
      <c r="JT248" s="12" t="s">
        <v>37</v>
      </c>
      <c r="JU248" s="13" t="s">
        <v>37</v>
      </c>
      <c r="JW248" s="12" t="s">
        <v>37</v>
      </c>
      <c r="JX248" s="12" t="s">
        <v>37</v>
      </c>
      <c r="JY248" s="12" t="s">
        <v>37</v>
      </c>
      <c r="KE248" s="12" t="s">
        <v>37</v>
      </c>
      <c r="KF248" s="12" t="s">
        <v>37</v>
      </c>
      <c r="KG248" s="13" t="s">
        <v>37</v>
      </c>
      <c r="KH248" s="12" t="s">
        <v>37</v>
      </c>
      <c r="KI248" s="12" t="s">
        <v>37</v>
      </c>
      <c r="KJ248" s="12" t="s">
        <v>37</v>
      </c>
      <c r="KM248" s="12" t="s">
        <v>37</v>
      </c>
      <c r="KN248" s="12" t="s">
        <v>37</v>
      </c>
      <c r="KO248" s="11" t="s">
        <v>37</v>
      </c>
      <c r="KQ248" s="12" t="s">
        <v>37</v>
      </c>
      <c r="KR248" s="12" t="s">
        <v>37</v>
      </c>
      <c r="KS248" s="12" t="s">
        <v>37</v>
      </c>
      <c r="KX248" s="12" t="s">
        <v>37</v>
      </c>
      <c r="KY248" s="12" t="s">
        <v>37</v>
      </c>
      <c r="KZ248" s="12" t="s">
        <v>37</v>
      </c>
      <c r="LB248" s="12" t="s">
        <v>37</v>
      </c>
      <c r="LC248" s="12" t="s">
        <v>37</v>
      </c>
      <c r="LD248" s="12" t="s">
        <v>37</v>
      </c>
      <c r="LI248" s="12" t="s">
        <v>37</v>
      </c>
      <c r="LJ248" s="12" t="s">
        <v>37</v>
      </c>
      <c r="LK248" s="12" t="s">
        <v>37</v>
      </c>
      <c r="LM248" s="12" t="s">
        <v>37</v>
      </c>
      <c r="LN248" s="12" t="s">
        <v>37</v>
      </c>
      <c r="LO248" s="12" t="s">
        <v>37</v>
      </c>
      <c r="LU248" s="12" t="s">
        <v>37</v>
      </c>
      <c r="LV248" s="12" t="s">
        <v>37</v>
      </c>
      <c r="LW248" s="12" t="s">
        <v>37</v>
      </c>
      <c r="LY248" s="12" t="s">
        <v>37</v>
      </c>
      <c r="LZ248" s="12" t="s">
        <v>37</v>
      </c>
      <c r="MA248" s="12" t="s">
        <v>37</v>
      </c>
      <c r="MF248" s="12" t="s">
        <v>37</v>
      </c>
      <c r="MG248" s="12" t="s">
        <v>37</v>
      </c>
      <c r="MH248" s="12" t="s">
        <v>37</v>
      </c>
      <c r="MJ248" s="12" t="s">
        <v>37</v>
      </c>
      <c r="MK248" s="12" t="s">
        <v>37</v>
      </c>
      <c r="ML248" s="12" t="s">
        <v>37</v>
      </c>
      <c r="MQ248" s="12" t="s">
        <v>37</v>
      </c>
      <c r="MR248" s="12" t="s">
        <v>37</v>
      </c>
      <c r="MS248" s="12" t="s">
        <v>37</v>
      </c>
      <c r="MU248" s="12" t="s">
        <v>37</v>
      </c>
      <c r="MV248" s="12" t="s">
        <v>37</v>
      </c>
      <c r="MW248" s="12" t="s">
        <v>37</v>
      </c>
      <c r="NC248" s="12" t="s">
        <v>37</v>
      </c>
      <c r="ND248" s="12" t="s">
        <v>37</v>
      </c>
      <c r="NE248" s="12" t="s">
        <v>37</v>
      </c>
      <c r="NG248" s="12" t="s">
        <v>37</v>
      </c>
      <c r="NH248" s="12" t="s">
        <v>37</v>
      </c>
      <c r="NI248" s="12" t="s">
        <v>37</v>
      </c>
      <c r="NO248" s="12" t="s">
        <v>37</v>
      </c>
      <c r="NP248" s="12" t="s">
        <v>37</v>
      </c>
      <c r="NQ248" s="12" t="s">
        <v>37</v>
      </c>
      <c r="NS248" s="12" t="s">
        <v>37</v>
      </c>
      <c r="NT248" s="12" t="s">
        <v>37</v>
      </c>
      <c r="NU248" s="12" t="s">
        <v>37</v>
      </c>
      <c r="OA248" s="12" t="s">
        <v>37</v>
      </c>
      <c r="OB248" s="12" t="s">
        <v>37</v>
      </c>
      <c r="OC248" s="12" t="s">
        <v>37</v>
      </c>
      <c r="OD248" s="12"/>
      <c r="OE248" s="12" t="s">
        <v>37</v>
      </c>
      <c r="OF248" s="12" t="s">
        <v>37</v>
      </c>
      <c r="OG248" s="12" t="s">
        <v>37</v>
      </c>
      <c r="OH248" s="12"/>
      <c r="OI248" s="12"/>
      <c r="OJ248" s="12"/>
      <c r="OM248" s="12" t="s">
        <v>37</v>
      </c>
      <c r="ON248" s="12" t="s">
        <v>37</v>
      </c>
      <c r="OO248" s="12" t="s">
        <v>37</v>
      </c>
      <c r="OP248" s="12" t="s">
        <v>37</v>
      </c>
      <c r="OQ248" s="12" t="s">
        <v>37</v>
      </c>
      <c r="OR248" s="12" t="s">
        <v>37</v>
      </c>
      <c r="OS248" s="12"/>
      <c r="OT248" s="12"/>
      <c r="OW248" s="12" t="s">
        <v>37</v>
      </c>
      <c r="OX248" s="12" t="s">
        <v>37</v>
      </c>
      <c r="OY248" s="13" t="s">
        <v>37</v>
      </c>
      <c r="OZ248" s="12" t="s">
        <v>37</v>
      </c>
      <c r="PA248" s="12" t="s">
        <v>37</v>
      </c>
      <c r="PB248" s="13" t="s">
        <v>37</v>
      </c>
      <c r="PG248" s="12" t="s">
        <v>37</v>
      </c>
      <c r="PH248" s="12" t="s">
        <v>37</v>
      </c>
      <c r="PI248" s="12" t="s">
        <v>37</v>
      </c>
      <c r="PJ248" s="12" t="s">
        <v>37</v>
      </c>
      <c r="PK248" s="12" t="s">
        <v>37</v>
      </c>
      <c r="PL248" s="12" t="s">
        <v>37</v>
      </c>
      <c r="PM248" s="12"/>
      <c r="PN248" s="12"/>
      <c r="PQ248" s="12" t="s">
        <v>37</v>
      </c>
      <c r="PR248" s="12" t="s">
        <v>37</v>
      </c>
      <c r="PS248" s="12" t="s">
        <v>37</v>
      </c>
      <c r="PT248" s="12" t="s">
        <v>37</v>
      </c>
      <c r="PU248" s="12" t="s">
        <v>37</v>
      </c>
      <c r="PV248" s="12" t="s">
        <v>37</v>
      </c>
      <c r="PW248" s="12"/>
      <c r="PX248" s="12"/>
      <c r="PZ248" s="12" t="s">
        <v>37</v>
      </c>
      <c r="QA248" s="12" t="s">
        <v>37</v>
      </c>
      <c r="QB248" s="12" t="s">
        <v>37</v>
      </c>
      <c r="QD248" s="12" t="s">
        <v>37</v>
      </c>
      <c r="QE248" s="12" t="s">
        <v>37</v>
      </c>
      <c r="QF248" s="12" t="s">
        <v>37</v>
      </c>
      <c r="QK248" s="12" t="s">
        <v>37</v>
      </c>
      <c r="QL248" s="12" t="s">
        <v>37</v>
      </c>
      <c r="QM248" s="12" t="s">
        <v>37</v>
      </c>
      <c r="QN248" s="12" t="s">
        <v>37</v>
      </c>
      <c r="QO248" s="12" t="s">
        <v>37</v>
      </c>
      <c r="QP248" s="12" t="s">
        <v>37</v>
      </c>
      <c r="QQ248" s="12"/>
      <c r="QR248" s="12"/>
      <c r="QU248" s="12" t="s">
        <v>37</v>
      </c>
      <c r="QV248" s="12" t="s">
        <v>37</v>
      </c>
      <c r="QW248" s="12" t="s">
        <v>37</v>
      </c>
      <c r="QX248" s="12" t="s">
        <v>37</v>
      </c>
      <c r="QY248" s="12" t="s">
        <v>37</v>
      </c>
      <c r="QZ248" s="12" t="s">
        <v>37</v>
      </c>
      <c r="RC248" s="12" t="s">
        <v>37</v>
      </c>
      <c r="RD248" s="12" t="s">
        <v>37</v>
      </c>
      <c r="RE248" s="13" t="s">
        <v>37</v>
      </c>
      <c r="RF248" s="12" t="s">
        <v>37</v>
      </c>
      <c r="RG248" s="12" t="s">
        <v>37</v>
      </c>
      <c r="RH248" s="13" t="s">
        <v>37</v>
      </c>
      <c r="RK248" s="12" t="s">
        <v>37</v>
      </c>
      <c r="RL248" s="12" t="s">
        <v>37</v>
      </c>
      <c r="RM248" s="11" t="s">
        <v>37</v>
      </c>
      <c r="RN248" s="12" t="s">
        <v>37</v>
      </c>
      <c r="RO248" s="12" t="s">
        <v>37</v>
      </c>
      <c r="RP248" s="11" t="s">
        <v>37</v>
      </c>
      <c r="RS248" s="12" t="s">
        <v>37</v>
      </c>
      <c r="RT248" s="12" t="s">
        <v>37</v>
      </c>
      <c r="RU248" s="12" t="s">
        <v>37</v>
      </c>
      <c r="RV248" s="12" t="s">
        <v>37</v>
      </c>
      <c r="RW248" s="12" t="s">
        <v>37</v>
      </c>
      <c r="RX248" s="12" t="s">
        <v>37</v>
      </c>
      <c r="SA248" s="12" t="s">
        <v>37</v>
      </c>
      <c r="SB248" s="12" t="s">
        <v>37</v>
      </c>
      <c r="SC248" s="12" t="s">
        <v>37</v>
      </c>
      <c r="SD248" s="12" t="s">
        <v>37</v>
      </c>
      <c r="SE248" s="12" t="s">
        <v>37</v>
      </c>
      <c r="SF248" s="12" t="s">
        <v>37</v>
      </c>
      <c r="SI248" s="12" t="s">
        <v>37</v>
      </c>
      <c r="SJ248" s="12" t="s">
        <v>37</v>
      </c>
      <c r="SK248" s="13" t="s">
        <v>37</v>
      </c>
      <c r="SM248" s="12" t="s">
        <v>37</v>
      </c>
      <c r="SN248" s="12" t="s">
        <v>37</v>
      </c>
      <c r="SO248" s="13" t="s">
        <v>37</v>
      </c>
      <c r="SU248" s="12" t="s">
        <v>37</v>
      </c>
      <c r="SV248" s="12" t="s">
        <v>37</v>
      </c>
      <c r="SW248" s="12" t="s">
        <v>37</v>
      </c>
      <c r="SX248" s="12" t="s">
        <v>37</v>
      </c>
      <c r="SY248" s="12" t="s">
        <v>37</v>
      </c>
      <c r="SZ248" s="12" t="s">
        <v>37</v>
      </c>
      <c r="TA248" s="12"/>
      <c r="TB248" s="12"/>
      <c r="TE248" s="12" t="s">
        <v>37</v>
      </c>
      <c r="TF248" s="12" t="s">
        <v>37</v>
      </c>
      <c r="TG248" s="12" t="s">
        <v>37</v>
      </c>
      <c r="TH248" s="12" t="s">
        <v>37</v>
      </c>
      <c r="TI248" s="12" t="s">
        <v>37</v>
      </c>
      <c r="TJ248" s="12" t="s">
        <v>37</v>
      </c>
      <c r="TK248" s="12"/>
      <c r="TL248" s="12"/>
      <c r="TO248" s="12" t="s">
        <v>37</v>
      </c>
      <c r="TP248" s="12" t="s">
        <v>37</v>
      </c>
      <c r="TQ248" s="12" t="s">
        <v>37</v>
      </c>
      <c r="TR248" s="12" t="s">
        <v>37</v>
      </c>
      <c r="TS248" s="12" t="s">
        <v>37</v>
      </c>
      <c r="TT248" s="12" t="s">
        <v>37</v>
      </c>
      <c r="TU248" s="12"/>
      <c r="TV248" s="12"/>
      <c r="TY248" s="12" t="s">
        <v>37</v>
      </c>
      <c r="TZ248" s="12" t="s">
        <v>37</v>
      </c>
      <c r="UA248" s="12" t="s">
        <v>37</v>
      </c>
      <c r="UB248" s="12" t="s">
        <v>37</v>
      </c>
      <c r="UC248" s="12" t="s">
        <v>37</v>
      </c>
      <c r="UD248" s="12" t="s">
        <v>37</v>
      </c>
      <c r="UE248" s="12"/>
      <c r="UF248" s="12"/>
      <c r="UI248" s="12" t="s">
        <v>37</v>
      </c>
      <c r="UJ248" s="12" t="s">
        <v>37</v>
      </c>
      <c r="UK248" s="12" t="s">
        <v>37</v>
      </c>
      <c r="UL248" s="12" t="s">
        <v>37</v>
      </c>
      <c r="UM248" s="12" t="s">
        <v>37</v>
      </c>
      <c r="UN248" s="12" t="s">
        <v>37</v>
      </c>
      <c r="UO248" s="12"/>
      <c r="UP248" s="12"/>
      <c r="UR248" s="12" t="s">
        <v>37</v>
      </c>
      <c r="US248" s="12" t="s">
        <v>37</v>
      </c>
      <c r="UT248" s="12" t="s">
        <v>37</v>
      </c>
      <c r="UU248" s="12" t="s">
        <v>37</v>
      </c>
      <c r="UV248" s="12" t="s">
        <v>37</v>
      </c>
      <c r="UW248" s="12" t="s">
        <v>37</v>
      </c>
      <c r="UX248" s="12"/>
      <c r="UY248" s="12"/>
      <c r="VB248" s="12" t="s">
        <v>37</v>
      </c>
      <c r="VC248" s="12" t="s">
        <v>37</v>
      </c>
      <c r="VD248" s="12" t="s">
        <v>37</v>
      </c>
      <c r="VE248" s="12" t="s">
        <v>37</v>
      </c>
      <c r="VF248" s="12" t="s">
        <v>37</v>
      </c>
      <c r="VG248" s="12" t="s">
        <v>37</v>
      </c>
      <c r="VI248" s="12" t="s">
        <v>37</v>
      </c>
      <c r="VJ248" s="12" t="s">
        <v>37</v>
      </c>
      <c r="VK248" s="12" t="s">
        <v>37</v>
      </c>
      <c r="VL248" s="12" t="s">
        <v>37</v>
      </c>
      <c r="VM248" s="12" t="s">
        <v>37</v>
      </c>
      <c r="VN248" s="12" t="s">
        <v>37</v>
      </c>
      <c r="VQ248" s="12" t="s">
        <v>37</v>
      </c>
      <c r="VR248" s="12" t="s">
        <v>37</v>
      </c>
      <c r="VS248" s="12" t="s">
        <v>37</v>
      </c>
      <c r="VT248" s="12" t="s">
        <v>37</v>
      </c>
      <c r="VU248" s="12" t="s">
        <v>37</v>
      </c>
      <c r="VV248" s="12" t="s">
        <v>37</v>
      </c>
      <c r="VW248" s="12"/>
      <c r="VX248" s="12"/>
      <c r="WA248" s="12" t="s">
        <v>37</v>
      </c>
      <c r="WB248" s="12" t="s">
        <v>37</v>
      </c>
      <c r="WC248" s="12" t="s">
        <v>37</v>
      </c>
      <c r="WD248" s="12" t="s">
        <v>37</v>
      </c>
      <c r="WE248" s="12" t="s">
        <v>37</v>
      </c>
      <c r="WF248" s="12" t="s">
        <v>37</v>
      </c>
    </row>
    <row r="249" spans="1:604" ht="18" customHeight="1" x14ac:dyDescent="0.3">
      <c r="A249" s="11">
        <v>65</v>
      </c>
      <c r="B249" s="16" t="s">
        <v>898</v>
      </c>
      <c r="C249" s="12" t="s">
        <v>26</v>
      </c>
      <c r="D249" s="12" t="s">
        <v>830</v>
      </c>
      <c r="E249" s="40">
        <v>2.5</v>
      </c>
      <c r="F249" s="14">
        <v>0</v>
      </c>
      <c r="G249" s="14">
        <v>0</v>
      </c>
      <c r="H249" s="12" t="s">
        <v>88</v>
      </c>
      <c r="I249" s="29">
        <v>-2.3199999999999998</v>
      </c>
      <c r="J249" s="29">
        <v>113.9</v>
      </c>
      <c r="K249" s="12" t="s">
        <v>379</v>
      </c>
      <c r="L249" s="12" t="s">
        <v>380</v>
      </c>
      <c r="M249" s="13" t="s">
        <v>37</v>
      </c>
      <c r="N249" s="14">
        <v>26</v>
      </c>
      <c r="O249" s="14">
        <v>2442</v>
      </c>
      <c r="P249" s="14" t="s">
        <v>89</v>
      </c>
      <c r="Q249" s="75">
        <v>11</v>
      </c>
      <c r="R249" s="11" t="s">
        <v>37</v>
      </c>
      <c r="S249" s="12" t="s">
        <v>105</v>
      </c>
      <c r="T249" s="90" t="s">
        <v>141</v>
      </c>
      <c r="U249" s="12" t="s">
        <v>158</v>
      </c>
      <c r="V249" s="12" t="s">
        <v>275</v>
      </c>
      <c r="W249" s="23" t="s">
        <v>381</v>
      </c>
      <c r="X249" s="12" t="s">
        <v>49</v>
      </c>
      <c r="Y249" s="12" t="s">
        <v>37</v>
      </c>
      <c r="Z249" s="12" t="s">
        <v>37</v>
      </c>
      <c r="AB249" s="12" t="s">
        <v>37</v>
      </c>
      <c r="AE249" s="12" t="s">
        <v>37</v>
      </c>
      <c r="AH249" s="12" t="s">
        <v>37</v>
      </c>
      <c r="AK249" s="12" t="s">
        <v>37</v>
      </c>
      <c r="AL249" s="32" t="s">
        <v>385</v>
      </c>
      <c r="AM249" s="12" t="s">
        <v>344</v>
      </c>
      <c r="AO249" s="12" t="s">
        <v>37</v>
      </c>
      <c r="AP249" s="12" t="s">
        <v>370</v>
      </c>
      <c r="AQ249" s="12" t="s">
        <v>849</v>
      </c>
      <c r="AT249" s="12" t="s">
        <v>326</v>
      </c>
      <c r="AU249" s="12" t="s">
        <v>326</v>
      </c>
      <c r="AV249" s="13" t="s">
        <v>326</v>
      </c>
      <c r="AX249" s="12" t="s">
        <v>326</v>
      </c>
      <c r="AY249" s="12" t="s">
        <v>326</v>
      </c>
      <c r="AZ249" s="13" t="s">
        <v>326</v>
      </c>
      <c r="BE249" s="12" t="s">
        <v>326</v>
      </c>
      <c r="BF249" s="12" t="s">
        <v>326</v>
      </c>
      <c r="BG249" s="12" t="s">
        <v>326</v>
      </c>
      <c r="BI249" s="12" t="s">
        <v>326</v>
      </c>
      <c r="BJ249" s="12" t="s">
        <v>326</v>
      </c>
      <c r="BK249" s="12" t="s">
        <v>326</v>
      </c>
      <c r="BP249" s="12" t="s">
        <v>37</v>
      </c>
      <c r="BQ249" s="12" t="s">
        <v>37</v>
      </c>
      <c r="BR249" s="13" t="s">
        <v>37</v>
      </c>
      <c r="BT249" s="12" t="s">
        <v>37</v>
      </c>
      <c r="BU249" s="12" t="s">
        <v>37</v>
      </c>
      <c r="BV249" s="12" t="s">
        <v>37</v>
      </c>
      <c r="BZ249" s="12" t="s">
        <v>47</v>
      </c>
      <c r="CA249" s="12">
        <f>-3512*44/12*10^4/10^3</f>
        <v>-128773.33333333334</v>
      </c>
      <c r="CB249" s="50">
        <f>ABS(CA249)*CD$474</f>
        <v>31396.285711095959</v>
      </c>
      <c r="CC249" s="13">
        <v>1</v>
      </c>
      <c r="CE249" s="12">
        <f>-3244*44/12*10^4/10^3</f>
        <v>-118946.66666666666</v>
      </c>
      <c r="CF249" s="50">
        <f>ABS(CE249)*CH$474</f>
        <v>44280.168124984993</v>
      </c>
      <c r="CG249" s="13">
        <v>1</v>
      </c>
      <c r="CI249" s="75">
        <f t="shared" si="1139"/>
        <v>9826.6666666666861</v>
      </c>
      <c r="CJ249" s="12" t="e">
        <f t="shared" si="1140"/>
        <v>#DIV/0!</v>
      </c>
      <c r="CK249" s="72" t="e">
        <f t="shared" si="1141"/>
        <v>#DIV/0!</v>
      </c>
      <c r="CL249" s="72">
        <f t="shared" si="1142"/>
        <v>2946460045.6297054</v>
      </c>
      <c r="CM249" s="12" t="s">
        <v>47</v>
      </c>
      <c r="CN249" s="12">
        <f>3485*44/12*10^4/10^3</f>
        <v>127783.33333333334</v>
      </c>
      <c r="CO249" s="50">
        <f>ABS(CN249)*CQ$474</f>
        <v>36753.97636561394</v>
      </c>
      <c r="CP249" s="13">
        <v>1</v>
      </c>
      <c r="CR249" s="12">
        <f>3351*44/12*10^4/10^3</f>
        <v>122870</v>
      </c>
      <c r="CS249" s="50">
        <f>ABS(CR249)*CU$474</f>
        <v>32240.003056325604</v>
      </c>
      <c r="CT249" s="13">
        <v>1</v>
      </c>
      <c r="CV249" s="75">
        <f t="shared" si="1143"/>
        <v>-4913.333333333343</v>
      </c>
      <c r="CW249" s="12" t="e">
        <f t="shared" si="1144"/>
        <v>#DIV/0!</v>
      </c>
      <c r="CX249" s="72" t="e">
        <f t="shared" si="1145"/>
        <v>#DIV/0!</v>
      </c>
      <c r="CY249" s="72">
        <f t="shared" si="1146"/>
        <v>2390272575.7559924</v>
      </c>
      <c r="CZ249" s="12" t="s">
        <v>47</v>
      </c>
      <c r="DA249" s="12">
        <f>-27*44/12*10^4/10^3</f>
        <v>-990</v>
      </c>
      <c r="DB249" s="50">
        <f>ABS(DA249)*DD$474</f>
        <v>2969.6599930993493</v>
      </c>
      <c r="DC249" s="13">
        <v>1</v>
      </c>
      <c r="DE249" s="12">
        <f>107*44/12*10^4/10^3</f>
        <v>3923.333333333333</v>
      </c>
      <c r="DF249" s="50">
        <f>ABS(DE249)*DH$474</f>
        <v>3739.4968963027086</v>
      </c>
      <c r="DG249" s="13">
        <v>1</v>
      </c>
      <c r="DI249" s="19">
        <f t="shared" si="1149"/>
        <v>4913.333333333333</v>
      </c>
      <c r="DJ249" s="12" t="e">
        <f t="shared" si="1147"/>
        <v>#DIV/0!</v>
      </c>
      <c r="DK249" s="72" t="e">
        <f t="shared" si="1148"/>
        <v>#DIV/0!</v>
      </c>
      <c r="DL249" s="72">
        <f t="shared" si="1150"/>
        <v>22802717.512072418</v>
      </c>
      <c r="DN249" s="19" t="s">
        <v>37</v>
      </c>
      <c r="DO249" s="12" t="s">
        <v>37</v>
      </c>
      <c r="DP249" s="13" t="s">
        <v>37</v>
      </c>
      <c r="DR249" s="19" t="s">
        <v>37</v>
      </c>
      <c r="DS249" s="12" t="s">
        <v>37</v>
      </c>
      <c r="DT249" s="13" t="s">
        <v>37</v>
      </c>
      <c r="DV249" s="52"/>
      <c r="DW249" s="52"/>
      <c r="EA249" s="19" t="s">
        <v>37</v>
      </c>
      <c r="EB249" s="19" t="s">
        <v>37</v>
      </c>
      <c r="EC249" s="72" t="s">
        <v>37</v>
      </c>
      <c r="EE249" s="19" t="s">
        <v>37</v>
      </c>
      <c r="EF249" s="19" t="s">
        <v>37</v>
      </c>
      <c r="EG249" s="12" t="s">
        <v>37</v>
      </c>
      <c r="EN249" s="12" t="s">
        <v>37</v>
      </c>
      <c r="EO249" s="12" t="s">
        <v>37</v>
      </c>
      <c r="EP249" s="13" t="s">
        <v>37</v>
      </c>
      <c r="ER249" s="12">
        <v>-40</v>
      </c>
      <c r="ES249" s="12" t="s">
        <v>37</v>
      </c>
      <c r="ET249" s="13" t="s">
        <v>37</v>
      </c>
      <c r="FB249" s="12" t="s">
        <v>37</v>
      </c>
      <c r="FC249" s="12" t="s">
        <v>37</v>
      </c>
      <c r="FD249" s="12" t="s">
        <v>37</v>
      </c>
      <c r="FE249" s="12" t="s">
        <v>37</v>
      </c>
      <c r="FF249" s="20" t="s">
        <v>37</v>
      </c>
      <c r="FG249" s="12" t="s">
        <v>37</v>
      </c>
      <c r="FI249" s="12" t="s">
        <v>37</v>
      </c>
      <c r="FJ249" s="12" t="s">
        <v>37</v>
      </c>
      <c r="FK249" s="12" t="s">
        <v>37</v>
      </c>
      <c r="FL249" s="12" t="s">
        <v>37</v>
      </c>
      <c r="FM249" s="12" t="s">
        <v>37</v>
      </c>
      <c r="FN249" s="12" t="s">
        <v>37</v>
      </c>
      <c r="FP249" s="12" t="s">
        <v>37</v>
      </c>
      <c r="FQ249" s="12" t="s">
        <v>37</v>
      </c>
      <c r="FR249" s="12" t="s">
        <v>37</v>
      </c>
      <c r="FS249" s="12" t="s">
        <v>37</v>
      </c>
      <c r="FT249" s="12" t="s">
        <v>37</v>
      </c>
      <c r="FU249" s="12" t="s">
        <v>37</v>
      </c>
      <c r="FW249" s="12" t="s">
        <v>37</v>
      </c>
      <c r="FX249" s="12" t="s">
        <v>37</v>
      </c>
      <c r="FY249" s="12" t="s">
        <v>37</v>
      </c>
      <c r="FZ249" s="12" t="s">
        <v>37</v>
      </c>
      <c r="GA249" s="12" t="s">
        <v>37</v>
      </c>
      <c r="GB249" s="12" t="s">
        <v>37</v>
      </c>
      <c r="IK249" s="12" t="s">
        <v>37</v>
      </c>
      <c r="IL249" s="12" t="s">
        <v>37</v>
      </c>
      <c r="IM249" s="12" t="s">
        <v>37</v>
      </c>
      <c r="IO249" s="12" t="s">
        <v>37</v>
      </c>
      <c r="IP249" s="12" t="s">
        <v>37</v>
      </c>
      <c r="IQ249" s="12" t="s">
        <v>37</v>
      </c>
      <c r="IW249" s="12" t="s">
        <v>37</v>
      </c>
      <c r="IX249" s="12" t="s">
        <v>37</v>
      </c>
      <c r="IY249" s="13" t="s">
        <v>37</v>
      </c>
      <c r="JA249" s="12" t="s">
        <v>37</v>
      </c>
      <c r="JB249" s="12" t="s">
        <v>37</v>
      </c>
      <c r="JC249" s="13" t="s">
        <v>37</v>
      </c>
      <c r="JH249" s="12" t="s">
        <v>37</v>
      </c>
      <c r="JI249" s="12" t="s">
        <v>37</v>
      </c>
      <c r="JJ249" s="13" t="s">
        <v>37</v>
      </c>
      <c r="JL249" s="12" t="s">
        <v>37</v>
      </c>
      <c r="JM249" s="12" t="s">
        <v>37</v>
      </c>
      <c r="JN249" s="12" t="s">
        <v>37</v>
      </c>
      <c r="JS249" s="12" t="s">
        <v>37</v>
      </c>
      <c r="JT249" s="12" t="s">
        <v>37</v>
      </c>
      <c r="JU249" s="13" t="s">
        <v>37</v>
      </c>
      <c r="JW249" s="12" t="s">
        <v>37</v>
      </c>
      <c r="JX249" s="12" t="s">
        <v>37</v>
      </c>
      <c r="JY249" s="12" t="s">
        <v>37</v>
      </c>
      <c r="KE249" s="12" t="s">
        <v>37</v>
      </c>
      <c r="KF249" s="12" t="s">
        <v>37</v>
      </c>
      <c r="KG249" s="13" t="s">
        <v>37</v>
      </c>
      <c r="KH249" s="12" t="s">
        <v>37</v>
      </c>
      <c r="KI249" s="12" t="s">
        <v>37</v>
      </c>
      <c r="KJ249" s="12" t="s">
        <v>37</v>
      </c>
      <c r="KM249" s="12" t="s">
        <v>37</v>
      </c>
      <c r="KN249" s="12" t="s">
        <v>37</v>
      </c>
      <c r="KO249" s="11" t="s">
        <v>37</v>
      </c>
      <c r="KQ249" s="12" t="s">
        <v>37</v>
      </c>
      <c r="KR249" s="12" t="s">
        <v>37</v>
      </c>
      <c r="KS249" s="12" t="s">
        <v>37</v>
      </c>
      <c r="KX249" s="12" t="s">
        <v>37</v>
      </c>
      <c r="KY249" s="12" t="s">
        <v>37</v>
      </c>
      <c r="KZ249" s="12" t="s">
        <v>37</v>
      </c>
      <c r="LB249" s="12" t="s">
        <v>37</v>
      </c>
      <c r="LC249" s="12" t="s">
        <v>37</v>
      </c>
      <c r="LD249" s="12" t="s">
        <v>37</v>
      </c>
      <c r="LI249" s="12" t="s">
        <v>37</v>
      </c>
      <c r="LJ249" s="12" t="s">
        <v>37</v>
      </c>
      <c r="LK249" s="12" t="s">
        <v>37</v>
      </c>
      <c r="LM249" s="12" t="s">
        <v>37</v>
      </c>
      <c r="LN249" s="12" t="s">
        <v>37</v>
      </c>
      <c r="LO249" s="12" t="s">
        <v>37</v>
      </c>
      <c r="LU249" s="12" t="s">
        <v>37</v>
      </c>
      <c r="LV249" s="12" t="s">
        <v>37</v>
      </c>
      <c r="LW249" s="12" t="s">
        <v>37</v>
      </c>
      <c r="LY249" s="12" t="s">
        <v>37</v>
      </c>
      <c r="LZ249" s="12" t="s">
        <v>37</v>
      </c>
      <c r="MA249" s="12" t="s">
        <v>37</v>
      </c>
      <c r="MF249" s="12" t="s">
        <v>37</v>
      </c>
      <c r="MG249" s="12" t="s">
        <v>37</v>
      </c>
      <c r="MH249" s="12" t="s">
        <v>37</v>
      </c>
      <c r="MJ249" s="12" t="s">
        <v>37</v>
      </c>
      <c r="MK249" s="12" t="s">
        <v>37</v>
      </c>
      <c r="ML249" s="12" t="s">
        <v>37</v>
      </c>
      <c r="MQ249" s="12" t="s">
        <v>37</v>
      </c>
      <c r="MR249" s="12" t="s">
        <v>37</v>
      </c>
      <c r="MS249" s="12" t="s">
        <v>37</v>
      </c>
      <c r="MU249" s="12" t="s">
        <v>37</v>
      </c>
      <c r="MV249" s="12" t="s">
        <v>37</v>
      </c>
      <c r="MW249" s="12" t="s">
        <v>37</v>
      </c>
      <c r="NC249" s="12" t="s">
        <v>37</v>
      </c>
      <c r="ND249" s="12" t="s">
        <v>37</v>
      </c>
      <c r="NE249" s="12" t="s">
        <v>37</v>
      </c>
      <c r="NG249" s="12" t="s">
        <v>37</v>
      </c>
      <c r="NH249" s="12" t="s">
        <v>37</v>
      </c>
      <c r="NI249" s="12" t="s">
        <v>37</v>
      </c>
      <c r="NO249" s="12" t="s">
        <v>37</v>
      </c>
      <c r="NP249" s="12" t="s">
        <v>37</v>
      </c>
      <c r="NQ249" s="12" t="s">
        <v>37</v>
      </c>
      <c r="NS249" s="12" t="s">
        <v>37</v>
      </c>
      <c r="NT249" s="12" t="s">
        <v>37</v>
      </c>
      <c r="NU249" s="12" t="s">
        <v>37</v>
      </c>
      <c r="OA249" s="12" t="s">
        <v>37</v>
      </c>
      <c r="OB249" s="12" t="s">
        <v>37</v>
      </c>
      <c r="OC249" s="12" t="s">
        <v>37</v>
      </c>
      <c r="OD249" s="12"/>
      <c r="OE249" s="12" t="s">
        <v>37</v>
      </c>
      <c r="OF249" s="12" t="s">
        <v>37</v>
      </c>
      <c r="OG249" s="12" t="s">
        <v>37</v>
      </c>
      <c r="OH249" s="12"/>
      <c r="OI249" s="12"/>
      <c r="OJ249" s="12"/>
      <c r="OM249" s="12" t="s">
        <v>37</v>
      </c>
      <c r="ON249" s="12" t="s">
        <v>37</v>
      </c>
      <c r="OO249" s="12" t="s">
        <v>37</v>
      </c>
      <c r="OP249" s="12" t="s">
        <v>37</v>
      </c>
      <c r="OQ249" s="12" t="s">
        <v>37</v>
      </c>
      <c r="OR249" s="12" t="s">
        <v>37</v>
      </c>
      <c r="OS249" s="12"/>
      <c r="OT249" s="12"/>
      <c r="OW249" s="12" t="s">
        <v>37</v>
      </c>
      <c r="OX249" s="12" t="s">
        <v>37</v>
      </c>
      <c r="OY249" s="13" t="s">
        <v>37</v>
      </c>
      <c r="OZ249" s="12" t="s">
        <v>37</v>
      </c>
      <c r="PA249" s="12" t="s">
        <v>37</v>
      </c>
      <c r="PB249" s="13" t="s">
        <v>37</v>
      </c>
      <c r="PG249" s="12" t="s">
        <v>37</v>
      </c>
      <c r="PH249" s="12" t="s">
        <v>37</v>
      </c>
      <c r="PI249" s="12" t="s">
        <v>37</v>
      </c>
      <c r="PJ249" s="12" t="s">
        <v>37</v>
      </c>
      <c r="PK249" s="12" t="s">
        <v>37</v>
      </c>
      <c r="PL249" s="12" t="s">
        <v>37</v>
      </c>
      <c r="PM249" s="12"/>
      <c r="PN249" s="12"/>
      <c r="PQ249" s="12" t="s">
        <v>37</v>
      </c>
      <c r="PR249" s="12" t="s">
        <v>37</v>
      </c>
      <c r="PS249" s="12" t="s">
        <v>37</v>
      </c>
      <c r="PT249" s="12" t="s">
        <v>37</v>
      </c>
      <c r="PU249" s="12" t="s">
        <v>37</v>
      </c>
      <c r="PV249" s="12" t="s">
        <v>37</v>
      </c>
      <c r="PW249" s="12"/>
      <c r="PX249" s="12"/>
      <c r="PZ249" s="12" t="s">
        <v>37</v>
      </c>
      <c r="QA249" s="12" t="s">
        <v>37</v>
      </c>
      <c r="QB249" s="12" t="s">
        <v>37</v>
      </c>
      <c r="QD249" s="12" t="s">
        <v>37</v>
      </c>
      <c r="QE249" s="12" t="s">
        <v>37</v>
      </c>
      <c r="QF249" s="12" t="s">
        <v>37</v>
      </c>
      <c r="QK249" s="12" t="s">
        <v>37</v>
      </c>
      <c r="QL249" s="12" t="s">
        <v>37</v>
      </c>
      <c r="QM249" s="12" t="s">
        <v>37</v>
      </c>
      <c r="QN249" s="12" t="s">
        <v>37</v>
      </c>
      <c r="QO249" s="12" t="s">
        <v>37</v>
      </c>
      <c r="QP249" s="12" t="s">
        <v>37</v>
      </c>
      <c r="QQ249" s="12"/>
      <c r="QR249" s="12"/>
      <c r="QU249" s="12" t="s">
        <v>37</v>
      </c>
      <c r="QV249" s="12" t="s">
        <v>37</v>
      </c>
      <c r="QW249" s="12" t="s">
        <v>37</v>
      </c>
      <c r="QX249" s="12" t="s">
        <v>37</v>
      </c>
      <c r="QY249" s="12" t="s">
        <v>37</v>
      </c>
      <c r="QZ249" s="12" t="s">
        <v>37</v>
      </c>
      <c r="RC249" s="12" t="s">
        <v>37</v>
      </c>
      <c r="RD249" s="12" t="s">
        <v>37</v>
      </c>
      <c r="RE249" s="13" t="s">
        <v>37</v>
      </c>
      <c r="RF249" s="12" t="s">
        <v>37</v>
      </c>
      <c r="RG249" s="12" t="s">
        <v>37</v>
      </c>
      <c r="RH249" s="13" t="s">
        <v>37</v>
      </c>
      <c r="RK249" s="12" t="s">
        <v>37</v>
      </c>
      <c r="RL249" s="12" t="s">
        <v>37</v>
      </c>
      <c r="RM249" s="11" t="s">
        <v>37</v>
      </c>
      <c r="RN249" s="12" t="s">
        <v>37</v>
      </c>
      <c r="RO249" s="12" t="s">
        <v>37</v>
      </c>
      <c r="RP249" s="11" t="s">
        <v>37</v>
      </c>
      <c r="RS249" s="12" t="s">
        <v>37</v>
      </c>
      <c r="RT249" s="12" t="s">
        <v>37</v>
      </c>
      <c r="RU249" s="12" t="s">
        <v>37</v>
      </c>
      <c r="RV249" s="12" t="s">
        <v>37</v>
      </c>
      <c r="RW249" s="12" t="s">
        <v>37</v>
      </c>
      <c r="RX249" s="12" t="s">
        <v>37</v>
      </c>
      <c r="SA249" s="12" t="s">
        <v>37</v>
      </c>
      <c r="SB249" s="12" t="s">
        <v>37</v>
      </c>
      <c r="SC249" s="12" t="s">
        <v>37</v>
      </c>
      <c r="SD249" s="12" t="s">
        <v>37</v>
      </c>
      <c r="SE249" s="12" t="s">
        <v>37</v>
      </c>
      <c r="SF249" s="12" t="s">
        <v>37</v>
      </c>
      <c r="SI249" s="12" t="s">
        <v>37</v>
      </c>
      <c r="SJ249" s="12" t="s">
        <v>37</v>
      </c>
      <c r="SK249" s="13" t="s">
        <v>37</v>
      </c>
      <c r="SM249" s="12" t="s">
        <v>37</v>
      </c>
      <c r="SN249" s="12" t="s">
        <v>37</v>
      </c>
      <c r="SO249" s="13" t="s">
        <v>37</v>
      </c>
      <c r="SU249" s="12" t="s">
        <v>37</v>
      </c>
      <c r="SV249" s="12" t="s">
        <v>37</v>
      </c>
      <c r="SW249" s="12" t="s">
        <v>37</v>
      </c>
      <c r="SX249" s="12" t="s">
        <v>37</v>
      </c>
      <c r="SY249" s="12" t="s">
        <v>37</v>
      </c>
      <c r="SZ249" s="12" t="s">
        <v>37</v>
      </c>
      <c r="TA249" s="12"/>
      <c r="TB249" s="12"/>
      <c r="TE249" s="12" t="s">
        <v>37</v>
      </c>
      <c r="TF249" s="12" t="s">
        <v>37</v>
      </c>
      <c r="TG249" s="12" t="s">
        <v>37</v>
      </c>
      <c r="TH249" s="12" t="s">
        <v>37</v>
      </c>
      <c r="TI249" s="12" t="s">
        <v>37</v>
      </c>
      <c r="TJ249" s="12" t="s">
        <v>37</v>
      </c>
      <c r="TK249" s="12"/>
      <c r="TL249" s="12"/>
      <c r="TO249" s="12" t="s">
        <v>37</v>
      </c>
      <c r="TP249" s="12" t="s">
        <v>37</v>
      </c>
      <c r="TQ249" s="12" t="s">
        <v>37</v>
      </c>
      <c r="TR249" s="12" t="s">
        <v>37</v>
      </c>
      <c r="TS249" s="12" t="s">
        <v>37</v>
      </c>
      <c r="TT249" s="12" t="s">
        <v>37</v>
      </c>
      <c r="TU249" s="12"/>
      <c r="TV249" s="12"/>
      <c r="TY249" s="12" t="s">
        <v>37</v>
      </c>
      <c r="TZ249" s="12" t="s">
        <v>37</v>
      </c>
      <c r="UA249" s="12" t="s">
        <v>37</v>
      </c>
      <c r="UB249" s="12" t="s">
        <v>37</v>
      </c>
      <c r="UC249" s="12" t="s">
        <v>37</v>
      </c>
      <c r="UD249" s="12" t="s">
        <v>37</v>
      </c>
      <c r="UE249" s="12"/>
      <c r="UF249" s="12"/>
      <c r="UI249" s="12" t="s">
        <v>37</v>
      </c>
      <c r="UJ249" s="12" t="s">
        <v>37</v>
      </c>
      <c r="UK249" s="12" t="s">
        <v>37</v>
      </c>
      <c r="UL249" s="12" t="s">
        <v>37</v>
      </c>
      <c r="UM249" s="12" t="s">
        <v>37</v>
      </c>
      <c r="UN249" s="12" t="s">
        <v>37</v>
      </c>
      <c r="UO249" s="12"/>
      <c r="UP249" s="12"/>
      <c r="UR249" s="12" t="s">
        <v>37</v>
      </c>
      <c r="US249" s="12" t="s">
        <v>37</v>
      </c>
      <c r="UT249" s="12" t="s">
        <v>37</v>
      </c>
      <c r="UU249" s="12" t="s">
        <v>37</v>
      </c>
      <c r="UV249" s="12" t="s">
        <v>37</v>
      </c>
      <c r="UW249" s="12" t="s">
        <v>37</v>
      </c>
      <c r="UX249" s="12"/>
      <c r="UY249" s="12"/>
      <c r="VB249" s="12" t="s">
        <v>37</v>
      </c>
      <c r="VC249" s="12" t="s">
        <v>37</v>
      </c>
      <c r="VD249" s="12" t="s">
        <v>37</v>
      </c>
      <c r="VE249" s="12" t="s">
        <v>37</v>
      </c>
      <c r="VF249" s="12" t="s">
        <v>37</v>
      </c>
      <c r="VG249" s="12" t="s">
        <v>37</v>
      </c>
      <c r="VI249" s="12" t="s">
        <v>37</v>
      </c>
      <c r="VJ249" s="12" t="s">
        <v>37</v>
      </c>
      <c r="VK249" s="12" t="s">
        <v>37</v>
      </c>
      <c r="VL249" s="12" t="s">
        <v>37</v>
      </c>
      <c r="VM249" s="12" t="s">
        <v>37</v>
      </c>
      <c r="VN249" s="12" t="s">
        <v>37</v>
      </c>
      <c r="VQ249" s="12" t="s">
        <v>37</v>
      </c>
      <c r="VR249" s="12" t="s">
        <v>37</v>
      </c>
      <c r="VS249" s="12" t="s">
        <v>37</v>
      </c>
      <c r="VT249" s="12" t="s">
        <v>37</v>
      </c>
      <c r="VU249" s="12" t="s">
        <v>37</v>
      </c>
      <c r="VV249" s="12" t="s">
        <v>37</v>
      </c>
      <c r="VW249" s="12"/>
      <c r="VX249" s="12"/>
      <c r="WA249" s="12" t="s">
        <v>37</v>
      </c>
      <c r="WB249" s="12" t="s">
        <v>37</v>
      </c>
      <c r="WC249" s="12" t="s">
        <v>37</v>
      </c>
      <c r="WD249" s="12" t="s">
        <v>37</v>
      </c>
      <c r="WE249" s="12" t="s">
        <v>37</v>
      </c>
      <c r="WF249" s="12" t="s">
        <v>37</v>
      </c>
    </row>
    <row r="250" spans="1:604" ht="18" customHeight="1" x14ac:dyDescent="0.3">
      <c r="A250" s="11">
        <v>66</v>
      </c>
      <c r="B250" s="16" t="s">
        <v>388</v>
      </c>
      <c r="C250" s="12" t="s">
        <v>26</v>
      </c>
      <c r="D250" s="12" t="s">
        <v>54</v>
      </c>
      <c r="E250" s="40" t="s">
        <v>37</v>
      </c>
      <c r="F250" s="14">
        <v>0</v>
      </c>
      <c r="G250" s="14">
        <v>0</v>
      </c>
      <c r="H250" s="12" t="s">
        <v>123</v>
      </c>
      <c r="I250" s="29">
        <v>61.783000000000001</v>
      </c>
      <c r="J250" s="29">
        <v>24.3</v>
      </c>
      <c r="K250" s="12" t="s">
        <v>775</v>
      </c>
      <c r="L250" s="12" t="s">
        <v>709</v>
      </c>
      <c r="M250" s="13" t="s">
        <v>37</v>
      </c>
      <c r="N250" s="13" t="s">
        <v>37</v>
      </c>
      <c r="O250" s="13" t="s">
        <v>37</v>
      </c>
      <c r="P250" s="14" t="s">
        <v>84</v>
      </c>
      <c r="Q250" s="75">
        <v>30</v>
      </c>
      <c r="R250" s="11" t="s">
        <v>1000</v>
      </c>
      <c r="S250" s="12" t="s">
        <v>85</v>
      </c>
      <c r="T250" s="12" t="s">
        <v>138</v>
      </c>
      <c r="U250" s="12" t="s">
        <v>158</v>
      </c>
      <c r="V250" s="12" t="s">
        <v>275</v>
      </c>
      <c r="W250" s="23" t="s">
        <v>376</v>
      </c>
      <c r="X250" s="12" t="s">
        <v>280</v>
      </c>
      <c r="Y250" s="12" t="s">
        <v>37</v>
      </c>
      <c r="Z250" s="12" t="s">
        <v>37</v>
      </c>
      <c r="AA250" s="32" t="s">
        <v>372</v>
      </c>
      <c r="AB250" s="12">
        <v>5</v>
      </c>
      <c r="AE250" s="12" t="s">
        <v>37</v>
      </c>
      <c r="AF250" s="12" t="s">
        <v>391</v>
      </c>
      <c r="AG250" s="32" t="s">
        <v>372</v>
      </c>
      <c r="AH250" s="12">
        <v>1300</v>
      </c>
      <c r="AK250" s="12" t="s">
        <v>37</v>
      </c>
      <c r="AL250" s="32">
        <v>1991</v>
      </c>
      <c r="AM250" s="12" t="s">
        <v>317</v>
      </c>
      <c r="AN250" s="32" t="s">
        <v>880</v>
      </c>
      <c r="AO250" s="12" t="s">
        <v>37</v>
      </c>
      <c r="AP250" s="12" t="s">
        <v>238</v>
      </c>
      <c r="AQ250" s="12" t="s">
        <v>975</v>
      </c>
      <c r="AT250" s="12" t="s">
        <v>326</v>
      </c>
      <c r="AU250" s="12" t="s">
        <v>326</v>
      </c>
      <c r="AV250" s="13" t="s">
        <v>326</v>
      </c>
      <c r="AX250" s="12" t="s">
        <v>326</v>
      </c>
      <c r="AY250" s="12" t="s">
        <v>326</v>
      </c>
      <c r="AZ250" s="13" t="s">
        <v>326</v>
      </c>
      <c r="BE250" s="12" t="s">
        <v>326</v>
      </c>
      <c r="BF250" s="12" t="s">
        <v>326</v>
      </c>
      <c r="BG250" s="12" t="s">
        <v>326</v>
      </c>
      <c r="BI250" s="12" t="s">
        <v>326</v>
      </c>
      <c r="BJ250" s="12" t="s">
        <v>326</v>
      </c>
      <c r="BK250" s="12" t="s">
        <v>326</v>
      </c>
      <c r="BP250" s="12" t="s">
        <v>37</v>
      </c>
      <c r="BQ250" s="12" t="s">
        <v>37</v>
      </c>
      <c r="BR250" s="13" t="s">
        <v>37</v>
      </c>
      <c r="BT250" s="12" t="s">
        <v>37</v>
      </c>
      <c r="BU250" s="12" t="s">
        <v>37</v>
      </c>
      <c r="BV250" s="12" t="s">
        <v>37</v>
      </c>
      <c r="CA250" s="12" t="s">
        <v>37</v>
      </c>
      <c r="CB250" s="12" t="s">
        <v>37</v>
      </c>
      <c r="CC250" s="13" t="s">
        <v>37</v>
      </c>
      <c r="CE250" s="12" t="s">
        <v>37</v>
      </c>
      <c r="CF250" s="12" t="s">
        <v>37</v>
      </c>
      <c r="CG250" s="12" t="s">
        <v>37</v>
      </c>
      <c r="CI250" s="52"/>
      <c r="CJ250" s="52"/>
      <c r="CK250" s="73"/>
      <c r="CL250" s="73"/>
      <c r="CN250" s="12" t="s">
        <v>37</v>
      </c>
      <c r="CO250" s="12" t="s">
        <v>37</v>
      </c>
      <c r="CP250" s="13" t="s">
        <v>37</v>
      </c>
      <c r="CR250" s="12" t="s">
        <v>37</v>
      </c>
      <c r="CS250" s="12" t="s">
        <v>37</v>
      </c>
      <c r="CT250" s="13" t="s">
        <v>37</v>
      </c>
      <c r="CV250" s="52"/>
      <c r="CW250" s="52"/>
      <c r="CX250" s="73"/>
      <c r="CY250" s="73"/>
      <c r="DA250" s="12" t="s">
        <v>37</v>
      </c>
      <c r="DB250" s="12" t="s">
        <v>37</v>
      </c>
      <c r="DC250" s="13" t="s">
        <v>37</v>
      </c>
      <c r="DE250" s="12" t="s">
        <v>37</v>
      </c>
      <c r="DF250" s="12" t="s">
        <v>37</v>
      </c>
      <c r="DG250" s="12" t="s">
        <v>37</v>
      </c>
      <c r="DI250" s="52"/>
      <c r="DJ250" s="52"/>
      <c r="DK250" s="73"/>
      <c r="DL250" s="73"/>
      <c r="DN250" s="19" t="s">
        <v>37</v>
      </c>
      <c r="DO250" s="12" t="s">
        <v>37</v>
      </c>
      <c r="DP250" s="13" t="s">
        <v>37</v>
      </c>
      <c r="DR250" s="19" t="s">
        <v>37</v>
      </c>
      <c r="DS250" s="12" t="s">
        <v>37</v>
      </c>
      <c r="DT250" s="13" t="s">
        <v>37</v>
      </c>
      <c r="DV250" s="52"/>
      <c r="DW250" s="52"/>
      <c r="DZ250" s="11" t="s">
        <v>47</v>
      </c>
      <c r="EA250" s="19">
        <f>2.3*10^4*("1991/9/30"-"1991/05/01")/10^9/'[3]classess-1'!$I$22</f>
        <v>4.7842000883736189E-3</v>
      </c>
      <c r="EB250" s="19">
        <f>SQRT((1/[5]Classess!$I$22)^2*(16*SQRT(3)*10^4*("1991/9/30"-"1991/05/01")/10^9)^2+(-EA250/([5]Classess!$I$22)^2)^2*([5]Classess!$J$22)^2)</f>
        <v>5.7651671572041305E-2</v>
      </c>
      <c r="EC250" s="72">
        <v>3</v>
      </c>
      <c r="ED250" s="52">
        <f t="shared" ref="ED250:ED251" si="1151">EB250/ABS(EA250)</f>
        <v>12.050430690000656</v>
      </c>
      <c r="EE250" s="19">
        <f>(900*10^4*("1991/9/30"-"1991/05/01")/10^9)/'[3]classess-1'!$I$23</f>
        <v>2.8668507573783328</v>
      </c>
      <c r="EF250" s="19">
        <f>SQRT((1/[5]Classess!$I$23)^2*(270*SQRT(3)*10^4*("1991/9/30"-"1991/05/01")/10^9)^2+(-EE250/([5]Classess!$I$23)^2)^2*([5]Classess!$J$23)^2)</f>
        <v>1.8611493473177243</v>
      </c>
      <c r="EG250" s="13">
        <v>3</v>
      </c>
      <c r="EH250" s="52">
        <f t="shared" ref="EH250:EH251" si="1152">EF250/ABS(EE250)</f>
        <v>0.64919645451641905</v>
      </c>
      <c r="EI250" s="19">
        <f>EE250-EA250</f>
        <v>2.8620665572899591</v>
      </c>
      <c r="EJ250" s="12">
        <f t="shared" ref="EJ250:EJ251" si="1153">SQRT(((EC250-1)*EB250^2+(EG250-1)*EF250^2)/(EC250+EG250-2))</f>
        <v>1.3166625627426798</v>
      </c>
      <c r="EK250" s="19">
        <f t="shared" ref="EK250:EK251" si="1154">(((EC250+EG250)/(EC250*EG250))*(((EC250-1)*EB250^2)+(EG250-1)*EF250^2)/(EC250+EG250-2))</f>
        <v>1.155733536085414</v>
      </c>
      <c r="EL250" s="19">
        <f t="shared" ref="EL250:EL251" si="1155">(EB250^2/EC250)+(EF250^2/EG250)</f>
        <v>1.155733536085414</v>
      </c>
      <c r="EM250" s="12" t="s">
        <v>39</v>
      </c>
      <c r="EN250" s="12">
        <v>-4</v>
      </c>
      <c r="EO250" s="50">
        <f t="shared" ref="EO250:EO270" si="1156">ABS(EN250)*EQ$474</f>
        <v>1.6299855950051734</v>
      </c>
      <c r="EP250" s="13">
        <v>3</v>
      </c>
      <c r="ER250" s="12">
        <v>-31</v>
      </c>
      <c r="ES250" s="50">
        <f>ABS(ER250)*EU$474</f>
        <v>7.0312356587850191</v>
      </c>
      <c r="ET250" s="13">
        <v>3</v>
      </c>
      <c r="EV250" s="19">
        <f t="shared" ref="EV250:EV252" si="1157">ER250-EN250</f>
        <v>-27</v>
      </c>
      <c r="EW250" s="12">
        <f t="shared" ref="EW250:EW252" si="1158">SQRT(((EP250-1)*EO250^2+(ET250-1)*ES250^2)/(EP250+ET250-2))</f>
        <v>5.1036814129260835</v>
      </c>
      <c r="EX250" s="19">
        <f t="shared" ref="EX250:EX252" si="1159">(((EP250+ET250)/(EP250*ET250))*(((EP250-1)*EO250^2)+(ET250-1)*ES250^2)/(EP250+ET250-2))</f>
        <v>17.365042643098121</v>
      </c>
      <c r="EY250" s="19">
        <f t="shared" ref="EY250:EY252" si="1160">(EO250^2/EP250)+(ES250^2/ET250)</f>
        <v>17.365042643098121</v>
      </c>
      <c r="FB250" s="12" t="s">
        <v>37</v>
      </c>
      <c r="FC250" s="12" t="s">
        <v>37</v>
      </c>
      <c r="FD250" s="12" t="s">
        <v>37</v>
      </c>
      <c r="FE250" s="12" t="s">
        <v>37</v>
      </c>
      <c r="FF250" s="20" t="s">
        <v>37</v>
      </c>
      <c r="FG250" s="12" t="s">
        <v>37</v>
      </c>
      <c r="FI250" s="12" t="s">
        <v>37</v>
      </c>
      <c r="FJ250" s="12" t="s">
        <v>37</v>
      </c>
      <c r="FK250" s="12" t="s">
        <v>37</v>
      </c>
      <c r="FL250" s="12" t="s">
        <v>37</v>
      </c>
      <c r="FM250" s="12" t="s">
        <v>37</v>
      </c>
      <c r="FN250" s="12" t="s">
        <v>37</v>
      </c>
      <c r="FP250" s="12" t="s">
        <v>37</v>
      </c>
      <c r="FQ250" s="12" t="s">
        <v>37</v>
      </c>
      <c r="FR250" s="12" t="s">
        <v>37</v>
      </c>
      <c r="FS250" s="12" t="s">
        <v>37</v>
      </c>
      <c r="FT250" s="12" t="s">
        <v>37</v>
      </c>
      <c r="FU250" s="12" t="s">
        <v>37</v>
      </c>
      <c r="FW250" s="12" t="s">
        <v>37</v>
      </c>
      <c r="FX250" s="12" t="s">
        <v>37</v>
      </c>
      <c r="FY250" s="12" t="s">
        <v>37</v>
      </c>
      <c r="FZ250" s="12" t="s">
        <v>37</v>
      </c>
      <c r="GA250" s="12" t="s">
        <v>37</v>
      </c>
      <c r="GB250" s="12" t="s">
        <v>37</v>
      </c>
      <c r="IK250" s="12" t="s">
        <v>37</v>
      </c>
      <c r="IL250" s="12" t="s">
        <v>37</v>
      </c>
      <c r="IM250" s="12" t="s">
        <v>37</v>
      </c>
      <c r="IO250" s="12" t="s">
        <v>37</v>
      </c>
      <c r="IP250" s="12" t="s">
        <v>37</v>
      </c>
      <c r="IQ250" s="12" t="s">
        <v>37</v>
      </c>
      <c r="IV250" s="32" t="s">
        <v>372</v>
      </c>
      <c r="IW250" s="12">
        <v>5</v>
      </c>
      <c r="IX250" s="50">
        <f>ABS(IW250)*IZ$474</f>
        <v>0.18306371314011569</v>
      </c>
      <c r="IY250" s="13">
        <v>3</v>
      </c>
      <c r="JA250" s="12">
        <v>4.5999999999999996</v>
      </c>
      <c r="JB250" s="50">
        <f>ABS(JA250)*JD$474</f>
        <v>0.12884052041423269</v>
      </c>
      <c r="JC250" s="13">
        <v>3</v>
      </c>
      <c r="JE250" s="19">
        <f t="shared" ref="JE250:JE251" si="1161">LN(JA250/IW250)</f>
        <v>-8.3381608939051138E-2</v>
      </c>
      <c r="JF250" s="19">
        <f t="shared" ref="JF250:JF268" si="1162">JB250^2/(JC250*JA250^2)+IX250^2/(IY250*IW250^2)</f>
        <v>7.0832876411330761E-4</v>
      </c>
      <c r="JH250" s="12" t="s">
        <v>37</v>
      </c>
      <c r="JI250" s="12" t="s">
        <v>37</v>
      </c>
      <c r="JJ250" s="13" t="s">
        <v>37</v>
      </c>
      <c r="JL250" s="12" t="s">
        <v>37</v>
      </c>
      <c r="JM250" s="12" t="s">
        <v>37</v>
      </c>
      <c r="JN250" s="12" t="s">
        <v>37</v>
      </c>
      <c r="JS250" s="12" t="s">
        <v>37</v>
      </c>
      <c r="JT250" s="12" t="s">
        <v>37</v>
      </c>
      <c r="JU250" s="13" t="s">
        <v>37</v>
      </c>
      <c r="JW250" s="12" t="s">
        <v>37</v>
      </c>
      <c r="JX250" s="12" t="s">
        <v>37</v>
      </c>
      <c r="JY250" s="12" t="s">
        <v>37</v>
      </c>
      <c r="KE250" s="12" t="s">
        <v>37</v>
      </c>
      <c r="KF250" s="12" t="s">
        <v>37</v>
      </c>
      <c r="KG250" s="13" t="s">
        <v>37</v>
      </c>
      <c r="KH250" s="12" t="s">
        <v>37</v>
      </c>
      <c r="KI250" s="12" t="s">
        <v>37</v>
      </c>
      <c r="KJ250" s="12" t="s">
        <v>37</v>
      </c>
      <c r="KK250" s="12" t="s">
        <v>391</v>
      </c>
      <c r="KL250" s="32" t="s">
        <v>372</v>
      </c>
      <c r="KM250" s="12">
        <v>1300</v>
      </c>
      <c r="KN250" s="50">
        <f>ABS(KM250)*KP$474</f>
        <v>155.08095380031733</v>
      </c>
      <c r="KO250" s="11">
        <v>3</v>
      </c>
      <c r="KQ250" s="12">
        <v>2300</v>
      </c>
      <c r="KR250" s="50">
        <f>ABS(KQ250)*KT$474</f>
        <v>242.51988938786451</v>
      </c>
      <c r="KS250" s="11">
        <v>3</v>
      </c>
      <c r="KU250" s="19">
        <f t="shared" ref="KU250:KU251" si="1163">LN(KQ250/KM250)</f>
        <v>0.57054485846761294</v>
      </c>
      <c r="KV250" s="19">
        <f t="shared" ref="KV250:KV251" si="1164">KR250^2/(KS250*KQ250^2)+KN250^2/(KO250*KM250^2)</f>
        <v>8.4497155628593234E-3</v>
      </c>
      <c r="KX250" s="12" t="s">
        <v>37</v>
      </c>
      <c r="KY250" s="12" t="s">
        <v>37</v>
      </c>
      <c r="KZ250" s="12" t="s">
        <v>37</v>
      </c>
      <c r="LB250" s="12" t="s">
        <v>37</v>
      </c>
      <c r="LC250" s="12" t="s">
        <v>37</v>
      </c>
      <c r="LD250" s="12" t="s">
        <v>37</v>
      </c>
      <c r="LI250" s="12" t="s">
        <v>37</v>
      </c>
      <c r="LJ250" s="12" t="s">
        <v>37</v>
      </c>
      <c r="LK250" s="12" t="s">
        <v>37</v>
      </c>
      <c r="LM250" s="12" t="s">
        <v>37</v>
      </c>
      <c r="LN250" s="12" t="s">
        <v>37</v>
      </c>
      <c r="LO250" s="12" t="s">
        <v>37</v>
      </c>
      <c r="LU250" s="12" t="s">
        <v>37</v>
      </c>
      <c r="LV250" s="12" t="s">
        <v>37</v>
      </c>
      <c r="LW250" s="12" t="s">
        <v>37</v>
      </c>
      <c r="LY250" s="12" t="s">
        <v>37</v>
      </c>
      <c r="LZ250" s="12" t="s">
        <v>37</v>
      </c>
      <c r="MA250" s="12" t="s">
        <v>37</v>
      </c>
      <c r="MF250" s="12" t="s">
        <v>37</v>
      </c>
      <c r="MG250" s="12" t="s">
        <v>37</v>
      </c>
      <c r="MH250" s="12" t="s">
        <v>37</v>
      </c>
      <c r="MJ250" s="12" t="s">
        <v>37</v>
      </c>
      <c r="MK250" s="12" t="s">
        <v>37</v>
      </c>
      <c r="ML250" s="12" t="s">
        <v>37</v>
      </c>
      <c r="MQ250" s="12" t="s">
        <v>37</v>
      </c>
      <c r="MR250" s="12" t="s">
        <v>37</v>
      </c>
      <c r="MS250" s="12" t="s">
        <v>37</v>
      </c>
      <c r="MU250" s="12" t="s">
        <v>37</v>
      </c>
      <c r="MV250" s="12" t="s">
        <v>37</v>
      </c>
      <c r="MW250" s="12" t="s">
        <v>37</v>
      </c>
      <c r="NC250" s="12" t="s">
        <v>37</v>
      </c>
      <c r="ND250" s="12" t="s">
        <v>37</v>
      </c>
      <c r="NE250" s="12" t="s">
        <v>37</v>
      </c>
      <c r="NG250" s="12" t="s">
        <v>37</v>
      </c>
      <c r="NH250" s="12" t="s">
        <v>37</v>
      </c>
      <c r="NI250" s="12" t="s">
        <v>37</v>
      </c>
      <c r="NO250" s="12" t="s">
        <v>37</v>
      </c>
      <c r="NP250" s="12" t="s">
        <v>37</v>
      </c>
      <c r="NQ250" s="12" t="s">
        <v>37</v>
      </c>
      <c r="NS250" s="12" t="s">
        <v>37</v>
      </c>
      <c r="NT250" s="12" t="s">
        <v>37</v>
      </c>
      <c r="NU250" s="12" t="s">
        <v>37</v>
      </c>
      <c r="OA250" s="12" t="s">
        <v>37</v>
      </c>
      <c r="OB250" s="12" t="s">
        <v>37</v>
      </c>
      <c r="OC250" s="12" t="s">
        <v>37</v>
      </c>
      <c r="OD250" s="12"/>
      <c r="OE250" s="12" t="s">
        <v>37</v>
      </c>
      <c r="OF250" s="12" t="s">
        <v>37</v>
      </c>
      <c r="OG250" s="12" t="s">
        <v>37</v>
      </c>
      <c r="OH250" s="12"/>
      <c r="OI250" s="12"/>
      <c r="OJ250" s="12"/>
      <c r="OM250" s="12" t="s">
        <v>37</v>
      </c>
      <c r="ON250" s="12" t="s">
        <v>37</v>
      </c>
      <c r="OO250" s="12" t="s">
        <v>37</v>
      </c>
      <c r="OP250" s="12" t="s">
        <v>37</v>
      </c>
      <c r="OQ250" s="12" t="s">
        <v>37</v>
      </c>
      <c r="OR250" s="12" t="s">
        <v>37</v>
      </c>
      <c r="OS250" s="12"/>
      <c r="OT250" s="12"/>
      <c r="OW250" s="12" t="s">
        <v>37</v>
      </c>
      <c r="OX250" s="12" t="s">
        <v>37</v>
      </c>
      <c r="OY250" s="13" t="s">
        <v>37</v>
      </c>
      <c r="OZ250" s="12" t="s">
        <v>37</v>
      </c>
      <c r="PA250" s="12" t="s">
        <v>37</v>
      </c>
      <c r="PB250" s="13" t="s">
        <v>37</v>
      </c>
      <c r="PG250" s="12" t="s">
        <v>37</v>
      </c>
      <c r="PH250" s="12" t="s">
        <v>37</v>
      </c>
      <c r="PI250" s="12" t="s">
        <v>37</v>
      </c>
      <c r="PJ250" s="12" t="s">
        <v>37</v>
      </c>
      <c r="PK250" s="12" t="s">
        <v>37</v>
      </c>
      <c r="PL250" s="12" t="s">
        <v>37</v>
      </c>
      <c r="PM250" s="12"/>
      <c r="PN250" s="12"/>
      <c r="PQ250" s="12" t="s">
        <v>37</v>
      </c>
      <c r="PR250" s="12" t="s">
        <v>37</v>
      </c>
      <c r="PS250" s="12" t="s">
        <v>37</v>
      </c>
      <c r="PT250" s="12" t="s">
        <v>37</v>
      </c>
      <c r="PU250" s="12" t="s">
        <v>37</v>
      </c>
      <c r="PV250" s="12" t="s">
        <v>37</v>
      </c>
      <c r="PW250" s="12"/>
      <c r="PX250" s="12"/>
      <c r="PZ250" s="12" t="s">
        <v>37</v>
      </c>
      <c r="QA250" s="12" t="s">
        <v>37</v>
      </c>
      <c r="QB250" s="12" t="s">
        <v>37</v>
      </c>
      <c r="QD250" s="12" t="s">
        <v>37</v>
      </c>
      <c r="QE250" s="12" t="s">
        <v>37</v>
      </c>
      <c r="QF250" s="12" t="s">
        <v>37</v>
      </c>
      <c r="QK250" s="12" t="s">
        <v>37</v>
      </c>
      <c r="QL250" s="12" t="s">
        <v>37</v>
      </c>
      <c r="QM250" s="12" t="s">
        <v>37</v>
      </c>
      <c r="QN250" s="12" t="s">
        <v>37</v>
      </c>
      <c r="QO250" s="12" t="s">
        <v>37</v>
      </c>
      <c r="QP250" s="12" t="s">
        <v>37</v>
      </c>
      <c r="QQ250" s="12"/>
      <c r="QR250" s="12"/>
      <c r="QU250" s="12" t="s">
        <v>37</v>
      </c>
      <c r="QV250" s="12" t="s">
        <v>37</v>
      </c>
      <c r="QW250" s="12" t="s">
        <v>37</v>
      </c>
      <c r="QX250" s="12" t="s">
        <v>37</v>
      </c>
      <c r="QY250" s="12" t="s">
        <v>37</v>
      </c>
      <c r="QZ250" s="12" t="s">
        <v>37</v>
      </c>
      <c r="RC250" s="12" t="s">
        <v>37</v>
      </c>
      <c r="RD250" s="12" t="s">
        <v>37</v>
      </c>
      <c r="RE250" s="13" t="s">
        <v>37</v>
      </c>
      <c r="RF250" s="12" t="s">
        <v>37</v>
      </c>
      <c r="RG250" s="12" t="s">
        <v>37</v>
      </c>
      <c r="RH250" s="13" t="s">
        <v>37</v>
      </c>
      <c r="RK250" s="12" t="s">
        <v>37</v>
      </c>
      <c r="RL250" s="12" t="s">
        <v>37</v>
      </c>
      <c r="RM250" s="11" t="s">
        <v>37</v>
      </c>
      <c r="RN250" s="12" t="s">
        <v>37</v>
      </c>
      <c r="RO250" s="12" t="s">
        <v>37</v>
      </c>
      <c r="RP250" s="11" t="s">
        <v>37</v>
      </c>
      <c r="RS250" s="12" t="s">
        <v>37</v>
      </c>
      <c r="RT250" s="12" t="s">
        <v>37</v>
      </c>
      <c r="RU250" s="12" t="s">
        <v>37</v>
      </c>
      <c r="RV250" s="12" t="s">
        <v>37</v>
      </c>
      <c r="RW250" s="12" t="s">
        <v>37</v>
      </c>
      <c r="RX250" s="12" t="s">
        <v>37</v>
      </c>
      <c r="SA250" s="12" t="s">
        <v>37</v>
      </c>
      <c r="SB250" s="12" t="s">
        <v>37</v>
      </c>
      <c r="SC250" s="12" t="s">
        <v>37</v>
      </c>
      <c r="SD250" s="12" t="s">
        <v>37</v>
      </c>
      <c r="SE250" s="12" t="s">
        <v>37</v>
      </c>
      <c r="SF250" s="12" t="s">
        <v>37</v>
      </c>
      <c r="SI250" s="12" t="s">
        <v>37</v>
      </c>
      <c r="SJ250" s="12" t="s">
        <v>37</v>
      </c>
      <c r="SK250" s="13" t="s">
        <v>37</v>
      </c>
      <c r="SM250" s="12" t="s">
        <v>37</v>
      </c>
      <c r="SN250" s="12" t="s">
        <v>37</v>
      </c>
      <c r="SO250" s="13" t="s">
        <v>37</v>
      </c>
      <c r="SU250" s="12" t="s">
        <v>37</v>
      </c>
      <c r="SV250" s="12" t="s">
        <v>37</v>
      </c>
      <c r="SW250" s="12" t="s">
        <v>37</v>
      </c>
      <c r="SX250" s="12" t="s">
        <v>37</v>
      </c>
      <c r="SY250" s="12" t="s">
        <v>37</v>
      </c>
      <c r="SZ250" s="12" t="s">
        <v>37</v>
      </c>
      <c r="TA250" s="12"/>
      <c r="TB250" s="12"/>
      <c r="TE250" s="12" t="s">
        <v>37</v>
      </c>
      <c r="TF250" s="12" t="s">
        <v>37</v>
      </c>
      <c r="TG250" s="12" t="s">
        <v>37</v>
      </c>
      <c r="TH250" s="12" t="s">
        <v>37</v>
      </c>
      <c r="TI250" s="12" t="s">
        <v>37</v>
      </c>
      <c r="TJ250" s="12" t="s">
        <v>37</v>
      </c>
      <c r="TK250" s="12"/>
      <c r="TL250" s="12"/>
      <c r="TO250" s="12" t="s">
        <v>37</v>
      </c>
      <c r="TP250" s="12" t="s">
        <v>37</v>
      </c>
      <c r="TQ250" s="12" t="s">
        <v>37</v>
      </c>
      <c r="TR250" s="12" t="s">
        <v>37</v>
      </c>
      <c r="TS250" s="12" t="s">
        <v>37</v>
      </c>
      <c r="TT250" s="12" t="s">
        <v>37</v>
      </c>
      <c r="TU250" s="12"/>
      <c r="TV250" s="12"/>
      <c r="TY250" s="12" t="s">
        <v>37</v>
      </c>
      <c r="TZ250" s="12" t="s">
        <v>37</v>
      </c>
      <c r="UA250" s="12" t="s">
        <v>37</v>
      </c>
      <c r="UB250" s="12" t="s">
        <v>37</v>
      </c>
      <c r="UC250" s="12" t="s">
        <v>37</v>
      </c>
      <c r="UD250" s="12" t="s">
        <v>37</v>
      </c>
      <c r="UE250" s="12"/>
      <c r="UF250" s="12"/>
      <c r="UI250" s="12" t="s">
        <v>37</v>
      </c>
      <c r="UJ250" s="12" t="s">
        <v>37</v>
      </c>
      <c r="UK250" s="12" t="s">
        <v>37</v>
      </c>
      <c r="UL250" s="12" t="s">
        <v>37</v>
      </c>
      <c r="UM250" s="12" t="s">
        <v>37</v>
      </c>
      <c r="UN250" s="12" t="s">
        <v>37</v>
      </c>
      <c r="UO250" s="12"/>
      <c r="UP250" s="12"/>
      <c r="UR250" s="12" t="s">
        <v>37</v>
      </c>
      <c r="US250" s="12" t="s">
        <v>37</v>
      </c>
      <c r="UT250" s="12" t="s">
        <v>37</v>
      </c>
      <c r="UU250" s="12" t="s">
        <v>37</v>
      </c>
      <c r="UV250" s="12" t="s">
        <v>37</v>
      </c>
      <c r="UW250" s="12" t="s">
        <v>37</v>
      </c>
      <c r="UX250" s="12"/>
      <c r="UY250" s="12"/>
      <c r="VB250" s="12" t="s">
        <v>37</v>
      </c>
      <c r="VC250" s="12" t="s">
        <v>37</v>
      </c>
      <c r="VD250" s="12" t="s">
        <v>37</v>
      </c>
      <c r="VE250" s="12" t="s">
        <v>37</v>
      </c>
      <c r="VF250" s="12" t="s">
        <v>37</v>
      </c>
      <c r="VG250" s="12" t="s">
        <v>37</v>
      </c>
      <c r="VI250" s="12" t="s">
        <v>37</v>
      </c>
      <c r="VJ250" s="12" t="s">
        <v>37</v>
      </c>
      <c r="VK250" s="12" t="s">
        <v>37</v>
      </c>
      <c r="VL250" s="12" t="s">
        <v>37</v>
      </c>
      <c r="VM250" s="12" t="s">
        <v>37</v>
      </c>
      <c r="VN250" s="12" t="s">
        <v>37</v>
      </c>
      <c r="VQ250" s="12" t="s">
        <v>37</v>
      </c>
      <c r="VR250" s="12" t="s">
        <v>37</v>
      </c>
      <c r="VS250" s="12" t="s">
        <v>37</v>
      </c>
      <c r="VT250" s="12" t="s">
        <v>37</v>
      </c>
      <c r="VU250" s="12" t="s">
        <v>37</v>
      </c>
      <c r="VV250" s="12" t="s">
        <v>37</v>
      </c>
      <c r="VW250" s="12"/>
      <c r="VX250" s="12"/>
      <c r="WA250" s="12" t="s">
        <v>37</v>
      </c>
      <c r="WB250" s="12" t="s">
        <v>37</v>
      </c>
      <c r="WC250" s="12" t="s">
        <v>37</v>
      </c>
      <c r="WD250" s="12" t="s">
        <v>37</v>
      </c>
      <c r="WE250" s="12" t="s">
        <v>37</v>
      </c>
      <c r="WF250" s="12" t="s">
        <v>37</v>
      </c>
    </row>
    <row r="251" spans="1:604" ht="18" customHeight="1" x14ac:dyDescent="0.3">
      <c r="A251" s="11">
        <v>66</v>
      </c>
      <c r="B251" s="16" t="s">
        <v>911</v>
      </c>
      <c r="C251" s="12" t="s">
        <v>26</v>
      </c>
      <c r="D251" s="12" t="s">
        <v>54</v>
      </c>
      <c r="E251" s="40" t="s">
        <v>37</v>
      </c>
      <c r="F251" s="14">
        <v>0</v>
      </c>
      <c r="G251" s="14">
        <v>0</v>
      </c>
      <c r="H251" s="12" t="s">
        <v>123</v>
      </c>
      <c r="I251" s="29">
        <v>61.783000000000001</v>
      </c>
      <c r="J251" s="29">
        <v>24.3</v>
      </c>
      <c r="K251" s="12" t="s">
        <v>775</v>
      </c>
      <c r="L251" s="12" t="s">
        <v>709</v>
      </c>
      <c r="M251" s="13" t="s">
        <v>37</v>
      </c>
      <c r="N251" s="13" t="s">
        <v>37</v>
      </c>
      <c r="O251" s="13" t="s">
        <v>37</v>
      </c>
      <c r="P251" s="14" t="s">
        <v>84</v>
      </c>
      <c r="Q251" s="75">
        <v>30</v>
      </c>
      <c r="R251" s="11" t="s">
        <v>1000</v>
      </c>
      <c r="S251" s="12" t="s">
        <v>85</v>
      </c>
      <c r="T251" s="12" t="s">
        <v>138</v>
      </c>
      <c r="U251" s="12" t="s">
        <v>158</v>
      </c>
      <c r="V251" s="12" t="s">
        <v>275</v>
      </c>
      <c r="W251" s="23" t="s">
        <v>376</v>
      </c>
      <c r="X251" s="12" t="s">
        <v>280</v>
      </c>
      <c r="Y251" s="12" t="s">
        <v>37</v>
      </c>
      <c r="Z251" s="12" t="s">
        <v>37</v>
      </c>
      <c r="AA251" s="32" t="s">
        <v>372</v>
      </c>
      <c r="AB251" s="12">
        <v>4.4000000000000004</v>
      </c>
      <c r="AE251" s="12" t="s">
        <v>37</v>
      </c>
      <c r="AF251" s="12" t="s">
        <v>391</v>
      </c>
      <c r="AG251" s="32" t="s">
        <v>372</v>
      </c>
      <c r="AH251" s="12">
        <v>890</v>
      </c>
      <c r="AK251" s="12" t="s">
        <v>37</v>
      </c>
      <c r="AL251" s="32">
        <v>1991</v>
      </c>
      <c r="AM251" s="12" t="s">
        <v>317</v>
      </c>
      <c r="AN251" s="32" t="s">
        <v>880</v>
      </c>
      <c r="AO251" s="12" t="s">
        <v>37</v>
      </c>
      <c r="AP251" s="12" t="s">
        <v>238</v>
      </c>
      <c r="AQ251" s="12" t="s">
        <v>975</v>
      </c>
      <c r="AT251" s="12" t="s">
        <v>326</v>
      </c>
      <c r="AU251" s="12" t="s">
        <v>326</v>
      </c>
      <c r="AV251" s="13" t="s">
        <v>326</v>
      </c>
      <c r="AX251" s="12" t="s">
        <v>326</v>
      </c>
      <c r="AY251" s="12" t="s">
        <v>326</v>
      </c>
      <c r="AZ251" s="13" t="s">
        <v>326</v>
      </c>
      <c r="BE251" s="12" t="s">
        <v>326</v>
      </c>
      <c r="BF251" s="12" t="s">
        <v>326</v>
      </c>
      <c r="BG251" s="12" t="s">
        <v>326</v>
      </c>
      <c r="BI251" s="12" t="s">
        <v>326</v>
      </c>
      <c r="BJ251" s="12" t="s">
        <v>326</v>
      </c>
      <c r="BK251" s="12" t="s">
        <v>326</v>
      </c>
      <c r="BP251" s="12" t="s">
        <v>37</v>
      </c>
      <c r="BQ251" s="12" t="s">
        <v>37</v>
      </c>
      <c r="BR251" s="13" t="s">
        <v>37</v>
      </c>
      <c r="BT251" s="12" t="s">
        <v>37</v>
      </c>
      <c r="BU251" s="12" t="s">
        <v>37</v>
      </c>
      <c r="BV251" s="12" t="s">
        <v>37</v>
      </c>
      <c r="CA251" s="12" t="s">
        <v>37</v>
      </c>
      <c r="CB251" s="12" t="s">
        <v>37</v>
      </c>
      <c r="CC251" s="13" t="s">
        <v>37</v>
      </c>
      <c r="CE251" s="12" t="s">
        <v>37</v>
      </c>
      <c r="CF251" s="12" t="s">
        <v>37</v>
      </c>
      <c r="CG251" s="12" t="s">
        <v>37</v>
      </c>
      <c r="CI251" s="52"/>
      <c r="CJ251" s="52"/>
      <c r="CK251" s="73"/>
      <c r="CL251" s="73"/>
      <c r="CN251" s="12" t="s">
        <v>37</v>
      </c>
      <c r="CO251" s="12" t="s">
        <v>37</v>
      </c>
      <c r="CP251" s="13" t="s">
        <v>37</v>
      </c>
      <c r="CR251" s="12" t="s">
        <v>37</v>
      </c>
      <c r="CS251" s="12" t="s">
        <v>37</v>
      </c>
      <c r="CT251" s="13" t="s">
        <v>37</v>
      </c>
      <c r="CV251" s="52"/>
      <c r="CW251" s="52"/>
      <c r="CX251" s="73"/>
      <c r="CY251" s="73"/>
      <c r="DA251" s="12" t="s">
        <v>37</v>
      </c>
      <c r="DB251" s="12" t="s">
        <v>37</v>
      </c>
      <c r="DC251" s="13" t="s">
        <v>37</v>
      </c>
      <c r="DE251" s="12" t="s">
        <v>37</v>
      </c>
      <c r="DF251" s="12" t="s">
        <v>37</v>
      </c>
      <c r="DG251" s="12" t="s">
        <v>37</v>
      </c>
      <c r="DI251" s="52"/>
      <c r="DJ251" s="52"/>
      <c r="DK251" s="73"/>
      <c r="DL251" s="73"/>
      <c r="DN251" s="19" t="s">
        <v>37</v>
      </c>
      <c r="DO251" s="12" t="s">
        <v>37</v>
      </c>
      <c r="DP251" s="13" t="s">
        <v>37</v>
      </c>
      <c r="DR251" s="19" t="s">
        <v>37</v>
      </c>
      <c r="DS251" s="12" t="s">
        <v>37</v>
      </c>
      <c r="DT251" s="13" t="s">
        <v>37</v>
      </c>
      <c r="DV251" s="52"/>
      <c r="DW251" s="52"/>
      <c r="DZ251" s="11" t="s">
        <v>47</v>
      </c>
      <c r="EA251" s="19">
        <f>14*10^4*("1991/9/30"-"1991/05/01")/10^9/'[3]classess-1'!$I$22</f>
        <v>2.9121217929230725E-2</v>
      </c>
      <c r="EB251" s="19">
        <f>SQRT((1/[5]Classess!$I$22)^2*(19*SQRT(3)*10^4*("1991/9/30"-"1991/05/01")/10^9)^2+(-EA251/([5]Classess!$I$22)^2)^2*([5]Classess!$J$22)^2)</f>
        <v>6.8659445106331193E-2</v>
      </c>
      <c r="EC251" s="72">
        <v>3</v>
      </c>
      <c r="ED251" s="52">
        <f t="shared" si="1151"/>
        <v>2.3577120048064186</v>
      </c>
      <c r="EE251" s="19">
        <f>33*10^4*("1991/9/30"-"1991/05/01")/10^9/'[3]classess-1'!$I$23</f>
        <v>0.10511786110387221</v>
      </c>
      <c r="EF251" s="19">
        <f>SQRT((1/[5]Classess!$I$23)^2*(18*SQRT(3)*10^4*("1991/9/30"-"1991/05/01")/10^9)^2+(-EE251/([5]Classess!$I$23)^2)^2*([5]Classess!$J$23)^2)</f>
        <v>0.10740648717807684</v>
      </c>
      <c r="EG251" s="13">
        <v>3</v>
      </c>
      <c r="EH251" s="52">
        <f t="shared" si="1152"/>
        <v>1.0217720000214152</v>
      </c>
      <c r="EI251" s="19">
        <f t="shared" ref="EI251" si="1165">EE251-EA251</f>
        <v>7.5996643174641484E-2</v>
      </c>
      <c r="EJ251" s="12">
        <f t="shared" si="1153"/>
        <v>9.0139538744780839E-2</v>
      </c>
      <c r="EK251" s="19">
        <f t="shared" si="1154"/>
        <v>5.4167576300812297E-3</v>
      </c>
      <c r="EL251" s="19">
        <f t="shared" si="1155"/>
        <v>5.4167576300812306E-3</v>
      </c>
      <c r="EM251" s="12" t="s">
        <v>39</v>
      </c>
      <c r="EN251" s="12">
        <v>-21</v>
      </c>
      <c r="EO251" s="50">
        <f t="shared" si="1156"/>
        <v>8.5574243737771596</v>
      </c>
      <c r="EP251" s="13">
        <v>3</v>
      </c>
      <c r="ER251" s="12">
        <v>-38</v>
      </c>
      <c r="ES251" s="50">
        <f>ABS(ER251)*EU$474</f>
        <v>8.6189340333493778</v>
      </c>
      <c r="ET251" s="13">
        <v>3</v>
      </c>
      <c r="EV251" s="19">
        <f t="shared" si="1157"/>
        <v>-17</v>
      </c>
      <c r="EW251" s="12">
        <f t="shared" si="1158"/>
        <v>8.5882342709122579</v>
      </c>
      <c r="EX251" s="19">
        <f t="shared" si="1159"/>
        <v>49.171845261381193</v>
      </c>
      <c r="EY251" s="19">
        <f t="shared" si="1160"/>
        <v>49.171845261381193</v>
      </c>
      <c r="FB251" s="12" t="s">
        <v>37</v>
      </c>
      <c r="FC251" s="12" t="s">
        <v>37</v>
      </c>
      <c r="FD251" s="12" t="s">
        <v>37</v>
      </c>
      <c r="FE251" s="12" t="s">
        <v>37</v>
      </c>
      <c r="FF251" s="20" t="s">
        <v>37</v>
      </c>
      <c r="FG251" s="12" t="s">
        <v>37</v>
      </c>
      <c r="FI251" s="12" t="s">
        <v>37</v>
      </c>
      <c r="FJ251" s="12" t="s">
        <v>37</v>
      </c>
      <c r="FK251" s="12" t="s">
        <v>37</v>
      </c>
      <c r="FL251" s="12" t="s">
        <v>37</v>
      </c>
      <c r="FM251" s="12" t="s">
        <v>37</v>
      </c>
      <c r="FN251" s="12" t="s">
        <v>37</v>
      </c>
      <c r="FP251" s="12" t="s">
        <v>37</v>
      </c>
      <c r="FQ251" s="12" t="s">
        <v>37</v>
      </c>
      <c r="FR251" s="12" t="s">
        <v>37</v>
      </c>
      <c r="FS251" s="12" t="s">
        <v>37</v>
      </c>
      <c r="FT251" s="12" t="s">
        <v>37</v>
      </c>
      <c r="FU251" s="12" t="s">
        <v>37</v>
      </c>
      <c r="FW251" s="12" t="s">
        <v>37</v>
      </c>
      <c r="FX251" s="12" t="s">
        <v>37</v>
      </c>
      <c r="FY251" s="12" t="s">
        <v>37</v>
      </c>
      <c r="FZ251" s="12" t="s">
        <v>37</v>
      </c>
      <c r="GA251" s="12" t="s">
        <v>37</v>
      </c>
      <c r="GB251" s="12" t="s">
        <v>37</v>
      </c>
      <c r="IK251" s="12" t="s">
        <v>37</v>
      </c>
      <c r="IL251" s="12" t="s">
        <v>37</v>
      </c>
      <c r="IM251" s="12" t="s">
        <v>37</v>
      </c>
      <c r="IO251" s="12" t="s">
        <v>37</v>
      </c>
      <c r="IP251" s="12" t="s">
        <v>37</v>
      </c>
      <c r="IQ251" s="12" t="s">
        <v>37</v>
      </c>
      <c r="IV251" s="32" t="s">
        <v>372</v>
      </c>
      <c r="IW251" s="12">
        <v>4.4000000000000004</v>
      </c>
      <c r="IX251" s="50">
        <f>ABS(IW251)*IZ$474</f>
        <v>0.1610960675633018</v>
      </c>
      <c r="IY251" s="13">
        <v>3</v>
      </c>
      <c r="JA251" s="12">
        <v>4</v>
      </c>
      <c r="JB251" s="50">
        <f>ABS(JA251)*JD$474</f>
        <v>0.11203523514281104</v>
      </c>
      <c r="JC251" s="13">
        <v>3</v>
      </c>
      <c r="JE251" s="19">
        <f t="shared" si="1161"/>
        <v>-9.5310179804324893E-2</v>
      </c>
      <c r="JF251" s="19">
        <f t="shared" si="1162"/>
        <v>7.0832876411330739E-4</v>
      </c>
      <c r="JH251" s="12" t="s">
        <v>37</v>
      </c>
      <c r="JI251" s="12" t="s">
        <v>37</v>
      </c>
      <c r="JJ251" s="13" t="s">
        <v>37</v>
      </c>
      <c r="JL251" s="12" t="s">
        <v>37</v>
      </c>
      <c r="JM251" s="12" t="s">
        <v>37</v>
      </c>
      <c r="JN251" s="12" t="s">
        <v>37</v>
      </c>
      <c r="JS251" s="12" t="s">
        <v>37</v>
      </c>
      <c r="JT251" s="12" t="s">
        <v>37</v>
      </c>
      <c r="JU251" s="13" t="s">
        <v>37</v>
      </c>
      <c r="JW251" s="12" t="s">
        <v>37</v>
      </c>
      <c r="JX251" s="12" t="s">
        <v>37</v>
      </c>
      <c r="JY251" s="12" t="s">
        <v>37</v>
      </c>
      <c r="KE251" s="12" t="s">
        <v>37</v>
      </c>
      <c r="KF251" s="12" t="s">
        <v>37</v>
      </c>
      <c r="KG251" s="13" t="s">
        <v>37</v>
      </c>
      <c r="KH251" s="12" t="s">
        <v>37</v>
      </c>
      <c r="KI251" s="12" t="s">
        <v>37</v>
      </c>
      <c r="KJ251" s="12" t="s">
        <v>37</v>
      </c>
      <c r="KK251" s="12" t="s">
        <v>391</v>
      </c>
      <c r="KL251" s="32" t="s">
        <v>372</v>
      </c>
      <c r="KM251" s="12">
        <v>890</v>
      </c>
      <c r="KN251" s="50">
        <f>ABS(KM251)*KP$474</f>
        <v>106.17080683252493</v>
      </c>
      <c r="KO251" s="11">
        <v>3</v>
      </c>
      <c r="KQ251" s="12">
        <v>2300</v>
      </c>
      <c r="KR251" s="50">
        <f>ABS(KQ251)*KT$474</f>
        <v>242.51988938786451</v>
      </c>
      <c r="KS251" s="11">
        <v>3</v>
      </c>
      <c r="KU251" s="19">
        <f t="shared" si="1163"/>
        <v>0.9494429391910556</v>
      </c>
      <c r="KV251" s="19">
        <f t="shared" si="1164"/>
        <v>8.4497155628593217E-3</v>
      </c>
      <c r="KX251" s="12" t="s">
        <v>37</v>
      </c>
      <c r="KY251" s="12" t="s">
        <v>37</v>
      </c>
      <c r="KZ251" s="12" t="s">
        <v>37</v>
      </c>
      <c r="LB251" s="12" t="s">
        <v>37</v>
      </c>
      <c r="LC251" s="12" t="s">
        <v>37</v>
      </c>
      <c r="LD251" s="12" t="s">
        <v>37</v>
      </c>
      <c r="LI251" s="12" t="s">
        <v>37</v>
      </c>
      <c r="LJ251" s="12" t="s">
        <v>37</v>
      </c>
      <c r="LK251" s="12" t="s">
        <v>37</v>
      </c>
      <c r="LM251" s="12" t="s">
        <v>37</v>
      </c>
      <c r="LN251" s="12" t="s">
        <v>37</v>
      </c>
      <c r="LO251" s="12" t="s">
        <v>37</v>
      </c>
      <c r="LU251" s="12" t="s">
        <v>37</v>
      </c>
      <c r="LV251" s="12" t="s">
        <v>37</v>
      </c>
      <c r="LW251" s="12" t="s">
        <v>37</v>
      </c>
      <c r="LY251" s="12" t="s">
        <v>37</v>
      </c>
      <c r="LZ251" s="12" t="s">
        <v>37</v>
      </c>
      <c r="MA251" s="12" t="s">
        <v>37</v>
      </c>
      <c r="MF251" s="12" t="s">
        <v>37</v>
      </c>
      <c r="MG251" s="12" t="s">
        <v>37</v>
      </c>
      <c r="MH251" s="12" t="s">
        <v>37</v>
      </c>
      <c r="MJ251" s="12" t="s">
        <v>37</v>
      </c>
      <c r="MK251" s="12" t="s">
        <v>37</v>
      </c>
      <c r="ML251" s="12" t="s">
        <v>37</v>
      </c>
      <c r="MQ251" s="12" t="s">
        <v>37</v>
      </c>
      <c r="MR251" s="12" t="s">
        <v>37</v>
      </c>
      <c r="MS251" s="12" t="s">
        <v>37</v>
      </c>
      <c r="MU251" s="12" t="s">
        <v>37</v>
      </c>
      <c r="MV251" s="12" t="s">
        <v>37</v>
      </c>
      <c r="MW251" s="12" t="s">
        <v>37</v>
      </c>
      <c r="NC251" s="12" t="s">
        <v>37</v>
      </c>
      <c r="ND251" s="12" t="s">
        <v>37</v>
      </c>
      <c r="NE251" s="12" t="s">
        <v>37</v>
      </c>
      <c r="NG251" s="12" t="s">
        <v>37</v>
      </c>
      <c r="NH251" s="12" t="s">
        <v>37</v>
      </c>
      <c r="NI251" s="12" t="s">
        <v>37</v>
      </c>
      <c r="NO251" s="12" t="s">
        <v>37</v>
      </c>
      <c r="NP251" s="12" t="s">
        <v>37</v>
      </c>
      <c r="NQ251" s="12" t="s">
        <v>37</v>
      </c>
      <c r="NS251" s="12" t="s">
        <v>37</v>
      </c>
      <c r="NT251" s="12" t="s">
        <v>37</v>
      </c>
      <c r="NU251" s="12" t="s">
        <v>37</v>
      </c>
      <c r="OA251" s="12" t="s">
        <v>37</v>
      </c>
      <c r="OB251" s="12" t="s">
        <v>37</v>
      </c>
      <c r="OC251" s="12" t="s">
        <v>37</v>
      </c>
      <c r="OD251" s="12"/>
      <c r="OE251" s="12" t="s">
        <v>37</v>
      </c>
      <c r="OF251" s="12" t="s">
        <v>37</v>
      </c>
      <c r="OG251" s="12" t="s">
        <v>37</v>
      </c>
      <c r="OH251" s="12"/>
      <c r="OI251" s="12"/>
      <c r="OJ251" s="12"/>
      <c r="OM251" s="12" t="s">
        <v>37</v>
      </c>
      <c r="ON251" s="12" t="s">
        <v>37</v>
      </c>
      <c r="OO251" s="12" t="s">
        <v>37</v>
      </c>
      <c r="OP251" s="12" t="s">
        <v>37</v>
      </c>
      <c r="OQ251" s="12" t="s">
        <v>37</v>
      </c>
      <c r="OR251" s="12" t="s">
        <v>37</v>
      </c>
      <c r="OS251" s="12"/>
      <c r="OT251" s="12"/>
      <c r="OW251" s="12" t="s">
        <v>37</v>
      </c>
      <c r="OX251" s="12" t="s">
        <v>37</v>
      </c>
      <c r="OY251" s="13" t="s">
        <v>37</v>
      </c>
      <c r="OZ251" s="12" t="s">
        <v>37</v>
      </c>
      <c r="PA251" s="12" t="s">
        <v>37</v>
      </c>
      <c r="PB251" s="13" t="s">
        <v>37</v>
      </c>
      <c r="PG251" s="12" t="s">
        <v>37</v>
      </c>
      <c r="PH251" s="12" t="s">
        <v>37</v>
      </c>
      <c r="PI251" s="12" t="s">
        <v>37</v>
      </c>
      <c r="PJ251" s="12" t="s">
        <v>37</v>
      </c>
      <c r="PK251" s="12" t="s">
        <v>37</v>
      </c>
      <c r="PL251" s="12" t="s">
        <v>37</v>
      </c>
      <c r="PM251" s="12"/>
      <c r="PN251" s="12"/>
      <c r="PQ251" s="12" t="s">
        <v>37</v>
      </c>
      <c r="PR251" s="12" t="s">
        <v>37</v>
      </c>
      <c r="PS251" s="12" t="s">
        <v>37</v>
      </c>
      <c r="PT251" s="12" t="s">
        <v>37</v>
      </c>
      <c r="PU251" s="12" t="s">
        <v>37</v>
      </c>
      <c r="PV251" s="12" t="s">
        <v>37</v>
      </c>
      <c r="PW251" s="12"/>
      <c r="PX251" s="12"/>
      <c r="PZ251" s="12" t="s">
        <v>37</v>
      </c>
      <c r="QA251" s="12" t="s">
        <v>37</v>
      </c>
      <c r="QB251" s="12" t="s">
        <v>37</v>
      </c>
      <c r="QD251" s="12" t="s">
        <v>37</v>
      </c>
      <c r="QE251" s="12" t="s">
        <v>37</v>
      </c>
      <c r="QF251" s="12" t="s">
        <v>37</v>
      </c>
      <c r="QK251" s="12" t="s">
        <v>37</v>
      </c>
      <c r="QL251" s="12" t="s">
        <v>37</v>
      </c>
      <c r="QM251" s="12" t="s">
        <v>37</v>
      </c>
      <c r="QN251" s="12" t="s">
        <v>37</v>
      </c>
      <c r="QO251" s="12" t="s">
        <v>37</v>
      </c>
      <c r="QP251" s="12" t="s">
        <v>37</v>
      </c>
      <c r="QQ251" s="12"/>
      <c r="QR251" s="12"/>
      <c r="QU251" s="12" t="s">
        <v>37</v>
      </c>
      <c r="QV251" s="12" t="s">
        <v>37</v>
      </c>
      <c r="QW251" s="12" t="s">
        <v>37</v>
      </c>
      <c r="QX251" s="12" t="s">
        <v>37</v>
      </c>
      <c r="QY251" s="12" t="s">
        <v>37</v>
      </c>
      <c r="QZ251" s="12" t="s">
        <v>37</v>
      </c>
      <c r="RC251" s="12" t="s">
        <v>37</v>
      </c>
      <c r="RD251" s="12" t="s">
        <v>37</v>
      </c>
      <c r="RE251" s="13" t="s">
        <v>37</v>
      </c>
      <c r="RF251" s="12" t="s">
        <v>37</v>
      </c>
      <c r="RG251" s="12" t="s">
        <v>37</v>
      </c>
      <c r="RH251" s="13" t="s">
        <v>37</v>
      </c>
      <c r="RK251" s="12" t="s">
        <v>37</v>
      </c>
      <c r="RL251" s="12" t="s">
        <v>37</v>
      </c>
      <c r="RM251" s="11" t="s">
        <v>37</v>
      </c>
      <c r="RN251" s="12" t="s">
        <v>37</v>
      </c>
      <c r="RO251" s="12" t="s">
        <v>37</v>
      </c>
      <c r="RP251" s="11" t="s">
        <v>37</v>
      </c>
      <c r="RS251" s="12" t="s">
        <v>37</v>
      </c>
      <c r="RT251" s="12" t="s">
        <v>37</v>
      </c>
      <c r="RU251" s="12" t="s">
        <v>37</v>
      </c>
      <c r="RV251" s="12" t="s">
        <v>37</v>
      </c>
      <c r="RW251" s="12" t="s">
        <v>37</v>
      </c>
      <c r="RX251" s="12" t="s">
        <v>37</v>
      </c>
      <c r="SA251" s="12" t="s">
        <v>37</v>
      </c>
      <c r="SB251" s="12" t="s">
        <v>37</v>
      </c>
      <c r="SC251" s="12" t="s">
        <v>37</v>
      </c>
      <c r="SD251" s="12" t="s">
        <v>37</v>
      </c>
      <c r="SE251" s="12" t="s">
        <v>37</v>
      </c>
      <c r="SF251" s="12" t="s">
        <v>37</v>
      </c>
      <c r="SI251" s="12" t="s">
        <v>37</v>
      </c>
      <c r="SJ251" s="12" t="s">
        <v>37</v>
      </c>
      <c r="SK251" s="13" t="s">
        <v>37</v>
      </c>
      <c r="SM251" s="12" t="s">
        <v>37</v>
      </c>
      <c r="SN251" s="12" t="s">
        <v>37</v>
      </c>
      <c r="SO251" s="13" t="s">
        <v>37</v>
      </c>
      <c r="SU251" s="12" t="s">
        <v>37</v>
      </c>
      <c r="SV251" s="12" t="s">
        <v>37</v>
      </c>
      <c r="SW251" s="12" t="s">
        <v>37</v>
      </c>
      <c r="SX251" s="12" t="s">
        <v>37</v>
      </c>
      <c r="SY251" s="12" t="s">
        <v>37</v>
      </c>
      <c r="SZ251" s="12" t="s">
        <v>37</v>
      </c>
      <c r="TA251" s="12"/>
      <c r="TB251" s="12"/>
      <c r="TE251" s="12" t="s">
        <v>37</v>
      </c>
      <c r="TF251" s="12" t="s">
        <v>37</v>
      </c>
      <c r="TG251" s="12" t="s">
        <v>37</v>
      </c>
      <c r="TH251" s="12" t="s">
        <v>37</v>
      </c>
      <c r="TI251" s="12" t="s">
        <v>37</v>
      </c>
      <c r="TJ251" s="12" t="s">
        <v>37</v>
      </c>
      <c r="TK251" s="12"/>
      <c r="TL251" s="12"/>
      <c r="TO251" s="12" t="s">
        <v>37</v>
      </c>
      <c r="TP251" s="12" t="s">
        <v>37</v>
      </c>
      <c r="TQ251" s="12" t="s">
        <v>37</v>
      </c>
      <c r="TR251" s="12" t="s">
        <v>37</v>
      </c>
      <c r="TS251" s="12" t="s">
        <v>37</v>
      </c>
      <c r="TT251" s="12" t="s">
        <v>37</v>
      </c>
      <c r="TU251" s="12"/>
      <c r="TV251" s="12"/>
      <c r="TY251" s="12" t="s">
        <v>37</v>
      </c>
      <c r="TZ251" s="12" t="s">
        <v>37</v>
      </c>
      <c r="UA251" s="12" t="s">
        <v>37</v>
      </c>
      <c r="UB251" s="12" t="s">
        <v>37</v>
      </c>
      <c r="UC251" s="12" t="s">
        <v>37</v>
      </c>
      <c r="UD251" s="12" t="s">
        <v>37</v>
      </c>
      <c r="UE251" s="12"/>
      <c r="UF251" s="12"/>
      <c r="UI251" s="12" t="s">
        <v>37</v>
      </c>
      <c r="UJ251" s="12" t="s">
        <v>37</v>
      </c>
      <c r="UK251" s="12" t="s">
        <v>37</v>
      </c>
      <c r="UL251" s="12" t="s">
        <v>37</v>
      </c>
      <c r="UM251" s="12" t="s">
        <v>37</v>
      </c>
      <c r="UN251" s="12" t="s">
        <v>37</v>
      </c>
      <c r="UO251" s="12"/>
      <c r="UP251" s="12"/>
      <c r="UR251" s="12" t="s">
        <v>37</v>
      </c>
      <c r="US251" s="12" t="s">
        <v>37</v>
      </c>
      <c r="UT251" s="12" t="s">
        <v>37</v>
      </c>
      <c r="UU251" s="12" t="s">
        <v>37</v>
      </c>
      <c r="UV251" s="12" t="s">
        <v>37</v>
      </c>
      <c r="UW251" s="12" t="s">
        <v>37</v>
      </c>
      <c r="UX251" s="12"/>
      <c r="UY251" s="12"/>
      <c r="VB251" s="12" t="s">
        <v>37</v>
      </c>
      <c r="VC251" s="12" t="s">
        <v>37</v>
      </c>
      <c r="VD251" s="12" t="s">
        <v>37</v>
      </c>
      <c r="VE251" s="12" t="s">
        <v>37</v>
      </c>
      <c r="VF251" s="12" t="s">
        <v>37</v>
      </c>
      <c r="VG251" s="12" t="s">
        <v>37</v>
      </c>
      <c r="VI251" s="12" t="s">
        <v>37</v>
      </c>
      <c r="VJ251" s="12" t="s">
        <v>37</v>
      </c>
      <c r="VK251" s="12" t="s">
        <v>37</v>
      </c>
      <c r="VL251" s="12" t="s">
        <v>37</v>
      </c>
      <c r="VM251" s="12" t="s">
        <v>37</v>
      </c>
      <c r="VN251" s="12" t="s">
        <v>37</v>
      </c>
      <c r="VQ251" s="12" t="s">
        <v>37</v>
      </c>
      <c r="VR251" s="12" t="s">
        <v>37</v>
      </c>
      <c r="VS251" s="12" t="s">
        <v>37</v>
      </c>
      <c r="VT251" s="12" t="s">
        <v>37</v>
      </c>
      <c r="VU251" s="12" t="s">
        <v>37</v>
      </c>
      <c r="VV251" s="12" t="s">
        <v>37</v>
      </c>
      <c r="VW251" s="12"/>
      <c r="VX251" s="12"/>
      <c r="WA251" s="12" t="s">
        <v>37</v>
      </c>
      <c r="WB251" s="12" t="s">
        <v>37</v>
      </c>
      <c r="WC251" s="12" t="s">
        <v>37</v>
      </c>
      <c r="WD251" s="12" t="s">
        <v>37</v>
      </c>
      <c r="WE251" s="12" t="s">
        <v>37</v>
      </c>
      <c r="WF251" s="12" t="s">
        <v>37</v>
      </c>
    </row>
    <row r="252" spans="1:604" ht="18" customHeight="1" x14ac:dyDescent="0.3">
      <c r="A252" s="11">
        <v>66</v>
      </c>
      <c r="B252" s="16" t="s">
        <v>388</v>
      </c>
      <c r="C252" s="12" t="s">
        <v>26</v>
      </c>
      <c r="D252" s="12" t="s">
        <v>54</v>
      </c>
      <c r="E252" s="40" t="s">
        <v>37</v>
      </c>
      <c r="F252" s="14">
        <v>0</v>
      </c>
      <c r="G252" s="14">
        <v>0</v>
      </c>
      <c r="H252" s="12" t="s">
        <v>123</v>
      </c>
      <c r="I252" s="29">
        <v>61.783000000000001</v>
      </c>
      <c r="J252" s="29">
        <v>24.3</v>
      </c>
      <c r="K252" s="12" t="s">
        <v>389</v>
      </c>
      <c r="L252" s="12" t="s">
        <v>390</v>
      </c>
      <c r="M252" s="13" t="s">
        <v>37</v>
      </c>
      <c r="N252" s="13" t="s">
        <v>37</v>
      </c>
      <c r="O252" s="13" t="s">
        <v>37</v>
      </c>
      <c r="P252" s="14" t="s">
        <v>84</v>
      </c>
      <c r="Q252" s="75">
        <v>30</v>
      </c>
      <c r="R252" s="11" t="s">
        <v>999</v>
      </c>
      <c r="S252" s="12" t="s">
        <v>85</v>
      </c>
      <c r="T252" s="12" t="s">
        <v>138</v>
      </c>
      <c r="U252" s="12" t="s">
        <v>158</v>
      </c>
      <c r="V252" s="12" t="s">
        <v>275</v>
      </c>
      <c r="W252" s="23" t="s">
        <v>376</v>
      </c>
      <c r="X252" s="12" t="s">
        <v>280</v>
      </c>
      <c r="Y252" s="12" t="s">
        <v>37</v>
      </c>
      <c r="Z252" s="12" t="s">
        <v>37</v>
      </c>
      <c r="AA252" s="32" t="s">
        <v>372</v>
      </c>
      <c r="AB252" s="12" t="s">
        <v>37</v>
      </c>
      <c r="AE252" s="12" t="s">
        <v>37</v>
      </c>
      <c r="AF252" s="12" t="s">
        <v>391</v>
      </c>
      <c r="AG252" s="32" t="s">
        <v>372</v>
      </c>
      <c r="AH252" s="12" t="s">
        <v>37</v>
      </c>
      <c r="AK252" s="12" t="s">
        <v>37</v>
      </c>
      <c r="AL252" s="32">
        <v>1991</v>
      </c>
      <c r="AM252" s="12" t="s">
        <v>317</v>
      </c>
      <c r="AN252" s="32" t="s">
        <v>880</v>
      </c>
      <c r="AO252" s="12" t="s">
        <v>37</v>
      </c>
      <c r="AP252" s="12" t="s">
        <v>238</v>
      </c>
      <c r="AQ252" s="12" t="s">
        <v>975</v>
      </c>
      <c r="AT252" s="12" t="s">
        <v>326</v>
      </c>
      <c r="AU252" s="12" t="s">
        <v>326</v>
      </c>
      <c r="AV252" s="13" t="s">
        <v>326</v>
      </c>
      <c r="AX252" s="12" t="s">
        <v>326</v>
      </c>
      <c r="AY252" s="12" t="s">
        <v>326</v>
      </c>
      <c r="AZ252" s="13" t="s">
        <v>326</v>
      </c>
      <c r="BE252" s="12" t="s">
        <v>326</v>
      </c>
      <c r="BF252" s="12" t="s">
        <v>326</v>
      </c>
      <c r="BG252" s="12" t="s">
        <v>326</v>
      </c>
      <c r="BI252" s="12" t="s">
        <v>326</v>
      </c>
      <c r="BJ252" s="12" t="s">
        <v>326</v>
      </c>
      <c r="BK252" s="12" t="s">
        <v>326</v>
      </c>
      <c r="BP252" s="12" t="s">
        <v>37</v>
      </c>
      <c r="BQ252" s="12" t="s">
        <v>37</v>
      </c>
      <c r="BR252" s="13" t="s">
        <v>37</v>
      </c>
      <c r="BT252" s="12" t="s">
        <v>37</v>
      </c>
      <c r="BU252" s="12" t="s">
        <v>37</v>
      </c>
      <c r="BV252" s="12" t="s">
        <v>37</v>
      </c>
      <c r="CA252" s="12" t="s">
        <v>37</v>
      </c>
      <c r="CB252" s="12" t="s">
        <v>37</v>
      </c>
      <c r="CC252" s="13" t="s">
        <v>37</v>
      </c>
      <c r="CE252" s="12" t="s">
        <v>37</v>
      </c>
      <c r="CF252" s="12" t="s">
        <v>37</v>
      </c>
      <c r="CG252" s="12" t="s">
        <v>37</v>
      </c>
      <c r="CI252" s="52"/>
      <c r="CJ252" s="52"/>
      <c r="CK252" s="73"/>
      <c r="CL252" s="73"/>
      <c r="CN252" s="12" t="s">
        <v>37</v>
      </c>
      <c r="CO252" s="12" t="s">
        <v>37</v>
      </c>
      <c r="CP252" s="13" t="s">
        <v>37</v>
      </c>
      <c r="CR252" s="12" t="s">
        <v>37</v>
      </c>
      <c r="CS252" s="12" t="s">
        <v>37</v>
      </c>
      <c r="CT252" s="13" t="s">
        <v>37</v>
      </c>
      <c r="CV252" s="52"/>
      <c r="CW252" s="52"/>
      <c r="CX252" s="73"/>
      <c r="CY252" s="73"/>
      <c r="DA252" s="12" t="s">
        <v>37</v>
      </c>
      <c r="DB252" s="12" t="s">
        <v>37</v>
      </c>
      <c r="DC252" s="13" t="s">
        <v>37</v>
      </c>
      <c r="DE252" s="12" t="s">
        <v>37</v>
      </c>
      <c r="DF252" s="12" t="s">
        <v>37</v>
      </c>
      <c r="DG252" s="12" t="s">
        <v>37</v>
      </c>
      <c r="DI252" s="52"/>
      <c r="DJ252" s="52"/>
      <c r="DK252" s="73"/>
      <c r="DL252" s="73"/>
      <c r="DN252" s="19" t="s">
        <v>37</v>
      </c>
      <c r="DO252" s="12" t="s">
        <v>37</v>
      </c>
      <c r="DP252" s="13" t="s">
        <v>37</v>
      </c>
      <c r="DR252" s="19" t="s">
        <v>37</v>
      </c>
      <c r="DS252" s="12" t="s">
        <v>37</v>
      </c>
      <c r="DT252" s="13" t="s">
        <v>37</v>
      </c>
      <c r="DV252" s="52"/>
      <c r="DW252" s="52"/>
      <c r="DZ252" s="11" t="s">
        <v>47</v>
      </c>
      <c r="EA252" s="19" t="s">
        <v>37</v>
      </c>
      <c r="EB252" s="19" t="s">
        <v>37</v>
      </c>
      <c r="EC252" s="72" t="s">
        <v>37</v>
      </c>
      <c r="EE252" s="19">
        <f>960*10^4*("1991/9/30"-"1991/05/01")/10^9/'[3]classess-1'!$I$23</f>
        <v>3.0579741412035548</v>
      </c>
      <c r="EF252" s="19">
        <f>SQRT((1/[5]Classess!$I$23)^2*(14*SQRT(3)*10^4*("1991/9/30"-"1991/05/01")/10^9)^2+(-EE252/([5]Classess!$I$23)^2)^2*([5]Classess!$J$23)^2)</f>
        <v>1.1925866169602235</v>
      </c>
      <c r="EG252" s="13">
        <v>3</v>
      </c>
      <c r="EM252" s="12" t="s">
        <v>39</v>
      </c>
      <c r="EN252" s="12">
        <v>0</v>
      </c>
      <c r="EO252" s="50">
        <f t="shared" si="1156"/>
        <v>0</v>
      </c>
      <c r="EP252" s="13">
        <v>3</v>
      </c>
      <c r="ER252" s="12">
        <v>-50</v>
      </c>
      <c r="ES252" s="50">
        <f>ABS(ER252)*EU$474</f>
        <v>11.340702675459708</v>
      </c>
      <c r="ET252" s="13">
        <v>3</v>
      </c>
      <c r="EV252" s="19">
        <f t="shared" si="1157"/>
        <v>-50</v>
      </c>
      <c r="EW252" s="12">
        <f t="shared" si="1158"/>
        <v>8.0190877652379822</v>
      </c>
      <c r="EX252" s="19">
        <f t="shared" si="1159"/>
        <v>42.870512391059663</v>
      </c>
      <c r="EY252" s="19">
        <f t="shared" si="1160"/>
        <v>42.870512391059663</v>
      </c>
      <c r="FB252" s="12" t="s">
        <v>37</v>
      </c>
      <c r="FC252" s="12" t="s">
        <v>37</v>
      </c>
      <c r="FD252" s="12" t="s">
        <v>37</v>
      </c>
      <c r="FE252" s="12" t="s">
        <v>37</v>
      </c>
      <c r="FF252" s="20" t="s">
        <v>37</v>
      </c>
      <c r="FG252" s="12" t="s">
        <v>37</v>
      </c>
      <c r="FI252" s="12" t="s">
        <v>37</v>
      </c>
      <c r="FJ252" s="12" t="s">
        <v>37</v>
      </c>
      <c r="FK252" s="12" t="s">
        <v>37</v>
      </c>
      <c r="FL252" s="12" t="s">
        <v>37</v>
      </c>
      <c r="FM252" s="12" t="s">
        <v>37</v>
      </c>
      <c r="FN252" s="12" t="s">
        <v>37</v>
      </c>
      <c r="FP252" s="12" t="s">
        <v>37</v>
      </c>
      <c r="FQ252" s="12" t="s">
        <v>37</v>
      </c>
      <c r="FR252" s="12" t="s">
        <v>37</v>
      </c>
      <c r="FS252" s="12" t="s">
        <v>37</v>
      </c>
      <c r="FT252" s="12" t="s">
        <v>37</v>
      </c>
      <c r="FU252" s="12" t="s">
        <v>37</v>
      </c>
      <c r="FW252" s="12" t="s">
        <v>37</v>
      </c>
      <c r="FX252" s="12" t="s">
        <v>37</v>
      </c>
      <c r="FY252" s="12" t="s">
        <v>37</v>
      </c>
      <c r="FZ252" s="12" t="s">
        <v>37</v>
      </c>
      <c r="GA252" s="12" t="s">
        <v>37</v>
      </c>
      <c r="GB252" s="12" t="s">
        <v>37</v>
      </c>
      <c r="IK252" s="12" t="s">
        <v>37</v>
      </c>
      <c r="IL252" s="12" t="s">
        <v>37</v>
      </c>
      <c r="IM252" s="12" t="s">
        <v>37</v>
      </c>
      <c r="IO252" s="12" t="s">
        <v>37</v>
      </c>
      <c r="IP252" s="12" t="s">
        <v>37</v>
      </c>
      <c r="IQ252" s="12" t="s">
        <v>37</v>
      </c>
      <c r="IV252" s="32" t="s">
        <v>372</v>
      </c>
      <c r="JA252" s="12">
        <v>4.5</v>
      </c>
      <c r="JB252" s="50">
        <f>ABS(JA252)*JD$474</f>
        <v>0.12603963953566241</v>
      </c>
      <c r="JC252" s="12"/>
      <c r="JH252" s="12" t="s">
        <v>37</v>
      </c>
      <c r="JI252" s="12" t="s">
        <v>37</v>
      </c>
      <c r="JJ252" s="13" t="s">
        <v>37</v>
      </c>
      <c r="JL252" s="12" t="s">
        <v>37</v>
      </c>
      <c r="JM252" s="12" t="s">
        <v>37</v>
      </c>
      <c r="JN252" s="12" t="s">
        <v>37</v>
      </c>
      <c r="JS252" s="12" t="s">
        <v>37</v>
      </c>
      <c r="JT252" s="12" t="s">
        <v>37</v>
      </c>
      <c r="JU252" s="13" t="s">
        <v>37</v>
      </c>
      <c r="JW252" s="12" t="s">
        <v>37</v>
      </c>
      <c r="JX252" s="12" t="s">
        <v>37</v>
      </c>
      <c r="JY252" s="12" t="s">
        <v>37</v>
      </c>
      <c r="KE252" s="12" t="s">
        <v>37</v>
      </c>
      <c r="KF252" s="12" t="s">
        <v>37</v>
      </c>
      <c r="KG252" s="13" t="s">
        <v>37</v>
      </c>
      <c r="KH252" s="12" t="s">
        <v>37</v>
      </c>
      <c r="KI252" s="12" t="s">
        <v>37</v>
      </c>
      <c r="KJ252" s="12" t="s">
        <v>37</v>
      </c>
      <c r="KK252" s="12" t="s">
        <v>391</v>
      </c>
      <c r="KL252" s="32" t="s">
        <v>372</v>
      </c>
      <c r="KO252" s="12"/>
      <c r="KQ252" s="12">
        <v>1500</v>
      </c>
      <c r="KR252" s="50">
        <f>ABS(KQ252)*KT$474</f>
        <v>158.16514525295511</v>
      </c>
      <c r="KS252" s="11">
        <v>3</v>
      </c>
      <c r="KX252" s="12" t="s">
        <v>37</v>
      </c>
      <c r="KY252" s="12" t="s">
        <v>37</v>
      </c>
      <c r="KZ252" s="12" t="s">
        <v>37</v>
      </c>
      <c r="LB252" s="12" t="s">
        <v>37</v>
      </c>
      <c r="LC252" s="12" t="s">
        <v>37</v>
      </c>
      <c r="LD252" s="12" t="s">
        <v>37</v>
      </c>
      <c r="LI252" s="12" t="s">
        <v>37</v>
      </c>
      <c r="LJ252" s="12" t="s">
        <v>37</v>
      </c>
      <c r="LK252" s="12" t="s">
        <v>37</v>
      </c>
      <c r="LM252" s="12" t="s">
        <v>37</v>
      </c>
      <c r="LN252" s="12" t="s">
        <v>37</v>
      </c>
      <c r="LO252" s="12" t="s">
        <v>37</v>
      </c>
      <c r="LU252" s="12" t="s">
        <v>37</v>
      </c>
      <c r="LV252" s="12" t="s">
        <v>37</v>
      </c>
      <c r="LW252" s="12" t="s">
        <v>37</v>
      </c>
      <c r="LY252" s="12" t="s">
        <v>37</v>
      </c>
      <c r="LZ252" s="12" t="s">
        <v>37</v>
      </c>
      <c r="MA252" s="12" t="s">
        <v>37</v>
      </c>
      <c r="MF252" s="12" t="s">
        <v>37</v>
      </c>
      <c r="MG252" s="12" t="s">
        <v>37</v>
      </c>
      <c r="MH252" s="12" t="s">
        <v>37</v>
      </c>
      <c r="MJ252" s="12" t="s">
        <v>37</v>
      </c>
      <c r="MK252" s="12" t="s">
        <v>37</v>
      </c>
      <c r="ML252" s="12" t="s">
        <v>37</v>
      </c>
      <c r="MQ252" s="12" t="s">
        <v>37</v>
      </c>
      <c r="MR252" s="12" t="s">
        <v>37</v>
      </c>
      <c r="MS252" s="12" t="s">
        <v>37</v>
      </c>
      <c r="MU252" s="12" t="s">
        <v>37</v>
      </c>
      <c r="MV252" s="12" t="s">
        <v>37</v>
      </c>
      <c r="MW252" s="12" t="s">
        <v>37</v>
      </c>
      <c r="NC252" s="12" t="s">
        <v>37</v>
      </c>
      <c r="ND252" s="12" t="s">
        <v>37</v>
      </c>
      <c r="NE252" s="12" t="s">
        <v>37</v>
      </c>
      <c r="NG252" s="12" t="s">
        <v>37</v>
      </c>
      <c r="NH252" s="12" t="s">
        <v>37</v>
      </c>
      <c r="NI252" s="12" t="s">
        <v>37</v>
      </c>
      <c r="NO252" s="12" t="s">
        <v>37</v>
      </c>
      <c r="NP252" s="12" t="s">
        <v>37</v>
      </c>
      <c r="NQ252" s="12" t="s">
        <v>37</v>
      </c>
      <c r="NS252" s="12" t="s">
        <v>37</v>
      </c>
      <c r="NT252" s="12" t="s">
        <v>37</v>
      </c>
      <c r="NU252" s="12" t="s">
        <v>37</v>
      </c>
      <c r="OA252" s="12" t="s">
        <v>37</v>
      </c>
      <c r="OB252" s="12" t="s">
        <v>37</v>
      </c>
      <c r="OC252" s="12" t="s">
        <v>37</v>
      </c>
      <c r="OD252" s="12"/>
      <c r="OE252" s="12" t="s">
        <v>37</v>
      </c>
      <c r="OF252" s="12" t="s">
        <v>37</v>
      </c>
      <c r="OG252" s="12" t="s">
        <v>37</v>
      </c>
      <c r="OH252" s="12"/>
      <c r="OI252" s="12"/>
      <c r="OJ252" s="12"/>
      <c r="OM252" s="12" t="s">
        <v>37</v>
      </c>
      <c r="ON252" s="12" t="s">
        <v>37</v>
      </c>
      <c r="OO252" s="12" t="s">
        <v>37</v>
      </c>
      <c r="OP252" s="12" t="s">
        <v>37</v>
      </c>
      <c r="OQ252" s="12" t="s">
        <v>37</v>
      </c>
      <c r="OR252" s="12" t="s">
        <v>37</v>
      </c>
      <c r="OS252" s="12"/>
      <c r="OT252" s="12"/>
      <c r="OW252" s="12" t="s">
        <v>37</v>
      </c>
      <c r="OX252" s="12" t="s">
        <v>37</v>
      </c>
      <c r="OY252" s="13" t="s">
        <v>37</v>
      </c>
      <c r="OZ252" s="12" t="s">
        <v>37</v>
      </c>
      <c r="PA252" s="12" t="s">
        <v>37</v>
      </c>
      <c r="PB252" s="13" t="s">
        <v>37</v>
      </c>
      <c r="PG252" s="12" t="s">
        <v>37</v>
      </c>
      <c r="PH252" s="12" t="s">
        <v>37</v>
      </c>
      <c r="PI252" s="12" t="s">
        <v>37</v>
      </c>
      <c r="PJ252" s="12" t="s">
        <v>37</v>
      </c>
      <c r="PK252" s="12" t="s">
        <v>37</v>
      </c>
      <c r="PL252" s="12" t="s">
        <v>37</v>
      </c>
      <c r="PM252" s="12"/>
      <c r="PN252" s="12"/>
      <c r="PQ252" s="12" t="s">
        <v>37</v>
      </c>
      <c r="PR252" s="12" t="s">
        <v>37</v>
      </c>
      <c r="PS252" s="12" t="s">
        <v>37</v>
      </c>
      <c r="PT252" s="12" t="s">
        <v>37</v>
      </c>
      <c r="PU252" s="12" t="s">
        <v>37</v>
      </c>
      <c r="PV252" s="12" t="s">
        <v>37</v>
      </c>
      <c r="PW252" s="12"/>
      <c r="PX252" s="12"/>
      <c r="PZ252" s="12" t="s">
        <v>37</v>
      </c>
      <c r="QA252" s="12" t="s">
        <v>37</v>
      </c>
      <c r="QB252" s="12" t="s">
        <v>37</v>
      </c>
      <c r="QD252" s="12" t="s">
        <v>37</v>
      </c>
      <c r="QE252" s="12" t="s">
        <v>37</v>
      </c>
      <c r="QF252" s="12" t="s">
        <v>37</v>
      </c>
      <c r="QK252" s="12" t="s">
        <v>37</v>
      </c>
      <c r="QL252" s="12" t="s">
        <v>37</v>
      </c>
      <c r="QM252" s="12" t="s">
        <v>37</v>
      </c>
      <c r="QN252" s="12" t="s">
        <v>37</v>
      </c>
      <c r="QO252" s="12" t="s">
        <v>37</v>
      </c>
      <c r="QP252" s="12" t="s">
        <v>37</v>
      </c>
      <c r="QQ252" s="12"/>
      <c r="QR252" s="12"/>
      <c r="QU252" s="12" t="s">
        <v>37</v>
      </c>
      <c r="QV252" s="12" t="s">
        <v>37</v>
      </c>
      <c r="QW252" s="12" t="s">
        <v>37</v>
      </c>
      <c r="QX252" s="12" t="s">
        <v>37</v>
      </c>
      <c r="QY252" s="12" t="s">
        <v>37</v>
      </c>
      <c r="QZ252" s="12" t="s">
        <v>37</v>
      </c>
      <c r="RC252" s="12" t="s">
        <v>37</v>
      </c>
      <c r="RD252" s="12" t="s">
        <v>37</v>
      </c>
      <c r="RE252" s="13" t="s">
        <v>37</v>
      </c>
      <c r="RF252" s="12" t="s">
        <v>37</v>
      </c>
      <c r="RG252" s="12" t="s">
        <v>37</v>
      </c>
      <c r="RH252" s="13" t="s">
        <v>37</v>
      </c>
      <c r="RK252" s="12" t="s">
        <v>37</v>
      </c>
      <c r="RL252" s="12" t="s">
        <v>37</v>
      </c>
      <c r="RM252" s="11" t="s">
        <v>37</v>
      </c>
      <c r="RN252" s="12" t="s">
        <v>37</v>
      </c>
      <c r="RO252" s="12" t="s">
        <v>37</v>
      </c>
      <c r="RP252" s="11" t="s">
        <v>37</v>
      </c>
      <c r="RS252" s="12" t="s">
        <v>37</v>
      </c>
      <c r="RT252" s="12" t="s">
        <v>37</v>
      </c>
      <c r="RU252" s="12" t="s">
        <v>37</v>
      </c>
      <c r="RV252" s="12" t="s">
        <v>37</v>
      </c>
      <c r="RW252" s="12" t="s">
        <v>37</v>
      </c>
      <c r="RX252" s="12" t="s">
        <v>37</v>
      </c>
      <c r="SA252" s="12" t="s">
        <v>37</v>
      </c>
      <c r="SB252" s="12" t="s">
        <v>37</v>
      </c>
      <c r="SC252" s="12" t="s">
        <v>37</v>
      </c>
      <c r="SD252" s="12" t="s">
        <v>37</v>
      </c>
      <c r="SE252" s="12" t="s">
        <v>37</v>
      </c>
      <c r="SF252" s="12" t="s">
        <v>37</v>
      </c>
      <c r="SI252" s="12" t="s">
        <v>37</v>
      </c>
      <c r="SJ252" s="12" t="s">
        <v>37</v>
      </c>
      <c r="SK252" s="13" t="s">
        <v>37</v>
      </c>
      <c r="SM252" s="12" t="s">
        <v>37</v>
      </c>
      <c r="SN252" s="12" t="s">
        <v>37</v>
      </c>
      <c r="SO252" s="13" t="s">
        <v>37</v>
      </c>
      <c r="SU252" s="12" t="s">
        <v>37</v>
      </c>
      <c r="SV252" s="12" t="s">
        <v>37</v>
      </c>
      <c r="SW252" s="12" t="s">
        <v>37</v>
      </c>
      <c r="SX252" s="12" t="s">
        <v>37</v>
      </c>
      <c r="SY252" s="12" t="s">
        <v>37</v>
      </c>
      <c r="SZ252" s="12" t="s">
        <v>37</v>
      </c>
      <c r="TA252" s="12"/>
      <c r="TB252" s="12"/>
      <c r="TE252" s="12" t="s">
        <v>37</v>
      </c>
      <c r="TF252" s="12" t="s">
        <v>37</v>
      </c>
      <c r="TG252" s="12" t="s">
        <v>37</v>
      </c>
      <c r="TH252" s="12" t="s">
        <v>37</v>
      </c>
      <c r="TI252" s="12" t="s">
        <v>37</v>
      </c>
      <c r="TJ252" s="12" t="s">
        <v>37</v>
      </c>
      <c r="TK252" s="12"/>
      <c r="TL252" s="12"/>
      <c r="TO252" s="12" t="s">
        <v>37</v>
      </c>
      <c r="TP252" s="12" t="s">
        <v>37</v>
      </c>
      <c r="TQ252" s="12" t="s">
        <v>37</v>
      </c>
      <c r="TR252" s="12" t="s">
        <v>37</v>
      </c>
      <c r="TS252" s="12" t="s">
        <v>37</v>
      </c>
      <c r="TT252" s="12" t="s">
        <v>37</v>
      </c>
      <c r="TU252" s="12"/>
      <c r="TV252" s="12"/>
      <c r="TY252" s="12" t="s">
        <v>37</v>
      </c>
      <c r="TZ252" s="12" t="s">
        <v>37</v>
      </c>
      <c r="UA252" s="12" t="s">
        <v>37</v>
      </c>
      <c r="UB252" s="12" t="s">
        <v>37</v>
      </c>
      <c r="UC252" s="12" t="s">
        <v>37</v>
      </c>
      <c r="UD252" s="12" t="s">
        <v>37</v>
      </c>
      <c r="UE252" s="12"/>
      <c r="UF252" s="12"/>
      <c r="UI252" s="12" t="s">
        <v>37</v>
      </c>
      <c r="UJ252" s="12" t="s">
        <v>37</v>
      </c>
      <c r="UK252" s="12" t="s">
        <v>37</v>
      </c>
      <c r="UL252" s="12" t="s">
        <v>37</v>
      </c>
      <c r="UM252" s="12" t="s">
        <v>37</v>
      </c>
      <c r="UN252" s="12" t="s">
        <v>37</v>
      </c>
      <c r="UO252" s="12"/>
      <c r="UP252" s="12"/>
      <c r="UR252" s="12" t="s">
        <v>37</v>
      </c>
      <c r="US252" s="12" t="s">
        <v>37</v>
      </c>
      <c r="UT252" s="12" t="s">
        <v>37</v>
      </c>
      <c r="UU252" s="12" t="s">
        <v>37</v>
      </c>
      <c r="UV252" s="12" t="s">
        <v>37</v>
      </c>
      <c r="UW252" s="12" t="s">
        <v>37</v>
      </c>
      <c r="UX252" s="12"/>
      <c r="UY252" s="12"/>
      <c r="VB252" s="12" t="s">
        <v>37</v>
      </c>
      <c r="VC252" s="12" t="s">
        <v>37</v>
      </c>
      <c r="VD252" s="12" t="s">
        <v>37</v>
      </c>
      <c r="VE252" s="12" t="s">
        <v>37</v>
      </c>
      <c r="VF252" s="12" t="s">
        <v>37</v>
      </c>
      <c r="VG252" s="12" t="s">
        <v>37</v>
      </c>
      <c r="VI252" s="12" t="s">
        <v>37</v>
      </c>
      <c r="VJ252" s="12" t="s">
        <v>37</v>
      </c>
      <c r="VK252" s="12" t="s">
        <v>37</v>
      </c>
      <c r="VL252" s="12" t="s">
        <v>37</v>
      </c>
      <c r="VM252" s="12" t="s">
        <v>37</v>
      </c>
      <c r="VN252" s="12" t="s">
        <v>37</v>
      </c>
      <c r="VQ252" s="12" t="s">
        <v>37</v>
      </c>
      <c r="VR252" s="12" t="s">
        <v>37</v>
      </c>
      <c r="VS252" s="12" t="s">
        <v>37</v>
      </c>
      <c r="VT252" s="12" t="s">
        <v>37</v>
      </c>
      <c r="VU252" s="12" t="s">
        <v>37</v>
      </c>
      <c r="VV252" s="12" t="s">
        <v>37</v>
      </c>
      <c r="VW252" s="12"/>
      <c r="VX252" s="12"/>
      <c r="WA252" s="12" t="s">
        <v>37</v>
      </c>
      <c r="WB252" s="12" t="s">
        <v>37</v>
      </c>
      <c r="WC252" s="12" t="s">
        <v>37</v>
      </c>
      <c r="WD252" s="12" t="s">
        <v>37</v>
      </c>
      <c r="WE252" s="12" t="s">
        <v>37</v>
      </c>
      <c r="WF252" s="12" t="s">
        <v>37</v>
      </c>
    </row>
    <row r="253" spans="1:604" ht="18" customHeight="1" x14ac:dyDescent="0.3">
      <c r="A253" s="11">
        <v>66</v>
      </c>
      <c r="B253" s="16" t="s">
        <v>388</v>
      </c>
      <c r="C253" s="12" t="s">
        <v>26</v>
      </c>
      <c r="D253" s="12" t="s">
        <v>54</v>
      </c>
      <c r="E253" s="40" t="s">
        <v>37</v>
      </c>
      <c r="F253" s="14">
        <v>0</v>
      </c>
      <c r="G253" s="14">
        <v>0</v>
      </c>
      <c r="H253" s="12" t="s">
        <v>123</v>
      </c>
      <c r="I253" s="29">
        <v>61.783000000000001</v>
      </c>
      <c r="J253" s="29">
        <v>24.3</v>
      </c>
      <c r="K253" s="12" t="s">
        <v>389</v>
      </c>
      <c r="L253" s="12" t="s">
        <v>390</v>
      </c>
      <c r="M253" s="13" t="s">
        <v>37</v>
      </c>
      <c r="N253" s="13" t="s">
        <v>37</v>
      </c>
      <c r="O253" s="13" t="s">
        <v>37</v>
      </c>
      <c r="P253" s="14" t="s">
        <v>84</v>
      </c>
      <c r="Q253" s="75">
        <v>30</v>
      </c>
      <c r="R253" s="11" t="s">
        <v>37</v>
      </c>
      <c r="S253" s="12" t="s">
        <v>85</v>
      </c>
      <c r="T253" s="12" t="s">
        <v>138</v>
      </c>
      <c r="U253" s="12" t="s">
        <v>158</v>
      </c>
      <c r="V253" s="12" t="s">
        <v>275</v>
      </c>
      <c r="W253" s="23" t="s">
        <v>376</v>
      </c>
      <c r="X253" s="12" t="s">
        <v>280</v>
      </c>
      <c r="Y253" s="12" t="s">
        <v>37</v>
      </c>
      <c r="Z253" s="12" t="s">
        <v>37</v>
      </c>
      <c r="AA253" s="32" t="s">
        <v>372</v>
      </c>
      <c r="AB253" s="12">
        <v>4.5</v>
      </c>
      <c r="AE253" s="12" t="s">
        <v>37</v>
      </c>
      <c r="AF253" s="12" t="s">
        <v>391</v>
      </c>
      <c r="AG253" s="32" t="s">
        <v>372</v>
      </c>
      <c r="AH253" s="12">
        <v>260</v>
      </c>
      <c r="AK253" s="12" t="s">
        <v>37</v>
      </c>
      <c r="AL253" s="32">
        <v>1991</v>
      </c>
      <c r="AM253" s="12" t="s">
        <v>317</v>
      </c>
      <c r="AN253" s="32" t="s">
        <v>880</v>
      </c>
      <c r="AO253" s="12" t="s">
        <v>37</v>
      </c>
      <c r="AP253" s="12" t="s">
        <v>238</v>
      </c>
      <c r="AQ253" s="12" t="s">
        <v>975</v>
      </c>
      <c r="AT253" s="12" t="s">
        <v>326</v>
      </c>
      <c r="AU253" s="12" t="s">
        <v>326</v>
      </c>
      <c r="AV253" s="13" t="s">
        <v>326</v>
      </c>
      <c r="AX253" s="12" t="s">
        <v>326</v>
      </c>
      <c r="AY253" s="12" t="s">
        <v>326</v>
      </c>
      <c r="AZ253" s="13" t="s">
        <v>326</v>
      </c>
      <c r="BE253" s="12" t="s">
        <v>326</v>
      </c>
      <c r="BF253" s="12" t="s">
        <v>326</v>
      </c>
      <c r="BG253" s="12" t="s">
        <v>326</v>
      </c>
      <c r="BI253" s="12" t="s">
        <v>326</v>
      </c>
      <c r="BJ253" s="12" t="s">
        <v>326</v>
      </c>
      <c r="BK253" s="12" t="s">
        <v>326</v>
      </c>
      <c r="BP253" s="12" t="s">
        <v>37</v>
      </c>
      <c r="BQ253" s="12" t="s">
        <v>37</v>
      </c>
      <c r="BR253" s="13" t="s">
        <v>37</v>
      </c>
      <c r="BT253" s="12" t="s">
        <v>37</v>
      </c>
      <c r="BU253" s="12" t="s">
        <v>37</v>
      </c>
      <c r="BV253" s="12" t="s">
        <v>37</v>
      </c>
      <c r="CA253" s="12" t="s">
        <v>37</v>
      </c>
      <c r="CB253" s="12" t="s">
        <v>37</v>
      </c>
      <c r="CC253" s="13" t="s">
        <v>37</v>
      </c>
      <c r="CE253" s="12" t="s">
        <v>37</v>
      </c>
      <c r="CF253" s="12" t="s">
        <v>37</v>
      </c>
      <c r="CG253" s="12" t="s">
        <v>37</v>
      </c>
      <c r="CN253" s="12" t="s">
        <v>37</v>
      </c>
      <c r="CO253" s="12" t="s">
        <v>37</v>
      </c>
      <c r="CP253" s="13" t="s">
        <v>37</v>
      </c>
      <c r="CR253" s="12" t="s">
        <v>37</v>
      </c>
      <c r="CS253" s="12" t="s">
        <v>37</v>
      </c>
      <c r="CT253" s="13" t="s">
        <v>37</v>
      </c>
      <c r="CX253" s="72"/>
      <c r="CY253" s="72"/>
      <c r="DA253" s="12" t="s">
        <v>37</v>
      </c>
      <c r="DB253" s="12" t="s">
        <v>37</v>
      </c>
      <c r="DC253" s="13" t="s">
        <v>37</v>
      </c>
      <c r="DE253" s="12" t="s">
        <v>37</v>
      </c>
      <c r="DF253" s="12" t="s">
        <v>37</v>
      </c>
      <c r="DG253" s="12" t="s">
        <v>37</v>
      </c>
      <c r="DI253" s="52"/>
      <c r="DJ253" s="52"/>
      <c r="DK253" s="73"/>
      <c r="DL253" s="73"/>
      <c r="DN253" s="19" t="s">
        <v>37</v>
      </c>
      <c r="DO253" s="12" t="s">
        <v>37</v>
      </c>
      <c r="DP253" s="13" t="s">
        <v>37</v>
      </c>
      <c r="DR253" s="19" t="s">
        <v>37</v>
      </c>
      <c r="DS253" s="12" t="s">
        <v>37</v>
      </c>
      <c r="DT253" s="13" t="s">
        <v>37</v>
      </c>
      <c r="DV253" s="52"/>
      <c r="DW253" s="52"/>
      <c r="DZ253" s="11" t="s">
        <v>47</v>
      </c>
      <c r="EA253" s="19">
        <f>-26*10^4*("1991/9/30"-"1991/05/01")/10^9/'[3]classess-1'!$I$22</f>
        <v>-5.4082261868571339E-2</v>
      </c>
      <c r="EB253" s="19">
        <f>SQRT((1/[5]Classess!$I$22)^2*(38*SQRT(3)*10^4*("1991/9/30"-"1991/05/01")/10^9)^2+(-EA253/([5]Classess!$I$22)^2)^2*([5]Classess!$J$22)^2)</f>
        <v>0.13726222661420623</v>
      </c>
      <c r="EC253" s="72">
        <v>3</v>
      </c>
      <c r="ED253" s="52">
        <f t="shared" ref="ED253:ED261" si="1166">EB253/ABS(EA253)</f>
        <v>2.5380267368952816</v>
      </c>
      <c r="EE253" s="19" t="s">
        <v>37</v>
      </c>
      <c r="EF253" s="19" t="s">
        <v>37</v>
      </c>
      <c r="EG253" s="12" t="s">
        <v>37</v>
      </c>
      <c r="EM253" s="12" t="s">
        <v>39</v>
      </c>
      <c r="EN253" s="12">
        <v>-5</v>
      </c>
      <c r="EO253" s="50">
        <f t="shared" si="1156"/>
        <v>2.0374819937564665</v>
      </c>
      <c r="EP253" s="13">
        <v>3</v>
      </c>
      <c r="ER253" s="12" t="s">
        <v>37</v>
      </c>
      <c r="ET253" s="13">
        <v>3</v>
      </c>
      <c r="FB253" s="12" t="s">
        <v>37</v>
      </c>
      <c r="FC253" s="12" t="s">
        <v>37</v>
      </c>
      <c r="FD253" s="12" t="s">
        <v>37</v>
      </c>
      <c r="FE253" s="12" t="s">
        <v>37</v>
      </c>
      <c r="FF253" s="20" t="s">
        <v>37</v>
      </c>
      <c r="FG253" s="12" t="s">
        <v>37</v>
      </c>
      <c r="FI253" s="12" t="s">
        <v>37</v>
      </c>
      <c r="FJ253" s="12" t="s">
        <v>37</v>
      </c>
      <c r="FK253" s="12" t="s">
        <v>37</v>
      </c>
      <c r="FL253" s="12" t="s">
        <v>37</v>
      </c>
      <c r="FM253" s="12" t="s">
        <v>37</v>
      </c>
      <c r="FN253" s="12" t="s">
        <v>37</v>
      </c>
      <c r="FP253" s="12" t="s">
        <v>37</v>
      </c>
      <c r="FQ253" s="12" t="s">
        <v>37</v>
      </c>
      <c r="FR253" s="12" t="s">
        <v>37</v>
      </c>
      <c r="FS253" s="12" t="s">
        <v>37</v>
      </c>
      <c r="FT253" s="12" t="s">
        <v>37</v>
      </c>
      <c r="FU253" s="12" t="s">
        <v>37</v>
      </c>
      <c r="FW253" s="12" t="s">
        <v>37</v>
      </c>
      <c r="FX253" s="12" t="s">
        <v>37</v>
      </c>
      <c r="FY253" s="12" t="s">
        <v>37</v>
      </c>
      <c r="FZ253" s="12" t="s">
        <v>37</v>
      </c>
      <c r="GA253" s="12" t="s">
        <v>37</v>
      </c>
      <c r="GB253" s="12" t="s">
        <v>37</v>
      </c>
      <c r="IK253" s="12" t="s">
        <v>37</v>
      </c>
      <c r="IL253" s="12" t="s">
        <v>37</v>
      </c>
      <c r="IM253" s="12" t="s">
        <v>37</v>
      </c>
      <c r="IO253" s="12" t="s">
        <v>37</v>
      </c>
      <c r="IP253" s="12" t="s">
        <v>37</v>
      </c>
      <c r="IQ253" s="12" t="s">
        <v>37</v>
      </c>
      <c r="IV253" s="32" t="s">
        <v>372</v>
      </c>
      <c r="IW253" s="12">
        <v>4.5</v>
      </c>
      <c r="IX253" s="50">
        <f t="shared" ref="IX253:IX261" si="1167">ABS(IW253)*IZ$474</f>
        <v>0.16475734182610413</v>
      </c>
      <c r="IY253" s="13">
        <v>3</v>
      </c>
      <c r="JH253" s="12" t="s">
        <v>37</v>
      </c>
      <c r="JI253" s="12" t="s">
        <v>37</v>
      </c>
      <c r="JJ253" s="13" t="s">
        <v>37</v>
      </c>
      <c r="JL253" s="12" t="s">
        <v>37</v>
      </c>
      <c r="JM253" s="12" t="s">
        <v>37</v>
      </c>
      <c r="JN253" s="12" t="s">
        <v>37</v>
      </c>
      <c r="JS253" s="12" t="s">
        <v>37</v>
      </c>
      <c r="JT253" s="12" t="s">
        <v>37</v>
      </c>
      <c r="JU253" s="13" t="s">
        <v>37</v>
      </c>
      <c r="JW253" s="12" t="s">
        <v>37</v>
      </c>
      <c r="JX253" s="12" t="s">
        <v>37</v>
      </c>
      <c r="JY253" s="12" t="s">
        <v>37</v>
      </c>
      <c r="KE253" s="12" t="s">
        <v>37</v>
      </c>
      <c r="KF253" s="12" t="s">
        <v>37</v>
      </c>
      <c r="KG253" s="13" t="s">
        <v>37</v>
      </c>
      <c r="KH253" s="12" t="s">
        <v>37</v>
      </c>
      <c r="KI253" s="12" t="s">
        <v>37</v>
      </c>
      <c r="KJ253" s="12" t="s">
        <v>37</v>
      </c>
      <c r="KK253" s="12" t="s">
        <v>391</v>
      </c>
      <c r="KL253" s="32" t="s">
        <v>372</v>
      </c>
      <c r="KM253" s="12">
        <v>260</v>
      </c>
      <c r="KN253" s="50">
        <f>ABS(KM253)*KP$474</f>
        <v>31.016190760063466</v>
      </c>
      <c r="KO253" s="11">
        <v>3</v>
      </c>
      <c r="KS253" s="12"/>
      <c r="KX253" s="12" t="s">
        <v>37</v>
      </c>
      <c r="KY253" s="12" t="s">
        <v>37</v>
      </c>
      <c r="KZ253" s="12" t="s">
        <v>37</v>
      </c>
      <c r="LB253" s="12" t="s">
        <v>37</v>
      </c>
      <c r="LC253" s="12" t="s">
        <v>37</v>
      </c>
      <c r="LD253" s="12" t="s">
        <v>37</v>
      </c>
      <c r="LI253" s="12" t="s">
        <v>37</v>
      </c>
      <c r="LJ253" s="12" t="s">
        <v>37</v>
      </c>
      <c r="LK253" s="12" t="s">
        <v>37</v>
      </c>
      <c r="LM253" s="12" t="s">
        <v>37</v>
      </c>
      <c r="LN253" s="12" t="s">
        <v>37</v>
      </c>
      <c r="LO253" s="12" t="s">
        <v>37</v>
      </c>
      <c r="LU253" s="12" t="s">
        <v>37</v>
      </c>
      <c r="LV253" s="12" t="s">
        <v>37</v>
      </c>
      <c r="LW253" s="12" t="s">
        <v>37</v>
      </c>
      <c r="LY253" s="12" t="s">
        <v>37</v>
      </c>
      <c r="LZ253" s="12" t="s">
        <v>37</v>
      </c>
      <c r="MA253" s="12" t="s">
        <v>37</v>
      </c>
      <c r="MF253" s="12" t="s">
        <v>37</v>
      </c>
      <c r="MG253" s="12" t="s">
        <v>37</v>
      </c>
      <c r="MH253" s="12" t="s">
        <v>37</v>
      </c>
      <c r="MJ253" s="12" t="s">
        <v>37</v>
      </c>
      <c r="MK253" s="12" t="s">
        <v>37</v>
      </c>
      <c r="ML253" s="12" t="s">
        <v>37</v>
      </c>
      <c r="MQ253" s="12" t="s">
        <v>37</v>
      </c>
      <c r="MR253" s="12" t="s">
        <v>37</v>
      </c>
      <c r="MS253" s="12" t="s">
        <v>37</v>
      </c>
      <c r="MU253" s="12" t="s">
        <v>37</v>
      </c>
      <c r="MV253" s="12" t="s">
        <v>37</v>
      </c>
      <c r="MW253" s="12" t="s">
        <v>37</v>
      </c>
      <c r="NC253" s="12" t="s">
        <v>37</v>
      </c>
      <c r="ND253" s="12" t="s">
        <v>37</v>
      </c>
      <c r="NE253" s="12" t="s">
        <v>37</v>
      </c>
      <c r="NG253" s="12" t="s">
        <v>37</v>
      </c>
      <c r="NH253" s="12" t="s">
        <v>37</v>
      </c>
      <c r="NI253" s="12" t="s">
        <v>37</v>
      </c>
      <c r="NO253" s="12" t="s">
        <v>37</v>
      </c>
      <c r="NP253" s="12" t="s">
        <v>37</v>
      </c>
      <c r="NQ253" s="12" t="s">
        <v>37</v>
      </c>
      <c r="NS253" s="12" t="s">
        <v>37</v>
      </c>
      <c r="NT253" s="12" t="s">
        <v>37</v>
      </c>
      <c r="NU253" s="12" t="s">
        <v>37</v>
      </c>
      <c r="OA253" s="12" t="s">
        <v>37</v>
      </c>
      <c r="OB253" s="12" t="s">
        <v>37</v>
      </c>
      <c r="OC253" s="12" t="s">
        <v>37</v>
      </c>
      <c r="OD253" s="12"/>
      <c r="OE253" s="12" t="s">
        <v>37</v>
      </c>
      <c r="OF253" s="12" t="s">
        <v>37</v>
      </c>
      <c r="OG253" s="12" t="s">
        <v>37</v>
      </c>
      <c r="OH253" s="12"/>
      <c r="OI253" s="12"/>
      <c r="OJ253" s="12"/>
      <c r="OM253" s="12" t="s">
        <v>37</v>
      </c>
      <c r="ON253" s="12" t="s">
        <v>37</v>
      </c>
      <c r="OO253" s="12" t="s">
        <v>37</v>
      </c>
      <c r="OP253" s="12" t="s">
        <v>37</v>
      </c>
      <c r="OQ253" s="12" t="s">
        <v>37</v>
      </c>
      <c r="OR253" s="12" t="s">
        <v>37</v>
      </c>
      <c r="OS253" s="12"/>
      <c r="OT253" s="12"/>
      <c r="OW253" s="12" t="s">
        <v>37</v>
      </c>
      <c r="OX253" s="12" t="s">
        <v>37</v>
      </c>
      <c r="OY253" s="13" t="s">
        <v>37</v>
      </c>
      <c r="OZ253" s="12" t="s">
        <v>37</v>
      </c>
      <c r="PA253" s="12" t="s">
        <v>37</v>
      </c>
      <c r="PB253" s="13" t="s">
        <v>37</v>
      </c>
      <c r="PG253" s="12" t="s">
        <v>37</v>
      </c>
      <c r="PH253" s="12" t="s">
        <v>37</v>
      </c>
      <c r="PI253" s="12" t="s">
        <v>37</v>
      </c>
      <c r="PJ253" s="12" t="s">
        <v>37</v>
      </c>
      <c r="PK253" s="12" t="s">
        <v>37</v>
      </c>
      <c r="PL253" s="12" t="s">
        <v>37</v>
      </c>
      <c r="PM253" s="12"/>
      <c r="PN253" s="12"/>
      <c r="PQ253" s="12" t="s">
        <v>37</v>
      </c>
      <c r="PR253" s="12" t="s">
        <v>37</v>
      </c>
      <c r="PS253" s="12" t="s">
        <v>37</v>
      </c>
      <c r="PT253" s="12" t="s">
        <v>37</v>
      </c>
      <c r="PU253" s="12" t="s">
        <v>37</v>
      </c>
      <c r="PV253" s="12" t="s">
        <v>37</v>
      </c>
      <c r="PW253" s="12"/>
      <c r="PX253" s="12"/>
      <c r="PZ253" s="12" t="s">
        <v>37</v>
      </c>
      <c r="QA253" s="12" t="s">
        <v>37</v>
      </c>
      <c r="QB253" s="12" t="s">
        <v>37</v>
      </c>
      <c r="QD253" s="12" t="s">
        <v>37</v>
      </c>
      <c r="QE253" s="12" t="s">
        <v>37</v>
      </c>
      <c r="QF253" s="12" t="s">
        <v>37</v>
      </c>
      <c r="QK253" s="12" t="s">
        <v>37</v>
      </c>
      <c r="QL253" s="12" t="s">
        <v>37</v>
      </c>
      <c r="QM253" s="12" t="s">
        <v>37</v>
      </c>
      <c r="QN253" s="12" t="s">
        <v>37</v>
      </c>
      <c r="QO253" s="12" t="s">
        <v>37</v>
      </c>
      <c r="QP253" s="12" t="s">
        <v>37</v>
      </c>
      <c r="QQ253" s="12"/>
      <c r="QR253" s="12"/>
      <c r="QU253" s="12" t="s">
        <v>37</v>
      </c>
      <c r="QV253" s="12" t="s">
        <v>37</v>
      </c>
      <c r="QW253" s="12" t="s">
        <v>37</v>
      </c>
      <c r="QX253" s="12" t="s">
        <v>37</v>
      </c>
      <c r="QY253" s="12" t="s">
        <v>37</v>
      </c>
      <c r="QZ253" s="12" t="s">
        <v>37</v>
      </c>
      <c r="RC253" s="12" t="s">
        <v>37</v>
      </c>
      <c r="RD253" s="12" t="s">
        <v>37</v>
      </c>
      <c r="RE253" s="13" t="s">
        <v>37</v>
      </c>
      <c r="RF253" s="12" t="s">
        <v>37</v>
      </c>
      <c r="RG253" s="12" t="s">
        <v>37</v>
      </c>
      <c r="RH253" s="13" t="s">
        <v>37</v>
      </c>
      <c r="RK253" s="12" t="s">
        <v>37</v>
      </c>
      <c r="RL253" s="12" t="s">
        <v>37</v>
      </c>
      <c r="RM253" s="11" t="s">
        <v>37</v>
      </c>
      <c r="RN253" s="12" t="s">
        <v>37</v>
      </c>
      <c r="RO253" s="12" t="s">
        <v>37</v>
      </c>
      <c r="RP253" s="11" t="s">
        <v>37</v>
      </c>
      <c r="RS253" s="12" t="s">
        <v>37</v>
      </c>
      <c r="RT253" s="12" t="s">
        <v>37</v>
      </c>
      <c r="RU253" s="12" t="s">
        <v>37</v>
      </c>
      <c r="RV253" s="12" t="s">
        <v>37</v>
      </c>
      <c r="RW253" s="12" t="s">
        <v>37</v>
      </c>
      <c r="RX253" s="12" t="s">
        <v>37</v>
      </c>
      <c r="SA253" s="12" t="s">
        <v>37</v>
      </c>
      <c r="SB253" s="12" t="s">
        <v>37</v>
      </c>
      <c r="SC253" s="12" t="s">
        <v>37</v>
      </c>
      <c r="SD253" s="12" t="s">
        <v>37</v>
      </c>
      <c r="SE253" s="12" t="s">
        <v>37</v>
      </c>
      <c r="SF253" s="12" t="s">
        <v>37</v>
      </c>
      <c r="SI253" s="12" t="s">
        <v>37</v>
      </c>
      <c r="SJ253" s="12" t="s">
        <v>37</v>
      </c>
      <c r="SK253" s="13" t="s">
        <v>37</v>
      </c>
      <c r="SM253" s="12" t="s">
        <v>37</v>
      </c>
      <c r="SN253" s="12" t="s">
        <v>37</v>
      </c>
      <c r="SO253" s="13" t="s">
        <v>37</v>
      </c>
      <c r="SU253" s="12" t="s">
        <v>37</v>
      </c>
      <c r="SV253" s="12" t="s">
        <v>37</v>
      </c>
      <c r="SW253" s="12" t="s">
        <v>37</v>
      </c>
      <c r="SX253" s="12" t="s">
        <v>37</v>
      </c>
      <c r="SY253" s="12" t="s">
        <v>37</v>
      </c>
      <c r="SZ253" s="12" t="s">
        <v>37</v>
      </c>
      <c r="TA253" s="12"/>
      <c r="TB253" s="12"/>
      <c r="TE253" s="12" t="s">
        <v>37</v>
      </c>
      <c r="TF253" s="12" t="s">
        <v>37</v>
      </c>
      <c r="TG253" s="12" t="s">
        <v>37</v>
      </c>
      <c r="TH253" s="12" t="s">
        <v>37</v>
      </c>
      <c r="TI253" s="12" t="s">
        <v>37</v>
      </c>
      <c r="TJ253" s="12" t="s">
        <v>37</v>
      </c>
      <c r="TK253" s="12"/>
      <c r="TL253" s="12"/>
      <c r="TO253" s="12" t="s">
        <v>37</v>
      </c>
      <c r="TP253" s="12" t="s">
        <v>37</v>
      </c>
      <c r="TQ253" s="12" t="s">
        <v>37</v>
      </c>
      <c r="TR253" s="12" t="s">
        <v>37</v>
      </c>
      <c r="TS253" s="12" t="s">
        <v>37</v>
      </c>
      <c r="TT253" s="12" t="s">
        <v>37</v>
      </c>
      <c r="TU253" s="12"/>
      <c r="TV253" s="12"/>
      <c r="TY253" s="12" t="s">
        <v>37</v>
      </c>
      <c r="TZ253" s="12" t="s">
        <v>37</v>
      </c>
      <c r="UA253" s="12" t="s">
        <v>37</v>
      </c>
      <c r="UB253" s="12" t="s">
        <v>37</v>
      </c>
      <c r="UC253" s="12" t="s">
        <v>37</v>
      </c>
      <c r="UD253" s="12" t="s">
        <v>37</v>
      </c>
      <c r="UE253" s="12"/>
      <c r="UF253" s="12"/>
      <c r="UI253" s="12" t="s">
        <v>37</v>
      </c>
      <c r="UJ253" s="12" t="s">
        <v>37</v>
      </c>
      <c r="UK253" s="12" t="s">
        <v>37</v>
      </c>
      <c r="UL253" s="12" t="s">
        <v>37</v>
      </c>
      <c r="UM253" s="12" t="s">
        <v>37</v>
      </c>
      <c r="UN253" s="12" t="s">
        <v>37</v>
      </c>
      <c r="UO253" s="12"/>
      <c r="UP253" s="12"/>
      <c r="UR253" s="12" t="s">
        <v>37</v>
      </c>
      <c r="US253" s="12" t="s">
        <v>37</v>
      </c>
      <c r="UT253" s="12" t="s">
        <v>37</v>
      </c>
      <c r="UU253" s="12" t="s">
        <v>37</v>
      </c>
      <c r="UV253" s="12" t="s">
        <v>37</v>
      </c>
      <c r="UW253" s="12" t="s">
        <v>37</v>
      </c>
      <c r="UX253" s="12"/>
      <c r="UY253" s="12"/>
      <c r="VB253" s="12" t="s">
        <v>37</v>
      </c>
      <c r="VC253" s="12" t="s">
        <v>37</v>
      </c>
      <c r="VD253" s="12" t="s">
        <v>37</v>
      </c>
      <c r="VE253" s="12" t="s">
        <v>37</v>
      </c>
      <c r="VF253" s="12" t="s">
        <v>37</v>
      </c>
      <c r="VG253" s="12" t="s">
        <v>37</v>
      </c>
      <c r="VI253" s="12" t="s">
        <v>37</v>
      </c>
      <c r="VJ253" s="12" t="s">
        <v>37</v>
      </c>
      <c r="VK253" s="12" t="s">
        <v>37</v>
      </c>
      <c r="VL253" s="12" t="s">
        <v>37</v>
      </c>
      <c r="VM253" s="12" t="s">
        <v>37</v>
      </c>
      <c r="VN253" s="12" t="s">
        <v>37</v>
      </c>
      <c r="VQ253" s="12" t="s">
        <v>37</v>
      </c>
      <c r="VR253" s="12" t="s">
        <v>37</v>
      </c>
      <c r="VS253" s="12" t="s">
        <v>37</v>
      </c>
      <c r="VT253" s="12" t="s">
        <v>37</v>
      </c>
      <c r="VU253" s="12" t="s">
        <v>37</v>
      </c>
      <c r="VV253" s="12" t="s">
        <v>37</v>
      </c>
      <c r="VW253" s="12"/>
      <c r="VX253" s="12"/>
      <c r="WA253" s="12" t="s">
        <v>37</v>
      </c>
      <c r="WB253" s="12" t="s">
        <v>37</v>
      </c>
      <c r="WC253" s="12" t="s">
        <v>37</v>
      </c>
      <c r="WD253" s="12" t="s">
        <v>37</v>
      </c>
      <c r="WE253" s="12" t="s">
        <v>37</v>
      </c>
      <c r="WF253" s="12" t="s">
        <v>37</v>
      </c>
    </row>
    <row r="254" spans="1:604" ht="18" customHeight="1" x14ac:dyDescent="0.3">
      <c r="A254" s="11">
        <v>66</v>
      </c>
      <c r="B254" s="16" t="s">
        <v>388</v>
      </c>
      <c r="C254" s="12" t="s">
        <v>26</v>
      </c>
      <c r="D254" s="12" t="s">
        <v>54</v>
      </c>
      <c r="E254" s="40" t="s">
        <v>37</v>
      </c>
      <c r="F254" s="14">
        <v>0</v>
      </c>
      <c r="G254" s="14">
        <v>0</v>
      </c>
      <c r="H254" s="12" t="s">
        <v>123</v>
      </c>
      <c r="I254" s="29">
        <v>61.767000000000003</v>
      </c>
      <c r="J254" s="29">
        <v>30.966999999999999</v>
      </c>
      <c r="K254" s="12" t="s">
        <v>776</v>
      </c>
      <c r="L254" s="12" t="s">
        <v>777</v>
      </c>
      <c r="M254" s="13" t="s">
        <v>37</v>
      </c>
      <c r="N254" s="13" t="s">
        <v>37</v>
      </c>
      <c r="O254" s="13" t="s">
        <v>37</v>
      </c>
      <c r="P254" s="14" t="s">
        <v>84</v>
      </c>
      <c r="Q254" s="75">
        <v>50</v>
      </c>
      <c r="R254" s="11" t="s">
        <v>1000</v>
      </c>
      <c r="S254" s="12" t="s">
        <v>93</v>
      </c>
      <c r="T254" s="12" t="s">
        <v>141</v>
      </c>
      <c r="U254" s="12" t="s">
        <v>158</v>
      </c>
      <c r="V254" s="12" t="s">
        <v>275</v>
      </c>
      <c r="W254" s="23" t="s">
        <v>377</v>
      </c>
      <c r="X254" s="12" t="s">
        <v>281</v>
      </c>
      <c r="Y254" s="12" t="s">
        <v>37</v>
      </c>
      <c r="Z254" s="12" t="s">
        <v>37</v>
      </c>
      <c r="AA254" s="32" t="s">
        <v>372</v>
      </c>
      <c r="AB254" s="12">
        <v>3.8</v>
      </c>
      <c r="AE254" s="12" t="s">
        <v>37</v>
      </c>
      <c r="AF254" s="12" t="s">
        <v>391</v>
      </c>
      <c r="AG254" s="32" t="s">
        <v>372</v>
      </c>
      <c r="AH254" s="12">
        <v>380</v>
      </c>
      <c r="AK254" s="12" t="s">
        <v>37</v>
      </c>
      <c r="AL254" s="32">
        <v>1991</v>
      </c>
      <c r="AM254" s="12" t="s">
        <v>317</v>
      </c>
      <c r="AN254" s="32" t="s">
        <v>880</v>
      </c>
      <c r="AO254" s="12" t="s">
        <v>37</v>
      </c>
      <c r="AP254" s="12" t="s">
        <v>238</v>
      </c>
      <c r="AQ254" s="12" t="s">
        <v>975</v>
      </c>
      <c r="AT254" s="12" t="s">
        <v>326</v>
      </c>
      <c r="AU254" s="12" t="s">
        <v>326</v>
      </c>
      <c r="AV254" s="13" t="s">
        <v>326</v>
      </c>
      <c r="AX254" s="12" t="s">
        <v>326</v>
      </c>
      <c r="AY254" s="12" t="s">
        <v>326</v>
      </c>
      <c r="AZ254" s="13" t="s">
        <v>326</v>
      </c>
      <c r="BE254" s="12" t="s">
        <v>326</v>
      </c>
      <c r="BF254" s="12" t="s">
        <v>326</v>
      </c>
      <c r="BG254" s="12" t="s">
        <v>326</v>
      </c>
      <c r="BI254" s="12" t="s">
        <v>326</v>
      </c>
      <c r="BJ254" s="12" t="s">
        <v>326</v>
      </c>
      <c r="BK254" s="12" t="s">
        <v>326</v>
      </c>
      <c r="BP254" s="12" t="s">
        <v>37</v>
      </c>
      <c r="BQ254" s="12" t="s">
        <v>37</v>
      </c>
      <c r="BR254" s="13" t="s">
        <v>37</v>
      </c>
      <c r="BT254" s="12" t="s">
        <v>37</v>
      </c>
      <c r="BU254" s="12" t="s">
        <v>37</v>
      </c>
      <c r="BV254" s="12" t="s">
        <v>37</v>
      </c>
      <c r="CA254" s="12" t="s">
        <v>37</v>
      </c>
      <c r="CB254" s="12" t="s">
        <v>37</v>
      </c>
      <c r="CC254" s="13" t="s">
        <v>37</v>
      </c>
      <c r="CE254" s="12" t="s">
        <v>37</v>
      </c>
      <c r="CF254" s="12" t="s">
        <v>37</v>
      </c>
      <c r="CG254" s="12" t="s">
        <v>37</v>
      </c>
      <c r="CI254" s="52"/>
      <c r="CJ254" s="52"/>
      <c r="CK254" s="73"/>
      <c r="CL254" s="73"/>
      <c r="CN254" s="12" t="s">
        <v>37</v>
      </c>
      <c r="CO254" s="12" t="s">
        <v>37</v>
      </c>
      <c r="CP254" s="13" t="s">
        <v>37</v>
      </c>
      <c r="CR254" s="12" t="s">
        <v>37</v>
      </c>
      <c r="CS254" s="12" t="s">
        <v>37</v>
      </c>
      <c r="CT254" s="13" t="s">
        <v>37</v>
      </c>
      <c r="CV254" s="52"/>
      <c r="CW254" s="52"/>
      <c r="CX254" s="73"/>
      <c r="CY254" s="73"/>
      <c r="DA254" s="12" t="s">
        <v>37</v>
      </c>
      <c r="DB254" s="12" t="s">
        <v>37</v>
      </c>
      <c r="DC254" s="13" t="s">
        <v>37</v>
      </c>
      <c r="DE254" s="12" t="s">
        <v>37</v>
      </c>
      <c r="DF254" s="12" t="s">
        <v>37</v>
      </c>
      <c r="DG254" s="12" t="s">
        <v>37</v>
      </c>
      <c r="DI254" s="52"/>
      <c r="DJ254" s="52"/>
      <c r="DK254" s="73"/>
      <c r="DL254" s="73"/>
      <c r="DN254" s="19" t="s">
        <v>37</v>
      </c>
      <c r="DO254" s="12" t="s">
        <v>37</v>
      </c>
      <c r="DP254" s="13" t="s">
        <v>37</v>
      </c>
      <c r="DR254" s="19" t="s">
        <v>37</v>
      </c>
      <c r="DS254" s="12" t="s">
        <v>37</v>
      </c>
      <c r="DT254" s="13" t="s">
        <v>37</v>
      </c>
      <c r="DV254" s="52"/>
      <c r="DW254" s="52"/>
      <c r="DZ254" s="11" t="s">
        <v>47</v>
      </c>
      <c r="EA254" s="19">
        <f>5.6*10^4*("1991/9/30"-"1991/05/01")/10^9/'[3]classess-1'!$I$26</f>
        <v>1.9797330692495084E-2</v>
      </c>
      <c r="EB254" s="19">
        <f>SQRT((1/[5]Classess!$I$26)^2*(13*SQRT(3)*10^4*("1991/9/30"-"1991/05/01")/10^9)^2+(-EA254/([5]Classess!$I$26)^2)^2*([5]Classess!$J$26)^2)</f>
        <v>9.4097353220211316E-2</v>
      </c>
      <c r="EC254" s="72">
        <v>3</v>
      </c>
      <c r="ED254" s="52">
        <f t="shared" si="1166"/>
        <v>4.7530323497542231</v>
      </c>
      <c r="EE254" s="19">
        <f>11*10^4*("1991/9/30"-"1991/05/01")/10^9/'[3]classess-1'!$I$27</f>
        <v>2.4487558815364012E-2</v>
      </c>
      <c r="EF254" s="19">
        <f>SQRT((1/[5]Classess!$I$27)^2*(13*SQRT(3)*10^4*("1991/9/30"-"1991/05/01")/10^9)^2+(-EE254/([5]Classess!$I$27)^2)^2*([5]Classess!$J$27)^2)</f>
        <v>5.089541115262039E-2</v>
      </c>
      <c r="EG254" s="13">
        <v>3</v>
      </c>
      <c r="EH254" s="52">
        <f t="shared" ref="EH254:EH262" si="1168">EF254/ABS(EE254)</f>
        <v>2.0784191489389108</v>
      </c>
      <c r="EI254" s="19">
        <f t="shared" ref="EI254:EI261" si="1169">EE254-EA254</f>
        <v>4.690228122868928E-3</v>
      </c>
      <c r="EJ254" s="12">
        <f t="shared" ref="EJ254:EJ261" si="1170">SQRT(((EC254-1)*EB254^2+(EG254-1)*EF254^2)/(EC254+EG254-2))</f>
        <v>7.5646066518502766E-2</v>
      </c>
      <c r="EK254" s="19">
        <f t="shared" ref="EK254:EK261" si="1171">(((EC254+EG254)/(EC254*EG254))*(((EC254-1)*EB254^2)+(EG254-1)*EF254^2)/(EC254+EG254-2))</f>
        <v>3.8148849198144964E-3</v>
      </c>
      <c r="EL254" s="19">
        <f t="shared" ref="EL254:EL261" si="1172">(EB254^2/EC254)+(EF254^2/EG254)</f>
        <v>3.8148849198144969E-3</v>
      </c>
      <c r="EM254" s="12" t="s">
        <v>39</v>
      </c>
      <c r="EN254" s="12">
        <v>-28</v>
      </c>
      <c r="EO254" s="50">
        <f t="shared" si="1156"/>
        <v>11.409899165036213</v>
      </c>
      <c r="EP254" s="13">
        <v>3</v>
      </c>
      <c r="ER254" s="12">
        <v>-36</v>
      </c>
      <c r="ES254" s="50">
        <f>ABS(ER254)*EU$474</f>
        <v>8.1653059263309906</v>
      </c>
      <c r="ET254" s="13">
        <v>3</v>
      </c>
      <c r="EV254" s="19">
        <f t="shared" ref="EV254:EV258" si="1173">ER254-EN254</f>
        <v>-8</v>
      </c>
      <c r="EW254" s="12">
        <f t="shared" ref="EW254:EW258" si="1174">SQRT(((EP254-1)*EO254^2+(ET254-1)*ES254^2)/(EP254+ET254-2))</f>
        <v>9.9211395471203332</v>
      </c>
      <c r="EX254" s="19">
        <f t="shared" ref="EX254:EX258" si="1175">(((EP254+ET254)/(EP254*ET254))*(((EP254-1)*EO254^2)+(ET254-1)*ES254^2)/(EP254+ET254-2))</f>
        <v>65.619339942290026</v>
      </c>
      <c r="EY254" s="19">
        <f t="shared" ref="EY254:EY258" si="1176">(EO254^2/EP254)+(ES254^2/ET254)</f>
        <v>65.619339942290026</v>
      </c>
      <c r="FB254" s="12" t="s">
        <v>37</v>
      </c>
      <c r="FC254" s="12" t="s">
        <v>37</v>
      </c>
      <c r="FD254" s="12" t="s">
        <v>37</v>
      </c>
      <c r="FE254" s="12" t="s">
        <v>37</v>
      </c>
      <c r="FF254" s="20" t="s">
        <v>37</v>
      </c>
      <c r="FG254" s="12" t="s">
        <v>37</v>
      </c>
      <c r="FI254" s="12" t="s">
        <v>37</v>
      </c>
      <c r="FJ254" s="12" t="s">
        <v>37</v>
      </c>
      <c r="FK254" s="12" t="s">
        <v>37</v>
      </c>
      <c r="FL254" s="12" t="s">
        <v>37</v>
      </c>
      <c r="FM254" s="12" t="s">
        <v>37</v>
      </c>
      <c r="FN254" s="12" t="s">
        <v>37</v>
      </c>
      <c r="FP254" s="12" t="s">
        <v>37</v>
      </c>
      <c r="FQ254" s="12" t="s">
        <v>37</v>
      </c>
      <c r="FR254" s="12" t="s">
        <v>37</v>
      </c>
      <c r="FS254" s="12" t="s">
        <v>37</v>
      </c>
      <c r="FT254" s="12" t="s">
        <v>37</v>
      </c>
      <c r="FU254" s="12" t="s">
        <v>37</v>
      </c>
      <c r="FW254" s="12" t="s">
        <v>37</v>
      </c>
      <c r="FX254" s="12" t="s">
        <v>37</v>
      </c>
      <c r="FY254" s="12" t="s">
        <v>37</v>
      </c>
      <c r="FZ254" s="12" t="s">
        <v>37</v>
      </c>
      <c r="GA254" s="12" t="s">
        <v>37</v>
      </c>
      <c r="GB254" s="12" t="s">
        <v>37</v>
      </c>
      <c r="IK254" s="12" t="s">
        <v>37</v>
      </c>
      <c r="IL254" s="12" t="s">
        <v>37</v>
      </c>
      <c r="IM254" s="12" t="s">
        <v>37</v>
      </c>
      <c r="IO254" s="12" t="s">
        <v>37</v>
      </c>
      <c r="IP254" s="12" t="s">
        <v>37</v>
      </c>
      <c r="IQ254" s="12" t="s">
        <v>37</v>
      </c>
      <c r="IV254" s="32" t="s">
        <v>372</v>
      </c>
      <c r="IW254" s="12">
        <v>3.8</v>
      </c>
      <c r="IX254" s="50">
        <f t="shared" si="1167"/>
        <v>0.13912842198648792</v>
      </c>
      <c r="IY254" s="13">
        <v>3</v>
      </c>
      <c r="JA254" s="12">
        <v>3.8</v>
      </c>
      <c r="JB254" s="50">
        <f>ABS(JA254)*JD$474</f>
        <v>0.10643347338567048</v>
      </c>
      <c r="JC254" s="13">
        <v>3</v>
      </c>
      <c r="JE254" s="19">
        <f t="shared" ref="JE254:JE258" si="1177">LN(JA254/IW254)</f>
        <v>0</v>
      </c>
      <c r="JF254" s="19">
        <f t="shared" si="1162"/>
        <v>7.083287641133075E-4</v>
      </c>
      <c r="JH254" s="12" t="s">
        <v>37</v>
      </c>
      <c r="JI254" s="12" t="s">
        <v>37</v>
      </c>
      <c r="JJ254" s="13" t="s">
        <v>37</v>
      </c>
      <c r="JL254" s="12" t="s">
        <v>37</v>
      </c>
      <c r="JM254" s="12" t="s">
        <v>37</v>
      </c>
      <c r="JN254" s="12" t="s">
        <v>37</v>
      </c>
      <c r="JS254" s="12" t="s">
        <v>37</v>
      </c>
      <c r="JT254" s="12" t="s">
        <v>37</v>
      </c>
      <c r="JU254" s="13" t="s">
        <v>37</v>
      </c>
      <c r="JW254" s="12" t="s">
        <v>37</v>
      </c>
      <c r="JX254" s="12" t="s">
        <v>37</v>
      </c>
      <c r="JY254" s="12" t="s">
        <v>37</v>
      </c>
      <c r="KE254" s="12" t="s">
        <v>37</v>
      </c>
      <c r="KF254" s="12" t="s">
        <v>37</v>
      </c>
      <c r="KG254" s="13" t="s">
        <v>37</v>
      </c>
      <c r="KH254" s="12" t="s">
        <v>37</v>
      </c>
      <c r="KI254" s="12" t="s">
        <v>37</v>
      </c>
      <c r="KJ254" s="12" t="s">
        <v>37</v>
      </c>
      <c r="KK254" s="12" t="s">
        <v>391</v>
      </c>
      <c r="KL254" s="32" t="s">
        <v>372</v>
      </c>
      <c r="KM254" s="12">
        <v>380</v>
      </c>
      <c r="KN254" s="50">
        <f>ABS(KM254)*KP$474</f>
        <v>45.331355726246599</v>
      </c>
      <c r="KO254" s="11">
        <v>3</v>
      </c>
      <c r="KQ254" s="12">
        <v>380</v>
      </c>
      <c r="KR254" s="50">
        <f>ABS(KQ254)*KT$474</f>
        <v>40.068503464081964</v>
      </c>
      <c r="KS254" s="11">
        <v>3</v>
      </c>
      <c r="KU254" s="19">
        <f t="shared" ref="KU254:KU256" si="1178">LN(KQ254/KM254)</f>
        <v>0</v>
      </c>
      <c r="KV254" s="19">
        <f t="shared" ref="KV254:KV256" si="1179">KR254^2/(KS254*KQ254^2)+KN254^2/(KO254*KM254^2)</f>
        <v>8.4497155628593234E-3</v>
      </c>
      <c r="KX254" s="12" t="s">
        <v>37</v>
      </c>
      <c r="KY254" s="12" t="s">
        <v>37</v>
      </c>
      <c r="KZ254" s="12" t="s">
        <v>37</v>
      </c>
      <c r="LB254" s="12" t="s">
        <v>37</v>
      </c>
      <c r="LC254" s="12" t="s">
        <v>37</v>
      </c>
      <c r="LD254" s="12" t="s">
        <v>37</v>
      </c>
      <c r="LI254" s="12" t="s">
        <v>37</v>
      </c>
      <c r="LJ254" s="12" t="s">
        <v>37</v>
      </c>
      <c r="LK254" s="12" t="s">
        <v>37</v>
      </c>
      <c r="LM254" s="12" t="s">
        <v>37</v>
      </c>
      <c r="LN254" s="12" t="s">
        <v>37</v>
      </c>
      <c r="LO254" s="12" t="s">
        <v>37</v>
      </c>
      <c r="LU254" s="12" t="s">
        <v>37</v>
      </c>
      <c r="LV254" s="12" t="s">
        <v>37</v>
      </c>
      <c r="LW254" s="12" t="s">
        <v>37</v>
      </c>
      <c r="LY254" s="12" t="s">
        <v>37</v>
      </c>
      <c r="LZ254" s="12" t="s">
        <v>37</v>
      </c>
      <c r="MA254" s="12" t="s">
        <v>37</v>
      </c>
      <c r="MF254" s="12" t="s">
        <v>37</v>
      </c>
      <c r="MG254" s="12" t="s">
        <v>37</v>
      </c>
      <c r="MH254" s="12" t="s">
        <v>37</v>
      </c>
      <c r="MJ254" s="12" t="s">
        <v>37</v>
      </c>
      <c r="MK254" s="12" t="s">
        <v>37</v>
      </c>
      <c r="ML254" s="12" t="s">
        <v>37</v>
      </c>
      <c r="MQ254" s="12" t="s">
        <v>37</v>
      </c>
      <c r="MR254" s="12" t="s">
        <v>37</v>
      </c>
      <c r="MS254" s="12" t="s">
        <v>37</v>
      </c>
      <c r="MU254" s="12" t="s">
        <v>37</v>
      </c>
      <c r="MV254" s="12" t="s">
        <v>37</v>
      </c>
      <c r="MW254" s="12" t="s">
        <v>37</v>
      </c>
      <c r="NC254" s="12" t="s">
        <v>37</v>
      </c>
      <c r="ND254" s="12" t="s">
        <v>37</v>
      </c>
      <c r="NE254" s="12" t="s">
        <v>37</v>
      </c>
      <c r="NG254" s="12" t="s">
        <v>37</v>
      </c>
      <c r="NH254" s="12" t="s">
        <v>37</v>
      </c>
      <c r="NI254" s="12" t="s">
        <v>37</v>
      </c>
      <c r="NO254" s="12" t="s">
        <v>37</v>
      </c>
      <c r="NP254" s="12" t="s">
        <v>37</v>
      </c>
      <c r="NQ254" s="12" t="s">
        <v>37</v>
      </c>
      <c r="NS254" s="12" t="s">
        <v>37</v>
      </c>
      <c r="NT254" s="12" t="s">
        <v>37</v>
      </c>
      <c r="NU254" s="12" t="s">
        <v>37</v>
      </c>
      <c r="OA254" s="12" t="s">
        <v>37</v>
      </c>
      <c r="OB254" s="12" t="s">
        <v>37</v>
      </c>
      <c r="OC254" s="12" t="s">
        <v>37</v>
      </c>
      <c r="OD254" s="12"/>
      <c r="OE254" s="12" t="s">
        <v>37</v>
      </c>
      <c r="OF254" s="12" t="s">
        <v>37</v>
      </c>
      <c r="OG254" s="12" t="s">
        <v>37</v>
      </c>
      <c r="OH254" s="12"/>
      <c r="OI254" s="12"/>
      <c r="OJ254" s="12"/>
      <c r="OM254" s="12" t="s">
        <v>37</v>
      </c>
      <c r="ON254" s="12" t="s">
        <v>37</v>
      </c>
      <c r="OO254" s="12" t="s">
        <v>37</v>
      </c>
      <c r="OP254" s="12" t="s">
        <v>37</v>
      </c>
      <c r="OQ254" s="12" t="s">
        <v>37</v>
      </c>
      <c r="OR254" s="12" t="s">
        <v>37</v>
      </c>
      <c r="OS254" s="12"/>
      <c r="OT254" s="12"/>
      <c r="OW254" s="12" t="s">
        <v>37</v>
      </c>
      <c r="OX254" s="12" t="s">
        <v>37</v>
      </c>
      <c r="OY254" s="13" t="s">
        <v>37</v>
      </c>
      <c r="OZ254" s="12" t="s">
        <v>37</v>
      </c>
      <c r="PA254" s="12" t="s">
        <v>37</v>
      </c>
      <c r="PB254" s="13" t="s">
        <v>37</v>
      </c>
      <c r="PG254" s="12" t="s">
        <v>37</v>
      </c>
      <c r="PH254" s="12" t="s">
        <v>37</v>
      </c>
      <c r="PI254" s="12" t="s">
        <v>37</v>
      </c>
      <c r="PJ254" s="12" t="s">
        <v>37</v>
      </c>
      <c r="PK254" s="12" t="s">
        <v>37</v>
      </c>
      <c r="PL254" s="12" t="s">
        <v>37</v>
      </c>
      <c r="PM254" s="12"/>
      <c r="PN254" s="12"/>
      <c r="PQ254" s="12" t="s">
        <v>37</v>
      </c>
      <c r="PR254" s="12" t="s">
        <v>37</v>
      </c>
      <c r="PS254" s="12" t="s">
        <v>37</v>
      </c>
      <c r="PT254" s="12" t="s">
        <v>37</v>
      </c>
      <c r="PU254" s="12" t="s">
        <v>37</v>
      </c>
      <c r="PV254" s="12" t="s">
        <v>37</v>
      </c>
      <c r="PW254" s="12"/>
      <c r="PX254" s="12"/>
      <c r="PZ254" s="12" t="s">
        <v>37</v>
      </c>
      <c r="QA254" s="12" t="s">
        <v>37</v>
      </c>
      <c r="QB254" s="12" t="s">
        <v>37</v>
      </c>
      <c r="QD254" s="12" t="s">
        <v>37</v>
      </c>
      <c r="QE254" s="12" t="s">
        <v>37</v>
      </c>
      <c r="QF254" s="12" t="s">
        <v>37</v>
      </c>
      <c r="QK254" s="12" t="s">
        <v>37</v>
      </c>
      <c r="QL254" s="12" t="s">
        <v>37</v>
      </c>
      <c r="QM254" s="12" t="s">
        <v>37</v>
      </c>
      <c r="QN254" s="12" t="s">
        <v>37</v>
      </c>
      <c r="QO254" s="12" t="s">
        <v>37</v>
      </c>
      <c r="QP254" s="12" t="s">
        <v>37</v>
      </c>
      <c r="QQ254" s="12"/>
      <c r="QR254" s="12"/>
      <c r="QU254" s="12" t="s">
        <v>37</v>
      </c>
      <c r="QV254" s="12" t="s">
        <v>37</v>
      </c>
      <c r="QW254" s="12" t="s">
        <v>37</v>
      </c>
      <c r="QX254" s="12" t="s">
        <v>37</v>
      </c>
      <c r="QY254" s="12" t="s">
        <v>37</v>
      </c>
      <c r="QZ254" s="12" t="s">
        <v>37</v>
      </c>
      <c r="RC254" s="12" t="s">
        <v>37</v>
      </c>
      <c r="RD254" s="12" t="s">
        <v>37</v>
      </c>
      <c r="RE254" s="13" t="s">
        <v>37</v>
      </c>
      <c r="RF254" s="12" t="s">
        <v>37</v>
      </c>
      <c r="RG254" s="12" t="s">
        <v>37</v>
      </c>
      <c r="RH254" s="13" t="s">
        <v>37</v>
      </c>
      <c r="RK254" s="12" t="s">
        <v>37</v>
      </c>
      <c r="RL254" s="12" t="s">
        <v>37</v>
      </c>
      <c r="RM254" s="11" t="s">
        <v>37</v>
      </c>
      <c r="RN254" s="12" t="s">
        <v>37</v>
      </c>
      <c r="RO254" s="12" t="s">
        <v>37</v>
      </c>
      <c r="RP254" s="11" t="s">
        <v>37</v>
      </c>
      <c r="RS254" s="12" t="s">
        <v>37</v>
      </c>
      <c r="RT254" s="12" t="s">
        <v>37</v>
      </c>
      <c r="RU254" s="12" t="s">
        <v>37</v>
      </c>
      <c r="RV254" s="12" t="s">
        <v>37</v>
      </c>
      <c r="RW254" s="12" t="s">
        <v>37</v>
      </c>
      <c r="RX254" s="12" t="s">
        <v>37</v>
      </c>
      <c r="SA254" s="12" t="s">
        <v>37</v>
      </c>
      <c r="SB254" s="12" t="s">
        <v>37</v>
      </c>
      <c r="SC254" s="12" t="s">
        <v>37</v>
      </c>
      <c r="SD254" s="12" t="s">
        <v>37</v>
      </c>
      <c r="SE254" s="12" t="s">
        <v>37</v>
      </c>
      <c r="SF254" s="12" t="s">
        <v>37</v>
      </c>
      <c r="SI254" s="12" t="s">
        <v>37</v>
      </c>
      <c r="SJ254" s="12" t="s">
        <v>37</v>
      </c>
      <c r="SK254" s="13" t="s">
        <v>37</v>
      </c>
      <c r="SM254" s="12" t="s">
        <v>37</v>
      </c>
      <c r="SN254" s="12" t="s">
        <v>37</v>
      </c>
      <c r="SO254" s="13" t="s">
        <v>37</v>
      </c>
      <c r="SU254" s="12" t="s">
        <v>37</v>
      </c>
      <c r="SV254" s="12" t="s">
        <v>37</v>
      </c>
      <c r="SW254" s="12" t="s">
        <v>37</v>
      </c>
      <c r="SX254" s="12" t="s">
        <v>37</v>
      </c>
      <c r="SY254" s="12" t="s">
        <v>37</v>
      </c>
      <c r="SZ254" s="12" t="s">
        <v>37</v>
      </c>
      <c r="TA254" s="12"/>
      <c r="TB254" s="12"/>
      <c r="TE254" s="12" t="s">
        <v>37</v>
      </c>
      <c r="TF254" s="12" t="s">
        <v>37</v>
      </c>
      <c r="TG254" s="12" t="s">
        <v>37</v>
      </c>
      <c r="TH254" s="12" t="s">
        <v>37</v>
      </c>
      <c r="TI254" s="12" t="s">
        <v>37</v>
      </c>
      <c r="TJ254" s="12" t="s">
        <v>37</v>
      </c>
      <c r="TK254" s="12"/>
      <c r="TL254" s="12"/>
      <c r="TO254" s="12" t="s">
        <v>37</v>
      </c>
      <c r="TP254" s="12" t="s">
        <v>37</v>
      </c>
      <c r="TQ254" s="12" t="s">
        <v>37</v>
      </c>
      <c r="TR254" s="12" t="s">
        <v>37</v>
      </c>
      <c r="TS254" s="12" t="s">
        <v>37</v>
      </c>
      <c r="TT254" s="12" t="s">
        <v>37</v>
      </c>
      <c r="TU254" s="12"/>
      <c r="TV254" s="12"/>
      <c r="TY254" s="12" t="s">
        <v>37</v>
      </c>
      <c r="TZ254" s="12" t="s">
        <v>37</v>
      </c>
      <c r="UA254" s="12" t="s">
        <v>37</v>
      </c>
      <c r="UB254" s="12" t="s">
        <v>37</v>
      </c>
      <c r="UC254" s="12" t="s">
        <v>37</v>
      </c>
      <c r="UD254" s="12" t="s">
        <v>37</v>
      </c>
      <c r="UE254" s="12"/>
      <c r="UF254" s="12"/>
      <c r="UI254" s="12" t="s">
        <v>37</v>
      </c>
      <c r="UJ254" s="12" t="s">
        <v>37</v>
      </c>
      <c r="UK254" s="12" t="s">
        <v>37</v>
      </c>
      <c r="UL254" s="12" t="s">
        <v>37</v>
      </c>
      <c r="UM254" s="12" t="s">
        <v>37</v>
      </c>
      <c r="UN254" s="12" t="s">
        <v>37</v>
      </c>
      <c r="UO254" s="12"/>
      <c r="UP254" s="12"/>
      <c r="UR254" s="12" t="s">
        <v>37</v>
      </c>
      <c r="US254" s="12" t="s">
        <v>37</v>
      </c>
      <c r="UT254" s="12" t="s">
        <v>37</v>
      </c>
      <c r="UU254" s="12" t="s">
        <v>37</v>
      </c>
      <c r="UV254" s="12" t="s">
        <v>37</v>
      </c>
      <c r="UW254" s="12" t="s">
        <v>37</v>
      </c>
      <c r="UX254" s="12"/>
      <c r="UY254" s="12"/>
      <c r="VB254" s="12" t="s">
        <v>37</v>
      </c>
      <c r="VC254" s="12" t="s">
        <v>37</v>
      </c>
      <c r="VD254" s="12" t="s">
        <v>37</v>
      </c>
      <c r="VE254" s="12" t="s">
        <v>37</v>
      </c>
      <c r="VF254" s="12" t="s">
        <v>37</v>
      </c>
      <c r="VG254" s="12" t="s">
        <v>37</v>
      </c>
      <c r="VI254" s="12" t="s">
        <v>37</v>
      </c>
      <c r="VJ254" s="12" t="s">
        <v>37</v>
      </c>
      <c r="VK254" s="12" t="s">
        <v>37</v>
      </c>
      <c r="VL254" s="12" t="s">
        <v>37</v>
      </c>
      <c r="VM254" s="12" t="s">
        <v>37</v>
      </c>
      <c r="VN254" s="12" t="s">
        <v>37</v>
      </c>
      <c r="VQ254" s="12" t="s">
        <v>37</v>
      </c>
      <c r="VR254" s="12" t="s">
        <v>37</v>
      </c>
      <c r="VS254" s="12" t="s">
        <v>37</v>
      </c>
      <c r="VT254" s="12" t="s">
        <v>37</v>
      </c>
      <c r="VU254" s="12" t="s">
        <v>37</v>
      </c>
      <c r="VV254" s="12" t="s">
        <v>37</v>
      </c>
      <c r="VW254" s="12"/>
      <c r="VX254" s="12"/>
      <c r="WA254" s="12" t="s">
        <v>37</v>
      </c>
      <c r="WB254" s="12" t="s">
        <v>37</v>
      </c>
      <c r="WC254" s="12" t="s">
        <v>37</v>
      </c>
      <c r="WD254" s="12" t="s">
        <v>37</v>
      </c>
      <c r="WE254" s="12" t="s">
        <v>37</v>
      </c>
      <c r="WF254" s="12" t="s">
        <v>37</v>
      </c>
    </row>
    <row r="255" spans="1:604" ht="18" customHeight="1" x14ac:dyDescent="0.3">
      <c r="A255" s="11">
        <v>66</v>
      </c>
      <c r="B255" s="16" t="s">
        <v>388</v>
      </c>
      <c r="C255" s="12" t="s">
        <v>26</v>
      </c>
      <c r="D255" s="12" t="s">
        <v>54</v>
      </c>
      <c r="E255" s="40" t="s">
        <v>37</v>
      </c>
      <c r="F255" s="14">
        <v>0</v>
      </c>
      <c r="G255" s="14">
        <v>0</v>
      </c>
      <c r="H255" s="12" t="s">
        <v>123</v>
      </c>
      <c r="I255" s="29">
        <v>61.767000000000003</v>
      </c>
      <c r="J255" s="29">
        <v>30.966999999999999</v>
      </c>
      <c r="K255" s="12" t="s">
        <v>776</v>
      </c>
      <c r="L255" s="12" t="s">
        <v>777</v>
      </c>
      <c r="M255" s="13" t="s">
        <v>37</v>
      </c>
      <c r="N255" s="13" t="s">
        <v>37</v>
      </c>
      <c r="O255" s="13" t="s">
        <v>37</v>
      </c>
      <c r="P255" s="14" t="s">
        <v>84</v>
      </c>
      <c r="Q255" s="75">
        <v>50</v>
      </c>
      <c r="R255" s="11" t="s">
        <v>1000</v>
      </c>
      <c r="S255" s="12" t="s">
        <v>93</v>
      </c>
      <c r="T255" s="12" t="s">
        <v>141</v>
      </c>
      <c r="U255" s="12" t="s">
        <v>158</v>
      </c>
      <c r="V255" s="12" t="s">
        <v>275</v>
      </c>
      <c r="W255" s="23" t="s">
        <v>377</v>
      </c>
      <c r="X255" s="12" t="s">
        <v>281</v>
      </c>
      <c r="Y255" s="12" t="s">
        <v>37</v>
      </c>
      <c r="Z255" s="12" t="s">
        <v>37</v>
      </c>
      <c r="AA255" s="32" t="s">
        <v>372</v>
      </c>
      <c r="AB255" s="12">
        <v>4.3</v>
      </c>
      <c r="AE255" s="12" t="s">
        <v>37</v>
      </c>
      <c r="AF255" s="12" t="s">
        <v>391</v>
      </c>
      <c r="AG255" s="32" t="s">
        <v>372</v>
      </c>
      <c r="AH255" s="12">
        <v>170</v>
      </c>
      <c r="AK255" s="12" t="s">
        <v>37</v>
      </c>
      <c r="AL255" s="32">
        <v>1991</v>
      </c>
      <c r="AM255" s="12" t="s">
        <v>317</v>
      </c>
      <c r="AN255" s="32" t="s">
        <v>880</v>
      </c>
      <c r="AO255" s="12" t="s">
        <v>37</v>
      </c>
      <c r="AP255" s="12" t="s">
        <v>238</v>
      </c>
      <c r="AQ255" s="12" t="s">
        <v>975</v>
      </c>
      <c r="AT255" s="12" t="s">
        <v>326</v>
      </c>
      <c r="AU255" s="12" t="s">
        <v>326</v>
      </c>
      <c r="AV255" s="13" t="s">
        <v>326</v>
      </c>
      <c r="AX255" s="12" t="s">
        <v>326</v>
      </c>
      <c r="AY255" s="12" t="s">
        <v>326</v>
      </c>
      <c r="AZ255" s="13" t="s">
        <v>326</v>
      </c>
      <c r="BE255" s="12" t="s">
        <v>326</v>
      </c>
      <c r="BF255" s="12" t="s">
        <v>326</v>
      </c>
      <c r="BG255" s="12" t="s">
        <v>326</v>
      </c>
      <c r="BI255" s="12" t="s">
        <v>326</v>
      </c>
      <c r="BJ255" s="12" t="s">
        <v>326</v>
      </c>
      <c r="BK255" s="12" t="s">
        <v>326</v>
      </c>
      <c r="BP255" s="12" t="s">
        <v>37</v>
      </c>
      <c r="BQ255" s="12" t="s">
        <v>37</v>
      </c>
      <c r="BR255" s="13" t="s">
        <v>37</v>
      </c>
      <c r="BT255" s="12" t="s">
        <v>37</v>
      </c>
      <c r="BU255" s="12" t="s">
        <v>37</v>
      </c>
      <c r="BV255" s="12" t="s">
        <v>37</v>
      </c>
      <c r="CA255" s="12" t="s">
        <v>37</v>
      </c>
      <c r="CB255" s="12" t="s">
        <v>37</v>
      </c>
      <c r="CC255" s="13" t="s">
        <v>37</v>
      </c>
      <c r="CE255" s="12" t="s">
        <v>37</v>
      </c>
      <c r="CF255" s="12" t="s">
        <v>37</v>
      </c>
      <c r="CG255" s="12" t="s">
        <v>37</v>
      </c>
      <c r="CN255" s="12" t="s">
        <v>37</v>
      </c>
      <c r="CO255" s="12" t="s">
        <v>37</v>
      </c>
      <c r="CP255" s="13" t="s">
        <v>37</v>
      </c>
      <c r="CR255" s="12" t="s">
        <v>37</v>
      </c>
      <c r="CS255" s="12" t="s">
        <v>37</v>
      </c>
      <c r="CT255" s="13" t="s">
        <v>37</v>
      </c>
      <c r="CX255" s="72"/>
      <c r="CY255" s="72"/>
      <c r="DA255" s="12" t="s">
        <v>37</v>
      </c>
      <c r="DB255" s="12" t="s">
        <v>37</v>
      </c>
      <c r="DC255" s="13" t="s">
        <v>37</v>
      </c>
      <c r="DE255" s="12" t="s">
        <v>37</v>
      </c>
      <c r="DF255" s="12" t="s">
        <v>37</v>
      </c>
      <c r="DG255" s="12" t="s">
        <v>37</v>
      </c>
      <c r="DI255" s="52"/>
      <c r="DJ255" s="52"/>
      <c r="DK255" s="73"/>
      <c r="DL255" s="73"/>
      <c r="DN255" s="19" t="s">
        <v>37</v>
      </c>
      <c r="DO255" s="12" t="s">
        <v>37</v>
      </c>
      <c r="DP255" s="13" t="s">
        <v>37</v>
      </c>
      <c r="DR255" s="19" t="s">
        <v>37</v>
      </c>
      <c r="DS255" s="12" t="s">
        <v>37</v>
      </c>
      <c r="DT255" s="13" t="s">
        <v>37</v>
      </c>
      <c r="DV255" s="52"/>
      <c r="DW255" s="52"/>
      <c r="DZ255" s="11" t="s">
        <v>47</v>
      </c>
      <c r="EA255" s="19">
        <f>-30*10^4*("1991/9/30"-"1991/05/01")/10^9/'[3]classess-1'!$I$26</f>
        <v>-0.1060571287097951</v>
      </c>
      <c r="EB255" s="19">
        <f>SQRT((1/[5]Classess!$I$26)^2*(15*SQRT(3)*10^4*("1991/9/30"-"1991/05/01")/10^9)^2+(-EA255/([5]Classess!$I$26)^2)^2*([5]Classess!$J$26)^2)</f>
        <v>0.28407129566600942</v>
      </c>
      <c r="EC255" s="72">
        <v>3</v>
      </c>
      <c r="ED255" s="52">
        <f t="shared" si="1166"/>
        <v>2.6784743196595091</v>
      </c>
      <c r="EE255" s="19">
        <f>-5.3*10^4*("1991/9/30"-"1991/05/01")/10^9/'[3]classess-1'!$I$27</f>
        <v>-1.1798551065584481E-2</v>
      </c>
      <c r="EF255" s="19">
        <f>SQRT((1/[5]Classess!$I$27)^2*(12*SQRT(3)*10^4*("1991/9/30"-"1991/05/01")/10^9)^2+(-EE255/([5]Classess!$I$27)^2)^2*([5]Classess!$J$27)^2)</f>
        <v>4.6464249030440392E-2</v>
      </c>
      <c r="EG255" s="13">
        <v>3</v>
      </c>
      <c r="EH255" s="52">
        <f t="shared" si="1168"/>
        <v>3.9381317902647588</v>
      </c>
      <c r="EI255" s="19">
        <f t="shared" si="1169"/>
        <v>9.4258577644210612E-2</v>
      </c>
      <c r="EJ255" s="12">
        <f t="shared" si="1170"/>
        <v>0.20353799087557109</v>
      </c>
      <c r="EK255" s="19">
        <f t="shared" si="1171"/>
        <v>2.7618475819776042E-2</v>
      </c>
      <c r="EL255" s="19">
        <f t="shared" si="1172"/>
        <v>2.7618475819776042E-2</v>
      </c>
      <c r="EM255" s="12" t="s">
        <v>39</v>
      </c>
      <c r="EN255" s="12">
        <v>-18</v>
      </c>
      <c r="EO255" s="50">
        <f t="shared" si="1156"/>
        <v>7.3349351775232803</v>
      </c>
      <c r="EP255" s="13">
        <v>3</v>
      </c>
      <c r="ER255" s="12">
        <v>-24</v>
      </c>
      <c r="ES255" s="50">
        <f>ABS(ER255)*EU$474</f>
        <v>5.4435372842206604</v>
      </c>
      <c r="ET255" s="13">
        <v>3</v>
      </c>
      <c r="EV255" s="19">
        <f t="shared" si="1173"/>
        <v>-6</v>
      </c>
      <c r="EW255" s="12">
        <f t="shared" si="1174"/>
        <v>6.4588455711206212</v>
      </c>
      <c r="EX255" s="19">
        <f t="shared" si="1175"/>
        <v>27.811124074389639</v>
      </c>
      <c r="EY255" s="19">
        <f t="shared" si="1176"/>
        <v>27.811124074389639</v>
      </c>
      <c r="FB255" s="12" t="s">
        <v>37</v>
      </c>
      <c r="FC255" s="12" t="s">
        <v>37</v>
      </c>
      <c r="FD255" s="12" t="s">
        <v>37</v>
      </c>
      <c r="FE255" s="12" t="s">
        <v>37</v>
      </c>
      <c r="FF255" s="20" t="s">
        <v>37</v>
      </c>
      <c r="FG255" s="12" t="s">
        <v>37</v>
      </c>
      <c r="FI255" s="12" t="s">
        <v>37</v>
      </c>
      <c r="FJ255" s="12" t="s">
        <v>37</v>
      </c>
      <c r="FK255" s="12" t="s">
        <v>37</v>
      </c>
      <c r="FL255" s="12" t="s">
        <v>37</v>
      </c>
      <c r="FM255" s="12" t="s">
        <v>37</v>
      </c>
      <c r="FN255" s="12" t="s">
        <v>37</v>
      </c>
      <c r="FP255" s="12" t="s">
        <v>37</v>
      </c>
      <c r="FQ255" s="12" t="s">
        <v>37</v>
      </c>
      <c r="FR255" s="12" t="s">
        <v>37</v>
      </c>
      <c r="FS255" s="12" t="s">
        <v>37</v>
      </c>
      <c r="FT255" s="12" t="s">
        <v>37</v>
      </c>
      <c r="FU255" s="12" t="s">
        <v>37</v>
      </c>
      <c r="FW255" s="12" t="s">
        <v>37</v>
      </c>
      <c r="FX255" s="12" t="s">
        <v>37</v>
      </c>
      <c r="FY255" s="12" t="s">
        <v>37</v>
      </c>
      <c r="FZ255" s="12" t="s">
        <v>37</v>
      </c>
      <c r="GA255" s="12" t="s">
        <v>37</v>
      </c>
      <c r="GB255" s="12" t="s">
        <v>37</v>
      </c>
      <c r="IK255" s="12" t="s">
        <v>37</v>
      </c>
      <c r="IL255" s="12" t="s">
        <v>37</v>
      </c>
      <c r="IM255" s="12" t="s">
        <v>37</v>
      </c>
      <c r="IO255" s="12" t="s">
        <v>37</v>
      </c>
      <c r="IP255" s="12" t="s">
        <v>37</v>
      </c>
      <c r="IQ255" s="12" t="s">
        <v>37</v>
      </c>
      <c r="IV255" s="32" t="s">
        <v>372</v>
      </c>
      <c r="IW255" s="12">
        <v>4.3</v>
      </c>
      <c r="IX255" s="50">
        <f t="shared" si="1167"/>
        <v>0.15743479330049948</v>
      </c>
      <c r="IY255" s="13">
        <v>3</v>
      </c>
      <c r="JA255" s="12">
        <v>4.0999999999999996</v>
      </c>
      <c r="JB255" s="50">
        <f>ABS(JA255)*JD$474</f>
        <v>0.1148361160213813</v>
      </c>
      <c r="JC255" s="13">
        <v>3</v>
      </c>
      <c r="JE255" s="19">
        <f t="shared" si="1177"/>
        <v>-4.7628048989254705E-2</v>
      </c>
      <c r="JF255" s="19">
        <f t="shared" si="1162"/>
        <v>7.083287641133075E-4</v>
      </c>
      <c r="JH255" s="12" t="s">
        <v>37</v>
      </c>
      <c r="JI255" s="12" t="s">
        <v>37</v>
      </c>
      <c r="JJ255" s="13" t="s">
        <v>37</v>
      </c>
      <c r="JL255" s="12" t="s">
        <v>37</v>
      </c>
      <c r="JM255" s="12" t="s">
        <v>37</v>
      </c>
      <c r="JN255" s="12" t="s">
        <v>37</v>
      </c>
      <c r="JS255" s="12" t="s">
        <v>37</v>
      </c>
      <c r="JT255" s="12" t="s">
        <v>37</v>
      </c>
      <c r="JU255" s="13" t="s">
        <v>37</v>
      </c>
      <c r="JW255" s="12" t="s">
        <v>37</v>
      </c>
      <c r="JX255" s="12" t="s">
        <v>37</v>
      </c>
      <c r="JY255" s="12" t="s">
        <v>37</v>
      </c>
      <c r="KE255" s="12" t="s">
        <v>37</v>
      </c>
      <c r="KF255" s="12" t="s">
        <v>37</v>
      </c>
      <c r="KG255" s="13" t="s">
        <v>37</v>
      </c>
      <c r="KH255" s="12" t="s">
        <v>37</v>
      </c>
      <c r="KI255" s="12" t="s">
        <v>37</v>
      </c>
      <c r="KJ255" s="12" t="s">
        <v>37</v>
      </c>
      <c r="KK255" s="12" t="s">
        <v>391</v>
      </c>
      <c r="KL255" s="32" t="s">
        <v>372</v>
      </c>
      <c r="KM255" s="12">
        <v>170</v>
      </c>
      <c r="KN255" s="50">
        <f>ABS(KM255)*KP$474</f>
        <v>20.279817035426113</v>
      </c>
      <c r="KO255" s="11">
        <v>3</v>
      </c>
      <c r="KQ255" s="12">
        <v>230</v>
      </c>
      <c r="KR255" s="50">
        <f>ABS(KQ255)*KT$474</f>
        <v>24.251988938786454</v>
      </c>
      <c r="KS255" s="11">
        <v>3</v>
      </c>
      <c r="KU255" s="19">
        <f t="shared" si="1178"/>
        <v>0.30228087187293368</v>
      </c>
      <c r="KV255" s="19">
        <f t="shared" si="1179"/>
        <v>8.4497155628593251E-3</v>
      </c>
      <c r="KX255" s="12" t="s">
        <v>37</v>
      </c>
      <c r="KY255" s="12" t="s">
        <v>37</v>
      </c>
      <c r="KZ255" s="12" t="s">
        <v>37</v>
      </c>
      <c r="LB255" s="12" t="s">
        <v>37</v>
      </c>
      <c r="LC255" s="12" t="s">
        <v>37</v>
      </c>
      <c r="LD255" s="12" t="s">
        <v>37</v>
      </c>
      <c r="LI255" s="12" t="s">
        <v>37</v>
      </c>
      <c r="LJ255" s="12" t="s">
        <v>37</v>
      </c>
      <c r="LK255" s="12" t="s">
        <v>37</v>
      </c>
      <c r="LM255" s="12" t="s">
        <v>37</v>
      </c>
      <c r="LN255" s="12" t="s">
        <v>37</v>
      </c>
      <c r="LO255" s="12" t="s">
        <v>37</v>
      </c>
      <c r="LU255" s="12" t="s">
        <v>37</v>
      </c>
      <c r="LV255" s="12" t="s">
        <v>37</v>
      </c>
      <c r="LW255" s="12" t="s">
        <v>37</v>
      </c>
      <c r="LY255" s="12" t="s">
        <v>37</v>
      </c>
      <c r="LZ255" s="12" t="s">
        <v>37</v>
      </c>
      <c r="MA255" s="12" t="s">
        <v>37</v>
      </c>
      <c r="MF255" s="12" t="s">
        <v>37</v>
      </c>
      <c r="MG255" s="12" t="s">
        <v>37</v>
      </c>
      <c r="MH255" s="12" t="s">
        <v>37</v>
      </c>
      <c r="MJ255" s="12" t="s">
        <v>37</v>
      </c>
      <c r="MK255" s="12" t="s">
        <v>37</v>
      </c>
      <c r="ML255" s="12" t="s">
        <v>37</v>
      </c>
      <c r="MQ255" s="12" t="s">
        <v>37</v>
      </c>
      <c r="MR255" s="12" t="s">
        <v>37</v>
      </c>
      <c r="MS255" s="12" t="s">
        <v>37</v>
      </c>
      <c r="MU255" s="12" t="s">
        <v>37</v>
      </c>
      <c r="MV255" s="12" t="s">
        <v>37</v>
      </c>
      <c r="MW255" s="12" t="s">
        <v>37</v>
      </c>
      <c r="NC255" s="12" t="s">
        <v>37</v>
      </c>
      <c r="ND255" s="12" t="s">
        <v>37</v>
      </c>
      <c r="NE255" s="12" t="s">
        <v>37</v>
      </c>
      <c r="NG255" s="12" t="s">
        <v>37</v>
      </c>
      <c r="NH255" s="12" t="s">
        <v>37</v>
      </c>
      <c r="NI255" s="12" t="s">
        <v>37</v>
      </c>
      <c r="NO255" s="12" t="s">
        <v>37</v>
      </c>
      <c r="NP255" s="12" t="s">
        <v>37</v>
      </c>
      <c r="NQ255" s="12" t="s">
        <v>37</v>
      </c>
      <c r="NS255" s="12" t="s">
        <v>37</v>
      </c>
      <c r="NT255" s="12" t="s">
        <v>37</v>
      </c>
      <c r="NU255" s="12" t="s">
        <v>37</v>
      </c>
      <c r="OA255" s="12" t="s">
        <v>37</v>
      </c>
      <c r="OB255" s="12" t="s">
        <v>37</v>
      </c>
      <c r="OC255" s="12" t="s">
        <v>37</v>
      </c>
      <c r="OD255" s="12"/>
      <c r="OE255" s="12" t="s">
        <v>37</v>
      </c>
      <c r="OF255" s="12" t="s">
        <v>37</v>
      </c>
      <c r="OG255" s="12" t="s">
        <v>37</v>
      </c>
      <c r="OH255" s="12"/>
      <c r="OI255" s="12"/>
      <c r="OJ255" s="12"/>
      <c r="OM255" s="12" t="s">
        <v>37</v>
      </c>
      <c r="ON255" s="12" t="s">
        <v>37</v>
      </c>
      <c r="OO255" s="12" t="s">
        <v>37</v>
      </c>
      <c r="OP255" s="12" t="s">
        <v>37</v>
      </c>
      <c r="OQ255" s="12" t="s">
        <v>37</v>
      </c>
      <c r="OR255" s="12" t="s">
        <v>37</v>
      </c>
      <c r="OS255" s="12"/>
      <c r="OT255" s="12"/>
      <c r="OW255" s="12" t="s">
        <v>37</v>
      </c>
      <c r="OX255" s="12" t="s">
        <v>37</v>
      </c>
      <c r="OY255" s="13" t="s">
        <v>37</v>
      </c>
      <c r="OZ255" s="12" t="s">
        <v>37</v>
      </c>
      <c r="PA255" s="12" t="s">
        <v>37</v>
      </c>
      <c r="PB255" s="13" t="s">
        <v>37</v>
      </c>
      <c r="PG255" s="12" t="s">
        <v>37</v>
      </c>
      <c r="PH255" s="12" t="s">
        <v>37</v>
      </c>
      <c r="PI255" s="12" t="s">
        <v>37</v>
      </c>
      <c r="PJ255" s="12" t="s">
        <v>37</v>
      </c>
      <c r="PK255" s="12" t="s">
        <v>37</v>
      </c>
      <c r="PL255" s="12" t="s">
        <v>37</v>
      </c>
      <c r="PM255" s="12"/>
      <c r="PN255" s="12"/>
      <c r="PQ255" s="12" t="s">
        <v>37</v>
      </c>
      <c r="PR255" s="12" t="s">
        <v>37</v>
      </c>
      <c r="PS255" s="12" t="s">
        <v>37</v>
      </c>
      <c r="PT255" s="12" t="s">
        <v>37</v>
      </c>
      <c r="PU255" s="12" t="s">
        <v>37</v>
      </c>
      <c r="PV255" s="12" t="s">
        <v>37</v>
      </c>
      <c r="PW255" s="12"/>
      <c r="PX255" s="12"/>
      <c r="PZ255" s="12" t="s">
        <v>37</v>
      </c>
      <c r="QA255" s="12" t="s">
        <v>37</v>
      </c>
      <c r="QB255" s="12" t="s">
        <v>37</v>
      </c>
      <c r="QD255" s="12" t="s">
        <v>37</v>
      </c>
      <c r="QE255" s="12" t="s">
        <v>37</v>
      </c>
      <c r="QF255" s="12" t="s">
        <v>37</v>
      </c>
      <c r="QK255" s="12" t="s">
        <v>37</v>
      </c>
      <c r="QL255" s="12" t="s">
        <v>37</v>
      </c>
      <c r="QM255" s="12" t="s">
        <v>37</v>
      </c>
      <c r="QN255" s="12" t="s">
        <v>37</v>
      </c>
      <c r="QO255" s="12" t="s">
        <v>37</v>
      </c>
      <c r="QP255" s="12" t="s">
        <v>37</v>
      </c>
      <c r="QQ255" s="12"/>
      <c r="QR255" s="12"/>
      <c r="QU255" s="12" t="s">
        <v>37</v>
      </c>
      <c r="QV255" s="12" t="s">
        <v>37</v>
      </c>
      <c r="QW255" s="12" t="s">
        <v>37</v>
      </c>
      <c r="QX255" s="12" t="s">
        <v>37</v>
      </c>
      <c r="QY255" s="12" t="s">
        <v>37</v>
      </c>
      <c r="QZ255" s="12" t="s">
        <v>37</v>
      </c>
      <c r="RC255" s="12" t="s">
        <v>37</v>
      </c>
      <c r="RD255" s="12" t="s">
        <v>37</v>
      </c>
      <c r="RE255" s="13" t="s">
        <v>37</v>
      </c>
      <c r="RF255" s="12" t="s">
        <v>37</v>
      </c>
      <c r="RG255" s="12" t="s">
        <v>37</v>
      </c>
      <c r="RH255" s="13" t="s">
        <v>37</v>
      </c>
      <c r="RK255" s="12" t="s">
        <v>37</v>
      </c>
      <c r="RL255" s="12" t="s">
        <v>37</v>
      </c>
      <c r="RM255" s="11" t="s">
        <v>37</v>
      </c>
      <c r="RN255" s="12" t="s">
        <v>37</v>
      </c>
      <c r="RO255" s="12" t="s">
        <v>37</v>
      </c>
      <c r="RP255" s="11" t="s">
        <v>37</v>
      </c>
      <c r="RS255" s="12" t="s">
        <v>37</v>
      </c>
      <c r="RT255" s="12" t="s">
        <v>37</v>
      </c>
      <c r="RU255" s="12" t="s">
        <v>37</v>
      </c>
      <c r="RV255" s="12" t="s">
        <v>37</v>
      </c>
      <c r="RW255" s="12" t="s">
        <v>37</v>
      </c>
      <c r="RX255" s="12" t="s">
        <v>37</v>
      </c>
      <c r="SA255" s="12" t="s">
        <v>37</v>
      </c>
      <c r="SB255" s="12" t="s">
        <v>37</v>
      </c>
      <c r="SC255" s="12" t="s">
        <v>37</v>
      </c>
      <c r="SD255" s="12" t="s">
        <v>37</v>
      </c>
      <c r="SE255" s="12" t="s">
        <v>37</v>
      </c>
      <c r="SF255" s="12" t="s">
        <v>37</v>
      </c>
      <c r="SI255" s="12" t="s">
        <v>37</v>
      </c>
      <c r="SJ255" s="12" t="s">
        <v>37</v>
      </c>
      <c r="SK255" s="13" t="s">
        <v>37</v>
      </c>
      <c r="SM255" s="12" t="s">
        <v>37</v>
      </c>
      <c r="SN255" s="12" t="s">
        <v>37</v>
      </c>
      <c r="SO255" s="13" t="s">
        <v>37</v>
      </c>
      <c r="SU255" s="12" t="s">
        <v>37</v>
      </c>
      <c r="SV255" s="12" t="s">
        <v>37</v>
      </c>
      <c r="SW255" s="12" t="s">
        <v>37</v>
      </c>
      <c r="SX255" s="12" t="s">
        <v>37</v>
      </c>
      <c r="SY255" s="12" t="s">
        <v>37</v>
      </c>
      <c r="SZ255" s="12" t="s">
        <v>37</v>
      </c>
      <c r="TA255" s="12"/>
      <c r="TB255" s="12"/>
      <c r="TE255" s="12" t="s">
        <v>37</v>
      </c>
      <c r="TF255" s="12" t="s">
        <v>37</v>
      </c>
      <c r="TG255" s="12" t="s">
        <v>37</v>
      </c>
      <c r="TH255" s="12" t="s">
        <v>37</v>
      </c>
      <c r="TI255" s="12" t="s">
        <v>37</v>
      </c>
      <c r="TJ255" s="12" t="s">
        <v>37</v>
      </c>
      <c r="TK255" s="12"/>
      <c r="TL255" s="12"/>
      <c r="TO255" s="12" t="s">
        <v>37</v>
      </c>
      <c r="TP255" s="12" t="s">
        <v>37</v>
      </c>
      <c r="TQ255" s="12" t="s">
        <v>37</v>
      </c>
      <c r="TR255" s="12" t="s">
        <v>37</v>
      </c>
      <c r="TS255" s="12" t="s">
        <v>37</v>
      </c>
      <c r="TT255" s="12" t="s">
        <v>37</v>
      </c>
      <c r="TU255" s="12"/>
      <c r="TV255" s="12"/>
      <c r="TY255" s="12" t="s">
        <v>37</v>
      </c>
      <c r="TZ255" s="12" t="s">
        <v>37</v>
      </c>
      <c r="UA255" s="12" t="s">
        <v>37</v>
      </c>
      <c r="UB255" s="12" t="s">
        <v>37</v>
      </c>
      <c r="UC255" s="12" t="s">
        <v>37</v>
      </c>
      <c r="UD255" s="12" t="s">
        <v>37</v>
      </c>
      <c r="UE255" s="12"/>
      <c r="UF255" s="12"/>
      <c r="UI255" s="12" t="s">
        <v>37</v>
      </c>
      <c r="UJ255" s="12" t="s">
        <v>37</v>
      </c>
      <c r="UK255" s="12" t="s">
        <v>37</v>
      </c>
      <c r="UL255" s="12" t="s">
        <v>37</v>
      </c>
      <c r="UM255" s="12" t="s">
        <v>37</v>
      </c>
      <c r="UN255" s="12" t="s">
        <v>37</v>
      </c>
      <c r="UO255" s="12"/>
      <c r="UP255" s="12"/>
      <c r="UR255" s="12" t="s">
        <v>37</v>
      </c>
      <c r="US255" s="12" t="s">
        <v>37</v>
      </c>
      <c r="UT255" s="12" t="s">
        <v>37</v>
      </c>
      <c r="UU255" s="12" t="s">
        <v>37</v>
      </c>
      <c r="UV255" s="12" t="s">
        <v>37</v>
      </c>
      <c r="UW255" s="12" t="s">
        <v>37</v>
      </c>
      <c r="UX255" s="12"/>
      <c r="UY255" s="12"/>
      <c r="VB255" s="12" t="s">
        <v>37</v>
      </c>
      <c r="VC255" s="12" t="s">
        <v>37</v>
      </c>
      <c r="VD255" s="12" t="s">
        <v>37</v>
      </c>
      <c r="VE255" s="12" t="s">
        <v>37</v>
      </c>
      <c r="VF255" s="12" t="s">
        <v>37</v>
      </c>
      <c r="VG255" s="12" t="s">
        <v>37</v>
      </c>
      <c r="VI255" s="12" t="s">
        <v>37</v>
      </c>
      <c r="VJ255" s="12" t="s">
        <v>37</v>
      </c>
      <c r="VK255" s="12" t="s">
        <v>37</v>
      </c>
      <c r="VL255" s="12" t="s">
        <v>37</v>
      </c>
      <c r="VM255" s="12" t="s">
        <v>37</v>
      </c>
      <c r="VN255" s="12" t="s">
        <v>37</v>
      </c>
      <c r="VQ255" s="12" t="s">
        <v>37</v>
      </c>
      <c r="VR255" s="12" t="s">
        <v>37</v>
      </c>
      <c r="VS255" s="12" t="s">
        <v>37</v>
      </c>
      <c r="VT255" s="12" t="s">
        <v>37</v>
      </c>
      <c r="VU255" s="12" t="s">
        <v>37</v>
      </c>
      <c r="VV255" s="12" t="s">
        <v>37</v>
      </c>
      <c r="VW255" s="12"/>
      <c r="VX255" s="12"/>
      <c r="WA255" s="12" t="s">
        <v>37</v>
      </c>
      <c r="WB255" s="12" t="s">
        <v>37</v>
      </c>
      <c r="WC255" s="12" t="s">
        <v>37</v>
      </c>
      <c r="WD255" s="12" t="s">
        <v>37</v>
      </c>
      <c r="WE255" s="12" t="s">
        <v>37</v>
      </c>
      <c r="WF255" s="12" t="s">
        <v>37</v>
      </c>
    </row>
    <row r="256" spans="1:604" ht="18" customHeight="1" x14ac:dyDescent="0.3">
      <c r="A256" s="11">
        <v>66</v>
      </c>
      <c r="B256" s="16" t="s">
        <v>388</v>
      </c>
      <c r="C256" s="12" t="s">
        <v>26</v>
      </c>
      <c r="D256" s="12" t="s">
        <v>54</v>
      </c>
      <c r="E256" s="40" t="s">
        <v>37</v>
      </c>
      <c r="F256" s="14">
        <v>0</v>
      </c>
      <c r="G256" s="14">
        <v>0</v>
      </c>
      <c r="H256" s="12" t="s">
        <v>123</v>
      </c>
      <c r="I256" s="29">
        <v>61.767000000000003</v>
      </c>
      <c r="J256" s="29">
        <v>30.966999999999999</v>
      </c>
      <c r="K256" s="12" t="s">
        <v>776</v>
      </c>
      <c r="L256" s="12" t="s">
        <v>777</v>
      </c>
      <c r="M256" s="13" t="s">
        <v>37</v>
      </c>
      <c r="N256" s="13" t="s">
        <v>37</v>
      </c>
      <c r="O256" s="13" t="s">
        <v>37</v>
      </c>
      <c r="P256" s="14" t="s">
        <v>84</v>
      </c>
      <c r="Q256" s="75">
        <v>50</v>
      </c>
      <c r="R256" s="11" t="s">
        <v>1000</v>
      </c>
      <c r="S256" s="12" t="s">
        <v>93</v>
      </c>
      <c r="T256" s="12" t="s">
        <v>141</v>
      </c>
      <c r="U256" s="12" t="s">
        <v>163</v>
      </c>
      <c r="V256" s="12" t="s">
        <v>275</v>
      </c>
      <c r="W256" s="23" t="s">
        <v>377</v>
      </c>
      <c r="X256" s="12" t="s">
        <v>281</v>
      </c>
      <c r="Y256" s="12" t="s">
        <v>37</v>
      </c>
      <c r="Z256" s="12" t="s">
        <v>37</v>
      </c>
      <c r="AA256" s="32" t="s">
        <v>372</v>
      </c>
      <c r="AB256" s="12">
        <v>3.8</v>
      </c>
      <c r="AE256" s="12" t="s">
        <v>37</v>
      </c>
      <c r="AF256" s="12" t="s">
        <v>391</v>
      </c>
      <c r="AG256" s="32" t="s">
        <v>372</v>
      </c>
      <c r="AH256" s="12">
        <v>530</v>
      </c>
      <c r="AK256" s="12" t="s">
        <v>37</v>
      </c>
      <c r="AL256" s="32">
        <v>1991</v>
      </c>
      <c r="AM256" s="12" t="s">
        <v>317</v>
      </c>
      <c r="AN256" s="32" t="s">
        <v>880</v>
      </c>
      <c r="AO256" s="12" t="s">
        <v>37</v>
      </c>
      <c r="AP256" s="12" t="s">
        <v>238</v>
      </c>
      <c r="AQ256" s="12" t="s">
        <v>975</v>
      </c>
      <c r="AT256" s="12" t="s">
        <v>326</v>
      </c>
      <c r="AU256" s="12" t="s">
        <v>326</v>
      </c>
      <c r="AV256" s="13" t="s">
        <v>326</v>
      </c>
      <c r="AX256" s="12" t="s">
        <v>326</v>
      </c>
      <c r="AY256" s="12" t="s">
        <v>326</v>
      </c>
      <c r="AZ256" s="13" t="s">
        <v>326</v>
      </c>
      <c r="BE256" s="12" t="s">
        <v>326</v>
      </c>
      <c r="BF256" s="12" t="s">
        <v>326</v>
      </c>
      <c r="BG256" s="12" t="s">
        <v>326</v>
      </c>
      <c r="BI256" s="12" t="s">
        <v>326</v>
      </c>
      <c r="BJ256" s="12" t="s">
        <v>326</v>
      </c>
      <c r="BK256" s="12" t="s">
        <v>326</v>
      </c>
      <c r="BP256" s="12" t="s">
        <v>37</v>
      </c>
      <c r="BQ256" s="12" t="s">
        <v>37</v>
      </c>
      <c r="BR256" s="13" t="s">
        <v>37</v>
      </c>
      <c r="BT256" s="12" t="s">
        <v>37</v>
      </c>
      <c r="BU256" s="12" t="s">
        <v>37</v>
      </c>
      <c r="BV256" s="12" t="s">
        <v>37</v>
      </c>
      <c r="CA256" s="12" t="s">
        <v>37</v>
      </c>
      <c r="CB256" s="12" t="s">
        <v>37</v>
      </c>
      <c r="CC256" s="13" t="s">
        <v>37</v>
      </c>
      <c r="CE256" s="12" t="s">
        <v>37</v>
      </c>
      <c r="CF256" s="12" t="s">
        <v>37</v>
      </c>
      <c r="CG256" s="12" t="s">
        <v>37</v>
      </c>
      <c r="CN256" s="12" t="s">
        <v>37</v>
      </c>
      <c r="CO256" s="12" t="s">
        <v>37</v>
      </c>
      <c r="CP256" s="13" t="s">
        <v>37</v>
      </c>
      <c r="CR256" s="12" t="s">
        <v>37</v>
      </c>
      <c r="CS256" s="12" t="s">
        <v>37</v>
      </c>
      <c r="CT256" s="13" t="s">
        <v>37</v>
      </c>
      <c r="CX256" s="72"/>
      <c r="CY256" s="72"/>
      <c r="DA256" s="12" t="s">
        <v>37</v>
      </c>
      <c r="DB256" s="12" t="s">
        <v>37</v>
      </c>
      <c r="DC256" s="13" t="s">
        <v>37</v>
      </c>
      <c r="DE256" s="12" t="s">
        <v>37</v>
      </c>
      <c r="DF256" s="12" t="s">
        <v>37</v>
      </c>
      <c r="DG256" s="12" t="s">
        <v>37</v>
      </c>
      <c r="DN256" s="19" t="s">
        <v>37</v>
      </c>
      <c r="DO256" s="12" t="s">
        <v>37</v>
      </c>
      <c r="DP256" s="13" t="s">
        <v>37</v>
      </c>
      <c r="DR256" s="19" t="s">
        <v>37</v>
      </c>
      <c r="DS256" s="12" t="s">
        <v>37</v>
      </c>
      <c r="DT256" s="13" t="s">
        <v>37</v>
      </c>
      <c r="DZ256" s="11" t="s">
        <v>47</v>
      </c>
      <c r="EA256" s="19">
        <f>-9.6*10^4*("1991/9/30"-"1991/05/01")/10^9/'[3]classess-1'!$I$30</f>
        <v>-4.2277844422856668E-2</v>
      </c>
      <c r="EB256" s="19">
        <f>SQRT((1/[5]Classess!$I$30)^2*(8.5*SQRT(3)*10^4*("1991/9/30"-"1991/05/01")/10^9)^2+(-EA256/([5]Classess!$I$30)^2)^2*([5]Classess!$J$30)^2)</f>
        <v>0.1213395789758789</v>
      </c>
      <c r="EC256" s="72">
        <v>3</v>
      </c>
      <c r="ED256" s="52">
        <f t="shared" si="1166"/>
        <v>2.8700512202622868</v>
      </c>
      <c r="EE256" s="19">
        <f>22*10^4*("1991/9/30"-"1991/05/01")/10^9/'[3]classess-1'!$I$31</f>
        <v>4.8975117630728024E-2</v>
      </c>
      <c r="EF256" s="19">
        <f>SQRT((1/[5]Classess!$I$31)^2*(35*SQRT(3)*10^4*("1991/9/30"-"1991/05/01")/10^9)^2+(-EE256/([5]Classess!$I$31)^2)^2*([5]Classess!$J$31)^2)</f>
        <v>0.13610077440950419</v>
      </c>
      <c r="EG256" s="13">
        <v>3</v>
      </c>
      <c r="EH256" s="52">
        <f t="shared" si="1168"/>
        <v>2.7789779993118726</v>
      </c>
      <c r="EI256" s="19">
        <f t="shared" si="1169"/>
        <v>9.1252962053584685E-2</v>
      </c>
      <c r="EJ256" s="12">
        <f t="shared" si="1170"/>
        <v>0.1289315985724801</v>
      </c>
      <c r="EK256" s="19">
        <f t="shared" si="1171"/>
        <v>1.1082238073636766E-2</v>
      </c>
      <c r="EL256" s="19">
        <f t="shared" si="1172"/>
        <v>1.1082238073636768E-2</v>
      </c>
      <c r="EM256" s="12" t="s">
        <v>39</v>
      </c>
      <c r="EN256" s="12">
        <v>-11</v>
      </c>
      <c r="EO256" s="50">
        <f t="shared" si="1156"/>
        <v>4.4824603862642265</v>
      </c>
      <c r="EP256" s="13">
        <v>3</v>
      </c>
      <c r="ER256" s="12">
        <v>-13</v>
      </c>
      <c r="ES256" s="50">
        <f>ABS(ER256)*EU$474</f>
        <v>2.9485826956195242</v>
      </c>
      <c r="ET256" s="13">
        <v>3</v>
      </c>
      <c r="EV256" s="19">
        <f t="shared" si="1173"/>
        <v>-2</v>
      </c>
      <c r="EW256" s="12">
        <f t="shared" si="1174"/>
        <v>3.7938496957137704</v>
      </c>
      <c r="EX256" s="19">
        <f t="shared" si="1175"/>
        <v>9.5955303424449774</v>
      </c>
      <c r="EY256" s="19">
        <f t="shared" si="1176"/>
        <v>9.5955303424449792</v>
      </c>
      <c r="FB256" s="12" t="s">
        <v>37</v>
      </c>
      <c r="FC256" s="12" t="s">
        <v>37</v>
      </c>
      <c r="FD256" s="12" t="s">
        <v>37</v>
      </c>
      <c r="FE256" s="12" t="s">
        <v>37</v>
      </c>
      <c r="FF256" s="20" t="s">
        <v>37</v>
      </c>
      <c r="FG256" s="12" t="s">
        <v>37</v>
      </c>
      <c r="FI256" s="12" t="s">
        <v>37</v>
      </c>
      <c r="FJ256" s="12" t="s">
        <v>37</v>
      </c>
      <c r="FK256" s="12" t="s">
        <v>37</v>
      </c>
      <c r="FL256" s="12" t="s">
        <v>37</v>
      </c>
      <c r="FM256" s="12" t="s">
        <v>37</v>
      </c>
      <c r="FN256" s="12" t="s">
        <v>37</v>
      </c>
      <c r="FP256" s="12" t="s">
        <v>37</v>
      </c>
      <c r="FQ256" s="12" t="s">
        <v>37</v>
      </c>
      <c r="FR256" s="12" t="s">
        <v>37</v>
      </c>
      <c r="FS256" s="12" t="s">
        <v>37</v>
      </c>
      <c r="FT256" s="12" t="s">
        <v>37</v>
      </c>
      <c r="FU256" s="12" t="s">
        <v>37</v>
      </c>
      <c r="FW256" s="12" t="s">
        <v>37</v>
      </c>
      <c r="FX256" s="12" t="s">
        <v>37</v>
      </c>
      <c r="FY256" s="12" t="s">
        <v>37</v>
      </c>
      <c r="FZ256" s="12" t="s">
        <v>37</v>
      </c>
      <c r="GA256" s="12" t="s">
        <v>37</v>
      </c>
      <c r="GB256" s="12" t="s">
        <v>37</v>
      </c>
      <c r="IK256" s="12" t="s">
        <v>37</v>
      </c>
      <c r="IL256" s="12" t="s">
        <v>37</v>
      </c>
      <c r="IM256" s="12" t="s">
        <v>37</v>
      </c>
      <c r="IO256" s="12" t="s">
        <v>37</v>
      </c>
      <c r="IP256" s="12" t="s">
        <v>37</v>
      </c>
      <c r="IQ256" s="12" t="s">
        <v>37</v>
      </c>
      <c r="IV256" s="32" t="s">
        <v>372</v>
      </c>
      <c r="IW256" s="12">
        <v>3.8</v>
      </c>
      <c r="IX256" s="50">
        <f t="shared" si="1167"/>
        <v>0.13912842198648792</v>
      </c>
      <c r="IY256" s="13">
        <v>3</v>
      </c>
      <c r="JA256" s="12">
        <v>3.8</v>
      </c>
      <c r="JB256" s="50">
        <f>ABS(JA256)*JD$474</f>
        <v>0.10643347338567048</v>
      </c>
      <c r="JC256" s="13">
        <v>3</v>
      </c>
      <c r="JE256" s="19">
        <f t="shared" si="1177"/>
        <v>0</v>
      </c>
      <c r="JF256" s="19">
        <f t="shared" si="1162"/>
        <v>7.083287641133075E-4</v>
      </c>
      <c r="JH256" s="12" t="s">
        <v>37</v>
      </c>
      <c r="JI256" s="12" t="s">
        <v>37</v>
      </c>
      <c r="JJ256" s="13" t="s">
        <v>37</v>
      </c>
      <c r="JL256" s="12" t="s">
        <v>37</v>
      </c>
      <c r="JM256" s="12" t="s">
        <v>37</v>
      </c>
      <c r="JN256" s="12" t="s">
        <v>37</v>
      </c>
      <c r="JS256" s="12" t="s">
        <v>37</v>
      </c>
      <c r="JT256" s="12" t="s">
        <v>37</v>
      </c>
      <c r="JU256" s="13" t="s">
        <v>37</v>
      </c>
      <c r="JW256" s="12" t="s">
        <v>37</v>
      </c>
      <c r="JX256" s="12" t="s">
        <v>37</v>
      </c>
      <c r="JY256" s="12" t="s">
        <v>37</v>
      </c>
      <c r="KE256" s="12" t="s">
        <v>37</v>
      </c>
      <c r="KF256" s="12" t="s">
        <v>37</v>
      </c>
      <c r="KG256" s="13" t="s">
        <v>37</v>
      </c>
      <c r="KH256" s="12" t="s">
        <v>37</v>
      </c>
      <c r="KI256" s="12" t="s">
        <v>37</v>
      </c>
      <c r="KJ256" s="12" t="s">
        <v>37</v>
      </c>
      <c r="KK256" s="12" t="s">
        <v>391</v>
      </c>
      <c r="KL256" s="32" t="s">
        <v>372</v>
      </c>
      <c r="KM256" s="12">
        <v>530</v>
      </c>
      <c r="KN256" s="50">
        <f>ABS(KM256)*KP$474</f>
        <v>63.225311933975526</v>
      </c>
      <c r="KO256" s="11">
        <v>3</v>
      </c>
      <c r="KQ256" s="12">
        <v>580</v>
      </c>
      <c r="KR256" s="50">
        <f>ABS(KQ256)*KT$474</f>
        <v>61.157189497809313</v>
      </c>
      <c r="KS256" s="11">
        <v>3</v>
      </c>
      <c r="KU256" s="19">
        <f t="shared" si="1178"/>
        <v>9.0151096994297478E-2</v>
      </c>
      <c r="KV256" s="19">
        <f t="shared" si="1179"/>
        <v>8.4497155628593251E-3</v>
      </c>
      <c r="KX256" s="12" t="s">
        <v>37</v>
      </c>
      <c r="KY256" s="12" t="s">
        <v>37</v>
      </c>
      <c r="KZ256" s="12" t="s">
        <v>37</v>
      </c>
      <c r="LB256" s="12" t="s">
        <v>37</v>
      </c>
      <c r="LC256" s="12" t="s">
        <v>37</v>
      </c>
      <c r="LD256" s="12" t="s">
        <v>37</v>
      </c>
      <c r="LI256" s="12" t="s">
        <v>37</v>
      </c>
      <c r="LJ256" s="12" t="s">
        <v>37</v>
      </c>
      <c r="LK256" s="12" t="s">
        <v>37</v>
      </c>
      <c r="LM256" s="12" t="s">
        <v>37</v>
      </c>
      <c r="LN256" s="12" t="s">
        <v>37</v>
      </c>
      <c r="LO256" s="12" t="s">
        <v>37</v>
      </c>
      <c r="LU256" s="12" t="s">
        <v>37</v>
      </c>
      <c r="LV256" s="12" t="s">
        <v>37</v>
      </c>
      <c r="LW256" s="12" t="s">
        <v>37</v>
      </c>
      <c r="LY256" s="12" t="s">
        <v>37</v>
      </c>
      <c r="LZ256" s="12" t="s">
        <v>37</v>
      </c>
      <c r="MA256" s="12" t="s">
        <v>37</v>
      </c>
      <c r="MF256" s="12" t="s">
        <v>37</v>
      </c>
      <c r="MG256" s="12" t="s">
        <v>37</v>
      </c>
      <c r="MH256" s="12" t="s">
        <v>37</v>
      </c>
      <c r="MJ256" s="12" t="s">
        <v>37</v>
      </c>
      <c r="MK256" s="12" t="s">
        <v>37</v>
      </c>
      <c r="ML256" s="12" t="s">
        <v>37</v>
      </c>
      <c r="MQ256" s="12" t="s">
        <v>37</v>
      </c>
      <c r="MR256" s="12" t="s">
        <v>37</v>
      </c>
      <c r="MS256" s="12" t="s">
        <v>37</v>
      </c>
      <c r="MU256" s="12" t="s">
        <v>37</v>
      </c>
      <c r="MV256" s="12" t="s">
        <v>37</v>
      </c>
      <c r="MW256" s="12" t="s">
        <v>37</v>
      </c>
      <c r="NC256" s="12" t="s">
        <v>37</v>
      </c>
      <c r="ND256" s="12" t="s">
        <v>37</v>
      </c>
      <c r="NE256" s="12" t="s">
        <v>37</v>
      </c>
      <c r="NG256" s="12" t="s">
        <v>37</v>
      </c>
      <c r="NH256" s="12" t="s">
        <v>37</v>
      </c>
      <c r="NI256" s="12" t="s">
        <v>37</v>
      </c>
      <c r="NO256" s="12" t="s">
        <v>37</v>
      </c>
      <c r="NP256" s="12" t="s">
        <v>37</v>
      </c>
      <c r="NQ256" s="12" t="s">
        <v>37</v>
      </c>
      <c r="NS256" s="12" t="s">
        <v>37</v>
      </c>
      <c r="NT256" s="12" t="s">
        <v>37</v>
      </c>
      <c r="NU256" s="12" t="s">
        <v>37</v>
      </c>
      <c r="OA256" s="12" t="s">
        <v>37</v>
      </c>
      <c r="OB256" s="12" t="s">
        <v>37</v>
      </c>
      <c r="OC256" s="12" t="s">
        <v>37</v>
      </c>
      <c r="OD256" s="12"/>
      <c r="OE256" s="12" t="s">
        <v>37</v>
      </c>
      <c r="OF256" s="12" t="s">
        <v>37</v>
      </c>
      <c r="OG256" s="12" t="s">
        <v>37</v>
      </c>
      <c r="OH256" s="12"/>
      <c r="OI256" s="12"/>
      <c r="OJ256" s="12"/>
      <c r="OM256" s="12" t="s">
        <v>37</v>
      </c>
      <c r="ON256" s="12" t="s">
        <v>37</v>
      </c>
      <c r="OO256" s="12" t="s">
        <v>37</v>
      </c>
      <c r="OP256" s="12" t="s">
        <v>37</v>
      </c>
      <c r="OQ256" s="12" t="s">
        <v>37</v>
      </c>
      <c r="OR256" s="12" t="s">
        <v>37</v>
      </c>
      <c r="OS256" s="12"/>
      <c r="OT256" s="12"/>
      <c r="OW256" s="12" t="s">
        <v>37</v>
      </c>
      <c r="OX256" s="12" t="s">
        <v>37</v>
      </c>
      <c r="OY256" s="13" t="s">
        <v>37</v>
      </c>
      <c r="OZ256" s="12" t="s">
        <v>37</v>
      </c>
      <c r="PA256" s="12" t="s">
        <v>37</v>
      </c>
      <c r="PB256" s="13" t="s">
        <v>37</v>
      </c>
      <c r="PG256" s="12" t="s">
        <v>37</v>
      </c>
      <c r="PH256" s="12" t="s">
        <v>37</v>
      </c>
      <c r="PI256" s="12" t="s">
        <v>37</v>
      </c>
      <c r="PJ256" s="12" t="s">
        <v>37</v>
      </c>
      <c r="PK256" s="12" t="s">
        <v>37</v>
      </c>
      <c r="PL256" s="12" t="s">
        <v>37</v>
      </c>
      <c r="PM256" s="12"/>
      <c r="PN256" s="12"/>
      <c r="PQ256" s="12" t="s">
        <v>37</v>
      </c>
      <c r="PR256" s="12" t="s">
        <v>37</v>
      </c>
      <c r="PS256" s="12" t="s">
        <v>37</v>
      </c>
      <c r="PT256" s="12" t="s">
        <v>37</v>
      </c>
      <c r="PU256" s="12" t="s">
        <v>37</v>
      </c>
      <c r="PV256" s="12" t="s">
        <v>37</v>
      </c>
      <c r="PW256" s="12"/>
      <c r="PX256" s="12"/>
      <c r="PZ256" s="12" t="s">
        <v>37</v>
      </c>
      <c r="QA256" s="12" t="s">
        <v>37</v>
      </c>
      <c r="QB256" s="12" t="s">
        <v>37</v>
      </c>
      <c r="QD256" s="12" t="s">
        <v>37</v>
      </c>
      <c r="QE256" s="12" t="s">
        <v>37</v>
      </c>
      <c r="QF256" s="12" t="s">
        <v>37</v>
      </c>
      <c r="QK256" s="12" t="s">
        <v>37</v>
      </c>
      <c r="QL256" s="12" t="s">
        <v>37</v>
      </c>
      <c r="QM256" s="12" t="s">
        <v>37</v>
      </c>
      <c r="QN256" s="12" t="s">
        <v>37</v>
      </c>
      <c r="QO256" s="12" t="s">
        <v>37</v>
      </c>
      <c r="QP256" s="12" t="s">
        <v>37</v>
      </c>
      <c r="QQ256" s="12"/>
      <c r="QR256" s="12"/>
      <c r="QU256" s="12" t="s">
        <v>37</v>
      </c>
      <c r="QV256" s="12" t="s">
        <v>37</v>
      </c>
      <c r="QW256" s="12" t="s">
        <v>37</v>
      </c>
      <c r="QX256" s="12" t="s">
        <v>37</v>
      </c>
      <c r="QY256" s="12" t="s">
        <v>37</v>
      </c>
      <c r="QZ256" s="12" t="s">
        <v>37</v>
      </c>
      <c r="RC256" s="12" t="s">
        <v>37</v>
      </c>
      <c r="RD256" s="12" t="s">
        <v>37</v>
      </c>
      <c r="RE256" s="13" t="s">
        <v>37</v>
      </c>
      <c r="RF256" s="12" t="s">
        <v>37</v>
      </c>
      <c r="RG256" s="12" t="s">
        <v>37</v>
      </c>
      <c r="RH256" s="13" t="s">
        <v>37</v>
      </c>
      <c r="RK256" s="12" t="s">
        <v>37</v>
      </c>
      <c r="RL256" s="12" t="s">
        <v>37</v>
      </c>
      <c r="RM256" s="11" t="s">
        <v>37</v>
      </c>
      <c r="RN256" s="12" t="s">
        <v>37</v>
      </c>
      <c r="RO256" s="12" t="s">
        <v>37</v>
      </c>
      <c r="RP256" s="11" t="s">
        <v>37</v>
      </c>
      <c r="RS256" s="12" t="s">
        <v>37</v>
      </c>
      <c r="RT256" s="12" t="s">
        <v>37</v>
      </c>
      <c r="RU256" s="12" t="s">
        <v>37</v>
      </c>
      <c r="RV256" s="12" t="s">
        <v>37</v>
      </c>
      <c r="RW256" s="12" t="s">
        <v>37</v>
      </c>
      <c r="RX256" s="12" t="s">
        <v>37</v>
      </c>
      <c r="SA256" s="12" t="s">
        <v>37</v>
      </c>
      <c r="SB256" s="12" t="s">
        <v>37</v>
      </c>
      <c r="SC256" s="12" t="s">
        <v>37</v>
      </c>
      <c r="SD256" s="12" t="s">
        <v>37</v>
      </c>
      <c r="SE256" s="12" t="s">
        <v>37</v>
      </c>
      <c r="SF256" s="12" t="s">
        <v>37</v>
      </c>
      <c r="SI256" s="12" t="s">
        <v>37</v>
      </c>
      <c r="SJ256" s="12" t="s">
        <v>37</v>
      </c>
      <c r="SK256" s="13" t="s">
        <v>37</v>
      </c>
      <c r="SM256" s="12" t="s">
        <v>37</v>
      </c>
      <c r="SN256" s="12" t="s">
        <v>37</v>
      </c>
      <c r="SO256" s="13" t="s">
        <v>37</v>
      </c>
      <c r="SU256" s="12" t="s">
        <v>37</v>
      </c>
      <c r="SV256" s="12" t="s">
        <v>37</v>
      </c>
      <c r="SW256" s="12" t="s">
        <v>37</v>
      </c>
      <c r="SX256" s="12" t="s">
        <v>37</v>
      </c>
      <c r="SY256" s="12" t="s">
        <v>37</v>
      </c>
      <c r="SZ256" s="12" t="s">
        <v>37</v>
      </c>
      <c r="TA256" s="12"/>
      <c r="TB256" s="12"/>
      <c r="TE256" s="12" t="s">
        <v>37</v>
      </c>
      <c r="TF256" s="12" t="s">
        <v>37</v>
      </c>
      <c r="TG256" s="12" t="s">
        <v>37</v>
      </c>
      <c r="TH256" s="12" t="s">
        <v>37</v>
      </c>
      <c r="TI256" s="12" t="s">
        <v>37</v>
      </c>
      <c r="TJ256" s="12" t="s">
        <v>37</v>
      </c>
      <c r="TK256" s="12"/>
      <c r="TL256" s="12"/>
      <c r="TO256" s="12" t="s">
        <v>37</v>
      </c>
      <c r="TP256" s="12" t="s">
        <v>37</v>
      </c>
      <c r="TQ256" s="12" t="s">
        <v>37</v>
      </c>
      <c r="TR256" s="12" t="s">
        <v>37</v>
      </c>
      <c r="TS256" s="12" t="s">
        <v>37</v>
      </c>
      <c r="TT256" s="12" t="s">
        <v>37</v>
      </c>
      <c r="TU256" s="12"/>
      <c r="TV256" s="12"/>
      <c r="TY256" s="12" t="s">
        <v>37</v>
      </c>
      <c r="TZ256" s="12" t="s">
        <v>37</v>
      </c>
      <c r="UA256" s="12" t="s">
        <v>37</v>
      </c>
      <c r="UB256" s="12" t="s">
        <v>37</v>
      </c>
      <c r="UC256" s="12" t="s">
        <v>37</v>
      </c>
      <c r="UD256" s="12" t="s">
        <v>37</v>
      </c>
      <c r="UE256" s="12"/>
      <c r="UF256" s="12"/>
      <c r="UI256" s="12" t="s">
        <v>37</v>
      </c>
      <c r="UJ256" s="12" t="s">
        <v>37</v>
      </c>
      <c r="UK256" s="12" t="s">
        <v>37</v>
      </c>
      <c r="UL256" s="12" t="s">
        <v>37</v>
      </c>
      <c r="UM256" s="12" t="s">
        <v>37</v>
      </c>
      <c r="UN256" s="12" t="s">
        <v>37</v>
      </c>
      <c r="UO256" s="12"/>
      <c r="UP256" s="12"/>
      <c r="UR256" s="12" t="s">
        <v>37</v>
      </c>
      <c r="US256" s="12" t="s">
        <v>37</v>
      </c>
      <c r="UT256" s="12" t="s">
        <v>37</v>
      </c>
      <c r="UU256" s="12" t="s">
        <v>37</v>
      </c>
      <c r="UV256" s="12" t="s">
        <v>37</v>
      </c>
      <c r="UW256" s="12" t="s">
        <v>37</v>
      </c>
      <c r="UX256" s="12"/>
      <c r="UY256" s="12"/>
      <c r="VB256" s="12" t="s">
        <v>37</v>
      </c>
      <c r="VC256" s="12" t="s">
        <v>37</v>
      </c>
      <c r="VD256" s="12" t="s">
        <v>37</v>
      </c>
      <c r="VE256" s="12" t="s">
        <v>37</v>
      </c>
      <c r="VF256" s="12" t="s">
        <v>37</v>
      </c>
      <c r="VG256" s="12" t="s">
        <v>37</v>
      </c>
      <c r="VI256" s="12" t="s">
        <v>37</v>
      </c>
      <c r="VJ256" s="12" t="s">
        <v>37</v>
      </c>
      <c r="VK256" s="12" t="s">
        <v>37</v>
      </c>
      <c r="VL256" s="12" t="s">
        <v>37</v>
      </c>
      <c r="VM256" s="12" t="s">
        <v>37</v>
      </c>
      <c r="VN256" s="12" t="s">
        <v>37</v>
      </c>
      <c r="VQ256" s="12" t="s">
        <v>37</v>
      </c>
      <c r="VR256" s="12" t="s">
        <v>37</v>
      </c>
      <c r="VS256" s="12" t="s">
        <v>37</v>
      </c>
      <c r="VT256" s="12" t="s">
        <v>37</v>
      </c>
      <c r="VU256" s="12" t="s">
        <v>37</v>
      </c>
      <c r="VV256" s="12" t="s">
        <v>37</v>
      </c>
      <c r="VW256" s="12"/>
      <c r="VX256" s="12"/>
      <c r="WA256" s="12" t="s">
        <v>37</v>
      </c>
      <c r="WB256" s="12" t="s">
        <v>37</v>
      </c>
      <c r="WC256" s="12" t="s">
        <v>37</v>
      </c>
      <c r="WD256" s="12" t="s">
        <v>37</v>
      </c>
      <c r="WE256" s="12" t="s">
        <v>37</v>
      </c>
      <c r="WF256" s="12" t="s">
        <v>37</v>
      </c>
    </row>
    <row r="257" spans="1:604" ht="18" customHeight="1" x14ac:dyDescent="0.3">
      <c r="A257" s="11">
        <v>66</v>
      </c>
      <c r="B257" s="16" t="s">
        <v>388</v>
      </c>
      <c r="C257" s="12" t="s">
        <v>26</v>
      </c>
      <c r="D257" s="12" t="s">
        <v>54</v>
      </c>
      <c r="E257" s="40" t="s">
        <v>37</v>
      </c>
      <c r="F257" s="14">
        <v>0</v>
      </c>
      <c r="G257" s="14">
        <v>0</v>
      </c>
      <c r="H257" s="12" t="s">
        <v>123</v>
      </c>
      <c r="I257" s="29">
        <v>61.767000000000003</v>
      </c>
      <c r="J257" s="29">
        <v>30.966999999999999</v>
      </c>
      <c r="K257" s="12" t="s">
        <v>776</v>
      </c>
      <c r="L257" s="12" t="s">
        <v>777</v>
      </c>
      <c r="M257" s="13" t="s">
        <v>37</v>
      </c>
      <c r="N257" s="13" t="s">
        <v>37</v>
      </c>
      <c r="O257" s="13" t="s">
        <v>37</v>
      </c>
      <c r="P257" s="14" t="s">
        <v>84</v>
      </c>
      <c r="Q257" s="75">
        <v>50</v>
      </c>
      <c r="R257" s="11" t="s">
        <v>1000</v>
      </c>
      <c r="S257" s="12" t="s">
        <v>93</v>
      </c>
      <c r="T257" s="12" t="s">
        <v>141</v>
      </c>
      <c r="U257" s="12" t="s">
        <v>158</v>
      </c>
      <c r="V257" s="12" t="s">
        <v>275</v>
      </c>
      <c r="W257" s="23" t="s">
        <v>377</v>
      </c>
      <c r="X257" s="12" t="s">
        <v>281</v>
      </c>
      <c r="Y257" s="12" t="s">
        <v>37</v>
      </c>
      <c r="Z257" s="12" t="s">
        <v>37</v>
      </c>
      <c r="AA257" s="32" t="s">
        <v>372</v>
      </c>
      <c r="AB257" s="12">
        <v>4.3</v>
      </c>
      <c r="AE257" s="12" t="s">
        <v>37</v>
      </c>
      <c r="AF257" s="12" t="s">
        <v>391</v>
      </c>
      <c r="AG257" s="32" t="s">
        <v>372</v>
      </c>
      <c r="AH257" s="12" t="s">
        <v>37</v>
      </c>
      <c r="AK257" s="12" t="s">
        <v>37</v>
      </c>
      <c r="AL257" s="32">
        <v>1991</v>
      </c>
      <c r="AM257" s="12" t="s">
        <v>317</v>
      </c>
      <c r="AN257" s="32" t="s">
        <v>880</v>
      </c>
      <c r="AO257" s="12" t="s">
        <v>37</v>
      </c>
      <c r="AP257" s="12" t="s">
        <v>238</v>
      </c>
      <c r="AQ257" s="12" t="s">
        <v>975</v>
      </c>
      <c r="AT257" s="12" t="s">
        <v>326</v>
      </c>
      <c r="AU257" s="12" t="s">
        <v>326</v>
      </c>
      <c r="AV257" s="13" t="s">
        <v>326</v>
      </c>
      <c r="AX257" s="12" t="s">
        <v>326</v>
      </c>
      <c r="AY257" s="12" t="s">
        <v>326</v>
      </c>
      <c r="AZ257" s="13" t="s">
        <v>326</v>
      </c>
      <c r="BE257" s="12" t="s">
        <v>326</v>
      </c>
      <c r="BF257" s="12" t="s">
        <v>326</v>
      </c>
      <c r="BG257" s="12" t="s">
        <v>326</v>
      </c>
      <c r="BI257" s="12" t="s">
        <v>326</v>
      </c>
      <c r="BJ257" s="12" t="s">
        <v>326</v>
      </c>
      <c r="BK257" s="12" t="s">
        <v>326</v>
      </c>
      <c r="BP257" s="12" t="s">
        <v>37</v>
      </c>
      <c r="BQ257" s="12" t="s">
        <v>37</v>
      </c>
      <c r="BR257" s="13" t="s">
        <v>37</v>
      </c>
      <c r="BT257" s="12" t="s">
        <v>37</v>
      </c>
      <c r="BU257" s="12" t="s">
        <v>37</v>
      </c>
      <c r="BV257" s="12" t="s">
        <v>37</v>
      </c>
      <c r="CA257" s="12" t="s">
        <v>37</v>
      </c>
      <c r="CB257" s="12" t="s">
        <v>37</v>
      </c>
      <c r="CC257" s="13" t="s">
        <v>37</v>
      </c>
      <c r="CE257" s="12" t="s">
        <v>37</v>
      </c>
      <c r="CF257" s="12" t="s">
        <v>37</v>
      </c>
      <c r="CG257" s="12" t="s">
        <v>37</v>
      </c>
      <c r="CN257" s="12" t="s">
        <v>37</v>
      </c>
      <c r="CO257" s="12" t="s">
        <v>37</v>
      </c>
      <c r="CP257" s="13" t="s">
        <v>37</v>
      </c>
      <c r="CR257" s="12" t="s">
        <v>37</v>
      </c>
      <c r="CS257" s="12" t="s">
        <v>37</v>
      </c>
      <c r="CT257" s="13" t="s">
        <v>37</v>
      </c>
      <c r="CX257" s="72"/>
      <c r="CY257" s="72"/>
      <c r="DA257" s="12" t="s">
        <v>37</v>
      </c>
      <c r="DB257" s="12" t="s">
        <v>37</v>
      </c>
      <c r="DC257" s="13" t="s">
        <v>37</v>
      </c>
      <c r="DE257" s="12" t="s">
        <v>37</v>
      </c>
      <c r="DF257" s="12" t="s">
        <v>37</v>
      </c>
      <c r="DG257" s="12" t="s">
        <v>37</v>
      </c>
      <c r="DI257" s="52"/>
      <c r="DJ257" s="52"/>
      <c r="DK257" s="73"/>
      <c r="DL257" s="73"/>
      <c r="DN257" s="19" t="s">
        <v>37</v>
      </c>
      <c r="DO257" s="12" t="s">
        <v>37</v>
      </c>
      <c r="DP257" s="13" t="s">
        <v>37</v>
      </c>
      <c r="DR257" s="19" t="s">
        <v>37</v>
      </c>
      <c r="DS257" s="12" t="s">
        <v>37</v>
      </c>
      <c r="DT257" s="13" t="s">
        <v>37</v>
      </c>
      <c r="DV257" s="52"/>
      <c r="DW257" s="52"/>
      <c r="DZ257" s="11" t="s">
        <v>47</v>
      </c>
      <c r="EA257" s="19">
        <f>-1.2*10^4*("1991/9/30"-"1991/05/01")/10^9/'[3]classess-1'!$I$26</f>
        <v>-4.2422851483918042E-3</v>
      </c>
      <c r="EB257" s="19">
        <f>SQRT((1/[5]Classess!$I$26)^2*(25*SQRT(3)*10^4*("1991/9/30"-"1991/05/01")/10^9)^2+(-EA257/([5]Classess!$I$26)^2)^2*([5]Classess!$J$26)^2)</f>
        <v>0.15345744896774013</v>
      </c>
      <c r="EC257" s="72">
        <v>3</v>
      </c>
      <c r="ED257" s="52">
        <f t="shared" si="1166"/>
        <v>36.173298965043372</v>
      </c>
      <c r="EE257" s="19">
        <f>50*10^4*("1991/9/30"-"1991/05/01")/10^9/'[3]classess-1'!$I$27</f>
        <v>0.11130708552438189</v>
      </c>
      <c r="EF257" s="19">
        <f>SQRT((1/[5]Classess!$I$27)^2*(25*SQRT(3)*10^4*("1991/9/30"-"1991/05/01")/10^9)^2+(-EE257/([5]Classess!$I$27)^2)^2*([5]Classess!$J$27)^2)</f>
        <v>0.10440008400553796</v>
      </c>
      <c r="EG257" s="13">
        <v>3</v>
      </c>
      <c r="EH257" s="52">
        <f t="shared" si="1168"/>
        <v>0.93794643453016346</v>
      </c>
      <c r="EI257" s="19">
        <f t="shared" si="1169"/>
        <v>0.11554937067277368</v>
      </c>
      <c r="EJ257" s="12">
        <f t="shared" si="1170"/>
        <v>0.13124131625378108</v>
      </c>
      <c r="EK257" s="19">
        <f t="shared" si="1171"/>
        <v>1.1482855394683317E-2</v>
      </c>
      <c r="EL257" s="19">
        <f t="shared" si="1172"/>
        <v>1.1482855394683317E-2</v>
      </c>
      <c r="EM257" s="12" t="s">
        <v>39</v>
      </c>
      <c r="EN257" s="12">
        <v>-16</v>
      </c>
      <c r="EO257" s="50">
        <f t="shared" si="1156"/>
        <v>6.5199423800206935</v>
      </c>
      <c r="EP257" s="13">
        <v>3</v>
      </c>
      <c r="ER257" s="12">
        <v>-20</v>
      </c>
      <c r="ES257" s="50">
        <f>ABS(ER257)*EU$474</f>
        <v>4.5362810701838834</v>
      </c>
      <c r="ET257" s="13">
        <v>3</v>
      </c>
      <c r="EV257" s="19">
        <f t="shared" si="1173"/>
        <v>-4</v>
      </c>
      <c r="EW257" s="12">
        <f t="shared" si="1174"/>
        <v>5.6163820465891803</v>
      </c>
      <c r="EX257" s="19">
        <f t="shared" si="1175"/>
        <v>21.02916486216618</v>
      </c>
      <c r="EY257" s="19">
        <f t="shared" si="1176"/>
        <v>21.02916486216618</v>
      </c>
      <c r="FB257" s="12" t="s">
        <v>37</v>
      </c>
      <c r="FC257" s="12" t="s">
        <v>37</v>
      </c>
      <c r="FD257" s="12" t="s">
        <v>37</v>
      </c>
      <c r="FE257" s="12" t="s">
        <v>37</v>
      </c>
      <c r="FF257" s="20" t="s">
        <v>37</v>
      </c>
      <c r="FG257" s="12" t="s">
        <v>37</v>
      </c>
      <c r="FI257" s="12" t="s">
        <v>37</v>
      </c>
      <c r="FJ257" s="12" t="s">
        <v>37</v>
      </c>
      <c r="FK257" s="12" t="s">
        <v>37</v>
      </c>
      <c r="FL257" s="12" t="s">
        <v>37</v>
      </c>
      <c r="FM257" s="12" t="s">
        <v>37</v>
      </c>
      <c r="FN257" s="12" t="s">
        <v>37</v>
      </c>
      <c r="FP257" s="12" t="s">
        <v>37</v>
      </c>
      <c r="FQ257" s="12" t="s">
        <v>37</v>
      </c>
      <c r="FR257" s="12" t="s">
        <v>37</v>
      </c>
      <c r="FS257" s="12" t="s">
        <v>37</v>
      </c>
      <c r="FT257" s="12" t="s">
        <v>37</v>
      </c>
      <c r="FU257" s="12" t="s">
        <v>37</v>
      </c>
      <c r="FW257" s="12" t="s">
        <v>37</v>
      </c>
      <c r="FX257" s="12" t="s">
        <v>37</v>
      </c>
      <c r="FY257" s="12" t="s">
        <v>37</v>
      </c>
      <c r="FZ257" s="12" t="s">
        <v>37</v>
      </c>
      <c r="GA257" s="12" t="s">
        <v>37</v>
      </c>
      <c r="GB257" s="12" t="s">
        <v>37</v>
      </c>
      <c r="IK257" s="12" t="s">
        <v>37</v>
      </c>
      <c r="IL257" s="12" t="s">
        <v>37</v>
      </c>
      <c r="IM257" s="12" t="s">
        <v>37</v>
      </c>
      <c r="IO257" s="12" t="s">
        <v>37</v>
      </c>
      <c r="IP257" s="12" t="s">
        <v>37</v>
      </c>
      <c r="IQ257" s="12" t="s">
        <v>37</v>
      </c>
      <c r="IV257" s="32" t="s">
        <v>372</v>
      </c>
      <c r="IW257" s="12">
        <v>4.3</v>
      </c>
      <c r="IX257" s="50">
        <f t="shared" si="1167"/>
        <v>0.15743479330049948</v>
      </c>
      <c r="IY257" s="13">
        <v>3</v>
      </c>
      <c r="JA257" s="12">
        <v>4.3</v>
      </c>
      <c r="JB257" s="50">
        <f>ABS(JA257)*JD$474</f>
        <v>0.12043787777852186</v>
      </c>
      <c r="JC257" s="13">
        <v>3</v>
      </c>
      <c r="JE257" s="19">
        <f t="shared" si="1177"/>
        <v>0</v>
      </c>
      <c r="JF257" s="19">
        <f t="shared" si="1162"/>
        <v>7.083287641133075E-4</v>
      </c>
      <c r="JH257" s="12" t="s">
        <v>37</v>
      </c>
      <c r="JI257" s="12" t="s">
        <v>37</v>
      </c>
      <c r="JJ257" s="13" t="s">
        <v>37</v>
      </c>
      <c r="JL257" s="12" t="s">
        <v>37</v>
      </c>
      <c r="JM257" s="12" t="s">
        <v>37</v>
      </c>
      <c r="JN257" s="12" t="s">
        <v>37</v>
      </c>
      <c r="JS257" s="12" t="s">
        <v>37</v>
      </c>
      <c r="JT257" s="12" t="s">
        <v>37</v>
      </c>
      <c r="JU257" s="13" t="s">
        <v>37</v>
      </c>
      <c r="JW257" s="12" t="s">
        <v>37</v>
      </c>
      <c r="JX257" s="12" t="s">
        <v>37</v>
      </c>
      <c r="JY257" s="12" t="s">
        <v>37</v>
      </c>
      <c r="KE257" s="12" t="s">
        <v>37</v>
      </c>
      <c r="KF257" s="12" t="s">
        <v>37</v>
      </c>
      <c r="KG257" s="13" t="s">
        <v>37</v>
      </c>
      <c r="KH257" s="12" t="s">
        <v>37</v>
      </c>
      <c r="KI257" s="12" t="s">
        <v>37</v>
      </c>
      <c r="KJ257" s="12" t="s">
        <v>37</v>
      </c>
      <c r="KS257" s="11"/>
      <c r="KX257" s="12" t="s">
        <v>37</v>
      </c>
      <c r="KY257" s="12" t="s">
        <v>37</v>
      </c>
      <c r="KZ257" s="12" t="s">
        <v>37</v>
      </c>
      <c r="LB257" s="12" t="s">
        <v>37</v>
      </c>
      <c r="LC257" s="12" t="s">
        <v>37</v>
      </c>
      <c r="LD257" s="12" t="s">
        <v>37</v>
      </c>
      <c r="LI257" s="12" t="s">
        <v>37</v>
      </c>
      <c r="LJ257" s="12" t="s">
        <v>37</v>
      </c>
      <c r="LK257" s="12" t="s">
        <v>37</v>
      </c>
      <c r="LM257" s="12" t="s">
        <v>37</v>
      </c>
      <c r="LN257" s="12" t="s">
        <v>37</v>
      </c>
      <c r="LO257" s="12" t="s">
        <v>37</v>
      </c>
      <c r="LU257" s="12" t="s">
        <v>37</v>
      </c>
      <c r="LV257" s="12" t="s">
        <v>37</v>
      </c>
      <c r="LW257" s="12" t="s">
        <v>37</v>
      </c>
      <c r="LY257" s="12" t="s">
        <v>37</v>
      </c>
      <c r="LZ257" s="12" t="s">
        <v>37</v>
      </c>
      <c r="MA257" s="12" t="s">
        <v>37</v>
      </c>
      <c r="MF257" s="12" t="s">
        <v>37</v>
      </c>
      <c r="MG257" s="12" t="s">
        <v>37</v>
      </c>
      <c r="MH257" s="12" t="s">
        <v>37</v>
      </c>
      <c r="MJ257" s="12" t="s">
        <v>37</v>
      </c>
      <c r="MK257" s="12" t="s">
        <v>37</v>
      </c>
      <c r="ML257" s="12" t="s">
        <v>37</v>
      </c>
      <c r="MQ257" s="12" t="s">
        <v>37</v>
      </c>
      <c r="MR257" s="12" t="s">
        <v>37</v>
      </c>
      <c r="MS257" s="12" t="s">
        <v>37</v>
      </c>
      <c r="MU257" s="12" t="s">
        <v>37</v>
      </c>
      <c r="MV257" s="12" t="s">
        <v>37</v>
      </c>
      <c r="MW257" s="12" t="s">
        <v>37</v>
      </c>
      <c r="NC257" s="12" t="s">
        <v>37</v>
      </c>
      <c r="ND257" s="12" t="s">
        <v>37</v>
      </c>
      <c r="NE257" s="12" t="s">
        <v>37</v>
      </c>
      <c r="NG257" s="12" t="s">
        <v>37</v>
      </c>
      <c r="NH257" s="12" t="s">
        <v>37</v>
      </c>
      <c r="NI257" s="12" t="s">
        <v>37</v>
      </c>
      <c r="NO257" s="12" t="s">
        <v>37</v>
      </c>
      <c r="NP257" s="12" t="s">
        <v>37</v>
      </c>
      <c r="NQ257" s="12" t="s">
        <v>37</v>
      </c>
      <c r="NS257" s="12" t="s">
        <v>37</v>
      </c>
      <c r="NT257" s="12" t="s">
        <v>37</v>
      </c>
      <c r="NU257" s="12" t="s">
        <v>37</v>
      </c>
      <c r="OA257" s="12" t="s">
        <v>37</v>
      </c>
      <c r="OB257" s="12" t="s">
        <v>37</v>
      </c>
      <c r="OC257" s="12" t="s">
        <v>37</v>
      </c>
      <c r="OD257" s="12"/>
      <c r="OE257" s="12" t="s">
        <v>37</v>
      </c>
      <c r="OF257" s="12" t="s">
        <v>37</v>
      </c>
      <c r="OG257" s="12" t="s">
        <v>37</v>
      </c>
      <c r="OH257" s="12"/>
      <c r="OI257" s="12"/>
      <c r="OJ257" s="12"/>
      <c r="OM257" s="12" t="s">
        <v>37</v>
      </c>
      <c r="ON257" s="12" t="s">
        <v>37</v>
      </c>
      <c r="OO257" s="12" t="s">
        <v>37</v>
      </c>
      <c r="OP257" s="12" t="s">
        <v>37</v>
      </c>
      <c r="OQ257" s="12" t="s">
        <v>37</v>
      </c>
      <c r="OR257" s="12" t="s">
        <v>37</v>
      </c>
      <c r="OS257" s="12"/>
      <c r="OT257" s="12"/>
      <c r="OW257" s="12" t="s">
        <v>37</v>
      </c>
      <c r="OX257" s="12" t="s">
        <v>37</v>
      </c>
      <c r="OY257" s="13" t="s">
        <v>37</v>
      </c>
      <c r="OZ257" s="12" t="s">
        <v>37</v>
      </c>
      <c r="PA257" s="12" t="s">
        <v>37</v>
      </c>
      <c r="PB257" s="13" t="s">
        <v>37</v>
      </c>
      <c r="PG257" s="12" t="s">
        <v>37</v>
      </c>
      <c r="PH257" s="12" t="s">
        <v>37</v>
      </c>
      <c r="PI257" s="12" t="s">
        <v>37</v>
      </c>
      <c r="PJ257" s="12" t="s">
        <v>37</v>
      </c>
      <c r="PK257" s="12" t="s">
        <v>37</v>
      </c>
      <c r="PL257" s="12" t="s">
        <v>37</v>
      </c>
      <c r="PM257" s="12"/>
      <c r="PN257" s="12"/>
      <c r="PQ257" s="12" t="s">
        <v>37</v>
      </c>
      <c r="PR257" s="12" t="s">
        <v>37</v>
      </c>
      <c r="PS257" s="12" t="s">
        <v>37</v>
      </c>
      <c r="PT257" s="12" t="s">
        <v>37</v>
      </c>
      <c r="PU257" s="12" t="s">
        <v>37</v>
      </c>
      <c r="PV257" s="12" t="s">
        <v>37</v>
      </c>
      <c r="PW257" s="12"/>
      <c r="PX257" s="12"/>
      <c r="PZ257" s="12" t="s">
        <v>37</v>
      </c>
      <c r="QA257" s="12" t="s">
        <v>37</v>
      </c>
      <c r="QB257" s="12" t="s">
        <v>37</v>
      </c>
      <c r="QD257" s="12" t="s">
        <v>37</v>
      </c>
      <c r="QE257" s="12" t="s">
        <v>37</v>
      </c>
      <c r="QF257" s="12" t="s">
        <v>37</v>
      </c>
      <c r="QK257" s="12" t="s">
        <v>37</v>
      </c>
      <c r="QL257" s="12" t="s">
        <v>37</v>
      </c>
      <c r="QM257" s="12" t="s">
        <v>37</v>
      </c>
      <c r="QN257" s="12" t="s">
        <v>37</v>
      </c>
      <c r="QO257" s="12" t="s">
        <v>37</v>
      </c>
      <c r="QP257" s="12" t="s">
        <v>37</v>
      </c>
      <c r="QQ257" s="12"/>
      <c r="QR257" s="12"/>
      <c r="QU257" s="12" t="s">
        <v>37</v>
      </c>
      <c r="QV257" s="12" t="s">
        <v>37</v>
      </c>
      <c r="QW257" s="12" t="s">
        <v>37</v>
      </c>
      <c r="QX257" s="12" t="s">
        <v>37</v>
      </c>
      <c r="QY257" s="12" t="s">
        <v>37</v>
      </c>
      <c r="QZ257" s="12" t="s">
        <v>37</v>
      </c>
      <c r="RC257" s="12" t="s">
        <v>37</v>
      </c>
      <c r="RD257" s="12" t="s">
        <v>37</v>
      </c>
      <c r="RE257" s="13" t="s">
        <v>37</v>
      </c>
      <c r="RF257" s="12" t="s">
        <v>37</v>
      </c>
      <c r="RG257" s="12" t="s">
        <v>37</v>
      </c>
      <c r="RH257" s="13" t="s">
        <v>37</v>
      </c>
      <c r="RK257" s="12" t="s">
        <v>37</v>
      </c>
      <c r="RL257" s="12" t="s">
        <v>37</v>
      </c>
      <c r="RM257" s="11" t="s">
        <v>37</v>
      </c>
      <c r="RN257" s="12" t="s">
        <v>37</v>
      </c>
      <c r="RO257" s="12" t="s">
        <v>37</v>
      </c>
      <c r="RP257" s="11" t="s">
        <v>37</v>
      </c>
      <c r="RS257" s="12" t="s">
        <v>37</v>
      </c>
      <c r="RT257" s="12" t="s">
        <v>37</v>
      </c>
      <c r="RU257" s="12" t="s">
        <v>37</v>
      </c>
      <c r="RV257" s="12" t="s">
        <v>37</v>
      </c>
      <c r="RW257" s="12" t="s">
        <v>37</v>
      </c>
      <c r="RX257" s="12" t="s">
        <v>37</v>
      </c>
      <c r="SA257" s="12" t="s">
        <v>37</v>
      </c>
      <c r="SB257" s="12" t="s">
        <v>37</v>
      </c>
      <c r="SC257" s="12" t="s">
        <v>37</v>
      </c>
      <c r="SD257" s="12" t="s">
        <v>37</v>
      </c>
      <c r="SE257" s="12" t="s">
        <v>37</v>
      </c>
      <c r="SF257" s="12" t="s">
        <v>37</v>
      </c>
      <c r="SI257" s="12" t="s">
        <v>37</v>
      </c>
      <c r="SJ257" s="12" t="s">
        <v>37</v>
      </c>
      <c r="SK257" s="13" t="s">
        <v>37</v>
      </c>
      <c r="SM257" s="12" t="s">
        <v>37</v>
      </c>
      <c r="SN257" s="12" t="s">
        <v>37</v>
      </c>
      <c r="SO257" s="13" t="s">
        <v>37</v>
      </c>
      <c r="SU257" s="12" t="s">
        <v>37</v>
      </c>
      <c r="SV257" s="12" t="s">
        <v>37</v>
      </c>
      <c r="SW257" s="12" t="s">
        <v>37</v>
      </c>
      <c r="SX257" s="12" t="s">
        <v>37</v>
      </c>
      <c r="SY257" s="12" t="s">
        <v>37</v>
      </c>
      <c r="SZ257" s="12" t="s">
        <v>37</v>
      </c>
      <c r="TA257" s="12"/>
      <c r="TB257" s="12"/>
      <c r="TE257" s="12" t="s">
        <v>37</v>
      </c>
      <c r="TF257" s="12" t="s">
        <v>37</v>
      </c>
      <c r="TG257" s="12" t="s">
        <v>37</v>
      </c>
      <c r="TH257" s="12" t="s">
        <v>37</v>
      </c>
      <c r="TI257" s="12" t="s">
        <v>37</v>
      </c>
      <c r="TJ257" s="12" t="s">
        <v>37</v>
      </c>
      <c r="TK257" s="12"/>
      <c r="TL257" s="12"/>
      <c r="TO257" s="12" t="s">
        <v>37</v>
      </c>
      <c r="TP257" s="12" t="s">
        <v>37</v>
      </c>
      <c r="TQ257" s="12" t="s">
        <v>37</v>
      </c>
      <c r="TR257" s="12" t="s">
        <v>37</v>
      </c>
      <c r="TS257" s="12" t="s">
        <v>37</v>
      </c>
      <c r="TT257" s="12" t="s">
        <v>37</v>
      </c>
      <c r="TU257" s="12"/>
      <c r="TV257" s="12"/>
      <c r="TY257" s="12" t="s">
        <v>37</v>
      </c>
      <c r="TZ257" s="12" t="s">
        <v>37</v>
      </c>
      <c r="UA257" s="12" t="s">
        <v>37</v>
      </c>
      <c r="UB257" s="12" t="s">
        <v>37</v>
      </c>
      <c r="UC257" s="12" t="s">
        <v>37</v>
      </c>
      <c r="UD257" s="12" t="s">
        <v>37</v>
      </c>
      <c r="UE257" s="12"/>
      <c r="UF257" s="12"/>
      <c r="UI257" s="12" t="s">
        <v>37</v>
      </c>
      <c r="UJ257" s="12" t="s">
        <v>37</v>
      </c>
      <c r="UK257" s="12" t="s">
        <v>37</v>
      </c>
      <c r="UL257" s="12" t="s">
        <v>37</v>
      </c>
      <c r="UM257" s="12" t="s">
        <v>37</v>
      </c>
      <c r="UN257" s="12" t="s">
        <v>37</v>
      </c>
      <c r="UO257" s="12"/>
      <c r="UP257" s="12"/>
      <c r="UR257" s="12" t="s">
        <v>37</v>
      </c>
      <c r="US257" s="12" t="s">
        <v>37</v>
      </c>
      <c r="UT257" s="12" t="s">
        <v>37</v>
      </c>
      <c r="UU257" s="12" t="s">
        <v>37</v>
      </c>
      <c r="UV257" s="12" t="s">
        <v>37</v>
      </c>
      <c r="UW257" s="12" t="s">
        <v>37</v>
      </c>
      <c r="UX257" s="12"/>
      <c r="UY257" s="12"/>
      <c r="VB257" s="12" t="s">
        <v>37</v>
      </c>
      <c r="VC257" s="12" t="s">
        <v>37</v>
      </c>
      <c r="VD257" s="12" t="s">
        <v>37</v>
      </c>
      <c r="VE257" s="12" t="s">
        <v>37</v>
      </c>
      <c r="VF257" s="12" t="s">
        <v>37</v>
      </c>
      <c r="VG257" s="12" t="s">
        <v>37</v>
      </c>
      <c r="VI257" s="12" t="s">
        <v>37</v>
      </c>
      <c r="VJ257" s="12" t="s">
        <v>37</v>
      </c>
      <c r="VK257" s="12" t="s">
        <v>37</v>
      </c>
      <c r="VL257" s="12" t="s">
        <v>37</v>
      </c>
      <c r="VM257" s="12" t="s">
        <v>37</v>
      </c>
      <c r="VN257" s="12" t="s">
        <v>37</v>
      </c>
      <c r="VQ257" s="12" t="s">
        <v>37</v>
      </c>
      <c r="VR257" s="12" t="s">
        <v>37</v>
      </c>
      <c r="VS257" s="12" t="s">
        <v>37</v>
      </c>
      <c r="VT257" s="12" t="s">
        <v>37</v>
      </c>
      <c r="VU257" s="12" t="s">
        <v>37</v>
      </c>
      <c r="VV257" s="12" t="s">
        <v>37</v>
      </c>
      <c r="VW257" s="12"/>
      <c r="VX257" s="12"/>
      <c r="WA257" s="12" t="s">
        <v>37</v>
      </c>
      <c r="WB257" s="12" t="s">
        <v>37</v>
      </c>
      <c r="WC257" s="12" t="s">
        <v>37</v>
      </c>
      <c r="WD257" s="12" t="s">
        <v>37</v>
      </c>
      <c r="WE257" s="12" t="s">
        <v>37</v>
      </c>
      <c r="WF257" s="12" t="s">
        <v>37</v>
      </c>
    </row>
    <row r="258" spans="1:604" ht="18" customHeight="1" x14ac:dyDescent="0.3">
      <c r="A258" s="11">
        <v>66</v>
      </c>
      <c r="B258" s="16" t="s">
        <v>911</v>
      </c>
      <c r="C258" s="12" t="s">
        <v>26</v>
      </c>
      <c r="D258" s="12" t="s">
        <v>54</v>
      </c>
      <c r="E258" s="40" t="s">
        <v>37</v>
      </c>
      <c r="F258" s="14">
        <v>0</v>
      </c>
      <c r="G258" s="14">
        <v>0</v>
      </c>
      <c r="H258" s="12" t="s">
        <v>123</v>
      </c>
      <c r="I258" s="29">
        <v>61.767000000000003</v>
      </c>
      <c r="J258" s="29">
        <v>30.966999999999999</v>
      </c>
      <c r="K258" s="12" t="s">
        <v>776</v>
      </c>
      <c r="L258" s="12" t="s">
        <v>777</v>
      </c>
      <c r="M258" s="13" t="s">
        <v>37</v>
      </c>
      <c r="N258" s="13" t="s">
        <v>37</v>
      </c>
      <c r="O258" s="13" t="s">
        <v>37</v>
      </c>
      <c r="P258" s="14" t="s">
        <v>84</v>
      </c>
      <c r="Q258" s="75">
        <v>50</v>
      </c>
      <c r="R258" s="11" t="s">
        <v>1000</v>
      </c>
      <c r="S258" s="12" t="s">
        <v>93</v>
      </c>
      <c r="T258" s="12" t="s">
        <v>141</v>
      </c>
      <c r="U258" s="12" t="s">
        <v>158</v>
      </c>
      <c r="V258" s="12" t="s">
        <v>275</v>
      </c>
      <c r="W258" s="23" t="s">
        <v>377</v>
      </c>
      <c r="X258" s="12" t="s">
        <v>281</v>
      </c>
      <c r="Y258" s="12" t="s">
        <v>37</v>
      </c>
      <c r="Z258" s="12" t="s">
        <v>37</v>
      </c>
      <c r="AA258" s="32" t="s">
        <v>372</v>
      </c>
      <c r="AB258" s="12">
        <v>4.2</v>
      </c>
      <c r="AE258" s="12" t="s">
        <v>37</v>
      </c>
      <c r="AF258" s="12" t="s">
        <v>391</v>
      </c>
      <c r="AG258" s="32" t="s">
        <v>372</v>
      </c>
      <c r="AH258" s="12">
        <v>210</v>
      </c>
      <c r="AK258" s="12" t="s">
        <v>37</v>
      </c>
      <c r="AL258" s="32">
        <v>1991</v>
      </c>
      <c r="AM258" s="12" t="s">
        <v>317</v>
      </c>
      <c r="AN258" s="32" t="s">
        <v>880</v>
      </c>
      <c r="AO258" s="12" t="s">
        <v>37</v>
      </c>
      <c r="AP258" s="12" t="s">
        <v>238</v>
      </c>
      <c r="AQ258" s="12" t="s">
        <v>975</v>
      </c>
      <c r="AT258" s="12" t="s">
        <v>326</v>
      </c>
      <c r="AU258" s="12" t="s">
        <v>326</v>
      </c>
      <c r="AV258" s="13" t="s">
        <v>326</v>
      </c>
      <c r="AX258" s="12" t="s">
        <v>326</v>
      </c>
      <c r="AY258" s="12" t="s">
        <v>326</v>
      </c>
      <c r="AZ258" s="13" t="s">
        <v>326</v>
      </c>
      <c r="BE258" s="12" t="s">
        <v>326</v>
      </c>
      <c r="BF258" s="12" t="s">
        <v>326</v>
      </c>
      <c r="BG258" s="12" t="s">
        <v>326</v>
      </c>
      <c r="BI258" s="12" t="s">
        <v>326</v>
      </c>
      <c r="BJ258" s="12" t="s">
        <v>326</v>
      </c>
      <c r="BK258" s="12" t="s">
        <v>326</v>
      </c>
      <c r="BP258" s="12" t="s">
        <v>37</v>
      </c>
      <c r="BQ258" s="12" t="s">
        <v>37</v>
      </c>
      <c r="BR258" s="13" t="s">
        <v>37</v>
      </c>
      <c r="BT258" s="12" t="s">
        <v>37</v>
      </c>
      <c r="BU258" s="12" t="s">
        <v>37</v>
      </c>
      <c r="BV258" s="12" t="s">
        <v>37</v>
      </c>
      <c r="CA258" s="12" t="s">
        <v>37</v>
      </c>
      <c r="CB258" s="12" t="s">
        <v>37</v>
      </c>
      <c r="CC258" s="13" t="s">
        <v>37</v>
      </c>
      <c r="CE258" s="12" t="s">
        <v>37</v>
      </c>
      <c r="CF258" s="12" t="s">
        <v>37</v>
      </c>
      <c r="CG258" s="12" t="s">
        <v>37</v>
      </c>
      <c r="CN258" s="12" t="s">
        <v>37</v>
      </c>
      <c r="CO258" s="12" t="s">
        <v>37</v>
      </c>
      <c r="CP258" s="13" t="s">
        <v>37</v>
      </c>
      <c r="CR258" s="12" t="s">
        <v>37</v>
      </c>
      <c r="CS258" s="12" t="s">
        <v>37</v>
      </c>
      <c r="CT258" s="13" t="s">
        <v>37</v>
      </c>
      <c r="CX258" s="72"/>
      <c r="CY258" s="72"/>
      <c r="DA258" s="12" t="s">
        <v>37</v>
      </c>
      <c r="DB258" s="12" t="s">
        <v>37</v>
      </c>
      <c r="DC258" s="13" t="s">
        <v>37</v>
      </c>
      <c r="DE258" s="12" t="s">
        <v>37</v>
      </c>
      <c r="DF258" s="12" t="s">
        <v>37</v>
      </c>
      <c r="DG258" s="12" t="s">
        <v>37</v>
      </c>
      <c r="DI258" s="52"/>
      <c r="DJ258" s="52"/>
      <c r="DK258" s="73"/>
      <c r="DL258" s="73"/>
      <c r="DN258" s="19" t="s">
        <v>37</v>
      </c>
      <c r="DO258" s="12" t="s">
        <v>37</v>
      </c>
      <c r="DP258" s="13" t="s">
        <v>37</v>
      </c>
      <c r="DR258" s="19" t="s">
        <v>37</v>
      </c>
      <c r="DS258" s="12" t="s">
        <v>37</v>
      </c>
      <c r="DT258" s="13" t="s">
        <v>37</v>
      </c>
      <c r="DV258" s="52"/>
      <c r="DW258" s="52"/>
      <c r="DZ258" s="11" t="s">
        <v>47</v>
      </c>
      <c r="EA258" s="19">
        <f>-15*10^4*("1991/9/30"-"1991/05/01")/10^9/'[3]classess-1'!$I$26</f>
        <v>-5.3028564354897549E-2</v>
      </c>
      <c r="EB258" s="19">
        <f>SQRT((1/[5]Classess!$I$26)^2*(8.6*SQRT(3)*10^4*("1991/9/30"-"1991/05/01")/10^9)^2+(-EA258/([5]Classess!$I$26)^2)^2*([5]Classess!$J$26)^2)</f>
        <v>0.14435421348527655</v>
      </c>
      <c r="EC258" s="72">
        <v>3</v>
      </c>
      <c r="ED258" s="52">
        <f t="shared" si="1166"/>
        <v>2.7221972769086373</v>
      </c>
      <c r="EE258" s="19">
        <f>-3.4*10^4*("1991/9/30"-"1991/05/01")/10^9/'[3]classess-1'!$I$27</f>
        <v>-7.5688818156579678E-3</v>
      </c>
      <c r="EF258" s="19">
        <f>SQRT((1/[5]Classess!$I$27)^2*(9.4*SQRT(3)*10^4*("1991/9/30"-"1991/05/01")/10^9)^2+(-EE258/([5]Classess!$I$27)^2)^2*([5]Classess!$J$27)^2)</f>
        <v>3.6346822857934974E-2</v>
      </c>
      <c r="EG258" s="13">
        <v>3</v>
      </c>
      <c r="EH258" s="52">
        <f t="shared" si="1168"/>
        <v>4.8021390402401627</v>
      </c>
      <c r="EI258" s="19">
        <f t="shared" si="1169"/>
        <v>4.5459682539239585E-2</v>
      </c>
      <c r="EJ258" s="12">
        <f t="shared" si="1170"/>
        <v>0.10525975128893973</v>
      </c>
      <c r="EK258" s="19">
        <f t="shared" si="1171"/>
        <v>7.3864101609396335E-3</v>
      </c>
      <c r="EL258" s="19">
        <f t="shared" si="1172"/>
        <v>7.3864101609396344E-3</v>
      </c>
      <c r="EM258" s="12" t="s">
        <v>39</v>
      </c>
      <c r="EN258" s="12">
        <v>-12</v>
      </c>
      <c r="EO258" s="50">
        <f t="shared" si="1156"/>
        <v>4.8899567850155199</v>
      </c>
      <c r="EP258" s="13">
        <v>3</v>
      </c>
      <c r="ER258" s="12">
        <v>-27</v>
      </c>
      <c r="ES258" s="50">
        <f>ABS(ER258)*EU$474</f>
        <v>6.123979444748243</v>
      </c>
      <c r="ET258" s="13">
        <v>3</v>
      </c>
      <c r="EV258" s="19">
        <f t="shared" si="1173"/>
        <v>-15</v>
      </c>
      <c r="EW258" s="12">
        <f t="shared" si="1174"/>
        <v>5.5414258814414508</v>
      </c>
      <c r="EX258" s="19">
        <f t="shared" si="1175"/>
        <v>20.471600533006104</v>
      </c>
      <c r="EY258" s="19">
        <f t="shared" si="1176"/>
        <v>20.471600533006104</v>
      </c>
      <c r="FB258" s="12" t="s">
        <v>37</v>
      </c>
      <c r="FC258" s="12" t="s">
        <v>37</v>
      </c>
      <c r="FD258" s="12" t="s">
        <v>37</v>
      </c>
      <c r="FE258" s="12" t="s">
        <v>37</v>
      </c>
      <c r="FF258" s="20" t="s">
        <v>37</v>
      </c>
      <c r="FG258" s="12" t="s">
        <v>37</v>
      </c>
      <c r="FI258" s="12" t="s">
        <v>37</v>
      </c>
      <c r="FJ258" s="12" t="s">
        <v>37</v>
      </c>
      <c r="FK258" s="12" t="s">
        <v>37</v>
      </c>
      <c r="FL258" s="12" t="s">
        <v>37</v>
      </c>
      <c r="FM258" s="12" t="s">
        <v>37</v>
      </c>
      <c r="FN258" s="12" t="s">
        <v>37</v>
      </c>
      <c r="FP258" s="12" t="s">
        <v>37</v>
      </c>
      <c r="FQ258" s="12" t="s">
        <v>37</v>
      </c>
      <c r="FR258" s="12" t="s">
        <v>37</v>
      </c>
      <c r="FS258" s="12" t="s">
        <v>37</v>
      </c>
      <c r="FT258" s="12" t="s">
        <v>37</v>
      </c>
      <c r="FU258" s="12" t="s">
        <v>37</v>
      </c>
      <c r="FW258" s="12" t="s">
        <v>37</v>
      </c>
      <c r="FX258" s="12" t="s">
        <v>37</v>
      </c>
      <c r="FY258" s="12" t="s">
        <v>37</v>
      </c>
      <c r="FZ258" s="12" t="s">
        <v>37</v>
      </c>
      <c r="GA258" s="12" t="s">
        <v>37</v>
      </c>
      <c r="GB258" s="12" t="s">
        <v>37</v>
      </c>
      <c r="IK258" s="12" t="s">
        <v>37</v>
      </c>
      <c r="IL258" s="12" t="s">
        <v>37</v>
      </c>
      <c r="IM258" s="12" t="s">
        <v>37</v>
      </c>
      <c r="IO258" s="12" t="s">
        <v>37</v>
      </c>
      <c r="IP258" s="12" t="s">
        <v>37</v>
      </c>
      <c r="IQ258" s="12" t="s">
        <v>37</v>
      </c>
      <c r="IV258" s="32" t="s">
        <v>372</v>
      </c>
      <c r="IW258" s="12">
        <v>4.2</v>
      </c>
      <c r="IX258" s="50">
        <f t="shared" si="1167"/>
        <v>0.15377351903769718</v>
      </c>
      <c r="IY258" s="13">
        <v>3</v>
      </c>
      <c r="JA258" s="12">
        <v>4</v>
      </c>
      <c r="JB258" s="50">
        <f>ABS(JA258)*JD$474</f>
        <v>0.11203523514281104</v>
      </c>
      <c r="JC258" s="13">
        <v>3</v>
      </c>
      <c r="JE258" s="19">
        <f t="shared" si="1177"/>
        <v>-4.8790164169432056E-2</v>
      </c>
      <c r="JF258" s="19">
        <f t="shared" si="1162"/>
        <v>7.0832876411330761E-4</v>
      </c>
      <c r="JH258" s="12" t="s">
        <v>37</v>
      </c>
      <c r="JI258" s="12" t="s">
        <v>37</v>
      </c>
      <c r="JJ258" s="13" t="s">
        <v>37</v>
      </c>
      <c r="JL258" s="12" t="s">
        <v>37</v>
      </c>
      <c r="JM258" s="12" t="s">
        <v>37</v>
      </c>
      <c r="JN258" s="12" t="s">
        <v>37</v>
      </c>
      <c r="JS258" s="12" t="s">
        <v>37</v>
      </c>
      <c r="JT258" s="12" t="s">
        <v>37</v>
      </c>
      <c r="JU258" s="13" t="s">
        <v>37</v>
      </c>
      <c r="JW258" s="12" t="s">
        <v>37</v>
      </c>
      <c r="JX258" s="12" t="s">
        <v>37</v>
      </c>
      <c r="JY258" s="12" t="s">
        <v>37</v>
      </c>
      <c r="KE258" s="12" t="s">
        <v>37</v>
      </c>
      <c r="KF258" s="12" t="s">
        <v>37</v>
      </c>
      <c r="KG258" s="13" t="s">
        <v>37</v>
      </c>
      <c r="KH258" s="12" t="s">
        <v>37</v>
      </c>
      <c r="KI258" s="12" t="s">
        <v>37</v>
      </c>
      <c r="KJ258" s="12" t="s">
        <v>37</v>
      </c>
      <c r="KK258" s="12" t="s">
        <v>391</v>
      </c>
      <c r="KL258" s="32" t="s">
        <v>372</v>
      </c>
      <c r="KM258" s="12">
        <v>210</v>
      </c>
      <c r="KN258" s="50">
        <f>ABS(KM258)*KP$474</f>
        <v>25.05153869082049</v>
      </c>
      <c r="KO258" s="11">
        <v>3</v>
      </c>
      <c r="KQ258" s="12">
        <v>380</v>
      </c>
      <c r="KR258" s="50">
        <f>ABS(KQ258)*KT$474</f>
        <v>40.068503464081964</v>
      </c>
      <c r="KS258" s="11">
        <v>3</v>
      </c>
      <c r="KU258" s="19">
        <f t="shared" ref="KU258" si="1180">LN(KQ258/KM258)</f>
        <v>0.59306372200296276</v>
      </c>
      <c r="KV258" s="19">
        <f t="shared" ref="KV258" si="1181">KR258^2/(KS258*KQ258^2)+KN258^2/(KO258*KM258^2)</f>
        <v>8.4497155628593234E-3</v>
      </c>
      <c r="KX258" s="12" t="s">
        <v>37</v>
      </c>
      <c r="KY258" s="12" t="s">
        <v>37</v>
      </c>
      <c r="KZ258" s="12" t="s">
        <v>37</v>
      </c>
      <c r="LB258" s="12" t="s">
        <v>37</v>
      </c>
      <c r="LC258" s="12" t="s">
        <v>37</v>
      </c>
      <c r="LD258" s="12" t="s">
        <v>37</v>
      </c>
      <c r="LI258" s="12" t="s">
        <v>37</v>
      </c>
      <c r="LJ258" s="12" t="s">
        <v>37</v>
      </c>
      <c r="LK258" s="12" t="s">
        <v>37</v>
      </c>
      <c r="LM258" s="12" t="s">
        <v>37</v>
      </c>
      <c r="LN258" s="12" t="s">
        <v>37</v>
      </c>
      <c r="LO258" s="12" t="s">
        <v>37</v>
      </c>
      <c r="LU258" s="12" t="s">
        <v>37</v>
      </c>
      <c r="LV258" s="12" t="s">
        <v>37</v>
      </c>
      <c r="LW258" s="12" t="s">
        <v>37</v>
      </c>
      <c r="LY258" s="12" t="s">
        <v>37</v>
      </c>
      <c r="LZ258" s="12" t="s">
        <v>37</v>
      </c>
      <c r="MA258" s="12" t="s">
        <v>37</v>
      </c>
      <c r="MF258" s="12" t="s">
        <v>37</v>
      </c>
      <c r="MG258" s="12" t="s">
        <v>37</v>
      </c>
      <c r="MH258" s="12" t="s">
        <v>37</v>
      </c>
      <c r="MJ258" s="12" t="s">
        <v>37</v>
      </c>
      <c r="MK258" s="12" t="s">
        <v>37</v>
      </c>
      <c r="ML258" s="12" t="s">
        <v>37</v>
      </c>
      <c r="MQ258" s="12" t="s">
        <v>37</v>
      </c>
      <c r="MR258" s="12" t="s">
        <v>37</v>
      </c>
      <c r="MS258" s="12" t="s">
        <v>37</v>
      </c>
      <c r="MU258" s="12" t="s">
        <v>37</v>
      </c>
      <c r="MV258" s="12" t="s">
        <v>37</v>
      </c>
      <c r="MW258" s="12" t="s">
        <v>37</v>
      </c>
      <c r="NC258" s="12" t="s">
        <v>37</v>
      </c>
      <c r="ND258" s="12" t="s">
        <v>37</v>
      </c>
      <c r="NE258" s="12" t="s">
        <v>37</v>
      </c>
      <c r="NG258" s="12" t="s">
        <v>37</v>
      </c>
      <c r="NH258" s="12" t="s">
        <v>37</v>
      </c>
      <c r="NI258" s="12" t="s">
        <v>37</v>
      </c>
      <c r="NO258" s="12" t="s">
        <v>37</v>
      </c>
      <c r="NP258" s="12" t="s">
        <v>37</v>
      </c>
      <c r="NQ258" s="12" t="s">
        <v>37</v>
      </c>
      <c r="NS258" s="12" t="s">
        <v>37</v>
      </c>
      <c r="NT258" s="12" t="s">
        <v>37</v>
      </c>
      <c r="NU258" s="12" t="s">
        <v>37</v>
      </c>
      <c r="OA258" s="12" t="s">
        <v>37</v>
      </c>
      <c r="OB258" s="12" t="s">
        <v>37</v>
      </c>
      <c r="OC258" s="12" t="s">
        <v>37</v>
      </c>
      <c r="OD258" s="12"/>
      <c r="OE258" s="12" t="s">
        <v>37</v>
      </c>
      <c r="OF258" s="12" t="s">
        <v>37</v>
      </c>
      <c r="OG258" s="12" t="s">
        <v>37</v>
      </c>
      <c r="OH258" s="12"/>
      <c r="OI258" s="12"/>
      <c r="OJ258" s="12"/>
      <c r="OM258" s="12" t="s">
        <v>37</v>
      </c>
      <c r="ON258" s="12" t="s">
        <v>37</v>
      </c>
      <c r="OO258" s="12" t="s">
        <v>37</v>
      </c>
      <c r="OP258" s="12" t="s">
        <v>37</v>
      </c>
      <c r="OQ258" s="12" t="s">
        <v>37</v>
      </c>
      <c r="OR258" s="12" t="s">
        <v>37</v>
      </c>
      <c r="OS258" s="12"/>
      <c r="OT258" s="12"/>
      <c r="OW258" s="12" t="s">
        <v>37</v>
      </c>
      <c r="OX258" s="12" t="s">
        <v>37</v>
      </c>
      <c r="OY258" s="13" t="s">
        <v>37</v>
      </c>
      <c r="OZ258" s="12" t="s">
        <v>37</v>
      </c>
      <c r="PA258" s="12" t="s">
        <v>37</v>
      </c>
      <c r="PB258" s="13" t="s">
        <v>37</v>
      </c>
      <c r="PG258" s="12" t="s">
        <v>37</v>
      </c>
      <c r="PH258" s="12" t="s">
        <v>37</v>
      </c>
      <c r="PI258" s="12" t="s">
        <v>37</v>
      </c>
      <c r="PJ258" s="12" t="s">
        <v>37</v>
      </c>
      <c r="PK258" s="12" t="s">
        <v>37</v>
      </c>
      <c r="PL258" s="12" t="s">
        <v>37</v>
      </c>
      <c r="PM258" s="12"/>
      <c r="PN258" s="12"/>
      <c r="PQ258" s="12" t="s">
        <v>37</v>
      </c>
      <c r="PR258" s="12" t="s">
        <v>37</v>
      </c>
      <c r="PS258" s="12" t="s">
        <v>37</v>
      </c>
      <c r="PT258" s="12" t="s">
        <v>37</v>
      </c>
      <c r="PU258" s="12" t="s">
        <v>37</v>
      </c>
      <c r="PV258" s="12" t="s">
        <v>37</v>
      </c>
      <c r="PW258" s="12"/>
      <c r="PX258" s="12"/>
      <c r="PZ258" s="12" t="s">
        <v>37</v>
      </c>
      <c r="QA258" s="12" t="s">
        <v>37</v>
      </c>
      <c r="QB258" s="12" t="s">
        <v>37</v>
      </c>
      <c r="QD258" s="12" t="s">
        <v>37</v>
      </c>
      <c r="QE258" s="12" t="s">
        <v>37</v>
      </c>
      <c r="QF258" s="12" t="s">
        <v>37</v>
      </c>
      <c r="QK258" s="12" t="s">
        <v>37</v>
      </c>
      <c r="QL258" s="12" t="s">
        <v>37</v>
      </c>
      <c r="QM258" s="12" t="s">
        <v>37</v>
      </c>
      <c r="QN258" s="12" t="s">
        <v>37</v>
      </c>
      <c r="QO258" s="12" t="s">
        <v>37</v>
      </c>
      <c r="QP258" s="12" t="s">
        <v>37</v>
      </c>
      <c r="QQ258" s="12"/>
      <c r="QR258" s="12"/>
      <c r="QU258" s="12" t="s">
        <v>37</v>
      </c>
      <c r="QV258" s="12" t="s">
        <v>37</v>
      </c>
      <c r="QW258" s="12" t="s">
        <v>37</v>
      </c>
      <c r="QX258" s="12" t="s">
        <v>37</v>
      </c>
      <c r="QY258" s="12" t="s">
        <v>37</v>
      </c>
      <c r="QZ258" s="12" t="s">
        <v>37</v>
      </c>
      <c r="RC258" s="12" t="s">
        <v>37</v>
      </c>
      <c r="RD258" s="12" t="s">
        <v>37</v>
      </c>
      <c r="RE258" s="13" t="s">
        <v>37</v>
      </c>
      <c r="RF258" s="12" t="s">
        <v>37</v>
      </c>
      <c r="RG258" s="12" t="s">
        <v>37</v>
      </c>
      <c r="RH258" s="13" t="s">
        <v>37</v>
      </c>
      <c r="RK258" s="12" t="s">
        <v>37</v>
      </c>
      <c r="RL258" s="12" t="s">
        <v>37</v>
      </c>
      <c r="RM258" s="11" t="s">
        <v>37</v>
      </c>
      <c r="RN258" s="12" t="s">
        <v>37</v>
      </c>
      <c r="RO258" s="12" t="s">
        <v>37</v>
      </c>
      <c r="RP258" s="11" t="s">
        <v>37</v>
      </c>
      <c r="RS258" s="12" t="s">
        <v>37</v>
      </c>
      <c r="RT258" s="12" t="s">
        <v>37</v>
      </c>
      <c r="RU258" s="12" t="s">
        <v>37</v>
      </c>
      <c r="RV258" s="12" t="s">
        <v>37</v>
      </c>
      <c r="RW258" s="12" t="s">
        <v>37</v>
      </c>
      <c r="RX258" s="12" t="s">
        <v>37</v>
      </c>
      <c r="SA258" s="12" t="s">
        <v>37</v>
      </c>
      <c r="SB258" s="12" t="s">
        <v>37</v>
      </c>
      <c r="SC258" s="12" t="s">
        <v>37</v>
      </c>
      <c r="SD258" s="12" t="s">
        <v>37</v>
      </c>
      <c r="SE258" s="12" t="s">
        <v>37</v>
      </c>
      <c r="SF258" s="12" t="s">
        <v>37</v>
      </c>
      <c r="SI258" s="12" t="s">
        <v>37</v>
      </c>
      <c r="SJ258" s="12" t="s">
        <v>37</v>
      </c>
      <c r="SK258" s="13" t="s">
        <v>37</v>
      </c>
      <c r="SM258" s="12" t="s">
        <v>37</v>
      </c>
      <c r="SN258" s="12" t="s">
        <v>37</v>
      </c>
      <c r="SO258" s="13" t="s">
        <v>37</v>
      </c>
      <c r="SU258" s="12" t="s">
        <v>37</v>
      </c>
      <c r="SV258" s="12" t="s">
        <v>37</v>
      </c>
      <c r="SW258" s="12" t="s">
        <v>37</v>
      </c>
      <c r="SX258" s="12" t="s">
        <v>37</v>
      </c>
      <c r="SY258" s="12" t="s">
        <v>37</v>
      </c>
      <c r="SZ258" s="12" t="s">
        <v>37</v>
      </c>
      <c r="TA258" s="12"/>
      <c r="TB258" s="12"/>
      <c r="TE258" s="12" t="s">
        <v>37</v>
      </c>
      <c r="TF258" s="12" t="s">
        <v>37</v>
      </c>
      <c r="TG258" s="12" t="s">
        <v>37</v>
      </c>
      <c r="TH258" s="12" t="s">
        <v>37</v>
      </c>
      <c r="TI258" s="12" t="s">
        <v>37</v>
      </c>
      <c r="TJ258" s="12" t="s">
        <v>37</v>
      </c>
      <c r="TK258" s="12"/>
      <c r="TL258" s="12"/>
      <c r="TO258" s="12" t="s">
        <v>37</v>
      </c>
      <c r="TP258" s="12" t="s">
        <v>37</v>
      </c>
      <c r="TQ258" s="12" t="s">
        <v>37</v>
      </c>
      <c r="TR258" s="12" t="s">
        <v>37</v>
      </c>
      <c r="TS258" s="12" t="s">
        <v>37</v>
      </c>
      <c r="TT258" s="12" t="s">
        <v>37</v>
      </c>
      <c r="TU258" s="12"/>
      <c r="TV258" s="12"/>
      <c r="TY258" s="12" t="s">
        <v>37</v>
      </c>
      <c r="TZ258" s="12" t="s">
        <v>37</v>
      </c>
      <c r="UA258" s="12" t="s">
        <v>37</v>
      </c>
      <c r="UB258" s="12" t="s">
        <v>37</v>
      </c>
      <c r="UC258" s="12" t="s">
        <v>37</v>
      </c>
      <c r="UD258" s="12" t="s">
        <v>37</v>
      </c>
      <c r="UE258" s="12"/>
      <c r="UF258" s="12"/>
      <c r="UI258" s="12" t="s">
        <v>37</v>
      </c>
      <c r="UJ258" s="12" t="s">
        <v>37</v>
      </c>
      <c r="UK258" s="12" t="s">
        <v>37</v>
      </c>
      <c r="UL258" s="12" t="s">
        <v>37</v>
      </c>
      <c r="UM258" s="12" t="s">
        <v>37</v>
      </c>
      <c r="UN258" s="12" t="s">
        <v>37</v>
      </c>
      <c r="UO258" s="12"/>
      <c r="UP258" s="12"/>
      <c r="UR258" s="12" t="s">
        <v>37</v>
      </c>
      <c r="US258" s="12" t="s">
        <v>37</v>
      </c>
      <c r="UT258" s="12" t="s">
        <v>37</v>
      </c>
      <c r="UU258" s="12" t="s">
        <v>37</v>
      </c>
      <c r="UV258" s="12" t="s">
        <v>37</v>
      </c>
      <c r="UW258" s="12" t="s">
        <v>37</v>
      </c>
      <c r="UX258" s="12"/>
      <c r="UY258" s="12"/>
      <c r="VB258" s="12" t="s">
        <v>37</v>
      </c>
      <c r="VC258" s="12" t="s">
        <v>37</v>
      </c>
      <c r="VD258" s="12" t="s">
        <v>37</v>
      </c>
      <c r="VE258" s="12" t="s">
        <v>37</v>
      </c>
      <c r="VF258" s="12" t="s">
        <v>37</v>
      </c>
      <c r="VG258" s="12" t="s">
        <v>37</v>
      </c>
      <c r="VI258" s="12" t="s">
        <v>37</v>
      </c>
      <c r="VJ258" s="12" t="s">
        <v>37</v>
      </c>
      <c r="VK258" s="12" t="s">
        <v>37</v>
      </c>
      <c r="VL258" s="12" t="s">
        <v>37</v>
      </c>
      <c r="VM258" s="12" t="s">
        <v>37</v>
      </c>
      <c r="VN258" s="12" t="s">
        <v>37</v>
      </c>
      <c r="VQ258" s="12" t="s">
        <v>37</v>
      </c>
      <c r="VR258" s="12" t="s">
        <v>37</v>
      </c>
      <c r="VS258" s="12" t="s">
        <v>37</v>
      </c>
      <c r="VT258" s="12" t="s">
        <v>37</v>
      </c>
      <c r="VU258" s="12" t="s">
        <v>37</v>
      </c>
      <c r="VV258" s="12" t="s">
        <v>37</v>
      </c>
      <c r="VW258" s="12"/>
      <c r="VX258" s="12"/>
      <c r="WA258" s="12" t="s">
        <v>37</v>
      </c>
      <c r="WB258" s="12" t="s">
        <v>37</v>
      </c>
      <c r="WC258" s="12" t="s">
        <v>37</v>
      </c>
      <c r="WD258" s="12" t="s">
        <v>37</v>
      </c>
      <c r="WE258" s="12" t="s">
        <v>37</v>
      </c>
      <c r="WF258" s="12" t="s">
        <v>37</v>
      </c>
    </row>
    <row r="259" spans="1:604" ht="18" customHeight="1" x14ac:dyDescent="0.3">
      <c r="A259" s="11">
        <v>66</v>
      </c>
      <c r="B259" s="16" t="s">
        <v>388</v>
      </c>
      <c r="C259" s="12" t="s">
        <v>26</v>
      </c>
      <c r="D259" s="12" t="s">
        <v>54</v>
      </c>
      <c r="E259" s="40" t="s">
        <v>37</v>
      </c>
      <c r="F259" s="14">
        <v>0</v>
      </c>
      <c r="G259" s="14">
        <v>0</v>
      </c>
      <c r="H259" s="12" t="s">
        <v>123</v>
      </c>
      <c r="I259" s="29">
        <v>61.767000000000003</v>
      </c>
      <c r="J259" s="29">
        <v>30.966999999999999</v>
      </c>
      <c r="K259" s="12" t="s">
        <v>776</v>
      </c>
      <c r="L259" s="12" t="s">
        <v>777</v>
      </c>
      <c r="M259" s="13" t="s">
        <v>37</v>
      </c>
      <c r="N259" s="13" t="s">
        <v>37</v>
      </c>
      <c r="O259" s="13" t="s">
        <v>37</v>
      </c>
      <c r="P259" s="14" t="s">
        <v>84</v>
      </c>
      <c r="Q259" s="75">
        <v>50</v>
      </c>
      <c r="R259" s="11" t="s">
        <v>37</v>
      </c>
      <c r="S259" s="12" t="s">
        <v>93</v>
      </c>
      <c r="T259" s="12" t="s">
        <v>141</v>
      </c>
      <c r="U259" s="12" t="s">
        <v>158</v>
      </c>
      <c r="V259" s="12" t="s">
        <v>275</v>
      </c>
      <c r="W259" s="23" t="s">
        <v>377</v>
      </c>
      <c r="X259" s="12" t="s">
        <v>281</v>
      </c>
      <c r="Y259" s="12" t="s">
        <v>37</v>
      </c>
      <c r="Z259" s="12" t="s">
        <v>37</v>
      </c>
      <c r="AA259" s="32" t="s">
        <v>372</v>
      </c>
      <c r="AB259" s="12">
        <v>4.0999999999999996</v>
      </c>
      <c r="AE259" s="12" t="s">
        <v>37</v>
      </c>
      <c r="AF259" s="12" t="s">
        <v>391</v>
      </c>
      <c r="AG259" s="32" t="s">
        <v>372</v>
      </c>
      <c r="AH259" s="12">
        <v>110</v>
      </c>
      <c r="AK259" s="12" t="s">
        <v>37</v>
      </c>
      <c r="AL259" s="32">
        <v>1991</v>
      </c>
      <c r="AM259" s="12" t="s">
        <v>317</v>
      </c>
      <c r="AN259" s="32" t="s">
        <v>880</v>
      </c>
      <c r="AO259" s="12" t="s">
        <v>37</v>
      </c>
      <c r="AP259" s="12" t="s">
        <v>238</v>
      </c>
      <c r="AQ259" s="12" t="s">
        <v>975</v>
      </c>
      <c r="AT259" s="12" t="s">
        <v>326</v>
      </c>
      <c r="AU259" s="12" t="s">
        <v>326</v>
      </c>
      <c r="AV259" s="13" t="s">
        <v>326</v>
      </c>
      <c r="AX259" s="12" t="s">
        <v>326</v>
      </c>
      <c r="AY259" s="12" t="s">
        <v>326</v>
      </c>
      <c r="AZ259" s="13" t="s">
        <v>326</v>
      </c>
      <c r="BE259" s="12" t="s">
        <v>326</v>
      </c>
      <c r="BF259" s="12" t="s">
        <v>326</v>
      </c>
      <c r="BG259" s="12" t="s">
        <v>326</v>
      </c>
      <c r="BI259" s="12" t="s">
        <v>326</v>
      </c>
      <c r="BJ259" s="12" t="s">
        <v>326</v>
      </c>
      <c r="BK259" s="12" t="s">
        <v>326</v>
      </c>
      <c r="BP259" s="12" t="s">
        <v>37</v>
      </c>
      <c r="BQ259" s="12" t="s">
        <v>37</v>
      </c>
      <c r="BR259" s="13" t="s">
        <v>37</v>
      </c>
      <c r="BT259" s="12" t="s">
        <v>37</v>
      </c>
      <c r="BU259" s="12" t="s">
        <v>37</v>
      </c>
      <c r="BV259" s="12" t="s">
        <v>37</v>
      </c>
      <c r="CA259" s="12" t="s">
        <v>37</v>
      </c>
      <c r="CB259" s="12" t="s">
        <v>37</v>
      </c>
      <c r="CC259" s="13" t="s">
        <v>37</v>
      </c>
      <c r="CE259" s="12" t="s">
        <v>37</v>
      </c>
      <c r="CF259" s="12" t="s">
        <v>37</v>
      </c>
      <c r="CG259" s="12" t="s">
        <v>37</v>
      </c>
      <c r="CN259" s="12" t="s">
        <v>37</v>
      </c>
      <c r="CO259" s="12" t="s">
        <v>37</v>
      </c>
      <c r="CP259" s="13" t="s">
        <v>37</v>
      </c>
      <c r="CR259" s="12" t="s">
        <v>37</v>
      </c>
      <c r="CS259" s="12" t="s">
        <v>37</v>
      </c>
      <c r="CT259" s="13" t="s">
        <v>37</v>
      </c>
      <c r="CX259" s="72"/>
      <c r="CY259" s="72"/>
      <c r="DA259" s="12" t="s">
        <v>37</v>
      </c>
      <c r="DB259" s="12" t="s">
        <v>37</v>
      </c>
      <c r="DC259" s="13" t="s">
        <v>37</v>
      </c>
      <c r="DE259" s="12" t="s">
        <v>37</v>
      </c>
      <c r="DF259" s="12" t="s">
        <v>37</v>
      </c>
      <c r="DG259" s="12" t="s">
        <v>37</v>
      </c>
      <c r="DI259" s="52"/>
      <c r="DJ259" s="52"/>
      <c r="DK259" s="73"/>
      <c r="DL259" s="73"/>
      <c r="DN259" s="19" t="s">
        <v>37</v>
      </c>
      <c r="DO259" s="12" t="s">
        <v>37</v>
      </c>
      <c r="DP259" s="13" t="s">
        <v>37</v>
      </c>
      <c r="DR259" s="19" t="s">
        <v>37</v>
      </c>
      <c r="DS259" s="12" t="s">
        <v>37</v>
      </c>
      <c r="DT259" s="13" t="s">
        <v>37</v>
      </c>
      <c r="DV259" s="52"/>
      <c r="DW259" s="52"/>
      <c r="DZ259" s="11" t="s">
        <v>47</v>
      </c>
      <c r="EA259" s="19">
        <f>-0.6*10^4*("1991/9/30"-"1991/05/01")/10^9/'[3]classess-1'!$I$26</f>
        <v>-2.1211425741959021E-3</v>
      </c>
      <c r="EB259" s="19">
        <f>SQRT((1/[5]Classess!$I$26)^2*(18*SQRT(3)*10^4*("1991/9/30"-"1991/05/01")/10^9)^2+(-EA259/([5]Classess!$I$26)^2)^2*([5]Classess!$J$26)^2)</f>
        <v>0.11034884630218306</v>
      </c>
      <c r="EC259" s="72">
        <v>3</v>
      </c>
      <c r="ED259" s="52">
        <f t="shared" si="1166"/>
        <v>52.023304630531442</v>
      </c>
      <c r="EE259" s="19">
        <f>2.7*10^4*("1991/9/30"-"1991/05/01")/10^9/'[3]classess-1'!$I$27</f>
        <v>6.0105826183166223E-3</v>
      </c>
      <c r="EF259" s="19">
        <f>SQRT((1/[5]Classess!$I$27)^2*(14*SQRT(3)*10^4*("1991/9/30"-"1991/05/01")/10^9)^2+(-EE259/([5]Classess!$I$27)^2)^2*([5]Classess!$J$27)^2)</f>
        <v>5.4024465971174704E-2</v>
      </c>
      <c r="EG259" s="13">
        <v>3</v>
      </c>
      <c r="EH259" s="52">
        <f t="shared" si="1168"/>
        <v>8.9882245036514075</v>
      </c>
      <c r="EI259" s="19">
        <f t="shared" si="1169"/>
        <v>8.1317251925125244E-3</v>
      </c>
      <c r="EJ259" s="12">
        <f t="shared" si="1170"/>
        <v>8.687781881381873E-2</v>
      </c>
      <c r="EK259" s="19">
        <f t="shared" si="1171"/>
        <v>5.0318369345644775E-3</v>
      </c>
      <c r="EL259" s="19">
        <f t="shared" si="1172"/>
        <v>5.0318369345644775E-3</v>
      </c>
      <c r="EM259" s="12" t="s">
        <v>39</v>
      </c>
      <c r="EN259" s="12">
        <v>-13</v>
      </c>
      <c r="EO259" s="50">
        <f t="shared" si="1156"/>
        <v>5.2974531837668133</v>
      </c>
      <c r="EP259" s="13">
        <v>3</v>
      </c>
      <c r="ER259" s="12" t="s">
        <v>37</v>
      </c>
      <c r="ET259" s="13">
        <v>3</v>
      </c>
      <c r="FB259" s="12" t="s">
        <v>37</v>
      </c>
      <c r="FC259" s="12" t="s">
        <v>37</v>
      </c>
      <c r="FD259" s="12" t="s">
        <v>37</v>
      </c>
      <c r="FE259" s="12" t="s">
        <v>37</v>
      </c>
      <c r="FF259" s="20" t="s">
        <v>37</v>
      </c>
      <c r="FG259" s="12" t="s">
        <v>37</v>
      </c>
      <c r="FI259" s="12" t="s">
        <v>37</v>
      </c>
      <c r="FJ259" s="12" t="s">
        <v>37</v>
      </c>
      <c r="FK259" s="12" t="s">
        <v>37</v>
      </c>
      <c r="FL259" s="12" t="s">
        <v>37</v>
      </c>
      <c r="FM259" s="12" t="s">
        <v>37</v>
      </c>
      <c r="FN259" s="12" t="s">
        <v>37</v>
      </c>
      <c r="FP259" s="12" t="s">
        <v>37</v>
      </c>
      <c r="FQ259" s="12" t="s">
        <v>37</v>
      </c>
      <c r="FR259" s="12" t="s">
        <v>37</v>
      </c>
      <c r="FS259" s="12" t="s">
        <v>37</v>
      </c>
      <c r="FT259" s="12" t="s">
        <v>37</v>
      </c>
      <c r="FU259" s="12" t="s">
        <v>37</v>
      </c>
      <c r="FW259" s="12" t="s">
        <v>37</v>
      </c>
      <c r="FX259" s="12" t="s">
        <v>37</v>
      </c>
      <c r="FY259" s="12" t="s">
        <v>37</v>
      </c>
      <c r="FZ259" s="12" t="s">
        <v>37</v>
      </c>
      <c r="GA259" s="12" t="s">
        <v>37</v>
      </c>
      <c r="GB259" s="12" t="s">
        <v>37</v>
      </c>
      <c r="IK259" s="12" t="s">
        <v>37</v>
      </c>
      <c r="IL259" s="12" t="s">
        <v>37</v>
      </c>
      <c r="IM259" s="12" t="s">
        <v>37</v>
      </c>
      <c r="IO259" s="12" t="s">
        <v>37</v>
      </c>
      <c r="IP259" s="12" t="s">
        <v>37</v>
      </c>
      <c r="IQ259" s="12" t="s">
        <v>37</v>
      </c>
      <c r="IV259" s="32" t="s">
        <v>372</v>
      </c>
      <c r="IW259" s="12">
        <v>4.0999999999999996</v>
      </c>
      <c r="IX259" s="50">
        <f t="shared" si="1167"/>
        <v>0.15011224477489485</v>
      </c>
      <c r="IY259" s="13">
        <v>3</v>
      </c>
      <c r="JC259" s="12"/>
      <c r="JH259" s="12" t="s">
        <v>37</v>
      </c>
      <c r="JI259" s="12" t="s">
        <v>37</v>
      </c>
      <c r="JJ259" s="13" t="s">
        <v>37</v>
      </c>
      <c r="JL259" s="12" t="s">
        <v>37</v>
      </c>
      <c r="JM259" s="12" t="s">
        <v>37</v>
      </c>
      <c r="JN259" s="12" t="s">
        <v>37</v>
      </c>
      <c r="JS259" s="12" t="s">
        <v>37</v>
      </c>
      <c r="JT259" s="12" t="s">
        <v>37</v>
      </c>
      <c r="JU259" s="13" t="s">
        <v>37</v>
      </c>
      <c r="JW259" s="12" t="s">
        <v>37</v>
      </c>
      <c r="JX259" s="12" t="s">
        <v>37</v>
      </c>
      <c r="JY259" s="12" t="s">
        <v>37</v>
      </c>
      <c r="KE259" s="12" t="s">
        <v>37</v>
      </c>
      <c r="KF259" s="12" t="s">
        <v>37</v>
      </c>
      <c r="KG259" s="13" t="s">
        <v>37</v>
      </c>
      <c r="KH259" s="12" t="s">
        <v>37</v>
      </c>
      <c r="KI259" s="12" t="s">
        <v>37</v>
      </c>
      <c r="KJ259" s="12" t="s">
        <v>37</v>
      </c>
      <c r="KK259" s="12" t="s">
        <v>391</v>
      </c>
      <c r="KL259" s="32" t="s">
        <v>372</v>
      </c>
      <c r="KM259" s="12">
        <v>110</v>
      </c>
      <c r="KN259" s="50">
        <f>ABS(KM259)*KP$474</f>
        <v>13.122234552334543</v>
      </c>
      <c r="KO259" s="11">
        <v>3</v>
      </c>
      <c r="KS259" s="12"/>
      <c r="KX259" s="12" t="s">
        <v>37</v>
      </c>
      <c r="KY259" s="12" t="s">
        <v>37</v>
      </c>
      <c r="KZ259" s="12" t="s">
        <v>37</v>
      </c>
      <c r="LB259" s="12" t="s">
        <v>37</v>
      </c>
      <c r="LC259" s="12" t="s">
        <v>37</v>
      </c>
      <c r="LD259" s="12" t="s">
        <v>37</v>
      </c>
      <c r="LI259" s="12" t="s">
        <v>37</v>
      </c>
      <c r="LJ259" s="12" t="s">
        <v>37</v>
      </c>
      <c r="LK259" s="12" t="s">
        <v>37</v>
      </c>
      <c r="LM259" s="12" t="s">
        <v>37</v>
      </c>
      <c r="LN259" s="12" t="s">
        <v>37</v>
      </c>
      <c r="LO259" s="12" t="s">
        <v>37</v>
      </c>
      <c r="LU259" s="12" t="s">
        <v>37</v>
      </c>
      <c r="LV259" s="12" t="s">
        <v>37</v>
      </c>
      <c r="LW259" s="12" t="s">
        <v>37</v>
      </c>
      <c r="LY259" s="12" t="s">
        <v>37</v>
      </c>
      <c r="LZ259" s="12" t="s">
        <v>37</v>
      </c>
      <c r="MA259" s="12" t="s">
        <v>37</v>
      </c>
      <c r="MF259" s="12" t="s">
        <v>37</v>
      </c>
      <c r="MG259" s="12" t="s">
        <v>37</v>
      </c>
      <c r="MH259" s="12" t="s">
        <v>37</v>
      </c>
      <c r="MJ259" s="12" t="s">
        <v>37</v>
      </c>
      <c r="MK259" s="12" t="s">
        <v>37</v>
      </c>
      <c r="ML259" s="12" t="s">
        <v>37</v>
      </c>
      <c r="MQ259" s="12" t="s">
        <v>37</v>
      </c>
      <c r="MR259" s="12" t="s">
        <v>37</v>
      </c>
      <c r="MS259" s="12" t="s">
        <v>37</v>
      </c>
      <c r="MU259" s="12" t="s">
        <v>37</v>
      </c>
      <c r="MV259" s="12" t="s">
        <v>37</v>
      </c>
      <c r="MW259" s="12" t="s">
        <v>37</v>
      </c>
      <c r="NC259" s="12" t="s">
        <v>37</v>
      </c>
      <c r="ND259" s="12" t="s">
        <v>37</v>
      </c>
      <c r="NE259" s="12" t="s">
        <v>37</v>
      </c>
      <c r="NG259" s="12" t="s">
        <v>37</v>
      </c>
      <c r="NH259" s="12" t="s">
        <v>37</v>
      </c>
      <c r="NI259" s="12" t="s">
        <v>37</v>
      </c>
      <c r="NO259" s="12" t="s">
        <v>37</v>
      </c>
      <c r="NP259" s="12" t="s">
        <v>37</v>
      </c>
      <c r="NQ259" s="12" t="s">
        <v>37</v>
      </c>
      <c r="NS259" s="12" t="s">
        <v>37</v>
      </c>
      <c r="NT259" s="12" t="s">
        <v>37</v>
      </c>
      <c r="NU259" s="12" t="s">
        <v>37</v>
      </c>
      <c r="OA259" s="12" t="s">
        <v>37</v>
      </c>
      <c r="OB259" s="12" t="s">
        <v>37</v>
      </c>
      <c r="OC259" s="12" t="s">
        <v>37</v>
      </c>
      <c r="OD259" s="12"/>
      <c r="OE259" s="12" t="s">
        <v>37</v>
      </c>
      <c r="OF259" s="12" t="s">
        <v>37</v>
      </c>
      <c r="OG259" s="12" t="s">
        <v>37</v>
      </c>
      <c r="OH259" s="12"/>
      <c r="OI259" s="12"/>
      <c r="OJ259" s="12"/>
      <c r="OM259" s="12" t="s">
        <v>37</v>
      </c>
      <c r="ON259" s="12" t="s">
        <v>37</v>
      </c>
      <c r="OO259" s="12" t="s">
        <v>37</v>
      </c>
      <c r="OP259" s="12" t="s">
        <v>37</v>
      </c>
      <c r="OQ259" s="12" t="s">
        <v>37</v>
      </c>
      <c r="OR259" s="12" t="s">
        <v>37</v>
      </c>
      <c r="OS259" s="12"/>
      <c r="OT259" s="12"/>
      <c r="OW259" s="12" t="s">
        <v>37</v>
      </c>
      <c r="OX259" s="12" t="s">
        <v>37</v>
      </c>
      <c r="OY259" s="13" t="s">
        <v>37</v>
      </c>
      <c r="OZ259" s="12" t="s">
        <v>37</v>
      </c>
      <c r="PA259" s="12" t="s">
        <v>37</v>
      </c>
      <c r="PB259" s="13" t="s">
        <v>37</v>
      </c>
      <c r="PG259" s="12" t="s">
        <v>37</v>
      </c>
      <c r="PH259" s="12" t="s">
        <v>37</v>
      </c>
      <c r="PI259" s="12" t="s">
        <v>37</v>
      </c>
      <c r="PJ259" s="12" t="s">
        <v>37</v>
      </c>
      <c r="PK259" s="12" t="s">
        <v>37</v>
      </c>
      <c r="PL259" s="12" t="s">
        <v>37</v>
      </c>
      <c r="PM259" s="12"/>
      <c r="PN259" s="12"/>
      <c r="PQ259" s="12" t="s">
        <v>37</v>
      </c>
      <c r="PR259" s="12" t="s">
        <v>37</v>
      </c>
      <c r="PS259" s="12" t="s">
        <v>37</v>
      </c>
      <c r="PT259" s="12" t="s">
        <v>37</v>
      </c>
      <c r="PU259" s="12" t="s">
        <v>37</v>
      </c>
      <c r="PV259" s="12" t="s">
        <v>37</v>
      </c>
      <c r="PW259" s="12"/>
      <c r="PX259" s="12"/>
      <c r="PZ259" s="12" t="s">
        <v>37</v>
      </c>
      <c r="QA259" s="12" t="s">
        <v>37</v>
      </c>
      <c r="QB259" s="12" t="s">
        <v>37</v>
      </c>
      <c r="QD259" s="12" t="s">
        <v>37</v>
      </c>
      <c r="QE259" s="12" t="s">
        <v>37</v>
      </c>
      <c r="QF259" s="12" t="s">
        <v>37</v>
      </c>
      <c r="QK259" s="12" t="s">
        <v>37</v>
      </c>
      <c r="QL259" s="12" t="s">
        <v>37</v>
      </c>
      <c r="QM259" s="12" t="s">
        <v>37</v>
      </c>
      <c r="QN259" s="12" t="s">
        <v>37</v>
      </c>
      <c r="QO259" s="12" t="s">
        <v>37</v>
      </c>
      <c r="QP259" s="12" t="s">
        <v>37</v>
      </c>
      <c r="QQ259" s="12"/>
      <c r="QR259" s="12"/>
      <c r="QU259" s="12" t="s">
        <v>37</v>
      </c>
      <c r="QV259" s="12" t="s">
        <v>37</v>
      </c>
      <c r="QW259" s="12" t="s">
        <v>37</v>
      </c>
      <c r="QX259" s="12" t="s">
        <v>37</v>
      </c>
      <c r="QY259" s="12" t="s">
        <v>37</v>
      </c>
      <c r="QZ259" s="12" t="s">
        <v>37</v>
      </c>
      <c r="RC259" s="12" t="s">
        <v>37</v>
      </c>
      <c r="RD259" s="12" t="s">
        <v>37</v>
      </c>
      <c r="RE259" s="13" t="s">
        <v>37</v>
      </c>
      <c r="RF259" s="12" t="s">
        <v>37</v>
      </c>
      <c r="RG259" s="12" t="s">
        <v>37</v>
      </c>
      <c r="RH259" s="13" t="s">
        <v>37</v>
      </c>
      <c r="RK259" s="12" t="s">
        <v>37</v>
      </c>
      <c r="RL259" s="12" t="s">
        <v>37</v>
      </c>
      <c r="RM259" s="11" t="s">
        <v>37</v>
      </c>
      <c r="RN259" s="12" t="s">
        <v>37</v>
      </c>
      <c r="RO259" s="12" t="s">
        <v>37</v>
      </c>
      <c r="RP259" s="11" t="s">
        <v>37</v>
      </c>
      <c r="RS259" s="12" t="s">
        <v>37</v>
      </c>
      <c r="RT259" s="12" t="s">
        <v>37</v>
      </c>
      <c r="RU259" s="12" t="s">
        <v>37</v>
      </c>
      <c r="RV259" s="12" t="s">
        <v>37</v>
      </c>
      <c r="RW259" s="12" t="s">
        <v>37</v>
      </c>
      <c r="RX259" s="12" t="s">
        <v>37</v>
      </c>
      <c r="SA259" s="12" t="s">
        <v>37</v>
      </c>
      <c r="SB259" s="12" t="s">
        <v>37</v>
      </c>
      <c r="SC259" s="12" t="s">
        <v>37</v>
      </c>
      <c r="SD259" s="12" t="s">
        <v>37</v>
      </c>
      <c r="SE259" s="12" t="s">
        <v>37</v>
      </c>
      <c r="SF259" s="12" t="s">
        <v>37</v>
      </c>
      <c r="SI259" s="12" t="s">
        <v>37</v>
      </c>
      <c r="SJ259" s="12" t="s">
        <v>37</v>
      </c>
      <c r="SK259" s="13" t="s">
        <v>37</v>
      </c>
      <c r="SM259" s="12" t="s">
        <v>37</v>
      </c>
      <c r="SN259" s="12" t="s">
        <v>37</v>
      </c>
      <c r="SO259" s="13" t="s">
        <v>37</v>
      </c>
      <c r="SU259" s="12" t="s">
        <v>37</v>
      </c>
      <c r="SV259" s="12" t="s">
        <v>37</v>
      </c>
      <c r="SW259" s="12" t="s">
        <v>37</v>
      </c>
      <c r="SX259" s="12" t="s">
        <v>37</v>
      </c>
      <c r="SY259" s="12" t="s">
        <v>37</v>
      </c>
      <c r="SZ259" s="12" t="s">
        <v>37</v>
      </c>
      <c r="TA259" s="12"/>
      <c r="TB259" s="12"/>
      <c r="TE259" s="12" t="s">
        <v>37</v>
      </c>
      <c r="TF259" s="12" t="s">
        <v>37</v>
      </c>
      <c r="TG259" s="12" t="s">
        <v>37</v>
      </c>
      <c r="TH259" s="12" t="s">
        <v>37</v>
      </c>
      <c r="TI259" s="12" t="s">
        <v>37</v>
      </c>
      <c r="TJ259" s="12" t="s">
        <v>37</v>
      </c>
      <c r="TK259" s="12"/>
      <c r="TL259" s="12"/>
      <c r="TO259" s="12" t="s">
        <v>37</v>
      </c>
      <c r="TP259" s="12" t="s">
        <v>37</v>
      </c>
      <c r="TQ259" s="12" t="s">
        <v>37</v>
      </c>
      <c r="TR259" s="12" t="s">
        <v>37</v>
      </c>
      <c r="TS259" s="12" t="s">
        <v>37</v>
      </c>
      <c r="TT259" s="12" t="s">
        <v>37</v>
      </c>
      <c r="TU259" s="12"/>
      <c r="TV259" s="12"/>
      <c r="TY259" s="12" t="s">
        <v>37</v>
      </c>
      <c r="TZ259" s="12" t="s">
        <v>37</v>
      </c>
      <c r="UA259" s="12" t="s">
        <v>37</v>
      </c>
      <c r="UB259" s="12" t="s">
        <v>37</v>
      </c>
      <c r="UC259" s="12" t="s">
        <v>37</v>
      </c>
      <c r="UD259" s="12" t="s">
        <v>37</v>
      </c>
      <c r="UE259" s="12"/>
      <c r="UF259" s="12"/>
      <c r="UI259" s="12" t="s">
        <v>37</v>
      </c>
      <c r="UJ259" s="12" t="s">
        <v>37</v>
      </c>
      <c r="UK259" s="12" t="s">
        <v>37</v>
      </c>
      <c r="UL259" s="12" t="s">
        <v>37</v>
      </c>
      <c r="UM259" s="12" t="s">
        <v>37</v>
      </c>
      <c r="UN259" s="12" t="s">
        <v>37</v>
      </c>
      <c r="UO259" s="12"/>
      <c r="UP259" s="12"/>
      <c r="UR259" s="12" t="s">
        <v>37</v>
      </c>
      <c r="US259" s="12" t="s">
        <v>37</v>
      </c>
      <c r="UT259" s="12" t="s">
        <v>37</v>
      </c>
      <c r="UU259" s="12" t="s">
        <v>37</v>
      </c>
      <c r="UV259" s="12" t="s">
        <v>37</v>
      </c>
      <c r="UW259" s="12" t="s">
        <v>37</v>
      </c>
      <c r="UX259" s="12"/>
      <c r="UY259" s="12"/>
      <c r="VB259" s="12" t="s">
        <v>37</v>
      </c>
      <c r="VC259" s="12" t="s">
        <v>37</v>
      </c>
      <c r="VD259" s="12" t="s">
        <v>37</v>
      </c>
      <c r="VE259" s="12" t="s">
        <v>37</v>
      </c>
      <c r="VF259" s="12" t="s">
        <v>37</v>
      </c>
      <c r="VG259" s="12" t="s">
        <v>37</v>
      </c>
      <c r="VI259" s="12" t="s">
        <v>37</v>
      </c>
      <c r="VJ259" s="12" t="s">
        <v>37</v>
      </c>
      <c r="VK259" s="12" t="s">
        <v>37</v>
      </c>
      <c r="VL259" s="12" t="s">
        <v>37</v>
      </c>
      <c r="VM259" s="12" t="s">
        <v>37</v>
      </c>
      <c r="VN259" s="12" t="s">
        <v>37</v>
      </c>
      <c r="VQ259" s="12" t="s">
        <v>37</v>
      </c>
      <c r="VR259" s="12" t="s">
        <v>37</v>
      </c>
      <c r="VS259" s="12" t="s">
        <v>37</v>
      </c>
      <c r="VT259" s="12" t="s">
        <v>37</v>
      </c>
      <c r="VU259" s="12" t="s">
        <v>37</v>
      </c>
      <c r="VV259" s="12" t="s">
        <v>37</v>
      </c>
      <c r="VW259" s="12"/>
      <c r="VX259" s="12"/>
      <c r="WA259" s="12" t="s">
        <v>37</v>
      </c>
      <c r="WB259" s="12" t="s">
        <v>37</v>
      </c>
      <c r="WC259" s="12" t="s">
        <v>37</v>
      </c>
      <c r="WD259" s="12" t="s">
        <v>37</v>
      </c>
      <c r="WE259" s="12" t="s">
        <v>37</v>
      </c>
      <c r="WF259" s="12" t="s">
        <v>37</v>
      </c>
    </row>
    <row r="260" spans="1:604" ht="18" customHeight="1" x14ac:dyDescent="0.3">
      <c r="A260" s="11">
        <v>66</v>
      </c>
      <c r="B260" s="16" t="s">
        <v>388</v>
      </c>
      <c r="C260" s="12" t="s">
        <v>26</v>
      </c>
      <c r="D260" s="12" t="s">
        <v>54</v>
      </c>
      <c r="E260" s="40" t="s">
        <v>37</v>
      </c>
      <c r="F260" s="14">
        <v>0</v>
      </c>
      <c r="G260" s="14">
        <v>0</v>
      </c>
      <c r="H260" s="12" t="s">
        <v>123</v>
      </c>
      <c r="I260" s="29">
        <v>61.783000000000001</v>
      </c>
      <c r="J260" s="29">
        <v>24.3</v>
      </c>
      <c r="K260" s="12" t="s">
        <v>775</v>
      </c>
      <c r="L260" s="12" t="s">
        <v>709</v>
      </c>
      <c r="M260" s="13" t="s">
        <v>37</v>
      </c>
      <c r="N260" s="13" t="s">
        <v>37</v>
      </c>
      <c r="O260" s="13" t="s">
        <v>37</v>
      </c>
      <c r="P260" s="14" t="s">
        <v>84</v>
      </c>
      <c r="Q260" s="75">
        <v>30</v>
      </c>
      <c r="R260" s="11" t="s">
        <v>1000</v>
      </c>
      <c r="S260" s="12" t="s">
        <v>85</v>
      </c>
      <c r="T260" s="12" t="s">
        <v>138</v>
      </c>
      <c r="U260" s="12" t="s">
        <v>158</v>
      </c>
      <c r="V260" s="12" t="s">
        <v>275</v>
      </c>
      <c r="W260" s="23" t="s">
        <v>376</v>
      </c>
      <c r="X260" s="12" t="s">
        <v>280</v>
      </c>
      <c r="Y260" s="12" t="s">
        <v>37</v>
      </c>
      <c r="Z260" s="12" t="s">
        <v>37</v>
      </c>
      <c r="AA260" s="32" t="s">
        <v>372</v>
      </c>
      <c r="AB260" s="12">
        <v>5</v>
      </c>
      <c r="AE260" s="12" t="s">
        <v>37</v>
      </c>
      <c r="AF260" s="12" t="s">
        <v>391</v>
      </c>
      <c r="AG260" s="32" t="s">
        <v>372</v>
      </c>
      <c r="AH260" s="12">
        <v>1300</v>
      </c>
      <c r="AK260" s="12" t="s">
        <v>37</v>
      </c>
      <c r="AL260" s="32">
        <v>1992</v>
      </c>
      <c r="AM260" s="12" t="s">
        <v>317</v>
      </c>
      <c r="AN260" s="32" t="s">
        <v>880</v>
      </c>
      <c r="AO260" s="12" t="s">
        <v>37</v>
      </c>
      <c r="AP260" s="12" t="s">
        <v>238</v>
      </c>
      <c r="AQ260" s="12" t="s">
        <v>975</v>
      </c>
      <c r="AT260" s="12" t="s">
        <v>326</v>
      </c>
      <c r="AU260" s="12" t="s">
        <v>326</v>
      </c>
      <c r="AV260" s="13" t="s">
        <v>326</v>
      </c>
      <c r="AX260" s="12" t="s">
        <v>326</v>
      </c>
      <c r="AY260" s="12" t="s">
        <v>326</v>
      </c>
      <c r="AZ260" s="13" t="s">
        <v>326</v>
      </c>
      <c r="BE260" s="12" t="s">
        <v>326</v>
      </c>
      <c r="BF260" s="12" t="s">
        <v>326</v>
      </c>
      <c r="BG260" s="12" t="s">
        <v>326</v>
      </c>
      <c r="BI260" s="12" t="s">
        <v>326</v>
      </c>
      <c r="BJ260" s="12" t="s">
        <v>326</v>
      </c>
      <c r="BK260" s="12" t="s">
        <v>326</v>
      </c>
      <c r="BP260" s="12" t="s">
        <v>37</v>
      </c>
      <c r="BQ260" s="12" t="s">
        <v>37</v>
      </c>
      <c r="BR260" s="13" t="s">
        <v>37</v>
      </c>
      <c r="BT260" s="12" t="s">
        <v>37</v>
      </c>
      <c r="BU260" s="12" t="s">
        <v>37</v>
      </c>
      <c r="BV260" s="12" t="s">
        <v>37</v>
      </c>
      <c r="CA260" s="12" t="s">
        <v>37</v>
      </c>
      <c r="CB260" s="12" t="s">
        <v>37</v>
      </c>
      <c r="CC260" s="13" t="s">
        <v>37</v>
      </c>
      <c r="CE260" s="12" t="s">
        <v>37</v>
      </c>
      <c r="CF260" s="12" t="s">
        <v>37</v>
      </c>
      <c r="CG260" s="12" t="s">
        <v>37</v>
      </c>
      <c r="CN260" s="12" t="s">
        <v>37</v>
      </c>
      <c r="CO260" s="12" t="s">
        <v>37</v>
      </c>
      <c r="CP260" s="13" t="s">
        <v>37</v>
      </c>
      <c r="CR260" s="12" t="s">
        <v>37</v>
      </c>
      <c r="CS260" s="12" t="s">
        <v>37</v>
      </c>
      <c r="CT260" s="13" t="s">
        <v>37</v>
      </c>
      <c r="CX260" s="72"/>
      <c r="CY260" s="72"/>
      <c r="DA260" s="12" t="s">
        <v>37</v>
      </c>
      <c r="DB260" s="12" t="s">
        <v>37</v>
      </c>
      <c r="DC260" s="13" t="s">
        <v>37</v>
      </c>
      <c r="DE260" s="12" t="s">
        <v>37</v>
      </c>
      <c r="DF260" s="12" t="s">
        <v>37</v>
      </c>
      <c r="DG260" s="12" t="s">
        <v>37</v>
      </c>
      <c r="DN260" s="19" t="s">
        <v>37</v>
      </c>
      <c r="DO260" s="12" t="s">
        <v>37</v>
      </c>
      <c r="DP260" s="13" t="s">
        <v>37</v>
      </c>
      <c r="DR260" s="19" t="s">
        <v>37</v>
      </c>
      <c r="DS260" s="12" t="s">
        <v>37</v>
      </c>
      <c r="DT260" s="13" t="s">
        <v>37</v>
      </c>
      <c r="DZ260" s="11" t="s">
        <v>47</v>
      </c>
      <c r="EA260" s="19">
        <f>23*10^4*("1991/9/30"-"1991/05/01")/10^9/'[3]classess-1'!$I$22</f>
        <v>4.7842000883736184E-2</v>
      </c>
      <c r="EB260" s="19">
        <f>SQRT((1/[5]Classess!$I$22)^2*(12*SQRT(3)*10^4*("1991/9/30"-"1991/05/01")/10^9)^2+(-EA260/([5]Classess!$I$22)^2)^2*([5]Classess!$J$22)^2)</f>
        <v>4.4106351316338478E-2</v>
      </c>
      <c r="EC260" s="72">
        <v>3</v>
      </c>
      <c r="ED260" s="52">
        <f t="shared" si="1166"/>
        <v>0.92191694539540814</v>
      </c>
      <c r="EE260" s="19">
        <f>260*10^4*("1991/9/30"-"1991/05/01")/10^9/'[3]classess-1'!$I$23</f>
        <v>0.82820132990929607</v>
      </c>
      <c r="EF260" s="19">
        <f>SQRT((1/[5]Classess!$I$23)^2*(91*SQRT(3)*10^4*("1991/9/30"-"1991/05/01")/10^9)^2+(-EE260/([5]Classess!$I$23)^2)^2*([5]Classess!$J$23)^2)</f>
        <v>0.5966246705874263</v>
      </c>
      <c r="EG260" s="13">
        <v>3</v>
      </c>
      <c r="EH260" s="52">
        <f t="shared" si="1168"/>
        <v>0.72038603301055815</v>
      </c>
      <c r="EI260" s="19">
        <f t="shared" si="1169"/>
        <v>0.78035932902555993</v>
      </c>
      <c r="EJ260" s="12">
        <f t="shared" si="1170"/>
        <v>0.42302858519253472</v>
      </c>
      <c r="EK260" s="19">
        <f t="shared" si="1171"/>
        <v>0.11930212259333173</v>
      </c>
      <c r="EL260" s="19">
        <f t="shared" si="1172"/>
        <v>0.11930212259333173</v>
      </c>
      <c r="EM260" s="12" t="s">
        <v>39</v>
      </c>
      <c r="EN260" s="12">
        <v>-4</v>
      </c>
      <c r="EO260" s="50">
        <f t="shared" si="1156"/>
        <v>1.6299855950051734</v>
      </c>
      <c r="EP260" s="13">
        <v>3</v>
      </c>
      <c r="ER260" s="12">
        <v>-31</v>
      </c>
      <c r="ES260" s="50">
        <f>ABS(ER260)*EU$474</f>
        <v>7.0312356587850191</v>
      </c>
      <c r="ET260" s="13">
        <v>3</v>
      </c>
      <c r="EV260" s="19">
        <f t="shared" ref="EV260:EV262" si="1182">ER260-EN260</f>
        <v>-27</v>
      </c>
      <c r="EW260" s="12">
        <f t="shared" ref="EW260:EW262" si="1183">SQRT(((EP260-1)*EO260^2+(ET260-1)*ES260^2)/(EP260+ET260-2))</f>
        <v>5.1036814129260835</v>
      </c>
      <c r="EX260" s="19">
        <f t="shared" ref="EX260:EX262" si="1184">(((EP260+ET260)/(EP260*ET260))*(((EP260-1)*EO260^2)+(ET260-1)*ES260^2)/(EP260+ET260-2))</f>
        <v>17.365042643098121</v>
      </c>
      <c r="EY260" s="19">
        <f t="shared" ref="EY260:EY262" si="1185">(EO260^2/EP260)+(ES260^2/ET260)</f>
        <v>17.365042643098121</v>
      </c>
      <c r="FB260" s="12" t="s">
        <v>37</v>
      </c>
      <c r="FC260" s="12" t="s">
        <v>37</v>
      </c>
      <c r="FD260" s="12" t="s">
        <v>37</v>
      </c>
      <c r="FE260" s="12" t="s">
        <v>37</v>
      </c>
      <c r="FF260" s="20" t="s">
        <v>37</v>
      </c>
      <c r="FG260" s="12" t="s">
        <v>37</v>
      </c>
      <c r="FI260" s="12" t="s">
        <v>37</v>
      </c>
      <c r="FJ260" s="12" t="s">
        <v>37</v>
      </c>
      <c r="FK260" s="12" t="s">
        <v>37</v>
      </c>
      <c r="FL260" s="12" t="s">
        <v>37</v>
      </c>
      <c r="FM260" s="12" t="s">
        <v>37</v>
      </c>
      <c r="FN260" s="12" t="s">
        <v>37</v>
      </c>
      <c r="FP260" s="12" t="s">
        <v>37</v>
      </c>
      <c r="FQ260" s="12" t="s">
        <v>37</v>
      </c>
      <c r="FR260" s="12" t="s">
        <v>37</v>
      </c>
      <c r="FS260" s="12" t="s">
        <v>37</v>
      </c>
      <c r="FT260" s="12" t="s">
        <v>37</v>
      </c>
      <c r="FU260" s="12" t="s">
        <v>37</v>
      </c>
      <c r="FW260" s="12" t="s">
        <v>37</v>
      </c>
      <c r="FX260" s="12" t="s">
        <v>37</v>
      </c>
      <c r="FY260" s="12" t="s">
        <v>37</v>
      </c>
      <c r="FZ260" s="12" t="s">
        <v>37</v>
      </c>
      <c r="GA260" s="12" t="s">
        <v>37</v>
      </c>
      <c r="GB260" s="12" t="s">
        <v>37</v>
      </c>
      <c r="IK260" s="12" t="s">
        <v>37</v>
      </c>
      <c r="IL260" s="12" t="s">
        <v>37</v>
      </c>
      <c r="IM260" s="12" t="s">
        <v>37</v>
      </c>
      <c r="IO260" s="12" t="s">
        <v>37</v>
      </c>
      <c r="IP260" s="12" t="s">
        <v>37</v>
      </c>
      <c r="IQ260" s="12" t="s">
        <v>37</v>
      </c>
      <c r="IV260" s="32" t="s">
        <v>372</v>
      </c>
      <c r="IW260" s="12">
        <v>5</v>
      </c>
      <c r="IX260" s="50">
        <f t="shared" si="1167"/>
        <v>0.18306371314011569</v>
      </c>
      <c r="IY260" s="13">
        <v>3</v>
      </c>
      <c r="JA260" s="12">
        <v>4.5999999999999996</v>
      </c>
      <c r="JB260" s="50">
        <f>ABS(JA260)*JD$474</f>
        <v>0.12884052041423269</v>
      </c>
      <c r="JC260" s="13">
        <v>3</v>
      </c>
      <c r="JE260" s="19">
        <f t="shared" ref="JE260:JE261" si="1186">LN(JA260/IW260)</f>
        <v>-8.3381608939051138E-2</v>
      </c>
      <c r="JF260" s="19">
        <f t="shared" si="1162"/>
        <v>7.0832876411330761E-4</v>
      </c>
      <c r="JH260" s="12" t="s">
        <v>37</v>
      </c>
      <c r="JI260" s="12" t="s">
        <v>37</v>
      </c>
      <c r="JJ260" s="13" t="s">
        <v>37</v>
      </c>
      <c r="JL260" s="12" t="s">
        <v>37</v>
      </c>
      <c r="JM260" s="12" t="s">
        <v>37</v>
      </c>
      <c r="JN260" s="12" t="s">
        <v>37</v>
      </c>
      <c r="JS260" s="12" t="s">
        <v>37</v>
      </c>
      <c r="JT260" s="12" t="s">
        <v>37</v>
      </c>
      <c r="JU260" s="13" t="s">
        <v>37</v>
      </c>
      <c r="JW260" s="12" t="s">
        <v>37</v>
      </c>
      <c r="JX260" s="12" t="s">
        <v>37</v>
      </c>
      <c r="JY260" s="12" t="s">
        <v>37</v>
      </c>
      <c r="KE260" s="12" t="s">
        <v>37</v>
      </c>
      <c r="KF260" s="12" t="s">
        <v>37</v>
      </c>
      <c r="KG260" s="13" t="s">
        <v>37</v>
      </c>
      <c r="KH260" s="12" t="s">
        <v>37</v>
      </c>
      <c r="KI260" s="12" t="s">
        <v>37</v>
      </c>
      <c r="KJ260" s="12" t="s">
        <v>37</v>
      </c>
      <c r="KK260" s="12" t="s">
        <v>391</v>
      </c>
      <c r="KL260" s="32" t="s">
        <v>372</v>
      </c>
      <c r="KM260" s="12">
        <v>1300</v>
      </c>
      <c r="KN260" s="50">
        <f>ABS(KM260)*KP$474</f>
        <v>155.08095380031733</v>
      </c>
      <c r="KO260" s="11">
        <v>3</v>
      </c>
      <c r="KQ260" s="12">
        <v>2300</v>
      </c>
      <c r="KR260" s="50">
        <f>ABS(KQ260)*KT$474</f>
        <v>242.51988938786451</v>
      </c>
      <c r="KS260" s="11">
        <v>3</v>
      </c>
      <c r="KU260" s="19">
        <f t="shared" ref="KU260:KU261" si="1187">LN(KQ260/KM260)</f>
        <v>0.57054485846761294</v>
      </c>
      <c r="KV260" s="19">
        <f t="shared" ref="KV260:KV268" si="1188">KR260^2/(KS260*KQ260^2)+KN260^2/(KO260*KM260^2)</f>
        <v>8.4497155628593234E-3</v>
      </c>
      <c r="KX260" s="12" t="s">
        <v>37</v>
      </c>
      <c r="KY260" s="12" t="s">
        <v>37</v>
      </c>
      <c r="KZ260" s="12" t="s">
        <v>37</v>
      </c>
      <c r="LB260" s="12" t="s">
        <v>37</v>
      </c>
      <c r="LC260" s="12" t="s">
        <v>37</v>
      </c>
      <c r="LD260" s="12" t="s">
        <v>37</v>
      </c>
      <c r="LI260" s="12" t="s">
        <v>37</v>
      </c>
      <c r="LJ260" s="12" t="s">
        <v>37</v>
      </c>
      <c r="LK260" s="12" t="s">
        <v>37</v>
      </c>
      <c r="LM260" s="12" t="s">
        <v>37</v>
      </c>
      <c r="LN260" s="12" t="s">
        <v>37</v>
      </c>
      <c r="LO260" s="12" t="s">
        <v>37</v>
      </c>
      <c r="LU260" s="12" t="s">
        <v>37</v>
      </c>
      <c r="LV260" s="12" t="s">
        <v>37</v>
      </c>
      <c r="LW260" s="12" t="s">
        <v>37</v>
      </c>
      <c r="LY260" s="12" t="s">
        <v>37</v>
      </c>
      <c r="LZ260" s="12" t="s">
        <v>37</v>
      </c>
      <c r="MA260" s="12" t="s">
        <v>37</v>
      </c>
      <c r="MF260" s="12" t="s">
        <v>37</v>
      </c>
      <c r="MG260" s="12" t="s">
        <v>37</v>
      </c>
      <c r="MH260" s="12" t="s">
        <v>37</v>
      </c>
      <c r="MJ260" s="12" t="s">
        <v>37</v>
      </c>
      <c r="MK260" s="12" t="s">
        <v>37</v>
      </c>
      <c r="ML260" s="12" t="s">
        <v>37</v>
      </c>
      <c r="MQ260" s="12" t="s">
        <v>37</v>
      </c>
      <c r="MR260" s="12" t="s">
        <v>37</v>
      </c>
      <c r="MS260" s="12" t="s">
        <v>37</v>
      </c>
      <c r="MU260" s="12" t="s">
        <v>37</v>
      </c>
      <c r="MV260" s="12" t="s">
        <v>37</v>
      </c>
      <c r="MW260" s="12" t="s">
        <v>37</v>
      </c>
      <c r="NC260" s="12" t="s">
        <v>37</v>
      </c>
      <c r="ND260" s="12" t="s">
        <v>37</v>
      </c>
      <c r="NE260" s="12" t="s">
        <v>37</v>
      </c>
      <c r="NG260" s="12" t="s">
        <v>37</v>
      </c>
      <c r="NH260" s="12" t="s">
        <v>37</v>
      </c>
      <c r="NI260" s="12" t="s">
        <v>37</v>
      </c>
      <c r="NO260" s="12" t="s">
        <v>37</v>
      </c>
      <c r="NP260" s="12" t="s">
        <v>37</v>
      </c>
      <c r="NQ260" s="12" t="s">
        <v>37</v>
      </c>
      <c r="NS260" s="12" t="s">
        <v>37</v>
      </c>
      <c r="NT260" s="12" t="s">
        <v>37</v>
      </c>
      <c r="NU260" s="12" t="s">
        <v>37</v>
      </c>
      <c r="OA260" s="12" t="s">
        <v>37</v>
      </c>
      <c r="OB260" s="12" t="s">
        <v>37</v>
      </c>
      <c r="OC260" s="12" t="s">
        <v>37</v>
      </c>
      <c r="OD260" s="12"/>
      <c r="OE260" s="12" t="s">
        <v>37</v>
      </c>
      <c r="OF260" s="12" t="s">
        <v>37</v>
      </c>
      <c r="OG260" s="12" t="s">
        <v>37</v>
      </c>
      <c r="OH260" s="12"/>
      <c r="OI260" s="12"/>
      <c r="OJ260" s="12"/>
      <c r="OM260" s="12" t="s">
        <v>37</v>
      </c>
      <c r="ON260" s="12" t="s">
        <v>37</v>
      </c>
      <c r="OO260" s="12" t="s">
        <v>37</v>
      </c>
      <c r="OP260" s="12" t="s">
        <v>37</v>
      </c>
      <c r="OQ260" s="12" t="s">
        <v>37</v>
      </c>
      <c r="OR260" s="12" t="s">
        <v>37</v>
      </c>
      <c r="OS260" s="12"/>
      <c r="OT260" s="12"/>
      <c r="OW260" s="12" t="s">
        <v>37</v>
      </c>
      <c r="OX260" s="12" t="s">
        <v>37</v>
      </c>
      <c r="OY260" s="13" t="s">
        <v>37</v>
      </c>
      <c r="OZ260" s="12" t="s">
        <v>37</v>
      </c>
      <c r="PA260" s="12" t="s">
        <v>37</v>
      </c>
      <c r="PB260" s="13" t="s">
        <v>37</v>
      </c>
      <c r="PG260" s="12" t="s">
        <v>37</v>
      </c>
      <c r="PH260" s="12" t="s">
        <v>37</v>
      </c>
      <c r="PI260" s="12" t="s">
        <v>37</v>
      </c>
      <c r="PJ260" s="12" t="s">
        <v>37</v>
      </c>
      <c r="PK260" s="12" t="s">
        <v>37</v>
      </c>
      <c r="PL260" s="12" t="s">
        <v>37</v>
      </c>
      <c r="PM260" s="12"/>
      <c r="PN260" s="12"/>
      <c r="PQ260" s="12" t="s">
        <v>37</v>
      </c>
      <c r="PR260" s="12" t="s">
        <v>37</v>
      </c>
      <c r="PS260" s="12" t="s">
        <v>37</v>
      </c>
      <c r="PT260" s="12" t="s">
        <v>37</v>
      </c>
      <c r="PU260" s="12" t="s">
        <v>37</v>
      </c>
      <c r="PV260" s="12" t="s">
        <v>37</v>
      </c>
      <c r="PW260" s="12"/>
      <c r="PX260" s="12"/>
      <c r="PZ260" s="12" t="s">
        <v>37</v>
      </c>
      <c r="QA260" s="12" t="s">
        <v>37</v>
      </c>
      <c r="QB260" s="12" t="s">
        <v>37</v>
      </c>
      <c r="QD260" s="12" t="s">
        <v>37</v>
      </c>
      <c r="QE260" s="12" t="s">
        <v>37</v>
      </c>
      <c r="QF260" s="12" t="s">
        <v>37</v>
      </c>
      <c r="QK260" s="12" t="s">
        <v>37</v>
      </c>
      <c r="QL260" s="12" t="s">
        <v>37</v>
      </c>
      <c r="QM260" s="12" t="s">
        <v>37</v>
      </c>
      <c r="QN260" s="12" t="s">
        <v>37</v>
      </c>
      <c r="QO260" s="12" t="s">
        <v>37</v>
      </c>
      <c r="QP260" s="12" t="s">
        <v>37</v>
      </c>
      <c r="QQ260" s="12"/>
      <c r="QR260" s="12"/>
      <c r="QU260" s="12" t="s">
        <v>37</v>
      </c>
      <c r="QV260" s="12" t="s">
        <v>37</v>
      </c>
      <c r="QW260" s="12" t="s">
        <v>37</v>
      </c>
      <c r="QX260" s="12" t="s">
        <v>37</v>
      </c>
      <c r="QY260" s="12" t="s">
        <v>37</v>
      </c>
      <c r="QZ260" s="12" t="s">
        <v>37</v>
      </c>
      <c r="RC260" s="12" t="s">
        <v>37</v>
      </c>
      <c r="RD260" s="12" t="s">
        <v>37</v>
      </c>
      <c r="RE260" s="13" t="s">
        <v>37</v>
      </c>
      <c r="RF260" s="12" t="s">
        <v>37</v>
      </c>
      <c r="RG260" s="12" t="s">
        <v>37</v>
      </c>
      <c r="RH260" s="13" t="s">
        <v>37</v>
      </c>
      <c r="RK260" s="12" t="s">
        <v>37</v>
      </c>
      <c r="RL260" s="12" t="s">
        <v>37</v>
      </c>
      <c r="RM260" s="11" t="s">
        <v>37</v>
      </c>
      <c r="RN260" s="12" t="s">
        <v>37</v>
      </c>
      <c r="RO260" s="12" t="s">
        <v>37</v>
      </c>
      <c r="RP260" s="11" t="s">
        <v>37</v>
      </c>
      <c r="RS260" s="12" t="s">
        <v>37</v>
      </c>
      <c r="RT260" s="12" t="s">
        <v>37</v>
      </c>
      <c r="RU260" s="12" t="s">
        <v>37</v>
      </c>
      <c r="RV260" s="12" t="s">
        <v>37</v>
      </c>
      <c r="RW260" s="12" t="s">
        <v>37</v>
      </c>
      <c r="RX260" s="12" t="s">
        <v>37</v>
      </c>
      <c r="SA260" s="12" t="s">
        <v>37</v>
      </c>
      <c r="SB260" s="12" t="s">
        <v>37</v>
      </c>
      <c r="SC260" s="12" t="s">
        <v>37</v>
      </c>
      <c r="SD260" s="12" t="s">
        <v>37</v>
      </c>
      <c r="SE260" s="12" t="s">
        <v>37</v>
      </c>
      <c r="SF260" s="12" t="s">
        <v>37</v>
      </c>
      <c r="SI260" s="12" t="s">
        <v>37</v>
      </c>
      <c r="SJ260" s="12" t="s">
        <v>37</v>
      </c>
      <c r="SK260" s="13" t="s">
        <v>37</v>
      </c>
      <c r="SM260" s="12" t="s">
        <v>37</v>
      </c>
      <c r="SN260" s="12" t="s">
        <v>37</v>
      </c>
      <c r="SO260" s="13" t="s">
        <v>37</v>
      </c>
      <c r="SU260" s="12" t="s">
        <v>37</v>
      </c>
      <c r="SV260" s="12" t="s">
        <v>37</v>
      </c>
      <c r="SW260" s="12" t="s">
        <v>37</v>
      </c>
      <c r="SX260" s="12" t="s">
        <v>37</v>
      </c>
      <c r="SY260" s="12" t="s">
        <v>37</v>
      </c>
      <c r="SZ260" s="12" t="s">
        <v>37</v>
      </c>
      <c r="TA260" s="12"/>
      <c r="TB260" s="12"/>
      <c r="TE260" s="12" t="s">
        <v>37</v>
      </c>
      <c r="TF260" s="12" t="s">
        <v>37</v>
      </c>
      <c r="TG260" s="12" t="s">
        <v>37</v>
      </c>
      <c r="TH260" s="12" t="s">
        <v>37</v>
      </c>
      <c r="TI260" s="12" t="s">
        <v>37</v>
      </c>
      <c r="TJ260" s="12" t="s">
        <v>37</v>
      </c>
      <c r="TK260" s="12"/>
      <c r="TL260" s="12"/>
      <c r="TO260" s="12" t="s">
        <v>37</v>
      </c>
      <c r="TP260" s="12" t="s">
        <v>37</v>
      </c>
      <c r="TQ260" s="12" t="s">
        <v>37</v>
      </c>
      <c r="TR260" s="12" t="s">
        <v>37</v>
      </c>
      <c r="TS260" s="12" t="s">
        <v>37</v>
      </c>
      <c r="TT260" s="12" t="s">
        <v>37</v>
      </c>
      <c r="TU260" s="12"/>
      <c r="TV260" s="12"/>
      <c r="TY260" s="12" t="s">
        <v>37</v>
      </c>
      <c r="TZ260" s="12" t="s">
        <v>37</v>
      </c>
      <c r="UA260" s="12" t="s">
        <v>37</v>
      </c>
      <c r="UB260" s="12" t="s">
        <v>37</v>
      </c>
      <c r="UC260" s="12" t="s">
        <v>37</v>
      </c>
      <c r="UD260" s="12" t="s">
        <v>37</v>
      </c>
      <c r="UE260" s="12"/>
      <c r="UF260" s="12"/>
      <c r="UI260" s="12" t="s">
        <v>37</v>
      </c>
      <c r="UJ260" s="12" t="s">
        <v>37</v>
      </c>
      <c r="UK260" s="12" t="s">
        <v>37</v>
      </c>
      <c r="UL260" s="12" t="s">
        <v>37</v>
      </c>
      <c r="UM260" s="12" t="s">
        <v>37</v>
      </c>
      <c r="UN260" s="12" t="s">
        <v>37</v>
      </c>
      <c r="UO260" s="12"/>
      <c r="UP260" s="12"/>
      <c r="UR260" s="12" t="s">
        <v>37</v>
      </c>
      <c r="US260" s="12" t="s">
        <v>37</v>
      </c>
      <c r="UT260" s="12" t="s">
        <v>37</v>
      </c>
      <c r="UU260" s="12" t="s">
        <v>37</v>
      </c>
      <c r="UV260" s="12" t="s">
        <v>37</v>
      </c>
      <c r="UW260" s="12" t="s">
        <v>37</v>
      </c>
      <c r="UX260" s="12"/>
      <c r="UY260" s="12"/>
      <c r="VB260" s="12" t="s">
        <v>37</v>
      </c>
      <c r="VC260" s="12" t="s">
        <v>37</v>
      </c>
      <c r="VD260" s="12" t="s">
        <v>37</v>
      </c>
      <c r="VE260" s="12" t="s">
        <v>37</v>
      </c>
      <c r="VF260" s="12" t="s">
        <v>37</v>
      </c>
      <c r="VG260" s="12" t="s">
        <v>37</v>
      </c>
      <c r="VI260" s="12" t="s">
        <v>37</v>
      </c>
      <c r="VJ260" s="12" t="s">
        <v>37</v>
      </c>
      <c r="VK260" s="12" t="s">
        <v>37</v>
      </c>
      <c r="VL260" s="12" t="s">
        <v>37</v>
      </c>
      <c r="VM260" s="12" t="s">
        <v>37</v>
      </c>
      <c r="VN260" s="12" t="s">
        <v>37</v>
      </c>
      <c r="VQ260" s="12" t="s">
        <v>37</v>
      </c>
      <c r="VR260" s="12" t="s">
        <v>37</v>
      </c>
      <c r="VS260" s="12" t="s">
        <v>37</v>
      </c>
      <c r="VT260" s="12" t="s">
        <v>37</v>
      </c>
      <c r="VU260" s="12" t="s">
        <v>37</v>
      </c>
      <c r="VV260" s="12" t="s">
        <v>37</v>
      </c>
      <c r="VW260" s="12"/>
      <c r="VX260" s="12"/>
      <c r="WA260" s="12" t="s">
        <v>37</v>
      </c>
      <c r="WB260" s="12" t="s">
        <v>37</v>
      </c>
      <c r="WC260" s="12" t="s">
        <v>37</v>
      </c>
      <c r="WD260" s="12" t="s">
        <v>37</v>
      </c>
      <c r="WE260" s="12" t="s">
        <v>37</v>
      </c>
      <c r="WF260" s="12" t="s">
        <v>37</v>
      </c>
    </row>
    <row r="261" spans="1:604" ht="18" customHeight="1" x14ac:dyDescent="0.3">
      <c r="A261" s="11">
        <v>66</v>
      </c>
      <c r="B261" s="16" t="s">
        <v>388</v>
      </c>
      <c r="C261" s="12" t="s">
        <v>26</v>
      </c>
      <c r="D261" s="12" t="s">
        <v>54</v>
      </c>
      <c r="E261" s="40" t="s">
        <v>37</v>
      </c>
      <c r="F261" s="14">
        <v>0</v>
      </c>
      <c r="G261" s="14">
        <v>0</v>
      </c>
      <c r="H261" s="12" t="s">
        <v>123</v>
      </c>
      <c r="I261" s="29">
        <v>61.783000000000001</v>
      </c>
      <c r="J261" s="29">
        <v>24.3</v>
      </c>
      <c r="K261" s="12" t="s">
        <v>775</v>
      </c>
      <c r="L261" s="12" t="s">
        <v>709</v>
      </c>
      <c r="M261" s="13" t="s">
        <v>37</v>
      </c>
      <c r="N261" s="13" t="s">
        <v>37</v>
      </c>
      <c r="O261" s="13" t="s">
        <v>37</v>
      </c>
      <c r="P261" s="14" t="s">
        <v>84</v>
      </c>
      <c r="Q261" s="75">
        <v>30</v>
      </c>
      <c r="R261" s="11" t="s">
        <v>1000</v>
      </c>
      <c r="S261" s="12" t="s">
        <v>85</v>
      </c>
      <c r="T261" s="12" t="s">
        <v>138</v>
      </c>
      <c r="U261" s="12" t="s">
        <v>158</v>
      </c>
      <c r="V261" s="12" t="s">
        <v>275</v>
      </c>
      <c r="W261" s="23" t="s">
        <v>376</v>
      </c>
      <c r="X261" s="12" t="s">
        <v>280</v>
      </c>
      <c r="Y261" s="12" t="s">
        <v>37</v>
      </c>
      <c r="Z261" s="12" t="s">
        <v>37</v>
      </c>
      <c r="AA261" s="32" t="s">
        <v>372</v>
      </c>
      <c r="AB261" s="12">
        <v>4.4000000000000004</v>
      </c>
      <c r="AE261" s="12" t="s">
        <v>37</v>
      </c>
      <c r="AF261" s="12" t="s">
        <v>391</v>
      </c>
      <c r="AG261" s="32" t="s">
        <v>372</v>
      </c>
      <c r="AH261" s="12">
        <v>890</v>
      </c>
      <c r="AK261" s="12" t="s">
        <v>37</v>
      </c>
      <c r="AL261" s="32">
        <v>1992</v>
      </c>
      <c r="AM261" s="12" t="s">
        <v>317</v>
      </c>
      <c r="AN261" s="32" t="s">
        <v>880</v>
      </c>
      <c r="AO261" s="12" t="s">
        <v>37</v>
      </c>
      <c r="AP261" s="12" t="s">
        <v>238</v>
      </c>
      <c r="AQ261" s="12" t="s">
        <v>975</v>
      </c>
      <c r="AT261" s="12" t="s">
        <v>326</v>
      </c>
      <c r="AU261" s="12" t="s">
        <v>326</v>
      </c>
      <c r="AV261" s="13" t="s">
        <v>326</v>
      </c>
      <c r="AX261" s="12" t="s">
        <v>326</v>
      </c>
      <c r="AY261" s="12" t="s">
        <v>326</v>
      </c>
      <c r="AZ261" s="13" t="s">
        <v>326</v>
      </c>
      <c r="BE261" s="12" t="s">
        <v>326</v>
      </c>
      <c r="BF261" s="12" t="s">
        <v>326</v>
      </c>
      <c r="BG261" s="12" t="s">
        <v>326</v>
      </c>
      <c r="BI261" s="12" t="s">
        <v>326</v>
      </c>
      <c r="BJ261" s="12" t="s">
        <v>326</v>
      </c>
      <c r="BK261" s="12" t="s">
        <v>326</v>
      </c>
      <c r="BP261" s="12" t="s">
        <v>37</v>
      </c>
      <c r="BQ261" s="12" t="s">
        <v>37</v>
      </c>
      <c r="BR261" s="13" t="s">
        <v>37</v>
      </c>
      <c r="BT261" s="12" t="s">
        <v>37</v>
      </c>
      <c r="BU261" s="12" t="s">
        <v>37</v>
      </c>
      <c r="BV261" s="12" t="s">
        <v>37</v>
      </c>
      <c r="CA261" s="12" t="s">
        <v>37</v>
      </c>
      <c r="CB261" s="12" t="s">
        <v>37</v>
      </c>
      <c r="CC261" s="13" t="s">
        <v>37</v>
      </c>
      <c r="CE261" s="12" t="s">
        <v>37</v>
      </c>
      <c r="CF261" s="12" t="s">
        <v>37</v>
      </c>
      <c r="CG261" s="12" t="s">
        <v>37</v>
      </c>
      <c r="CN261" s="12" t="s">
        <v>37</v>
      </c>
      <c r="CO261" s="12" t="s">
        <v>37</v>
      </c>
      <c r="CP261" s="13" t="s">
        <v>37</v>
      </c>
      <c r="CR261" s="12" t="s">
        <v>37</v>
      </c>
      <c r="CS261" s="12" t="s">
        <v>37</v>
      </c>
      <c r="CT261" s="13" t="s">
        <v>37</v>
      </c>
      <c r="CX261" s="72"/>
      <c r="CY261" s="72"/>
      <c r="DA261" s="12" t="s">
        <v>37</v>
      </c>
      <c r="DB261" s="12" t="s">
        <v>37</v>
      </c>
      <c r="DC261" s="13" t="s">
        <v>37</v>
      </c>
      <c r="DE261" s="12" t="s">
        <v>37</v>
      </c>
      <c r="DF261" s="12" t="s">
        <v>37</v>
      </c>
      <c r="DG261" s="12" t="s">
        <v>37</v>
      </c>
      <c r="DI261" s="52"/>
      <c r="DJ261" s="52"/>
      <c r="DK261" s="73"/>
      <c r="DL261" s="73"/>
      <c r="DN261" s="19" t="s">
        <v>37</v>
      </c>
      <c r="DO261" s="12" t="s">
        <v>37</v>
      </c>
      <c r="DP261" s="13" t="s">
        <v>37</v>
      </c>
      <c r="DR261" s="19" t="s">
        <v>37</v>
      </c>
      <c r="DS261" s="12" t="s">
        <v>37</v>
      </c>
      <c r="DT261" s="13" t="s">
        <v>37</v>
      </c>
      <c r="DV261" s="52"/>
      <c r="DW261" s="52"/>
      <c r="DZ261" s="11" t="s">
        <v>47</v>
      </c>
      <c r="EA261" s="19">
        <f>130*10^4*("1991/9/30"-"1991/05/01")/10^9/'[3]classess-1'!$I$22</f>
        <v>0.27041130934285673</v>
      </c>
      <c r="EB261" s="19">
        <f>SQRT((1/[5]Classess!$I$22)^2*(47*SQRT(3)*10^4*("1991/9/30"-"1991/05/01")/10^9)^2+(-EA261/([5]Classess!$I$22)^2)^2*([5]Classess!$J$22)^2)</f>
        <v>0.17637490766446459</v>
      </c>
      <c r="EC261" s="72">
        <v>3</v>
      </c>
      <c r="ED261" s="52">
        <f t="shared" si="1166"/>
        <v>0.65224678691540006</v>
      </c>
      <c r="EE261" s="19">
        <f>320*10^4*("1991/9/30"-"1991/05/01")/10^9/'[3]classess-1'!$I$23</f>
        <v>1.0193247137345183</v>
      </c>
      <c r="EF261" s="19">
        <f>SQRT((1/[5]Classess!$I$23)^2*(137*SQRT(3)*10^4*("1991/9/30"-"1991/05/01")/10^9)^2+(-EE261/([5]Classess!$I$23)^2)^2*([5]Classess!$J$23)^2)</f>
        <v>0.85363748658627392</v>
      </c>
      <c r="EG261" s="13">
        <v>3</v>
      </c>
      <c r="EH261" s="52">
        <f t="shared" si="1168"/>
        <v>0.83745392913979977</v>
      </c>
      <c r="EI261" s="19">
        <f t="shared" si="1169"/>
        <v>0.74891340439166154</v>
      </c>
      <c r="EJ261" s="12">
        <f t="shared" si="1170"/>
        <v>0.6163623392773846</v>
      </c>
      <c r="EK261" s="19">
        <f t="shared" si="1171"/>
        <v>0.25326835551965976</v>
      </c>
      <c r="EL261" s="19">
        <f t="shared" si="1172"/>
        <v>0.25326835551965982</v>
      </c>
      <c r="EM261" s="12" t="s">
        <v>39</v>
      </c>
      <c r="EN261" s="12">
        <v>-21</v>
      </c>
      <c r="EO261" s="50">
        <f t="shared" si="1156"/>
        <v>8.5574243737771596</v>
      </c>
      <c r="EP261" s="13">
        <v>3</v>
      </c>
      <c r="ER261" s="12">
        <v>-38</v>
      </c>
      <c r="ES261" s="50">
        <f>ABS(ER261)*EU$474</f>
        <v>8.6189340333493778</v>
      </c>
      <c r="ET261" s="13">
        <v>3</v>
      </c>
      <c r="EV261" s="19">
        <f t="shared" si="1182"/>
        <v>-17</v>
      </c>
      <c r="EW261" s="12">
        <f t="shared" si="1183"/>
        <v>8.5882342709122579</v>
      </c>
      <c r="EX261" s="19">
        <f t="shared" si="1184"/>
        <v>49.171845261381193</v>
      </c>
      <c r="EY261" s="19">
        <f t="shared" si="1185"/>
        <v>49.171845261381193</v>
      </c>
      <c r="FB261" s="12" t="s">
        <v>37</v>
      </c>
      <c r="FC261" s="12" t="s">
        <v>37</v>
      </c>
      <c r="FD261" s="12" t="s">
        <v>37</v>
      </c>
      <c r="FE261" s="12" t="s">
        <v>37</v>
      </c>
      <c r="FF261" s="20" t="s">
        <v>37</v>
      </c>
      <c r="FG261" s="12" t="s">
        <v>37</v>
      </c>
      <c r="FI261" s="12" t="s">
        <v>37</v>
      </c>
      <c r="FJ261" s="12" t="s">
        <v>37</v>
      </c>
      <c r="FK261" s="12" t="s">
        <v>37</v>
      </c>
      <c r="FL261" s="12" t="s">
        <v>37</v>
      </c>
      <c r="FM261" s="12" t="s">
        <v>37</v>
      </c>
      <c r="FN261" s="12" t="s">
        <v>37</v>
      </c>
      <c r="FP261" s="12" t="s">
        <v>37</v>
      </c>
      <c r="FQ261" s="12" t="s">
        <v>37</v>
      </c>
      <c r="FR261" s="12" t="s">
        <v>37</v>
      </c>
      <c r="FS261" s="12" t="s">
        <v>37</v>
      </c>
      <c r="FT261" s="12" t="s">
        <v>37</v>
      </c>
      <c r="FU261" s="12" t="s">
        <v>37</v>
      </c>
      <c r="FW261" s="12" t="s">
        <v>37</v>
      </c>
      <c r="FX261" s="12" t="s">
        <v>37</v>
      </c>
      <c r="FY261" s="12" t="s">
        <v>37</v>
      </c>
      <c r="FZ261" s="12" t="s">
        <v>37</v>
      </c>
      <c r="GA261" s="12" t="s">
        <v>37</v>
      </c>
      <c r="GB261" s="12" t="s">
        <v>37</v>
      </c>
      <c r="IK261" s="12" t="s">
        <v>37</v>
      </c>
      <c r="IL261" s="12" t="s">
        <v>37</v>
      </c>
      <c r="IM261" s="12" t="s">
        <v>37</v>
      </c>
      <c r="IO261" s="12" t="s">
        <v>37</v>
      </c>
      <c r="IP261" s="12" t="s">
        <v>37</v>
      </c>
      <c r="IQ261" s="12" t="s">
        <v>37</v>
      </c>
      <c r="IV261" s="32" t="s">
        <v>372</v>
      </c>
      <c r="IW261" s="12">
        <v>4.4000000000000004</v>
      </c>
      <c r="IX261" s="50">
        <f t="shared" si="1167"/>
        <v>0.1610960675633018</v>
      </c>
      <c r="IY261" s="13">
        <v>3</v>
      </c>
      <c r="JA261" s="12">
        <v>4</v>
      </c>
      <c r="JB261" s="50">
        <f>ABS(JA261)*JD$474</f>
        <v>0.11203523514281104</v>
      </c>
      <c r="JC261" s="13">
        <v>3</v>
      </c>
      <c r="JE261" s="19">
        <f t="shared" si="1186"/>
        <v>-9.5310179804324893E-2</v>
      </c>
      <c r="JF261" s="19">
        <f t="shared" si="1162"/>
        <v>7.0832876411330739E-4</v>
      </c>
      <c r="JH261" s="12" t="s">
        <v>37</v>
      </c>
      <c r="JI261" s="12" t="s">
        <v>37</v>
      </c>
      <c r="JJ261" s="13" t="s">
        <v>37</v>
      </c>
      <c r="JL261" s="12" t="s">
        <v>37</v>
      </c>
      <c r="JM261" s="12" t="s">
        <v>37</v>
      </c>
      <c r="JN261" s="12" t="s">
        <v>37</v>
      </c>
      <c r="JS261" s="12" t="s">
        <v>37</v>
      </c>
      <c r="JT261" s="12" t="s">
        <v>37</v>
      </c>
      <c r="JU261" s="13" t="s">
        <v>37</v>
      </c>
      <c r="JW261" s="12" t="s">
        <v>37</v>
      </c>
      <c r="JX261" s="12" t="s">
        <v>37</v>
      </c>
      <c r="JY261" s="12" t="s">
        <v>37</v>
      </c>
      <c r="KE261" s="12" t="s">
        <v>37</v>
      </c>
      <c r="KF261" s="12" t="s">
        <v>37</v>
      </c>
      <c r="KG261" s="13" t="s">
        <v>37</v>
      </c>
      <c r="KH261" s="12" t="s">
        <v>37</v>
      </c>
      <c r="KI261" s="12" t="s">
        <v>37</v>
      </c>
      <c r="KJ261" s="12" t="s">
        <v>37</v>
      </c>
      <c r="KK261" s="12" t="s">
        <v>391</v>
      </c>
      <c r="KL261" s="32" t="s">
        <v>372</v>
      </c>
      <c r="KM261" s="12">
        <v>890</v>
      </c>
      <c r="KN261" s="50">
        <f>ABS(KM261)*KP$474</f>
        <v>106.17080683252493</v>
      </c>
      <c r="KO261" s="11">
        <v>3</v>
      </c>
      <c r="KQ261" s="12">
        <v>2300</v>
      </c>
      <c r="KR261" s="50">
        <f>ABS(KQ261)*KT$474</f>
        <v>242.51988938786451</v>
      </c>
      <c r="KS261" s="11">
        <v>3</v>
      </c>
      <c r="KU261" s="19">
        <f t="shared" si="1187"/>
        <v>0.9494429391910556</v>
      </c>
      <c r="KV261" s="19">
        <f t="shared" si="1188"/>
        <v>8.4497155628593217E-3</v>
      </c>
      <c r="KX261" s="12" t="s">
        <v>37</v>
      </c>
      <c r="KY261" s="12" t="s">
        <v>37</v>
      </c>
      <c r="KZ261" s="12" t="s">
        <v>37</v>
      </c>
      <c r="LB261" s="12" t="s">
        <v>37</v>
      </c>
      <c r="LC261" s="12" t="s">
        <v>37</v>
      </c>
      <c r="LD261" s="12" t="s">
        <v>37</v>
      </c>
      <c r="LI261" s="12" t="s">
        <v>37</v>
      </c>
      <c r="LJ261" s="12" t="s">
        <v>37</v>
      </c>
      <c r="LK261" s="12" t="s">
        <v>37</v>
      </c>
      <c r="LM261" s="12" t="s">
        <v>37</v>
      </c>
      <c r="LN261" s="12" t="s">
        <v>37</v>
      </c>
      <c r="LO261" s="12" t="s">
        <v>37</v>
      </c>
      <c r="LU261" s="12" t="s">
        <v>37</v>
      </c>
      <c r="LV261" s="12" t="s">
        <v>37</v>
      </c>
      <c r="LW261" s="12" t="s">
        <v>37</v>
      </c>
      <c r="LY261" s="12" t="s">
        <v>37</v>
      </c>
      <c r="LZ261" s="12" t="s">
        <v>37</v>
      </c>
      <c r="MA261" s="12" t="s">
        <v>37</v>
      </c>
      <c r="MF261" s="12" t="s">
        <v>37</v>
      </c>
      <c r="MG261" s="12" t="s">
        <v>37</v>
      </c>
      <c r="MH261" s="12" t="s">
        <v>37</v>
      </c>
      <c r="MJ261" s="12" t="s">
        <v>37</v>
      </c>
      <c r="MK261" s="12" t="s">
        <v>37</v>
      </c>
      <c r="ML261" s="12" t="s">
        <v>37</v>
      </c>
      <c r="MQ261" s="12" t="s">
        <v>37</v>
      </c>
      <c r="MR261" s="12" t="s">
        <v>37</v>
      </c>
      <c r="MS261" s="12" t="s">
        <v>37</v>
      </c>
      <c r="MU261" s="12" t="s">
        <v>37</v>
      </c>
      <c r="MV261" s="12" t="s">
        <v>37</v>
      </c>
      <c r="MW261" s="12" t="s">
        <v>37</v>
      </c>
      <c r="NC261" s="12" t="s">
        <v>37</v>
      </c>
      <c r="ND261" s="12" t="s">
        <v>37</v>
      </c>
      <c r="NE261" s="12" t="s">
        <v>37</v>
      </c>
      <c r="NG261" s="12" t="s">
        <v>37</v>
      </c>
      <c r="NH261" s="12" t="s">
        <v>37</v>
      </c>
      <c r="NI261" s="12" t="s">
        <v>37</v>
      </c>
      <c r="NO261" s="12" t="s">
        <v>37</v>
      </c>
      <c r="NP261" s="12" t="s">
        <v>37</v>
      </c>
      <c r="NQ261" s="12" t="s">
        <v>37</v>
      </c>
      <c r="NS261" s="12" t="s">
        <v>37</v>
      </c>
      <c r="NT261" s="12" t="s">
        <v>37</v>
      </c>
      <c r="NU261" s="12" t="s">
        <v>37</v>
      </c>
      <c r="OA261" s="12" t="s">
        <v>37</v>
      </c>
      <c r="OB261" s="12" t="s">
        <v>37</v>
      </c>
      <c r="OC261" s="12" t="s">
        <v>37</v>
      </c>
      <c r="OD261" s="12"/>
      <c r="OE261" s="12" t="s">
        <v>37</v>
      </c>
      <c r="OF261" s="12" t="s">
        <v>37</v>
      </c>
      <c r="OG261" s="12" t="s">
        <v>37</v>
      </c>
      <c r="OH261" s="12"/>
      <c r="OI261" s="12"/>
      <c r="OJ261" s="12"/>
      <c r="OM261" s="12" t="s">
        <v>37</v>
      </c>
      <c r="ON261" s="12" t="s">
        <v>37</v>
      </c>
      <c r="OO261" s="12" t="s">
        <v>37</v>
      </c>
      <c r="OP261" s="12" t="s">
        <v>37</v>
      </c>
      <c r="OQ261" s="12" t="s">
        <v>37</v>
      </c>
      <c r="OR261" s="12" t="s">
        <v>37</v>
      </c>
      <c r="OS261" s="12"/>
      <c r="OT261" s="12"/>
      <c r="OW261" s="12" t="s">
        <v>37</v>
      </c>
      <c r="OX261" s="12" t="s">
        <v>37</v>
      </c>
      <c r="OY261" s="13" t="s">
        <v>37</v>
      </c>
      <c r="OZ261" s="12" t="s">
        <v>37</v>
      </c>
      <c r="PA261" s="12" t="s">
        <v>37</v>
      </c>
      <c r="PB261" s="13" t="s">
        <v>37</v>
      </c>
      <c r="PG261" s="12" t="s">
        <v>37</v>
      </c>
      <c r="PH261" s="12" t="s">
        <v>37</v>
      </c>
      <c r="PI261" s="12" t="s">
        <v>37</v>
      </c>
      <c r="PJ261" s="12" t="s">
        <v>37</v>
      </c>
      <c r="PK261" s="12" t="s">
        <v>37</v>
      </c>
      <c r="PL261" s="12" t="s">
        <v>37</v>
      </c>
      <c r="PM261" s="12"/>
      <c r="PN261" s="12"/>
      <c r="PQ261" s="12" t="s">
        <v>37</v>
      </c>
      <c r="PR261" s="12" t="s">
        <v>37</v>
      </c>
      <c r="PS261" s="12" t="s">
        <v>37</v>
      </c>
      <c r="PT261" s="12" t="s">
        <v>37</v>
      </c>
      <c r="PU261" s="12" t="s">
        <v>37</v>
      </c>
      <c r="PV261" s="12" t="s">
        <v>37</v>
      </c>
      <c r="PW261" s="12"/>
      <c r="PX261" s="12"/>
      <c r="PZ261" s="12" t="s">
        <v>37</v>
      </c>
      <c r="QA261" s="12" t="s">
        <v>37</v>
      </c>
      <c r="QB261" s="12" t="s">
        <v>37</v>
      </c>
      <c r="QD261" s="12" t="s">
        <v>37</v>
      </c>
      <c r="QE261" s="12" t="s">
        <v>37</v>
      </c>
      <c r="QF261" s="12" t="s">
        <v>37</v>
      </c>
      <c r="QK261" s="12" t="s">
        <v>37</v>
      </c>
      <c r="QL261" s="12" t="s">
        <v>37</v>
      </c>
      <c r="QM261" s="12" t="s">
        <v>37</v>
      </c>
      <c r="QN261" s="12" t="s">
        <v>37</v>
      </c>
      <c r="QO261" s="12" t="s">
        <v>37</v>
      </c>
      <c r="QP261" s="12" t="s">
        <v>37</v>
      </c>
      <c r="QQ261" s="12"/>
      <c r="QR261" s="12"/>
      <c r="QU261" s="12" t="s">
        <v>37</v>
      </c>
      <c r="QV261" s="12" t="s">
        <v>37</v>
      </c>
      <c r="QW261" s="12" t="s">
        <v>37</v>
      </c>
      <c r="QX261" s="12" t="s">
        <v>37</v>
      </c>
      <c r="QY261" s="12" t="s">
        <v>37</v>
      </c>
      <c r="QZ261" s="12" t="s">
        <v>37</v>
      </c>
      <c r="RC261" s="12" t="s">
        <v>37</v>
      </c>
      <c r="RD261" s="12" t="s">
        <v>37</v>
      </c>
      <c r="RE261" s="13" t="s">
        <v>37</v>
      </c>
      <c r="RF261" s="12" t="s">
        <v>37</v>
      </c>
      <c r="RG261" s="12" t="s">
        <v>37</v>
      </c>
      <c r="RH261" s="13" t="s">
        <v>37</v>
      </c>
      <c r="RK261" s="12" t="s">
        <v>37</v>
      </c>
      <c r="RL261" s="12" t="s">
        <v>37</v>
      </c>
      <c r="RM261" s="11" t="s">
        <v>37</v>
      </c>
      <c r="RN261" s="12" t="s">
        <v>37</v>
      </c>
      <c r="RO261" s="12" t="s">
        <v>37</v>
      </c>
      <c r="RP261" s="11" t="s">
        <v>37</v>
      </c>
      <c r="RS261" s="12" t="s">
        <v>37</v>
      </c>
      <c r="RT261" s="12" t="s">
        <v>37</v>
      </c>
      <c r="RU261" s="12" t="s">
        <v>37</v>
      </c>
      <c r="RV261" s="12" t="s">
        <v>37</v>
      </c>
      <c r="RW261" s="12" t="s">
        <v>37</v>
      </c>
      <c r="RX261" s="12" t="s">
        <v>37</v>
      </c>
      <c r="SA261" s="12" t="s">
        <v>37</v>
      </c>
      <c r="SB261" s="12" t="s">
        <v>37</v>
      </c>
      <c r="SC261" s="12" t="s">
        <v>37</v>
      </c>
      <c r="SD261" s="12" t="s">
        <v>37</v>
      </c>
      <c r="SE261" s="12" t="s">
        <v>37</v>
      </c>
      <c r="SF261" s="12" t="s">
        <v>37</v>
      </c>
      <c r="SI261" s="12" t="s">
        <v>37</v>
      </c>
      <c r="SJ261" s="12" t="s">
        <v>37</v>
      </c>
      <c r="SK261" s="13" t="s">
        <v>37</v>
      </c>
      <c r="SM261" s="12" t="s">
        <v>37</v>
      </c>
      <c r="SN261" s="12" t="s">
        <v>37</v>
      </c>
      <c r="SO261" s="13" t="s">
        <v>37</v>
      </c>
      <c r="SU261" s="12" t="s">
        <v>37</v>
      </c>
      <c r="SV261" s="12" t="s">
        <v>37</v>
      </c>
      <c r="SW261" s="12" t="s">
        <v>37</v>
      </c>
      <c r="SX261" s="12" t="s">
        <v>37</v>
      </c>
      <c r="SY261" s="12" t="s">
        <v>37</v>
      </c>
      <c r="SZ261" s="12" t="s">
        <v>37</v>
      </c>
      <c r="TA261" s="12"/>
      <c r="TB261" s="12"/>
      <c r="TE261" s="12" t="s">
        <v>37</v>
      </c>
      <c r="TF261" s="12" t="s">
        <v>37</v>
      </c>
      <c r="TG261" s="12" t="s">
        <v>37</v>
      </c>
      <c r="TH261" s="12" t="s">
        <v>37</v>
      </c>
      <c r="TI261" s="12" t="s">
        <v>37</v>
      </c>
      <c r="TJ261" s="12" t="s">
        <v>37</v>
      </c>
      <c r="TK261" s="12"/>
      <c r="TL261" s="12"/>
      <c r="TO261" s="12" t="s">
        <v>37</v>
      </c>
      <c r="TP261" s="12" t="s">
        <v>37</v>
      </c>
      <c r="TQ261" s="12" t="s">
        <v>37</v>
      </c>
      <c r="TR261" s="12" t="s">
        <v>37</v>
      </c>
      <c r="TS261" s="12" t="s">
        <v>37</v>
      </c>
      <c r="TT261" s="12" t="s">
        <v>37</v>
      </c>
      <c r="TU261" s="12"/>
      <c r="TV261" s="12"/>
      <c r="TY261" s="12" t="s">
        <v>37</v>
      </c>
      <c r="TZ261" s="12" t="s">
        <v>37</v>
      </c>
      <c r="UA261" s="12" t="s">
        <v>37</v>
      </c>
      <c r="UB261" s="12" t="s">
        <v>37</v>
      </c>
      <c r="UC261" s="12" t="s">
        <v>37</v>
      </c>
      <c r="UD261" s="12" t="s">
        <v>37</v>
      </c>
      <c r="UE261" s="12"/>
      <c r="UF261" s="12"/>
      <c r="UI261" s="12" t="s">
        <v>37</v>
      </c>
      <c r="UJ261" s="12" t="s">
        <v>37</v>
      </c>
      <c r="UK261" s="12" t="s">
        <v>37</v>
      </c>
      <c r="UL261" s="12" t="s">
        <v>37</v>
      </c>
      <c r="UM261" s="12" t="s">
        <v>37</v>
      </c>
      <c r="UN261" s="12" t="s">
        <v>37</v>
      </c>
      <c r="UO261" s="12"/>
      <c r="UP261" s="12"/>
      <c r="UR261" s="12" t="s">
        <v>37</v>
      </c>
      <c r="US261" s="12" t="s">
        <v>37</v>
      </c>
      <c r="UT261" s="12" t="s">
        <v>37</v>
      </c>
      <c r="UU261" s="12" t="s">
        <v>37</v>
      </c>
      <c r="UV261" s="12" t="s">
        <v>37</v>
      </c>
      <c r="UW261" s="12" t="s">
        <v>37</v>
      </c>
      <c r="UX261" s="12"/>
      <c r="UY261" s="12"/>
      <c r="VB261" s="12" t="s">
        <v>37</v>
      </c>
      <c r="VC261" s="12" t="s">
        <v>37</v>
      </c>
      <c r="VD261" s="12" t="s">
        <v>37</v>
      </c>
      <c r="VE261" s="12" t="s">
        <v>37</v>
      </c>
      <c r="VF261" s="12" t="s">
        <v>37</v>
      </c>
      <c r="VG261" s="12" t="s">
        <v>37</v>
      </c>
      <c r="VI261" s="12" t="s">
        <v>37</v>
      </c>
      <c r="VJ261" s="12" t="s">
        <v>37</v>
      </c>
      <c r="VK261" s="12" t="s">
        <v>37</v>
      </c>
      <c r="VL261" s="12" t="s">
        <v>37</v>
      </c>
      <c r="VM261" s="12" t="s">
        <v>37</v>
      </c>
      <c r="VN261" s="12" t="s">
        <v>37</v>
      </c>
      <c r="VQ261" s="12" t="s">
        <v>37</v>
      </c>
      <c r="VR261" s="12" t="s">
        <v>37</v>
      </c>
      <c r="VS261" s="12" t="s">
        <v>37</v>
      </c>
      <c r="VT261" s="12" t="s">
        <v>37</v>
      </c>
      <c r="VU261" s="12" t="s">
        <v>37</v>
      </c>
      <c r="VV261" s="12" t="s">
        <v>37</v>
      </c>
      <c r="VW261" s="12"/>
      <c r="VX261" s="12"/>
      <c r="WA261" s="12" t="s">
        <v>37</v>
      </c>
      <c r="WB261" s="12" t="s">
        <v>37</v>
      </c>
      <c r="WC261" s="12" t="s">
        <v>37</v>
      </c>
      <c r="WD261" s="12" t="s">
        <v>37</v>
      </c>
      <c r="WE261" s="12" t="s">
        <v>37</v>
      </c>
      <c r="WF261" s="12" t="s">
        <v>37</v>
      </c>
    </row>
    <row r="262" spans="1:604" ht="18" customHeight="1" x14ac:dyDescent="0.3">
      <c r="A262" s="11">
        <v>66</v>
      </c>
      <c r="B262" s="16" t="s">
        <v>388</v>
      </c>
      <c r="C262" s="12" t="s">
        <v>26</v>
      </c>
      <c r="D262" s="12" t="s">
        <v>54</v>
      </c>
      <c r="E262" s="40" t="s">
        <v>37</v>
      </c>
      <c r="F262" s="14">
        <v>0</v>
      </c>
      <c r="G262" s="14">
        <v>0</v>
      </c>
      <c r="H262" s="12" t="s">
        <v>123</v>
      </c>
      <c r="I262" s="29">
        <v>61.783000000000001</v>
      </c>
      <c r="J262" s="29">
        <v>24.3</v>
      </c>
      <c r="K262" s="12" t="s">
        <v>389</v>
      </c>
      <c r="L262" s="12" t="s">
        <v>390</v>
      </c>
      <c r="M262" s="13" t="s">
        <v>37</v>
      </c>
      <c r="N262" s="13" t="s">
        <v>37</v>
      </c>
      <c r="O262" s="13" t="s">
        <v>37</v>
      </c>
      <c r="P262" s="14" t="s">
        <v>84</v>
      </c>
      <c r="Q262" s="75">
        <v>30</v>
      </c>
      <c r="R262" s="11" t="s">
        <v>999</v>
      </c>
      <c r="S262" s="12" t="s">
        <v>85</v>
      </c>
      <c r="T262" s="12" t="s">
        <v>138</v>
      </c>
      <c r="U262" s="12" t="s">
        <v>158</v>
      </c>
      <c r="V262" s="12" t="s">
        <v>275</v>
      </c>
      <c r="W262" s="23" t="s">
        <v>376</v>
      </c>
      <c r="X262" s="12" t="s">
        <v>280</v>
      </c>
      <c r="Y262" s="12" t="s">
        <v>37</v>
      </c>
      <c r="Z262" s="12" t="s">
        <v>37</v>
      </c>
      <c r="AA262" s="32" t="s">
        <v>372</v>
      </c>
      <c r="AB262" s="12" t="s">
        <v>37</v>
      </c>
      <c r="AE262" s="12" t="s">
        <v>37</v>
      </c>
      <c r="AF262" s="12" t="s">
        <v>391</v>
      </c>
      <c r="AG262" s="32" t="s">
        <v>372</v>
      </c>
      <c r="AH262" s="12" t="s">
        <v>37</v>
      </c>
      <c r="AK262" s="12" t="s">
        <v>37</v>
      </c>
      <c r="AL262" s="32">
        <v>1992</v>
      </c>
      <c r="AM262" s="12" t="s">
        <v>317</v>
      </c>
      <c r="AN262" s="32" t="s">
        <v>880</v>
      </c>
      <c r="AO262" s="12" t="s">
        <v>37</v>
      </c>
      <c r="AP262" s="12" t="s">
        <v>238</v>
      </c>
      <c r="AQ262" s="12" t="s">
        <v>975</v>
      </c>
      <c r="AT262" s="12" t="s">
        <v>326</v>
      </c>
      <c r="AU262" s="12" t="s">
        <v>326</v>
      </c>
      <c r="AV262" s="13" t="s">
        <v>326</v>
      </c>
      <c r="AX262" s="12" t="s">
        <v>326</v>
      </c>
      <c r="AY262" s="12" t="s">
        <v>326</v>
      </c>
      <c r="AZ262" s="13" t="s">
        <v>326</v>
      </c>
      <c r="BE262" s="12" t="s">
        <v>326</v>
      </c>
      <c r="BF262" s="12" t="s">
        <v>326</v>
      </c>
      <c r="BG262" s="12" t="s">
        <v>326</v>
      </c>
      <c r="BI262" s="12" t="s">
        <v>326</v>
      </c>
      <c r="BJ262" s="12" t="s">
        <v>326</v>
      </c>
      <c r="BK262" s="12" t="s">
        <v>326</v>
      </c>
      <c r="BP262" s="12" t="s">
        <v>37</v>
      </c>
      <c r="BQ262" s="12" t="s">
        <v>37</v>
      </c>
      <c r="BR262" s="13" t="s">
        <v>37</v>
      </c>
      <c r="BT262" s="12" t="s">
        <v>37</v>
      </c>
      <c r="BU262" s="12" t="s">
        <v>37</v>
      </c>
      <c r="BV262" s="12" t="s">
        <v>37</v>
      </c>
      <c r="CA262" s="12" t="s">
        <v>37</v>
      </c>
      <c r="CB262" s="12" t="s">
        <v>37</v>
      </c>
      <c r="CC262" s="13" t="s">
        <v>37</v>
      </c>
      <c r="CE262" s="12" t="s">
        <v>37</v>
      </c>
      <c r="CF262" s="12" t="s">
        <v>37</v>
      </c>
      <c r="CG262" s="12" t="s">
        <v>37</v>
      </c>
      <c r="CN262" s="12" t="s">
        <v>37</v>
      </c>
      <c r="CO262" s="12" t="s">
        <v>37</v>
      </c>
      <c r="CP262" s="13" t="s">
        <v>37</v>
      </c>
      <c r="CR262" s="12" t="s">
        <v>37</v>
      </c>
      <c r="CS262" s="12" t="s">
        <v>37</v>
      </c>
      <c r="CT262" s="13" t="s">
        <v>37</v>
      </c>
      <c r="CX262" s="72"/>
      <c r="CY262" s="72"/>
      <c r="DA262" s="12" t="s">
        <v>37</v>
      </c>
      <c r="DB262" s="12" t="s">
        <v>37</v>
      </c>
      <c r="DC262" s="13" t="s">
        <v>37</v>
      </c>
      <c r="DE262" s="12" t="s">
        <v>37</v>
      </c>
      <c r="DF262" s="12" t="s">
        <v>37</v>
      </c>
      <c r="DG262" s="12" t="s">
        <v>37</v>
      </c>
      <c r="DN262" s="19" t="s">
        <v>37</v>
      </c>
      <c r="DO262" s="12" t="s">
        <v>37</v>
      </c>
      <c r="DP262" s="13" t="s">
        <v>37</v>
      </c>
      <c r="DR262" s="19" t="s">
        <v>37</v>
      </c>
      <c r="DS262" s="12" t="s">
        <v>37</v>
      </c>
      <c r="DT262" s="13" t="s">
        <v>37</v>
      </c>
      <c r="DZ262" s="11" t="s">
        <v>47</v>
      </c>
      <c r="EA262" s="19" t="s">
        <v>37</v>
      </c>
      <c r="EB262" s="19" t="s">
        <v>37</v>
      </c>
      <c r="EC262" s="72" t="s">
        <v>37</v>
      </c>
      <c r="EE262" s="19">
        <f>680*10^4*("1991/9/30"-"1991/05/01")/10^9/'[3]classess-1'!$I$23</f>
        <v>2.1660650166858515</v>
      </c>
      <c r="EF262" s="19">
        <f>SQRT((1/[5]Classess!$I$23)^2*(160*SQRT(3)*10^4*("1991/9/30"-"1991/05/01")/10^9)^2+(-EE262/([5]Classess!$I$23)^2)^2*([5]Classess!$J$23)^2)</f>
        <v>1.2206040675194139</v>
      </c>
      <c r="EG262" s="13">
        <v>3</v>
      </c>
      <c r="EH262" s="52">
        <f t="shared" si="1168"/>
        <v>0.56351220213462339</v>
      </c>
      <c r="EM262" s="12" t="s">
        <v>39</v>
      </c>
      <c r="EN262" s="12">
        <v>0</v>
      </c>
      <c r="EO262" s="50">
        <f t="shared" si="1156"/>
        <v>0</v>
      </c>
      <c r="EP262" s="13">
        <v>3</v>
      </c>
      <c r="ER262" s="12">
        <v>-50</v>
      </c>
      <c r="ES262" s="50">
        <f>ABS(ER262)*EU$474</f>
        <v>11.340702675459708</v>
      </c>
      <c r="ET262" s="13">
        <v>3</v>
      </c>
      <c r="EV262" s="19">
        <f t="shared" si="1182"/>
        <v>-50</v>
      </c>
      <c r="EW262" s="12">
        <f t="shared" si="1183"/>
        <v>8.0190877652379822</v>
      </c>
      <c r="EX262" s="19">
        <f t="shared" si="1184"/>
        <v>42.870512391059663</v>
      </c>
      <c r="EY262" s="19">
        <f t="shared" si="1185"/>
        <v>42.870512391059663</v>
      </c>
      <c r="FB262" s="12" t="s">
        <v>37</v>
      </c>
      <c r="FC262" s="12" t="s">
        <v>37</v>
      </c>
      <c r="FD262" s="12" t="s">
        <v>37</v>
      </c>
      <c r="FE262" s="12" t="s">
        <v>37</v>
      </c>
      <c r="FF262" s="20" t="s">
        <v>37</v>
      </c>
      <c r="FG262" s="12" t="s">
        <v>37</v>
      </c>
      <c r="FI262" s="12" t="s">
        <v>37</v>
      </c>
      <c r="FJ262" s="12" t="s">
        <v>37</v>
      </c>
      <c r="FK262" s="12" t="s">
        <v>37</v>
      </c>
      <c r="FL262" s="12" t="s">
        <v>37</v>
      </c>
      <c r="FM262" s="12" t="s">
        <v>37</v>
      </c>
      <c r="FN262" s="12" t="s">
        <v>37</v>
      </c>
      <c r="FP262" s="12" t="s">
        <v>37</v>
      </c>
      <c r="FQ262" s="12" t="s">
        <v>37</v>
      </c>
      <c r="FR262" s="12" t="s">
        <v>37</v>
      </c>
      <c r="FS262" s="12" t="s">
        <v>37</v>
      </c>
      <c r="FT262" s="12" t="s">
        <v>37</v>
      </c>
      <c r="FU262" s="12" t="s">
        <v>37</v>
      </c>
      <c r="FW262" s="12" t="s">
        <v>37</v>
      </c>
      <c r="FX262" s="12" t="s">
        <v>37</v>
      </c>
      <c r="FY262" s="12" t="s">
        <v>37</v>
      </c>
      <c r="FZ262" s="12" t="s">
        <v>37</v>
      </c>
      <c r="GA262" s="12" t="s">
        <v>37</v>
      </c>
      <c r="GB262" s="12" t="s">
        <v>37</v>
      </c>
      <c r="IK262" s="12" t="s">
        <v>37</v>
      </c>
      <c r="IL262" s="12" t="s">
        <v>37</v>
      </c>
      <c r="IM262" s="12" t="s">
        <v>37</v>
      </c>
      <c r="IO262" s="12" t="s">
        <v>37</v>
      </c>
      <c r="IP262" s="12" t="s">
        <v>37</v>
      </c>
      <c r="IQ262" s="12" t="s">
        <v>37</v>
      </c>
      <c r="IV262" s="32" t="s">
        <v>372</v>
      </c>
      <c r="JA262" s="12">
        <v>4.5</v>
      </c>
      <c r="JB262" s="50">
        <f>ABS(JA262)*JD$474</f>
        <v>0.12603963953566241</v>
      </c>
      <c r="JC262" s="13">
        <v>3</v>
      </c>
      <c r="JH262" s="12" t="s">
        <v>37</v>
      </c>
      <c r="JI262" s="12" t="s">
        <v>37</v>
      </c>
      <c r="JJ262" s="13" t="s">
        <v>37</v>
      </c>
      <c r="JL262" s="12" t="s">
        <v>37</v>
      </c>
      <c r="JM262" s="12" t="s">
        <v>37</v>
      </c>
      <c r="JN262" s="12" t="s">
        <v>37</v>
      </c>
      <c r="JS262" s="12" t="s">
        <v>37</v>
      </c>
      <c r="JT262" s="12" t="s">
        <v>37</v>
      </c>
      <c r="JU262" s="13" t="s">
        <v>37</v>
      </c>
      <c r="JW262" s="12" t="s">
        <v>37</v>
      </c>
      <c r="JX262" s="12" t="s">
        <v>37</v>
      </c>
      <c r="JY262" s="12" t="s">
        <v>37</v>
      </c>
      <c r="KE262" s="12" t="s">
        <v>37</v>
      </c>
      <c r="KF262" s="12" t="s">
        <v>37</v>
      </c>
      <c r="KG262" s="13" t="s">
        <v>37</v>
      </c>
      <c r="KH262" s="12" t="s">
        <v>37</v>
      </c>
      <c r="KI262" s="12" t="s">
        <v>37</v>
      </c>
      <c r="KJ262" s="12" t="s">
        <v>37</v>
      </c>
      <c r="KK262" s="12" t="s">
        <v>391</v>
      </c>
      <c r="KL262" s="32" t="s">
        <v>372</v>
      </c>
      <c r="KO262" s="12"/>
      <c r="KQ262" s="12">
        <v>1500</v>
      </c>
      <c r="KR262" s="50">
        <f>ABS(KQ262)*KT$474</f>
        <v>158.16514525295511</v>
      </c>
      <c r="KS262" s="11"/>
      <c r="KX262" s="12" t="s">
        <v>37</v>
      </c>
      <c r="KY262" s="12" t="s">
        <v>37</v>
      </c>
      <c r="KZ262" s="12" t="s">
        <v>37</v>
      </c>
      <c r="LB262" s="12" t="s">
        <v>37</v>
      </c>
      <c r="LC262" s="12" t="s">
        <v>37</v>
      </c>
      <c r="LD262" s="12" t="s">
        <v>37</v>
      </c>
      <c r="LI262" s="12" t="s">
        <v>37</v>
      </c>
      <c r="LJ262" s="12" t="s">
        <v>37</v>
      </c>
      <c r="LK262" s="12" t="s">
        <v>37</v>
      </c>
      <c r="LM262" s="12" t="s">
        <v>37</v>
      </c>
      <c r="LN262" s="12" t="s">
        <v>37</v>
      </c>
      <c r="LO262" s="12" t="s">
        <v>37</v>
      </c>
      <c r="LU262" s="12" t="s">
        <v>37</v>
      </c>
      <c r="LV262" s="12" t="s">
        <v>37</v>
      </c>
      <c r="LW262" s="12" t="s">
        <v>37</v>
      </c>
      <c r="LY262" s="12" t="s">
        <v>37</v>
      </c>
      <c r="LZ262" s="12" t="s">
        <v>37</v>
      </c>
      <c r="MA262" s="12" t="s">
        <v>37</v>
      </c>
      <c r="MF262" s="12" t="s">
        <v>37</v>
      </c>
      <c r="MG262" s="12" t="s">
        <v>37</v>
      </c>
      <c r="MH262" s="12" t="s">
        <v>37</v>
      </c>
      <c r="MJ262" s="12" t="s">
        <v>37</v>
      </c>
      <c r="MK262" s="12" t="s">
        <v>37</v>
      </c>
      <c r="ML262" s="12" t="s">
        <v>37</v>
      </c>
      <c r="MQ262" s="12" t="s">
        <v>37</v>
      </c>
      <c r="MR262" s="12" t="s">
        <v>37</v>
      </c>
      <c r="MS262" s="12" t="s">
        <v>37</v>
      </c>
      <c r="MU262" s="12" t="s">
        <v>37</v>
      </c>
      <c r="MV262" s="12" t="s">
        <v>37</v>
      </c>
      <c r="MW262" s="12" t="s">
        <v>37</v>
      </c>
      <c r="NC262" s="12" t="s">
        <v>37</v>
      </c>
      <c r="ND262" s="12" t="s">
        <v>37</v>
      </c>
      <c r="NE262" s="12" t="s">
        <v>37</v>
      </c>
      <c r="NG262" s="12" t="s">
        <v>37</v>
      </c>
      <c r="NH262" s="12" t="s">
        <v>37</v>
      </c>
      <c r="NI262" s="12" t="s">
        <v>37</v>
      </c>
      <c r="NO262" s="12" t="s">
        <v>37</v>
      </c>
      <c r="NP262" s="12" t="s">
        <v>37</v>
      </c>
      <c r="NQ262" s="12" t="s">
        <v>37</v>
      </c>
      <c r="NS262" s="12" t="s">
        <v>37</v>
      </c>
      <c r="NT262" s="12" t="s">
        <v>37</v>
      </c>
      <c r="NU262" s="12" t="s">
        <v>37</v>
      </c>
      <c r="OA262" s="12" t="s">
        <v>37</v>
      </c>
      <c r="OB262" s="12" t="s">
        <v>37</v>
      </c>
      <c r="OC262" s="12" t="s">
        <v>37</v>
      </c>
      <c r="OD262" s="12"/>
      <c r="OE262" s="12" t="s">
        <v>37</v>
      </c>
      <c r="OF262" s="12" t="s">
        <v>37</v>
      </c>
      <c r="OG262" s="12" t="s">
        <v>37</v>
      </c>
      <c r="OH262" s="12"/>
      <c r="OI262" s="12"/>
      <c r="OJ262" s="12"/>
      <c r="OM262" s="12" t="s">
        <v>37</v>
      </c>
      <c r="ON262" s="12" t="s">
        <v>37</v>
      </c>
      <c r="OO262" s="12" t="s">
        <v>37</v>
      </c>
      <c r="OP262" s="12" t="s">
        <v>37</v>
      </c>
      <c r="OQ262" s="12" t="s">
        <v>37</v>
      </c>
      <c r="OR262" s="12" t="s">
        <v>37</v>
      </c>
      <c r="OS262" s="12"/>
      <c r="OT262" s="12"/>
      <c r="OW262" s="12" t="s">
        <v>37</v>
      </c>
      <c r="OX262" s="12" t="s">
        <v>37</v>
      </c>
      <c r="OY262" s="13" t="s">
        <v>37</v>
      </c>
      <c r="OZ262" s="12" t="s">
        <v>37</v>
      </c>
      <c r="PA262" s="12" t="s">
        <v>37</v>
      </c>
      <c r="PB262" s="13" t="s">
        <v>37</v>
      </c>
      <c r="PG262" s="12" t="s">
        <v>37</v>
      </c>
      <c r="PH262" s="12" t="s">
        <v>37</v>
      </c>
      <c r="PI262" s="12" t="s">
        <v>37</v>
      </c>
      <c r="PJ262" s="12" t="s">
        <v>37</v>
      </c>
      <c r="PK262" s="12" t="s">
        <v>37</v>
      </c>
      <c r="PL262" s="12" t="s">
        <v>37</v>
      </c>
      <c r="PM262" s="12"/>
      <c r="PN262" s="12"/>
      <c r="PQ262" s="12" t="s">
        <v>37</v>
      </c>
      <c r="PR262" s="12" t="s">
        <v>37</v>
      </c>
      <c r="PS262" s="12" t="s">
        <v>37</v>
      </c>
      <c r="PT262" s="12" t="s">
        <v>37</v>
      </c>
      <c r="PU262" s="12" t="s">
        <v>37</v>
      </c>
      <c r="PV262" s="12" t="s">
        <v>37</v>
      </c>
      <c r="PW262" s="12"/>
      <c r="PX262" s="12"/>
      <c r="PZ262" s="12" t="s">
        <v>37</v>
      </c>
      <c r="QA262" s="12" t="s">
        <v>37</v>
      </c>
      <c r="QB262" s="12" t="s">
        <v>37</v>
      </c>
      <c r="QD262" s="12" t="s">
        <v>37</v>
      </c>
      <c r="QE262" s="12" t="s">
        <v>37</v>
      </c>
      <c r="QF262" s="12" t="s">
        <v>37</v>
      </c>
      <c r="QK262" s="12" t="s">
        <v>37</v>
      </c>
      <c r="QL262" s="12" t="s">
        <v>37</v>
      </c>
      <c r="QM262" s="12" t="s">
        <v>37</v>
      </c>
      <c r="QN262" s="12" t="s">
        <v>37</v>
      </c>
      <c r="QO262" s="12" t="s">
        <v>37</v>
      </c>
      <c r="QP262" s="12" t="s">
        <v>37</v>
      </c>
      <c r="QQ262" s="12"/>
      <c r="QR262" s="12"/>
      <c r="QU262" s="12" t="s">
        <v>37</v>
      </c>
      <c r="QV262" s="12" t="s">
        <v>37</v>
      </c>
      <c r="QW262" s="12" t="s">
        <v>37</v>
      </c>
      <c r="QX262" s="12" t="s">
        <v>37</v>
      </c>
      <c r="QY262" s="12" t="s">
        <v>37</v>
      </c>
      <c r="QZ262" s="12" t="s">
        <v>37</v>
      </c>
      <c r="RC262" s="12" t="s">
        <v>37</v>
      </c>
      <c r="RD262" s="12" t="s">
        <v>37</v>
      </c>
      <c r="RE262" s="13" t="s">
        <v>37</v>
      </c>
      <c r="RF262" s="12" t="s">
        <v>37</v>
      </c>
      <c r="RG262" s="12" t="s">
        <v>37</v>
      </c>
      <c r="RH262" s="13" t="s">
        <v>37</v>
      </c>
      <c r="RK262" s="12" t="s">
        <v>37</v>
      </c>
      <c r="RL262" s="12" t="s">
        <v>37</v>
      </c>
      <c r="RM262" s="11" t="s">
        <v>37</v>
      </c>
      <c r="RN262" s="12" t="s">
        <v>37</v>
      </c>
      <c r="RO262" s="12" t="s">
        <v>37</v>
      </c>
      <c r="RP262" s="11" t="s">
        <v>37</v>
      </c>
      <c r="RS262" s="12" t="s">
        <v>37</v>
      </c>
      <c r="RT262" s="12" t="s">
        <v>37</v>
      </c>
      <c r="RU262" s="12" t="s">
        <v>37</v>
      </c>
      <c r="RV262" s="12" t="s">
        <v>37</v>
      </c>
      <c r="RW262" s="12" t="s">
        <v>37</v>
      </c>
      <c r="RX262" s="12" t="s">
        <v>37</v>
      </c>
      <c r="SA262" s="12" t="s">
        <v>37</v>
      </c>
      <c r="SB262" s="12" t="s">
        <v>37</v>
      </c>
      <c r="SC262" s="12" t="s">
        <v>37</v>
      </c>
      <c r="SD262" s="12" t="s">
        <v>37</v>
      </c>
      <c r="SE262" s="12" t="s">
        <v>37</v>
      </c>
      <c r="SF262" s="12" t="s">
        <v>37</v>
      </c>
      <c r="SI262" s="12" t="s">
        <v>37</v>
      </c>
      <c r="SJ262" s="12" t="s">
        <v>37</v>
      </c>
      <c r="SK262" s="13" t="s">
        <v>37</v>
      </c>
      <c r="SM262" s="12" t="s">
        <v>37</v>
      </c>
      <c r="SN262" s="12" t="s">
        <v>37</v>
      </c>
      <c r="SO262" s="13" t="s">
        <v>37</v>
      </c>
      <c r="SU262" s="12" t="s">
        <v>37</v>
      </c>
      <c r="SV262" s="12" t="s">
        <v>37</v>
      </c>
      <c r="SW262" s="12" t="s">
        <v>37</v>
      </c>
      <c r="SX262" s="12" t="s">
        <v>37</v>
      </c>
      <c r="SY262" s="12" t="s">
        <v>37</v>
      </c>
      <c r="SZ262" s="12" t="s">
        <v>37</v>
      </c>
      <c r="TA262" s="12"/>
      <c r="TB262" s="12"/>
      <c r="TE262" s="12" t="s">
        <v>37</v>
      </c>
      <c r="TF262" s="12" t="s">
        <v>37</v>
      </c>
      <c r="TG262" s="12" t="s">
        <v>37</v>
      </c>
      <c r="TH262" s="12" t="s">
        <v>37</v>
      </c>
      <c r="TI262" s="12" t="s">
        <v>37</v>
      </c>
      <c r="TJ262" s="12" t="s">
        <v>37</v>
      </c>
      <c r="TK262" s="12"/>
      <c r="TL262" s="12"/>
      <c r="TO262" s="12" t="s">
        <v>37</v>
      </c>
      <c r="TP262" s="12" t="s">
        <v>37</v>
      </c>
      <c r="TQ262" s="12" t="s">
        <v>37</v>
      </c>
      <c r="TR262" s="12" t="s">
        <v>37</v>
      </c>
      <c r="TS262" s="12" t="s">
        <v>37</v>
      </c>
      <c r="TT262" s="12" t="s">
        <v>37</v>
      </c>
      <c r="TU262" s="12"/>
      <c r="TV262" s="12"/>
      <c r="TY262" s="12" t="s">
        <v>37</v>
      </c>
      <c r="TZ262" s="12" t="s">
        <v>37</v>
      </c>
      <c r="UA262" s="12" t="s">
        <v>37</v>
      </c>
      <c r="UB262" s="12" t="s">
        <v>37</v>
      </c>
      <c r="UC262" s="12" t="s">
        <v>37</v>
      </c>
      <c r="UD262" s="12" t="s">
        <v>37</v>
      </c>
      <c r="UE262" s="12"/>
      <c r="UF262" s="12"/>
      <c r="UI262" s="12" t="s">
        <v>37</v>
      </c>
      <c r="UJ262" s="12" t="s">
        <v>37</v>
      </c>
      <c r="UK262" s="12" t="s">
        <v>37</v>
      </c>
      <c r="UL262" s="12" t="s">
        <v>37</v>
      </c>
      <c r="UM262" s="12" t="s">
        <v>37</v>
      </c>
      <c r="UN262" s="12" t="s">
        <v>37</v>
      </c>
      <c r="UO262" s="12"/>
      <c r="UP262" s="12"/>
      <c r="UR262" s="12" t="s">
        <v>37</v>
      </c>
      <c r="US262" s="12" t="s">
        <v>37</v>
      </c>
      <c r="UT262" s="12" t="s">
        <v>37</v>
      </c>
      <c r="UU262" s="12" t="s">
        <v>37</v>
      </c>
      <c r="UV262" s="12" t="s">
        <v>37</v>
      </c>
      <c r="UW262" s="12" t="s">
        <v>37</v>
      </c>
      <c r="UX262" s="12"/>
      <c r="UY262" s="12"/>
      <c r="VB262" s="12" t="s">
        <v>37</v>
      </c>
      <c r="VC262" s="12" t="s">
        <v>37</v>
      </c>
      <c r="VD262" s="12" t="s">
        <v>37</v>
      </c>
      <c r="VE262" s="12" t="s">
        <v>37</v>
      </c>
      <c r="VF262" s="12" t="s">
        <v>37</v>
      </c>
      <c r="VG262" s="12" t="s">
        <v>37</v>
      </c>
      <c r="VI262" s="12" t="s">
        <v>37</v>
      </c>
      <c r="VJ262" s="12" t="s">
        <v>37</v>
      </c>
      <c r="VK262" s="12" t="s">
        <v>37</v>
      </c>
      <c r="VL262" s="12" t="s">
        <v>37</v>
      </c>
      <c r="VM262" s="12" t="s">
        <v>37</v>
      </c>
      <c r="VN262" s="12" t="s">
        <v>37</v>
      </c>
      <c r="VQ262" s="12" t="s">
        <v>37</v>
      </c>
      <c r="VR262" s="12" t="s">
        <v>37</v>
      </c>
      <c r="VS262" s="12" t="s">
        <v>37</v>
      </c>
      <c r="VT262" s="12" t="s">
        <v>37</v>
      </c>
      <c r="VU262" s="12" t="s">
        <v>37</v>
      </c>
      <c r="VV262" s="12" t="s">
        <v>37</v>
      </c>
      <c r="VW262" s="12"/>
      <c r="VX262" s="12"/>
      <c r="WA262" s="12" t="s">
        <v>37</v>
      </c>
      <c r="WB262" s="12" t="s">
        <v>37</v>
      </c>
      <c r="WC262" s="12" t="s">
        <v>37</v>
      </c>
      <c r="WD262" s="12" t="s">
        <v>37</v>
      </c>
      <c r="WE262" s="12" t="s">
        <v>37</v>
      </c>
      <c r="WF262" s="12" t="s">
        <v>37</v>
      </c>
    </row>
    <row r="263" spans="1:604" ht="18" customHeight="1" x14ac:dyDescent="0.3">
      <c r="A263" s="11">
        <v>66</v>
      </c>
      <c r="B263" s="16" t="s">
        <v>388</v>
      </c>
      <c r="C263" s="12" t="s">
        <v>26</v>
      </c>
      <c r="D263" s="12" t="s">
        <v>54</v>
      </c>
      <c r="E263" s="40" t="s">
        <v>37</v>
      </c>
      <c r="F263" s="14">
        <v>0</v>
      </c>
      <c r="G263" s="14">
        <v>0</v>
      </c>
      <c r="H263" s="12" t="s">
        <v>123</v>
      </c>
      <c r="I263" s="29">
        <v>61.783000000000001</v>
      </c>
      <c r="J263" s="29">
        <v>24.3</v>
      </c>
      <c r="K263" s="12" t="s">
        <v>389</v>
      </c>
      <c r="L263" s="12" t="s">
        <v>390</v>
      </c>
      <c r="M263" s="13" t="s">
        <v>37</v>
      </c>
      <c r="N263" s="13" t="s">
        <v>37</v>
      </c>
      <c r="O263" s="13" t="s">
        <v>37</v>
      </c>
      <c r="P263" s="14" t="s">
        <v>84</v>
      </c>
      <c r="Q263" s="75">
        <v>30</v>
      </c>
      <c r="R263" s="11" t="s">
        <v>37</v>
      </c>
      <c r="S263" s="12" t="s">
        <v>85</v>
      </c>
      <c r="T263" s="12" t="s">
        <v>138</v>
      </c>
      <c r="U263" s="12" t="s">
        <v>158</v>
      </c>
      <c r="V263" s="12" t="s">
        <v>275</v>
      </c>
      <c r="W263" s="23" t="s">
        <v>376</v>
      </c>
      <c r="X263" s="12" t="s">
        <v>280</v>
      </c>
      <c r="Y263" s="12" t="s">
        <v>37</v>
      </c>
      <c r="Z263" s="12" t="s">
        <v>37</v>
      </c>
      <c r="AA263" s="32" t="s">
        <v>372</v>
      </c>
      <c r="AB263" s="12">
        <v>4.5</v>
      </c>
      <c r="AE263" s="12" t="s">
        <v>37</v>
      </c>
      <c r="AF263" s="12" t="s">
        <v>391</v>
      </c>
      <c r="AG263" s="32" t="s">
        <v>372</v>
      </c>
      <c r="AH263" s="12">
        <v>260</v>
      </c>
      <c r="AK263" s="12" t="s">
        <v>37</v>
      </c>
      <c r="AL263" s="32">
        <v>1992</v>
      </c>
      <c r="AM263" s="12" t="s">
        <v>317</v>
      </c>
      <c r="AN263" s="32" t="s">
        <v>880</v>
      </c>
      <c r="AO263" s="12" t="s">
        <v>37</v>
      </c>
      <c r="AP263" s="12" t="s">
        <v>238</v>
      </c>
      <c r="AQ263" s="12" t="s">
        <v>975</v>
      </c>
      <c r="AT263" s="12" t="s">
        <v>326</v>
      </c>
      <c r="AU263" s="12" t="s">
        <v>326</v>
      </c>
      <c r="AV263" s="13" t="s">
        <v>326</v>
      </c>
      <c r="AX263" s="12" t="s">
        <v>326</v>
      </c>
      <c r="AY263" s="12" t="s">
        <v>326</v>
      </c>
      <c r="AZ263" s="13" t="s">
        <v>326</v>
      </c>
      <c r="BE263" s="12" t="s">
        <v>326</v>
      </c>
      <c r="BF263" s="12" t="s">
        <v>326</v>
      </c>
      <c r="BG263" s="12" t="s">
        <v>326</v>
      </c>
      <c r="BI263" s="12" t="s">
        <v>326</v>
      </c>
      <c r="BJ263" s="12" t="s">
        <v>326</v>
      </c>
      <c r="BK263" s="12" t="s">
        <v>326</v>
      </c>
      <c r="BP263" s="12" t="s">
        <v>37</v>
      </c>
      <c r="BQ263" s="12" t="s">
        <v>37</v>
      </c>
      <c r="BR263" s="13" t="s">
        <v>37</v>
      </c>
      <c r="BT263" s="12" t="s">
        <v>37</v>
      </c>
      <c r="BU263" s="12" t="s">
        <v>37</v>
      </c>
      <c r="BV263" s="12" t="s">
        <v>37</v>
      </c>
      <c r="CA263" s="12" t="s">
        <v>37</v>
      </c>
      <c r="CB263" s="12" t="s">
        <v>37</v>
      </c>
      <c r="CC263" s="13" t="s">
        <v>37</v>
      </c>
      <c r="CE263" s="12" t="s">
        <v>37</v>
      </c>
      <c r="CF263" s="12" t="s">
        <v>37</v>
      </c>
      <c r="CG263" s="12" t="s">
        <v>37</v>
      </c>
      <c r="CN263" s="12" t="s">
        <v>37</v>
      </c>
      <c r="CO263" s="12" t="s">
        <v>37</v>
      </c>
      <c r="CP263" s="13" t="s">
        <v>37</v>
      </c>
      <c r="CR263" s="12" t="s">
        <v>37</v>
      </c>
      <c r="CS263" s="12" t="s">
        <v>37</v>
      </c>
      <c r="CT263" s="13" t="s">
        <v>37</v>
      </c>
      <c r="CX263" s="72"/>
      <c r="CY263" s="72"/>
      <c r="DA263" s="12" t="s">
        <v>37</v>
      </c>
      <c r="DB263" s="12" t="s">
        <v>37</v>
      </c>
      <c r="DC263" s="13" t="s">
        <v>37</v>
      </c>
      <c r="DE263" s="12" t="s">
        <v>37</v>
      </c>
      <c r="DF263" s="12" t="s">
        <v>37</v>
      </c>
      <c r="DG263" s="12" t="s">
        <v>37</v>
      </c>
      <c r="DN263" s="19" t="s">
        <v>37</v>
      </c>
      <c r="DO263" s="12" t="s">
        <v>37</v>
      </c>
      <c r="DP263" s="13" t="s">
        <v>37</v>
      </c>
      <c r="DR263" s="19" t="s">
        <v>37</v>
      </c>
      <c r="DS263" s="12" t="s">
        <v>37</v>
      </c>
      <c r="DT263" s="13" t="s">
        <v>37</v>
      </c>
      <c r="DZ263" s="11" t="s">
        <v>47</v>
      </c>
      <c r="EA263" s="19">
        <f>200*10^4*("1991/9/30"-"1991/05/01")/10^9/'[3]classess-1'!$I$22</f>
        <v>0.4160173989890103</v>
      </c>
      <c r="EB263" s="50">
        <f>ABS(EA263)*ED$474</f>
        <v>2.3920904684180724</v>
      </c>
      <c r="EC263" s="72">
        <v>3</v>
      </c>
      <c r="EE263" s="19" t="s">
        <v>37</v>
      </c>
      <c r="EF263" s="19" t="s">
        <v>37</v>
      </c>
      <c r="EG263" s="12" t="s">
        <v>37</v>
      </c>
      <c r="EM263" s="12" t="s">
        <v>39</v>
      </c>
      <c r="EN263" s="12">
        <v>-5</v>
      </c>
      <c r="EO263" s="50">
        <f t="shared" si="1156"/>
        <v>2.0374819937564665</v>
      </c>
      <c r="EP263" s="13">
        <v>3</v>
      </c>
      <c r="ER263" s="12" t="s">
        <v>37</v>
      </c>
      <c r="ET263" s="13">
        <v>3</v>
      </c>
      <c r="FB263" s="12" t="s">
        <v>37</v>
      </c>
      <c r="FC263" s="12" t="s">
        <v>37</v>
      </c>
      <c r="FD263" s="12" t="s">
        <v>37</v>
      </c>
      <c r="FE263" s="12" t="s">
        <v>37</v>
      </c>
      <c r="FF263" s="20" t="s">
        <v>37</v>
      </c>
      <c r="FG263" s="12" t="s">
        <v>37</v>
      </c>
      <c r="FI263" s="12" t="s">
        <v>37</v>
      </c>
      <c r="FJ263" s="12" t="s">
        <v>37</v>
      </c>
      <c r="FK263" s="12" t="s">
        <v>37</v>
      </c>
      <c r="FL263" s="12" t="s">
        <v>37</v>
      </c>
      <c r="FM263" s="12" t="s">
        <v>37</v>
      </c>
      <c r="FN263" s="12" t="s">
        <v>37</v>
      </c>
      <c r="FP263" s="12" t="s">
        <v>37</v>
      </c>
      <c r="FQ263" s="12" t="s">
        <v>37</v>
      </c>
      <c r="FR263" s="12" t="s">
        <v>37</v>
      </c>
      <c r="FS263" s="12" t="s">
        <v>37</v>
      </c>
      <c r="FT263" s="12" t="s">
        <v>37</v>
      </c>
      <c r="FU263" s="12" t="s">
        <v>37</v>
      </c>
      <c r="FW263" s="12" t="s">
        <v>37</v>
      </c>
      <c r="FX263" s="12" t="s">
        <v>37</v>
      </c>
      <c r="FY263" s="12" t="s">
        <v>37</v>
      </c>
      <c r="FZ263" s="12" t="s">
        <v>37</v>
      </c>
      <c r="GA263" s="12" t="s">
        <v>37</v>
      </c>
      <c r="GB263" s="12" t="s">
        <v>37</v>
      </c>
      <c r="IK263" s="12" t="s">
        <v>37</v>
      </c>
      <c r="IL263" s="12" t="s">
        <v>37</v>
      </c>
      <c r="IM263" s="12" t="s">
        <v>37</v>
      </c>
      <c r="IO263" s="12" t="s">
        <v>37</v>
      </c>
      <c r="IP263" s="12" t="s">
        <v>37</v>
      </c>
      <c r="IQ263" s="12" t="s">
        <v>37</v>
      </c>
      <c r="IV263" s="32" t="s">
        <v>372</v>
      </c>
      <c r="IW263" s="12">
        <v>4.5</v>
      </c>
      <c r="IX263" s="50">
        <f t="shared" ref="IX263:IX269" si="1189">ABS(IW263)*IZ$474</f>
        <v>0.16475734182610413</v>
      </c>
      <c r="IY263" s="13">
        <v>3</v>
      </c>
      <c r="JC263" s="12"/>
      <c r="JH263" s="12" t="s">
        <v>37</v>
      </c>
      <c r="JI263" s="12" t="s">
        <v>37</v>
      </c>
      <c r="JJ263" s="13" t="s">
        <v>37</v>
      </c>
      <c r="JL263" s="12" t="s">
        <v>37</v>
      </c>
      <c r="JM263" s="12" t="s">
        <v>37</v>
      </c>
      <c r="JN263" s="12" t="s">
        <v>37</v>
      </c>
      <c r="JS263" s="12" t="s">
        <v>37</v>
      </c>
      <c r="JT263" s="12" t="s">
        <v>37</v>
      </c>
      <c r="JU263" s="13" t="s">
        <v>37</v>
      </c>
      <c r="JW263" s="12" t="s">
        <v>37</v>
      </c>
      <c r="JX263" s="12" t="s">
        <v>37</v>
      </c>
      <c r="JY263" s="12" t="s">
        <v>37</v>
      </c>
      <c r="KE263" s="12" t="s">
        <v>37</v>
      </c>
      <c r="KF263" s="12" t="s">
        <v>37</v>
      </c>
      <c r="KG263" s="13" t="s">
        <v>37</v>
      </c>
      <c r="KH263" s="12" t="s">
        <v>37</v>
      </c>
      <c r="KI263" s="12" t="s">
        <v>37</v>
      </c>
      <c r="KJ263" s="12" t="s">
        <v>37</v>
      </c>
      <c r="KK263" s="12" t="s">
        <v>391</v>
      </c>
      <c r="KL263" s="32" t="s">
        <v>372</v>
      </c>
      <c r="KM263" s="12">
        <v>260</v>
      </c>
      <c r="KN263" s="50">
        <f>ABS(KM263)*KP$474</f>
        <v>31.016190760063466</v>
      </c>
      <c r="KO263" s="11">
        <v>3</v>
      </c>
      <c r="KS263" s="12"/>
      <c r="KX263" s="12" t="s">
        <v>37</v>
      </c>
      <c r="KY263" s="12" t="s">
        <v>37</v>
      </c>
      <c r="KZ263" s="12" t="s">
        <v>37</v>
      </c>
      <c r="LB263" s="12" t="s">
        <v>37</v>
      </c>
      <c r="LC263" s="12" t="s">
        <v>37</v>
      </c>
      <c r="LD263" s="12" t="s">
        <v>37</v>
      </c>
      <c r="LI263" s="12" t="s">
        <v>37</v>
      </c>
      <c r="LJ263" s="12" t="s">
        <v>37</v>
      </c>
      <c r="LK263" s="12" t="s">
        <v>37</v>
      </c>
      <c r="LM263" s="12" t="s">
        <v>37</v>
      </c>
      <c r="LN263" s="12" t="s">
        <v>37</v>
      </c>
      <c r="LO263" s="12" t="s">
        <v>37</v>
      </c>
      <c r="LU263" s="12" t="s">
        <v>37</v>
      </c>
      <c r="LV263" s="12" t="s">
        <v>37</v>
      </c>
      <c r="LW263" s="12" t="s">
        <v>37</v>
      </c>
      <c r="LY263" s="12" t="s">
        <v>37</v>
      </c>
      <c r="LZ263" s="12" t="s">
        <v>37</v>
      </c>
      <c r="MA263" s="12" t="s">
        <v>37</v>
      </c>
      <c r="MF263" s="12" t="s">
        <v>37</v>
      </c>
      <c r="MG263" s="12" t="s">
        <v>37</v>
      </c>
      <c r="MH263" s="12" t="s">
        <v>37</v>
      </c>
      <c r="MJ263" s="12" t="s">
        <v>37</v>
      </c>
      <c r="MK263" s="12" t="s">
        <v>37</v>
      </c>
      <c r="ML263" s="12" t="s">
        <v>37</v>
      </c>
      <c r="MQ263" s="12" t="s">
        <v>37</v>
      </c>
      <c r="MR263" s="12" t="s">
        <v>37</v>
      </c>
      <c r="MS263" s="12" t="s">
        <v>37</v>
      </c>
      <c r="MU263" s="12" t="s">
        <v>37</v>
      </c>
      <c r="MV263" s="12" t="s">
        <v>37</v>
      </c>
      <c r="MW263" s="12" t="s">
        <v>37</v>
      </c>
      <c r="NC263" s="12" t="s">
        <v>37</v>
      </c>
      <c r="ND263" s="12" t="s">
        <v>37</v>
      </c>
      <c r="NE263" s="12" t="s">
        <v>37</v>
      </c>
      <c r="NG263" s="12" t="s">
        <v>37</v>
      </c>
      <c r="NH263" s="12" t="s">
        <v>37</v>
      </c>
      <c r="NI263" s="12" t="s">
        <v>37</v>
      </c>
      <c r="NO263" s="12" t="s">
        <v>37</v>
      </c>
      <c r="NP263" s="12" t="s">
        <v>37</v>
      </c>
      <c r="NQ263" s="12" t="s">
        <v>37</v>
      </c>
      <c r="NS263" s="12" t="s">
        <v>37</v>
      </c>
      <c r="NT263" s="12" t="s">
        <v>37</v>
      </c>
      <c r="NU263" s="12" t="s">
        <v>37</v>
      </c>
      <c r="OA263" s="12" t="s">
        <v>37</v>
      </c>
      <c r="OB263" s="12" t="s">
        <v>37</v>
      </c>
      <c r="OC263" s="12" t="s">
        <v>37</v>
      </c>
      <c r="OD263" s="12"/>
      <c r="OE263" s="12" t="s">
        <v>37</v>
      </c>
      <c r="OF263" s="12" t="s">
        <v>37</v>
      </c>
      <c r="OG263" s="12" t="s">
        <v>37</v>
      </c>
      <c r="OH263" s="12"/>
      <c r="OI263" s="12"/>
      <c r="OJ263" s="12"/>
      <c r="OM263" s="12" t="s">
        <v>37</v>
      </c>
      <c r="ON263" s="12" t="s">
        <v>37</v>
      </c>
      <c r="OO263" s="12" t="s">
        <v>37</v>
      </c>
      <c r="OP263" s="12" t="s">
        <v>37</v>
      </c>
      <c r="OQ263" s="12" t="s">
        <v>37</v>
      </c>
      <c r="OR263" s="12" t="s">
        <v>37</v>
      </c>
      <c r="OS263" s="12"/>
      <c r="OT263" s="12"/>
      <c r="OW263" s="12" t="s">
        <v>37</v>
      </c>
      <c r="OX263" s="12" t="s">
        <v>37</v>
      </c>
      <c r="OY263" s="13" t="s">
        <v>37</v>
      </c>
      <c r="OZ263" s="12" t="s">
        <v>37</v>
      </c>
      <c r="PA263" s="12" t="s">
        <v>37</v>
      </c>
      <c r="PB263" s="13" t="s">
        <v>37</v>
      </c>
      <c r="PG263" s="12" t="s">
        <v>37</v>
      </c>
      <c r="PH263" s="12" t="s">
        <v>37</v>
      </c>
      <c r="PI263" s="12" t="s">
        <v>37</v>
      </c>
      <c r="PJ263" s="12" t="s">
        <v>37</v>
      </c>
      <c r="PK263" s="12" t="s">
        <v>37</v>
      </c>
      <c r="PL263" s="12" t="s">
        <v>37</v>
      </c>
      <c r="PM263" s="12"/>
      <c r="PN263" s="12"/>
      <c r="PQ263" s="12" t="s">
        <v>37</v>
      </c>
      <c r="PR263" s="12" t="s">
        <v>37</v>
      </c>
      <c r="PS263" s="12" t="s">
        <v>37</v>
      </c>
      <c r="PT263" s="12" t="s">
        <v>37</v>
      </c>
      <c r="PU263" s="12" t="s">
        <v>37</v>
      </c>
      <c r="PV263" s="12" t="s">
        <v>37</v>
      </c>
      <c r="PW263" s="12"/>
      <c r="PX263" s="12"/>
      <c r="PZ263" s="12" t="s">
        <v>37</v>
      </c>
      <c r="QA263" s="12" t="s">
        <v>37</v>
      </c>
      <c r="QB263" s="12" t="s">
        <v>37</v>
      </c>
      <c r="QD263" s="12" t="s">
        <v>37</v>
      </c>
      <c r="QE263" s="12" t="s">
        <v>37</v>
      </c>
      <c r="QF263" s="12" t="s">
        <v>37</v>
      </c>
      <c r="QK263" s="12" t="s">
        <v>37</v>
      </c>
      <c r="QL263" s="12" t="s">
        <v>37</v>
      </c>
      <c r="QM263" s="12" t="s">
        <v>37</v>
      </c>
      <c r="QN263" s="12" t="s">
        <v>37</v>
      </c>
      <c r="QO263" s="12" t="s">
        <v>37</v>
      </c>
      <c r="QP263" s="12" t="s">
        <v>37</v>
      </c>
      <c r="QQ263" s="12"/>
      <c r="QR263" s="12"/>
      <c r="QU263" s="12" t="s">
        <v>37</v>
      </c>
      <c r="QV263" s="12" t="s">
        <v>37</v>
      </c>
      <c r="QW263" s="12" t="s">
        <v>37</v>
      </c>
      <c r="QX263" s="12" t="s">
        <v>37</v>
      </c>
      <c r="QY263" s="12" t="s">
        <v>37</v>
      </c>
      <c r="QZ263" s="12" t="s">
        <v>37</v>
      </c>
      <c r="RC263" s="12" t="s">
        <v>37</v>
      </c>
      <c r="RD263" s="12" t="s">
        <v>37</v>
      </c>
      <c r="RE263" s="13" t="s">
        <v>37</v>
      </c>
      <c r="RF263" s="12" t="s">
        <v>37</v>
      </c>
      <c r="RG263" s="12" t="s">
        <v>37</v>
      </c>
      <c r="RH263" s="13" t="s">
        <v>37</v>
      </c>
      <c r="RK263" s="12" t="s">
        <v>37</v>
      </c>
      <c r="RL263" s="12" t="s">
        <v>37</v>
      </c>
      <c r="RM263" s="11" t="s">
        <v>37</v>
      </c>
      <c r="RN263" s="12" t="s">
        <v>37</v>
      </c>
      <c r="RO263" s="12" t="s">
        <v>37</v>
      </c>
      <c r="RP263" s="11" t="s">
        <v>37</v>
      </c>
      <c r="RS263" s="12" t="s">
        <v>37</v>
      </c>
      <c r="RT263" s="12" t="s">
        <v>37</v>
      </c>
      <c r="RU263" s="12" t="s">
        <v>37</v>
      </c>
      <c r="RV263" s="12" t="s">
        <v>37</v>
      </c>
      <c r="RW263" s="12" t="s">
        <v>37</v>
      </c>
      <c r="RX263" s="12" t="s">
        <v>37</v>
      </c>
      <c r="SA263" s="12" t="s">
        <v>37</v>
      </c>
      <c r="SB263" s="12" t="s">
        <v>37</v>
      </c>
      <c r="SC263" s="12" t="s">
        <v>37</v>
      </c>
      <c r="SD263" s="12" t="s">
        <v>37</v>
      </c>
      <c r="SE263" s="12" t="s">
        <v>37</v>
      </c>
      <c r="SF263" s="12" t="s">
        <v>37</v>
      </c>
      <c r="SI263" s="12" t="s">
        <v>37</v>
      </c>
      <c r="SJ263" s="12" t="s">
        <v>37</v>
      </c>
      <c r="SK263" s="13" t="s">
        <v>37</v>
      </c>
      <c r="SM263" s="12" t="s">
        <v>37</v>
      </c>
      <c r="SN263" s="12" t="s">
        <v>37</v>
      </c>
      <c r="SO263" s="13" t="s">
        <v>37</v>
      </c>
      <c r="SU263" s="12" t="s">
        <v>37</v>
      </c>
      <c r="SV263" s="12" t="s">
        <v>37</v>
      </c>
      <c r="SW263" s="12" t="s">
        <v>37</v>
      </c>
      <c r="SX263" s="12" t="s">
        <v>37</v>
      </c>
      <c r="SY263" s="12" t="s">
        <v>37</v>
      </c>
      <c r="SZ263" s="12" t="s">
        <v>37</v>
      </c>
      <c r="TA263" s="12"/>
      <c r="TB263" s="12"/>
      <c r="TE263" s="12" t="s">
        <v>37</v>
      </c>
      <c r="TF263" s="12" t="s">
        <v>37</v>
      </c>
      <c r="TG263" s="12" t="s">
        <v>37</v>
      </c>
      <c r="TH263" s="12" t="s">
        <v>37</v>
      </c>
      <c r="TI263" s="12" t="s">
        <v>37</v>
      </c>
      <c r="TJ263" s="12" t="s">
        <v>37</v>
      </c>
      <c r="TK263" s="12"/>
      <c r="TL263" s="12"/>
      <c r="TO263" s="12" t="s">
        <v>37</v>
      </c>
      <c r="TP263" s="12" t="s">
        <v>37</v>
      </c>
      <c r="TQ263" s="12" t="s">
        <v>37</v>
      </c>
      <c r="TR263" s="12" t="s">
        <v>37</v>
      </c>
      <c r="TS263" s="12" t="s">
        <v>37</v>
      </c>
      <c r="TT263" s="12" t="s">
        <v>37</v>
      </c>
      <c r="TU263" s="12"/>
      <c r="TV263" s="12"/>
      <c r="TY263" s="12" t="s">
        <v>37</v>
      </c>
      <c r="TZ263" s="12" t="s">
        <v>37</v>
      </c>
      <c r="UA263" s="12" t="s">
        <v>37</v>
      </c>
      <c r="UB263" s="12" t="s">
        <v>37</v>
      </c>
      <c r="UC263" s="12" t="s">
        <v>37</v>
      </c>
      <c r="UD263" s="12" t="s">
        <v>37</v>
      </c>
      <c r="UE263" s="12"/>
      <c r="UF263" s="12"/>
      <c r="UI263" s="12" t="s">
        <v>37</v>
      </c>
      <c r="UJ263" s="12" t="s">
        <v>37</v>
      </c>
      <c r="UK263" s="12" t="s">
        <v>37</v>
      </c>
      <c r="UL263" s="12" t="s">
        <v>37</v>
      </c>
      <c r="UM263" s="12" t="s">
        <v>37</v>
      </c>
      <c r="UN263" s="12" t="s">
        <v>37</v>
      </c>
      <c r="UO263" s="12"/>
      <c r="UP263" s="12"/>
      <c r="UR263" s="12" t="s">
        <v>37</v>
      </c>
      <c r="US263" s="12" t="s">
        <v>37</v>
      </c>
      <c r="UT263" s="12" t="s">
        <v>37</v>
      </c>
      <c r="UU263" s="12" t="s">
        <v>37</v>
      </c>
      <c r="UV263" s="12" t="s">
        <v>37</v>
      </c>
      <c r="UW263" s="12" t="s">
        <v>37</v>
      </c>
      <c r="UX263" s="12"/>
      <c r="UY263" s="12"/>
      <c r="VB263" s="12" t="s">
        <v>37</v>
      </c>
      <c r="VC263" s="12" t="s">
        <v>37</v>
      </c>
      <c r="VD263" s="12" t="s">
        <v>37</v>
      </c>
      <c r="VE263" s="12" t="s">
        <v>37</v>
      </c>
      <c r="VF263" s="12" t="s">
        <v>37</v>
      </c>
      <c r="VG263" s="12" t="s">
        <v>37</v>
      </c>
      <c r="VI263" s="12" t="s">
        <v>37</v>
      </c>
      <c r="VJ263" s="12" t="s">
        <v>37</v>
      </c>
      <c r="VK263" s="12" t="s">
        <v>37</v>
      </c>
      <c r="VL263" s="12" t="s">
        <v>37</v>
      </c>
      <c r="VM263" s="12" t="s">
        <v>37</v>
      </c>
      <c r="VN263" s="12" t="s">
        <v>37</v>
      </c>
      <c r="VQ263" s="12" t="s">
        <v>37</v>
      </c>
      <c r="VR263" s="12" t="s">
        <v>37</v>
      </c>
      <c r="VS263" s="12" t="s">
        <v>37</v>
      </c>
      <c r="VT263" s="12" t="s">
        <v>37</v>
      </c>
      <c r="VU263" s="12" t="s">
        <v>37</v>
      </c>
      <c r="VV263" s="12" t="s">
        <v>37</v>
      </c>
      <c r="VW263" s="12"/>
      <c r="VX263" s="12"/>
      <c r="WA263" s="12" t="s">
        <v>37</v>
      </c>
      <c r="WB263" s="12" t="s">
        <v>37</v>
      </c>
      <c r="WC263" s="12" t="s">
        <v>37</v>
      </c>
      <c r="WD263" s="12" t="s">
        <v>37</v>
      </c>
      <c r="WE263" s="12" t="s">
        <v>37</v>
      </c>
      <c r="WF263" s="12" t="s">
        <v>37</v>
      </c>
    </row>
    <row r="264" spans="1:604" ht="18" customHeight="1" x14ac:dyDescent="0.3">
      <c r="A264" s="11">
        <v>66</v>
      </c>
      <c r="B264" s="16" t="s">
        <v>388</v>
      </c>
      <c r="C264" s="12" t="s">
        <v>26</v>
      </c>
      <c r="D264" s="12" t="s">
        <v>54</v>
      </c>
      <c r="E264" s="40" t="s">
        <v>37</v>
      </c>
      <c r="F264" s="14">
        <v>0</v>
      </c>
      <c r="G264" s="14">
        <v>0</v>
      </c>
      <c r="H264" s="12" t="s">
        <v>123</v>
      </c>
      <c r="I264" s="29">
        <v>61.767000000000003</v>
      </c>
      <c r="J264" s="29">
        <v>30.966999999999999</v>
      </c>
      <c r="K264" s="12" t="s">
        <v>776</v>
      </c>
      <c r="L264" s="12" t="s">
        <v>777</v>
      </c>
      <c r="M264" s="13" t="s">
        <v>37</v>
      </c>
      <c r="N264" s="13" t="s">
        <v>37</v>
      </c>
      <c r="O264" s="13" t="s">
        <v>37</v>
      </c>
      <c r="P264" s="14" t="s">
        <v>84</v>
      </c>
      <c r="Q264" s="75">
        <v>50</v>
      </c>
      <c r="R264" s="11" t="s">
        <v>1000</v>
      </c>
      <c r="S264" s="12" t="s">
        <v>93</v>
      </c>
      <c r="T264" s="12" t="s">
        <v>141</v>
      </c>
      <c r="U264" s="12" t="s">
        <v>158</v>
      </c>
      <c r="V264" s="12" t="s">
        <v>275</v>
      </c>
      <c r="W264" s="23" t="s">
        <v>377</v>
      </c>
      <c r="X264" s="12" t="s">
        <v>281</v>
      </c>
      <c r="Y264" s="12" t="s">
        <v>37</v>
      </c>
      <c r="Z264" s="12" t="s">
        <v>37</v>
      </c>
      <c r="AA264" s="32" t="s">
        <v>372</v>
      </c>
      <c r="AB264" s="12">
        <v>3.8</v>
      </c>
      <c r="AE264" s="12" t="s">
        <v>37</v>
      </c>
      <c r="AF264" s="12" t="s">
        <v>391</v>
      </c>
      <c r="AG264" s="32" t="s">
        <v>372</v>
      </c>
      <c r="AH264" s="12">
        <v>380</v>
      </c>
      <c r="AK264" s="12" t="s">
        <v>37</v>
      </c>
      <c r="AL264" s="32">
        <v>1992</v>
      </c>
      <c r="AM264" s="12" t="s">
        <v>317</v>
      </c>
      <c r="AN264" s="32" t="s">
        <v>880</v>
      </c>
      <c r="AO264" s="12" t="s">
        <v>37</v>
      </c>
      <c r="AP264" s="12" t="s">
        <v>238</v>
      </c>
      <c r="AQ264" s="12" t="s">
        <v>975</v>
      </c>
      <c r="AT264" s="12" t="s">
        <v>326</v>
      </c>
      <c r="AU264" s="12" t="s">
        <v>326</v>
      </c>
      <c r="AV264" s="13" t="s">
        <v>326</v>
      </c>
      <c r="AX264" s="12" t="s">
        <v>326</v>
      </c>
      <c r="AY264" s="12" t="s">
        <v>326</v>
      </c>
      <c r="AZ264" s="13" t="s">
        <v>326</v>
      </c>
      <c r="BE264" s="12" t="s">
        <v>326</v>
      </c>
      <c r="BF264" s="12" t="s">
        <v>326</v>
      </c>
      <c r="BG264" s="12" t="s">
        <v>326</v>
      </c>
      <c r="BI264" s="12" t="s">
        <v>326</v>
      </c>
      <c r="BJ264" s="12" t="s">
        <v>326</v>
      </c>
      <c r="BK264" s="12" t="s">
        <v>326</v>
      </c>
      <c r="BP264" s="12" t="s">
        <v>37</v>
      </c>
      <c r="BQ264" s="12" t="s">
        <v>37</v>
      </c>
      <c r="BR264" s="13" t="s">
        <v>37</v>
      </c>
      <c r="BT264" s="12" t="s">
        <v>37</v>
      </c>
      <c r="BU264" s="12" t="s">
        <v>37</v>
      </c>
      <c r="BV264" s="12" t="s">
        <v>37</v>
      </c>
      <c r="CA264" s="12" t="s">
        <v>37</v>
      </c>
      <c r="CB264" s="12" t="s">
        <v>37</v>
      </c>
      <c r="CC264" s="13" t="s">
        <v>37</v>
      </c>
      <c r="CE264" s="12" t="s">
        <v>37</v>
      </c>
      <c r="CF264" s="12" t="s">
        <v>37</v>
      </c>
      <c r="CG264" s="12" t="s">
        <v>37</v>
      </c>
      <c r="CN264" s="12" t="s">
        <v>37</v>
      </c>
      <c r="CO264" s="12" t="s">
        <v>37</v>
      </c>
      <c r="CP264" s="13" t="s">
        <v>37</v>
      </c>
      <c r="CR264" s="12" t="s">
        <v>37</v>
      </c>
      <c r="CS264" s="12" t="s">
        <v>37</v>
      </c>
      <c r="CT264" s="13" t="s">
        <v>37</v>
      </c>
      <c r="CX264" s="72"/>
      <c r="CY264" s="72"/>
      <c r="DA264" s="12" t="s">
        <v>37</v>
      </c>
      <c r="DB264" s="12" t="s">
        <v>37</v>
      </c>
      <c r="DC264" s="13" t="s">
        <v>37</v>
      </c>
      <c r="DE264" s="12" t="s">
        <v>37</v>
      </c>
      <c r="DF264" s="12" t="s">
        <v>37</v>
      </c>
      <c r="DG264" s="12" t="s">
        <v>37</v>
      </c>
      <c r="DN264" s="19" t="s">
        <v>37</v>
      </c>
      <c r="DO264" s="12" t="s">
        <v>37</v>
      </c>
      <c r="DP264" s="13" t="s">
        <v>37</v>
      </c>
      <c r="DR264" s="19" t="s">
        <v>37</v>
      </c>
      <c r="DS264" s="12" t="s">
        <v>37</v>
      </c>
      <c r="DT264" s="13" t="s">
        <v>37</v>
      </c>
      <c r="DZ264" s="11" t="s">
        <v>47</v>
      </c>
      <c r="EA264" s="19">
        <f>24*10^4*("1991/9/30"-"1991/05/01")/10^9/'[3]classess-1'!$I$26</f>
        <v>8.484570296783607E-2</v>
      </c>
      <c r="EB264" s="19">
        <f>SQRT((1/[5]Classess!$I$26)^2*(14*SQRT(3)*10^4*("1991/9/30"-"1991/05/01")/10^9)^2+(-EA264/([5]Classess!$I$26)^2)^2*([5]Classess!$J$26)^2)</f>
        <v>0.23150687644726506</v>
      </c>
      <c r="EC264" s="72">
        <v>3</v>
      </c>
      <c r="ED264" s="52">
        <f t="shared" ref="ED264:ED266" si="1190">EB264/ABS(EA264)</f>
        <v>2.7285633608932014</v>
      </c>
      <c r="EE264" s="19">
        <f>74*10^4*("1991/9/30"-"1991/05/01")/10^9/'[3]classess-1'!$I$27</f>
        <v>0.16473448657608519</v>
      </c>
      <c r="EF264" s="19">
        <f>SQRT((1/[5]Classess!$I$27)^2*(45*SQRT(3)*10^4*("1991/9/30"-"1991/05/01")/10^9)^2+(-EE264/([5]Classess!$I$27)^2)^2*([5]Classess!$J$27)^2)</f>
        <v>0.18337619194833357</v>
      </c>
      <c r="EG264" s="13">
        <v>3</v>
      </c>
      <c r="EH264" s="52">
        <f t="shared" ref="EH264:EH266" si="1191">EF264/ABS(EE264)</f>
        <v>1.1131621299201271</v>
      </c>
      <c r="EI264" s="19">
        <f t="shared" ref="EI264:EI266" si="1192">EE264-EA264</f>
        <v>7.9888783608249123E-2</v>
      </c>
      <c r="EJ264" s="12">
        <f t="shared" ref="EJ264:EJ266" si="1193">SQRT(((EC264-1)*EB264^2+(EG264-1)*EF264^2)/(EC264+EG264-2))</f>
        <v>0.20883278192831856</v>
      </c>
      <c r="EK264" s="19">
        <f t="shared" ref="EK264:EK266" si="1194">(((EC264+EG264)/(EC264*EG264))*(((EC264-1)*EB264^2)+(EG264-1)*EF264^2)/(EC264+EG264-2))</f>
        <v>2.9074087205280437E-2</v>
      </c>
      <c r="EL264" s="19">
        <f t="shared" ref="EL264:EL266" si="1195">(EB264^2/EC264)+(EF264^2/EG264)</f>
        <v>2.907408720528044E-2</v>
      </c>
      <c r="EM264" s="12" t="s">
        <v>39</v>
      </c>
      <c r="EN264" s="12">
        <v>-28</v>
      </c>
      <c r="EO264" s="50">
        <f t="shared" si="1156"/>
        <v>11.409899165036213</v>
      </c>
      <c r="EP264" s="13">
        <v>3</v>
      </c>
      <c r="ER264" s="12">
        <v>-36</v>
      </c>
      <c r="ES264" s="50">
        <f>ABS(ER264)*EU$474</f>
        <v>8.1653059263309906</v>
      </c>
      <c r="ET264" s="13">
        <v>3</v>
      </c>
      <c r="EV264" s="19">
        <f t="shared" ref="EV264:EV268" si="1196">ER264-EN264</f>
        <v>-8</v>
      </c>
      <c r="EW264" s="12">
        <f t="shared" ref="EW264:EW268" si="1197">SQRT(((EP264-1)*EO264^2+(ET264-1)*ES264^2)/(EP264+ET264-2))</f>
        <v>9.9211395471203332</v>
      </c>
      <c r="EX264" s="19">
        <f t="shared" ref="EX264:EX268" si="1198">(((EP264+ET264)/(EP264*ET264))*(((EP264-1)*EO264^2)+(ET264-1)*ES264^2)/(EP264+ET264-2))</f>
        <v>65.619339942290026</v>
      </c>
      <c r="EY264" s="19">
        <f t="shared" ref="EY264:EY268" si="1199">(EO264^2/EP264)+(ES264^2/ET264)</f>
        <v>65.619339942290026</v>
      </c>
      <c r="FB264" s="12" t="s">
        <v>37</v>
      </c>
      <c r="FC264" s="12" t="s">
        <v>37</v>
      </c>
      <c r="FD264" s="12" t="s">
        <v>37</v>
      </c>
      <c r="FE264" s="12" t="s">
        <v>37</v>
      </c>
      <c r="FF264" s="20" t="s">
        <v>37</v>
      </c>
      <c r="FG264" s="12" t="s">
        <v>37</v>
      </c>
      <c r="FI264" s="12" t="s">
        <v>37</v>
      </c>
      <c r="FJ264" s="12" t="s">
        <v>37</v>
      </c>
      <c r="FK264" s="12" t="s">
        <v>37</v>
      </c>
      <c r="FL264" s="12" t="s">
        <v>37</v>
      </c>
      <c r="FM264" s="12" t="s">
        <v>37</v>
      </c>
      <c r="FN264" s="12" t="s">
        <v>37</v>
      </c>
      <c r="FP264" s="12" t="s">
        <v>37</v>
      </c>
      <c r="FQ264" s="12" t="s">
        <v>37</v>
      </c>
      <c r="FR264" s="12" t="s">
        <v>37</v>
      </c>
      <c r="FS264" s="12" t="s">
        <v>37</v>
      </c>
      <c r="FT264" s="12" t="s">
        <v>37</v>
      </c>
      <c r="FU264" s="12" t="s">
        <v>37</v>
      </c>
      <c r="FW264" s="12" t="s">
        <v>37</v>
      </c>
      <c r="FX264" s="12" t="s">
        <v>37</v>
      </c>
      <c r="FY264" s="12" t="s">
        <v>37</v>
      </c>
      <c r="FZ264" s="12" t="s">
        <v>37</v>
      </c>
      <c r="GA264" s="12" t="s">
        <v>37</v>
      </c>
      <c r="GB264" s="12" t="s">
        <v>37</v>
      </c>
      <c r="IK264" s="12" t="s">
        <v>37</v>
      </c>
      <c r="IL264" s="12" t="s">
        <v>37</v>
      </c>
      <c r="IM264" s="12" t="s">
        <v>37</v>
      </c>
      <c r="IO264" s="12" t="s">
        <v>37</v>
      </c>
      <c r="IP264" s="12" t="s">
        <v>37</v>
      </c>
      <c r="IQ264" s="12" t="s">
        <v>37</v>
      </c>
      <c r="IV264" s="32" t="s">
        <v>372</v>
      </c>
      <c r="IW264" s="12">
        <v>3.8</v>
      </c>
      <c r="IX264" s="50">
        <f t="shared" si="1189"/>
        <v>0.13912842198648792</v>
      </c>
      <c r="IY264" s="13">
        <v>3</v>
      </c>
      <c r="JA264" s="12">
        <v>3.8</v>
      </c>
      <c r="JB264" s="50">
        <f>ABS(JA264)*JD$474</f>
        <v>0.10643347338567048</v>
      </c>
      <c r="JC264" s="13">
        <v>3</v>
      </c>
      <c r="JE264" s="19">
        <f t="shared" ref="JE264:JE268" si="1200">LN(JA264/IW264)</f>
        <v>0</v>
      </c>
      <c r="JF264" s="19">
        <f t="shared" si="1162"/>
        <v>7.083287641133075E-4</v>
      </c>
      <c r="JH264" s="12" t="s">
        <v>37</v>
      </c>
      <c r="JI264" s="12" t="s">
        <v>37</v>
      </c>
      <c r="JJ264" s="13" t="s">
        <v>37</v>
      </c>
      <c r="JL264" s="12" t="s">
        <v>37</v>
      </c>
      <c r="JM264" s="12" t="s">
        <v>37</v>
      </c>
      <c r="JN264" s="12" t="s">
        <v>37</v>
      </c>
      <c r="JS264" s="12" t="s">
        <v>37</v>
      </c>
      <c r="JT264" s="12" t="s">
        <v>37</v>
      </c>
      <c r="JU264" s="13" t="s">
        <v>37</v>
      </c>
      <c r="JW264" s="12" t="s">
        <v>37</v>
      </c>
      <c r="JX264" s="12" t="s">
        <v>37</v>
      </c>
      <c r="JY264" s="12" t="s">
        <v>37</v>
      </c>
      <c r="KE264" s="12" t="s">
        <v>37</v>
      </c>
      <c r="KF264" s="12" t="s">
        <v>37</v>
      </c>
      <c r="KG264" s="13" t="s">
        <v>37</v>
      </c>
      <c r="KH264" s="12" t="s">
        <v>37</v>
      </c>
      <c r="KI264" s="12" t="s">
        <v>37</v>
      </c>
      <c r="KJ264" s="12" t="s">
        <v>37</v>
      </c>
      <c r="KK264" s="12" t="s">
        <v>391</v>
      </c>
      <c r="KL264" s="32" t="s">
        <v>372</v>
      </c>
      <c r="KM264" s="12">
        <v>380</v>
      </c>
      <c r="KN264" s="50">
        <f>ABS(KM264)*KP$474</f>
        <v>45.331355726246599</v>
      </c>
      <c r="KO264" s="11">
        <v>3</v>
      </c>
      <c r="KQ264" s="12">
        <v>380</v>
      </c>
      <c r="KR264" s="50">
        <f>ABS(KQ264)*KT$474</f>
        <v>40.068503464081964</v>
      </c>
      <c r="KS264" s="11">
        <v>3</v>
      </c>
      <c r="KU264" s="19">
        <f t="shared" ref="KU264:KU266" si="1201">LN(KQ264/KM264)</f>
        <v>0</v>
      </c>
      <c r="KV264" s="19">
        <f t="shared" si="1188"/>
        <v>8.4497155628593234E-3</v>
      </c>
      <c r="KX264" s="12" t="s">
        <v>37</v>
      </c>
      <c r="KY264" s="12" t="s">
        <v>37</v>
      </c>
      <c r="KZ264" s="12" t="s">
        <v>37</v>
      </c>
      <c r="LB264" s="12" t="s">
        <v>37</v>
      </c>
      <c r="LC264" s="12" t="s">
        <v>37</v>
      </c>
      <c r="LD264" s="12" t="s">
        <v>37</v>
      </c>
      <c r="LI264" s="12" t="s">
        <v>37</v>
      </c>
      <c r="LJ264" s="12" t="s">
        <v>37</v>
      </c>
      <c r="LK264" s="12" t="s">
        <v>37</v>
      </c>
      <c r="LM264" s="12" t="s">
        <v>37</v>
      </c>
      <c r="LN264" s="12" t="s">
        <v>37</v>
      </c>
      <c r="LO264" s="12" t="s">
        <v>37</v>
      </c>
      <c r="LU264" s="12" t="s">
        <v>37</v>
      </c>
      <c r="LV264" s="12" t="s">
        <v>37</v>
      </c>
      <c r="LW264" s="12" t="s">
        <v>37</v>
      </c>
      <c r="LY264" s="12" t="s">
        <v>37</v>
      </c>
      <c r="LZ264" s="12" t="s">
        <v>37</v>
      </c>
      <c r="MA264" s="12" t="s">
        <v>37</v>
      </c>
      <c r="MF264" s="12" t="s">
        <v>37</v>
      </c>
      <c r="MG264" s="12" t="s">
        <v>37</v>
      </c>
      <c r="MH264" s="12" t="s">
        <v>37</v>
      </c>
      <c r="MJ264" s="12" t="s">
        <v>37</v>
      </c>
      <c r="MK264" s="12" t="s">
        <v>37</v>
      </c>
      <c r="ML264" s="12" t="s">
        <v>37</v>
      </c>
      <c r="MQ264" s="12" t="s">
        <v>37</v>
      </c>
      <c r="MR264" s="12" t="s">
        <v>37</v>
      </c>
      <c r="MS264" s="12" t="s">
        <v>37</v>
      </c>
      <c r="MU264" s="12" t="s">
        <v>37</v>
      </c>
      <c r="MV264" s="12" t="s">
        <v>37</v>
      </c>
      <c r="MW264" s="12" t="s">
        <v>37</v>
      </c>
      <c r="NC264" s="12" t="s">
        <v>37</v>
      </c>
      <c r="ND264" s="12" t="s">
        <v>37</v>
      </c>
      <c r="NE264" s="12" t="s">
        <v>37</v>
      </c>
      <c r="NG264" s="12" t="s">
        <v>37</v>
      </c>
      <c r="NH264" s="12" t="s">
        <v>37</v>
      </c>
      <c r="NI264" s="12" t="s">
        <v>37</v>
      </c>
      <c r="NO264" s="12" t="s">
        <v>37</v>
      </c>
      <c r="NP264" s="12" t="s">
        <v>37</v>
      </c>
      <c r="NQ264" s="12" t="s">
        <v>37</v>
      </c>
      <c r="NS264" s="12" t="s">
        <v>37</v>
      </c>
      <c r="NT264" s="12" t="s">
        <v>37</v>
      </c>
      <c r="NU264" s="12" t="s">
        <v>37</v>
      </c>
      <c r="OA264" s="12" t="s">
        <v>37</v>
      </c>
      <c r="OB264" s="12" t="s">
        <v>37</v>
      </c>
      <c r="OC264" s="12" t="s">
        <v>37</v>
      </c>
      <c r="OD264" s="12"/>
      <c r="OE264" s="12" t="s">
        <v>37</v>
      </c>
      <c r="OF264" s="12" t="s">
        <v>37</v>
      </c>
      <c r="OG264" s="12" t="s">
        <v>37</v>
      </c>
      <c r="OH264" s="12"/>
      <c r="OI264" s="12"/>
      <c r="OJ264" s="12"/>
      <c r="OM264" s="12" t="s">
        <v>37</v>
      </c>
      <c r="ON264" s="12" t="s">
        <v>37</v>
      </c>
      <c r="OO264" s="12" t="s">
        <v>37</v>
      </c>
      <c r="OP264" s="12" t="s">
        <v>37</v>
      </c>
      <c r="OQ264" s="12" t="s">
        <v>37</v>
      </c>
      <c r="OR264" s="12" t="s">
        <v>37</v>
      </c>
      <c r="OS264" s="12"/>
      <c r="OT264" s="12"/>
      <c r="OW264" s="12" t="s">
        <v>37</v>
      </c>
      <c r="OX264" s="12" t="s">
        <v>37</v>
      </c>
      <c r="OY264" s="13" t="s">
        <v>37</v>
      </c>
      <c r="OZ264" s="12" t="s">
        <v>37</v>
      </c>
      <c r="PA264" s="12" t="s">
        <v>37</v>
      </c>
      <c r="PB264" s="13" t="s">
        <v>37</v>
      </c>
      <c r="PG264" s="12" t="s">
        <v>37</v>
      </c>
      <c r="PH264" s="12" t="s">
        <v>37</v>
      </c>
      <c r="PI264" s="12" t="s">
        <v>37</v>
      </c>
      <c r="PJ264" s="12" t="s">
        <v>37</v>
      </c>
      <c r="PK264" s="12" t="s">
        <v>37</v>
      </c>
      <c r="PL264" s="12" t="s">
        <v>37</v>
      </c>
      <c r="PM264" s="12"/>
      <c r="PN264" s="12"/>
      <c r="PQ264" s="12" t="s">
        <v>37</v>
      </c>
      <c r="PR264" s="12" t="s">
        <v>37</v>
      </c>
      <c r="PS264" s="12" t="s">
        <v>37</v>
      </c>
      <c r="PT264" s="12" t="s">
        <v>37</v>
      </c>
      <c r="PU264" s="12" t="s">
        <v>37</v>
      </c>
      <c r="PV264" s="12" t="s">
        <v>37</v>
      </c>
      <c r="PW264" s="12"/>
      <c r="PX264" s="12"/>
      <c r="PZ264" s="12" t="s">
        <v>37</v>
      </c>
      <c r="QA264" s="12" t="s">
        <v>37</v>
      </c>
      <c r="QB264" s="12" t="s">
        <v>37</v>
      </c>
      <c r="QD264" s="12" t="s">
        <v>37</v>
      </c>
      <c r="QE264" s="12" t="s">
        <v>37</v>
      </c>
      <c r="QF264" s="12" t="s">
        <v>37</v>
      </c>
      <c r="QK264" s="12" t="s">
        <v>37</v>
      </c>
      <c r="QL264" s="12" t="s">
        <v>37</v>
      </c>
      <c r="QM264" s="12" t="s">
        <v>37</v>
      </c>
      <c r="QN264" s="12" t="s">
        <v>37</v>
      </c>
      <c r="QO264" s="12" t="s">
        <v>37</v>
      </c>
      <c r="QP264" s="12" t="s">
        <v>37</v>
      </c>
      <c r="QQ264" s="12"/>
      <c r="QR264" s="12"/>
      <c r="QU264" s="12" t="s">
        <v>37</v>
      </c>
      <c r="QV264" s="12" t="s">
        <v>37</v>
      </c>
      <c r="QW264" s="12" t="s">
        <v>37</v>
      </c>
      <c r="QX264" s="12" t="s">
        <v>37</v>
      </c>
      <c r="QY264" s="12" t="s">
        <v>37</v>
      </c>
      <c r="QZ264" s="12" t="s">
        <v>37</v>
      </c>
      <c r="RC264" s="12" t="s">
        <v>37</v>
      </c>
      <c r="RD264" s="12" t="s">
        <v>37</v>
      </c>
      <c r="RE264" s="13" t="s">
        <v>37</v>
      </c>
      <c r="RF264" s="12" t="s">
        <v>37</v>
      </c>
      <c r="RG264" s="12" t="s">
        <v>37</v>
      </c>
      <c r="RH264" s="13" t="s">
        <v>37</v>
      </c>
      <c r="RK264" s="12" t="s">
        <v>37</v>
      </c>
      <c r="RL264" s="12" t="s">
        <v>37</v>
      </c>
      <c r="RM264" s="11" t="s">
        <v>37</v>
      </c>
      <c r="RN264" s="12" t="s">
        <v>37</v>
      </c>
      <c r="RO264" s="12" t="s">
        <v>37</v>
      </c>
      <c r="RP264" s="11" t="s">
        <v>37</v>
      </c>
      <c r="RS264" s="12" t="s">
        <v>37</v>
      </c>
      <c r="RT264" s="12" t="s">
        <v>37</v>
      </c>
      <c r="RU264" s="12" t="s">
        <v>37</v>
      </c>
      <c r="RV264" s="12" t="s">
        <v>37</v>
      </c>
      <c r="RW264" s="12" t="s">
        <v>37</v>
      </c>
      <c r="RX264" s="12" t="s">
        <v>37</v>
      </c>
      <c r="SA264" s="12" t="s">
        <v>37</v>
      </c>
      <c r="SB264" s="12" t="s">
        <v>37</v>
      </c>
      <c r="SC264" s="12" t="s">
        <v>37</v>
      </c>
      <c r="SD264" s="12" t="s">
        <v>37</v>
      </c>
      <c r="SE264" s="12" t="s">
        <v>37</v>
      </c>
      <c r="SF264" s="12" t="s">
        <v>37</v>
      </c>
      <c r="SI264" s="12" t="s">
        <v>37</v>
      </c>
      <c r="SJ264" s="12" t="s">
        <v>37</v>
      </c>
      <c r="SK264" s="13" t="s">
        <v>37</v>
      </c>
      <c r="SM264" s="12" t="s">
        <v>37</v>
      </c>
      <c r="SN264" s="12" t="s">
        <v>37</v>
      </c>
      <c r="SO264" s="13" t="s">
        <v>37</v>
      </c>
      <c r="SU264" s="12" t="s">
        <v>37</v>
      </c>
      <c r="SV264" s="12" t="s">
        <v>37</v>
      </c>
      <c r="SW264" s="12" t="s">
        <v>37</v>
      </c>
      <c r="SX264" s="12" t="s">
        <v>37</v>
      </c>
      <c r="SY264" s="12" t="s">
        <v>37</v>
      </c>
      <c r="SZ264" s="12" t="s">
        <v>37</v>
      </c>
      <c r="TA264" s="12"/>
      <c r="TB264" s="12"/>
      <c r="TE264" s="12" t="s">
        <v>37</v>
      </c>
      <c r="TF264" s="12" t="s">
        <v>37</v>
      </c>
      <c r="TG264" s="12" t="s">
        <v>37</v>
      </c>
      <c r="TH264" s="12" t="s">
        <v>37</v>
      </c>
      <c r="TI264" s="12" t="s">
        <v>37</v>
      </c>
      <c r="TJ264" s="12" t="s">
        <v>37</v>
      </c>
      <c r="TK264" s="12"/>
      <c r="TL264" s="12"/>
      <c r="TO264" s="12" t="s">
        <v>37</v>
      </c>
      <c r="TP264" s="12" t="s">
        <v>37</v>
      </c>
      <c r="TQ264" s="12" t="s">
        <v>37</v>
      </c>
      <c r="TR264" s="12" t="s">
        <v>37</v>
      </c>
      <c r="TS264" s="12" t="s">
        <v>37</v>
      </c>
      <c r="TT264" s="12" t="s">
        <v>37</v>
      </c>
      <c r="TU264" s="12"/>
      <c r="TV264" s="12"/>
      <c r="TY264" s="12" t="s">
        <v>37</v>
      </c>
      <c r="TZ264" s="12" t="s">
        <v>37</v>
      </c>
      <c r="UA264" s="12" t="s">
        <v>37</v>
      </c>
      <c r="UB264" s="12" t="s">
        <v>37</v>
      </c>
      <c r="UC264" s="12" t="s">
        <v>37</v>
      </c>
      <c r="UD264" s="12" t="s">
        <v>37</v>
      </c>
      <c r="UE264" s="12"/>
      <c r="UF264" s="12"/>
      <c r="UI264" s="12" t="s">
        <v>37</v>
      </c>
      <c r="UJ264" s="12" t="s">
        <v>37</v>
      </c>
      <c r="UK264" s="12" t="s">
        <v>37</v>
      </c>
      <c r="UL264" s="12" t="s">
        <v>37</v>
      </c>
      <c r="UM264" s="12" t="s">
        <v>37</v>
      </c>
      <c r="UN264" s="12" t="s">
        <v>37</v>
      </c>
      <c r="UO264" s="12"/>
      <c r="UP264" s="12"/>
      <c r="UR264" s="12" t="s">
        <v>37</v>
      </c>
      <c r="US264" s="12" t="s">
        <v>37</v>
      </c>
      <c r="UT264" s="12" t="s">
        <v>37</v>
      </c>
      <c r="UU264" s="12" t="s">
        <v>37</v>
      </c>
      <c r="UV264" s="12" t="s">
        <v>37</v>
      </c>
      <c r="UW264" s="12" t="s">
        <v>37</v>
      </c>
      <c r="UX264" s="12"/>
      <c r="UY264" s="12"/>
      <c r="VB264" s="12" t="s">
        <v>37</v>
      </c>
      <c r="VC264" s="12" t="s">
        <v>37</v>
      </c>
      <c r="VD264" s="12" t="s">
        <v>37</v>
      </c>
      <c r="VE264" s="12" t="s">
        <v>37</v>
      </c>
      <c r="VF264" s="12" t="s">
        <v>37</v>
      </c>
      <c r="VG264" s="12" t="s">
        <v>37</v>
      </c>
      <c r="VI264" s="12" t="s">
        <v>37</v>
      </c>
      <c r="VJ264" s="12" t="s">
        <v>37</v>
      </c>
      <c r="VK264" s="12" t="s">
        <v>37</v>
      </c>
      <c r="VL264" s="12" t="s">
        <v>37</v>
      </c>
      <c r="VM264" s="12" t="s">
        <v>37</v>
      </c>
      <c r="VN264" s="12" t="s">
        <v>37</v>
      </c>
      <c r="VQ264" s="12" t="s">
        <v>37</v>
      </c>
      <c r="VR264" s="12" t="s">
        <v>37</v>
      </c>
      <c r="VS264" s="12" t="s">
        <v>37</v>
      </c>
      <c r="VT264" s="12" t="s">
        <v>37</v>
      </c>
      <c r="VU264" s="12" t="s">
        <v>37</v>
      </c>
      <c r="VV264" s="12" t="s">
        <v>37</v>
      </c>
      <c r="VW264" s="12"/>
      <c r="VX264" s="12"/>
      <c r="WA264" s="12" t="s">
        <v>37</v>
      </c>
      <c r="WB264" s="12" t="s">
        <v>37</v>
      </c>
      <c r="WC264" s="12" t="s">
        <v>37</v>
      </c>
      <c r="WD264" s="12" t="s">
        <v>37</v>
      </c>
      <c r="WE264" s="12" t="s">
        <v>37</v>
      </c>
      <c r="WF264" s="12" t="s">
        <v>37</v>
      </c>
    </row>
    <row r="265" spans="1:604" ht="18" customHeight="1" x14ac:dyDescent="0.3">
      <c r="A265" s="11">
        <v>66</v>
      </c>
      <c r="B265" s="16" t="s">
        <v>388</v>
      </c>
      <c r="C265" s="12" t="s">
        <v>26</v>
      </c>
      <c r="D265" s="12" t="s">
        <v>54</v>
      </c>
      <c r="E265" s="40" t="s">
        <v>37</v>
      </c>
      <c r="F265" s="14">
        <v>0</v>
      </c>
      <c r="G265" s="14">
        <v>0</v>
      </c>
      <c r="H265" s="12" t="s">
        <v>123</v>
      </c>
      <c r="I265" s="29">
        <v>61.767000000000003</v>
      </c>
      <c r="J265" s="29">
        <v>30.966999999999999</v>
      </c>
      <c r="K265" s="12" t="s">
        <v>776</v>
      </c>
      <c r="L265" s="12" t="s">
        <v>777</v>
      </c>
      <c r="M265" s="13" t="s">
        <v>37</v>
      </c>
      <c r="N265" s="13" t="s">
        <v>37</v>
      </c>
      <c r="O265" s="13" t="s">
        <v>37</v>
      </c>
      <c r="P265" s="14" t="s">
        <v>84</v>
      </c>
      <c r="Q265" s="75">
        <v>50</v>
      </c>
      <c r="R265" s="11" t="s">
        <v>1000</v>
      </c>
      <c r="S265" s="12" t="s">
        <v>93</v>
      </c>
      <c r="T265" s="12" t="s">
        <v>141</v>
      </c>
      <c r="U265" s="12" t="s">
        <v>158</v>
      </c>
      <c r="V265" s="12" t="s">
        <v>275</v>
      </c>
      <c r="W265" s="23" t="s">
        <v>377</v>
      </c>
      <c r="X265" s="12" t="s">
        <v>281</v>
      </c>
      <c r="Y265" s="12" t="s">
        <v>37</v>
      </c>
      <c r="Z265" s="12" t="s">
        <v>37</v>
      </c>
      <c r="AA265" s="32" t="s">
        <v>372</v>
      </c>
      <c r="AB265" s="12">
        <v>4.3</v>
      </c>
      <c r="AE265" s="12" t="s">
        <v>37</v>
      </c>
      <c r="AF265" s="12" t="s">
        <v>391</v>
      </c>
      <c r="AG265" s="32" t="s">
        <v>372</v>
      </c>
      <c r="AH265" s="12">
        <v>170</v>
      </c>
      <c r="AK265" s="12" t="s">
        <v>37</v>
      </c>
      <c r="AL265" s="32">
        <v>1992</v>
      </c>
      <c r="AM265" s="12" t="s">
        <v>317</v>
      </c>
      <c r="AN265" s="32" t="s">
        <v>880</v>
      </c>
      <c r="AO265" s="12" t="s">
        <v>37</v>
      </c>
      <c r="AP265" s="12" t="s">
        <v>238</v>
      </c>
      <c r="AQ265" s="12" t="s">
        <v>975</v>
      </c>
      <c r="AT265" s="12" t="s">
        <v>326</v>
      </c>
      <c r="AU265" s="12" t="s">
        <v>326</v>
      </c>
      <c r="AV265" s="13" t="s">
        <v>326</v>
      </c>
      <c r="AX265" s="12" t="s">
        <v>326</v>
      </c>
      <c r="AY265" s="12" t="s">
        <v>326</v>
      </c>
      <c r="AZ265" s="13" t="s">
        <v>326</v>
      </c>
      <c r="BE265" s="12" t="s">
        <v>326</v>
      </c>
      <c r="BF265" s="12" t="s">
        <v>326</v>
      </c>
      <c r="BG265" s="12" t="s">
        <v>326</v>
      </c>
      <c r="BI265" s="12" t="s">
        <v>326</v>
      </c>
      <c r="BJ265" s="12" t="s">
        <v>326</v>
      </c>
      <c r="BK265" s="12" t="s">
        <v>326</v>
      </c>
      <c r="BP265" s="12" t="s">
        <v>37</v>
      </c>
      <c r="BQ265" s="12" t="s">
        <v>37</v>
      </c>
      <c r="BR265" s="13" t="s">
        <v>37</v>
      </c>
      <c r="BT265" s="12" t="s">
        <v>37</v>
      </c>
      <c r="BU265" s="12" t="s">
        <v>37</v>
      </c>
      <c r="BV265" s="12" t="s">
        <v>37</v>
      </c>
      <c r="CA265" s="12" t="s">
        <v>37</v>
      </c>
      <c r="CB265" s="12" t="s">
        <v>37</v>
      </c>
      <c r="CC265" s="13" t="s">
        <v>37</v>
      </c>
      <c r="CE265" s="12" t="s">
        <v>37</v>
      </c>
      <c r="CF265" s="12" t="s">
        <v>37</v>
      </c>
      <c r="CG265" s="12" t="s">
        <v>37</v>
      </c>
      <c r="CN265" s="12" t="s">
        <v>37</v>
      </c>
      <c r="CO265" s="12" t="s">
        <v>37</v>
      </c>
      <c r="CP265" s="13" t="s">
        <v>37</v>
      </c>
      <c r="CR265" s="12" t="s">
        <v>37</v>
      </c>
      <c r="CS265" s="12" t="s">
        <v>37</v>
      </c>
      <c r="CT265" s="13" t="s">
        <v>37</v>
      </c>
      <c r="CX265" s="72"/>
      <c r="CY265" s="72"/>
      <c r="DA265" s="12" t="s">
        <v>37</v>
      </c>
      <c r="DB265" s="12" t="s">
        <v>37</v>
      </c>
      <c r="DC265" s="13" t="s">
        <v>37</v>
      </c>
      <c r="DE265" s="12" t="s">
        <v>37</v>
      </c>
      <c r="DF265" s="12" t="s">
        <v>37</v>
      </c>
      <c r="DG265" s="12" t="s">
        <v>37</v>
      </c>
      <c r="DN265" s="19" t="s">
        <v>37</v>
      </c>
      <c r="DO265" s="12" t="s">
        <v>37</v>
      </c>
      <c r="DP265" s="13" t="s">
        <v>37</v>
      </c>
      <c r="DR265" s="19" t="s">
        <v>37</v>
      </c>
      <c r="DS265" s="12" t="s">
        <v>37</v>
      </c>
      <c r="DT265" s="13" t="s">
        <v>37</v>
      </c>
      <c r="DZ265" s="11" t="s">
        <v>47</v>
      </c>
      <c r="EA265" s="19">
        <f>22*10^4*("1991/9/30"-"1991/05/01")/10^9/'[3]classess-1'!$I$26</f>
        <v>7.7775227720516399E-2</v>
      </c>
      <c r="EB265" s="19">
        <f>SQRT((1/[5]Classess!$I$26)^2*(12*SQRT(3)*10^4*("1991/9/30"-"1991/05/01")/10^9)^2+(-EA265/([5]Classess!$I$26)^2)^2*([5]Classess!$J$26)^2)</f>
        <v>0.21037856459857804</v>
      </c>
      <c r="EC265" s="72">
        <v>3</v>
      </c>
      <c r="ED265" s="52">
        <f t="shared" si="1190"/>
        <v>2.7049559450287806</v>
      </c>
      <c r="EE265" s="19">
        <f>18*10^4*("1991/9/30"-"1991/05/01")/10^9/'[3]classess-1'!$I$27</f>
        <v>4.0070550788777477E-2</v>
      </c>
      <c r="EF265" s="19">
        <f>6*SQRT(3)*10^4*("1991/9/30"-"1991/05/01")/10^9</f>
        <v>1.5796303365028162E-2</v>
      </c>
      <c r="EG265" s="13">
        <v>3</v>
      </c>
      <c r="EH265" s="52">
        <f t="shared" si="1191"/>
        <v>0.39421228443538686</v>
      </c>
      <c r="EI265" s="19">
        <f t="shared" si="1192"/>
        <v>-3.7704676931738922E-2</v>
      </c>
      <c r="EJ265" s="12">
        <f t="shared" si="1193"/>
        <v>0.14917885849301515</v>
      </c>
      <c r="EK265" s="19">
        <f t="shared" si="1194"/>
        <v>1.4836221214186023E-2</v>
      </c>
      <c r="EL265" s="19">
        <f t="shared" si="1195"/>
        <v>1.4836221214186025E-2</v>
      </c>
      <c r="EM265" s="12" t="s">
        <v>39</v>
      </c>
      <c r="EN265" s="12">
        <v>-18</v>
      </c>
      <c r="EO265" s="50">
        <f t="shared" si="1156"/>
        <v>7.3349351775232803</v>
      </c>
      <c r="EP265" s="13">
        <v>3</v>
      </c>
      <c r="ER265" s="12">
        <v>-24</v>
      </c>
      <c r="ES265" s="50">
        <f>ABS(ER265)*EU$474</f>
        <v>5.4435372842206604</v>
      </c>
      <c r="ET265" s="13">
        <v>3</v>
      </c>
      <c r="EV265" s="19">
        <f t="shared" si="1196"/>
        <v>-6</v>
      </c>
      <c r="EW265" s="12">
        <f t="shared" si="1197"/>
        <v>6.4588455711206212</v>
      </c>
      <c r="EX265" s="19">
        <f t="shared" si="1198"/>
        <v>27.811124074389639</v>
      </c>
      <c r="EY265" s="19">
        <f t="shared" si="1199"/>
        <v>27.811124074389639</v>
      </c>
      <c r="FB265" s="12" t="s">
        <v>37</v>
      </c>
      <c r="FC265" s="12" t="s">
        <v>37</v>
      </c>
      <c r="FD265" s="12" t="s">
        <v>37</v>
      </c>
      <c r="FE265" s="12" t="s">
        <v>37</v>
      </c>
      <c r="FF265" s="20" t="s">
        <v>37</v>
      </c>
      <c r="FG265" s="12" t="s">
        <v>37</v>
      </c>
      <c r="FI265" s="12" t="s">
        <v>37</v>
      </c>
      <c r="FJ265" s="12" t="s">
        <v>37</v>
      </c>
      <c r="FK265" s="12" t="s">
        <v>37</v>
      </c>
      <c r="FL265" s="12" t="s">
        <v>37</v>
      </c>
      <c r="FM265" s="12" t="s">
        <v>37</v>
      </c>
      <c r="FN265" s="12" t="s">
        <v>37</v>
      </c>
      <c r="FP265" s="12" t="s">
        <v>37</v>
      </c>
      <c r="FQ265" s="12" t="s">
        <v>37</v>
      </c>
      <c r="FR265" s="12" t="s">
        <v>37</v>
      </c>
      <c r="FS265" s="12" t="s">
        <v>37</v>
      </c>
      <c r="FT265" s="12" t="s">
        <v>37</v>
      </c>
      <c r="FU265" s="12" t="s">
        <v>37</v>
      </c>
      <c r="FW265" s="12" t="s">
        <v>37</v>
      </c>
      <c r="FX265" s="12" t="s">
        <v>37</v>
      </c>
      <c r="FY265" s="12" t="s">
        <v>37</v>
      </c>
      <c r="FZ265" s="12" t="s">
        <v>37</v>
      </c>
      <c r="GA265" s="12" t="s">
        <v>37</v>
      </c>
      <c r="GB265" s="12" t="s">
        <v>37</v>
      </c>
      <c r="IK265" s="12" t="s">
        <v>37</v>
      </c>
      <c r="IL265" s="12" t="s">
        <v>37</v>
      </c>
      <c r="IM265" s="12" t="s">
        <v>37</v>
      </c>
      <c r="IO265" s="12" t="s">
        <v>37</v>
      </c>
      <c r="IP265" s="12" t="s">
        <v>37</v>
      </c>
      <c r="IQ265" s="12" t="s">
        <v>37</v>
      </c>
      <c r="IV265" s="32" t="s">
        <v>372</v>
      </c>
      <c r="IW265" s="12">
        <v>4.3</v>
      </c>
      <c r="IX265" s="50">
        <f t="shared" si="1189"/>
        <v>0.15743479330049948</v>
      </c>
      <c r="IY265" s="13">
        <v>3</v>
      </c>
      <c r="JA265" s="12">
        <v>4.0999999999999996</v>
      </c>
      <c r="JB265" s="50">
        <f>ABS(JA265)*JD$474</f>
        <v>0.1148361160213813</v>
      </c>
      <c r="JC265" s="13">
        <v>3</v>
      </c>
      <c r="JE265" s="19">
        <f t="shared" si="1200"/>
        <v>-4.7628048989254705E-2</v>
      </c>
      <c r="JF265" s="19">
        <f t="shared" si="1162"/>
        <v>7.083287641133075E-4</v>
      </c>
      <c r="JH265" s="12" t="s">
        <v>37</v>
      </c>
      <c r="JI265" s="12" t="s">
        <v>37</v>
      </c>
      <c r="JJ265" s="13" t="s">
        <v>37</v>
      </c>
      <c r="JL265" s="12" t="s">
        <v>37</v>
      </c>
      <c r="JM265" s="12" t="s">
        <v>37</v>
      </c>
      <c r="JN265" s="12" t="s">
        <v>37</v>
      </c>
      <c r="JS265" s="12" t="s">
        <v>37</v>
      </c>
      <c r="JT265" s="12" t="s">
        <v>37</v>
      </c>
      <c r="JU265" s="13" t="s">
        <v>37</v>
      </c>
      <c r="JW265" s="12" t="s">
        <v>37</v>
      </c>
      <c r="JX265" s="12" t="s">
        <v>37</v>
      </c>
      <c r="JY265" s="12" t="s">
        <v>37</v>
      </c>
      <c r="KE265" s="12" t="s">
        <v>37</v>
      </c>
      <c r="KF265" s="12" t="s">
        <v>37</v>
      </c>
      <c r="KG265" s="13" t="s">
        <v>37</v>
      </c>
      <c r="KH265" s="12" t="s">
        <v>37</v>
      </c>
      <c r="KI265" s="12" t="s">
        <v>37</v>
      </c>
      <c r="KJ265" s="12" t="s">
        <v>37</v>
      </c>
      <c r="KK265" s="12" t="s">
        <v>391</v>
      </c>
      <c r="KL265" s="32" t="s">
        <v>372</v>
      </c>
      <c r="KM265" s="12">
        <v>170</v>
      </c>
      <c r="KN265" s="50">
        <f>ABS(KM265)*KP$474</f>
        <v>20.279817035426113</v>
      </c>
      <c r="KO265" s="11">
        <v>3</v>
      </c>
      <c r="KQ265" s="12">
        <v>230</v>
      </c>
      <c r="KR265" s="50">
        <f>ABS(KQ265)*KT$474</f>
        <v>24.251988938786454</v>
      </c>
      <c r="KS265" s="11">
        <v>3</v>
      </c>
      <c r="KU265" s="19">
        <f t="shared" si="1201"/>
        <v>0.30228087187293368</v>
      </c>
      <c r="KV265" s="19">
        <f t="shared" si="1188"/>
        <v>8.4497155628593251E-3</v>
      </c>
      <c r="KX265" s="12" t="s">
        <v>37</v>
      </c>
      <c r="KY265" s="12" t="s">
        <v>37</v>
      </c>
      <c r="KZ265" s="12" t="s">
        <v>37</v>
      </c>
      <c r="LB265" s="12" t="s">
        <v>37</v>
      </c>
      <c r="LC265" s="12" t="s">
        <v>37</v>
      </c>
      <c r="LD265" s="12" t="s">
        <v>37</v>
      </c>
      <c r="LI265" s="12" t="s">
        <v>37</v>
      </c>
      <c r="LJ265" s="12" t="s">
        <v>37</v>
      </c>
      <c r="LK265" s="12" t="s">
        <v>37</v>
      </c>
      <c r="LM265" s="12" t="s">
        <v>37</v>
      </c>
      <c r="LN265" s="12" t="s">
        <v>37</v>
      </c>
      <c r="LO265" s="12" t="s">
        <v>37</v>
      </c>
      <c r="LU265" s="12" t="s">
        <v>37</v>
      </c>
      <c r="LV265" s="12" t="s">
        <v>37</v>
      </c>
      <c r="LW265" s="12" t="s">
        <v>37</v>
      </c>
      <c r="LY265" s="12" t="s">
        <v>37</v>
      </c>
      <c r="LZ265" s="12" t="s">
        <v>37</v>
      </c>
      <c r="MA265" s="12" t="s">
        <v>37</v>
      </c>
      <c r="MF265" s="12" t="s">
        <v>37</v>
      </c>
      <c r="MG265" s="12" t="s">
        <v>37</v>
      </c>
      <c r="MH265" s="12" t="s">
        <v>37</v>
      </c>
      <c r="MJ265" s="12" t="s">
        <v>37</v>
      </c>
      <c r="MK265" s="12" t="s">
        <v>37</v>
      </c>
      <c r="ML265" s="12" t="s">
        <v>37</v>
      </c>
      <c r="MQ265" s="12" t="s">
        <v>37</v>
      </c>
      <c r="MR265" s="12" t="s">
        <v>37</v>
      </c>
      <c r="MS265" s="12" t="s">
        <v>37</v>
      </c>
      <c r="MU265" s="12" t="s">
        <v>37</v>
      </c>
      <c r="MV265" s="12" t="s">
        <v>37</v>
      </c>
      <c r="MW265" s="12" t="s">
        <v>37</v>
      </c>
      <c r="NC265" s="12" t="s">
        <v>37</v>
      </c>
      <c r="ND265" s="12" t="s">
        <v>37</v>
      </c>
      <c r="NE265" s="12" t="s">
        <v>37</v>
      </c>
      <c r="NG265" s="12" t="s">
        <v>37</v>
      </c>
      <c r="NH265" s="12" t="s">
        <v>37</v>
      </c>
      <c r="NI265" s="12" t="s">
        <v>37</v>
      </c>
      <c r="NO265" s="12" t="s">
        <v>37</v>
      </c>
      <c r="NP265" s="12" t="s">
        <v>37</v>
      </c>
      <c r="NQ265" s="12" t="s">
        <v>37</v>
      </c>
      <c r="NS265" s="12" t="s">
        <v>37</v>
      </c>
      <c r="NT265" s="12" t="s">
        <v>37</v>
      </c>
      <c r="NU265" s="12" t="s">
        <v>37</v>
      </c>
      <c r="OA265" s="12" t="s">
        <v>37</v>
      </c>
      <c r="OB265" s="12" t="s">
        <v>37</v>
      </c>
      <c r="OC265" s="12" t="s">
        <v>37</v>
      </c>
      <c r="OD265" s="12"/>
      <c r="OE265" s="12" t="s">
        <v>37</v>
      </c>
      <c r="OF265" s="12" t="s">
        <v>37</v>
      </c>
      <c r="OG265" s="12" t="s">
        <v>37</v>
      </c>
      <c r="OH265" s="12"/>
      <c r="OI265" s="12"/>
      <c r="OJ265" s="12"/>
      <c r="OM265" s="12" t="s">
        <v>37</v>
      </c>
      <c r="ON265" s="12" t="s">
        <v>37</v>
      </c>
      <c r="OO265" s="12" t="s">
        <v>37</v>
      </c>
      <c r="OP265" s="12" t="s">
        <v>37</v>
      </c>
      <c r="OQ265" s="12" t="s">
        <v>37</v>
      </c>
      <c r="OR265" s="12" t="s">
        <v>37</v>
      </c>
      <c r="OS265" s="12"/>
      <c r="OT265" s="12"/>
      <c r="OW265" s="12" t="s">
        <v>37</v>
      </c>
      <c r="OX265" s="12" t="s">
        <v>37</v>
      </c>
      <c r="OY265" s="13" t="s">
        <v>37</v>
      </c>
      <c r="OZ265" s="12" t="s">
        <v>37</v>
      </c>
      <c r="PA265" s="12" t="s">
        <v>37</v>
      </c>
      <c r="PB265" s="13" t="s">
        <v>37</v>
      </c>
      <c r="PG265" s="12" t="s">
        <v>37</v>
      </c>
      <c r="PH265" s="12" t="s">
        <v>37</v>
      </c>
      <c r="PI265" s="12" t="s">
        <v>37</v>
      </c>
      <c r="PJ265" s="12" t="s">
        <v>37</v>
      </c>
      <c r="PK265" s="12" t="s">
        <v>37</v>
      </c>
      <c r="PL265" s="12" t="s">
        <v>37</v>
      </c>
      <c r="PM265" s="12"/>
      <c r="PN265" s="12"/>
      <c r="PQ265" s="12" t="s">
        <v>37</v>
      </c>
      <c r="PR265" s="12" t="s">
        <v>37</v>
      </c>
      <c r="PS265" s="12" t="s">
        <v>37</v>
      </c>
      <c r="PT265" s="12" t="s">
        <v>37</v>
      </c>
      <c r="PU265" s="12" t="s">
        <v>37</v>
      </c>
      <c r="PV265" s="12" t="s">
        <v>37</v>
      </c>
      <c r="PW265" s="12"/>
      <c r="PX265" s="12"/>
      <c r="PZ265" s="12" t="s">
        <v>37</v>
      </c>
      <c r="QA265" s="12" t="s">
        <v>37</v>
      </c>
      <c r="QB265" s="12" t="s">
        <v>37</v>
      </c>
      <c r="QD265" s="12" t="s">
        <v>37</v>
      </c>
      <c r="QE265" s="12" t="s">
        <v>37</v>
      </c>
      <c r="QF265" s="12" t="s">
        <v>37</v>
      </c>
      <c r="QK265" s="12" t="s">
        <v>37</v>
      </c>
      <c r="QL265" s="12" t="s">
        <v>37</v>
      </c>
      <c r="QM265" s="12" t="s">
        <v>37</v>
      </c>
      <c r="QN265" s="12" t="s">
        <v>37</v>
      </c>
      <c r="QO265" s="12" t="s">
        <v>37</v>
      </c>
      <c r="QP265" s="12" t="s">
        <v>37</v>
      </c>
      <c r="QQ265" s="12"/>
      <c r="QR265" s="12"/>
      <c r="QU265" s="12" t="s">
        <v>37</v>
      </c>
      <c r="QV265" s="12" t="s">
        <v>37</v>
      </c>
      <c r="QW265" s="12" t="s">
        <v>37</v>
      </c>
      <c r="QX265" s="12" t="s">
        <v>37</v>
      </c>
      <c r="QY265" s="12" t="s">
        <v>37</v>
      </c>
      <c r="QZ265" s="12" t="s">
        <v>37</v>
      </c>
      <c r="RC265" s="12" t="s">
        <v>37</v>
      </c>
      <c r="RD265" s="12" t="s">
        <v>37</v>
      </c>
      <c r="RE265" s="13" t="s">
        <v>37</v>
      </c>
      <c r="RF265" s="12" t="s">
        <v>37</v>
      </c>
      <c r="RG265" s="12" t="s">
        <v>37</v>
      </c>
      <c r="RH265" s="13" t="s">
        <v>37</v>
      </c>
      <c r="RK265" s="12" t="s">
        <v>37</v>
      </c>
      <c r="RL265" s="12" t="s">
        <v>37</v>
      </c>
      <c r="RM265" s="11" t="s">
        <v>37</v>
      </c>
      <c r="RN265" s="12" t="s">
        <v>37</v>
      </c>
      <c r="RO265" s="12" t="s">
        <v>37</v>
      </c>
      <c r="RP265" s="11" t="s">
        <v>37</v>
      </c>
      <c r="RS265" s="12" t="s">
        <v>37</v>
      </c>
      <c r="RT265" s="12" t="s">
        <v>37</v>
      </c>
      <c r="RU265" s="12" t="s">
        <v>37</v>
      </c>
      <c r="RV265" s="12" t="s">
        <v>37</v>
      </c>
      <c r="RW265" s="12" t="s">
        <v>37</v>
      </c>
      <c r="RX265" s="12" t="s">
        <v>37</v>
      </c>
      <c r="SA265" s="12" t="s">
        <v>37</v>
      </c>
      <c r="SB265" s="12" t="s">
        <v>37</v>
      </c>
      <c r="SC265" s="12" t="s">
        <v>37</v>
      </c>
      <c r="SD265" s="12" t="s">
        <v>37</v>
      </c>
      <c r="SE265" s="12" t="s">
        <v>37</v>
      </c>
      <c r="SF265" s="12" t="s">
        <v>37</v>
      </c>
      <c r="SI265" s="12" t="s">
        <v>37</v>
      </c>
      <c r="SJ265" s="12" t="s">
        <v>37</v>
      </c>
      <c r="SK265" s="13" t="s">
        <v>37</v>
      </c>
      <c r="SM265" s="12" t="s">
        <v>37</v>
      </c>
      <c r="SN265" s="12" t="s">
        <v>37</v>
      </c>
      <c r="SO265" s="13" t="s">
        <v>37</v>
      </c>
      <c r="SU265" s="12" t="s">
        <v>37</v>
      </c>
      <c r="SV265" s="12" t="s">
        <v>37</v>
      </c>
      <c r="SW265" s="12" t="s">
        <v>37</v>
      </c>
      <c r="SX265" s="12" t="s">
        <v>37</v>
      </c>
      <c r="SY265" s="12" t="s">
        <v>37</v>
      </c>
      <c r="SZ265" s="12" t="s">
        <v>37</v>
      </c>
      <c r="TA265" s="12"/>
      <c r="TB265" s="12"/>
      <c r="TE265" s="12" t="s">
        <v>37</v>
      </c>
      <c r="TF265" s="12" t="s">
        <v>37</v>
      </c>
      <c r="TG265" s="12" t="s">
        <v>37</v>
      </c>
      <c r="TH265" s="12" t="s">
        <v>37</v>
      </c>
      <c r="TI265" s="12" t="s">
        <v>37</v>
      </c>
      <c r="TJ265" s="12" t="s">
        <v>37</v>
      </c>
      <c r="TK265" s="12"/>
      <c r="TL265" s="12"/>
      <c r="TO265" s="12" t="s">
        <v>37</v>
      </c>
      <c r="TP265" s="12" t="s">
        <v>37</v>
      </c>
      <c r="TQ265" s="12" t="s">
        <v>37</v>
      </c>
      <c r="TR265" s="12" t="s">
        <v>37</v>
      </c>
      <c r="TS265" s="12" t="s">
        <v>37</v>
      </c>
      <c r="TT265" s="12" t="s">
        <v>37</v>
      </c>
      <c r="TU265" s="12"/>
      <c r="TV265" s="12"/>
      <c r="TY265" s="12" t="s">
        <v>37</v>
      </c>
      <c r="TZ265" s="12" t="s">
        <v>37</v>
      </c>
      <c r="UA265" s="12" t="s">
        <v>37</v>
      </c>
      <c r="UB265" s="12" t="s">
        <v>37</v>
      </c>
      <c r="UC265" s="12" t="s">
        <v>37</v>
      </c>
      <c r="UD265" s="12" t="s">
        <v>37</v>
      </c>
      <c r="UE265" s="12"/>
      <c r="UF265" s="12"/>
      <c r="UI265" s="12" t="s">
        <v>37</v>
      </c>
      <c r="UJ265" s="12" t="s">
        <v>37</v>
      </c>
      <c r="UK265" s="12" t="s">
        <v>37</v>
      </c>
      <c r="UL265" s="12" t="s">
        <v>37</v>
      </c>
      <c r="UM265" s="12" t="s">
        <v>37</v>
      </c>
      <c r="UN265" s="12" t="s">
        <v>37</v>
      </c>
      <c r="UO265" s="12"/>
      <c r="UP265" s="12"/>
      <c r="UR265" s="12" t="s">
        <v>37</v>
      </c>
      <c r="US265" s="12" t="s">
        <v>37</v>
      </c>
      <c r="UT265" s="12" t="s">
        <v>37</v>
      </c>
      <c r="UU265" s="12" t="s">
        <v>37</v>
      </c>
      <c r="UV265" s="12" t="s">
        <v>37</v>
      </c>
      <c r="UW265" s="12" t="s">
        <v>37</v>
      </c>
      <c r="UX265" s="12"/>
      <c r="UY265" s="12"/>
      <c r="VB265" s="12" t="s">
        <v>37</v>
      </c>
      <c r="VC265" s="12" t="s">
        <v>37</v>
      </c>
      <c r="VD265" s="12" t="s">
        <v>37</v>
      </c>
      <c r="VE265" s="12" t="s">
        <v>37</v>
      </c>
      <c r="VF265" s="12" t="s">
        <v>37</v>
      </c>
      <c r="VG265" s="12" t="s">
        <v>37</v>
      </c>
      <c r="VI265" s="12" t="s">
        <v>37</v>
      </c>
      <c r="VJ265" s="12" t="s">
        <v>37</v>
      </c>
      <c r="VK265" s="12" t="s">
        <v>37</v>
      </c>
      <c r="VL265" s="12" t="s">
        <v>37</v>
      </c>
      <c r="VM265" s="12" t="s">
        <v>37</v>
      </c>
      <c r="VN265" s="12" t="s">
        <v>37</v>
      </c>
      <c r="VQ265" s="12" t="s">
        <v>37</v>
      </c>
      <c r="VR265" s="12" t="s">
        <v>37</v>
      </c>
      <c r="VS265" s="12" t="s">
        <v>37</v>
      </c>
      <c r="VT265" s="12" t="s">
        <v>37</v>
      </c>
      <c r="VU265" s="12" t="s">
        <v>37</v>
      </c>
      <c r="VV265" s="12" t="s">
        <v>37</v>
      </c>
      <c r="VW265" s="12"/>
      <c r="VX265" s="12"/>
      <c r="WA265" s="12" t="s">
        <v>37</v>
      </c>
      <c r="WB265" s="12" t="s">
        <v>37</v>
      </c>
      <c r="WC265" s="12" t="s">
        <v>37</v>
      </c>
      <c r="WD265" s="12" t="s">
        <v>37</v>
      </c>
      <c r="WE265" s="12" t="s">
        <v>37</v>
      </c>
      <c r="WF265" s="12" t="s">
        <v>37</v>
      </c>
    </row>
    <row r="266" spans="1:604" ht="18" customHeight="1" x14ac:dyDescent="0.3">
      <c r="A266" s="11">
        <v>66</v>
      </c>
      <c r="B266" s="16" t="s">
        <v>388</v>
      </c>
      <c r="C266" s="12" t="s">
        <v>26</v>
      </c>
      <c r="D266" s="12" t="s">
        <v>54</v>
      </c>
      <c r="E266" s="40" t="s">
        <v>37</v>
      </c>
      <c r="F266" s="14">
        <v>0</v>
      </c>
      <c r="G266" s="14">
        <v>0</v>
      </c>
      <c r="H266" s="12" t="s">
        <v>123</v>
      </c>
      <c r="I266" s="29">
        <v>61.767000000000003</v>
      </c>
      <c r="J266" s="29">
        <v>30.966999999999999</v>
      </c>
      <c r="K266" s="12" t="s">
        <v>776</v>
      </c>
      <c r="L266" s="12" t="s">
        <v>777</v>
      </c>
      <c r="M266" s="13" t="s">
        <v>37</v>
      </c>
      <c r="N266" s="13" t="s">
        <v>37</v>
      </c>
      <c r="O266" s="13" t="s">
        <v>37</v>
      </c>
      <c r="P266" s="14" t="s">
        <v>84</v>
      </c>
      <c r="Q266" s="75">
        <v>50</v>
      </c>
      <c r="R266" s="11" t="s">
        <v>1000</v>
      </c>
      <c r="S266" s="12" t="s">
        <v>93</v>
      </c>
      <c r="T266" s="12" t="s">
        <v>141</v>
      </c>
      <c r="U266" s="12" t="s">
        <v>163</v>
      </c>
      <c r="V266" s="12" t="s">
        <v>275</v>
      </c>
      <c r="W266" s="23" t="s">
        <v>377</v>
      </c>
      <c r="X266" s="12" t="s">
        <v>281</v>
      </c>
      <c r="Y266" s="12" t="s">
        <v>37</v>
      </c>
      <c r="Z266" s="12" t="s">
        <v>37</v>
      </c>
      <c r="AA266" s="32" t="s">
        <v>372</v>
      </c>
      <c r="AB266" s="12">
        <v>3.8</v>
      </c>
      <c r="AE266" s="12" t="s">
        <v>37</v>
      </c>
      <c r="AF266" s="12" t="s">
        <v>391</v>
      </c>
      <c r="AG266" s="32" t="s">
        <v>372</v>
      </c>
      <c r="AH266" s="12">
        <v>530</v>
      </c>
      <c r="AK266" s="12" t="s">
        <v>37</v>
      </c>
      <c r="AL266" s="32">
        <v>1992</v>
      </c>
      <c r="AM266" s="12" t="s">
        <v>317</v>
      </c>
      <c r="AN266" s="32" t="s">
        <v>880</v>
      </c>
      <c r="AO266" s="12" t="s">
        <v>37</v>
      </c>
      <c r="AP266" s="12" t="s">
        <v>238</v>
      </c>
      <c r="AQ266" s="12" t="s">
        <v>975</v>
      </c>
      <c r="AT266" s="12" t="s">
        <v>326</v>
      </c>
      <c r="AU266" s="12" t="s">
        <v>326</v>
      </c>
      <c r="AV266" s="13" t="s">
        <v>326</v>
      </c>
      <c r="AX266" s="12" t="s">
        <v>326</v>
      </c>
      <c r="AY266" s="12" t="s">
        <v>326</v>
      </c>
      <c r="AZ266" s="13" t="s">
        <v>326</v>
      </c>
      <c r="BE266" s="12" t="s">
        <v>326</v>
      </c>
      <c r="BF266" s="12" t="s">
        <v>326</v>
      </c>
      <c r="BG266" s="12" t="s">
        <v>326</v>
      </c>
      <c r="BI266" s="12" t="s">
        <v>326</v>
      </c>
      <c r="BJ266" s="12" t="s">
        <v>326</v>
      </c>
      <c r="BK266" s="12" t="s">
        <v>326</v>
      </c>
      <c r="BP266" s="12" t="s">
        <v>37</v>
      </c>
      <c r="BQ266" s="12" t="s">
        <v>37</v>
      </c>
      <c r="BR266" s="13" t="s">
        <v>37</v>
      </c>
      <c r="BT266" s="12" t="s">
        <v>37</v>
      </c>
      <c r="BU266" s="12" t="s">
        <v>37</v>
      </c>
      <c r="BV266" s="12" t="s">
        <v>37</v>
      </c>
      <c r="CA266" s="12" t="s">
        <v>37</v>
      </c>
      <c r="CB266" s="12" t="s">
        <v>37</v>
      </c>
      <c r="CC266" s="13" t="s">
        <v>37</v>
      </c>
      <c r="CE266" s="12" t="s">
        <v>37</v>
      </c>
      <c r="CF266" s="12" t="s">
        <v>37</v>
      </c>
      <c r="CG266" s="12" t="s">
        <v>37</v>
      </c>
      <c r="CN266" s="12" t="s">
        <v>37</v>
      </c>
      <c r="CO266" s="12" t="s">
        <v>37</v>
      </c>
      <c r="CP266" s="13" t="s">
        <v>37</v>
      </c>
      <c r="CR266" s="12" t="s">
        <v>37</v>
      </c>
      <c r="CS266" s="12" t="s">
        <v>37</v>
      </c>
      <c r="CT266" s="13" t="s">
        <v>37</v>
      </c>
      <c r="CX266" s="72"/>
      <c r="CY266" s="72"/>
      <c r="DA266" s="12" t="s">
        <v>37</v>
      </c>
      <c r="DB266" s="12" t="s">
        <v>37</v>
      </c>
      <c r="DC266" s="13" t="s">
        <v>37</v>
      </c>
      <c r="DE266" s="12" t="s">
        <v>37</v>
      </c>
      <c r="DF266" s="12" t="s">
        <v>37</v>
      </c>
      <c r="DG266" s="12" t="s">
        <v>37</v>
      </c>
      <c r="DN266" s="19" t="s">
        <v>37</v>
      </c>
      <c r="DO266" s="12" t="s">
        <v>37</v>
      </c>
      <c r="DP266" s="13" t="s">
        <v>37</v>
      </c>
      <c r="DR266" s="19" t="s">
        <v>37</v>
      </c>
      <c r="DS266" s="12" t="s">
        <v>37</v>
      </c>
      <c r="DT266" s="13" t="s">
        <v>37</v>
      </c>
      <c r="DZ266" s="11" t="s">
        <v>47</v>
      </c>
      <c r="EA266" s="19">
        <f>19*10^4*("1991/9/30"-"1991/05/01")/10^9/'[3]classess-1'!$I$30</f>
        <v>8.3674900420237147E-2</v>
      </c>
      <c r="EB266" s="19">
        <f>SQRT((1/[5]Classess!$I$30)^2*(12*SQRT(3)*10^4*("1991/9/30"-"1991/05/01")/10^9)^2+(-EA266/([5]Classess!$I$30)^2)^2*([5]Classess!$J$30)^2)</f>
        <v>0.22267558913078545</v>
      </c>
      <c r="EC266" s="72">
        <v>3</v>
      </c>
      <c r="ED266" s="52">
        <f t="shared" si="1190"/>
        <v>2.6611993323260696</v>
      </c>
      <c r="EE266" s="19">
        <f>48*10^4*("1991/9/30"-"1991/05/01")/10^9/'[3]classess-1'!$I$31</f>
        <v>0.1068548021034066</v>
      </c>
      <c r="EF266" s="19">
        <f>SQRT((1/[5]Classess!$I$31)^2*(30*SQRT(3)*10^4*("1991/9/30"-"1991/05/01")/10^9)^2+(-EE266/([5]Classess!$I$31)^2)^2*([5]Classess!$J$31)^2)</f>
        <v>0.12190903765819365</v>
      </c>
      <c r="EG266" s="13">
        <v>3</v>
      </c>
      <c r="EH266" s="52">
        <f t="shared" si="1191"/>
        <v>1.1408849696826784</v>
      </c>
      <c r="EI266" s="19">
        <f t="shared" si="1192"/>
        <v>2.3179901683169454E-2</v>
      </c>
      <c r="EJ266" s="12">
        <f t="shared" si="1193"/>
        <v>0.17950798235383469</v>
      </c>
      <c r="EK266" s="19">
        <f t="shared" si="1194"/>
        <v>2.1482077152496414E-2</v>
      </c>
      <c r="EL266" s="19">
        <f t="shared" si="1195"/>
        <v>2.1482077152496417E-2</v>
      </c>
      <c r="EM266" s="12" t="s">
        <v>39</v>
      </c>
      <c r="EN266" s="12">
        <v>-11</v>
      </c>
      <c r="EO266" s="50">
        <f t="shared" si="1156"/>
        <v>4.4824603862642265</v>
      </c>
      <c r="EP266" s="13">
        <v>3</v>
      </c>
      <c r="ER266" s="12">
        <v>-13</v>
      </c>
      <c r="ES266" s="50">
        <f>ABS(ER266)*EU$474</f>
        <v>2.9485826956195242</v>
      </c>
      <c r="ET266" s="13">
        <v>3</v>
      </c>
      <c r="EV266" s="19">
        <f t="shared" si="1196"/>
        <v>-2</v>
      </c>
      <c r="EW266" s="12">
        <f t="shared" si="1197"/>
        <v>3.7938496957137704</v>
      </c>
      <c r="EX266" s="19">
        <f t="shared" si="1198"/>
        <v>9.5955303424449774</v>
      </c>
      <c r="EY266" s="19">
        <f t="shared" si="1199"/>
        <v>9.5955303424449792</v>
      </c>
      <c r="FB266" s="12" t="s">
        <v>37</v>
      </c>
      <c r="FC266" s="12" t="s">
        <v>37</v>
      </c>
      <c r="FD266" s="12" t="s">
        <v>37</v>
      </c>
      <c r="FE266" s="12" t="s">
        <v>37</v>
      </c>
      <c r="FF266" s="20" t="s">
        <v>37</v>
      </c>
      <c r="FG266" s="12" t="s">
        <v>37</v>
      </c>
      <c r="FI266" s="12" t="s">
        <v>37</v>
      </c>
      <c r="FJ266" s="12" t="s">
        <v>37</v>
      </c>
      <c r="FK266" s="12" t="s">
        <v>37</v>
      </c>
      <c r="FL266" s="12" t="s">
        <v>37</v>
      </c>
      <c r="FM266" s="12" t="s">
        <v>37</v>
      </c>
      <c r="FN266" s="12" t="s">
        <v>37</v>
      </c>
      <c r="FP266" s="12" t="s">
        <v>37</v>
      </c>
      <c r="FQ266" s="12" t="s">
        <v>37</v>
      </c>
      <c r="FR266" s="12" t="s">
        <v>37</v>
      </c>
      <c r="FS266" s="12" t="s">
        <v>37</v>
      </c>
      <c r="FT266" s="12" t="s">
        <v>37</v>
      </c>
      <c r="FU266" s="12" t="s">
        <v>37</v>
      </c>
      <c r="FW266" s="12" t="s">
        <v>37</v>
      </c>
      <c r="FX266" s="12" t="s">
        <v>37</v>
      </c>
      <c r="FY266" s="12" t="s">
        <v>37</v>
      </c>
      <c r="FZ266" s="12" t="s">
        <v>37</v>
      </c>
      <c r="GA266" s="12" t="s">
        <v>37</v>
      </c>
      <c r="GB266" s="12" t="s">
        <v>37</v>
      </c>
      <c r="IK266" s="12" t="s">
        <v>37</v>
      </c>
      <c r="IL266" s="12" t="s">
        <v>37</v>
      </c>
      <c r="IM266" s="12" t="s">
        <v>37</v>
      </c>
      <c r="IO266" s="12" t="s">
        <v>37</v>
      </c>
      <c r="IP266" s="12" t="s">
        <v>37</v>
      </c>
      <c r="IQ266" s="12" t="s">
        <v>37</v>
      </c>
      <c r="IV266" s="32" t="s">
        <v>372</v>
      </c>
      <c r="IW266" s="12">
        <v>3.8</v>
      </c>
      <c r="IX266" s="50">
        <f t="shared" si="1189"/>
        <v>0.13912842198648792</v>
      </c>
      <c r="IY266" s="13">
        <v>3</v>
      </c>
      <c r="JA266" s="12">
        <v>3.8</v>
      </c>
      <c r="JB266" s="50">
        <f>ABS(JA266)*JD$474</f>
        <v>0.10643347338567048</v>
      </c>
      <c r="JC266" s="13">
        <v>3</v>
      </c>
      <c r="JE266" s="19">
        <f t="shared" si="1200"/>
        <v>0</v>
      </c>
      <c r="JF266" s="19">
        <f t="shared" si="1162"/>
        <v>7.083287641133075E-4</v>
      </c>
      <c r="JH266" s="12" t="s">
        <v>37</v>
      </c>
      <c r="JI266" s="12" t="s">
        <v>37</v>
      </c>
      <c r="JJ266" s="13" t="s">
        <v>37</v>
      </c>
      <c r="JL266" s="12" t="s">
        <v>37</v>
      </c>
      <c r="JM266" s="12" t="s">
        <v>37</v>
      </c>
      <c r="JN266" s="12" t="s">
        <v>37</v>
      </c>
      <c r="JS266" s="12" t="s">
        <v>37</v>
      </c>
      <c r="JT266" s="12" t="s">
        <v>37</v>
      </c>
      <c r="JU266" s="13" t="s">
        <v>37</v>
      </c>
      <c r="JW266" s="12" t="s">
        <v>37</v>
      </c>
      <c r="JX266" s="12" t="s">
        <v>37</v>
      </c>
      <c r="JY266" s="12" t="s">
        <v>37</v>
      </c>
      <c r="KE266" s="12" t="s">
        <v>37</v>
      </c>
      <c r="KF266" s="12" t="s">
        <v>37</v>
      </c>
      <c r="KG266" s="13" t="s">
        <v>37</v>
      </c>
      <c r="KH266" s="12" t="s">
        <v>37</v>
      </c>
      <c r="KI266" s="12" t="s">
        <v>37</v>
      </c>
      <c r="KJ266" s="12" t="s">
        <v>37</v>
      </c>
      <c r="KK266" s="12" t="s">
        <v>391</v>
      </c>
      <c r="KL266" s="32" t="s">
        <v>372</v>
      </c>
      <c r="KM266" s="12">
        <v>530</v>
      </c>
      <c r="KN266" s="50">
        <f>ABS(KM266)*KP$474</f>
        <v>63.225311933975526</v>
      </c>
      <c r="KO266" s="11">
        <v>3</v>
      </c>
      <c r="KQ266" s="12">
        <v>580</v>
      </c>
      <c r="KR266" s="50">
        <f>ABS(KQ266)*KT$474</f>
        <v>61.157189497809313</v>
      </c>
      <c r="KS266" s="11">
        <v>3</v>
      </c>
      <c r="KU266" s="19">
        <f t="shared" si="1201"/>
        <v>9.0151096994297478E-2</v>
      </c>
      <c r="KV266" s="19">
        <f t="shared" si="1188"/>
        <v>8.4497155628593251E-3</v>
      </c>
      <c r="KX266" s="12" t="s">
        <v>37</v>
      </c>
      <c r="KY266" s="12" t="s">
        <v>37</v>
      </c>
      <c r="KZ266" s="12" t="s">
        <v>37</v>
      </c>
      <c r="LB266" s="12" t="s">
        <v>37</v>
      </c>
      <c r="LC266" s="12" t="s">
        <v>37</v>
      </c>
      <c r="LD266" s="12" t="s">
        <v>37</v>
      </c>
      <c r="LI266" s="12" t="s">
        <v>37</v>
      </c>
      <c r="LJ266" s="12" t="s">
        <v>37</v>
      </c>
      <c r="LK266" s="12" t="s">
        <v>37</v>
      </c>
      <c r="LM266" s="12" t="s">
        <v>37</v>
      </c>
      <c r="LN266" s="12" t="s">
        <v>37</v>
      </c>
      <c r="LO266" s="12" t="s">
        <v>37</v>
      </c>
      <c r="LU266" s="12" t="s">
        <v>37</v>
      </c>
      <c r="LV266" s="12" t="s">
        <v>37</v>
      </c>
      <c r="LW266" s="12" t="s">
        <v>37</v>
      </c>
      <c r="LY266" s="12" t="s">
        <v>37</v>
      </c>
      <c r="LZ266" s="12" t="s">
        <v>37</v>
      </c>
      <c r="MA266" s="12" t="s">
        <v>37</v>
      </c>
      <c r="MF266" s="12" t="s">
        <v>37</v>
      </c>
      <c r="MG266" s="12" t="s">
        <v>37</v>
      </c>
      <c r="MH266" s="12" t="s">
        <v>37</v>
      </c>
      <c r="MJ266" s="12" t="s">
        <v>37</v>
      </c>
      <c r="MK266" s="12" t="s">
        <v>37</v>
      </c>
      <c r="ML266" s="12" t="s">
        <v>37</v>
      </c>
      <c r="MQ266" s="12" t="s">
        <v>37</v>
      </c>
      <c r="MR266" s="12" t="s">
        <v>37</v>
      </c>
      <c r="MS266" s="12" t="s">
        <v>37</v>
      </c>
      <c r="MU266" s="12" t="s">
        <v>37</v>
      </c>
      <c r="MV266" s="12" t="s">
        <v>37</v>
      </c>
      <c r="MW266" s="12" t="s">
        <v>37</v>
      </c>
      <c r="NC266" s="12" t="s">
        <v>37</v>
      </c>
      <c r="ND266" s="12" t="s">
        <v>37</v>
      </c>
      <c r="NE266" s="12" t="s">
        <v>37</v>
      </c>
      <c r="NG266" s="12" t="s">
        <v>37</v>
      </c>
      <c r="NH266" s="12" t="s">
        <v>37</v>
      </c>
      <c r="NI266" s="12" t="s">
        <v>37</v>
      </c>
      <c r="NO266" s="12" t="s">
        <v>37</v>
      </c>
      <c r="NP266" s="12" t="s">
        <v>37</v>
      </c>
      <c r="NQ266" s="12" t="s">
        <v>37</v>
      </c>
      <c r="NS266" s="12" t="s">
        <v>37</v>
      </c>
      <c r="NT266" s="12" t="s">
        <v>37</v>
      </c>
      <c r="NU266" s="12" t="s">
        <v>37</v>
      </c>
      <c r="OA266" s="12" t="s">
        <v>37</v>
      </c>
      <c r="OB266" s="12" t="s">
        <v>37</v>
      </c>
      <c r="OC266" s="12" t="s">
        <v>37</v>
      </c>
      <c r="OD266" s="12"/>
      <c r="OE266" s="12" t="s">
        <v>37</v>
      </c>
      <c r="OF266" s="12" t="s">
        <v>37</v>
      </c>
      <c r="OG266" s="12" t="s">
        <v>37</v>
      </c>
      <c r="OH266" s="12"/>
      <c r="OI266" s="12"/>
      <c r="OJ266" s="12"/>
      <c r="OM266" s="12" t="s">
        <v>37</v>
      </c>
      <c r="ON266" s="12" t="s">
        <v>37</v>
      </c>
      <c r="OO266" s="12" t="s">
        <v>37</v>
      </c>
      <c r="OP266" s="12" t="s">
        <v>37</v>
      </c>
      <c r="OQ266" s="12" t="s">
        <v>37</v>
      </c>
      <c r="OR266" s="12" t="s">
        <v>37</v>
      </c>
      <c r="OS266" s="12"/>
      <c r="OT266" s="12"/>
      <c r="OW266" s="12" t="s">
        <v>37</v>
      </c>
      <c r="OX266" s="12" t="s">
        <v>37</v>
      </c>
      <c r="OY266" s="13" t="s">
        <v>37</v>
      </c>
      <c r="OZ266" s="12" t="s">
        <v>37</v>
      </c>
      <c r="PA266" s="12" t="s">
        <v>37</v>
      </c>
      <c r="PB266" s="13" t="s">
        <v>37</v>
      </c>
      <c r="PG266" s="12" t="s">
        <v>37</v>
      </c>
      <c r="PH266" s="12" t="s">
        <v>37</v>
      </c>
      <c r="PI266" s="12" t="s">
        <v>37</v>
      </c>
      <c r="PJ266" s="12" t="s">
        <v>37</v>
      </c>
      <c r="PK266" s="12" t="s">
        <v>37</v>
      </c>
      <c r="PL266" s="12" t="s">
        <v>37</v>
      </c>
      <c r="PM266" s="12"/>
      <c r="PN266" s="12"/>
      <c r="PQ266" s="12" t="s">
        <v>37</v>
      </c>
      <c r="PR266" s="12" t="s">
        <v>37</v>
      </c>
      <c r="PS266" s="12" t="s">
        <v>37</v>
      </c>
      <c r="PT266" s="12" t="s">
        <v>37</v>
      </c>
      <c r="PU266" s="12" t="s">
        <v>37</v>
      </c>
      <c r="PV266" s="12" t="s">
        <v>37</v>
      </c>
      <c r="PW266" s="12"/>
      <c r="PX266" s="12"/>
      <c r="PZ266" s="12" t="s">
        <v>37</v>
      </c>
      <c r="QA266" s="12" t="s">
        <v>37</v>
      </c>
      <c r="QB266" s="12" t="s">
        <v>37</v>
      </c>
      <c r="QD266" s="12" t="s">
        <v>37</v>
      </c>
      <c r="QE266" s="12" t="s">
        <v>37</v>
      </c>
      <c r="QF266" s="12" t="s">
        <v>37</v>
      </c>
      <c r="QK266" s="12" t="s">
        <v>37</v>
      </c>
      <c r="QL266" s="12" t="s">
        <v>37</v>
      </c>
      <c r="QM266" s="12" t="s">
        <v>37</v>
      </c>
      <c r="QN266" s="12" t="s">
        <v>37</v>
      </c>
      <c r="QO266" s="12" t="s">
        <v>37</v>
      </c>
      <c r="QP266" s="12" t="s">
        <v>37</v>
      </c>
      <c r="QQ266" s="12"/>
      <c r="QR266" s="12"/>
      <c r="QU266" s="12" t="s">
        <v>37</v>
      </c>
      <c r="QV266" s="12" t="s">
        <v>37</v>
      </c>
      <c r="QW266" s="12" t="s">
        <v>37</v>
      </c>
      <c r="QX266" s="12" t="s">
        <v>37</v>
      </c>
      <c r="QY266" s="12" t="s">
        <v>37</v>
      </c>
      <c r="QZ266" s="12" t="s">
        <v>37</v>
      </c>
      <c r="RC266" s="12" t="s">
        <v>37</v>
      </c>
      <c r="RD266" s="12" t="s">
        <v>37</v>
      </c>
      <c r="RE266" s="13" t="s">
        <v>37</v>
      </c>
      <c r="RF266" s="12" t="s">
        <v>37</v>
      </c>
      <c r="RG266" s="12" t="s">
        <v>37</v>
      </c>
      <c r="RH266" s="13" t="s">
        <v>37</v>
      </c>
      <c r="RK266" s="12" t="s">
        <v>37</v>
      </c>
      <c r="RL266" s="12" t="s">
        <v>37</v>
      </c>
      <c r="RM266" s="11" t="s">
        <v>37</v>
      </c>
      <c r="RN266" s="12" t="s">
        <v>37</v>
      </c>
      <c r="RO266" s="12" t="s">
        <v>37</v>
      </c>
      <c r="RP266" s="11" t="s">
        <v>37</v>
      </c>
      <c r="RS266" s="12" t="s">
        <v>37</v>
      </c>
      <c r="RT266" s="12" t="s">
        <v>37</v>
      </c>
      <c r="RU266" s="12" t="s">
        <v>37</v>
      </c>
      <c r="RV266" s="12" t="s">
        <v>37</v>
      </c>
      <c r="RW266" s="12" t="s">
        <v>37</v>
      </c>
      <c r="RX266" s="12" t="s">
        <v>37</v>
      </c>
      <c r="SA266" s="12" t="s">
        <v>37</v>
      </c>
      <c r="SB266" s="12" t="s">
        <v>37</v>
      </c>
      <c r="SC266" s="12" t="s">
        <v>37</v>
      </c>
      <c r="SD266" s="12" t="s">
        <v>37</v>
      </c>
      <c r="SE266" s="12" t="s">
        <v>37</v>
      </c>
      <c r="SF266" s="12" t="s">
        <v>37</v>
      </c>
      <c r="SI266" s="12" t="s">
        <v>37</v>
      </c>
      <c r="SJ266" s="12" t="s">
        <v>37</v>
      </c>
      <c r="SK266" s="13" t="s">
        <v>37</v>
      </c>
      <c r="SM266" s="12" t="s">
        <v>37</v>
      </c>
      <c r="SN266" s="12" t="s">
        <v>37</v>
      </c>
      <c r="SO266" s="13" t="s">
        <v>37</v>
      </c>
      <c r="SU266" s="12" t="s">
        <v>37</v>
      </c>
      <c r="SV266" s="12" t="s">
        <v>37</v>
      </c>
      <c r="SW266" s="12" t="s">
        <v>37</v>
      </c>
      <c r="SX266" s="12" t="s">
        <v>37</v>
      </c>
      <c r="SY266" s="12" t="s">
        <v>37</v>
      </c>
      <c r="SZ266" s="12" t="s">
        <v>37</v>
      </c>
      <c r="TA266" s="12"/>
      <c r="TB266" s="12"/>
      <c r="TE266" s="12" t="s">
        <v>37</v>
      </c>
      <c r="TF266" s="12" t="s">
        <v>37</v>
      </c>
      <c r="TG266" s="12" t="s">
        <v>37</v>
      </c>
      <c r="TH266" s="12" t="s">
        <v>37</v>
      </c>
      <c r="TI266" s="12" t="s">
        <v>37</v>
      </c>
      <c r="TJ266" s="12" t="s">
        <v>37</v>
      </c>
      <c r="TK266" s="12"/>
      <c r="TL266" s="12"/>
      <c r="TO266" s="12" t="s">
        <v>37</v>
      </c>
      <c r="TP266" s="12" t="s">
        <v>37</v>
      </c>
      <c r="TQ266" s="12" t="s">
        <v>37</v>
      </c>
      <c r="TR266" s="12" t="s">
        <v>37</v>
      </c>
      <c r="TS266" s="12" t="s">
        <v>37</v>
      </c>
      <c r="TT266" s="12" t="s">
        <v>37</v>
      </c>
      <c r="TU266" s="12"/>
      <c r="TV266" s="12"/>
      <c r="TY266" s="12" t="s">
        <v>37</v>
      </c>
      <c r="TZ266" s="12" t="s">
        <v>37</v>
      </c>
      <c r="UA266" s="12" t="s">
        <v>37</v>
      </c>
      <c r="UB266" s="12" t="s">
        <v>37</v>
      </c>
      <c r="UC266" s="12" t="s">
        <v>37</v>
      </c>
      <c r="UD266" s="12" t="s">
        <v>37</v>
      </c>
      <c r="UE266" s="12"/>
      <c r="UF266" s="12"/>
      <c r="UI266" s="12" t="s">
        <v>37</v>
      </c>
      <c r="UJ266" s="12" t="s">
        <v>37</v>
      </c>
      <c r="UK266" s="12" t="s">
        <v>37</v>
      </c>
      <c r="UL266" s="12" t="s">
        <v>37</v>
      </c>
      <c r="UM266" s="12" t="s">
        <v>37</v>
      </c>
      <c r="UN266" s="12" t="s">
        <v>37</v>
      </c>
      <c r="UO266" s="12"/>
      <c r="UP266" s="12"/>
      <c r="UR266" s="12" t="s">
        <v>37</v>
      </c>
      <c r="US266" s="12" t="s">
        <v>37</v>
      </c>
      <c r="UT266" s="12" t="s">
        <v>37</v>
      </c>
      <c r="UU266" s="12" t="s">
        <v>37</v>
      </c>
      <c r="UV266" s="12" t="s">
        <v>37</v>
      </c>
      <c r="UW266" s="12" t="s">
        <v>37</v>
      </c>
      <c r="UX266" s="12"/>
      <c r="UY266" s="12"/>
      <c r="VB266" s="12" t="s">
        <v>37</v>
      </c>
      <c r="VC266" s="12" t="s">
        <v>37</v>
      </c>
      <c r="VD266" s="12" t="s">
        <v>37</v>
      </c>
      <c r="VE266" s="12" t="s">
        <v>37</v>
      </c>
      <c r="VF266" s="12" t="s">
        <v>37</v>
      </c>
      <c r="VG266" s="12" t="s">
        <v>37</v>
      </c>
      <c r="VI266" s="12" t="s">
        <v>37</v>
      </c>
      <c r="VJ266" s="12" t="s">
        <v>37</v>
      </c>
      <c r="VK266" s="12" t="s">
        <v>37</v>
      </c>
      <c r="VL266" s="12" t="s">
        <v>37</v>
      </c>
      <c r="VM266" s="12" t="s">
        <v>37</v>
      </c>
      <c r="VN266" s="12" t="s">
        <v>37</v>
      </c>
      <c r="VQ266" s="12" t="s">
        <v>37</v>
      </c>
      <c r="VR266" s="12" t="s">
        <v>37</v>
      </c>
      <c r="VS266" s="12" t="s">
        <v>37</v>
      </c>
      <c r="VT266" s="12" t="s">
        <v>37</v>
      </c>
      <c r="VU266" s="12" t="s">
        <v>37</v>
      </c>
      <c r="VV266" s="12" t="s">
        <v>37</v>
      </c>
      <c r="VW266" s="12"/>
      <c r="VX266" s="12"/>
      <c r="WA266" s="12" t="s">
        <v>37</v>
      </c>
      <c r="WB266" s="12" t="s">
        <v>37</v>
      </c>
      <c r="WC266" s="12" t="s">
        <v>37</v>
      </c>
      <c r="WD266" s="12" t="s">
        <v>37</v>
      </c>
      <c r="WE266" s="12" t="s">
        <v>37</v>
      </c>
      <c r="WF266" s="12" t="s">
        <v>37</v>
      </c>
    </row>
    <row r="267" spans="1:604" ht="18" customHeight="1" x14ac:dyDescent="0.3">
      <c r="A267" s="11">
        <v>66</v>
      </c>
      <c r="B267" s="16" t="s">
        <v>388</v>
      </c>
      <c r="C267" s="12" t="s">
        <v>26</v>
      </c>
      <c r="D267" s="12" t="s">
        <v>54</v>
      </c>
      <c r="E267" s="40" t="s">
        <v>37</v>
      </c>
      <c r="F267" s="14">
        <v>0</v>
      </c>
      <c r="G267" s="14">
        <v>0</v>
      </c>
      <c r="H267" s="12" t="s">
        <v>123</v>
      </c>
      <c r="I267" s="29">
        <v>61.767000000000003</v>
      </c>
      <c r="J267" s="29">
        <v>30.966999999999999</v>
      </c>
      <c r="K267" s="12" t="s">
        <v>776</v>
      </c>
      <c r="L267" s="12" t="s">
        <v>777</v>
      </c>
      <c r="M267" s="13" t="s">
        <v>37</v>
      </c>
      <c r="N267" s="13" t="s">
        <v>37</v>
      </c>
      <c r="O267" s="13" t="s">
        <v>37</v>
      </c>
      <c r="P267" s="14" t="s">
        <v>84</v>
      </c>
      <c r="Q267" s="75">
        <v>50</v>
      </c>
      <c r="R267" s="11" t="s">
        <v>1000</v>
      </c>
      <c r="S267" s="12" t="s">
        <v>93</v>
      </c>
      <c r="T267" s="12" t="s">
        <v>141</v>
      </c>
      <c r="U267" s="12" t="s">
        <v>158</v>
      </c>
      <c r="V267" s="12" t="s">
        <v>275</v>
      </c>
      <c r="W267" s="23" t="s">
        <v>377</v>
      </c>
      <c r="X267" s="12" t="s">
        <v>281</v>
      </c>
      <c r="Y267" s="12" t="s">
        <v>37</v>
      </c>
      <c r="Z267" s="12" t="s">
        <v>37</v>
      </c>
      <c r="AA267" s="32" t="s">
        <v>372</v>
      </c>
      <c r="AB267" s="12">
        <v>4.3</v>
      </c>
      <c r="AE267" s="12" t="s">
        <v>37</v>
      </c>
      <c r="AF267" s="12" t="s">
        <v>391</v>
      </c>
      <c r="AG267" s="32" t="s">
        <v>372</v>
      </c>
      <c r="AH267" s="12" t="s">
        <v>37</v>
      </c>
      <c r="AK267" s="12" t="s">
        <v>37</v>
      </c>
      <c r="AL267" s="32">
        <v>1992</v>
      </c>
      <c r="AM267" s="12" t="s">
        <v>317</v>
      </c>
      <c r="AN267" s="32" t="s">
        <v>880</v>
      </c>
      <c r="AO267" s="12" t="s">
        <v>37</v>
      </c>
      <c r="AP267" s="12" t="s">
        <v>238</v>
      </c>
      <c r="AQ267" s="12" t="s">
        <v>975</v>
      </c>
      <c r="AT267" s="12" t="s">
        <v>326</v>
      </c>
      <c r="AU267" s="12" t="s">
        <v>326</v>
      </c>
      <c r="AV267" s="13" t="s">
        <v>326</v>
      </c>
      <c r="AX267" s="12" t="s">
        <v>326</v>
      </c>
      <c r="AY267" s="12" t="s">
        <v>326</v>
      </c>
      <c r="AZ267" s="13" t="s">
        <v>326</v>
      </c>
      <c r="BE267" s="12" t="s">
        <v>326</v>
      </c>
      <c r="BF267" s="12" t="s">
        <v>326</v>
      </c>
      <c r="BG267" s="12" t="s">
        <v>326</v>
      </c>
      <c r="BI267" s="12" t="s">
        <v>326</v>
      </c>
      <c r="BJ267" s="12" t="s">
        <v>326</v>
      </c>
      <c r="BK267" s="12" t="s">
        <v>326</v>
      </c>
      <c r="BP267" s="12" t="s">
        <v>37</v>
      </c>
      <c r="BQ267" s="12" t="s">
        <v>37</v>
      </c>
      <c r="BR267" s="13" t="s">
        <v>37</v>
      </c>
      <c r="BT267" s="12" t="s">
        <v>37</v>
      </c>
      <c r="BU267" s="12" t="s">
        <v>37</v>
      </c>
      <c r="BV267" s="12" t="s">
        <v>37</v>
      </c>
      <c r="CA267" s="12" t="s">
        <v>37</v>
      </c>
      <c r="CB267" s="12" t="s">
        <v>37</v>
      </c>
      <c r="CC267" s="13" t="s">
        <v>37</v>
      </c>
      <c r="CE267" s="12" t="s">
        <v>37</v>
      </c>
      <c r="CF267" s="12" t="s">
        <v>37</v>
      </c>
      <c r="CG267" s="12" t="s">
        <v>37</v>
      </c>
      <c r="CN267" s="12" t="s">
        <v>37</v>
      </c>
      <c r="CO267" s="12" t="s">
        <v>37</v>
      </c>
      <c r="CP267" s="13" t="s">
        <v>37</v>
      </c>
      <c r="CR267" s="12" t="s">
        <v>37</v>
      </c>
      <c r="CS267" s="12" t="s">
        <v>37</v>
      </c>
      <c r="CT267" s="13" t="s">
        <v>37</v>
      </c>
      <c r="CX267" s="72"/>
      <c r="CY267" s="72"/>
      <c r="DA267" s="12" t="s">
        <v>37</v>
      </c>
      <c r="DB267" s="12" t="s">
        <v>37</v>
      </c>
      <c r="DC267" s="13" t="s">
        <v>37</v>
      </c>
      <c r="DE267" s="12" t="s">
        <v>37</v>
      </c>
      <c r="DF267" s="12" t="s">
        <v>37</v>
      </c>
      <c r="DG267" s="12" t="s">
        <v>37</v>
      </c>
      <c r="DN267" s="19" t="s">
        <v>37</v>
      </c>
      <c r="DO267" s="12" t="s">
        <v>37</v>
      </c>
      <c r="DP267" s="13" t="s">
        <v>37</v>
      </c>
      <c r="DR267" s="19" t="s">
        <v>37</v>
      </c>
      <c r="DS267" s="12" t="s">
        <v>37</v>
      </c>
      <c r="DT267" s="13" t="s">
        <v>37</v>
      </c>
      <c r="DZ267" s="11" t="s">
        <v>47</v>
      </c>
      <c r="EA267" s="19" t="s">
        <v>37</v>
      </c>
      <c r="EB267" s="19" t="s">
        <v>37</v>
      </c>
      <c r="EC267" s="72" t="s">
        <v>37</v>
      </c>
      <c r="EE267" s="19" t="s">
        <v>37</v>
      </c>
      <c r="EF267" s="19" t="s">
        <v>37</v>
      </c>
      <c r="EG267" s="12" t="s">
        <v>37</v>
      </c>
      <c r="EM267" s="12" t="s">
        <v>39</v>
      </c>
      <c r="EN267" s="12">
        <v>-16</v>
      </c>
      <c r="EO267" s="50">
        <f t="shared" si="1156"/>
        <v>6.5199423800206935</v>
      </c>
      <c r="EP267" s="13">
        <v>3</v>
      </c>
      <c r="ER267" s="12">
        <v>-20</v>
      </c>
      <c r="ES267" s="50">
        <f>ABS(ER267)*EU$474</f>
        <v>4.5362810701838834</v>
      </c>
      <c r="ET267" s="13">
        <v>3</v>
      </c>
      <c r="EV267" s="19">
        <f t="shared" si="1196"/>
        <v>-4</v>
      </c>
      <c r="EW267" s="12">
        <f t="shared" si="1197"/>
        <v>5.6163820465891803</v>
      </c>
      <c r="EX267" s="19">
        <f t="shared" si="1198"/>
        <v>21.02916486216618</v>
      </c>
      <c r="EY267" s="19">
        <f t="shared" si="1199"/>
        <v>21.02916486216618</v>
      </c>
      <c r="FB267" s="12" t="s">
        <v>37</v>
      </c>
      <c r="FC267" s="12" t="s">
        <v>37</v>
      </c>
      <c r="FD267" s="12" t="s">
        <v>37</v>
      </c>
      <c r="FE267" s="12" t="s">
        <v>37</v>
      </c>
      <c r="FF267" s="20" t="s">
        <v>37</v>
      </c>
      <c r="FG267" s="12" t="s">
        <v>37</v>
      </c>
      <c r="FI267" s="12" t="s">
        <v>37</v>
      </c>
      <c r="FJ267" s="12" t="s">
        <v>37</v>
      </c>
      <c r="FK267" s="12" t="s">
        <v>37</v>
      </c>
      <c r="FL267" s="12" t="s">
        <v>37</v>
      </c>
      <c r="FM267" s="12" t="s">
        <v>37</v>
      </c>
      <c r="FN267" s="12" t="s">
        <v>37</v>
      </c>
      <c r="FP267" s="12" t="s">
        <v>37</v>
      </c>
      <c r="FQ267" s="12" t="s">
        <v>37</v>
      </c>
      <c r="FR267" s="12" t="s">
        <v>37</v>
      </c>
      <c r="FS267" s="12" t="s">
        <v>37</v>
      </c>
      <c r="FT267" s="12" t="s">
        <v>37</v>
      </c>
      <c r="FU267" s="12" t="s">
        <v>37</v>
      </c>
      <c r="FW267" s="12" t="s">
        <v>37</v>
      </c>
      <c r="FX267" s="12" t="s">
        <v>37</v>
      </c>
      <c r="FY267" s="12" t="s">
        <v>37</v>
      </c>
      <c r="FZ267" s="12" t="s">
        <v>37</v>
      </c>
      <c r="GA267" s="12" t="s">
        <v>37</v>
      </c>
      <c r="GB267" s="12" t="s">
        <v>37</v>
      </c>
      <c r="IK267" s="12" t="s">
        <v>37</v>
      </c>
      <c r="IL267" s="12" t="s">
        <v>37</v>
      </c>
      <c r="IM267" s="12" t="s">
        <v>37</v>
      </c>
      <c r="IO267" s="12" t="s">
        <v>37</v>
      </c>
      <c r="IP267" s="12" t="s">
        <v>37</v>
      </c>
      <c r="IQ267" s="12" t="s">
        <v>37</v>
      </c>
      <c r="IV267" s="32" t="s">
        <v>372</v>
      </c>
      <c r="IW267" s="12">
        <v>4.3</v>
      </c>
      <c r="IX267" s="50">
        <f t="shared" si="1189"/>
        <v>0.15743479330049948</v>
      </c>
      <c r="IY267" s="13">
        <v>3</v>
      </c>
      <c r="JA267" s="12">
        <v>4.3</v>
      </c>
      <c r="JB267" s="50">
        <f>ABS(JA267)*JD$474</f>
        <v>0.12043787777852186</v>
      </c>
      <c r="JC267" s="13">
        <v>3</v>
      </c>
      <c r="JE267" s="19">
        <f t="shared" si="1200"/>
        <v>0</v>
      </c>
      <c r="JF267" s="19">
        <f t="shared" si="1162"/>
        <v>7.083287641133075E-4</v>
      </c>
      <c r="JH267" s="12" t="s">
        <v>37</v>
      </c>
      <c r="JI267" s="12" t="s">
        <v>37</v>
      </c>
      <c r="JJ267" s="13" t="s">
        <v>37</v>
      </c>
      <c r="JL267" s="12" t="s">
        <v>37</v>
      </c>
      <c r="JM267" s="12" t="s">
        <v>37</v>
      </c>
      <c r="JN267" s="12" t="s">
        <v>37</v>
      </c>
      <c r="JS267" s="12" t="s">
        <v>37</v>
      </c>
      <c r="JT267" s="12" t="s">
        <v>37</v>
      </c>
      <c r="JU267" s="13" t="s">
        <v>37</v>
      </c>
      <c r="JW267" s="12" t="s">
        <v>37</v>
      </c>
      <c r="JX267" s="12" t="s">
        <v>37</v>
      </c>
      <c r="JY267" s="12" t="s">
        <v>37</v>
      </c>
      <c r="KE267" s="12" t="s">
        <v>37</v>
      </c>
      <c r="KF267" s="12" t="s">
        <v>37</v>
      </c>
      <c r="KG267" s="13" t="s">
        <v>37</v>
      </c>
      <c r="KH267" s="12" t="s">
        <v>37</v>
      </c>
      <c r="KI267" s="12" t="s">
        <v>37</v>
      </c>
      <c r="KJ267" s="12" t="s">
        <v>37</v>
      </c>
      <c r="KS267" s="11"/>
      <c r="KX267" s="12" t="s">
        <v>37</v>
      </c>
      <c r="KY267" s="12" t="s">
        <v>37</v>
      </c>
      <c r="KZ267" s="12" t="s">
        <v>37</v>
      </c>
      <c r="LB267" s="12" t="s">
        <v>37</v>
      </c>
      <c r="LC267" s="12" t="s">
        <v>37</v>
      </c>
      <c r="LD267" s="12" t="s">
        <v>37</v>
      </c>
      <c r="LI267" s="12" t="s">
        <v>37</v>
      </c>
      <c r="LJ267" s="12" t="s">
        <v>37</v>
      </c>
      <c r="LK267" s="12" t="s">
        <v>37</v>
      </c>
      <c r="LM267" s="12" t="s">
        <v>37</v>
      </c>
      <c r="LN267" s="12" t="s">
        <v>37</v>
      </c>
      <c r="LO267" s="12" t="s">
        <v>37</v>
      </c>
      <c r="LU267" s="12" t="s">
        <v>37</v>
      </c>
      <c r="LV267" s="12" t="s">
        <v>37</v>
      </c>
      <c r="LW267" s="12" t="s">
        <v>37</v>
      </c>
      <c r="LY267" s="12" t="s">
        <v>37</v>
      </c>
      <c r="LZ267" s="12" t="s">
        <v>37</v>
      </c>
      <c r="MA267" s="12" t="s">
        <v>37</v>
      </c>
      <c r="MF267" s="12" t="s">
        <v>37</v>
      </c>
      <c r="MG267" s="12" t="s">
        <v>37</v>
      </c>
      <c r="MH267" s="12" t="s">
        <v>37</v>
      </c>
      <c r="MJ267" s="12" t="s">
        <v>37</v>
      </c>
      <c r="MK267" s="12" t="s">
        <v>37</v>
      </c>
      <c r="ML267" s="12" t="s">
        <v>37</v>
      </c>
      <c r="MQ267" s="12" t="s">
        <v>37</v>
      </c>
      <c r="MR267" s="12" t="s">
        <v>37</v>
      </c>
      <c r="MS267" s="12" t="s">
        <v>37</v>
      </c>
      <c r="MU267" s="12" t="s">
        <v>37</v>
      </c>
      <c r="MV267" s="12" t="s">
        <v>37</v>
      </c>
      <c r="MW267" s="12" t="s">
        <v>37</v>
      </c>
      <c r="NC267" s="12" t="s">
        <v>37</v>
      </c>
      <c r="ND267" s="12" t="s">
        <v>37</v>
      </c>
      <c r="NE267" s="12" t="s">
        <v>37</v>
      </c>
      <c r="NG267" s="12" t="s">
        <v>37</v>
      </c>
      <c r="NH267" s="12" t="s">
        <v>37</v>
      </c>
      <c r="NI267" s="12" t="s">
        <v>37</v>
      </c>
      <c r="NO267" s="12" t="s">
        <v>37</v>
      </c>
      <c r="NP267" s="12" t="s">
        <v>37</v>
      </c>
      <c r="NQ267" s="12" t="s">
        <v>37</v>
      </c>
      <c r="NS267" s="12" t="s">
        <v>37</v>
      </c>
      <c r="NT267" s="12" t="s">
        <v>37</v>
      </c>
      <c r="NU267" s="12" t="s">
        <v>37</v>
      </c>
      <c r="OA267" s="12" t="s">
        <v>37</v>
      </c>
      <c r="OB267" s="12" t="s">
        <v>37</v>
      </c>
      <c r="OC267" s="12" t="s">
        <v>37</v>
      </c>
      <c r="OD267" s="12"/>
      <c r="OE267" s="12" t="s">
        <v>37</v>
      </c>
      <c r="OF267" s="12" t="s">
        <v>37</v>
      </c>
      <c r="OG267" s="12" t="s">
        <v>37</v>
      </c>
      <c r="OH267" s="12"/>
      <c r="OI267" s="12"/>
      <c r="OJ267" s="12"/>
      <c r="OM267" s="12" t="s">
        <v>37</v>
      </c>
      <c r="ON267" s="12" t="s">
        <v>37</v>
      </c>
      <c r="OO267" s="12" t="s">
        <v>37</v>
      </c>
      <c r="OP267" s="12" t="s">
        <v>37</v>
      </c>
      <c r="OQ267" s="12" t="s">
        <v>37</v>
      </c>
      <c r="OR267" s="12" t="s">
        <v>37</v>
      </c>
      <c r="OS267" s="12"/>
      <c r="OT267" s="12"/>
      <c r="OW267" s="12" t="s">
        <v>37</v>
      </c>
      <c r="OX267" s="12" t="s">
        <v>37</v>
      </c>
      <c r="OY267" s="13" t="s">
        <v>37</v>
      </c>
      <c r="OZ267" s="12" t="s">
        <v>37</v>
      </c>
      <c r="PA267" s="12" t="s">
        <v>37</v>
      </c>
      <c r="PB267" s="13" t="s">
        <v>37</v>
      </c>
      <c r="PG267" s="12" t="s">
        <v>37</v>
      </c>
      <c r="PH267" s="12" t="s">
        <v>37</v>
      </c>
      <c r="PI267" s="12" t="s">
        <v>37</v>
      </c>
      <c r="PJ267" s="12" t="s">
        <v>37</v>
      </c>
      <c r="PK267" s="12" t="s">
        <v>37</v>
      </c>
      <c r="PL267" s="12" t="s">
        <v>37</v>
      </c>
      <c r="PM267" s="12"/>
      <c r="PN267" s="12"/>
      <c r="PQ267" s="12" t="s">
        <v>37</v>
      </c>
      <c r="PR267" s="12" t="s">
        <v>37</v>
      </c>
      <c r="PS267" s="12" t="s">
        <v>37</v>
      </c>
      <c r="PT267" s="12" t="s">
        <v>37</v>
      </c>
      <c r="PU267" s="12" t="s">
        <v>37</v>
      </c>
      <c r="PV267" s="12" t="s">
        <v>37</v>
      </c>
      <c r="PW267" s="12"/>
      <c r="PX267" s="12"/>
      <c r="PZ267" s="12" t="s">
        <v>37</v>
      </c>
      <c r="QA267" s="12" t="s">
        <v>37</v>
      </c>
      <c r="QB267" s="12" t="s">
        <v>37</v>
      </c>
      <c r="QD267" s="12" t="s">
        <v>37</v>
      </c>
      <c r="QE267" s="12" t="s">
        <v>37</v>
      </c>
      <c r="QF267" s="12" t="s">
        <v>37</v>
      </c>
      <c r="QK267" s="12" t="s">
        <v>37</v>
      </c>
      <c r="QL267" s="12" t="s">
        <v>37</v>
      </c>
      <c r="QM267" s="12" t="s">
        <v>37</v>
      </c>
      <c r="QN267" s="12" t="s">
        <v>37</v>
      </c>
      <c r="QO267" s="12" t="s">
        <v>37</v>
      </c>
      <c r="QP267" s="12" t="s">
        <v>37</v>
      </c>
      <c r="QQ267" s="12"/>
      <c r="QR267" s="12"/>
      <c r="QU267" s="12" t="s">
        <v>37</v>
      </c>
      <c r="QV267" s="12" t="s">
        <v>37</v>
      </c>
      <c r="QW267" s="12" t="s">
        <v>37</v>
      </c>
      <c r="QX267" s="12" t="s">
        <v>37</v>
      </c>
      <c r="QY267" s="12" t="s">
        <v>37</v>
      </c>
      <c r="QZ267" s="12" t="s">
        <v>37</v>
      </c>
      <c r="RC267" s="12" t="s">
        <v>37</v>
      </c>
      <c r="RD267" s="12" t="s">
        <v>37</v>
      </c>
      <c r="RE267" s="13" t="s">
        <v>37</v>
      </c>
      <c r="RF267" s="12" t="s">
        <v>37</v>
      </c>
      <c r="RG267" s="12" t="s">
        <v>37</v>
      </c>
      <c r="RH267" s="13" t="s">
        <v>37</v>
      </c>
      <c r="RK267" s="12" t="s">
        <v>37</v>
      </c>
      <c r="RL267" s="12" t="s">
        <v>37</v>
      </c>
      <c r="RM267" s="11" t="s">
        <v>37</v>
      </c>
      <c r="RN267" s="12" t="s">
        <v>37</v>
      </c>
      <c r="RO267" s="12" t="s">
        <v>37</v>
      </c>
      <c r="RP267" s="11" t="s">
        <v>37</v>
      </c>
      <c r="RS267" s="12" t="s">
        <v>37</v>
      </c>
      <c r="RT267" s="12" t="s">
        <v>37</v>
      </c>
      <c r="RU267" s="12" t="s">
        <v>37</v>
      </c>
      <c r="RV267" s="12" t="s">
        <v>37</v>
      </c>
      <c r="RW267" s="12" t="s">
        <v>37</v>
      </c>
      <c r="RX267" s="12" t="s">
        <v>37</v>
      </c>
      <c r="SA267" s="12" t="s">
        <v>37</v>
      </c>
      <c r="SB267" s="12" t="s">
        <v>37</v>
      </c>
      <c r="SC267" s="12" t="s">
        <v>37</v>
      </c>
      <c r="SD267" s="12" t="s">
        <v>37</v>
      </c>
      <c r="SE267" s="12" t="s">
        <v>37</v>
      </c>
      <c r="SF267" s="12" t="s">
        <v>37</v>
      </c>
      <c r="SI267" s="12" t="s">
        <v>37</v>
      </c>
      <c r="SJ267" s="12" t="s">
        <v>37</v>
      </c>
      <c r="SK267" s="13" t="s">
        <v>37</v>
      </c>
      <c r="SM267" s="12" t="s">
        <v>37</v>
      </c>
      <c r="SN267" s="12" t="s">
        <v>37</v>
      </c>
      <c r="SO267" s="13" t="s">
        <v>37</v>
      </c>
      <c r="SU267" s="12" t="s">
        <v>37</v>
      </c>
      <c r="SV267" s="12" t="s">
        <v>37</v>
      </c>
      <c r="SW267" s="12" t="s">
        <v>37</v>
      </c>
      <c r="SX267" s="12" t="s">
        <v>37</v>
      </c>
      <c r="SY267" s="12" t="s">
        <v>37</v>
      </c>
      <c r="SZ267" s="12" t="s">
        <v>37</v>
      </c>
      <c r="TA267" s="12"/>
      <c r="TB267" s="12"/>
      <c r="TE267" s="12" t="s">
        <v>37</v>
      </c>
      <c r="TF267" s="12" t="s">
        <v>37</v>
      </c>
      <c r="TG267" s="12" t="s">
        <v>37</v>
      </c>
      <c r="TH267" s="12" t="s">
        <v>37</v>
      </c>
      <c r="TI267" s="12" t="s">
        <v>37</v>
      </c>
      <c r="TJ267" s="12" t="s">
        <v>37</v>
      </c>
      <c r="TK267" s="12"/>
      <c r="TL267" s="12"/>
      <c r="TO267" s="12" t="s">
        <v>37</v>
      </c>
      <c r="TP267" s="12" t="s">
        <v>37</v>
      </c>
      <c r="TQ267" s="12" t="s">
        <v>37</v>
      </c>
      <c r="TR267" s="12" t="s">
        <v>37</v>
      </c>
      <c r="TS267" s="12" t="s">
        <v>37</v>
      </c>
      <c r="TT267" s="12" t="s">
        <v>37</v>
      </c>
      <c r="TU267" s="12"/>
      <c r="TV267" s="12"/>
      <c r="TY267" s="12" t="s">
        <v>37</v>
      </c>
      <c r="TZ267" s="12" t="s">
        <v>37</v>
      </c>
      <c r="UA267" s="12" t="s">
        <v>37</v>
      </c>
      <c r="UB267" s="12" t="s">
        <v>37</v>
      </c>
      <c r="UC267" s="12" t="s">
        <v>37</v>
      </c>
      <c r="UD267" s="12" t="s">
        <v>37</v>
      </c>
      <c r="UE267" s="12"/>
      <c r="UF267" s="12"/>
      <c r="UI267" s="12" t="s">
        <v>37</v>
      </c>
      <c r="UJ267" s="12" t="s">
        <v>37</v>
      </c>
      <c r="UK267" s="12" t="s">
        <v>37</v>
      </c>
      <c r="UL267" s="12" t="s">
        <v>37</v>
      </c>
      <c r="UM267" s="12" t="s">
        <v>37</v>
      </c>
      <c r="UN267" s="12" t="s">
        <v>37</v>
      </c>
      <c r="UO267" s="12"/>
      <c r="UP267" s="12"/>
      <c r="UR267" s="12" t="s">
        <v>37</v>
      </c>
      <c r="US267" s="12" t="s">
        <v>37</v>
      </c>
      <c r="UT267" s="12" t="s">
        <v>37</v>
      </c>
      <c r="UU267" s="12" t="s">
        <v>37</v>
      </c>
      <c r="UV267" s="12" t="s">
        <v>37</v>
      </c>
      <c r="UW267" s="12" t="s">
        <v>37</v>
      </c>
      <c r="UX267" s="12"/>
      <c r="UY267" s="12"/>
      <c r="VB267" s="12" t="s">
        <v>37</v>
      </c>
      <c r="VC267" s="12" t="s">
        <v>37</v>
      </c>
      <c r="VD267" s="12" t="s">
        <v>37</v>
      </c>
      <c r="VE267" s="12" t="s">
        <v>37</v>
      </c>
      <c r="VF267" s="12" t="s">
        <v>37</v>
      </c>
      <c r="VG267" s="12" t="s">
        <v>37</v>
      </c>
      <c r="VI267" s="12" t="s">
        <v>37</v>
      </c>
      <c r="VJ267" s="12" t="s">
        <v>37</v>
      </c>
      <c r="VK267" s="12" t="s">
        <v>37</v>
      </c>
      <c r="VL267" s="12" t="s">
        <v>37</v>
      </c>
      <c r="VM267" s="12" t="s">
        <v>37</v>
      </c>
      <c r="VN267" s="12" t="s">
        <v>37</v>
      </c>
      <c r="VQ267" s="12" t="s">
        <v>37</v>
      </c>
      <c r="VR267" s="12" t="s">
        <v>37</v>
      </c>
      <c r="VS267" s="12" t="s">
        <v>37</v>
      </c>
      <c r="VT267" s="12" t="s">
        <v>37</v>
      </c>
      <c r="VU267" s="12" t="s">
        <v>37</v>
      </c>
      <c r="VV267" s="12" t="s">
        <v>37</v>
      </c>
      <c r="VW267" s="12"/>
      <c r="VX267" s="12"/>
      <c r="WA267" s="12" t="s">
        <v>37</v>
      </c>
      <c r="WB267" s="12" t="s">
        <v>37</v>
      </c>
      <c r="WC267" s="12" t="s">
        <v>37</v>
      </c>
      <c r="WD267" s="12" t="s">
        <v>37</v>
      </c>
      <c r="WE267" s="12" t="s">
        <v>37</v>
      </c>
      <c r="WF267" s="12" t="s">
        <v>37</v>
      </c>
    </row>
    <row r="268" spans="1:604" ht="18" customHeight="1" x14ac:dyDescent="0.3">
      <c r="A268" s="11">
        <v>66</v>
      </c>
      <c r="B268" s="16" t="s">
        <v>911</v>
      </c>
      <c r="C268" s="12" t="s">
        <v>26</v>
      </c>
      <c r="D268" s="12" t="s">
        <v>54</v>
      </c>
      <c r="E268" s="40" t="s">
        <v>37</v>
      </c>
      <c r="F268" s="14">
        <v>0</v>
      </c>
      <c r="G268" s="14">
        <v>0</v>
      </c>
      <c r="H268" s="12" t="s">
        <v>123</v>
      </c>
      <c r="I268" s="29">
        <v>61.767000000000003</v>
      </c>
      <c r="J268" s="29">
        <v>30.966999999999999</v>
      </c>
      <c r="K268" s="12" t="s">
        <v>776</v>
      </c>
      <c r="L268" s="12" t="s">
        <v>777</v>
      </c>
      <c r="M268" s="13" t="s">
        <v>37</v>
      </c>
      <c r="N268" s="13" t="s">
        <v>37</v>
      </c>
      <c r="O268" s="13" t="s">
        <v>37</v>
      </c>
      <c r="P268" s="14" t="s">
        <v>84</v>
      </c>
      <c r="Q268" s="75">
        <v>50</v>
      </c>
      <c r="R268" s="11" t="s">
        <v>1000</v>
      </c>
      <c r="S268" s="12" t="s">
        <v>93</v>
      </c>
      <c r="T268" s="12" t="s">
        <v>141</v>
      </c>
      <c r="U268" s="12" t="s">
        <v>158</v>
      </c>
      <c r="V268" s="12" t="s">
        <v>275</v>
      </c>
      <c r="W268" s="23" t="s">
        <v>377</v>
      </c>
      <c r="X268" s="12" t="s">
        <v>281</v>
      </c>
      <c r="Y268" s="12" t="s">
        <v>37</v>
      </c>
      <c r="Z268" s="12" t="s">
        <v>37</v>
      </c>
      <c r="AA268" s="32" t="s">
        <v>372</v>
      </c>
      <c r="AB268" s="12">
        <v>4.2</v>
      </c>
      <c r="AE268" s="12" t="s">
        <v>37</v>
      </c>
      <c r="AF268" s="12" t="s">
        <v>391</v>
      </c>
      <c r="AG268" s="32" t="s">
        <v>372</v>
      </c>
      <c r="AH268" s="12">
        <v>210</v>
      </c>
      <c r="AK268" s="12" t="s">
        <v>37</v>
      </c>
      <c r="AL268" s="32">
        <v>1992</v>
      </c>
      <c r="AM268" s="12" t="s">
        <v>317</v>
      </c>
      <c r="AN268" s="32" t="s">
        <v>880</v>
      </c>
      <c r="AO268" s="12" t="s">
        <v>37</v>
      </c>
      <c r="AP268" s="12" t="s">
        <v>238</v>
      </c>
      <c r="AQ268" s="12" t="s">
        <v>975</v>
      </c>
      <c r="AT268" s="12" t="s">
        <v>326</v>
      </c>
      <c r="AU268" s="12" t="s">
        <v>326</v>
      </c>
      <c r="AV268" s="13" t="s">
        <v>326</v>
      </c>
      <c r="AX268" s="12" t="s">
        <v>326</v>
      </c>
      <c r="AY268" s="12" t="s">
        <v>326</v>
      </c>
      <c r="AZ268" s="13" t="s">
        <v>326</v>
      </c>
      <c r="BE268" s="12" t="s">
        <v>326</v>
      </c>
      <c r="BF268" s="12" t="s">
        <v>326</v>
      </c>
      <c r="BG268" s="12" t="s">
        <v>326</v>
      </c>
      <c r="BI268" s="12" t="s">
        <v>326</v>
      </c>
      <c r="BJ268" s="12" t="s">
        <v>326</v>
      </c>
      <c r="BK268" s="12" t="s">
        <v>326</v>
      </c>
      <c r="BP268" s="12" t="s">
        <v>37</v>
      </c>
      <c r="BQ268" s="12" t="s">
        <v>37</v>
      </c>
      <c r="BR268" s="13" t="s">
        <v>37</v>
      </c>
      <c r="BT268" s="12" t="s">
        <v>37</v>
      </c>
      <c r="BU268" s="12" t="s">
        <v>37</v>
      </c>
      <c r="BV268" s="12" t="s">
        <v>37</v>
      </c>
      <c r="CA268" s="12" t="s">
        <v>37</v>
      </c>
      <c r="CB268" s="12" t="s">
        <v>37</v>
      </c>
      <c r="CC268" s="13" t="s">
        <v>37</v>
      </c>
      <c r="CE268" s="12" t="s">
        <v>37</v>
      </c>
      <c r="CF268" s="12" t="s">
        <v>37</v>
      </c>
      <c r="CG268" s="12" t="s">
        <v>37</v>
      </c>
      <c r="CN268" s="12" t="s">
        <v>37</v>
      </c>
      <c r="CO268" s="12" t="s">
        <v>37</v>
      </c>
      <c r="CP268" s="13" t="s">
        <v>37</v>
      </c>
      <c r="CR268" s="12" t="s">
        <v>37</v>
      </c>
      <c r="CS268" s="12" t="s">
        <v>37</v>
      </c>
      <c r="CT268" s="13" t="s">
        <v>37</v>
      </c>
      <c r="CX268" s="72"/>
      <c r="CY268" s="72"/>
      <c r="DA268" s="12" t="s">
        <v>37</v>
      </c>
      <c r="DB268" s="12" t="s">
        <v>37</v>
      </c>
      <c r="DC268" s="13" t="s">
        <v>37</v>
      </c>
      <c r="DE268" s="12" t="s">
        <v>37</v>
      </c>
      <c r="DF268" s="12" t="s">
        <v>37</v>
      </c>
      <c r="DG268" s="12" t="s">
        <v>37</v>
      </c>
      <c r="DN268" s="19" t="s">
        <v>37</v>
      </c>
      <c r="DO268" s="12" t="s">
        <v>37</v>
      </c>
      <c r="DP268" s="13" t="s">
        <v>37</v>
      </c>
      <c r="DR268" s="19" t="s">
        <v>37</v>
      </c>
      <c r="DS268" s="12" t="s">
        <v>37</v>
      </c>
      <c r="DT268" s="13" t="s">
        <v>37</v>
      </c>
      <c r="DZ268" s="11" t="s">
        <v>47</v>
      </c>
      <c r="EA268" s="19">
        <f>-3.4*10^4*("1991/9/30"-"1991/05/01")/10^9/'[3]classess-1'!$I$26</f>
        <v>-1.2019807920443442E-2</v>
      </c>
      <c r="EB268" s="19">
        <f>SQRT((1/[5]Classess!$I$26)^2*(9.4*SQRT(3)*10^4*("1991/9/30"-"1991/05/01")/10^9)^2+(-EA268/([5]Classess!$I$26)^2)^2*([5]Classess!$J$26)^2)</f>
        <v>6.5123648236046217E-2</v>
      </c>
      <c r="EC268" s="72">
        <v>3</v>
      </c>
      <c r="ED268" s="52">
        <f t="shared" ref="ED268:ED269" si="1202">EB268/ABS(EA268)</f>
        <v>5.4180273650865161</v>
      </c>
      <c r="EE268" s="19">
        <f>13*10^4*("1991/9/30"-"1991/05/01")/10^9/'[3]classess-1'!$I$27</f>
        <v>2.8939842236339292E-2</v>
      </c>
      <c r="EF268" s="19">
        <f>SQRT((1/[5]Classess!$I$27)^2*(16*SQRT(3)*10^4*("1991/9/30"-"1991/05/01")/10^9)^2+(-EE268/([5]Classess!$I$27)^2)^2*([5]Classess!$J$27)^2)</f>
        <v>6.2567123803824801E-2</v>
      </c>
      <c r="EG268" s="13">
        <v>3</v>
      </c>
      <c r="EH268" s="52">
        <f t="shared" ref="EH268" si="1203">EF268/ABS(EE268)</f>
        <v>2.1619718342921814</v>
      </c>
      <c r="EI268" s="19">
        <f>EE268-EA268</f>
        <v>4.0959650156782733E-2</v>
      </c>
      <c r="EJ268" s="12">
        <f>SQRT(((EC268-1)*EB268^2+(EG268-1)*EF268^2)/(EC268+EG268-2))</f>
        <v>6.3858180919344323E-2</v>
      </c>
      <c r="EK268" s="19">
        <f>(((EC268+EG268)/(EC268*EG268))*(((EC268-1)*EB268^2)+(EG268-1)*EF268^2)/(EC268+EG268-2))</f>
        <v>2.7185781802184748E-3</v>
      </c>
      <c r="EL268" s="19">
        <f>(EB268^2/EC268)+(EF268^2/EG268)</f>
        <v>2.7185781802184753E-3</v>
      </c>
      <c r="EM268" s="12" t="s">
        <v>39</v>
      </c>
      <c r="EN268" s="12">
        <v>-12</v>
      </c>
      <c r="EO268" s="50">
        <f t="shared" si="1156"/>
        <v>4.8899567850155199</v>
      </c>
      <c r="EP268" s="13">
        <v>3</v>
      </c>
      <c r="ER268" s="12">
        <v>-27</v>
      </c>
      <c r="ES268" s="50">
        <f>ABS(ER268)*EU$474</f>
        <v>6.123979444748243</v>
      </c>
      <c r="ET268" s="13">
        <v>3</v>
      </c>
      <c r="EV268" s="19">
        <f t="shared" si="1196"/>
        <v>-15</v>
      </c>
      <c r="EW268" s="12">
        <f t="shared" si="1197"/>
        <v>5.5414258814414508</v>
      </c>
      <c r="EX268" s="19">
        <f t="shared" si="1198"/>
        <v>20.471600533006104</v>
      </c>
      <c r="EY268" s="19">
        <f t="shared" si="1199"/>
        <v>20.471600533006104</v>
      </c>
      <c r="FB268" s="12" t="s">
        <v>37</v>
      </c>
      <c r="FC268" s="12" t="s">
        <v>37</v>
      </c>
      <c r="FD268" s="12" t="s">
        <v>37</v>
      </c>
      <c r="FE268" s="12" t="s">
        <v>37</v>
      </c>
      <c r="FF268" s="20" t="s">
        <v>37</v>
      </c>
      <c r="FG268" s="12" t="s">
        <v>37</v>
      </c>
      <c r="FI268" s="12" t="s">
        <v>37</v>
      </c>
      <c r="FJ268" s="12" t="s">
        <v>37</v>
      </c>
      <c r="FK268" s="12" t="s">
        <v>37</v>
      </c>
      <c r="FL268" s="12" t="s">
        <v>37</v>
      </c>
      <c r="FM268" s="12" t="s">
        <v>37</v>
      </c>
      <c r="FN268" s="12" t="s">
        <v>37</v>
      </c>
      <c r="FP268" s="12" t="s">
        <v>37</v>
      </c>
      <c r="FQ268" s="12" t="s">
        <v>37</v>
      </c>
      <c r="FR268" s="12" t="s">
        <v>37</v>
      </c>
      <c r="FS268" s="12" t="s">
        <v>37</v>
      </c>
      <c r="FT268" s="12" t="s">
        <v>37</v>
      </c>
      <c r="FU268" s="12" t="s">
        <v>37</v>
      </c>
      <c r="FW268" s="12" t="s">
        <v>37</v>
      </c>
      <c r="FX268" s="12" t="s">
        <v>37</v>
      </c>
      <c r="FY268" s="12" t="s">
        <v>37</v>
      </c>
      <c r="FZ268" s="12" t="s">
        <v>37</v>
      </c>
      <c r="GA268" s="12" t="s">
        <v>37</v>
      </c>
      <c r="GB268" s="12" t="s">
        <v>37</v>
      </c>
      <c r="IK268" s="12" t="s">
        <v>37</v>
      </c>
      <c r="IL268" s="12" t="s">
        <v>37</v>
      </c>
      <c r="IM268" s="12" t="s">
        <v>37</v>
      </c>
      <c r="IO268" s="12" t="s">
        <v>37</v>
      </c>
      <c r="IP268" s="12" t="s">
        <v>37</v>
      </c>
      <c r="IQ268" s="12" t="s">
        <v>37</v>
      </c>
      <c r="IV268" s="32" t="s">
        <v>372</v>
      </c>
      <c r="IW268" s="12">
        <v>4.2</v>
      </c>
      <c r="IX268" s="50">
        <f t="shared" si="1189"/>
        <v>0.15377351903769718</v>
      </c>
      <c r="IY268" s="13">
        <v>3</v>
      </c>
      <c r="JA268" s="12">
        <v>4</v>
      </c>
      <c r="JB268" s="50">
        <f>ABS(JA268)*JD$474</f>
        <v>0.11203523514281104</v>
      </c>
      <c r="JC268" s="13">
        <v>3</v>
      </c>
      <c r="JE268" s="19">
        <f t="shared" si="1200"/>
        <v>-4.8790164169432056E-2</v>
      </c>
      <c r="JF268" s="19">
        <f t="shared" si="1162"/>
        <v>7.0832876411330761E-4</v>
      </c>
      <c r="JH268" s="12" t="s">
        <v>37</v>
      </c>
      <c r="JI268" s="12" t="s">
        <v>37</v>
      </c>
      <c r="JJ268" s="13" t="s">
        <v>37</v>
      </c>
      <c r="JL268" s="12" t="s">
        <v>37</v>
      </c>
      <c r="JM268" s="12" t="s">
        <v>37</v>
      </c>
      <c r="JN268" s="12" t="s">
        <v>37</v>
      </c>
      <c r="JS268" s="12" t="s">
        <v>37</v>
      </c>
      <c r="JT268" s="12" t="s">
        <v>37</v>
      </c>
      <c r="JU268" s="13" t="s">
        <v>37</v>
      </c>
      <c r="JW268" s="12" t="s">
        <v>37</v>
      </c>
      <c r="JX268" s="12" t="s">
        <v>37</v>
      </c>
      <c r="JY268" s="12" t="s">
        <v>37</v>
      </c>
      <c r="KE268" s="12" t="s">
        <v>37</v>
      </c>
      <c r="KF268" s="12" t="s">
        <v>37</v>
      </c>
      <c r="KG268" s="13" t="s">
        <v>37</v>
      </c>
      <c r="KH268" s="12" t="s">
        <v>37</v>
      </c>
      <c r="KI268" s="12" t="s">
        <v>37</v>
      </c>
      <c r="KJ268" s="12" t="s">
        <v>37</v>
      </c>
      <c r="KK268" s="12" t="s">
        <v>391</v>
      </c>
      <c r="KL268" s="32" t="s">
        <v>372</v>
      </c>
      <c r="KM268" s="12">
        <v>210</v>
      </c>
      <c r="KN268" s="50">
        <f>ABS(KM268)*KP$474</f>
        <v>25.05153869082049</v>
      </c>
      <c r="KO268" s="11">
        <v>3</v>
      </c>
      <c r="KQ268" s="12">
        <v>380</v>
      </c>
      <c r="KR268" s="50">
        <f>ABS(KQ268)*KT$474</f>
        <v>40.068503464081964</v>
      </c>
      <c r="KS268" s="11">
        <v>3</v>
      </c>
      <c r="KU268" s="19">
        <f t="shared" ref="KU268" si="1204">LN(KQ268/KM268)</f>
        <v>0.59306372200296276</v>
      </c>
      <c r="KV268" s="19">
        <f t="shared" si="1188"/>
        <v>8.4497155628593234E-3</v>
      </c>
      <c r="KX268" s="12" t="s">
        <v>37</v>
      </c>
      <c r="KY268" s="12" t="s">
        <v>37</v>
      </c>
      <c r="KZ268" s="12" t="s">
        <v>37</v>
      </c>
      <c r="LB268" s="12" t="s">
        <v>37</v>
      </c>
      <c r="LC268" s="12" t="s">
        <v>37</v>
      </c>
      <c r="LD268" s="12" t="s">
        <v>37</v>
      </c>
      <c r="LI268" s="12" t="s">
        <v>37</v>
      </c>
      <c r="LJ268" s="12" t="s">
        <v>37</v>
      </c>
      <c r="LK268" s="12" t="s">
        <v>37</v>
      </c>
      <c r="LM268" s="12" t="s">
        <v>37</v>
      </c>
      <c r="LN268" s="12" t="s">
        <v>37</v>
      </c>
      <c r="LO268" s="12" t="s">
        <v>37</v>
      </c>
      <c r="LU268" s="12" t="s">
        <v>37</v>
      </c>
      <c r="LV268" s="12" t="s">
        <v>37</v>
      </c>
      <c r="LW268" s="12" t="s">
        <v>37</v>
      </c>
      <c r="LY268" s="12" t="s">
        <v>37</v>
      </c>
      <c r="LZ268" s="12" t="s">
        <v>37</v>
      </c>
      <c r="MA268" s="12" t="s">
        <v>37</v>
      </c>
      <c r="MF268" s="12" t="s">
        <v>37</v>
      </c>
      <c r="MG268" s="12" t="s">
        <v>37</v>
      </c>
      <c r="MH268" s="12" t="s">
        <v>37</v>
      </c>
      <c r="MJ268" s="12" t="s">
        <v>37</v>
      </c>
      <c r="MK268" s="12" t="s">
        <v>37</v>
      </c>
      <c r="ML268" s="12" t="s">
        <v>37</v>
      </c>
      <c r="MQ268" s="12" t="s">
        <v>37</v>
      </c>
      <c r="MR268" s="12" t="s">
        <v>37</v>
      </c>
      <c r="MS268" s="12" t="s">
        <v>37</v>
      </c>
      <c r="MU268" s="12" t="s">
        <v>37</v>
      </c>
      <c r="MV268" s="12" t="s">
        <v>37</v>
      </c>
      <c r="MW268" s="12" t="s">
        <v>37</v>
      </c>
      <c r="NC268" s="12" t="s">
        <v>37</v>
      </c>
      <c r="ND268" s="12" t="s">
        <v>37</v>
      </c>
      <c r="NE268" s="12" t="s">
        <v>37</v>
      </c>
      <c r="NG268" s="12" t="s">
        <v>37</v>
      </c>
      <c r="NH268" s="12" t="s">
        <v>37</v>
      </c>
      <c r="NI268" s="12" t="s">
        <v>37</v>
      </c>
      <c r="NO268" s="12" t="s">
        <v>37</v>
      </c>
      <c r="NP268" s="12" t="s">
        <v>37</v>
      </c>
      <c r="NQ268" s="12" t="s">
        <v>37</v>
      </c>
      <c r="NS268" s="12" t="s">
        <v>37</v>
      </c>
      <c r="NT268" s="12" t="s">
        <v>37</v>
      </c>
      <c r="NU268" s="12" t="s">
        <v>37</v>
      </c>
      <c r="OA268" s="12" t="s">
        <v>37</v>
      </c>
      <c r="OB268" s="12" t="s">
        <v>37</v>
      </c>
      <c r="OC268" s="12" t="s">
        <v>37</v>
      </c>
      <c r="OD268" s="12"/>
      <c r="OE268" s="12" t="s">
        <v>37</v>
      </c>
      <c r="OF268" s="12" t="s">
        <v>37</v>
      </c>
      <c r="OG268" s="12" t="s">
        <v>37</v>
      </c>
      <c r="OH268" s="12"/>
      <c r="OI268" s="12"/>
      <c r="OJ268" s="12"/>
      <c r="OM268" s="12" t="s">
        <v>37</v>
      </c>
      <c r="ON268" s="12" t="s">
        <v>37</v>
      </c>
      <c r="OO268" s="12" t="s">
        <v>37</v>
      </c>
      <c r="OP268" s="12" t="s">
        <v>37</v>
      </c>
      <c r="OQ268" s="12" t="s">
        <v>37</v>
      </c>
      <c r="OR268" s="12" t="s">
        <v>37</v>
      </c>
      <c r="OS268" s="12"/>
      <c r="OT268" s="12"/>
      <c r="OW268" s="12" t="s">
        <v>37</v>
      </c>
      <c r="OX268" s="12" t="s">
        <v>37</v>
      </c>
      <c r="OY268" s="13" t="s">
        <v>37</v>
      </c>
      <c r="OZ268" s="12" t="s">
        <v>37</v>
      </c>
      <c r="PA268" s="12" t="s">
        <v>37</v>
      </c>
      <c r="PB268" s="13" t="s">
        <v>37</v>
      </c>
      <c r="PG268" s="12" t="s">
        <v>37</v>
      </c>
      <c r="PH268" s="12" t="s">
        <v>37</v>
      </c>
      <c r="PI268" s="12" t="s">
        <v>37</v>
      </c>
      <c r="PJ268" s="12" t="s">
        <v>37</v>
      </c>
      <c r="PK268" s="12" t="s">
        <v>37</v>
      </c>
      <c r="PL268" s="12" t="s">
        <v>37</v>
      </c>
      <c r="PM268" s="12"/>
      <c r="PN268" s="12"/>
      <c r="PQ268" s="12" t="s">
        <v>37</v>
      </c>
      <c r="PR268" s="12" t="s">
        <v>37</v>
      </c>
      <c r="PS268" s="12" t="s">
        <v>37</v>
      </c>
      <c r="PT268" s="12" t="s">
        <v>37</v>
      </c>
      <c r="PU268" s="12" t="s">
        <v>37</v>
      </c>
      <c r="PV268" s="12" t="s">
        <v>37</v>
      </c>
      <c r="PW268" s="12"/>
      <c r="PX268" s="12"/>
      <c r="PZ268" s="12" t="s">
        <v>37</v>
      </c>
      <c r="QA268" s="12" t="s">
        <v>37</v>
      </c>
      <c r="QB268" s="12" t="s">
        <v>37</v>
      </c>
      <c r="QD268" s="12" t="s">
        <v>37</v>
      </c>
      <c r="QE268" s="12" t="s">
        <v>37</v>
      </c>
      <c r="QF268" s="12" t="s">
        <v>37</v>
      </c>
      <c r="QK268" s="12" t="s">
        <v>37</v>
      </c>
      <c r="QL268" s="12" t="s">
        <v>37</v>
      </c>
      <c r="QM268" s="12" t="s">
        <v>37</v>
      </c>
      <c r="QN268" s="12" t="s">
        <v>37</v>
      </c>
      <c r="QO268" s="12" t="s">
        <v>37</v>
      </c>
      <c r="QP268" s="12" t="s">
        <v>37</v>
      </c>
      <c r="QQ268" s="12"/>
      <c r="QR268" s="12"/>
      <c r="QU268" s="12" t="s">
        <v>37</v>
      </c>
      <c r="QV268" s="12" t="s">
        <v>37</v>
      </c>
      <c r="QW268" s="12" t="s">
        <v>37</v>
      </c>
      <c r="QX268" s="12" t="s">
        <v>37</v>
      </c>
      <c r="QY268" s="12" t="s">
        <v>37</v>
      </c>
      <c r="QZ268" s="12" t="s">
        <v>37</v>
      </c>
      <c r="RC268" s="12" t="s">
        <v>37</v>
      </c>
      <c r="RD268" s="12" t="s">
        <v>37</v>
      </c>
      <c r="RE268" s="13" t="s">
        <v>37</v>
      </c>
      <c r="RF268" s="12" t="s">
        <v>37</v>
      </c>
      <c r="RG268" s="12" t="s">
        <v>37</v>
      </c>
      <c r="RH268" s="13" t="s">
        <v>37</v>
      </c>
      <c r="RK268" s="12" t="s">
        <v>37</v>
      </c>
      <c r="RL268" s="12" t="s">
        <v>37</v>
      </c>
      <c r="RM268" s="11" t="s">
        <v>37</v>
      </c>
      <c r="RN268" s="12" t="s">
        <v>37</v>
      </c>
      <c r="RO268" s="12" t="s">
        <v>37</v>
      </c>
      <c r="RP268" s="11" t="s">
        <v>37</v>
      </c>
      <c r="RS268" s="12" t="s">
        <v>37</v>
      </c>
      <c r="RT268" s="12" t="s">
        <v>37</v>
      </c>
      <c r="RU268" s="12" t="s">
        <v>37</v>
      </c>
      <c r="RV268" s="12" t="s">
        <v>37</v>
      </c>
      <c r="RW268" s="12" t="s">
        <v>37</v>
      </c>
      <c r="RX268" s="12" t="s">
        <v>37</v>
      </c>
      <c r="SA268" s="12" t="s">
        <v>37</v>
      </c>
      <c r="SB268" s="12" t="s">
        <v>37</v>
      </c>
      <c r="SC268" s="12" t="s">
        <v>37</v>
      </c>
      <c r="SD268" s="12" t="s">
        <v>37</v>
      </c>
      <c r="SE268" s="12" t="s">
        <v>37</v>
      </c>
      <c r="SF268" s="12" t="s">
        <v>37</v>
      </c>
      <c r="SI268" s="12" t="s">
        <v>37</v>
      </c>
      <c r="SJ268" s="12" t="s">
        <v>37</v>
      </c>
      <c r="SK268" s="13" t="s">
        <v>37</v>
      </c>
      <c r="SM268" s="12" t="s">
        <v>37</v>
      </c>
      <c r="SN268" s="12" t="s">
        <v>37</v>
      </c>
      <c r="SO268" s="13" t="s">
        <v>37</v>
      </c>
      <c r="SU268" s="12" t="s">
        <v>37</v>
      </c>
      <c r="SV268" s="12" t="s">
        <v>37</v>
      </c>
      <c r="SW268" s="12" t="s">
        <v>37</v>
      </c>
      <c r="SX268" s="12" t="s">
        <v>37</v>
      </c>
      <c r="SY268" s="12" t="s">
        <v>37</v>
      </c>
      <c r="SZ268" s="12" t="s">
        <v>37</v>
      </c>
      <c r="TA268" s="12"/>
      <c r="TB268" s="12"/>
      <c r="TE268" s="12" t="s">
        <v>37</v>
      </c>
      <c r="TF268" s="12" t="s">
        <v>37</v>
      </c>
      <c r="TG268" s="12" t="s">
        <v>37</v>
      </c>
      <c r="TH268" s="12" t="s">
        <v>37</v>
      </c>
      <c r="TI268" s="12" t="s">
        <v>37</v>
      </c>
      <c r="TJ268" s="12" t="s">
        <v>37</v>
      </c>
      <c r="TK268" s="12"/>
      <c r="TL268" s="12"/>
      <c r="TO268" s="12" t="s">
        <v>37</v>
      </c>
      <c r="TP268" s="12" t="s">
        <v>37</v>
      </c>
      <c r="TQ268" s="12" t="s">
        <v>37</v>
      </c>
      <c r="TR268" s="12" t="s">
        <v>37</v>
      </c>
      <c r="TS268" s="12" t="s">
        <v>37</v>
      </c>
      <c r="TT268" s="12" t="s">
        <v>37</v>
      </c>
      <c r="TU268" s="12"/>
      <c r="TV268" s="12"/>
      <c r="TY268" s="12" t="s">
        <v>37</v>
      </c>
      <c r="TZ268" s="12" t="s">
        <v>37</v>
      </c>
      <c r="UA268" s="12" t="s">
        <v>37</v>
      </c>
      <c r="UB268" s="12" t="s">
        <v>37</v>
      </c>
      <c r="UC268" s="12" t="s">
        <v>37</v>
      </c>
      <c r="UD268" s="12" t="s">
        <v>37</v>
      </c>
      <c r="UE268" s="12"/>
      <c r="UF268" s="12"/>
      <c r="UI268" s="12" t="s">
        <v>37</v>
      </c>
      <c r="UJ268" s="12" t="s">
        <v>37</v>
      </c>
      <c r="UK268" s="12" t="s">
        <v>37</v>
      </c>
      <c r="UL268" s="12" t="s">
        <v>37</v>
      </c>
      <c r="UM268" s="12" t="s">
        <v>37</v>
      </c>
      <c r="UN268" s="12" t="s">
        <v>37</v>
      </c>
      <c r="UO268" s="12"/>
      <c r="UP268" s="12"/>
      <c r="UR268" s="12" t="s">
        <v>37</v>
      </c>
      <c r="US268" s="12" t="s">
        <v>37</v>
      </c>
      <c r="UT268" s="12" t="s">
        <v>37</v>
      </c>
      <c r="UU268" s="12" t="s">
        <v>37</v>
      </c>
      <c r="UV268" s="12" t="s">
        <v>37</v>
      </c>
      <c r="UW268" s="12" t="s">
        <v>37</v>
      </c>
      <c r="UX268" s="12"/>
      <c r="UY268" s="12"/>
      <c r="VB268" s="12" t="s">
        <v>37</v>
      </c>
      <c r="VC268" s="12" t="s">
        <v>37</v>
      </c>
      <c r="VD268" s="12" t="s">
        <v>37</v>
      </c>
      <c r="VE268" s="12" t="s">
        <v>37</v>
      </c>
      <c r="VF268" s="12" t="s">
        <v>37</v>
      </c>
      <c r="VG268" s="12" t="s">
        <v>37</v>
      </c>
      <c r="VI268" s="12" t="s">
        <v>37</v>
      </c>
      <c r="VJ268" s="12" t="s">
        <v>37</v>
      </c>
      <c r="VK268" s="12" t="s">
        <v>37</v>
      </c>
      <c r="VL268" s="12" t="s">
        <v>37</v>
      </c>
      <c r="VM268" s="12" t="s">
        <v>37</v>
      </c>
      <c r="VN268" s="12" t="s">
        <v>37</v>
      </c>
      <c r="VQ268" s="12" t="s">
        <v>37</v>
      </c>
      <c r="VR268" s="12" t="s">
        <v>37</v>
      </c>
      <c r="VS268" s="12" t="s">
        <v>37</v>
      </c>
      <c r="VT268" s="12" t="s">
        <v>37</v>
      </c>
      <c r="VU268" s="12" t="s">
        <v>37</v>
      </c>
      <c r="VV268" s="12" t="s">
        <v>37</v>
      </c>
      <c r="VW268" s="12"/>
      <c r="VX268" s="12"/>
      <c r="WA268" s="12" t="s">
        <v>37</v>
      </c>
      <c r="WB268" s="12" t="s">
        <v>37</v>
      </c>
      <c r="WC268" s="12" t="s">
        <v>37</v>
      </c>
      <c r="WD268" s="12" t="s">
        <v>37</v>
      </c>
      <c r="WE268" s="12" t="s">
        <v>37</v>
      </c>
      <c r="WF268" s="12" t="s">
        <v>37</v>
      </c>
    </row>
    <row r="269" spans="1:604" ht="18" customHeight="1" x14ac:dyDescent="0.3">
      <c r="A269" s="11">
        <v>66</v>
      </c>
      <c r="B269" s="16" t="s">
        <v>388</v>
      </c>
      <c r="C269" s="12" t="s">
        <v>26</v>
      </c>
      <c r="D269" s="12" t="s">
        <v>54</v>
      </c>
      <c r="E269" s="40" t="s">
        <v>37</v>
      </c>
      <c r="F269" s="14">
        <v>0</v>
      </c>
      <c r="G269" s="14">
        <v>0</v>
      </c>
      <c r="H269" s="12" t="s">
        <v>123</v>
      </c>
      <c r="I269" s="29">
        <v>61.767000000000003</v>
      </c>
      <c r="J269" s="29">
        <v>30.966999999999999</v>
      </c>
      <c r="K269" s="12" t="s">
        <v>776</v>
      </c>
      <c r="L269" s="12" t="s">
        <v>777</v>
      </c>
      <c r="M269" s="13" t="s">
        <v>37</v>
      </c>
      <c r="N269" s="13" t="s">
        <v>37</v>
      </c>
      <c r="O269" s="13" t="s">
        <v>37</v>
      </c>
      <c r="P269" s="14" t="s">
        <v>84</v>
      </c>
      <c r="Q269" s="75">
        <v>50</v>
      </c>
      <c r="R269" s="11" t="s">
        <v>37</v>
      </c>
      <c r="S269" s="12" t="s">
        <v>93</v>
      </c>
      <c r="T269" s="12" t="s">
        <v>141</v>
      </c>
      <c r="U269" s="12" t="s">
        <v>158</v>
      </c>
      <c r="V269" s="12" t="s">
        <v>275</v>
      </c>
      <c r="W269" s="23" t="s">
        <v>377</v>
      </c>
      <c r="X269" s="12" t="s">
        <v>281</v>
      </c>
      <c r="Y269" s="12" t="s">
        <v>37</v>
      </c>
      <c r="Z269" s="12" t="s">
        <v>37</v>
      </c>
      <c r="AA269" s="32" t="s">
        <v>372</v>
      </c>
      <c r="AB269" s="12">
        <v>4.0999999999999996</v>
      </c>
      <c r="AE269" s="12" t="s">
        <v>37</v>
      </c>
      <c r="AF269" s="12" t="s">
        <v>391</v>
      </c>
      <c r="AG269" s="32" t="s">
        <v>372</v>
      </c>
      <c r="AH269" s="12">
        <v>110</v>
      </c>
      <c r="AK269" s="12" t="s">
        <v>37</v>
      </c>
      <c r="AL269" s="32">
        <v>1992</v>
      </c>
      <c r="AM269" s="12" t="s">
        <v>317</v>
      </c>
      <c r="AN269" s="32" t="s">
        <v>880</v>
      </c>
      <c r="AO269" s="12" t="s">
        <v>37</v>
      </c>
      <c r="AP269" s="12" t="s">
        <v>238</v>
      </c>
      <c r="AQ269" s="12" t="s">
        <v>975</v>
      </c>
      <c r="AT269" s="12" t="s">
        <v>326</v>
      </c>
      <c r="AU269" s="12" t="s">
        <v>326</v>
      </c>
      <c r="AV269" s="13" t="s">
        <v>326</v>
      </c>
      <c r="AX269" s="12" t="s">
        <v>326</v>
      </c>
      <c r="AY269" s="12" t="s">
        <v>326</v>
      </c>
      <c r="AZ269" s="13" t="s">
        <v>326</v>
      </c>
      <c r="BE269" s="12" t="s">
        <v>326</v>
      </c>
      <c r="BF269" s="12" t="s">
        <v>326</v>
      </c>
      <c r="BG269" s="12" t="s">
        <v>326</v>
      </c>
      <c r="BI269" s="12" t="s">
        <v>326</v>
      </c>
      <c r="BJ269" s="12" t="s">
        <v>326</v>
      </c>
      <c r="BK269" s="12" t="s">
        <v>326</v>
      </c>
      <c r="BP269" s="12" t="s">
        <v>37</v>
      </c>
      <c r="BQ269" s="12" t="s">
        <v>37</v>
      </c>
      <c r="BR269" s="13" t="s">
        <v>37</v>
      </c>
      <c r="BT269" s="12" t="s">
        <v>37</v>
      </c>
      <c r="BU269" s="12" t="s">
        <v>37</v>
      </c>
      <c r="BV269" s="12" t="s">
        <v>37</v>
      </c>
      <c r="CA269" s="12" t="s">
        <v>37</v>
      </c>
      <c r="CB269" s="12" t="s">
        <v>37</v>
      </c>
      <c r="CC269" s="13" t="s">
        <v>37</v>
      </c>
      <c r="CE269" s="12" t="s">
        <v>37</v>
      </c>
      <c r="CF269" s="12" t="s">
        <v>37</v>
      </c>
      <c r="CG269" s="12" t="s">
        <v>37</v>
      </c>
      <c r="CN269" s="12" t="s">
        <v>37</v>
      </c>
      <c r="CO269" s="12" t="s">
        <v>37</v>
      </c>
      <c r="CP269" s="13" t="s">
        <v>37</v>
      </c>
      <c r="CR269" s="12" t="s">
        <v>37</v>
      </c>
      <c r="CS269" s="12" t="s">
        <v>37</v>
      </c>
      <c r="CT269" s="13" t="s">
        <v>37</v>
      </c>
      <c r="CX269" s="72"/>
      <c r="CY269" s="72"/>
      <c r="DA269" s="12" t="s">
        <v>37</v>
      </c>
      <c r="DB269" s="12" t="s">
        <v>37</v>
      </c>
      <c r="DC269" s="13" t="s">
        <v>37</v>
      </c>
      <c r="DE269" s="12" t="s">
        <v>37</v>
      </c>
      <c r="DF269" s="12" t="s">
        <v>37</v>
      </c>
      <c r="DG269" s="12" t="s">
        <v>37</v>
      </c>
      <c r="DN269" s="19" t="s">
        <v>37</v>
      </c>
      <c r="DO269" s="12" t="s">
        <v>37</v>
      </c>
      <c r="DP269" s="13" t="s">
        <v>37</v>
      </c>
      <c r="DR269" s="19" t="s">
        <v>37</v>
      </c>
      <c r="DS269" s="12" t="s">
        <v>37</v>
      </c>
      <c r="DT269" s="13" t="s">
        <v>37</v>
      </c>
      <c r="DZ269" s="11" t="s">
        <v>47</v>
      </c>
      <c r="EA269" s="19">
        <f>2.7*10^4*("1991/9/30"-"1991/05/01")/10^9/'[3]classess-1'!$I$26</f>
        <v>9.5451415838815577E-3</v>
      </c>
      <c r="EB269" s="19">
        <f>SQRT((1/[5]Classess!$I$26)^2*(14*SQRT(3)*10^4*("1991/9/30"-"1991/05/01")/10^9)^2+(-EA269/([5]Classess!$I$26)^2)^2*([5]Classess!$I$26)^2)</f>
        <v>8.8552911928621414E-2</v>
      </c>
      <c r="EC269" s="72">
        <v>3</v>
      </c>
      <c r="ED269" s="52">
        <f t="shared" si="1202"/>
        <v>9.2772758948025089</v>
      </c>
      <c r="EE269" s="19" t="s">
        <v>37</v>
      </c>
      <c r="EF269" s="19" t="s">
        <v>37</v>
      </c>
      <c r="EG269" s="12" t="s">
        <v>37</v>
      </c>
      <c r="EM269" s="12" t="s">
        <v>39</v>
      </c>
      <c r="EN269" s="12">
        <v>-13</v>
      </c>
      <c r="EO269" s="50">
        <f t="shared" si="1156"/>
        <v>5.2974531837668133</v>
      </c>
      <c r="EP269" s="13">
        <v>3</v>
      </c>
      <c r="ER269" s="12" t="s">
        <v>37</v>
      </c>
      <c r="ET269" s="13">
        <v>3</v>
      </c>
      <c r="FB269" s="12" t="s">
        <v>37</v>
      </c>
      <c r="FC269" s="12" t="s">
        <v>37</v>
      </c>
      <c r="FD269" s="12" t="s">
        <v>37</v>
      </c>
      <c r="FE269" s="12" t="s">
        <v>37</v>
      </c>
      <c r="FF269" s="20" t="s">
        <v>37</v>
      </c>
      <c r="FG269" s="12" t="s">
        <v>37</v>
      </c>
      <c r="FI269" s="12" t="s">
        <v>37</v>
      </c>
      <c r="FJ269" s="12" t="s">
        <v>37</v>
      </c>
      <c r="FK269" s="12" t="s">
        <v>37</v>
      </c>
      <c r="FL269" s="12" t="s">
        <v>37</v>
      </c>
      <c r="FM269" s="12" t="s">
        <v>37</v>
      </c>
      <c r="FN269" s="12" t="s">
        <v>37</v>
      </c>
      <c r="FP269" s="12" t="s">
        <v>37</v>
      </c>
      <c r="FQ269" s="12" t="s">
        <v>37</v>
      </c>
      <c r="FR269" s="12" t="s">
        <v>37</v>
      </c>
      <c r="FS269" s="12" t="s">
        <v>37</v>
      </c>
      <c r="FT269" s="12" t="s">
        <v>37</v>
      </c>
      <c r="FU269" s="12" t="s">
        <v>37</v>
      </c>
      <c r="FW269" s="12" t="s">
        <v>37</v>
      </c>
      <c r="FX269" s="12" t="s">
        <v>37</v>
      </c>
      <c r="FY269" s="12" t="s">
        <v>37</v>
      </c>
      <c r="FZ269" s="12" t="s">
        <v>37</v>
      </c>
      <c r="GA269" s="12" t="s">
        <v>37</v>
      </c>
      <c r="GB269" s="12" t="s">
        <v>37</v>
      </c>
      <c r="IK269" s="12" t="s">
        <v>37</v>
      </c>
      <c r="IL269" s="12" t="s">
        <v>37</v>
      </c>
      <c r="IM269" s="12" t="s">
        <v>37</v>
      </c>
      <c r="IO269" s="12" t="s">
        <v>37</v>
      </c>
      <c r="IP269" s="12" t="s">
        <v>37</v>
      </c>
      <c r="IQ269" s="12" t="s">
        <v>37</v>
      </c>
      <c r="IV269" s="32" t="s">
        <v>372</v>
      </c>
      <c r="IW269" s="12">
        <v>4.0999999999999996</v>
      </c>
      <c r="IX269" s="50">
        <f t="shared" si="1189"/>
        <v>0.15011224477489485</v>
      </c>
      <c r="IY269" s="13">
        <v>3</v>
      </c>
      <c r="JC269" s="12"/>
      <c r="JH269" s="12" t="s">
        <v>37</v>
      </c>
      <c r="JI269" s="12" t="s">
        <v>37</v>
      </c>
      <c r="JJ269" s="13" t="s">
        <v>37</v>
      </c>
      <c r="JL269" s="12" t="s">
        <v>37</v>
      </c>
      <c r="JM269" s="12" t="s">
        <v>37</v>
      </c>
      <c r="JN269" s="12" t="s">
        <v>37</v>
      </c>
      <c r="JS269" s="12" t="s">
        <v>37</v>
      </c>
      <c r="JT269" s="12" t="s">
        <v>37</v>
      </c>
      <c r="JU269" s="13" t="s">
        <v>37</v>
      </c>
      <c r="JW269" s="12" t="s">
        <v>37</v>
      </c>
      <c r="JX269" s="12" t="s">
        <v>37</v>
      </c>
      <c r="JY269" s="12" t="s">
        <v>37</v>
      </c>
      <c r="KE269" s="12" t="s">
        <v>37</v>
      </c>
      <c r="KF269" s="12" t="s">
        <v>37</v>
      </c>
      <c r="KG269" s="13" t="s">
        <v>37</v>
      </c>
      <c r="KH269" s="12" t="s">
        <v>37</v>
      </c>
      <c r="KI269" s="12" t="s">
        <v>37</v>
      </c>
      <c r="KJ269" s="12" t="s">
        <v>37</v>
      </c>
      <c r="KK269" s="12" t="s">
        <v>391</v>
      </c>
      <c r="KL269" s="32" t="s">
        <v>372</v>
      </c>
      <c r="KM269" s="12">
        <v>110</v>
      </c>
      <c r="KN269" s="50">
        <f>ABS(KM269)*KP$474</f>
        <v>13.122234552334543</v>
      </c>
      <c r="KO269" s="11">
        <v>3</v>
      </c>
      <c r="KR269" s="58"/>
      <c r="KS269" s="12"/>
      <c r="KX269" s="12" t="s">
        <v>37</v>
      </c>
      <c r="KY269" s="12" t="s">
        <v>37</v>
      </c>
      <c r="KZ269" s="12" t="s">
        <v>37</v>
      </c>
      <c r="LB269" s="12" t="s">
        <v>37</v>
      </c>
      <c r="LC269" s="12" t="s">
        <v>37</v>
      </c>
      <c r="LD269" s="12" t="s">
        <v>37</v>
      </c>
      <c r="LI269" s="12" t="s">
        <v>37</v>
      </c>
      <c r="LJ269" s="12" t="s">
        <v>37</v>
      </c>
      <c r="LK269" s="12" t="s">
        <v>37</v>
      </c>
      <c r="LM269" s="12" t="s">
        <v>37</v>
      </c>
      <c r="LN269" s="12" t="s">
        <v>37</v>
      </c>
      <c r="LO269" s="12" t="s">
        <v>37</v>
      </c>
      <c r="LU269" s="12" t="s">
        <v>37</v>
      </c>
      <c r="LV269" s="12" t="s">
        <v>37</v>
      </c>
      <c r="LW269" s="12" t="s">
        <v>37</v>
      </c>
      <c r="LY269" s="12" t="s">
        <v>37</v>
      </c>
      <c r="LZ269" s="12" t="s">
        <v>37</v>
      </c>
      <c r="MA269" s="12" t="s">
        <v>37</v>
      </c>
      <c r="MF269" s="12" t="s">
        <v>37</v>
      </c>
      <c r="MG269" s="12" t="s">
        <v>37</v>
      </c>
      <c r="MH269" s="12" t="s">
        <v>37</v>
      </c>
      <c r="MJ269" s="12" t="s">
        <v>37</v>
      </c>
      <c r="MK269" s="12" t="s">
        <v>37</v>
      </c>
      <c r="ML269" s="12" t="s">
        <v>37</v>
      </c>
      <c r="MQ269" s="12" t="s">
        <v>37</v>
      </c>
      <c r="MR269" s="12" t="s">
        <v>37</v>
      </c>
      <c r="MS269" s="12" t="s">
        <v>37</v>
      </c>
      <c r="MU269" s="12" t="s">
        <v>37</v>
      </c>
      <c r="MV269" s="12" t="s">
        <v>37</v>
      </c>
      <c r="MW269" s="12" t="s">
        <v>37</v>
      </c>
      <c r="NC269" s="12" t="s">
        <v>37</v>
      </c>
      <c r="ND269" s="12" t="s">
        <v>37</v>
      </c>
      <c r="NE269" s="12" t="s">
        <v>37</v>
      </c>
      <c r="NG269" s="12" t="s">
        <v>37</v>
      </c>
      <c r="NH269" s="12" t="s">
        <v>37</v>
      </c>
      <c r="NI269" s="12" t="s">
        <v>37</v>
      </c>
      <c r="NO269" s="12" t="s">
        <v>37</v>
      </c>
      <c r="NP269" s="12" t="s">
        <v>37</v>
      </c>
      <c r="NQ269" s="12" t="s">
        <v>37</v>
      </c>
      <c r="NS269" s="12" t="s">
        <v>37</v>
      </c>
      <c r="NT269" s="12" t="s">
        <v>37</v>
      </c>
      <c r="NU269" s="12" t="s">
        <v>37</v>
      </c>
      <c r="OA269" s="12" t="s">
        <v>37</v>
      </c>
      <c r="OB269" s="12" t="s">
        <v>37</v>
      </c>
      <c r="OC269" s="12" t="s">
        <v>37</v>
      </c>
      <c r="OD269" s="12"/>
      <c r="OE269" s="12" t="s">
        <v>37</v>
      </c>
      <c r="OF269" s="12" t="s">
        <v>37</v>
      </c>
      <c r="OG269" s="12" t="s">
        <v>37</v>
      </c>
      <c r="OH269" s="12"/>
      <c r="OI269" s="12"/>
      <c r="OJ269" s="12"/>
      <c r="OM269" s="12" t="s">
        <v>37</v>
      </c>
      <c r="ON269" s="12" t="s">
        <v>37</v>
      </c>
      <c r="OO269" s="12" t="s">
        <v>37</v>
      </c>
      <c r="OP269" s="12" t="s">
        <v>37</v>
      </c>
      <c r="OQ269" s="12" t="s">
        <v>37</v>
      </c>
      <c r="OR269" s="12" t="s">
        <v>37</v>
      </c>
      <c r="OS269" s="12"/>
      <c r="OT269" s="12"/>
      <c r="OW269" s="12" t="s">
        <v>37</v>
      </c>
      <c r="OX269" s="12" t="s">
        <v>37</v>
      </c>
      <c r="OY269" s="13" t="s">
        <v>37</v>
      </c>
      <c r="OZ269" s="12" t="s">
        <v>37</v>
      </c>
      <c r="PA269" s="12" t="s">
        <v>37</v>
      </c>
      <c r="PB269" s="13" t="s">
        <v>37</v>
      </c>
      <c r="PG269" s="12" t="s">
        <v>37</v>
      </c>
      <c r="PH269" s="12" t="s">
        <v>37</v>
      </c>
      <c r="PI269" s="12" t="s">
        <v>37</v>
      </c>
      <c r="PJ269" s="12" t="s">
        <v>37</v>
      </c>
      <c r="PK269" s="12" t="s">
        <v>37</v>
      </c>
      <c r="PL269" s="12" t="s">
        <v>37</v>
      </c>
      <c r="PM269" s="12"/>
      <c r="PN269" s="12"/>
      <c r="PQ269" s="12" t="s">
        <v>37</v>
      </c>
      <c r="PR269" s="12" t="s">
        <v>37</v>
      </c>
      <c r="PS269" s="12" t="s">
        <v>37</v>
      </c>
      <c r="PT269" s="12" t="s">
        <v>37</v>
      </c>
      <c r="PU269" s="12" t="s">
        <v>37</v>
      </c>
      <c r="PV269" s="12" t="s">
        <v>37</v>
      </c>
      <c r="PW269" s="12"/>
      <c r="PX269" s="12"/>
      <c r="PZ269" s="12" t="s">
        <v>37</v>
      </c>
      <c r="QA269" s="12" t="s">
        <v>37</v>
      </c>
      <c r="QB269" s="12" t="s">
        <v>37</v>
      </c>
      <c r="QD269" s="12" t="s">
        <v>37</v>
      </c>
      <c r="QE269" s="12" t="s">
        <v>37</v>
      </c>
      <c r="QF269" s="12" t="s">
        <v>37</v>
      </c>
      <c r="QK269" s="12" t="s">
        <v>37</v>
      </c>
      <c r="QL269" s="12" t="s">
        <v>37</v>
      </c>
      <c r="QM269" s="12" t="s">
        <v>37</v>
      </c>
      <c r="QN269" s="12" t="s">
        <v>37</v>
      </c>
      <c r="QO269" s="12" t="s">
        <v>37</v>
      </c>
      <c r="QP269" s="12" t="s">
        <v>37</v>
      </c>
      <c r="QQ269" s="12"/>
      <c r="QR269" s="12"/>
      <c r="QU269" s="12" t="s">
        <v>37</v>
      </c>
      <c r="QV269" s="12" t="s">
        <v>37</v>
      </c>
      <c r="QW269" s="12" t="s">
        <v>37</v>
      </c>
      <c r="QX269" s="12" t="s">
        <v>37</v>
      </c>
      <c r="QY269" s="12" t="s">
        <v>37</v>
      </c>
      <c r="QZ269" s="12" t="s">
        <v>37</v>
      </c>
      <c r="RC269" s="12" t="s">
        <v>37</v>
      </c>
      <c r="RD269" s="12" t="s">
        <v>37</v>
      </c>
      <c r="RE269" s="13" t="s">
        <v>37</v>
      </c>
      <c r="RF269" s="12" t="s">
        <v>37</v>
      </c>
      <c r="RG269" s="12" t="s">
        <v>37</v>
      </c>
      <c r="RH269" s="13" t="s">
        <v>37</v>
      </c>
      <c r="RK269" s="12" t="s">
        <v>37</v>
      </c>
      <c r="RL269" s="12" t="s">
        <v>37</v>
      </c>
      <c r="RM269" s="11" t="s">
        <v>37</v>
      </c>
      <c r="RN269" s="12" t="s">
        <v>37</v>
      </c>
      <c r="RO269" s="12" t="s">
        <v>37</v>
      </c>
      <c r="RP269" s="11" t="s">
        <v>37</v>
      </c>
      <c r="RS269" s="12" t="s">
        <v>37</v>
      </c>
      <c r="RT269" s="12" t="s">
        <v>37</v>
      </c>
      <c r="RU269" s="12" t="s">
        <v>37</v>
      </c>
      <c r="RV269" s="12" t="s">
        <v>37</v>
      </c>
      <c r="RW269" s="12" t="s">
        <v>37</v>
      </c>
      <c r="RX269" s="12" t="s">
        <v>37</v>
      </c>
      <c r="SA269" s="12" t="s">
        <v>37</v>
      </c>
      <c r="SB269" s="12" t="s">
        <v>37</v>
      </c>
      <c r="SC269" s="12" t="s">
        <v>37</v>
      </c>
      <c r="SD269" s="12" t="s">
        <v>37</v>
      </c>
      <c r="SE269" s="12" t="s">
        <v>37</v>
      </c>
      <c r="SF269" s="12" t="s">
        <v>37</v>
      </c>
      <c r="SI269" s="12" t="s">
        <v>37</v>
      </c>
      <c r="SJ269" s="12" t="s">
        <v>37</v>
      </c>
      <c r="SK269" s="13" t="s">
        <v>37</v>
      </c>
      <c r="SM269" s="12" t="s">
        <v>37</v>
      </c>
      <c r="SN269" s="12" t="s">
        <v>37</v>
      </c>
      <c r="SO269" s="13" t="s">
        <v>37</v>
      </c>
      <c r="SU269" s="12" t="s">
        <v>37</v>
      </c>
      <c r="SV269" s="12" t="s">
        <v>37</v>
      </c>
      <c r="SW269" s="12" t="s">
        <v>37</v>
      </c>
      <c r="SX269" s="12" t="s">
        <v>37</v>
      </c>
      <c r="SY269" s="12" t="s">
        <v>37</v>
      </c>
      <c r="SZ269" s="12" t="s">
        <v>37</v>
      </c>
      <c r="TA269" s="12"/>
      <c r="TB269" s="12"/>
      <c r="TE269" s="12" t="s">
        <v>37</v>
      </c>
      <c r="TF269" s="12" t="s">
        <v>37</v>
      </c>
      <c r="TG269" s="12" t="s">
        <v>37</v>
      </c>
      <c r="TH269" s="12" t="s">
        <v>37</v>
      </c>
      <c r="TI269" s="12" t="s">
        <v>37</v>
      </c>
      <c r="TJ269" s="12" t="s">
        <v>37</v>
      </c>
      <c r="TK269" s="12"/>
      <c r="TL269" s="12"/>
      <c r="TO269" s="12" t="s">
        <v>37</v>
      </c>
      <c r="TP269" s="12" t="s">
        <v>37</v>
      </c>
      <c r="TQ269" s="12" t="s">
        <v>37</v>
      </c>
      <c r="TR269" s="12" t="s">
        <v>37</v>
      </c>
      <c r="TS269" s="12" t="s">
        <v>37</v>
      </c>
      <c r="TT269" s="12" t="s">
        <v>37</v>
      </c>
      <c r="TU269" s="12"/>
      <c r="TV269" s="12"/>
      <c r="TY269" s="12" t="s">
        <v>37</v>
      </c>
      <c r="TZ269" s="12" t="s">
        <v>37</v>
      </c>
      <c r="UA269" s="12" t="s">
        <v>37</v>
      </c>
      <c r="UB269" s="12" t="s">
        <v>37</v>
      </c>
      <c r="UC269" s="12" t="s">
        <v>37</v>
      </c>
      <c r="UD269" s="12" t="s">
        <v>37</v>
      </c>
      <c r="UE269" s="12"/>
      <c r="UF269" s="12"/>
      <c r="UI269" s="12" t="s">
        <v>37</v>
      </c>
      <c r="UJ269" s="12" t="s">
        <v>37</v>
      </c>
      <c r="UK269" s="12" t="s">
        <v>37</v>
      </c>
      <c r="UL269" s="12" t="s">
        <v>37</v>
      </c>
      <c r="UM269" s="12" t="s">
        <v>37</v>
      </c>
      <c r="UN269" s="12" t="s">
        <v>37</v>
      </c>
      <c r="UO269" s="12"/>
      <c r="UP269" s="12"/>
      <c r="UR269" s="12" t="s">
        <v>37</v>
      </c>
      <c r="US269" s="12" t="s">
        <v>37</v>
      </c>
      <c r="UT269" s="12" t="s">
        <v>37</v>
      </c>
      <c r="UU269" s="12" t="s">
        <v>37</v>
      </c>
      <c r="UV269" s="12" t="s">
        <v>37</v>
      </c>
      <c r="UW269" s="12" t="s">
        <v>37</v>
      </c>
      <c r="UX269" s="12"/>
      <c r="UY269" s="12"/>
      <c r="VB269" s="12" t="s">
        <v>37</v>
      </c>
      <c r="VC269" s="12" t="s">
        <v>37</v>
      </c>
      <c r="VD269" s="12" t="s">
        <v>37</v>
      </c>
      <c r="VE269" s="12" t="s">
        <v>37</v>
      </c>
      <c r="VF269" s="12" t="s">
        <v>37</v>
      </c>
      <c r="VG269" s="12" t="s">
        <v>37</v>
      </c>
      <c r="VI269" s="12" t="s">
        <v>37</v>
      </c>
      <c r="VJ269" s="12" t="s">
        <v>37</v>
      </c>
      <c r="VK269" s="12" t="s">
        <v>37</v>
      </c>
      <c r="VL269" s="12" t="s">
        <v>37</v>
      </c>
      <c r="VM269" s="12" t="s">
        <v>37</v>
      </c>
      <c r="VN269" s="12" t="s">
        <v>37</v>
      </c>
      <c r="VQ269" s="12" t="s">
        <v>37</v>
      </c>
      <c r="VR269" s="12" t="s">
        <v>37</v>
      </c>
      <c r="VS269" s="12" t="s">
        <v>37</v>
      </c>
      <c r="VT269" s="12" t="s">
        <v>37</v>
      </c>
      <c r="VU269" s="12" t="s">
        <v>37</v>
      </c>
      <c r="VV269" s="12" t="s">
        <v>37</v>
      </c>
      <c r="VW269" s="12"/>
      <c r="VX269" s="12"/>
      <c r="WA269" s="12" t="s">
        <v>37</v>
      </c>
      <c r="WB269" s="12" t="s">
        <v>37</v>
      </c>
      <c r="WC269" s="12" t="s">
        <v>37</v>
      </c>
      <c r="WD269" s="12" t="s">
        <v>37</v>
      </c>
      <c r="WE269" s="12" t="s">
        <v>37</v>
      </c>
      <c r="WF269" s="12" t="s">
        <v>37</v>
      </c>
    </row>
    <row r="270" spans="1:604" ht="18" customHeight="1" x14ac:dyDescent="0.3">
      <c r="A270" s="11">
        <v>67</v>
      </c>
      <c r="B270" s="16" t="s">
        <v>392</v>
      </c>
      <c r="C270" s="12" t="s">
        <v>26</v>
      </c>
      <c r="D270" s="12" t="s">
        <v>973</v>
      </c>
      <c r="E270" s="40" t="s">
        <v>37</v>
      </c>
      <c r="F270" s="14">
        <v>0</v>
      </c>
      <c r="G270" s="14">
        <v>0</v>
      </c>
      <c r="H270" s="12" t="s">
        <v>82</v>
      </c>
      <c r="I270" s="29">
        <v>64.843999999999994</v>
      </c>
      <c r="J270" s="29">
        <v>-147.72300000000001</v>
      </c>
      <c r="K270" s="12" t="s">
        <v>669</v>
      </c>
      <c r="L270" s="12" t="s">
        <v>670</v>
      </c>
      <c r="M270" s="13" t="s">
        <v>37</v>
      </c>
      <c r="N270" s="13" t="s">
        <v>37</v>
      </c>
      <c r="O270" s="13" t="s">
        <v>37</v>
      </c>
      <c r="P270" s="14" t="s">
        <v>84</v>
      </c>
      <c r="Q270" s="75">
        <f>3/12</f>
        <v>0.25</v>
      </c>
      <c r="R270" s="11" t="s">
        <v>1000</v>
      </c>
      <c r="S270" s="12" t="s">
        <v>93</v>
      </c>
      <c r="T270" s="12" t="s">
        <v>141</v>
      </c>
      <c r="U270" s="12" t="s">
        <v>158</v>
      </c>
      <c r="V270" s="12" t="s">
        <v>275</v>
      </c>
      <c r="W270" s="23" t="s">
        <v>393</v>
      </c>
      <c r="X270" s="12" t="s">
        <v>281</v>
      </c>
      <c r="Y270" s="12" t="s">
        <v>37</v>
      </c>
      <c r="Z270" s="12" t="s">
        <v>37</v>
      </c>
      <c r="AB270" s="12" t="s">
        <v>37</v>
      </c>
      <c r="AE270" s="12" t="s">
        <v>37</v>
      </c>
      <c r="AH270" s="12" t="s">
        <v>37</v>
      </c>
      <c r="AK270" s="12" t="s">
        <v>37</v>
      </c>
      <c r="AL270" s="32">
        <v>1992</v>
      </c>
      <c r="AM270" s="12" t="s">
        <v>317</v>
      </c>
      <c r="AN270" s="32" t="s">
        <v>880</v>
      </c>
      <c r="AO270" s="12" t="s">
        <v>37</v>
      </c>
      <c r="AP270" s="12" t="s">
        <v>167</v>
      </c>
      <c r="AQ270" s="12" t="s">
        <v>975</v>
      </c>
      <c r="AT270" s="12" t="s">
        <v>326</v>
      </c>
      <c r="AU270" s="12" t="s">
        <v>326</v>
      </c>
      <c r="AV270" s="13" t="s">
        <v>326</v>
      </c>
      <c r="AX270" s="12" t="s">
        <v>326</v>
      </c>
      <c r="AY270" s="12" t="s">
        <v>326</v>
      </c>
      <c r="AZ270" s="13" t="s">
        <v>326</v>
      </c>
      <c r="BE270" s="12" t="s">
        <v>326</v>
      </c>
      <c r="BF270" s="12" t="s">
        <v>326</v>
      </c>
      <c r="BG270" s="12" t="s">
        <v>326</v>
      </c>
      <c r="BI270" s="12" t="s">
        <v>326</v>
      </c>
      <c r="BJ270" s="12" t="s">
        <v>326</v>
      </c>
      <c r="BK270" s="12" t="s">
        <v>326</v>
      </c>
      <c r="BP270" s="12" t="s">
        <v>37</v>
      </c>
      <c r="BQ270" s="12" t="s">
        <v>37</v>
      </c>
      <c r="BR270" s="13" t="s">
        <v>37</v>
      </c>
      <c r="BT270" s="12" t="s">
        <v>37</v>
      </c>
      <c r="BU270" s="12" t="s">
        <v>37</v>
      </c>
      <c r="BV270" s="12" t="s">
        <v>37</v>
      </c>
      <c r="CA270" s="12" t="s">
        <v>37</v>
      </c>
      <c r="CB270" s="12" t="s">
        <v>37</v>
      </c>
      <c r="CC270" s="13" t="s">
        <v>37</v>
      </c>
      <c r="CE270" s="12" t="s">
        <v>37</v>
      </c>
      <c r="CF270" s="12" t="s">
        <v>37</v>
      </c>
      <c r="CG270" s="12" t="s">
        <v>37</v>
      </c>
      <c r="CN270" s="12" t="s">
        <v>37</v>
      </c>
      <c r="CO270" s="12" t="s">
        <v>37</v>
      </c>
      <c r="CP270" s="13" t="s">
        <v>37</v>
      </c>
      <c r="CR270" s="12" t="s">
        <v>37</v>
      </c>
      <c r="CS270" s="12" t="s">
        <v>37</v>
      </c>
      <c r="CT270" s="13" t="s">
        <v>37</v>
      </c>
      <c r="CX270" s="72"/>
      <c r="CY270" s="72"/>
      <c r="CZ270" s="12" t="s">
        <v>47</v>
      </c>
      <c r="DA270" s="12">
        <f>376*150/130*10^4/10^3/'[6]classess-1'!$I$31</f>
        <v>2799.2431805620463</v>
      </c>
      <c r="DB270" s="12">
        <f>SQRT((1/[7]Classess!$I$31)^2*(150*150/130*10^4/10^3)^2+(-DA270/([7]Classess!$I$31)^2)^2*([7]Classess!$J$31)^2)</f>
        <v>1473.9559786073848</v>
      </c>
      <c r="DC270" s="13">
        <v>20</v>
      </c>
      <c r="DD270" s="19">
        <f t="shared" ref="DD270:DD271" si="1205">DB270/ABS(DA270)</f>
        <v>0.52655517349923009</v>
      </c>
      <c r="DE270" s="12">
        <f>958*150/130*10^4/10^3/'[6]classess-1'!$I$32</f>
        <v>6964.2392311529056</v>
      </c>
      <c r="DF270" s="12">
        <f>SQRT((1/[7]Classess!$I$32)^2*(297*150/130*10^4/10^3)^2+(-DE270/([7]Classess!$I$32)^2)^2*([7]Classess!$J$32)^2)</f>
        <v>2472.9188125624614</v>
      </c>
      <c r="DG270" s="13">
        <v>20</v>
      </c>
      <c r="DH270" s="19">
        <f t="shared" ref="DH270:DH271" si="1206">DF270/ABS(DE270)</f>
        <v>0.35508814825034068</v>
      </c>
      <c r="DI270" s="19">
        <f t="shared" ref="DI270:DI271" si="1207">DE270-DA270</f>
        <v>4164.9960505908593</v>
      </c>
      <c r="DJ270" s="12">
        <f t="shared" ref="DJ270:DJ271" si="1208">SQRT(((DC270-1)*DB270^2+(DG270-1)*DF270^2)/(DC270+DG270-2))</f>
        <v>2035.6661907589107</v>
      </c>
      <c r="DK270" s="72">
        <f t="shared" ref="DK270:DK271" si="1209">(((DC270+DG270)/(DC270*DG270))*(((DC270-1)*DB270^2)+(DG270-1)*DF270^2)/(DC270+DG270-2))</f>
        <v>414393.68401988945</v>
      </c>
      <c r="DL270" s="72">
        <f t="shared" ref="DL270:DL271" si="1210">(DB270^2/DC270)+(DF270^2/DG270)</f>
        <v>414393.68401988939</v>
      </c>
      <c r="DM270" s="11" t="s">
        <v>47</v>
      </c>
      <c r="DN270" s="19">
        <f>613*150/130*10^4/10^6/'[1]classes-1'!$I$86</f>
        <v>9.7529199020319588</v>
      </c>
      <c r="DO270" s="12">
        <f>SQRT((1/[2]Classes!$I$86)^2*(646*150/130*10^4/10^6)^2+(-DN270/([2]Classes!$I$86)^2)^2*([2]Classes!$J$86)^2)</f>
        <v>10.616164230838427</v>
      </c>
      <c r="DP270" s="13">
        <v>20</v>
      </c>
      <c r="DQ270" s="19">
        <f>DO270/ABS(DN270)</f>
        <v>1.0885113727455731</v>
      </c>
      <c r="DR270" s="19">
        <f>5*150/130*10^4/10^6/'[1]classes-1'!$I$87</f>
        <v>1.5362827803916344E-2</v>
      </c>
      <c r="DS270" s="12">
        <f>SQRT((1/[2]Classes!$I$87)^2*(197*150/130*10^4/10^6)^2+(-DR270/([2]Classes!$I$87)^2)^2*([2]Classes!$J$87)^2)</f>
        <v>0.60544514040223285</v>
      </c>
      <c r="DT270" s="13">
        <v>20</v>
      </c>
      <c r="DU270" s="19">
        <f>DS270/ABS(DR270)</f>
        <v>39.409745922420008</v>
      </c>
      <c r="DV270" s="19">
        <f t="shared" ref="DV270:DV333" si="1211">DR270-DN270</f>
        <v>-9.7375570742280431</v>
      </c>
      <c r="DW270" s="12">
        <f t="shared" ref="DW270:DW333" si="1212">SQRT(((DP270-1)*DO270^2+(DT270-1)*DS270^2)/(DP270+DT270-2))</f>
        <v>7.5189595953885107</v>
      </c>
      <c r="DX270" s="72">
        <f t="shared" si="1124"/>
        <v>5.6534753397084963</v>
      </c>
      <c r="DY270" s="72">
        <f t="shared" si="1125"/>
        <v>5.6534753397084963</v>
      </c>
      <c r="EA270" s="19" t="s">
        <v>37</v>
      </c>
      <c r="EB270" s="19" t="s">
        <v>37</v>
      </c>
      <c r="EC270" s="72" t="s">
        <v>37</v>
      </c>
      <c r="EE270" s="19" t="s">
        <v>37</v>
      </c>
      <c r="EF270" s="19" t="s">
        <v>37</v>
      </c>
      <c r="EG270" s="12" t="s">
        <v>37</v>
      </c>
      <c r="EM270" s="12" t="s">
        <v>39</v>
      </c>
      <c r="EN270" s="12">
        <v>0</v>
      </c>
      <c r="EO270" s="50">
        <f t="shared" si="1156"/>
        <v>0</v>
      </c>
      <c r="EP270" s="13">
        <v>20</v>
      </c>
      <c r="ER270" s="12">
        <v>-15</v>
      </c>
      <c r="ES270" s="50">
        <f>ABS(ER270)*EU$474</f>
        <v>3.4022108026379128</v>
      </c>
      <c r="ET270" s="13">
        <v>20</v>
      </c>
      <c r="EV270" s="19">
        <f t="shared" ref="EV270:EV271" si="1213">ER270-EN270</f>
        <v>-15</v>
      </c>
      <c r="EW270" s="12">
        <f t="shared" ref="EW270:EW271" si="1214">SQRT(((EP270-1)*EO270^2+(ET270-1)*ES270^2)/(EP270+ET270-2))</f>
        <v>2.4057263295713947</v>
      </c>
      <c r="EX270" s="19">
        <f t="shared" ref="EX270:EX271" si="1215">(((EP270+ET270)/(EP270*ET270))*(((EP270-1)*EO270^2)+(ET270-1)*ES270^2)/(EP270+ET270-2))</f>
        <v>0.57875191727930553</v>
      </c>
      <c r="EY270" s="19">
        <f t="shared" ref="EY270:EY271" si="1216">(EO270^2/EP270)+(ES270^2/ET270)</f>
        <v>0.57875191727930553</v>
      </c>
      <c r="FB270" s="12" t="s">
        <v>37</v>
      </c>
      <c r="FC270" s="12" t="s">
        <v>37</v>
      </c>
      <c r="FD270" s="12" t="s">
        <v>37</v>
      </c>
      <c r="FE270" s="12" t="s">
        <v>37</v>
      </c>
      <c r="FF270" s="20" t="s">
        <v>37</v>
      </c>
      <c r="FG270" s="12" t="s">
        <v>37</v>
      </c>
      <c r="FI270" s="12" t="s">
        <v>37</v>
      </c>
      <c r="FJ270" s="12" t="s">
        <v>37</v>
      </c>
      <c r="FK270" s="12" t="s">
        <v>37</v>
      </c>
      <c r="FL270" s="12" t="s">
        <v>37</v>
      </c>
      <c r="FM270" s="12" t="s">
        <v>37</v>
      </c>
      <c r="FN270" s="12" t="s">
        <v>37</v>
      </c>
      <c r="FP270" s="12" t="s">
        <v>37</v>
      </c>
      <c r="FQ270" s="12" t="s">
        <v>37</v>
      </c>
      <c r="FR270" s="12" t="s">
        <v>37</v>
      </c>
      <c r="FS270" s="12" t="s">
        <v>37</v>
      </c>
      <c r="FT270" s="12" t="s">
        <v>37</v>
      </c>
      <c r="FU270" s="12" t="s">
        <v>37</v>
      </c>
      <c r="FW270" s="12" t="s">
        <v>37</v>
      </c>
      <c r="FX270" s="12" t="s">
        <v>37</v>
      </c>
      <c r="FY270" s="12" t="s">
        <v>37</v>
      </c>
      <c r="FZ270" s="12" t="s">
        <v>37</v>
      </c>
      <c r="GA270" s="12" t="s">
        <v>37</v>
      </c>
      <c r="GB270" s="12" t="s">
        <v>37</v>
      </c>
      <c r="GO270" s="12" t="s">
        <v>660</v>
      </c>
      <c r="GP270" s="12" t="s">
        <v>364</v>
      </c>
      <c r="GQ270" s="12">
        <v>15.3</v>
      </c>
      <c r="GR270" s="12">
        <v>0.6</v>
      </c>
      <c r="GS270" s="13">
        <v>20</v>
      </c>
      <c r="GT270" s="19">
        <f t="shared" ref="GT270" si="1217">GR270/GQ270</f>
        <v>3.9215686274509803E-2</v>
      </c>
      <c r="GU270" s="12">
        <v>15.8</v>
      </c>
      <c r="GV270" s="12">
        <v>0.5</v>
      </c>
      <c r="GW270" s="13">
        <v>20</v>
      </c>
      <c r="GX270" s="19">
        <f>GV270/GU270</f>
        <v>3.164556962025316E-2</v>
      </c>
      <c r="GY270" s="19">
        <f>LN(GU270/GQ270)</f>
        <v>3.2157111634531443E-2</v>
      </c>
      <c r="GZ270" s="19">
        <f t="shared" ref="GZ270" si="1218">GV270^2/(GW270*GU270^2)+GR270^2/(GS270*GQ270^2)</f>
        <v>1.269656063285533E-4</v>
      </c>
      <c r="IK270" s="12" t="s">
        <v>37</v>
      </c>
      <c r="IL270" s="12" t="s">
        <v>37</v>
      </c>
      <c r="IM270" s="12" t="s">
        <v>37</v>
      </c>
      <c r="IO270" s="12" t="s">
        <v>37</v>
      </c>
      <c r="IP270" s="12" t="s">
        <v>37</v>
      </c>
      <c r="IQ270" s="12" t="s">
        <v>37</v>
      </c>
      <c r="IW270" s="12" t="s">
        <v>37</v>
      </c>
      <c r="IX270" s="12" t="s">
        <v>37</v>
      </c>
      <c r="IY270" s="13" t="s">
        <v>37</v>
      </c>
      <c r="JA270" s="12" t="s">
        <v>37</v>
      </c>
      <c r="JB270" s="12" t="s">
        <v>37</v>
      </c>
      <c r="JC270" s="13" t="s">
        <v>37</v>
      </c>
      <c r="JH270" s="12" t="s">
        <v>37</v>
      </c>
      <c r="JI270" s="12" t="s">
        <v>37</v>
      </c>
      <c r="JJ270" s="13" t="s">
        <v>37</v>
      </c>
      <c r="JL270" s="12" t="s">
        <v>37</v>
      </c>
      <c r="JM270" s="12" t="s">
        <v>37</v>
      </c>
      <c r="JN270" s="12" t="s">
        <v>37</v>
      </c>
      <c r="JS270" s="12" t="s">
        <v>37</v>
      </c>
      <c r="JT270" s="12" t="s">
        <v>37</v>
      </c>
      <c r="JU270" s="13" t="s">
        <v>37</v>
      </c>
      <c r="JW270" s="12" t="s">
        <v>37</v>
      </c>
      <c r="JX270" s="12" t="s">
        <v>37</v>
      </c>
      <c r="JY270" s="12" t="s">
        <v>37</v>
      </c>
      <c r="KE270" s="12" t="s">
        <v>37</v>
      </c>
      <c r="KF270" s="12" t="s">
        <v>37</v>
      </c>
      <c r="KG270" s="13" t="s">
        <v>37</v>
      </c>
      <c r="KH270" s="12" t="s">
        <v>37</v>
      </c>
      <c r="KI270" s="12" t="s">
        <v>37</v>
      </c>
      <c r="KJ270" s="12" t="s">
        <v>37</v>
      </c>
      <c r="KM270" s="12" t="s">
        <v>37</v>
      </c>
      <c r="KN270" s="12" t="s">
        <v>37</v>
      </c>
      <c r="KO270" s="11" t="s">
        <v>37</v>
      </c>
      <c r="KQ270" s="12" t="s">
        <v>37</v>
      </c>
      <c r="KR270" s="12" t="s">
        <v>37</v>
      </c>
      <c r="KS270" s="12" t="s">
        <v>37</v>
      </c>
      <c r="KX270" s="12" t="s">
        <v>37</v>
      </c>
      <c r="KY270" s="12" t="s">
        <v>37</v>
      </c>
      <c r="KZ270" s="12" t="s">
        <v>37</v>
      </c>
      <c r="LB270" s="12" t="s">
        <v>37</v>
      </c>
      <c r="LC270" s="12" t="s">
        <v>37</v>
      </c>
      <c r="LD270" s="12" t="s">
        <v>37</v>
      </c>
      <c r="LI270" s="12" t="s">
        <v>37</v>
      </c>
      <c r="LJ270" s="12" t="s">
        <v>37</v>
      </c>
      <c r="LK270" s="12" t="s">
        <v>37</v>
      </c>
      <c r="LM270" s="12" t="s">
        <v>37</v>
      </c>
      <c r="LN270" s="12" t="s">
        <v>37</v>
      </c>
      <c r="LO270" s="12" t="s">
        <v>37</v>
      </c>
      <c r="LU270" s="12" t="s">
        <v>37</v>
      </c>
      <c r="LV270" s="12" t="s">
        <v>37</v>
      </c>
      <c r="LW270" s="12" t="s">
        <v>37</v>
      </c>
      <c r="LY270" s="12" t="s">
        <v>37</v>
      </c>
      <c r="LZ270" s="12" t="s">
        <v>37</v>
      </c>
      <c r="MA270" s="12" t="s">
        <v>37</v>
      </c>
      <c r="MF270" s="12" t="s">
        <v>37</v>
      </c>
      <c r="MG270" s="12" t="s">
        <v>37</v>
      </c>
      <c r="MH270" s="12" t="s">
        <v>37</v>
      </c>
      <c r="MJ270" s="12" t="s">
        <v>37</v>
      </c>
      <c r="MK270" s="12" t="s">
        <v>37</v>
      </c>
      <c r="ML270" s="12" t="s">
        <v>37</v>
      </c>
      <c r="MQ270" s="12" t="s">
        <v>37</v>
      </c>
      <c r="MR270" s="12" t="s">
        <v>37</v>
      </c>
      <c r="MS270" s="12" t="s">
        <v>37</v>
      </c>
      <c r="MU270" s="12" t="s">
        <v>37</v>
      </c>
      <c r="MV270" s="12" t="s">
        <v>37</v>
      </c>
      <c r="MW270" s="12" t="s">
        <v>37</v>
      </c>
      <c r="NC270" s="12" t="s">
        <v>37</v>
      </c>
      <c r="ND270" s="12" t="s">
        <v>37</v>
      </c>
      <c r="NE270" s="12" t="s">
        <v>37</v>
      </c>
      <c r="NG270" s="12" t="s">
        <v>37</v>
      </c>
      <c r="NH270" s="12" t="s">
        <v>37</v>
      </c>
      <c r="NI270" s="12" t="s">
        <v>37</v>
      </c>
      <c r="NO270" s="12" t="s">
        <v>37</v>
      </c>
      <c r="NP270" s="12" t="s">
        <v>37</v>
      </c>
      <c r="NQ270" s="12" t="s">
        <v>37</v>
      </c>
      <c r="NS270" s="12" t="s">
        <v>37</v>
      </c>
      <c r="NT270" s="12" t="s">
        <v>37</v>
      </c>
      <c r="NU270" s="12" t="s">
        <v>37</v>
      </c>
      <c r="OA270" s="12" t="s">
        <v>37</v>
      </c>
      <c r="OB270" s="12" t="s">
        <v>37</v>
      </c>
      <c r="OC270" s="12" t="s">
        <v>37</v>
      </c>
      <c r="OD270" s="12"/>
      <c r="OE270" s="12" t="s">
        <v>37</v>
      </c>
      <c r="OF270" s="12" t="s">
        <v>37</v>
      </c>
      <c r="OG270" s="12" t="s">
        <v>37</v>
      </c>
      <c r="OH270" s="12"/>
      <c r="OI270" s="12"/>
      <c r="OJ270" s="12"/>
      <c r="OM270" s="12" t="s">
        <v>37</v>
      </c>
      <c r="ON270" s="12" t="s">
        <v>37</v>
      </c>
      <c r="OO270" s="12" t="s">
        <v>37</v>
      </c>
      <c r="OP270" s="12" t="s">
        <v>37</v>
      </c>
      <c r="OQ270" s="12" t="s">
        <v>37</v>
      </c>
      <c r="OR270" s="12" t="s">
        <v>37</v>
      </c>
      <c r="OS270" s="12"/>
      <c r="OT270" s="12"/>
      <c r="OW270" s="12" t="s">
        <v>37</v>
      </c>
      <c r="OX270" s="12" t="s">
        <v>37</v>
      </c>
      <c r="OY270" s="13" t="s">
        <v>37</v>
      </c>
      <c r="OZ270" s="12" t="s">
        <v>37</v>
      </c>
      <c r="PA270" s="12" t="s">
        <v>37</v>
      </c>
      <c r="PB270" s="13" t="s">
        <v>37</v>
      </c>
      <c r="PG270" s="12" t="s">
        <v>37</v>
      </c>
      <c r="PH270" s="12" t="s">
        <v>37</v>
      </c>
      <c r="PI270" s="12" t="s">
        <v>37</v>
      </c>
      <c r="PJ270" s="12" t="s">
        <v>37</v>
      </c>
      <c r="PK270" s="12" t="s">
        <v>37</v>
      </c>
      <c r="PL270" s="12" t="s">
        <v>37</v>
      </c>
      <c r="PM270" s="12"/>
      <c r="PN270" s="12"/>
      <c r="PQ270" s="12" t="s">
        <v>37</v>
      </c>
      <c r="PR270" s="12" t="s">
        <v>37</v>
      </c>
      <c r="PS270" s="12" t="s">
        <v>37</v>
      </c>
      <c r="PT270" s="12" t="s">
        <v>37</v>
      </c>
      <c r="PU270" s="12" t="s">
        <v>37</v>
      </c>
      <c r="PV270" s="12" t="s">
        <v>37</v>
      </c>
      <c r="PW270" s="12"/>
      <c r="PX270" s="12"/>
      <c r="PZ270" s="12" t="s">
        <v>37</v>
      </c>
      <c r="QA270" s="12" t="s">
        <v>37</v>
      </c>
      <c r="QB270" s="12" t="s">
        <v>37</v>
      </c>
      <c r="QD270" s="12" t="s">
        <v>37</v>
      </c>
      <c r="QE270" s="12" t="s">
        <v>37</v>
      </c>
      <c r="QF270" s="12" t="s">
        <v>37</v>
      </c>
      <c r="QK270" s="12" t="s">
        <v>37</v>
      </c>
      <c r="QL270" s="12" t="s">
        <v>37</v>
      </c>
      <c r="QM270" s="12" t="s">
        <v>37</v>
      </c>
      <c r="QN270" s="12" t="s">
        <v>37</v>
      </c>
      <c r="QO270" s="12" t="s">
        <v>37</v>
      </c>
      <c r="QP270" s="12" t="s">
        <v>37</v>
      </c>
      <c r="QQ270" s="12"/>
      <c r="QR270" s="12"/>
      <c r="QU270" s="12" t="s">
        <v>37</v>
      </c>
      <c r="QV270" s="12" t="s">
        <v>37</v>
      </c>
      <c r="QW270" s="12" t="s">
        <v>37</v>
      </c>
      <c r="QX270" s="12" t="s">
        <v>37</v>
      </c>
      <c r="QY270" s="12" t="s">
        <v>37</v>
      </c>
      <c r="QZ270" s="12" t="s">
        <v>37</v>
      </c>
      <c r="RC270" s="12" t="s">
        <v>37</v>
      </c>
      <c r="RD270" s="12" t="s">
        <v>37</v>
      </c>
      <c r="RE270" s="13" t="s">
        <v>37</v>
      </c>
      <c r="RF270" s="12" t="s">
        <v>37</v>
      </c>
      <c r="RG270" s="12" t="s">
        <v>37</v>
      </c>
      <c r="RH270" s="13" t="s">
        <v>37</v>
      </c>
      <c r="RK270" s="12" t="s">
        <v>37</v>
      </c>
      <c r="RL270" s="12" t="s">
        <v>37</v>
      </c>
      <c r="RM270" s="11" t="s">
        <v>37</v>
      </c>
      <c r="RN270" s="12" t="s">
        <v>37</v>
      </c>
      <c r="RO270" s="12" t="s">
        <v>37</v>
      </c>
      <c r="RP270" s="11" t="s">
        <v>37</v>
      </c>
      <c r="RS270" s="12" t="s">
        <v>37</v>
      </c>
      <c r="RT270" s="12" t="s">
        <v>37</v>
      </c>
      <c r="RU270" s="12" t="s">
        <v>37</v>
      </c>
      <c r="RV270" s="12" t="s">
        <v>37</v>
      </c>
      <c r="RW270" s="12" t="s">
        <v>37</v>
      </c>
      <c r="RX270" s="12" t="s">
        <v>37</v>
      </c>
      <c r="SA270" s="12" t="s">
        <v>37</v>
      </c>
      <c r="SB270" s="12" t="s">
        <v>37</v>
      </c>
      <c r="SC270" s="12" t="s">
        <v>37</v>
      </c>
      <c r="SD270" s="12" t="s">
        <v>37</v>
      </c>
      <c r="SE270" s="12" t="s">
        <v>37</v>
      </c>
      <c r="SF270" s="12" t="s">
        <v>37</v>
      </c>
      <c r="SI270" s="12" t="s">
        <v>37</v>
      </c>
      <c r="SJ270" s="12" t="s">
        <v>37</v>
      </c>
      <c r="SK270" s="13" t="s">
        <v>37</v>
      </c>
      <c r="SM270" s="12" t="s">
        <v>37</v>
      </c>
      <c r="SN270" s="12" t="s">
        <v>37</v>
      </c>
      <c r="SO270" s="13" t="s">
        <v>37</v>
      </c>
      <c r="SU270" s="12" t="s">
        <v>37</v>
      </c>
      <c r="SV270" s="12" t="s">
        <v>37</v>
      </c>
      <c r="SW270" s="12" t="s">
        <v>37</v>
      </c>
      <c r="SX270" s="12" t="s">
        <v>37</v>
      </c>
      <c r="SY270" s="12" t="s">
        <v>37</v>
      </c>
      <c r="SZ270" s="12" t="s">
        <v>37</v>
      </c>
      <c r="TA270" s="12"/>
      <c r="TB270" s="12"/>
      <c r="TE270" s="12" t="s">
        <v>37</v>
      </c>
      <c r="TF270" s="12" t="s">
        <v>37</v>
      </c>
      <c r="TG270" s="12" t="s">
        <v>37</v>
      </c>
      <c r="TH270" s="12" t="s">
        <v>37</v>
      </c>
      <c r="TI270" s="12" t="s">
        <v>37</v>
      </c>
      <c r="TJ270" s="12" t="s">
        <v>37</v>
      </c>
      <c r="TK270" s="12"/>
      <c r="TL270" s="12"/>
      <c r="TO270" s="12" t="s">
        <v>37</v>
      </c>
      <c r="TP270" s="12" t="s">
        <v>37</v>
      </c>
      <c r="TQ270" s="12" t="s">
        <v>37</v>
      </c>
      <c r="TR270" s="12" t="s">
        <v>37</v>
      </c>
      <c r="TS270" s="12" t="s">
        <v>37</v>
      </c>
      <c r="TT270" s="12" t="s">
        <v>37</v>
      </c>
      <c r="TU270" s="12"/>
      <c r="TV270" s="12"/>
      <c r="TY270" s="12" t="s">
        <v>37</v>
      </c>
      <c r="TZ270" s="12" t="s">
        <v>37</v>
      </c>
      <c r="UA270" s="12" t="s">
        <v>37</v>
      </c>
      <c r="UB270" s="12" t="s">
        <v>37</v>
      </c>
      <c r="UC270" s="12" t="s">
        <v>37</v>
      </c>
      <c r="UD270" s="12" t="s">
        <v>37</v>
      </c>
      <c r="UE270" s="12"/>
      <c r="UF270" s="12"/>
      <c r="UI270" s="12" t="s">
        <v>37</v>
      </c>
      <c r="UJ270" s="12" t="s">
        <v>37</v>
      </c>
      <c r="UK270" s="12" t="s">
        <v>37</v>
      </c>
      <c r="UL270" s="12" t="s">
        <v>37</v>
      </c>
      <c r="UM270" s="12" t="s">
        <v>37</v>
      </c>
      <c r="UN270" s="12" t="s">
        <v>37</v>
      </c>
      <c r="UO270" s="12"/>
      <c r="UP270" s="12"/>
      <c r="UR270" s="12" t="s">
        <v>37</v>
      </c>
      <c r="US270" s="12" t="s">
        <v>37</v>
      </c>
      <c r="UT270" s="12" t="s">
        <v>37</v>
      </c>
      <c r="UU270" s="12" t="s">
        <v>37</v>
      </c>
      <c r="UV270" s="12" t="s">
        <v>37</v>
      </c>
      <c r="UW270" s="12" t="s">
        <v>37</v>
      </c>
      <c r="UX270" s="12"/>
      <c r="UY270" s="12"/>
      <c r="VB270" s="12" t="s">
        <v>37</v>
      </c>
      <c r="VC270" s="12" t="s">
        <v>37</v>
      </c>
      <c r="VD270" s="12" t="s">
        <v>37</v>
      </c>
      <c r="VE270" s="12" t="s">
        <v>37</v>
      </c>
      <c r="VF270" s="12" t="s">
        <v>37</v>
      </c>
      <c r="VG270" s="12" t="s">
        <v>37</v>
      </c>
      <c r="VI270" s="12" t="s">
        <v>37</v>
      </c>
      <c r="VJ270" s="12" t="s">
        <v>37</v>
      </c>
      <c r="VK270" s="12" t="s">
        <v>37</v>
      </c>
      <c r="VL270" s="12" t="s">
        <v>37</v>
      </c>
      <c r="VM270" s="12" t="s">
        <v>37</v>
      </c>
      <c r="VN270" s="12" t="s">
        <v>37</v>
      </c>
      <c r="VQ270" s="12" t="s">
        <v>37</v>
      </c>
      <c r="VR270" s="12" t="s">
        <v>37</v>
      </c>
      <c r="VS270" s="12" t="s">
        <v>37</v>
      </c>
      <c r="VT270" s="12" t="s">
        <v>37</v>
      </c>
      <c r="VU270" s="12" t="s">
        <v>37</v>
      </c>
      <c r="VV270" s="12" t="s">
        <v>37</v>
      </c>
      <c r="VW270" s="12"/>
      <c r="VX270" s="12"/>
      <c r="WA270" s="12" t="s">
        <v>37</v>
      </c>
      <c r="WB270" s="12" t="s">
        <v>37</v>
      </c>
      <c r="WC270" s="12" t="s">
        <v>37</v>
      </c>
      <c r="WD270" s="12" t="s">
        <v>37</v>
      </c>
      <c r="WE270" s="12" t="s">
        <v>37</v>
      </c>
      <c r="WF270" s="12" t="s">
        <v>37</v>
      </c>
    </row>
    <row r="271" spans="1:604" ht="18" customHeight="1" x14ac:dyDescent="0.3">
      <c r="A271" s="11">
        <v>68</v>
      </c>
      <c r="B271" s="16" t="s">
        <v>918</v>
      </c>
      <c r="C271" s="12" t="s">
        <v>26</v>
      </c>
      <c r="D271" s="12" t="s">
        <v>54</v>
      </c>
      <c r="E271" s="40">
        <v>1.1499999999999999</v>
      </c>
      <c r="F271" s="14">
        <v>0</v>
      </c>
      <c r="G271" s="14">
        <v>0</v>
      </c>
      <c r="H271" s="12" t="s">
        <v>82</v>
      </c>
      <c r="I271" s="29">
        <v>46.317</v>
      </c>
      <c r="J271" s="29">
        <v>-86.05</v>
      </c>
      <c r="K271" s="12" t="s">
        <v>661</v>
      </c>
      <c r="L271" s="12" t="s">
        <v>662</v>
      </c>
      <c r="M271" s="13" t="s">
        <v>37</v>
      </c>
      <c r="N271" s="14">
        <v>5.0999999999999996</v>
      </c>
      <c r="O271" s="14">
        <v>835</v>
      </c>
      <c r="P271" s="14" t="s">
        <v>16</v>
      </c>
      <c r="Q271" s="75">
        <v>80</v>
      </c>
      <c r="R271" s="11" t="s">
        <v>1000</v>
      </c>
      <c r="S271" s="12" t="s">
        <v>85</v>
      </c>
      <c r="T271" s="12" t="s">
        <v>141</v>
      </c>
      <c r="U271" s="12" t="s">
        <v>158</v>
      </c>
      <c r="V271" s="12" t="s">
        <v>275</v>
      </c>
      <c r="W271" s="23" t="s">
        <v>395</v>
      </c>
      <c r="X271" s="12" t="s">
        <v>283</v>
      </c>
      <c r="Y271" s="12" t="s">
        <v>37</v>
      </c>
      <c r="Z271" s="12" t="s">
        <v>37</v>
      </c>
      <c r="AA271" s="32" t="s">
        <v>345</v>
      </c>
      <c r="AB271" s="12">
        <v>3.78</v>
      </c>
      <c r="AE271" s="12" t="s">
        <v>37</v>
      </c>
      <c r="AH271" s="12" t="s">
        <v>37</v>
      </c>
      <c r="AK271" s="12" t="s">
        <v>37</v>
      </c>
      <c r="AL271" s="32" t="s">
        <v>396</v>
      </c>
      <c r="AM271" s="12" t="s">
        <v>317</v>
      </c>
      <c r="AN271" s="32" t="s">
        <v>886</v>
      </c>
      <c r="AO271" s="12" t="s">
        <v>37</v>
      </c>
      <c r="AP271" s="12" t="s">
        <v>108</v>
      </c>
      <c r="AQ271" s="12" t="s">
        <v>975</v>
      </c>
      <c r="AT271" s="12" t="s">
        <v>326</v>
      </c>
      <c r="AU271" s="12" t="s">
        <v>326</v>
      </c>
      <c r="AV271" s="13" t="s">
        <v>326</v>
      </c>
      <c r="AX271" s="12" t="s">
        <v>326</v>
      </c>
      <c r="AY271" s="12" t="s">
        <v>326</v>
      </c>
      <c r="AZ271" s="13" t="s">
        <v>326</v>
      </c>
      <c r="BE271" s="12" t="s">
        <v>326</v>
      </c>
      <c r="BF271" s="12" t="s">
        <v>326</v>
      </c>
      <c r="BG271" s="12" t="s">
        <v>326</v>
      </c>
      <c r="BI271" s="12" t="s">
        <v>326</v>
      </c>
      <c r="BJ271" s="12" t="s">
        <v>326</v>
      </c>
      <c r="BK271" s="12" t="s">
        <v>326</v>
      </c>
      <c r="BP271" s="12" t="s">
        <v>37</v>
      </c>
      <c r="BQ271" s="12" t="s">
        <v>37</v>
      </c>
      <c r="BR271" s="13" t="s">
        <v>37</v>
      </c>
      <c r="BT271" s="12" t="s">
        <v>37</v>
      </c>
      <c r="BU271" s="12" t="s">
        <v>37</v>
      </c>
      <c r="BV271" s="12" t="s">
        <v>37</v>
      </c>
      <c r="BZ271" s="12" t="s">
        <v>581</v>
      </c>
      <c r="CA271" s="12">
        <f>-4.5*44*10^4/10^9*("2009/10/31"-"2009/04/01")*24*3600/[7]Classess!$T$48</f>
        <v>-40673.401413977677</v>
      </c>
      <c r="CB271" s="12">
        <f>SQRT((1/[7]Classess!$T$48)^2*(0.9*44*10^4/10^9*("2009/10/31"-"2009/04/01")*24*3600)^2+(-CA271/([7]Classess!$T$48)^2)^2*([7]Classess!$U$48)^2)</f>
        <v>10107.748850350723</v>
      </c>
      <c r="CC271" s="13">
        <v>8</v>
      </c>
      <c r="CD271" s="19">
        <f>CB271/ABS(CA271)</f>
        <v>0.24851004585215561</v>
      </c>
      <c r="CE271" s="12">
        <f>-5.12*44*10^4/10^9*("2009/10/31"-"2009/04/01")*24*3600/[7]Classess!$T$49</f>
        <v>-44668.814018586389</v>
      </c>
      <c r="CF271" s="12">
        <f>SQRT((1/[7]Classess!$T$49)^2*(0.81*44*10^4/10^9*("2009/10/31"-"2009/04/01")*24*3600)^2+(-CE271/([7]Classess!$T$49)^2)^2*([7]Classess!$U$49)^2)</f>
        <v>7435.5187362050165</v>
      </c>
      <c r="CG271" s="13">
        <v>8</v>
      </c>
      <c r="CH271" s="19">
        <f>CF271/ABS(CE271)</f>
        <v>0.16645883486208404</v>
      </c>
      <c r="CI271" s="75">
        <f>CE271-CA271</f>
        <v>-3995.4126046087113</v>
      </c>
      <c r="CJ271" s="12">
        <f t="shared" ref="CJ271" si="1219">SQRT(((CC271-1)*CB271^2+(CG271-1)*CF271^2)/(CC271+CG271-2))</f>
        <v>8872.8103129229075</v>
      </c>
      <c r="CK271" s="72">
        <f t="shared" ref="CK271" si="1220">(((CC271+CG271)/(CC271*CG271))*(((CC271-1)*CB271^2)+(CG271-1)*CF271^2)/(CC271+CG271-2))</f>
        <v>19681690.712277774</v>
      </c>
      <c r="CL271" s="72">
        <f t="shared" ref="CL271" si="1221">(CB271^2/CC271)+(CF271^2/CG271)</f>
        <v>19681690.712277777</v>
      </c>
      <c r="CM271" s="12" t="s">
        <v>581</v>
      </c>
      <c r="CN271" s="12">
        <f>2.40957446808511*44*10^4/10^9*("2009/10/31"-"2009/04/01")*24*3600/'[6]classess-1'!$I$48</f>
        <v>25646.988483892328</v>
      </c>
      <c r="CO271" s="12">
        <f>SQRT((1/[7]Classess!$I$48)^2*(0.541613704738612*44*10^4/10^9*("2009/10/31"-"2009/04/01")*24*3600)^2+(-CN271/([7]Classess!$I$48)^2)^2*([7]Classess!$J$48)^2)</f>
        <v>7128.4662989719045</v>
      </c>
      <c r="CP271" s="13">
        <v>8</v>
      </c>
      <c r="CQ271" s="19">
        <f>CO271/ABS(CN271)</f>
        <v>0.27794554918012926</v>
      </c>
      <c r="CR271" s="12">
        <f>3*44*10^4/10^9*("2009/10/31"-"2009/04/01")*24*3600/'[6]classess-1'!$I$49</f>
        <v>30448.252211184394</v>
      </c>
      <c r="CS271" s="12">
        <f>SQRT((1/[7]Classess!$I$49)^2*(0.63188265552838*44*10^4/10^9*("2009/10/31"-"2009/04/01")*24*3600)^2+(-CR271/([7]Classess!$I$49)^2)^2*([7]Classess!$I$49)^2)</f>
        <v>38699.412338334165</v>
      </c>
      <c r="CT271" s="13">
        <v>8</v>
      </c>
      <c r="CU271" s="19">
        <f>CS271/ABS(CR271)</f>
        <v>1.2709896144422672</v>
      </c>
      <c r="CV271" s="75">
        <f>CR271-CN271</f>
        <v>4801.2637272920656</v>
      </c>
      <c r="CW271" s="12">
        <f t="shared" ref="CW271" si="1222">SQRT(((CP271-1)*CO271^2+(CT271-1)*CS271^2)/(CP271+CT271-2))</f>
        <v>27824.984699977722</v>
      </c>
      <c r="CX271" s="72">
        <f t="shared" ref="CX271" si="1223">(((CP271+CT271)/(CP271*CT271))*(((CP271-1)*CO271^2)+(CT271-1)*CS271^2)/(CP271+CT271-2))</f>
        <v>193557443.38849857</v>
      </c>
      <c r="CY271" s="72">
        <f t="shared" ref="CY271" si="1224">(CO271^2/CP271)+(CS271^2/CT271)</f>
        <v>193557443.3884986</v>
      </c>
      <c r="CZ271" s="12" t="s">
        <v>581</v>
      </c>
      <c r="DA271" s="12">
        <f>CN271+CA271</f>
        <v>-15026.412930085349</v>
      </c>
      <c r="DB271" s="12">
        <f>SQRT(CB271^2+CO271^2)</f>
        <v>12368.573830371251</v>
      </c>
      <c r="DC271" s="13">
        <v>8</v>
      </c>
      <c r="DD271" s="19">
        <f t="shared" si="1205"/>
        <v>0.8231221841113745</v>
      </c>
      <c r="DE271" s="12">
        <f>CR271+CE271</f>
        <v>-14220.561807401995</v>
      </c>
      <c r="DF271" s="12">
        <f>SQRT(CF271^2+CS271^2)</f>
        <v>39407.251289691172</v>
      </c>
      <c r="DG271" s="13">
        <v>8</v>
      </c>
      <c r="DH271" s="19">
        <f t="shared" si="1206"/>
        <v>2.7711458818159467</v>
      </c>
      <c r="DI271" s="19">
        <f t="shared" si="1207"/>
        <v>805.85112268335433</v>
      </c>
      <c r="DJ271" s="12">
        <f t="shared" si="1208"/>
        <v>29205.419640934892</v>
      </c>
      <c r="DK271" s="72">
        <f t="shared" si="1209"/>
        <v>213239134.1007764</v>
      </c>
      <c r="DL271" s="72">
        <f t="shared" si="1210"/>
        <v>213239134.1007764</v>
      </c>
      <c r="DM271" s="12" t="s">
        <v>47</v>
      </c>
      <c r="DN271" s="19">
        <f>0.382978723404255*10^4/10^6*("2009/10/31"-"2009/04/01")*24/'[1]classes-1'!$I$22</f>
        <v>28.501072212251554</v>
      </c>
      <c r="DO271" s="12">
        <f>SQRT((1/[2]Classes!$I$22)^2*(0.361075803159091*10^4/10^6*("2009/10/31"-"2009/04/01")*24)^2+(-DN271/([2]Classes!$I$22)^2)^2*([2]Classes!$J$22)^2)</f>
        <v>28.652903393199384</v>
      </c>
      <c r="DP271" s="13">
        <v>8</v>
      </c>
      <c r="DQ271" s="19">
        <f t="shared" ref="DQ271:DQ275" si="1225">DO271/ABS(DN271)</f>
        <v>1.0053272094403018</v>
      </c>
      <c r="DR271" s="19">
        <f>0.143617021276596*10^4/10^6*("2009/10/31"-"2009/04/01")*24/'[1]classes-1'!$I$23</f>
        <v>2.155113237216562</v>
      </c>
      <c r="DS271" s="12">
        <f>SQRT((1/[2]Classes!$I$23)^2*(0.361075803159085*10^4/10^6*("2009/10/31"-"2009/04/01")*24)^2+(-DR271/([2]Classes!$I$23)^2)^2*([2]Classes!$J$23)^2)</f>
        <v>5.8344440438614322</v>
      </c>
      <c r="DT271" s="13">
        <v>8</v>
      </c>
      <c r="DU271" s="19">
        <f t="shared" ref="DU271:DU275" si="1226">DS271/ABS(DR271)</f>
        <v>2.7072563720117615</v>
      </c>
      <c r="DV271" s="19">
        <f t="shared" si="1211"/>
        <v>-26.345958975034993</v>
      </c>
      <c r="DW271" s="12">
        <f t="shared" si="1212"/>
        <v>20.676431149511355</v>
      </c>
      <c r="DX271" s="72">
        <f t="shared" si="1124"/>
        <v>106.87870127012086</v>
      </c>
      <c r="DY271" s="72">
        <f t="shared" si="1125"/>
        <v>106.87870127012087</v>
      </c>
      <c r="EA271" s="19" t="s">
        <v>37</v>
      </c>
      <c r="EB271" s="19" t="s">
        <v>37</v>
      </c>
      <c r="EC271" s="72" t="s">
        <v>37</v>
      </c>
      <c r="EE271" s="19" t="s">
        <v>37</v>
      </c>
      <c r="EF271" s="19" t="s">
        <v>37</v>
      </c>
      <c r="EG271" s="12" t="s">
        <v>37</v>
      </c>
      <c r="EM271" s="12" t="s">
        <v>39</v>
      </c>
      <c r="EN271" s="12">
        <v>-26.2</v>
      </c>
      <c r="EO271" s="12">
        <v>1.6</v>
      </c>
      <c r="EP271" s="13">
        <v>4</v>
      </c>
      <c r="EQ271" s="19">
        <f t="shared" si="1030"/>
        <v>6.106870229007634E-2</v>
      </c>
      <c r="ER271" s="12">
        <v>-42</v>
      </c>
      <c r="ES271" s="12">
        <v>1.6</v>
      </c>
      <c r="ET271" s="13">
        <v>4</v>
      </c>
      <c r="EU271" s="19">
        <f t="shared" si="1031"/>
        <v>3.8095238095238099E-2</v>
      </c>
      <c r="EV271" s="19">
        <f t="shared" si="1213"/>
        <v>-15.8</v>
      </c>
      <c r="EW271" s="12">
        <f t="shared" si="1214"/>
        <v>1.6</v>
      </c>
      <c r="EX271" s="19">
        <f t="shared" si="1215"/>
        <v>1.2800000000000002</v>
      </c>
      <c r="EY271" s="19">
        <f t="shared" si="1216"/>
        <v>1.2800000000000002</v>
      </c>
      <c r="FB271" s="12" t="s">
        <v>37</v>
      </c>
      <c r="FC271" s="12" t="s">
        <v>37</v>
      </c>
      <c r="FD271" s="12" t="s">
        <v>37</v>
      </c>
      <c r="FE271" s="12" t="s">
        <v>37</v>
      </c>
      <c r="FF271" s="20" t="s">
        <v>37</v>
      </c>
      <c r="FG271" s="12" t="s">
        <v>37</v>
      </c>
      <c r="FI271" s="12" t="s">
        <v>37</v>
      </c>
      <c r="FJ271" s="12" t="s">
        <v>37</v>
      </c>
      <c r="FK271" s="12" t="s">
        <v>37</v>
      </c>
      <c r="FL271" s="12" t="s">
        <v>37</v>
      </c>
      <c r="FM271" s="12" t="s">
        <v>37</v>
      </c>
      <c r="FN271" s="12" t="s">
        <v>37</v>
      </c>
      <c r="FP271" s="12" t="s">
        <v>37</v>
      </c>
      <c r="FQ271" s="12" t="s">
        <v>37</v>
      </c>
      <c r="FR271" s="12" t="s">
        <v>37</v>
      </c>
      <c r="FS271" s="12" t="s">
        <v>37</v>
      </c>
      <c r="FT271" s="12" t="s">
        <v>37</v>
      </c>
      <c r="FU271" s="12" t="s">
        <v>37</v>
      </c>
      <c r="FW271" s="12" t="s">
        <v>37</v>
      </c>
      <c r="FX271" s="12" t="s">
        <v>37</v>
      </c>
      <c r="FY271" s="12" t="s">
        <v>37</v>
      </c>
      <c r="FZ271" s="12" t="s">
        <v>37</v>
      </c>
      <c r="GA271" s="12" t="s">
        <v>37</v>
      </c>
      <c r="GB271" s="12" t="s">
        <v>37</v>
      </c>
      <c r="IK271" s="12" t="s">
        <v>37</v>
      </c>
      <c r="IL271" s="12" t="s">
        <v>37</v>
      </c>
      <c r="IM271" s="12" t="s">
        <v>37</v>
      </c>
      <c r="IO271" s="12" t="s">
        <v>37</v>
      </c>
      <c r="IP271" s="12" t="s">
        <v>37</v>
      </c>
      <c r="IQ271" s="12" t="s">
        <v>37</v>
      </c>
      <c r="IV271" s="32" t="s">
        <v>345</v>
      </c>
      <c r="IW271" s="12">
        <v>3.78</v>
      </c>
      <c r="IX271" s="12">
        <f>0.02*SQRT(8)</f>
        <v>5.656854249492381E-2</v>
      </c>
      <c r="IY271" s="13">
        <v>8</v>
      </c>
      <c r="IZ271" s="19">
        <f>IX271/IW271</f>
        <v>1.4965222882254978E-2</v>
      </c>
      <c r="JA271" s="12">
        <v>3.7</v>
      </c>
      <c r="JB271" s="12">
        <f>0.01*SQRT(8)</f>
        <v>2.8284271247461905E-2</v>
      </c>
      <c r="JC271" s="13">
        <v>8</v>
      </c>
      <c r="JD271" s="19">
        <f>JB271/JA271</f>
        <v>7.6443976344491632E-3</v>
      </c>
      <c r="JE271" s="19">
        <f t="shared" ref="JE271" si="1227">LN(JA271/IW271)</f>
        <v>-2.1391189981317445E-2</v>
      </c>
      <c r="JF271" s="19">
        <f t="shared" ref="JF271" si="1228">JB271^2/(JC271*JA271^2)+IX271^2/(IY271*IW271^2)</f>
        <v>3.5299338888642492E-5</v>
      </c>
      <c r="JH271" s="12" t="s">
        <v>37</v>
      </c>
      <c r="JI271" s="12" t="s">
        <v>37</v>
      </c>
      <c r="JJ271" s="13" t="s">
        <v>37</v>
      </c>
      <c r="JL271" s="12" t="s">
        <v>37</v>
      </c>
      <c r="JM271" s="12" t="s">
        <v>37</v>
      </c>
      <c r="JN271" s="12" t="s">
        <v>37</v>
      </c>
      <c r="JS271" s="12" t="s">
        <v>37</v>
      </c>
      <c r="JT271" s="12" t="s">
        <v>37</v>
      </c>
      <c r="JU271" s="13" t="s">
        <v>37</v>
      </c>
      <c r="JW271" s="12" t="s">
        <v>37</v>
      </c>
      <c r="JX271" s="12" t="s">
        <v>37</v>
      </c>
      <c r="JY271" s="12" t="s">
        <v>37</v>
      </c>
      <c r="KE271" s="12" t="s">
        <v>37</v>
      </c>
      <c r="KF271" s="12" t="s">
        <v>37</v>
      </c>
      <c r="KG271" s="13" t="s">
        <v>37</v>
      </c>
      <c r="KH271" s="12" t="s">
        <v>37</v>
      </c>
      <c r="KI271" s="12" t="s">
        <v>37</v>
      </c>
      <c r="KJ271" s="12" t="s">
        <v>37</v>
      </c>
      <c r="KM271" s="12" t="s">
        <v>37</v>
      </c>
      <c r="KN271" s="12" t="s">
        <v>37</v>
      </c>
      <c r="KO271" s="11" t="s">
        <v>37</v>
      </c>
      <c r="KQ271" s="12" t="s">
        <v>37</v>
      </c>
      <c r="KR271" s="12" t="s">
        <v>37</v>
      </c>
      <c r="KS271" s="12" t="s">
        <v>37</v>
      </c>
      <c r="KX271" s="12" t="s">
        <v>37</v>
      </c>
      <c r="KY271" s="12" t="s">
        <v>37</v>
      </c>
      <c r="KZ271" s="12" t="s">
        <v>37</v>
      </c>
      <c r="LB271" s="12" t="s">
        <v>37</v>
      </c>
      <c r="LC271" s="12" t="s">
        <v>37</v>
      </c>
      <c r="LD271" s="12" t="s">
        <v>37</v>
      </c>
      <c r="LI271" s="12" t="s">
        <v>37</v>
      </c>
      <c r="LJ271" s="12" t="s">
        <v>37</v>
      </c>
      <c r="LK271" s="12" t="s">
        <v>37</v>
      </c>
      <c r="LM271" s="12" t="s">
        <v>37</v>
      </c>
      <c r="LN271" s="12" t="s">
        <v>37</v>
      </c>
      <c r="LO271" s="12" t="s">
        <v>37</v>
      </c>
      <c r="LU271" s="12" t="s">
        <v>37</v>
      </c>
      <c r="LV271" s="12" t="s">
        <v>37</v>
      </c>
      <c r="LW271" s="12" t="s">
        <v>37</v>
      </c>
      <c r="LY271" s="12" t="s">
        <v>37</v>
      </c>
      <c r="LZ271" s="12" t="s">
        <v>37</v>
      </c>
      <c r="MA271" s="12" t="s">
        <v>37</v>
      </c>
      <c r="MF271" s="12" t="s">
        <v>37</v>
      </c>
      <c r="MG271" s="12" t="s">
        <v>37</v>
      </c>
      <c r="MH271" s="12" t="s">
        <v>37</v>
      </c>
      <c r="MJ271" s="12" t="s">
        <v>37</v>
      </c>
      <c r="MK271" s="12" t="s">
        <v>37</v>
      </c>
      <c r="ML271" s="12" t="s">
        <v>37</v>
      </c>
      <c r="MQ271" s="12" t="s">
        <v>37</v>
      </c>
      <c r="MR271" s="12" t="s">
        <v>37</v>
      </c>
      <c r="MS271" s="12" t="s">
        <v>37</v>
      </c>
      <c r="MU271" s="12" t="s">
        <v>37</v>
      </c>
      <c r="MV271" s="12" t="s">
        <v>37</v>
      </c>
      <c r="MW271" s="12" t="s">
        <v>37</v>
      </c>
      <c r="NC271" s="12" t="s">
        <v>37</v>
      </c>
      <c r="ND271" s="12" t="s">
        <v>37</v>
      </c>
      <c r="NE271" s="12" t="s">
        <v>37</v>
      </c>
      <c r="NG271" s="12" t="s">
        <v>37</v>
      </c>
      <c r="NH271" s="12" t="s">
        <v>37</v>
      </c>
      <c r="NI271" s="12" t="s">
        <v>37</v>
      </c>
      <c r="NO271" s="12" t="s">
        <v>37</v>
      </c>
      <c r="NP271" s="12" t="s">
        <v>37</v>
      </c>
      <c r="NQ271" s="12" t="s">
        <v>37</v>
      </c>
      <c r="NS271" s="12" t="s">
        <v>37</v>
      </c>
      <c r="NT271" s="12" t="s">
        <v>37</v>
      </c>
      <c r="NU271" s="12" t="s">
        <v>37</v>
      </c>
      <c r="OA271" s="12" t="s">
        <v>37</v>
      </c>
      <c r="OB271" s="12" t="s">
        <v>37</v>
      </c>
      <c r="OC271" s="12" t="s">
        <v>37</v>
      </c>
      <c r="OD271" s="12"/>
      <c r="OE271" s="12" t="s">
        <v>37</v>
      </c>
      <c r="OF271" s="12" t="s">
        <v>37</v>
      </c>
      <c r="OG271" s="12" t="s">
        <v>37</v>
      </c>
      <c r="OH271" s="12"/>
      <c r="OI271" s="12"/>
      <c r="OJ271" s="12"/>
      <c r="OM271" s="12" t="s">
        <v>37</v>
      </c>
      <c r="ON271" s="12" t="s">
        <v>37</v>
      </c>
      <c r="OO271" s="12" t="s">
        <v>37</v>
      </c>
      <c r="OP271" s="12" t="s">
        <v>37</v>
      </c>
      <c r="OQ271" s="12" t="s">
        <v>37</v>
      </c>
      <c r="OR271" s="12" t="s">
        <v>37</v>
      </c>
      <c r="OS271" s="12"/>
      <c r="OT271" s="12"/>
      <c r="OW271" s="12" t="s">
        <v>37</v>
      </c>
      <c r="OX271" s="12" t="s">
        <v>37</v>
      </c>
      <c r="OY271" s="13" t="s">
        <v>37</v>
      </c>
      <c r="OZ271" s="12" t="s">
        <v>37</v>
      </c>
      <c r="PA271" s="12" t="s">
        <v>37</v>
      </c>
      <c r="PB271" s="13" t="s">
        <v>37</v>
      </c>
      <c r="PG271" s="12" t="s">
        <v>37</v>
      </c>
      <c r="PH271" s="12" t="s">
        <v>37</v>
      </c>
      <c r="PI271" s="12" t="s">
        <v>37</v>
      </c>
      <c r="PJ271" s="12" t="s">
        <v>37</v>
      </c>
      <c r="PK271" s="12" t="s">
        <v>37</v>
      </c>
      <c r="PL271" s="12" t="s">
        <v>37</v>
      </c>
      <c r="PM271" s="12"/>
      <c r="PN271" s="12"/>
      <c r="PQ271" s="12" t="s">
        <v>37</v>
      </c>
      <c r="PR271" s="12" t="s">
        <v>37</v>
      </c>
      <c r="PS271" s="12" t="s">
        <v>37</v>
      </c>
      <c r="PT271" s="12" t="s">
        <v>37</v>
      </c>
      <c r="PU271" s="12" t="s">
        <v>37</v>
      </c>
      <c r="PV271" s="12" t="s">
        <v>37</v>
      </c>
      <c r="PW271" s="12"/>
      <c r="PX271" s="12"/>
      <c r="PZ271" s="12" t="s">
        <v>37</v>
      </c>
      <c r="QA271" s="12" t="s">
        <v>37</v>
      </c>
      <c r="QB271" s="12" t="s">
        <v>37</v>
      </c>
      <c r="QD271" s="12" t="s">
        <v>37</v>
      </c>
      <c r="QE271" s="12" t="s">
        <v>37</v>
      </c>
      <c r="QF271" s="12" t="s">
        <v>37</v>
      </c>
      <c r="QK271" s="12" t="s">
        <v>37</v>
      </c>
      <c r="QL271" s="12" t="s">
        <v>37</v>
      </c>
      <c r="QM271" s="12" t="s">
        <v>37</v>
      </c>
      <c r="QN271" s="12" t="s">
        <v>37</v>
      </c>
      <c r="QO271" s="12" t="s">
        <v>37</v>
      </c>
      <c r="QP271" s="12" t="s">
        <v>37</v>
      </c>
      <c r="QQ271" s="12"/>
      <c r="QR271" s="12"/>
      <c r="QU271" s="12" t="s">
        <v>37</v>
      </c>
      <c r="QV271" s="12" t="s">
        <v>37</v>
      </c>
      <c r="QW271" s="12" t="s">
        <v>37</v>
      </c>
      <c r="QX271" s="12" t="s">
        <v>37</v>
      </c>
      <c r="QY271" s="12" t="s">
        <v>37</v>
      </c>
      <c r="QZ271" s="12" t="s">
        <v>37</v>
      </c>
      <c r="RC271" s="12" t="s">
        <v>37</v>
      </c>
      <c r="RD271" s="12" t="s">
        <v>37</v>
      </c>
      <c r="RE271" s="13" t="s">
        <v>37</v>
      </c>
      <c r="RF271" s="12" t="s">
        <v>37</v>
      </c>
      <c r="RG271" s="12" t="s">
        <v>37</v>
      </c>
      <c r="RH271" s="13" t="s">
        <v>37</v>
      </c>
      <c r="RK271" s="12" t="s">
        <v>37</v>
      </c>
      <c r="RL271" s="12" t="s">
        <v>37</v>
      </c>
      <c r="RM271" s="11" t="s">
        <v>37</v>
      </c>
      <c r="RN271" s="12" t="s">
        <v>37</v>
      </c>
      <c r="RO271" s="12" t="s">
        <v>37</v>
      </c>
      <c r="RP271" s="11" t="s">
        <v>37</v>
      </c>
      <c r="RS271" s="12" t="s">
        <v>37</v>
      </c>
      <c r="RT271" s="12" t="s">
        <v>37</v>
      </c>
      <c r="RU271" s="12" t="s">
        <v>37</v>
      </c>
      <c r="RV271" s="12" t="s">
        <v>37</v>
      </c>
      <c r="RW271" s="12" t="s">
        <v>37</v>
      </c>
      <c r="RX271" s="12" t="s">
        <v>37</v>
      </c>
      <c r="SA271" s="12" t="s">
        <v>37</v>
      </c>
      <c r="SB271" s="12" t="s">
        <v>37</v>
      </c>
      <c r="SC271" s="12" t="s">
        <v>37</v>
      </c>
      <c r="SD271" s="12" t="s">
        <v>37</v>
      </c>
      <c r="SE271" s="12" t="s">
        <v>37</v>
      </c>
      <c r="SF271" s="12" t="s">
        <v>37</v>
      </c>
      <c r="SI271" s="12" t="s">
        <v>37</v>
      </c>
      <c r="SJ271" s="12" t="s">
        <v>37</v>
      </c>
      <c r="SK271" s="13" t="s">
        <v>37</v>
      </c>
      <c r="SM271" s="12" t="s">
        <v>37</v>
      </c>
      <c r="SN271" s="12" t="s">
        <v>37</v>
      </c>
      <c r="SO271" s="13" t="s">
        <v>37</v>
      </c>
      <c r="SU271" s="12" t="s">
        <v>37</v>
      </c>
      <c r="SV271" s="12" t="s">
        <v>37</v>
      </c>
      <c r="SW271" s="12" t="s">
        <v>37</v>
      </c>
      <c r="SX271" s="12" t="s">
        <v>37</v>
      </c>
      <c r="SY271" s="12" t="s">
        <v>37</v>
      </c>
      <c r="SZ271" s="12" t="s">
        <v>37</v>
      </c>
      <c r="TA271" s="12"/>
      <c r="TB271" s="12"/>
      <c r="TE271" s="12" t="s">
        <v>37</v>
      </c>
      <c r="TF271" s="12" t="s">
        <v>37</v>
      </c>
      <c r="TG271" s="12" t="s">
        <v>37</v>
      </c>
      <c r="TH271" s="12" t="s">
        <v>37</v>
      </c>
      <c r="TI271" s="12" t="s">
        <v>37</v>
      </c>
      <c r="TJ271" s="12" t="s">
        <v>37</v>
      </c>
      <c r="TK271" s="12"/>
      <c r="TL271" s="12"/>
      <c r="TO271" s="12" t="s">
        <v>37</v>
      </c>
      <c r="TP271" s="12" t="s">
        <v>37</v>
      </c>
      <c r="TQ271" s="12" t="s">
        <v>37</v>
      </c>
      <c r="TR271" s="12" t="s">
        <v>37</v>
      </c>
      <c r="TS271" s="12" t="s">
        <v>37</v>
      </c>
      <c r="TT271" s="12" t="s">
        <v>37</v>
      </c>
      <c r="TU271" s="12"/>
      <c r="TV271" s="12"/>
      <c r="TY271" s="12" t="s">
        <v>37</v>
      </c>
      <c r="TZ271" s="12" t="s">
        <v>37</v>
      </c>
      <c r="UA271" s="12" t="s">
        <v>37</v>
      </c>
      <c r="UB271" s="12" t="s">
        <v>37</v>
      </c>
      <c r="UC271" s="12" t="s">
        <v>37</v>
      </c>
      <c r="UD271" s="12" t="s">
        <v>37</v>
      </c>
      <c r="UE271" s="12"/>
      <c r="UF271" s="12"/>
      <c r="UI271" s="12" t="s">
        <v>37</v>
      </c>
      <c r="UJ271" s="12" t="s">
        <v>37</v>
      </c>
      <c r="UK271" s="12" t="s">
        <v>37</v>
      </c>
      <c r="UL271" s="12" t="s">
        <v>37</v>
      </c>
      <c r="UM271" s="12" t="s">
        <v>37</v>
      </c>
      <c r="UN271" s="12" t="s">
        <v>37</v>
      </c>
      <c r="UO271" s="12"/>
      <c r="UP271" s="12"/>
      <c r="UR271" s="12" t="s">
        <v>37</v>
      </c>
      <c r="US271" s="12" t="s">
        <v>37</v>
      </c>
      <c r="UT271" s="12" t="s">
        <v>37</v>
      </c>
      <c r="UU271" s="12" t="s">
        <v>37</v>
      </c>
      <c r="UV271" s="12" t="s">
        <v>37</v>
      </c>
      <c r="UW271" s="12" t="s">
        <v>37</v>
      </c>
      <c r="UX271" s="12"/>
      <c r="UY271" s="12"/>
      <c r="VB271" s="12" t="s">
        <v>37</v>
      </c>
      <c r="VC271" s="12" t="s">
        <v>37</v>
      </c>
      <c r="VD271" s="12" t="s">
        <v>37</v>
      </c>
      <c r="VE271" s="12" t="s">
        <v>37</v>
      </c>
      <c r="VF271" s="12" t="s">
        <v>37</v>
      </c>
      <c r="VG271" s="12" t="s">
        <v>37</v>
      </c>
      <c r="VI271" s="12" t="s">
        <v>37</v>
      </c>
      <c r="VJ271" s="12" t="s">
        <v>37</v>
      </c>
      <c r="VK271" s="12" t="s">
        <v>37</v>
      </c>
      <c r="VL271" s="12" t="s">
        <v>37</v>
      </c>
      <c r="VM271" s="12" t="s">
        <v>37</v>
      </c>
      <c r="VN271" s="12" t="s">
        <v>37</v>
      </c>
      <c r="VQ271" s="12" t="s">
        <v>37</v>
      </c>
      <c r="VR271" s="12" t="s">
        <v>37</v>
      </c>
      <c r="VS271" s="12" t="s">
        <v>37</v>
      </c>
      <c r="VT271" s="12" t="s">
        <v>37</v>
      </c>
      <c r="VU271" s="12" t="s">
        <v>37</v>
      </c>
      <c r="VV271" s="12" t="s">
        <v>37</v>
      </c>
      <c r="VW271" s="12"/>
      <c r="VX271" s="12"/>
      <c r="WA271" s="12" t="s">
        <v>37</v>
      </c>
      <c r="WB271" s="12" t="s">
        <v>37</v>
      </c>
      <c r="WC271" s="12" t="s">
        <v>37</v>
      </c>
      <c r="WD271" s="12" t="s">
        <v>37</v>
      </c>
      <c r="WE271" s="12" t="s">
        <v>37</v>
      </c>
      <c r="WF271" s="12" t="s">
        <v>37</v>
      </c>
    </row>
    <row r="272" spans="1:604" ht="18" customHeight="1" x14ac:dyDescent="0.3">
      <c r="A272" s="11">
        <v>68</v>
      </c>
      <c r="B272" s="16" t="s">
        <v>394</v>
      </c>
      <c r="C272" s="12" t="s">
        <v>26</v>
      </c>
      <c r="D272" s="12" t="s">
        <v>54</v>
      </c>
      <c r="E272" s="40">
        <v>1.1499999999999999</v>
      </c>
      <c r="F272" s="14">
        <v>0</v>
      </c>
      <c r="G272" s="14">
        <v>0</v>
      </c>
      <c r="H272" s="12" t="s">
        <v>82</v>
      </c>
      <c r="I272" s="29">
        <v>46.317</v>
      </c>
      <c r="J272" s="29">
        <v>-86.05</v>
      </c>
      <c r="K272" s="12" t="s">
        <v>661</v>
      </c>
      <c r="L272" s="12" t="s">
        <v>662</v>
      </c>
      <c r="M272" s="13" t="s">
        <v>37</v>
      </c>
      <c r="N272" s="14">
        <v>5.0999999999999996</v>
      </c>
      <c r="O272" s="14">
        <v>835</v>
      </c>
      <c r="P272" s="14" t="s">
        <v>16</v>
      </c>
      <c r="Q272" s="75">
        <v>80</v>
      </c>
      <c r="R272" s="11" t="s">
        <v>37</v>
      </c>
      <c r="S272" s="12" t="s">
        <v>85</v>
      </c>
      <c r="T272" s="12" t="s">
        <v>141</v>
      </c>
      <c r="U272" s="12" t="s">
        <v>163</v>
      </c>
      <c r="V272" s="12" t="s">
        <v>275</v>
      </c>
      <c r="W272" s="23" t="s">
        <v>395</v>
      </c>
      <c r="X272" s="12" t="s">
        <v>283</v>
      </c>
      <c r="Y272" s="12" t="s">
        <v>37</v>
      </c>
      <c r="Z272" s="12" t="s">
        <v>37</v>
      </c>
      <c r="AB272" s="12" t="s">
        <v>37</v>
      </c>
      <c r="AE272" s="12" t="s">
        <v>37</v>
      </c>
      <c r="AH272" s="12" t="s">
        <v>37</v>
      </c>
      <c r="AK272" s="12" t="s">
        <v>37</v>
      </c>
      <c r="AL272" s="32" t="s">
        <v>396</v>
      </c>
      <c r="AM272" s="12" t="s">
        <v>317</v>
      </c>
      <c r="AN272" s="32" t="s">
        <v>886</v>
      </c>
      <c r="AO272" s="12" t="s">
        <v>37</v>
      </c>
      <c r="AP272" s="12" t="s">
        <v>108</v>
      </c>
      <c r="AQ272" s="12" t="s">
        <v>975</v>
      </c>
      <c r="AT272" s="12" t="s">
        <v>326</v>
      </c>
      <c r="AU272" s="12" t="s">
        <v>326</v>
      </c>
      <c r="AV272" s="13" t="s">
        <v>326</v>
      </c>
      <c r="AX272" s="12" t="s">
        <v>326</v>
      </c>
      <c r="AY272" s="12" t="s">
        <v>326</v>
      </c>
      <c r="AZ272" s="13" t="s">
        <v>326</v>
      </c>
      <c r="BE272" s="12" t="s">
        <v>326</v>
      </c>
      <c r="BF272" s="12" t="s">
        <v>326</v>
      </c>
      <c r="BG272" s="12" t="s">
        <v>326</v>
      </c>
      <c r="BI272" s="12" t="s">
        <v>326</v>
      </c>
      <c r="BJ272" s="12" t="s">
        <v>326</v>
      </c>
      <c r="BK272" s="12" t="s">
        <v>326</v>
      </c>
      <c r="BP272" s="12" t="s">
        <v>37</v>
      </c>
      <c r="BQ272" s="12" t="s">
        <v>37</v>
      </c>
      <c r="BR272" s="13" t="s">
        <v>37</v>
      </c>
      <c r="BT272" s="12" t="s">
        <v>37</v>
      </c>
      <c r="BU272" s="12" t="s">
        <v>37</v>
      </c>
      <c r="BV272" s="12" t="s">
        <v>37</v>
      </c>
      <c r="CA272" s="12" t="s">
        <v>37</v>
      </c>
      <c r="CB272" s="12" t="s">
        <v>37</v>
      </c>
      <c r="CC272" s="13" t="s">
        <v>37</v>
      </c>
      <c r="CE272" s="12" t="s">
        <v>37</v>
      </c>
      <c r="CF272" s="12" t="s">
        <v>37</v>
      </c>
      <c r="CG272" s="12" t="s">
        <v>37</v>
      </c>
      <c r="CN272" s="12" t="s">
        <v>37</v>
      </c>
      <c r="CO272" s="12" t="s">
        <v>37</v>
      </c>
      <c r="CP272" s="13" t="s">
        <v>37</v>
      </c>
      <c r="CR272" s="12" t="s">
        <v>37</v>
      </c>
      <c r="CS272" s="12" t="s">
        <v>37</v>
      </c>
      <c r="CT272" s="13" t="s">
        <v>37</v>
      </c>
      <c r="CX272" s="72"/>
      <c r="CY272" s="72"/>
      <c r="DA272" s="12" t="s">
        <v>37</v>
      </c>
      <c r="DB272" s="12" t="s">
        <v>37</v>
      </c>
      <c r="DC272" s="13" t="s">
        <v>37</v>
      </c>
      <c r="DE272" s="12" t="s">
        <v>37</v>
      </c>
      <c r="DF272" s="12" t="s">
        <v>37</v>
      </c>
      <c r="DG272" s="12" t="s">
        <v>37</v>
      </c>
      <c r="DM272" s="12" t="s">
        <v>47</v>
      </c>
      <c r="DN272" s="19">
        <f>0.2*10^4/10^6*("2009/10/31"-"2009/04/01")*24/'[1]classes-1'!$I$22</f>
        <v>14.883893266398051</v>
      </c>
      <c r="DO272" s="12">
        <f>SQRT((1/[2]Classes!$I$22)^2*(1.16416420786655*10^4/10^6*("2009/10/31"-"2009/04/01")*24)^2+(-DN272/([2]Classes!$I$22)^2)^2*([2]Classes!$J$22)^2)</f>
        <v>86.792053465048554</v>
      </c>
      <c r="DP272" s="13">
        <v>8</v>
      </c>
      <c r="DQ272" s="19">
        <f t="shared" si="1225"/>
        <v>5.8312735728218845</v>
      </c>
      <c r="DR272" s="19">
        <f>0.115942028985507*10^4/10^6*("2009/10/31"-"2009/04/01")*24/'[1]classes-1'!$I$25</f>
        <v>1.7398230320846468</v>
      </c>
      <c r="DS272" s="12">
        <f>SQRT((1/[2]Classes!$I$25)^2*(0.590280443425295*10^4/10^6*("2009/10/31"-"2009/04/01")*24)^2+(-DR272/([2]Classes!$I$25)^2)^2*([2]Classes!$J$25)^2)</f>
        <v>9.0283655795287849</v>
      </c>
      <c r="DT272" s="13">
        <v>8</v>
      </c>
      <c r="DU272" s="19">
        <f t="shared" si="1226"/>
        <v>5.1892436259514536</v>
      </c>
      <c r="DV272" s="19">
        <f t="shared" si="1211"/>
        <v>-13.144070234313403</v>
      </c>
      <c r="DW272" s="12">
        <f t="shared" si="1212"/>
        <v>61.702398372014144</v>
      </c>
      <c r="DX272" s="72">
        <f t="shared" si="1124"/>
        <v>951.79649121468333</v>
      </c>
      <c r="DY272" s="72">
        <f t="shared" si="1125"/>
        <v>951.79649121468333</v>
      </c>
      <c r="EA272" s="19" t="s">
        <v>37</v>
      </c>
      <c r="EB272" s="19" t="s">
        <v>37</v>
      </c>
      <c r="EC272" s="72" t="s">
        <v>37</v>
      </c>
      <c r="EE272" s="19" t="s">
        <v>37</v>
      </c>
      <c r="EF272" s="19" t="s">
        <v>37</v>
      </c>
      <c r="EG272" s="12" t="s">
        <v>37</v>
      </c>
      <c r="EN272" s="12" t="s">
        <v>37</v>
      </c>
      <c r="EO272" s="12" t="s">
        <v>37</v>
      </c>
      <c r="EP272" s="13" t="s">
        <v>37</v>
      </c>
      <c r="ER272" s="12" t="s">
        <v>37</v>
      </c>
      <c r="ES272" s="12" t="s">
        <v>37</v>
      </c>
      <c r="ET272" s="13" t="s">
        <v>37</v>
      </c>
      <c r="FB272" s="12" t="s">
        <v>37</v>
      </c>
      <c r="FC272" s="12" t="s">
        <v>37</v>
      </c>
      <c r="FD272" s="12" t="s">
        <v>37</v>
      </c>
      <c r="FE272" s="12" t="s">
        <v>37</v>
      </c>
      <c r="FF272" s="20" t="s">
        <v>37</v>
      </c>
      <c r="FG272" s="12" t="s">
        <v>37</v>
      </c>
      <c r="FI272" s="12" t="s">
        <v>37</v>
      </c>
      <c r="FJ272" s="12" t="s">
        <v>37</v>
      </c>
      <c r="FK272" s="12" t="s">
        <v>37</v>
      </c>
      <c r="FL272" s="12" t="s">
        <v>37</v>
      </c>
      <c r="FM272" s="12" t="s">
        <v>37</v>
      </c>
      <c r="FN272" s="12" t="s">
        <v>37</v>
      </c>
      <c r="FP272" s="12" t="s">
        <v>37</v>
      </c>
      <c r="FQ272" s="12" t="s">
        <v>37</v>
      </c>
      <c r="FR272" s="12" t="s">
        <v>37</v>
      </c>
      <c r="FS272" s="12" t="s">
        <v>37</v>
      </c>
      <c r="FT272" s="12" t="s">
        <v>37</v>
      </c>
      <c r="FU272" s="12" t="s">
        <v>37</v>
      </c>
      <c r="FW272" s="12" t="s">
        <v>37</v>
      </c>
      <c r="FX272" s="12" t="s">
        <v>37</v>
      </c>
      <c r="FY272" s="12" t="s">
        <v>37</v>
      </c>
      <c r="FZ272" s="12" t="s">
        <v>37</v>
      </c>
      <c r="GA272" s="12" t="s">
        <v>37</v>
      </c>
      <c r="GB272" s="12" t="s">
        <v>37</v>
      </c>
      <c r="HA272" s="17" t="s">
        <v>63</v>
      </c>
      <c r="HB272" s="34" t="s">
        <v>345</v>
      </c>
      <c r="HC272" s="12">
        <v>0.02</v>
      </c>
      <c r="HD272" s="12">
        <f>0.003*SQRT(8)</f>
        <v>8.4852813742385715E-3</v>
      </c>
      <c r="HE272" s="13">
        <v>8</v>
      </c>
      <c r="HF272" s="19">
        <f t="shared" ref="HF272:HF273" si="1229">HD272/HC272</f>
        <v>0.42426406871192857</v>
      </c>
      <c r="HG272" s="12">
        <v>0.02</v>
      </c>
      <c r="HH272" s="12">
        <v>1E-3</v>
      </c>
      <c r="HI272" s="13">
        <v>8</v>
      </c>
      <c r="HJ272" s="19">
        <f t="shared" ref="HJ272:HJ273" si="1230">HH272/HG272</f>
        <v>0.05</v>
      </c>
      <c r="HK272" s="19">
        <f t="shared" ref="HK272:HK273" si="1231">LN(HG272/HC272)</f>
        <v>0</v>
      </c>
      <c r="HL272" s="19">
        <f t="shared" ref="HL272:HL273" si="1232">HH272^2/(HI272*HG272^2)+HD272^2/(HE272*HC272^2)</f>
        <v>2.2812500000000003E-2</v>
      </c>
      <c r="IK272" s="12" t="s">
        <v>37</v>
      </c>
      <c r="IL272" s="12" t="s">
        <v>37</v>
      </c>
      <c r="IM272" s="12" t="s">
        <v>37</v>
      </c>
      <c r="IO272" s="12" t="s">
        <v>37</v>
      </c>
      <c r="IP272" s="12" t="s">
        <v>37</v>
      </c>
      <c r="IQ272" s="12" t="s">
        <v>37</v>
      </c>
      <c r="IW272" s="12" t="s">
        <v>37</v>
      </c>
      <c r="IX272" s="12" t="s">
        <v>37</v>
      </c>
      <c r="IY272" s="13" t="s">
        <v>37</v>
      </c>
      <c r="JA272" s="12" t="s">
        <v>37</v>
      </c>
      <c r="JB272" s="12" t="s">
        <v>37</v>
      </c>
      <c r="JC272" s="13" t="s">
        <v>37</v>
      </c>
      <c r="JH272" s="12" t="s">
        <v>37</v>
      </c>
      <c r="JI272" s="12" t="s">
        <v>37</v>
      </c>
      <c r="JJ272" s="13" t="s">
        <v>37</v>
      </c>
      <c r="JL272" s="12" t="s">
        <v>37</v>
      </c>
      <c r="JM272" s="12" t="s">
        <v>37</v>
      </c>
      <c r="JN272" s="12" t="s">
        <v>37</v>
      </c>
      <c r="JS272" s="12" t="s">
        <v>37</v>
      </c>
      <c r="JT272" s="12" t="s">
        <v>37</v>
      </c>
      <c r="JU272" s="13" t="s">
        <v>37</v>
      </c>
      <c r="JW272" s="12" t="s">
        <v>37</v>
      </c>
      <c r="JX272" s="12" t="s">
        <v>37</v>
      </c>
      <c r="JY272" s="12" t="s">
        <v>37</v>
      </c>
      <c r="KE272" s="12" t="s">
        <v>37</v>
      </c>
      <c r="KF272" s="12" t="s">
        <v>37</v>
      </c>
      <c r="KG272" s="13" t="s">
        <v>37</v>
      </c>
      <c r="KH272" s="12" t="s">
        <v>37</v>
      </c>
      <c r="KI272" s="12" t="s">
        <v>37</v>
      </c>
      <c r="KJ272" s="12" t="s">
        <v>37</v>
      </c>
      <c r="KM272" s="12" t="s">
        <v>37</v>
      </c>
      <c r="KN272" s="12" t="s">
        <v>37</v>
      </c>
      <c r="KO272" s="11" t="s">
        <v>37</v>
      </c>
      <c r="KQ272" s="12" t="s">
        <v>37</v>
      </c>
      <c r="KR272" s="12" t="s">
        <v>37</v>
      </c>
      <c r="KS272" s="12" t="s">
        <v>37</v>
      </c>
      <c r="KX272" s="12" t="s">
        <v>37</v>
      </c>
      <c r="KY272" s="12" t="s">
        <v>37</v>
      </c>
      <c r="KZ272" s="12" t="s">
        <v>37</v>
      </c>
      <c r="LB272" s="12" t="s">
        <v>37</v>
      </c>
      <c r="LC272" s="12" t="s">
        <v>37</v>
      </c>
      <c r="LD272" s="12" t="s">
        <v>37</v>
      </c>
      <c r="LI272" s="12" t="s">
        <v>37</v>
      </c>
      <c r="LJ272" s="12" t="s">
        <v>37</v>
      </c>
      <c r="LK272" s="12" t="s">
        <v>37</v>
      </c>
      <c r="LM272" s="12" t="s">
        <v>37</v>
      </c>
      <c r="LN272" s="12" t="s">
        <v>37</v>
      </c>
      <c r="LO272" s="12" t="s">
        <v>37</v>
      </c>
      <c r="LU272" s="12" t="s">
        <v>37</v>
      </c>
      <c r="LV272" s="12" t="s">
        <v>37</v>
      </c>
      <c r="LW272" s="12" t="s">
        <v>37</v>
      </c>
      <c r="LY272" s="12" t="s">
        <v>37</v>
      </c>
      <c r="LZ272" s="12" t="s">
        <v>37</v>
      </c>
      <c r="MA272" s="12" t="s">
        <v>37</v>
      </c>
      <c r="MF272" s="12" t="s">
        <v>37</v>
      </c>
      <c r="MG272" s="12" t="s">
        <v>37</v>
      </c>
      <c r="MH272" s="12" t="s">
        <v>37</v>
      </c>
      <c r="MJ272" s="12" t="s">
        <v>37</v>
      </c>
      <c r="MK272" s="12" t="s">
        <v>37</v>
      </c>
      <c r="ML272" s="12" t="s">
        <v>37</v>
      </c>
      <c r="MQ272" s="12" t="s">
        <v>37</v>
      </c>
      <c r="MR272" s="12" t="s">
        <v>37</v>
      </c>
      <c r="MS272" s="12" t="s">
        <v>37</v>
      </c>
      <c r="MU272" s="12" t="s">
        <v>37</v>
      </c>
      <c r="MV272" s="12" t="s">
        <v>37</v>
      </c>
      <c r="MW272" s="12" t="s">
        <v>37</v>
      </c>
      <c r="NC272" s="12" t="s">
        <v>37</v>
      </c>
      <c r="ND272" s="12" t="s">
        <v>37</v>
      </c>
      <c r="NE272" s="12" t="s">
        <v>37</v>
      </c>
      <c r="NG272" s="12" t="s">
        <v>37</v>
      </c>
      <c r="NH272" s="12" t="s">
        <v>37</v>
      </c>
      <c r="NI272" s="12" t="s">
        <v>37</v>
      </c>
      <c r="NO272" s="12" t="s">
        <v>37</v>
      </c>
      <c r="NP272" s="12" t="s">
        <v>37</v>
      </c>
      <c r="NQ272" s="12" t="s">
        <v>37</v>
      </c>
      <c r="NS272" s="12" t="s">
        <v>37</v>
      </c>
      <c r="NT272" s="12" t="s">
        <v>37</v>
      </c>
      <c r="NU272" s="12" t="s">
        <v>37</v>
      </c>
      <c r="OA272" s="12" t="s">
        <v>37</v>
      </c>
      <c r="OB272" s="12" t="s">
        <v>37</v>
      </c>
      <c r="OC272" s="12" t="s">
        <v>37</v>
      </c>
      <c r="OD272" s="12"/>
      <c r="OE272" s="12" t="s">
        <v>37</v>
      </c>
      <c r="OF272" s="12" t="s">
        <v>37</v>
      </c>
      <c r="OG272" s="12" t="s">
        <v>37</v>
      </c>
      <c r="OH272" s="12"/>
      <c r="OI272" s="12"/>
      <c r="OJ272" s="12"/>
      <c r="OM272" s="12" t="s">
        <v>37</v>
      </c>
      <c r="ON272" s="12" t="s">
        <v>37</v>
      </c>
      <c r="OO272" s="12" t="s">
        <v>37</v>
      </c>
      <c r="OP272" s="12" t="s">
        <v>37</v>
      </c>
      <c r="OQ272" s="12" t="s">
        <v>37</v>
      </c>
      <c r="OR272" s="12" t="s">
        <v>37</v>
      </c>
      <c r="OS272" s="12"/>
      <c r="OT272" s="12"/>
      <c r="OW272" s="12" t="s">
        <v>37</v>
      </c>
      <c r="OX272" s="12" t="s">
        <v>37</v>
      </c>
      <c r="OY272" s="13" t="s">
        <v>37</v>
      </c>
      <c r="OZ272" s="12" t="s">
        <v>37</v>
      </c>
      <c r="PA272" s="12" t="s">
        <v>37</v>
      </c>
      <c r="PB272" s="13" t="s">
        <v>37</v>
      </c>
      <c r="PG272" s="12" t="s">
        <v>37</v>
      </c>
      <c r="PH272" s="12" t="s">
        <v>37</v>
      </c>
      <c r="PI272" s="12" t="s">
        <v>37</v>
      </c>
      <c r="PJ272" s="12" t="s">
        <v>37</v>
      </c>
      <c r="PK272" s="12" t="s">
        <v>37</v>
      </c>
      <c r="PL272" s="12" t="s">
        <v>37</v>
      </c>
      <c r="PM272" s="12"/>
      <c r="PN272" s="12"/>
      <c r="PQ272" s="12" t="s">
        <v>37</v>
      </c>
      <c r="PR272" s="12" t="s">
        <v>37</v>
      </c>
      <c r="PS272" s="12" t="s">
        <v>37</v>
      </c>
      <c r="PT272" s="12" t="s">
        <v>37</v>
      </c>
      <c r="PU272" s="12" t="s">
        <v>37</v>
      </c>
      <c r="PV272" s="12" t="s">
        <v>37</v>
      </c>
      <c r="PW272" s="12"/>
      <c r="PX272" s="12"/>
      <c r="PZ272" s="12" t="s">
        <v>37</v>
      </c>
      <c r="QA272" s="12" t="s">
        <v>37</v>
      </c>
      <c r="QB272" s="12" t="s">
        <v>37</v>
      </c>
      <c r="QD272" s="12" t="s">
        <v>37</v>
      </c>
      <c r="QE272" s="12" t="s">
        <v>37</v>
      </c>
      <c r="QF272" s="12" t="s">
        <v>37</v>
      </c>
      <c r="QK272" s="12" t="s">
        <v>37</v>
      </c>
      <c r="QL272" s="12" t="s">
        <v>37</v>
      </c>
      <c r="QM272" s="12" t="s">
        <v>37</v>
      </c>
      <c r="QN272" s="12" t="s">
        <v>37</v>
      </c>
      <c r="QO272" s="12" t="s">
        <v>37</v>
      </c>
      <c r="QP272" s="12" t="s">
        <v>37</v>
      </c>
      <c r="QQ272" s="12"/>
      <c r="QR272" s="12"/>
      <c r="QU272" s="12" t="s">
        <v>37</v>
      </c>
      <c r="QV272" s="12" t="s">
        <v>37</v>
      </c>
      <c r="QW272" s="12" t="s">
        <v>37</v>
      </c>
      <c r="QX272" s="12" t="s">
        <v>37</v>
      </c>
      <c r="QY272" s="12" t="s">
        <v>37</v>
      </c>
      <c r="QZ272" s="12" t="s">
        <v>37</v>
      </c>
      <c r="RC272" s="12" t="s">
        <v>37</v>
      </c>
      <c r="RD272" s="12" t="s">
        <v>37</v>
      </c>
      <c r="RE272" s="13" t="s">
        <v>37</v>
      </c>
      <c r="RF272" s="12" t="s">
        <v>37</v>
      </c>
      <c r="RG272" s="12" t="s">
        <v>37</v>
      </c>
      <c r="RH272" s="13" t="s">
        <v>37</v>
      </c>
      <c r="RK272" s="12" t="s">
        <v>37</v>
      </c>
      <c r="RL272" s="12" t="s">
        <v>37</v>
      </c>
      <c r="RM272" s="11" t="s">
        <v>37</v>
      </c>
      <c r="RN272" s="12" t="s">
        <v>37</v>
      </c>
      <c r="RO272" s="12" t="s">
        <v>37</v>
      </c>
      <c r="RP272" s="11" t="s">
        <v>37</v>
      </c>
      <c r="RS272" s="12" t="s">
        <v>37</v>
      </c>
      <c r="RT272" s="12" t="s">
        <v>37</v>
      </c>
      <c r="RU272" s="12" t="s">
        <v>37</v>
      </c>
      <c r="RV272" s="12" t="s">
        <v>37</v>
      </c>
      <c r="RW272" s="12" t="s">
        <v>37</v>
      </c>
      <c r="RX272" s="12" t="s">
        <v>37</v>
      </c>
      <c r="SA272" s="12" t="s">
        <v>37</v>
      </c>
      <c r="SB272" s="12" t="s">
        <v>37</v>
      </c>
      <c r="SC272" s="12" t="s">
        <v>37</v>
      </c>
      <c r="SD272" s="12" t="s">
        <v>37</v>
      </c>
      <c r="SE272" s="12" t="s">
        <v>37</v>
      </c>
      <c r="SF272" s="12" t="s">
        <v>37</v>
      </c>
      <c r="SI272" s="12" t="s">
        <v>37</v>
      </c>
      <c r="SJ272" s="12" t="s">
        <v>37</v>
      </c>
      <c r="SK272" s="13" t="s">
        <v>37</v>
      </c>
      <c r="SM272" s="12" t="s">
        <v>37</v>
      </c>
      <c r="SN272" s="12" t="s">
        <v>37</v>
      </c>
      <c r="SO272" s="13" t="s">
        <v>37</v>
      </c>
      <c r="SU272" s="12" t="s">
        <v>37</v>
      </c>
      <c r="SV272" s="12" t="s">
        <v>37</v>
      </c>
      <c r="SW272" s="12" t="s">
        <v>37</v>
      </c>
      <c r="SX272" s="12" t="s">
        <v>37</v>
      </c>
      <c r="SY272" s="12" t="s">
        <v>37</v>
      </c>
      <c r="SZ272" s="12" t="s">
        <v>37</v>
      </c>
      <c r="TA272" s="12"/>
      <c r="TB272" s="12"/>
      <c r="TE272" s="12" t="s">
        <v>37</v>
      </c>
      <c r="TF272" s="12" t="s">
        <v>37</v>
      </c>
      <c r="TG272" s="12" t="s">
        <v>37</v>
      </c>
      <c r="TH272" s="12" t="s">
        <v>37</v>
      </c>
      <c r="TI272" s="12" t="s">
        <v>37</v>
      </c>
      <c r="TJ272" s="12" t="s">
        <v>37</v>
      </c>
      <c r="TK272" s="12"/>
      <c r="TL272" s="12"/>
      <c r="TO272" s="12" t="s">
        <v>37</v>
      </c>
      <c r="TP272" s="12" t="s">
        <v>37</v>
      </c>
      <c r="TQ272" s="12" t="s">
        <v>37</v>
      </c>
      <c r="TR272" s="12" t="s">
        <v>37</v>
      </c>
      <c r="TS272" s="12" t="s">
        <v>37</v>
      </c>
      <c r="TT272" s="12" t="s">
        <v>37</v>
      </c>
      <c r="TU272" s="12"/>
      <c r="TV272" s="12"/>
      <c r="TY272" s="12" t="s">
        <v>37</v>
      </c>
      <c r="TZ272" s="12" t="s">
        <v>37</v>
      </c>
      <c r="UA272" s="12" t="s">
        <v>37</v>
      </c>
      <c r="UB272" s="12" t="s">
        <v>37</v>
      </c>
      <c r="UC272" s="12" t="s">
        <v>37</v>
      </c>
      <c r="UD272" s="12" t="s">
        <v>37</v>
      </c>
      <c r="UE272" s="12"/>
      <c r="UF272" s="12"/>
      <c r="UI272" s="12" t="s">
        <v>37</v>
      </c>
      <c r="UJ272" s="12" t="s">
        <v>37</v>
      </c>
      <c r="UK272" s="12" t="s">
        <v>37</v>
      </c>
      <c r="UL272" s="12" t="s">
        <v>37</v>
      </c>
      <c r="UM272" s="12" t="s">
        <v>37</v>
      </c>
      <c r="UN272" s="12" t="s">
        <v>37</v>
      </c>
      <c r="UO272" s="12"/>
      <c r="UP272" s="12"/>
      <c r="UR272" s="12" t="s">
        <v>37</v>
      </c>
      <c r="US272" s="12" t="s">
        <v>37</v>
      </c>
      <c r="UT272" s="12" t="s">
        <v>37</v>
      </c>
      <c r="UU272" s="12" t="s">
        <v>37</v>
      </c>
      <c r="UV272" s="12" t="s">
        <v>37</v>
      </c>
      <c r="UW272" s="12" t="s">
        <v>37</v>
      </c>
      <c r="UX272" s="12"/>
      <c r="UY272" s="12"/>
      <c r="VB272" s="12" t="s">
        <v>37</v>
      </c>
      <c r="VC272" s="12" t="s">
        <v>37</v>
      </c>
      <c r="VD272" s="12" t="s">
        <v>37</v>
      </c>
      <c r="VE272" s="12" t="s">
        <v>37</v>
      </c>
      <c r="VF272" s="12" t="s">
        <v>37</v>
      </c>
      <c r="VG272" s="12" t="s">
        <v>37</v>
      </c>
      <c r="VI272" s="12" t="s">
        <v>37</v>
      </c>
      <c r="VJ272" s="12" t="s">
        <v>37</v>
      </c>
      <c r="VK272" s="12" t="s">
        <v>37</v>
      </c>
      <c r="VL272" s="12" t="s">
        <v>37</v>
      </c>
      <c r="VM272" s="12" t="s">
        <v>37</v>
      </c>
      <c r="VN272" s="12" t="s">
        <v>37</v>
      </c>
      <c r="VQ272" s="12" t="s">
        <v>37</v>
      </c>
      <c r="VR272" s="12" t="s">
        <v>37</v>
      </c>
      <c r="VS272" s="12" t="s">
        <v>37</v>
      </c>
      <c r="VT272" s="12" t="s">
        <v>37</v>
      </c>
      <c r="VU272" s="12" t="s">
        <v>37</v>
      </c>
      <c r="VV272" s="12" t="s">
        <v>37</v>
      </c>
      <c r="VW272" s="12"/>
      <c r="VX272" s="12"/>
      <c r="WA272" s="12" t="s">
        <v>37</v>
      </c>
      <c r="WB272" s="12" t="s">
        <v>37</v>
      </c>
      <c r="WC272" s="12" t="s">
        <v>37</v>
      </c>
      <c r="WD272" s="12" t="s">
        <v>37</v>
      </c>
      <c r="WE272" s="12" t="s">
        <v>37</v>
      </c>
      <c r="WF272" s="12" t="s">
        <v>37</v>
      </c>
    </row>
    <row r="273" spans="1:604" ht="18" customHeight="1" x14ac:dyDescent="0.3">
      <c r="A273" s="11">
        <v>68</v>
      </c>
      <c r="B273" s="16" t="s">
        <v>394</v>
      </c>
      <c r="C273" s="12" t="s">
        <v>26</v>
      </c>
      <c r="D273" s="12" t="s">
        <v>54</v>
      </c>
      <c r="E273" s="40">
        <v>1.1499999999999999</v>
      </c>
      <c r="F273" s="14">
        <v>0</v>
      </c>
      <c r="G273" s="14">
        <v>0</v>
      </c>
      <c r="H273" s="12" t="s">
        <v>82</v>
      </c>
      <c r="I273" s="29">
        <v>46.317</v>
      </c>
      <c r="J273" s="29">
        <v>-86.05</v>
      </c>
      <c r="K273" s="12" t="s">
        <v>661</v>
      </c>
      <c r="L273" s="12" t="s">
        <v>662</v>
      </c>
      <c r="M273" s="13" t="s">
        <v>37</v>
      </c>
      <c r="N273" s="14">
        <v>5.0999999999999996</v>
      </c>
      <c r="O273" s="14">
        <v>835</v>
      </c>
      <c r="P273" s="14" t="s">
        <v>16</v>
      </c>
      <c r="Q273" s="75">
        <v>80</v>
      </c>
      <c r="R273" s="11" t="s">
        <v>37</v>
      </c>
      <c r="S273" s="12" t="s">
        <v>85</v>
      </c>
      <c r="T273" s="12" t="s">
        <v>141</v>
      </c>
      <c r="U273" s="12" t="s">
        <v>334</v>
      </c>
      <c r="V273" s="12" t="s">
        <v>275</v>
      </c>
      <c r="W273" s="23" t="s">
        <v>395</v>
      </c>
      <c r="X273" s="12" t="s">
        <v>283</v>
      </c>
      <c r="Y273" s="12" t="s">
        <v>37</v>
      </c>
      <c r="Z273" s="12" t="s">
        <v>37</v>
      </c>
      <c r="AB273" s="12" t="s">
        <v>37</v>
      </c>
      <c r="AE273" s="12" t="s">
        <v>37</v>
      </c>
      <c r="AH273" s="12" t="s">
        <v>37</v>
      </c>
      <c r="AK273" s="12" t="s">
        <v>37</v>
      </c>
      <c r="AL273" s="32" t="s">
        <v>396</v>
      </c>
      <c r="AM273" s="12" t="s">
        <v>317</v>
      </c>
      <c r="AN273" s="32" t="s">
        <v>886</v>
      </c>
      <c r="AO273" s="12" t="s">
        <v>37</v>
      </c>
      <c r="AP273" s="12" t="s">
        <v>108</v>
      </c>
      <c r="AQ273" s="12" t="s">
        <v>975</v>
      </c>
      <c r="AT273" s="12" t="s">
        <v>326</v>
      </c>
      <c r="AU273" s="12" t="s">
        <v>326</v>
      </c>
      <c r="AV273" s="13" t="s">
        <v>326</v>
      </c>
      <c r="AX273" s="12" t="s">
        <v>326</v>
      </c>
      <c r="AY273" s="12" t="s">
        <v>326</v>
      </c>
      <c r="AZ273" s="13" t="s">
        <v>326</v>
      </c>
      <c r="BE273" s="12" t="s">
        <v>326</v>
      </c>
      <c r="BF273" s="12" t="s">
        <v>326</v>
      </c>
      <c r="BG273" s="12" t="s">
        <v>326</v>
      </c>
      <c r="BI273" s="12" t="s">
        <v>326</v>
      </c>
      <c r="BJ273" s="12" t="s">
        <v>326</v>
      </c>
      <c r="BK273" s="12" t="s">
        <v>326</v>
      </c>
      <c r="BP273" s="12" t="s">
        <v>37</v>
      </c>
      <c r="BQ273" s="12" t="s">
        <v>37</v>
      </c>
      <c r="BR273" s="13" t="s">
        <v>37</v>
      </c>
      <c r="BT273" s="12" t="s">
        <v>37</v>
      </c>
      <c r="BU273" s="12" t="s">
        <v>37</v>
      </c>
      <c r="BV273" s="12" t="s">
        <v>37</v>
      </c>
      <c r="CA273" s="12" t="s">
        <v>37</v>
      </c>
      <c r="CB273" s="12" t="s">
        <v>37</v>
      </c>
      <c r="CC273" s="13" t="s">
        <v>37</v>
      </c>
      <c r="CE273" s="12" t="s">
        <v>37</v>
      </c>
      <c r="CF273" s="12" t="s">
        <v>37</v>
      </c>
      <c r="CG273" s="12" t="s">
        <v>37</v>
      </c>
      <c r="CN273" s="12" t="s">
        <v>37</v>
      </c>
      <c r="CO273" s="12" t="s">
        <v>37</v>
      </c>
      <c r="CP273" s="13" t="s">
        <v>37</v>
      </c>
      <c r="CR273" s="12" t="s">
        <v>37</v>
      </c>
      <c r="CS273" s="12" t="s">
        <v>37</v>
      </c>
      <c r="CT273" s="13" t="s">
        <v>37</v>
      </c>
      <c r="CX273" s="72"/>
      <c r="CY273" s="72"/>
      <c r="DA273" s="12" t="s">
        <v>37</v>
      </c>
      <c r="DB273" s="12" t="s">
        <v>37</v>
      </c>
      <c r="DC273" s="13" t="s">
        <v>37</v>
      </c>
      <c r="DE273" s="12" t="s">
        <v>37</v>
      </c>
      <c r="DF273" s="12" t="s">
        <v>37</v>
      </c>
      <c r="DG273" s="12" t="s">
        <v>37</v>
      </c>
      <c r="DM273" s="12" t="s">
        <v>47</v>
      </c>
      <c r="DN273" s="19">
        <f>0.544927536231884*10^4/10^6*("2009/10/31"-"2009/04/01")*24/'[1]classes-1'!$I$22</f>
        <v>40.553216435983082</v>
      </c>
      <c r="DO273" s="12">
        <f>0.705057196313542*10^4/10^6*("2009/10/31"-"2009/04/01")*24</f>
        <v>36.04252387554827</v>
      </c>
      <c r="DP273" s="13">
        <v>8</v>
      </c>
      <c r="DQ273" s="19">
        <f t="shared" si="1225"/>
        <v>0.88877102837070032</v>
      </c>
      <c r="DR273" s="19">
        <f>0.139130434782609*10^4/10^6*("2009/10/31"-"2009/04/01")*24/'[1]classes-1'!$I$27</f>
        <v>2.0877876385015846</v>
      </c>
      <c r="DS273" s="12">
        <f>SQRT((1/[2]Classes!$I$27)^2*(0.295140221712644*10^4/10^6*("2009/10/31"-"2009/04/01")*24)^2+(-DR273/([2]Classes!$I$27)^2)^2*([2]Classes!$J$27)^2)</f>
        <v>4.899966604705579</v>
      </c>
      <c r="DT273" s="13">
        <v>8</v>
      </c>
      <c r="DU273" s="19">
        <f t="shared" si="1226"/>
        <v>2.346966000920625</v>
      </c>
      <c r="DV273" s="19">
        <f t="shared" si="1211"/>
        <v>-38.465428797481493</v>
      </c>
      <c r="DW273" s="12">
        <f t="shared" si="1212"/>
        <v>25.720353808284763</v>
      </c>
      <c r="DX273" s="72">
        <f t="shared" si="1124"/>
        <v>165.38415000583714</v>
      </c>
      <c r="DY273" s="72">
        <f t="shared" si="1125"/>
        <v>165.38415000583711</v>
      </c>
      <c r="EA273" s="19" t="s">
        <v>37</v>
      </c>
      <c r="EB273" s="19" t="s">
        <v>37</v>
      </c>
      <c r="EC273" s="72" t="s">
        <v>37</v>
      </c>
      <c r="EE273" s="19" t="s">
        <v>37</v>
      </c>
      <c r="EF273" s="19" t="s">
        <v>37</v>
      </c>
      <c r="EG273" s="12" t="s">
        <v>37</v>
      </c>
      <c r="EN273" s="12" t="s">
        <v>37</v>
      </c>
      <c r="EO273" s="12" t="s">
        <v>37</v>
      </c>
      <c r="EP273" s="13" t="s">
        <v>37</v>
      </c>
      <c r="ER273" s="12" t="s">
        <v>37</v>
      </c>
      <c r="ES273" s="12" t="s">
        <v>37</v>
      </c>
      <c r="ET273" s="13" t="s">
        <v>37</v>
      </c>
      <c r="FB273" s="12" t="s">
        <v>37</v>
      </c>
      <c r="FC273" s="12" t="s">
        <v>37</v>
      </c>
      <c r="FD273" s="12" t="s">
        <v>37</v>
      </c>
      <c r="FE273" s="12" t="s">
        <v>37</v>
      </c>
      <c r="FF273" s="20" t="s">
        <v>37</v>
      </c>
      <c r="FG273" s="12" t="s">
        <v>37</v>
      </c>
      <c r="FI273" s="12" t="s">
        <v>37</v>
      </c>
      <c r="FJ273" s="12" t="s">
        <v>37</v>
      </c>
      <c r="FK273" s="12" t="s">
        <v>37</v>
      </c>
      <c r="FL273" s="12" t="s">
        <v>37</v>
      </c>
      <c r="FM273" s="12" t="s">
        <v>37</v>
      </c>
      <c r="FN273" s="12" t="s">
        <v>37</v>
      </c>
      <c r="FP273" s="12" t="s">
        <v>37</v>
      </c>
      <c r="FQ273" s="12" t="s">
        <v>37</v>
      </c>
      <c r="FR273" s="12" t="s">
        <v>37</v>
      </c>
      <c r="FS273" s="12" t="s">
        <v>37</v>
      </c>
      <c r="FT273" s="12" t="s">
        <v>37</v>
      </c>
      <c r="FU273" s="12" t="s">
        <v>37</v>
      </c>
      <c r="FW273" s="12" t="s">
        <v>37</v>
      </c>
      <c r="FX273" s="12" t="s">
        <v>37</v>
      </c>
      <c r="FY273" s="12" t="s">
        <v>37</v>
      </c>
      <c r="FZ273" s="12" t="s">
        <v>37</v>
      </c>
      <c r="GA273" s="12" t="s">
        <v>37</v>
      </c>
      <c r="GB273" s="12" t="s">
        <v>37</v>
      </c>
      <c r="HA273" s="17" t="s">
        <v>63</v>
      </c>
      <c r="HB273" s="34" t="s">
        <v>345</v>
      </c>
      <c r="HC273" s="12">
        <v>0.04</v>
      </c>
      <c r="HD273" s="12">
        <f>0.002*SQRT(8)</f>
        <v>5.656854249492381E-3</v>
      </c>
      <c r="HE273" s="13">
        <v>8</v>
      </c>
      <c r="HF273" s="19">
        <f t="shared" si="1229"/>
        <v>0.14142135623730953</v>
      </c>
      <c r="HG273" s="12">
        <v>0.05</v>
      </c>
      <c r="HH273" s="12">
        <f>0.003*SQRT(8)</f>
        <v>8.4852813742385715E-3</v>
      </c>
      <c r="HI273" s="13">
        <v>8</v>
      </c>
      <c r="HJ273" s="19">
        <f t="shared" si="1230"/>
        <v>0.16970562748477142</v>
      </c>
      <c r="HK273" s="19">
        <f t="shared" si="1231"/>
        <v>0.22314355131420976</v>
      </c>
      <c r="HL273" s="19">
        <f t="shared" si="1232"/>
        <v>6.1000000000000013E-3</v>
      </c>
      <c r="IK273" s="12" t="s">
        <v>37</v>
      </c>
      <c r="IL273" s="12" t="s">
        <v>37</v>
      </c>
      <c r="IM273" s="12" t="s">
        <v>37</v>
      </c>
      <c r="IO273" s="12" t="s">
        <v>37</v>
      </c>
      <c r="IP273" s="12" t="s">
        <v>37</v>
      </c>
      <c r="IQ273" s="12" t="s">
        <v>37</v>
      </c>
      <c r="IW273" s="12" t="s">
        <v>37</v>
      </c>
      <c r="IX273" s="12" t="s">
        <v>37</v>
      </c>
      <c r="IY273" s="13" t="s">
        <v>37</v>
      </c>
      <c r="JA273" s="12" t="s">
        <v>37</v>
      </c>
      <c r="JB273" s="12" t="s">
        <v>37</v>
      </c>
      <c r="JC273" s="13" t="s">
        <v>37</v>
      </c>
      <c r="JH273" s="12" t="s">
        <v>37</v>
      </c>
      <c r="JI273" s="12" t="s">
        <v>37</v>
      </c>
      <c r="JJ273" s="13" t="s">
        <v>37</v>
      </c>
      <c r="JL273" s="12" t="s">
        <v>37</v>
      </c>
      <c r="JM273" s="12" t="s">
        <v>37</v>
      </c>
      <c r="JN273" s="12" t="s">
        <v>37</v>
      </c>
      <c r="JS273" s="12" t="s">
        <v>37</v>
      </c>
      <c r="JT273" s="12" t="s">
        <v>37</v>
      </c>
      <c r="JU273" s="13" t="s">
        <v>37</v>
      </c>
      <c r="JW273" s="12" t="s">
        <v>37</v>
      </c>
      <c r="JX273" s="12" t="s">
        <v>37</v>
      </c>
      <c r="JY273" s="12" t="s">
        <v>37</v>
      </c>
      <c r="KE273" s="12" t="s">
        <v>37</v>
      </c>
      <c r="KF273" s="12" t="s">
        <v>37</v>
      </c>
      <c r="KG273" s="13" t="s">
        <v>37</v>
      </c>
      <c r="KH273" s="12" t="s">
        <v>37</v>
      </c>
      <c r="KI273" s="12" t="s">
        <v>37</v>
      </c>
      <c r="KJ273" s="12" t="s">
        <v>37</v>
      </c>
      <c r="KM273" s="12" t="s">
        <v>37</v>
      </c>
      <c r="KN273" s="12" t="s">
        <v>37</v>
      </c>
      <c r="KO273" s="11" t="s">
        <v>37</v>
      </c>
      <c r="KQ273" s="12" t="s">
        <v>37</v>
      </c>
      <c r="KR273" s="12" t="s">
        <v>37</v>
      </c>
      <c r="KS273" s="12" t="s">
        <v>37</v>
      </c>
      <c r="KX273" s="12" t="s">
        <v>37</v>
      </c>
      <c r="KY273" s="12" t="s">
        <v>37</v>
      </c>
      <c r="KZ273" s="12" t="s">
        <v>37</v>
      </c>
      <c r="LB273" s="12" t="s">
        <v>37</v>
      </c>
      <c r="LC273" s="12" t="s">
        <v>37</v>
      </c>
      <c r="LD273" s="12" t="s">
        <v>37</v>
      </c>
      <c r="LI273" s="12" t="s">
        <v>37</v>
      </c>
      <c r="LJ273" s="12" t="s">
        <v>37</v>
      </c>
      <c r="LK273" s="12" t="s">
        <v>37</v>
      </c>
      <c r="LM273" s="12" t="s">
        <v>37</v>
      </c>
      <c r="LN273" s="12" t="s">
        <v>37</v>
      </c>
      <c r="LO273" s="12" t="s">
        <v>37</v>
      </c>
      <c r="LU273" s="12" t="s">
        <v>37</v>
      </c>
      <c r="LV273" s="12" t="s">
        <v>37</v>
      </c>
      <c r="LW273" s="12" t="s">
        <v>37</v>
      </c>
      <c r="LY273" s="12" t="s">
        <v>37</v>
      </c>
      <c r="LZ273" s="12" t="s">
        <v>37</v>
      </c>
      <c r="MA273" s="12" t="s">
        <v>37</v>
      </c>
      <c r="MF273" s="12" t="s">
        <v>37</v>
      </c>
      <c r="MG273" s="12" t="s">
        <v>37</v>
      </c>
      <c r="MH273" s="12" t="s">
        <v>37</v>
      </c>
      <c r="MJ273" s="12" t="s">
        <v>37</v>
      </c>
      <c r="MK273" s="12" t="s">
        <v>37</v>
      </c>
      <c r="ML273" s="12" t="s">
        <v>37</v>
      </c>
      <c r="MQ273" s="12" t="s">
        <v>37</v>
      </c>
      <c r="MR273" s="12" t="s">
        <v>37</v>
      </c>
      <c r="MS273" s="12" t="s">
        <v>37</v>
      </c>
      <c r="MU273" s="12" t="s">
        <v>37</v>
      </c>
      <c r="MV273" s="12" t="s">
        <v>37</v>
      </c>
      <c r="MW273" s="12" t="s">
        <v>37</v>
      </c>
      <c r="NC273" s="12" t="s">
        <v>37</v>
      </c>
      <c r="ND273" s="12" t="s">
        <v>37</v>
      </c>
      <c r="NE273" s="12" t="s">
        <v>37</v>
      </c>
      <c r="NG273" s="12" t="s">
        <v>37</v>
      </c>
      <c r="NH273" s="12" t="s">
        <v>37</v>
      </c>
      <c r="NI273" s="12" t="s">
        <v>37</v>
      </c>
      <c r="NO273" s="12" t="s">
        <v>37</v>
      </c>
      <c r="NP273" s="12" t="s">
        <v>37</v>
      </c>
      <c r="NQ273" s="12" t="s">
        <v>37</v>
      </c>
      <c r="NS273" s="12" t="s">
        <v>37</v>
      </c>
      <c r="NT273" s="12" t="s">
        <v>37</v>
      </c>
      <c r="NU273" s="12" t="s">
        <v>37</v>
      </c>
      <c r="OA273" s="12" t="s">
        <v>37</v>
      </c>
      <c r="OB273" s="12" t="s">
        <v>37</v>
      </c>
      <c r="OC273" s="12" t="s">
        <v>37</v>
      </c>
      <c r="OD273" s="12"/>
      <c r="OE273" s="12" t="s">
        <v>37</v>
      </c>
      <c r="OF273" s="12" t="s">
        <v>37</v>
      </c>
      <c r="OG273" s="12" t="s">
        <v>37</v>
      </c>
      <c r="OH273" s="12"/>
      <c r="OI273" s="12"/>
      <c r="OJ273" s="12"/>
      <c r="OM273" s="12" t="s">
        <v>37</v>
      </c>
      <c r="ON273" s="12" t="s">
        <v>37</v>
      </c>
      <c r="OO273" s="12" t="s">
        <v>37</v>
      </c>
      <c r="OP273" s="12" t="s">
        <v>37</v>
      </c>
      <c r="OQ273" s="12" t="s">
        <v>37</v>
      </c>
      <c r="OR273" s="12" t="s">
        <v>37</v>
      </c>
      <c r="OS273" s="12"/>
      <c r="OT273" s="12"/>
      <c r="OW273" s="12" t="s">
        <v>37</v>
      </c>
      <c r="OX273" s="12" t="s">
        <v>37</v>
      </c>
      <c r="OY273" s="13" t="s">
        <v>37</v>
      </c>
      <c r="OZ273" s="12" t="s">
        <v>37</v>
      </c>
      <c r="PA273" s="12" t="s">
        <v>37</v>
      </c>
      <c r="PB273" s="13" t="s">
        <v>37</v>
      </c>
      <c r="PG273" s="12" t="s">
        <v>37</v>
      </c>
      <c r="PH273" s="12" t="s">
        <v>37</v>
      </c>
      <c r="PI273" s="12" t="s">
        <v>37</v>
      </c>
      <c r="PJ273" s="12" t="s">
        <v>37</v>
      </c>
      <c r="PK273" s="12" t="s">
        <v>37</v>
      </c>
      <c r="PL273" s="12" t="s">
        <v>37</v>
      </c>
      <c r="PM273" s="12"/>
      <c r="PN273" s="12"/>
      <c r="PQ273" s="12" t="s">
        <v>37</v>
      </c>
      <c r="PR273" s="12" t="s">
        <v>37</v>
      </c>
      <c r="PS273" s="12" t="s">
        <v>37</v>
      </c>
      <c r="PT273" s="12" t="s">
        <v>37</v>
      </c>
      <c r="PU273" s="12" t="s">
        <v>37</v>
      </c>
      <c r="PV273" s="12" t="s">
        <v>37</v>
      </c>
      <c r="PW273" s="12"/>
      <c r="PX273" s="12"/>
      <c r="PZ273" s="12" t="s">
        <v>37</v>
      </c>
      <c r="QA273" s="12" t="s">
        <v>37</v>
      </c>
      <c r="QB273" s="12" t="s">
        <v>37</v>
      </c>
      <c r="QD273" s="12" t="s">
        <v>37</v>
      </c>
      <c r="QE273" s="12" t="s">
        <v>37</v>
      </c>
      <c r="QF273" s="12" t="s">
        <v>37</v>
      </c>
      <c r="QK273" s="12" t="s">
        <v>37</v>
      </c>
      <c r="QL273" s="12" t="s">
        <v>37</v>
      </c>
      <c r="QM273" s="12" t="s">
        <v>37</v>
      </c>
      <c r="QN273" s="12" t="s">
        <v>37</v>
      </c>
      <c r="QO273" s="12" t="s">
        <v>37</v>
      </c>
      <c r="QP273" s="12" t="s">
        <v>37</v>
      </c>
      <c r="QQ273" s="12"/>
      <c r="QR273" s="12"/>
      <c r="QU273" s="12" t="s">
        <v>37</v>
      </c>
      <c r="QV273" s="12" t="s">
        <v>37</v>
      </c>
      <c r="QW273" s="12" t="s">
        <v>37</v>
      </c>
      <c r="QX273" s="12" t="s">
        <v>37</v>
      </c>
      <c r="QY273" s="12" t="s">
        <v>37</v>
      </c>
      <c r="QZ273" s="12" t="s">
        <v>37</v>
      </c>
      <c r="RC273" s="12" t="s">
        <v>37</v>
      </c>
      <c r="RD273" s="12" t="s">
        <v>37</v>
      </c>
      <c r="RE273" s="13" t="s">
        <v>37</v>
      </c>
      <c r="RF273" s="12" t="s">
        <v>37</v>
      </c>
      <c r="RG273" s="12" t="s">
        <v>37</v>
      </c>
      <c r="RH273" s="13" t="s">
        <v>37</v>
      </c>
      <c r="RK273" s="12" t="s">
        <v>37</v>
      </c>
      <c r="RL273" s="12" t="s">
        <v>37</v>
      </c>
      <c r="RM273" s="11" t="s">
        <v>37</v>
      </c>
      <c r="RN273" s="12" t="s">
        <v>37</v>
      </c>
      <c r="RO273" s="12" t="s">
        <v>37</v>
      </c>
      <c r="RP273" s="11" t="s">
        <v>37</v>
      </c>
      <c r="RS273" s="12" t="s">
        <v>37</v>
      </c>
      <c r="RT273" s="12" t="s">
        <v>37</v>
      </c>
      <c r="RU273" s="12" t="s">
        <v>37</v>
      </c>
      <c r="RV273" s="12" t="s">
        <v>37</v>
      </c>
      <c r="RW273" s="12" t="s">
        <v>37</v>
      </c>
      <c r="RX273" s="12" t="s">
        <v>37</v>
      </c>
      <c r="SA273" s="12" t="s">
        <v>37</v>
      </c>
      <c r="SB273" s="12" t="s">
        <v>37</v>
      </c>
      <c r="SC273" s="12" t="s">
        <v>37</v>
      </c>
      <c r="SD273" s="12" t="s">
        <v>37</v>
      </c>
      <c r="SE273" s="12" t="s">
        <v>37</v>
      </c>
      <c r="SF273" s="12" t="s">
        <v>37</v>
      </c>
      <c r="SI273" s="12" t="s">
        <v>37</v>
      </c>
      <c r="SJ273" s="12" t="s">
        <v>37</v>
      </c>
      <c r="SK273" s="13" t="s">
        <v>37</v>
      </c>
      <c r="SM273" s="12" t="s">
        <v>37</v>
      </c>
      <c r="SN273" s="12" t="s">
        <v>37</v>
      </c>
      <c r="SO273" s="13" t="s">
        <v>37</v>
      </c>
      <c r="SU273" s="12" t="s">
        <v>37</v>
      </c>
      <c r="SV273" s="12" t="s">
        <v>37</v>
      </c>
      <c r="SW273" s="12" t="s">
        <v>37</v>
      </c>
      <c r="SX273" s="12" t="s">
        <v>37</v>
      </c>
      <c r="SY273" s="12" t="s">
        <v>37</v>
      </c>
      <c r="SZ273" s="12" t="s">
        <v>37</v>
      </c>
      <c r="TA273" s="12"/>
      <c r="TB273" s="12"/>
      <c r="TE273" s="12" t="s">
        <v>37</v>
      </c>
      <c r="TF273" s="12" t="s">
        <v>37</v>
      </c>
      <c r="TG273" s="12" t="s">
        <v>37</v>
      </c>
      <c r="TH273" s="12" t="s">
        <v>37</v>
      </c>
      <c r="TI273" s="12" t="s">
        <v>37</v>
      </c>
      <c r="TJ273" s="12" t="s">
        <v>37</v>
      </c>
      <c r="TK273" s="12"/>
      <c r="TL273" s="12"/>
      <c r="TO273" s="12" t="s">
        <v>37</v>
      </c>
      <c r="TP273" s="12" t="s">
        <v>37</v>
      </c>
      <c r="TQ273" s="12" t="s">
        <v>37</v>
      </c>
      <c r="TR273" s="12" t="s">
        <v>37</v>
      </c>
      <c r="TS273" s="12" t="s">
        <v>37</v>
      </c>
      <c r="TT273" s="12" t="s">
        <v>37</v>
      </c>
      <c r="TU273" s="12"/>
      <c r="TV273" s="12"/>
      <c r="TY273" s="12" t="s">
        <v>37</v>
      </c>
      <c r="TZ273" s="12" t="s">
        <v>37</v>
      </c>
      <c r="UA273" s="12" t="s">
        <v>37</v>
      </c>
      <c r="UB273" s="12" t="s">
        <v>37</v>
      </c>
      <c r="UC273" s="12" t="s">
        <v>37</v>
      </c>
      <c r="UD273" s="12" t="s">
        <v>37</v>
      </c>
      <c r="UE273" s="12"/>
      <c r="UF273" s="12"/>
      <c r="UI273" s="12" t="s">
        <v>37</v>
      </c>
      <c r="UJ273" s="12" t="s">
        <v>37</v>
      </c>
      <c r="UK273" s="12" t="s">
        <v>37</v>
      </c>
      <c r="UL273" s="12" t="s">
        <v>37</v>
      </c>
      <c r="UM273" s="12" t="s">
        <v>37</v>
      </c>
      <c r="UN273" s="12" t="s">
        <v>37</v>
      </c>
      <c r="UO273" s="12"/>
      <c r="UP273" s="12"/>
      <c r="UR273" s="12" t="s">
        <v>37</v>
      </c>
      <c r="US273" s="12" t="s">
        <v>37</v>
      </c>
      <c r="UT273" s="12" t="s">
        <v>37</v>
      </c>
      <c r="UU273" s="12" t="s">
        <v>37</v>
      </c>
      <c r="UV273" s="12" t="s">
        <v>37</v>
      </c>
      <c r="UW273" s="12" t="s">
        <v>37</v>
      </c>
      <c r="UX273" s="12"/>
      <c r="UY273" s="12"/>
      <c r="VB273" s="12" t="s">
        <v>37</v>
      </c>
      <c r="VC273" s="12" t="s">
        <v>37</v>
      </c>
      <c r="VD273" s="12" t="s">
        <v>37</v>
      </c>
      <c r="VE273" s="12" t="s">
        <v>37</v>
      </c>
      <c r="VF273" s="12" t="s">
        <v>37</v>
      </c>
      <c r="VG273" s="12" t="s">
        <v>37</v>
      </c>
      <c r="VI273" s="12" t="s">
        <v>37</v>
      </c>
      <c r="VJ273" s="12" t="s">
        <v>37</v>
      </c>
      <c r="VK273" s="12" t="s">
        <v>37</v>
      </c>
      <c r="VL273" s="12" t="s">
        <v>37</v>
      </c>
      <c r="VM273" s="12" t="s">
        <v>37</v>
      </c>
      <c r="VN273" s="12" t="s">
        <v>37</v>
      </c>
      <c r="VQ273" s="12" t="s">
        <v>37</v>
      </c>
      <c r="VR273" s="12" t="s">
        <v>37</v>
      </c>
      <c r="VS273" s="12" t="s">
        <v>37</v>
      </c>
      <c r="VT273" s="12" t="s">
        <v>37</v>
      </c>
      <c r="VU273" s="12" t="s">
        <v>37</v>
      </c>
      <c r="VV273" s="12" t="s">
        <v>37</v>
      </c>
      <c r="VW273" s="12"/>
      <c r="VX273" s="12"/>
      <c r="WA273" s="12" t="s">
        <v>37</v>
      </c>
      <c r="WB273" s="12" t="s">
        <v>37</v>
      </c>
      <c r="WC273" s="12" t="s">
        <v>37</v>
      </c>
      <c r="WD273" s="12" t="s">
        <v>37</v>
      </c>
      <c r="WE273" s="12" t="s">
        <v>37</v>
      </c>
      <c r="WF273" s="12" t="s">
        <v>37</v>
      </c>
    </row>
    <row r="274" spans="1:604" ht="18" customHeight="1" x14ac:dyDescent="0.3">
      <c r="A274" s="11">
        <v>69</v>
      </c>
      <c r="B274" s="16" t="s">
        <v>397</v>
      </c>
      <c r="C274" s="12" t="s">
        <v>26</v>
      </c>
      <c r="D274" s="12" t="s">
        <v>973</v>
      </c>
      <c r="E274" s="40">
        <v>2</v>
      </c>
      <c r="F274" s="14">
        <v>0</v>
      </c>
      <c r="G274" s="14">
        <v>0</v>
      </c>
      <c r="H274" s="12" t="s">
        <v>356</v>
      </c>
      <c r="I274" s="29">
        <v>52.466999999999999</v>
      </c>
      <c r="J274" s="29">
        <v>-3.75</v>
      </c>
      <c r="K274" s="12" t="s">
        <v>671</v>
      </c>
      <c r="L274" s="12" t="s">
        <v>672</v>
      </c>
      <c r="M274" s="13" t="s">
        <v>37</v>
      </c>
      <c r="N274" s="14" t="s">
        <v>37</v>
      </c>
      <c r="O274" s="14" t="s">
        <v>37</v>
      </c>
      <c r="P274" s="14" t="s">
        <v>16</v>
      </c>
      <c r="Q274" s="75" t="s">
        <v>326</v>
      </c>
      <c r="R274" s="11" t="s">
        <v>1000</v>
      </c>
      <c r="S274" s="12" t="s">
        <v>93</v>
      </c>
      <c r="T274" s="12" t="s">
        <v>141</v>
      </c>
      <c r="U274" s="12" t="s">
        <v>158</v>
      </c>
      <c r="V274" s="12" t="s">
        <v>275</v>
      </c>
      <c r="W274" s="23" t="s">
        <v>398</v>
      </c>
      <c r="X274" s="12" t="s">
        <v>281</v>
      </c>
      <c r="Y274" s="12" t="s">
        <v>37</v>
      </c>
      <c r="Z274" s="12" t="s">
        <v>37</v>
      </c>
      <c r="AA274" s="32" t="s">
        <v>345</v>
      </c>
      <c r="AB274" s="12">
        <v>4.7</v>
      </c>
      <c r="AE274" s="12" t="s">
        <v>37</v>
      </c>
      <c r="AH274" s="12" t="s">
        <v>37</v>
      </c>
      <c r="AK274" s="12" t="s">
        <v>37</v>
      </c>
      <c r="AL274" s="32">
        <v>1992</v>
      </c>
      <c r="AM274" s="12" t="s">
        <v>344</v>
      </c>
      <c r="AO274" s="12" t="s">
        <v>37</v>
      </c>
      <c r="AP274" s="12" t="s">
        <v>108</v>
      </c>
      <c r="AQ274" s="12" t="s">
        <v>975</v>
      </c>
      <c r="AT274" s="12" t="s">
        <v>326</v>
      </c>
      <c r="AU274" s="12" t="s">
        <v>326</v>
      </c>
      <c r="AV274" s="13" t="s">
        <v>326</v>
      </c>
      <c r="AX274" s="12" t="s">
        <v>326</v>
      </c>
      <c r="AY274" s="12" t="s">
        <v>326</v>
      </c>
      <c r="AZ274" s="13" t="s">
        <v>326</v>
      </c>
      <c r="BE274" s="12" t="s">
        <v>326</v>
      </c>
      <c r="BF274" s="12" t="s">
        <v>326</v>
      </c>
      <c r="BG274" s="12" t="s">
        <v>326</v>
      </c>
      <c r="BI274" s="12" t="s">
        <v>326</v>
      </c>
      <c r="BJ274" s="12" t="s">
        <v>326</v>
      </c>
      <c r="BK274" s="12" t="s">
        <v>326</v>
      </c>
      <c r="BP274" s="12" t="s">
        <v>37</v>
      </c>
      <c r="BQ274" s="12" t="s">
        <v>37</v>
      </c>
      <c r="BR274" s="13" t="s">
        <v>37</v>
      </c>
      <c r="BT274" s="12" t="s">
        <v>37</v>
      </c>
      <c r="BU274" s="12" t="s">
        <v>37</v>
      </c>
      <c r="BV274" s="12" t="s">
        <v>37</v>
      </c>
      <c r="CA274" s="12" t="s">
        <v>37</v>
      </c>
      <c r="CB274" s="12" t="s">
        <v>37</v>
      </c>
      <c r="CC274" s="13" t="s">
        <v>37</v>
      </c>
      <c r="CE274" s="12" t="s">
        <v>37</v>
      </c>
      <c r="CF274" s="12" t="s">
        <v>37</v>
      </c>
      <c r="CG274" s="12" t="s">
        <v>37</v>
      </c>
      <c r="CN274" s="12" t="s">
        <v>37</v>
      </c>
      <c r="CO274" s="12" t="s">
        <v>37</v>
      </c>
      <c r="CP274" s="13" t="s">
        <v>37</v>
      </c>
      <c r="CR274" s="12" t="s">
        <v>37</v>
      </c>
      <c r="CS274" s="12" t="s">
        <v>37</v>
      </c>
      <c r="CT274" s="13" t="s">
        <v>37</v>
      </c>
      <c r="CX274" s="72"/>
      <c r="CY274" s="72"/>
      <c r="DA274" s="12" t="s">
        <v>37</v>
      </c>
      <c r="DB274" s="12" t="s">
        <v>37</v>
      </c>
      <c r="DC274" s="13" t="s">
        <v>37</v>
      </c>
      <c r="DE274" s="12" t="s">
        <v>37</v>
      </c>
      <c r="DF274" s="12" t="s">
        <v>37</v>
      </c>
      <c r="DG274" s="12" t="s">
        <v>37</v>
      </c>
      <c r="DM274" s="11" t="s">
        <v>47</v>
      </c>
      <c r="DN274" s="19">
        <v>185.20163025788599</v>
      </c>
      <c r="DO274" s="12">
        <v>63.221490486987811</v>
      </c>
      <c r="DP274" s="13">
        <v>5</v>
      </c>
      <c r="DQ274" s="19">
        <f t="shared" si="1225"/>
        <v>0.34136573419442567</v>
      </c>
      <c r="DR274" s="19">
        <v>121.18643762191216</v>
      </c>
      <c r="DS274" s="12">
        <v>57.510183803125116</v>
      </c>
      <c r="DT274" s="13">
        <v>5</v>
      </c>
      <c r="DU274" s="19">
        <f t="shared" si="1226"/>
        <v>0.47455957062250081</v>
      </c>
      <c r="DV274" s="19">
        <f t="shared" si="1211"/>
        <v>-64.015192635973833</v>
      </c>
      <c r="DW274" s="12">
        <f t="shared" si="1212"/>
        <v>60.433343861090151</v>
      </c>
      <c r="DX274" s="72">
        <f t="shared" si="1124"/>
        <v>1460.875620093105</v>
      </c>
      <c r="DY274" s="72">
        <f t="shared" si="1125"/>
        <v>1460.8756200931048</v>
      </c>
      <c r="EA274" s="19" t="s">
        <v>37</v>
      </c>
      <c r="EB274" s="19" t="s">
        <v>37</v>
      </c>
      <c r="EC274" s="72" t="s">
        <v>37</v>
      </c>
      <c r="EE274" s="19" t="s">
        <v>37</v>
      </c>
      <c r="EF274" s="19" t="s">
        <v>37</v>
      </c>
      <c r="EG274" s="12" t="s">
        <v>37</v>
      </c>
      <c r="EM274" s="12" t="s">
        <v>39</v>
      </c>
      <c r="EN274" s="12">
        <v>1.2156862745098034</v>
      </c>
      <c r="EO274" s="12">
        <v>0.49768216864884945</v>
      </c>
      <c r="EP274" s="13">
        <v>5</v>
      </c>
      <c r="EQ274" s="19">
        <f t="shared" si="1030"/>
        <v>0.40938371937244089</v>
      </c>
      <c r="ER274" s="12">
        <v>-1.3627450980392155</v>
      </c>
      <c r="ES274" s="12">
        <v>0.94222961725764198</v>
      </c>
      <c r="ET274" s="13">
        <v>5</v>
      </c>
      <c r="EU274" s="19">
        <f t="shared" si="1031"/>
        <v>0.69142029467826971</v>
      </c>
      <c r="EV274" s="19">
        <f t="shared" ref="EV274:EV337" si="1233">ER274-EN274</f>
        <v>-2.5784313725490189</v>
      </c>
      <c r="EW274" s="12">
        <f t="shared" ref="EW274:EW337" si="1234">SQRT(((EP274-1)*EO274^2+(ET274-1)*ES274^2)/(EP274+ET274-2))</f>
        <v>0.7534866264999347</v>
      </c>
      <c r="EX274" s="19">
        <f t="shared" ref="EX274:EX337" si="1235">(((EP274+ET274)/(EP274*ET274))*(((EP274-1)*EO274^2)+(ET274-1)*ES274^2)/(EP274+ET274-2))</f>
        <v>0.22709683852570084</v>
      </c>
      <c r="EY274" s="19">
        <f t="shared" ref="EY274:EY337" si="1236">(EO274^2/EP274)+(ES274^2/ET274)</f>
        <v>0.22709683852570084</v>
      </c>
      <c r="FB274" s="12" t="s">
        <v>37</v>
      </c>
      <c r="FC274" s="12" t="s">
        <v>37</v>
      </c>
      <c r="FD274" s="12" t="s">
        <v>37</v>
      </c>
      <c r="FE274" s="12" t="s">
        <v>37</v>
      </c>
      <c r="FF274" s="20" t="s">
        <v>37</v>
      </c>
      <c r="FG274" s="12" t="s">
        <v>37</v>
      </c>
      <c r="FI274" s="12" t="s">
        <v>37</v>
      </c>
      <c r="FJ274" s="12" t="s">
        <v>37</v>
      </c>
      <c r="FK274" s="12" t="s">
        <v>37</v>
      </c>
      <c r="FL274" s="12" t="s">
        <v>37</v>
      </c>
      <c r="FM274" s="12" t="s">
        <v>37</v>
      </c>
      <c r="FN274" s="12" t="s">
        <v>37</v>
      </c>
      <c r="FP274" s="12" t="s">
        <v>37</v>
      </c>
      <c r="FQ274" s="12" t="s">
        <v>37</v>
      </c>
      <c r="FR274" s="12" t="s">
        <v>37</v>
      </c>
      <c r="FS274" s="12" t="s">
        <v>37</v>
      </c>
      <c r="FT274" s="12" t="s">
        <v>37</v>
      </c>
      <c r="FU274" s="12" t="s">
        <v>37</v>
      </c>
      <c r="FW274" s="12" t="s">
        <v>37</v>
      </c>
      <c r="FX274" s="12" t="s">
        <v>37</v>
      </c>
      <c r="FY274" s="12" t="s">
        <v>37</v>
      </c>
      <c r="FZ274" s="12" t="s">
        <v>37</v>
      </c>
      <c r="GA274" s="12" t="s">
        <v>37</v>
      </c>
      <c r="GB274" s="12" t="s">
        <v>37</v>
      </c>
      <c r="IK274" s="12" t="s">
        <v>37</v>
      </c>
      <c r="IL274" s="12" t="s">
        <v>37</v>
      </c>
      <c r="IM274" s="12" t="s">
        <v>37</v>
      </c>
      <c r="IO274" s="12" t="s">
        <v>37</v>
      </c>
      <c r="IP274" s="12" t="s">
        <v>37</v>
      </c>
      <c r="IQ274" s="12" t="s">
        <v>37</v>
      </c>
      <c r="IV274" s="32" t="s">
        <v>345</v>
      </c>
      <c r="IW274" s="12">
        <v>4.7</v>
      </c>
      <c r="JA274" s="13"/>
      <c r="JB274" s="13"/>
      <c r="JH274" s="12" t="s">
        <v>37</v>
      </c>
      <c r="JI274" s="12" t="s">
        <v>37</v>
      </c>
      <c r="JJ274" s="13" t="s">
        <v>37</v>
      </c>
      <c r="JL274" s="12" t="s">
        <v>37</v>
      </c>
      <c r="JM274" s="12" t="s">
        <v>37</v>
      </c>
      <c r="JN274" s="12" t="s">
        <v>37</v>
      </c>
      <c r="JS274" s="12" t="s">
        <v>37</v>
      </c>
      <c r="JT274" s="12" t="s">
        <v>37</v>
      </c>
      <c r="JU274" s="13" t="s">
        <v>37</v>
      </c>
      <c r="JW274" s="12" t="s">
        <v>37</v>
      </c>
      <c r="JX274" s="12" t="s">
        <v>37</v>
      </c>
      <c r="JY274" s="12" t="s">
        <v>37</v>
      </c>
      <c r="KE274" s="12" t="s">
        <v>37</v>
      </c>
      <c r="KF274" s="12" t="s">
        <v>37</v>
      </c>
      <c r="KG274" s="13" t="s">
        <v>37</v>
      </c>
      <c r="KH274" s="12" t="s">
        <v>37</v>
      </c>
      <c r="KI274" s="12" t="s">
        <v>37</v>
      </c>
      <c r="KJ274" s="12" t="s">
        <v>37</v>
      </c>
      <c r="KM274" s="12" t="s">
        <v>37</v>
      </c>
      <c r="KN274" s="12" t="s">
        <v>37</v>
      </c>
      <c r="KO274" s="11" t="s">
        <v>37</v>
      </c>
      <c r="KQ274" s="12" t="s">
        <v>37</v>
      </c>
      <c r="KR274" s="12" t="s">
        <v>37</v>
      </c>
      <c r="KS274" s="12" t="s">
        <v>37</v>
      </c>
      <c r="KX274" s="12" t="s">
        <v>37</v>
      </c>
      <c r="KY274" s="12" t="s">
        <v>37</v>
      </c>
      <c r="KZ274" s="12" t="s">
        <v>37</v>
      </c>
      <c r="LB274" s="12" t="s">
        <v>37</v>
      </c>
      <c r="LC274" s="12" t="s">
        <v>37</v>
      </c>
      <c r="LD274" s="12" t="s">
        <v>37</v>
      </c>
      <c r="LI274" s="12" t="s">
        <v>37</v>
      </c>
      <c r="LJ274" s="12" t="s">
        <v>37</v>
      </c>
      <c r="LK274" s="12" t="s">
        <v>37</v>
      </c>
      <c r="LM274" s="12" t="s">
        <v>37</v>
      </c>
      <c r="LN274" s="12" t="s">
        <v>37</v>
      </c>
      <c r="LO274" s="12" t="s">
        <v>37</v>
      </c>
      <c r="LU274" s="12" t="s">
        <v>37</v>
      </c>
      <c r="LV274" s="12" t="s">
        <v>37</v>
      </c>
      <c r="LW274" s="12" t="s">
        <v>37</v>
      </c>
      <c r="LY274" s="12" t="s">
        <v>37</v>
      </c>
      <c r="LZ274" s="12" t="s">
        <v>37</v>
      </c>
      <c r="MA274" s="12" t="s">
        <v>37</v>
      </c>
      <c r="MF274" s="12" t="s">
        <v>37</v>
      </c>
      <c r="MG274" s="12" t="s">
        <v>37</v>
      </c>
      <c r="MH274" s="12" t="s">
        <v>37</v>
      </c>
      <c r="MJ274" s="12" t="s">
        <v>37</v>
      </c>
      <c r="MK274" s="12" t="s">
        <v>37</v>
      </c>
      <c r="ML274" s="12" t="s">
        <v>37</v>
      </c>
      <c r="MQ274" s="12" t="s">
        <v>37</v>
      </c>
      <c r="MR274" s="12" t="s">
        <v>37</v>
      </c>
      <c r="MS274" s="12" t="s">
        <v>37</v>
      </c>
      <c r="MU274" s="12" t="s">
        <v>37</v>
      </c>
      <c r="MV274" s="12" t="s">
        <v>37</v>
      </c>
      <c r="MW274" s="12" t="s">
        <v>37</v>
      </c>
      <c r="NC274" s="12" t="s">
        <v>37</v>
      </c>
      <c r="ND274" s="12" t="s">
        <v>37</v>
      </c>
      <c r="NE274" s="12" t="s">
        <v>37</v>
      </c>
      <c r="NG274" s="12" t="s">
        <v>37</v>
      </c>
      <c r="NH274" s="12" t="s">
        <v>37</v>
      </c>
      <c r="NI274" s="12" t="s">
        <v>37</v>
      </c>
      <c r="NO274" s="12" t="s">
        <v>37</v>
      </c>
      <c r="NP274" s="12" t="s">
        <v>37</v>
      </c>
      <c r="NQ274" s="12" t="s">
        <v>37</v>
      </c>
      <c r="NS274" s="12" t="s">
        <v>37</v>
      </c>
      <c r="NT274" s="12" t="s">
        <v>37</v>
      </c>
      <c r="NU274" s="12" t="s">
        <v>37</v>
      </c>
      <c r="OA274" s="12" t="s">
        <v>37</v>
      </c>
      <c r="OB274" s="12" t="s">
        <v>37</v>
      </c>
      <c r="OC274" s="12" t="s">
        <v>37</v>
      </c>
      <c r="OD274" s="12"/>
      <c r="OE274" s="12" t="s">
        <v>37</v>
      </c>
      <c r="OF274" s="12" t="s">
        <v>37</v>
      </c>
      <c r="OG274" s="12" t="s">
        <v>37</v>
      </c>
      <c r="OH274" s="12"/>
      <c r="OI274" s="12"/>
      <c r="OJ274" s="12"/>
      <c r="OM274" s="12" t="s">
        <v>37</v>
      </c>
      <c r="ON274" s="12" t="s">
        <v>37</v>
      </c>
      <c r="OO274" s="12" t="s">
        <v>37</v>
      </c>
      <c r="OP274" s="12" t="s">
        <v>37</v>
      </c>
      <c r="OQ274" s="12" t="s">
        <v>37</v>
      </c>
      <c r="OR274" s="12" t="s">
        <v>37</v>
      </c>
      <c r="OS274" s="12"/>
      <c r="OT274" s="12"/>
      <c r="OW274" s="12" t="s">
        <v>37</v>
      </c>
      <c r="OX274" s="12" t="s">
        <v>37</v>
      </c>
      <c r="OY274" s="13" t="s">
        <v>37</v>
      </c>
      <c r="OZ274" s="12" t="s">
        <v>37</v>
      </c>
      <c r="PA274" s="12" t="s">
        <v>37</v>
      </c>
      <c r="PB274" s="13" t="s">
        <v>37</v>
      </c>
      <c r="PG274" s="12" t="s">
        <v>37</v>
      </c>
      <c r="PH274" s="12" t="s">
        <v>37</v>
      </c>
      <c r="PI274" s="12" t="s">
        <v>37</v>
      </c>
      <c r="PJ274" s="12" t="s">
        <v>37</v>
      </c>
      <c r="PK274" s="12" t="s">
        <v>37</v>
      </c>
      <c r="PL274" s="12" t="s">
        <v>37</v>
      </c>
      <c r="PM274" s="12"/>
      <c r="PN274" s="12"/>
      <c r="PQ274" s="12" t="s">
        <v>37</v>
      </c>
      <c r="PR274" s="12" t="s">
        <v>37</v>
      </c>
      <c r="PS274" s="12" t="s">
        <v>37</v>
      </c>
      <c r="PT274" s="12" t="s">
        <v>37</v>
      </c>
      <c r="PU274" s="12" t="s">
        <v>37</v>
      </c>
      <c r="PV274" s="12" t="s">
        <v>37</v>
      </c>
      <c r="PW274" s="12"/>
      <c r="PX274" s="12"/>
      <c r="PZ274" s="12" t="s">
        <v>37</v>
      </c>
      <c r="QA274" s="12" t="s">
        <v>37</v>
      </c>
      <c r="QB274" s="12" t="s">
        <v>37</v>
      </c>
      <c r="QD274" s="12" t="s">
        <v>37</v>
      </c>
      <c r="QE274" s="12" t="s">
        <v>37</v>
      </c>
      <c r="QF274" s="12" t="s">
        <v>37</v>
      </c>
      <c r="QK274" s="12" t="s">
        <v>37</v>
      </c>
      <c r="QL274" s="12" t="s">
        <v>37</v>
      </c>
      <c r="QM274" s="12" t="s">
        <v>37</v>
      </c>
      <c r="QN274" s="12" t="s">
        <v>37</v>
      </c>
      <c r="QO274" s="12" t="s">
        <v>37</v>
      </c>
      <c r="QP274" s="12" t="s">
        <v>37</v>
      </c>
      <c r="QQ274" s="12"/>
      <c r="QR274" s="12"/>
      <c r="QU274" s="12" t="s">
        <v>37</v>
      </c>
      <c r="QV274" s="12" t="s">
        <v>37</v>
      </c>
      <c r="QW274" s="12" t="s">
        <v>37</v>
      </c>
      <c r="QX274" s="12" t="s">
        <v>37</v>
      </c>
      <c r="QY274" s="12" t="s">
        <v>37</v>
      </c>
      <c r="QZ274" s="12" t="s">
        <v>37</v>
      </c>
      <c r="RC274" s="12" t="s">
        <v>37</v>
      </c>
      <c r="RD274" s="12" t="s">
        <v>37</v>
      </c>
      <c r="RE274" s="13" t="s">
        <v>37</v>
      </c>
      <c r="RF274" s="12" t="s">
        <v>37</v>
      </c>
      <c r="RG274" s="12" t="s">
        <v>37</v>
      </c>
      <c r="RH274" s="13" t="s">
        <v>37</v>
      </c>
      <c r="RK274" s="12" t="s">
        <v>37</v>
      </c>
      <c r="RL274" s="12" t="s">
        <v>37</v>
      </c>
      <c r="RM274" s="11" t="s">
        <v>37</v>
      </c>
      <c r="RN274" s="12" t="s">
        <v>37</v>
      </c>
      <c r="RO274" s="12" t="s">
        <v>37</v>
      </c>
      <c r="RP274" s="11" t="s">
        <v>37</v>
      </c>
      <c r="RS274" s="12" t="s">
        <v>37</v>
      </c>
      <c r="RT274" s="12" t="s">
        <v>37</v>
      </c>
      <c r="RU274" s="12" t="s">
        <v>37</v>
      </c>
      <c r="RV274" s="12" t="s">
        <v>37</v>
      </c>
      <c r="RW274" s="12" t="s">
        <v>37</v>
      </c>
      <c r="RX274" s="12" t="s">
        <v>37</v>
      </c>
      <c r="SA274" s="12" t="s">
        <v>37</v>
      </c>
      <c r="SB274" s="12" t="s">
        <v>37</v>
      </c>
      <c r="SC274" s="12" t="s">
        <v>37</v>
      </c>
      <c r="SD274" s="12" t="s">
        <v>37</v>
      </c>
      <c r="SE274" s="12" t="s">
        <v>37</v>
      </c>
      <c r="SF274" s="12" t="s">
        <v>37</v>
      </c>
      <c r="SI274" s="12" t="s">
        <v>37</v>
      </c>
      <c r="SJ274" s="12" t="s">
        <v>37</v>
      </c>
      <c r="SK274" s="13" t="s">
        <v>37</v>
      </c>
      <c r="SM274" s="12" t="s">
        <v>37</v>
      </c>
      <c r="SN274" s="12" t="s">
        <v>37</v>
      </c>
      <c r="SO274" s="13" t="s">
        <v>37</v>
      </c>
      <c r="SU274" s="12" t="s">
        <v>37</v>
      </c>
      <c r="SV274" s="12" t="s">
        <v>37</v>
      </c>
      <c r="SW274" s="12" t="s">
        <v>37</v>
      </c>
      <c r="SX274" s="12" t="s">
        <v>37</v>
      </c>
      <c r="SY274" s="12" t="s">
        <v>37</v>
      </c>
      <c r="SZ274" s="12" t="s">
        <v>37</v>
      </c>
      <c r="TA274" s="12"/>
      <c r="TB274" s="12"/>
      <c r="TE274" s="12" t="s">
        <v>37</v>
      </c>
      <c r="TF274" s="12" t="s">
        <v>37</v>
      </c>
      <c r="TG274" s="12" t="s">
        <v>37</v>
      </c>
      <c r="TH274" s="12" t="s">
        <v>37</v>
      </c>
      <c r="TI274" s="12" t="s">
        <v>37</v>
      </c>
      <c r="TJ274" s="12" t="s">
        <v>37</v>
      </c>
      <c r="TK274" s="12"/>
      <c r="TL274" s="12"/>
      <c r="TO274" s="12" t="s">
        <v>37</v>
      </c>
      <c r="TP274" s="12" t="s">
        <v>37</v>
      </c>
      <c r="TQ274" s="12" t="s">
        <v>37</v>
      </c>
      <c r="TR274" s="12" t="s">
        <v>37</v>
      </c>
      <c r="TS274" s="12" t="s">
        <v>37</v>
      </c>
      <c r="TT274" s="12" t="s">
        <v>37</v>
      </c>
      <c r="TU274" s="12"/>
      <c r="TV274" s="12"/>
      <c r="TY274" s="12" t="s">
        <v>37</v>
      </c>
      <c r="TZ274" s="12" t="s">
        <v>37</v>
      </c>
      <c r="UA274" s="12" t="s">
        <v>37</v>
      </c>
      <c r="UB274" s="12" t="s">
        <v>37</v>
      </c>
      <c r="UC274" s="12" t="s">
        <v>37</v>
      </c>
      <c r="UD274" s="12" t="s">
        <v>37</v>
      </c>
      <c r="UE274" s="12"/>
      <c r="UF274" s="12"/>
      <c r="UI274" s="12" t="s">
        <v>37</v>
      </c>
      <c r="UJ274" s="12" t="s">
        <v>37</v>
      </c>
      <c r="UK274" s="12" t="s">
        <v>37</v>
      </c>
      <c r="UL274" s="12" t="s">
        <v>37</v>
      </c>
      <c r="UM274" s="12" t="s">
        <v>37</v>
      </c>
      <c r="UN274" s="12" t="s">
        <v>37</v>
      </c>
      <c r="UO274" s="12"/>
      <c r="UP274" s="12"/>
      <c r="UR274" s="12" t="s">
        <v>37</v>
      </c>
      <c r="US274" s="12" t="s">
        <v>37</v>
      </c>
      <c r="UT274" s="12" t="s">
        <v>37</v>
      </c>
      <c r="UU274" s="12" t="s">
        <v>37</v>
      </c>
      <c r="UV274" s="12" t="s">
        <v>37</v>
      </c>
      <c r="UW274" s="12" t="s">
        <v>37</v>
      </c>
      <c r="UX274" s="12"/>
      <c r="UY274" s="12"/>
      <c r="VB274" s="12" t="s">
        <v>37</v>
      </c>
      <c r="VC274" s="12" t="s">
        <v>37</v>
      </c>
      <c r="VD274" s="12" t="s">
        <v>37</v>
      </c>
      <c r="VE274" s="12" t="s">
        <v>37</v>
      </c>
      <c r="VF274" s="12" t="s">
        <v>37</v>
      </c>
      <c r="VG274" s="12" t="s">
        <v>37</v>
      </c>
      <c r="VI274" s="12" t="s">
        <v>37</v>
      </c>
      <c r="VJ274" s="12" t="s">
        <v>37</v>
      </c>
      <c r="VK274" s="12" t="s">
        <v>37</v>
      </c>
      <c r="VL274" s="12" t="s">
        <v>37</v>
      </c>
      <c r="VM274" s="12" t="s">
        <v>37</v>
      </c>
      <c r="VN274" s="12" t="s">
        <v>37</v>
      </c>
      <c r="VQ274" s="12" t="s">
        <v>37</v>
      </c>
      <c r="VR274" s="12" t="s">
        <v>37</v>
      </c>
      <c r="VS274" s="12" t="s">
        <v>37</v>
      </c>
      <c r="VT274" s="12" t="s">
        <v>37</v>
      </c>
      <c r="VU274" s="12" t="s">
        <v>37</v>
      </c>
      <c r="VV274" s="12" t="s">
        <v>37</v>
      </c>
      <c r="VW274" s="12"/>
      <c r="VX274" s="12"/>
      <c r="WA274" s="12" t="s">
        <v>37</v>
      </c>
      <c r="WB274" s="12" t="s">
        <v>37</v>
      </c>
      <c r="WC274" s="12" t="s">
        <v>37</v>
      </c>
      <c r="WD274" s="12" t="s">
        <v>37</v>
      </c>
      <c r="WE274" s="12" t="s">
        <v>37</v>
      </c>
      <c r="WF274" s="12" t="s">
        <v>37</v>
      </c>
    </row>
    <row r="275" spans="1:604" ht="18" customHeight="1" x14ac:dyDescent="0.3">
      <c r="A275" s="11">
        <v>69</v>
      </c>
      <c r="B275" s="16" t="s">
        <v>397</v>
      </c>
      <c r="C275" s="12" t="s">
        <v>26</v>
      </c>
      <c r="D275" s="12" t="s">
        <v>973</v>
      </c>
      <c r="E275" s="40">
        <v>2</v>
      </c>
      <c r="F275" s="14">
        <v>0</v>
      </c>
      <c r="G275" s="14">
        <v>0</v>
      </c>
      <c r="H275" s="12" t="s">
        <v>356</v>
      </c>
      <c r="I275" s="29">
        <v>52.466999999999999</v>
      </c>
      <c r="J275" s="29">
        <v>-3.75</v>
      </c>
      <c r="K275" s="12" t="s">
        <v>671</v>
      </c>
      <c r="L275" s="12" t="s">
        <v>672</v>
      </c>
      <c r="M275" s="13" t="s">
        <v>37</v>
      </c>
      <c r="N275" s="14" t="s">
        <v>37</v>
      </c>
      <c r="O275" s="14">
        <v>2592.0719342669609</v>
      </c>
      <c r="P275" s="14" t="s">
        <v>16</v>
      </c>
      <c r="Q275" s="75" t="s">
        <v>326</v>
      </c>
      <c r="R275" s="11" t="s">
        <v>1000</v>
      </c>
      <c r="S275" s="12" t="s">
        <v>93</v>
      </c>
      <c r="T275" s="12" t="s">
        <v>141</v>
      </c>
      <c r="U275" s="12" t="s">
        <v>158</v>
      </c>
      <c r="V275" s="12" t="s">
        <v>275</v>
      </c>
      <c r="W275" s="23" t="s">
        <v>398</v>
      </c>
      <c r="X275" s="12" t="s">
        <v>281</v>
      </c>
      <c r="Y275" s="12" t="s">
        <v>37</v>
      </c>
      <c r="Z275" s="12" t="s">
        <v>37</v>
      </c>
      <c r="AA275" s="32" t="s">
        <v>345</v>
      </c>
      <c r="AB275" s="12">
        <v>4.7</v>
      </c>
      <c r="AE275" s="12" t="s">
        <v>37</v>
      </c>
      <c r="AH275" s="12" t="s">
        <v>37</v>
      </c>
      <c r="AK275" s="12" t="s">
        <v>37</v>
      </c>
      <c r="AL275" s="32">
        <v>1993</v>
      </c>
      <c r="AM275" s="12" t="s">
        <v>344</v>
      </c>
      <c r="AO275" s="12" t="s">
        <v>37</v>
      </c>
      <c r="AP275" s="12" t="s">
        <v>108</v>
      </c>
      <c r="AQ275" s="12" t="s">
        <v>975</v>
      </c>
      <c r="AT275" s="12" t="s">
        <v>326</v>
      </c>
      <c r="AU275" s="12" t="s">
        <v>326</v>
      </c>
      <c r="AV275" s="13" t="s">
        <v>326</v>
      </c>
      <c r="AX275" s="12" t="s">
        <v>326</v>
      </c>
      <c r="AY275" s="12" t="s">
        <v>326</v>
      </c>
      <c r="AZ275" s="13" t="s">
        <v>326</v>
      </c>
      <c r="BE275" s="12" t="s">
        <v>326</v>
      </c>
      <c r="BF275" s="12" t="s">
        <v>326</v>
      </c>
      <c r="BG275" s="12" t="s">
        <v>326</v>
      </c>
      <c r="BI275" s="12" t="s">
        <v>326</v>
      </c>
      <c r="BJ275" s="12" t="s">
        <v>326</v>
      </c>
      <c r="BK275" s="12" t="s">
        <v>326</v>
      </c>
      <c r="BP275" s="12" t="s">
        <v>37</v>
      </c>
      <c r="BQ275" s="12" t="s">
        <v>37</v>
      </c>
      <c r="BR275" s="13" t="s">
        <v>37</v>
      </c>
      <c r="BT275" s="12" t="s">
        <v>37</v>
      </c>
      <c r="BU275" s="12" t="s">
        <v>37</v>
      </c>
      <c r="BV275" s="12" t="s">
        <v>37</v>
      </c>
      <c r="CA275" s="12" t="s">
        <v>37</v>
      </c>
      <c r="CB275" s="12" t="s">
        <v>37</v>
      </c>
      <c r="CC275" s="13" t="s">
        <v>37</v>
      </c>
      <c r="CE275" s="12" t="s">
        <v>37</v>
      </c>
      <c r="CF275" s="12" t="s">
        <v>37</v>
      </c>
      <c r="CG275" s="12" t="s">
        <v>37</v>
      </c>
      <c r="CN275" s="12" t="s">
        <v>37</v>
      </c>
      <c r="CO275" s="12" t="s">
        <v>37</v>
      </c>
      <c r="CP275" s="13" t="s">
        <v>37</v>
      </c>
      <c r="CR275" s="12" t="s">
        <v>37</v>
      </c>
      <c r="CS275" s="12" t="s">
        <v>37</v>
      </c>
      <c r="CT275" s="13" t="s">
        <v>37</v>
      </c>
      <c r="CX275" s="72"/>
      <c r="CY275" s="72"/>
      <c r="DA275" s="12" t="s">
        <v>37</v>
      </c>
      <c r="DB275" s="12" t="s">
        <v>37</v>
      </c>
      <c r="DC275" s="13" t="s">
        <v>37</v>
      </c>
      <c r="DE275" s="12" t="s">
        <v>37</v>
      </c>
      <c r="DF275" s="12" t="s">
        <v>37</v>
      </c>
      <c r="DG275" s="12" t="s">
        <v>37</v>
      </c>
      <c r="DM275" s="11" t="s">
        <v>47</v>
      </c>
      <c r="DN275" s="19">
        <v>72.37222075218537</v>
      </c>
      <c r="DO275" s="12">
        <v>16.290298496553017</v>
      </c>
      <c r="DP275" s="13">
        <v>5</v>
      </c>
      <c r="DQ275" s="19">
        <f t="shared" si="1225"/>
        <v>0.22509048813540949</v>
      </c>
      <c r="DR275" s="19">
        <v>28.308613297303122</v>
      </c>
      <c r="DS275" s="12">
        <v>7.7013419089793729</v>
      </c>
      <c r="DT275" s="13">
        <v>5</v>
      </c>
      <c r="DU275" s="19">
        <f t="shared" si="1226"/>
        <v>0.27204942284167122</v>
      </c>
      <c r="DV275" s="19">
        <f t="shared" si="1211"/>
        <v>-44.063607454882245</v>
      </c>
      <c r="DW275" s="12">
        <f t="shared" si="1212"/>
        <v>12.741359666570117</v>
      </c>
      <c r="DX275" s="72">
        <f t="shared" si="1124"/>
        <v>64.936898461159913</v>
      </c>
      <c r="DY275" s="72">
        <f t="shared" si="1125"/>
        <v>64.936898461159913</v>
      </c>
      <c r="EA275" s="19" t="s">
        <v>37</v>
      </c>
      <c r="EB275" s="19" t="s">
        <v>37</v>
      </c>
      <c r="EC275" s="72" t="s">
        <v>37</v>
      </c>
      <c r="EE275" s="19" t="s">
        <v>37</v>
      </c>
      <c r="EF275" s="19" t="s">
        <v>37</v>
      </c>
      <c r="EG275" s="12" t="s">
        <v>37</v>
      </c>
      <c r="EM275" s="12" t="s">
        <v>39</v>
      </c>
      <c r="EN275" s="12">
        <v>1.6638655462184853</v>
      </c>
      <c r="EO275" s="12">
        <v>0.34418289379886746</v>
      </c>
      <c r="EP275" s="13">
        <v>5</v>
      </c>
      <c r="EQ275" s="19">
        <f t="shared" si="1030"/>
        <v>0.20685739576800646</v>
      </c>
      <c r="ER275" s="12">
        <v>-0.55462184873949671</v>
      </c>
      <c r="ES275" s="12">
        <v>0.63167690703653101</v>
      </c>
      <c r="ET275" s="13">
        <v>5</v>
      </c>
      <c r="EU275" s="19">
        <f t="shared" si="1031"/>
        <v>1.1389326051113191</v>
      </c>
      <c r="EV275" s="19">
        <f t="shared" si="1233"/>
        <v>-2.218487394957982</v>
      </c>
      <c r="EW275" s="12">
        <f t="shared" si="1234"/>
        <v>0.50866372942593452</v>
      </c>
      <c r="EX275" s="19">
        <f t="shared" si="1235"/>
        <v>0.10349551585340014</v>
      </c>
      <c r="EY275" s="19">
        <f t="shared" si="1236"/>
        <v>0.10349551585340014</v>
      </c>
      <c r="FB275" s="12" t="s">
        <v>37</v>
      </c>
      <c r="FC275" s="12" t="s">
        <v>37</v>
      </c>
      <c r="FD275" s="12" t="s">
        <v>37</v>
      </c>
      <c r="FE275" s="12" t="s">
        <v>37</v>
      </c>
      <c r="FF275" s="20" t="s">
        <v>37</v>
      </c>
      <c r="FG275" s="12" t="s">
        <v>37</v>
      </c>
      <c r="FI275" s="12" t="s">
        <v>37</v>
      </c>
      <c r="FJ275" s="12" t="s">
        <v>37</v>
      </c>
      <c r="FK275" s="12" t="s">
        <v>37</v>
      </c>
      <c r="FL275" s="12" t="s">
        <v>37</v>
      </c>
      <c r="FM275" s="12" t="s">
        <v>37</v>
      </c>
      <c r="FN275" s="12" t="s">
        <v>37</v>
      </c>
      <c r="FP275" s="12" t="s">
        <v>37</v>
      </c>
      <c r="FQ275" s="12" t="s">
        <v>37</v>
      </c>
      <c r="FR275" s="12" t="s">
        <v>37</v>
      </c>
      <c r="FS275" s="12" t="s">
        <v>37</v>
      </c>
      <c r="FT275" s="12" t="s">
        <v>37</v>
      </c>
      <c r="FU275" s="12" t="s">
        <v>37</v>
      </c>
      <c r="FW275" s="12" t="s">
        <v>37</v>
      </c>
      <c r="FX275" s="12" t="s">
        <v>37</v>
      </c>
      <c r="FY275" s="12" t="s">
        <v>37</v>
      </c>
      <c r="FZ275" s="12" t="s">
        <v>37</v>
      </c>
      <c r="GA275" s="12" t="s">
        <v>37</v>
      </c>
      <c r="GB275" s="12" t="s">
        <v>37</v>
      </c>
      <c r="IK275" s="12" t="s">
        <v>37</v>
      </c>
      <c r="IL275" s="12" t="s">
        <v>37</v>
      </c>
      <c r="IM275" s="12" t="s">
        <v>37</v>
      </c>
      <c r="IO275" s="12" t="s">
        <v>37</v>
      </c>
      <c r="IP275" s="12" t="s">
        <v>37</v>
      </c>
      <c r="IQ275" s="12" t="s">
        <v>37</v>
      </c>
      <c r="IV275" s="32" t="s">
        <v>345</v>
      </c>
      <c r="IW275" s="12">
        <v>4.7</v>
      </c>
      <c r="JA275" s="13"/>
      <c r="JB275" s="13"/>
      <c r="JH275" s="12" t="s">
        <v>37</v>
      </c>
      <c r="JI275" s="12" t="s">
        <v>37</v>
      </c>
      <c r="JJ275" s="13" t="s">
        <v>37</v>
      </c>
      <c r="JL275" s="12" t="s">
        <v>37</v>
      </c>
      <c r="JM275" s="12" t="s">
        <v>37</v>
      </c>
      <c r="JN275" s="12" t="s">
        <v>37</v>
      </c>
      <c r="JS275" s="12" t="s">
        <v>37</v>
      </c>
      <c r="JT275" s="12" t="s">
        <v>37</v>
      </c>
      <c r="JU275" s="13" t="s">
        <v>37</v>
      </c>
      <c r="JW275" s="12" t="s">
        <v>37</v>
      </c>
      <c r="JX275" s="12" t="s">
        <v>37</v>
      </c>
      <c r="JY275" s="12" t="s">
        <v>37</v>
      </c>
      <c r="KE275" s="12" t="s">
        <v>37</v>
      </c>
      <c r="KF275" s="12" t="s">
        <v>37</v>
      </c>
      <c r="KG275" s="13" t="s">
        <v>37</v>
      </c>
      <c r="KH275" s="12" t="s">
        <v>37</v>
      </c>
      <c r="KI275" s="12" t="s">
        <v>37</v>
      </c>
      <c r="KJ275" s="12" t="s">
        <v>37</v>
      </c>
      <c r="KM275" s="12" t="s">
        <v>37</v>
      </c>
      <c r="KN275" s="12" t="s">
        <v>37</v>
      </c>
      <c r="KO275" s="11" t="s">
        <v>37</v>
      </c>
      <c r="KQ275" s="12" t="s">
        <v>37</v>
      </c>
      <c r="KR275" s="12" t="s">
        <v>37</v>
      </c>
      <c r="KS275" s="12" t="s">
        <v>37</v>
      </c>
      <c r="KX275" s="12" t="s">
        <v>37</v>
      </c>
      <c r="KY275" s="12" t="s">
        <v>37</v>
      </c>
      <c r="KZ275" s="12" t="s">
        <v>37</v>
      </c>
      <c r="LB275" s="12" t="s">
        <v>37</v>
      </c>
      <c r="LC275" s="12" t="s">
        <v>37</v>
      </c>
      <c r="LD275" s="12" t="s">
        <v>37</v>
      </c>
      <c r="LI275" s="12" t="s">
        <v>37</v>
      </c>
      <c r="LJ275" s="12" t="s">
        <v>37</v>
      </c>
      <c r="LK275" s="12" t="s">
        <v>37</v>
      </c>
      <c r="LM275" s="12" t="s">
        <v>37</v>
      </c>
      <c r="LN275" s="12" t="s">
        <v>37</v>
      </c>
      <c r="LO275" s="12" t="s">
        <v>37</v>
      </c>
      <c r="LU275" s="12" t="s">
        <v>37</v>
      </c>
      <c r="LV275" s="12" t="s">
        <v>37</v>
      </c>
      <c r="LW275" s="12" t="s">
        <v>37</v>
      </c>
      <c r="LY275" s="12" t="s">
        <v>37</v>
      </c>
      <c r="LZ275" s="12" t="s">
        <v>37</v>
      </c>
      <c r="MA275" s="12" t="s">
        <v>37</v>
      </c>
      <c r="MF275" s="12" t="s">
        <v>37</v>
      </c>
      <c r="MG275" s="12" t="s">
        <v>37</v>
      </c>
      <c r="MH275" s="12" t="s">
        <v>37</v>
      </c>
      <c r="MJ275" s="12" t="s">
        <v>37</v>
      </c>
      <c r="MK275" s="12" t="s">
        <v>37</v>
      </c>
      <c r="ML275" s="12" t="s">
        <v>37</v>
      </c>
      <c r="MQ275" s="12" t="s">
        <v>37</v>
      </c>
      <c r="MR275" s="12" t="s">
        <v>37</v>
      </c>
      <c r="MS275" s="12" t="s">
        <v>37</v>
      </c>
      <c r="MU275" s="12" t="s">
        <v>37</v>
      </c>
      <c r="MV275" s="12" t="s">
        <v>37</v>
      </c>
      <c r="MW275" s="12" t="s">
        <v>37</v>
      </c>
      <c r="NC275" s="12" t="s">
        <v>37</v>
      </c>
      <c r="ND275" s="12" t="s">
        <v>37</v>
      </c>
      <c r="NE275" s="12" t="s">
        <v>37</v>
      </c>
      <c r="NG275" s="12" t="s">
        <v>37</v>
      </c>
      <c r="NH275" s="12" t="s">
        <v>37</v>
      </c>
      <c r="NI275" s="12" t="s">
        <v>37</v>
      </c>
      <c r="NO275" s="12" t="s">
        <v>37</v>
      </c>
      <c r="NP275" s="12" t="s">
        <v>37</v>
      </c>
      <c r="NQ275" s="12" t="s">
        <v>37</v>
      </c>
      <c r="NS275" s="12" t="s">
        <v>37</v>
      </c>
      <c r="NT275" s="12" t="s">
        <v>37</v>
      </c>
      <c r="NU275" s="12" t="s">
        <v>37</v>
      </c>
      <c r="OA275" s="12" t="s">
        <v>37</v>
      </c>
      <c r="OB275" s="12" t="s">
        <v>37</v>
      </c>
      <c r="OC275" s="12" t="s">
        <v>37</v>
      </c>
      <c r="OD275" s="12"/>
      <c r="OE275" s="12" t="s">
        <v>37</v>
      </c>
      <c r="OF275" s="12" t="s">
        <v>37</v>
      </c>
      <c r="OG275" s="12" t="s">
        <v>37</v>
      </c>
      <c r="OH275" s="12"/>
      <c r="OI275" s="12"/>
      <c r="OJ275" s="12"/>
      <c r="OM275" s="12" t="s">
        <v>37</v>
      </c>
      <c r="ON275" s="12" t="s">
        <v>37</v>
      </c>
      <c r="OO275" s="12" t="s">
        <v>37</v>
      </c>
      <c r="OP275" s="12" t="s">
        <v>37</v>
      </c>
      <c r="OQ275" s="12" t="s">
        <v>37</v>
      </c>
      <c r="OR275" s="12" t="s">
        <v>37</v>
      </c>
      <c r="OS275" s="12"/>
      <c r="OT275" s="12"/>
      <c r="OW275" s="12" t="s">
        <v>37</v>
      </c>
      <c r="OX275" s="12" t="s">
        <v>37</v>
      </c>
      <c r="OY275" s="13" t="s">
        <v>37</v>
      </c>
      <c r="OZ275" s="12" t="s">
        <v>37</v>
      </c>
      <c r="PA275" s="12" t="s">
        <v>37</v>
      </c>
      <c r="PB275" s="13" t="s">
        <v>37</v>
      </c>
      <c r="PG275" s="12" t="s">
        <v>37</v>
      </c>
      <c r="PH275" s="12" t="s">
        <v>37</v>
      </c>
      <c r="PI275" s="12" t="s">
        <v>37</v>
      </c>
      <c r="PJ275" s="12" t="s">
        <v>37</v>
      </c>
      <c r="PK275" s="12" t="s">
        <v>37</v>
      </c>
      <c r="PL275" s="12" t="s">
        <v>37</v>
      </c>
      <c r="PM275" s="12"/>
      <c r="PN275" s="12"/>
      <c r="PQ275" s="12" t="s">
        <v>37</v>
      </c>
      <c r="PR275" s="12" t="s">
        <v>37</v>
      </c>
      <c r="PS275" s="12" t="s">
        <v>37</v>
      </c>
      <c r="PT275" s="12" t="s">
        <v>37</v>
      </c>
      <c r="PU275" s="12" t="s">
        <v>37</v>
      </c>
      <c r="PV275" s="12" t="s">
        <v>37</v>
      </c>
      <c r="PW275" s="12"/>
      <c r="PX275" s="12"/>
      <c r="PZ275" s="12" t="s">
        <v>37</v>
      </c>
      <c r="QA275" s="12" t="s">
        <v>37</v>
      </c>
      <c r="QB275" s="12" t="s">
        <v>37</v>
      </c>
      <c r="QD275" s="12" t="s">
        <v>37</v>
      </c>
      <c r="QE275" s="12" t="s">
        <v>37</v>
      </c>
      <c r="QF275" s="12" t="s">
        <v>37</v>
      </c>
      <c r="QK275" s="12" t="s">
        <v>37</v>
      </c>
      <c r="QL275" s="12" t="s">
        <v>37</v>
      </c>
      <c r="QM275" s="12" t="s">
        <v>37</v>
      </c>
      <c r="QN275" s="12" t="s">
        <v>37</v>
      </c>
      <c r="QO275" s="12" t="s">
        <v>37</v>
      </c>
      <c r="QP275" s="12" t="s">
        <v>37</v>
      </c>
      <c r="QQ275" s="12"/>
      <c r="QR275" s="12"/>
      <c r="QU275" s="12" t="s">
        <v>37</v>
      </c>
      <c r="QV275" s="12" t="s">
        <v>37</v>
      </c>
      <c r="QW275" s="12" t="s">
        <v>37</v>
      </c>
      <c r="QX275" s="12" t="s">
        <v>37</v>
      </c>
      <c r="QY275" s="12" t="s">
        <v>37</v>
      </c>
      <c r="QZ275" s="12" t="s">
        <v>37</v>
      </c>
      <c r="RC275" s="12" t="s">
        <v>37</v>
      </c>
      <c r="RD275" s="12" t="s">
        <v>37</v>
      </c>
      <c r="RE275" s="13" t="s">
        <v>37</v>
      </c>
      <c r="RF275" s="12" t="s">
        <v>37</v>
      </c>
      <c r="RG275" s="12" t="s">
        <v>37</v>
      </c>
      <c r="RH275" s="13" t="s">
        <v>37</v>
      </c>
      <c r="RK275" s="12" t="s">
        <v>37</v>
      </c>
      <c r="RL275" s="12" t="s">
        <v>37</v>
      </c>
      <c r="RM275" s="11" t="s">
        <v>37</v>
      </c>
      <c r="RN275" s="12" t="s">
        <v>37</v>
      </c>
      <c r="RO275" s="12" t="s">
        <v>37</v>
      </c>
      <c r="RP275" s="11" t="s">
        <v>37</v>
      </c>
      <c r="RS275" s="12" t="s">
        <v>37</v>
      </c>
      <c r="RT275" s="12" t="s">
        <v>37</v>
      </c>
      <c r="RU275" s="12" t="s">
        <v>37</v>
      </c>
      <c r="RV275" s="12" t="s">
        <v>37</v>
      </c>
      <c r="RW275" s="12" t="s">
        <v>37</v>
      </c>
      <c r="RX275" s="12" t="s">
        <v>37</v>
      </c>
      <c r="SA275" s="12" t="s">
        <v>37</v>
      </c>
      <c r="SB275" s="12" t="s">
        <v>37</v>
      </c>
      <c r="SC275" s="12" t="s">
        <v>37</v>
      </c>
      <c r="SD275" s="12" t="s">
        <v>37</v>
      </c>
      <c r="SE275" s="12" t="s">
        <v>37</v>
      </c>
      <c r="SF275" s="12" t="s">
        <v>37</v>
      </c>
      <c r="SI275" s="12" t="s">
        <v>37</v>
      </c>
      <c r="SJ275" s="12" t="s">
        <v>37</v>
      </c>
      <c r="SK275" s="13" t="s">
        <v>37</v>
      </c>
      <c r="SM275" s="12" t="s">
        <v>37</v>
      </c>
      <c r="SN275" s="12" t="s">
        <v>37</v>
      </c>
      <c r="SO275" s="13" t="s">
        <v>37</v>
      </c>
      <c r="SU275" s="12" t="s">
        <v>37</v>
      </c>
      <c r="SV275" s="12" t="s">
        <v>37</v>
      </c>
      <c r="SW275" s="12" t="s">
        <v>37</v>
      </c>
      <c r="SX275" s="12" t="s">
        <v>37</v>
      </c>
      <c r="SY275" s="12" t="s">
        <v>37</v>
      </c>
      <c r="SZ275" s="12" t="s">
        <v>37</v>
      </c>
      <c r="TA275" s="12"/>
      <c r="TB275" s="12"/>
      <c r="TE275" s="12" t="s">
        <v>37</v>
      </c>
      <c r="TF275" s="12" t="s">
        <v>37</v>
      </c>
      <c r="TG275" s="12" t="s">
        <v>37</v>
      </c>
      <c r="TH275" s="12" t="s">
        <v>37</v>
      </c>
      <c r="TI275" s="12" t="s">
        <v>37</v>
      </c>
      <c r="TJ275" s="12" t="s">
        <v>37</v>
      </c>
      <c r="TK275" s="12"/>
      <c r="TL275" s="12"/>
      <c r="TO275" s="12" t="s">
        <v>37</v>
      </c>
      <c r="TP275" s="12" t="s">
        <v>37</v>
      </c>
      <c r="TQ275" s="12" t="s">
        <v>37</v>
      </c>
      <c r="TR275" s="12" t="s">
        <v>37</v>
      </c>
      <c r="TS275" s="12" t="s">
        <v>37</v>
      </c>
      <c r="TT275" s="12" t="s">
        <v>37</v>
      </c>
      <c r="TU275" s="12"/>
      <c r="TV275" s="12"/>
      <c r="TY275" s="12" t="s">
        <v>37</v>
      </c>
      <c r="TZ275" s="12" t="s">
        <v>37</v>
      </c>
      <c r="UA275" s="12" t="s">
        <v>37</v>
      </c>
      <c r="UB275" s="12" t="s">
        <v>37</v>
      </c>
      <c r="UC275" s="12" t="s">
        <v>37</v>
      </c>
      <c r="UD275" s="12" t="s">
        <v>37</v>
      </c>
      <c r="UE275" s="12"/>
      <c r="UF275" s="12"/>
      <c r="UI275" s="12" t="s">
        <v>37</v>
      </c>
      <c r="UJ275" s="12" t="s">
        <v>37</v>
      </c>
      <c r="UK275" s="12" t="s">
        <v>37</v>
      </c>
      <c r="UL275" s="12" t="s">
        <v>37</v>
      </c>
      <c r="UM275" s="12" t="s">
        <v>37</v>
      </c>
      <c r="UN275" s="12" t="s">
        <v>37</v>
      </c>
      <c r="UO275" s="12"/>
      <c r="UP275" s="12"/>
      <c r="UR275" s="12" t="s">
        <v>37</v>
      </c>
      <c r="US275" s="12" t="s">
        <v>37</v>
      </c>
      <c r="UT275" s="12" t="s">
        <v>37</v>
      </c>
      <c r="UU275" s="12" t="s">
        <v>37</v>
      </c>
      <c r="UV275" s="12" t="s">
        <v>37</v>
      </c>
      <c r="UW275" s="12" t="s">
        <v>37</v>
      </c>
      <c r="UX275" s="12"/>
      <c r="UY275" s="12"/>
      <c r="VB275" s="12" t="s">
        <v>37</v>
      </c>
      <c r="VC275" s="12" t="s">
        <v>37</v>
      </c>
      <c r="VD275" s="12" t="s">
        <v>37</v>
      </c>
      <c r="VE275" s="12" t="s">
        <v>37</v>
      </c>
      <c r="VF275" s="12" t="s">
        <v>37</v>
      </c>
      <c r="VG275" s="12" t="s">
        <v>37</v>
      </c>
      <c r="VI275" s="12" t="s">
        <v>37</v>
      </c>
      <c r="VJ275" s="12" t="s">
        <v>37</v>
      </c>
      <c r="VK275" s="12" t="s">
        <v>37</v>
      </c>
      <c r="VL275" s="12" t="s">
        <v>37</v>
      </c>
      <c r="VM275" s="12" t="s">
        <v>37</v>
      </c>
      <c r="VN275" s="12" t="s">
        <v>37</v>
      </c>
      <c r="VQ275" s="12" t="s">
        <v>37</v>
      </c>
      <c r="VR275" s="12" t="s">
        <v>37</v>
      </c>
      <c r="VS275" s="12" t="s">
        <v>37</v>
      </c>
      <c r="VT275" s="12" t="s">
        <v>37</v>
      </c>
      <c r="VU275" s="12" t="s">
        <v>37</v>
      </c>
      <c r="VV275" s="12" t="s">
        <v>37</v>
      </c>
      <c r="VW275" s="12"/>
      <c r="VX275" s="12"/>
      <c r="WA275" s="12" t="s">
        <v>37</v>
      </c>
      <c r="WB275" s="12" t="s">
        <v>37</v>
      </c>
      <c r="WC275" s="12" t="s">
        <v>37</v>
      </c>
      <c r="WD275" s="12" t="s">
        <v>37</v>
      </c>
      <c r="WE275" s="12" t="s">
        <v>37</v>
      </c>
      <c r="WF275" s="12" t="s">
        <v>37</v>
      </c>
    </row>
    <row r="276" spans="1:604" ht="18" customHeight="1" x14ac:dyDescent="0.3">
      <c r="A276" s="11">
        <v>69</v>
      </c>
      <c r="B276" s="16" t="s">
        <v>397</v>
      </c>
      <c r="C276" s="12" t="s">
        <v>26</v>
      </c>
      <c r="D276" s="12" t="s">
        <v>973</v>
      </c>
      <c r="E276" s="40">
        <v>2</v>
      </c>
      <c r="F276" s="14">
        <v>0</v>
      </c>
      <c r="G276" s="14">
        <v>0</v>
      </c>
      <c r="H276" s="12" t="s">
        <v>356</v>
      </c>
      <c r="I276" s="29">
        <v>52.466999999999999</v>
      </c>
      <c r="J276" s="29">
        <v>-3.75</v>
      </c>
      <c r="K276" s="12" t="s">
        <v>671</v>
      </c>
      <c r="L276" s="12" t="s">
        <v>672</v>
      </c>
      <c r="M276" s="13" t="s">
        <v>37</v>
      </c>
      <c r="N276" s="14" t="s">
        <v>37</v>
      </c>
      <c r="O276" s="14">
        <v>2997.0581365304115</v>
      </c>
      <c r="P276" s="14" t="s">
        <v>16</v>
      </c>
      <c r="Q276" s="75" t="s">
        <v>326</v>
      </c>
      <c r="R276" s="11" t="s">
        <v>1000</v>
      </c>
      <c r="S276" s="12" t="s">
        <v>93</v>
      </c>
      <c r="T276" s="12" t="s">
        <v>141</v>
      </c>
      <c r="U276" s="12" t="s">
        <v>158</v>
      </c>
      <c r="V276" s="12" t="s">
        <v>275</v>
      </c>
      <c r="W276" s="23" t="s">
        <v>398</v>
      </c>
      <c r="X276" s="12" t="s">
        <v>281</v>
      </c>
      <c r="Y276" s="12" t="s">
        <v>37</v>
      </c>
      <c r="Z276" s="12" t="s">
        <v>37</v>
      </c>
      <c r="AA276" s="32" t="s">
        <v>345</v>
      </c>
      <c r="AB276" s="12">
        <v>4.7</v>
      </c>
      <c r="AE276" s="12" t="s">
        <v>37</v>
      </c>
      <c r="AH276" s="12" t="s">
        <v>37</v>
      </c>
      <c r="AK276" s="12" t="s">
        <v>37</v>
      </c>
      <c r="AL276" s="32">
        <v>1994</v>
      </c>
      <c r="AM276" s="12" t="s">
        <v>344</v>
      </c>
      <c r="AO276" s="12" t="s">
        <v>37</v>
      </c>
      <c r="AP276" s="12" t="s">
        <v>108</v>
      </c>
      <c r="AQ276" s="12" t="s">
        <v>975</v>
      </c>
      <c r="AT276" s="12" t="s">
        <v>326</v>
      </c>
      <c r="AU276" s="12" t="s">
        <v>326</v>
      </c>
      <c r="AV276" s="13" t="s">
        <v>326</v>
      </c>
      <c r="AX276" s="12" t="s">
        <v>326</v>
      </c>
      <c r="AY276" s="12" t="s">
        <v>326</v>
      </c>
      <c r="AZ276" s="13" t="s">
        <v>326</v>
      </c>
      <c r="BE276" s="12" t="s">
        <v>326</v>
      </c>
      <c r="BF276" s="12" t="s">
        <v>326</v>
      </c>
      <c r="BG276" s="12" t="s">
        <v>326</v>
      </c>
      <c r="BI276" s="12" t="s">
        <v>326</v>
      </c>
      <c r="BJ276" s="12" t="s">
        <v>326</v>
      </c>
      <c r="BK276" s="12" t="s">
        <v>326</v>
      </c>
      <c r="BP276" s="12" t="s">
        <v>37</v>
      </c>
      <c r="BQ276" s="12" t="s">
        <v>37</v>
      </c>
      <c r="BR276" s="13" t="s">
        <v>37</v>
      </c>
      <c r="BT276" s="12" t="s">
        <v>37</v>
      </c>
      <c r="BU276" s="12" t="s">
        <v>37</v>
      </c>
      <c r="BV276" s="12" t="s">
        <v>37</v>
      </c>
      <c r="CA276" s="12" t="s">
        <v>37</v>
      </c>
      <c r="CB276" s="12" t="s">
        <v>37</v>
      </c>
      <c r="CC276" s="13" t="s">
        <v>37</v>
      </c>
      <c r="CE276" s="12" t="s">
        <v>37</v>
      </c>
      <c r="CF276" s="12" t="s">
        <v>37</v>
      </c>
      <c r="CG276" s="12" t="s">
        <v>37</v>
      </c>
      <c r="CN276" s="12" t="s">
        <v>37</v>
      </c>
      <c r="CO276" s="12" t="s">
        <v>37</v>
      </c>
      <c r="CP276" s="13" t="s">
        <v>37</v>
      </c>
      <c r="CR276" s="12" t="s">
        <v>37</v>
      </c>
      <c r="CS276" s="12" t="s">
        <v>37</v>
      </c>
      <c r="CT276" s="13" t="s">
        <v>37</v>
      </c>
      <c r="CX276" s="72"/>
      <c r="CY276" s="72"/>
      <c r="DA276" s="12" t="s">
        <v>37</v>
      </c>
      <c r="DB276" s="12" t="s">
        <v>37</v>
      </c>
      <c r="DC276" s="13" t="s">
        <v>37</v>
      </c>
      <c r="DE276" s="12" t="s">
        <v>37</v>
      </c>
      <c r="DF276" s="12" t="s">
        <v>37</v>
      </c>
      <c r="DG276" s="12" t="s">
        <v>37</v>
      </c>
      <c r="DM276" s="11" t="s">
        <v>47</v>
      </c>
      <c r="DN276" s="19">
        <v>49.465244035227812</v>
      </c>
      <c r="DO276" s="12">
        <v>13.371607139963906</v>
      </c>
      <c r="DP276" s="13">
        <v>5</v>
      </c>
      <c r="DQ276" s="19">
        <f t="shared" ref="DQ276:DQ296" si="1237">DO276/ABS(DN276)</f>
        <v>0.27032328255453481</v>
      </c>
      <c r="DR276" s="19">
        <v>54.340166693175355</v>
      </c>
      <c r="DS276" s="12">
        <v>13.781971178631771</v>
      </c>
      <c r="DT276" s="13">
        <v>5</v>
      </c>
      <c r="DU276" s="19">
        <f t="shared" ref="DU276:DU296" si="1238">DS276/ABS(DR276)</f>
        <v>0.25362401364077275</v>
      </c>
      <c r="DV276" s="19">
        <f t="shared" si="1211"/>
        <v>4.8749226579475433</v>
      </c>
      <c r="DW276" s="12">
        <f t="shared" si="1212"/>
        <v>13.578339498520624</v>
      </c>
      <c r="DX276" s="72">
        <f t="shared" si="1124"/>
        <v>73.748521414834116</v>
      </c>
      <c r="DY276" s="72">
        <f t="shared" si="1125"/>
        <v>73.748521414834102</v>
      </c>
      <c r="EA276" s="19" t="s">
        <v>37</v>
      </c>
      <c r="EB276" s="19" t="s">
        <v>37</v>
      </c>
      <c r="EC276" s="72" t="s">
        <v>37</v>
      </c>
      <c r="EE276" s="19" t="s">
        <v>37</v>
      </c>
      <c r="EF276" s="19" t="s">
        <v>37</v>
      </c>
      <c r="EG276" s="12" t="s">
        <v>37</v>
      </c>
      <c r="EM276" s="12" t="s">
        <v>39</v>
      </c>
      <c r="EN276" s="12">
        <v>1.3882352941176466</v>
      </c>
      <c r="EO276" s="12">
        <v>0.46526399843023991</v>
      </c>
      <c r="EP276" s="13">
        <v>5</v>
      </c>
      <c r="EQ276" s="19">
        <f t="shared" ref="EQ276:EQ339" si="1239">EO276/ABS(EN276)</f>
        <v>0.3351477954794102</v>
      </c>
      <c r="ER276" s="12">
        <v>-1.0352941176470594</v>
      </c>
      <c r="ES276" s="12">
        <v>0.83640987539045919</v>
      </c>
      <c r="ET276" s="13">
        <v>5</v>
      </c>
      <c r="EU276" s="19">
        <f t="shared" ref="EU276:EU339" si="1240">ES276/ABS(ER276)</f>
        <v>0.80789590236578401</v>
      </c>
      <c r="EV276" s="19">
        <f t="shared" si="1233"/>
        <v>-2.4235294117647062</v>
      </c>
      <c r="EW276" s="12">
        <f t="shared" si="1234"/>
        <v>0.67677620669094807</v>
      </c>
      <c r="EX276" s="19">
        <f t="shared" si="1235"/>
        <v>0.18321041357719559</v>
      </c>
      <c r="EY276" s="19">
        <f t="shared" si="1236"/>
        <v>0.18321041357719559</v>
      </c>
      <c r="FB276" s="12" t="s">
        <v>37</v>
      </c>
      <c r="FC276" s="12" t="s">
        <v>37</v>
      </c>
      <c r="FD276" s="12" t="s">
        <v>37</v>
      </c>
      <c r="FE276" s="12" t="s">
        <v>37</v>
      </c>
      <c r="FF276" s="20" t="s">
        <v>37</v>
      </c>
      <c r="FG276" s="12" t="s">
        <v>37</v>
      </c>
      <c r="FI276" s="12" t="s">
        <v>37</v>
      </c>
      <c r="FJ276" s="12" t="s">
        <v>37</v>
      </c>
      <c r="FK276" s="12" t="s">
        <v>37</v>
      </c>
      <c r="FL276" s="12" t="s">
        <v>37</v>
      </c>
      <c r="FM276" s="12" t="s">
        <v>37</v>
      </c>
      <c r="FN276" s="12" t="s">
        <v>37</v>
      </c>
      <c r="FP276" s="12" t="s">
        <v>37</v>
      </c>
      <c r="FQ276" s="12" t="s">
        <v>37</v>
      </c>
      <c r="FR276" s="12" t="s">
        <v>37</v>
      </c>
      <c r="FS276" s="12" t="s">
        <v>37</v>
      </c>
      <c r="FT276" s="12" t="s">
        <v>37</v>
      </c>
      <c r="FU276" s="12" t="s">
        <v>37</v>
      </c>
      <c r="FW276" s="12" t="s">
        <v>37</v>
      </c>
      <c r="FX276" s="12" t="s">
        <v>37</v>
      </c>
      <c r="FY276" s="12" t="s">
        <v>37</v>
      </c>
      <c r="FZ276" s="12" t="s">
        <v>37</v>
      </c>
      <c r="GA276" s="12" t="s">
        <v>37</v>
      </c>
      <c r="GB276" s="12" t="s">
        <v>37</v>
      </c>
      <c r="IK276" s="12" t="s">
        <v>37</v>
      </c>
      <c r="IL276" s="12" t="s">
        <v>37</v>
      </c>
      <c r="IM276" s="12" t="s">
        <v>37</v>
      </c>
      <c r="IO276" s="12" t="s">
        <v>37</v>
      </c>
      <c r="IP276" s="12" t="s">
        <v>37</v>
      </c>
      <c r="IQ276" s="12" t="s">
        <v>37</v>
      </c>
      <c r="IV276" s="32" t="s">
        <v>345</v>
      </c>
      <c r="IW276" s="12">
        <v>4.7</v>
      </c>
      <c r="JA276" s="13"/>
      <c r="JB276" s="13"/>
      <c r="JH276" s="12" t="s">
        <v>37</v>
      </c>
      <c r="JI276" s="12" t="s">
        <v>37</v>
      </c>
      <c r="JJ276" s="13" t="s">
        <v>37</v>
      </c>
      <c r="JL276" s="12" t="s">
        <v>37</v>
      </c>
      <c r="JM276" s="12" t="s">
        <v>37</v>
      </c>
      <c r="JN276" s="12" t="s">
        <v>37</v>
      </c>
      <c r="JS276" s="12" t="s">
        <v>37</v>
      </c>
      <c r="JT276" s="12" t="s">
        <v>37</v>
      </c>
      <c r="JU276" s="13" t="s">
        <v>37</v>
      </c>
      <c r="JW276" s="12" t="s">
        <v>37</v>
      </c>
      <c r="JX276" s="12" t="s">
        <v>37</v>
      </c>
      <c r="JY276" s="12" t="s">
        <v>37</v>
      </c>
      <c r="KE276" s="12" t="s">
        <v>37</v>
      </c>
      <c r="KF276" s="12" t="s">
        <v>37</v>
      </c>
      <c r="KG276" s="13" t="s">
        <v>37</v>
      </c>
      <c r="KH276" s="12" t="s">
        <v>37</v>
      </c>
      <c r="KI276" s="12" t="s">
        <v>37</v>
      </c>
      <c r="KJ276" s="12" t="s">
        <v>37</v>
      </c>
      <c r="KM276" s="12" t="s">
        <v>37</v>
      </c>
      <c r="KN276" s="12" t="s">
        <v>37</v>
      </c>
      <c r="KO276" s="11" t="s">
        <v>37</v>
      </c>
      <c r="KQ276" s="12" t="s">
        <v>37</v>
      </c>
      <c r="KR276" s="12" t="s">
        <v>37</v>
      </c>
      <c r="KS276" s="12" t="s">
        <v>37</v>
      </c>
      <c r="KX276" s="12" t="s">
        <v>37</v>
      </c>
      <c r="KY276" s="12" t="s">
        <v>37</v>
      </c>
      <c r="KZ276" s="12" t="s">
        <v>37</v>
      </c>
      <c r="LB276" s="12" t="s">
        <v>37</v>
      </c>
      <c r="LC276" s="12" t="s">
        <v>37</v>
      </c>
      <c r="LD276" s="12" t="s">
        <v>37</v>
      </c>
      <c r="LI276" s="12" t="s">
        <v>37</v>
      </c>
      <c r="LJ276" s="12" t="s">
        <v>37</v>
      </c>
      <c r="LK276" s="12" t="s">
        <v>37</v>
      </c>
      <c r="LM276" s="12" t="s">
        <v>37</v>
      </c>
      <c r="LN276" s="12" t="s">
        <v>37</v>
      </c>
      <c r="LO276" s="12" t="s">
        <v>37</v>
      </c>
      <c r="LU276" s="12" t="s">
        <v>37</v>
      </c>
      <c r="LV276" s="12" t="s">
        <v>37</v>
      </c>
      <c r="LW276" s="12" t="s">
        <v>37</v>
      </c>
      <c r="LY276" s="12" t="s">
        <v>37</v>
      </c>
      <c r="LZ276" s="12" t="s">
        <v>37</v>
      </c>
      <c r="MA276" s="12" t="s">
        <v>37</v>
      </c>
      <c r="MF276" s="12" t="s">
        <v>37</v>
      </c>
      <c r="MG276" s="12" t="s">
        <v>37</v>
      </c>
      <c r="MH276" s="12" t="s">
        <v>37</v>
      </c>
      <c r="MJ276" s="12" t="s">
        <v>37</v>
      </c>
      <c r="MK276" s="12" t="s">
        <v>37</v>
      </c>
      <c r="ML276" s="12" t="s">
        <v>37</v>
      </c>
      <c r="MQ276" s="12" t="s">
        <v>37</v>
      </c>
      <c r="MR276" s="12" t="s">
        <v>37</v>
      </c>
      <c r="MS276" s="12" t="s">
        <v>37</v>
      </c>
      <c r="MU276" s="12" t="s">
        <v>37</v>
      </c>
      <c r="MV276" s="12" t="s">
        <v>37</v>
      </c>
      <c r="MW276" s="12" t="s">
        <v>37</v>
      </c>
      <c r="NC276" s="12" t="s">
        <v>37</v>
      </c>
      <c r="ND276" s="12" t="s">
        <v>37</v>
      </c>
      <c r="NE276" s="12" t="s">
        <v>37</v>
      </c>
      <c r="NG276" s="12" t="s">
        <v>37</v>
      </c>
      <c r="NH276" s="12" t="s">
        <v>37</v>
      </c>
      <c r="NI276" s="12" t="s">
        <v>37</v>
      </c>
      <c r="NO276" s="12" t="s">
        <v>37</v>
      </c>
      <c r="NP276" s="12" t="s">
        <v>37</v>
      </c>
      <c r="NQ276" s="12" t="s">
        <v>37</v>
      </c>
      <c r="NS276" s="12" t="s">
        <v>37</v>
      </c>
      <c r="NT276" s="12" t="s">
        <v>37</v>
      </c>
      <c r="NU276" s="12" t="s">
        <v>37</v>
      </c>
      <c r="OA276" s="12" t="s">
        <v>37</v>
      </c>
      <c r="OB276" s="12" t="s">
        <v>37</v>
      </c>
      <c r="OC276" s="12" t="s">
        <v>37</v>
      </c>
      <c r="OD276" s="12"/>
      <c r="OE276" s="12" t="s">
        <v>37</v>
      </c>
      <c r="OF276" s="12" t="s">
        <v>37</v>
      </c>
      <c r="OG276" s="12" t="s">
        <v>37</v>
      </c>
      <c r="OH276" s="12"/>
      <c r="OI276" s="12"/>
      <c r="OJ276" s="12"/>
      <c r="OM276" s="12" t="s">
        <v>37</v>
      </c>
      <c r="ON276" s="12" t="s">
        <v>37</v>
      </c>
      <c r="OO276" s="12" t="s">
        <v>37</v>
      </c>
      <c r="OP276" s="12" t="s">
        <v>37</v>
      </c>
      <c r="OQ276" s="12" t="s">
        <v>37</v>
      </c>
      <c r="OR276" s="12" t="s">
        <v>37</v>
      </c>
      <c r="OS276" s="12"/>
      <c r="OT276" s="12"/>
      <c r="OW276" s="12" t="s">
        <v>37</v>
      </c>
      <c r="OX276" s="12" t="s">
        <v>37</v>
      </c>
      <c r="OY276" s="13" t="s">
        <v>37</v>
      </c>
      <c r="OZ276" s="12" t="s">
        <v>37</v>
      </c>
      <c r="PA276" s="12" t="s">
        <v>37</v>
      </c>
      <c r="PB276" s="13" t="s">
        <v>37</v>
      </c>
      <c r="PG276" s="12" t="s">
        <v>37</v>
      </c>
      <c r="PH276" s="12" t="s">
        <v>37</v>
      </c>
      <c r="PI276" s="12" t="s">
        <v>37</v>
      </c>
      <c r="PJ276" s="12" t="s">
        <v>37</v>
      </c>
      <c r="PK276" s="12" t="s">
        <v>37</v>
      </c>
      <c r="PL276" s="12" t="s">
        <v>37</v>
      </c>
      <c r="PM276" s="12"/>
      <c r="PN276" s="12"/>
      <c r="PQ276" s="12" t="s">
        <v>37</v>
      </c>
      <c r="PR276" s="12" t="s">
        <v>37</v>
      </c>
      <c r="PS276" s="12" t="s">
        <v>37</v>
      </c>
      <c r="PT276" s="12" t="s">
        <v>37</v>
      </c>
      <c r="PU276" s="12" t="s">
        <v>37</v>
      </c>
      <c r="PV276" s="12" t="s">
        <v>37</v>
      </c>
      <c r="PW276" s="12"/>
      <c r="PX276" s="12"/>
      <c r="PZ276" s="12" t="s">
        <v>37</v>
      </c>
      <c r="QA276" s="12" t="s">
        <v>37</v>
      </c>
      <c r="QB276" s="12" t="s">
        <v>37</v>
      </c>
      <c r="QD276" s="12" t="s">
        <v>37</v>
      </c>
      <c r="QE276" s="12" t="s">
        <v>37</v>
      </c>
      <c r="QF276" s="12" t="s">
        <v>37</v>
      </c>
      <c r="QK276" s="12" t="s">
        <v>37</v>
      </c>
      <c r="QL276" s="12" t="s">
        <v>37</v>
      </c>
      <c r="QM276" s="12" t="s">
        <v>37</v>
      </c>
      <c r="QN276" s="12" t="s">
        <v>37</v>
      </c>
      <c r="QO276" s="12" t="s">
        <v>37</v>
      </c>
      <c r="QP276" s="12" t="s">
        <v>37</v>
      </c>
      <c r="QQ276" s="12"/>
      <c r="QR276" s="12"/>
      <c r="QU276" s="12" t="s">
        <v>37</v>
      </c>
      <c r="QV276" s="12" t="s">
        <v>37</v>
      </c>
      <c r="QW276" s="12" t="s">
        <v>37</v>
      </c>
      <c r="QX276" s="12" t="s">
        <v>37</v>
      </c>
      <c r="QY276" s="12" t="s">
        <v>37</v>
      </c>
      <c r="QZ276" s="12" t="s">
        <v>37</v>
      </c>
      <c r="RC276" s="12" t="s">
        <v>37</v>
      </c>
      <c r="RD276" s="12" t="s">
        <v>37</v>
      </c>
      <c r="RE276" s="13" t="s">
        <v>37</v>
      </c>
      <c r="RF276" s="12" t="s">
        <v>37</v>
      </c>
      <c r="RG276" s="12" t="s">
        <v>37</v>
      </c>
      <c r="RH276" s="13" t="s">
        <v>37</v>
      </c>
      <c r="RK276" s="12" t="s">
        <v>37</v>
      </c>
      <c r="RL276" s="12" t="s">
        <v>37</v>
      </c>
      <c r="RM276" s="11" t="s">
        <v>37</v>
      </c>
      <c r="RN276" s="12" t="s">
        <v>37</v>
      </c>
      <c r="RO276" s="12" t="s">
        <v>37</v>
      </c>
      <c r="RP276" s="11" t="s">
        <v>37</v>
      </c>
      <c r="RS276" s="12" t="s">
        <v>37</v>
      </c>
      <c r="RT276" s="12" t="s">
        <v>37</v>
      </c>
      <c r="RU276" s="12" t="s">
        <v>37</v>
      </c>
      <c r="RV276" s="12" t="s">
        <v>37</v>
      </c>
      <c r="RW276" s="12" t="s">
        <v>37</v>
      </c>
      <c r="RX276" s="12" t="s">
        <v>37</v>
      </c>
      <c r="SA276" s="12" t="s">
        <v>37</v>
      </c>
      <c r="SB276" s="12" t="s">
        <v>37</v>
      </c>
      <c r="SC276" s="12" t="s">
        <v>37</v>
      </c>
      <c r="SD276" s="12" t="s">
        <v>37</v>
      </c>
      <c r="SE276" s="12" t="s">
        <v>37</v>
      </c>
      <c r="SF276" s="12" t="s">
        <v>37</v>
      </c>
      <c r="SI276" s="12" t="s">
        <v>37</v>
      </c>
      <c r="SJ276" s="12" t="s">
        <v>37</v>
      </c>
      <c r="SK276" s="13" t="s">
        <v>37</v>
      </c>
      <c r="SM276" s="12" t="s">
        <v>37</v>
      </c>
      <c r="SN276" s="12" t="s">
        <v>37</v>
      </c>
      <c r="SO276" s="13" t="s">
        <v>37</v>
      </c>
      <c r="SU276" s="12" t="s">
        <v>37</v>
      </c>
      <c r="SV276" s="12" t="s">
        <v>37</v>
      </c>
      <c r="SW276" s="12" t="s">
        <v>37</v>
      </c>
      <c r="SX276" s="12" t="s">
        <v>37</v>
      </c>
      <c r="SY276" s="12" t="s">
        <v>37</v>
      </c>
      <c r="SZ276" s="12" t="s">
        <v>37</v>
      </c>
      <c r="TA276" s="12"/>
      <c r="TB276" s="12"/>
      <c r="TE276" s="12" t="s">
        <v>37</v>
      </c>
      <c r="TF276" s="12" t="s">
        <v>37</v>
      </c>
      <c r="TG276" s="12" t="s">
        <v>37</v>
      </c>
      <c r="TH276" s="12" t="s">
        <v>37</v>
      </c>
      <c r="TI276" s="12" t="s">
        <v>37</v>
      </c>
      <c r="TJ276" s="12" t="s">
        <v>37</v>
      </c>
      <c r="TK276" s="12"/>
      <c r="TL276" s="12"/>
      <c r="TO276" s="12" t="s">
        <v>37</v>
      </c>
      <c r="TP276" s="12" t="s">
        <v>37</v>
      </c>
      <c r="TQ276" s="12" t="s">
        <v>37</v>
      </c>
      <c r="TR276" s="12" t="s">
        <v>37</v>
      </c>
      <c r="TS276" s="12" t="s">
        <v>37</v>
      </c>
      <c r="TT276" s="12" t="s">
        <v>37</v>
      </c>
      <c r="TU276" s="12"/>
      <c r="TV276" s="12"/>
      <c r="TY276" s="12" t="s">
        <v>37</v>
      </c>
      <c r="TZ276" s="12" t="s">
        <v>37</v>
      </c>
      <c r="UA276" s="12" t="s">
        <v>37</v>
      </c>
      <c r="UB276" s="12" t="s">
        <v>37</v>
      </c>
      <c r="UC276" s="12" t="s">
        <v>37</v>
      </c>
      <c r="UD276" s="12" t="s">
        <v>37</v>
      </c>
      <c r="UE276" s="12"/>
      <c r="UF276" s="12"/>
      <c r="UI276" s="12" t="s">
        <v>37</v>
      </c>
      <c r="UJ276" s="12" t="s">
        <v>37</v>
      </c>
      <c r="UK276" s="12" t="s">
        <v>37</v>
      </c>
      <c r="UL276" s="12" t="s">
        <v>37</v>
      </c>
      <c r="UM276" s="12" t="s">
        <v>37</v>
      </c>
      <c r="UN276" s="12" t="s">
        <v>37</v>
      </c>
      <c r="UO276" s="12"/>
      <c r="UP276" s="12"/>
      <c r="UR276" s="12" t="s">
        <v>37</v>
      </c>
      <c r="US276" s="12" t="s">
        <v>37</v>
      </c>
      <c r="UT276" s="12" t="s">
        <v>37</v>
      </c>
      <c r="UU276" s="12" t="s">
        <v>37</v>
      </c>
      <c r="UV276" s="12" t="s">
        <v>37</v>
      </c>
      <c r="UW276" s="12" t="s">
        <v>37</v>
      </c>
      <c r="UX276" s="12"/>
      <c r="UY276" s="12"/>
      <c r="VB276" s="12" t="s">
        <v>37</v>
      </c>
      <c r="VC276" s="12" t="s">
        <v>37</v>
      </c>
      <c r="VD276" s="12" t="s">
        <v>37</v>
      </c>
      <c r="VE276" s="12" t="s">
        <v>37</v>
      </c>
      <c r="VF276" s="12" t="s">
        <v>37</v>
      </c>
      <c r="VG276" s="12" t="s">
        <v>37</v>
      </c>
      <c r="VI276" s="12" t="s">
        <v>37</v>
      </c>
      <c r="VJ276" s="12" t="s">
        <v>37</v>
      </c>
      <c r="VK276" s="12" t="s">
        <v>37</v>
      </c>
      <c r="VL276" s="12" t="s">
        <v>37</v>
      </c>
      <c r="VM276" s="12" t="s">
        <v>37</v>
      </c>
      <c r="VN276" s="12" t="s">
        <v>37</v>
      </c>
      <c r="VQ276" s="12" t="s">
        <v>37</v>
      </c>
      <c r="VR276" s="12" t="s">
        <v>37</v>
      </c>
      <c r="VS276" s="12" t="s">
        <v>37</v>
      </c>
      <c r="VT276" s="12" t="s">
        <v>37</v>
      </c>
      <c r="VU276" s="12" t="s">
        <v>37</v>
      </c>
      <c r="VV276" s="12" t="s">
        <v>37</v>
      </c>
      <c r="VW276" s="12"/>
      <c r="VX276" s="12"/>
      <c r="WA276" s="12" t="s">
        <v>37</v>
      </c>
      <c r="WB276" s="12" t="s">
        <v>37</v>
      </c>
      <c r="WC276" s="12" t="s">
        <v>37</v>
      </c>
      <c r="WD276" s="12" t="s">
        <v>37</v>
      </c>
      <c r="WE276" s="12" t="s">
        <v>37</v>
      </c>
      <c r="WF276" s="12" t="s">
        <v>37</v>
      </c>
    </row>
    <row r="277" spans="1:604" ht="18" customHeight="1" x14ac:dyDescent="0.3">
      <c r="A277" s="11">
        <v>69</v>
      </c>
      <c r="B277" s="16" t="s">
        <v>397</v>
      </c>
      <c r="C277" s="12" t="s">
        <v>26</v>
      </c>
      <c r="D277" s="12" t="s">
        <v>973</v>
      </c>
      <c r="E277" s="40">
        <v>2</v>
      </c>
      <c r="F277" s="14">
        <v>0</v>
      </c>
      <c r="G277" s="14">
        <v>0</v>
      </c>
      <c r="H277" s="12" t="s">
        <v>356</v>
      </c>
      <c r="I277" s="29">
        <v>52.466999999999999</v>
      </c>
      <c r="J277" s="29">
        <v>-3.75</v>
      </c>
      <c r="K277" s="12" t="s">
        <v>671</v>
      </c>
      <c r="L277" s="12" t="s">
        <v>672</v>
      </c>
      <c r="M277" s="13" t="s">
        <v>37</v>
      </c>
      <c r="N277" s="14" t="s">
        <v>37</v>
      </c>
      <c r="O277" s="14">
        <v>2098.7988217663165</v>
      </c>
      <c r="P277" s="14" t="s">
        <v>16</v>
      </c>
      <c r="Q277" s="75" t="s">
        <v>326</v>
      </c>
      <c r="R277" s="11" t="s">
        <v>1000</v>
      </c>
      <c r="S277" s="12" t="s">
        <v>93</v>
      </c>
      <c r="T277" s="12" t="s">
        <v>141</v>
      </c>
      <c r="U277" s="12" t="s">
        <v>158</v>
      </c>
      <c r="V277" s="12" t="s">
        <v>275</v>
      </c>
      <c r="W277" s="23" t="s">
        <v>398</v>
      </c>
      <c r="X277" s="12" t="s">
        <v>281</v>
      </c>
      <c r="Y277" s="12" t="s">
        <v>37</v>
      </c>
      <c r="Z277" s="12" t="s">
        <v>37</v>
      </c>
      <c r="AA277" s="32" t="s">
        <v>345</v>
      </c>
      <c r="AB277" s="12">
        <v>4.7</v>
      </c>
      <c r="AE277" s="12" t="s">
        <v>37</v>
      </c>
      <c r="AH277" s="12" t="s">
        <v>37</v>
      </c>
      <c r="AK277" s="12" t="s">
        <v>37</v>
      </c>
      <c r="AL277" s="32">
        <v>1995</v>
      </c>
      <c r="AM277" s="12" t="s">
        <v>344</v>
      </c>
      <c r="AO277" s="12" t="s">
        <v>37</v>
      </c>
      <c r="AP277" s="12" t="s">
        <v>108</v>
      </c>
      <c r="AQ277" s="12" t="s">
        <v>975</v>
      </c>
      <c r="AT277" s="12" t="s">
        <v>326</v>
      </c>
      <c r="AU277" s="12" t="s">
        <v>326</v>
      </c>
      <c r="AV277" s="13" t="s">
        <v>326</v>
      </c>
      <c r="AX277" s="12" t="s">
        <v>326</v>
      </c>
      <c r="AY277" s="12" t="s">
        <v>326</v>
      </c>
      <c r="AZ277" s="13" t="s">
        <v>326</v>
      </c>
      <c r="BE277" s="12" t="s">
        <v>326</v>
      </c>
      <c r="BF277" s="12" t="s">
        <v>326</v>
      </c>
      <c r="BG277" s="12" t="s">
        <v>326</v>
      </c>
      <c r="BI277" s="12" t="s">
        <v>326</v>
      </c>
      <c r="BJ277" s="12" t="s">
        <v>326</v>
      </c>
      <c r="BK277" s="12" t="s">
        <v>326</v>
      </c>
      <c r="BP277" s="12" t="s">
        <v>37</v>
      </c>
      <c r="BQ277" s="12" t="s">
        <v>37</v>
      </c>
      <c r="BR277" s="13" t="s">
        <v>37</v>
      </c>
      <c r="BT277" s="12" t="s">
        <v>37</v>
      </c>
      <c r="BU277" s="12" t="s">
        <v>37</v>
      </c>
      <c r="BV277" s="12" t="s">
        <v>37</v>
      </c>
      <c r="CA277" s="12" t="s">
        <v>37</v>
      </c>
      <c r="CB277" s="12" t="s">
        <v>37</v>
      </c>
      <c r="CC277" s="13" t="s">
        <v>37</v>
      </c>
      <c r="CE277" s="12" t="s">
        <v>37</v>
      </c>
      <c r="CF277" s="12" t="s">
        <v>37</v>
      </c>
      <c r="CG277" s="12" t="s">
        <v>37</v>
      </c>
      <c r="CN277" s="12" t="s">
        <v>37</v>
      </c>
      <c r="CO277" s="12" t="s">
        <v>37</v>
      </c>
      <c r="CP277" s="13" t="s">
        <v>37</v>
      </c>
      <c r="CR277" s="12" t="s">
        <v>37</v>
      </c>
      <c r="CS277" s="12" t="s">
        <v>37</v>
      </c>
      <c r="CT277" s="13" t="s">
        <v>37</v>
      </c>
      <c r="CX277" s="72"/>
      <c r="CY277" s="72"/>
      <c r="DA277" s="12" t="s">
        <v>37</v>
      </c>
      <c r="DB277" s="12" t="s">
        <v>37</v>
      </c>
      <c r="DC277" s="13" t="s">
        <v>37</v>
      </c>
      <c r="DE277" s="12" t="s">
        <v>37</v>
      </c>
      <c r="DF277" s="12" t="s">
        <v>37</v>
      </c>
      <c r="DG277" s="12" t="s">
        <v>37</v>
      </c>
      <c r="DM277" s="11" t="s">
        <v>47</v>
      </c>
      <c r="DN277" s="19">
        <v>161.00136320152035</v>
      </c>
      <c r="DO277" s="12">
        <v>78.597780685425604</v>
      </c>
      <c r="DP277" s="13">
        <v>5</v>
      </c>
      <c r="DQ277" s="19">
        <f t="shared" si="1237"/>
        <v>0.48818083973020299</v>
      </c>
      <c r="DR277" s="19">
        <v>91.076976090565751</v>
      </c>
      <c r="DS277" s="12">
        <v>23.599794088555864</v>
      </c>
      <c r="DT277" s="13">
        <v>5</v>
      </c>
      <c r="DU277" s="19">
        <f t="shared" si="1238"/>
        <v>0.25911920994268123</v>
      </c>
      <c r="DV277" s="19">
        <f t="shared" si="1211"/>
        <v>-69.924387110954598</v>
      </c>
      <c r="DW277" s="12">
        <f t="shared" si="1212"/>
        <v>58.02827504629316</v>
      </c>
      <c r="DX277" s="72">
        <f t="shared" si="1124"/>
        <v>1346.9122819392999</v>
      </c>
      <c r="DY277" s="72">
        <f t="shared" si="1125"/>
        <v>1346.9122819392999</v>
      </c>
      <c r="EA277" s="19" t="s">
        <v>37</v>
      </c>
      <c r="EB277" s="19" t="s">
        <v>37</v>
      </c>
      <c r="EC277" s="72" t="s">
        <v>37</v>
      </c>
      <c r="EE277" s="19" t="s">
        <v>37</v>
      </c>
      <c r="EF277" s="19" t="s">
        <v>37</v>
      </c>
      <c r="EG277" s="12" t="s">
        <v>37</v>
      </c>
      <c r="EM277" s="12" t="s">
        <v>39</v>
      </c>
      <c r="EN277" s="12">
        <v>0.28104575163398426</v>
      </c>
      <c r="EO277" s="12">
        <v>1.0823202980922819</v>
      </c>
      <c r="EP277" s="13">
        <v>5</v>
      </c>
      <c r="EQ277" s="19">
        <f t="shared" si="1239"/>
        <v>3.8510466420493188</v>
      </c>
      <c r="ER277" s="12">
        <v>0.57352941176470584</v>
      </c>
      <c r="ES277" s="12">
        <v>0.95907460925260324</v>
      </c>
      <c r="ET277" s="13">
        <v>5</v>
      </c>
      <c r="EU277" s="19">
        <f t="shared" si="1240"/>
        <v>1.67223265203018</v>
      </c>
      <c r="EV277" s="19">
        <f t="shared" si="1233"/>
        <v>0.29248366013072158</v>
      </c>
      <c r="EW277" s="12">
        <f t="shared" si="1234"/>
        <v>1.022555948047734</v>
      </c>
      <c r="EX277" s="19">
        <f t="shared" si="1235"/>
        <v>0.41824826675511995</v>
      </c>
      <c r="EY277" s="19">
        <f t="shared" si="1236"/>
        <v>0.41824826675511995</v>
      </c>
      <c r="FB277" s="12" t="s">
        <v>37</v>
      </c>
      <c r="FC277" s="12" t="s">
        <v>37</v>
      </c>
      <c r="FD277" s="12" t="s">
        <v>37</v>
      </c>
      <c r="FE277" s="12" t="s">
        <v>37</v>
      </c>
      <c r="FF277" s="20" t="s">
        <v>37</v>
      </c>
      <c r="FG277" s="12" t="s">
        <v>37</v>
      </c>
      <c r="FI277" s="12" t="s">
        <v>37</v>
      </c>
      <c r="FJ277" s="12" t="s">
        <v>37</v>
      </c>
      <c r="FK277" s="12" t="s">
        <v>37</v>
      </c>
      <c r="FL277" s="12" t="s">
        <v>37</v>
      </c>
      <c r="FM277" s="12" t="s">
        <v>37</v>
      </c>
      <c r="FN277" s="12" t="s">
        <v>37</v>
      </c>
      <c r="FP277" s="12" t="s">
        <v>37</v>
      </c>
      <c r="FQ277" s="12" t="s">
        <v>37</v>
      </c>
      <c r="FR277" s="12" t="s">
        <v>37</v>
      </c>
      <c r="FS277" s="12" t="s">
        <v>37</v>
      </c>
      <c r="FT277" s="12" t="s">
        <v>37</v>
      </c>
      <c r="FU277" s="12" t="s">
        <v>37</v>
      </c>
      <c r="FW277" s="12" t="s">
        <v>37</v>
      </c>
      <c r="FX277" s="12" t="s">
        <v>37</v>
      </c>
      <c r="FY277" s="12" t="s">
        <v>37</v>
      </c>
      <c r="FZ277" s="12" t="s">
        <v>37</v>
      </c>
      <c r="GA277" s="12" t="s">
        <v>37</v>
      </c>
      <c r="GB277" s="12" t="s">
        <v>37</v>
      </c>
      <c r="IK277" s="12" t="s">
        <v>37</v>
      </c>
      <c r="IL277" s="12" t="s">
        <v>37</v>
      </c>
      <c r="IM277" s="12" t="s">
        <v>37</v>
      </c>
      <c r="IO277" s="12" t="s">
        <v>37</v>
      </c>
      <c r="IP277" s="12" t="s">
        <v>37</v>
      </c>
      <c r="IQ277" s="12" t="s">
        <v>37</v>
      </c>
      <c r="IV277" s="32" t="s">
        <v>345</v>
      </c>
      <c r="IW277" s="12">
        <v>4.7</v>
      </c>
      <c r="JA277" s="13"/>
      <c r="JB277" s="13"/>
      <c r="JH277" s="12" t="s">
        <v>37</v>
      </c>
      <c r="JI277" s="12" t="s">
        <v>37</v>
      </c>
      <c r="JJ277" s="13" t="s">
        <v>37</v>
      </c>
      <c r="JL277" s="12" t="s">
        <v>37</v>
      </c>
      <c r="JM277" s="12" t="s">
        <v>37</v>
      </c>
      <c r="JN277" s="12" t="s">
        <v>37</v>
      </c>
      <c r="JS277" s="12" t="s">
        <v>37</v>
      </c>
      <c r="JT277" s="12" t="s">
        <v>37</v>
      </c>
      <c r="JU277" s="13" t="s">
        <v>37</v>
      </c>
      <c r="JW277" s="12" t="s">
        <v>37</v>
      </c>
      <c r="JX277" s="12" t="s">
        <v>37</v>
      </c>
      <c r="JY277" s="12" t="s">
        <v>37</v>
      </c>
      <c r="KE277" s="12" t="s">
        <v>37</v>
      </c>
      <c r="KF277" s="12" t="s">
        <v>37</v>
      </c>
      <c r="KG277" s="13" t="s">
        <v>37</v>
      </c>
      <c r="KH277" s="12" t="s">
        <v>37</v>
      </c>
      <c r="KI277" s="12" t="s">
        <v>37</v>
      </c>
      <c r="KJ277" s="12" t="s">
        <v>37</v>
      </c>
      <c r="KM277" s="12" t="s">
        <v>37</v>
      </c>
      <c r="KN277" s="12" t="s">
        <v>37</v>
      </c>
      <c r="KO277" s="11" t="s">
        <v>37</v>
      </c>
      <c r="KQ277" s="12" t="s">
        <v>37</v>
      </c>
      <c r="KR277" s="12" t="s">
        <v>37</v>
      </c>
      <c r="KS277" s="12" t="s">
        <v>37</v>
      </c>
      <c r="KX277" s="12" t="s">
        <v>37</v>
      </c>
      <c r="KY277" s="12" t="s">
        <v>37</v>
      </c>
      <c r="KZ277" s="12" t="s">
        <v>37</v>
      </c>
      <c r="LB277" s="12" t="s">
        <v>37</v>
      </c>
      <c r="LC277" s="12" t="s">
        <v>37</v>
      </c>
      <c r="LD277" s="12" t="s">
        <v>37</v>
      </c>
      <c r="LI277" s="12" t="s">
        <v>37</v>
      </c>
      <c r="LJ277" s="12" t="s">
        <v>37</v>
      </c>
      <c r="LK277" s="12" t="s">
        <v>37</v>
      </c>
      <c r="LM277" s="12" t="s">
        <v>37</v>
      </c>
      <c r="LN277" s="12" t="s">
        <v>37</v>
      </c>
      <c r="LO277" s="12" t="s">
        <v>37</v>
      </c>
      <c r="LU277" s="12" t="s">
        <v>37</v>
      </c>
      <c r="LV277" s="12" t="s">
        <v>37</v>
      </c>
      <c r="LW277" s="12" t="s">
        <v>37</v>
      </c>
      <c r="LY277" s="12" t="s">
        <v>37</v>
      </c>
      <c r="LZ277" s="12" t="s">
        <v>37</v>
      </c>
      <c r="MA277" s="12" t="s">
        <v>37</v>
      </c>
      <c r="MF277" s="12" t="s">
        <v>37</v>
      </c>
      <c r="MG277" s="12" t="s">
        <v>37</v>
      </c>
      <c r="MH277" s="12" t="s">
        <v>37</v>
      </c>
      <c r="MJ277" s="12" t="s">
        <v>37</v>
      </c>
      <c r="MK277" s="12" t="s">
        <v>37</v>
      </c>
      <c r="ML277" s="12" t="s">
        <v>37</v>
      </c>
      <c r="MQ277" s="12" t="s">
        <v>37</v>
      </c>
      <c r="MR277" s="12" t="s">
        <v>37</v>
      </c>
      <c r="MS277" s="12" t="s">
        <v>37</v>
      </c>
      <c r="MU277" s="12" t="s">
        <v>37</v>
      </c>
      <c r="MV277" s="12" t="s">
        <v>37</v>
      </c>
      <c r="MW277" s="12" t="s">
        <v>37</v>
      </c>
      <c r="NC277" s="12" t="s">
        <v>37</v>
      </c>
      <c r="ND277" s="12" t="s">
        <v>37</v>
      </c>
      <c r="NE277" s="12" t="s">
        <v>37</v>
      </c>
      <c r="NG277" s="12" t="s">
        <v>37</v>
      </c>
      <c r="NH277" s="12" t="s">
        <v>37</v>
      </c>
      <c r="NI277" s="12" t="s">
        <v>37</v>
      </c>
      <c r="NO277" s="12" t="s">
        <v>37</v>
      </c>
      <c r="NP277" s="12" t="s">
        <v>37</v>
      </c>
      <c r="NQ277" s="12" t="s">
        <v>37</v>
      </c>
      <c r="NS277" s="12" t="s">
        <v>37</v>
      </c>
      <c r="NT277" s="12" t="s">
        <v>37</v>
      </c>
      <c r="NU277" s="12" t="s">
        <v>37</v>
      </c>
      <c r="OA277" s="12" t="s">
        <v>37</v>
      </c>
      <c r="OB277" s="12" t="s">
        <v>37</v>
      </c>
      <c r="OC277" s="12" t="s">
        <v>37</v>
      </c>
      <c r="OD277" s="12"/>
      <c r="OE277" s="12" t="s">
        <v>37</v>
      </c>
      <c r="OF277" s="12" t="s">
        <v>37</v>
      </c>
      <c r="OG277" s="12" t="s">
        <v>37</v>
      </c>
      <c r="OH277" s="12"/>
      <c r="OI277" s="12"/>
      <c r="OJ277" s="12"/>
      <c r="OM277" s="12" t="s">
        <v>37</v>
      </c>
      <c r="ON277" s="12" t="s">
        <v>37</v>
      </c>
      <c r="OO277" s="12" t="s">
        <v>37</v>
      </c>
      <c r="OP277" s="12" t="s">
        <v>37</v>
      </c>
      <c r="OQ277" s="12" t="s">
        <v>37</v>
      </c>
      <c r="OR277" s="12" t="s">
        <v>37</v>
      </c>
      <c r="OS277" s="12"/>
      <c r="OT277" s="12"/>
      <c r="OW277" s="12" t="s">
        <v>37</v>
      </c>
      <c r="OX277" s="12" t="s">
        <v>37</v>
      </c>
      <c r="OY277" s="13" t="s">
        <v>37</v>
      </c>
      <c r="OZ277" s="12" t="s">
        <v>37</v>
      </c>
      <c r="PA277" s="12" t="s">
        <v>37</v>
      </c>
      <c r="PB277" s="13" t="s">
        <v>37</v>
      </c>
      <c r="PG277" s="12" t="s">
        <v>37</v>
      </c>
      <c r="PH277" s="12" t="s">
        <v>37</v>
      </c>
      <c r="PI277" s="12" t="s">
        <v>37</v>
      </c>
      <c r="PJ277" s="12" t="s">
        <v>37</v>
      </c>
      <c r="PK277" s="12" t="s">
        <v>37</v>
      </c>
      <c r="PL277" s="12" t="s">
        <v>37</v>
      </c>
      <c r="PM277" s="12"/>
      <c r="PN277" s="12"/>
      <c r="PQ277" s="12" t="s">
        <v>37</v>
      </c>
      <c r="PR277" s="12" t="s">
        <v>37</v>
      </c>
      <c r="PS277" s="12" t="s">
        <v>37</v>
      </c>
      <c r="PT277" s="12" t="s">
        <v>37</v>
      </c>
      <c r="PU277" s="12" t="s">
        <v>37</v>
      </c>
      <c r="PV277" s="12" t="s">
        <v>37</v>
      </c>
      <c r="PW277" s="12"/>
      <c r="PX277" s="12"/>
      <c r="PZ277" s="12" t="s">
        <v>37</v>
      </c>
      <c r="QA277" s="12" t="s">
        <v>37</v>
      </c>
      <c r="QB277" s="12" t="s">
        <v>37</v>
      </c>
      <c r="QD277" s="12" t="s">
        <v>37</v>
      </c>
      <c r="QE277" s="12" t="s">
        <v>37</v>
      </c>
      <c r="QF277" s="12" t="s">
        <v>37</v>
      </c>
      <c r="QK277" s="12" t="s">
        <v>37</v>
      </c>
      <c r="QL277" s="12" t="s">
        <v>37</v>
      </c>
      <c r="QM277" s="12" t="s">
        <v>37</v>
      </c>
      <c r="QN277" s="12" t="s">
        <v>37</v>
      </c>
      <c r="QO277" s="12" t="s">
        <v>37</v>
      </c>
      <c r="QP277" s="12" t="s">
        <v>37</v>
      </c>
      <c r="QQ277" s="12"/>
      <c r="QR277" s="12"/>
      <c r="QU277" s="12" t="s">
        <v>37</v>
      </c>
      <c r="QV277" s="12" t="s">
        <v>37</v>
      </c>
      <c r="QW277" s="12" t="s">
        <v>37</v>
      </c>
      <c r="QX277" s="12" t="s">
        <v>37</v>
      </c>
      <c r="QY277" s="12" t="s">
        <v>37</v>
      </c>
      <c r="QZ277" s="12" t="s">
        <v>37</v>
      </c>
      <c r="RC277" s="12" t="s">
        <v>37</v>
      </c>
      <c r="RD277" s="12" t="s">
        <v>37</v>
      </c>
      <c r="RE277" s="13" t="s">
        <v>37</v>
      </c>
      <c r="RF277" s="12" t="s">
        <v>37</v>
      </c>
      <c r="RG277" s="12" t="s">
        <v>37</v>
      </c>
      <c r="RH277" s="13" t="s">
        <v>37</v>
      </c>
      <c r="RK277" s="12" t="s">
        <v>37</v>
      </c>
      <c r="RL277" s="12" t="s">
        <v>37</v>
      </c>
      <c r="RM277" s="11" t="s">
        <v>37</v>
      </c>
      <c r="RN277" s="12" t="s">
        <v>37</v>
      </c>
      <c r="RO277" s="12" t="s">
        <v>37</v>
      </c>
      <c r="RP277" s="11" t="s">
        <v>37</v>
      </c>
      <c r="RS277" s="12" t="s">
        <v>37</v>
      </c>
      <c r="RT277" s="12" t="s">
        <v>37</v>
      </c>
      <c r="RU277" s="12" t="s">
        <v>37</v>
      </c>
      <c r="RV277" s="12" t="s">
        <v>37</v>
      </c>
      <c r="RW277" s="12" t="s">
        <v>37</v>
      </c>
      <c r="RX277" s="12" t="s">
        <v>37</v>
      </c>
      <c r="SA277" s="12" t="s">
        <v>37</v>
      </c>
      <c r="SB277" s="12" t="s">
        <v>37</v>
      </c>
      <c r="SC277" s="12" t="s">
        <v>37</v>
      </c>
      <c r="SD277" s="12" t="s">
        <v>37</v>
      </c>
      <c r="SE277" s="12" t="s">
        <v>37</v>
      </c>
      <c r="SF277" s="12" t="s">
        <v>37</v>
      </c>
      <c r="SI277" s="12" t="s">
        <v>37</v>
      </c>
      <c r="SJ277" s="12" t="s">
        <v>37</v>
      </c>
      <c r="SK277" s="13" t="s">
        <v>37</v>
      </c>
      <c r="SM277" s="12" t="s">
        <v>37</v>
      </c>
      <c r="SN277" s="12" t="s">
        <v>37</v>
      </c>
      <c r="SO277" s="13" t="s">
        <v>37</v>
      </c>
      <c r="SU277" s="12" t="s">
        <v>37</v>
      </c>
      <c r="SV277" s="12" t="s">
        <v>37</v>
      </c>
      <c r="SW277" s="12" t="s">
        <v>37</v>
      </c>
      <c r="SX277" s="12" t="s">
        <v>37</v>
      </c>
      <c r="SY277" s="12" t="s">
        <v>37</v>
      </c>
      <c r="SZ277" s="12" t="s">
        <v>37</v>
      </c>
      <c r="TA277" s="12"/>
      <c r="TB277" s="12"/>
      <c r="TE277" s="12" t="s">
        <v>37</v>
      </c>
      <c r="TF277" s="12" t="s">
        <v>37</v>
      </c>
      <c r="TG277" s="12" t="s">
        <v>37</v>
      </c>
      <c r="TH277" s="12" t="s">
        <v>37</v>
      </c>
      <c r="TI277" s="12" t="s">
        <v>37</v>
      </c>
      <c r="TJ277" s="12" t="s">
        <v>37</v>
      </c>
      <c r="TK277" s="12"/>
      <c r="TL277" s="12"/>
      <c r="TO277" s="12" t="s">
        <v>37</v>
      </c>
      <c r="TP277" s="12" t="s">
        <v>37</v>
      </c>
      <c r="TQ277" s="12" t="s">
        <v>37</v>
      </c>
      <c r="TR277" s="12" t="s">
        <v>37</v>
      </c>
      <c r="TS277" s="12" t="s">
        <v>37</v>
      </c>
      <c r="TT277" s="12" t="s">
        <v>37</v>
      </c>
      <c r="TU277" s="12"/>
      <c r="TV277" s="12"/>
      <c r="TY277" s="12" t="s">
        <v>37</v>
      </c>
      <c r="TZ277" s="12" t="s">
        <v>37</v>
      </c>
      <c r="UA277" s="12" t="s">
        <v>37</v>
      </c>
      <c r="UB277" s="12" t="s">
        <v>37</v>
      </c>
      <c r="UC277" s="12" t="s">
        <v>37</v>
      </c>
      <c r="UD277" s="12" t="s">
        <v>37</v>
      </c>
      <c r="UE277" s="12"/>
      <c r="UF277" s="12"/>
      <c r="UI277" s="12" t="s">
        <v>37</v>
      </c>
      <c r="UJ277" s="12" t="s">
        <v>37</v>
      </c>
      <c r="UK277" s="12" t="s">
        <v>37</v>
      </c>
      <c r="UL277" s="12" t="s">
        <v>37</v>
      </c>
      <c r="UM277" s="12" t="s">
        <v>37</v>
      </c>
      <c r="UN277" s="12" t="s">
        <v>37</v>
      </c>
      <c r="UO277" s="12"/>
      <c r="UP277" s="12"/>
      <c r="UR277" s="12" t="s">
        <v>37</v>
      </c>
      <c r="US277" s="12" t="s">
        <v>37</v>
      </c>
      <c r="UT277" s="12" t="s">
        <v>37</v>
      </c>
      <c r="UU277" s="12" t="s">
        <v>37</v>
      </c>
      <c r="UV277" s="12" t="s">
        <v>37</v>
      </c>
      <c r="UW277" s="12" t="s">
        <v>37</v>
      </c>
      <c r="UX277" s="12"/>
      <c r="UY277" s="12"/>
      <c r="VB277" s="12" t="s">
        <v>37</v>
      </c>
      <c r="VC277" s="12" t="s">
        <v>37</v>
      </c>
      <c r="VD277" s="12" t="s">
        <v>37</v>
      </c>
      <c r="VE277" s="12" t="s">
        <v>37</v>
      </c>
      <c r="VF277" s="12" t="s">
        <v>37</v>
      </c>
      <c r="VG277" s="12" t="s">
        <v>37</v>
      </c>
      <c r="VI277" s="12" t="s">
        <v>37</v>
      </c>
      <c r="VJ277" s="12" t="s">
        <v>37</v>
      </c>
      <c r="VK277" s="12" t="s">
        <v>37</v>
      </c>
      <c r="VL277" s="12" t="s">
        <v>37</v>
      </c>
      <c r="VM277" s="12" t="s">
        <v>37</v>
      </c>
      <c r="VN277" s="12" t="s">
        <v>37</v>
      </c>
      <c r="VQ277" s="12" t="s">
        <v>37</v>
      </c>
      <c r="VR277" s="12" t="s">
        <v>37</v>
      </c>
      <c r="VS277" s="12" t="s">
        <v>37</v>
      </c>
      <c r="VT277" s="12" t="s">
        <v>37</v>
      </c>
      <c r="VU277" s="12" t="s">
        <v>37</v>
      </c>
      <c r="VV277" s="12" t="s">
        <v>37</v>
      </c>
      <c r="VW277" s="12"/>
      <c r="VX277" s="12"/>
      <c r="WA277" s="12" t="s">
        <v>37</v>
      </c>
      <c r="WB277" s="12" t="s">
        <v>37</v>
      </c>
      <c r="WC277" s="12" t="s">
        <v>37</v>
      </c>
      <c r="WD277" s="12" t="s">
        <v>37</v>
      </c>
      <c r="WE277" s="12" t="s">
        <v>37</v>
      </c>
      <c r="WF277" s="12" t="s">
        <v>37</v>
      </c>
    </row>
    <row r="278" spans="1:604" ht="18" customHeight="1" x14ac:dyDescent="0.3">
      <c r="A278" s="11">
        <v>69</v>
      </c>
      <c r="B278" s="16" t="s">
        <v>397</v>
      </c>
      <c r="C278" s="12" t="s">
        <v>26</v>
      </c>
      <c r="D278" s="12" t="s">
        <v>973</v>
      </c>
      <c r="E278" s="40">
        <v>2</v>
      </c>
      <c r="F278" s="14">
        <v>0</v>
      </c>
      <c r="G278" s="14">
        <v>0</v>
      </c>
      <c r="H278" s="12" t="s">
        <v>356</v>
      </c>
      <c r="I278" s="29">
        <v>52.466999999999999</v>
      </c>
      <c r="J278" s="29">
        <v>-3.75</v>
      </c>
      <c r="K278" s="12" t="s">
        <v>671</v>
      </c>
      <c r="L278" s="12" t="s">
        <v>672</v>
      </c>
      <c r="M278" s="13" t="s">
        <v>37</v>
      </c>
      <c r="N278" s="14" t="s">
        <v>37</v>
      </c>
      <c r="O278" s="14">
        <v>2024.1732210221696</v>
      </c>
      <c r="P278" s="14" t="s">
        <v>16</v>
      </c>
      <c r="Q278" s="75" t="s">
        <v>326</v>
      </c>
      <c r="R278" s="11" t="s">
        <v>1000</v>
      </c>
      <c r="S278" s="12" t="s">
        <v>93</v>
      </c>
      <c r="T278" s="12" t="s">
        <v>141</v>
      </c>
      <c r="U278" s="12" t="s">
        <v>158</v>
      </c>
      <c r="V278" s="12" t="s">
        <v>275</v>
      </c>
      <c r="W278" s="23" t="s">
        <v>398</v>
      </c>
      <c r="X278" s="12" t="s">
        <v>281</v>
      </c>
      <c r="Y278" s="12" t="s">
        <v>37</v>
      </c>
      <c r="Z278" s="12" t="s">
        <v>37</v>
      </c>
      <c r="AA278" s="32" t="s">
        <v>345</v>
      </c>
      <c r="AB278" s="12">
        <v>4.7</v>
      </c>
      <c r="AE278" s="12" t="s">
        <v>37</v>
      </c>
      <c r="AH278" s="12" t="s">
        <v>37</v>
      </c>
      <c r="AK278" s="12" t="s">
        <v>37</v>
      </c>
      <c r="AL278" s="32">
        <v>1996</v>
      </c>
      <c r="AM278" s="12" t="s">
        <v>344</v>
      </c>
      <c r="AO278" s="12" t="s">
        <v>37</v>
      </c>
      <c r="AP278" s="12" t="s">
        <v>108</v>
      </c>
      <c r="AQ278" s="12" t="s">
        <v>975</v>
      </c>
      <c r="AT278" s="12" t="s">
        <v>326</v>
      </c>
      <c r="AU278" s="12" t="s">
        <v>326</v>
      </c>
      <c r="AV278" s="13" t="s">
        <v>326</v>
      </c>
      <c r="AX278" s="12" t="s">
        <v>326</v>
      </c>
      <c r="AY278" s="12" t="s">
        <v>326</v>
      </c>
      <c r="AZ278" s="13" t="s">
        <v>326</v>
      </c>
      <c r="BE278" s="12" t="s">
        <v>326</v>
      </c>
      <c r="BF278" s="12" t="s">
        <v>326</v>
      </c>
      <c r="BG278" s="12" t="s">
        <v>326</v>
      </c>
      <c r="BI278" s="12" t="s">
        <v>326</v>
      </c>
      <c r="BJ278" s="12" t="s">
        <v>326</v>
      </c>
      <c r="BK278" s="12" t="s">
        <v>326</v>
      </c>
      <c r="BP278" s="12" t="s">
        <v>37</v>
      </c>
      <c r="BQ278" s="12" t="s">
        <v>37</v>
      </c>
      <c r="BR278" s="13" t="s">
        <v>37</v>
      </c>
      <c r="BT278" s="12" t="s">
        <v>37</v>
      </c>
      <c r="BU278" s="12" t="s">
        <v>37</v>
      </c>
      <c r="BV278" s="12" t="s">
        <v>37</v>
      </c>
      <c r="CA278" s="12" t="s">
        <v>37</v>
      </c>
      <c r="CB278" s="12" t="s">
        <v>37</v>
      </c>
      <c r="CC278" s="13" t="s">
        <v>37</v>
      </c>
      <c r="CE278" s="12" t="s">
        <v>37</v>
      </c>
      <c r="CF278" s="12" t="s">
        <v>37</v>
      </c>
      <c r="CG278" s="12" t="s">
        <v>37</v>
      </c>
      <c r="CN278" s="12" t="s">
        <v>37</v>
      </c>
      <c r="CO278" s="12" t="s">
        <v>37</v>
      </c>
      <c r="CP278" s="13" t="s">
        <v>37</v>
      </c>
      <c r="CR278" s="12" t="s">
        <v>37</v>
      </c>
      <c r="CS278" s="12" t="s">
        <v>37</v>
      </c>
      <c r="CT278" s="13" t="s">
        <v>37</v>
      </c>
      <c r="CX278" s="72"/>
      <c r="CY278" s="72"/>
      <c r="DA278" s="12" t="s">
        <v>37</v>
      </c>
      <c r="DB278" s="12" t="s">
        <v>37</v>
      </c>
      <c r="DC278" s="13" t="s">
        <v>37</v>
      </c>
      <c r="DE278" s="12" t="s">
        <v>37</v>
      </c>
      <c r="DF278" s="12" t="s">
        <v>37</v>
      </c>
      <c r="DG278" s="12" t="s">
        <v>37</v>
      </c>
      <c r="DM278" s="11" t="s">
        <v>47</v>
      </c>
      <c r="DN278" s="19">
        <v>33.182385393713595</v>
      </c>
      <c r="DO278" s="12">
        <v>11.04758962718873</v>
      </c>
      <c r="DP278" s="13">
        <v>5</v>
      </c>
      <c r="DQ278" s="19">
        <f t="shared" si="1237"/>
        <v>0.33293536604157747</v>
      </c>
      <c r="DR278" s="19">
        <v>70.577515694920223</v>
      </c>
      <c r="DS278" s="12">
        <v>17.997218807343039</v>
      </c>
      <c r="DT278" s="13">
        <v>5</v>
      </c>
      <c r="DU278" s="19">
        <f t="shared" si="1238"/>
        <v>0.25499932422016913</v>
      </c>
      <c r="DV278" s="19">
        <f t="shared" si="1211"/>
        <v>37.395130301206628</v>
      </c>
      <c r="DW278" s="12">
        <f t="shared" si="1212"/>
        <v>14.932332727510294</v>
      </c>
      <c r="DX278" s="72">
        <f t="shared" si="1124"/>
        <v>89.189824274030002</v>
      </c>
      <c r="DY278" s="72">
        <f t="shared" si="1125"/>
        <v>89.189824274030002</v>
      </c>
      <c r="EA278" s="19" t="s">
        <v>37</v>
      </c>
      <c r="EB278" s="19" t="s">
        <v>37</v>
      </c>
      <c r="EC278" s="72" t="s">
        <v>37</v>
      </c>
      <c r="EE278" s="19" t="s">
        <v>37</v>
      </c>
      <c r="EF278" s="19" t="s">
        <v>37</v>
      </c>
      <c r="EG278" s="12" t="s">
        <v>37</v>
      </c>
      <c r="EM278" s="12" t="s">
        <v>39</v>
      </c>
      <c r="EN278" s="12">
        <v>1.4575163398692808</v>
      </c>
      <c r="EO278" s="12">
        <v>0.75703059071343026</v>
      </c>
      <c r="EP278" s="13">
        <v>5</v>
      </c>
      <c r="EQ278" s="19">
        <f t="shared" si="1239"/>
        <v>0.51939766986168101</v>
      </c>
      <c r="ER278" s="12">
        <v>1.1487889273356398</v>
      </c>
      <c r="ES278" s="12">
        <v>0.755435518283471</v>
      </c>
      <c r="ET278" s="13">
        <v>5</v>
      </c>
      <c r="EU278" s="19">
        <f t="shared" si="1240"/>
        <v>0.6575929662166361</v>
      </c>
      <c r="EV278" s="19">
        <f t="shared" si="1233"/>
        <v>-0.308727412533641</v>
      </c>
      <c r="EW278" s="12">
        <f t="shared" si="1234"/>
        <v>0.75623347504594829</v>
      </c>
      <c r="EX278" s="19">
        <f t="shared" si="1235"/>
        <v>0.22875562751202835</v>
      </c>
      <c r="EY278" s="19">
        <f t="shared" si="1236"/>
        <v>0.22875562751202833</v>
      </c>
      <c r="FB278" s="12" t="s">
        <v>37</v>
      </c>
      <c r="FC278" s="12" t="s">
        <v>37</v>
      </c>
      <c r="FD278" s="12" t="s">
        <v>37</v>
      </c>
      <c r="FE278" s="12" t="s">
        <v>37</v>
      </c>
      <c r="FF278" s="20" t="s">
        <v>37</v>
      </c>
      <c r="FG278" s="12" t="s">
        <v>37</v>
      </c>
      <c r="FI278" s="12" t="s">
        <v>37</v>
      </c>
      <c r="FJ278" s="12" t="s">
        <v>37</v>
      </c>
      <c r="FK278" s="12" t="s">
        <v>37</v>
      </c>
      <c r="FL278" s="12" t="s">
        <v>37</v>
      </c>
      <c r="FM278" s="12" t="s">
        <v>37</v>
      </c>
      <c r="FN278" s="12" t="s">
        <v>37</v>
      </c>
      <c r="FP278" s="12" t="s">
        <v>37</v>
      </c>
      <c r="FQ278" s="12" t="s">
        <v>37</v>
      </c>
      <c r="FR278" s="12" t="s">
        <v>37</v>
      </c>
      <c r="FS278" s="12" t="s">
        <v>37</v>
      </c>
      <c r="FT278" s="12" t="s">
        <v>37</v>
      </c>
      <c r="FU278" s="12" t="s">
        <v>37</v>
      </c>
      <c r="FW278" s="12" t="s">
        <v>37</v>
      </c>
      <c r="FX278" s="12" t="s">
        <v>37</v>
      </c>
      <c r="FY278" s="12" t="s">
        <v>37</v>
      </c>
      <c r="FZ278" s="12" t="s">
        <v>37</v>
      </c>
      <c r="GA278" s="12" t="s">
        <v>37</v>
      </c>
      <c r="GB278" s="12" t="s">
        <v>37</v>
      </c>
      <c r="IK278" s="12" t="s">
        <v>37</v>
      </c>
      <c r="IL278" s="12" t="s">
        <v>37</v>
      </c>
      <c r="IM278" s="12" t="s">
        <v>37</v>
      </c>
      <c r="IO278" s="12" t="s">
        <v>37</v>
      </c>
      <c r="IP278" s="12" t="s">
        <v>37</v>
      </c>
      <c r="IQ278" s="12" t="s">
        <v>37</v>
      </c>
      <c r="IV278" s="32" t="s">
        <v>345</v>
      </c>
      <c r="IW278" s="12">
        <v>4.7</v>
      </c>
      <c r="JA278" s="13"/>
      <c r="JB278" s="13"/>
      <c r="JH278" s="12" t="s">
        <v>37</v>
      </c>
      <c r="JI278" s="12" t="s">
        <v>37</v>
      </c>
      <c r="JJ278" s="13" t="s">
        <v>37</v>
      </c>
      <c r="JL278" s="12" t="s">
        <v>37</v>
      </c>
      <c r="JM278" s="12" t="s">
        <v>37</v>
      </c>
      <c r="JN278" s="12" t="s">
        <v>37</v>
      </c>
      <c r="JS278" s="12" t="s">
        <v>37</v>
      </c>
      <c r="JT278" s="12" t="s">
        <v>37</v>
      </c>
      <c r="JU278" s="13" t="s">
        <v>37</v>
      </c>
      <c r="JW278" s="12" t="s">
        <v>37</v>
      </c>
      <c r="JX278" s="12" t="s">
        <v>37</v>
      </c>
      <c r="JY278" s="12" t="s">
        <v>37</v>
      </c>
      <c r="KE278" s="12" t="s">
        <v>37</v>
      </c>
      <c r="KF278" s="12" t="s">
        <v>37</v>
      </c>
      <c r="KG278" s="13" t="s">
        <v>37</v>
      </c>
      <c r="KH278" s="12" t="s">
        <v>37</v>
      </c>
      <c r="KI278" s="12" t="s">
        <v>37</v>
      </c>
      <c r="KJ278" s="12" t="s">
        <v>37</v>
      </c>
      <c r="KM278" s="12" t="s">
        <v>37</v>
      </c>
      <c r="KN278" s="12" t="s">
        <v>37</v>
      </c>
      <c r="KO278" s="11" t="s">
        <v>37</v>
      </c>
      <c r="KQ278" s="12" t="s">
        <v>37</v>
      </c>
      <c r="KR278" s="12" t="s">
        <v>37</v>
      </c>
      <c r="KS278" s="12" t="s">
        <v>37</v>
      </c>
      <c r="KX278" s="12" t="s">
        <v>37</v>
      </c>
      <c r="KY278" s="12" t="s">
        <v>37</v>
      </c>
      <c r="KZ278" s="12" t="s">
        <v>37</v>
      </c>
      <c r="LB278" s="12" t="s">
        <v>37</v>
      </c>
      <c r="LC278" s="12" t="s">
        <v>37</v>
      </c>
      <c r="LD278" s="12" t="s">
        <v>37</v>
      </c>
      <c r="LI278" s="12" t="s">
        <v>37</v>
      </c>
      <c r="LJ278" s="12" t="s">
        <v>37</v>
      </c>
      <c r="LK278" s="12" t="s">
        <v>37</v>
      </c>
      <c r="LM278" s="12" t="s">
        <v>37</v>
      </c>
      <c r="LN278" s="12" t="s">
        <v>37</v>
      </c>
      <c r="LO278" s="12" t="s">
        <v>37</v>
      </c>
      <c r="LU278" s="12" t="s">
        <v>37</v>
      </c>
      <c r="LV278" s="12" t="s">
        <v>37</v>
      </c>
      <c r="LW278" s="12" t="s">
        <v>37</v>
      </c>
      <c r="LY278" s="12" t="s">
        <v>37</v>
      </c>
      <c r="LZ278" s="12" t="s">
        <v>37</v>
      </c>
      <c r="MA278" s="12" t="s">
        <v>37</v>
      </c>
      <c r="MF278" s="12" t="s">
        <v>37</v>
      </c>
      <c r="MG278" s="12" t="s">
        <v>37</v>
      </c>
      <c r="MH278" s="12" t="s">
        <v>37</v>
      </c>
      <c r="MJ278" s="12" t="s">
        <v>37</v>
      </c>
      <c r="MK278" s="12" t="s">
        <v>37</v>
      </c>
      <c r="ML278" s="12" t="s">
        <v>37</v>
      </c>
      <c r="MQ278" s="12" t="s">
        <v>37</v>
      </c>
      <c r="MR278" s="12" t="s">
        <v>37</v>
      </c>
      <c r="MS278" s="12" t="s">
        <v>37</v>
      </c>
      <c r="MU278" s="12" t="s">
        <v>37</v>
      </c>
      <c r="MV278" s="12" t="s">
        <v>37</v>
      </c>
      <c r="MW278" s="12" t="s">
        <v>37</v>
      </c>
      <c r="NC278" s="12" t="s">
        <v>37</v>
      </c>
      <c r="ND278" s="12" t="s">
        <v>37</v>
      </c>
      <c r="NE278" s="12" t="s">
        <v>37</v>
      </c>
      <c r="NG278" s="12" t="s">
        <v>37</v>
      </c>
      <c r="NH278" s="12" t="s">
        <v>37</v>
      </c>
      <c r="NI278" s="12" t="s">
        <v>37</v>
      </c>
      <c r="NO278" s="12" t="s">
        <v>37</v>
      </c>
      <c r="NP278" s="12" t="s">
        <v>37</v>
      </c>
      <c r="NQ278" s="12" t="s">
        <v>37</v>
      </c>
      <c r="NS278" s="12" t="s">
        <v>37</v>
      </c>
      <c r="NT278" s="12" t="s">
        <v>37</v>
      </c>
      <c r="NU278" s="12" t="s">
        <v>37</v>
      </c>
      <c r="OA278" s="12" t="s">
        <v>37</v>
      </c>
      <c r="OB278" s="12" t="s">
        <v>37</v>
      </c>
      <c r="OC278" s="12" t="s">
        <v>37</v>
      </c>
      <c r="OD278" s="12"/>
      <c r="OE278" s="12" t="s">
        <v>37</v>
      </c>
      <c r="OF278" s="12" t="s">
        <v>37</v>
      </c>
      <c r="OG278" s="12" t="s">
        <v>37</v>
      </c>
      <c r="OH278" s="12"/>
      <c r="OI278" s="12"/>
      <c r="OJ278" s="12"/>
      <c r="OM278" s="12" t="s">
        <v>37</v>
      </c>
      <c r="ON278" s="12" t="s">
        <v>37</v>
      </c>
      <c r="OO278" s="12" t="s">
        <v>37</v>
      </c>
      <c r="OP278" s="12" t="s">
        <v>37</v>
      </c>
      <c r="OQ278" s="12" t="s">
        <v>37</v>
      </c>
      <c r="OR278" s="12" t="s">
        <v>37</v>
      </c>
      <c r="OS278" s="12"/>
      <c r="OT278" s="12"/>
      <c r="OW278" s="12" t="s">
        <v>37</v>
      </c>
      <c r="OX278" s="12" t="s">
        <v>37</v>
      </c>
      <c r="OY278" s="13" t="s">
        <v>37</v>
      </c>
      <c r="OZ278" s="12" t="s">
        <v>37</v>
      </c>
      <c r="PA278" s="12" t="s">
        <v>37</v>
      </c>
      <c r="PB278" s="13" t="s">
        <v>37</v>
      </c>
      <c r="PG278" s="12" t="s">
        <v>37</v>
      </c>
      <c r="PH278" s="12" t="s">
        <v>37</v>
      </c>
      <c r="PI278" s="12" t="s">
        <v>37</v>
      </c>
      <c r="PJ278" s="12" t="s">
        <v>37</v>
      </c>
      <c r="PK278" s="12" t="s">
        <v>37</v>
      </c>
      <c r="PL278" s="12" t="s">
        <v>37</v>
      </c>
      <c r="PM278" s="12"/>
      <c r="PN278" s="12"/>
      <c r="PQ278" s="12" t="s">
        <v>37</v>
      </c>
      <c r="PR278" s="12" t="s">
        <v>37</v>
      </c>
      <c r="PS278" s="12" t="s">
        <v>37</v>
      </c>
      <c r="PT278" s="12" t="s">
        <v>37</v>
      </c>
      <c r="PU278" s="12" t="s">
        <v>37</v>
      </c>
      <c r="PV278" s="12" t="s">
        <v>37</v>
      </c>
      <c r="PW278" s="12"/>
      <c r="PX278" s="12"/>
      <c r="PZ278" s="12" t="s">
        <v>37</v>
      </c>
      <c r="QA278" s="12" t="s">
        <v>37</v>
      </c>
      <c r="QB278" s="12" t="s">
        <v>37</v>
      </c>
      <c r="QD278" s="12" t="s">
        <v>37</v>
      </c>
      <c r="QE278" s="12" t="s">
        <v>37</v>
      </c>
      <c r="QF278" s="12" t="s">
        <v>37</v>
      </c>
      <c r="QK278" s="12" t="s">
        <v>37</v>
      </c>
      <c r="QL278" s="12" t="s">
        <v>37</v>
      </c>
      <c r="QM278" s="12" t="s">
        <v>37</v>
      </c>
      <c r="QN278" s="12" t="s">
        <v>37</v>
      </c>
      <c r="QO278" s="12" t="s">
        <v>37</v>
      </c>
      <c r="QP278" s="12" t="s">
        <v>37</v>
      </c>
      <c r="QQ278" s="12"/>
      <c r="QR278" s="12"/>
      <c r="QU278" s="12" t="s">
        <v>37</v>
      </c>
      <c r="QV278" s="12" t="s">
        <v>37</v>
      </c>
      <c r="QW278" s="12" t="s">
        <v>37</v>
      </c>
      <c r="QX278" s="12" t="s">
        <v>37</v>
      </c>
      <c r="QY278" s="12" t="s">
        <v>37</v>
      </c>
      <c r="QZ278" s="12" t="s">
        <v>37</v>
      </c>
      <c r="RC278" s="12" t="s">
        <v>37</v>
      </c>
      <c r="RD278" s="12" t="s">
        <v>37</v>
      </c>
      <c r="RE278" s="13" t="s">
        <v>37</v>
      </c>
      <c r="RF278" s="12" t="s">
        <v>37</v>
      </c>
      <c r="RG278" s="12" t="s">
        <v>37</v>
      </c>
      <c r="RH278" s="13" t="s">
        <v>37</v>
      </c>
      <c r="RK278" s="12" t="s">
        <v>37</v>
      </c>
      <c r="RL278" s="12" t="s">
        <v>37</v>
      </c>
      <c r="RM278" s="11" t="s">
        <v>37</v>
      </c>
      <c r="RN278" s="12" t="s">
        <v>37</v>
      </c>
      <c r="RO278" s="12" t="s">
        <v>37</v>
      </c>
      <c r="RP278" s="11" t="s">
        <v>37</v>
      </c>
      <c r="RS278" s="12" t="s">
        <v>37</v>
      </c>
      <c r="RT278" s="12" t="s">
        <v>37</v>
      </c>
      <c r="RU278" s="12" t="s">
        <v>37</v>
      </c>
      <c r="RV278" s="12" t="s">
        <v>37</v>
      </c>
      <c r="RW278" s="12" t="s">
        <v>37</v>
      </c>
      <c r="RX278" s="12" t="s">
        <v>37</v>
      </c>
      <c r="SA278" s="12" t="s">
        <v>37</v>
      </c>
      <c r="SB278" s="12" t="s">
        <v>37</v>
      </c>
      <c r="SC278" s="12" t="s">
        <v>37</v>
      </c>
      <c r="SD278" s="12" t="s">
        <v>37</v>
      </c>
      <c r="SE278" s="12" t="s">
        <v>37</v>
      </c>
      <c r="SF278" s="12" t="s">
        <v>37</v>
      </c>
      <c r="SI278" s="12" t="s">
        <v>37</v>
      </c>
      <c r="SJ278" s="12" t="s">
        <v>37</v>
      </c>
      <c r="SK278" s="13" t="s">
        <v>37</v>
      </c>
      <c r="SM278" s="12" t="s">
        <v>37</v>
      </c>
      <c r="SN278" s="12" t="s">
        <v>37</v>
      </c>
      <c r="SO278" s="13" t="s">
        <v>37</v>
      </c>
      <c r="SU278" s="12" t="s">
        <v>37</v>
      </c>
      <c r="SV278" s="12" t="s">
        <v>37</v>
      </c>
      <c r="SW278" s="12" t="s">
        <v>37</v>
      </c>
      <c r="SX278" s="12" t="s">
        <v>37</v>
      </c>
      <c r="SY278" s="12" t="s">
        <v>37</v>
      </c>
      <c r="SZ278" s="12" t="s">
        <v>37</v>
      </c>
      <c r="TA278" s="12"/>
      <c r="TB278" s="12"/>
      <c r="TE278" s="12" t="s">
        <v>37</v>
      </c>
      <c r="TF278" s="12" t="s">
        <v>37</v>
      </c>
      <c r="TG278" s="12" t="s">
        <v>37</v>
      </c>
      <c r="TH278" s="12" t="s">
        <v>37</v>
      </c>
      <c r="TI278" s="12" t="s">
        <v>37</v>
      </c>
      <c r="TJ278" s="12" t="s">
        <v>37</v>
      </c>
      <c r="TK278" s="12"/>
      <c r="TL278" s="12"/>
      <c r="TO278" s="12" t="s">
        <v>37</v>
      </c>
      <c r="TP278" s="12" t="s">
        <v>37</v>
      </c>
      <c r="TQ278" s="12" t="s">
        <v>37</v>
      </c>
      <c r="TR278" s="12" t="s">
        <v>37</v>
      </c>
      <c r="TS278" s="12" t="s">
        <v>37</v>
      </c>
      <c r="TT278" s="12" t="s">
        <v>37</v>
      </c>
      <c r="TU278" s="12"/>
      <c r="TV278" s="12"/>
      <c r="TY278" s="12" t="s">
        <v>37</v>
      </c>
      <c r="TZ278" s="12" t="s">
        <v>37</v>
      </c>
      <c r="UA278" s="12" t="s">
        <v>37</v>
      </c>
      <c r="UB278" s="12" t="s">
        <v>37</v>
      </c>
      <c r="UC278" s="12" t="s">
        <v>37</v>
      </c>
      <c r="UD278" s="12" t="s">
        <v>37</v>
      </c>
      <c r="UE278" s="12"/>
      <c r="UF278" s="12"/>
      <c r="UI278" s="12" t="s">
        <v>37</v>
      </c>
      <c r="UJ278" s="12" t="s">
        <v>37</v>
      </c>
      <c r="UK278" s="12" t="s">
        <v>37</v>
      </c>
      <c r="UL278" s="12" t="s">
        <v>37</v>
      </c>
      <c r="UM278" s="12" t="s">
        <v>37</v>
      </c>
      <c r="UN278" s="12" t="s">
        <v>37</v>
      </c>
      <c r="UO278" s="12"/>
      <c r="UP278" s="12"/>
      <c r="UR278" s="12" t="s">
        <v>37</v>
      </c>
      <c r="US278" s="12" t="s">
        <v>37</v>
      </c>
      <c r="UT278" s="12" t="s">
        <v>37</v>
      </c>
      <c r="UU278" s="12" t="s">
        <v>37</v>
      </c>
      <c r="UV278" s="12" t="s">
        <v>37</v>
      </c>
      <c r="UW278" s="12" t="s">
        <v>37</v>
      </c>
      <c r="UX278" s="12"/>
      <c r="UY278" s="12"/>
      <c r="VB278" s="12" t="s">
        <v>37</v>
      </c>
      <c r="VC278" s="12" t="s">
        <v>37</v>
      </c>
      <c r="VD278" s="12" t="s">
        <v>37</v>
      </c>
      <c r="VE278" s="12" t="s">
        <v>37</v>
      </c>
      <c r="VF278" s="12" t="s">
        <v>37</v>
      </c>
      <c r="VG278" s="12" t="s">
        <v>37</v>
      </c>
      <c r="VI278" s="12" t="s">
        <v>37</v>
      </c>
      <c r="VJ278" s="12" t="s">
        <v>37</v>
      </c>
      <c r="VK278" s="12" t="s">
        <v>37</v>
      </c>
      <c r="VL278" s="12" t="s">
        <v>37</v>
      </c>
      <c r="VM278" s="12" t="s">
        <v>37</v>
      </c>
      <c r="VN278" s="12" t="s">
        <v>37</v>
      </c>
      <c r="VQ278" s="12" t="s">
        <v>37</v>
      </c>
      <c r="VR278" s="12" t="s">
        <v>37</v>
      </c>
      <c r="VS278" s="12" t="s">
        <v>37</v>
      </c>
      <c r="VT278" s="12" t="s">
        <v>37</v>
      </c>
      <c r="VU278" s="12" t="s">
        <v>37</v>
      </c>
      <c r="VV278" s="12" t="s">
        <v>37</v>
      </c>
      <c r="VW278" s="12"/>
      <c r="VX278" s="12"/>
      <c r="WA278" s="12" t="s">
        <v>37</v>
      </c>
      <c r="WB278" s="12" t="s">
        <v>37</v>
      </c>
      <c r="WC278" s="12" t="s">
        <v>37</v>
      </c>
      <c r="WD278" s="12" t="s">
        <v>37</v>
      </c>
      <c r="WE278" s="12" t="s">
        <v>37</v>
      </c>
      <c r="WF278" s="12" t="s">
        <v>37</v>
      </c>
    </row>
    <row r="279" spans="1:604" ht="18" customHeight="1" x14ac:dyDescent="0.3">
      <c r="A279" s="11">
        <v>69</v>
      </c>
      <c r="B279" s="16" t="s">
        <v>397</v>
      </c>
      <c r="C279" s="12" t="s">
        <v>26</v>
      </c>
      <c r="D279" s="12" t="s">
        <v>973</v>
      </c>
      <c r="E279" s="40">
        <v>2</v>
      </c>
      <c r="F279" s="14">
        <v>0</v>
      </c>
      <c r="G279" s="14">
        <v>0</v>
      </c>
      <c r="H279" s="12" t="s">
        <v>356</v>
      </c>
      <c r="I279" s="29">
        <v>52.466999999999999</v>
      </c>
      <c r="J279" s="29">
        <v>-3.75</v>
      </c>
      <c r="K279" s="12" t="s">
        <v>671</v>
      </c>
      <c r="L279" s="12" t="s">
        <v>672</v>
      </c>
      <c r="M279" s="13" t="s">
        <v>37</v>
      </c>
      <c r="N279" s="14" t="s">
        <v>37</v>
      </c>
      <c r="O279" s="14">
        <v>2371.6603793085615</v>
      </c>
      <c r="P279" s="14" t="s">
        <v>16</v>
      </c>
      <c r="Q279" s="75" t="s">
        <v>326</v>
      </c>
      <c r="R279" s="11" t="s">
        <v>1000</v>
      </c>
      <c r="S279" s="12" t="s">
        <v>93</v>
      </c>
      <c r="T279" s="12" t="s">
        <v>141</v>
      </c>
      <c r="U279" s="12" t="s">
        <v>158</v>
      </c>
      <c r="V279" s="12" t="s">
        <v>275</v>
      </c>
      <c r="W279" s="23" t="s">
        <v>398</v>
      </c>
      <c r="X279" s="12" t="s">
        <v>281</v>
      </c>
      <c r="Y279" s="12" t="s">
        <v>37</v>
      </c>
      <c r="Z279" s="12" t="s">
        <v>37</v>
      </c>
      <c r="AA279" s="32" t="s">
        <v>345</v>
      </c>
      <c r="AB279" s="12">
        <v>4.7</v>
      </c>
      <c r="AE279" s="12" t="s">
        <v>37</v>
      </c>
      <c r="AH279" s="12" t="s">
        <v>37</v>
      </c>
      <c r="AK279" s="12" t="s">
        <v>37</v>
      </c>
      <c r="AL279" s="32">
        <v>1997</v>
      </c>
      <c r="AM279" s="12" t="s">
        <v>344</v>
      </c>
      <c r="AO279" s="12" t="s">
        <v>37</v>
      </c>
      <c r="AP279" s="12" t="s">
        <v>108</v>
      </c>
      <c r="AQ279" s="12" t="s">
        <v>975</v>
      </c>
      <c r="AT279" s="12" t="s">
        <v>326</v>
      </c>
      <c r="AU279" s="12" t="s">
        <v>326</v>
      </c>
      <c r="AV279" s="13" t="s">
        <v>326</v>
      </c>
      <c r="AX279" s="12" t="s">
        <v>326</v>
      </c>
      <c r="AY279" s="12" t="s">
        <v>326</v>
      </c>
      <c r="AZ279" s="13" t="s">
        <v>326</v>
      </c>
      <c r="BE279" s="12" t="s">
        <v>326</v>
      </c>
      <c r="BF279" s="12" t="s">
        <v>326</v>
      </c>
      <c r="BG279" s="12" t="s">
        <v>326</v>
      </c>
      <c r="BI279" s="12" t="s">
        <v>326</v>
      </c>
      <c r="BJ279" s="12" t="s">
        <v>326</v>
      </c>
      <c r="BK279" s="12" t="s">
        <v>326</v>
      </c>
      <c r="BP279" s="12" t="s">
        <v>37</v>
      </c>
      <c r="BQ279" s="12" t="s">
        <v>37</v>
      </c>
      <c r="BR279" s="13" t="s">
        <v>37</v>
      </c>
      <c r="BT279" s="12" t="s">
        <v>37</v>
      </c>
      <c r="BU279" s="12" t="s">
        <v>37</v>
      </c>
      <c r="BV279" s="12" t="s">
        <v>37</v>
      </c>
      <c r="CA279" s="12" t="s">
        <v>37</v>
      </c>
      <c r="CB279" s="12" t="s">
        <v>37</v>
      </c>
      <c r="CC279" s="13" t="s">
        <v>37</v>
      </c>
      <c r="CE279" s="12" t="s">
        <v>37</v>
      </c>
      <c r="CF279" s="12" t="s">
        <v>37</v>
      </c>
      <c r="CG279" s="12" t="s">
        <v>37</v>
      </c>
      <c r="CN279" s="12" t="s">
        <v>37</v>
      </c>
      <c r="CO279" s="12" t="s">
        <v>37</v>
      </c>
      <c r="CP279" s="13" t="s">
        <v>37</v>
      </c>
      <c r="CR279" s="12" t="s">
        <v>37</v>
      </c>
      <c r="CS279" s="12" t="s">
        <v>37</v>
      </c>
      <c r="CT279" s="13" t="s">
        <v>37</v>
      </c>
      <c r="CX279" s="72"/>
      <c r="CY279" s="72"/>
      <c r="DA279" s="12" t="s">
        <v>37</v>
      </c>
      <c r="DB279" s="12" t="s">
        <v>37</v>
      </c>
      <c r="DC279" s="13" t="s">
        <v>37</v>
      </c>
      <c r="DE279" s="12" t="s">
        <v>37</v>
      </c>
      <c r="DF279" s="12" t="s">
        <v>37</v>
      </c>
      <c r="DG279" s="12" t="s">
        <v>37</v>
      </c>
      <c r="DM279" s="11" t="s">
        <v>47</v>
      </c>
      <c r="DN279" s="19">
        <v>149.58826237069499</v>
      </c>
      <c r="DO279" s="12">
        <v>54.002575188816245</v>
      </c>
      <c r="DP279" s="13">
        <v>5</v>
      </c>
      <c r="DQ279" s="19">
        <f t="shared" si="1237"/>
        <v>0.36100810540196226</v>
      </c>
      <c r="DR279" s="19">
        <v>185.74509306894518</v>
      </c>
      <c r="DS279" s="12">
        <v>48.73879916451105</v>
      </c>
      <c r="DT279" s="13">
        <v>5</v>
      </c>
      <c r="DU279" s="19">
        <f t="shared" si="1238"/>
        <v>0.26239616002356575</v>
      </c>
      <c r="DV279" s="19">
        <f t="shared" si="1211"/>
        <v>36.156830698250189</v>
      </c>
      <c r="DW279" s="12">
        <f t="shared" si="1212"/>
        <v>51.438063100306834</v>
      </c>
      <c r="DX279" s="72">
        <f t="shared" si="1124"/>
        <v>1058.3497342044591</v>
      </c>
      <c r="DY279" s="72">
        <f t="shared" si="1125"/>
        <v>1058.3497342044591</v>
      </c>
      <c r="EA279" s="19" t="s">
        <v>37</v>
      </c>
      <c r="EB279" s="19" t="s">
        <v>37</v>
      </c>
      <c r="EC279" s="72" t="s">
        <v>37</v>
      </c>
      <c r="EE279" s="19" t="s">
        <v>37</v>
      </c>
      <c r="EF279" s="19" t="s">
        <v>37</v>
      </c>
      <c r="EG279" s="12" t="s">
        <v>37</v>
      </c>
      <c r="EM279" s="12" t="s">
        <v>39</v>
      </c>
      <c r="EN279" s="12">
        <v>3.0092879256965936</v>
      </c>
      <c r="EO279" s="12">
        <v>0.8290793279171158</v>
      </c>
      <c r="EP279" s="13">
        <v>5</v>
      </c>
      <c r="EQ279" s="19">
        <f t="shared" si="1239"/>
        <v>0.27550681370085234</v>
      </c>
      <c r="ER279" s="12">
        <v>2.8111455108359125</v>
      </c>
      <c r="ES279" s="12">
        <v>0.80714422344061043</v>
      </c>
      <c r="ET279" s="13">
        <v>5</v>
      </c>
      <c r="EU279" s="19">
        <f t="shared" si="1240"/>
        <v>0.28712289005651681</v>
      </c>
      <c r="EV279" s="19">
        <f t="shared" si="1233"/>
        <v>-0.19814241486068118</v>
      </c>
      <c r="EW279" s="12">
        <f t="shared" si="1234"/>
        <v>0.81818528751531661</v>
      </c>
      <c r="EX279" s="19">
        <f t="shared" si="1235"/>
        <v>0.26777086588260851</v>
      </c>
      <c r="EY279" s="19">
        <f t="shared" si="1236"/>
        <v>0.26777086588260846</v>
      </c>
      <c r="FB279" s="12" t="s">
        <v>37</v>
      </c>
      <c r="FC279" s="12" t="s">
        <v>37</v>
      </c>
      <c r="FD279" s="12" t="s">
        <v>37</v>
      </c>
      <c r="FE279" s="12" t="s">
        <v>37</v>
      </c>
      <c r="FF279" s="20" t="s">
        <v>37</v>
      </c>
      <c r="FG279" s="12" t="s">
        <v>37</v>
      </c>
      <c r="FI279" s="12" t="s">
        <v>37</v>
      </c>
      <c r="FJ279" s="12" t="s">
        <v>37</v>
      </c>
      <c r="FK279" s="12" t="s">
        <v>37</v>
      </c>
      <c r="FL279" s="12" t="s">
        <v>37</v>
      </c>
      <c r="FM279" s="12" t="s">
        <v>37</v>
      </c>
      <c r="FN279" s="12" t="s">
        <v>37</v>
      </c>
      <c r="FP279" s="12" t="s">
        <v>37</v>
      </c>
      <c r="FQ279" s="12" t="s">
        <v>37</v>
      </c>
      <c r="FR279" s="12" t="s">
        <v>37</v>
      </c>
      <c r="FS279" s="12" t="s">
        <v>37</v>
      </c>
      <c r="FT279" s="12" t="s">
        <v>37</v>
      </c>
      <c r="FU279" s="12" t="s">
        <v>37</v>
      </c>
      <c r="FW279" s="12" t="s">
        <v>37</v>
      </c>
      <c r="FX279" s="12" t="s">
        <v>37</v>
      </c>
      <c r="FY279" s="12" t="s">
        <v>37</v>
      </c>
      <c r="FZ279" s="12" t="s">
        <v>37</v>
      </c>
      <c r="GA279" s="12" t="s">
        <v>37</v>
      </c>
      <c r="GB279" s="12" t="s">
        <v>37</v>
      </c>
      <c r="IK279" s="12" t="s">
        <v>37</v>
      </c>
      <c r="IL279" s="12" t="s">
        <v>37</v>
      </c>
      <c r="IM279" s="12" t="s">
        <v>37</v>
      </c>
      <c r="IO279" s="12" t="s">
        <v>37</v>
      </c>
      <c r="IP279" s="12" t="s">
        <v>37</v>
      </c>
      <c r="IQ279" s="12" t="s">
        <v>37</v>
      </c>
      <c r="IV279" s="32" t="s">
        <v>345</v>
      </c>
      <c r="IW279" s="12">
        <v>4.7</v>
      </c>
      <c r="JA279" s="13"/>
      <c r="JB279" s="13"/>
      <c r="JH279" s="12" t="s">
        <v>37</v>
      </c>
      <c r="JI279" s="12" t="s">
        <v>37</v>
      </c>
      <c r="JJ279" s="13" t="s">
        <v>37</v>
      </c>
      <c r="JL279" s="12" t="s">
        <v>37</v>
      </c>
      <c r="JM279" s="12" t="s">
        <v>37</v>
      </c>
      <c r="JN279" s="12" t="s">
        <v>37</v>
      </c>
      <c r="JS279" s="12" t="s">
        <v>37</v>
      </c>
      <c r="JT279" s="12" t="s">
        <v>37</v>
      </c>
      <c r="JU279" s="13" t="s">
        <v>37</v>
      </c>
      <c r="JW279" s="12" t="s">
        <v>37</v>
      </c>
      <c r="JX279" s="12" t="s">
        <v>37</v>
      </c>
      <c r="JY279" s="12" t="s">
        <v>37</v>
      </c>
      <c r="KE279" s="12" t="s">
        <v>37</v>
      </c>
      <c r="KF279" s="12" t="s">
        <v>37</v>
      </c>
      <c r="KG279" s="13" t="s">
        <v>37</v>
      </c>
      <c r="KH279" s="12" t="s">
        <v>37</v>
      </c>
      <c r="KI279" s="12" t="s">
        <v>37</v>
      </c>
      <c r="KJ279" s="12" t="s">
        <v>37</v>
      </c>
      <c r="KM279" s="12" t="s">
        <v>37</v>
      </c>
      <c r="KN279" s="12" t="s">
        <v>37</v>
      </c>
      <c r="KO279" s="11" t="s">
        <v>37</v>
      </c>
      <c r="KQ279" s="12" t="s">
        <v>37</v>
      </c>
      <c r="KR279" s="12" t="s">
        <v>37</v>
      </c>
      <c r="KS279" s="12" t="s">
        <v>37</v>
      </c>
      <c r="KX279" s="12" t="s">
        <v>37</v>
      </c>
      <c r="KY279" s="12" t="s">
        <v>37</v>
      </c>
      <c r="KZ279" s="12" t="s">
        <v>37</v>
      </c>
      <c r="LB279" s="12" t="s">
        <v>37</v>
      </c>
      <c r="LC279" s="12" t="s">
        <v>37</v>
      </c>
      <c r="LD279" s="12" t="s">
        <v>37</v>
      </c>
      <c r="LI279" s="12" t="s">
        <v>37</v>
      </c>
      <c r="LJ279" s="12" t="s">
        <v>37</v>
      </c>
      <c r="LK279" s="12" t="s">
        <v>37</v>
      </c>
      <c r="LM279" s="12" t="s">
        <v>37</v>
      </c>
      <c r="LN279" s="12" t="s">
        <v>37</v>
      </c>
      <c r="LO279" s="12" t="s">
        <v>37</v>
      </c>
      <c r="LU279" s="12" t="s">
        <v>37</v>
      </c>
      <c r="LV279" s="12" t="s">
        <v>37</v>
      </c>
      <c r="LW279" s="12" t="s">
        <v>37</v>
      </c>
      <c r="LY279" s="12" t="s">
        <v>37</v>
      </c>
      <c r="LZ279" s="12" t="s">
        <v>37</v>
      </c>
      <c r="MA279" s="12" t="s">
        <v>37</v>
      </c>
      <c r="MF279" s="12" t="s">
        <v>37</v>
      </c>
      <c r="MG279" s="12" t="s">
        <v>37</v>
      </c>
      <c r="MH279" s="12" t="s">
        <v>37</v>
      </c>
      <c r="MJ279" s="12" t="s">
        <v>37</v>
      </c>
      <c r="MK279" s="12" t="s">
        <v>37</v>
      </c>
      <c r="ML279" s="12" t="s">
        <v>37</v>
      </c>
      <c r="MQ279" s="12" t="s">
        <v>37</v>
      </c>
      <c r="MR279" s="12" t="s">
        <v>37</v>
      </c>
      <c r="MS279" s="12" t="s">
        <v>37</v>
      </c>
      <c r="MU279" s="12" t="s">
        <v>37</v>
      </c>
      <c r="MV279" s="12" t="s">
        <v>37</v>
      </c>
      <c r="MW279" s="12" t="s">
        <v>37</v>
      </c>
      <c r="NC279" s="12" t="s">
        <v>37</v>
      </c>
      <c r="ND279" s="12" t="s">
        <v>37</v>
      </c>
      <c r="NE279" s="12" t="s">
        <v>37</v>
      </c>
      <c r="NG279" s="12" t="s">
        <v>37</v>
      </c>
      <c r="NH279" s="12" t="s">
        <v>37</v>
      </c>
      <c r="NI279" s="12" t="s">
        <v>37</v>
      </c>
      <c r="NO279" s="12" t="s">
        <v>37</v>
      </c>
      <c r="NP279" s="12" t="s">
        <v>37</v>
      </c>
      <c r="NQ279" s="12" t="s">
        <v>37</v>
      </c>
      <c r="NS279" s="12" t="s">
        <v>37</v>
      </c>
      <c r="NT279" s="12" t="s">
        <v>37</v>
      </c>
      <c r="NU279" s="12" t="s">
        <v>37</v>
      </c>
      <c r="OA279" s="12" t="s">
        <v>37</v>
      </c>
      <c r="OB279" s="12" t="s">
        <v>37</v>
      </c>
      <c r="OC279" s="12" t="s">
        <v>37</v>
      </c>
      <c r="OD279" s="12"/>
      <c r="OE279" s="12" t="s">
        <v>37</v>
      </c>
      <c r="OF279" s="12" t="s">
        <v>37</v>
      </c>
      <c r="OG279" s="12" t="s">
        <v>37</v>
      </c>
      <c r="OH279" s="12"/>
      <c r="OI279" s="12"/>
      <c r="OJ279" s="12"/>
      <c r="OM279" s="12" t="s">
        <v>37</v>
      </c>
      <c r="ON279" s="12" t="s">
        <v>37</v>
      </c>
      <c r="OO279" s="12" t="s">
        <v>37</v>
      </c>
      <c r="OP279" s="12" t="s">
        <v>37</v>
      </c>
      <c r="OQ279" s="12" t="s">
        <v>37</v>
      </c>
      <c r="OR279" s="12" t="s">
        <v>37</v>
      </c>
      <c r="OS279" s="12"/>
      <c r="OT279" s="12"/>
      <c r="OW279" s="12" t="s">
        <v>37</v>
      </c>
      <c r="OX279" s="12" t="s">
        <v>37</v>
      </c>
      <c r="OY279" s="13" t="s">
        <v>37</v>
      </c>
      <c r="OZ279" s="12" t="s">
        <v>37</v>
      </c>
      <c r="PA279" s="12" t="s">
        <v>37</v>
      </c>
      <c r="PB279" s="13" t="s">
        <v>37</v>
      </c>
      <c r="PG279" s="12" t="s">
        <v>37</v>
      </c>
      <c r="PH279" s="12" t="s">
        <v>37</v>
      </c>
      <c r="PI279" s="12" t="s">
        <v>37</v>
      </c>
      <c r="PJ279" s="12" t="s">
        <v>37</v>
      </c>
      <c r="PK279" s="12" t="s">
        <v>37</v>
      </c>
      <c r="PL279" s="12" t="s">
        <v>37</v>
      </c>
      <c r="PM279" s="12"/>
      <c r="PN279" s="12"/>
      <c r="PQ279" s="12" t="s">
        <v>37</v>
      </c>
      <c r="PR279" s="12" t="s">
        <v>37</v>
      </c>
      <c r="PS279" s="12" t="s">
        <v>37</v>
      </c>
      <c r="PT279" s="12" t="s">
        <v>37</v>
      </c>
      <c r="PU279" s="12" t="s">
        <v>37</v>
      </c>
      <c r="PV279" s="12" t="s">
        <v>37</v>
      </c>
      <c r="PW279" s="12"/>
      <c r="PX279" s="12"/>
      <c r="PZ279" s="12" t="s">
        <v>37</v>
      </c>
      <c r="QA279" s="12" t="s">
        <v>37</v>
      </c>
      <c r="QB279" s="12" t="s">
        <v>37</v>
      </c>
      <c r="QD279" s="12" t="s">
        <v>37</v>
      </c>
      <c r="QE279" s="12" t="s">
        <v>37</v>
      </c>
      <c r="QF279" s="12" t="s">
        <v>37</v>
      </c>
      <c r="QK279" s="12" t="s">
        <v>37</v>
      </c>
      <c r="QL279" s="12" t="s">
        <v>37</v>
      </c>
      <c r="QM279" s="12" t="s">
        <v>37</v>
      </c>
      <c r="QN279" s="12" t="s">
        <v>37</v>
      </c>
      <c r="QO279" s="12" t="s">
        <v>37</v>
      </c>
      <c r="QP279" s="12" t="s">
        <v>37</v>
      </c>
      <c r="QQ279" s="12"/>
      <c r="QR279" s="12"/>
      <c r="QU279" s="12" t="s">
        <v>37</v>
      </c>
      <c r="QV279" s="12" t="s">
        <v>37</v>
      </c>
      <c r="QW279" s="12" t="s">
        <v>37</v>
      </c>
      <c r="QX279" s="12" t="s">
        <v>37</v>
      </c>
      <c r="QY279" s="12" t="s">
        <v>37</v>
      </c>
      <c r="QZ279" s="12" t="s">
        <v>37</v>
      </c>
      <c r="RC279" s="12" t="s">
        <v>37</v>
      </c>
      <c r="RD279" s="12" t="s">
        <v>37</v>
      </c>
      <c r="RE279" s="13" t="s">
        <v>37</v>
      </c>
      <c r="RF279" s="12" t="s">
        <v>37</v>
      </c>
      <c r="RG279" s="12" t="s">
        <v>37</v>
      </c>
      <c r="RH279" s="13" t="s">
        <v>37</v>
      </c>
      <c r="RK279" s="12" t="s">
        <v>37</v>
      </c>
      <c r="RL279" s="12" t="s">
        <v>37</v>
      </c>
      <c r="RM279" s="11" t="s">
        <v>37</v>
      </c>
      <c r="RN279" s="12" t="s">
        <v>37</v>
      </c>
      <c r="RO279" s="12" t="s">
        <v>37</v>
      </c>
      <c r="RP279" s="11" t="s">
        <v>37</v>
      </c>
      <c r="RS279" s="12" t="s">
        <v>37</v>
      </c>
      <c r="RT279" s="12" t="s">
        <v>37</v>
      </c>
      <c r="RU279" s="12" t="s">
        <v>37</v>
      </c>
      <c r="RV279" s="12" t="s">
        <v>37</v>
      </c>
      <c r="RW279" s="12" t="s">
        <v>37</v>
      </c>
      <c r="RX279" s="12" t="s">
        <v>37</v>
      </c>
      <c r="SA279" s="12" t="s">
        <v>37</v>
      </c>
      <c r="SB279" s="12" t="s">
        <v>37</v>
      </c>
      <c r="SC279" s="12" t="s">
        <v>37</v>
      </c>
      <c r="SD279" s="12" t="s">
        <v>37</v>
      </c>
      <c r="SE279" s="12" t="s">
        <v>37</v>
      </c>
      <c r="SF279" s="12" t="s">
        <v>37</v>
      </c>
      <c r="SI279" s="12" t="s">
        <v>37</v>
      </c>
      <c r="SJ279" s="12" t="s">
        <v>37</v>
      </c>
      <c r="SK279" s="13" t="s">
        <v>37</v>
      </c>
      <c r="SM279" s="12" t="s">
        <v>37</v>
      </c>
      <c r="SN279" s="12" t="s">
        <v>37</v>
      </c>
      <c r="SO279" s="13" t="s">
        <v>37</v>
      </c>
      <c r="SU279" s="12" t="s">
        <v>37</v>
      </c>
      <c r="SV279" s="12" t="s">
        <v>37</v>
      </c>
      <c r="SW279" s="12" t="s">
        <v>37</v>
      </c>
      <c r="SX279" s="12" t="s">
        <v>37</v>
      </c>
      <c r="SY279" s="12" t="s">
        <v>37</v>
      </c>
      <c r="SZ279" s="12" t="s">
        <v>37</v>
      </c>
      <c r="TA279" s="12"/>
      <c r="TB279" s="12"/>
      <c r="TE279" s="12" t="s">
        <v>37</v>
      </c>
      <c r="TF279" s="12" t="s">
        <v>37</v>
      </c>
      <c r="TG279" s="12" t="s">
        <v>37</v>
      </c>
      <c r="TH279" s="12" t="s">
        <v>37</v>
      </c>
      <c r="TI279" s="12" t="s">
        <v>37</v>
      </c>
      <c r="TJ279" s="12" t="s">
        <v>37</v>
      </c>
      <c r="TK279" s="12"/>
      <c r="TL279" s="12"/>
      <c r="TO279" s="12" t="s">
        <v>37</v>
      </c>
      <c r="TP279" s="12" t="s">
        <v>37</v>
      </c>
      <c r="TQ279" s="12" t="s">
        <v>37</v>
      </c>
      <c r="TR279" s="12" t="s">
        <v>37</v>
      </c>
      <c r="TS279" s="12" t="s">
        <v>37</v>
      </c>
      <c r="TT279" s="12" t="s">
        <v>37</v>
      </c>
      <c r="TU279" s="12"/>
      <c r="TV279" s="12"/>
      <c r="TY279" s="12" t="s">
        <v>37</v>
      </c>
      <c r="TZ279" s="12" t="s">
        <v>37</v>
      </c>
      <c r="UA279" s="12" t="s">
        <v>37</v>
      </c>
      <c r="UB279" s="12" t="s">
        <v>37</v>
      </c>
      <c r="UC279" s="12" t="s">
        <v>37</v>
      </c>
      <c r="UD279" s="12" t="s">
        <v>37</v>
      </c>
      <c r="UE279" s="12"/>
      <c r="UF279" s="12"/>
      <c r="UI279" s="12" t="s">
        <v>37</v>
      </c>
      <c r="UJ279" s="12" t="s">
        <v>37</v>
      </c>
      <c r="UK279" s="12" t="s">
        <v>37</v>
      </c>
      <c r="UL279" s="12" t="s">
        <v>37</v>
      </c>
      <c r="UM279" s="12" t="s">
        <v>37</v>
      </c>
      <c r="UN279" s="12" t="s">
        <v>37</v>
      </c>
      <c r="UO279" s="12"/>
      <c r="UP279" s="12"/>
      <c r="UR279" s="12" t="s">
        <v>37</v>
      </c>
      <c r="US279" s="12" t="s">
        <v>37</v>
      </c>
      <c r="UT279" s="12" t="s">
        <v>37</v>
      </c>
      <c r="UU279" s="12" t="s">
        <v>37</v>
      </c>
      <c r="UV279" s="12" t="s">
        <v>37</v>
      </c>
      <c r="UW279" s="12" t="s">
        <v>37</v>
      </c>
      <c r="UX279" s="12"/>
      <c r="UY279" s="12"/>
      <c r="VB279" s="12" t="s">
        <v>37</v>
      </c>
      <c r="VC279" s="12" t="s">
        <v>37</v>
      </c>
      <c r="VD279" s="12" t="s">
        <v>37</v>
      </c>
      <c r="VE279" s="12" t="s">
        <v>37</v>
      </c>
      <c r="VF279" s="12" t="s">
        <v>37</v>
      </c>
      <c r="VG279" s="12" t="s">
        <v>37</v>
      </c>
      <c r="VI279" s="12" t="s">
        <v>37</v>
      </c>
      <c r="VJ279" s="12" t="s">
        <v>37</v>
      </c>
      <c r="VK279" s="12" t="s">
        <v>37</v>
      </c>
      <c r="VL279" s="12" t="s">
        <v>37</v>
      </c>
      <c r="VM279" s="12" t="s">
        <v>37</v>
      </c>
      <c r="VN279" s="12" t="s">
        <v>37</v>
      </c>
      <c r="VQ279" s="12" t="s">
        <v>37</v>
      </c>
      <c r="VR279" s="12" t="s">
        <v>37</v>
      </c>
      <c r="VS279" s="12" t="s">
        <v>37</v>
      </c>
      <c r="VT279" s="12" t="s">
        <v>37</v>
      </c>
      <c r="VU279" s="12" t="s">
        <v>37</v>
      </c>
      <c r="VV279" s="12" t="s">
        <v>37</v>
      </c>
      <c r="VW279" s="12"/>
      <c r="VX279" s="12"/>
      <c r="WA279" s="12" t="s">
        <v>37</v>
      </c>
      <c r="WB279" s="12" t="s">
        <v>37</v>
      </c>
      <c r="WC279" s="12" t="s">
        <v>37</v>
      </c>
      <c r="WD279" s="12" t="s">
        <v>37</v>
      </c>
      <c r="WE279" s="12" t="s">
        <v>37</v>
      </c>
      <c r="WF279" s="12" t="s">
        <v>37</v>
      </c>
    </row>
    <row r="280" spans="1:604" ht="18" customHeight="1" x14ac:dyDescent="0.3">
      <c r="A280" s="11">
        <v>70</v>
      </c>
      <c r="B280" s="16" t="s">
        <v>399</v>
      </c>
      <c r="C280" s="12" t="s">
        <v>32</v>
      </c>
      <c r="D280" s="12" t="s">
        <v>54</v>
      </c>
      <c r="E280" s="40" t="s">
        <v>37</v>
      </c>
      <c r="F280" s="14">
        <v>0</v>
      </c>
      <c r="G280" s="14">
        <v>0</v>
      </c>
      <c r="H280" s="12" t="s">
        <v>91</v>
      </c>
      <c r="I280" s="29">
        <v>49.05</v>
      </c>
      <c r="J280" s="29">
        <v>-80.667000000000002</v>
      </c>
      <c r="K280" s="12" t="s">
        <v>778</v>
      </c>
      <c r="L280" s="12" t="s">
        <v>779</v>
      </c>
      <c r="M280" s="13" t="s">
        <v>37</v>
      </c>
      <c r="N280" s="14">
        <v>0.6</v>
      </c>
      <c r="O280" s="14">
        <v>885</v>
      </c>
      <c r="P280" s="14" t="s">
        <v>16</v>
      </c>
      <c r="Q280" s="75">
        <v>7</v>
      </c>
      <c r="R280" s="11" t="s">
        <v>999</v>
      </c>
      <c r="S280" s="12" t="s">
        <v>85</v>
      </c>
      <c r="T280" s="12" t="s">
        <v>138</v>
      </c>
      <c r="U280" s="12" t="s">
        <v>163</v>
      </c>
      <c r="V280" s="12" t="s">
        <v>275</v>
      </c>
      <c r="W280" s="23" t="s">
        <v>377</v>
      </c>
      <c r="X280" s="12" t="s">
        <v>281</v>
      </c>
      <c r="Y280" s="12" t="s">
        <v>37</v>
      </c>
      <c r="Z280" s="12" t="s">
        <v>37</v>
      </c>
      <c r="AA280" s="32" t="s">
        <v>345</v>
      </c>
      <c r="AB280" s="12">
        <v>6.3</v>
      </c>
      <c r="AE280" s="12" t="s">
        <v>37</v>
      </c>
      <c r="AH280" s="12" t="s">
        <v>37</v>
      </c>
      <c r="AK280" s="12" t="s">
        <v>37</v>
      </c>
      <c r="AL280" s="32" t="s">
        <v>400</v>
      </c>
      <c r="AM280" s="12" t="s">
        <v>317</v>
      </c>
      <c r="AN280" s="32" t="s">
        <v>879</v>
      </c>
      <c r="AO280" s="12" t="s">
        <v>37</v>
      </c>
      <c r="AP280" s="12" t="s">
        <v>401</v>
      </c>
      <c r="AQ280" s="12" t="s">
        <v>975</v>
      </c>
      <c r="AT280" s="12" t="s">
        <v>326</v>
      </c>
      <c r="AU280" s="12" t="s">
        <v>326</v>
      </c>
      <c r="AV280" s="13" t="s">
        <v>326</v>
      </c>
      <c r="AX280" s="12" t="s">
        <v>326</v>
      </c>
      <c r="AY280" s="12" t="s">
        <v>326</v>
      </c>
      <c r="AZ280" s="13" t="s">
        <v>326</v>
      </c>
      <c r="BE280" s="12" t="s">
        <v>326</v>
      </c>
      <c r="BF280" s="12" t="s">
        <v>326</v>
      </c>
      <c r="BG280" s="12" t="s">
        <v>326</v>
      </c>
      <c r="BI280" s="12" t="s">
        <v>326</v>
      </c>
      <c r="BJ280" s="12" t="s">
        <v>326</v>
      </c>
      <c r="BK280" s="12" t="s">
        <v>326</v>
      </c>
      <c r="BP280" s="12" t="s">
        <v>37</v>
      </c>
      <c r="BQ280" s="12" t="s">
        <v>37</v>
      </c>
      <c r="BR280" s="13" t="s">
        <v>37</v>
      </c>
      <c r="BT280" s="12" t="s">
        <v>37</v>
      </c>
      <c r="BU280" s="12" t="s">
        <v>37</v>
      </c>
      <c r="BV280" s="12" t="s">
        <v>37</v>
      </c>
      <c r="CA280" s="12" t="s">
        <v>37</v>
      </c>
      <c r="CB280" s="12" t="s">
        <v>37</v>
      </c>
      <c r="CC280" s="13" t="s">
        <v>37</v>
      </c>
      <c r="CE280" s="12" t="s">
        <v>37</v>
      </c>
      <c r="CF280" s="12" t="s">
        <v>37</v>
      </c>
      <c r="CG280" s="12" t="s">
        <v>37</v>
      </c>
      <c r="CN280" s="12" t="s">
        <v>37</v>
      </c>
      <c r="CO280" s="12" t="s">
        <v>37</v>
      </c>
      <c r="CP280" s="13" t="s">
        <v>37</v>
      </c>
      <c r="CR280" s="12" t="s">
        <v>37</v>
      </c>
      <c r="CS280" s="12" t="s">
        <v>37</v>
      </c>
      <c r="CT280" s="13" t="s">
        <v>37</v>
      </c>
      <c r="CX280" s="72"/>
      <c r="CY280" s="72"/>
      <c r="DA280" s="12" t="s">
        <v>37</v>
      </c>
      <c r="DB280" s="12" t="s">
        <v>37</v>
      </c>
      <c r="DC280" s="13" t="s">
        <v>37</v>
      </c>
      <c r="DE280" s="12" t="s">
        <v>37</v>
      </c>
      <c r="DF280" s="12" t="s">
        <v>37</v>
      </c>
      <c r="DG280" s="12" t="s">
        <v>37</v>
      </c>
      <c r="DM280" s="12" t="s">
        <v>47</v>
      </c>
      <c r="DN280" s="19">
        <f>1.8*("1991/10/31"-"1991/5/1")*10^4/10^6/'[1]classes-1'!$I$28</f>
        <v>4.3449126612056599</v>
      </c>
      <c r="DO280" s="12">
        <f>SQRT((1/[2]Classes!$I$28)^2*(3.9*("1991/10/31"-"1991/5/1")*10^4/10^6)^2+(-DN280/([2]Classes!$I$28)^2)^2*([2]Classes!$J$28)^2)</f>
        <v>9.5961779850217681</v>
      </c>
      <c r="DP280" s="13">
        <v>6</v>
      </c>
      <c r="DQ280" s="19">
        <f t="shared" si="1237"/>
        <v>2.2086008933396939</v>
      </c>
      <c r="DR280" s="19">
        <f>-0.3*("1991/10/31"-"1991/5/1")*10^4/10^6/'[1]classes-1'!$I$29</f>
        <v>-0.16115570294991843</v>
      </c>
      <c r="DS280" s="12">
        <f>SQRT((1/[2]Classes!$I$29)^2*(1*("1991/10/30"-"1991/5/1")*10^4/10^6)^2+(-DR280/([2]Classes!$I$29)^2)^2*([2]Classes!$J$29)^2)</f>
        <v>0.55821924153316771</v>
      </c>
      <c r="DT280" s="13">
        <v>6</v>
      </c>
      <c r="DU280" s="19">
        <f t="shared" si="1238"/>
        <v>3.4638503715046483</v>
      </c>
      <c r="DV280" s="19">
        <f t="shared" si="1211"/>
        <v>-4.5060683641555785</v>
      </c>
      <c r="DW280" s="12">
        <f t="shared" si="1212"/>
        <v>6.7969934765981028</v>
      </c>
      <c r="DX280" s="72">
        <f t="shared" si="1124"/>
        <v>15.399706773639053</v>
      </c>
      <c r="DY280" s="72">
        <f t="shared" si="1125"/>
        <v>15.399706773639052</v>
      </c>
      <c r="EA280" s="19" t="s">
        <v>37</v>
      </c>
      <c r="EB280" s="19" t="s">
        <v>37</v>
      </c>
      <c r="EC280" s="72" t="s">
        <v>37</v>
      </c>
      <c r="EE280" s="19" t="s">
        <v>37</v>
      </c>
      <c r="EF280" s="19" t="s">
        <v>37</v>
      </c>
      <c r="EG280" s="12" t="s">
        <v>37</v>
      </c>
      <c r="EM280" s="12" t="s">
        <v>39</v>
      </c>
      <c r="EN280" s="12">
        <v>-24.4</v>
      </c>
      <c r="EO280" s="50">
        <f t="shared" ref="EO280:EO315" si="1241">ABS(EN280)*EQ$474</f>
        <v>9.9429121295315568</v>
      </c>
      <c r="EP280" s="13">
        <v>1</v>
      </c>
      <c r="ER280" s="12">
        <v>-83.7</v>
      </c>
      <c r="ES280" s="50">
        <f t="shared" ref="ES280:ES315" si="1242">ABS(ER280)*EU$474</f>
        <v>18.984336278719553</v>
      </c>
      <c r="ET280" s="13">
        <v>1</v>
      </c>
      <c r="EV280" s="19">
        <f t="shared" si="1233"/>
        <v>-59.300000000000004</v>
      </c>
      <c r="EW280" s="12" t="e">
        <f t="shared" si="1234"/>
        <v>#DIV/0!</v>
      </c>
      <c r="EX280" s="19" t="e">
        <f t="shared" si="1235"/>
        <v>#DIV/0!</v>
      </c>
      <c r="EY280" s="19">
        <f t="shared" si="1236"/>
        <v>459.26652555909311</v>
      </c>
      <c r="FB280" s="12" t="s">
        <v>37</v>
      </c>
      <c r="FC280" s="12" t="s">
        <v>37</v>
      </c>
      <c r="FD280" s="12" t="s">
        <v>37</v>
      </c>
      <c r="FE280" s="12" t="s">
        <v>37</v>
      </c>
      <c r="FF280" s="20" t="s">
        <v>37</v>
      </c>
      <c r="FG280" s="12" t="s">
        <v>37</v>
      </c>
      <c r="FI280" s="12" t="s">
        <v>37</v>
      </c>
      <c r="FJ280" s="12" t="s">
        <v>37</v>
      </c>
      <c r="FK280" s="12" t="s">
        <v>37</v>
      </c>
      <c r="FL280" s="12" t="s">
        <v>37</v>
      </c>
      <c r="FM280" s="12" t="s">
        <v>37</v>
      </c>
      <c r="FN280" s="12" t="s">
        <v>37</v>
      </c>
      <c r="FP280" s="12" t="s">
        <v>37</v>
      </c>
      <c r="FQ280" s="12" t="s">
        <v>37</v>
      </c>
      <c r="FR280" s="12" t="s">
        <v>37</v>
      </c>
      <c r="FS280" s="12" t="s">
        <v>37</v>
      </c>
      <c r="FT280" s="12" t="s">
        <v>37</v>
      </c>
      <c r="FU280" s="12" t="s">
        <v>37</v>
      </c>
      <c r="FW280" s="12" t="s">
        <v>37</v>
      </c>
      <c r="FX280" s="12" t="s">
        <v>37</v>
      </c>
      <c r="FY280" s="12" t="s">
        <v>37</v>
      </c>
      <c r="FZ280" s="12" t="s">
        <v>37</v>
      </c>
      <c r="GA280" s="12" t="s">
        <v>37</v>
      </c>
      <c r="GB280" s="12" t="s">
        <v>37</v>
      </c>
      <c r="GO280" s="12" t="s">
        <v>660</v>
      </c>
      <c r="GP280" s="12" t="s">
        <v>372</v>
      </c>
      <c r="GQ280" s="12">
        <v>13.9</v>
      </c>
      <c r="GR280" s="50">
        <f t="shared" ref="GR280:GR315" si="1243">ABS(GQ280)*GT$474</f>
        <v>1.3278608498174032</v>
      </c>
      <c r="GS280" s="13">
        <v>1</v>
      </c>
      <c r="GU280" s="12">
        <v>12</v>
      </c>
      <c r="GV280" s="50">
        <f t="shared" ref="GV280:GV315" si="1244">ABS(GU280)*GX$474</f>
        <v>1.2772341876532403</v>
      </c>
      <c r="GW280" s="13">
        <v>1</v>
      </c>
      <c r="GY280" s="19">
        <f t="shared" ref="GY280:GY295" si="1245">LN(GU280/GQ280)</f>
        <v>-0.14698219034864582</v>
      </c>
      <c r="GZ280" s="19">
        <f t="shared" ref="GZ280:GZ295" si="1246">GV280^2/(GW280*GU280^2)+GR280^2/(GS280*GQ280^2)</f>
        <v>2.045455726748819E-2</v>
      </c>
      <c r="IK280" s="12" t="s">
        <v>37</v>
      </c>
      <c r="IL280" s="12" t="s">
        <v>37</v>
      </c>
      <c r="IM280" s="12" t="s">
        <v>37</v>
      </c>
      <c r="IO280" s="12" t="s">
        <v>37</v>
      </c>
      <c r="IP280" s="12" t="s">
        <v>37</v>
      </c>
      <c r="IQ280" s="12" t="s">
        <v>37</v>
      </c>
      <c r="IV280" s="32" t="s">
        <v>345</v>
      </c>
      <c r="IW280" s="12">
        <v>6.3</v>
      </c>
      <c r="IX280" s="12">
        <v>0.3</v>
      </c>
      <c r="IY280" s="13">
        <v>6</v>
      </c>
      <c r="IZ280" s="19">
        <f t="shared" ref="IZ280:IZ315" si="1247">IX280/IW280</f>
        <v>4.7619047619047616E-2</v>
      </c>
      <c r="JA280" s="13"/>
      <c r="JB280" s="13"/>
      <c r="JH280" s="12" t="s">
        <v>37</v>
      </c>
      <c r="JI280" s="12" t="s">
        <v>37</v>
      </c>
      <c r="JJ280" s="13" t="s">
        <v>37</v>
      </c>
      <c r="JL280" s="12" t="s">
        <v>37</v>
      </c>
      <c r="JM280" s="12" t="s">
        <v>37</v>
      </c>
      <c r="JN280" s="12" t="s">
        <v>37</v>
      </c>
      <c r="JS280" s="12" t="s">
        <v>37</v>
      </c>
      <c r="JT280" s="12" t="s">
        <v>37</v>
      </c>
      <c r="JU280" s="13" t="s">
        <v>37</v>
      </c>
      <c r="JW280" s="12" t="s">
        <v>37</v>
      </c>
      <c r="JX280" s="12" t="s">
        <v>37</v>
      </c>
      <c r="JY280" s="12" t="s">
        <v>37</v>
      </c>
      <c r="KE280" s="12" t="s">
        <v>37</v>
      </c>
      <c r="KF280" s="12" t="s">
        <v>37</v>
      </c>
      <c r="KG280" s="13" t="s">
        <v>37</v>
      </c>
      <c r="KH280" s="12" t="s">
        <v>37</v>
      </c>
      <c r="KI280" s="12" t="s">
        <v>37</v>
      </c>
      <c r="KJ280" s="12" t="s">
        <v>37</v>
      </c>
      <c r="KM280" s="12" t="s">
        <v>37</v>
      </c>
      <c r="KN280" s="12" t="s">
        <v>37</v>
      </c>
      <c r="KO280" s="11" t="s">
        <v>37</v>
      </c>
      <c r="KQ280" s="12" t="s">
        <v>37</v>
      </c>
      <c r="KR280" s="12" t="s">
        <v>37</v>
      </c>
      <c r="KS280" s="12" t="s">
        <v>37</v>
      </c>
      <c r="KX280" s="12" t="s">
        <v>37</v>
      </c>
      <c r="KY280" s="12" t="s">
        <v>37</v>
      </c>
      <c r="KZ280" s="12" t="s">
        <v>37</v>
      </c>
      <c r="LB280" s="12" t="s">
        <v>37</v>
      </c>
      <c r="LC280" s="12" t="s">
        <v>37</v>
      </c>
      <c r="LD280" s="12" t="s">
        <v>37</v>
      </c>
      <c r="LI280" s="12" t="s">
        <v>37</v>
      </c>
      <c r="LJ280" s="12" t="s">
        <v>37</v>
      </c>
      <c r="LK280" s="12" t="s">
        <v>37</v>
      </c>
      <c r="LM280" s="12" t="s">
        <v>37</v>
      </c>
      <c r="LN280" s="12" t="s">
        <v>37</v>
      </c>
      <c r="LO280" s="12" t="s">
        <v>37</v>
      </c>
      <c r="LU280" s="12" t="s">
        <v>37</v>
      </c>
      <c r="LV280" s="12" t="s">
        <v>37</v>
      </c>
      <c r="LW280" s="12" t="s">
        <v>37</v>
      </c>
      <c r="LY280" s="12" t="s">
        <v>37</v>
      </c>
      <c r="LZ280" s="12" t="s">
        <v>37</v>
      </c>
      <c r="MA280" s="12" t="s">
        <v>37</v>
      </c>
      <c r="MF280" s="12" t="s">
        <v>37</v>
      </c>
      <c r="MG280" s="12" t="s">
        <v>37</v>
      </c>
      <c r="MH280" s="12" t="s">
        <v>37</v>
      </c>
      <c r="MJ280" s="12" t="s">
        <v>37</v>
      </c>
      <c r="MK280" s="12" t="s">
        <v>37</v>
      </c>
      <c r="ML280" s="12" t="s">
        <v>37</v>
      </c>
      <c r="MQ280" s="12" t="s">
        <v>37</v>
      </c>
      <c r="MR280" s="12" t="s">
        <v>37</v>
      </c>
      <c r="MS280" s="12" t="s">
        <v>37</v>
      </c>
      <c r="MU280" s="12" t="s">
        <v>37</v>
      </c>
      <c r="MV280" s="12" t="s">
        <v>37</v>
      </c>
      <c r="MW280" s="12" t="s">
        <v>37</v>
      </c>
      <c r="NC280" s="12" t="s">
        <v>37</v>
      </c>
      <c r="ND280" s="12" t="s">
        <v>37</v>
      </c>
      <c r="NE280" s="12" t="s">
        <v>37</v>
      </c>
      <c r="NG280" s="12" t="s">
        <v>37</v>
      </c>
      <c r="NH280" s="12" t="s">
        <v>37</v>
      </c>
      <c r="NI280" s="12" t="s">
        <v>37</v>
      </c>
      <c r="NO280" s="12" t="s">
        <v>37</v>
      </c>
      <c r="NP280" s="12" t="s">
        <v>37</v>
      </c>
      <c r="NQ280" s="12" t="s">
        <v>37</v>
      </c>
      <c r="NS280" s="12" t="s">
        <v>37</v>
      </c>
      <c r="NT280" s="12" t="s">
        <v>37</v>
      </c>
      <c r="NU280" s="12" t="s">
        <v>37</v>
      </c>
      <c r="OA280" s="12" t="s">
        <v>37</v>
      </c>
      <c r="OB280" s="12" t="s">
        <v>37</v>
      </c>
      <c r="OC280" s="12" t="s">
        <v>37</v>
      </c>
      <c r="OD280" s="12"/>
      <c r="OE280" s="12" t="s">
        <v>37</v>
      </c>
      <c r="OF280" s="12" t="s">
        <v>37</v>
      </c>
      <c r="OG280" s="12" t="s">
        <v>37</v>
      </c>
      <c r="OH280" s="12"/>
      <c r="OI280" s="12"/>
      <c r="OJ280" s="12"/>
      <c r="OM280" s="12" t="s">
        <v>37</v>
      </c>
      <c r="ON280" s="12" t="s">
        <v>37</v>
      </c>
      <c r="OO280" s="12" t="s">
        <v>37</v>
      </c>
      <c r="OP280" s="12" t="s">
        <v>37</v>
      </c>
      <c r="OQ280" s="12" t="s">
        <v>37</v>
      </c>
      <c r="OR280" s="12" t="s">
        <v>37</v>
      </c>
      <c r="OS280" s="12"/>
      <c r="OT280" s="12"/>
      <c r="OW280" s="12" t="s">
        <v>37</v>
      </c>
      <c r="OX280" s="12" t="s">
        <v>37</v>
      </c>
      <c r="OY280" s="13" t="s">
        <v>37</v>
      </c>
      <c r="OZ280" s="12" t="s">
        <v>37</v>
      </c>
      <c r="PA280" s="12" t="s">
        <v>37</v>
      </c>
      <c r="PB280" s="13" t="s">
        <v>37</v>
      </c>
      <c r="PG280" s="12" t="s">
        <v>37</v>
      </c>
      <c r="PH280" s="12" t="s">
        <v>37</v>
      </c>
      <c r="PI280" s="12" t="s">
        <v>37</v>
      </c>
      <c r="PJ280" s="12" t="s">
        <v>37</v>
      </c>
      <c r="PK280" s="12" t="s">
        <v>37</v>
      </c>
      <c r="PL280" s="12" t="s">
        <v>37</v>
      </c>
      <c r="PM280" s="12"/>
      <c r="PN280" s="12"/>
      <c r="PQ280" s="12" t="s">
        <v>37</v>
      </c>
      <c r="PR280" s="12" t="s">
        <v>37</v>
      </c>
      <c r="PS280" s="12" t="s">
        <v>37</v>
      </c>
      <c r="PT280" s="12" t="s">
        <v>37</v>
      </c>
      <c r="PU280" s="12" t="s">
        <v>37</v>
      </c>
      <c r="PV280" s="12" t="s">
        <v>37</v>
      </c>
      <c r="PW280" s="12"/>
      <c r="PX280" s="12"/>
      <c r="PZ280" s="12" t="s">
        <v>37</v>
      </c>
      <c r="QA280" s="12" t="s">
        <v>37</v>
      </c>
      <c r="QB280" s="12" t="s">
        <v>37</v>
      </c>
      <c r="QD280" s="12" t="s">
        <v>37</v>
      </c>
      <c r="QE280" s="12" t="s">
        <v>37</v>
      </c>
      <c r="QF280" s="12" t="s">
        <v>37</v>
      </c>
      <c r="QK280" s="12" t="s">
        <v>37</v>
      </c>
      <c r="QL280" s="12" t="s">
        <v>37</v>
      </c>
      <c r="QM280" s="12" t="s">
        <v>37</v>
      </c>
      <c r="QN280" s="12" t="s">
        <v>37</v>
      </c>
      <c r="QO280" s="12" t="s">
        <v>37</v>
      </c>
      <c r="QP280" s="12" t="s">
        <v>37</v>
      </c>
      <c r="QQ280" s="12"/>
      <c r="QR280" s="12"/>
      <c r="QU280" s="12" t="s">
        <v>37</v>
      </c>
      <c r="QV280" s="12" t="s">
        <v>37</v>
      </c>
      <c r="QW280" s="12" t="s">
        <v>37</v>
      </c>
      <c r="QX280" s="12" t="s">
        <v>37</v>
      </c>
      <c r="QY280" s="12" t="s">
        <v>37</v>
      </c>
      <c r="QZ280" s="12" t="s">
        <v>37</v>
      </c>
      <c r="RC280" s="12" t="s">
        <v>37</v>
      </c>
      <c r="RD280" s="12" t="s">
        <v>37</v>
      </c>
      <c r="RE280" s="13" t="s">
        <v>37</v>
      </c>
      <c r="RF280" s="12" t="s">
        <v>37</v>
      </c>
      <c r="RG280" s="12" t="s">
        <v>37</v>
      </c>
      <c r="RH280" s="13" t="s">
        <v>37</v>
      </c>
      <c r="RK280" s="12" t="s">
        <v>37</v>
      </c>
      <c r="RL280" s="12" t="s">
        <v>37</v>
      </c>
      <c r="RM280" s="11" t="s">
        <v>37</v>
      </c>
      <c r="RN280" s="12" t="s">
        <v>37</v>
      </c>
      <c r="RO280" s="12" t="s">
        <v>37</v>
      </c>
      <c r="RP280" s="11" t="s">
        <v>37</v>
      </c>
      <c r="RS280" s="12" t="s">
        <v>37</v>
      </c>
      <c r="RT280" s="12" t="s">
        <v>37</v>
      </c>
      <c r="RU280" s="12" t="s">
        <v>37</v>
      </c>
      <c r="RV280" s="12" t="s">
        <v>37</v>
      </c>
      <c r="RW280" s="12" t="s">
        <v>37</v>
      </c>
      <c r="RX280" s="12" t="s">
        <v>37</v>
      </c>
      <c r="SA280" s="12" t="s">
        <v>37</v>
      </c>
      <c r="SB280" s="12" t="s">
        <v>37</v>
      </c>
      <c r="SC280" s="12" t="s">
        <v>37</v>
      </c>
      <c r="SD280" s="12" t="s">
        <v>37</v>
      </c>
      <c r="SE280" s="12" t="s">
        <v>37</v>
      </c>
      <c r="SF280" s="12" t="s">
        <v>37</v>
      </c>
      <c r="SI280" s="12" t="s">
        <v>37</v>
      </c>
      <c r="SJ280" s="12" t="s">
        <v>37</v>
      </c>
      <c r="SK280" s="13" t="s">
        <v>37</v>
      </c>
      <c r="SM280" s="12" t="s">
        <v>37</v>
      </c>
      <c r="SN280" s="12" t="s">
        <v>37</v>
      </c>
      <c r="SO280" s="13" t="s">
        <v>37</v>
      </c>
      <c r="SU280" s="12" t="s">
        <v>37</v>
      </c>
      <c r="SV280" s="12" t="s">
        <v>37</v>
      </c>
      <c r="SW280" s="12" t="s">
        <v>37</v>
      </c>
      <c r="SX280" s="12" t="s">
        <v>37</v>
      </c>
      <c r="SY280" s="12" t="s">
        <v>37</v>
      </c>
      <c r="SZ280" s="12" t="s">
        <v>37</v>
      </c>
      <c r="TA280" s="12"/>
      <c r="TB280" s="12"/>
      <c r="TE280" s="12" t="s">
        <v>37</v>
      </c>
      <c r="TF280" s="12" t="s">
        <v>37</v>
      </c>
      <c r="TG280" s="12" t="s">
        <v>37</v>
      </c>
      <c r="TH280" s="12" t="s">
        <v>37</v>
      </c>
      <c r="TI280" s="12" t="s">
        <v>37</v>
      </c>
      <c r="TJ280" s="12" t="s">
        <v>37</v>
      </c>
      <c r="TK280" s="12"/>
      <c r="TL280" s="12"/>
      <c r="TO280" s="12" t="s">
        <v>37</v>
      </c>
      <c r="TP280" s="12" t="s">
        <v>37</v>
      </c>
      <c r="TQ280" s="12" t="s">
        <v>37</v>
      </c>
      <c r="TR280" s="12" t="s">
        <v>37</v>
      </c>
      <c r="TS280" s="12" t="s">
        <v>37</v>
      </c>
      <c r="TT280" s="12" t="s">
        <v>37</v>
      </c>
      <c r="TU280" s="12"/>
      <c r="TV280" s="12"/>
      <c r="TY280" s="12" t="s">
        <v>37</v>
      </c>
      <c r="TZ280" s="12" t="s">
        <v>37</v>
      </c>
      <c r="UA280" s="12" t="s">
        <v>37</v>
      </c>
      <c r="UB280" s="12" t="s">
        <v>37</v>
      </c>
      <c r="UC280" s="12" t="s">
        <v>37</v>
      </c>
      <c r="UD280" s="12" t="s">
        <v>37</v>
      </c>
      <c r="UE280" s="12"/>
      <c r="UF280" s="12"/>
      <c r="UI280" s="12" t="s">
        <v>37</v>
      </c>
      <c r="UJ280" s="12" t="s">
        <v>37</v>
      </c>
      <c r="UK280" s="12" t="s">
        <v>37</v>
      </c>
      <c r="UL280" s="12" t="s">
        <v>37</v>
      </c>
      <c r="UM280" s="12" t="s">
        <v>37</v>
      </c>
      <c r="UN280" s="12" t="s">
        <v>37</v>
      </c>
      <c r="UO280" s="12"/>
      <c r="UP280" s="12"/>
      <c r="UR280" s="12" t="s">
        <v>37</v>
      </c>
      <c r="US280" s="12" t="s">
        <v>37</v>
      </c>
      <c r="UT280" s="12" t="s">
        <v>37</v>
      </c>
      <c r="UU280" s="12" t="s">
        <v>37</v>
      </c>
      <c r="UV280" s="12" t="s">
        <v>37</v>
      </c>
      <c r="UW280" s="12" t="s">
        <v>37</v>
      </c>
      <c r="UX280" s="12"/>
      <c r="UY280" s="12"/>
      <c r="VB280" s="12" t="s">
        <v>37</v>
      </c>
      <c r="VC280" s="12" t="s">
        <v>37</v>
      </c>
      <c r="VD280" s="12" t="s">
        <v>37</v>
      </c>
      <c r="VE280" s="12" t="s">
        <v>37</v>
      </c>
      <c r="VF280" s="12" t="s">
        <v>37</v>
      </c>
      <c r="VG280" s="12" t="s">
        <v>37</v>
      </c>
      <c r="VI280" s="12" t="s">
        <v>37</v>
      </c>
      <c r="VJ280" s="12" t="s">
        <v>37</v>
      </c>
      <c r="VK280" s="12" t="s">
        <v>37</v>
      </c>
      <c r="VL280" s="12" t="s">
        <v>37</v>
      </c>
      <c r="VM280" s="12" t="s">
        <v>37</v>
      </c>
      <c r="VN280" s="12" t="s">
        <v>37</v>
      </c>
      <c r="VQ280" s="12" t="s">
        <v>37</v>
      </c>
      <c r="VR280" s="12" t="s">
        <v>37</v>
      </c>
      <c r="VS280" s="12" t="s">
        <v>37</v>
      </c>
      <c r="VT280" s="12" t="s">
        <v>37</v>
      </c>
      <c r="VU280" s="12" t="s">
        <v>37</v>
      </c>
      <c r="VV280" s="12" t="s">
        <v>37</v>
      </c>
      <c r="VW280" s="12"/>
      <c r="VX280" s="12"/>
      <c r="WA280" s="12" t="s">
        <v>37</v>
      </c>
      <c r="WB280" s="12" t="s">
        <v>37</v>
      </c>
      <c r="WC280" s="12" t="s">
        <v>37</v>
      </c>
      <c r="WD280" s="12" t="s">
        <v>37</v>
      </c>
      <c r="WE280" s="12" t="s">
        <v>37</v>
      </c>
      <c r="WF280" s="12" t="s">
        <v>37</v>
      </c>
    </row>
    <row r="281" spans="1:604" ht="18" customHeight="1" x14ac:dyDescent="0.3">
      <c r="A281" s="11">
        <v>70</v>
      </c>
      <c r="B281" s="16" t="s">
        <v>399</v>
      </c>
      <c r="C281" s="12" t="s">
        <v>32</v>
      </c>
      <c r="D281" s="12" t="s">
        <v>54</v>
      </c>
      <c r="E281" s="40" t="s">
        <v>37</v>
      </c>
      <c r="F281" s="14">
        <v>0</v>
      </c>
      <c r="G281" s="14">
        <v>0</v>
      </c>
      <c r="H281" s="12" t="s">
        <v>91</v>
      </c>
      <c r="I281" s="29">
        <v>49.05</v>
      </c>
      <c r="J281" s="29">
        <v>-80.667000000000002</v>
      </c>
      <c r="K281" s="12" t="s">
        <v>778</v>
      </c>
      <c r="L281" s="12" t="s">
        <v>779</v>
      </c>
      <c r="M281" s="13" t="s">
        <v>37</v>
      </c>
      <c r="N281" s="14">
        <v>0.6</v>
      </c>
      <c r="O281" s="14">
        <v>885</v>
      </c>
      <c r="P281" s="14" t="s">
        <v>16</v>
      </c>
      <c r="Q281" s="75">
        <v>7</v>
      </c>
      <c r="R281" s="11" t="s">
        <v>1000</v>
      </c>
      <c r="S281" s="12" t="s">
        <v>85</v>
      </c>
      <c r="T281" s="12" t="s">
        <v>138</v>
      </c>
      <c r="U281" s="12" t="s">
        <v>163</v>
      </c>
      <c r="V281" s="12" t="s">
        <v>275</v>
      </c>
      <c r="W281" s="23" t="s">
        <v>377</v>
      </c>
      <c r="X281" s="12" t="s">
        <v>281</v>
      </c>
      <c r="Y281" s="12" t="s">
        <v>37</v>
      </c>
      <c r="Z281" s="12" t="s">
        <v>37</v>
      </c>
      <c r="AA281" s="32" t="s">
        <v>345</v>
      </c>
      <c r="AB281" s="12">
        <v>6.3</v>
      </c>
      <c r="AE281" s="12" t="s">
        <v>37</v>
      </c>
      <c r="AH281" s="12" t="s">
        <v>37</v>
      </c>
      <c r="AK281" s="12" t="s">
        <v>37</v>
      </c>
      <c r="AL281" s="32" t="s">
        <v>400</v>
      </c>
      <c r="AM281" s="12" t="s">
        <v>317</v>
      </c>
      <c r="AN281" s="32" t="s">
        <v>879</v>
      </c>
      <c r="AO281" s="12" t="s">
        <v>37</v>
      </c>
      <c r="AP281" s="12" t="s">
        <v>401</v>
      </c>
      <c r="AQ281" s="12" t="s">
        <v>975</v>
      </c>
      <c r="AT281" s="12" t="s">
        <v>326</v>
      </c>
      <c r="AU281" s="12" t="s">
        <v>326</v>
      </c>
      <c r="AV281" s="13" t="s">
        <v>326</v>
      </c>
      <c r="AX281" s="12" t="s">
        <v>326</v>
      </c>
      <c r="AY281" s="12" t="s">
        <v>326</v>
      </c>
      <c r="AZ281" s="13" t="s">
        <v>326</v>
      </c>
      <c r="BE281" s="12" t="s">
        <v>326</v>
      </c>
      <c r="BF281" s="12" t="s">
        <v>326</v>
      </c>
      <c r="BG281" s="12" t="s">
        <v>326</v>
      </c>
      <c r="BI281" s="12" t="s">
        <v>326</v>
      </c>
      <c r="BJ281" s="12" t="s">
        <v>326</v>
      </c>
      <c r="BK281" s="12" t="s">
        <v>326</v>
      </c>
      <c r="BP281" s="12" t="s">
        <v>37</v>
      </c>
      <c r="BQ281" s="12" t="s">
        <v>37</v>
      </c>
      <c r="BR281" s="13" t="s">
        <v>37</v>
      </c>
      <c r="BT281" s="12" t="s">
        <v>37</v>
      </c>
      <c r="BU281" s="12" t="s">
        <v>37</v>
      </c>
      <c r="BV281" s="12" t="s">
        <v>37</v>
      </c>
      <c r="CA281" s="12" t="s">
        <v>37</v>
      </c>
      <c r="CB281" s="12" t="s">
        <v>37</v>
      </c>
      <c r="CC281" s="13" t="s">
        <v>37</v>
      </c>
      <c r="CE281" s="12" t="s">
        <v>37</v>
      </c>
      <c r="CF281" s="12" t="s">
        <v>37</v>
      </c>
      <c r="CG281" s="12" t="s">
        <v>37</v>
      </c>
      <c r="CN281" s="12" t="s">
        <v>37</v>
      </c>
      <c r="CO281" s="12" t="s">
        <v>37</v>
      </c>
      <c r="CP281" s="13" t="s">
        <v>37</v>
      </c>
      <c r="CR281" s="12" t="s">
        <v>37</v>
      </c>
      <c r="CS281" s="12" t="s">
        <v>37</v>
      </c>
      <c r="CT281" s="13" t="s">
        <v>37</v>
      </c>
      <c r="CX281" s="72"/>
      <c r="CY281" s="72"/>
      <c r="DA281" s="12" t="s">
        <v>37</v>
      </c>
      <c r="DB281" s="12" t="s">
        <v>37</v>
      </c>
      <c r="DC281" s="13" t="s">
        <v>37</v>
      </c>
      <c r="DE281" s="12" t="s">
        <v>37</v>
      </c>
      <c r="DF281" s="12" t="s">
        <v>37</v>
      </c>
      <c r="DG281" s="12" t="s">
        <v>37</v>
      </c>
      <c r="DM281" s="12" t="s">
        <v>47</v>
      </c>
      <c r="DN281" s="19">
        <f>1.8*("1991/10/31"-"1991/5/1")*10^4/10^6/'[1]classes-1'!$I$28</f>
        <v>4.3449126612056599</v>
      </c>
      <c r="DO281" s="12">
        <f>DO280</f>
        <v>9.5961779850217681</v>
      </c>
      <c r="DP281" s="13">
        <v>6</v>
      </c>
      <c r="DQ281" s="19">
        <f t="shared" si="1237"/>
        <v>2.2086008933396939</v>
      </c>
      <c r="DR281" s="19">
        <f>-0.1*("1991/10/31"-"1991/5/1")*10^4/10^6/'[1]classes-1'!$I$29</f>
        <v>-5.3718567649972807E-2</v>
      </c>
      <c r="DS281" s="12">
        <f>SQRT((1/[2]Classes!$I$29)^2*(1*("1991/10/31"-"1991/5/1")*10^4/10^6)^2+(-DR281/([2]Classes!$I$29)^2)^2*([2]Classes!$J$29)^2)</f>
        <v>0.5398869703372956</v>
      </c>
      <c r="DT281" s="13">
        <v>6</v>
      </c>
      <c r="DU281" s="19">
        <f t="shared" si="1238"/>
        <v>10.050286036202026</v>
      </c>
      <c r="DV281" s="19">
        <f t="shared" si="1211"/>
        <v>-4.3986312288556331</v>
      </c>
      <c r="DW281" s="12">
        <f t="shared" si="1212"/>
        <v>6.7962530066558156</v>
      </c>
      <c r="DX281" s="72">
        <f t="shared" si="1124"/>
        <v>15.396351643492739</v>
      </c>
      <c r="DY281" s="72">
        <f t="shared" si="1125"/>
        <v>15.396351643492737</v>
      </c>
      <c r="EA281" s="19" t="s">
        <v>37</v>
      </c>
      <c r="EB281" s="19" t="s">
        <v>37</v>
      </c>
      <c r="EC281" s="72" t="s">
        <v>37</v>
      </c>
      <c r="EE281" s="19" t="s">
        <v>37</v>
      </c>
      <c r="EF281" s="19" t="s">
        <v>37</v>
      </c>
      <c r="EG281" s="12" t="s">
        <v>37</v>
      </c>
      <c r="EM281" s="12" t="s">
        <v>39</v>
      </c>
      <c r="EN281" s="12">
        <v>-24.4</v>
      </c>
      <c r="EO281" s="50">
        <f t="shared" si="1241"/>
        <v>9.9429121295315568</v>
      </c>
      <c r="EP281" s="13">
        <v>1</v>
      </c>
      <c r="ER281" s="12">
        <v>-49.1</v>
      </c>
      <c r="ES281" s="50">
        <f t="shared" si="1242"/>
        <v>11.136570027301435</v>
      </c>
      <c r="ET281" s="13">
        <v>1</v>
      </c>
      <c r="EV281" s="19">
        <f t="shared" si="1233"/>
        <v>-24.700000000000003</v>
      </c>
      <c r="EW281" s="12" t="e">
        <f t="shared" si="1234"/>
        <v>#DIV/0!</v>
      </c>
      <c r="EX281" s="19" t="e">
        <f t="shared" si="1235"/>
        <v>#DIV/0!</v>
      </c>
      <c r="EY281" s="19">
        <f t="shared" si="1236"/>
        <v>222.88469358857444</v>
      </c>
      <c r="FB281" s="12" t="s">
        <v>37</v>
      </c>
      <c r="FC281" s="12" t="s">
        <v>37</v>
      </c>
      <c r="FD281" s="12" t="s">
        <v>37</v>
      </c>
      <c r="FE281" s="12" t="s">
        <v>37</v>
      </c>
      <c r="FF281" s="20" t="s">
        <v>37</v>
      </c>
      <c r="FG281" s="12" t="s">
        <v>37</v>
      </c>
      <c r="FI281" s="12" t="s">
        <v>37</v>
      </c>
      <c r="FJ281" s="12" t="s">
        <v>37</v>
      </c>
      <c r="FK281" s="12" t="s">
        <v>37</v>
      </c>
      <c r="FL281" s="12" t="s">
        <v>37</v>
      </c>
      <c r="FM281" s="12" t="s">
        <v>37</v>
      </c>
      <c r="FN281" s="12" t="s">
        <v>37</v>
      </c>
      <c r="FP281" s="12" t="s">
        <v>37</v>
      </c>
      <c r="FQ281" s="12" t="s">
        <v>37</v>
      </c>
      <c r="FR281" s="12" t="s">
        <v>37</v>
      </c>
      <c r="FS281" s="12" t="s">
        <v>37</v>
      </c>
      <c r="FT281" s="12" t="s">
        <v>37</v>
      </c>
      <c r="FU281" s="12" t="s">
        <v>37</v>
      </c>
      <c r="FW281" s="12" t="s">
        <v>37</v>
      </c>
      <c r="FX281" s="12" t="s">
        <v>37</v>
      </c>
      <c r="FY281" s="12" t="s">
        <v>37</v>
      </c>
      <c r="FZ281" s="12" t="s">
        <v>37</v>
      </c>
      <c r="GA281" s="12" t="s">
        <v>37</v>
      </c>
      <c r="GB281" s="12" t="s">
        <v>37</v>
      </c>
      <c r="GO281" s="12" t="s">
        <v>660</v>
      </c>
      <c r="GP281" s="12" t="s">
        <v>372</v>
      </c>
      <c r="GQ281" s="12">
        <v>13.9</v>
      </c>
      <c r="GR281" s="50">
        <f t="shared" si="1243"/>
        <v>1.3278608498174032</v>
      </c>
      <c r="GS281" s="13">
        <v>1</v>
      </c>
      <c r="GU281" s="12">
        <v>12.8</v>
      </c>
      <c r="GV281" s="50">
        <f t="shared" si="1244"/>
        <v>1.3623831334967897</v>
      </c>
      <c r="GW281" s="13">
        <v>1</v>
      </c>
      <c r="GY281" s="19">
        <f t="shared" si="1245"/>
        <v>-8.2443669211074544E-2</v>
      </c>
      <c r="GZ281" s="19">
        <f t="shared" si="1246"/>
        <v>2.0454557267488193E-2</v>
      </c>
      <c r="IK281" s="12" t="s">
        <v>37</v>
      </c>
      <c r="IL281" s="12" t="s">
        <v>37</v>
      </c>
      <c r="IM281" s="12" t="s">
        <v>37</v>
      </c>
      <c r="IO281" s="12" t="s">
        <v>37</v>
      </c>
      <c r="IP281" s="12" t="s">
        <v>37</v>
      </c>
      <c r="IQ281" s="12" t="s">
        <v>37</v>
      </c>
      <c r="IV281" s="32" t="s">
        <v>345</v>
      </c>
      <c r="IW281" s="12">
        <v>6.3</v>
      </c>
      <c r="IX281" s="12">
        <v>0.3</v>
      </c>
      <c r="IY281" s="13">
        <v>6</v>
      </c>
      <c r="IZ281" s="19">
        <f t="shared" si="1247"/>
        <v>4.7619047619047616E-2</v>
      </c>
      <c r="JA281" s="13"/>
      <c r="JB281" s="13"/>
      <c r="JH281" s="12" t="s">
        <v>37</v>
      </c>
      <c r="JI281" s="12" t="s">
        <v>37</v>
      </c>
      <c r="JJ281" s="13" t="s">
        <v>37</v>
      </c>
      <c r="JL281" s="12" t="s">
        <v>37</v>
      </c>
      <c r="JM281" s="12" t="s">
        <v>37</v>
      </c>
      <c r="JN281" s="12" t="s">
        <v>37</v>
      </c>
      <c r="JS281" s="12" t="s">
        <v>37</v>
      </c>
      <c r="JT281" s="12" t="s">
        <v>37</v>
      </c>
      <c r="JU281" s="13" t="s">
        <v>37</v>
      </c>
      <c r="JW281" s="12" t="s">
        <v>37</v>
      </c>
      <c r="JX281" s="12" t="s">
        <v>37</v>
      </c>
      <c r="JY281" s="12" t="s">
        <v>37</v>
      </c>
      <c r="KE281" s="12" t="s">
        <v>37</v>
      </c>
      <c r="KF281" s="12" t="s">
        <v>37</v>
      </c>
      <c r="KG281" s="13" t="s">
        <v>37</v>
      </c>
      <c r="KH281" s="12" t="s">
        <v>37</v>
      </c>
      <c r="KI281" s="12" t="s">
        <v>37</v>
      </c>
      <c r="KJ281" s="12" t="s">
        <v>37</v>
      </c>
      <c r="KM281" s="12" t="s">
        <v>37</v>
      </c>
      <c r="KN281" s="12" t="s">
        <v>37</v>
      </c>
      <c r="KO281" s="11" t="s">
        <v>37</v>
      </c>
      <c r="KQ281" s="12" t="s">
        <v>37</v>
      </c>
      <c r="KR281" s="12" t="s">
        <v>37</v>
      </c>
      <c r="KS281" s="12" t="s">
        <v>37</v>
      </c>
      <c r="KX281" s="12" t="s">
        <v>37</v>
      </c>
      <c r="KY281" s="12" t="s">
        <v>37</v>
      </c>
      <c r="KZ281" s="12" t="s">
        <v>37</v>
      </c>
      <c r="LB281" s="12" t="s">
        <v>37</v>
      </c>
      <c r="LC281" s="12" t="s">
        <v>37</v>
      </c>
      <c r="LD281" s="12" t="s">
        <v>37</v>
      </c>
      <c r="LI281" s="12" t="s">
        <v>37</v>
      </c>
      <c r="LJ281" s="12" t="s">
        <v>37</v>
      </c>
      <c r="LK281" s="12" t="s">
        <v>37</v>
      </c>
      <c r="LM281" s="12" t="s">
        <v>37</v>
      </c>
      <c r="LN281" s="12" t="s">
        <v>37</v>
      </c>
      <c r="LO281" s="12" t="s">
        <v>37</v>
      </c>
      <c r="LU281" s="12" t="s">
        <v>37</v>
      </c>
      <c r="LV281" s="12" t="s">
        <v>37</v>
      </c>
      <c r="LW281" s="12" t="s">
        <v>37</v>
      </c>
      <c r="LY281" s="12" t="s">
        <v>37</v>
      </c>
      <c r="LZ281" s="12" t="s">
        <v>37</v>
      </c>
      <c r="MA281" s="12" t="s">
        <v>37</v>
      </c>
      <c r="MF281" s="12" t="s">
        <v>37</v>
      </c>
      <c r="MG281" s="12" t="s">
        <v>37</v>
      </c>
      <c r="MH281" s="12" t="s">
        <v>37</v>
      </c>
      <c r="MJ281" s="12" t="s">
        <v>37</v>
      </c>
      <c r="MK281" s="12" t="s">
        <v>37</v>
      </c>
      <c r="ML281" s="12" t="s">
        <v>37</v>
      </c>
      <c r="MQ281" s="12" t="s">
        <v>37</v>
      </c>
      <c r="MR281" s="12" t="s">
        <v>37</v>
      </c>
      <c r="MS281" s="12" t="s">
        <v>37</v>
      </c>
      <c r="MU281" s="12" t="s">
        <v>37</v>
      </c>
      <c r="MV281" s="12" t="s">
        <v>37</v>
      </c>
      <c r="MW281" s="12" t="s">
        <v>37</v>
      </c>
      <c r="NC281" s="12" t="s">
        <v>37</v>
      </c>
      <c r="ND281" s="12" t="s">
        <v>37</v>
      </c>
      <c r="NE281" s="12" t="s">
        <v>37</v>
      </c>
      <c r="NG281" s="12" t="s">
        <v>37</v>
      </c>
      <c r="NH281" s="12" t="s">
        <v>37</v>
      </c>
      <c r="NI281" s="12" t="s">
        <v>37</v>
      </c>
      <c r="NO281" s="12" t="s">
        <v>37</v>
      </c>
      <c r="NP281" s="12" t="s">
        <v>37</v>
      </c>
      <c r="NQ281" s="12" t="s">
        <v>37</v>
      </c>
      <c r="NS281" s="12" t="s">
        <v>37</v>
      </c>
      <c r="NT281" s="12" t="s">
        <v>37</v>
      </c>
      <c r="NU281" s="12" t="s">
        <v>37</v>
      </c>
      <c r="OA281" s="12" t="s">
        <v>37</v>
      </c>
      <c r="OB281" s="12" t="s">
        <v>37</v>
      </c>
      <c r="OC281" s="12" t="s">
        <v>37</v>
      </c>
      <c r="OD281" s="12"/>
      <c r="OE281" s="12" t="s">
        <v>37</v>
      </c>
      <c r="OF281" s="12" t="s">
        <v>37</v>
      </c>
      <c r="OG281" s="12" t="s">
        <v>37</v>
      </c>
      <c r="OH281" s="12"/>
      <c r="OI281" s="12"/>
      <c r="OJ281" s="12"/>
      <c r="OM281" s="12" t="s">
        <v>37</v>
      </c>
      <c r="ON281" s="12" t="s">
        <v>37</v>
      </c>
      <c r="OO281" s="12" t="s">
        <v>37</v>
      </c>
      <c r="OP281" s="12" t="s">
        <v>37</v>
      </c>
      <c r="OQ281" s="12" t="s">
        <v>37</v>
      </c>
      <c r="OR281" s="12" t="s">
        <v>37</v>
      </c>
      <c r="OS281" s="12"/>
      <c r="OT281" s="12"/>
      <c r="OW281" s="12" t="s">
        <v>37</v>
      </c>
      <c r="OX281" s="12" t="s">
        <v>37</v>
      </c>
      <c r="OY281" s="13" t="s">
        <v>37</v>
      </c>
      <c r="OZ281" s="12" t="s">
        <v>37</v>
      </c>
      <c r="PA281" s="12" t="s">
        <v>37</v>
      </c>
      <c r="PB281" s="13" t="s">
        <v>37</v>
      </c>
      <c r="PG281" s="12" t="s">
        <v>37</v>
      </c>
      <c r="PH281" s="12" t="s">
        <v>37</v>
      </c>
      <c r="PI281" s="12" t="s">
        <v>37</v>
      </c>
      <c r="PJ281" s="12" t="s">
        <v>37</v>
      </c>
      <c r="PK281" s="12" t="s">
        <v>37</v>
      </c>
      <c r="PL281" s="12" t="s">
        <v>37</v>
      </c>
      <c r="PM281" s="12"/>
      <c r="PN281" s="12"/>
      <c r="PQ281" s="12" t="s">
        <v>37</v>
      </c>
      <c r="PR281" s="12" t="s">
        <v>37</v>
      </c>
      <c r="PS281" s="12" t="s">
        <v>37</v>
      </c>
      <c r="PT281" s="12" t="s">
        <v>37</v>
      </c>
      <c r="PU281" s="12" t="s">
        <v>37</v>
      </c>
      <c r="PV281" s="12" t="s">
        <v>37</v>
      </c>
      <c r="PW281" s="12"/>
      <c r="PX281" s="12"/>
      <c r="PZ281" s="12" t="s">
        <v>37</v>
      </c>
      <c r="QA281" s="12" t="s">
        <v>37</v>
      </c>
      <c r="QB281" s="12" t="s">
        <v>37</v>
      </c>
      <c r="QD281" s="12" t="s">
        <v>37</v>
      </c>
      <c r="QE281" s="12" t="s">
        <v>37</v>
      </c>
      <c r="QF281" s="12" t="s">
        <v>37</v>
      </c>
      <c r="QK281" s="12" t="s">
        <v>37</v>
      </c>
      <c r="QL281" s="12" t="s">
        <v>37</v>
      </c>
      <c r="QM281" s="12" t="s">
        <v>37</v>
      </c>
      <c r="QN281" s="12" t="s">
        <v>37</v>
      </c>
      <c r="QO281" s="12" t="s">
        <v>37</v>
      </c>
      <c r="QP281" s="12" t="s">
        <v>37</v>
      </c>
      <c r="QQ281" s="12"/>
      <c r="QR281" s="12"/>
      <c r="QU281" s="12" t="s">
        <v>37</v>
      </c>
      <c r="QV281" s="12" t="s">
        <v>37</v>
      </c>
      <c r="QW281" s="12" t="s">
        <v>37</v>
      </c>
      <c r="QX281" s="12" t="s">
        <v>37</v>
      </c>
      <c r="QY281" s="12" t="s">
        <v>37</v>
      </c>
      <c r="QZ281" s="12" t="s">
        <v>37</v>
      </c>
      <c r="RC281" s="12" t="s">
        <v>37</v>
      </c>
      <c r="RD281" s="12" t="s">
        <v>37</v>
      </c>
      <c r="RE281" s="13" t="s">
        <v>37</v>
      </c>
      <c r="RF281" s="12" t="s">
        <v>37</v>
      </c>
      <c r="RG281" s="12" t="s">
        <v>37</v>
      </c>
      <c r="RH281" s="13" t="s">
        <v>37</v>
      </c>
      <c r="RK281" s="12" t="s">
        <v>37</v>
      </c>
      <c r="RL281" s="12" t="s">
        <v>37</v>
      </c>
      <c r="RM281" s="11" t="s">
        <v>37</v>
      </c>
      <c r="RN281" s="12" t="s">
        <v>37</v>
      </c>
      <c r="RO281" s="12" t="s">
        <v>37</v>
      </c>
      <c r="RP281" s="11" t="s">
        <v>37</v>
      </c>
      <c r="RS281" s="12" t="s">
        <v>37</v>
      </c>
      <c r="RT281" s="12" t="s">
        <v>37</v>
      </c>
      <c r="RU281" s="12" t="s">
        <v>37</v>
      </c>
      <c r="RV281" s="12" t="s">
        <v>37</v>
      </c>
      <c r="RW281" s="12" t="s">
        <v>37</v>
      </c>
      <c r="RX281" s="12" t="s">
        <v>37</v>
      </c>
      <c r="SA281" s="12" t="s">
        <v>37</v>
      </c>
      <c r="SB281" s="12" t="s">
        <v>37</v>
      </c>
      <c r="SC281" s="12" t="s">
        <v>37</v>
      </c>
      <c r="SD281" s="12" t="s">
        <v>37</v>
      </c>
      <c r="SE281" s="12" t="s">
        <v>37</v>
      </c>
      <c r="SF281" s="12" t="s">
        <v>37</v>
      </c>
      <c r="SI281" s="12" t="s">
        <v>37</v>
      </c>
      <c r="SJ281" s="12" t="s">
        <v>37</v>
      </c>
      <c r="SK281" s="13" t="s">
        <v>37</v>
      </c>
      <c r="SM281" s="12" t="s">
        <v>37</v>
      </c>
      <c r="SN281" s="12" t="s">
        <v>37</v>
      </c>
      <c r="SO281" s="13" t="s">
        <v>37</v>
      </c>
      <c r="SU281" s="12" t="s">
        <v>37</v>
      </c>
      <c r="SV281" s="12" t="s">
        <v>37</v>
      </c>
      <c r="SW281" s="12" t="s">
        <v>37</v>
      </c>
      <c r="SX281" s="12" t="s">
        <v>37</v>
      </c>
      <c r="SY281" s="12" t="s">
        <v>37</v>
      </c>
      <c r="SZ281" s="12" t="s">
        <v>37</v>
      </c>
      <c r="TA281" s="12"/>
      <c r="TB281" s="12"/>
      <c r="TE281" s="12" t="s">
        <v>37</v>
      </c>
      <c r="TF281" s="12" t="s">
        <v>37</v>
      </c>
      <c r="TG281" s="12" t="s">
        <v>37</v>
      </c>
      <c r="TH281" s="12" t="s">
        <v>37</v>
      </c>
      <c r="TI281" s="12" t="s">
        <v>37</v>
      </c>
      <c r="TJ281" s="12" t="s">
        <v>37</v>
      </c>
      <c r="TK281" s="12"/>
      <c r="TL281" s="12"/>
      <c r="TO281" s="12" t="s">
        <v>37</v>
      </c>
      <c r="TP281" s="12" t="s">
        <v>37</v>
      </c>
      <c r="TQ281" s="12" t="s">
        <v>37</v>
      </c>
      <c r="TR281" s="12" t="s">
        <v>37</v>
      </c>
      <c r="TS281" s="12" t="s">
        <v>37</v>
      </c>
      <c r="TT281" s="12" t="s">
        <v>37</v>
      </c>
      <c r="TU281" s="12"/>
      <c r="TV281" s="12"/>
      <c r="TY281" s="12" t="s">
        <v>37</v>
      </c>
      <c r="TZ281" s="12" t="s">
        <v>37</v>
      </c>
      <c r="UA281" s="12" t="s">
        <v>37</v>
      </c>
      <c r="UB281" s="12" t="s">
        <v>37</v>
      </c>
      <c r="UC281" s="12" t="s">
        <v>37</v>
      </c>
      <c r="UD281" s="12" t="s">
        <v>37</v>
      </c>
      <c r="UE281" s="12"/>
      <c r="UF281" s="12"/>
      <c r="UI281" s="12" t="s">
        <v>37</v>
      </c>
      <c r="UJ281" s="12" t="s">
        <v>37</v>
      </c>
      <c r="UK281" s="12" t="s">
        <v>37</v>
      </c>
      <c r="UL281" s="12" t="s">
        <v>37</v>
      </c>
      <c r="UM281" s="12" t="s">
        <v>37</v>
      </c>
      <c r="UN281" s="12" t="s">
        <v>37</v>
      </c>
      <c r="UO281" s="12"/>
      <c r="UP281" s="12"/>
      <c r="UR281" s="12" t="s">
        <v>37</v>
      </c>
      <c r="US281" s="12" t="s">
        <v>37</v>
      </c>
      <c r="UT281" s="12" t="s">
        <v>37</v>
      </c>
      <c r="UU281" s="12" t="s">
        <v>37</v>
      </c>
      <c r="UV281" s="12" t="s">
        <v>37</v>
      </c>
      <c r="UW281" s="12" t="s">
        <v>37</v>
      </c>
      <c r="UX281" s="12"/>
      <c r="UY281" s="12"/>
      <c r="VB281" s="12" t="s">
        <v>37</v>
      </c>
      <c r="VC281" s="12" t="s">
        <v>37</v>
      </c>
      <c r="VD281" s="12" t="s">
        <v>37</v>
      </c>
      <c r="VE281" s="12" t="s">
        <v>37</v>
      </c>
      <c r="VF281" s="12" t="s">
        <v>37</v>
      </c>
      <c r="VG281" s="12" t="s">
        <v>37</v>
      </c>
      <c r="VI281" s="12" t="s">
        <v>37</v>
      </c>
      <c r="VJ281" s="12" t="s">
        <v>37</v>
      </c>
      <c r="VK281" s="12" t="s">
        <v>37</v>
      </c>
      <c r="VL281" s="12" t="s">
        <v>37</v>
      </c>
      <c r="VM281" s="12" t="s">
        <v>37</v>
      </c>
      <c r="VN281" s="12" t="s">
        <v>37</v>
      </c>
      <c r="VQ281" s="12" t="s">
        <v>37</v>
      </c>
      <c r="VR281" s="12" t="s">
        <v>37</v>
      </c>
      <c r="VS281" s="12" t="s">
        <v>37</v>
      </c>
      <c r="VT281" s="12" t="s">
        <v>37</v>
      </c>
      <c r="VU281" s="12" t="s">
        <v>37</v>
      </c>
      <c r="VV281" s="12" t="s">
        <v>37</v>
      </c>
      <c r="VW281" s="12"/>
      <c r="VX281" s="12"/>
      <c r="WA281" s="12" t="s">
        <v>37</v>
      </c>
      <c r="WB281" s="12" t="s">
        <v>37</v>
      </c>
      <c r="WC281" s="12" t="s">
        <v>37</v>
      </c>
      <c r="WD281" s="12" t="s">
        <v>37</v>
      </c>
      <c r="WE281" s="12" t="s">
        <v>37</v>
      </c>
      <c r="WF281" s="12" t="s">
        <v>37</v>
      </c>
    </row>
    <row r="282" spans="1:604" ht="18" customHeight="1" x14ac:dyDescent="0.3">
      <c r="A282" s="11">
        <v>70</v>
      </c>
      <c r="B282" s="16" t="s">
        <v>399</v>
      </c>
      <c r="C282" s="12" t="s">
        <v>864</v>
      </c>
      <c r="D282" s="12" t="s">
        <v>54</v>
      </c>
      <c r="E282" s="40" t="s">
        <v>37</v>
      </c>
      <c r="F282" s="14">
        <v>0</v>
      </c>
      <c r="G282" s="14">
        <v>0</v>
      </c>
      <c r="H282" s="12" t="s">
        <v>91</v>
      </c>
      <c r="I282" s="29">
        <v>49.05</v>
      </c>
      <c r="J282" s="29">
        <v>-80.667000000000002</v>
      </c>
      <c r="K282" s="12" t="s">
        <v>778</v>
      </c>
      <c r="L282" s="12" t="s">
        <v>779</v>
      </c>
      <c r="M282" s="13" t="s">
        <v>37</v>
      </c>
      <c r="N282" s="14">
        <v>0.6</v>
      </c>
      <c r="O282" s="14">
        <v>885</v>
      </c>
      <c r="P282" s="14" t="s">
        <v>16</v>
      </c>
      <c r="Q282" s="75">
        <v>7</v>
      </c>
      <c r="R282" s="11" t="s">
        <v>999</v>
      </c>
      <c r="S282" s="12" t="s">
        <v>85</v>
      </c>
      <c r="T282" s="12" t="s">
        <v>138</v>
      </c>
      <c r="U282" s="12" t="s">
        <v>163</v>
      </c>
      <c r="V282" s="12" t="s">
        <v>275</v>
      </c>
      <c r="W282" s="23" t="s">
        <v>377</v>
      </c>
      <c r="X282" s="12" t="s">
        <v>281</v>
      </c>
      <c r="Y282" s="12" t="s">
        <v>37</v>
      </c>
      <c r="Z282" s="12" t="s">
        <v>37</v>
      </c>
      <c r="AA282" s="32" t="s">
        <v>345</v>
      </c>
      <c r="AB282" s="12">
        <v>6.3</v>
      </c>
      <c r="AE282" s="12" t="s">
        <v>37</v>
      </c>
      <c r="AH282" s="12" t="s">
        <v>37</v>
      </c>
      <c r="AK282" s="12" t="s">
        <v>37</v>
      </c>
      <c r="AL282" s="32" t="s">
        <v>400</v>
      </c>
      <c r="AM282" s="12" t="s">
        <v>317</v>
      </c>
      <c r="AN282" s="32" t="s">
        <v>879</v>
      </c>
      <c r="AO282" s="12" t="s">
        <v>37</v>
      </c>
      <c r="AP282" s="12" t="s">
        <v>401</v>
      </c>
      <c r="AQ282" s="12" t="s">
        <v>975</v>
      </c>
      <c r="AT282" s="12" t="s">
        <v>326</v>
      </c>
      <c r="AU282" s="12" t="s">
        <v>326</v>
      </c>
      <c r="AV282" s="13" t="s">
        <v>326</v>
      </c>
      <c r="AX282" s="12" t="s">
        <v>326</v>
      </c>
      <c r="AY282" s="12" t="s">
        <v>326</v>
      </c>
      <c r="AZ282" s="13" t="s">
        <v>326</v>
      </c>
      <c r="BE282" s="12" t="s">
        <v>326</v>
      </c>
      <c r="BF282" s="12" t="s">
        <v>326</v>
      </c>
      <c r="BG282" s="12" t="s">
        <v>326</v>
      </c>
      <c r="BI282" s="12" t="s">
        <v>326</v>
      </c>
      <c r="BJ282" s="12" t="s">
        <v>326</v>
      </c>
      <c r="BK282" s="12" t="s">
        <v>326</v>
      </c>
      <c r="BP282" s="12" t="s">
        <v>37</v>
      </c>
      <c r="BQ282" s="12" t="s">
        <v>37</v>
      </c>
      <c r="BR282" s="13" t="s">
        <v>37</v>
      </c>
      <c r="BT282" s="12" t="s">
        <v>37</v>
      </c>
      <c r="BU282" s="12" t="s">
        <v>37</v>
      </c>
      <c r="BV282" s="12" t="s">
        <v>37</v>
      </c>
      <c r="CA282" s="12" t="s">
        <v>37</v>
      </c>
      <c r="CB282" s="12" t="s">
        <v>37</v>
      </c>
      <c r="CC282" s="13" t="s">
        <v>37</v>
      </c>
      <c r="CE282" s="12" t="s">
        <v>37</v>
      </c>
      <c r="CF282" s="12" t="s">
        <v>37</v>
      </c>
      <c r="CG282" s="12" t="s">
        <v>37</v>
      </c>
      <c r="CN282" s="12" t="s">
        <v>37</v>
      </c>
      <c r="CO282" s="12" t="s">
        <v>37</v>
      </c>
      <c r="CP282" s="13" t="s">
        <v>37</v>
      </c>
      <c r="CR282" s="12" t="s">
        <v>37</v>
      </c>
      <c r="CS282" s="12" t="s">
        <v>37</v>
      </c>
      <c r="CT282" s="13" t="s">
        <v>37</v>
      </c>
      <c r="CX282" s="72"/>
      <c r="CY282" s="72"/>
      <c r="DA282" s="12" t="s">
        <v>37</v>
      </c>
      <c r="DB282" s="12" t="s">
        <v>37</v>
      </c>
      <c r="DC282" s="13" t="s">
        <v>37</v>
      </c>
      <c r="DE282" s="12" t="s">
        <v>37</v>
      </c>
      <c r="DF282" s="12" t="s">
        <v>37</v>
      </c>
      <c r="DG282" s="12" t="s">
        <v>37</v>
      </c>
      <c r="DM282" s="12" t="s">
        <v>47</v>
      </c>
      <c r="DN282" s="19">
        <f>1.8*("1991/10/31"-"1991/5/1")*10^4/10^6/'[1]classes-1'!$I$28</f>
        <v>4.3449126612056599</v>
      </c>
      <c r="DO282" s="12">
        <f t="shared" ref="DO282:DO283" si="1248">DO281</f>
        <v>9.5961779850217681</v>
      </c>
      <c r="DP282" s="13">
        <v>6</v>
      </c>
      <c r="DQ282" s="19">
        <f t="shared" si="1237"/>
        <v>2.2086008933396939</v>
      </c>
      <c r="DR282" s="19">
        <f>0.1*("1991/10/31"-"1991/5/1")*10^4/10^6/'[1]classes-1'!$I$29</f>
        <v>5.3718567649972807E-2</v>
      </c>
      <c r="DS282" s="12">
        <f>SQRT((1/[2]Classes!$I$29)^2*(0.8*("1991/10/31"-"1991/5/1")*10^4/10^6)^2+(-DR282/([2]Classes!$I$29)^2)^2*([2]Classes!$J$29)^2)</f>
        <v>0.43312042016840363</v>
      </c>
      <c r="DT282" s="13">
        <v>6</v>
      </c>
      <c r="DU282" s="19">
        <f t="shared" si="1238"/>
        <v>8.0627693387245944</v>
      </c>
      <c r="DV282" s="19">
        <f t="shared" si="1211"/>
        <v>-4.2911940935556867</v>
      </c>
      <c r="DW282" s="12">
        <f t="shared" si="1212"/>
        <v>6.7924305376861716</v>
      </c>
      <c r="DX282" s="72">
        <f t="shared" si="1124"/>
        <v>15.37903753643055</v>
      </c>
      <c r="DY282" s="72">
        <f t="shared" si="1125"/>
        <v>15.37903753643055</v>
      </c>
      <c r="EA282" s="19" t="s">
        <v>37</v>
      </c>
      <c r="EB282" s="19" t="s">
        <v>37</v>
      </c>
      <c r="EC282" s="72" t="s">
        <v>37</v>
      </c>
      <c r="EE282" s="19" t="s">
        <v>37</v>
      </c>
      <c r="EF282" s="19" t="s">
        <v>37</v>
      </c>
      <c r="EG282" s="12" t="s">
        <v>37</v>
      </c>
      <c r="EM282" s="12" t="s">
        <v>39</v>
      </c>
      <c r="EN282" s="12">
        <v>-24.4</v>
      </c>
      <c r="EO282" s="50">
        <f t="shared" si="1241"/>
        <v>9.9429121295315568</v>
      </c>
      <c r="EP282" s="13">
        <v>1</v>
      </c>
      <c r="ER282" s="12">
        <v>-63.8</v>
      </c>
      <c r="ES282" s="50">
        <f t="shared" si="1242"/>
        <v>14.470736613886588</v>
      </c>
      <c r="ET282" s="13">
        <v>1</v>
      </c>
      <c r="EV282" s="19">
        <f t="shared" si="1233"/>
        <v>-39.4</v>
      </c>
      <c r="EW282" s="12" t="e">
        <f t="shared" si="1234"/>
        <v>#DIV/0!</v>
      </c>
      <c r="EX282" s="19" t="e">
        <f t="shared" si="1235"/>
        <v>#DIV/0!</v>
      </c>
      <c r="EY282" s="19">
        <f t="shared" si="1236"/>
        <v>308.26371976406364</v>
      </c>
      <c r="FB282" s="12" t="s">
        <v>37</v>
      </c>
      <c r="FC282" s="12" t="s">
        <v>37</v>
      </c>
      <c r="FD282" s="12" t="s">
        <v>37</v>
      </c>
      <c r="FE282" s="12" t="s">
        <v>37</v>
      </c>
      <c r="FF282" s="20" t="s">
        <v>37</v>
      </c>
      <c r="FG282" s="12" t="s">
        <v>37</v>
      </c>
      <c r="FI282" s="12" t="s">
        <v>37</v>
      </c>
      <c r="FJ282" s="12" t="s">
        <v>37</v>
      </c>
      <c r="FK282" s="12" t="s">
        <v>37</v>
      </c>
      <c r="FL282" s="12" t="s">
        <v>37</v>
      </c>
      <c r="FM282" s="12" t="s">
        <v>37</v>
      </c>
      <c r="FN282" s="12" t="s">
        <v>37</v>
      </c>
      <c r="FP282" s="12" t="s">
        <v>37</v>
      </c>
      <c r="FQ282" s="12" t="s">
        <v>37</v>
      </c>
      <c r="FR282" s="12" t="s">
        <v>37</v>
      </c>
      <c r="FS282" s="12" t="s">
        <v>37</v>
      </c>
      <c r="FT282" s="12" t="s">
        <v>37</v>
      </c>
      <c r="FU282" s="12" t="s">
        <v>37</v>
      </c>
      <c r="FW282" s="12" t="s">
        <v>37</v>
      </c>
      <c r="FX282" s="12" t="s">
        <v>37</v>
      </c>
      <c r="FY282" s="12" t="s">
        <v>37</v>
      </c>
      <c r="FZ282" s="12" t="s">
        <v>37</v>
      </c>
      <c r="GA282" s="12" t="s">
        <v>37</v>
      </c>
      <c r="GB282" s="12" t="s">
        <v>37</v>
      </c>
      <c r="GO282" s="12" t="s">
        <v>660</v>
      </c>
      <c r="GP282" s="12" t="s">
        <v>372</v>
      </c>
      <c r="GQ282" s="12">
        <v>13.9</v>
      </c>
      <c r="GR282" s="50">
        <f t="shared" si="1243"/>
        <v>1.3278608498174032</v>
      </c>
      <c r="GS282" s="13">
        <v>1</v>
      </c>
      <c r="GU282" s="12">
        <v>12.2</v>
      </c>
      <c r="GV282" s="50">
        <f t="shared" si="1244"/>
        <v>1.2985214241141276</v>
      </c>
      <c r="GW282" s="13">
        <v>1</v>
      </c>
      <c r="GY282" s="19">
        <f t="shared" si="1245"/>
        <v>-0.13045288839743535</v>
      </c>
      <c r="GZ282" s="19">
        <f t="shared" si="1246"/>
        <v>2.0454557267488196E-2</v>
      </c>
      <c r="IK282" s="12" t="s">
        <v>37</v>
      </c>
      <c r="IL282" s="12" t="s">
        <v>37</v>
      </c>
      <c r="IM282" s="12" t="s">
        <v>37</v>
      </c>
      <c r="IO282" s="12" t="s">
        <v>37</v>
      </c>
      <c r="IP282" s="12" t="s">
        <v>37</v>
      </c>
      <c r="IQ282" s="12" t="s">
        <v>37</v>
      </c>
      <c r="IV282" s="32" t="s">
        <v>345</v>
      </c>
      <c r="IW282" s="12">
        <v>6.3</v>
      </c>
      <c r="IX282" s="12">
        <v>0.3</v>
      </c>
      <c r="IY282" s="13">
        <v>6</v>
      </c>
      <c r="IZ282" s="19">
        <f t="shared" si="1247"/>
        <v>4.7619047619047616E-2</v>
      </c>
      <c r="JA282" s="13"/>
      <c r="JB282" s="13"/>
      <c r="JH282" s="12" t="s">
        <v>37</v>
      </c>
      <c r="JI282" s="12" t="s">
        <v>37</v>
      </c>
      <c r="JJ282" s="13" t="s">
        <v>37</v>
      </c>
      <c r="JL282" s="12" t="s">
        <v>37</v>
      </c>
      <c r="JM282" s="12" t="s">
        <v>37</v>
      </c>
      <c r="JN282" s="12" t="s">
        <v>37</v>
      </c>
      <c r="JS282" s="12" t="s">
        <v>37</v>
      </c>
      <c r="JT282" s="12" t="s">
        <v>37</v>
      </c>
      <c r="JU282" s="13" t="s">
        <v>37</v>
      </c>
      <c r="JW282" s="12" t="s">
        <v>37</v>
      </c>
      <c r="JX282" s="12" t="s">
        <v>37</v>
      </c>
      <c r="JY282" s="12" t="s">
        <v>37</v>
      </c>
      <c r="KE282" s="12" t="s">
        <v>37</v>
      </c>
      <c r="KF282" s="12" t="s">
        <v>37</v>
      </c>
      <c r="KG282" s="13" t="s">
        <v>37</v>
      </c>
      <c r="KH282" s="12" t="s">
        <v>37</v>
      </c>
      <c r="KI282" s="12" t="s">
        <v>37</v>
      </c>
      <c r="KJ282" s="12" t="s">
        <v>37</v>
      </c>
      <c r="KM282" s="12" t="s">
        <v>37</v>
      </c>
      <c r="KN282" s="12" t="s">
        <v>37</v>
      </c>
      <c r="KO282" s="11" t="s">
        <v>37</v>
      </c>
      <c r="KQ282" s="12" t="s">
        <v>37</v>
      </c>
      <c r="KR282" s="12" t="s">
        <v>37</v>
      </c>
      <c r="KS282" s="12" t="s">
        <v>37</v>
      </c>
      <c r="KX282" s="12" t="s">
        <v>37</v>
      </c>
      <c r="KY282" s="12" t="s">
        <v>37</v>
      </c>
      <c r="KZ282" s="12" t="s">
        <v>37</v>
      </c>
      <c r="LB282" s="12" t="s">
        <v>37</v>
      </c>
      <c r="LC282" s="12" t="s">
        <v>37</v>
      </c>
      <c r="LD282" s="12" t="s">
        <v>37</v>
      </c>
      <c r="LI282" s="12" t="s">
        <v>37</v>
      </c>
      <c r="LJ282" s="12" t="s">
        <v>37</v>
      </c>
      <c r="LK282" s="12" t="s">
        <v>37</v>
      </c>
      <c r="LM282" s="12" t="s">
        <v>37</v>
      </c>
      <c r="LN282" s="12" t="s">
        <v>37</v>
      </c>
      <c r="LO282" s="12" t="s">
        <v>37</v>
      </c>
      <c r="LU282" s="12" t="s">
        <v>37</v>
      </c>
      <c r="LV282" s="12" t="s">
        <v>37</v>
      </c>
      <c r="LW282" s="12" t="s">
        <v>37</v>
      </c>
      <c r="LY282" s="12" t="s">
        <v>37</v>
      </c>
      <c r="LZ282" s="12" t="s">
        <v>37</v>
      </c>
      <c r="MA282" s="12" t="s">
        <v>37</v>
      </c>
      <c r="MF282" s="12" t="s">
        <v>37</v>
      </c>
      <c r="MG282" s="12" t="s">
        <v>37</v>
      </c>
      <c r="MH282" s="12" t="s">
        <v>37</v>
      </c>
      <c r="MJ282" s="12" t="s">
        <v>37</v>
      </c>
      <c r="MK282" s="12" t="s">
        <v>37</v>
      </c>
      <c r="ML282" s="12" t="s">
        <v>37</v>
      </c>
      <c r="MQ282" s="12" t="s">
        <v>37</v>
      </c>
      <c r="MR282" s="12" t="s">
        <v>37</v>
      </c>
      <c r="MS282" s="12" t="s">
        <v>37</v>
      </c>
      <c r="MU282" s="12" t="s">
        <v>37</v>
      </c>
      <c r="MV282" s="12" t="s">
        <v>37</v>
      </c>
      <c r="MW282" s="12" t="s">
        <v>37</v>
      </c>
      <c r="NC282" s="12" t="s">
        <v>37</v>
      </c>
      <c r="ND282" s="12" t="s">
        <v>37</v>
      </c>
      <c r="NE282" s="12" t="s">
        <v>37</v>
      </c>
      <c r="NG282" s="12" t="s">
        <v>37</v>
      </c>
      <c r="NH282" s="12" t="s">
        <v>37</v>
      </c>
      <c r="NI282" s="12" t="s">
        <v>37</v>
      </c>
      <c r="NO282" s="12" t="s">
        <v>37</v>
      </c>
      <c r="NP282" s="12" t="s">
        <v>37</v>
      </c>
      <c r="NQ282" s="12" t="s">
        <v>37</v>
      </c>
      <c r="NS282" s="12" t="s">
        <v>37</v>
      </c>
      <c r="NT282" s="12" t="s">
        <v>37</v>
      </c>
      <c r="NU282" s="12" t="s">
        <v>37</v>
      </c>
      <c r="OA282" s="12" t="s">
        <v>37</v>
      </c>
      <c r="OB282" s="12" t="s">
        <v>37</v>
      </c>
      <c r="OC282" s="12" t="s">
        <v>37</v>
      </c>
      <c r="OD282" s="12"/>
      <c r="OE282" s="12" t="s">
        <v>37</v>
      </c>
      <c r="OF282" s="12" t="s">
        <v>37</v>
      </c>
      <c r="OG282" s="12" t="s">
        <v>37</v>
      </c>
      <c r="OH282" s="12"/>
      <c r="OI282" s="12"/>
      <c r="OJ282" s="12"/>
      <c r="OM282" s="12" t="s">
        <v>37</v>
      </c>
      <c r="ON282" s="12" t="s">
        <v>37</v>
      </c>
      <c r="OO282" s="12" t="s">
        <v>37</v>
      </c>
      <c r="OP282" s="12" t="s">
        <v>37</v>
      </c>
      <c r="OQ282" s="12" t="s">
        <v>37</v>
      </c>
      <c r="OR282" s="12" t="s">
        <v>37</v>
      </c>
      <c r="OS282" s="12"/>
      <c r="OT282" s="12"/>
      <c r="OW282" s="12" t="s">
        <v>37</v>
      </c>
      <c r="OX282" s="12" t="s">
        <v>37</v>
      </c>
      <c r="OY282" s="13" t="s">
        <v>37</v>
      </c>
      <c r="OZ282" s="12" t="s">
        <v>37</v>
      </c>
      <c r="PA282" s="12" t="s">
        <v>37</v>
      </c>
      <c r="PB282" s="13" t="s">
        <v>37</v>
      </c>
      <c r="PG282" s="12" t="s">
        <v>37</v>
      </c>
      <c r="PH282" s="12" t="s">
        <v>37</v>
      </c>
      <c r="PI282" s="12" t="s">
        <v>37</v>
      </c>
      <c r="PJ282" s="12" t="s">
        <v>37</v>
      </c>
      <c r="PK282" s="12" t="s">
        <v>37</v>
      </c>
      <c r="PL282" s="12" t="s">
        <v>37</v>
      </c>
      <c r="PM282" s="12"/>
      <c r="PN282" s="12"/>
      <c r="PQ282" s="12" t="s">
        <v>37</v>
      </c>
      <c r="PR282" s="12" t="s">
        <v>37</v>
      </c>
      <c r="PS282" s="12" t="s">
        <v>37</v>
      </c>
      <c r="PT282" s="12" t="s">
        <v>37</v>
      </c>
      <c r="PU282" s="12" t="s">
        <v>37</v>
      </c>
      <c r="PV282" s="12" t="s">
        <v>37</v>
      </c>
      <c r="PW282" s="12"/>
      <c r="PX282" s="12"/>
      <c r="PZ282" s="12" t="s">
        <v>37</v>
      </c>
      <c r="QA282" s="12" t="s">
        <v>37</v>
      </c>
      <c r="QB282" s="12" t="s">
        <v>37</v>
      </c>
      <c r="QD282" s="12" t="s">
        <v>37</v>
      </c>
      <c r="QE282" s="12" t="s">
        <v>37</v>
      </c>
      <c r="QF282" s="12" t="s">
        <v>37</v>
      </c>
      <c r="QK282" s="12" t="s">
        <v>37</v>
      </c>
      <c r="QL282" s="12" t="s">
        <v>37</v>
      </c>
      <c r="QM282" s="12" t="s">
        <v>37</v>
      </c>
      <c r="QN282" s="12" t="s">
        <v>37</v>
      </c>
      <c r="QO282" s="12" t="s">
        <v>37</v>
      </c>
      <c r="QP282" s="12" t="s">
        <v>37</v>
      </c>
      <c r="QQ282" s="12"/>
      <c r="QR282" s="12"/>
      <c r="QU282" s="12" t="s">
        <v>37</v>
      </c>
      <c r="QV282" s="12" t="s">
        <v>37</v>
      </c>
      <c r="QW282" s="12" t="s">
        <v>37</v>
      </c>
      <c r="QX282" s="12" t="s">
        <v>37</v>
      </c>
      <c r="QY282" s="12" t="s">
        <v>37</v>
      </c>
      <c r="QZ282" s="12" t="s">
        <v>37</v>
      </c>
      <c r="RC282" s="12" t="s">
        <v>37</v>
      </c>
      <c r="RD282" s="12" t="s">
        <v>37</v>
      </c>
      <c r="RE282" s="13" t="s">
        <v>37</v>
      </c>
      <c r="RF282" s="12" t="s">
        <v>37</v>
      </c>
      <c r="RG282" s="12" t="s">
        <v>37</v>
      </c>
      <c r="RH282" s="13" t="s">
        <v>37</v>
      </c>
      <c r="RK282" s="12" t="s">
        <v>37</v>
      </c>
      <c r="RL282" s="12" t="s">
        <v>37</v>
      </c>
      <c r="RM282" s="11" t="s">
        <v>37</v>
      </c>
      <c r="RN282" s="12" t="s">
        <v>37</v>
      </c>
      <c r="RO282" s="12" t="s">
        <v>37</v>
      </c>
      <c r="RP282" s="11" t="s">
        <v>37</v>
      </c>
      <c r="RS282" s="12" t="s">
        <v>37</v>
      </c>
      <c r="RT282" s="12" t="s">
        <v>37</v>
      </c>
      <c r="RU282" s="12" t="s">
        <v>37</v>
      </c>
      <c r="RV282" s="12" t="s">
        <v>37</v>
      </c>
      <c r="RW282" s="12" t="s">
        <v>37</v>
      </c>
      <c r="RX282" s="12" t="s">
        <v>37</v>
      </c>
      <c r="SA282" s="12" t="s">
        <v>37</v>
      </c>
      <c r="SB282" s="12" t="s">
        <v>37</v>
      </c>
      <c r="SC282" s="12" t="s">
        <v>37</v>
      </c>
      <c r="SD282" s="12" t="s">
        <v>37</v>
      </c>
      <c r="SE282" s="12" t="s">
        <v>37</v>
      </c>
      <c r="SF282" s="12" t="s">
        <v>37</v>
      </c>
      <c r="SI282" s="12" t="s">
        <v>37</v>
      </c>
      <c r="SJ282" s="12" t="s">
        <v>37</v>
      </c>
      <c r="SK282" s="13" t="s">
        <v>37</v>
      </c>
      <c r="SM282" s="12" t="s">
        <v>37</v>
      </c>
      <c r="SN282" s="12" t="s">
        <v>37</v>
      </c>
      <c r="SO282" s="13" t="s">
        <v>37</v>
      </c>
      <c r="SU282" s="12" t="s">
        <v>37</v>
      </c>
      <c r="SV282" s="12" t="s">
        <v>37</v>
      </c>
      <c r="SW282" s="12" t="s">
        <v>37</v>
      </c>
      <c r="SX282" s="12" t="s">
        <v>37</v>
      </c>
      <c r="SY282" s="12" t="s">
        <v>37</v>
      </c>
      <c r="SZ282" s="12" t="s">
        <v>37</v>
      </c>
      <c r="TA282" s="12"/>
      <c r="TB282" s="12"/>
      <c r="TE282" s="12" t="s">
        <v>37</v>
      </c>
      <c r="TF282" s="12" t="s">
        <v>37</v>
      </c>
      <c r="TG282" s="12" t="s">
        <v>37</v>
      </c>
      <c r="TH282" s="12" t="s">
        <v>37</v>
      </c>
      <c r="TI282" s="12" t="s">
        <v>37</v>
      </c>
      <c r="TJ282" s="12" t="s">
        <v>37</v>
      </c>
      <c r="TK282" s="12"/>
      <c r="TL282" s="12"/>
      <c r="TO282" s="12" t="s">
        <v>37</v>
      </c>
      <c r="TP282" s="12" t="s">
        <v>37</v>
      </c>
      <c r="TQ282" s="12" t="s">
        <v>37</v>
      </c>
      <c r="TR282" s="12" t="s">
        <v>37</v>
      </c>
      <c r="TS282" s="12" t="s">
        <v>37</v>
      </c>
      <c r="TT282" s="12" t="s">
        <v>37</v>
      </c>
      <c r="TU282" s="12"/>
      <c r="TV282" s="12"/>
      <c r="TY282" s="12" t="s">
        <v>37</v>
      </c>
      <c r="TZ282" s="12" t="s">
        <v>37</v>
      </c>
      <c r="UA282" s="12" t="s">
        <v>37</v>
      </c>
      <c r="UB282" s="12" t="s">
        <v>37</v>
      </c>
      <c r="UC282" s="12" t="s">
        <v>37</v>
      </c>
      <c r="UD282" s="12" t="s">
        <v>37</v>
      </c>
      <c r="UE282" s="12"/>
      <c r="UF282" s="12"/>
      <c r="UI282" s="12" t="s">
        <v>37</v>
      </c>
      <c r="UJ282" s="12" t="s">
        <v>37</v>
      </c>
      <c r="UK282" s="12" t="s">
        <v>37</v>
      </c>
      <c r="UL282" s="12" t="s">
        <v>37</v>
      </c>
      <c r="UM282" s="12" t="s">
        <v>37</v>
      </c>
      <c r="UN282" s="12" t="s">
        <v>37</v>
      </c>
      <c r="UO282" s="12"/>
      <c r="UP282" s="12"/>
      <c r="UR282" s="12" t="s">
        <v>37</v>
      </c>
      <c r="US282" s="12" t="s">
        <v>37</v>
      </c>
      <c r="UT282" s="12" t="s">
        <v>37</v>
      </c>
      <c r="UU282" s="12" t="s">
        <v>37</v>
      </c>
      <c r="UV282" s="12" t="s">
        <v>37</v>
      </c>
      <c r="UW282" s="12" t="s">
        <v>37</v>
      </c>
      <c r="UX282" s="12"/>
      <c r="UY282" s="12"/>
      <c r="VB282" s="12" t="s">
        <v>37</v>
      </c>
      <c r="VC282" s="12" t="s">
        <v>37</v>
      </c>
      <c r="VD282" s="12" t="s">
        <v>37</v>
      </c>
      <c r="VE282" s="12" t="s">
        <v>37</v>
      </c>
      <c r="VF282" s="12" t="s">
        <v>37</v>
      </c>
      <c r="VG282" s="12" t="s">
        <v>37</v>
      </c>
      <c r="VI282" s="12" t="s">
        <v>37</v>
      </c>
      <c r="VJ282" s="12" t="s">
        <v>37</v>
      </c>
      <c r="VK282" s="12" t="s">
        <v>37</v>
      </c>
      <c r="VL282" s="12" t="s">
        <v>37</v>
      </c>
      <c r="VM282" s="12" t="s">
        <v>37</v>
      </c>
      <c r="VN282" s="12" t="s">
        <v>37</v>
      </c>
      <c r="VQ282" s="12" t="s">
        <v>37</v>
      </c>
      <c r="VR282" s="12" t="s">
        <v>37</v>
      </c>
      <c r="VS282" s="12" t="s">
        <v>37</v>
      </c>
      <c r="VT282" s="12" t="s">
        <v>37</v>
      </c>
      <c r="VU282" s="12" t="s">
        <v>37</v>
      </c>
      <c r="VV282" s="12" t="s">
        <v>37</v>
      </c>
      <c r="VW282" s="12"/>
      <c r="VX282" s="12"/>
      <c r="WA282" s="12" t="s">
        <v>37</v>
      </c>
      <c r="WB282" s="12" t="s">
        <v>37</v>
      </c>
      <c r="WC282" s="12" t="s">
        <v>37</v>
      </c>
      <c r="WD282" s="12" t="s">
        <v>37</v>
      </c>
      <c r="WE282" s="12" t="s">
        <v>37</v>
      </c>
      <c r="WF282" s="12" t="s">
        <v>37</v>
      </c>
    </row>
    <row r="283" spans="1:604" ht="18" customHeight="1" x14ac:dyDescent="0.3">
      <c r="A283" s="11">
        <v>70</v>
      </c>
      <c r="B283" s="16" t="s">
        <v>399</v>
      </c>
      <c r="C283" s="12" t="s">
        <v>31</v>
      </c>
      <c r="D283" s="12" t="s">
        <v>54</v>
      </c>
      <c r="E283" s="40" t="s">
        <v>37</v>
      </c>
      <c r="F283" s="14">
        <v>0</v>
      </c>
      <c r="G283" s="14">
        <v>0</v>
      </c>
      <c r="H283" s="12" t="s">
        <v>91</v>
      </c>
      <c r="I283" s="29">
        <v>49.05</v>
      </c>
      <c r="J283" s="29">
        <v>-80.667000000000002</v>
      </c>
      <c r="K283" s="12" t="s">
        <v>778</v>
      </c>
      <c r="L283" s="12" t="s">
        <v>779</v>
      </c>
      <c r="M283" s="13" t="s">
        <v>37</v>
      </c>
      <c r="N283" s="14">
        <v>0.6</v>
      </c>
      <c r="O283" s="14">
        <v>885</v>
      </c>
      <c r="P283" s="14" t="s">
        <v>16</v>
      </c>
      <c r="Q283" s="75">
        <v>7</v>
      </c>
      <c r="R283" s="11" t="s">
        <v>1000</v>
      </c>
      <c r="S283" s="12" t="s">
        <v>85</v>
      </c>
      <c r="T283" s="12" t="s">
        <v>138</v>
      </c>
      <c r="U283" s="12" t="s">
        <v>163</v>
      </c>
      <c r="V283" s="12" t="s">
        <v>275</v>
      </c>
      <c r="W283" s="23" t="s">
        <v>377</v>
      </c>
      <c r="X283" s="12" t="s">
        <v>281</v>
      </c>
      <c r="Y283" s="12" t="s">
        <v>37</v>
      </c>
      <c r="Z283" s="12" t="s">
        <v>37</v>
      </c>
      <c r="AA283" s="32" t="s">
        <v>345</v>
      </c>
      <c r="AB283" s="12">
        <v>6.3</v>
      </c>
      <c r="AE283" s="12" t="s">
        <v>37</v>
      </c>
      <c r="AH283" s="12" t="s">
        <v>37</v>
      </c>
      <c r="AK283" s="12" t="s">
        <v>37</v>
      </c>
      <c r="AL283" s="32" t="s">
        <v>400</v>
      </c>
      <c r="AM283" s="12" t="s">
        <v>317</v>
      </c>
      <c r="AN283" s="32" t="s">
        <v>879</v>
      </c>
      <c r="AO283" s="12" t="s">
        <v>37</v>
      </c>
      <c r="AP283" s="12" t="s">
        <v>401</v>
      </c>
      <c r="AQ283" s="12" t="s">
        <v>975</v>
      </c>
      <c r="AT283" s="12" t="s">
        <v>326</v>
      </c>
      <c r="AU283" s="12" t="s">
        <v>326</v>
      </c>
      <c r="AV283" s="13" t="s">
        <v>326</v>
      </c>
      <c r="AX283" s="12" t="s">
        <v>326</v>
      </c>
      <c r="AY283" s="12" t="s">
        <v>326</v>
      </c>
      <c r="AZ283" s="13" t="s">
        <v>326</v>
      </c>
      <c r="BE283" s="12" t="s">
        <v>326</v>
      </c>
      <c r="BF283" s="12" t="s">
        <v>326</v>
      </c>
      <c r="BG283" s="12" t="s">
        <v>326</v>
      </c>
      <c r="BI283" s="12" t="s">
        <v>326</v>
      </c>
      <c r="BJ283" s="12" t="s">
        <v>326</v>
      </c>
      <c r="BK283" s="12" t="s">
        <v>326</v>
      </c>
      <c r="BP283" s="12" t="s">
        <v>37</v>
      </c>
      <c r="BQ283" s="12" t="s">
        <v>37</v>
      </c>
      <c r="BR283" s="13" t="s">
        <v>37</v>
      </c>
      <c r="BT283" s="12" t="s">
        <v>37</v>
      </c>
      <c r="BU283" s="12" t="s">
        <v>37</v>
      </c>
      <c r="BV283" s="12" t="s">
        <v>37</v>
      </c>
      <c r="CA283" s="12" t="s">
        <v>37</v>
      </c>
      <c r="CB283" s="12" t="s">
        <v>37</v>
      </c>
      <c r="CC283" s="13" t="s">
        <v>37</v>
      </c>
      <c r="CE283" s="12" t="s">
        <v>37</v>
      </c>
      <c r="CF283" s="12" t="s">
        <v>37</v>
      </c>
      <c r="CG283" s="12" t="s">
        <v>37</v>
      </c>
      <c r="CN283" s="12" t="s">
        <v>37</v>
      </c>
      <c r="CO283" s="12" t="s">
        <v>37</v>
      </c>
      <c r="CP283" s="13" t="s">
        <v>37</v>
      </c>
      <c r="CR283" s="12" t="s">
        <v>37</v>
      </c>
      <c r="CS283" s="12" t="s">
        <v>37</v>
      </c>
      <c r="CT283" s="13" t="s">
        <v>37</v>
      </c>
      <c r="CX283" s="72"/>
      <c r="CY283" s="72"/>
      <c r="DA283" s="12" t="s">
        <v>37</v>
      </c>
      <c r="DB283" s="12" t="s">
        <v>37</v>
      </c>
      <c r="DC283" s="13" t="s">
        <v>37</v>
      </c>
      <c r="DE283" s="12" t="s">
        <v>37</v>
      </c>
      <c r="DF283" s="12" t="s">
        <v>37</v>
      </c>
      <c r="DG283" s="12" t="s">
        <v>37</v>
      </c>
      <c r="DM283" s="12" t="s">
        <v>47</v>
      </c>
      <c r="DN283" s="19">
        <f>1.8*("1991/10/31"-"1991/5/1")*10^4/10^6/'[1]classes-1'!$I$28</f>
        <v>4.3449126612056599</v>
      </c>
      <c r="DO283" s="12">
        <f t="shared" si="1248"/>
        <v>9.5961779850217681</v>
      </c>
      <c r="DP283" s="13">
        <v>6</v>
      </c>
      <c r="DQ283" s="19">
        <f t="shared" si="1237"/>
        <v>2.2086008933396939</v>
      </c>
      <c r="DR283" s="19">
        <f>0.1*("1991/10/31"-"1991/5/1")*10^4/10^6/'[1]classes-1'!$I$29</f>
        <v>5.3718567649972807E-2</v>
      </c>
      <c r="DS283" s="12">
        <f>SQRT((1/[2]Classes!$I$29)^2*(0.8*("1991/10/31"-"1991/5/1")*10^4/10^6)^2+(-DR283/([2]Classes!$I$29)^2)^2*([2]Classes!$J$29)^2)</f>
        <v>0.43312042016840363</v>
      </c>
      <c r="DT283" s="13">
        <v>6</v>
      </c>
      <c r="DU283" s="19">
        <f t="shared" si="1238"/>
        <v>8.0627693387245944</v>
      </c>
      <c r="DV283" s="19">
        <f t="shared" si="1211"/>
        <v>-4.2911940935556867</v>
      </c>
      <c r="DW283" s="12">
        <f t="shared" si="1212"/>
        <v>6.7924305376861716</v>
      </c>
      <c r="DX283" s="72">
        <f t="shared" si="1124"/>
        <v>15.37903753643055</v>
      </c>
      <c r="DY283" s="72">
        <f t="shared" si="1125"/>
        <v>15.37903753643055</v>
      </c>
      <c r="EA283" s="19" t="s">
        <v>37</v>
      </c>
      <c r="EB283" s="19" t="s">
        <v>37</v>
      </c>
      <c r="EC283" s="72" t="s">
        <v>37</v>
      </c>
      <c r="EE283" s="19" t="s">
        <v>37</v>
      </c>
      <c r="EF283" s="19" t="s">
        <v>37</v>
      </c>
      <c r="EG283" s="12" t="s">
        <v>37</v>
      </c>
      <c r="EM283" s="12" t="s">
        <v>39</v>
      </c>
      <c r="EN283" s="12">
        <v>-24.4</v>
      </c>
      <c r="EO283" s="50">
        <f t="shared" si="1241"/>
        <v>9.9429121295315568</v>
      </c>
      <c r="EP283" s="13">
        <v>1</v>
      </c>
      <c r="ER283" s="12">
        <v>-34.4</v>
      </c>
      <c r="ES283" s="50">
        <f t="shared" si="1242"/>
        <v>7.8024034407162794</v>
      </c>
      <c r="ET283" s="13">
        <v>1</v>
      </c>
      <c r="EV283" s="19">
        <f t="shared" si="1233"/>
        <v>-10</v>
      </c>
      <c r="EW283" s="12" t="e">
        <f t="shared" si="1234"/>
        <v>#DIV/0!</v>
      </c>
      <c r="EX283" s="19" t="e">
        <f t="shared" si="1235"/>
        <v>#DIV/0!</v>
      </c>
      <c r="EY283" s="19">
        <f t="shared" si="1236"/>
        <v>159.73900106728698</v>
      </c>
      <c r="FB283" s="12" t="s">
        <v>37</v>
      </c>
      <c r="FC283" s="12" t="s">
        <v>37</v>
      </c>
      <c r="FD283" s="12" t="s">
        <v>37</v>
      </c>
      <c r="FE283" s="12" t="s">
        <v>37</v>
      </c>
      <c r="FF283" s="20" t="s">
        <v>37</v>
      </c>
      <c r="FG283" s="12" t="s">
        <v>37</v>
      </c>
      <c r="FI283" s="12" t="s">
        <v>37</v>
      </c>
      <c r="FJ283" s="12" t="s">
        <v>37</v>
      </c>
      <c r="FK283" s="12" t="s">
        <v>37</v>
      </c>
      <c r="FL283" s="12" t="s">
        <v>37</v>
      </c>
      <c r="FM283" s="12" t="s">
        <v>37</v>
      </c>
      <c r="FN283" s="12" t="s">
        <v>37</v>
      </c>
      <c r="FP283" s="12" t="s">
        <v>37</v>
      </c>
      <c r="FQ283" s="12" t="s">
        <v>37</v>
      </c>
      <c r="FR283" s="12" t="s">
        <v>37</v>
      </c>
      <c r="FS283" s="12" t="s">
        <v>37</v>
      </c>
      <c r="FT283" s="12" t="s">
        <v>37</v>
      </c>
      <c r="FU283" s="12" t="s">
        <v>37</v>
      </c>
      <c r="FW283" s="12" t="s">
        <v>37</v>
      </c>
      <c r="FX283" s="12" t="s">
        <v>37</v>
      </c>
      <c r="FY283" s="12" t="s">
        <v>37</v>
      </c>
      <c r="FZ283" s="12" t="s">
        <v>37</v>
      </c>
      <c r="GA283" s="12" t="s">
        <v>37</v>
      </c>
      <c r="GB283" s="12" t="s">
        <v>37</v>
      </c>
      <c r="GO283" s="12" t="s">
        <v>660</v>
      </c>
      <c r="GP283" s="12" t="s">
        <v>372</v>
      </c>
      <c r="GQ283" s="12">
        <v>13.9</v>
      </c>
      <c r="GR283" s="50">
        <f t="shared" si="1243"/>
        <v>1.3278608498174032</v>
      </c>
      <c r="GS283" s="13">
        <v>1</v>
      </c>
      <c r="GU283" s="12">
        <v>9.6</v>
      </c>
      <c r="GV283" s="50">
        <f t="shared" si="1244"/>
        <v>1.0217873501225923</v>
      </c>
      <c r="GW283" s="13">
        <v>1</v>
      </c>
      <c r="GY283" s="19">
        <f t="shared" si="1245"/>
        <v>-0.37012574166285561</v>
      </c>
      <c r="GZ283" s="19">
        <f t="shared" si="1246"/>
        <v>2.0454557267488193E-2</v>
      </c>
      <c r="IK283" s="12" t="s">
        <v>37</v>
      </c>
      <c r="IL283" s="12" t="s">
        <v>37</v>
      </c>
      <c r="IM283" s="12" t="s">
        <v>37</v>
      </c>
      <c r="IO283" s="12" t="s">
        <v>37</v>
      </c>
      <c r="IP283" s="12" t="s">
        <v>37</v>
      </c>
      <c r="IQ283" s="12" t="s">
        <v>37</v>
      </c>
      <c r="IV283" s="32" t="s">
        <v>345</v>
      </c>
      <c r="IW283" s="12">
        <v>6.3</v>
      </c>
      <c r="IX283" s="12">
        <v>0.3</v>
      </c>
      <c r="IY283" s="13">
        <v>6</v>
      </c>
      <c r="IZ283" s="19">
        <f t="shared" si="1247"/>
        <v>4.7619047619047616E-2</v>
      </c>
      <c r="JA283" s="13"/>
      <c r="JB283" s="13"/>
      <c r="JH283" s="12" t="s">
        <v>37</v>
      </c>
      <c r="JI283" s="12" t="s">
        <v>37</v>
      </c>
      <c r="JJ283" s="13" t="s">
        <v>37</v>
      </c>
      <c r="JL283" s="12" t="s">
        <v>37</v>
      </c>
      <c r="JM283" s="12" t="s">
        <v>37</v>
      </c>
      <c r="JN283" s="12" t="s">
        <v>37</v>
      </c>
      <c r="JS283" s="12" t="s">
        <v>37</v>
      </c>
      <c r="JT283" s="12" t="s">
        <v>37</v>
      </c>
      <c r="JU283" s="13" t="s">
        <v>37</v>
      </c>
      <c r="JW283" s="12" t="s">
        <v>37</v>
      </c>
      <c r="JX283" s="12" t="s">
        <v>37</v>
      </c>
      <c r="JY283" s="12" t="s">
        <v>37</v>
      </c>
      <c r="KE283" s="12" t="s">
        <v>37</v>
      </c>
      <c r="KF283" s="12" t="s">
        <v>37</v>
      </c>
      <c r="KG283" s="13" t="s">
        <v>37</v>
      </c>
      <c r="KH283" s="12" t="s">
        <v>37</v>
      </c>
      <c r="KI283" s="12" t="s">
        <v>37</v>
      </c>
      <c r="KJ283" s="12" t="s">
        <v>37</v>
      </c>
      <c r="KM283" s="12" t="s">
        <v>37</v>
      </c>
      <c r="KN283" s="12" t="s">
        <v>37</v>
      </c>
      <c r="KO283" s="11" t="s">
        <v>37</v>
      </c>
      <c r="KQ283" s="12" t="s">
        <v>37</v>
      </c>
      <c r="KR283" s="12" t="s">
        <v>37</v>
      </c>
      <c r="KS283" s="12" t="s">
        <v>37</v>
      </c>
      <c r="KX283" s="12" t="s">
        <v>37</v>
      </c>
      <c r="KY283" s="12" t="s">
        <v>37</v>
      </c>
      <c r="KZ283" s="12" t="s">
        <v>37</v>
      </c>
      <c r="LB283" s="12" t="s">
        <v>37</v>
      </c>
      <c r="LC283" s="12" t="s">
        <v>37</v>
      </c>
      <c r="LD283" s="12" t="s">
        <v>37</v>
      </c>
      <c r="LI283" s="12" t="s">
        <v>37</v>
      </c>
      <c r="LJ283" s="12" t="s">
        <v>37</v>
      </c>
      <c r="LK283" s="12" t="s">
        <v>37</v>
      </c>
      <c r="LM283" s="12" t="s">
        <v>37</v>
      </c>
      <c r="LN283" s="12" t="s">
        <v>37</v>
      </c>
      <c r="LO283" s="12" t="s">
        <v>37</v>
      </c>
      <c r="LU283" s="12" t="s">
        <v>37</v>
      </c>
      <c r="LV283" s="12" t="s">
        <v>37</v>
      </c>
      <c r="LW283" s="12" t="s">
        <v>37</v>
      </c>
      <c r="LY283" s="12" t="s">
        <v>37</v>
      </c>
      <c r="LZ283" s="12" t="s">
        <v>37</v>
      </c>
      <c r="MA283" s="12" t="s">
        <v>37</v>
      </c>
      <c r="MF283" s="12" t="s">
        <v>37</v>
      </c>
      <c r="MG283" s="12" t="s">
        <v>37</v>
      </c>
      <c r="MH283" s="12" t="s">
        <v>37</v>
      </c>
      <c r="MJ283" s="12" t="s">
        <v>37</v>
      </c>
      <c r="MK283" s="12" t="s">
        <v>37</v>
      </c>
      <c r="ML283" s="12" t="s">
        <v>37</v>
      </c>
      <c r="MQ283" s="12" t="s">
        <v>37</v>
      </c>
      <c r="MR283" s="12" t="s">
        <v>37</v>
      </c>
      <c r="MS283" s="12" t="s">
        <v>37</v>
      </c>
      <c r="MU283" s="12" t="s">
        <v>37</v>
      </c>
      <c r="MV283" s="12" t="s">
        <v>37</v>
      </c>
      <c r="MW283" s="12" t="s">
        <v>37</v>
      </c>
      <c r="NC283" s="12" t="s">
        <v>37</v>
      </c>
      <c r="ND283" s="12" t="s">
        <v>37</v>
      </c>
      <c r="NE283" s="12" t="s">
        <v>37</v>
      </c>
      <c r="NG283" s="12" t="s">
        <v>37</v>
      </c>
      <c r="NH283" s="12" t="s">
        <v>37</v>
      </c>
      <c r="NI283" s="12" t="s">
        <v>37</v>
      </c>
      <c r="NO283" s="12" t="s">
        <v>37</v>
      </c>
      <c r="NP283" s="12" t="s">
        <v>37</v>
      </c>
      <c r="NQ283" s="12" t="s">
        <v>37</v>
      </c>
      <c r="NS283" s="12" t="s">
        <v>37</v>
      </c>
      <c r="NT283" s="12" t="s">
        <v>37</v>
      </c>
      <c r="NU283" s="12" t="s">
        <v>37</v>
      </c>
      <c r="OA283" s="12" t="s">
        <v>37</v>
      </c>
      <c r="OB283" s="12" t="s">
        <v>37</v>
      </c>
      <c r="OC283" s="12" t="s">
        <v>37</v>
      </c>
      <c r="OD283" s="12"/>
      <c r="OE283" s="12" t="s">
        <v>37</v>
      </c>
      <c r="OF283" s="12" t="s">
        <v>37</v>
      </c>
      <c r="OG283" s="12" t="s">
        <v>37</v>
      </c>
      <c r="OH283" s="12"/>
      <c r="OI283" s="12"/>
      <c r="OJ283" s="12"/>
      <c r="OM283" s="12" t="s">
        <v>37</v>
      </c>
      <c r="ON283" s="12" t="s">
        <v>37</v>
      </c>
      <c r="OO283" s="12" t="s">
        <v>37</v>
      </c>
      <c r="OP283" s="12" t="s">
        <v>37</v>
      </c>
      <c r="OQ283" s="12" t="s">
        <v>37</v>
      </c>
      <c r="OR283" s="12" t="s">
        <v>37</v>
      </c>
      <c r="OS283" s="12"/>
      <c r="OT283" s="12"/>
      <c r="OW283" s="12" t="s">
        <v>37</v>
      </c>
      <c r="OX283" s="12" t="s">
        <v>37</v>
      </c>
      <c r="OY283" s="13" t="s">
        <v>37</v>
      </c>
      <c r="OZ283" s="12" t="s">
        <v>37</v>
      </c>
      <c r="PA283" s="12" t="s">
        <v>37</v>
      </c>
      <c r="PB283" s="13" t="s">
        <v>37</v>
      </c>
      <c r="PG283" s="12" t="s">
        <v>37</v>
      </c>
      <c r="PH283" s="12" t="s">
        <v>37</v>
      </c>
      <c r="PI283" s="12" t="s">
        <v>37</v>
      </c>
      <c r="PJ283" s="12" t="s">
        <v>37</v>
      </c>
      <c r="PK283" s="12" t="s">
        <v>37</v>
      </c>
      <c r="PL283" s="12" t="s">
        <v>37</v>
      </c>
      <c r="PM283" s="12"/>
      <c r="PN283" s="12"/>
      <c r="PQ283" s="12" t="s">
        <v>37</v>
      </c>
      <c r="PR283" s="12" t="s">
        <v>37</v>
      </c>
      <c r="PS283" s="12" t="s">
        <v>37</v>
      </c>
      <c r="PT283" s="12" t="s">
        <v>37</v>
      </c>
      <c r="PU283" s="12" t="s">
        <v>37</v>
      </c>
      <c r="PV283" s="12" t="s">
        <v>37</v>
      </c>
      <c r="PW283" s="12"/>
      <c r="PX283" s="12"/>
      <c r="PZ283" s="12" t="s">
        <v>37</v>
      </c>
      <c r="QA283" s="12" t="s">
        <v>37</v>
      </c>
      <c r="QB283" s="12" t="s">
        <v>37</v>
      </c>
      <c r="QD283" s="12" t="s">
        <v>37</v>
      </c>
      <c r="QE283" s="12" t="s">
        <v>37</v>
      </c>
      <c r="QF283" s="12" t="s">
        <v>37</v>
      </c>
      <c r="QK283" s="12" t="s">
        <v>37</v>
      </c>
      <c r="QL283" s="12" t="s">
        <v>37</v>
      </c>
      <c r="QM283" s="12" t="s">
        <v>37</v>
      </c>
      <c r="QN283" s="12" t="s">
        <v>37</v>
      </c>
      <c r="QO283" s="12" t="s">
        <v>37</v>
      </c>
      <c r="QP283" s="12" t="s">
        <v>37</v>
      </c>
      <c r="QQ283" s="12"/>
      <c r="QR283" s="12"/>
      <c r="QU283" s="12" t="s">
        <v>37</v>
      </c>
      <c r="QV283" s="12" t="s">
        <v>37</v>
      </c>
      <c r="QW283" s="12" t="s">
        <v>37</v>
      </c>
      <c r="QX283" s="12" t="s">
        <v>37</v>
      </c>
      <c r="QY283" s="12" t="s">
        <v>37</v>
      </c>
      <c r="QZ283" s="12" t="s">
        <v>37</v>
      </c>
      <c r="RC283" s="12" t="s">
        <v>37</v>
      </c>
      <c r="RD283" s="12" t="s">
        <v>37</v>
      </c>
      <c r="RE283" s="13" t="s">
        <v>37</v>
      </c>
      <c r="RF283" s="12" t="s">
        <v>37</v>
      </c>
      <c r="RG283" s="12" t="s">
        <v>37</v>
      </c>
      <c r="RH283" s="13" t="s">
        <v>37</v>
      </c>
      <c r="RK283" s="12" t="s">
        <v>37</v>
      </c>
      <c r="RL283" s="12" t="s">
        <v>37</v>
      </c>
      <c r="RM283" s="11" t="s">
        <v>37</v>
      </c>
      <c r="RN283" s="12" t="s">
        <v>37</v>
      </c>
      <c r="RO283" s="12" t="s">
        <v>37</v>
      </c>
      <c r="RP283" s="11" t="s">
        <v>37</v>
      </c>
      <c r="RS283" s="12" t="s">
        <v>37</v>
      </c>
      <c r="RT283" s="12" t="s">
        <v>37</v>
      </c>
      <c r="RU283" s="12" t="s">
        <v>37</v>
      </c>
      <c r="RV283" s="12" t="s">
        <v>37</v>
      </c>
      <c r="RW283" s="12" t="s">
        <v>37</v>
      </c>
      <c r="RX283" s="12" t="s">
        <v>37</v>
      </c>
      <c r="SA283" s="12" t="s">
        <v>37</v>
      </c>
      <c r="SB283" s="12" t="s">
        <v>37</v>
      </c>
      <c r="SC283" s="12" t="s">
        <v>37</v>
      </c>
      <c r="SD283" s="12" t="s">
        <v>37</v>
      </c>
      <c r="SE283" s="12" t="s">
        <v>37</v>
      </c>
      <c r="SF283" s="12" t="s">
        <v>37</v>
      </c>
      <c r="SI283" s="12" t="s">
        <v>37</v>
      </c>
      <c r="SJ283" s="12" t="s">
        <v>37</v>
      </c>
      <c r="SK283" s="13" t="s">
        <v>37</v>
      </c>
      <c r="SM283" s="12" t="s">
        <v>37</v>
      </c>
      <c r="SN283" s="12" t="s">
        <v>37</v>
      </c>
      <c r="SO283" s="13" t="s">
        <v>37</v>
      </c>
      <c r="SU283" s="12" t="s">
        <v>37</v>
      </c>
      <c r="SV283" s="12" t="s">
        <v>37</v>
      </c>
      <c r="SW283" s="12" t="s">
        <v>37</v>
      </c>
      <c r="SX283" s="12" t="s">
        <v>37</v>
      </c>
      <c r="SY283" s="12" t="s">
        <v>37</v>
      </c>
      <c r="SZ283" s="12" t="s">
        <v>37</v>
      </c>
      <c r="TA283" s="12"/>
      <c r="TB283" s="12"/>
      <c r="TE283" s="12" t="s">
        <v>37</v>
      </c>
      <c r="TF283" s="12" t="s">
        <v>37</v>
      </c>
      <c r="TG283" s="12" t="s">
        <v>37</v>
      </c>
      <c r="TH283" s="12" t="s">
        <v>37</v>
      </c>
      <c r="TI283" s="12" t="s">
        <v>37</v>
      </c>
      <c r="TJ283" s="12" t="s">
        <v>37</v>
      </c>
      <c r="TK283" s="12"/>
      <c r="TL283" s="12"/>
      <c r="TO283" s="12" t="s">
        <v>37</v>
      </c>
      <c r="TP283" s="12" t="s">
        <v>37</v>
      </c>
      <c r="TQ283" s="12" t="s">
        <v>37</v>
      </c>
      <c r="TR283" s="12" t="s">
        <v>37</v>
      </c>
      <c r="TS283" s="12" t="s">
        <v>37</v>
      </c>
      <c r="TT283" s="12" t="s">
        <v>37</v>
      </c>
      <c r="TU283" s="12"/>
      <c r="TV283" s="12"/>
      <c r="TY283" s="12" t="s">
        <v>37</v>
      </c>
      <c r="TZ283" s="12" t="s">
        <v>37</v>
      </c>
      <c r="UA283" s="12" t="s">
        <v>37</v>
      </c>
      <c r="UB283" s="12" t="s">
        <v>37</v>
      </c>
      <c r="UC283" s="12" t="s">
        <v>37</v>
      </c>
      <c r="UD283" s="12" t="s">
        <v>37</v>
      </c>
      <c r="UE283" s="12"/>
      <c r="UF283" s="12"/>
      <c r="UI283" s="12" t="s">
        <v>37</v>
      </c>
      <c r="UJ283" s="12" t="s">
        <v>37</v>
      </c>
      <c r="UK283" s="12" t="s">
        <v>37</v>
      </c>
      <c r="UL283" s="12" t="s">
        <v>37</v>
      </c>
      <c r="UM283" s="12" t="s">
        <v>37</v>
      </c>
      <c r="UN283" s="12" t="s">
        <v>37</v>
      </c>
      <c r="UO283" s="12"/>
      <c r="UP283" s="12"/>
      <c r="UR283" s="12" t="s">
        <v>37</v>
      </c>
      <c r="US283" s="12" t="s">
        <v>37</v>
      </c>
      <c r="UT283" s="12" t="s">
        <v>37</v>
      </c>
      <c r="UU283" s="12" t="s">
        <v>37</v>
      </c>
      <c r="UV283" s="12" t="s">
        <v>37</v>
      </c>
      <c r="UW283" s="12" t="s">
        <v>37</v>
      </c>
      <c r="UX283" s="12"/>
      <c r="UY283" s="12"/>
      <c r="VB283" s="12" t="s">
        <v>37</v>
      </c>
      <c r="VC283" s="12" t="s">
        <v>37</v>
      </c>
      <c r="VD283" s="12" t="s">
        <v>37</v>
      </c>
      <c r="VE283" s="12" t="s">
        <v>37</v>
      </c>
      <c r="VF283" s="12" t="s">
        <v>37</v>
      </c>
      <c r="VG283" s="12" t="s">
        <v>37</v>
      </c>
      <c r="VI283" s="12" t="s">
        <v>37</v>
      </c>
      <c r="VJ283" s="12" t="s">
        <v>37</v>
      </c>
      <c r="VK283" s="12" t="s">
        <v>37</v>
      </c>
      <c r="VL283" s="12" t="s">
        <v>37</v>
      </c>
      <c r="VM283" s="12" t="s">
        <v>37</v>
      </c>
      <c r="VN283" s="12" t="s">
        <v>37</v>
      </c>
      <c r="VQ283" s="12" t="s">
        <v>37</v>
      </c>
      <c r="VR283" s="12" t="s">
        <v>37</v>
      </c>
      <c r="VS283" s="12" t="s">
        <v>37</v>
      </c>
      <c r="VT283" s="12" t="s">
        <v>37</v>
      </c>
      <c r="VU283" s="12" t="s">
        <v>37</v>
      </c>
      <c r="VV283" s="12" t="s">
        <v>37</v>
      </c>
      <c r="VW283" s="12"/>
      <c r="VX283" s="12"/>
      <c r="WA283" s="12" t="s">
        <v>37</v>
      </c>
      <c r="WB283" s="12" t="s">
        <v>37</v>
      </c>
      <c r="WC283" s="12" t="s">
        <v>37</v>
      </c>
      <c r="WD283" s="12" t="s">
        <v>37</v>
      </c>
      <c r="WE283" s="12" t="s">
        <v>37</v>
      </c>
      <c r="WF283" s="12" t="s">
        <v>37</v>
      </c>
    </row>
    <row r="284" spans="1:604" ht="18" customHeight="1" x14ac:dyDescent="0.3">
      <c r="A284" s="11">
        <v>70</v>
      </c>
      <c r="B284" s="16" t="s">
        <v>901</v>
      </c>
      <c r="C284" s="12" t="s">
        <v>32</v>
      </c>
      <c r="D284" s="12" t="s">
        <v>54</v>
      </c>
      <c r="E284" s="40" t="s">
        <v>37</v>
      </c>
      <c r="F284" s="14">
        <v>0</v>
      </c>
      <c r="G284" s="14">
        <v>0</v>
      </c>
      <c r="H284" s="12" t="s">
        <v>91</v>
      </c>
      <c r="I284" s="29">
        <v>49.05</v>
      </c>
      <c r="J284" s="29">
        <v>-80.667000000000002</v>
      </c>
      <c r="K284" s="12" t="s">
        <v>778</v>
      </c>
      <c r="L284" s="12" t="s">
        <v>779</v>
      </c>
      <c r="M284" s="13" t="s">
        <v>37</v>
      </c>
      <c r="N284" s="14">
        <v>0.6</v>
      </c>
      <c r="O284" s="14">
        <v>885</v>
      </c>
      <c r="P284" s="14" t="s">
        <v>16</v>
      </c>
      <c r="Q284" s="75">
        <v>7</v>
      </c>
      <c r="R284" s="11" t="s">
        <v>999</v>
      </c>
      <c r="S284" s="12" t="s">
        <v>85</v>
      </c>
      <c r="T284" s="12" t="s">
        <v>138</v>
      </c>
      <c r="U284" s="12" t="s">
        <v>334</v>
      </c>
      <c r="V284" s="12" t="s">
        <v>275</v>
      </c>
      <c r="W284" s="23" t="s">
        <v>402</v>
      </c>
      <c r="X284" s="12" t="s">
        <v>281</v>
      </c>
      <c r="Y284" s="12" t="s">
        <v>37</v>
      </c>
      <c r="Z284" s="12" t="s">
        <v>37</v>
      </c>
      <c r="AA284" s="32" t="s">
        <v>345</v>
      </c>
      <c r="AB284" s="12">
        <v>6.3</v>
      </c>
      <c r="AE284" s="12" t="s">
        <v>37</v>
      </c>
      <c r="AH284" s="12" t="s">
        <v>37</v>
      </c>
      <c r="AK284" s="12" t="s">
        <v>37</v>
      </c>
      <c r="AL284" s="32" t="s">
        <v>400</v>
      </c>
      <c r="AM284" s="12" t="s">
        <v>317</v>
      </c>
      <c r="AN284" s="32" t="s">
        <v>879</v>
      </c>
      <c r="AO284" s="12" t="s">
        <v>37</v>
      </c>
      <c r="AP284" s="12" t="s">
        <v>401</v>
      </c>
      <c r="AQ284" s="12" t="s">
        <v>975</v>
      </c>
      <c r="AT284" s="12" t="s">
        <v>326</v>
      </c>
      <c r="AU284" s="12" t="s">
        <v>326</v>
      </c>
      <c r="AV284" s="13" t="s">
        <v>326</v>
      </c>
      <c r="AX284" s="12" t="s">
        <v>326</v>
      </c>
      <c r="AY284" s="12" t="s">
        <v>326</v>
      </c>
      <c r="AZ284" s="13" t="s">
        <v>326</v>
      </c>
      <c r="BE284" s="12" t="s">
        <v>326</v>
      </c>
      <c r="BF284" s="12" t="s">
        <v>326</v>
      </c>
      <c r="BG284" s="12" t="s">
        <v>326</v>
      </c>
      <c r="BI284" s="12" t="s">
        <v>326</v>
      </c>
      <c r="BJ284" s="12" t="s">
        <v>326</v>
      </c>
      <c r="BK284" s="12" t="s">
        <v>326</v>
      </c>
      <c r="BP284" s="12" t="s">
        <v>37</v>
      </c>
      <c r="BQ284" s="12" t="s">
        <v>37</v>
      </c>
      <c r="BR284" s="13" t="s">
        <v>37</v>
      </c>
      <c r="BT284" s="12" t="s">
        <v>37</v>
      </c>
      <c r="BU284" s="12" t="s">
        <v>37</v>
      </c>
      <c r="BV284" s="12" t="s">
        <v>37</v>
      </c>
      <c r="CA284" s="12" t="s">
        <v>37</v>
      </c>
      <c r="CB284" s="12" t="s">
        <v>37</v>
      </c>
      <c r="CC284" s="13" t="s">
        <v>37</v>
      </c>
      <c r="CE284" s="12" t="s">
        <v>37</v>
      </c>
      <c r="CF284" s="12" t="s">
        <v>37</v>
      </c>
      <c r="CG284" s="12" t="s">
        <v>37</v>
      </c>
      <c r="CN284" s="12" t="s">
        <v>37</v>
      </c>
      <c r="CO284" s="12" t="s">
        <v>37</v>
      </c>
      <c r="CP284" s="13" t="s">
        <v>37</v>
      </c>
      <c r="CR284" s="12" t="s">
        <v>37</v>
      </c>
      <c r="CS284" s="12" t="s">
        <v>37</v>
      </c>
      <c r="CT284" s="13" t="s">
        <v>37</v>
      </c>
      <c r="CX284" s="72"/>
      <c r="CY284" s="72"/>
      <c r="DA284" s="12" t="s">
        <v>37</v>
      </c>
      <c r="DB284" s="12" t="s">
        <v>37</v>
      </c>
      <c r="DC284" s="13" t="s">
        <v>37</v>
      </c>
      <c r="DE284" s="12" t="s">
        <v>37</v>
      </c>
      <c r="DF284" s="12" t="s">
        <v>37</v>
      </c>
      <c r="DG284" s="12" t="s">
        <v>37</v>
      </c>
      <c r="DM284" s="12" t="s">
        <v>47</v>
      </c>
      <c r="DN284" s="19">
        <f>11.4*("1991/10/31"-"1991/5/1")*10^4/10^6/'[1]classes-1'!$I$28</f>
        <v>27.51778018763585</v>
      </c>
      <c r="DO284" s="12">
        <f>SQRT((1/[2]Classes!$I$28)^2*(1.2*("1991/10/31"-"1991/5/1")*10^4/10^6)^2+(-DN284/([2]Classes!$I$28)^2)^2*([2]Classes!$J$28)^2)</f>
        <v>12.137611972737048</v>
      </c>
      <c r="DP284" s="13">
        <v>6</v>
      </c>
      <c r="DQ284" s="19">
        <f t="shared" si="1237"/>
        <v>0.44108252518822932</v>
      </c>
      <c r="DR284" s="19">
        <f>-0.3*("1991/10/31"-"1991/5/1")*10^4/10^6/'[1]classes-1'!$I$30</f>
        <v>-0.16115570294991843</v>
      </c>
      <c r="DS284" s="12">
        <f>SQRT((1/[2]Classes!$I$30)^2*(1*("1991/10/31"-"1991/5/1")*10^4/10^6)^2+(-DR284/([2]Classes!$I$30)^2)^2*([2]Classes!$J$30)^2)</f>
        <v>0.5610292847687105</v>
      </c>
      <c r="DT284" s="13">
        <v>6</v>
      </c>
      <c r="DU284" s="19">
        <f t="shared" si="1238"/>
        <v>3.4812871930635851</v>
      </c>
      <c r="DV284" s="19">
        <f t="shared" si="1211"/>
        <v>-27.67893589058577</v>
      </c>
      <c r="DW284" s="12">
        <f t="shared" si="1212"/>
        <v>8.5917512260044475</v>
      </c>
      <c r="DX284" s="72">
        <f t="shared" si="1124"/>
        <v>24.606063043182974</v>
      </c>
      <c r="DY284" s="72">
        <f t="shared" si="1125"/>
        <v>24.606063043182974</v>
      </c>
      <c r="EA284" s="19" t="s">
        <v>37</v>
      </c>
      <c r="EB284" s="19" t="s">
        <v>37</v>
      </c>
      <c r="EC284" s="72" t="s">
        <v>37</v>
      </c>
      <c r="EE284" s="19" t="s">
        <v>37</v>
      </c>
      <c r="EF284" s="19" t="s">
        <v>37</v>
      </c>
      <c r="EG284" s="12" t="s">
        <v>37</v>
      </c>
      <c r="EM284" s="12" t="s">
        <v>39</v>
      </c>
      <c r="EN284" s="12">
        <v>-24.4</v>
      </c>
      <c r="EO284" s="50">
        <f t="shared" si="1241"/>
        <v>9.9429121295315568</v>
      </c>
      <c r="EP284" s="13">
        <v>1</v>
      </c>
      <c r="ER284" s="12">
        <v>-83.7</v>
      </c>
      <c r="ES284" s="50">
        <f t="shared" si="1242"/>
        <v>18.984336278719553</v>
      </c>
      <c r="ET284" s="13">
        <v>1</v>
      </c>
      <c r="EV284" s="19">
        <f t="shared" si="1233"/>
        <v>-59.300000000000004</v>
      </c>
      <c r="EW284" s="12" t="e">
        <f t="shared" si="1234"/>
        <v>#DIV/0!</v>
      </c>
      <c r="EX284" s="19" t="e">
        <f t="shared" si="1235"/>
        <v>#DIV/0!</v>
      </c>
      <c r="EY284" s="19">
        <f t="shared" si="1236"/>
        <v>459.26652555909311</v>
      </c>
      <c r="FB284" s="12" t="s">
        <v>37</v>
      </c>
      <c r="FC284" s="12" t="s">
        <v>37</v>
      </c>
      <c r="FD284" s="12" t="s">
        <v>37</v>
      </c>
      <c r="FE284" s="12" t="s">
        <v>37</v>
      </c>
      <c r="FF284" s="20" t="s">
        <v>37</v>
      </c>
      <c r="FG284" s="12" t="s">
        <v>37</v>
      </c>
      <c r="FI284" s="12" t="s">
        <v>37</v>
      </c>
      <c r="FJ284" s="12" t="s">
        <v>37</v>
      </c>
      <c r="FK284" s="12" t="s">
        <v>37</v>
      </c>
      <c r="FL284" s="12" t="s">
        <v>37</v>
      </c>
      <c r="FM284" s="12" t="s">
        <v>37</v>
      </c>
      <c r="FN284" s="12" t="s">
        <v>37</v>
      </c>
      <c r="FP284" s="12" t="s">
        <v>37</v>
      </c>
      <c r="FQ284" s="12" t="s">
        <v>37</v>
      </c>
      <c r="FR284" s="12" t="s">
        <v>37</v>
      </c>
      <c r="FS284" s="12" t="s">
        <v>37</v>
      </c>
      <c r="FT284" s="12" t="s">
        <v>37</v>
      </c>
      <c r="FU284" s="12" t="s">
        <v>37</v>
      </c>
      <c r="FW284" s="12" t="s">
        <v>37</v>
      </c>
      <c r="FX284" s="12" t="s">
        <v>37</v>
      </c>
      <c r="FY284" s="12" t="s">
        <v>37</v>
      </c>
      <c r="FZ284" s="12" t="s">
        <v>37</v>
      </c>
      <c r="GA284" s="12" t="s">
        <v>37</v>
      </c>
      <c r="GB284" s="12" t="s">
        <v>37</v>
      </c>
      <c r="GO284" s="12" t="s">
        <v>660</v>
      </c>
      <c r="GP284" s="12" t="s">
        <v>372</v>
      </c>
      <c r="GQ284" s="12">
        <v>13.9</v>
      </c>
      <c r="GR284" s="50">
        <f t="shared" si="1243"/>
        <v>1.3278608498174032</v>
      </c>
      <c r="GS284" s="13">
        <v>1</v>
      </c>
      <c r="GU284" s="12">
        <v>12</v>
      </c>
      <c r="GV284" s="50">
        <f t="shared" si="1244"/>
        <v>1.2772341876532403</v>
      </c>
      <c r="GW284" s="13">
        <v>1</v>
      </c>
      <c r="GY284" s="19">
        <f t="shared" si="1245"/>
        <v>-0.14698219034864582</v>
      </c>
      <c r="GZ284" s="19">
        <f t="shared" si="1246"/>
        <v>2.045455726748819E-2</v>
      </c>
      <c r="IK284" s="12" t="s">
        <v>37</v>
      </c>
      <c r="IL284" s="12" t="s">
        <v>37</v>
      </c>
      <c r="IM284" s="12" t="s">
        <v>37</v>
      </c>
      <c r="IO284" s="12" t="s">
        <v>37</v>
      </c>
      <c r="IP284" s="12" t="s">
        <v>37</v>
      </c>
      <c r="IQ284" s="12" t="s">
        <v>37</v>
      </c>
      <c r="IV284" s="32" t="s">
        <v>345</v>
      </c>
      <c r="IW284" s="12">
        <v>6.3</v>
      </c>
      <c r="IX284" s="12">
        <v>0.3</v>
      </c>
      <c r="IY284" s="13">
        <v>6</v>
      </c>
      <c r="IZ284" s="19">
        <f t="shared" si="1247"/>
        <v>4.7619047619047616E-2</v>
      </c>
      <c r="JA284" s="13"/>
      <c r="JB284" s="13"/>
      <c r="JH284" s="12" t="s">
        <v>37</v>
      </c>
      <c r="JI284" s="12" t="s">
        <v>37</v>
      </c>
      <c r="JJ284" s="13" t="s">
        <v>37</v>
      </c>
      <c r="JL284" s="12" t="s">
        <v>37</v>
      </c>
      <c r="JM284" s="12" t="s">
        <v>37</v>
      </c>
      <c r="JN284" s="12" t="s">
        <v>37</v>
      </c>
      <c r="JS284" s="12" t="s">
        <v>37</v>
      </c>
      <c r="JT284" s="12" t="s">
        <v>37</v>
      </c>
      <c r="JU284" s="13" t="s">
        <v>37</v>
      </c>
      <c r="JW284" s="12" t="s">
        <v>37</v>
      </c>
      <c r="JX284" s="12" t="s">
        <v>37</v>
      </c>
      <c r="JY284" s="12" t="s">
        <v>37</v>
      </c>
      <c r="KE284" s="12" t="s">
        <v>37</v>
      </c>
      <c r="KF284" s="12" t="s">
        <v>37</v>
      </c>
      <c r="KG284" s="13" t="s">
        <v>37</v>
      </c>
      <c r="KH284" s="12" t="s">
        <v>37</v>
      </c>
      <c r="KI284" s="12" t="s">
        <v>37</v>
      </c>
      <c r="KJ284" s="12" t="s">
        <v>37</v>
      </c>
      <c r="KM284" s="12" t="s">
        <v>37</v>
      </c>
      <c r="KN284" s="12" t="s">
        <v>37</v>
      </c>
      <c r="KO284" s="11" t="s">
        <v>37</v>
      </c>
      <c r="KQ284" s="12" t="s">
        <v>37</v>
      </c>
      <c r="KR284" s="12" t="s">
        <v>37</v>
      </c>
      <c r="KS284" s="12" t="s">
        <v>37</v>
      </c>
      <c r="KX284" s="12" t="s">
        <v>37</v>
      </c>
      <c r="KY284" s="12" t="s">
        <v>37</v>
      </c>
      <c r="KZ284" s="12" t="s">
        <v>37</v>
      </c>
      <c r="LB284" s="12" t="s">
        <v>37</v>
      </c>
      <c r="LC284" s="12" t="s">
        <v>37</v>
      </c>
      <c r="LD284" s="12" t="s">
        <v>37</v>
      </c>
      <c r="LI284" s="12" t="s">
        <v>37</v>
      </c>
      <c r="LJ284" s="12" t="s">
        <v>37</v>
      </c>
      <c r="LK284" s="12" t="s">
        <v>37</v>
      </c>
      <c r="LM284" s="12" t="s">
        <v>37</v>
      </c>
      <c r="LN284" s="12" t="s">
        <v>37</v>
      </c>
      <c r="LO284" s="12" t="s">
        <v>37</v>
      </c>
      <c r="LU284" s="12" t="s">
        <v>37</v>
      </c>
      <c r="LV284" s="12" t="s">
        <v>37</v>
      </c>
      <c r="LW284" s="12" t="s">
        <v>37</v>
      </c>
      <c r="LY284" s="12" t="s">
        <v>37</v>
      </c>
      <c r="LZ284" s="12" t="s">
        <v>37</v>
      </c>
      <c r="MA284" s="12" t="s">
        <v>37</v>
      </c>
      <c r="MF284" s="12" t="s">
        <v>37</v>
      </c>
      <c r="MG284" s="12" t="s">
        <v>37</v>
      </c>
      <c r="MH284" s="12" t="s">
        <v>37</v>
      </c>
      <c r="MJ284" s="12" t="s">
        <v>37</v>
      </c>
      <c r="MK284" s="12" t="s">
        <v>37</v>
      </c>
      <c r="ML284" s="12" t="s">
        <v>37</v>
      </c>
      <c r="MQ284" s="12" t="s">
        <v>37</v>
      </c>
      <c r="MR284" s="12" t="s">
        <v>37</v>
      </c>
      <c r="MS284" s="12" t="s">
        <v>37</v>
      </c>
      <c r="MU284" s="12" t="s">
        <v>37</v>
      </c>
      <c r="MV284" s="12" t="s">
        <v>37</v>
      </c>
      <c r="MW284" s="12" t="s">
        <v>37</v>
      </c>
      <c r="NC284" s="12" t="s">
        <v>37</v>
      </c>
      <c r="ND284" s="12" t="s">
        <v>37</v>
      </c>
      <c r="NE284" s="12" t="s">
        <v>37</v>
      </c>
      <c r="NG284" s="12" t="s">
        <v>37</v>
      </c>
      <c r="NH284" s="12" t="s">
        <v>37</v>
      </c>
      <c r="NI284" s="12" t="s">
        <v>37</v>
      </c>
      <c r="NO284" s="12" t="s">
        <v>37</v>
      </c>
      <c r="NP284" s="12" t="s">
        <v>37</v>
      </c>
      <c r="NQ284" s="12" t="s">
        <v>37</v>
      </c>
      <c r="NS284" s="12" t="s">
        <v>37</v>
      </c>
      <c r="NT284" s="12" t="s">
        <v>37</v>
      </c>
      <c r="NU284" s="12" t="s">
        <v>37</v>
      </c>
      <c r="OA284" s="12" t="s">
        <v>37</v>
      </c>
      <c r="OB284" s="12" t="s">
        <v>37</v>
      </c>
      <c r="OC284" s="12" t="s">
        <v>37</v>
      </c>
      <c r="OD284" s="12"/>
      <c r="OE284" s="12" t="s">
        <v>37</v>
      </c>
      <c r="OF284" s="12" t="s">
        <v>37</v>
      </c>
      <c r="OG284" s="12" t="s">
        <v>37</v>
      </c>
      <c r="OH284" s="12"/>
      <c r="OI284" s="12"/>
      <c r="OJ284" s="12"/>
      <c r="OM284" s="12" t="s">
        <v>37</v>
      </c>
      <c r="ON284" s="12" t="s">
        <v>37</v>
      </c>
      <c r="OO284" s="12" t="s">
        <v>37</v>
      </c>
      <c r="OP284" s="12" t="s">
        <v>37</v>
      </c>
      <c r="OQ284" s="12" t="s">
        <v>37</v>
      </c>
      <c r="OR284" s="12" t="s">
        <v>37</v>
      </c>
      <c r="OS284" s="12"/>
      <c r="OT284" s="12"/>
      <c r="OW284" s="12" t="s">
        <v>37</v>
      </c>
      <c r="OX284" s="12" t="s">
        <v>37</v>
      </c>
      <c r="OY284" s="13" t="s">
        <v>37</v>
      </c>
      <c r="OZ284" s="12" t="s">
        <v>37</v>
      </c>
      <c r="PA284" s="12" t="s">
        <v>37</v>
      </c>
      <c r="PB284" s="13" t="s">
        <v>37</v>
      </c>
      <c r="PG284" s="12" t="s">
        <v>37</v>
      </c>
      <c r="PH284" s="12" t="s">
        <v>37</v>
      </c>
      <c r="PI284" s="12" t="s">
        <v>37</v>
      </c>
      <c r="PJ284" s="12" t="s">
        <v>37</v>
      </c>
      <c r="PK284" s="12" t="s">
        <v>37</v>
      </c>
      <c r="PL284" s="12" t="s">
        <v>37</v>
      </c>
      <c r="PM284" s="12"/>
      <c r="PN284" s="12"/>
      <c r="PQ284" s="12" t="s">
        <v>37</v>
      </c>
      <c r="PR284" s="12" t="s">
        <v>37</v>
      </c>
      <c r="PS284" s="12" t="s">
        <v>37</v>
      </c>
      <c r="PT284" s="12" t="s">
        <v>37</v>
      </c>
      <c r="PU284" s="12" t="s">
        <v>37</v>
      </c>
      <c r="PV284" s="12" t="s">
        <v>37</v>
      </c>
      <c r="PW284" s="12"/>
      <c r="PX284" s="12"/>
      <c r="PZ284" s="12" t="s">
        <v>37</v>
      </c>
      <c r="QA284" s="12" t="s">
        <v>37</v>
      </c>
      <c r="QB284" s="12" t="s">
        <v>37</v>
      </c>
      <c r="QD284" s="12" t="s">
        <v>37</v>
      </c>
      <c r="QE284" s="12" t="s">
        <v>37</v>
      </c>
      <c r="QF284" s="12" t="s">
        <v>37</v>
      </c>
      <c r="QK284" s="12" t="s">
        <v>37</v>
      </c>
      <c r="QL284" s="12" t="s">
        <v>37</v>
      </c>
      <c r="QM284" s="12" t="s">
        <v>37</v>
      </c>
      <c r="QN284" s="12" t="s">
        <v>37</v>
      </c>
      <c r="QO284" s="12" t="s">
        <v>37</v>
      </c>
      <c r="QP284" s="12" t="s">
        <v>37</v>
      </c>
      <c r="QQ284" s="12"/>
      <c r="QR284" s="12"/>
      <c r="QU284" s="12" t="s">
        <v>37</v>
      </c>
      <c r="QV284" s="12" t="s">
        <v>37</v>
      </c>
      <c r="QW284" s="12" t="s">
        <v>37</v>
      </c>
      <c r="QX284" s="12" t="s">
        <v>37</v>
      </c>
      <c r="QY284" s="12" t="s">
        <v>37</v>
      </c>
      <c r="QZ284" s="12" t="s">
        <v>37</v>
      </c>
      <c r="RC284" s="12" t="s">
        <v>37</v>
      </c>
      <c r="RD284" s="12" t="s">
        <v>37</v>
      </c>
      <c r="RE284" s="13" t="s">
        <v>37</v>
      </c>
      <c r="RF284" s="12" t="s">
        <v>37</v>
      </c>
      <c r="RG284" s="12" t="s">
        <v>37</v>
      </c>
      <c r="RH284" s="13" t="s">
        <v>37</v>
      </c>
      <c r="RK284" s="12" t="s">
        <v>37</v>
      </c>
      <c r="RL284" s="12" t="s">
        <v>37</v>
      </c>
      <c r="RM284" s="11" t="s">
        <v>37</v>
      </c>
      <c r="RN284" s="12" t="s">
        <v>37</v>
      </c>
      <c r="RO284" s="12" t="s">
        <v>37</v>
      </c>
      <c r="RP284" s="11" t="s">
        <v>37</v>
      </c>
      <c r="RS284" s="12" t="s">
        <v>37</v>
      </c>
      <c r="RT284" s="12" t="s">
        <v>37</v>
      </c>
      <c r="RU284" s="12" t="s">
        <v>37</v>
      </c>
      <c r="RV284" s="12" t="s">
        <v>37</v>
      </c>
      <c r="RW284" s="12" t="s">
        <v>37</v>
      </c>
      <c r="RX284" s="12" t="s">
        <v>37</v>
      </c>
      <c r="SA284" s="12" t="s">
        <v>37</v>
      </c>
      <c r="SB284" s="12" t="s">
        <v>37</v>
      </c>
      <c r="SC284" s="12" t="s">
        <v>37</v>
      </c>
      <c r="SD284" s="12" t="s">
        <v>37</v>
      </c>
      <c r="SE284" s="12" t="s">
        <v>37</v>
      </c>
      <c r="SF284" s="12" t="s">
        <v>37</v>
      </c>
      <c r="SI284" s="12" t="s">
        <v>37</v>
      </c>
      <c r="SJ284" s="12" t="s">
        <v>37</v>
      </c>
      <c r="SK284" s="13" t="s">
        <v>37</v>
      </c>
      <c r="SM284" s="12" t="s">
        <v>37</v>
      </c>
      <c r="SN284" s="12" t="s">
        <v>37</v>
      </c>
      <c r="SO284" s="13" t="s">
        <v>37</v>
      </c>
      <c r="SU284" s="12" t="s">
        <v>37</v>
      </c>
      <c r="SV284" s="12" t="s">
        <v>37</v>
      </c>
      <c r="SW284" s="12" t="s">
        <v>37</v>
      </c>
      <c r="SX284" s="12" t="s">
        <v>37</v>
      </c>
      <c r="SY284" s="12" t="s">
        <v>37</v>
      </c>
      <c r="SZ284" s="12" t="s">
        <v>37</v>
      </c>
      <c r="TA284" s="12"/>
      <c r="TB284" s="12"/>
      <c r="TE284" s="12" t="s">
        <v>37</v>
      </c>
      <c r="TF284" s="12" t="s">
        <v>37</v>
      </c>
      <c r="TG284" s="12" t="s">
        <v>37</v>
      </c>
      <c r="TH284" s="12" t="s">
        <v>37</v>
      </c>
      <c r="TI284" s="12" t="s">
        <v>37</v>
      </c>
      <c r="TJ284" s="12" t="s">
        <v>37</v>
      </c>
      <c r="TK284" s="12"/>
      <c r="TL284" s="12"/>
      <c r="TO284" s="12" t="s">
        <v>37</v>
      </c>
      <c r="TP284" s="12" t="s">
        <v>37</v>
      </c>
      <c r="TQ284" s="12" t="s">
        <v>37</v>
      </c>
      <c r="TR284" s="12" t="s">
        <v>37</v>
      </c>
      <c r="TS284" s="12" t="s">
        <v>37</v>
      </c>
      <c r="TT284" s="12" t="s">
        <v>37</v>
      </c>
      <c r="TU284" s="12"/>
      <c r="TV284" s="12"/>
      <c r="TY284" s="12" t="s">
        <v>37</v>
      </c>
      <c r="TZ284" s="12" t="s">
        <v>37</v>
      </c>
      <c r="UA284" s="12" t="s">
        <v>37</v>
      </c>
      <c r="UB284" s="12" t="s">
        <v>37</v>
      </c>
      <c r="UC284" s="12" t="s">
        <v>37</v>
      </c>
      <c r="UD284" s="12" t="s">
        <v>37</v>
      </c>
      <c r="UE284" s="12"/>
      <c r="UF284" s="12"/>
      <c r="UI284" s="12" t="s">
        <v>37</v>
      </c>
      <c r="UJ284" s="12" t="s">
        <v>37</v>
      </c>
      <c r="UK284" s="12" t="s">
        <v>37</v>
      </c>
      <c r="UL284" s="12" t="s">
        <v>37</v>
      </c>
      <c r="UM284" s="12" t="s">
        <v>37</v>
      </c>
      <c r="UN284" s="12" t="s">
        <v>37</v>
      </c>
      <c r="UO284" s="12"/>
      <c r="UP284" s="12"/>
      <c r="UR284" s="12" t="s">
        <v>37</v>
      </c>
      <c r="US284" s="12" t="s">
        <v>37</v>
      </c>
      <c r="UT284" s="12" t="s">
        <v>37</v>
      </c>
      <c r="UU284" s="12" t="s">
        <v>37</v>
      </c>
      <c r="UV284" s="12" t="s">
        <v>37</v>
      </c>
      <c r="UW284" s="12" t="s">
        <v>37</v>
      </c>
      <c r="UX284" s="12"/>
      <c r="UY284" s="12"/>
      <c r="VB284" s="12" t="s">
        <v>37</v>
      </c>
      <c r="VC284" s="12" t="s">
        <v>37</v>
      </c>
      <c r="VD284" s="12" t="s">
        <v>37</v>
      </c>
      <c r="VE284" s="12" t="s">
        <v>37</v>
      </c>
      <c r="VF284" s="12" t="s">
        <v>37</v>
      </c>
      <c r="VG284" s="12" t="s">
        <v>37</v>
      </c>
      <c r="VI284" s="12" t="s">
        <v>37</v>
      </c>
      <c r="VJ284" s="12" t="s">
        <v>37</v>
      </c>
      <c r="VK284" s="12" t="s">
        <v>37</v>
      </c>
      <c r="VL284" s="12" t="s">
        <v>37</v>
      </c>
      <c r="VM284" s="12" t="s">
        <v>37</v>
      </c>
      <c r="VN284" s="12" t="s">
        <v>37</v>
      </c>
      <c r="VQ284" s="12" t="s">
        <v>37</v>
      </c>
      <c r="VR284" s="12" t="s">
        <v>37</v>
      </c>
      <c r="VS284" s="12" t="s">
        <v>37</v>
      </c>
      <c r="VT284" s="12" t="s">
        <v>37</v>
      </c>
      <c r="VU284" s="12" t="s">
        <v>37</v>
      </c>
      <c r="VV284" s="12" t="s">
        <v>37</v>
      </c>
      <c r="VW284" s="12"/>
      <c r="VX284" s="12"/>
      <c r="WA284" s="12" t="s">
        <v>37</v>
      </c>
      <c r="WB284" s="12" t="s">
        <v>37</v>
      </c>
      <c r="WC284" s="12" t="s">
        <v>37</v>
      </c>
      <c r="WD284" s="12" t="s">
        <v>37</v>
      </c>
      <c r="WE284" s="12" t="s">
        <v>37</v>
      </c>
      <c r="WF284" s="12" t="s">
        <v>37</v>
      </c>
    </row>
    <row r="285" spans="1:604" ht="18" customHeight="1" x14ac:dyDescent="0.3">
      <c r="A285" s="11">
        <v>70</v>
      </c>
      <c r="B285" s="16" t="s">
        <v>399</v>
      </c>
      <c r="C285" s="12" t="s">
        <v>32</v>
      </c>
      <c r="D285" s="12" t="s">
        <v>54</v>
      </c>
      <c r="E285" s="40" t="s">
        <v>37</v>
      </c>
      <c r="F285" s="14">
        <v>0</v>
      </c>
      <c r="G285" s="14">
        <v>0</v>
      </c>
      <c r="H285" s="12" t="s">
        <v>91</v>
      </c>
      <c r="I285" s="29">
        <v>49.05</v>
      </c>
      <c r="J285" s="29">
        <v>-80.667000000000002</v>
      </c>
      <c r="K285" s="12" t="s">
        <v>778</v>
      </c>
      <c r="L285" s="12" t="s">
        <v>779</v>
      </c>
      <c r="M285" s="13" t="s">
        <v>37</v>
      </c>
      <c r="N285" s="14">
        <v>0.6</v>
      </c>
      <c r="O285" s="14">
        <v>885</v>
      </c>
      <c r="P285" s="14" t="s">
        <v>16</v>
      </c>
      <c r="Q285" s="75">
        <v>7</v>
      </c>
      <c r="R285" s="11" t="s">
        <v>1000</v>
      </c>
      <c r="S285" s="12" t="s">
        <v>85</v>
      </c>
      <c r="T285" s="12" t="s">
        <v>138</v>
      </c>
      <c r="U285" s="12" t="s">
        <v>334</v>
      </c>
      <c r="V285" s="12" t="s">
        <v>275</v>
      </c>
      <c r="W285" s="23" t="s">
        <v>402</v>
      </c>
      <c r="X285" s="12" t="s">
        <v>281</v>
      </c>
      <c r="Y285" s="12" t="s">
        <v>37</v>
      </c>
      <c r="Z285" s="12" t="s">
        <v>37</v>
      </c>
      <c r="AA285" s="32" t="s">
        <v>345</v>
      </c>
      <c r="AB285" s="12">
        <v>6.3</v>
      </c>
      <c r="AE285" s="12" t="s">
        <v>37</v>
      </c>
      <c r="AH285" s="12" t="s">
        <v>37</v>
      </c>
      <c r="AK285" s="12" t="s">
        <v>37</v>
      </c>
      <c r="AL285" s="32" t="s">
        <v>400</v>
      </c>
      <c r="AM285" s="12" t="s">
        <v>317</v>
      </c>
      <c r="AN285" s="32" t="s">
        <v>879</v>
      </c>
      <c r="AO285" s="12" t="s">
        <v>37</v>
      </c>
      <c r="AP285" s="12" t="s">
        <v>401</v>
      </c>
      <c r="AQ285" s="12" t="s">
        <v>975</v>
      </c>
      <c r="AT285" s="12" t="s">
        <v>326</v>
      </c>
      <c r="AU285" s="12" t="s">
        <v>326</v>
      </c>
      <c r="AV285" s="13" t="s">
        <v>326</v>
      </c>
      <c r="AX285" s="12" t="s">
        <v>326</v>
      </c>
      <c r="AY285" s="12" t="s">
        <v>326</v>
      </c>
      <c r="AZ285" s="13" t="s">
        <v>326</v>
      </c>
      <c r="BE285" s="12" t="s">
        <v>326</v>
      </c>
      <c r="BF285" s="12" t="s">
        <v>326</v>
      </c>
      <c r="BG285" s="12" t="s">
        <v>326</v>
      </c>
      <c r="BI285" s="12" t="s">
        <v>326</v>
      </c>
      <c r="BJ285" s="12" t="s">
        <v>326</v>
      </c>
      <c r="BK285" s="12" t="s">
        <v>326</v>
      </c>
      <c r="BP285" s="12" t="s">
        <v>37</v>
      </c>
      <c r="BQ285" s="12" t="s">
        <v>37</v>
      </c>
      <c r="BR285" s="13" t="s">
        <v>37</v>
      </c>
      <c r="BT285" s="12" t="s">
        <v>37</v>
      </c>
      <c r="BU285" s="12" t="s">
        <v>37</v>
      </c>
      <c r="BV285" s="12" t="s">
        <v>37</v>
      </c>
      <c r="CA285" s="12" t="s">
        <v>37</v>
      </c>
      <c r="CB285" s="12" t="s">
        <v>37</v>
      </c>
      <c r="CC285" s="13" t="s">
        <v>37</v>
      </c>
      <c r="CE285" s="12" t="s">
        <v>37</v>
      </c>
      <c r="CF285" s="12" t="s">
        <v>37</v>
      </c>
      <c r="CG285" s="12" t="s">
        <v>37</v>
      </c>
      <c r="CN285" s="12" t="s">
        <v>37</v>
      </c>
      <c r="CO285" s="12" t="s">
        <v>37</v>
      </c>
      <c r="CP285" s="13" t="s">
        <v>37</v>
      </c>
      <c r="CR285" s="12" t="s">
        <v>37</v>
      </c>
      <c r="CS285" s="12" t="s">
        <v>37</v>
      </c>
      <c r="CT285" s="13" t="s">
        <v>37</v>
      </c>
      <c r="CX285" s="72"/>
      <c r="CY285" s="72"/>
      <c r="DA285" s="12" t="s">
        <v>37</v>
      </c>
      <c r="DB285" s="12" t="s">
        <v>37</v>
      </c>
      <c r="DC285" s="13" t="s">
        <v>37</v>
      </c>
      <c r="DE285" s="12" t="s">
        <v>37</v>
      </c>
      <c r="DF285" s="12" t="s">
        <v>37</v>
      </c>
      <c r="DG285" s="12" t="s">
        <v>37</v>
      </c>
      <c r="DM285" s="12" t="s">
        <v>47</v>
      </c>
      <c r="DN285" s="19">
        <f>11.4*("1991/10/31"-"1991/5/1")*10^4/10^6/'[1]classes-1'!$I$28</f>
        <v>27.51778018763585</v>
      </c>
      <c r="DO285" s="12">
        <f>DO284</f>
        <v>12.137611972737048</v>
      </c>
      <c r="DP285" s="13">
        <v>6</v>
      </c>
      <c r="DQ285" s="19">
        <f t="shared" si="1237"/>
        <v>0.44108252518822932</v>
      </c>
      <c r="DR285" s="19">
        <f>-0.1*("1991/10/31"-"1991/5/1")*10^4/10^6/'[1]classes-1'!$I$30</f>
        <v>-5.3718567649972807E-2</v>
      </c>
      <c r="DS285" s="12">
        <f>SQRT((1/[2]Classes!$I$30)^2*(1*("1991/10/31"-"1991/5/1")*10^4/10^6)^2+(-DR285/([2]Classes!$I$30)^2)^2+([2]Classes!$J$30)^2)</f>
        <v>11.665364622891369</v>
      </c>
      <c r="DT285" s="13">
        <v>6</v>
      </c>
      <c r="DU285" s="19">
        <f t="shared" si="1238"/>
        <v>217.15703030099826</v>
      </c>
      <c r="DV285" s="19">
        <f t="shared" si="1211"/>
        <v>-27.571498755285823</v>
      </c>
      <c r="DW285" s="12">
        <f t="shared" si="1212"/>
        <v>11.90383039583762</v>
      </c>
      <c r="DX285" s="72">
        <f t="shared" si="1124"/>
        <v>47.233726030955872</v>
      </c>
      <c r="DY285" s="72">
        <f t="shared" si="1125"/>
        <v>47.233726030955879</v>
      </c>
      <c r="EA285" s="19" t="s">
        <v>37</v>
      </c>
      <c r="EB285" s="19" t="s">
        <v>37</v>
      </c>
      <c r="EC285" s="72" t="s">
        <v>37</v>
      </c>
      <c r="EE285" s="19" t="s">
        <v>37</v>
      </c>
      <c r="EF285" s="19" t="s">
        <v>37</v>
      </c>
      <c r="EG285" s="12" t="s">
        <v>37</v>
      </c>
      <c r="EM285" s="12" t="s">
        <v>39</v>
      </c>
      <c r="EN285" s="12">
        <v>-24.4</v>
      </c>
      <c r="EO285" s="50">
        <f t="shared" si="1241"/>
        <v>9.9429121295315568</v>
      </c>
      <c r="EP285" s="13">
        <v>1</v>
      </c>
      <c r="ER285" s="12">
        <v>-49.1</v>
      </c>
      <c r="ES285" s="50">
        <f t="shared" si="1242"/>
        <v>11.136570027301435</v>
      </c>
      <c r="ET285" s="13">
        <v>1</v>
      </c>
      <c r="EV285" s="19">
        <f t="shared" si="1233"/>
        <v>-24.700000000000003</v>
      </c>
      <c r="EW285" s="12" t="e">
        <f t="shared" si="1234"/>
        <v>#DIV/0!</v>
      </c>
      <c r="EX285" s="19" t="e">
        <f t="shared" si="1235"/>
        <v>#DIV/0!</v>
      </c>
      <c r="EY285" s="19">
        <f t="shared" si="1236"/>
        <v>222.88469358857444</v>
      </c>
      <c r="FB285" s="12" t="s">
        <v>37</v>
      </c>
      <c r="FC285" s="12" t="s">
        <v>37</v>
      </c>
      <c r="FD285" s="12" t="s">
        <v>37</v>
      </c>
      <c r="FE285" s="12" t="s">
        <v>37</v>
      </c>
      <c r="FF285" s="20" t="s">
        <v>37</v>
      </c>
      <c r="FG285" s="12" t="s">
        <v>37</v>
      </c>
      <c r="FI285" s="12" t="s">
        <v>37</v>
      </c>
      <c r="FJ285" s="12" t="s">
        <v>37</v>
      </c>
      <c r="FK285" s="12" t="s">
        <v>37</v>
      </c>
      <c r="FL285" s="12" t="s">
        <v>37</v>
      </c>
      <c r="FM285" s="12" t="s">
        <v>37</v>
      </c>
      <c r="FN285" s="12" t="s">
        <v>37</v>
      </c>
      <c r="FP285" s="12" t="s">
        <v>37</v>
      </c>
      <c r="FQ285" s="12" t="s">
        <v>37</v>
      </c>
      <c r="FR285" s="12" t="s">
        <v>37</v>
      </c>
      <c r="FS285" s="12" t="s">
        <v>37</v>
      </c>
      <c r="FT285" s="12" t="s">
        <v>37</v>
      </c>
      <c r="FU285" s="12" t="s">
        <v>37</v>
      </c>
      <c r="FW285" s="12" t="s">
        <v>37</v>
      </c>
      <c r="FX285" s="12" t="s">
        <v>37</v>
      </c>
      <c r="FY285" s="12" t="s">
        <v>37</v>
      </c>
      <c r="FZ285" s="12" t="s">
        <v>37</v>
      </c>
      <c r="GA285" s="12" t="s">
        <v>37</v>
      </c>
      <c r="GB285" s="12" t="s">
        <v>37</v>
      </c>
      <c r="GO285" s="12" t="s">
        <v>660</v>
      </c>
      <c r="GP285" s="12" t="s">
        <v>372</v>
      </c>
      <c r="GQ285" s="12">
        <v>13.9</v>
      </c>
      <c r="GR285" s="50">
        <f t="shared" si="1243"/>
        <v>1.3278608498174032</v>
      </c>
      <c r="GS285" s="13">
        <v>1</v>
      </c>
      <c r="GU285" s="12">
        <v>12.8</v>
      </c>
      <c r="GV285" s="50">
        <f t="shared" si="1244"/>
        <v>1.3623831334967897</v>
      </c>
      <c r="GW285" s="13">
        <v>1</v>
      </c>
      <c r="GY285" s="19">
        <f t="shared" si="1245"/>
        <v>-8.2443669211074544E-2</v>
      </c>
      <c r="GZ285" s="19">
        <f t="shared" si="1246"/>
        <v>2.0454557267488193E-2</v>
      </c>
      <c r="IK285" s="12" t="s">
        <v>37</v>
      </c>
      <c r="IL285" s="12" t="s">
        <v>37</v>
      </c>
      <c r="IM285" s="12" t="s">
        <v>37</v>
      </c>
      <c r="IO285" s="12" t="s">
        <v>37</v>
      </c>
      <c r="IP285" s="12" t="s">
        <v>37</v>
      </c>
      <c r="IQ285" s="12" t="s">
        <v>37</v>
      </c>
      <c r="IV285" s="32" t="s">
        <v>345</v>
      </c>
      <c r="IW285" s="12">
        <v>6.3</v>
      </c>
      <c r="IX285" s="12">
        <v>0.3</v>
      </c>
      <c r="IY285" s="13">
        <v>6</v>
      </c>
      <c r="IZ285" s="19">
        <f t="shared" si="1247"/>
        <v>4.7619047619047616E-2</v>
      </c>
      <c r="JA285" s="13"/>
      <c r="JB285" s="13"/>
      <c r="JH285" s="12" t="s">
        <v>37</v>
      </c>
      <c r="JI285" s="12" t="s">
        <v>37</v>
      </c>
      <c r="JJ285" s="13" t="s">
        <v>37</v>
      </c>
      <c r="JL285" s="12" t="s">
        <v>37</v>
      </c>
      <c r="JM285" s="12" t="s">
        <v>37</v>
      </c>
      <c r="JN285" s="12" t="s">
        <v>37</v>
      </c>
      <c r="JS285" s="12" t="s">
        <v>37</v>
      </c>
      <c r="JT285" s="12" t="s">
        <v>37</v>
      </c>
      <c r="JU285" s="13" t="s">
        <v>37</v>
      </c>
      <c r="JW285" s="12" t="s">
        <v>37</v>
      </c>
      <c r="JX285" s="12" t="s">
        <v>37</v>
      </c>
      <c r="JY285" s="12" t="s">
        <v>37</v>
      </c>
      <c r="KE285" s="12" t="s">
        <v>37</v>
      </c>
      <c r="KF285" s="12" t="s">
        <v>37</v>
      </c>
      <c r="KG285" s="13" t="s">
        <v>37</v>
      </c>
      <c r="KH285" s="12" t="s">
        <v>37</v>
      </c>
      <c r="KI285" s="12" t="s">
        <v>37</v>
      </c>
      <c r="KJ285" s="12" t="s">
        <v>37</v>
      </c>
      <c r="KM285" s="12" t="s">
        <v>37</v>
      </c>
      <c r="KN285" s="12" t="s">
        <v>37</v>
      </c>
      <c r="KO285" s="11" t="s">
        <v>37</v>
      </c>
      <c r="KQ285" s="12" t="s">
        <v>37</v>
      </c>
      <c r="KR285" s="12" t="s">
        <v>37</v>
      </c>
      <c r="KS285" s="12" t="s">
        <v>37</v>
      </c>
      <c r="KX285" s="12" t="s">
        <v>37</v>
      </c>
      <c r="KY285" s="12" t="s">
        <v>37</v>
      </c>
      <c r="KZ285" s="12" t="s">
        <v>37</v>
      </c>
      <c r="LB285" s="12" t="s">
        <v>37</v>
      </c>
      <c r="LC285" s="12" t="s">
        <v>37</v>
      </c>
      <c r="LD285" s="12" t="s">
        <v>37</v>
      </c>
      <c r="LI285" s="12" t="s">
        <v>37</v>
      </c>
      <c r="LJ285" s="12" t="s">
        <v>37</v>
      </c>
      <c r="LK285" s="12" t="s">
        <v>37</v>
      </c>
      <c r="LM285" s="12" t="s">
        <v>37</v>
      </c>
      <c r="LN285" s="12" t="s">
        <v>37</v>
      </c>
      <c r="LO285" s="12" t="s">
        <v>37</v>
      </c>
      <c r="LU285" s="12" t="s">
        <v>37</v>
      </c>
      <c r="LV285" s="12" t="s">
        <v>37</v>
      </c>
      <c r="LW285" s="12" t="s">
        <v>37</v>
      </c>
      <c r="LY285" s="12" t="s">
        <v>37</v>
      </c>
      <c r="LZ285" s="12" t="s">
        <v>37</v>
      </c>
      <c r="MA285" s="12" t="s">
        <v>37</v>
      </c>
      <c r="MF285" s="12" t="s">
        <v>37</v>
      </c>
      <c r="MG285" s="12" t="s">
        <v>37</v>
      </c>
      <c r="MH285" s="12" t="s">
        <v>37</v>
      </c>
      <c r="MJ285" s="12" t="s">
        <v>37</v>
      </c>
      <c r="MK285" s="12" t="s">
        <v>37</v>
      </c>
      <c r="ML285" s="12" t="s">
        <v>37</v>
      </c>
      <c r="MQ285" s="12" t="s">
        <v>37</v>
      </c>
      <c r="MR285" s="12" t="s">
        <v>37</v>
      </c>
      <c r="MS285" s="12" t="s">
        <v>37</v>
      </c>
      <c r="MU285" s="12" t="s">
        <v>37</v>
      </c>
      <c r="MV285" s="12" t="s">
        <v>37</v>
      </c>
      <c r="MW285" s="12" t="s">
        <v>37</v>
      </c>
      <c r="NC285" s="12" t="s">
        <v>37</v>
      </c>
      <c r="ND285" s="12" t="s">
        <v>37</v>
      </c>
      <c r="NE285" s="12" t="s">
        <v>37</v>
      </c>
      <c r="NG285" s="12" t="s">
        <v>37</v>
      </c>
      <c r="NH285" s="12" t="s">
        <v>37</v>
      </c>
      <c r="NI285" s="12" t="s">
        <v>37</v>
      </c>
      <c r="NO285" s="12" t="s">
        <v>37</v>
      </c>
      <c r="NP285" s="12" t="s">
        <v>37</v>
      </c>
      <c r="NQ285" s="12" t="s">
        <v>37</v>
      </c>
      <c r="NS285" s="12" t="s">
        <v>37</v>
      </c>
      <c r="NT285" s="12" t="s">
        <v>37</v>
      </c>
      <c r="NU285" s="12" t="s">
        <v>37</v>
      </c>
      <c r="OA285" s="12" t="s">
        <v>37</v>
      </c>
      <c r="OB285" s="12" t="s">
        <v>37</v>
      </c>
      <c r="OC285" s="12" t="s">
        <v>37</v>
      </c>
      <c r="OD285" s="12"/>
      <c r="OE285" s="12" t="s">
        <v>37</v>
      </c>
      <c r="OF285" s="12" t="s">
        <v>37</v>
      </c>
      <c r="OG285" s="12" t="s">
        <v>37</v>
      </c>
      <c r="OH285" s="12"/>
      <c r="OI285" s="12"/>
      <c r="OJ285" s="12"/>
      <c r="OM285" s="12" t="s">
        <v>37</v>
      </c>
      <c r="ON285" s="12" t="s">
        <v>37</v>
      </c>
      <c r="OO285" s="12" t="s">
        <v>37</v>
      </c>
      <c r="OP285" s="12" t="s">
        <v>37</v>
      </c>
      <c r="OQ285" s="12" t="s">
        <v>37</v>
      </c>
      <c r="OR285" s="12" t="s">
        <v>37</v>
      </c>
      <c r="OS285" s="12"/>
      <c r="OT285" s="12"/>
      <c r="OW285" s="12" t="s">
        <v>37</v>
      </c>
      <c r="OX285" s="12" t="s">
        <v>37</v>
      </c>
      <c r="OY285" s="13" t="s">
        <v>37</v>
      </c>
      <c r="OZ285" s="12" t="s">
        <v>37</v>
      </c>
      <c r="PA285" s="12" t="s">
        <v>37</v>
      </c>
      <c r="PB285" s="13" t="s">
        <v>37</v>
      </c>
      <c r="PG285" s="12" t="s">
        <v>37</v>
      </c>
      <c r="PH285" s="12" t="s">
        <v>37</v>
      </c>
      <c r="PI285" s="12" t="s">
        <v>37</v>
      </c>
      <c r="PJ285" s="12" t="s">
        <v>37</v>
      </c>
      <c r="PK285" s="12" t="s">
        <v>37</v>
      </c>
      <c r="PL285" s="12" t="s">
        <v>37</v>
      </c>
      <c r="PM285" s="12"/>
      <c r="PN285" s="12"/>
      <c r="PQ285" s="12" t="s">
        <v>37</v>
      </c>
      <c r="PR285" s="12" t="s">
        <v>37</v>
      </c>
      <c r="PS285" s="12" t="s">
        <v>37</v>
      </c>
      <c r="PT285" s="12" t="s">
        <v>37</v>
      </c>
      <c r="PU285" s="12" t="s">
        <v>37</v>
      </c>
      <c r="PV285" s="12" t="s">
        <v>37</v>
      </c>
      <c r="PW285" s="12"/>
      <c r="PX285" s="12"/>
      <c r="PZ285" s="12" t="s">
        <v>37</v>
      </c>
      <c r="QA285" s="12" t="s">
        <v>37</v>
      </c>
      <c r="QB285" s="12" t="s">
        <v>37</v>
      </c>
      <c r="QD285" s="12" t="s">
        <v>37</v>
      </c>
      <c r="QE285" s="12" t="s">
        <v>37</v>
      </c>
      <c r="QF285" s="12" t="s">
        <v>37</v>
      </c>
      <c r="QK285" s="12" t="s">
        <v>37</v>
      </c>
      <c r="QL285" s="12" t="s">
        <v>37</v>
      </c>
      <c r="QM285" s="12" t="s">
        <v>37</v>
      </c>
      <c r="QN285" s="12" t="s">
        <v>37</v>
      </c>
      <c r="QO285" s="12" t="s">
        <v>37</v>
      </c>
      <c r="QP285" s="12" t="s">
        <v>37</v>
      </c>
      <c r="QQ285" s="12"/>
      <c r="QR285" s="12"/>
      <c r="QU285" s="12" t="s">
        <v>37</v>
      </c>
      <c r="QV285" s="12" t="s">
        <v>37</v>
      </c>
      <c r="QW285" s="12" t="s">
        <v>37</v>
      </c>
      <c r="QX285" s="12" t="s">
        <v>37</v>
      </c>
      <c r="QY285" s="12" t="s">
        <v>37</v>
      </c>
      <c r="QZ285" s="12" t="s">
        <v>37</v>
      </c>
      <c r="RC285" s="12" t="s">
        <v>37</v>
      </c>
      <c r="RD285" s="12" t="s">
        <v>37</v>
      </c>
      <c r="RE285" s="13" t="s">
        <v>37</v>
      </c>
      <c r="RF285" s="12" t="s">
        <v>37</v>
      </c>
      <c r="RG285" s="12" t="s">
        <v>37</v>
      </c>
      <c r="RH285" s="13" t="s">
        <v>37</v>
      </c>
      <c r="RK285" s="12" t="s">
        <v>37</v>
      </c>
      <c r="RL285" s="12" t="s">
        <v>37</v>
      </c>
      <c r="RM285" s="11" t="s">
        <v>37</v>
      </c>
      <c r="RN285" s="12" t="s">
        <v>37</v>
      </c>
      <c r="RO285" s="12" t="s">
        <v>37</v>
      </c>
      <c r="RP285" s="11" t="s">
        <v>37</v>
      </c>
      <c r="RS285" s="12" t="s">
        <v>37</v>
      </c>
      <c r="RT285" s="12" t="s">
        <v>37</v>
      </c>
      <c r="RU285" s="12" t="s">
        <v>37</v>
      </c>
      <c r="RV285" s="12" t="s">
        <v>37</v>
      </c>
      <c r="RW285" s="12" t="s">
        <v>37</v>
      </c>
      <c r="RX285" s="12" t="s">
        <v>37</v>
      </c>
      <c r="SA285" s="12" t="s">
        <v>37</v>
      </c>
      <c r="SB285" s="12" t="s">
        <v>37</v>
      </c>
      <c r="SC285" s="12" t="s">
        <v>37</v>
      </c>
      <c r="SD285" s="12" t="s">
        <v>37</v>
      </c>
      <c r="SE285" s="12" t="s">
        <v>37</v>
      </c>
      <c r="SF285" s="12" t="s">
        <v>37</v>
      </c>
      <c r="SI285" s="12" t="s">
        <v>37</v>
      </c>
      <c r="SJ285" s="12" t="s">
        <v>37</v>
      </c>
      <c r="SK285" s="13" t="s">
        <v>37</v>
      </c>
      <c r="SM285" s="12" t="s">
        <v>37</v>
      </c>
      <c r="SN285" s="12" t="s">
        <v>37</v>
      </c>
      <c r="SO285" s="13" t="s">
        <v>37</v>
      </c>
      <c r="SU285" s="12" t="s">
        <v>37</v>
      </c>
      <c r="SV285" s="12" t="s">
        <v>37</v>
      </c>
      <c r="SW285" s="12" t="s">
        <v>37</v>
      </c>
      <c r="SX285" s="12" t="s">
        <v>37</v>
      </c>
      <c r="SY285" s="12" t="s">
        <v>37</v>
      </c>
      <c r="SZ285" s="12" t="s">
        <v>37</v>
      </c>
      <c r="TA285" s="12"/>
      <c r="TB285" s="12"/>
      <c r="TE285" s="12" t="s">
        <v>37</v>
      </c>
      <c r="TF285" s="12" t="s">
        <v>37</v>
      </c>
      <c r="TG285" s="12" t="s">
        <v>37</v>
      </c>
      <c r="TH285" s="12" t="s">
        <v>37</v>
      </c>
      <c r="TI285" s="12" t="s">
        <v>37</v>
      </c>
      <c r="TJ285" s="12" t="s">
        <v>37</v>
      </c>
      <c r="TK285" s="12"/>
      <c r="TL285" s="12"/>
      <c r="TO285" s="12" t="s">
        <v>37</v>
      </c>
      <c r="TP285" s="12" t="s">
        <v>37</v>
      </c>
      <c r="TQ285" s="12" t="s">
        <v>37</v>
      </c>
      <c r="TR285" s="12" t="s">
        <v>37</v>
      </c>
      <c r="TS285" s="12" t="s">
        <v>37</v>
      </c>
      <c r="TT285" s="12" t="s">
        <v>37</v>
      </c>
      <c r="TU285" s="12"/>
      <c r="TV285" s="12"/>
      <c r="TY285" s="12" t="s">
        <v>37</v>
      </c>
      <c r="TZ285" s="12" t="s">
        <v>37</v>
      </c>
      <c r="UA285" s="12" t="s">
        <v>37</v>
      </c>
      <c r="UB285" s="12" t="s">
        <v>37</v>
      </c>
      <c r="UC285" s="12" t="s">
        <v>37</v>
      </c>
      <c r="UD285" s="12" t="s">
        <v>37</v>
      </c>
      <c r="UE285" s="12"/>
      <c r="UF285" s="12"/>
      <c r="UI285" s="12" t="s">
        <v>37</v>
      </c>
      <c r="UJ285" s="12" t="s">
        <v>37</v>
      </c>
      <c r="UK285" s="12" t="s">
        <v>37</v>
      </c>
      <c r="UL285" s="12" t="s">
        <v>37</v>
      </c>
      <c r="UM285" s="12" t="s">
        <v>37</v>
      </c>
      <c r="UN285" s="12" t="s">
        <v>37</v>
      </c>
      <c r="UO285" s="12"/>
      <c r="UP285" s="12"/>
      <c r="UR285" s="12" t="s">
        <v>37</v>
      </c>
      <c r="US285" s="12" t="s">
        <v>37</v>
      </c>
      <c r="UT285" s="12" t="s">
        <v>37</v>
      </c>
      <c r="UU285" s="12" t="s">
        <v>37</v>
      </c>
      <c r="UV285" s="12" t="s">
        <v>37</v>
      </c>
      <c r="UW285" s="12" t="s">
        <v>37</v>
      </c>
      <c r="UX285" s="12"/>
      <c r="UY285" s="12"/>
      <c r="VB285" s="12" t="s">
        <v>37</v>
      </c>
      <c r="VC285" s="12" t="s">
        <v>37</v>
      </c>
      <c r="VD285" s="12" t="s">
        <v>37</v>
      </c>
      <c r="VE285" s="12" t="s">
        <v>37</v>
      </c>
      <c r="VF285" s="12" t="s">
        <v>37</v>
      </c>
      <c r="VG285" s="12" t="s">
        <v>37</v>
      </c>
      <c r="VI285" s="12" t="s">
        <v>37</v>
      </c>
      <c r="VJ285" s="12" t="s">
        <v>37</v>
      </c>
      <c r="VK285" s="12" t="s">
        <v>37</v>
      </c>
      <c r="VL285" s="12" t="s">
        <v>37</v>
      </c>
      <c r="VM285" s="12" t="s">
        <v>37</v>
      </c>
      <c r="VN285" s="12" t="s">
        <v>37</v>
      </c>
      <c r="VQ285" s="12" t="s">
        <v>37</v>
      </c>
      <c r="VR285" s="12" t="s">
        <v>37</v>
      </c>
      <c r="VS285" s="12" t="s">
        <v>37</v>
      </c>
      <c r="VT285" s="12" t="s">
        <v>37</v>
      </c>
      <c r="VU285" s="12" t="s">
        <v>37</v>
      </c>
      <c r="VV285" s="12" t="s">
        <v>37</v>
      </c>
      <c r="VW285" s="12"/>
      <c r="VX285" s="12"/>
      <c r="WA285" s="12" t="s">
        <v>37</v>
      </c>
      <c r="WB285" s="12" t="s">
        <v>37</v>
      </c>
      <c r="WC285" s="12" t="s">
        <v>37</v>
      </c>
      <c r="WD285" s="12" t="s">
        <v>37</v>
      </c>
      <c r="WE285" s="12" t="s">
        <v>37</v>
      </c>
      <c r="WF285" s="12" t="s">
        <v>37</v>
      </c>
    </row>
    <row r="286" spans="1:604" ht="18" customHeight="1" x14ac:dyDescent="0.3">
      <c r="A286" s="11">
        <v>70</v>
      </c>
      <c r="B286" s="16" t="s">
        <v>399</v>
      </c>
      <c r="C286" s="12" t="s">
        <v>864</v>
      </c>
      <c r="D286" s="12" t="s">
        <v>54</v>
      </c>
      <c r="E286" s="40" t="s">
        <v>37</v>
      </c>
      <c r="F286" s="14">
        <v>0</v>
      </c>
      <c r="G286" s="14">
        <v>0</v>
      </c>
      <c r="H286" s="12" t="s">
        <v>91</v>
      </c>
      <c r="I286" s="29">
        <v>49.05</v>
      </c>
      <c r="J286" s="29">
        <v>-80.667000000000002</v>
      </c>
      <c r="K286" s="12" t="s">
        <v>778</v>
      </c>
      <c r="L286" s="12" t="s">
        <v>779</v>
      </c>
      <c r="M286" s="13" t="s">
        <v>37</v>
      </c>
      <c r="N286" s="14">
        <v>0.6</v>
      </c>
      <c r="O286" s="14">
        <v>885</v>
      </c>
      <c r="P286" s="14" t="s">
        <v>16</v>
      </c>
      <c r="Q286" s="75">
        <v>7</v>
      </c>
      <c r="R286" s="11" t="s">
        <v>999</v>
      </c>
      <c r="S286" s="12" t="s">
        <v>85</v>
      </c>
      <c r="T286" s="12" t="s">
        <v>138</v>
      </c>
      <c r="U286" s="12" t="s">
        <v>334</v>
      </c>
      <c r="V286" s="12" t="s">
        <v>275</v>
      </c>
      <c r="W286" s="23" t="s">
        <v>402</v>
      </c>
      <c r="X286" s="12" t="s">
        <v>281</v>
      </c>
      <c r="Y286" s="12" t="s">
        <v>37</v>
      </c>
      <c r="Z286" s="12" t="s">
        <v>37</v>
      </c>
      <c r="AA286" s="32" t="s">
        <v>345</v>
      </c>
      <c r="AB286" s="12">
        <v>6.3</v>
      </c>
      <c r="AE286" s="12" t="s">
        <v>37</v>
      </c>
      <c r="AH286" s="12" t="s">
        <v>37</v>
      </c>
      <c r="AK286" s="12" t="s">
        <v>37</v>
      </c>
      <c r="AL286" s="32" t="s">
        <v>400</v>
      </c>
      <c r="AM286" s="12" t="s">
        <v>317</v>
      </c>
      <c r="AN286" s="32" t="s">
        <v>879</v>
      </c>
      <c r="AO286" s="12" t="s">
        <v>37</v>
      </c>
      <c r="AP286" s="12" t="s">
        <v>401</v>
      </c>
      <c r="AQ286" s="12" t="s">
        <v>975</v>
      </c>
      <c r="AT286" s="12" t="s">
        <v>326</v>
      </c>
      <c r="AU286" s="12" t="s">
        <v>326</v>
      </c>
      <c r="AV286" s="13" t="s">
        <v>326</v>
      </c>
      <c r="AX286" s="12" t="s">
        <v>326</v>
      </c>
      <c r="AY286" s="12" t="s">
        <v>326</v>
      </c>
      <c r="AZ286" s="13" t="s">
        <v>326</v>
      </c>
      <c r="BE286" s="12" t="s">
        <v>326</v>
      </c>
      <c r="BF286" s="12" t="s">
        <v>326</v>
      </c>
      <c r="BG286" s="12" t="s">
        <v>326</v>
      </c>
      <c r="BI286" s="12" t="s">
        <v>326</v>
      </c>
      <c r="BJ286" s="12" t="s">
        <v>326</v>
      </c>
      <c r="BK286" s="12" t="s">
        <v>326</v>
      </c>
      <c r="BP286" s="12" t="s">
        <v>37</v>
      </c>
      <c r="BQ286" s="12" t="s">
        <v>37</v>
      </c>
      <c r="BR286" s="13" t="s">
        <v>37</v>
      </c>
      <c r="BT286" s="12" t="s">
        <v>37</v>
      </c>
      <c r="BU286" s="12" t="s">
        <v>37</v>
      </c>
      <c r="BV286" s="12" t="s">
        <v>37</v>
      </c>
      <c r="CA286" s="12" t="s">
        <v>37</v>
      </c>
      <c r="CB286" s="12" t="s">
        <v>37</v>
      </c>
      <c r="CC286" s="13" t="s">
        <v>37</v>
      </c>
      <c r="CE286" s="12" t="s">
        <v>37</v>
      </c>
      <c r="CF286" s="12" t="s">
        <v>37</v>
      </c>
      <c r="CG286" s="12" t="s">
        <v>37</v>
      </c>
      <c r="CN286" s="12" t="s">
        <v>37</v>
      </c>
      <c r="CO286" s="12" t="s">
        <v>37</v>
      </c>
      <c r="CP286" s="13" t="s">
        <v>37</v>
      </c>
      <c r="CR286" s="12" t="s">
        <v>37</v>
      </c>
      <c r="CS286" s="12" t="s">
        <v>37</v>
      </c>
      <c r="CT286" s="13" t="s">
        <v>37</v>
      </c>
      <c r="CX286" s="72"/>
      <c r="CY286" s="72"/>
      <c r="DA286" s="12" t="s">
        <v>37</v>
      </c>
      <c r="DB286" s="12" t="s">
        <v>37</v>
      </c>
      <c r="DC286" s="13" t="s">
        <v>37</v>
      </c>
      <c r="DE286" s="12" t="s">
        <v>37</v>
      </c>
      <c r="DF286" s="12" t="s">
        <v>37</v>
      </c>
      <c r="DG286" s="12" t="s">
        <v>37</v>
      </c>
      <c r="DM286" s="12" t="s">
        <v>47</v>
      </c>
      <c r="DN286" s="19">
        <f>11.4*("1991/10/31"-"1991/5/1")*10^4/10^6/'[1]classes-1'!$I$28</f>
        <v>27.51778018763585</v>
      </c>
      <c r="DO286" s="12">
        <f t="shared" ref="DO286:DO287" si="1249">DO285</f>
        <v>12.137611972737048</v>
      </c>
      <c r="DP286" s="13">
        <v>6</v>
      </c>
      <c r="DQ286" s="19">
        <f t="shared" si="1237"/>
        <v>0.44108252518822932</v>
      </c>
      <c r="DR286" s="19">
        <f>0.1*("1991/10/31"-"1991/5/1")*10^4/10^6/'[1]classes-1'!$I$30</f>
        <v>5.3718567649972807E-2</v>
      </c>
      <c r="DS286" s="12">
        <f>SQRT((1/[2]Classes!$I$30)^2+(0.8*("1991/10/31"-"1991/5/1")*10^4/10^6)^2+(-DR286/([2]Classes!$I$30)^2)^2*([2]Classes!$J$30)^2)</f>
        <v>1.4941129876440691</v>
      </c>
      <c r="DT286" s="13">
        <v>6</v>
      </c>
      <c r="DU286" s="19">
        <f t="shared" si="1238"/>
        <v>27.813716057725628</v>
      </c>
      <c r="DV286" s="19">
        <f t="shared" si="1211"/>
        <v>-27.464061619985877</v>
      </c>
      <c r="DW286" s="12">
        <f t="shared" si="1212"/>
        <v>8.6473694850103531</v>
      </c>
      <c r="DX286" s="72">
        <f t="shared" si="1124"/>
        <v>24.925666336762738</v>
      </c>
      <c r="DY286" s="72">
        <f t="shared" si="1125"/>
        <v>24.925666336762738</v>
      </c>
      <c r="EA286" s="19" t="s">
        <v>37</v>
      </c>
      <c r="EB286" s="19" t="s">
        <v>37</v>
      </c>
      <c r="EC286" s="72" t="s">
        <v>37</v>
      </c>
      <c r="EE286" s="19" t="s">
        <v>37</v>
      </c>
      <c r="EF286" s="19" t="s">
        <v>37</v>
      </c>
      <c r="EG286" s="12" t="s">
        <v>37</v>
      </c>
      <c r="EM286" s="12" t="s">
        <v>39</v>
      </c>
      <c r="EN286" s="12">
        <v>-24.4</v>
      </c>
      <c r="EO286" s="50">
        <f t="shared" si="1241"/>
        <v>9.9429121295315568</v>
      </c>
      <c r="EP286" s="13">
        <v>1</v>
      </c>
      <c r="ER286" s="12">
        <v>-63.8</v>
      </c>
      <c r="ES286" s="50">
        <f t="shared" si="1242"/>
        <v>14.470736613886588</v>
      </c>
      <c r="ET286" s="13">
        <v>1</v>
      </c>
      <c r="EV286" s="19">
        <f t="shared" si="1233"/>
        <v>-39.4</v>
      </c>
      <c r="EW286" s="12" t="e">
        <f t="shared" si="1234"/>
        <v>#DIV/0!</v>
      </c>
      <c r="EX286" s="19" t="e">
        <f t="shared" si="1235"/>
        <v>#DIV/0!</v>
      </c>
      <c r="EY286" s="19">
        <f t="shared" si="1236"/>
        <v>308.26371976406364</v>
      </c>
      <c r="FB286" s="12" t="s">
        <v>37</v>
      </c>
      <c r="FC286" s="12" t="s">
        <v>37</v>
      </c>
      <c r="FD286" s="12" t="s">
        <v>37</v>
      </c>
      <c r="FE286" s="12" t="s">
        <v>37</v>
      </c>
      <c r="FF286" s="20" t="s">
        <v>37</v>
      </c>
      <c r="FG286" s="12" t="s">
        <v>37</v>
      </c>
      <c r="FI286" s="12" t="s">
        <v>37</v>
      </c>
      <c r="FJ286" s="12" t="s">
        <v>37</v>
      </c>
      <c r="FK286" s="12" t="s">
        <v>37</v>
      </c>
      <c r="FL286" s="12" t="s">
        <v>37</v>
      </c>
      <c r="FM286" s="12" t="s">
        <v>37</v>
      </c>
      <c r="FN286" s="12" t="s">
        <v>37</v>
      </c>
      <c r="FP286" s="12" t="s">
        <v>37</v>
      </c>
      <c r="FQ286" s="12" t="s">
        <v>37</v>
      </c>
      <c r="FR286" s="12" t="s">
        <v>37</v>
      </c>
      <c r="FS286" s="12" t="s">
        <v>37</v>
      </c>
      <c r="FT286" s="12" t="s">
        <v>37</v>
      </c>
      <c r="FU286" s="12" t="s">
        <v>37</v>
      </c>
      <c r="FW286" s="12" t="s">
        <v>37</v>
      </c>
      <c r="FX286" s="12" t="s">
        <v>37</v>
      </c>
      <c r="FY286" s="12" t="s">
        <v>37</v>
      </c>
      <c r="FZ286" s="12" t="s">
        <v>37</v>
      </c>
      <c r="GA286" s="12" t="s">
        <v>37</v>
      </c>
      <c r="GB286" s="12" t="s">
        <v>37</v>
      </c>
      <c r="GO286" s="12" t="s">
        <v>660</v>
      </c>
      <c r="GP286" s="12" t="s">
        <v>372</v>
      </c>
      <c r="GQ286" s="12">
        <v>13.9</v>
      </c>
      <c r="GR286" s="50">
        <f t="shared" si="1243"/>
        <v>1.3278608498174032</v>
      </c>
      <c r="GS286" s="13">
        <v>1</v>
      </c>
      <c r="GU286" s="12">
        <v>12.2</v>
      </c>
      <c r="GV286" s="50">
        <f t="shared" si="1244"/>
        <v>1.2985214241141276</v>
      </c>
      <c r="GW286" s="13">
        <v>1</v>
      </c>
      <c r="GY286" s="19">
        <f t="shared" si="1245"/>
        <v>-0.13045288839743535</v>
      </c>
      <c r="GZ286" s="19">
        <f t="shared" si="1246"/>
        <v>2.0454557267488196E-2</v>
      </c>
      <c r="IK286" s="12" t="s">
        <v>37</v>
      </c>
      <c r="IL286" s="12" t="s">
        <v>37</v>
      </c>
      <c r="IM286" s="12" t="s">
        <v>37</v>
      </c>
      <c r="IO286" s="12" t="s">
        <v>37</v>
      </c>
      <c r="IP286" s="12" t="s">
        <v>37</v>
      </c>
      <c r="IQ286" s="12" t="s">
        <v>37</v>
      </c>
      <c r="IV286" s="32" t="s">
        <v>345</v>
      </c>
      <c r="IW286" s="12">
        <v>6.3</v>
      </c>
      <c r="IX286" s="12">
        <v>0.3</v>
      </c>
      <c r="IY286" s="13">
        <v>6</v>
      </c>
      <c r="IZ286" s="19">
        <f t="shared" si="1247"/>
        <v>4.7619047619047616E-2</v>
      </c>
      <c r="JA286" s="13"/>
      <c r="JB286" s="13"/>
      <c r="JH286" s="12" t="s">
        <v>37</v>
      </c>
      <c r="JI286" s="12" t="s">
        <v>37</v>
      </c>
      <c r="JJ286" s="13" t="s">
        <v>37</v>
      </c>
      <c r="JL286" s="12" t="s">
        <v>37</v>
      </c>
      <c r="JM286" s="12" t="s">
        <v>37</v>
      </c>
      <c r="JN286" s="12" t="s">
        <v>37</v>
      </c>
      <c r="JS286" s="12" t="s">
        <v>37</v>
      </c>
      <c r="JT286" s="12" t="s">
        <v>37</v>
      </c>
      <c r="JU286" s="13" t="s">
        <v>37</v>
      </c>
      <c r="JW286" s="12" t="s">
        <v>37</v>
      </c>
      <c r="JX286" s="12" t="s">
        <v>37</v>
      </c>
      <c r="JY286" s="12" t="s">
        <v>37</v>
      </c>
      <c r="KE286" s="12" t="s">
        <v>37</v>
      </c>
      <c r="KF286" s="12" t="s">
        <v>37</v>
      </c>
      <c r="KG286" s="13" t="s">
        <v>37</v>
      </c>
      <c r="KH286" s="12" t="s">
        <v>37</v>
      </c>
      <c r="KI286" s="12" t="s">
        <v>37</v>
      </c>
      <c r="KJ286" s="12" t="s">
        <v>37</v>
      </c>
      <c r="KM286" s="12" t="s">
        <v>37</v>
      </c>
      <c r="KN286" s="12" t="s">
        <v>37</v>
      </c>
      <c r="KO286" s="11" t="s">
        <v>37</v>
      </c>
      <c r="KQ286" s="12" t="s">
        <v>37</v>
      </c>
      <c r="KR286" s="12" t="s">
        <v>37</v>
      </c>
      <c r="KS286" s="12" t="s">
        <v>37</v>
      </c>
      <c r="KX286" s="12" t="s">
        <v>37</v>
      </c>
      <c r="KY286" s="12" t="s">
        <v>37</v>
      </c>
      <c r="KZ286" s="12" t="s">
        <v>37</v>
      </c>
      <c r="LB286" s="12" t="s">
        <v>37</v>
      </c>
      <c r="LC286" s="12" t="s">
        <v>37</v>
      </c>
      <c r="LD286" s="12" t="s">
        <v>37</v>
      </c>
      <c r="LI286" s="12" t="s">
        <v>37</v>
      </c>
      <c r="LJ286" s="12" t="s">
        <v>37</v>
      </c>
      <c r="LK286" s="12" t="s">
        <v>37</v>
      </c>
      <c r="LM286" s="12" t="s">
        <v>37</v>
      </c>
      <c r="LN286" s="12" t="s">
        <v>37</v>
      </c>
      <c r="LO286" s="12" t="s">
        <v>37</v>
      </c>
      <c r="LU286" s="12" t="s">
        <v>37</v>
      </c>
      <c r="LV286" s="12" t="s">
        <v>37</v>
      </c>
      <c r="LW286" s="12" t="s">
        <v>37</v>
      </c>
      <c r="LY286" s="12" t="s">
        <v>37</v>
      </c>
      <c r="LZ286" s="12" t="s">
        <v>37</v>
      </c>
      <c r="MA286" s="12" t="s">
        <v>37</v>
      </c>
      <c r="MF286" s="12" t="s">
        <v>37</v>
      </c>
      <c r="MG286" s="12" t="s">
        <v>37</v>
      </c>
      <c r="MH286" s="12" t="s">
        <v>37</v>
      </c>
      <c r="MJ286" s="12" t="s">
        <v>37</v>
      </c>
      <c r="MK286" s="12" t="s">
        <v>37</v>
      </c>
      <c r="ML286" s="12" t="s">
        <v>37</v>
      </c>
      <c r="MQ286" s="12" t="s">
        <v>37</v>
      </c>
      <c r="MR286" s="12" t="s">
        <v>37</v>
      </c>
      <c r="MS286" s="12" t="s">
        <v>37</v>
      </c>
      <c r="MU286" s="12" t="s">
        <v>37</v>
      </c>
      <c r="MV286" s="12" t="s">
        <v>37</v>
      </c>
      <c r="MW286" s="12" t="s">
        <v>37</v>
      </c>
      <c r="NC286" s="12" t="s">
        <v>37</v>
      </c>
      <c r="ND286" s="12" t="s">
        <v>37</v>
      </c>
      <c r="NE286" s="12" t="s">
        <v>37</v>
      </c>
      <c r="NG286" s="12" t="s">
        <v>37</v>
      </c>
      <c r="NH286" s="12" t="s">
        <v>37</v>
      </c>
      <c r="NI286" s="12" t="s">
        <v>37</v>
      </c>
      <c r="NO286" s="12" t="s">
        <v>37</v>
      </c>
      <c r="NP286" s="12" t="s">
        <v>37</v>
      </c>
      <c r="NQ286" s="12" t="s">
        <v>37</v>
      </c>
      <c r="NS286" s="12" t="s">
        <v>37</v>
      </c>
      <c r="NT286" s="12" t="s">
        <v>37</v>
      </c>
      <c r="NU286" s="12" t="s">
        <v>37</v>
      </c>
      <c r="OA286" s="12" t="s">
        <v>37</v>
      </c>
      <c r="OB286" s="12" t="s">
        <v>37</v>
      </c>
      <c r="OC286" s="12" t="s">
        <v>37</v>
      </c>
      <c r="OD286" s="12"/>
      <c r="OE286" s="12" t="s">
        <v>37</v>
      </c>
      <c r="OF286" s="12" t="s">
        <v>37</v>
      </c>
      <c r="OG286" s="12" t="s">
        <v>37</v>
      </c>
      <c r="OH286" s="12"/>
      <c r="OI286" s="12"/>
      <c r="OJ286" s="12"/>
      <c r="OM286" s="12" t="s">
        <v>37</v>
      </c>
      <c r="ON286" s="12" t="s">
        <v>37</v>
      </c>
      <c r="OO286" s="12" t="s">
        <v>37</v>
      </c>
      <c r="OP286" s="12" t="s">
        <v>37</v>
      </c>
      <c r="OQ286" s="12" t="s">
        <v>37</v>
      </c>
      <c r="OR286" s="12" t="s">
        <v>37</v>
      </c>
      <c r="OS286" s="12"/>
      <c r="OT286" s="12"/>
      <c r="OW286" s="12" t="s">
        <v>37</v>
      </c>
      <c r="OX286" s="12" t="s">
        <v>37</v>
      </c>
      <c r="OY286" s="13" t="s">
        <v>37</v>
      </c>
      <c r="OZ286" s="12" t="s">
        <v>37</v>
      </c>
      <c r="PA286" s="12" t="s">
        <v>37</v>
      </c>
      <c r="PB286" s="13" t="s">
        <v>37</v>
      </c>
      <c r="PG286" s="12" t="s">
        <v>37</v>
      </c>
      <c r="PH286" s="12" t="s">
        <v>37</v>
      </c>
      <c r="PI286" s="12" t="s">
        <v>37</v>
      </c>
      <c r="PJ286" s="12" t="s">
        <v>37</v>
      </c>
      <c r="PK286" s="12" t="s">
        <v>37</v>
      </c>
      <c r="PL286" s="12" t="s">
        <v>37</v>
      </c>
      <c r="PM286" s="12"/>
      <c r="PN286" s="12"/>
      <c r="PQ286" s="12" t="s">
        <v>37</v>
      </c>
      <c r="PR286" s="12" t="s">
        <v>37</v>
      </c>
      <c r="PS286" s="12" t="s">
        <v>37</v>
      </c>
      <c r="PT286" s="12" t="s">
        <v>37</v>
      </c>
      <c r="PU286" s="12" t="s">
        <v>37</v>
      </c>
      <c r="PV286" s="12" t="s">
        <v>37</v>
      </c>
      <c r="PW286" s="12"/>
      <c r="PX286" s="12"/>
      <c r="PZ286" s="12" t="s">
        <v>37</v>
      </c>
      <c r="QA286" s="12" t="s">
        <v>37</v>
      </c>
      <c r="QB286" s="12" t="s">
        <v>37</v>
      </c>
      <c r="QD286" s="12" t="s">
        <v>37</v>
      </c>
      <c r="QE286" s="12" t="s">
        <v>37</v>
      </c>
      <c r="QF286" s="12" t="s">
        <v>37</v>
      </c>
      <c r="QK286" s="12" t="s">
        <v>37</v>
      </c>
      <c r="QL286" s="12" t="s">
        <v>37</v>
      </c>
      <c r="QM286" s="12" t="s">
        <v>37</v>
      </c>
      <c r="QN286" s="12" t="s">
        <v>37</v>
      </c>
      <c r="QO286" s="12" t="s">
        <v>37</v>
      </c>
      <c r="QP286" s="12" t="s">
        <v>37</v>
      </c>
      <c r="QQ286" s="12"/>
      <c r="QR286" s="12"/>
      <c r="QU286" s="12" t="s">
        <v>37</v>
      </c>
      <c r="QV286" s="12" t="s">
        <v>37</v>
      </c>
      <c r="QW286" s="12" t="s">
        <v>37</v>
      </c>
      <c r="QX286" s="12" t="s">
        <v>37</v>
      </c>
      <c r="QY286" s="12" t="s">
        <v>37</v>
      </c>
      <c r="QZ286" s="12" t="s">
        <v>37</v>
      </c>
      <c r="RC286" s="12" t="s">
        <v>37</v>
      </c>
      <c r="RD286" s="12" t="s">
        <v>37</v>
      </c>
      <c r="RE286" s="13" t="s">
        <v>37</v>
      </c>
      <c r="RF286" s="12" t="s">
        <v>37</v>
      </c>
      <c r="RG286" s="12" t="s">
        <v>37</v>
      </c>
      <c r="RH286" s="13" t="s">
        <v>37</v>
      </c>
      <c r="RK286" s="12" t="s">
        <v>37</v>
      </c>
      <c r="RL286" s="12" t="s">
        <v>37</v>
      </c>
      <c r="RM286" s="11" t="s">
        <v>37</v>
      </c>
      <c r="RN286" s="12" t="s">
        <v>37</v>
      </c>
      <c r="RO286" s="12" t="s">
        <v>37</v>
      </c>
      <c r="RP286" s="11" t="s">
        <v>37</v>
      </c>
      <c r="RS286" s="12" t="s">
        <v>37</v>
      </c>
      <c r="RT286" s="12" t="s">
        <v>37</v>
      </c>
      <c r="RU286" s="12" t="s">
        <v>37</v>
      </c>
      <c r="RV286" s="12" t="s">
        <v>37</v>
      </c>
      <c r="RW286" s="12" t="s">
        <v>37</v>
      </c>
      <c r="RX286" s="12" t="s">
        <v>37</v>
      </c>
      <c r="SA286" s="12" t="s">
        <v>37</v>
      </c>
      <c r="SB286" s="12" t="s">
        <v>37</v>
      </c>
      <c r="SC286" s="12" t="s">
        <v>37</v>
      </c>
      <c r="SD286" s="12" t="s">
        <v>37</v>
      </c>
      <c r="SE286" s="12" t="s">
        <v>37</v>
      </c>
      <c r="SF286" s="12" t="s">
        <v>37</v>
      </c>
      <c r="SI286" s="12" t="s">
        <v>37</v>
      </c>
      <c r="SJ286" s="12" t="s">
        <v>37</v>
      </c>
      <c r="SK286" s="13" t="s">
        <v>37</v>
      </c>
      <c r="SM286" s="12" t="s">
        <v>37</v>
      </c>
      <c r="SN286" s="12" t="s">
        <v>37</v>
      </c>
      <c r="SO286" s="13" t="s">
        <v>37</v>
      </c>
      <c r="SU286" s="12" t="s">
        <v>37</v>
      </c>
      <c r="SV286" s="12" t="s">
        <v>37</v>
      </c>
      <c r="SW286" s="12" t="s">
        <v>37</v>
      </c>
      <c r="SX286" s="12" t="s">
        <v>37</v>
      </c>
      <c r="SY286" s="12" t="s">
        <v>37</v>
      </c>
      <c r="SZ286" s="12" t="s">
        <v>37</v>
      </c>
      <c r="TA286" s="12"/>
      <c r="TB286" s="12"/>
      <c r="TE286" s="12" t="s">
        <v>37</v>
      </c>
      <c r="TF286" s="12" t="s">
        <v>37</v>
      </c>
      <c r="TG286" s="12" t="s">
        <v>37</v>
      </c>
      <c r="TH286" s="12" t="s">
        <v>37</v>
      </c>
      <c r="TI286" s="12" t="s">
        <v>37</v>
      </c>
      <c r="TJ286" s="12" t="s">
        <v>37</v>
      </c>
      <c r="TK286" s="12"/>
      <c r="TL286" s="12"/>
      <c r="TO286" s="12" t="s">
        <v>37</v>
      </c>
      <c r="TP286" s="12" t="s">
        <v>37</v>
      </c>
      <c r="TQ286" s="12" t="s">
        <v>37</v>
      </c>
      <c r="TR286" s="12" t="s">
        <v>37</v>
      </c>
      <c r="TS286" s="12" t="s">
        <v>37</v>
      </c>
      <c r="TT286" s="12" t="s">
        <v>37</v>
      </c>
      <c r="TU286" s="12"/>
      <c r="TV286" s="12"/>
      <c r="TY286" s="12" t="s">
        <v>37</v>
      </c>
      <c r="TZ286" s="12" t="s">
        <v>37</v>
      </c>
      <c r="UA286" s="12" t="s">
        <v>37</v>
      </c>
      <c r="UB286" s="12" t="s">
        <v>37</v>
      </c>
      <c r="UC286" s="12" t="s">
        <v>37</v>
      </c>
      <c r="UD286" s="12" t="s">
        <v>37</v>
      </c>
      <c r="UE286" s="12"/>
      <c r="UF286" s="12"/>
      <c r="UI286" s="12" t="s">
        <v>37</v>
      </c>
      <c r="UJ286" s="12" t="s">
        <v>37</v>
      </c>
      <c r="UK286" s="12" t="s">
        <v>37</v>
      </c>
      <c r="UL286" s="12" t="s">
        <v>37</v>
      </c>
      <c r="UM286" s="12" t="s">
        <v>37</v>
      </c>
      <c r="UN286" s="12" t="s">
        <v>37</v>
      </c>
      <c r="UO286" s="12"/>
      <c r="UP286" s="12"/>
      <c r="UR286" s="12" t="s">
        <v>37</v>
      </c>
      <c r="US286" s="12" t="s">
        <v>37</v>
      </c>
      <c r="UT286" s="12" t="s">
        <v>37</v>
      </c>
      <c r="UU286" s="12" t="s">
        <v>37</v>
      </c>
      <c r="UV286" s="12" t="s">
        <v>37</v>
      </c>
      <c r="UW286" s="12" t="s">
        <v>37</v>
      </c>
      <c r="UX286" s="12"/>
      <c r="UY286" s="12"/>
      <c r="VB286" s="12" t="s">
        <v>37</v>
      </c>
      <c r="VC286" s="12" t="s">
        <v>37</v>
      </c>
      <c r="VD286" s="12" t="s">
        <v>37</v>
      </c>
      <c r="VE286" s="12" t="s">
        <v>37</v>
      </c>
      <c r="VF286" s="12" t="s">
        <v>37</v>
      </c>
      <c r="VG286" s="12" t="s">
        <v>37</v>
      </c>
      <c r="VI286" s="12" t="s">
        <v>37</v>
      </c>
      <c r="VJ286" s="12" t="s">
        <v>37</v>
      </c>
      <c r="VK286" s="12" t="s">
        <v>37</v>
      </c>
      <c r="VL286" s="12" t="s">
        <v>37</v>
      </c>
      <c r="VM286" s="12" t="s">
        <v>37</v>
      </c>
      <c r="VN286" s="12" t="s">
        <v>37</v>
      </c>
      <c r="VQ286" s="12" t="s">
        <v>37</v>
      </c>
      <c r="VR286" s="12" t="s">
        <v>37</v>
      </c>
      <c r="VS286" s="12" t="s">
        <v>37</v>
      </c>
      <c r="VT286" s="12" t="s">
        <v>37</v>
      </c>
      <c r="VU286" s="12" t="s">
        <v>37</v>
      </c>
      <c r="VV286" s="12" t="s">
        <v>37</v>
      </c>
      <c r="VW286" s="12"/>
      <c r="VX286" s="12"/>
      <c r="WA286" s="12" t="s">
        <v>37</v>
      </c>
      <c r="WB286" s="12" t="s">
        <v>37</v>
      </c>
      <c r="WC286" s="12" t="s">
        <v>37</v>
      </c>
      <c r="WD286" s="12" t="s">
        <v>37</v>
      </c>
      <c r="WE286" s="12" t="s">
        <v>37</v>
      </c>
      <c r="WF286" s="12" t="s">
        <v>37</v>
      </c>
    </row>
    <row r="287" spans="1:604" ht="18" customHeight="1" x14ac:dyDescent="0.3">
      <c r="A287" s="11">
        <v>70</v>
      </c>
      <c r="B287" s="16" t="s">
        <v>399</v>
      </c>
      <c r="C287" s="12" t="s">
        <v>31</v>
      </c>
      <c r="D287" s="12" t="s">
        <v>54</v>
      </c>
      <c r="E287" s="40" t="s">
        <v>37</v>
      </c>
      <c r="F287" s="14">
        <v>0</v>
      </c>
      <c r="G287" s="14">
        <v>0</v>
      </c>
      <c r="H287" s="12" t="s">
        <v>91</v>
      </c>
      <c r="I287" s="29">
        <v>49.05</v>
      </c>
      <c r="J287" s="29">
        <v>-80.667000000000002</v>
      </c>
      <c r="K287" s="12" t="s">
        <v>778</v>
      </c>
      <c r="L287" s="12" t="s">
        <v>779</v>
      </c>
      <c r="M287" s="13" t="s">
        <v>37</v>
      </c>
      <c r="N287" s="14">
        <v>0.6</v>
      </c>
      <c r="O287" s="14">
        <v>885</v>
      </c>
      <c r="P287" s="14" t="s">
        <v>16</v>
      </c>
      <c r="Q287" s="75">
        <v>7</v>
      </c>
      <c r="R287" s="11" t="s">
        <v>1000</v>
      </c>
      <c r="S287" s="12" t="s">
        <v>85</v>
      </c>
      <c r="T287" s="12" t="s">
        <v>138</v>
      </c>
      <c r="U287" s="12" t="s">
        <v>334</v>
      </c>
      <c r="V287" s="12" t="s">
        <v>275</v>
      </c>
      <c r="W287" s="23" t="s">
        <v>402</v>
      </c>
      <c r="X287" s="12" t="s">
        <v>281</v>
      </c>
      <c r="Y287" s="12" t="s">
        <v>37</v>
      </c>
      <c r="Z287" s="12" t="s">
        <v>37</v>
      </c>
      <c r="AA287" s="32" t="s">
        <v>345</v>
      </c>
      <c r="AB287" s="12">
        <v>6.3</v>
      </c>
      <c r="AE287" s="12" t="s">
        <v>37</v>
      </c>
      <c r="AH287" s="12" t="s">
        <v>37</v>
      </c>
      <c r="AK287" s="12" t="s">
        <v>37</v>
      </c>
      <c r="AL287" s="32" t="s">
        <v>400</v>
      </c>
      <c r="AM287" s="12" t="s">
        <v>317</v>
      </c>
      <c r="AN287" s="32" t="s">
        <v>879</v>
      </c>
      <c r="AO287" s="12" t="s">
        <v>37</v>
      </c>
      <c r="AP287" s="12" t="s">
        <v>401</v>
      </c>
      <c r="AQ287" s="12" t="s">
        <v>975</v>
      </c>
      <c r="AT287" s="12" t="s">
        <v>326</v>
      </c>
      <c r="AU287" s="12" t="s">
        <v>326</v>
      </c>
      <c r="AV287" s="13" t="s">
        <v>326</v>
      </c>
      <c r="AX287" s="12" t="s">
        <v>326</v>
      </c>
      <c r="AY287" s="12" t="s">
        <v>326</v>
      </c>
      <c r="AZ287" s="13" t="s">
        <v>326</v>
      </c>
      <c r="BE287" s="12" t="s">
        <v>326</v>
      </c>
      <c r="BF287" s="12" t="s">
        <v>326</v>
      </c>
      <c r="BG287" s="12" t="s">
        <v>326</v>
      </c>
      <c r="BI287" s="12" t="s">
        <v>326</v>
      </c>
      <c r="BJ287" s="12" t="s">
        <v>326</v>
      </c>
      <c r="BK287" s="12" t="s">
        <v>326</v>
      </c>
      <c r="BP287" s="12" t="s">
        <v>37</v>
      </c>
      <c r="BQ287" s="12" t="s">
        <v>37</v>
      </c>
      <c r="BR287" s="13" t="s">
        <v>37</v>
      </c>
      <c r="BT287" s="12" t="s">
        <v>37</v>
      </c>
      <c r="BU287" s="12" t="s">
        <v>37</v>
      </c>
      <c r="BV287" s="12" t="s">
        <v>37</v>
      </c>
      <c r="CA287" s="12" t="s">
        <v>37</v>
      </c>
      <c r="CB287" s="12" t="s">
        <v>37</v>
      </c>
      <c r="CC287" s="13" t="s">
        <v>37</v>
      </c>
      <c r="CE287" s="12" t="s">
        <v>37</v>
      </c>
      <c r="CF287" s="12" t="s">
        <v>37</v>
      </c>
      <c r="CG287" s="12" t="s">
        <v>37</v>
      </c>
      <c r="CN287" s="12" t="s">
        <v>37</v>
      </c>
      <c r="CO287" s="12" t="s">
        <v>37</v>
      </c>
      <c r="CP287" s="13" t="s">
        <v>37</v>
      </c>
      <c r="CR287" s="12" t="s">
        <v>37</v>
      </c>
      <c r="CS287" s="12" t="s">
        <v>37</v>
      </c>
      <c r="CT287" s="13" t="s">
        <v>37</v>
      </c>
      <c r="CX287" s="72"/>
      <c r="CY287" s="72"/>
      <c r="DA287" s="12" t="s">
        <v>37</v>
      </c>
      <c r="DB287" s="12" t="s">
        <v>37</v>
      </c>
      <c r="DC287" s="13" t="s">
        <v>37</v>
      </c>
      <c r="DE287" s="12" t="s">
        <v>37</v>
      </c>
      <c r="DF287" s="12" t="s">
        <v>37</v>
      </c>
      <c r="DG287" s="12" t="s">
        <v>37</v>
      </c>
      <c r="DM287" s="12" t="s">
        <v>47</v>
      </c>
      <c r="DN287" s="19">
        <f>11.4*("1991/10/31"-"1991/5/1")*10^4/10^6/'[1]classes-1'!$I$28</f>
        <v>27.51778018763585</v>
      </c>
      <c r="DO287" s="12">
        <f t="shared" si="1249"/>
        <v>12.137611972737048</v>
      </c>
      <c r="DP287" s="13">
        <v>6</v>
      </c>
      <c r="DQ287" s="19">
        <f t="shared" si="1237"/>
        <v>0.44108252518822932</v>
      </c>
      <c r="DR287" s="19">
        <f>0.1*("1991/10/31"-"1991/5/1")*10^4/10^6/'[1]classes-1'!$I$30</f>
        <v>5.3718567649972807E-2</v>
      </c>
      <c r="DS287" s="12">
        <f>SQRT((1/[2]Classes!$I$30)^2*(0.8*("1991/10/31"-"1991/5/1")*10^4/10^6)^2+(-DR287/([2]Classes!$I$30)^2)^2*([2]Classes!$J$30)^2)</f>
        <v>0.43312042016840363</v>
      </c>
      <c r="DT287" s="13">
        <v>6</v>
      </c>
      <c r="DU287" s="19">
        <f t="shared" si="1238"/>
        <v>8.0627693387245944</v>
      </c>
      <c r="DV287" s="19">
        <f t="shared" si="1211"/>
        <v>-27.464061619985877</v>
      </c>
      <c r="DW287" s="12">
        <f t="shared" si="1212"/>
        <v>8.5880503520617708</v>
      </c>
      <c r="DX287" s="72">
        <f t="shared" si="1124"/>
        <v>24.584869616516098</v>
      </c>
      <c r="DY287" s="72">
        <f t="shared" si="1125"/>
        <v>24.584869616516102</v>
      </c>
      <c r="EA287" s="19" t="s">
        <v>37</v>
      </c>
      <c r="EB287" s="19" t="s">
        <v>37</v>
      </c>
      <c r="EC287" s="72" t="s">
        <v>37</v>
      </c>
      <c r="EE287" s="19" t="s">
        <v>37</v>
      </c>
      <c r="EF287" s="19" t="s">
        <v>37</v>
      </c>
      <c r="EG287" s="12" t="s">
        <v>37</v>
      </c>
      <c r="EM287" s="12" t="s">
        <v>39</v>
      </c>
      <c r="EN287" s="12">
        <v>-24.4</v>
      </c>
      <c r="EO287" s="50">
        <f t="shared" si="1241"/>
        <v>9.9429121295315568</v>
      </c>
      <c r="EP287" s="13">
        <v>1</v>
      </c>
      <c r="ER287" s="12">
        <v>-34.4</v>
      </c>
      <c r="ES287" s="50">
        <f t="shared" si="1242"/>
        <v>7.8024034407162794</v>
      </c>
      <c r="ET287" s="13">
        <v>1</v>
      </c>
      <c r="EV287" s="19">
        <f t="shared" si="1233"/>
        <v>-10</v>
      </c>
      <c r="EW287" s="12" t="e">
        <f t="shared" si="1234"/>
        <v>#DIV/0!</v>
      </c>
      <c r="EX287" s="19" t="e">
        <f t="shared" si="1235"/>
        <v>#DIV/0!</v>
      </c>
      <c r="EY287" s="19">
        <f t="shared" si="1236"/>
        <v>159.73900106728698</v>
      </c>
      <c r="FB287" s="12" t="s">
        <v>37</v>
      </c>
      <c r="FC287" s="12" t="s">
        <v>37</v>
      </c>
      <c r="FD287" s="12" t="s">
        <v>37</v>
      </c>
      <c r="FE287" s="12" t="s">
        <v>37</v>
      </c>
      <c r="FF287" s="20" t="s">
        <v>37</v>
      </c>
      <c r="FG287" s="12" t="s">
        <v>37</v>
      </c>
      <c r="FI287" s="12" t="s">
        <v>37</v>
      </c>
      <c r="FJ287" s="12" t="s">
        <v>37</v>
      </c>
      <c r="FK287" s="12" t="s">
        <v>37</v>
      </c>
      <c r="FL287" s="12" t="s">
        <v>37</v>
      </c>
      <c r="FM287" s="12" t="s">
        <v>37</v>
      </c>
      <c r="FN287" s="12" t="s">
        <v>37</v>
      </c>
      <c r="FP287" s="12" t="s">
        <v>37</v>
      </c>
      <c r="FQ287" s="12" t="s">
        <v>37</v>
      </c>
      <c r="FR287" s="12" t="s">
        <v>37</v>
      </c>
      <c r="FS287" s="12" t="s">
        <v>37</v>
      </c>
      <c r="FT287" s="12" t="s">
        <v>37</v>
      </c>
      <c r="FU287" s="12" t="s">
        <v>37</v>
      </c>
      <c r="FW287" s="12" t="s">
        <v>37</v>
      </c>
      <c r="FX287" s="12" t="s">
        <v>37</v>
      </c>
      <c r="FY287" s="12" t="s">
        <v>37</v>
      </c>
      <c r="FZ287" s="12" t="s">
        <v>37</v>
      </c>
      <c r="GA287" s="12" t="s">
        <v>37</v>
      </c>
      <c r="GB287" s="12" t="s">
        <v>37</v>
      </c>
      <c r="GO287" s="12" t="s">
        <v>660</v>
      </c>
      <c r="GP287" s="12" t="s">
        <v>372</v>
      </c>
      <c r="GQ287" s="12">
        <v>13.9</v>
      </c>
      <c r="GR287" s="50">
        <f t="shared" si="1243"/>
        <v>1.3278608498174032</v>
      </c>
      <c r="GS287" s="13">
        <v>1</v>
      </c>
      <c r="GU287" s="12">
        <v>9.6</v>
      </c>
      <c r="GV287" s="50">
        <f t="shared" si="1244"/>
        <v>1.0217873501225923</v>
      </c>
      <c r="GW287" s="13">
        <v>1</v>
      </c>
      <c r="GY287" s="19">
        <f t="shared" si="1245"/>
        <v>-0.37012574166285561</v>
      </c>
      <c r="GZ287" s="19">
        <f t="shared" si="1246"/>
        <v>2.0454557267488193E-2</v>
      </c>
      <c r="IK287" s="12" t="s">
        <v>37</v>
      </c>
      <c r="IL287" s="12" t="s">
        <v>37</v>
      </c>
      <c r="IM287" s="12" t="s">
        <v>37</v>
      </c>
      <c r="IO287" s="12" t="s">
        <v>37</v>
      </c>
      <c r="IP287" s="12" t="s">
        <v>37</v>
      </c>
      <c r="IQ287" s="12" t="s">
        <v>37</v>
      </c>
      <c r="IV287" s="32" t="s">
        <v>345</v>
      </c>
      <c r="IW287" s="12">
        <v>6.3</v>
      </c>
      <c r="IX287" s="12">
        <v>0.3</v>
      </c>
      <c r="IY287" s="13">
        <v>6</v>
      </c>
      <c r="IZ287" s="19">
        <f t="shared" si="1247"/>
        <v>4.7619047619047616E-2</v>
      </c>
      <c r="JA287" s="13"/>
      <c r="JB287" s="13"/>
      <c r="JH287" s="12" t="s">
        <v>37</v>
      </c>
      <c r="JI287" s="12" t="s">
        <v>37</v>
      </c>
      <c r="JJ287" s="13" t="s">
        <v>37</v>
      </c>
      <c r="JL287" s="12" t="s">
        <v>37</v>
      </c>
      <c r="JM287" s="12" t="s">
        <v>37</v>
      </c>
      <c r="JN287" s="12" t="s">
        <v>37</v>
      </c>
      <c r="JS287" s="12" t="s">
        <v>37</v>
      </c>
      <c r="JT287" s="12" t="s">
        <v>37</v>
      </c>
      <c r="JU287" s="13" t="s">
        <v>37</v>
      </c>
      <c r="JW287" s="12" t="s">
        <v>37</v>
      </c>
      <c r="JX287" s="12" t="s">
        <v>37</v>
      </c>
      <c r="JY287" s="12" t="s">
        <v>37</v>
      </c>
      <c r="KE287" s="12" t="s">
        <v>37</v>
      </c>
      <c r="KF287" s="12" t="s">
        <v>37</v>
      </c>
      <c r="KG287" s="13" t="s">
        <v>37</v>
      </c>
      <c r="KH287" s="12" t="s">
        <v>37</v>
      </c>
      <c r="KI287" s="12" t="s">
        <v>37</v>
      </c>
      <c r="KJ287" s="12" t="s">
        <v>37</v>
      </c>
      <c r="KM287" s="12" t="s">
        <v>37</v>
      </c>
      <c r="KN287" s="12" t="s">
        <v>37</v>
      </c>
      <c r="KO287" s="11" t="s">
        <v>37</v>
      </c>
      <c r="KQ287" s="12" t="s">
        <v>37</v>
      </c>
      <c r="KR287" s="12" t="s">
        <v>37</v>
      </c>
      <c r="KS287" s="12" t="s">
        <v>37</v>
      </c>
      <c r="KX287" s="12" t="s">
        <v>37</v>
      </c>
      <c r="KY287" s="12" t="s">
        <v>37</v>
      </c>
      <c r="KZ287" s="12" t="s">
        <v>37</v>
      </c>
      <c r="LB287" s="12" t="s">
        <v>37</v>
      </c>
      <c r="LC287" s="12" t="s">
        <v>37</v>
      </c>
      <c r="LD287" s="12" t="s">
        <v>37</v>
      </c>
      <c r="LI287" s="12" t="s">
        <v>37</v>
      </c>
      <c r="LJ287" s="12" t="s">
        <v>37</v>
      </c>
      <c r="LK287" s="12" t="s">
        <v>37</v>
      </c>
      <c r="LM287" s="12" t="s">
        <v>37</v>
      </c>
      <c r="LN287" s="12" t="s">
        <v>37</v>
      </c>
      <c r="LO287" s="12" t="s">
        <v>37</v>
      </c>
      <c r="LU287" s="12" t="s">
        <v>37</v>
      </c>
      <c r="LV287" s="12" t="s">
        <v>37</v>
      </c>
      <c r="LW287" s="12" t="s">
        <v>37</v>
      </c>
      <c r="LY287" s="12" t="s">
        <v>37</v>
      </c>
      <c r="LZ287" s="12" t="s">
        <v>37</v>
      </c>
      <c r="MA287" s="12" t="s">
        <v>37</v>
      </c>
      <c r="MF287" s="12" t="s">
        <v>37</v>
      </c>
      <c r="MG287" s="12" t="s">
        <v>37</v>
      </c>
      <c r="MH287" s="12" t="s">
        <v>37</v>
      </c>
      <c r="MJ287" s="12" t="s">
        <v>37</v>
      </c>
      <c r="MK287" s="12" t="s">
        <v>37</v>
      </c>
      <c r="ML287" s="12" t="s">
        <v>37</v>
      </c>
      <c r="MQ287" s="12" t="s">
        <v>37</v>
      </c>
      <c r="MR287" s="12" t="s">
        <v>37</v>
      </c>
      <c r="MS287" s="12" t="s">
        <v>37</v>
      </c>
      <c r="MU287" s="12" t="s">
        <v>37</v>
      </c>
      <c r="MV287" s="12" t="s">
        <v>37</v>
      </c>
      <c r="MW287" s="12" t="s">
        <v>37</v>
      </c>
      <c r="NC287" s="12" t="s">
        <v>37</v>
      </c>
      <c r="ND287" s="12" t="s">
        <v>37</v>
      </c>
      <c r="NE287" s="12" t="s">
        <v>37</v>
      </c>
      <c r="NG287" s="12" t="s">
        <v>37</v>
      </c>
      <c r="NH287" s="12" t="s">
        <v>37</v>
      </c>
      <c r="NI287" s="12" t="s">
        <v>37</v>
      </c>
      <c r="NO287" s="12" t="s">
        <v>37</v>
      </c>
      <c r="NP287" s="12" t="s">
        <v>37</v>
      </c>
      <c r="NQ287" s="12" t="s">
        <v>37</v>
      </c>
      <c r="NS287" s="12" t="s">
        <v>37</v>
      </c>
      <c r="NT287" s="12" t="s">
        <v>37</v>
      </c>
      <c r="NU287" s="12" t="s">
        <v>37</v>
      </c>
      <c r="OA287" s="12" t="s">
        <v>37</v>
      </c>
      <c r="OB287" s="12" t="s">
        <v>37</v>
      </c>
      <c r="OC287" s="12" t="s">
        <v>37</v>
      </c>
      <c r="OD287" s="12"/>
      <c r="OE287" s="12" t="s">
        <v>37</v>
      </c>
      <c r="OF287" s="12" t="s">
        <v>37</v>
      </c>
      <c r="OG287" s="12" t="s">
        <v>37</v>
      </c>
      <c r="OH287" s="12"/>
      <c r="OI287" s="12"/>
      <c r="OJ287" s="12"/>
      <c r="OM287" s="12" t="s">
        <v>37</v>
      </c>
      <c r="ON287" s="12" t="s">
        <v>37</v>
      </c>
      <c r="OO287" s="12" t="s">
        <v>37</v>
      </c>
      <c r="OP287" s="12" t="s">
        <v>37</v>
      </c>
      <c r="OQ287" s="12" t="s">
        <v>37</v>
      </c>
      <c r="OR287" s="12" t="s">
        <v>37</v>
      </c>
      <c r="OS287" s="12"/>
      <c r="OT287" s="12"/>
      <c r="OW287" s="12" t="s">
        <v>37</v>
      </c>
      <c r="OX287" s="12" t="s">
        <v>37</v>
      </c>
      <c r="OY287" s="13" t="s">
        <v>37</v>
      </c>
      <c r="OZ287" s="12" t="s">
        <v>37</v>
      </c>
      <c r="PA287" s="12" t="s">
        <v>37</v>
      </c>
      <c r="PB287" s="13" t="s">
        <v>37</v>
      </c>
      <c r="PG287" s="12" t="s">
        <v>37</v>
      </c>
      <c r="PH287" s="12" t="s">
        <v>37</v>
      </c>
      <c r="PI287" s="12" t="s">
        <v>37</v>
      </c>
      <c r="PJ287" s="12" t="s">
        <v>37</v>
      </c>
      <c r="PK287" s="12" t="s">
        <v>37</v>
      </c>
      <c r="PL287" s="12" t="s">
        <v>37</v>
      </c>
      <c r="PM287" s="12"/>
      <c r="PN287" s="12"/>
      <c r="PQ287" s="12" t="s">
        <v>37</v>
      </c>
      <c r="PR287" s="12" t="s">
        <v>37</v>
      </c>
      <c r="PS287" s="12" t="s">
        <v>37</v>
      </c>
      <c r="PT287" s="12" t="s">
        <v>37</v>
      </c>
      <c r="PU287" s="12" t="s">
        <v>37</v>
      </c>
      <c r="PV287" s="12" t="s">
        <v>37</v>
      </c>
      <c r="PW287" s="12"/>
      <c r="PX287" s="12"/>
      <c r="PZ287" s="12" t="s">
        <v>37</v>
      </c>
      <c r="QA287" s="12" t="s">
        <v>37</v>
      </c>
      <c r="QB287" s="12" t="s">
        <v>37</v>
      </c>
      <c r="QD287" s="12" t="s">
        <v>37</v>
      </c>
      <c r="QE287" s="12" t="s">
        <v>37</v>
      </c>
      <c r="QF287" s="12" t="s">
        <v>37</v>
      </c>
      <c r="QK287" s="12" t="s">
        <v>37</v>
      </c>
      <c r="QL287" s="12" t="s">
        <v>37</v>
      </c>
      <c r="QM287" s="12" t="s">
        <v>37</v>
      </c>
      <c r="QN287" s="12" t="s">
        <v>37</v>
      </c>
      <c r="QO287" s="12" t="s">
        <v>37</v>
      </c>
      <c r="QP287" s="12" t="s">
        <v>37</v>
      </c>
      <c r="QQ287" s="12"/>
      <c r="QR287" s="12"/>
      <c r="QU287" s="12" t="s">
        <v>37</v>
      </c>
      <c r="QV287" s="12" t="s">
        <v>37</v>
      </c>
      <c r="QW287" s="12" t="s">
        <v>37</v>
      </c>
      <c r="QX287" s="12" t="s">
        <v>37</v>
      </c>
      <c r="QY287" s="12" t="s">
        <v>37</v>
      </c>
      <c r="QZ287" s="12" t="s">
        <v>37</v>
      </c>
      <c r="RC287" s="12" t="s">
        <v>37</v>
      </c>
      <c r="RD287" s="12" t="s">
        <v>37</v>
      </c>
      <c r="RE287" s="13" t="s">
        <v>37</v>
      </c>
      <c r="RF287" s="12" t="s">
        <v>37</v>
      </c>
      <c r="RG287" s="12" t="s">
        <v>37</v>
      </c>
      <c r="RH287" s="13" t="s">
        <v>37</v>
      </c>
      <c r="RK287" s="12" t="s">
        <v>37</v>
      </c>
      <c r="RL287" s="12" t="s">
        <v>37</v>
      </c>
      <c r="RM287" s="11" t="s">
        <v>37</v>
      </c>
      <c r="RN287" s="12" t="s">
        <v>37</v>
      </c>
      <c r="RO287" s="12" t="s">
        <v>37</v>
      </c>
      <c r="RP287" s="11" t="s">
        <v>37</v>
      </c>
      <c r="RS287" s="12" t="s">
        <v>37</v>
      </c>
      <c r="RT287" s="12" t="s">
        <v>37</v>
      </c>
      <c r="RU287" s="12" t="s">
        <v>37</v>
      </c>
      <c r="RV287" s="12" t="s">
        <v>37</v>
      </c>
      <c r="RW287" s="12" t="s">
        <v>37</v>
      </c>
      <c r="RX287" s="12" t="s">
        <v>37</v>
      </c>
      <c r="SA287" s="12" t="s">
        <v>37</v>
      </c>
      <c r="SB287" s="12" t="s">
        <v>37</v>
      </c>
      <c r="SC287" s="12" t="s">
        <v>37</v>
      </c>
      <c r="SD287" s="12" t="s">
        <v>37</v>
      </c>
      <c r="SE287" s="12" t="s">
        <v>37</v>
      </c>
      <c r="SF287" s="12" t="s">
        <v>37</v>
      </c>
      <c r="SI287" s="12" t="s">
        <v>37</v>
      </c>
      <c r="SJ287" s="12" t="s">
        <v>37</v>
      </c>
      <c r="SK287" s="13" t="s">
        <v>37</v>
      </c>
      <c r="SM287" s="12" t="s">
        <v>37</v>
      </c>
      <c r="SN287" s="12" t="s">
        <v>37</v>
      </c>
      <c r="SO287" s="13" t="s">
        <v>37</v>
      </c>
      <c r="SU287" s="12" t="s">
        <v>37</v>
      </c>
      <c r="SV287" s="12" t="s">
        <v>37</v>
      </c>
      <c r="SW287" s="12" t="s">
        <v>37</v>
      </c>
      <c r="SX287" s="12" t="s">
        <v>37</v>
      </c>
      <c r="SY287" s="12" t="s">
        <v>37</v>
      </c>
      <c r="SZ287" s="12" t="s">
        <v>37</v>
      </c>
      <c r="TA287" s="12"/>
      <c r="TB287" s="12"/>
      <c r="TE287" s="12" t="s">
        <v>37</v>
      </c>
      <c r="TF287" s="12" t="s">
        <v>37</v>
      </c>
      <c r="TG287" s="12" t="s">
        <v>37</v>
      </c>
      <c r="TH287" s="12" t="s">
        <v>37</v>
      </c>
      <c r="TI287" s="12" t="s">
        <v>37</v>
      </c>
      <c r="TJ287" s="12" t="s">
        <v>37</v>
      </c>
      <c r="TK287" s="12"/>
      <c r="TL287" s="12"/>
      <c r="TO287" s="12" t="s">
        <v>37</v>
      </c>
      <c r="TP287" s="12" t="s">
        <v>37</v>
      </c>
      <c r="TQ287" s="12" t="s">
        <v>37</v>
      </c>
      <c r="TR287" s="12" t="s">
        <v>37</v>
      </c>
      <c r="TS287" s="12" t="s">
        <v>37</v>
      </c>
      <c r="TT287" s="12" t="s">
        <v>37</v>
      </c>
      <c r="TU287" s="12"/>
      <c r="TV287" s="12"/>
      <c r="TY287" s="12" t="s">
        <v>37</v>
      </c>
      <c r="TZ287" s="12" t="s">
        <v>37</v>
      </c>
      <c r="UA287" s="12" t="s">
        <v>37</v>
      </c>
      <c r="UB287" s="12" t="s">
        <v>37</v>
      </c>
      <c r="UC287" s="12" t="s">
        <v>37</v>
      </c>
      <c r="UD287" s="12" t="s">
        <v>37</v>
      </c>
      <c r="UE287" s="12"/>
      <c r="UF287" s="12"/>
      <c r="UI287" s="12" t="s">
        <v>37</v>
      </c>
      <c r="UJ287" s="12" t="s">
        <v>37</v>
      </c>
      <c r="UK287" s="12" t="s">
        <v>37</v>
      </c>
      <c r="UL287" s="12" t="s">
        <v>37</v>
      </c>
      <c r="UM287" s="12" t="s">
        <v>37</v>
      </c>
      <c r="UN287" s="12" t="s">
        <v>37</v>
      </c>
      <c r="UO287" s="12"/>
      <c r="UP287" s="12"/>
      <c r="UR287" s="12" t="s">
        <v>37</v>
      </c>
      <c r="US287" s="12" t="s">
        <v>37</v>
      </c>
      <c r="UT287" s="12" t="s">
        <v>37</v>
      </c>
      <c r="UU287" s="12" t="s">
        <v>37</v>
      </c>
      <c r="UV287" s="12" t="s">
        <v>37</v>
      </c>
      <c r="UW287" s="12" t="s">
        <v>37</v>
      </c>
      <c r="UX287" s="12"/>
      <c r="UY287" s="12"/>
      <c r="VB287" s="12" t="s">
        <v>37</v>
      </c>
      <c r="VC287" s="12" t="s">
        <v>37</v>
      </c>
      <c r="VD287" s="12" t="s">
        <v>37</v>
      </c>
      <c r="VE287" s="12" t="s">
        <v>37</v>
      </c>
      <c r="VF287" s="12" t="s">
        <v>37</v>
      </c>
      <c r="VG287" s="12" t="s">
        <v>37</v>
      </c>
      <c r="VI287" s="12" t="s">
        <v>37</v>
      </c>
      <c r="VJ287" s="12" t="s">
        <v>37</v>
      </c>
      <c r="VK287" s="12" t="s">
        <v>37</v>
      </c>
      <c r="VL287" s="12" t="s">
        <v>37</v>
      </c>
      <c r="VM287" s="12" t="s">
        <v>37</v>
      </c>
      <c r="VN287" s="12" t="s">
        <v>37</v>
      </c>
      <c r="VQ287" s="12" t="s">
        <v>37</v>
      </c>
      <c r="VR287" s="12" t="s">
        <v>37</v>
      </c>
      <c r="VS287" s="12" t="s">
        <v>37</v>
      </c>
      <c r="VT287" s="12" t="s">
        <v>37</v>
      </c>
      <c r="VU287" s="12" t="s">
        <v>37</v>
      </c>
      <c r="VV287" s="12" t="s">
        <v>37</v>
      </c>
      <c r="VW287" s="12"/>
      <c r="VX287" s="12"/>
      <c r="WA287" s="12" t="s">
        <v>37</v>
      </c>
      <c r="WB287" s="12" t="s">
        <v>37</v>
      </c>
      <c r="WC287" s="12" t="s">
        <v>37</v>
      </c>
      <c r="WD287" s="12" t="s">
        <v>37</v>
      </c>
      <c r="WE287" s="12" t="s">
        <v>37</v>
      </c>
      <c r="WF287" s="12" t="s">
        <v>37</v>
      </c>
    </row>
    <row r="288" spans="1:604" ht="18" customHeight="1" x14ac:dyDescent="0.3">
      <c r="A288" s="11">
        <v>70</v>
      </c>
      <c r="B288" s="16" t="s">
        <v>399</v>
      </c>
      <c r="C288" s="12" t="s">
        <v>32</v>
      </c>
      <c r="D288" s="12" t="s">
        <v>54</v>
      </c>
      <c r="E288" s="40" t="s">
        <v>37</v>
      </c>
      <c r="F288" s="14">
        <v>0</v>
      </c>
      <c r="G288" s="14">
        <v>0</v>
      </c>
      <c r="H288" s="12" t="s">
        <v>91</v>
      </c>
      <c r="I288" s="29">
        <v>49.05</v>
      </c>
      <c r="J288" s="29">
        <v>-80.667000000000002</v>
      </c>
      <c r="K288" s="12" t="s">
        <v>778</v>
      </c>
      <c r="L288" s="12" t="s">
        <v>779</v>
      </c>
      <c r="M288" s="13" t="s">
        <v>37</v>
      </c>
      <c r="N288" s="14">
        <v>0.6</v>
      </c>
      <c r="O288" s="14">
        <v>885</v>
      </c>
      <c r="P288" s="14" t="s">
        <v>16</v>
      </c>
      <c r="Q288" s="75">
        <v>7</v>
      </c>
      <c r="R288" s="11" t="s">
        <v>999</v>
      </c>
      <c r="S288" s="12" t="s">
        <v>85</v>
      </c>
      <c r="T288" s="12" t="s">
        <v>138</v>
      </c>
      <c r="U288" s="12" t="s">
        <v>164</v>
      </c>
      <c r="V288" s="12" t="s">
        <v>275</v>
      </c>
      <c r="W288" s="23" t="s">
        <v>403</v>
      </c>
      <c r="X288" s="12" t="s">
        <v>281</v>
      </c>
      <c r="Y288" s="12" t="s">
        <v>37</v>
      </c>
      <c r="Z288" s="12" t="s">
        <v>37</v>
      </c>
      <c r="AA288" s="32" t="s">
        <v>345</v>
      </c>
      <c r="AB288" s="12">
        <v>6.3</v>
      </c>
      <c r="AE288" s="12" t="s">
        <v>37</v>
      </c>
      <c r="AH288" s="12" t="s">
        <v>37</v>
      </c>
      <c r="AK288" s="12" t="s">
        <v>37</v>
      </c>
      <c r="AL288" s="32" t="s">
        <v>400</v>
      </c>
      <c r="AM288" s="12" t="s">
        <v>317</v>
      </c>
      <c r="AN288" s="32" t="s">
        <v>879</v>
      </c>
      <c r="AO288" s="12" t="s">
        <v>37</v>
      </c>
      <c r="AP288" s="12" t="s">
        <v>401</v>
      </c>
      <c r="AQ288" s="12" t="s">
        <v>975</v>
      </c>
      <c r="AT288" s="12" t="s">
        <v>326</v>
      </c>
      <c r="AU288" s="12" t="s">
        <v>326</v>
      </c>
      <c r="AV288" s="13" t="s">
        <v>326</v>
      </c>
      <c r="AX288" s="12" t="s">
        <v>326</v>
      </c>
      <c r="AY288" s="12" t="s">
        <v>326</v>
      </c>
      <c r="AZ288" s="13" t="s">
        <v>326</v>
      </c>
      <c r="BE288" s="12" t="s">
        <v>326</v>
      </c>
      <c r="BF288" s="12" t="s">
        <v>326</v>
      </c>
      <c r="BG288" s="12" t="s">
        <v>326</v>
      </c>
      <c r="BI288" s="12" t="s">
        <v>326</v>
      </c>
      <c r="BJ288" s="12" t="s">
        <v>326</v>
      </c>
      <c r="BK288" s="12" t="s">
        <v>326</v>
      </c>
      <c r="BP288" s="12" t="s">
        <v>37</v>
      </c>
      <c r="BQ288" s="12" t="s">
        <v>37</v>
      </c>
      <c r="BR288" s="13" t="s">
        <v>37</v>
      </c>
      <c r="BT288" s="12" t="s">
        <v>37</v>
      </c>
      <c r="BU288" s="12" t="s">
        <v>37</v>
      </c>
      <c r="BV288" s="12" t="s">
        <v>37</v>
      </c>
      <c r="CA288" s="12" t="s">
        <v>37</v>
      </c>
      <c r="CB288" s="12" t="s">
        <v>37</v>
      </c>
      <c r="CC288" s="13" t="s">
        <v>37</v>
      </c>
      <c r="CE288" s="12" t="s">
        <v>37</v>
      </c>
      <c r="CF288" s="12" t="s">
        <v>37</v>
      </c>
      <c r="CG288" s="12" t="s">
        <v>37</v>
      </c>
      <c r="CN288" s="12" t="s">
        <v>37</v>
      </c>
      <c r="CO288" s="12" t="s">
        <v>37</v>
      </c>
      <c r="CP288" s="13" t="s">
        <v>37</v>
      </c>
      <c r="CR288" s="12" t="s">
        <v>37</v>
      </c>
      <c r="CS288" s="12" t="s">
        <v>37</v>
      </c>
      <c r="CT288" s="13" t="s">
        <v>37</v>
      </c>
      <c r="CX288" s="72"/>
      <c r="CY288" s="72"/>
      <c r="DA288" s="12" t="s">
        <v>37</v>
      </c>
      <c r="DB288" s="12" t="s">
        <v>37</v>
      </c>
      <c r="DC288" s="13" t="s">
        <v>37</v>
      </c>
      <c r="DE288" s="12" t="s">
        <v>37</v>
      </c>
      <c r="DF288" s="12" t="s">
        <v>37</v>
      </c>
      <c r="DG288" s="12" t="s">
        <v>37</v>
      </c>
      <c r="DM288" s="12" t="s">
        <v>47</v>
      </c>
      <c r="DN288" s="19">
        <f>7.3*("1991/10/31"-"1991/5/1")*10^4/10^6/'[1]classes-1'!$I$28</f>
        <v>17.621034681556281</v>
      </c>
      <c r="DO288" s="12">
        <f>SQRT((1/[2]Classes!$I$28)^2*(9.9*("1991/10/31"-"1991/5/1")*10^4/10^6)^2+(-DN288/([2]Classes!$I$28)^2)^2*([2]Classes!$J$28)^2)</f>
        <v>25.060650744317332</v>
      </c>
      <c r="DP288" s="13">
        <v>6</v>
      </c>
      <c r="DQ288" s="19">
        <f t="shared" si="1237"/>
        <v>1.4222008637522292</v>
      </c>
      <c r="DR288" s="19">
        <f>-0.3*("1991/10/31"-"1991/5/1")*10^4/10^6/'[1]classes-1'!$I$31</f>
        <v>-0.16115570294991843</v>
      </c>
      <c r="DS288" s="12">
        <f>SQRT((1/[2]Classes!$I$31)^2*(("1991/10/31"-"1991/5/1")*10^4/10^6)^2+(-DR288/([2]Classes!$I$31)^2)^2*([2]Classes!$J$31)^2)</f>
        <v>0.5610292847687105</v>
      </c>
      <c r="DT288" s="13">
        <v>6</v>
      </c>
      <c r="DU288" s="19">
        <f t="shared" si="1238"/>
        <v>3.4812871930635851</v>
      </c>
      <c r="DV288" s="19">
        <f t="shared" si="1211"/>
        <v>-17.782190384506201</v>
      </c>
      <c r="DW288" s="12">
        <f t="shared" si="1212"/>
        <v>17.724996044950487</v>
      </c>
      <c r="DX288" s="72">
        <f t="shared" si="1124"/>
        <v>104.72516159783682</v>
      </c>
      <c r="DY288" s="72">
        <f t="shared" si="1125"/>
        <v>104.72516159783683</v>
      </c>
      <c r="EA288" s="19" t="s">
        <v>37</v>
      </c>
      <c r="EB288" s="19" t="s">
        <v>37</v>
      </c>
      <c r="EC288" s="72" t="s">
        <v>37</v>
      </c>
      <c r="EE288" s="19" t="s">
        <v>37</v>
      </c>
      <c r="EF288" s="19" t="s">
        <v>37</v>
      </c>
      <c r="EG288" s="12" t="s">
        <v>37</v>
      </c>
      <c r="EM288" s="12" t="s">
        <v>39</v>
      </c>
      <c r="EN288" s="12">
        <v>-24.4</v>
      </c>
      <c r="EO288" s="50">
        <f t="shared" si="1241"/>
        <v>9.9429121295315568</v>
      </c>
      <c r="EP288" s="13">
        <v>1</v>
      </c>
      <c r="ER288" s="12">
        <v>-83.7</v>
      </c>
      <c r="ES288" s="50">
        <f t="shared" si="1242"/>
        <v>18.984336278719553</v>
      </c>
      <c r="ET288" s="13">
        <v>1</v>
      </c>
      <c r="EV288" s="19">
        <f t="shared" si="1233"/>
        <v>-59.300000000000004</v>
      </c>
      <c r="EW288" s="12" t="e">
        <f t="shared" si="1234"/>
        <v>#DIV/0!</v>
      </c>
      <c r="EX288" s="19" t="e">
        <f t="shared" si="1235"/>
        <v>#DIV/0!</v>
      </c>
      <c r="EY288" s="19">
        <f t="shared" si="1236"/>
        <v>459.26652555909311</v>
      </c>
      <c r="FB288" s="12" t="s">
        <v>37</v>
      </c>
      <c r="FC288" s="12" t="s">
        <v>37</v>
      </c>
      <c r="FD288" s="12" t="s">
        <v>37</v>
      </c>
      <c r="FE288" s="12" t="s">
        <v>37</v>
      </c>
      <c r="FF288" s="20" t="s">
        <v>37</v>
      </c>
      <c r="FG288" s="12" t="s">
        <v>37</v>
      </c>
      <c r="FI288" s="12" t="s">
        <v>37</v>
      </c>
      <c r="FJ288" s="12" t="s">
        <v>37</v>
      </c>
      <c r="FK288" s="12" t="s">
        <v>37</v>
      </c>
      <c r="FL288" s="12" t="s">
        <v>37</v>
      </c>
      <c r="FM288" s="12" t="s">
        <v>37</v>
      </c>
      <c r="FN288" s="12" t="s">
        <v>37</v>
      </c>
      <c r="FP288" s="12" t="s">
        <v>37</v>
      </c>
      <c r="FQ288" s="12" t="s">
        <v>37</v>
      </c>
      <c r="FR288" s="12" t="s">
        <v>37</v>
      </c>
      <c r="FS288" s="12" t="s">
        <v>37</v>
      </c>
      <c r="FT288" s="12" t="s">
        <v>37</v>
      </c>
      <c r="FU288" s="12" t="s">
        <v>37</v>
      </c>
      <c r="FW288" s="12" t="s">
        <v>37</v>
      </c>
      <c r="FX288" s="12" t="s">
        <v>37</v>
      </c>
      <c r="FY288" s="12" t="s">
        <v>37</v>
      </c>
      <c r="FZ288" s="12" t="s">
        <v>37</v>
      </c>
      <c r="GA288" s="12" t="s">
        <v>37</v>
      </c>
      <c r="GB288" s="12" t="s">
        <v>37</v>
      </c>
      <c r="GO288" s="12" t="s">
        <v>660</v>
      </c>
      <c r="GP288" s="12" t="s">
        <v>372</v>
      </c>
      <c r="GQ288" s="12">
        <v>13.9</v>
      </c>
      <c r="GR288" s="50">
        <f t="shared" si="1243"/>
        <v>1.3278608498174032</v>
      </c>
      <c r="GS288" s="13">
        <v>1</v>
      </c>
      <c r="GU288" s="12">
        <v>12</v>
      </c>
      <c r="GV288" s="50">
        <f t="shared" si="1244"/>
        <v>1.2772341876532403</v>
      </c>
      <c r="GW288" s="13">
        <v>1</v>
      </c>
      <c r="GY288" s="19">
        <f t="shared" si="1245"/>
        <v>-0.14698219034864582</v>
      </c>
      <c r="GZ288" s="19">
        <f t="shared" si="1246"/>
        <v>2.045455726748819E-2</v>
      </c>
      <c r="IK288" s="12" t="s">
        <v>37</v>
      </c>
      <c r="IL288" s="12" t="s">
        <v>37</v>
      </c>
      <c r="IM288" s="12" t="s">
        <v>37</v>
      </c>
      <c r="IO288" s="12" t="s">
        <v>37</v>
      </c>
      <c r="IP288" s="12" t="s">
        <v>37</v>
      </c>
      <c r="IQ288" s="12" t="s">
        <v>37</v>
      </c>
      <c r="IV288" s="32" t="s">
        <v>345</v>
      </c>
      <c r="IW288" s="12">
        <v>6.3</v>
      </c>
      <c r="IX288" s="12">
        <v>0.3</v>
      </c>
      <c r="IY288" s="13">
        <v>6</v>
      </c>
      <c r="IZ288" s="19">
        <f t="shared" si="1247"/>
        <v>4.7619047619047616E-2</v>
      </c>
      <c r="JA288" s="13"/>
      <c r="JB288" s="13"/>
      <c r="JH288" s="12" t="s">
        <v>37</v>
      </c>
      <c r="JI288" s="12" t="s">
        <v>37</v>
      </c>
      <c r="JJ288" s="13" t="s">
        <v>37</v>
      </c>
      <c r="JL288" s="12" t="s">
        <v>37</v>
      </c>
      <c r="JM288" s="12" t="s">
        <v>37</v>
      </c>
      <c r="JN288" s="12" t="s">
        <v>37</v>
      </c>
      <c r="JS288" s="12" t="s">
        <v>37</v>
      </c>
      <c r="JT288" s="12" t="s">
        <v>37</v>
      </c>
      <c r="JU288" s="13" t="s">
        <v>37</v>
      </c>
      <c r="JW288" s="12" t="s">
        <v>37</v>
      </c>
      <c r="JX288" s="12" t="s">
        <v>37</v>
      </c>
      <c r="JY288" s="12" t="s">
        <v>37</v>
      </c>
      <c r="KE288" s="12" t="s">
        <v>37</v>
      </c>
      <c r="KF288" s="12" t="s">
        <v>37</v>
      </c>
      <c r="KG288" s="13" t="s">
        <v>37</v>
      </c>
      <c r="KH288" s="12" t="s">
        <v>37</v>
      </c>
      <c r="KI288" s="12" t="s">
        <v>37</v>
      </c>
      <c r="KJ288" s="12" t="s">
        <v>37</v>
      </c>
      <c r="KM288" s="12" t="s">
        <v>37</v>
      </c>
      <c r="KN288" s="12" t="s">
        <v>37</v>
      </c>
      <c r="KO288" s="11" t="s">
        <v>37</v>
      </c>
      <c r="KQ288" s="12" t="s">
        <v>37</v>
      </c>
      <c r="KR288" s="12" t="s">
        <v>37</v>
      </c>
      <c r="KS288" s="12" t="s">
        <v>37</v>
      </c>
      <c r="KX288" s="12" t="s">
        <v>37</v>
      </c>
      <c r="KY288" s="12" t="s">
        <v>37</v>
      </c>
      <c r="KZ288" s="12" t="s">
        <v>37</v>
      </c>
      <c r="LB288" s="12" t="s">
        <v>37</v>
      </c>
      <c r="LC288" s="12" t="s">
        <v>37</v>
      </c>
      <c r="LD288" s="12" t="s">
        <v>37</v>
      </c>
      <c r="LI288" s="12" t="s">
        <v>37</v>
      </c>
      <c r="LJ288" s="12" t="s">
        <v>37</v>
      </c>
      <c r="LK288" s="12" t="s">
        <v>37</v>
      </c>
      <c r="LM288" s="12" t="s">
        <v>37</v>
      </c>
      <c r="LN288" s="12" t="s">
        <v>37</v>
      </c>
      <c r="LO288" s="12" t="s">
        <v>37</v>
      </c>
      <c r="LU288" s="12" t="s">
        <v>37</v>
      </c>
      <c r="LV288" s="12" t="s">
        <v>37</v>
      </c>
      <c r="LW288" s="12" t="s">
        <v>37</v>
      </c>
      <c r="LY288" s="12" t="s">
        <v>37</v>
      </c>
      <c r="LZ288" s="12" t="s">
        <v>37</v>
      </c>
      <c r="MA288" s="12" t="s">
        <v>37</v>
      </c>
      <c r="MF288" s="12" t="s">
        <v>37</v>
      </c>
      <c r="MG288" s="12" t="s">
        <v>37</v>
      </c>
      <c r="MH288" s="12" t="s">
        <v>37</v>
      </c>
      <c r="MJ288" s="12" t="s">
        <v>37</v>
      </c>
      <c r="MK288" s="12" t="s">
        <v>37</v>
      </c>
      <c r="ML288" s="12" t="s">
        <v>37</v>
      </c>
      <c r="MQ288" s="12" t="s">
        <v>37</v>
      </c>
      <c r="MR288" s="12" t="s">
        <v>37</v>
      </c>
      <c r="MS288" s="12" t="s">
        <v>37</v>
      </c>
      <c r="MU288" s="12" t="s">
        <v>37</v>
      </c>
      <c r="MV288" s="12" t="s">
        <v>37</v>
      </c>
      <c r="MW288" s="12" t="s">
        <v>37</v>
      </c>
      <c r="NC288" s="12" t="s">
        <v>37</v>
      </c>
      <c r="ND288" s="12" t="s">
        <v>37</v>
      </c>
      <c r="NE288" s="12" t="s">
        <v>37</v>
      </c>
      <c r="NG288" s="12" t="s">
        <v>37</v>
      </c>
      <c r="NH288" s="12" t="s">
        <v>37</v>
      </c>
      <c r="NI288" s="12" t="s">
        <v>37</v>
      </c>
      <c r="NO288" s="12" t="s">
        <v>37</v>
      </c>
      <c r="NP288" s="12" t="s">
        <v>37</v>
      </c>
      <c r="NQ288" s="12" t="s">
        <v>37</v>
      </c>
      <c r="NS288" s="12" t="s">
        <v>37</v>
      </c>
      <c r="NT288" s="12" t="s">
        <v>37</v>
      </c>
      <c r="NU288" s="12" t="s">
        <v>37</v>
      </c>
      <c r="OA288" s="12" t="s">
        <v>37</v>
      </c>
      <c r="OB288" s="12" t="s">
        <v>37</v>
      </c>
      <c r="OC288" s="12" t="s">
        <v>37</v>
      </c>
      <c r="OD288" s="12"/>
      <c r="OE288" s="12" t="s">
        <v>37</v>
      </c>
      <c r="OF288" s="12" t="s">
        <v>37</v>
      </c>
      <c r="OG288" s="12" t="s">
        <v>37</v>
      </c>
      <c r="OH288" s="12"/>
      <c r="OI288" s="12"/>
      <c r="OJ288" s="12"/>
      <c r="OM288" s="12" t="s">
        <v>37</v>
      </c>
      <c r="ON288" s="12" t="s">
        <v>37</v>
      </c>
      <c r="OO288" s="12" t="s">
        <v>37</v>
      </c>
      <c r="OP288" s="12" t="s">
        <v>37</v>
      </c>
      <c r="OQ288" s="12" t="s">
        <v>37</v>
      </c>
      <c r="OR288" s="12" t="s">
        <v>37</v>
      </c>
      <c r="OS288" s="12"/>
      <c r="OT288" s="12"/>
      <c r="OW288" s="12" t="s">
        <v>37</v>
      </c>
      <c r="OX288" s="12" t="s">
        <v>37</v>
      </c>
      <c r="OY288" s="13" t="s">
        <v>37</v>
      </c>
      <c r="OZ288" s="12" t="s">
        <v>37</v>
      </c>
      <c r="PA288" s="12" t="s">
        <v>37</v>
      </c>
      <c r="PB288" s="13" t="s">
        <v>37</v>
      </c>
      <c r="PG288" s="12" t="s">
        <v>37</v>
      </c>
      <c r="PH288" s="12" t="s">
        <v>37</v>
      </c>
      <c r="PI288" s="12" t="s">
        <v>37</v>
      </c>
      <c r="PJ288" s="12" t="s">
        <v>37</v>
      </c>
      <c r="PK288" s="12" t="s">
        <v>37</v>
      </c>
      <c r="PL288" s="12" t="s">
        <v>37</v>
      </c>
      <c r="PM288" s="12"/>
      <c r="PN288" s="12"/>
      <c r="PQ288" s="12" t="s">
        <v>37</v>
      </c>
      <c r="PR288" s="12" t="s">
        <v>37</v>
      </c>
      <c r="PS288" s="12" t="s">
        <v>37</v>
      </c>
      <c r="PT288" s="12" t="s">
        <v>37</v>
      </c>
      <c r="PU288" s="12" t="s">
        <v>37</v>
      </c>
      <c r="PV288" s="12" t="s">
        <v>37</v>
      </c>
      <c r="PW288" s="12"/>
      <c r="PX288" s="12"/>
      <c r="PZ288" s="12" t="s">
        <v>37</v>
      </c>
      <c r="QA288" s="12" t="s">
        <v>37</v>
      </c>
      <c r="QB288" s="12" t="s">
        <v>37</v>
      </c>
      <c r="QD288" s="12" t="s">
        <v>37</v>
      </c>
      <c r="QE288" s="12" t="s">
        <v>37</v>
      </c>
      <c r="QF288" s="12" t="s">
        <v>37</v>
      </c>
      <c r="QK288" s="12" t="s">
        <v>37</v>
      </c>
      <c r="QL288" s="12" t="s">
        <v>37</v>
      </c>
      <c r="QM288" s="12" t="s">
        <v>37</v>
      </c>
      <c r="QN288" s="12" t="s">
        <v>37</v>
      </c>
      <c r="QO288" s="12" t="s">
        <v>37</v>
      </c>
      <c r="QP288" s="12" t="s">
        <v>37</v>
      </c>
      <c r="QQ288" s="12"/>
      <c r="QR288" s="12"/>
      <c r="QU288" s="12" t="s">
        <v>37</v>
      </c>
      <c r="QV288" s="12" t="s">
        <v>37</v>
      </c>
      <c r="QW288" s="12" t="s">
        <v>37</v>
      </c>
      <c r="QX288" s="12" t="s">
        <v>37</v>
      </c>
      <c r="QY288" s="12" t="s">
        <v>37</v>
      </c>
      <c r="QZ288" s="12" t="s">
        <v>37</v>
      </c>
      <c r="RC288" s="12" t="s">
        <v>37</v>
      </c>
      <c r="RD288" s="12" t="s">
        <v>37</v>
      </c>
      <c r="RE288" s="13" t="s">
        <v>37</v>
      </c>
      <c r="RF288" s="12" t="s">
        <v>37</v>
      </c>
      <c r="RG288" s="12" t="s">
        <v>37</v>
      </c>
      <c r="RH288" s="13" t="s">
        <v>37</v>
      </c>
      <c r="RK288" s="12" t="s">
        <v>37</v>
      </c>
      <c r="RL288" s="12" t="s">
        <v>37</v>
      </c>
      <c r="RM288" s="11" t="s">
        <v>37</v>
      </c>
      <c r="RN288" s="12" t="s">
        <v>37</v>
      </c>
      <c r="RO288" s="12" t="s">
        <v>37</v>
      </c>
      <c r="RP288" s="11" t="s">
        <v>37</v>
      </c>
      <c r="RS288" s="12" t="s">
        <v>37</v>
      </c>
      <c r="RT288" s="12" t="s">
        <v>37</v>
      </c>
      <c r="RU288" s="12" t="s">
        <v>37</v>
      </c>
      <c r="RV288" s="12" t="s">
        <v>37</v>
      </c>
      <c r="RW288" s="12" t="s">
        <v>37</v>
      </c>
      <c r="RX288" s="12" t="s">
        <v>37</v>
      </c>
      <c r="SA288" s="12" t="s">
        <v>37</v>
      </c>
      <c r="SB288" s="12" t="s">
        <v>37</v>
      </c>
      <c r="SC288" s="12" t="s">
        <v>37</v>
      </c>
      <c r="SD288" s="12" t="s">
        <v>37</v>
      </c>
      <c r="SE288" s="12" t="s">
        <v>37</v>
      </c>
      <c r="SF288" s="12" t="s">
        <v>37</v>
      </c>
      <c r="SI288" s="12" t="s">
        <v>37</v>
      </c>
      <c r="SJ288" s="12" t="s">
        <v>37</v>
      </c>
      <c r="SK288" s="13" t="s">
        <v>37</v>
      </c>
      <c r="SM288" s="12" t="s">
        <v>37</v>
      </c>
      <c r="SN288" s="12" t="s">
        <v>37</v>
      </c>
      <c r="SO288" s="13" t="s">
        <v>37</v>
      </c>
      <c r="SU288" s="12" t="s">
        <v>37</v>
      </c>
      <c r="SV288" s="12" t="s">
        <v>37</v>
      </c>
      <c r="SW288" s="12" t="s">
        <v>37</v>
      </c>
      <c r="SX288" s="12" t="s">
        <v>37</v>
      </c>
      <c r="SY288" s="12" t="s">
        <v>37</v>
      </c>
      <c r="SZ288" s="12" t="s">
        <v>37</v>
      </c>
      <c r="TA288" s="12"/>
      <c r="TB288" s="12"/>
      <c r="TE288" s="12" t="s">
        <v>37</v>
      </c>
      <c r="TF288" s="12" t="s">
        <v>37</v>
      </c>
      <c r="TG288" s="12" t="s">
        <v>37</v>
      </c>
      <c r="TH288" s="12" t="s">
        <v>37</v>
      </c>
      <c r="TI288" s="12" t="s">
        <v>37</v>
      </c>
      <c r="TJ288" s="12" t="s">
        <v>37</v>
      </c>
      <c r="TK288" s="12"/>
      <c r="TL288" s="12"/>
      <c r="TO288" s="12" t="s">
        <v>37</v>
      </c>
      <c r="TP288" s="12" t="s">
        <v>37</v>
      </c>
      <c r="TQ288" s="12" t="s">
        <v>37</v>
      </c>
      <c r="TR288" s="12" t="s">
        <v>37</v>
      </c>
      <c r="TS288" s="12" t="s">
        <v>37</v>
      </c>
      <c r="TT288" s="12" t="s">
        <v>37</v>
      </c>
      <c r="TU288" s="12"/>
      <c r="TV288" s="12"/>
      <c r="TY288" s="12" t="s">
        <v>37</v>
      </c>
      <c r="TZ288" s="12" t="s">
        <v>37</v>
      </c>
      <c r="UA288" s="12" t="s">
        <v>37</v>
      </c>
      <c r="UB288" s="12" t="s">
        <v>37</v>
      </c>
      <c r="UC288" s="12" t="s">
        <v>37</v>
      </c>
      <c r="UD288" s="12" t="s">
        <v>37</v>
      </c>
      <c r="UE288" s="12"/>
      <c r="UF288" s="12"/>
      <c r="UI288" s="12" t="s">
        <v>37</v>
      </c>
      <c r="UJ288" s="12" t="s">
        <v>37</v>
      </c>
      <c r="UK288" s="12" t="s">
        <v>37</v>
      </c>
      <c r="UL288" s="12" t="s">
        <v>37</v>
      </c>
      <c r="UM288" s="12" t="s">
        <v>37</v>
      </c>
      <c r="UN288" s="12" t="s">
        <v>37</v>
      </c>
      <c r="UO288" s="12"/>
      <c r="UP288" s="12"/>
      <c r="UR288" s="12" t="s">
        <v>37</v>
      </c>
      <c r="US288" s="12" t="s">
        <v>37</v>
      </c>
      <c r="UT288" s="12" t="s">
        <v>37</v>
      </c>
      <c r="UU288" s="12" t="s">
        <v>37</v>
      </c>
      <c r="UV288" s="12" t="s">
        <v>37</v>
      </c>
      <c r="UW288" s="12" t="s">
        <v>37</v>
      </c>
      <c r="UX288" s="12"/>
      <c r="UY288" s="12"/>
      <c r="VB288" s="12" t="s">
        <v>37</v>
      </c>
      <c r="VC288" s="12" t="s">
        <v>37</v>
      </c>
      <c r="VD288" s="12" t="s">
        <v>37</v>
      </c>
      <c r="VE288" s="12" t="s">
        <v>37</v>
      </c>
      <c r="VF288" s="12" t="s">
        <v>37</v>
      </c>
      <c r="VG288" s="12" t="s">
        <v>37</v>
      </c>
      <c r="VI288" s="12" t="s">
        <v>37</v>
      </c>
      <c r="VJ288" s="12" t="s">
        <v>37</v>
      </c>
      <c r="VK288" s="12" t="s">
        <v>37</v>
      </c>
      <c r="VL288" s="12" t="s">
        <v>37</v>
      </c>
      <c r="VM288" s="12" t="s">
        <v>37</v>
      </c>
      <c r="VN288" s="12" t="s">
        <v>37</v>
      </c>
      <c r="VQ288" s="12" t="s">
        <v>37</v>
      </c>
      <c r="VR288" s="12" t="s">
        <v>37</v>
      </c>
      <c r="VS288" s="12" t="s">
        <v>37</v>
      </c>
      <c r="VT288" s="12" t="s">
        <v>37</v>
      </c>
      <c r="VU288" s="12" t="s">
        <v>37</v>
      </c>
      <c r="VV288" s="12" t="s">
        <v>37</v>
      </c>
      <c r="VW288" s="12"/>
      <c r="VX288" s="12"/>
      <c r="WA288" s="12" t="s">
        <v>37</v>
      </c>
      <c r="WB288" s="12" t="s">
        <v>37</v>
      </c>
      <c r="WC288" s="12" t="s">
        <v>37</v>
      </c>
      <c r="WD288" s="12" t="s">
        <v>37</v>
      </c>
      <c r="WE288" s="12" t="s">
        <v>37</v>
      </c>
      <c r="WF288" s="12" t="s">
        <v>37</v>
      </c>
    </row>
    <row r="289" spans="1:604" ht="18" customHeight="1" x14ac:dyDescent="0.3">
      <c r="A289" s="11">
        <v>70</v>
      </c>
      <c r="B289" s="16" t="s">
        <v>399</v>
      </c>
      <c r="C289" s="12" t="s">
        <v>32</v>
      </c>
      <c r="D289" s="12" t="s">
        <v>54</v>
      </c>
      <c r="E289" s="40" t="s">
        <v>37</v>
      </c>
      <c r="F289" s="14">
        <v>0</v>
      </c>
      <c r="G289" s="14">
        <v>0</v>
      </c>
      <c r="H289" s="12" t="s">
        <v>91</v>
      </c>
      <c r="I289" s="29">
        <v>49.05</v>
      </c>
      <c r="J289" s="29">
        <v>-80.667000000000002</v>
      </c>
      <c r="K289" s="12" t="s">
        <v>778</v>
      </c>
      <c r="L289" s="12" t="s">
        <v>779</v>
      </c>
      <c r="M289" s="13" t="s">
        <v>37</v>
      </c>
      <c r="N289" s="14">
        <v>0.6</v>
      </c>
      <c r="O289" s="14">
        <v>885</v>
      </c>
      <c r="P289" s="14" t="s">
        <v>16</v>
      </c>
      <c r="Q289" s="75">
        <v>7</v>
      </c>
      <c r="R289" s="11" t="s">
        <v>1000</v>
      </c>
      <c r="S289" s="12" t="s">
        <v>85</v>
      </c>
      <c r="T289" s="12" t="s">
        <v>138</v>
      </c>
      <c r="U289" s="12" t="s">
        <v>164</v>
      </c>
      <c r="V289" s="12" t="s">
        <v>275</v>
      </c>
      <c r="W289" s="23" t="s">
        <v>403</v>
      </c>
      <c r="X289" s="12" t="s">
        <v>281</v>
      </c>
      <c r="Y289" s="12" t="s">
        <v>37</v>
      </c>
      <c r="Z289" s="12" t="s">
        <v>37</v>
      </c>
      <c r="AA289" s="32" t="s">
        <v>345</v>
      </c>
      <c r="AB289" s="12">
        <v>6.3</v>
      </c>
      <c r="AE289" s="12" t="s">
        <v>37</v>
      </c>
      <c r="AH289" s="12" t="s">
        <v>37</v>
      </c>
      <c r="AK289" s="12" t="s">
        <v>37</v>
      </c>
      <c r="AL289" s="32" t="s">
        <v>400</v>
      </c>
      <c r="AM289" s="12" t="s">
        <v>317</v>
      </c>
      <c r="AN289" s="32" t="s">
        <v>879</v>
      </c>
      <c r="AO289" s="12" t="s">
        <v>37</v>
      </c>
      <c r="AP289" s="12" t="s">
        <v>401</v>
      </c>
      <c r="AQ289" s="12" t="s">
        <v>975</v>
      </c>
      <c r="AT289" s="12" t="s">
        <v>326</v>
      </c>
      <c r="AU289" s="12" t="s">
        <v>326</v>
      </c>
      <c r="AV289" s="13" t="s">
        <v>326</v>
      </c>
      <c r="AX289" s="12" t="s">
        <v>326</v>
      </c>
      <c r="AY289" s="12" t="s">
        <v>326</v>
      </c>
      <c r="AZ289" s="13" t="s">
        <v>326</v>
      </c>
      <c r="BE289" s="12" t="s">
        <v>326</v>
      </c>
      <c r="BF289" s="12" t="s">
        <v>326</v>
      </c>
      <c r="BG289" s="12" t="s">
        <v>326</v>
      </c>
      <c r="BI289" s="12" t="s">
        <v>326</v>
      </c>
      <c r="BJ289" s="12" t="s">
        <v>326</v>
      </c>
      <c r="BK289" s="12" t="s">
        <v>326</v>
      </c>
      <c r="BP289" s="12" t="s">
        <v>37</v>
      </c>
      <c r="BQ289" s="12" t="s">
        <v>37</v>
      </c>
      <c r="BR289" s="13" t="s">
        <v>37</v>
      </c>
      <c r="BT289" s="12" t="s">
        <v>37</v>
      </c>
      <c r="BU289" s="12" t="s">
        <v>37</v>
      </c>
      <c r="BV289" s="12" t="s">
        <v>37</v>
      </c>
      <c r="CA289" s="12" t="s">
        <v>37</v>
      </c>
      <c r="CB289" s="12" t="s">
        <v>37</v>
      </c>
      <c r="CC289" s="13" t="s">
        <v>37</v>
      </c>
      <c r="CE289" s="12" t="s">
        <v>37</v>
      </c>
      <c r="CF289" s="12" t="s">
        <v>37</v>
      </c>
      <c r="CG289" s="12" t="s">
        <v>37</v>
      </c>
      <c r="CN289" s="12" t="s">
        <v>37</v>
      </c>
      <c r="CO289" s="12" t="s">
        <v>37</v>
      </c>
      <c r="CP289" s="13" t="s">
        <v>37</v>
      </c>
      <c r="CR289" s="12" t="s">
        <v>37</v>
      </c>
      <c r="CS289" s="12" t="s">
        <v>37</v>
      </c>
      <c r="CT289" s="13" t="s">
        <v>37</v>
      </c>
      <c r="CX289" s="72"/>
      <c r="CY289" s="72"/>
      <c r="DA289" s="12" t="s">
        <v>37</v>
      </c>
      <c r="DB289" s="12" t="s">
        <v>37</v>
      </c>
      <c r="DC289" s="13" t="s">
        <v>37</v>
      </c>
      <c r="DE289" s="12" t="s">
        <v>37</v>
      </c>
      <c r="DF289" s="12" t="s">
        <v>37</v>
      </c>
      <c r="DG289" s="12" t="s">
        <v>37</v>
      </c>
      <c r="DM289" s="12" t="s">
        <v>47</v>
      </c>
      <c r="DN289" s="19">
        <f>7.3*("1991/10/31"-"1991/5/1")*10^4/10^6/'[1]classes-1'!$I$28</f>
        <v>17.621034681556281</v>
      </c>
      <c r="DO289" s="12">
        <f>DO288</f>
        <v>25.060650744317332</v>
      </c>
      <c r="DP289" s="13">
        <v>6</v>
      </c>
      <c r="DQ289" s="19">
        <f t="shared" si="1237"/>
        <v>1.4222008637522292</v>
      </c>
      <c r="DR289" s="19">
        <f>-0.1*("1991/10/31"-"1991/5/1")*10^4/10^6/'[1]classes-1'!$I$31</f>
        <v>-5.3718567649972807E-2</v>
      </c>
      <c r="DS289" s="12">
        <f>SQRT((1/[2]Classes!$I$31)^2*(1*("1991/10/31"-"1991/5/1")*10^4/10^6)^2+(-DR289/([2]Classes!$I$31)^2)^2*([2]Classes!$J$31)^2)</f>
        <v>0.5398869703372956</v>
      </c>
      <c r="DT289" s="13">
        <v>6</v>
      </c>
      <c r="DU289" s="19">
        <f t="shared" si="1238"/>
        <v>10.050286036202026</v>
      </c>
      <c r="DV289" s="19">
        <f t="shared" si="1211"/>
        <v>-17.674753249206255</v>
      </c>
      <c r="DW289" s="12">
        <f t="shared" si="1212"/>
        <v>17.724667749627816</v>
      </c>
      <c r="DX289" s="72">
        <f t="shared" si="1124"/>
        <v>104.72128227823214</v>
      </c>
      <c r="DY289" s="72">
        <f t="shared" si="1125"/>
        <v>104.72128227823215</v>
      </c>
      <c r="EA289" s="19" t="s">
        <v>37</v>
      </c>
      <c r="EB289" s="19" t="s">
        <v>37</v>
      </c>
      <c r="EC289" s="72" t="s">
        <v>37</v>
      </c>
      <c r="EE289" s="19" t="s">
        <v>37</v>
      </c>
      <c r="EF289" s="19" t="s">
        <v>37</v>
      </c>
      <c r="EG289" s="12" t="s">
        <v>37</v>
      </c>
      <c r="EM289" s="12" t="s">
        <v>39</v>
      </c>
      <c r="EN289" s="12">
        <v>-24.4</v>
      </c>
      <c r="EO289" s="50">
        <f t="shared" si="1241"/>
        <v>9.9429121295315568</v>
      </c>
      <c r="EP289" s="13">
        <v>1</v>
      </c>
      <c r="ER289" s="12">
        <v>-49.1</v>
      </c>
      <c r="ES289" s="50">
        <f t="shared" si="1242"/>
        <v>11.136570027301435</v>
      </c>
      <c r="ET289" s="13">
        <v>1</v>
      </c>
      <c r="EV289" s="19">
        <f t="shared" si="1233"/>
        <v>-24.700000000000003</v>
      </c>
      <c r="EW289" s="12" t="e">
        <f t="shared" si="1234"/>
        <v>#DIV/0!</v>
      </c>
      <c r="EX289" s="19" t="e">
        <f t="shared" si="1235"/>
        <v>#DIV/0!</v>
      </c>
      <c r="EY289" s="19">
        <f t="shared" si="1236"/>
        <v>222.88469358857444</v>
      </c>
      <c r="FB289" s="12" t="s">
        <v>37</v>
      </c>
      <c r="FC289" s="12" t="s">
        <v>37</v>
      </c>
      <c r="FD289" s="12" t="s">
        <v>37</v>
      </c>
      <c r="FE289" s="12" t="s">
        <v>37</v>
      </c>
      <c r="FF289" s="20" t="s">
        <v>37</v>
      </c>
      <c r="FG289" s="12" t="s">
        <v>37</v>
      </c>
      <c r="FI289" s="12" t="s">
        <v>37</v>
      </c>
      <c r="FJ289" s="12" t="s">
        <v>37</v>
      </c>
      <c r="FK289" s="12" t="s">
        <v>37</v>
      </c>
      <c r="FL289" s="12" t="s">
        <v>37</v>
      </c>
      <c r="FM289" s="12" t="s">
        <v>37</v>
      </c>
      <c r="FN289" s="12" t="s">
        <v>37</v>
      </c>
      <c r="FP289" s="12" t="s">
        <v>37</v>
      </c>
      <c r="FQ289" s="12" t="s">
        <v>37</v>
      </c>
      <c r="FR289" s="12" t="s">
        <v>37</v>
      </c>
      <c r="FS289" s="12" t="s">
        <v>37</v>
      </c>
      <c r="FT289" s="12" t="s">
        <v>37</v>
      </c>
      <c r="FU289" s="12" t="s">
        <v>37</v>
      </c>
      <c r="FW289" s="12" t="s">
        <v>37</v>
      </c>
      <c r="FX289" s="12" t="s">
        <v>37</v>
      </c>
      <c r="FY289" s="12" t="s">
        <v>37</v>
      </c>
      <c r="FZ289" s="12" t="s">
        <v>37</v>
      </c>
      <c r="GA289" s="12" t="s">
        <v>37</v>
      </c>
      <c r="GB289" s="12" t="s">
        <v>37</v>
      </c>
      <c r="GO289" s="12" t="s">
        <v>660</v>
      </c>
      <c r="GP289" s="12" t="s">
        <v>372</v>
      </c>
      <c r="GQ289" s="12">
        <v>13.9</v>
      </c>
      <c r="GR289" s="50">
        <f t="shared" si="1243"/>
        <v>1.3278608498174032</v>
      </c>
      <c r="GS289" s="13">
        <v>1</v>
      </c>
      <c r="GU289" s="12">
        <v>12.8</v>
      </c>
      <c r="GV289" s="50">
        <f t="shared" si="1244"/>
        <v>1.3623831334967897</v>
      </c>
      <c r="GW289" s="13">
        <v>1</v>
      </c>
      <c r="GY289" s="19">
        <f t="shared" si="1245"/>
        <v>-8.2443669211074544E-2</v>
      </c>
      <c r="GZ289" s="19">
        <f t="shared" si="1246"/>
        <v>2.0454557267488193E-2</v>
      </c>
      <c r="IK289" s="12" t="s">
        <v>37</v>
      </c>
      <c r="IL289" s="12" t="s">
        <v>37</v>
      </c>
      <c r="IM289" s="12" t="s">
        <v>37</v>
      </c>
      <c r="IO289" s="12" t="s">
        <v>37</v>
      </c>
      <c r="IP289" s="12" t="s">
        <v>37</v>
      </c>
      <c r="IQ289" s="12" t="s">
        <v>37</v>
      </c>
      <c r="IV289" s="32" t="s">
        <v>345</v>
      </c>
      <c r="IW289" s="12">
        <v>6.3</v>
      </c>
      <c r="IX289" s="12">
        <v>0.3</v>
      </c>
      <c r="IY289" s="13">
        <v>6</v>
      </c>
      <c r="IZ289" s="19">
        <f t="shared" si="1247"/>
        <v>4.7619047619047616E-2</v>
      </c>
      <c r="JA289" s="13"/>
      <c r="JB289" s="13"/>
      <c r="JH289" s="12" t="s">
        <v>37</v>
      </c>
      <c r="JI289" s="12" t="s">
        <v>37</v>
      </c>
      <c r="JJ289" s="13" t="s">
        <v>37</v>
      </c>
      <c r="JL289" s="12" t="s">
        <v>37</v>
      </c>
      <c r="JM289" s="12" t="s">
        <v>37</v>
      </c>
      <c r="JN289" s="12" t="s">
        <v>37</v>
      </c>
      <c r="JS289" s="12" t="s">
        <v>37</v>
      </c>
      <c r="JT289" s="12" t="s">
        <v>37</v>
      </c>
      <c r="JU289" s="13" t="s">
        <v>37</v>
      </c>
      <c r="JW289" s="12" t="s">
        <v>37</v>
      </c>
      <c r="JX289" s="12" t="s">
        <v>37</v>
      </c>
      <c r="JY289" s="12" t="s">
        <v>37</v>
      </c>
      <c r="KE289" s="12" t="s">
        <v>37</v>
      </c>
      <c r="KF289" s="12" t="s">
        <v>37</v>
      </c>
      <c r="KG289" s="13" t="s">
        <v>37</v>
      </c>
      <c r="KH289" s="12" t="s">
        <v>37</v>
      </c>
      <c r="KI289" s="12" t="s">
        <v>37</v>
      </c>
      <c r="KJ289" s="12" t="s">
        <v>37</v>
      </c>
      <c r="KM289" s="12" t="s">
        <v>37</v>
      </c>
      <c r="KN289" s="12" t="s">
        <v>37</v>
      </c>
      <c r="KO289" s="11" t="s">
        <v>37</v>
      </c>
      <c r="KQ289" s="12" t="s">
        <v>37</v>
      </c>
      <c r="KR289" s="12" t="s">
        <v>37</v>
      </c>
      <c r="KS289" s="12" t="s">
        <v>37</v>
      </c>
      <c r="KX289" s="12" t="s">
        <v>37</v>
      </c>
      <c r="KY289" s="12" t="s">
        <v>37</v>
      </c>
      <c r="KZ289" s="12" t="s">
        <v>37</v>
      </c>
      <c r="LB289" s="12" t="s">
        <v>37</v>
      </c>
      <c r="LC289" s="12" t="s">
        <v>37</v>
      </c>
      <c r="LD289" s="12" t="s">
        <v>37</v>
      </c>
      <c r="LI289" s="12" t="s">
        <v>37</v>
      </c>
      <c r="LJ289" s="12" t="s">
        <v>37</v>
      </c>
      <c r="LK289" s="12" t="s">
        <v>37</v>
      </c>
      <c r="LM289" s="12" t="s">
        <v>37</v>
      </c>
      <c r="LN289" s="12" t="s">
        <v>37</v>
      </c>
      <c r="LO289" s="12" t="s">
        <v>37</v>
      </c>
      <c r="LU289" s="12" t="s">
        <v>37</v>
      </c>
      <c r="LV289" s="12" t="s">
        <v>37</v>
      </c>
      <c r="LW289" s="12" t="s">
        <v>37</v>
      </c>
      <c r="LY289" s="12" t="s">
        <v>37</v>
      </c>
      <c r="LZ289" s="12" t="s">
        <v>37</v>
      </c>
      <c r="MA289" s="12" t="s">
        <v>37</v>
      </c>
      <c r="MF289" s="12" t="s">
        <v>37</v>
      </c>
      <c r="MG289" s="12" t="s">
        <v>37</v>
      </c>
      <c r="MH289" s="12" t="s">
        <v>37</v>
      </c>
      <c r="MJ289" s="12" t="s">
        <v>37</v>
      </c>
      <c r="MK289" s="12" t="s">
        <v>37</v>
      </c>
      <c r="ML289" s="12" t="s">
        <v>37</v>
      </c>
      <c r="MQ289" s="12" t="s">
        <v>37</v>
      </c>
      <c r="MR289" s="12" t="s">
        <v>37</v>
      </c>
      <c r="MS289" s="12" t="s">
        <v>37</v>
      </c>
      <c r="MU289" s="12" t="s">
        <v>37</v>
      </c>
      <c r="MV289" s="12" t="s">
        <v>37</v>
      </c>
      <c r="MW289" s="12" t="s">
        <v>37</v>
      </c>
      <c r="NC289" s="12" t="s">
        <v>37</v>
      </c>
      <c r="ND289" s="12" t="s">
        <v>37</v>
      </c>
      <c r="NE289" s="12" t="s">
        <v>37</v>
      </c>
      <c r="NG289" s="12" t="s">
        <v>37</v>
      </c>
      <c r="NH289" s="12" t="s">
        <v>37</v>
      </c>
      <c r="NI289" s="12" t="s">
        <v>37</v>
      </c>
      <c r="NO289" s="12" t="s">
        <v>37</v>
      </c>
      <c r="NP289" s="12" t="s">
        <v>37</v>
      </c>
      <c r="NQ289" s="12" t="s">
        <v>37</v>
      </c>
      <c r="NS289" s="12" t="s">
        <v>37</v>
      </c>
      <c r="NT289" s="12" t="s">
        <v>37</v>
      </c>
      <c r="NU289" s="12" t="s">
        <v>37</v>
      </c>
      <c r="OA289" s="12" t="s">
        <v>37</v>
      </c>
      <c r="OB289" s="12" t="s">
        <v>37</v>
      </c>
      <c r="OC289" s="12" t="s">
        <v>37</v>
      </c>
      <c r="OD289" s="12"/>
      <c r="OE289" s="12" t="s">
        <v>37</v>
      </c>
      <c r="OF289" s="12" t="s">
        <v>37</v>
      </c>
      <c r="OG289" s="12" t="s">
        <v>37</v>
      </c>
      <c r="OH289" s="12"/>
      <c r="OI289" s="12"/>
      <c r="OJ289" s="12"/>
      <c r="OM289" s="12" t="s">
        <v>37</v>
      </c>
      <c r="ON289" s="12" t="s">
        <v>37</v>
      </c>
      <c r="OO289" s="12" t="s">
        <v>37</v>
      </c>
      <c r="OP289" s="12" t="s">
        <v>37</v>
      </c>
      <c r="OQ289" s="12" t="s">
        <v>37</v>
      </c>
      <c r="OR289" s="12" t="s">
        <v>37</v>
      </c>
      <c r="OS289" s="12"/>
      <c r="OT289" s="12"/>
      <c r="OW289" s="12" t="s">
        <v>37</v>
      </c>
      <c r="OX289" s="12" t="s">
        <v>37</v>
      </c>
      <c r="OY289" s="13" t="s">
        <v>37</v>
      </c>
      <c r="OZ289" s="12" t="s">
        <v>37</v>
      </c>
      <c r="PA289" s="12" t="s">
        <v>37</v>
      </c>
      <c r="PB289" s="13" t="s">
        <v>37</v>
      </c>
      <c r="PG289" s="12" t="s">
        <v>37</v>
      </c>
      <c r="PH289" s="12" t="s">
        <v>37</v>
      </c>
      <c r="PI289" s="12" t="s">
        <v>37</v>
      </c>
      <c r="PJ289" s="12" t="s">
        <v>37</v>
      </c>
      <c r="PK289" s="12" t="s">
        <v>37</v>
      </c>
      <c r="PL289" s="12" t="s">
        <v>37</v>
      </c>
      <c r="PM289" s="12"/>
      <c r="PN289" s="12"/>
      <c r="PQ289" s="12" t="s">
        <v>37</v>
      </c>
      <c r="PR289" s="12" t="s">
        <v>37</v>
      </c>
      <c r="PS289" s="12" t="s">
        <v>37</v>
      </c>
      <c r="PT289" s="12" t="s">
        <v>37</v>
      </c>
      <c r="PU289" s="12" t="s">
        <v>37</v>
      </c>
      <c r="PV289" s="12" t="s">
        <v>37</v>
      </c>
      <c r="PW289" s="12"/>
      <c r="PX289" s="12"/>
      <c r="PZ289" s="12" t="s">
        <v>37</v>
      </c>
      <c r="QA289" s="12" t="s">
        <v>37</v>
      </c>
      <c r="QB289" s="12" t="s">
        <v>37</v>
      </c>
      <c r="QD289" s="12" t="s">
        <v>37</v>
      </c>
      <c r="QE289" s="12" t="s">
        <v>37</v>
      </c>
      <c r="QF289" s="12" t="s">
        <v>37</v>
      </c>
      <c r="QK289" s="12" t="s">
        <v>37</v>
      </c>
      <c r="QL289" s="12" t="s">
        <v>37</v>
      </c>
      <c r="QM289" s="12" t="s">
        <v>37</v>
      </c>
      <c r="QN289" s="12" t="s">
        <v>37</v>
      </c>
      <c r="QO289" s="12" t="s">
        <v>37</v>
      </c>
      <c r="QP289" s="12" t="s">
        <v>37</v>
      </c>
      <c r="QQ289" s="12"/>
      <c r="QR289" s="12"/>
      <c r="QU289" s="12" t="s">
        <v>37</v>
      </c>
      <c r="QV289" s="12" t="s">
        <v>37</v>
      </c>
      <c r="QW289" s="12" t="s">
        <v>37</v>
      </c>
      <c r="QX289" s="12" t="s">
        <v>37</v>
      </c>
      <c r="QY289" s="12" t="s">
        <v>37</v>
      </c>
      <c r="QZ289" s="12" t="s">
        <v>37</v>
      </c>
      <c r="RC289" s="12" t="s">
        <v>37</v>
      </c>
      <c r="RD289" s="12" t="s">
        <v>37</v>
      </c>
      <c r="RE289" s="13" t="s">
        <v>37</v>
      </c>
      <c r="RF289" s="12" t="s">
        <v>37</v>
      </c>
      <c r="RG289" s="12" t="s">
        <v>37</v>
      </c>
      <c r="RH289" s="13" t="s">
        <v>37</v>
      </c>
      <c r="RK289" s="12" t="s">
        <v>37</v>
      </c>
      <c r="RL289" s="12" t="s">
        <v>37</v>
      </c>
      <c r="RM289" s="11" t="s">
        <v>37</v>
      </c>
      <c r="RN289" s="12" t="s">
        <v>37</v>
      </c>
      <c r="RO289" s="12" t="s">
        <v>37</v>
      </c>
      <c r="RP289" s="11" t="s">
        <v>37</v>
      </c>
      <c r="RS289" s="12" t="s">
        <v>37</v>
      </c>
      <c r="RT289" s="12" t="s">
        <v>37</v>
      </c>
      <c r="RU289" s="12" t="s">
        <v>37</v>
      </c>
      <c r="RV289" s="12" t="s">
        <v>37</v>
      </c>
      <c r="RW289" s="12" t="s">
        <v>37</v>
      </c>
      <c r="RX289" s="12" t="s">
        <v>37</v>
      </c>
      <c r="SA289" s="12" t="s">
        <v>37</v>
      </c>
      <c r="SB289" s="12" t="s">
        <v>37</v>
      </c>
      <c r="SC289" s="12" t="s">
        <v>37</v>
      </c>
      <c r="SD289" s="12" t="s">
        <v>37</v>
      </c>
      <c r="SE289" s="12" t="s">
        <v>37</v>
      </c>
      <c r="SF289" s="12" t="s">
        <v>37</v>
      </c>
      <c r="SI289" s="12" t="s">
        <v>37</v>
      </c>
      <c r="SJ289" s="12" t="s">
        <v>37</v>
      </c>
      <c r="SK289" s="13" t="s">
        <v>37</v>
      </c>
      <c r="SM289" s="12" t="s">
        <v>37</v>
      </c>
      <c r="SN289" s="12" t="s">
        <v>37</v>
      </c>
      <c r="SO289" s="13" t="s">
        <v>37</v>
      </c>
      <c r="SU289" s="12" t="s">
        <v>37</v>
      </c>
      <c r="SV289" s="12" t="s">
        <v>37</v>
      </c>
      <c r="SW289" s="12" t="s">
        <v>37</v>
      </c>
      <c r="SX289" s="12" t="s">
        <v>37</v>
      </c>
      <c r="SY289" s="12" t="s">
        <v>37</v>
      </c>
      <c r="SZ289" s="12" t="s">
        <v>37</v>
      </c>
      <c r="TA289" s="12"/>
      <c r="TB289" s="12"/>
      <c r="TE289" s="12" t="s">
        <v>37</v>
      </c>
      <c r="TF289" s="12" t="s">
        <v>37</v>
      </c>
      <c r="TG289" s="12" t="s">
        <v>37</v>
      </c>
      <c r="TH289" s="12" t="s">
        <v>37</v>
      </c>
      <c r="TI289" s="12" t="s">
        <v>37</v>
      </c>
      <c r="TJ289" s="12" t="s">
        <v>37</v>
      </c>
      <c r="TK289" s="12"/>
      <c r="TL289" s="12"/>
      <c r="TO289" s="12" t="s">
        <v>37</v>
      </c>
      <c r="TP289" s="12" t="s">
        <v>37</v>
      </c>
      <c r="TQ289" s="12" t="s">
        <v>37</v>
      </c>
      <c r="TR289" s="12" t="s">
        <v>37</v>
      </c>
      <c r="TS289" s="12" t="s">
        <v>37</v>
      </c>
      <c r="TT289" s="12" t="s">
        <v>37</v>
      </c>
      <c r="TU289" s="12"/>
      <c r="TV289" s="12"/>
      <c r="TY289" s="12" t="s">
        <v>37</v>
      </c>
      <c r="TZ289" s="12" t="s">
        <v>37</v>
      </c>
      <c r="UA289" s="12" t="s">
        <v>37</v>
      </c>
      <c r="UB289" s="12" t="s">
        <v>37</v>
      </c>
      <c r="UC289" s="12" t="s">
        <v>37</v>
      </c>
      <c r="UD289" s="12" t="s">
        <v>37</v>
      </c>
      <c r="UE289" s="12"/>
      <c r="UF289" s="12"/>
      <c r="UI289" s="12" t="s">
        <v>37</v>
      </c>
      <c r="UJ289" s="12" t="s">
        <v>37</v>
      </c>
      <c r="UK289" s="12" t="s">
        <v>37</v>
      </c>
      <c r="UL289" s="12" t="s">
        <v>37</v>
      </c>
      <c r="UM289" s="12" t="s">
        <v>37</v>
      </c>
      <c r="UN289" s="12" t="s">
        <v>37</v>
      </c>
      <c r="UO289" s="12"/>
      <c r="UP289" s="12"/>
      <c r="UR289" s="12" t="s">
        <v>37</v>
      </c>
      <c r="US289" s="12" t="s">
        <v>37</v>
      </c>
      <c r="UT289" s="12" t="s">
        <v>37</v>
      </c>
      <c r="UU289" s="12" t="s">
        <v>37</v>
      </c>
      <c r="UV289" s="12" t="s">
        <v>37</v>
      </c>
      <c r="UW289" s="12" t="s">
        <v>37</v>
      </c>
      <c r="UX289" s="12"/>
      <c r="UY289" s="12"/>
      <c r="VB289" s="12" t="s">
        <v>37</v>
      </c>
      <c r="VC289" s="12" t="s">
        <v>37</v>
      </c>
      <c r="VD289" s="12" t="s">
        <v>37</v>
      </c>
      <c r="VE289" s="12" t="s">
        <v>37</v>
      </c>
      <c r="VF289" s="12" t="s">
        <v>37</v>
      </c>
      <c r="VG289" s="12" t="s">
        <v>37</v>
      </c>
      <c r="VI289" s="12" t="s">
        <v>37</v>
      </c>
      <c r="VJ289" s="12" t="s">
        <v>37</v>
      </c>
      <c r="VK289" s="12" t="s">
        <v>37</v>
      </c>
      <c r="VL289" s="12" t="s">
        <v>37</v>
      </c>
      <c r="VM289" s="12" t="s">
        <v>37</v>
      </c>
      <c r="VN289" s="12" t="s">
        <v>37</v>
      </c>
      <c r="VQ289" s="12" t="s">
        <v>37</v>
      </c>
      <c r="VR289" s="12" t="s">
        <v>37</v>
      </c>
      <c r="VS289" s="12" t="s">
        <v>37</v>
      </c>
      <c r="VT289" s="12" t="s">
        <v>37</v>
      </c>
      <c r="VU289" s="12" t="s">
        <v>37</v>
      </c>
      <c r="VV289" s="12" t="s">
        <v>37</v>
      </c>
      <c r="VW289" s="12"/>
      <c r="VX289" s="12"/>
      <c r="WA289" s="12" t="s">
        <v>37</v>
      </c>
      <c r="WB289" s="12" t="s">
        <v>37</v>
      </c>
      <c r="WC289" s="12" t="s">
        <v>37</v>
      </c>
      <c r="WD289" s="12" t="s">
        <v>37</v>
      </c>
      <c r="WE289" s="12" t="s">
        <v>37</v>
      </c>
      <c r="WF289" s="12" t="s">
        <v>37</v>
      </c>
    </row>
    <row r="290" spans="1:604" ht="18" customHeight="1" x14ac:dyDescent="0.3">
      <c r="A290" s="11">
        <v>70</v>
      </c>
      <c r="B290" s="16" t="s">
        <v>399</v>
      </c>
      <c r="C290" s="12" t="s">
        <v>864</v>
      </c>
      <c r="D290" s="12" t="s">
        <v>54</v>
      </c>
      <c r="E290" s="40" t="s">
        <v>37</v>
      </c>
      <c r="F290" s="14">
        <v>0</v>
      </c>
      <c r="G290" s="14">
        <v>0</v>
      </c>
      <c r="H290" s="12" t="s">
        <v>91</v>
      </c>
      <c r="I290" s="29">
        <v>49.05</v>
      </c>
      <c r="J290" s="29">
        <v>-80.667000000000002</v>
      </c>
      <c r="K290" s="12" t="s">
        <v>778</v>
      </c>
      <c r="L290" s="12" t="s">
        <v>779</v>
      </c>
      <c r="M290" s="13" t="s">
        <v>37</v>
      </c>
      <c r="N290" s="14">
        <v>0.6</v>
      </c>
      <c r="O290" s="14">
        <v>885</v>
      </c>
      <c r="P290" s="14" t="s">
        <v>16</v>
      </c>
      <c r="Q290" s="75">
        <v>7</v>
      </c>
      <c r="R290" s="11" t="s">
        <v>999</v>
      </c>
      <c r="S290" s="12" t="s">
        <v>85</v>
      </c>
      <c r="T290" s="12" t="s">
        <v>138</v>
      </c>
      <c r="U290" s="12" t="s">
        <v>164</v>
      </c>
      <c r="V290" s="12" t="s">
        <v>275</v>
      </c>
      <c r="W290" s="23" t="s">
        <v>403</v>
      </c>
      <c r="X290" s="12" t="s">
        <v>281</v>
      </c>
      <c r="Y290" s="12" t="s">
        <v>37</v>
      </c>
      <c r="Z290" s="12" t="s">
        <v>37</v>
      </c>
      <c r="AA290" s="32" t="s">
        <v>345</v>
      </c>
      <c r="AB290" s="12">
        <v>6.3</v>
      </c>
      <c r="AE290" s="12" t="s">
        <v>37</v>
      </c>
      <c r="AH290" s="12" t="s">
        <v>37</v>
      </c>
      <c r="AK290" s="12" t="s">
        <v>37</v>
      </c>
      <c r="AL290" s="32" t="s">
        <v>400</v>
      </c>
      <c r="AM290" s="12" t="s">
        <v>317</v>
      </c>
      <c r="AN290" s="32" t="s">
        <v>879</v>
      </c>
      <c r="AO290" s="12" t="s">
        <v>37</v>
      </c>
      <c r="AP290" s="12" t="s">
        <v>401</v>
      </c>
      <c r="AQ290" s="12" t="s">
        <v>975</v>
      </c>
      <c r="AT290" s="12" t="s">
        <v>326</v>
      </c>
      <c r="AU290" s="12" t="s">
        <v>326</v>
      </c>
      <c r="AV290" s="13" t="s">
        <v>326</v>
      </c>
      <c r="AX290" s="12" t="s">
        <v>326</v>
      </c>
      <c r="AY290" s="12" t="s">
        <v>326</v>
      </c>
      <c r="AZ290" s="13" t="s">
        <v>326</v>
      </c>
      <c r="BE290" s="12" t="s">
        <v>326</v>
      </c>
      <c r="BF290" s="12" t="s">
        <v>326</v>
      </c>
      <c r="BG290" s="12" t="s">
        <v>326</v>
      </c>
      <c r="BI290" s="12" t="s">
        <v>326</v>
      </c>
      <c r="BJ290" s="12" t="s">
        <v>326</v>
      </c>
      <c r="BK290" s="12" t="s">
        <v>326</v>
      </c>
      <c r="BP290" s="12" t="s">
        <v>37</v>
      </c>
      <c r="BQ290" s="12" t="s">
        <v>37</v>
      </c>
      <c r="BR290" s="13" t="s">
        <v>37</v>
      </c>
      <c r="BT290" s="12" t="s">
        <v>37</v>
      </c>
      <c r="BU290" s="12" t="s">
        <v>37</v>
      </c>
      <c r="BV290" s="12" t="s">
        <v>37</v>
      </c>
      <c r="CA290" s="12" t="s">
        <v>37</v>
      </c>
      <c r="CB290" s="12" t="s">
        <v>37</v>
      </c>
      <c r="CC290" s="13" t="s">
        <v>37</v>
      </c>
      <c r="CE290" s="12" t="s">
        <v>37</v>
      </c>
      <c r="CF290" s="12" t="s">
        <v>37</v>
      </c>
      <c r="CG290" s="12" t="s">
        <v>37</v>
      </c>
      <c r="CN290" s="12" t="s">
        <v>37</v>
      </c>
      <c r="CO290" s="12" t="s">
        <v>37</v>
      </c>
      <c r="CP290" s="13" t="s">
        <v>37</v>
      </c>
      <c r="CR290" s="12" t="s">
        <v>37</v>
      </c>
      <c r="CS290" s="12" t="s">
        <v>37</v>
      </c>
      <c r="CT290" s="13" t="s">
        <v>37</v>
      </c>
      <c r="CX290" s="72"/>
      <c r="CY290" s="72"/>
      <c r="DA290" s="12" t="s">
        <v>37</v>
      </c>
      <c r="DB290" s="12" t="s">
        <v>37</v>
      </c>
      <c r="DC290" s="13" t="s">
        <v>37</v>
      </c>
      <c r="DE290" s="12" t="s">
        <v>37</v>
      </c>
      <c r="DF290" s="12" t="s">
        <v>37</v>
      </c>
      <c r="DG290" s="12" t="s">
        <v>37</v>
      </c>
      <c r="DM290" s="12" t="s">
        <v>47</v>
      </c>
      <c r="DN290" s="19">
        <f>7.3*("1991/10/31"-"1991/5/1")*10^4/10^6/'[1]classes-1'!$I$28</f>
        <v>17.621034681556281</v>
      </c>
      <c r="DO290" s="12">
        <f t="shared" ref="DO290:DO291" si="1250">DO289</f>
        <v>25.060650744317332</v>
      </c>
      <c r="DP290" s="13">
        <v>6</v>
      </c>
      <c r="DQ290" s="19">
        <f t="shared" si="1237"/>
        <v>1.4222008637522292</v>
      </c>
      <c r="DR290" s="19">
        <f>0.1*("1991/10/31"-"1991/5/1")*10^4/10^6/'[1]classes-1'!$I$31</f>
        <v>5.3718567649972807E-2</v>
      </c>
      <c r="DS290" s="12">
        <f>SQRT((1/[2]Classes!$I$31)^2*(0.8*("1991/10/31"-"1991/5/1")*10^4/10^6)^2+(-DR290/([2]Classes!$I$31)^2)^2*([2]Classes!$J$31)^2)</f>
        <v>0.43312042016840363</v>
      </c>
      <c r="DT290" s="13">
        <v>6</v>
      </c>
      <c r="DU290" s="19">
        <f t="shared" si="1238"/>
        <v>8.0627693387245944</v>
      </c>
      <c r="DV290" s="19">
        <f t="shared" si="1211"/>
        <v>-17.567316113906308</v>
      </c>
      <c r="DW290" s="12">
        <f t="shared" si="1212"/>
        <v>17.723202433914416</v>
      </c>
      <c r="DX290" s="72">
        <f t="shared" si="1124"/>
        <v>104.70396817116993</v>
      </c>
      <c r="DY290" s="72">
        <f t="shared" si="1125"/>
        <v>104.70396817116996</v>
      </c>
      <c r="EA290" s="19" t="s">
        <v>37</v>
      </c>
      <c r="EB290" s="19" t="s">
        <v>37</v>
      </c>
      <c r="EC290" s="72" t="s">
        <v>37</v>
      </c>
      <c r="EE290" s="19" t="s">
        <v>37</v>
      </c>
      <c r="EF290" s="19" t="s">
        <v>37</v>
      </c>
      <c r="EG290" s="12" t="s">
        <v>37</v>
      </c>
      <c r="EM290" s="12" t="s">
        <v>39</v>
      </c>
      <c r="EN290" s="12">
        <v>-24.4</v>
      </c>
      <c r="EO290" s="50">
        <f t="shared" si="1241"/>
        <v>9.9429121295315568</v>
      </c>
      <c r="EP290" s="13">
        <v>1</v>
      </c>
      <c r="ER290" s="12">
        <v>-63.8</v>
      </c>
      <c r="ES290" s="50">
        <f t="shared" si="1242"/>
        <v>14.470736613886588</v>
      </c>
      <c r="ET290" s="13">
        <v>1</v>
      </c>
      <c r="EV290" s="19">
        <f t="shared" si="1233"/>
        <v>-39.4</v>
      </c>
      <c r="EW290" s="12" t="e">
        <f t="shared" si="1234"/>
        <v>#DIV/0!</v>
      </c>
      <c r="EX290" s="19" t="e">
        <f t="shared" si="1235"/>
        <v>#DIV/0!</v>
      </c>
      <c r="EY290" s="19">
        <f t="shared" si="1236"/>
        <v>308.26371976406364</v>
      </c>
      <c r="FB290" s="12" t="s">
        <v>37</v>
      </c>
      <c r="FC290" s="12" t="s">
        <v>37</v>
      </c>
      <c r="FD290" s="12" t="s">
        <v>37</v>
      </c>
      <c r="FE290" s="12" t="s">
        <v>37</v>
      </c>
      <c r="FF290" s="20" t="s">
        <v>37</v>
      </c>
      <c r="FG290" s="12" t="s">
        <v>37</v>
      </c>
      <c r="FI290" s="12" t="s">
        <v>37</v>
      </c>
      <c r="FJ290" s="12" t="s">
        <v>37</v>
      </c>
      <c r="FK290" s="12" t="s">
        <v>37</v>
      </c>
      <c r="FL290" s="12" t="s">
        <v>37</v>
      </c>
      <c r="FM290" s="12" t="s">
        <v>37</v>
      </c>
      <c r="FN290" s="12" t="s">
        <v>37</v>
      </c>
      <c r="FP290" s="12" t="s">
        <v>37</v>
      </c>
      <c r="FQ290" s="12" t="s">
        <v>37</v>
      </c>
      <c r="FR290" s="12" t="s">
        <v>37</v>
      </c>
      <c r="FS290" s="12" t="s">
        <v>37</v>
      </c>
      <c r="FT290" s="12" t="s">
        <v>37</v>
      </c>
      <c r="FU290" s="12" t="s">
        <v>37</v>
      </c>
      <c r="FW290" s="12" t="s">
        <v>37</v>
      </c>
      <c r="FX290" s="12" t="s">
        <v>37</v>
      </c>
      <c r="FY290" s="12" t="s">
        <v>37</v>
      </c>
      <c r="FZ290" s="12" t="s">
        <v>37</v>
      </c>
      <c r="GA290" s="12" t="s">
        <v>37</v>
      </c>
      <c r="GB290" s="12" t="s">
        <v>37</v>
      </c>
      <c r="GO290" s="12" t="s">
        <v>660</v>
      </c>
      <c r="GP290" s="12" t="s">
        <v>372</v>
      </c>
      <c r="GQ290" s="12">
        <v>13.9</v>
      </c>
      <c r="GR290" s="50">
        <f t="shared" si="1243"/>
        <v>1.3278608498174032</v>
      </c>
      <c r="GS290" s="13">
        <v>1</v>
      </c>
      <c r="GU290" s="12">
        <v>12.2</v>
      </c>
      <c r="GV290" s="50">
        <f t="shared" si="1244"/>
        <v>1.2985214241141276</v>
      </c>
      <c r="GW290" s="13">
        <v>1</v>
      </c>
      <c r="GY290" s="19">
        <f t="shared" si="1245"/>
        <v>-0.13045288839743535</v>
      </c>
      <c r="GZ290" s="19">
        <f t="shared" si="1246"/>
        <v>2.0454557267488196E-2</v>
      </c>
      <c r="IK290" s="12" t="s">
        <v>37</v>
      </c>
      <c r="IL290" s="12" t="s">
        <v>37</v>
      </c>
      <c r="IM290" s="12" t="s">
        <v>37</v>
      </c>
      <c r="IO290" s="12" t="s">
        <v>37</v>
      </c>
      <c r="IP290" s="12" t="s">
        <v>37</v>
      </c>
      <c r="IQ290" s="12" t="s">
        <v>37</v>
      </c>
      <c r="IV290" s="32" t="s">
        <v>345</v>
      </c>
      <c r="IW290" s="12">
        <v>6.3</v>
      </c>
      <c r="IX290" s="12">
        <v>0.3</v>
      </c>
      <c r="IY290" s="13">
        <v>6</v>
      </c>
      <c r="IZ290" s="19">
        <f t="shared" si="1247"/>
        <v>4.7619047619047616E-2</v>
      </c>
      <c r="JA290" s="13"/>
      <c r="JB290" s="13"/>
      <c r="JH290" s="12" t="s">
        <v>37</v>
      </c>
      <c r="JI290" s="12" t="s">
        <v>37</v>
      </c>
      <c r="JJ290" s="13" t="s">
        <v>37</v>
      </c>
      <c r="JL290" s="12" t="s">
        <v>37</v>
      </c>
      <c r="JM290" s="12" t="s">
        <v>37</v>
      </c>
      <c r="JN290" s="12" t="s">
        <v>37</v>
      </c>
      <c r="JS290" s="12" t="s">
        <v>37</v>
      </c>
      <c r="JT290" s="12" t="s">
        <v>37</v>
      </c>
      <c r="JU290" s="13" t="s">
        <v>37</v>
      </c>
      <c r="JW290" s="12" t="s">
        <v>37</v>
      </c>
      <c r="JX290" s="12" t="s">
        <v>37</v>
      </c>
      <c r="JY290" s="12" t="s">
        <v>37</v>
      </c>
      <c r="KE290" s="12" t="s">
        <v>37</v>
      </c>
      <c r="KF290" s="12" t="s">
        <v>37</v>
      </c>
      <c r="KG290" s="13" t="s">
        <v>37</v>
      </c>
      <c r="KH290" s="12" t="s">
        <v>37</v>
      </c>
      <c r="KI290" s="12" t="s">
        <v>37</v>
      </c>
      <c r="KJ290" s="12" t="s">
        <v>37</v>
      </c>
      <c r="KM290" s="12" t="s">
        <v>37</v>
      </c>
      <c r="KN290" s="12" t="s">
        <v>37</v>
      </c>
      <c r="KO290" s="11" t="s">
        <v>37</v>
      </c>
      <c r="KQ290" s="12" t="s">
        <v>37</v>
      </c>
      <c r="KR290" s="12" t="s">
        <v>37</v>
      </c>
      <c r="KS290" s="12" t="s">
        <v>37</v>
      </c>
      <c r="KX290" s="12" t="s">
        <v>37</v>
      </c>
      <c r="KY290" s="12" t="s">
        <v>37</v>
      </c>
      <c r="KZ290" s="12" t="s">
        <v>37</v>
      </c>
      <c r="LB290" s="12" t="s">
        <v>37</v>
      </c>
      <c r="LC290" s="12" t="s">
        <v>37</v>
      </c>
      <c r="LD290" s="12" t="s">
        <v>37</v>
      </c>
      <c r="LI290" s="12" t="s">
        <v>37</v>
      </c>
      <c r="LJ290" s="12" t="s">
        <v>37</v>
      </c>
      <c r="LK290" s="12" t="s">
        <v>37</v>
      </c>
      <c r="LM290" s="12" t="s">
        <v>37</v>
      </c>
      <c r="LN290" s="12" t="s">
        <v>37</v>
      </c>
      <c r="LO290" s="12" t="s">
        <v>37</v>
      </c>
      <c r="LU290" s="12" t="s">
        <v>37</v>
      </c>
      <c r="LV290" s="12" t="s">
        <v>37</v>
      </c>
      <c r="LW290" s="12" t="s">
        <v>37</v>
      </c>
      <c r="LY290" s="12" t="s">
        <v>37</v>
      </c>
      <c r="LZ290" s="12" t="s">
        <v>37</v>
      </c>
      <c r="MA290" s="12" t="s">
        <v>37</v>
      </c>
      <c r="MF290" s="12" t="s">
        <v>37</v>
      </c>
      <c r="MG290" s="12" t="s">
        <v>37</v>
      </c>
      <c r="MH290" s="12" t="s">
        <v>37</v>
      </c>
      <c r="MJ290" s="12" t="s">
        <v>37</v>
      </c>
      <c r="MK290" s="12" t="s">
        <v>37</v>
      </c>
      <c r="ML290" s="12" t="s">
        <v>37</v>
      </c>
      <c r="MQ290" s="12" t="s">
        <v>37</v>
      </c>
      <c r="MR290" s="12" t="s">
        <v>37</v>
      </c>
      <c r="MS290" s="12" t="s">
        <v>37</v>
      </c>
      <c r="MU290" s="12" t="s">
        <v>37</v>
      </c>
      <c r="MV290" s="12" t="s">
        <v>37</v>
      </c>
      <c r="MW290" s="12" t="s">
        <v>37</v>
      </c>
      <c r="NC290" s="12" t="s">
        <v>37</v>
      </c>
      <c r="ND290" s="12" t="s">
        <v>37</v>
      </c>
      <c r="NE290" s="12" t="s">
        <v>37</v>
      </c>
      <c r="NG290" s="12" t="s">
        <v>37</v>
      </c>
      <c r="NH290" s="12" t="s">
        <v>37</v>
      </c>
      <c r="NI290" s="12" t="s">
        <v>37</v>
      </c>
      <c r="NO290" s="12" t="s">
        <v>37</v>
      </c>
      <c r="NP290" s="12" t="s">
        <v>37</v>
      </c>
      <c r="NQ290" s="12" t="s">
        <v>37</v>
      </c>
      <c r="NS290" s="12" t="s">
        <v>37</v>
      </c>
      <c r="NT290" s="12" t="s">
        <v>37</v>
      </c>
      <c r="NU290" s="12" t="s">
        <v>37</v>
      </c>
      <c r="OA290" s="12" t="s">
        <v>37</v>
      </c>
      <c r="OB290" s="12" t="s">
        <v>37</v>
      </c>
      <c r="OC290" s="12" t="s">
        <v>37</v>
      </c>
      <c r="OD290" s="12"/>
      <c r="OE290" s="12" t="s">
        <v>37</v>
      </c>
      <c r="OF290" s="12" t="s">
        <v>37</v>
      </c>
      <c r="OG290" s="12" t="s">
        <v>37</v>
      </c>
      <c r="OH290" s="12"/>
      <c r="OI290" s="12"/>
      <c r="OJ290" s="12"/>
      <c r="OM290" s="12" t="s">
        <v>37</v>
      </c>
      <c r="ON290" s="12" t="s">
        <v>37</v>
      </c>
      <c r="OO290" s="12" t="s">
        <v>37</v>
      </c>
      <c r="OP290" s="12" t="s">
        <v>37</v>
      </c>
      <c r="OQ290" s="12" t="s">
        <v>37</v>
      </c>
      <c r="OR290" s="12" t="s">
        <v>37</v>
      </c>
      <c r="OS290" s="12"/>
      <c r="OT290" s="12"/>
      <c r="OW290" s="12" t="s">
        <v>37</v>
      </c>
      <c r="OX290" s="12" t="s">
        <v>37</v>
      </c>
      <c r="OY290" s="13" t="s">
        <v>37</v>
      </c>
      <c r="OZ290" s="12" t="s">
        <v>37</v>
      </c>
      <c r="PA290" s="12" t="s">
        <v>37</v>
      </c>
      <c r="PB290" s="13" t="s">
        <v>37</v>
      </c>
      <c r="PG290" s="12" t="s">
        <v>37</v>
      </c>
      <c r="PH290" s="12" t="s">
        <v>37</v>
      </c>
      <c r="PI290" s="12" t="s">
        <v>37</v>
      </c>
      <c r="PJ290" s="12" t="s">
        <v>37</v>
      </c>
      <c r="PK290" s="12" t="s">
        <v>37</v>
      </c>
      <c r="PL290" s="12" t="s">
        <v>37</v>
      </c>
      <c r="PM290" s="12"/>
      <c r="PN290" s="12"/>
      <c r="PQ290" s="12" t="s">
        <v>37</v>
      </c>
      <c r="PR290" s="12" t="s">
        <v>37</v>
      </c>
      <c r="PS290" s="12" t="s">
        <v>37</v>
      </c>
      <c r="PT290" s="12" t="s">
        <v>37</v>
      </c>
      <c r="PU290" s="12" t="s">
        <v>37</v>
      </c>
      <c r="PV290" s="12" t="s">
        <v>37</v>
      </c>
      <c r="PW290" s="12"/>
      <c r="PX290" s="12"/>
      <c r="PZ290" s="12" t="s">
        <v>37</v>
      </c>
      <c r="QA290" s="12" t="s">
        <v>37</v>
      </c>
      <c r="QB290" s="12" t="s">
        <v>37</v>
      </c>
      <c r="QD290" s="12" t="s">
        <v>37</v>
      </c>
      <c r="QE290" s="12" t="s">
        <v>37</v>
      </c>
      <c r="QF290" s="12" t="s">
        <v>37</v>
      </c>
      <c r="QK290" s="12" t="s">
        <v>37</v>
      </c>
      <c r="QL290" s="12" t="s">
        <v>37</v>
      </c>
      <c r="QM290" s="12" t="s">
        <v>37</v>
      </c>
      <c r="QN290" s="12" t="s">
        <v>37</v>
      </c>
      <c r="QO290" s="12" t="s">
        <v>37</v>
      </c>
      <c r="QP290" s="12" t="s">
        <v>37</v>
      </c>
      <c r="QQ290" s="12"/>
      <c r="QR290" s="12"/>
      <c r="QU290" s="12" t="s">
        <v>37</v>
      </c>
      <c r="QV290" s="12" t="s">
        <v>37</v>
      </c>
      <c r="QW290" s="12" t="s">
        <v>37</v>
      </c>
      <c r="QX290" s="12" t="s">
        <v>37</v>
      </c>
      <c r="QY290" s="12" t="s">
        <v>37</v>
      </c>
      <c r="QZ290" s="12" t="s">
        <v>37</v>
      </c>
      <c r="RC290" s="12" t="s">
        <v>37</v>
      </c>
      <c r="RD290" s="12" t="s">
        <v>37</v>
      </c>
      <c r="RE290" s="13" t="s">
        <v>37</v>
      </c>
      <c r="RF290" s="12" t="s">
        <v>37</v>
      </c>
      <c r="RG290" s="12" t="s">
        <v>37</v>
      </c>
      <c r="RH290" s="13" t="s">
        <v>37</v>
      </c>
      <c r="RK290" s="12" t="s">
        <v>37</v>
      </c>
      <c r="RL290" s="12" t="s">
        <v>37</v>
      </c>
      <c r="RM290" s="11" t="s">
        <v>37</v>
      </c>
      <c r="RN290" s="12" t="s">
        <v>37</v>
      </c>
      <c r="RO290" s="12" t="s">
        <v>37</v>
      </c>
      <c r="RP290" s="11" t="s">
        <v>37</v>
      </c>
      <c r="RS290" s="12" t="s">
        <v>37</v>
      </c>
      <c r="RT290" s="12" t="s">
        <v>37</v>
      </c>
      <c r="RU290" s="12" t="s">
        <v>37</v>
      </c>
      <c r="RV290" s="12" t="s">
        <v>37</v>
      </c>
      <c r="RW290" s="12" t="s">
        <v>37</v>
      </c>
      <c r="RX290" s="12" t="s">
        <v>37</v>
      </c>
      <c r="SA290" s="12" t="s">
        <v>37</v>
      </c>
      <c r="SB290" s="12" t="s">
        <v>37</v>
      </c>
      <c r="SC290" s="12" t="s">
        <v>37</v>
      </c>
      <c r="SD290" s="12" t="s">
        <v>37</v>
      </c>
      <c r="SE290" s="12" t="s">
        <v>37</v>
      </c>
      <c r="SF290" s="12" t="s">
        <v>37</v>
      </c>
      <c r="SI290" s="12" t="s">
        <v>37</v>
      </c>
      <c r="SJ290" s="12" t="s">
        <v>37</v>
      </c>
      <c r="SK290" s="13" t="s">
        <v>37</v>
      </c>
      <c r="SM290" s="12" t="s">
        <v>37</v>
      </c>
      <c r="SN290" s="12" t="s">
        <v>37</v>
      </c>
      <c r="SO290" s="13" t="s">
        <v>37</v>
      </c>
      <c r="SU290" s="12" t="s">
        <v>37</v>
      </c>
      <c r="SV290" s="12" t="s">
        <v>37</v>
      </c>
      <c r="SW290" s="12" t="s">
        <v>37</v>
      </c>
      <c r="SX290" s="12" t="s">
        <v>37</v>
      </c>
      <c r="SY290" s="12" t="s">
        <v>37</v>
      </c>
      <c r="SZ290" s="12" t="s">
        <v>37</v>
      </c>
      <c r="TA290" s="12"/>
      <c r="TB290" s="12"/>
      <c r="TE290" s="12" t="s">
        <v>37</v>
      </c>
      <c r="TF290" s="12" t="s">
        <v>37</v>
      </c>
      <c r="TG290" s="12" t="s">
        <v>37</v>
      </c>
      <c r="TH290" s="12" t="s">
        <v>37</v>
      </c>
      <c r="TI290" s="12" t="s">
        <v>37</v>
      </c>
      <c r="TJ290" s="12" t="s">
        <v>37</v>
      </c>
      <c r="TK290" s="12"/>
      <c r="TL290" s="12"/>
      <c r="TO290" s="12" t="s">
        <v>37</v>
      </c>
      <c r="TP290" s="12" t="s">
        <v>37</v>
      </c>
      <c r="TQ290" s="12" t="s">
        <v>37</v>
      </c>
      <c r="TR290" s="12" t="s">
        <v>37</v>
      </c>
      <c r="TS290" s="12" t="s">
        <v>37</v>
      </c>
      <c r="TT290" s="12" t="s">
        <v>37</v>
      </c>
      <c r="TU290" s="12"/>
      <c r="TV290" s="12"/>
      <c r="TY290" s="12" t="s">
        <v>37</v>
      </c>
      <c r="TZ290" s="12" t="s">
        <v>37</v>
      </c>
      <c r="UA290" s="12" t="s">
        <v>37</v>
      </c>
      <c r="UB290" s="12" t="s">
        <v>37</v>
      </c>
      <c r="UC290" s="12" t="s">
        <v>37</v>
      </c>
      <c r="UD290" s="12" t="s">
        <v>37</v>
      </c>
      <c r="UE290" s="12"/>
      <c r="UF290" s="12"/>
      <c r="UI290" s="12" t="s">
        <v>37</v>
      </c>
      <c r="UJ290" s="12" t="s">
        <v>37</v>
      </c>
      <c r="UK290" s="12" t="s">
        <v>37</v>
      </c>
      <c r="UL290" s="12" t="s">
        <v>37</v>
      </c>
      <c r="UM290" s="12" t="s">
        <v>37</v>
      </c>
      <c r="UN290" s="12" t="s">
        <v>37</v>
      </c>
      <c r="UO290" s="12"/>
      <c r="UP290" s="12"/>
      <c r="UR290" s="12" t="s">
        <v>37</v>
      </c>
      <c r="US290" s="12" t="s">
        <v>37</v>
      </c>
      <c r="UT290" s="12" t="s">
        <v>37</v>
      </c>
      <c r="UU290" s="12" t="s">
        <v>37</v>
      </c>
      <c r="UV290" s="12" t="s">
        <v>37</v>
      </c>
      <c r="UW290" s="12" t="s">
        <v>37</v>
      </c>
      <c r="UX290" s="12"/>
      <c r="UY290" s="12"/>
      <c r="VB290" s="12" t="s">
        <v>37</v>
      </c>
      <c r="VC290" s="12" t="s">
        <v>37</v>
      </c>
      <c r="VD290" s="12" t="s">
        <v>37</v>
      </c>
      <c r="VE290" s="12" t="s">
        <v>37</v>
      </c>
      <c r="VF290" s="12" t="s">
        <v>37</v>
      </c>
      <c r="VG290" s="12" t="s">
        <v>37</v>
      </c>
      <c r="VI290" s="12" t="s">
        <v>37</v>
      </c>
      <c r="VJ290" s="12" t="s">
        <v>37</v>
      </c>
      <c r="VK290" s="12" t="s">
        <v>37</v>
      </c>
      <c r="VL290" s="12" t="s">
        <v>37</v>
      </c>
      <c r="VM290" s="12" t="s">
        <v>37</v>
      </c>
      <c r="VN290" s="12" t="s">
        <v>37</v>
      </c>
      <c r="VQ290" s="12" t="s">
        <v>37</v>
      </c>
      <c r="VR290" s="12" t="s">
        <v>37</v>
      </c>
      <c r="VS290" s="12" t="s">
        <v>37</v>
      </c>
      <c r="VT290" s="12" t="s">
        <v>37</v>
      </c>
      <c r="VU290" s="12" t="s">
        <v>37</v>
      </c>
      <c r="VV290" s="12" t="s">
        <v>37</v>
      </c>
      <c r="VW290" s="12"/>
      <c r="VX290" s="12"/>
      <c r="WA290" s="12" t="s">
        <v>37</v>
      </c>
      <c r="WB290" s="12" t="s">
        <v>37</v>
      </c>
      <c r="WC290" s="12" t="s">
        <v>37</v>
      </c>
      <c r="WD290" s="12" t="s">
        <v>37</v>
      </c>
      <c r="WE290" s="12" t="s">
        <v>37</v>
      </c>
      <c r="WF290" s="12" t="s">
        <v>37</v>
      </c>
    </row>
    <row r="291" spans="1:604" ht="18" customHeight="1" x14ac:dyDescent="0.3">
      <c r="A291" s="11">
        <v>70</v>
      </c>
      <c r="B291" s="16" t="s">
        <v>399</v>
      </c>
      <c r="C291" s="12" t="s">
        <v>31</v>
      </c>
      <c r="D291" s="12" t="s">
        <v>54</v>
      </c>
      <c r="E291" s="40" t="s">
        <v>37</v>
      </c>
      <c r="F291" s="14">
        <v>0</v>
      </c>
      <c r="G291" s="14">
        <v>0</v>
      </c>
      <c r="H291" s="12" t="s">
        <v>91</v>
      </c>
      <c r="I291" s="29">
        <v>49.05</v>
      </c>
      <c r="J291" s="29">
        <v>-80.667000000000002</v>
      </c>
      <c r="K291" s="12" t="s">
        <v>778</v>
      </c>
      <c r="L291" s="12" t="s">
        <v>779</v>
      </c>
      <c r="M291" s="13" t="s">
        <v>37</v>
      </c>
      <c r="N291" s="14">
        <v>0.6</v>
      </c>
      <c r="O291" s="14">
        <v>885</v>
      </c>
      <c r="P291" s="14" t="s">
        <v>16</v>
      </c>
      <c r="Q291" s="75">
        <v>7</v>
      </c>
      <c r="R291" s="11" t="s">
        <v>1000</v>
      </c>
      <c r="S291" s="12" t="s">
        <v>85</v>
      </c>
      <c r="T291" s="12" t="s">
        <v>138</v>
      </c>
      <c r="U291" s="12" t="s">
        <v>164</v>
      </c>
      <c r="V291" s="12" t="s">
        <v>275</v>
      </c>
      <c r="W291" s="23" t="s">
        <v>403</v>
      </c>
      <c r="X291" s="12" t="s">
        <v>281</v>
      </c>
      <c r="Y291" s="12" t="s">
        <v>37</v>
      </c>
      <c r="Z291" s="12" t="s">
        <v>37</v>
      </c>
      <c r="AA291" s="32" t="s">
        <v>345</v>
      </c>
      <c r="AB291" s="12">
        <v>4.5999999999999996</v>
      </c>
      <c r="AE291" s="12" t="s">
        <v>37</v>
      </c>
      <c r="AH291" s="12" t="s">
        <v>37</v>
      </c>
      <c r="AK291" s="12" t="s">
        <v>37</v>
      </c>
      <c r="AL291" s="32" t="s">
        <v>400</v>
      </c>
      <c r="AM291" s="12" t="s">
        <v>317</v>
      </c>
      <c r="AN291" s="32" t="s">
        <v>879</v>
      </c>
      <c r="AO291" s="12" t="s">
        <v>37</v>
      </c>
      <c r="AP291" s="12" t="s">
        <v>401</v>
      </c>
      <c r="AQ291" s="12" t="s">
        <v>975</v>
      </c>
      <c r="AT291" s="12" t="s">
        <v>326</v>
      </c>
      <c r="AU291" s="12" t="s">
        <v>326</v>
      </c>
      <c r="AV291" s="13" t="s">
        <v>326</v>
      </c>
      <c r="AX291" s="12" t="s">
        <v>326</v>
      </c>
      <c r="AY291" s="12" t="s">
        <v>326</v>
      </c>
      <c r="AZ291" s="13" t="s">
        <v>326</v>
      </c>
      <c r="BE291" s="12" t="s">
        <v>326</v>
      </c>
      <c r="BF291" s="12" t="s">
        <v>326</v>
      </c>
      <c r="BG291" s="12" t="s">
        <v>326</v>
      </c>
      <c r="BI291" s="12" t="s">
        <v>326</v>
      </c>
      <c r="BJ291" s="12" t="s">
        <v>326</v>
      </c>
      <c r="BK291" s="12" t="s">
        <v>326</v>
      </c>
      <c r="BP291" s="12" t="s">
        <v>37</v>
      </c>
      <c r="BQ291" s="12" t="s">
        <v>37</v>
      </c>
      <c r="BR291" s="13" t="s">
        <v>37</v>
      </c>
      <c r="BT291" s="12" t="s">
        <v>37</v>
      </c>
      <c r="BU291" s="12" t="s">
        <v>37</v>
      </c>
      <c r="BV291" s="12" t="s">
        <v>37</v>
      </c>
      <c r="CA291" s="12" t="s">
        <v>37</v>
      </c>
      <c r="CB291" s="12" t="s">
        <v>37</v>
      </c>
      <c r="CC291" s="13" t="s">
        <v>37</v>
      </c>
      <c r="CE291" s="12" t="s">
        <v>37</v>
      </c>
      <c r="CF291" s="12" t="s">
        <v>37</v>
      </c>
      <c r="CG291" s="12" t="s">
        <v>37</v>
      </c>
      <c r="CN291" s="12" t="s">
        <v>37</v>
      </c>
      <c r="CO291" s="12" t="s">
        <v>37</v>
      </c>
      <c r="CP291" s="13" t="s">
        <v>37</v>
      </c>
      <c r="CR291" s="12" t="s">
        <v>37</v>
      </c>
      <c r="CS291" s="12" t="s">
        <v>37</v>
      </c>
      <c r="CT291" s="13" t="s">
        <v>37</v>
      </c>
      <c r="CX291" s="72"/>
      <c r="CY291" s="72"/>
      <c r="DA291" s="12" t="s">
        <v>37</v>
      </c>
      <c r="DB291" s="12" t="s">
        <v>37</v>
      </c>
      <c r="DC291" s="13" t="s">
        <v>37</v>
      </c>
      <c r="DE291" s="12" t="s">
        <v>37</v>
      </c>
      <c r="DF291" s="12" t="s">
        <v>37</v>
      </c>
      <c r="DG291" s="12" t="s">
        <v>37</v>
      </c>
      <c r="DM291" s="12" t="s">
        <v>47</v>
      </c>
      <c r="DN291" s="19">
        <f>7.3*("1991/10/31"-"1991/5/1")*10^4/10^6/'[1]classes-1'!$I$28</f>
        <v>17.621034681556281</v>
      </c>
      <c r="DO291" s="12">
        <f t="shared" si="1250"/>
        <v>25.060650744317332</v>
      </c>
      <c r="DP291" s="13">
        <v>6</v>
      </c>
      <c r="DQ291" s="19">
        <f t="shared" si="1237"/>
        <v>1.4222008637522292</v>
      </c>
      <c r="DR291" s="19">
        <f>0.1*("1991/10/31"-"1991/5/1")*10^4/10^6/'[1]classes-1'!$I$31</f>
        <v>5.3718567649972807E-2</v>
      </c>
      <c r="DS291" s="12">
        <f>SQRT((1/[2]Classes!$I$31)^2*(0.8*("1991/10/31"-"1991/5/1")*10^4/10^6)^2+(-DR291/([2]Classes!$I$31)^2)^2*([2]Classes!$J$31)^2)</f>
        <v>0.43312042016840363</v>
      </c>
      <c r="DT291" s="13">
        <v>6</v>
      </c>
      <c r="DU291" s="19">
        <f t="shared" si="1238"/>
        <v>8.0627693387245944</v>
      </c>
      <c r="DV291" s="19">
        <f t="shared" si="1211"/>
        <v>-17.567316113906308</v>
      </c>
      <c r="DW291" s="12">
        <f t="shared" si="1212"/>
        <v>17.723202433914416</v>
      </c>
      <c r="DX291" s="72">
        <f t="shared" ref="DX291:DX354" si="1251">(((DP291+DT291)/(DP291*DT291))*(((DP291-1)*DO291^2)+(DT291-1)*DS291^2)/(DP291+DT291-2))</f>
        <v>104.70396817116993</v>
      </c>
      <c r="DY291" s="72">
        <f t="shared" ref="DY291:DY354" si="1252">(DO291^2/DP291)+(DS291^2/DT291)</f>
        <v>104.70396817116996</v>
      </c>
      <c r="EA291" s="19" t="s">
        <v>37</v>
      </c>
      <c r="EB291" s="19" t="s">
        <v>37</v>
      </c>
      <c r="EC291" s="72" t="s">
        <v>37</v>
      </c>
      <c r="EE291" s="19" t="s">
        <v>37</v>
      </c>
      <c r="EF291" s="19" t="s">
        <v>37</v>
      </c>
      <c r="EG291" s="12" t="s">
        <v>37</v>
      </c>
      <c r="EM291" s="12" t="s">
        <v>39</v>
      </c>
      <c r="EN291" s="12">
        <v>-24.4</v>
      </c>
      <c r="EO291" s="50">
        <f t="shared" si="1241"/>
        <v>9.9429121295315568</v>
      </c>
      <c r="EP291" s="13">
        <v>1</v>
      </c>
      <c r="ER291" s="12">
        <v>-34.4</v>
      </c>
      <c r="ES291" s="50">
        <f t="shared" si="1242"/>
        <v>7.8024034407162794</v>
      </c>
      <c r="ET291" s="13">
        <v>1</v>
      </c>
      <c r="EV291" s="19">
        <f t="shared" si="1233"/>
        <v>-10</v>
      </c>
      <c r="EW291" s="12" t="e">
        <f t="shared" si="1234"/>
        <v>#DIV/0!</v>
      </c>
      <c r="EX291" s="19" t="e">
        <f t="shared" si="1235"/>
        <v>#DIV/0!</v>
      </c>
      <c r="EY291" s="19">
        <f t="shared" si="1236"/>
        <v>159.73900106728698</v>
      </c>
      <c r="FB291" s="12" t="s">
        <v>37</v>
      </c>
      <c r="FC291" s="12" t="s">
        <v>37</v>
      </c>
      <c r="FD291" s="12" t="s">
        <v>37</v>
      </c>
      <c r="FE291" s="12" t="s">
        <v>37</v>
      </c>
      <c r="FF291" s="20" t="s">
        <v>37</v>
      </c>
      <c r="FG291" s="12" t="s">
        <v>37</v>
      </c>
      <c r="FI291" s="12" t="s">
        <v>37</v>
      </c>
      <c r="FJ291" s="12" t="s">
        <v>37</v>
      </c>
      <c r="FK291" s="12" t="s">
        <v>37</v>
      </c>
      <c r="FL291" s="12" t="s">
        <v>37</v>
      </c>
      <c r="FM291" s="12" t="s">
        <v>37</v>
      </c>
      <c r="FN291" s="12" t="s">
        <v>37</v>
      </c>
      <c r="FP291" s="12" t="s">
        <v>37</v>
      </c>
      <c r="FQ291" s="12" t="s">
        <v>37</v>
      </c>
      <c r="FR291" s="12" t="s">
        <v>37</v>
      </c>
      <c r="FS291" s="12" t="s">
        <v>37</v>
      </c>
      <c r="FT291" s="12" t="s">
        <v>37</v>
      </c>
      <c r="FU291" s="12" t="s">
        <v>37</v>
      </c>
      <c r="FW291" s="12" t="s">
        <v>37</v>
      </c>
      <c r="FX291" s="12" t="s">
        <v>37</v>
      </c>
      <c r="FY291" s="12" t="s">
        <v>37</v>
      </c>
      <c r="FZ291" s="12" t="s">
        <v>37</v>
      </c>
      <c r="GA291" s="12" t="s">
        <v>37</v>
      </c>
      <c r="GB291" s="12" t="s">
        <v>37</v>
      </c>
      <c r="GO291" s="12" t="s">
        <v>660</v>
      </c>
      <c r="GP291" s="12" t="s">
        <v>372</v>
      </c>
      <c r="GQ291" s="12">
        <v>13.9</v>
      </c>
      <c r="GR291" s="50">
        <f t="shared" si="1243"/>
        <v>1.3278608498174032</v>
      </c>
      <c r="GS291" s="13">
        <v>1</v>
      </c>
      <c r="GU291" s="12">
        <v>9.6</v>
      </c>
      <c r="GV291" s="50">
        <f t="shared" si="1244"/>
        <v>1.0217873501225923</v>
      </c>
      <c r="GW291" s="13">
        <v>1</v>
      </c>
      <c r="GY291" s="19">
        <f t="shared" si="1245"/>
        <v>-0.37012574166285561</v>
      </c>
      <c r="GZ291" s="19">
        <f t="shared" si="1246"/>
        <v>2.0454557267488193E-2</v>
      </c>
      <c r="IK291" s="12" t="s">
        <v>37</v>
      </c>
      <c r="IL291" s="12" t="s">
        <v>37</v>
      </c>
      <c r="IM291" s="12" t="s">
        <v>37</v>
      </c>
      <c r="IO291" s="12" t="s">
        <v>37</v>
      </c>
      <c r="IP291" s="12" t="s">
        <v>37</v>
      </c>
      <c r="IQ291" s="12" t="s">
        <v>37</v>
      </c>
      <c r="IV291" s="32" t="s">
        <v>345</v>
      </c>
      <c r="IW291" s="12">
        <v>4.5999999999999996</v>
      </c>
      <c r="IX291" s="12">
        <v>0.2</v>
      </c>
      <c r="IY291" s="13">
        <v>6</v>
      </c>
      <c r="IZ291" s="19">
        <f t="shared" si="1247"/>
        <v>4.3478260869565223E-2</v>
      </c>
      <c r="JA291" s="13"/>
      <c r="JB291" s="13"/>
      <c r="JH291" s="12" t="s">
        <v>37</v>
      </c>
      <c r="JI291" s="12" t="s">
        <v>37</v>
      </c>
      <c r="JJ291" s="13" t="s">
        <v>37</v>
      </c>
      <c r="JL291" s="12" t="s">
        <v>37</v>
      </c>
      <c r="JM291" s="12" t="s">
        <v>37</v>
      </c>
      <c r="JN291" s="12" t="s">
        <v>37</v>
      </c>
      <c r="JS291" s="12" t="s">
        <v>37</v>
      </c>
      <c r="JT291" s="12" t="s">
        <v>37</v>
      </c>
      <c r="JU291" s="13" t="s">
        <v>37</v>
      </c>
      <c r="JW291" s="12" t="s">
        <v>37</v>
      </c>
      <c r="JX291" s="12" t="s">
        <v>37</v>
      </c>
      <c r="JY291" s="12" t="s">
        <v>37</v>
      </c>
      <c r="KE291" s="12" t="s">
        <v>37</v>
      </c>
      <c r="KF291" s="12" t="s">
        <v>37</v>
      </c>
      <c r="KG291" s="13" t="s">
        <v>37</v>
      </c>
      <c r="KH291" s="12" t="s">
        <v>37</v>
      </c>
      <c r="KI291" s="12" t="s">
        <v>37</v>
      </c>
      <c r="KJ291" s="12" t="s">
        <v>37</v>
      </c>
      <c r="KM291" s="12" t="s">
        <v>37</v>
      </c>
      <c r="KN291" s="12" t="s">
        <v>37</v>
      </c>
      <c r="KO291" s="11" t="s">
        <v>37</v>
      </c>
      <c r="KQ291" s="12" t="s">
        <v>37</v>
      </c>
      <c r="KR291" s="12" t="s">
        <v>37</v>
      </c>
      <c r="KS291" s="12" t="s">
        <v>37</v>
      </c>
      <c r="KX291" s="12" t="s">
        <v>37</v>
      </c>
      <c r="KY291" s="12" t="s">
        <v>37</v>
      </c>
      <c r="KZ291" s="12" t="s">
        <v>37</v>
      </c>
      <c r="LB291" s="12" t="s">
        <v>37</v>
      </c>
      <c r="LC291" s="12" t="s">
        <v>37</v>
      </c>
      <c r="LD291" s="12" t="s">
        <v>37</v>
      </c>
      <c r="LI291" s="12" t="s">
        <v>37</v>
      </c>
      <c r="LJ291" s="12" t="s">
        <v>37</v>
      </c>
      <c r="LK291" s="12" t="s">
        <v>37</v>
      </c>
      <c r="LM291" s="12" t="s">
        <v>37</v>
      </c>
      <c r="LN291" s="12" t="s">
        <v>37</v>
      </c>
      <c r="LO291" s="12" t="s">
        <v>37</v>
      </c>
      <c r="LU291" s="12" t="s">
        <v>37</v>
      </c>
      <c r="LV291" s="12" t="s">
        <v>37</v>
      </c>
      <c r="LW291" s="12" t="s">
        <v>37</v>
      </c>
      <c r="LY291" s="12" t="s">
        <v>37</v>
      </c>
      <c r="LZ291" s="12" t="s">
        <v>37</v>
      </c>
      <c r="MA291" s="12" t="s">
        <v>37</v>
      </c>
      <c r="MF291" s="12" t="s">
        <v>37</v>
      </c>
      <c r="MG291" s="12" t="s">
        <v>37</v>
      </c>
      <c r="MH291" s="12" t="s">
        <v>37</v>
      </c>
      <c r="MJ291" s="12" t="s">
        <v>37</v>
      </c>
      <c r="MK291" s="12" t="s">
        <v>37</v>
      </c>
      <c r="ML291" s="12" t="s">
        <v>37</v>
      </c>
      <c r="MQ291" s="12" t="s">
        <v>37</v>
      </c>
      <c r="MR291" s="12" t="s">
        <v>37</v>
      </c>
      <c r="MS291" s="12" t="s">
        <v>37</v>
      </c>
      <c r="MU291" s="12" t="s">
        <v>37</v>
      </c>
      <c r="MV291" s="12" t="s">
        <v>37</v>
      </c>
      <c r="MW291" s="12" t="s">
        <v>37</v>
      </c>
      <c r="NC291" s="12" t="s">
        <v>37</v>
      </c>
      <c r="ND291" s="12" t="s">
        <v>37</v>
      </c>
      <c r="NE291" s="12" t="s">
        <v>37</v>
      </c>
      <c r="NG291" s="12" t="s">
        <v>37</v>
      </c>
      <c r="NH291" s="12" t="s">
        <v>37</v>
      </c>
      <c r="NI291" s="12" t="s">
        <v>37</v>
      </c>
      <c r="NO291" s="12" t="s">
        <v>37</v>
      </c>
      <c r="NP291" s="12" t="s">
        <v>37</v>
      </c>
      <c r="NQ291" s="12" t="s">
        <v>37</v>
      </c>
      <c r="NS291" s="12" t="s">
        <v>37</v>
      </c>
      <c r="NT291" s="12" t="s">
        <v>37</v>
      </c>
      <c r="NU291" s="12" t="s">
        <v>37</v>
      </c>
      <c r="OA291" s="12" t="s">
        <v>37</v>
      </c>
      <c r="OB291" s="12" t="s">
        <v>37</v>
      </c>
      <c r="OC291" s="12" t="s">
        <v>37</v>
      </c>
      <c r="OD291" s="12"/>
      <c r="OE291" s="12" t="s">
        <v>37</v>
      </c>
      <c r="OF291" s="12" t="s">
        <v>37</v>
      </c>
      <c r="OG291" s="12" t="s">
        <v>37</v>
      </c>
      <c r="OH291" s="12"/>
      <c r="OI291" s="12"/>
      <c r="OJ291" s="12"/>
      <c r="OM291" s="12" t="s">
        <v>37</v>
      </c>
      <c r="ON291" s="12" t="s">
        <v>37</v>
      </c>
      <c r="OO291" s="12" t="s">
        <v>37</v>
      </c>
      <c r="OP291" s="12" t="s">
        <v>37</v>
      </c>
      <c r="OQ291" s="12" t="s">
        <v>37</v>
      </c>
      <c r="OR291" s="12" t="s">
        <v>37</v>
      </c>
      <c r="OS291" s="12"/>
      <c r="OT291" s="12"/>
      <c r="OW291" s="12" t="s">
        <v>37</v>
      </c>
      <c r="OX291" s="12" t="s">
        <v>37</v>
      </c>
      <c r="OY291" s="13" t="s">
        <v>37</v>
      </c>
      <c r="OZ291" s="12" t="s">
        <v>37</v>
      </c>
      <c r="PA291" s="12" t="s">
        <v>37</v>
      </c>
      <c r="PB291" s="13" t="s">
        <v>37</v>
      </c>
      <c r="PG291" s="12" t="s">
        <v>37</v>
      </c>
      <c r="PH291" s="12" t="s">
        <v>37</v>
      </c>
      <c r="PI291" s="12" t="s">
        <v>37</v>
      </c>
      <c r="PJ291" s="12" t="s">
        <v>37</v>
      </c>
      <c r="PK291" s="12" t="s">
        <v>37</v>
      </c>
      <c r="PL291" s="12" t="s">
        <v>37</v>
      </c>
      <c r="PM291" s="12"/>
      <c r="PN291" s="12"/>
      <c r="PQ291" s="12" t="s">
        <v>37</v>
      </c>
      <c r="PR291" s="12" t="s">
        <v>37</v>
      </c>
      <c r="PS291" s="12" t="s">
        <v>37</v>
      </c>
      <c r="PT291" s="12" t="s">
        <v>37</v>
      </c>
      <c r="PU291" s="12" t="s">
        <v>37</v>
      </c>
      <c r="PV291" s="12" t="s">
        <v>37</v>
      </c>
      <c r="PW291" s="12"/>
      <c r="PX291" s="12"/>
      <c r="PZ291" s="12" t="s">
        <v>37</v>
      </c>
      <c r="QA291" s="12" t="s">
        <v>37</v>
      </c>
      <c r="QB291" s="12" t="s">
        <v>37</v>
      </c>
      <c r="QD291" s="12" t="s">
        <v>37</v>
      </c>
      <c r="QE291" s="12" t="s">
        <v>37</v>
      </c>
      <c r="QF291" s="12" t="s">
        <v>37</v>
      </c>
      <c r="QK291" s="12" t="s">
        <v>37</v>
      </c>
      <c r="QL291" s="12" t="s">
        <v>37</v>
      </c>
      <c r="QM291" s="12" t="s">
        <v>37</v>
      </c>
      <c r="QN291" s="12" t="s">
        <v>37</v>
      </c>
      <c r="QO291" s="12" t="s">
        <v>37</v>
      </c>
      <c r="QP291" s="12" t="s">
        <v>37</v>
      </c>
      <c r="QQ291" s="12"/>
      <c r="QR291" s="12"/>
      <c r="QU291" s="12" t="s">
        <v>37</v>
      </c>
      <c r="QV291" s="12" t="s">
        <v>37</v>
      </c>
      <c r="QW291" s="12" t="s">
        <v>37</v>
      </c>
      <c r="QX291" s="12" t="s">
        <v>37</v>
      </c>
      <c r="QY291" s="12" t="s">
        <v>37</v>
      </c>
      <c r="QZ291" s="12" t="s">
        <v>37</v>
      </c>
      <c r="RC291" s="12" t="s">
        <v>37</v>
      </c>
      <c r="RD291" s="12" t="s">
        <v>37</v>
      </c>
      <c r="RE291" s="13" t="s">
        <v>37</v>
      </c>
      <c r="RF291" s="12" t="s">
        <v>37</v>
      </c>
      <c r="RG291" s="12" t="s">
        <v>37</v>
      </c>
      <c r="RH291" s="13" t="s">
        <v>37</v>
      </c>
      <c r="RK291" s="12" t="s">
        <v>37</v>
      </c>
      <c r="RL291" s="12" t="s">
        <v>37</v>
      </c>
      <c r="RM291" s="11" t="s">
        <v>37</v>
      </c>
      <c r="RN291" s="12" t="s">
        <v>37</v>
      </c>
      <c r="RO291" s="12" t="s">
        <v>37</v>
      </c>
      <c r="RP291" s="11" t="s">
        <v>37</v>
      </c>
      <c r="RS291" s="12" t="s">
        <v>37</v>
      </c>
      <c r="RT291" s="12" t="s">
        <v>37</v>
      </c>
      <c r="RU291" s="12" t="s">
        <v>37</v>
      </c>
      <c r="RV291" s="12" t="s">
        <v>37</v>
      </c>
      <c r="RW291" s="12" t="s">
        <v>37</v>
      </c>
      <c r="RX291" s="12" t="s">
        <v>37</v>
      </c>
      <c r="SA291" s="12" t="s">
        <v>37</v>
      </c>
      <c r="SB291" s="12" t="s">
        <v>37</v>
      </c>
      <c r="SC291" s="12" t="s">
        <v>37</v>
      </c>
      <c r="SD291" s="12" t="s">
        <v>37</v>
      </c>
      <c r="SE291" s="12" t="s">
        <v>37</v>
      </c>
      <c r="SF291" s="12" t="s">
        <v>37</v>
      </c>
      <c r="SI291" s="12" t="s">
        <v>37</v>
      </c>
      <c r="SJ291" s="12" t="s">
        <v>37</v>
      </c>
      <c r="SK291" s="13" t="s">
        <v>37</v>
      </c>
      <c r="SM291" s="12" t="s">
        <v>37</v>
      </c>
      <c r="SN291" s="12" t="s">
        <v>37</v>
      </c>
      <c r="SO291" s="13" t="s">
        <v>37</v>
      </c>
      <c r="SU291" s="12" t="s">
        <v>37</v>
      </c>
      <c r="SV291" s="12" t="s">
        <v>37</v>
      </c>
      <c r="SW291" s="12" t="s">
        <v>37</v>
      </c>
      <c r="SX291" s="12" t="s">
        <v>37</v>
      </c>
      <c r="SY291" s="12" t="s">
        <v>37</v>
      </c>
      <c r="SZ291" s="12" t="s">
        <v>37</v>
      </c>
      <c r="TA291" s="12"/>
      <c r="TB291" s="12"/>
      <c r="TE291" s="12" t="s">
        <v>37</v>
      </c>
      <c r="TF291" s="12" t="s">
        <v>37</v>
      </c>
      <c r="TG291" s="12" t="s">
        <v>37</v>
      </c>
      <c r="TH291" s="12" t="s">
        <v>37</v>
      </c>
      <c r="TI291" s="12" t="s">
        <v>37</v>
      </c>
      <c r="TJ291" s="12" t="s">
        <v>37</v>
      </c>
      <c r="TK291" s="12"/>
      <c r="TL291" s="12"/>
      <c r="TO291" s="12" t="s">
        <v>37</v>
      </c>
      <c r="TP291" s="12" t="s">
        <v>37</v>
      </c>
      <c r="TQ291" s="12" t="s">
        <v>37</v>
      </c>
      <c r="TR291" s="12" t="s">
        <v>37</v>
      </c>
      <c r="TS291" s="12" t="s">
        <v>37</v>
      </c>
      <c r="TT291" s="12" t="s">
        <v>37</v>
      </c>
      <c r="TU291" s="12"/>
      <c r="TV291" s="12"/>
      <c r="TY291" s="12" t="s">
        <v>37</v>
      </c>
      <c r="TZ291" s="12" t="s">
        <v>37</v>
      </c>
      <c r="UA291" s="12" t="s">
        <v>37</v>
      </c>
      <c r="UB291" s="12" t="s">
        <v>37</v>
      </c>
      <c r="UC291" s="12" t="s">
        <v>37</v>
      </c>
      <c r="UD291" s="12" t="s">
        <v>37</v>
      </c>
      <c r="UE291" s="12"/>
      <c r="UF291" s="12"/>
      <c r="UI291" s="12" t="s">
        <v>37</v>
      </c>
      <c r="UJ291" s="12" t="s">
        <v>37</v>
      </c>
      <c r="UK291" s="12" t="s">
        <v>37</v>
      </c>
      <c r="UL291" s="12" t="s">
        <v>37</v>
      </c>
      <c r="UM291" s="12" t="s">
        <v>37</v>
      </c>
      <c r="UN291" s="12" t="s">
        <v>37</v>
      </c>
      <c r="UO291" s="12"/>
      <c r="UP291" s="12"/>
      <c r="UR291" s="12" t="s">
        <v>37</v>
      </c>
      <c r="US291" s="12" t="s">
        <v>37</v>
      </c>
      <c r="UT291" s="12" t="s">
        <v>37</v>
      </c>
      <c r="UU291" s="12" t="s">
        <v>37</v>
      </c>
      <c r="UV291" s="12" t="s">
        <v>37</v>
      </c>
      <c r="UW291" s="12" t="s">
        <v>37</v>
      </c>
      <c r="UX291" s="12"/>
      <c r="UY291" s="12"/>
      <c r="VB291" s="12" t="s">
        <v>37</v>
      </c>
      <c r="VC291" s="12" t="s">
        <v>37</v>
      </c>
      <c r="VD291" s="12" t="s">
        <v>37</v>
      </c>
      <c r="VE291" s="12" t="s">
        <v>37</v>
      </c>
      <c r="VF291" s="12" t="s">
        <v>37</v>
      </c>
      <c r="VG291" s="12" t="s">
        <v>37</v>
      </c>
      <c r="VI291" s="12" t="s">
        <v>37</v>
      </c>
      <c r="VJ291" s="12" t="s">
        <v>37</v>
      </c>
      <c r="VK291" s="12" t="s">
        <v>37</v>
      </c>
      <c r="VL291" s="12" t="s">
        <v>37</v>
      </c>
      <c r="VM291" s="12" t="s">
        <v>37</v>
      </c>
      <c r="VN291" s="12" t="s">
        <v>37</v>
      </c>
      <c r="VQ291" s="12" t="s">
        <v>37</v>
      </c>
      <c r="VR291" s="12" t="s">
        <v>37</v>
      </c>
      <c r="VS291" s="12" t="s">
        <v>37</v>
      </c>
      <c r="VT291" s="12" t="s">
        <v>37</v>
      </c>
      <c r="VU291" s="12" t="s">
        <v>37</v>
      </c>
      <c r="VV291" s="12" t="s">
        <v>37</v>
      </c>
      <c r="VW291" s="12"/>
      <c r="VX291" s="12"/>
      <c r="WA291" s="12" t="s">
        <v>37</v>
      </c>
      <c r="WB291" s="12" t="s">
        <v>37</v>
      </c>
      <c r="WC291" s="12" t="s">
        <v>37</v>
      </c>
      <c r="WD291" s="12" t="s">
        <v>37</v>
      </c>
      <c r="WE291" s="12" t="s">
        <v>37</v>
      </c>
      <c r="WF291" s="12" t="s">
        <v>37</v>
      </c>
    </row>
    <row r="292" spans="1:604" ht="18" customHeight="1" x14ac:dyDescent="0.3">
      <c r="A292" s="11">
        <v>70</v>
      </c>
      <c r="B292" s="16" t="s">
        <v>399</v>
      </c>
      <c r="C292" s="12" t="s">
        <v>32</v>
      </c>
      <c r="D292" s="12" t="s">
        <v>54</v>
      </c>
      <c r="E292" s="40" t="s">
        <v>37</v>
      </c>
      <c r="F292" s="14">
        <v>0</v>
      </c>
      <c r="G292" s="14">
        <v>0</v>
      </c>
      <c r="H292" s="12" t="s">
        <v>91</v>
      </c>
      <c r="I292" s="29">
        <v>49.05</v>
      </c>
      <c r="J292" s="29">
        <v>-80.667000000000002</v>
      </c>
      <c r="K292" s="12" t="s">
        <v>778</v>
      </c>
      <c r="L292" s="12" t="s">
        <v>779</v>
      </c>
      <c r="M292" s="13" t="s">
        <v>37</v>
      </c>
      <c r="N292" s="14">
        <v>0.6</v>
      </c>
      <c r="O292" s="14">
        <v>885</v>
      </c>
      <c r="P292" s="14" t="s">
        <v>16</v>
      </c>
      <c r="Q292" s="75">
        <v>7</v>
      </c>
      <c r="R292" s="11" t="s">
        <v>1000</v>
      </c>
      <c r="S292" s="12" t="s">
        <v>93</v>
      </c>
      <c r="T292" s="12" t="s">
        <v>141</v>
      </c>
      <c r="U292" s="12" t="s">
        <v>163</v>
      </c>
      <c r="V292" s="12" t="s">
        <v>275</v>
      </c>
      <c r="W292" s="23" t="s">
        <v>377</v>
      </c>
      <c r="X292" s="12" t="s">
        <v>281</v>
      </c>
      <c r="Y292" s="12" t="s">
        <v>37</v>
      </c>
      <c r="Z292" s="12" t="s">
        <v>37</v>
      </c>
      <c r="AA292" s="32" t="s">
        <v>345</v>
      </c>
      <c r="AB292" s="12">
        <v>4.5999999999999996</v>
      </c>
      <c r="AE292" s="12" t="s">
        <v>37</v>
      </c>
      <c r="AH292" s="12" t="s">
        <v>37</v>
      </c>
      <c r="AK292" s="12" t="s">
        <v>37</v>
      </c>
      <c r="AL292" s="32" t="s">
        <v>400</v>
      </c>
      <c r="AM292" s="12" t="s">
        <v>317</v>
      </c>
      <c r="AN292" s="32" t="s">
        <v>879</v>
      </c>
      <c r="AO292" s="12" t="s">
        <v>37</v>
      </c>
      <c r="AP292" s="12" t="s">
        <v>401</v>
      </c>
      <c r="AQ292" s="12" t="s">
        <v>975</v>
      </c>
      <c r="AT292" s="12" t="s">
        <v>326</v>
      </c>
      <c r="AU292" s="12" t="s">
        <v>326</v>
      </c>
      <c r="AV292" s="13" t="s">
        <v>326</v>
      </c>
      <c r="AX292" s="12" t="s">
        <v>326</v>
      </c>
      <c r="AY292" s="12" t="s">
        <v>326</v>
      </c>
      <c r="AZ292" s="13" t="s">
        <v>326</v>
      </c>
      <c r="BE292" s="12" t="s">
        <v>326</v>
      </c>
      <c r="BF292" s="12" t="s">
        <v>326</v>
      </c>
      <c r="BG292" s="12" t="s">
        <v>326</v>
      </c>
      <c r="BI292" s="12" t="s">
        <v>326</v>
      </c>
      <c r="BJ292" s="12" t="s">
        <v>326</v>
      </c>
      <c r="BK292" s="12" t="s">
        <v>326</v>
      </c>
      <c r="BP292" s="12" t="s">
        <v>37</v>
      </c>
      <c r="BQ292" s="12" t="s">
        <v>37</v>
      </c>
      <c r="BR292" s="13" t="s">
        <v>37</v>
      </c>
      <c r="BT292" s="12" t="s">
        <v>37</v>
      </c>
      <c r="BU292" s="12" t="s">
        <v>37</v>
      </c>
      <c r="BV292" s="12" t="s">
        <v>37</v>
      </c>
      <c r="CA292" s="12" t="s">
        <v>37</v>
      </c>
      <c r="CB292" s="12" t="s">
        <v>37</v>
      </c>
      <c r="CC292" s="13" t="s">
        <v>37</v>
      </c>
      <c r="CE292" s="12" t="s">
        <v>37</v>
      </c>
      <c r="CF292" s="12" t="s">
        <v>37</v>
      </c>
      <c r="CG292" s="12" t="s">
        <v>37</v>
      </c>
      <c r="CN292" s="12" t="s">
        <v>37</v>
      </c>
      <c r="CO292" s="12" t="s">
        <v>37</v>
      </c>
      <c r="CP292" s="13" t="s">
        <v>37</v>
      </c>
      <c r="CR292" s="12" t="s">
        <v>37</v>
      </c>
      <c r="CS292" s="12" t="s">
        <v>37</v>
      </c>
      <c r="CT292" s="13" t="s">
        <v>37</v>
      </c>
      <c r="CX292" s="72"/>
      <c r="CY292" s="72"/>
      <c r="DA292" s="12" t="s">
        <v>37</v>
      </c>
      <c r="DB292" s="12" t="s">
        <v>37</v>
      </c>
      <c r="DC292" s="13" t="s">
        <v>37</v>
      </c>
      <c r="DE292" s="12" t="s">
        <v>37</v>
      </c>
      <c r="DF292" s="12" t="s">
        <v>37</v>
      </c>
      <c r="DG292" s="12" t="s">
        <v>37</v>
      </c>
      <c r="DM292" s="12" t="s">
        <v>47</v>
      </c>
      <c r="DN292" s="19">
        <f>1.2*("1991/10/31"-"1991/5/1")*10^4/10^6/'[1]classes-1'!$I$32</f>
        <v>3.0332504908479376</v>
      </c>
      <c r="DO292" s="12">
        <f>3.8*("1991/10/31"-"1991/5/1")*10^4/10^6</f>
        <v>6.9539999999999997</v>
      </c>
      <c r="DP292" s="13">
        <v>6</v>
      </c>
      <c r="DQ292" s="19">
        <f t="shared" si="1237"/>
        <v>2.2925900847892144</v>
      </c>
      <c r="DR292" s="19">
        <f>0.1*("1991/10/31"-"1991/5/1")*10^4/10^6/'[1]classes-1'!$I$33</f>
        <v>5.3718567649972807E-2</v>
      </c>
      <c r="DS292" s="12">
        <f>SQRT((1/[2]Classes!$I$33)^2*(0.9*("1991/10/31"-"1991/5/1")*10^4/10^6)^2+(-DR292/([2]Classes!$I$33)^2)^2*([2]Classes!$J$33)^2)</f>
        <v>0.48646678719420772</v>
      </c>
      <c r="DT292" s="13">
        <v>6</v>
      </c>
      <c r="DU292" s="19">
        <f t="shared" si="1238"/>
        <v>9.0558406241208473</v>
      </c>
      <c r="DV292" s="19">
        <f t="shared" si="1211"/>
        <v>-2.9795319231979649</v>
      </c>
      <c r="DW292" s="12">
        <f t="shared" si="1212"/>
        <v>4.9292375645247128</v>
      </c>
      <c r="DX292" s="72">
        <f t="shared" si="1251"/>
        <v>8.0991276558405083</v>
      </c>
      <c r="DY292" s="72">
        <f t="shared" si="1252"/>
        <v>8.0991276558405083</v>
      </c>
      <c r="EA292" s="19" t="s">
        <v>37</v>
      </c>
      <c r="EB292" s="19" t="s">
        <v>37</v>
      </c>
      <c r="EC292" s="72" t="s">
        <v>37</v>
      </c>
      <c r="EE292" s="19" t="s">
        <v>37</v>
      </c>
      <c r="EF292" s="19" t="s">
        <v>37</v>
      </c>
      <c r="EG292" s="12" t="s">
        <v>37</v>
      </c>
      <c r="EM292" s="12" t="s">
        <v>39</v>
      </c>
      <c r="EN292" s="12">
        <v>-20.8</v>
      </c>
      <c r="EO292" s="50">
        <f t="shared" si="1241"/>
        <v>8.475925094026902</v>
      </c>
      <c r="EP292" s="13">
        <v>1</v>
      </c>
      <c r="ER292" s="12">
        <v>-48.2</v>
      </c>
      <c r="ES292" s="50">
        <f t="shared" si="1242"/>
        <v>10.93243737914316</v>
      </c>
      <c r="ET292" s="13">
        <v>1</v>
      </c>
      <c r="EV292" s="19">
        <f t="shared" si="1233"/>
        <v>-27.400000000000002</v>
      </c>
      <c r="EW292" s="12" t="e">
        <f t="shared" si="1234"/>
        <v>#DIV/0!</v>
      </c>
      <c r="EX292" s="19" t="e">
        <f t="shared" si="1235"/>
        <v>#DIV/0!</v>
      </c>
      <c r="EY292" s="19">
        <f t="shared" si="1236"/>
        <v>191.35949324844151</v>
      </c>
      <c r="FB292" s="12" t="s">
        <v>37</v>
      </c>
      <c r="FC292" s="12" t="s">
        <v>37</v>
      </c>
      <c r="FD292" s="12" t="s">
        <v>37</v>
      </c>
      <c r="FE292" s="12" t="s">
        <v>37</v>
      </c>
      <c r="FF292" s="20" t="s">
        <v>37</v>
      </c>
      <c r="FG292" s="12" t="s">
        <v>37</v>
      </c>
      <c r="FI292" s="12" t="s">
        <v>37</v>
      </c>
      <c r="FJ292" s="12" t="s">
        <v>37</v>
      </c>
      <c r="FK292" s="12" t="s">
        <v>37</v>
      </c>
      <c r="FL292" s="12" t="s">
        <v>37</v>
      </c>
      <c r="FM292" s="12" t="s">
        <v>37</v>
      </c>
      <c r="FN292" s="12" t="s">
        <v>37</v>
      </c>
      <c r="FP292" s="12" t="s">
        <v>37</v>
      </c>
      <c r="FQ292" s="12" t="s">
        <v>37</v>
      </c>
      <c r="FR292" s="12" t="s">
        <v>37</v>
      </c>
      <c r="FS292" s="12" t="s">
        <v>37</v>
      </c>
      <c r="FT292" s="12" t="s">
        <v>37</v>
      </c>
      <c r="FU292" s="12" t="s">
        <v>37</v>
      </c>
      <c r="FW292" s="12" t="s">
        <v>37</v>
      </c>
      <c r="FX292" s="12" t="s">
        <v>37</v>
      </c>
      <c r="FY292" s="12" t="s">
        <v>37</v>
      </c>
      <c r="FZ292" s="12" t="s">
        <v>37</v>
      </c>
      <c r="GA292" s="12" t="s">
        <v>37</v>
      </c>
      <c r="GB292" s="12" t="s">
        <v>37</v>
      </c>
      <c r="GO292" s="12" t="s">
        <v>660</v>
      </c>
      <c r="GP292" s="12" t="s">
        <v>372</v>
      </c>
      <c r="GQ292" s="12">
        <v>13</v>
      </c>
      <c r="GR292" s="50">
        <f t="shared" si="1243"/>
        <v>1.2418842480306649</v>
      </c>
      <c r="GS292" s="13">
        <v>1</v>
      </c>
      <c r="GU292" s="12">
        <v>12.5</v>
      </c>
      <c r="GV292" s="50">
        <f t="shared" si="1244"/>
        <v>1.3304522788054587</v>
      </c>
      <c r="GW292" s="13">
        <v>1</v>
      </c>
      <c r="GY292" s="19">
        <f t="shared" si="1245"/>
        <v>-3.9220713153281267E-2</v>
      </c>
      <c r="GZ292" s="19">
        <f t="shared" si="1246"/>
        <v>2.0454557267488193E-2</v>
      </c>
      <c r="IK292" s="12" t="s">
        <v>37</v>
      </c>
      <c r="IL292" s="12" t="s">
        <v>37</v>
      </c>
      <c r="IM292" s="12" t="s">
        <v>37</v>
      </c>
      <c r="IO292" s="12" t="s">
        <v>37</v>
      </c>
      <c r="IP292" s="12" t="s">
        <v>37</v>
      </c>
      <c r="IQ292" s="12" t="s">
        <v>37</v>
      </c>
      <c r="IV292" s="32" t="s">
        <v>345</v>
      </c>
      <c r="IW292" s="12">
        <v>4.5999999999999996</v>
      </c>
      <c r="IX292" s="12">
        <v>0.2</v>
      </c>
      <c r="IY292" s="13">
        <v>6</v>
      </c>
      <c r="IZ292" s="19">
        <f t="shared" si="1247"/>
        <v>4.3478260869565223E-2</v>
      </c>
      <c r="JA292" s="13"/>
      <c r="JB292" s="13"/>
      <c r="JH292" s="12" t="s">
        <v>37</v>
      </c>
      <c r="JI292" s="12" t="s">
        <v>37</v>
      </c>
      <c r="JJ292" s="13" t="s">
        <v>37</v>
      </c>
      <c r="JL292" s="12" t="s">
        <v>37</v>
      </c>
      <c r="JM292" s="12" t="s">
        <v>37</v>
      </c>
      <c r="JN292" s="12" t="s">
        <v>37</v>
      </c>
      <c r="JS292" s="12" t="s">
        <v>37</v>
      </c>
      <c r="JT292" s="12" t="s">
        <v>37</v>
      </c>
      <c r="JU292" s="13" t="s">
        <v>37</v>
      </c>
      <c r="JW292" s="12" t="s">
        <v>37</v>
      </c>
      <c r="JX292" s="12" t="s">
        <v>37</v>
      </c>
      <c r="JY292" s="12" t="s">
        <v>37</v>
      </c>
      <c r="KE292" s="12" t="s">
        <v>37</v>
      </c>
      <c r="KF292" s="12" t="s">
        <v>37</v>
      </c>
      <c r="KG292" s="13" t="s">
        <v>37</v>
      </c>
      <c r="KH292" s="12" t="s">
        <v>37</v>
      </c>
      <c r="KI292" s="12" t="s">
        <v>37</v>
      </c>
      <c r="KJ292" s="12" t="s">
        <v>37</v>
      </c>
      <c r="KM292" s="12" t="s">
        <v>37</v>
      </c>
      <c r="KN292" s="12" t="s">
        <v>37</v>
      </c>
      <c r="KO292" s="11" t="s">
        <v>37</v>
      </c>
      <c r="KQ292" s="12" t="s">
        <v>37</v>
      </c>
      <c r="KR292" s="12" t="s">
        <v>37</v>
      </c>
      <c r="KS292" s="12" t="s">
        <v>37</v>
      </c>
      <c r="KX292" s="12" t="s">
        <v>37</v>
      </c>
      <c r="KY292" s="12" t="s">
        <v>37</v>
      </c>
      <c r="KZ292" s="12" t="s">
        <v>37</v>
      </c>
      <c r="LB292" s="12" t="s">
        <v>37</v>
      </c>
      <c r="LC292" s="12" t="s">
        <v>37</v>
      </c>
      <c r="LD292" s="12" t="s">
        <v>37</v>
      </c>
      <c r="LI292" s="12" t="s">
        <v>37</v>
      </c>
      <c r="LJ292" s="12" t="s">
        <v>37</v>
      </c>
      <c r="LK292" s="12" t="s">
        <v>37</v>
      </c>
      <c r="LM292" s="12" t="s">
        <v>37</v>
      </c>
      <c r="LN292" s="12" t="s">
        <v>37</v>
      </c>
      <c r="LO292" s="12" t="s">
        <v>37</v>
      </c>
      <c r="LU292" s="12" t="s">
        <v>37</v>
      </c>
      <c r="LV292" s="12" t="s">
        <v>37</v>
      </c>
      <c r="LW292" s="12" t="s">
        <v>37</v>
      </c>
      <c r="LY292" s="12" t="s">
        <v>37</v>
      </c>
      <c r="LZ292" s="12" t="s">
        <v>37</v>
      </c>
      <c r="MA292" s="12" t="s">
        <v>37</v>
      </c>
      <c r="MF292" s="12" t="s">
        <v>37</v>
      </c>
      <c r="MG292" s="12" t="s">
        <v>37</v>
      </c>
      <c r="MH292" s="12" t="s">
        <v>37</v>
      </c>
      <c r="MJ292" s="12" t="s">
        <v>37</v>
      </c>
      <c r="MK292" s="12" t="s">
        <v>37</v>
      </c>
      <c r="ML292" s="12" t="s">
        <v>37</v>
      </c>
      <c r="MQ292" s="12" t="s">
        <v>37</v>
      </c>
      <c r="MR292" s="12" t="s">
        <v>37</v>
      </c>
      <c r="MS292" s="12" t="s">
        <v>37</v>
      </c>
      <c r="MU292" s="12" t="s">
        <v>37</v>
      </c>
      <c r="MV292" s="12" t="s">
        <v>37</v>
      </c>
      <c r="MW292" s="12" t="s">
        <v>37</v>
      </c>
      <c r="NC292" s="12" t="s">
        <v>37</v>
      </c>
      <c r="ND292" s="12" t="s">
        <v>37</v>
      </c>
      <c r="NE292" s="12" t="s">
        <v>37</v>
      </c>
      <c r="NG292" s="12" t="s">
        <v>37</v>
      </c>
      <c r="NH292" s="12" t="s">
        <v>37</v>
      </c>
      <c r="NI292" s="12" t="s">
        <v>37</v>
      </c>
      <c r="NO292" s="12" t="s">
        <v>37</v>
      </c>
      <c r="NP292" s="12" t="s">
        <v>37</v>
      </c>
      <c r="NQ292" s="12" t="s">
        <v>37</v>
      </c>
      <c r="NS292" s="12" t="s">
        <v>37</v>
      </c>
      <c r="NT292" s="12" t="s">
        <v>37</v>
      </c>
      <c r="NU292" s="12" t="s">
        <v>37</v>
      </c>
      <c r="OA292" s="12" t="s">
        <v>37</v>
      </c>
      <c r="OB292" s="12" t="s">
        <v>37</v>
      </c>
      <c r="OC292" s="12" t="s">
        <v>37</v>
      </c>
      <c r="OD292" s="12"/>
      <c r="OE292" s="12" t="s">
        <v>37</v>
      </c>
      <c r="OF292" s="12" t="s">
        <v>37</v>
      </c>
      <c r="OG292" s="12" t="s">
        <v>37</v>
      </c>
      <c r="OH292" s="12"/>
      <c r="OI292" s="12"/>
      <c r="OJ292" s="12"/>
      <c r="OM292" s="12" t="s">
        <v>37</v>
      </c>
      <c r="ON292" s="12" t="s">
        <v>37</v>
      </c>
      <c r="OO292" s="12" t="s">
        <v>37</v>
      </c>
      <c r="OP292" s="12" t="s">
        <v>37</v>
      </c>
      <c r="OQ292" s="12" t="s">
        <v>37</v>
      </c>
      <c r="OR292" s="12" t="s">
        <v>37</v>
      </c>
      <c r="OS292" s="12"/>
      <c r="OT292" s="12"/>
      <c r="OW292" s="12" t="s">
        <v>37</v>
      </c>
      <c r="OX292" s="12" t="s">
        <v>37</v>
      </c>
      <c r="OY292" s="13" t="s">
        <v>37</v>
      </c>
      <c r="OZ292" s="12" t="s">
        <v>37</v>
      </c>
      <c r="PA292" s="12" t="s">
        <v>37</v>
      </c>
      <c r="PB292" s="13" t="s">
        <v>37</v>
      </c>
      <c r="PG292" s="12" t="s">
        <v>37</v>
      </c>
      <c r="PH292" s="12" t="s">
        <v>37</v>
      </c>
      <c r="PI292" s="12" t="s">
        <v>37</v>
      </c>
      <c r="PJ292" s="12" t="s">
        <v>37</v>
      </c>
      <c r="PK292" s="12" t="s">
        <v>37</v>
      </c>
      <c r="PL292" s="12" t="s">
        <v>37</v>
      </c>
      <c r="PM292" s="12"/>
      <c r="PN292" s="12"/>
      <c r="PQ292" s="12" t="s">
        <v>37</v>
      </c>
      <c r="PR292" s="12" t="s">
        <v>37</v>
      </c>
      <c r="PS292" s="12" t="s">
        <v>37</v>
      </c>
      <c r="PT292" s="12" t="s">
        <v>37</v>
      </c>
      <c r="PU292" s="12" t="s">
        <v>37</v>
      </c>
      <c r="PV292" s="12" t="s">
        <v>37</v>
      </c>
      <c r="PW292" s="12"/>
      <c r="PX292" s="12"/>
      <c r="PZ292" s="12" t="s">
        <v>37</v>
      </c>
      <c r="QA292" s="12" t="s">
        <v>37</v>
      </c>
      <c r="QB292" s="12" t="s">
        <v>37</v>
      </c>
      <c r="QD292" s="12" t="s">
        <v>37</v>
      </c>
      <c r="QE292" s="12" t="s">
        <v>37</v>
      </c>
      <c r="QF292" s="12" t="s">
        <v>37</v>
      </c>
      <c r="QK292" s="12" t="s">
        <v>37</v>
      </c>
      <c r="QL292" s="12" t="s">
        <v>37</v>
      </c>
      <c r="QM292" s="12" t="s">
        <v>37</v>
      </c>
      <c r="QN292" s="12" t="s">
        <v>37</v>
      </c>
      <c r="QO292" s="12" t="s">
        <v>37</v>
      </c>
      <c r="QP292" s="12" t="s">
        <v>37</v>
      </c>
      <c r="QQ292" s="12"/>
      <c r="QR292" s="12"/>
      <c r="QU292" s="12" t="s">
        <v>37</v>
      </c>
      <c r="QV292" s="12" t="s">
        <v>37</v>
      </c>
      <c r="QW292" s="12" t="s">
        <v>37</v>
      </c>
      <c r="QX292" s="12" t="s">
        <v>37</v>
      </c>
      <c r="QY292" s="12" t="s">
        <v>37</v>
      </c>
      <c r="QZ292" s="12" t="s">
        <v>37</v>
      </c>
      <c r="RC292" s="12" t="s">
        <v>37</v>
      </c>
      <c r="RD292" s="12" t="s">
        <v>37</v>
      </c>
      <c r="RE292" s="13" t="s">
        <v>37</v>
      </c>
      <c r="RF292" s="12" t="s">
        <v>37</v>
      </c>
      <c r="RG292" s="12" t="s">
        <v>37</v>
      </c>
      <c r="RH292" s="13" t="s">
        <v>37</v>
      </c>
      <c r="RK292" s="12" t="s">
        <v>37</v>
      </c>
      <c r="RL292" s="12" t="s">
        <v>37</v>
      </c>
      <c r="RM292" s="11" t="s">
        <v>37</v>
      </c>
      <c r="RN292" s="12" t="s">
        <v>37</v>
      </c>
      <c r="RO292" s="12" t="s">
        <v>37</v>
      </c>
      <c r="RP292" s="11" t="s">
        <v>37</v>
      </c>
      <c r="RS292" s="12" t="s">
        <v>37</v>
      </c>
      <c r="RT292" s="12" t="s">
        <v>37</v>
      </c>
      <c r="RU292" s="12" t="s">
        <v>37</v>
      </c>
      <c r="RV292" s="12" t="s">
        <v>37</v>
      </c>
      <c r="RW292" s="12" t="s">
        <v>37</v>
      </c>
      <c r="RX292" s="12" t="s">
        <v>37</v>
      </c>
      <c r="SA292" s="12" t="s">
        <v>37</v>
      </c>
      <c r="SB292" s="12" t="s">
        <v>37</v>
      </c>
      <c r="SC292" s="12" t="s">
        <v>37</v>
      </c>
      <c r="SD292" s="12" t="s">
        <v>37</v>
      </c>
      <c r="SE292" s="12" t="s">
        <v>37</v>
      </c>
      <c r="SF292" s="12" t="s">
        <v>37</v>
      </c>
      <c r="SI292" s="12" t="s">
        <v>37</v>
      </c>
      <c r="SJ292" s="12" t="s">
        <v>37</v>
      </c>
      <c r="SK292" s="13" t="s">
        <v>37</v>
      </c>
      <c r="SM292" s="12" t="s">
        <v>37</v>
      </c>
      <c r="SN292" s="12" t="s">
        <v>37</v>
      </c>
      <c r="SO292" s="13" t="s">
        <v>37</v>
      </c>
      <c r="SU292" s="12" t="s">
        <v>37</v>
      </c>
      <c r="SV292" s="12" t="s">
        <v>37</v>
      </c>
      <c r="SW292" s="12" t="s">
        <v>37</v>
      </c>
      <c r="SX292" s="12" t="s">
        <v>37</v>
      </c>
      <c r="SY292" s="12" t="s">
        <v>37</v>
      </c>
      <c r="SZ292" s="12" t="s">
        <v>37</v>
      </c>
      <c r="TA292" s="12"/>
      <c r="TB292" s="12"/>
      <c r="TE292" s="12" t="s">
        <v>37</v>
      </c>
      <c r="TF292" s="12" t="s">
        <v>37</v>
      </c>
      <c r="TG292" s="12" t="s">
        <v>37</v>
      </c>
      <c r="TH292" s="12" t="s">
        <v>37</v>
      </c>
      <c r="TI292" s="12" t="s">
        <v>37</v>
      </c>
      <c r="TJ292" s="12" t="s">
        <v>37</v>
      </c>
      <c r="TK292" s="12"/>
      <c r="TL292" s="12"/>
      <c r="TO292" s="12" t="s">
        <v>37</v>
      </c>
      <c r="TP292" s="12" t="s">
        <v>37</v>
      </c>
      <c r="TQ292" s="12" t="s">
        <v>37</v>
      </c>
      <c r="TR292" s="12" t="s">
        <v>37</v>
      </c>
      <c r="TS292" s="12" t="s">
        <v>37</v>
      </c>
      <c r="TT292" s="12" t="s">
        <v>37</v>
      </c>
      <c r="TU292" s="12"/>
      <c r="TV292" s="12"/>
      <c r="TY292" s="12" t="s">
        <v>37</v>
      </c>
      <c r="TZ292" s="12" t="s">
        <v>37</v>
      </c>
      <c r="UA292" s="12" t="s">
        <v>37</v>
      </c>
      <c r="UB292" s="12" t="s">
        <v>37</v>
      </c>
      <c r="UC292" s="12" t="s">
        <v>37</v>
      </c>
      <c r="UD292" s="12" t="s">
        <v>37</v>
      </c>
      <c r="UE292" s="12"/>
      <c r="UF292" s="12"/>
      <c r="UI292" s="12" t="s">
        <v>37</v>
      </c>
      <c r="UJ292" s="12" t="s">
        <v>37</v>
      </c>
      <c r="UK292" s="12" t="s">
        <v>37</v>
      </c>
      <c r="UL292" s="12" t="s">
        <v>37</v>
      </c>
      <c r="UM292" s="12" t="s">
        <v>37</v>
      </c>
      <c r="UN292" s="12" t="s">
        <v>37</v>
      </c>
      <c r="UO292" s="12"/>
      <c r="UP292" s="12"/>
      <c r="UR292" s="12" t="s">
        <v>37</v>
      </c>
      <c r="US292" s="12" t="s">
        <v>37</v>
      </c>
      <c r="UT292" s="12" t="s">
        <v>37</v>
      </c>
      <c r="UU292" s="12" t="s">
        <v>37</v>
      </c>
      <c r="UV292" s="12" t="s">
        <v>37</v>
      </c>
      <c r="UW292" s="12" t="s">
        <v>37</v>
      </c>
      <c r="UX292" s="12"/>
      <c r="UY292" s="12"/>
      <c r="VB292" s="12" t="s">
        <v>37</v>
      </c>
      <c r="VC292" s="12" t="s">
        <v>37</v>
      </c>
      <c r="VD292" s="12" t="s">
        <v>37</v>
      </c>
      <c r="VE292" s="12" t="s">
        <v>37</v>
      </c>
      <c r="VF292" s="12" t="s">
        <v>37</v>
      </c>
      <c r="VG292" s="12" t="s">
        <v>37</v>
      </c>
      <c r="VI292" s="12" t="s">
        <v>37</v>
      </c>
      <c r="VJ292" s="12" t="s">
        <v>37</v>
      </c>
      <c r="VK292" s="12" t="s">
        <v>37</v>
      </c>
      <c r="VL292" s="12" t="s">
        <v>37</v>
      </c>
      <c r="VM292" s="12" t="s">
        <v>37</v>
      </c>
      <c r="VN292" s="12" t="s">
        <v>37</v>
      </c>
      <c r="VQ292" s="12" t="s">
        <v>37</v>
      </c>
      <c r="VR292" s="12" t="s">
        <v>37</v>
      </c>
      <c r="VS292" s="12" t="s">
        <v>37</v>
      </c>
      <c r="VT292" s="12" t="s">
        <v>37</v>
      </c>
      <c r="VU292" s="12" t="s">
        <v>37</v>
      </c>
      <c r="VV292" s="12" t="s">
        <v>37</v>
      </c>
      <c r="VW292" s="12"/>
      <c r="VX292" s="12"/>
      <c r="WA292" s="12" t="s">
        <v>37</v>
      </c>
      <c r="WB292" s="12" t="s">
        <v>37</v>
      </c>
      <c r="WC292" s="12" t="s">
        <v>37</v>
      </c>
      <c r="WD292" s="12" t="s">
        <v>37</v>
      </c>
      <c r="WE292" s="12" t="s">
        <v>37</v>
      </c>
      <c r="WF292" s="12" t="s">
        <v>37</v>
      </c>
    </row>
    <row r="293" spans="1:604" ht="18" customHeight="1" x14ac:dyDescent="0.3">
      <c r="A293" s="11">
        <v>70</v>
      </c>
      <c r="B293" s="16" t="s">
        <v>399</v>
      </c>
      <c r="C293" s="12" t="s">
        <v>32</v>
      </c>
      <c r="D293" s="12" t="s">
        <v>54</v>
      </c>
      <c r="E293" s="40" t="s">
        <v>37</v>
      </c>
      <c r="F293" s="14">
        <v>0</v>
      </c>
      <c r="G293" s="14">
        <v>0</v>
      </c>
      <c r="H293" s="12" t="s">
        <v>91</v>
      </c>
      <c r="I293" s="29">
        <v>49.05</v>
      </c>
      <c r="J293" s="29">
        <v>-80.667000000000002</v>
      </c>
      <c r="K293" s="12" t="s">
        <v>778</v>
      </c>
      <c r="L293" s="12" t="s">
        <v>779</v>
      </c>
      <c r="M293" s="13" t="s">
        <v>37</v>
      </c>
      <c r="N293" s="14">
        <v>0.6</v>
      </c>
      <c r="O293" s="14">
        <v>885</v>
      </c>
      <c r="P293" s="14" t="s">
        <v>16</v>
      </c>
      <c r="Q293" s="75">
        <v>7</v>
      </c>
      <c r="R293" s="11" t="s">
        <v>1000</v>
      </c>
      <c r="S293" s="12" t="s">
        <v>93</v>
      </c>
      <c r="T293" s="12" t="s">
        <v>141</v>
      </c>
      <c r="U293" s="12" t="s">
        <v>163</v>
      </c>
      <c r="V293" s="12" t="s">
        <v>275</v>
      </c>
      <c r="W293" s="23" t="s">
        <v>377</v>
      </c>
      <c r="X293" s="12" t="s">
        <v>281</v>
      </c>
      <c r="Y293" s="12" t="s">
        <v>37</v>
      </c>
      <c r="Z293" s="12" t="s">
        <v>37</v>
      </c>
      <c r="AA293" s="32" t="s">
        <v>345</v>
      </c>
      <c r="AB293" s="12">
        <v>4.5999999999999996</v>
      </c>
      <c r="AE293" s="12" t="s">
        <v>37</v>
      </c>
      <c r="AH293" s="12" t="s">
        <v>37</v>
      </c>
      <c r="AK293" s="12" t="s">
        <v>37</v>
      </c>
      <c r="AL293" s="32" t="s">
        <v>400</v>
      </c>
      <c r="AM293" s="12" t="s">
        <v>317</v>
      </c>
      <c r="AN293" s="32" t="s">
        <v>879</v>
      </c>
      <c r="AO293" s="12" t="s">
        <v>37</v>
      </c>
      <c r="AP293" s="12" t="s">
        <v>401</v>
      </c>
      <c r="AQ293" s="12" t="s">
        <v>975</v>
      </c>
      <c r="AT293" s="12" t="s">
        <v>326</v>
      </c>
      <c r="AU293" s="12" t="s">
        <v>326</v>
      </c>
      <c r="AV293" s="13" t="s">
        <v>326</v>
      </c>
      <c r="AX293" s="12" t="s">
        <v>326</v>
      </c>
      <c r="AY293" s="12" t="s">
        <v>326</v>
      </c>
      <c r="AZ293" s="13" t="s">
        <v>326</v>
      </c>
      <c r="BE293" s="12" t="s">
        <v>326</v>
      </c>
      <c r="BF293" s="12" t="s">
        <v>326</v>
      </c>
      <c r="BG293" s="12" t="s">
        <v>326</v>
      </c>
      <c r="BI293" s="12" t="s">
        <v>326</v>
      </c>
      <c r="BJ293" s="12" t="s">
        <v>326</v>
      </c>
      <c r="BK293" s="12" t="s">
        <v>326</v>
      </c>
      <c r="BP293" s="12" t="s">
        <v>37</v>
      </c>
      <c r="BQ293" s="12" t="s">
        <v>37</v>
      </c>
      <c r="BR293" s="13" t="s">
        <v>37</v>
      </c>
      <c r="BT293" s="12" t="s">
        <v>37</v>
      </c>
      <c r="BU293" s="12" t="s">
        <v>37</v>
      </c>
      <c r="BV293" s="12" t="s">
        <v>37</v>
      </c>
      <c r="CA293" s="12" t="s">
        <v>37</v>
      </c>
      <c r="CB293" s="12" t="s">
        <v>37</v>
      </c>
      <c r="CC293" s="13" t="s">
        <v>37</v>
      </c>
      <c r="CE293" s="12" t="s">
        <v>37</v>
      </c>
      <c r="CF293" s="12" t="s">
        <v>37</v>
      </c>
      <c r="CG293" s="12" t="s">
        <v>37</v>
      </c>
      <c r="CN293" s="12" t="s">
        <v>37</v>
      </c>
      <c r="CO293" s="12" t="s">
        <v>37</v>
      </c>
      <c r="CP293" s="13" t="s">
        <v>37</v>
      </c>
      <c r="CR293" s="12" t="s">
        <v>37</v>
      </c>
      <c r="CS293" s="12" t="s">
        <v>37</v>
      </c>
      <c r="CT293" s="13" t="s">
        <v>37</v>
      </c>
      <c r="CX293" s="72"/>
      <c r="CY293" s="72"/>
      <c r="DA293" s="12" t="s">
        <v>37</v>
      </c>
      <c r="DB293" s="12" t="s">
        <v>37</v>
      </c>
      <c r="DC293" s="13" t="s">
        <v>37</v>
      </c>
      <c r="DE293" s="12" t="s">
        <v>37</v>
      </c>
      <c r="DF293" s="12" t="s">
        <v>37</v>
      </c>
      <c r="DG293" s="12" t="s">
        <v>37</v>
      </c>
      <c r="DM293" s="12" t="s">
        <v>47</v>
      </c>
      <c r="DN293" s="19">
        <f>1.2*("1991/10/31"-"1991/5/1")*10^4/10^6/'[1]classes-1'!$I$32</f>
        <v>3.0332504908479376</v>
      </c>
      <c r="DO293" s="12">
        <f>SQRT((1/[2]Classes!$I$32)^2*(3.8*("1991/10/31"-"1991/5/1")*10^4/10^6)^2+(-DN293/([2]Classes!$I$32)^2)^2*([2]Classes!$J$32)^2)</f>
        <v>10.126673956829368</v>
      </c>
      <c r="DP293" s="13">
        <v>6</v>
      </c>
      <c r="DQ293" s="19">
        <f t="shared" si="1237"/>
        <v>3.3385551201208186</v>
      </c>
      <c r="DR293" s="19">
        <f>-0.2*("1991/10/31"-"1991/5/1")*10^4/10^6/'[1]classes-1'!$I$33</f>
        <v>-0.10743713529994561</v>
      </c>
      <c r="DS293" s="12">
        <f>SQRT((1/[2]Classes!$I$33)^2*(0.5*("1991/10/31"-"1991/5/1")*10^4/10^6)^2+(-DR293/([2]Classes!$I$33)^2)^2*([2]Classes!$I$33)^2)</f>
        <v>0.27043803155784618</v>
      </c>
      <c r="DT293" s="13">
        <v>6</v>
      </c>
      <c r="DU293" s="19">
        <f t="shared" si="1238"/>
        <v>2.5171746324288216</v>
      </c>
      <c r="DV293" s="19">
        <f t="shared" si="1211"/>
        <v>-3.1406876261478831</v>
      </c>
      <c r="DW293" s="12">
        <f t="shared" si="1212"/>
        <v>7.1631927991936335</v>
      </c>
      <c r="DX293" s="72">
        <f t="shared" si="1251"/>
        <v>17.103777026139841</v>
      </c>
      <c r="DY293" s="72">
        <f t="shared" si="1252"/>
        <v>17.103777026139841</v>
      </c>
      <c r="EA293" s="19" t="s">
        <v>37</v>
      </c>
      <c r="EB293" s="19" t="s">
        <v>37</v>
      </c>
      <c r="EC293" s="72" t="s">
        <v>37</v>
      </c>
      <c r="EE293" s="19" t="s">
        <v>37</v>
      </c>
      <c r="EF293" s="19" t="s">
        <v>37</v>
      </c>
      <c r="EG293" s="12" t="s">
        <v>37</v>
      </c>
      <c r="EM293" s="12" t="s">
        <v>39</v>
      </c>
      <c r="EN293" s="12">
        <v>-20.8</v>
      </c>
      <c r="EO293" s="50">
        <f t="shared" si="1241"/>
        <v>8.475925094026902</v>
      </c>
      <c r="EP293" s="13">
        <v>1</v>
      </c>
      <c r="ER293" s="12">
        <v>-46</v>
      </c>
      <c r="ES293" s="50">
        <f t="shared" si="1242"/>
        <v>10.433446461422932</v>
      </c>
      <c r="ET293" s="13">
        <v>1</v>
      </c>
      <c r="EV293" s="19">
        <f t="shared" si="1233"/>
        <v>-25.2</v>
      </c>
      <c r="EW293" s="12" t="e">
        <f t="shared" si="1234"/>
        <v>#DIV/0!</v>
      </c>
      <c r="EX293" s="19" t="e">
        <f t="shared" si="1235"/>
        <v>#DIV/0!</v>
      </c>
      <c r="EY293" s="19">
        <f t="shared" si="1236"/>
        <v>180.69811126293365</v>
      </c>
      <c r="FB293" s="12" t="s">
        <v>37</v>
      </c>
      <c r="FC293" s="12" t="s">
        <v>37</v>
      </c>
      <c r="FD293" s="12" t="s">
        <v>37</v>
      </c>
      <c r="FE293" s="12" t="s">
        <v>37</v>
      </c>
      <c r="FF293" s="20" t="s">
        <v>37</v>
      </c>
      <c r="FG293" s="12" t="s">
        <v>37</v>
      </c>
      <c r="FI293" s="12" t="s">
        <v>37</v>
      </c>
      <c r="FJ293" s="12" t="s">
        <v>37</v>
      </c>
      <c r="FK293" s="12" t="s">
        <v>37</v>
      </c>
      <c r="FL293" s="12" t="s">
        <v>37</v>
      </c>
      <c r="FM293" s="12" t="s">
        <v>37</v>
      </c>
      <c r="FN293" s="12" t="s">
        <v>37</v>
      </c>
      <c r="FP293" s="12" t="s">
        <v>37</v>
      </c>
      <c r="FQ293" s="12" t="s">
        <v>37</v>
      </c>
      <c r="FR293" s="12" t="s">
        <v>37</v>
      </c>
      <c r="FS293" s="12" t="s">
        <v>37</v>
      </c>
      <c r="FT293" s="12" t="s">
        <v>37</v>
      </c>
      <c r="FU293" s="12" t="s">
        <v>37</v>
      </c>
      <c r="FW293" s="12" t="s">
        <v>37</v>
      </c>
      <c r="FX293" s="12" t="s">
        <v>37</v>
      </c>
      <c r="FY293" s="12" t="s">
        <v>37</v>
      </c>
      <c r="FZ293" s="12" t="s">
        <v>37</v>
      </c>
      <c r="GA293" s="12" t="s">
        <v>37</v>
      </c>
      <c r="GB293" s="12" t="s">
        <v>37</v>
      </c>
      <c r="GO293" s="12" t="s">
        <v>660</v>
      </c>
      <c r="GP293" s="12" t="s">
        <v>372</v>
      </c>
      <c r="GQ293" s="12">
        <v>13</v>
      </c>
      <c r="GR293" s="50">
        <f t="shared" si="1243"/>
        <v>1.2418842480306649</v>
      </c>
      <c r="GS293" s="13">
        <v>1</v>
      </c>
      <c r="GU293" s="12">
        <v>10.3</v>
      </c>
      <c r="GV293" s="50">
        <f t="shared" si="1244"/>
        <v>1.0962926777356981</v>
      </c>
      <c r="GW293" s="13">
        <v>1</v>
      </c>
      <c r="GY293" s="19">
        <f t="shared" si="1245"/>
        <v>-0.23280546222594656</v>
      </c>
      <c r="GZ293" s="19">
        <f t="shared" si="1246"/>
        <v>2.0454557267488193E-2</v>
      </c>
      <c r="IK293" s="12" t="s">
        <v>37</v>
      </c>
      <c r="IL293" s="12" t="s">
        <v>37</v>
      </c>
      <c r="IM293" s="12" t="s">
        <v>37</v>
      </c>
      <c r="IO293" s="12" t="s">
        <v>37</v>
      </c>
      <c r="IP293" s="12" t="s">
        <v>37</v>
      </c>
      <c r="IQ293" s="12" t="s">
        <v>37</v>
      </c>
      <c r="IV293" s="32" t="s">
        <v>345</v>
      </c>
      <c r="IW293" s="12">
        <v>4.5999999999999996</v>
      </c>
      <c r="IX293" s="12">
        <v>0.2</v>
      </c>
      <c r="IY293" s="13">
        <v>6</v>
      </c>
      <c r="IZ293" s="19">
        <f t="shared" si="1247"/>
        <v>4.3478260869565223E-2</v>
      </c>
      <c r="JA293" s="13"/>
      <c r="JB293" s="13"/>
      <c r="JH293" s="12" t="s">
        <v>37</v>
      </c>
      <c r="JI293" s="12" t="s">
        <v>37</v>
      </c>
      <c r="JJ293" s="13" t="s">
        <v>37</v>
      </c>
      <c r="JL293" s="12" t="s">
        <v>37</v>
      </c>
      <c r="JM293" s="12" t="s">
        <v>37</v>
      </c>
      <c r="JN293" s="12" t="s">
        <v>37</v>
      </c>
      <c r="JS293" s="12" t="s">
        <v>37</v>
      </c>
      <c r="JT293" s="12" t="s">
        <v>37</v>
      </c>
      <c r="JU293" s="13" t="s">
        <v>37</v>
      </c>
      <c r="JW293" s="12" t="s">
        <v>37</v>
      </c>
      <c r="JX293" s="12" t="s">
        <v>37</v>
      </c>
      <c r="JY293" s="12" t="s">
        <v>37</v>
      </c>
      <c r="KE293" s="12" t="s">
        <v>37</v>
      </c>
      <c r="KF293" s="12" t="s">
        <v>37</v>
      </c>
      <c r="KG293" s="13" t="s">
        <v>37</v>
      </c>
      <c r="KH293" s="12" t="s">
        <v>37</v>
      </c>
      <c r="KI293" s="12" t="s">
        <v>37</v>
      </c>
      <c r="KJ293" s="12" t="s">
        <v>37</v>
      </c>
      <c r="KM293" s="12" t="s">
        <v>37</v>
      </c>
      <c r="KN293" s="12" t="s">
        <v>37</v>
      </c>
      <c r="KO293" s="11" t="s">
        <v>37</v>
      </c>
      <c r="KQ293" s="12" t="s">
        <v>37</v>
      </c>
      <c r="KR293" s="12" t="s">
        <v>37</v>
      </c>
      <c r="KS293" s="12" t="s">
        <v>37</v>
      </c>
      <c r="KX293" s="12" t="s">
        <v>37</v>
      </c>
      <c r="KY293" s="12" t="s">
        <v>37</v>
      </c>
      <c r="KZ293" s="12" t="s">
        <v>37</v>
      </c>
      <c r="LB293" s="12" t="s">
        <v>37</v>
      </c>
      <c r="LC293" s="12" t="s">
        <v>37</v>
      </c>
      <c r="LD293" s="12" t="s">
        <v>37</v>
      </c>
      <c r="LI293" s="12" t="s">
        <v>37</v>
      </c>
      <c r="LJ293" s="12" t="s">
        <v>37</v>
      </c>
      <c r="LK293" s="12" t="s">
        <v>37</v>
      </c>
      <c r="LM293" s="12" t="s">
        <v>37</v>
      </c>
      <c r="LN293" s="12" t="s">
        <v>37</v>
      </c>
      <c r="LO293" s="12" t="s">
        <v>37</v>
      </c>
      <c r="LU293" s="12" t="s">
        <v>37</v>
      </c>
      <c r="LV293" s="12" t="s">
        <v>37</v>
      </c>
      <c r="LW293" s="12" t="s">
        <v>37</v>
      </c>
      <c r="LY293" s="12" t="s">
        <v>37</v>
      </c>
      <c r="LZ293" s="12" t="s">
        <v>37</v>
      </c>
      <c r="MA293" s="12" t="s">
        <v>37</v>
      </c>
      <c r="MF293" s="12" t="s">
        <v>37</v>
      </c>
      <c r="MG293" s="12" t="s">
        <v>37</v>
      </c>
      <c r="MH293" s="12" t="s">
        <v>37</v>
      </c>
      <c r="MJ293" s="12" t="s">
        <v>37</v>
      </c>
      <c r="MK293" s="12" t="s">
        <v>37</v>
      </c>
      <c r="ML293" s="12" t="s">
        <v>37</v>
      </c>
      <c r="MQ293" s="12" t="s">
        <v>37</v>
      </c>
      <c r="MR293" s="12" t="s">
        <v>37</v>
      </c>
      <c r="MS293" s="12" t="s">
        <v>37</v>
      </c>
      <c r="MU293" s="12" t="s">
        <v>37</v>
      </c>
      <c r="MV293" s="12" t="s">
        <v>37</v>
      </c>
      <c r="MW293" s="12" t="s">
        <v>37</v>
      </c>
      <c r="NC293" s="12" t="s">
        <v>37</v>
      </c>
      <c r="ND293" s="12" t="s">
        <v>37</v>
      </c>
      <c r="NE293" s="12" t="s">
        <v>37</v>
      </c>
      <c r="NG293" s="12" t="s">
        <v>37</v>
      </c>
      <c r="NH293" s="12" t="s">
        <v>37</v>
      </c>
      <c r="NI293" s="12" t="s">
        <v>37</v>
      </c>
      <c r="NO293" s="12" t="s">
        <v>37</v>
      </c>
      <c r="NP293" s="12" t="s">
        <v>37</v>
      </c>
      <c r="NQ293" s="12" t="s">
        <v>37</v>
      </c>
      <c r="NS293" s="12" t="s">
        <v>37</v>
      </c>
      <c r="NT293" s="12" t="s">
        <v>37</v>
      </c>
      <c r="NU293" s="12" t="s">
        <v>37</v>
      </c>
      <c r="OA293" s="12" t="s">
        <v>37</v>
      </c>
      <c r="OB293" s="12" t="s">
        <v>37</v>
      </c>
      <c r="OC293" s="12" t="s">
        <v>37</v>
      </c>
      <c r="OD293" s="12"/>
      <c r="OE293" s="12" t="s">
        <v>37</v>
      </c>
      <c r="OF293" s="12" t="s">
        <v>37</v>
      </c>
      <c r="OG293" s="12" t="s">
        <v>37</v>
      </c>
      <c r="OH293" s="12"/>
      <c r="OI293" s="12"/>
      <c r="OJ293" s="12"/>
      <c r="OM293" s="12" t="s">
        <v>37</v>
      </c>
      <c r="ON293" s="12" t="s">
        <v>37</v>
      </c>
      <c r="OO293" s="12" t="s">
        <v>37</v>
      </c>
      <c r="OP293" s="12" t="s">
        <v>37</v>
      </c>
      <c r="OQ293" s="12" t="s">
        <v>37</v>
      </c>
      <c r="OR293" s="12" t="s">
        <v>37</v>
      </c>
      <c r="OS293" s="12"/>
      <c r="OT293" s="12"/>
      <c r="OW293" s="12" t="s">
        <v>37</v>
      </c>
      <c r="OX293" s="12" t="s">
        <v>37</v>
      </c>
      <c r="OY293" s="13" t="s">
        <v>37</v>
      </c>
      <c r="OZ293" s="12" t="s">
        <v>37</v>
      </c>
      <c r="PA293" s="12" t="s">
        <v>37</v>
      </c>
      <c r="PB293" s="13" t="s">
        <v>37</v>
      </c>
      <c r="PG293" s="12" t="s">
        <v>37</v>
      </c>
      <c r="PH293" s="12" t="s">
        <v>37</v>
      </c>
      <c r="PI293" s="12" t="s">
        <v>37</v>
      </c>
      <c r="PJ293" s="12" t="s">
        <v>37</v>
      </c>
      <c r="PK293" s="12" t="s">
        <v>37</v>
      </c>
      <c r="PL293" s="12" t="s">
        <v>37</v>
      </c>
      <c r="PM293" s="12"/>
      <c r="PN293" s="12"/>
      <c r="PQ293" s="12" t="s">
        <v>37</v>
      </c>
      <c r="PR293" s="12" t="s">
        <v>37</v>
      </c>
      <c r="PS293" s="12" t="s">
        <v>37</v>
      </c>
      <c r="PT293" s="12" t="s">
        <v>37</v>
      </c>
      <c r="PU293" s="12" t="s">
        <v>37</v>
      </c>
      <c r="PV293" s="12" t="s">
        <v>37</v>
      </c>
      <c r="PW293" s="12"/>
      <c r="PX293" s="12"/>
      <c r="PZ293" s="12" t="s">
        <v>37</v>
      </c>
      <c r="QA293" s="12" t="s">
        <v>37</v>
      </c>
      <c r="QB293" s="12" t="s">
        <v>37</v>
      </c>
      <c r="QD293" s="12" t="s">
        <v>37</v>
      </c>
      <c r="QE293" s="12" t="s">
        <v>37</v>
      </c>
      <c r="QF293" s="12" t="s">
        <v>37</v>
      </c>
      <c r="QK293" s="12" t="s">
        <v>37</v>
      </c>
      <c r="QL293" s="12" t="s">
        <v>37</v>
      </c>
      <c r="QM293" s="12" t="s">
        <v>37</v>
      </c>
      <c r="QN293" s="12" t="s">
        <v>37</v>
      </c>
      <c r="QO293" s="12" t="s">
        <v>37</v>
      </c>
      <c r="QP293" s="12" t="s">
        <v>37</v>
      </c>
      <c r="QQ293" s="12"/>
      <c r="QR293" s="12"/>
      <c r="QU293" s="12" t="s">
        <v>37</v>
      </c>
      <c r="QV293" s="12" t="s">
        <v>37</v>
      </c>
      <c r="QW293" s="12" t="s">
        <v>37</v>
      </c>
      <c r="QX293" s="12" t="s">
        <v>37</v>
      </c>
      <c r="QY293" s="12" t="s">
        <v>37</v>
      </c>
      <c r="QZ293" s="12" t="s">
        <v>37</v>
      </c>
      <c r="RC293" s="12" t="s">
        <v>37</v>
      </c>
      <c r="RD293" s="12" t="s">
        <v>37</v>
      </c>
      <c r="RE293" s="13" t="s">
        <v>37</v>
      </c>
      <c r="RF293" s="12" t="s">
        <v>37</v>
      </c>
      <c r="RG293" s="12" t="s">
        <v>37</v>
      </c>
      <c r="RH293" s="13" t="s">
        <v>37</v>
      </c>
      <c r="RK293" s="12" t="s">
        <v>37</v>
      </c>
      <c r="RL293" s="12" t="s">
        <v>37</v>
      </c>
      <c r="RM293" s="11" t="s">
        <v>37</v>
      </c>
      <c r="RN293" s="12" t="s">
        <v>37</v>
      </c>
      <c r="RO293" s="12" t="s">
        <v>37</v>
      </c>
      <c r="RP293" s="11" t="s">
        <v>37</v>
      </c>
      <c r="RS293" s="12" t="s">
        <v>37</v>
      </c>
      <c r="RT293" s="12" t="s">
        <v>37</v>
      </c>
      <c r="RU293" s="12" t="s">
        <v>37</v>
      </c>
      <c r="RV293" s="12" t="s">
        <v>37</v>
      </c>
      <c r="RW293" s="12" t="s">
        <v>37</v>
      </c>
      <c r="RX293" s="12" t="s">
        <v>37</v>
      </c>
      <c r="SA293" s="12" t="s">
        <v>37</v>
      </c>
      <c r="SB293" s="12" t="s">
        <v>37</v>
      </c>
      <c r="SC293" s="12" t="s">
        <v>37</v>
      </c>
      <c r="SD293" s="12" t="s">
        <v>37</v>
      </c>
      <c r="SE293" s="12" t="s">
        <v>37</v>
      </c>
      <c r="SF293" s="12" t="s">
        <v>37</v>
      </c>
      <c r="SI293" s="12" t="s">
        <v>37</v>
      </c>
      <c r="SJ293" s="12" t="s">
        <v>37</v>
      </c>
      <c r="SK293" s="13" t="s">
        <v>37</v>
      </c>
      <c r="SM293" s="12" t="s">
        <v>37</v>
      </c>
      <c r="SN293" s="12" t="s">
        <v>37</v>
      </c>
      <c r="SO293" s="13" t="s">
        <v>37</v>
      </c>
      <c r="SU293" s="12" t="s">
        <v>37</v>
      </c>
      <c r="SV293" s="12" t="s">
        <v>37</v>
      </c>
      <c r="SW293" s="12" t="s">
        <v>37</v>
      </c>
      <c r="SX293" s="12" t="s">
        <v>37</v>
      </c>
      <c r="SY293" s="12" t="s">
        <v>37</v>
      </c>
      <c r="SZ293" s="12" t="s">
        <v>37</v>
      </c>
      <c r="TA293" s="12"/>
      <c r="TB293" s="12"/>
      <c r="TE293" s="12" t="s">
        <v>37</v>
      </c>
      <c r="TF293" s="12" t="s">
        <v>37</v>
      </c>
      <c r="TG293" s="12" t="s">
        <v>37</v>
      </c>
      <c r="TH293" s="12" t="s">
        <v>37</v>
      </c>
      <c r="TI293" s="12" t="s">
        <v>37</v>
      </c>
      <c r="TJ293" s="12" t="s">
        <v>37</v>
      </c>
      <c r="TK293" s="12"/>
      <c r="TL293" s="12"/>
      <c r="TO293" s="12" t="s">
        <v>37</v>
      </c>
      <c r="TP293" s="12" t="s">
        <v>37</v>
      </c>
      <c r="TQ293" s="12" t="s">
        <v>37</v>
      </c>
      <c r="TR293" s="12" t="s">
        <v>37</v>
      </c>
      <c r="TS293" s="12" t="s">
        <v>37</v>
      </c>
      <c r="TT293" s="12" t="s">
        <v>37</v>
      </c>
      <c r="TU293" s="12"/>
      <c r="TV293" s="12"/>
      <c r="TY293" s="12" t="s">
        <v>37</v>
      </c>
      <c r="TZ293" s="12" t="s">
        <v>37</v>
      </c>
      <c r="UA293" s="12" t="s">
        <v>37</v>
      </c>
      <c r="UB293" s="12" t="s">
        <v>37</v>
      </c>
      <c r="UC293" s="12" t="s">
        <v>37</v>
      </c>
      <c r="UD293" s="12" t="s">
        <v>37</v>
      </c>
      <c r="UE293" s="12"/>
      <c r="UF293" s="12"/>
      <c r="UI293" s="12" t="s">
        <v>37</v>
      </c>
      <c r="UJ293" s="12" t="s">
        <v>37</v>
      </c>
      <c r="UK293" s="12" t="s">
        <v>37</v>
      </c>
      <c r="UL293" s="12" t="s">
        <v>37</v>
      </c>
      <c r="UM293" s="12" t="s">
        <v>37</v>
      </c>
      <c r="UN293" s="12" t="s">
        <v>37</v>
      </c>
      <c r="UO293" s="12"/>
      <c r="UP293" s="12"/>
      <c r="UR293" s="12" t="s">
        <v>37</v>
      </c>
      <c r="US293" s="12" t="s">
        <v>37</v>
      </c>
      <c r="UT293" s="12" t="s">
        <v>37</v>
      </c>
      <c r="UU293" s="12" t="s">
        <v>37</v>
      </c>
      <c r="UV293" s="12" t="s">
        <v>37</v>
      </c>
      <c r="UW293" s="12" t="s">
        <v>37</v>
      </c>
      <c r="UX293" s="12"/>
      <c r="UY293" s="12"/>
      <c r="VB293" s="12" t="s">
        <v>37</v>
      </c>
      <c r="VC293" s="12" t="s">
        <v>37</v>
      </c>
      <c r="VD293" s="12" t="s">
        <v>37</v>
      </c>
      <c r="VE293" s="12" t="s">
        <v>37</v>
      </c>
      <c r="VF293" s="12" t="s">
        <v>37</v>
      </c>
      <c r="VG293" s="12" t="s">
        <v>37</v>
      </c>
      <c r="VI293" s="12" t="s">
        <v>37</v>
      </c>
      <c r="VJ293" s="12" t="s">
        <v>37</v>
      </c>
      <c r="VK293" s="12" t="s">
        <v>37</v>
      </c>
      <c r="VL293" s="12" t="s">
        <v>37</v>
      </c>
      <c r="VM293" s="12" t="s">
        <v>37</v>
      </c>
      <c r="VN293" s="12" t="s">
        <v>37</v>
      </c>
      <c r="VQ293" s="12" t="s">
        <v>37</v>
      </c>
      <c r="VR293" s="12" t="s">
        <v>37</v>
      </c>
      <c r="VS293" s="12" t="s">
        <v>37</v>
      </c>
      <c r="VT293" s="12" t="s">
        <v>37</v>
      </c>
      <c r="VU293" s="12" t="s">
        <v>37</v>
      </c>
      <c r="VV293" s="12" t="s">
        <v>37</v>
      </c>
      <c r="VW293" s="12"/>
      <c r="VX293" s="12"/>
      <c r="WA293" s="12" t="s">
        <v>37</v>
      </c>
      <c r="WB293" s="12" t="s">
        <v>37</v>
      </c>
      <c r="WC293" s="12" t="s">
        <v>37</v>
      </c>
      <c r="WD293" s="12" t="s">
        <v>37</v>
      </c>
      <c r="WE293" s="12" t="s">
        <v>37</v>
      </c>
      <c r="WF293" s="12" t="s">
        <v>37</v>
      </c>
    </row>
    <row r="294" spans="1:604" ht="18" customHeight="1" x14ac:dyDescent="0.3">
      <c r="A294" s="11">
        <v>70</v>
      </c>
      <c r="B294" s="16" t="s">
        <v>399</v>
      </c>
      <c r="C294" s="12" t="s">
        <v>864</v>
      </c>
      <c r="D294" s="12" t="s">
        <v>54</v>
      </c>
      <c r="E294" s="40" t="s">
        <v>37</v>
      </c>
      <c r="F294" s="14">
        <v>0</v>
      </c>
      <c r="G294" s="14">
        <v>0</v>
      </c>
      <c r="H294" s="12" t="s">
        <v>91</v>
      </c>
      <c r="I294" s="29">
        <v>49.05</v>
      </c>
      <c r="J294" s="29">
        <v>-80.667000000000002</v>
      </c>
      <c r="K294" s="12" t="s">
        <v>778</v>
      </c>
      <c r="L294" s="12" t="s">
        <v>779</v>
      </c>
      <c r="M294" s="13" t="s">
        <v>37</v>
      </c>
      <c r="N294" s="14">
        <v>0.6</v>
      </c>
      <c r="O294" s="14">
        <v>885</v>
      </c>
      <c r="P294" s="14" t="s">
        <v>16</v>
      </c>
      <c r="Q294" s="75">
        <v>7</v>
      </c>
      <c r="R294" s="11" t="s">
        <v>1000</v>
      </c>
      <c r="S294" s="12" t="s">
        <v>93</v>
      </c>
      <c r="T294" s="12" t="s">
        <v>141</v>
      </c>
      <c r="U294" s="12" t="s">
        <v>163</v>
      </c>
      <c r="V294" s="12" t="s">
        <v>275</v>
      </c>
      <c r="W294" s="23" t="s">
        <v>377</v>
      </c>
      <c r="X294" s="12" t="s">
        <v>281</v>
      </c>
      <c r="Y294" s="12" t="s">
        <v>37</v>
      </c>
      <c r="Z294" s="12" t="s">
        <v>37</v>
      </c>
      <c r="AA294" s="32" t="s">
        <v>345</v>
      </c>
      <c r="AB294" s="12">
        <v>4.5999999999999996</v>
      </c>
      <c r="AE294" s="12" t="s">
        <v>37</v>
      </c>
      <c r="AH294" s="12" t="s">
        <v>37</v>
      </c>
      <c r="AK294" s="12" t="s">
        <v>37</v>
      </c>
      <c r="AL294" s="32" t="s">
        <v>400</v>
      </c>
      <c r="AM294" s="12" t="s">
        <v>317</v>
      </c>
      <c r="AN294" s="32" t="s">
        <v>879</v>
      </c>
      <c r="AO294" s="12" t="s">
        <v>37</v>
      </c>
      <c r="AP294" s="12" t="s">
        <v>401</v>
      </c>
      <c r="AQ294" s="12" t="s">
        <v>975</v>
      </c>
      <c r="AT294" s="12" t="s">
        <v>326</v>
      </c>
      <c r="AU294" s="12" t="s">
        <v>326</v>
      </c>
      <c r="AV294" s="13" t="s">
        <v>326</v>
      </c>
      <c r="AX294" s="12" t="s">
        <v>326</v>
      </c>
      <c r="AY294" s="12" t="s">
        <v>326</v>
      </c>
      <c r="AZ294" s="13" t="s">
        <v>326</v>
      </c>
      <c r="BE294" s="12" t="s">
        <v>326</v>
      </c>
      <c r="BF294" s="12" t="s">
        <v>326</v>
      </c>
      <c r="BG294" s="12" t="s">
        <v>326</v>
      </c>
      <c r="BI294" s="12" t="s">
        <v>326</v>
      </c>
      <c r="BJ294" s="12" t="s">
        <v>326</v>
      </c>
      <c r="BK294" s="12" t="s">
        <v>326</v>
      </c>
      <c r="BP294" s="12" t="s">
        <v>37</v>
      </c>
      <c r="BQ294" s="12" t="s">
        <v>37</v>
      </c>
      <c r="BR294" s="13" t="s">
        <v>37</v>
      </c>
      <c r="BT294" s="12" t="s">
        <v>37</v>
      </c>
      <c r="BU294" s="12" t="s">
        <v>37</v>
      </c>
      <c r="BV294" s="12" t="s">
        <v>37</v>
      </c>
      <c r="CA294" s="12" t="s">
        <v>37</v>
      </c>
      <c r="CB294" s="12" t="s">
        <v>37</v>
      </c>
      <c r="CC294" s="13" t="s">
        <v>37</v>
      </c>
      <c r="CE294" s="12" t="s">
        <v>37</v>
      </c>
      <c r="CF294" s="12" t="s">
        <v>37</v>
      </c>
      <c r="CG294" s="12" t="s">
        <v>37</v>
      </c>
      <c r="CN294" s="12" t="s">
        <v>37</v>
      </c>
      <c r="CO294" s="12" t="s">
        <v>37</v>
      </c>
      <c r="CP294" s="13" t="s">
        <v>37</v>
      </c>
      <c r="CR294" s="12" t="s">
        <v>37</v>
      </c>
      <c r="CS294" s="12" t="s">
        <v>37</v>
      </c>
      <c r="CT294" s="13" t="s">
        <v>37</v>
      </c>
      <c r="CX294" s="72"/>
      <c r="CY294" s="72"/>
      <c r="DA294" s="12" t="s">
        <v>37</v>
      </c>
      <c r="DB294" s="12" t="s">
        <v>37</v>
      </c>
      <c r="DC294" s="13" t="s">
        <v>37</v>
      </c>
      <c r="DE294" s="12" t="s">
        <v>37</v>
      </c>
      <c r="DF294" s="12" t="s">
        <v>37</v>
      </c>
      <c r="DG294" s="12" t="s">
        <v>37</v>
      </c>
      <c r="DM294" s="12" t="s">
        <v>47</v>
      </c>
      <c r="DN294" s="19">
        <f>1.2*("1991/10/31"-"1991/5/1")*10^4/10^6/'[1]classes-1'!$I$32</f>
        <v>3.0332504908479376</v>
      </c>
      <c r="DO294" s="12">
        <f>DO293</f>
        <v>10.126673956829368</v>
      </c>
      <c r="DP294" s="13">
        <v>6</v>
      </c>
      <c r="DQ294" s="19">
        <f t="shared" si="1237"/>
        <v>3.3385551201208186</v>
      </c>
      <c r="DR294" s="19">
        <f>-0.2*("1991/10/31"-"1991/5/1")*10^4/10^6/'[1]classes-1'!$I$33</f>
        <v>-0.10743713529994561</v>
      </c>
      <c r="DS294" s="12">
        <f>SQRT((1/[2]Classes!$I$33)^2*(0.7*("1991/10/31"-"1991/5/1")*10^4/10^6)^2+(-DR294/([2]Classes!$I$33)^2)^2*([2]Classes!$J$31)^2)</f>
        <v>0.39119879833905941</v>
      </c>
      <c r="DT294" s="13">
        <v>6</v>
      </c>
      <c r="DU294" s="19">
        <f t="shared" si="1238"/>
        <v>3.6411879118602806</v>
      </c>
      <c r="DV294" s="19">
        <f t="shared" si="1211"/>
        <v>-3.1406876261478831</v>
      </c>
      <c r="DW294" s="12">
        <f t="shared" si="1212"/>
        <v>7.1659808096222282</v>
      </c>
      <c r="DX294" s="72">
        <f t="shared" si="1251"/>
        <v>17.117093654624682</v>
      </c>
      <c r="DY294" s="72">
        <f t="shared" si="1252"/>
        <v>17.117093654624682</v>
      </c>
      <c r="EA294" s="19" t="s">
        <v>37</v>
      </c>
      <c r="EB294" s="19" t="s">
        <v>37</v>
      </c>
      <c r="EC294" s="72" t="s">
        <v>37</v>
      </c>
      <c r="EE294" s="19" t="s">
        <v>37</v>
      </c>
      <c r="EF294" s="19" t="s">
        <v>37</v>
      </c>
      <c r="EG294" s="12" t="s">
        <v>37</v>
      </c>
      <c r="EM294" s="12" t="s">
        <v>39</v>
      </c>
      <c r="EN294" s="12">
        <v>-20.8</v>
      </c>
      <c r="EO294" s="50">
        <f t="shared" si="1241"/>
        <v>8.475925094026902</v>
      </c>
      <c r="EP294" s="13">
        <v>1</v>
      </c>
      <c r="ER294" s="12">
        <v>-40</v>
      </c>
      <c r="ES294" s="50">
        <f t="shared" si="1242"/>
        <v>9.0725621403677668</v>
      </c>
      <c r="ET294" s="13">
        <v>1</v>
      </c>
      <c r="EV294" s="19">
        <f t="shared" si="1233"/>
        <v>-19.2</v>
      </c>
      <c r="EW294" s="12" t="e">
        <f t="shared" si="1234"/>
        <v>#DIV/0!</v>
      </c>
      <c r="EX294" s="19" t="e">
        <f t="shared" si="1235"/>
        <v>#DIV/0!</v>
      </c>
      <c r="EY294" s="19">
        <f t="shared" si="1236"/>
        <v>154.15268999038949</v>
      </c>
      <c r="FB294" s="12" t="s">
        <v>37</v>
      </c>
      <c r="FC294" s="12" t="s">
        <v>37</v>
      </c>
      <c r="FD294" s="12" t="s">
        <v>37</v>
      </c>
      <c r="FE294" s="12" t="s">
        <v>37</v>
      </c>
      <c r="FF294" s="20" t="s">
        <v>37</v>
      </c>
      <c r="FG294" s="12" t="s">
        <v>37</v>
      </c>
      <c r="FI294" s="12" t="s">
        <v>37</v>
      </c>
      <c r="FJ294" s="12" t="s">
        <v>37</v>
      </c>
      <c r="FK294" s="12" t="s">
        <v>37</v>
      </c>
      <c r="FL294" s="12" t="s">
        <v>37</v>
      </c>
      <c r="FM294" s="12" t="s">
        <v>37</v>
      </c>
      <c r="FN294" s="12" t="s">
        <v>37</v>
      </c>
      <c r="FP294" s="12" t="s">
        <v>37</v>
      </c>
      <c r="FQ294" s="12" t="s">
        <v>37</v>
      </c>
      <c r="FR294" s="12" t="s">
        <v>37</v>
      </c>
      <c r="FS294" s="12" t="s">
        <v>37</v>
      </c>
      <c r="FT294" s="12" t="s">
        <v>37</v>
      </c>
      <c r="FU294" s="12" t="s">
        <v>37</v>
      </c>
      <c r="FW294" s="12" t="s">
        <v>37</v>
      </c>
      <c r="FX294" s="12" t="s">
        <v>37</v>
      </c>
      <c r="FY294" s="12" t="s">
        <v>37</v>
      </c>
      <c r="FZ294" s="12" t="s">
        <v>37</v>
      </c>
      <c r="GA294" s="12" t="s">
        <v>37</v>
      </c>
      <c r="GB294" s="12" t="s">
        <v>37</v>
      </c>
      <c r="GO294" s="12" t="s">
        <v>660</v>
      </c>
      <c r="GP294" s="12" t="s">
        <v>372</v>
      </c>
      <c r="GQ294" s="12">
        <v>13</v>
      </c>
      <c r="GR294" s="50">
        <f t="shared" si="1243"/>
        <v>1.2418842480306649</v>
      </c>
      <c r="GS294" s="13">
        <v>1</v>
      </c>
      <c r="GU294" s="12">
        <v>11.2</v>
      </c>
      <c r="GV294" s="50">
        <f t="shared" si="1244"/>
        <v>1.1920852418096908</v>
      </c>
      <c r="GW294" s="13">
        <v>1</v>
      </c>
      <c r="GY294" s="19">
        <f t="shared" si="1245"/>
        <v>-0.14903557916048796</v>
      </c>
      <c r="GZ294" s="19">
        <f t="shared" si="1246"/>
        <v>2.045455726748819E-2</v>
      </c>
      <c r="IK294" s="12" t="s">
        <v>37</v>
      </c>
      <c r="IL294" s="12" t="s">
        <v>37</v>
      </c>
      <c r="IM294" s="12" t="s">
        <v>37</v>
      </c>
      <c r="IO294" s="12" t="s">
        <v>37</v>
      </c>
      <c r="IP294" s="12" t="s">
        <v>37</v>
      </c>
      <c r="IQ294" s="12" t="s">
        <v>37</v>
      </c>
      <c r="IV294" s="32" t="s">
        <v>345</v>
      </c>
      <c r="IW294" s="12">
        <v>4.5999999999999996</v>
      </c>
      <c r="IX294" s="12">
        <v>0.2</v>
      </c>
      <c r="IY294" s="13">
        <v>6</v>
      </c>
      <c r="IZ294" s="19">
        <f t="shared" si="1247"/>
        <v>4.3478260869565223E-2</v>
      </c>
      <c r="JA294" s="13"/>
      <c r="JB294" s="13"/>
      <c r="JH294" s="12" t="s">
        <v>37</v>
      </c>
      <c r="JI294" s="12" t="s">
        <v>37</v>
      </c>
      <c r="JJ294" s="13" t="s">
        <v>37</v>
      </c>
      <c r="JL294" s="12" t="s">
        <v>37</v>
      </c>
      <c r="JM294" s="12" t="s">
        <v>37</v>
      </c>
      <c r="JN294" s="12" t="s">
        <v>37</v>
      </c>
      <c r="JS294" s="12" t="s">
        <v>37</v>
      </c>
      <c r="JT294" s="12" t="s">
        <v>37</v>
      </c>
      <c r="JU294" s="13" t="s">
        <v>37</v>
      </c>
      <c r="JW294" s="12" t="s">
        <v>37</v>
      </c>
      <c r="JX294" s="12" t="s">
        <v>37</v>
      </c>
      <c r="JY294" s="12" t="s">
        <v>37</v>
      </c>
      <c r="KE294" s="12" t="s">
        <v>37</v>
      </c>
      <c r="KF294" s="12" t="s">
        <v>37</v>
      </c>
      <c r="KG294" s="13" t="s">
        <v>37</v>
      </c>
      <c r="KH294" s="12" t="s">
        <v>37</v>
      </c>
      <c r="KI294" s="12" t="s">
        <v>37</v>
      </c>
      <c r="KJ294" s="12" t="s">
        <v>37</v>
      </c>
      <c r="KM294" s="12" t="s">
        <v>37</v>
      </c>
      <c r="KN294" s="12" t="s">
        <v>37</v>
      </c>
      <c r="KO294" s="11" t="s">
        <v>37</v>
      </c>
      <c r="KQ294" s="12" t="s">
        <v>37</v>
      </c>
      <c r="KR294" s="12" t="s">
        <v>37</v>
      </c>
      <c r="KS294" s="12" t="s">
        <v>37</v>
      </c>
      <c r="KX294" s="12" t="s">
        <v>37</v>
      </c>
      <c r="KY294" s="12" t="s">
        <v>37</v>
      </c>
      <c r="KZ294" s="12" t="s">
        <v>37</v>
      </c>
      <c r="LB294" s="12" t="s">
        <v>37</v>
      </c>
      <c r="LC294" s="12" t="s">
        <v>37</v>
      </c>
      <c r="LD294" s="12" t="s">
        <v>37</v>
      </c>
      <c r="LI294" s="12" t="s">
        <v>37</v>
      </c>
      <c r="LJ294" s="12" t="s">
        <v>37</v>
      </c>
      <c r="LK294" s="12" t="s">
        <v>37</v>
      </c>
      <c r="LM294" s="12" t="s">
        <v>37</v>
      </c>
      <c r="LN294" s="12" t="s">
        <v>37</v>
      </c>
      <c r="LO294" s="12" t="s">
        <v>37</v>
      </c>
      <c r="LU294" s="12" t="s">
        <v>37</v>
      </c>
      <c r="LV294" s="12" t="s">
        <v>37</v>
      </c>
      <c r="LW294" s="12" t="s">
        <v>37</v>
      </c>
      <c r="LY294" s="12" t="s">
        <v>37</v>
      </c>
      <c r="LZ294" s="12" t="s">
        <v>37</v>
      </c>
      <c r="MA294" s="12" t="s">
        <v>37</v>
      </c>
      <c r="MF294" s="12" t="s">
        <v>37</v>
      </c>
      <c r="MG294" s="12" t="s">
        <v>37</v>
      </c>
      <c r="MH294" s="12" t="s">
        <v>37</v>
      </c>
      <c r="MJ294" s="12" t="s">
        <v>37</v>
      </c>
      <c r="MK294" s="12" t="s">
        <v>37</v>
      </c>
      <c r="ML294" s="12" t="s">
        <v>37</v>
      </c>
      <c r="MQ294" s="12" t="s">
        <v>37</v>
      </c>
      <c r="MR294" s="12" t="s">
        <v>37</v>
      </c>
      <c r="MS294" s="12" t="s">
        <v>37</v>
      </c>
      <c r="MU294" s="12" t="s">
        <v>37</v>
      </c>
      <c r="MV294" s="12" t="s">
        <v>37</v>
      </c>
      <c r="MW294" s="12" t="s">
        <v>37</v>
      </c>
      <c r="NC294" s="12" t="s">
        <v>37</v>
      </c>
      <c r="ND294" s="12" t="s">
        <v>37</v>
      </c>
      <c r="NE294" s="12" t="s">
        <v>37</v>
      </c>
      <c r="NG294" s="12" t="s">
        <v>37</v>
      </c>
      <c r="NH294" s="12" t="s">
        <v>37</v>
      </c>
      <c r="NI294" s="12" t="s">
        <v>37</v>
      </c>
      <c r="NO294" s="12" t="s">
        <v>37</v>
      </c>
      <c r="NP294" s="12" t="s">
        <v>37</v>
      </c>
      <c r="NQ294" s="12" t="s">
        <v>37</v>
      </c>
      <c r="NS294" s="12" t="s">
        <v>37</v>
      </c>
      <c r="NT294" s="12" t="s">
        <v>37</v>
      </c>
      <c r="NU294" s="12" t="s">
        <v>37</v>
      </c>
      <c r="OA294" s="12" t="s">
        <v>37</v>
      </c>
      <c r="OB294" s="12" t="s">
        <v>37</v>
      </c>
      <c r="OC294" s="12" t="s">
        <v>37</v>
      </c>
      <c r="OD294" s="12"/>
      <c r="OE294" s="12" t="s">
        <v>37</v>
      </c>
      <c r="OF294" s="12" t="s">
        <v>37</v>
      </c>
      <c r="OG294" s="12" t="s">
        <v>37</v>
      </c>
      <c r="OH294" s="12"/>
      <c r="OI294" s="12"/>
      <c r="OJ294" s="12"/>
      <c r="OM294" s="12" t="s">
        <v>37</v>
      </c>
      <c r="ON294" s="12" t="s">
        <v>37</v>
      </c>
      <c r="OO294" s="12" t="s">
        <v>37</v>
      </c>
      <c r="OP294" s="12" t="s">
        <v>37</v>
      </c>
      <c r="OQ294" s="12" t="s">
        <v>37</v>
      </c>
      <c r="OR294" s="12" t="s">
        <v>37</v>
      </c>
      <c r="OS294" s="12"/>
      <c r="OT294" s="12"/>
      <c r="OW294" s="12" t="s">
        <v>37</v>
      </c>
      <c r="OX294" s="12" t="s">
        <v>37</v>
      </c>
      <c r="OY294" s="13" t="s">
        <v>37</v>
      </c>
      <c r="OZ294" s="12" t="s">
        <v>37</v>
      </c>
      <c r="PA294" s="12" t="s">
        <v>37</v>
      </c>
      <c r="PB294" s="13" t="s">
        <v>37</v>
      </c>
      <c r="PG294" s="12" t="s">
        <v>37</v>
      </c>
      <c r="PH294" s="12" t="s">
        <v>37</v>
      </c>
      <c r="PI294" s="12" t="s">
        <v>37</v>
      </c>
      <c r="PJ294" s="12" t="s">
        <v>37</v>
      </c>
      <c r="PK294" s="12" t="s">
        <v>37</v>
      </c>
      <c r="PL294" s="12" t="s">
        <v>37</v>
      </c>
      <c r="PM294" s="12"/>
      <c r="PN294" s="12"/>
      <c r="PQ294" s="12" t="s">
        <v>37</v>
      </c>
      <c r="PR294" s="12" t="s">
        <v>37</v>
      </c>
      <c r="PS294" s="12" t="s">
        <v>37</v>
      </c>
      <c r="PT294" s="12" t="s">
        <v>37</v>
      </c>
      <c r="PU294" s="12" t="s">
        <v>37</v>
      </c>
      <c r="PV294" s="12" t="s">
        <v>37</v>
      </c>
      <c r="PW294" s="12"/>
      <c r="PX294" s="12"/>
      <c r="PZ294" s="12" t="s">
        <v>37</v>
      </c>
      <c r="QA294" s="12" t="s">
        <v>37</v>
      </c>
      <c r="QB294" s="12" t="s">
        <v>37</v>
      </c>
      <c r="QD294" s="12" t="s">
        <v>37</v>
      </c>
      <c r="QE294" s="12" t="s">
        <v>37</v>
      </c>
      <c r="QF294" s="12" t="s">
        <v>37</v>
      </c>
      <c r="QK294" s="12" t="s">
        <v>37</v>
      </c>
      <c r="QL294" s="12" t="s">
        <v>37</v>
      </c>
      <c r="QM294" s="12" t="s">
        <v>37</v>
      </c>
      <c r="QN294" s="12" t="s">
        <v>37</v>
      </c>
      <c r="QO294" s="12" t="s">
        <v>37</v>
      </c>
      <c r="QP294" s="12" t="s">
        <v>37</v>
      </c>
      <c r="QQ294" s="12"/>
      <c r="QR294" s="12"/>
      <c r="QU294" s="12" t="s">
        <v>37</v>
      </c>
      <c r="QV294" s="12" t="s">
        <v>37</v>
      </c>
      <c r="QW294" s="12" t="s">
        <v>37</v>
      </c>
      <c r="QX294" s="12" t="s">
        <v>37</v>
      </c>
      <c r="QY294" s="12" t="s">
        <v>37</v>
      </c>
      <c r="QZ294" s="12" t="s">
        <v>37</v>
      </c>
      <c r="RC294" s="12" t="s">
        <v>37</v>
      </c>
      <c r="RD294" s="12" t="s">
        <v>37</v>
      </c>
      <c r="RE294" s="13" t="s">
        <v>37</v>
      </c>
      <c r="RF294" s="12" t="s">
        <v>37</v>
      </c>
      <c r="RG294" s="12" t="s">
        <v>37</v>
      </c>
      <c r="RH294" s="13" t="s">
        <v>37</v>
      </c>
      <c r="RK294" s="12" t="s">
        <v>37</v>
      </c>
      <c r="RL294" s="12" t="s">
        <v>37</v>
      </c>
      <c r="RM294" s="11" t="s">
        <v>37</v>
      </c>
      <c r="RN294" s="12" t="s">
        <v>37</v>
      </c>
      <c r="RO294" s="12" t="s">
        <v>37</v>
      </c>
      <c r="RP294" s="11" t="s">
        <v>37</v>
      </c>
      <c r="RS294" s="12" t="s">
        <v>37</v>
      </c>
      <c r="RT294" s="12" t="s">
        <v>37</v>
      </c>
      <c r="RU294" s="12" t="s">
        <v>37</v>
      </c>
      <c r="RV294" s="12" t="s">
        <v>37</v>
      </c>
      <c r="RW294" s="12" t="s">
        <v>37</v>
      </c>
      <c r="RX294" s="12" t="s">
        <v>37</v>
      </c>
      <c r="SA294" s="12" t="s">
        <v>37</v>
      </c>
      <c r="SB294" s="12" t="s">
        <v>37</v>
      </c>
      <c r="SC294" s="12" t="s">
        <v>37</v>
      </c>
      <c r="SD294" s="12" t="s">
        <v>37</v>
      </c>
      <c r="SE294" s="12" t="s">
        <v>37</v>
      </c>
      <c r="SF294" s="12" t="s">
        <v>37</v>
      </c>
      <c r="SI294" s="12" t="s">
        <v>37</v>
      </c>
      <c r="SJ294" s="12" t="s">
        <v>37</v>
      </c>
      <c r="SK294" s="13" t="s">
        <v>37</v>
      </c>
      <c r="SM294" s="12" t="s">
        <v>37</v>
      </c>
      <c r="SN294" s="12" t="s">
        <v>37</v>
      </c>
      <c r="SO294" s="13" t="s">
        <v>37</v>
      </c>
      <c r="SU294" s="12" t="s">
        <v>37</v>
      </c>
      <c r="SV294" s="12" t="s">
        <v>37</v>
      </c>
      <c r="SW294" s="12" t="s">
        <v>37</v>
      </c>
      <c r="SX294" s="12" t="s">
        <v>37</v>
      </c>
      <c r="SY294" s="12" t="s">
        <v>37</v>
      </c>
      <c r="SZ294" s="12" t="s">
        <v>37</v>
      </c>
      <c r="TA294" s="12"/>
      <c r="TB294" s="12"/>
      <c r="TE294" s="12" t="s">
        <v>37</v>
      </c>
      <c r="TF294" s="12" t="s">
        <v>37</v>
      </c>
      <c r="TG294" s="12" t="s">
        <v>37</v>
      </c>
      <c r="TH294" s="12" t="s">
        <v>37</v>
      </c>
      <c r="TI294" s="12" t="s">
        <v>37</v>
      </c>
      <c r="TJ294" s="12" t="s">
        <v>37</v>
      </c>
      <c r="TK294" s="12"/>
      <c r="TL294" s="12"/>
      <c r="TO294" s="12" t="s">
        <v>37</v>
      </c>
      <c r="TP294" s="12" t="s">
        <v>37</v>
      </c>
      <c r="TQ294" s="12" t="s">
        <v>37</v>
      </c>
      <c r="TR294" s="12" t="s">
        <v>37</v>
      </c>
      <c r="TS294" s="12" t="s">
        <v>37</v>
      </c>
      <c r="TT294" s="12" t="s">
        <v>37</v>
      </c>
      <c r="TU294" s="12"/>
      <c r="TV294" s="12"/>
      <c r="TY294" s="12" t="s">
        <v>37</v>
      </c>
      <c r="TZ294" s="12" t="s">
        <v>37</v>
      </c>
      <c r="UA294" s="12" t="s">
        <v>37</v>
      </c>
      <c r="UB294" s="12" t="s">
        <v>37</v>
      </c>
      <c r="UC294" s="12" t="s">
        <v>37</v>
      </c>
      <c r="UD294" s="12" t="s">
        <v>37</v>
      </c>
      <c r="UE294" s="12"/>
      <c r="UF294" s="12"/>
      <c r="UI294" s="12" t="s">
        <v>37</v>
      </c>
      <c r="UJ294" s="12" t="s">
        <v>37</v>
      </c>
      <c r="UK294" s="12" t="s">
        <v>37</v>
      </c>
      <c r="UL294" s="12" t="s">
        <v>37</v>
      </c>
      <c r="UM294" s="12" t="s">
        <v>37</v>
      </c>
      <c r="UN294" s="12" t="s">
        <v>37</v>
      </c>
      <c r="UO294" s="12"/>
      <c r="UP294" s="12"/>
      <c r="UR294" s="12" t="s">
        <v>37</v>
      </c>
      <c r="US294" s="12" t="s">
        <v>37</v>
      </c>
      <c r="UT294" s="12" t="s">
        <v>37</v>
      </c>
      <c r="UU294" s="12" t="s">
        <v>37</v>
      </c>
      <c r="UV294" s="12" t="s">
        <v>37</v>
      </c>
      <c r="UW294" s="12" t="s">
        <v>37</v>
      </c>
      <c r="UX294" s="12"/>
      <c r="UY294" s="12"/>
      <c r="VB294" s="12" t="s">
        <v>37</v>
      </c>
      <c r="VC294" s="12" t="s">
        <v>37</v>
      </c>
      <c r="VD294" s="12" t="s">
        <v>37</v>
      </c>
      <c r="VE294" s="12" t="s">
        <v>37</v>
      </c>
      <c r="VF294" s="12" t="s">
        <v>37</v>
      </c>
      <c r="VG294" s="12" t="s">
        <v>37</v>
      </c>
      <c r="VI294" s="12" t="s">
        <v>37</v>
      </c>
      <c r="VJ294" s="12" t="s">
        <v>37</v>
      </c>
      <c r="VK294" s="12" t="s">
        <v>37</v>
      </c>
      <c r="VL294" s="12" t="s">
        <v>37</v>
      </c>
      <c r="VM294" s="12" t="s">
        <v>37</v>
      </c>
      <c r="VN294" s="12" t="s">
        <v>37</v>
      </c>
      <c r="VQ294" s="12" t="s">
        <v>37</v>
      </c>
      <c r="VR294" s="12" t="s">
        <v>37</v>
      </c>
      <c r="VS294" s="12" t="s">
        <v>37</v>
      </c>
      <c r="VT294" s="12" t="s">
        <v>37</v>
      </c>
      <c r="VU294" s="12" t="s">
        <v>37</v>
      </c>
      <c r="VV294" s="12" t="s">
        <v>37</v>
      </c>
      <c r="VW294" s="12"/>
      <c r="VX294" s="12"/>
      <c r="WA294" s="12" t="s">
        <v>37</v>
      </c>
      <c r="WB294" s="12" t="s">
        <v>37</v>
      </c>
      <c r="WC294" s="12" t="s">
        <v>37</v>
      </c>
      <c r="WD294" s="12" t="s">
        <v>37</v>
      </c>
      <c r="WE294" s="12" t="s">
        <v>37</v>
      </c>
      <c r="WF294" s="12" t="s">
        <v>37</v>
      </c>
    </row>
    <row r="295" spans="1:604" ht="18" customHeight="1" x14ac:dyDescent="0.3">
      <c r="A295" s="11">
        <v>70</v>
      </c>
      <c r="B295" s="16" t="s">
        <v>399</v>
      </c>
      <c r="C295" s="12" t="s">
        <v>31</v>
      </c>
      <c r="D295" s="12" t="s">
        <v>54</v>
      </c>
      <c r="E295" s="40" t="s">
        <v>37</v>
      </c>
      <c r="F295" s="14">
        <v>0</v>
      </c>
      <c r="G295" s="14">
        <v>0</v>
      </c>
      <c r="H295" s="12" t="s">
        <v>91</v>
      </c>
      <c r="I295" s="29">
        <v>49.05</v>
      </c>
      <c r="J295" s="29">
        <v>-80.667000000000002</v>
      </c>
      <c r="K295" s="12" t="s">
        <v>778</v>
      </c>
      <c r="L295" s="12" t="s">
        <v>779</v>
      </c>
      <c r="M295" s="13" t="s">
        <v>37</v>
      </c>
      <c r="N295" s="14">
        <v>0.6</v>
      </c>
      <c r="O295" s="14">
        <v>885</v>
      </c>
      <c r="P295" s="14" t="s">
        <v>16</v>
      </c>
      <c r="Q295" s="75">
        <v>7</v>
      </c>
      <c r="R295" s="11" t="s">
        <v>1000</v>
      </c>
      <c r="S295" s="12" t="s">
        <v>93</v>
      </c>
      <c r="T295" s="12" t="s">
        <v>141</v>
      </c>
      <c r="U295" s="12" t="s">
        <v>163</v>
      </c>
      <c r="V295" s="12" t="s">
        <v>275</v>
      </c>
      <c r="W295" s="23" t="s">
        <v>377</v>
      </c>
      <c r="X295" s="12" t="s">
        <v>281</v>
      </c>
      <c r="Y295" s="12" t="s">
        <v>37</v>
      </c>
      <c r="Z295" s="12" t="s">
        <v>37</v>
      </c>
      <c r="AA295" s="32" t="s">
        <v>345</v>
      </c>
      <c r="AB295" s="12">
        <v>4.5999999999999996</v>
      </c>
      <c r="AE295" s="12" t="s">
        <v>37</v>
      </c>
      <c r="AH295" s="12" t="s">
        <v>37</v>
      </c>
      <c r="AK295" s="12" t="s">
        <v>37</v>
      </c>
      <c r="AL295" s="32" t="s">
        <v>400</v>
      </c>
      <c r="AM295" s="12" t="s">
        <v>317</v>
      </c>
      <c r="AN295" s="32" t="s">
        <v>879</v>
      </c>
      <c r="AO295" s="12" t="s">
        <v>37</v>
      </c>
      <c r="AP295" s="12" t="s">
        <v>401</v>
      </c>
      <c r="AQ295" s="12" t="s">
        <v>975</v>
      </c>
      <c r="AT295" s="12" t="s">
        <v>326</v>
      </c>
      <c r="AU295" s="12" t="s">
        <v>326</v>
      </c>
      <c r="AV295" s="13" t="s">
        <v>326</v>
      </c>
      <c r="AX295" s="12" t="s">
        <v>326</v>
      </c>
      <c r="AY295" s="12" t="s">
        <v>326</v>
      </c>
      <c r="AZ295" s="13" t="s">
        <v>326</v>
      </c>
      <c r="BE295" s="12" t="s">
        <v>326</v>
      </c>
      <c r="BF295" s="12" t="s">
        <v>326</v>
      </c>
      <c r="BG295" s="12" t="s">
        <v>326</v>
      </c>
      <c r="BI295" s="12" t="s">
        <v>326</v>
      </c>
      <c r="BJ295" s="12" t="s">
        <v>326</v>
      </c>
      <c r="BK295" s="12" t="s">
        <v>326</v>
      </c>
      <c r="BP295" s="12" t="s">
        <v>37</v>
      </c>
      <c r="BQ295" s="12" t="s">
        <v>37</v>
      </c>
      <c r="BR295" s="13" t="s">
        <v>37</v>
      </c>
      <c r="BT295" s="12" t="s">
        <v>37</v>
      </c>
      <c r="BU295" s="12" t="s">
        <v>37</v>
      </c>
      <c r="BV295" s="12" t="s">
        <v>37</v>
      </c>
      <c r="CA295" s="12" t="s">
        <v>37</v>
      </c>
      <c r="CB295" s="12" t="s">
        <v>37</v>
      </c>
      <c r="CC295" s="13" t="s">
        <v>37</v>
      </c>
      <c r="CE295" s="12" t="s">
        <v>37</v>
      </c>
      <c r="CF295" s="12" t="s">
        <v>37</v>
      </c>
      <c r="CG295" s="12" t="s">
        <v>37</v>
      </c>
      <c r="CN295" s="12" t="s">
        <v>37</v>
      </c>
      <c r="CO295" s="12" t="s">
        <v>37</v>
      </c>
      <c r="CP295" s="13" t="s">
        <v>37</v>
      </c>
      <c r="CR295" s="12" t="s">
        <v>37</v>
      </c>
      <c r="CS295" s="12" t="s">
        <v>37</v>
      </c>
      <c r="CT295" s="13" t="s">
        <v>37</v>
      </c>
      <c r="CX295" s="72"/>
      <c r="CY295" s="72"/>
      <c r="DA295" s="12" t="s">
        <v>37</v>
      </c>
      <c r="DB295" s="12" t="s">
        <v>37</v>
      </c>
      <c r="DC295" s="13" t="s">
        <v>37</v>
      </c>
      <c r="DE295" s="12" t="s">
        <v>37</v>
      </c>
      <c r="DF295" s="12" t="s">
        <v>37</v>
      </c>
      <c r="DG295" s="12" t="s">
        <v>37</v>
      </c>
      <c r="DM295" s="12" t="s">
        <v>47</v>
      </c>
      <c r="DN295" s="19">
        <f>1.2*("1991/10/31"-"1991/5/1")*10^4/10^6/'[1]classes-1'!$I$32</f>
        <v>3.0332504908479376</v>
      </c>
      <c r="DO295" s="12">
        <f>DO294</f>
        <v>10.126673956829368</v>
      </c>
      <c r="DP295" s="13">
        <v>6</v>
      </c>
      <c r="DQ295" s="19">
        <f t="shared" si="1237"/>
        <v>3.3385551201208186</v>
      </c>
      <c r="DR295" s="19">
        <f>-0.1*("1991/10/31"-"1991/5/1")*10^4/10^6/'[1]classes-1'!$I$33</f>
        <v>-5.3718567649972807E-2</v>
      </c>
      <c r="DS295" s="12">
        <f>SQRT((1/[2]Classes!$I$33)^2*(0.7*("1991/10/31"-"1991/5/1")*10^4/10^6)^2+(-DR295/([2]Classes!$I$33)^2)^2*([2]Classes!$J$33)^2)</f>
        <v>0.37987896850363267</v>
      </c>
      <c r="DT295" s="13">
        <v>6</v>
      </c>
      <c r="DU295" s="19">
        <f t="shared" si="1238"/>
        <v>7.0716511091454048</v>
      </c>
      <c r="DV295" s="19">
        <f t="shared" si="1211"/>
        <v>-3.0869690584979104</v>
      </c>
      <c r="DW295" s="12">
        <f t="shared" si="1212"/>
        <v>7.1656762925294624</v>
      </c>
      <c r="DX295" s="72">
        <f t="shared" si="1251"/>
        <v>17.115638909772922</v>
      </c>
      <c r="DY295" s="72">
        <f t="shared" si="1252"/>
        <v>17.115638909772926</v>
      </c>
      <c r="EA295" s="19" t="s">
        <v>37</v>
      </c>
      <c r="EB295" s="19" t="s">
        <v>37</v>
      </c>
      <c r="EC295" s="72" t="s">
        <v>37</v>
      </c>
      <c r="EE295" s="19" t="s">
        <v>37</v>
      </c>
      <c r="EF295" s="19" t="s">
        <v>37</v>
      </c>
      <c r="EG295" s="12" t="s">
        <v>37</v>
      </c>
      <c r="EM295" s="12" t="s">
        <v>39</v>
      </c>
      <c r="EN295" s="12">
        <v>-20.8</v>
      </c>
      <c r="EO295" s="50">
        <f t="shared" si="1241"/>
        <v>8.475925094026902</v>
      </c>
      <c r="EP295" s="13">
        <v>1</v>
      </c>
      <c r="ER295" s="12">
        <v>-31.5</v>
      </c>
      <c r="ES295" s="50">
        <f t="shared" si="1242"/>
        <v>7.1446426855396163</v>
      </c>
      <c r="ET295" s="13">
        <v>1</v>
      </c>
      <c r="EV295" s="19">
        <f t="shared" si="1233"/>
        <v>-10.7</v>
      </c>
      <c r="EW295" s="12" t="e">
        <f t="shared" si="1234"/>
        <v>#DIV/0!</v>
      </c>
      <c r="EX295" s="19" t="e">
        <f t="shared" si="1235"/>
        <v>#DIV/0!</v>
      </c>
      <c r="EY295" s="19">
        <f t="shared" si="1236"/>
        <v>122.88722530358969</v>
      </c>
      <c r="FB295" s="12" t="s">
        <v>37</v>
      </c>
      <c r="FC295" s="12" t="s">
        <v>37</v>
      </c>
      <c r="FD295" s="12" t="s">
        <v>37</v>
      </c>
      <c r="FE295" s="12" t="s">
        <v>37</v>
      </c>
      <c r="FF295" s="20" t="s">
        <v>37</v>
      </c>
      <c r="FG295" s="12" t="s">
        <v>37</v>
      </c>
      <c r="FI295" s="12" t="s">
        <v>37</v>
      </c>
      <c r="FJ295" s="12" t="s">
        <v>37</v>
      </c>
      <c r="FK295" s="12" t="s">
        <v>37</v>
      </c>
      <c r="FL295" s="12" t="s">
        <v>37</v>
      </c>
      <c r="FM295" s="12" t="s">
        <v>37</v>
      </c>
      <c r="FN295" s="12" t="s">
        <v>37</v>
      </c>
      <c r="FP295" s="12" t="s">
        <v>37</v>
      </c>
      <c r="FQ295" s="12" t="s">
        <v>37</v>
      </c>
      <c r="FR295" s="12" t="s">
        <v>37</v>
      </c>
      <c r="FS295" s="12" t="s">
        <v>37</v>
      </c>
      <c r="FT295" s="12" t="s">
        <v>37</v>
      </c>
      <c r="FU295" s="12" t="s">
        <v>37</v>
      </c>
      <c r="FW295" s="12" t="s">
        <v>37</v>
      </c>
      <c r="FX295" s="12" t="s">
        <v>37</v>
      </c>
      <c r="FY295" s="12" t="s">
        <v>37</v>
      </c>
      <c r="FZ295" s="12" t="s">
        <v>37</v>
      </c>
      <c r="GA295" s="12" t="s">
        <v>37</v>
      </c>
      <c r="GB295" s="12" t="s">
        <v>37</v>
      </c>
      <c r="GO295" s="12" t="s">
        <v>660</v>
      </c>
      <c r="GP295" s="12" t="s">
        <v>372</v>
      </c>
      <c r="GQ295" s="12">
        <v>13</v>
      </c>
      <c r="GR295" s="50">
        <f t="shared" si="1243"/>
        <v>1.2418842480306649</v>
      </c>
      <c r="GS295" s="13">
        <v>1</v>
      </c>
      <c r="GU295" s="12">
        <v>10.5</v>
      </c>
      <c r="GV295" s="50">
        <f t="shared" si="1244"/>
        <v>1.1175799141965852</v>
      </c>
      <c r="GW295" s="13">
        <v>1</v>
      </c>
      <c r="GY295" s="19">
        <f t="shared" si="1245"/>
        <v>-0.21357410029805904</v>
      </c>
      <c r="GZ295" s="19">
        <f t="shared" si="1246"/>
        <v>2.045455726748819E-2</v>
      </c>
      <c r="IK295" s="12" t="s">
        <v>37</v>
      </c>
      <c r="IL295" s="12" t="s">
        <v>37</v>
      </c>
      <c r="IM295" s="12" t="s">
        <v>37</v>
      </c>
      <c r="IO295" s="12" t="s">
        <v>37</v>
      </c>
      <c r="IP295" s="12" t="s">
        <v>37</v>
      </c>
      <c r="IQ295" s="12" t="s">
        <v>37</v>
      </c>
      <c r="IV295" s="32" t="s">
        <v>345</v>
      </c>
      <c r="IW295" s="12">
        <v>4.5999999999999996</v>
      </c>
      <c r="IX295" s="12">
        <v>0.2</v>
      </c>
      <c r="IY295" s="13">
        <v>6</v>
      </c>
      <c r="IZ295" s="19">
        <f t="shared" si="1247"/>
        <v>4.3478260869565223E-2</v>
      </c>
      <c r="JA295" s="13"/>
      <c r="JB295" s="13"/>
      <c r="JH295" s="12" t="s">
        <v>37</v>
      </c>
      <c r="JI295" s="12" t="s">
        <v>37</v>
      </c>
      <c r="JJ295" s="13" t="s">
        <v>37</v>
      </c>
      <c r="JL295" s="12" t="s">
        <v>37</v>
      </c>
      <c r="JM295" s="12" t="s">
        <v>37</v>
      </c>
      <c r="JN295" s="12" t="s">
        <v>37</v>
      </c>
      <c r="JS295" s="12" t="s">
        <v>37</v>
      </c>
      <c r="JT295" s="12" t="s">
        <v>37</v>
      </c>
      <c r="JU295" s="13" t="s">
        <v>37</v>
      </c>
      <c r="JW295" s="12" t="s">
        <v>37</v>
      </c>
      <c r="JX295" s="12" t="s">
        <v>37</v>
      </c>
      <c r="JY295" s="12" t="s">
        <v>37</v>
      </c>
      <c r="KE295" s="12" t="s">
        <v>37</v>
      </c>
      <c r="KF295" s="12" t="s">
        <v>37</v>
      </c>
      <c r="KG295" s="13" t="s">
        <v>37</v>
      </c>
      <c r="KH295" s="12" t="s">
        <v>37</v>
      </c>
      <c r="KI295" s="12" t="s">
        <v>37</v>
      </c>
      <c r="KJ295" s="12" t="s">
        <v>37</v>
      </c>
      <c r="KM295" s="12" t="s">
        <v>37</v>
      </c>
      <c r="KN295" s="12" t="s">
        <v>37</v>
      </c>
      <c r="KO295" s="11" t="s">
        <v>37</v>
      </c>
      <c r="KQ295" s="12" t="s">
        <v>37</v>
      </c>
      <c r="KR295" s="12" t="s">
        <v>37</v>
      </c>
      <c r="KS295" s="12" t="s">
        <v>37</v>
      </c>
      <c r="KX295" s="12" t="s">
        <v>37</v>
      </c>
      <c r="KY295" s="12" t="s">
        <v>37</v>
      </c>
      <c r="KZ295" s="12" t="s">
        <v>37</v>
      </c>
      <c r="LB295" s="12" t="s">
        <v>37</v>
      </c>
      <c r="LC295" s="12" t="s">
        <v>37</v>
      </c>
      <c r="LD295" s="12" t="s">
        <v>37</v>
      </c>
      <c r="LI295" s="12" t="s">
        <v>37</v>
      </c>
      <c r="LJ295" s="12" t="s">
        <v>37</v>
      </c>
      <c r="LK295" s="12" t="s">
        <v>37</v>
      </c>
      <c r="LM295" s="12" t="s">
        <v>37</v>
      </c>
      <c r="LN295" s="12" t="s">
        <v>37</v>
      </c>
      <c r="LO295" s="12" t="s">
        <v>37</v>
      </c>
      <c r="LU295" s="12" t="s">
        <v>37</v>
      </c>
      <c r="LV295" s="12" t="s">
        <v>37</v>
      </c>
      <c r="LW295" s="12" t="s">
        <v>37</v>
      </c>
      <c r="LY295" s="12" t="s">
        <v>37</v>
      </c>
      <c r="LZ295" s="12" t="s">
        <v>37</v>
      </c>
      <c r="MA295" s="12" t="s">
        <v>37</v>
      </c>
      <c r="MF295" s="12" t="s">
        <v>37</v>
      </c>
      <c r="MG295" s="12" t="s">
        <v>37</v>
      </c>
      <c r="MH295" s="12" t="s">
        <v>37</v>
      </c>
      <c r="MJ295" s="12" t="s">
        <v>37</v>
      </c>
      <c r="MK295" s="12" t="s">
        <v>37</v>
      </c>
      <c r="ML295" s="12" t="s">
        <v>37</v>
      </c>
      <c r="MQ295" s="12" t="s">
        <v>37</v>
      </c>
      <c r="MR295" s="12" t="s">
        <v>37</v>
      </c>
      <c r="MS295" s="12" t="s">
        <v>37</v>
      </c>
      <c r="MU295" s="12" t="s">
        <v>37</v>
      </c>
      <c r="MV295" s="12" t="s">
        <v>37</v>
      </c>
      <c r="MW295" s="12" t="s">
        <v>37</v>
      </c>
      <c r="NC295" s="12" t="s">
        <v>37</v>
      </c>
      <c r="ND295" s="12" t="s">
        <v>37</v>
      </c>
      <c r="NE295" s="12" t="s">
        <v>37</v>
      </c>
      <c r="NG295" s="12" t="s">
        <v>37</v>
      </c>
      <c r="NH295" s="12" t="s">
        <v>37</v>
      </c>
      <c r="NI295" s="12" t="s">
        <v>37</v>
      </c>
      <c r="NO295" s="12" t="s">
        <v>37</v>
      </c>
      <c r="NP295" s="12" t="s">
        <v>37</v>
      </c>
      <c r="NQ295" s="12" t="s">
        <v>37</v>
      </c>
      <c r="NS295" s="12" t="s">
        <v>37</v>
      </c>
      <c r="NT295" s="12" t="s">
        <v>37</v>
      </c>
      <c r="NU295" s="12" t="s">
        <v>37</v>
      </c>
      <c r="OA295" s="12" t="s">
        <v>37</v>
      </c>
      <c r="OB295" s="12" t="s">
        <v>37</v>
      </c>
      <c r="OC295" s="12" t="s">
        <v>37</v>
      </c>
      <c r="OD295" s="12"/>
      <c r="OE295" s="12" t="s">
        <v>37</v>
      </c>
      <c r="OF295" s="12" t="s">
        <v>37</v>
      </c>
      <c r="OG295" s="12" t="s">
        <v>37</v>
      </c>
      <c r="OH295" s="12"/>
      <c r="OI295" s="12"/>
      <c r="OJ295" s="12"/>
      <c r="OM295" s="12" t="s">
        <v>37</v>
      </c>
      <c r="ON295" s="12" t="s">
        <v>37</v>
      </c>
      <c r="OO295" s="12" t="s">
        <v>37</v>
      </c>
      <c r="OP295" s="12" t="s">
        <v>37</v>
      </c>
      <c r="OQ295" s="12" t="s">
        <v>37</v>
      </c>
      <c r="OR295" s="12" t="s">
        <v>37</v>
      </c>
      <c r="OS295" s="12"/>
      <c r="OT295" s="12"/>
      <c r="OW295" s="12" t="s">
        <v>37</v>
      </c>
      <c r="OX295" s="12" t="s">
        <v>37</v>
      </c>
      <c r="OY295" s="13" t="s">
        <v>37</v>
      </c>
      <c r="OZ295" s="12" t="s">
        <v>37</v>
      </c>
      <c r="PA295" s="12" t="s">
        <v>37</v>
      </c>
      <c r="PB295" s="13" t="s">
        <v>37</v>
      </c>
      <c r="PG295" s="12" t="s">
        <v>37</v>
      </c>
      <c r="PH295" s="12" t="s">
        <v>37</v>
      </c>
      <c r="PI295" s="12" t="s">
        <v>37</v>
      </c>
      <c r="PJ295" s="12" t="s">
        <v>37</v>
      </c>
      <c r="PK295" s="12" t="s">
        <v>37</v>
      </c>
      <c r="PL295" s="12" t="s">
        <v>37</v>
      </c>
      <c r="PM295" s="12"/>
      <c r="PN295" s="12"/>
      <c r="PQ295" s="12" t="s">
        <v>37</v>
      </c>
      <c r="PR295" s="12" t="s">
        <v>37</v>
      </c>
      <c r="PS295" s="12" t="s">
        <v>37</v>
      </c>
      <c r="PT295" s="12" t="s">
        <v>37</v>
      </c>
      <c r="PU295" s="12" t="s">
        <v>37</v>
      </c>
      <c r="PV295" s="12" t="s">
        <v>37</v>
      </c>
      <c r="PW295" s="12"/>
      <c r="PX295" s="12"/>
      <c r="PZ295" s="12" t="s">
        <v>37</v>
      </c>
      <c r="QA295" s="12" t="s">
        <v>37</v>
      </c>
      <c r="QB295" s="12" t="s">
        <v>37</v>
      </c>
      <c r="QD295" s="12" t="s">
        <v>37</v>
      </c>
      <c r="QE295" s="12" t="s">
        <v>37</v>
      </c>
      <c r="QF295" s="12" t="s">
        <v>37</v>
      </c>
      <c r="QK295" s="12" t="s">
        <v>37</v>
      </c>
      <c r="QL295" s="12" t="s">
        <v>37</v>
      </c>
      <c r="QM295" s="12" t="s">
        <v>37</v>
      </c>
      <c r="QN295" s="12" t="s">
        <v>37</v>
      </c>
      <c r="QO295" s="12" t="s">
        <v>37</v>
      </c>
      <c r="QP295" s="12" t="s">
        <v>37</v>
      </c>
      <c r="QQ295" s="12"/>
      <c r="QR295" s="12"/>
      <c r="QU295" s="12" t="s">
        <v>37</v>
      </c>
      <c r="QV295" s="12" t="s">
        <v>37</v>
      </c>
      <c r="QW295" s="12" t="s">
        <v>37</v>
      </c>
      <c r="QX295" s="12" t="s">
        <v>37</v>
      </c>
      <c r="QY295" s="12" t="s">
        <v>37</v>
      </c>
      <c r="QZ295" s="12" t="s">
        <v>37</v>
      </c>
      <c r="RC295" s="12" t="s">
        <v>37</v>
      </c>
      <c r="RD295" s="12" t="s">
        <v>37</v>
      </c>
      <c r="RE295" s="13" t="s">
        <v>37</v>
      </c>
      <c r="RF295" s="12" t="s">
        <v>37</v>
      </c>
      <c r="RG295" s="12" t="s">
        <v>37</v>
      </c>
      <c r="RH295" s="13" t="s">
        <v>37</v>
      </c>
      <c r="RK295" s="12" t="s">
        <v>37</v>
      </c>
      <c r="RL295" s="12" t="s">
        <v>37</v>
      </c>
      <c r="RM295" s="11" t="s">
        <v>37</v>
      </c>
      <c r="RN295" s="12" t="s">
        <v>37</v>
      </c>
      <c r="RO295" s="12" t="s">
        <v>37</v>
      </c>
      <c r="RP295" s="11" t="s">
        <v>37</v>
      </c>
      <c r="RS295" s="12" t="s">
        <v>37</v>
      </c>
      <c r="RT295" s="12" t="s">
        <v>37</v>
      </c>
      <c r="RU295" s="12" t="s">
        <v>37</v>
      </c>
      <c r="RV295" s="12" t="s">
        <v>37</v>
      </c>
      <c r="RW295" s="12" t="s">
        <v>37</v>
      </c>
      <c r="RX295" s="12" t="s">
        <v>37</v>
      </c>
      <c r="SA295" s="12" t="s">
        <v>37</v>
      </c>
      <c r="SB295" s="12" t="s">
        <v>37</v>
      </c>
      <c r="SC295" s="12" t="s">
        <v>37</v>
      </c>
      <c r="SD295" s="12" t="s">
        <v>37</v>
      </c>
      <c r="SE295" s="12" t="s">
        <v>37</v>
      </c>
      <c r="SF295" s="12" t="s">
        <v>37</v>
      </c>
      <c r="SI295" s="12" t="s">
        <v>37</v>
      </c>
      <c r="SJ295" s="12" t="s">
        <v>37</v>
      </c>
      <c r="SK295" s="13" t="s">
        <v>37</v>
      </c>
      <c r="SM295" s="12" t="s">
        <v>37</v>
      </c>
      <c r="SN295" s="12" t="s">
        <v>37</v>
      </c>
      <c r="SO295" s="13" t="s">
        <v>37</v>
      </c>
      <c r="SU295" s="12" t="s">
        <v>37</v>
      </c>
      <c r="SV295" s="12" t="s">
        <v>37</v>
      </c>
      <c r="SW295" s="12" t="s">
        <v>37</v>
      </c>
      <c r="SX295" s="12" t="s">
        <v>37</v>
      </c>
      <c r="SY295" s="12" t="s">
        <v>37</v>
      </c>
      <c r="SZ295" s="12" t="s">
        <v>37</v>
      </c>
      <c r="TA295" s="12"/>
      <c r="TB295" s="12"/>
      <c r="TE295" s="12" t="s">
        <v>37</v>
      </c>
      <c r="TF295" s="12" t="s">
        <v>37</v>
      </c>
      <c r="TG295" s="12" t="s">
        <v>37</v>
      </c>
      <c r="TH295" s="12" t="s">
        <v>37</v>
      </c>
      <c r="TI295" s="12" t="s">
        <v>37</v>
      </c>
      <c r="TJ295" s="12" t="s">
        <v>37</v>
      </c>
      <c r="TK295" s="12"/>
      <c r="TL295" s="12"/>
      <c r="TO295" s="12" t="s">
        <v>37</v>
      </c>
      <c r="TP295" s="12" t="s">
        <v>37</v>
      </c>
      <c r="TQ295" s="12" t="s">
        <v>37</v>
      </c>
      <c r="TR295" s="12" t="s">
        <v>37</v>
      </c>
      <c r="TS295" s="12" t="s">
        <v>37</v>
      </c>
      <c r="TT295" s="12" t="s">
        <v>37</v>
      </c>
      <c r="TU295" s="12"/>
      <c r="TV295" s="12"/>
      <c r="TY295" s="12" t="s">
        <v>37</v>
      </c>
      <c r="TZ295" s="12" t="s">
        <v>37</v>
      </c>
      <c r="UA295" s="12" t="s">
        <v>37</v>
      </c>
      <c r="UB295" s="12" t="s">
        <v>37</v>
      </c>
      <c r="UC295" s="12" t="s">
        <v>37</v>
      </c>
      <c r="UD295" s="12" t="s">
        <v>37</v>
      </c>
      <c r="UE295" s="12"/>
      <c r="UF295" s="12"/>
      <c r="UI295" s="12" t="s">
        <v>37</v>
      </c>
      <c r="UJ295" s="12" t="s">
        <v>37</v>
      </c>
      <c r="UK295" s="12" t="s">
        <v>37</v>
      </c>
      <c r="UL295" s="12" t="s">
        <v>37</v>
      </c>
      <c r="UM295" s="12" t="s">
        <v>37</v>
      </c>
      <c r="UN295" s="12" t="s">
        <v>37</v>
      </c>
      <c r="UO295" s="12"/>
      <c r="UP295" s="12"/>
      <c r="UR295" s="12" t="s">
        <v>37</v>
      </c>
      <c r="US295" s="12" t="s">
        <v>37</v>
      </c>
      <c r="UT295" s="12" t="s">
        <v>37</v>
      </c>
      <c r="UU295" s="12" t="s">
        <v>37</v>
      </c>
      <c r="UV295" s="12" t="s">
        <v>37</v>
      </c>
      <c r="UW295" s="12" t="s">
        <v>37</v>
      </c>
      <c r="UX295" s="12"/>
      <c r="UY295" s="12"/>
      <c r="VB295" s="12" t="s">
        <v>37</v>
      </c>
      <c r="VC295" s="12" t="s">
        <v>37</v>
      </c>
      <c r="VD295" s="12" t="s">
        <v>37</v>
      </c>
      <c r="VE295" s="12" t="s">
        <v>37</v>
      </c>
      <c r="VF295" s="12" t="s">
        <v>37</v>
      </c>
      <c r="VG295" s="12" t="s">
        <v>37</v>
      </c>
      <c r="VI295" s="12" t="s">
        <v>37</v>
      </c>
      <c r="VJ295" s="12" t="s">
        <v>37</v>
      </c>
      <c r="VK295" s="12" t="s">
        <v>37</v>
      </c>
      <c r="VL295" s="12" t="s">
        <v>37</v>
      </c>
      <c r="VM295" s="12" t="s">
        <v>37</v>
      </c>
      <c r="VN295" s="12" t="s">
        <v>37</v>
      </c>
      <c r="VQ295" s="12" t="s">
        <v>37</v>
      </c>
      <c r="VR295" s="12" t="s">
        <v>37</v>
      </c>
      <c r="VS295" s="12" t="s">
        <v>37</v>
      </c>
      <c r="VT295" s="12" t="s">
        <v>37</v>
      </c>
      <c r="VU295" s="12" t="s">
        <v>37</v>
      </c>
      <c r="VV295" s="12" t="s">
        <v>37</v>
      </c>
      <c r="VW295" s="12"/>
      <c r="VX295" s="12"/>
      <c r="WA295" s="12" t="s">
        <v>37</v>
      </c>
      <c r="WB295" s="12" t="s">
        <v>37</v>
      </c>
      <c r="WC295" s="12" t="s">
        <v>37</v>
      </c>
      <c r="WD295" s="12" t="s">
        <v>37</v>
      </c>
      <c r="WE295" s="12" t="s">
        <v>37</v>
      </c>
      <c r="WF295" s="12" t="s">
        <v>37</v>
      </c>
    </row>
    <row r="296" spans="1:604" ht="18" customHeight="1" x14ac:dyDescent="0.3">
      <c r="A296" s="11">
        <v>70</v>
      </c>
      <c r="B296" s="16" t="s">
        <v>901</v>
      </c>
      <c r="C296" s="12" t="s">
        <v>32</v>
      </c>
      <c r="D296" s="12" t="s">
        <v>54</v>
      </c>
      <c r="E296" s="40" t="s">
        <v>37</v>
      </c>
      <c r="F296" s="14">
        <v>0</v>
      </c>
      <c r="G296" s="14">
        <v>0</v>
      </c>
      <c r="H296" s="12" t="s">
        <v>91</v>
      </c>
      <c r="I296" s="29">
        <v>49.05</v>
      </c>
      <c r="J296" s="29">
        <v>-80.667000000000002</v>
      </c>
      <c r="K296" s="12" t="s">
        <v>778</v>
      </c>
      <c r="L296" s="12" t="s">
        <v>779</v>
      </c>
      <c r="M296" s="13" t="s">
        <v>37</v>
      </c>
      <c r="N296" s="14">
        <v>0.6</v>
      </c>
      <c r="O296" s="14">
        <v>885</v>
      </c>
      <c r="P296" s="14" t="s">
        <v>16</v>
      </c>
      <c r="Q296" s="75">
        <v>7</v>
      </c>
      <c r="R296" s="11" t="s">
        <v>1000</v>
      </c>
      <c r="S296" s="12" t="s">
        <v>93</v>
      </c>
      <c r="T296" s="12" t="s">
        <v>141</v>
      </c>
      <c r="U296" s="12" t="s">
        <v>334</v>
      </c>
      <c r="V296" s="12" t="s">
        <v>275</v>
      </c>
      <c r="W296" s="23" t="s">
        <v>404</v>
      </c>
      <c r="X296" s="12" t="s">
        <v>281</v>
      </c>
      <c r="Y296" s="12" t="s">
        <v>37</v>
      </c>
      <c r="Z296" s="12" t="s">
        <v>37</v>
      </c>
      <c r="AA296" s="32" t="s">
        <v>345</v>
      </c>
      <c r="AB296" s="12">
        <v>4.5999999999999996</v>
      </c>
      <c r="AE296" s="12" t="s">
        <v>37</v>
      </c>
      <c r="AH296" s="12" t="s">
        <v>37</v>
      </c>
      <c r="AK296" s="12" t="s">
        <v>37</v>
      </c>
      <c r="AL296" s="32" t="s">
        <v>400</v>
      </c>
      <c r="AM296" s="12" t="s">
        <v>317</v>
      </c>
      <c r="AN296" s="32" t="s">
        <v>879</v>
      </c>
      <c r="AO296" s="12" t="s">
        <v>37</v>
      </c>
      <c r="AP296" s="12" t="s">
        <v>401</v>
      </c>
      <c r="AQ296" s="12" t="s">
        <v>975</v>
      </c>
      <c r="AT296" s="12" t="s">
        <v>326</v>
      </c>
      <c r="AU296" s="12" t="s">
        <v>326</v>
      </c>
      <c r="AV296" s="13" t="s">
        <v>326</v>
      </c>
      <c r="AX296" s="12" t="s">
        <v>326</v>
      </c>
      <c r="AY296" s="12" t="s">
        <v>326</v>
      </c>
      <c r="AZ296" s="13" t="s">
        <v>326</v>
      </c>
      <c r="BE296" s="12" t="s">
        <v>326</v>
      </c>
      <c r="BF296" s="12" t="s">
        <v>326</v>
      </c>
      <c r="BG296" s="12" t="s">
        <v>326</v>
      </c>
      <c r="BI296" s="12" t="s">
        <v>326</v>
      </c>
      <c r="BJ296" s="12" t="s">
        <v>326</v>
      </c>
      <c r="BK296" s="12" t="s">
        <v>326</v>
      </c>
      <c r="BP296" s="12" t="s">
        <v>37</v>
      </c>
      <c r="BQ296" s="12" t="s">
        <v>37</v>
      </c>
      <c r="BR296" s="13" t="s">
        <v>37</v>
      </c>
      <c r="BT296" s="12" t="s">
        <v>37</v>
      </c>
      <c r="BU296" s="12" t="s">
        <v>37</v>
      </c>
      <c r="BV296" s="12" t="s">
        <v>37</v>
      </c>
      <c r="CA296" s="12" t="s">
        <v>37</v>
      </c>
      <c r="CB296" s="12" t="s">
        <v>37</v>
      </c>
      <c r="CC296" s="13" t="s">
        <v>37</v>
      </c>
      <c r="CE296" s="12" t="s">
        <v>37</v>
      </c>
      <c r="CF296" s="12" t="s">
        <v>37</v>
      </c>
      <c r="CG296" s="12" t="s">
        <v>37</v>
      </c>
      <c r="CN296" s="12" t="s">
        <v>37</v>
      </c>
      <c r="CO296" s="12" t="s">
        <v>37</v>
      </c>
      <c r="CP296" s="13" t="s">
        <v>37</v>
      </c>
      <c r="CR296" s="12" t="s">
        <v>37</v>
      </c>
      <c r="CS296" s="12" t="s">
        <v>37</v>
      </c>
      <c r="CT296" s="13" t="s">
        <v>37</v>
      </c>
      <c r="CX296" s="72"/>
      <c r="CY296" s="72"/>
      <c r="DA296" s="12" t="s">
        <v>37</v>
      </c>
      <c r="DB296" s="12" t="s">
        <v>37</v>
      </c>
      <c r="DC296" s="13" t="s">
        <v>37</v>
      </c>
      <c r="DE296" s="12" t="s">
        <v>37</v>
      </c>
      <c r="DF296" s="12" t="s">
        <v>37</v>
      </c>
      <c r="DG296" s="12" t="s">
        <v>37</v>
      </c>
      <c r="DM296" s="12" t="s">
        <v>47</v>
      </c>
      <c r="DN296" s="19">
        <f>4.6*("1991/10/31"-"1991/5/1")*10^4/10^6/'[1]classes-1'!$I$32</f>
        <v>11.627460214917093</v>
      </c>
      <c r="DO296" s="12">
        <f>SQRT((1/[2]Classes!$I$32)^2*(6.2*("1991/10/31"-"1991/5/1")*10^4/10^6)^2+(-DN296/([2]Classes!$I$32)^2)^2*([2]Classes!$J$32)^2)</f>
        <v>19.919328099494376</v>
      </c>
      <c r="DP296" s="13">
        <v>6</v>
      </c>
      <c r="DQ296" s="19">
        <f t="shared" si="1237"/>
        <v>1.7131280375347564</v>
      </c>
      <c r="DR296" s="19">
        <f>0.1*("1991/10/31"-"1991/5/1")*10^4/10^6/'[1]classes-1'!$I$30</f>
        <v>5.3718567649972807E-2</v>
      </c>
      <c r="DS296" s="12">
        <f>SQRT((1/[2]Classes!$I$30)^2*(0.9*("1991/10/31"-"1991/5/1")*10^4/10^6)^2+(-DR296/([2]Classes!$I$30)^2)^2*([2]Classes!$J$30)^2)</f>
        <v>0.48646678719420772</v>
      </c>
      <c r="DT296" s="13">
        <v>6</v>
      </c>
      <c r="DU296" s="19">
        <f t="shared" si="1238"/>
        <v>9.0558406241208473</v>
      </c>
      <c r="DV296" s="19">
        <f t="shared" si="1211"/>
        <v>-11.57374164726712</v>
      </c>
      <c r="DW296" s="12">
        <f t="shared" si="1212"/>
        <v>14.089291711621795</v>
      </c>
      <c r="DX296" s="72">
        <f t="shared" si="1251"/>
        <v>66.169380311724879</v>
      </c>
      <c r="DY296" s="72">
        <f t="shared" si="1252"/>
        <v>66.169380311724879</v>
      </c>
      <c r="EA296" s="19" t="s">
        <v>37</v>
      </c>
      <c r="EB296" s="19" t="s">
        <v>37</v>
      </c>
      <c r="EC296" s="72" t="s">
        <v>37</v>
      </c>
      <c r="EE296" s="19" t="s">
        <v>37</v>
      </c>
      <c r="EF296" s="19" t="s">
        <v>37</v>
      </c>
      <c r="EG296" s="12" t="s">
        <v>37</v>
      </c>
      <c r="EM296" s="12" t="s">
        <v>39</v>
      </c>
      <c r="EN296" s="12">
        <v>-20.8</v>
      </c>
      <c r="EO296" s="50">
        <f t="shared" si="1241"/>
        <v>8.475925094026902</v>
      </c>
      <c r="EP296" s="13">
        <v>1</v>
      </c>
      <c r="ER296" s="12">
        <v>-48.2</v>
      </c>
      <c r="ES296" s="50">
        <f t="shared" si="1242"/>
        <v>10.93243737914316</v>
      </c>
      <c r="ET296" s="13">
        <v>1</v>
      </c>
      <c r="EV296" s="19">
        <f t="shared" si="1233"/>
        <v>-27.400000000000002</v>
      </c>
      <c r="EW296" s="12" t="e">
        <f t="shared" si="1234"/>
        <v>#DIV/0!</v>
      </c>
      <c r="EX296" s="19" t="e">
        <f t="shared" si="1235"/>
        <v>#DIV/0!</v>
      </c>
      <c r="EY296" s="19">
        <f t="shared" si="1236"/>
        <v>191.35949324844151</v>
      </c>
      <c r="FB296" s="12" t="s">
        <v>37</v>
      </c>
      <c r="FC296" s="12" t="s">
        <v>37</v>
      </c>
      <c r="FD296" s="12" t="s">
        <v>37</v>
      </c>
      <c r="FE296" s="12" t="s">
        <v>37</v>
      </c>
      <c r="FF296" s="20" t="s">
        <v>37</v>
      </c>
      <c r="FG296" s="12" t="s">
        <v>37</v>
      </c>
      <c r="FI296" s="12" t="s">
        <v>37</v>
      </c>
      <c r="FJ296" s="12" t="s">
        <v>37</v>
      </c>
      <c r="FK296" s="12" t="s">
        <v>37</v>
      </c>
      <c r="FL296" s="12" t="s">
        <v>37</v>
      </c>
      <c r="FM296" s="12" t="s">
        <v>37</v>
      </c>
      <c r="FN296" s="12" t="s">
        <v>37</v>
      </c>
      <c r="FP296" s="12" t="s">
        <v>37</v>
      </c>
      <c r="FQ296" s="12" t="s">
        <v>37</v>
      </c>
      <c r="FR296" s="12" t="s">
        <v>37</v>
      </c>
      <c r="FS296" s="12" t="s">
        <v>37</v>
      </c>
      <c r="FT296" s="12" t="s">
        <v>37</v>
      </c>
      <c r="FU296" s="12" t="s">
        <v>37</v>
      </c>
      <c r="FW296" s="12" t="s">
        <v>37</v>
      </c>
      <c r="FX296" s="12" t="s">
        <v>37</v>
      </c>
      <c r="FY296" s="12" t="s">
        <v>37</v>
      </c>
      <c r="FZ296" s="12" t="s">
        <v>37</v>
      </c>
      <c r="GA296" s="12" t="s">
        <v>37</v>
      </c>
      <c r="GB296" s="12" t="s">
        <v>37</v>
      </c>
      <c r="GO296" s="12" t="s">
        <v>660</v>
      </c>
      <c r="GP296" s="12" t="s">
        <v>372</v>
      </c>
      <c r="GQ296" s="12">
        <v>13</v>
      </c>
      <c r="GR296" s="50">
        <f t="shared" si="1243"/>
        <v>1.2418842480306649</v>
      </c>
      <c r="GS296" s="13">
        <v>1</v>
      </c>
      <c r="GU296" s="12">
        <v>12.5</v>
      </c>
      <c r="GV296" s="50">
        <f t="shared" si="1244"/>
        <v>1.3304522788054587</v>
      </c>
      <c r="GW296" s="13">
        <v>1</v>
      </c>
      <c r="GY296" s="19">
        <f t="shared" ref="GY296:GY315" si="1253">LN(GU296/GQ296)</f>
        <v>-3.9220713153281267E-2</v>
      </c>
      <c r="GZ296" s="19">
        <f t="shared" ref="GZ296:GZ315" si="1254">GV296^2/(GW296*GU296^2)+GR296^2/(GS296*GQ296^2)</f>
        <v>2.0454557267488193E-2</v>
      </c>
      <c r="IK296" s="12" t="s">
        <v>37</v>
      </c>
      <c r="IL296" s="12" t="s">
        <v>37</v>
      </c>
      <c r="IM296" s="12" t="s">
        <v>37</v>
      </c>
      <c r="IO296" s="12" t="s">
        <v>37</v>
      </c>
      <c r="IP296" s="12" t="s">
        <v>37</v>
      </c>
      <c r="IQ296" s="12" t="s">
        <v>37</v>
      </c>
      <c r="IV296" s="32" t="s">
        <v>345</v>
      </c>
      <c r="IW296" s="12">
        <v>4.5999999999999996</v>
      </c>
      <c r="IX296" s="12">
        <v>0.2</v>
      </c>
      <c r="IY296" s="13">
        <v>6</v>
      </c>
      <c r="IZ296" s="19">
        <f t="shared" si="1247"/>
        <v>4.3478260869565223E-2</v>
      </c>
      <c r="JA296" s="13"/>
      <c r="JB296" s="13"/>
      <c r="JH296" s="12" t="s">
        <v>37</v>
      </c>
      <c r="JI296" s="12" t="s">
        <v>37</v>
      </c>
      <c r="JJ296" s="13" t="s">
        <v>37</v>
      </c>
      <c r="JL296" s="12" t="s">
        <v>37</v>
      </c>
      <c r="JM296" s="12" t="s">
        <v>37</v>
      </c>
      <c r="JN296" s="12" t="s">
        <v>37</v>
      </c>
      <c r="JS296" s="12" t="s">
        <v>37</v>
      </c>
      <c r="JT296" s="12" t="s">
        <v>37</v>
      </c>
      <c r="JU296" s="13" t="s">
        <v>37</v>
      </c>
      <c r="JW296" s="12" t="s">
        <v>37</v>
      </c>
      <c r="JX296" s="12" t="s">
        <v>37</v>
      </c>
      <c r="JY296" s="12" t="s">
        <v>37</v>
      </c>
      <c r="KE296" s="12" t="s">
        <v>37</v>
      </c>
      <c r="KF296" s="12" t="s">
        <v>37</v>
      </c>
      <c r="KG296" s="13" t="s">
        <v>37</v>
      </c>
      <c r="KH296" s="12" t="s">
        <v>37</v>
      </c>
      <c r="KI296" s="12" t="s">
        <v>37</v>
      </c>
      <c r="KJ296" s="12" t="s">
        <v>37</v>
      </c>
      <c r="KM296" s="12" t="s">
        <v>37</v>
      </c>
      <c r="KN296" s="12" t="s">
        <v>37</v>
      </c>
      <c r="KO296" s="11" t="s">
        <v>37</v>
      </c>
      <c r="KQ296" s="12" t="s">
        <v>37</v>
      </c>
      <c r="KR296" s="12" t="s">
        <v>37</v>
      </c>
      <c r="KS296" s="12" t="s">
        <v>37</v>
      </c>
      <c r="KX296" s="12" t="s">
        <v>37</v>
      </c>
      <c r="KY296" s="12" t="s">
        <v>37</v>
      </c>
      <c r="KZ296" s="12" t="s">
        <v>37</v>
      </c>
      <c r="LB296" s="12" t="s">
        <v>37</v>
      </c>
      <c r="LC296" s="12" t="s">
        <v>37</v>
      </c>
      <c r="LD296" s="12" t="s">
        <v>37</v>
      </c>
      <c r="LI296" s="12" t="s">
        <v>37</v>
      </c>
      <c r="LJ296" s="12" t="s">
        <v>37</v>
      </c>
      <c r="LK296" s="12" t="s">
        <v>37</v>
      </c>
      <c r="LM296" s="12" t="s">
        <v>37</v>
      </c>
      <c r="LN296" s="12" t="s">
        <v>37</v>
      </c>
      <c r="LO296" s="12" t="s">
        <v>37</v>
      </c>
      <c r="LU296" s="12" t="s">
        <v>37</v>
      </c>
      <c r="LV296" s="12" t="s">
        <v>37</v>
      </c>
      <c r="LW296" s="12" t="s">
        <v>37</v>
      </c>
      <c r="LY296" s="12" t="s">
        <v>37</v>
      </c>
      <c r="LZ296" s="12" t="s">
        <v>37</v>
      </c>
      <c r="MA296" s="12" t="s">
        <v>37</v>
      </c>
      <c r="MF296" s="12" t="s">
        <v>37</v>
      </c>
      <c r="MG296" s="12" t="s">
        <v>37</v>
      </c>
      <c r="MH296" s="12" t="s">
        <v>37</v>
      </c>
      <c r="MJ296" s="12" t="s">
        <v>37</v>
      </c>
      <c r="MK296" s="12" t="s">
        <v>37</v>
      </c>
      <c r="ML296" s="12" t="s">
        <v>37</v>
      </c>
      <c r="MQ296" s="12" t="s">
        <v>37</v>
      </c>
      <c r="MR296" s="12" t="s">
        <v>37</v>
      </c>
      <c r="MS296" s="12" t="s">
        <v>37</v>
      </c>
      <c r="MU296" s="12" t="s">
        <v>37</v>
      </c>
      <c r="MV296" s="12" t="s">
        <v>37</v>
      </c>
      <c r="MW296" s="12" t="s">
        <v>37</v>
      </c>
      <c r="NC296" s="12" t="s">
        <v>37</v>
      </c>
      <c r="ND296" s="12" t="s">
        <v>37</v>
      </c>
      <c r="NE296" s="12" t="s">
        <v>37</v>
      </c>
      <c r="NG296" s="12" t="s">
        <v>37</v>
      </c>
      <c r="NH296" s="12" t="s">
        <v>37</v>
      </c>
      <c r="NI296" s="12" t="s">
        <v>37</v>
      </c>
      <c r="NO296" s="12" t="s">
        <v>37</v>
      </c>
      <c r="NP296" s="12" t="s">
        <v>37</v>
      </c>
      <c r="NQ296" s="12" t="s">
        <v>37</v>
      </c>
      <c r="NS296" s="12" t="s">
        <v>37</v>
      </c>
      <c r="NT296" s="12" t="s">
        <v>37</v>
      </c>
      <c r="NU296" s="12" t="s">
        <v>37</v>
      </c>
      <c r="OA296" s="12" t="s">
        <v>37</v>
      </c>
      <c r="OB296" s="12" t="s">
        <v>37</v>
      </c>
      <c r="OC296" s="12" t="s">
        <v>37</v>
      </c>
      <c r="OD296" s="12"/>
      <c r="OE296" s="12" t="s">
        <v>37</v>
      </c>
      <c r="OF296" s="12" t="s">
        <v>37</v>
      </c>
      <c r="OG296" s="12" t="s">
        <v>37</v>
      </c>
      <c r="OH296" s="12"/>
      <c r="OI296" s="12"/>
      <c r="OJ296" s="12"/>
      <c r="OM296" s="12" t="s">
        <v>37</v>
      </c>
      <c r="ON296" s="12" t="s">
        <v>37</v>
      </c>
      <c r="OO296" s="12" t="s">
        <v>37</v>
      </c>
      <c r="OP296" s="12" t="s">
        <v>37</v>
      </c>
      <c r="OQ296" s="12" t="s">
        <v>37</v>
      </c>
      <c r="OR296" s="12" t="s">
        <v>37</v>
      </c>
      <c r="OS296" s="12"/>
      <c r="OT296" s="12"/>
      <c r="OW296" s="12" t="s">
        <v>37</v>
      </c>
      <c r="OX296" s="12" t="s">
        <v>37</v>
      </c>
      <c r="OY296" s="13" t="s">
        <v>37</v>
      </c>
      <c r="OZ296" s="12" t="s">
        <v>37</v>
      </c>
      <c r="PA296" s="12" t="s">
        <v>37</v>
      </c>
      <c r="PB296" s="13" t="s">
        <v>37</v>
      </c>
      <c r="PG296" s="12" t="s">
        <v>37</v>
      </c>
      <c r="PH296" s="12" t="s">
        <v>37</v>
      </c>
      <c r="PI296" s="12" t="s">
        <v>37</v>
      </c>
      <c r="PJ296" s="12" t="s">
        <v>37</v>
      </c>
      <c r="PK296" s="12" t="s">
        <v>37</v>
      </c>
      <c r="PL296" s="12" t="s">
        <v>37</v>
      </c>
      <c r="PM296" s="12"/>
      <c r="PN296" s="12"/>
      <c r="PQ296" s="12" t="s">
        <v>37</v>
      </c>
      <c r="PR296" s="12" t="s">
        <v>37</v>
      </c>
      <c r="PS296" s="12" t="s">
        <v>37</v>
      </c>
      <c r="PT296" s="12" t="s">
        <v>37</v>
      </c>
      <c r="PU296" s="12" t="s">
        <v>37</v>
      </c>
      <c r="PV296" s="12" t="s">
        <v>37</v>
      </c>
      <c r="PW296" s="12"/>
      <c r="PX296" s="12"/>
      <c r="PZ296" s="12" t="s">
        <v>37</v>
      </c>
      <c r="QA296" s="12" t="s">
        <v>37</v>
      </c>
      <c r="QB296" s="12" t="s">
        <v>37</v>
      </c>
      <c r="QD296" s="12" t="s">
        <v>37</v>
      </c>
      <c r="QE296" s="12" t="s">
        <v>37</v>
      </c>
      <c r="QF296" s="12" t="s">
        <v>37</v>
      </c>
      <c r="QK296" s="12" t="s">
        <v>37</v>
      </c>
      <c r="QL296" s="12" t="s">
        <v>37</v>
      </c>
      <c r="QM296" s="12" t="s">
        <v>37</v>
      </c>
      <c r="QN296" s="12" t="s">
        <v>37</v>
      </c>
      <c r="QO296" s="12" t="s">
        <v>37</v>
      </c>
      <c r="QP296" s="12" t="s">
        <v>37</v>
      </c>
      <c r="QQ296" s="12"/>
      <c r="QR296" s="12"/>
      <c r="QU296" s="12" t="s">
        <v>37</v>
      </c>
      <c r="QV296" s="12" t="s">
        <v>37</v>
      </c>
      <c r="QW296" s="12" t="s">
        <v>37</v>
      </c>
      <c r="QX296" s="12" t="s">
        <v>37</v>
      </c>
      <c r="QY296" s="12" t="s">
        <v>37</v>
      </c>
      <c r="QZ296" s="12" t="s">
        <v>37</v>
      </c>
      <c r="RC296" s="12" t="s">
        <v>37</v>
      </c>
      <c r="RD296" s="12" t="s">
        <v>37</v>
      </c>
      <c r="RE296" s="13" t="s">
        <v>37</v>
      </c>
      <c r="RF296" s="12" t="s">
        <v>37</v>
      </c>
      <c r="RG296" s="12" t="s">
        <v>37</v>
      </c>
      <c r="RH296" s="13" t="s">
        <v>37</v>
      </c>
      <c r="RK296" s="12" t="s">
        <v>37</v>
      </c>
      <c r="RL296" s="12" t="s">
        <v>37</v>
      </c>
      <c r="RM296" s="11" t="s">
        <v>37</v>
      </c>
      <c r="RN296" s="12" t="s">
        <v>37</v>
      </c>
      <c r="RO296" s="12" t="s">
        <v>37</v>
      </c>
      <c r="RP296" s="11" t="s">
        <v>37</v>
      </c>
      <c r="RS296" s="12" t="s">
        <v>37</v>
      </c>
      <c r="RT296" s="12" t="s">
        <v>37</v>
      </c>
      <c r="RU296" s="12" t="s">
        <v>37</v>
      </c>
      <c r="RV296" s="12" t="s">
        <v>37</v>
      </c>
      <c r="RW296" s="12" t="s">
        <v>37</v>
      </c>
      <c r="RX296" s="12" t="s">
        <v>37</v>
      </c>
      <c r="SA296" s="12" t="s">
        <v>37</v>
      </c>
      <c r="SB296" s="12" t="s">
        <v>37</v>
      </c>
      <c r="SC296" s="12" t="s">
        <v>37</v>
      </c>
      <c r="SD296" s="12" t="s">
        <v>37</v>
      </c>
      <c r="SE296" s="12" t="s">
        <v>37</v>
      </c>
      <c r="SF296" s="12" t="s">
        <v>37</v>
      </c>
      <c r="SI296" s="12" t="s">
        <v>37</v>
      </c>
      <c r="SJ296" s="12" t="s">
        <v>37</v>
      </c>
      <c r="SK296" s="13" t="s">
        <v>37</v>
      </c>
      <c r="SM296" s="12" t="s">
        <v>37</v>
      </c>
      <c r="SN296" s="12" t="s">
        <v>37</v>
      </c>
      <c r="SO296" s="13" t="s">
        <v>37</v>
      </c>
      <c r="SU296" s="12" t="s">
        <v>37</v>
      </c>
      <c r="SV296" s="12" t="s">
        <v>37</v>
      </c>
      <c r="SW296" s="12" t="s">
        <v>37</v>
      </c>
      <c r="SX296" s="12" t="s">
        <v>37</v>
      </c>
      <c r="SY296" s="12" t="s">
        <v>37</v>
      </c>
      <c r="SZ296" s="12" t="s">
        <v>37</v>
      </c>
      <c r="TA296" s="12"/>
      <c r="TB296" s="12"/>
      <c r="TE296" s="12" t="s">
        <v>37</v>
      </c>
      <c r="TF296" s="12" t="s">
        <v>37</v>
      </c>
      <c r="TG296" s="12" t="s">
        <v>37</v>
      </c>
      <c r="TH296" s="12" t="s">
        <v>37</v>
      </c>
      <c r="TI296" s="12" t="s">
        <v>37</v>
      </c>
      <c r="TJ296" s="12" t="s">
        <v>37</v>
      </c>
      <c r="TK296" s="12"/>
      <c r="TL296" s="12"/>
      <c r="TO296" s="12" t="s">
        <v>37</v>
      </c>
      <c r="TP296" s="12" t="s">
        <v>37</v>
      </c>
      <c r="TQ296" s="12" t="s">
        <v>37</v>
      </c>
      <c r="TR296" s="12" t="s">
        <v>37</v>
      </c>
      <c r="TS296" s="12" t="s">
        <v>37</v>
      </c>
      <c r="TT296" s="12" t="s">
        <v>37</v>
      </c>
      <c r="TU296" s="12"/>
      <c r="TV296" s="12"/>
      <c r="TY296" s="12" t="s">
        <v>37</v>
      </c>
      <c r="TZ296" s="12" t="s">
        <v>37</v>
      </c>
      <c r="UA296" s="12" t="s">
        <v>37</v>
      </c>
      <c r="UB296" s="12" t="s">
        <v>37</v>
      </c>
      <c r="UC296" s="12" t="s">
        <v>37</v>
      </c>
      <c r="UD296" s="12" t="s">
        <v>37</v>
      </c>
      <c r="UE296" s="12"/>
      <c r="UF296" s="12"/>
      <c r="UI296" s="12" t="s">
        <v>37</v>
      </c>
      <c r="UJ296" s="12" t="s">
        <v>37</v>
      </c>
      <c r="UK296" s="12" t="s">
        <v>37</v>
      </c>
      <c r="UL296" s="12" t="s">
        <v>37</v>
      </c>
      <c r="UM296" s="12" t="s">
        <v>37</v>
      </c>
      <c r="UN296" s="12" t="s">
        <v>37</v>
      </c>
      <c r="UO296" s="12"/>
      <c r="UP296" s="12"/>
      <c r="UR296" s="12" t="s">
        <v>37</v>
      </c>
      <c r="US296" s="12" t="s">
        <v>37</v>
      </c>
      <c r="UT296" s="12" t="s">
        <v>37</v>
      </c>
      <c r="UU296" s="12" t="s">
        <v>37</v>
      </c>
      <c r="UV296" s="12" t="s">
        <v>37</v>
      </c>
      <c r="UW296" s="12" t="s">
        <v>37</v>
      </c>
      <c r="UX296" s="12"/>
      <c r="UY296" s="12"/>
      <c r="VB296" s="12" t="s">
        <v>37</v>
      </c>
      <c r="VC296" s="12" t="s">
        <v>37</v>
      </c>
      <c r="VD296" s="12" t="s">
        <v>37</v>
      </c>
      <c r="VE296" s="12" t="s">
        <v>37</v>
      </c>
      <c r="VF296" s="12" t="s">
        <v>37</v>
      </c>
      <c r="VG296" s="12" t="s">
        <v>37</v>
      </c>
      <c r="VI296" s="12" t="s">
        <v>37</v>
      </c>
      <c r="VJ296" s="12" t="s">
        <v>37</v>
      </c>
      <c r="VK296" s="12" t="s">
        <v>37</v>
      </c>
      <c r="VL296" s="12" t="s">
        <v>37</v>
      </c>
      <c r="VM296" s="12" t="s">
        <v>37</v>
      </c>
      <c r="VN296" s="12" t="s">
        <v>37</v>
      </c>
      <c r="VQ296" s="12" t="s">
        <v>37</v>
      </c>
      <c r="VR296" s="12" t="s">
        <v>37</v>
      </c>
      <c r="VS296" s="12" t="s">
        <v>37</v>
      </c>
      <c r="VT296" s="12" t="s">
        <v>37</v>
      </c>
      <c r="VU296" s="12" t="s">
        <v>37</v>
      </c>
      <c r="VV296" s="12" t="s">
        <v>37</v>
      </c>
      <c r="VW296" s="12"/>
      <c r="VX296" s="12"/>
      <c r="WA296" s="12" t="s">
        <v>37</v>
      </c>
      <c r="WB296" s="12" t="s">
        <v>37</v>
      </c>
      <c r="WC296" s="12" t="s">
        <v>37</v>
      </c>
      <c r="WD296" s="12" t="s">
        <v>37</v>
      </c>
      <c r="WE296" s="12" t="s">
        <v>37</v>
      </c>
      <c r="WF296" s="12" t="s">
        <v>37</v>
      </c>
    </row>
    <row r="297" spans="1:604" ht="18" customHeight="1" x14ac:dyDescent="0.3">
      <c r="A297" s="11">
        <v>70</v>
      </c>
      <c r="B297" s="16" t="s">
        <v>399</v>
      </c>
      <c r="C297" s="12" t="s">
        <v>32</v>
      </c>
      <c r="D297" s="12" t="s">
        <v>54</v>
      </c>
      <c r="E297" s="40" t="s">
        <v>37</v>
      </c>
      <c r="F297" s="14">
        <v>0</v>
      </c>
      <c r="G297" s="14">
        <v>0</v>
      </c>
      <c r="H297" s="12" t="s">
        <v>91</v>
      </c>
      <c r="I297" s="29">
        <v>49.05</v>
      </c>
      <c r="J297" s="29">
        <v>-80.667000000000002</v>
      </c>
      <c r="K297" s="12" t="s">
        <v>778</v>
      </c>
      <c r="L297" s="12" t="s">
        <v>779</v>
      </c>
      <c r="M297" s="13" t="s">
        <v>37</v>
      </c>
      <c r="N297" s="14">
        <v>0.6</v>
      </c>
      <c r="O297" s="14">
        <v>885</v>
      </c>
      <c r="P297" s="14" t="s">
        <v>16</v>
      </c>
      <c r="Q297" s="75">
        <v>7</v>
      </c>
      <c r="R297" s="11" t="s">
        <v>1000</v>
      </c>
      <c r="S297" s="12" t="s">
        <v>93</v>
      </c>
      <c r="T297" s="12" t="s">
        <v>141</v>
      </c>
      <c r="U297" s="12" t="s">
        <v>334</v>
      </c>
      <c r="V297" s="12" t="s">
        <v>275</v>
      </c>
      <c r="W297" s="23" t="s">
        <v>404</v>
      </c>
      <c r="X297" s="12" t="s">
        <v>281</v>
      </c>
      <c r="Y297" s="12" t="s">
        <v>37</v>
      </c>
      <c r="Z297" s="12" t="s">
        <v>37</v>
      </c>
      <c r="AA297" s="32" t="s">
        <v>345</v>
      </c>
      <c r="AB297" s="12">
        <v>4.5999999999999996</v>
      </c>
      <c r="AE297" s="12" t="s">
        <v>37</v>
      </c>
      <c r="AH297" s="12" t="s">
        <v>37</v>
      </c>
      <c r="AK297" s="12" t="s">
        <v>37</v>
      </c>
      <c r="AL297" s="32" t="s">
        <v>400</v>
      </c>
      <c r="AM297" s="12" t="s">
        <v>317</v>
      </c>
      <c r="AN297" s="32" t="s">
        <v>879</v>
      </c>
      <c r="AO297" s="12" t="s">
        <v>37</v>
      </c>
      <c r="AP297" s="12" t="s">
        <v>401</v>
      </c>
      <c r="AQ297" s="12" t="s">
        <v>975</v>
      </c>
      <c r="AT297" s="12" t="s">
        <v>326</v>
      </c>
      <c r="AU297" s="12" t="s">
        <v>326</v>
      </c>
      <c r="AV297" s="13" t="s">
        <v>326</v>
      </c>
      <c r="AX297" s="12" t="s">
        <v>326</v>
      </c>
      <c r="AY297" s="12" t="s">
        <v>326</v>
      </c>
      <c r="AZ297" s="13" t="s">
        <v>326</v>
      </c>
      <c r="BE297" s="12" t="s">
        <v>326</v>
      </c>
      <c r="BF297" s="12" t="s">
        <v>326</v>
      </c>
      <c r="BG297" s="12" t="s">
        <v>326</v>
      </c>
      <c r="BI297" s="12" t="s">
        <v>326</v>
      </c>
      <c r="BJ297" s="12" t="s">
        <v>326</v>
      </c>
      <c r="BK297" s="12" t="s">
        <v>326</v>
      </c>
      <c r="BP297" s="12" t="s">
        <v>37</v>
      </c>
      <c r="BQ297" s="12" t="s">
        <v>37</v>
      </c>
      <c r="BR297" s="13" t="s">
        <v>37</v>
      </c>
      <c r="BT297" s="12" t="s">
        <v>37</v>
      </c>
      <c r="BU297" s="12" t="s">
        <v>37</v>
      </c>
      <c r="BV297" s="12" t="s">
        <v>37</v>
      </c>
      <c r="CA297" s="12" t="s">
        <v>37</v>
      </c>
      <c r="CB297" s="12" t="s">
        <v>37</v>
      </c>
      <c r="CC297" s="13" t="s">
        <v>37</v>
      </c>
      <c r="CE297" s="12" t="s">
        <v>37</v>
      </c>
      <c r="CF297" s="12" t="s">
        <v>37</v>
      </c>
      <c r="CG297" s="12" t="s">
        <v>37</v>
      </c>
      <c r="CN297" s="12" t="s">
        <v>37</v>
      </c>
      <c r="CO297" s="12" t="s">
        <v>37</v>
      </c>
      <c r="CP297" s="13" t="s">
        <v>37</v>
      </c>
      <c r="CR297" s="12" t="s">
        <v>37</v>
      </c>
      <c r="CS297" s="12" t="s">
        <v>37</v>
      </c>
      <c r="CT297" s="13" t="s">
        <v>37</v>
      </c>
      <c r="CX297" s="72"/>
      <c r="CY297" s="72"/>
      <c r="DA297" s="12" t="s">
        <v>37</v>
      </c>
      <c r="DB297" s="12" t="s">
        <v>37</v>
      </c>
      <c r="DC297" s="13" t="s">
        <v>37</v>
      </c>
      <c r="DE297" s="12" t="s">
        <v>37</v>
      </c>
      <c r="DF297" s="12" t="s">
        <v>37</v>
      </c>
      <c r="DG297" s="12" t="s">
        <v>37</v>
      </c>
      <c r="DM297" s="12" t="s">
        <v>47</v>
      </c>
      <c r="DN297" s="19">
        <f>4.6*("1991/10/31"-"1991/5/1")*10^4/10^6/'[1]classes-1'!$I$32</f>
        <v>11.627460214917093</v>
      </c>
      <c r="DO297" s="12">
        <f>DO296</f>
        <v>19.919328099494376</v>
      </c>
      <c r="DP297" s="13">
        <v>6</v>
      </c>
      <c r="DQ297" s="19">
        <f t="shared" ref="DQ297:DQ314" si="1255">DO297/ABS(DN297)</f>
        <v>1.7131280375347564</v>
      </c>
      <c r="DR297" s="19">
        <f>-0.2*("1991/10/31"-"1991/5/1")*10^4/10^6/'[1]classes-1'!$I$30</f>
        <v>-0.10743713529994561</v>
      </c>
      <c r="DS297" s="12">
        <f>SQRT((1/[2]Classes!$I$30)^2*(0.5*("1991/10/31"-"1991/5/1")*10^4/10^6)^2+(-DR297/([2]Classes!$I$30)^2)^2*([2]Classes!$J$30)^2)</f>
        <v>0.28944787367187741</v>
      </c>
      <c r="DT297" s="13">
        <v>6</v>
      </c>
      <c r="DU297" s="19">
        <f t="shared" ref="DU297:DU315" si="1256">DS297/ABS(DR297)</f>
        <v>2.6941138449362949</v>
      </c>
      <c r="DV297" s="19">
        <f t="shared" si="1211"/>
        <v>-11.73489735021704</v>
      </c>
      <c r="DW297" s="12">
        <f t="shared" si="1212"/>
        <v>14.086578931857078</v>
      </c>
      <c r="DX297" s="72">
        <f t="shared" si="1251"/>
        <v>66.143902001146557</v>
      </c>
      <c r="DY297" s="72">
        <f t="shared" si="1252"/>
        <v>66.143902001146571</v>
      </c>
      <c r="EA297" s="19" t="s">
        <v>37</v>
      </c>
      <c r="EB297" s="19" t="s">
        <v>37</v>
      </c>
      <c r="EC297" s="72" t="s">
        <v>37</v>
      </c>
      <c r="EE297" s="19" t="s">
        <v>37</v>
      </c>
      <c r="EF297" s="19" t="s">
        <v>37</v>
      </c>
      <c r="EG297" s="12" t="s">
        <v>37</v>
      </c>
      <c r="EM297" s="12" t="s">
        <v>39</v>
      </c>
      <c r="EN297" s="12">
        <v>-20.8</v>
      </c>
      <c r="EO297" s="50">
        <f t="shared" si="1241"/>
        <v>8.475925094026902</v>
      </c>
      <c r="EP297" s="13">
        <v>1</v>
      </c>
      <c r="ER297" s="12">
        <v>-46</v>
      </c>
      <c r="ES297" s="50">
        <f t="shared" si="1242"/>
        <v>10.433446461422932</v>
      </c>
      <c r="ET297" s="13">
        <v>1</v>
      </c>
      <c r="EV297" s="19">
        <f t="shared" si="1233"/>
        <v>-25.2</v>
      </c>
      <c r="EW297" s="12" t="e">
        <f t="shared" si="1234"/>
        <v>#DIV/0!</v>
      </c>
      <c r="EX297" s="19" t="e">
        <f t="shared" si="1235"/>
        <v>#DIV/0!</v>
      </c>
      <c r="EY297" s="19">
        <f t="shared" si="1236"/>
        <v>180.69811126293365</v>
      </c>
      <c r="FB297" s="12" t="s">
        <v>37</v>
      </c>
      <c r="FC297" s="12" t="s">
        <v>37</v>
      </c>
      <c r="FD297" s="12" t="s">
        <v>37</v>
      </c>
      <c r="FE297" s="12" t="s">
        <v>37</v>
      </c>
      <c r="FF297" s="20" t="s">
        <v>37</v>
      </c>
      <c r="FG297" s="12" t="s">
        <v>37</v>
      </c>
      <c r="FI297" s="12" t="s">
        <v>37</v>
      </c>
      <c r="FJ297" s="12" t="s">
        <v>37</v>
      </c>
      <c r="FK297" s="12" t="s">
        <v>37</v>
      </c>
      <c r="FL297" s="12" t="s">
        <v>37</v>
      </c>
      <c r="FM297" s="12" t="s">
        <v>37</v>
      </c>
      <c r="FN297" s="12" t="s">
        <v>37</v>
      </c>
      <c r="FP297" s="12" t="s">
        <v>37</v>
      </c>
      <c r="FQ297" s="12" t="s">
        <v>37</v>
      </c>
      <c r="FR297" s="12" t="s">
        <v>37</v>
      </c>
      <c r="FS297" s="12" t="s">
        <v>37</v>
      </c>
      <c r="FT297" s="12" t="s">
        <v>37</v>
      </c>
      <c r="FU297" s="12" t="s">
        <v>37</v>
      </c>
      <c r="FW297" s="12" t="s">
        <v>37</v>
      </c>
      <c r="FX297" s="12" t="s">
        <v>37</v>
      </c>
      <c r="FY297" s="12" t="s">
        <v>37</v>
      </c>
      <c r="FZ297" s="12" t="s">
        <v>37</v>
      </c>
      <c r="GA297" s="12" t="s">
        <v>37</v>
      </c>
      <c r="GB297" s="12" t="s">
        <v>37</v>
      </c>
      <c r="GO297" s="12" t="s">
        <v>660</v>
      </c>
      <c r="GP297" s="12" t="s">
        <v>372</v>
      </c>
      <c r="GQ297" s="12">
        <v>13</v>
      </c>
      <c r="GR297" s="50">
        <f t="shared" si="1243"/>
        <v>1.2418842480306649</v>
      </c>
      <c r="GS297" s="13">
        <v>1</v>
      </c>
      <c r="GU297" s="12">
        <v>10.3</v>
      </c>
      <c r="GV297" s="50">
        <f t="shared" si="1244"/>
        <v>1.0962926777356981</v>
      </c>
      <c r="GW297" s="13">
        <v>1</v>
      </c>
      <c r="GY297" s="19">
        <f t="shared" si="1253"/>
        <v>-0.23280546222594656</v>
      </c>
      <c r="GZ297" s="19">
        <f t="shared" si="1254"/>
        <v>2.0454557267488193E-2</v>
      </c>
      <c r="IK297" s="12" t="s">
        <v>37</v>
      </c>
      <c r="IL297" s="12" t="s">
        <v>37</v>
      </c>
      <c r="IM297" s="12" t="s">
        <v>37</v>
      </c>
      <c r="IO297" s="12" t="s">
        <v>37</v>
      </c>
      <c r="IP297" s="12" t="s">
        <v>37</v>
      </c>
      <c r="IQ297" s="12" t="s">
        <v>37</v>
      </c>
      <c r="IV297" s="32" t="s">
        <v>345</v>
      </c>
      <c r="IW297" s="12">
        <v>4.5999999999999996</v>
      </c>
      <c r="IX297" s="12">
        <v>0.2</v>
      </c>
      <c r="IY297" s="13">
        <v>6</v>
      </c>
      <c r="IZ297" s="19">
        <f t="shared" si="1247"/>
        <v>4.3478260869565223E-2</v>
      </c>
      <c r="JA297" s="13"/>
      <c r="JB297" s="13"/>
      <c r="JH297" s="12" t="s">
        <v>37</v>
      </c>
      <c r="JI297" s="12" t="s">
        <v>37</v>
      </c>
      <c r="JJ297" s="13" t="s">
        <v>37</v>
      </c>
      <c r="JL297" s="12" t="s">
        <v>37</v>
      </c>
      <c r="JM297" s="12" t="s">
        <v>37</v>
      </c>
      <c r="JN297" s="12" t="s">
        <v>37</v>
      </c>
      <c r="JS297" s="12" t="s">
        <v>37</v>
      </c>
      <c r="JT297" s="12" t="s">
        <v>37</v>
      </c>
      <c r="JU297" s="13" t="s">
        <v>37</v>
      </c>
      <c r="JW297" s="12" t="s">
        <v>37</v>
      </c>
      <c r="JX297" s="12" t="s">
        <v>37</v>
      </c>
      <c r="JY297" s="12" t="s">
        <v>37</v>
      </c>
      <c r="KE297" s="12" t="s">
        <v>37</v>
      </c>
      <c r="KF297" s="12" t="s">
        <v>37</v>
      </c>
      <c r="KG297" s="13" t="s">
        <v>37</v>
      </c>
      <c r="KH297" s="12" t="s">
        <v>37</v>
      </c>
      <c r="KI297" s="12" t="s">
        <v>37</v>
      </c>
      <c r="KJ297" s="12" t="s">
        <v>37</v>
      </c>
      <c r="KM297" s="12" t="s">
        <v>37</v>
      </c>
      <c r="KN297" s="12" t="s">
        <v>37</v>
      </c>
      <c r="KO297" s="11" t="s">
        <v>37</v>
      </c>
      <c r="KQ297" s="12" t="s">
        <v>37</v>
      </c>
      <c r="KR297" s="12" t="s">
        <v>37</v>
      </c>
      <c r="KS297" s="12" t="s">
        <v>37</v>
      </c>
      <c r="KX297" s="12" t="s">
        <v>37</v>
      </c>
      <c r="KY297" s="12" t="s">
        <v>37</v>
      </c>
      <c r="KZ297" s="12" t="s">
        <v>37</v>
      </c>
      <c r="LB297" s="12" t="s">
        <v>37</v>
      </c>
      <c r="LC297" s="12" t="s">
        <v>37</v>
      </c>
      <c r="LD297" s="12" t="s">
        <v>37</v>
      </c>
      <c r="LI297" s="12" t="s">
        <v>37</v>
      </c>
      <c r="LJ297" s="12" t="s">
        <v>37</v>
      </c>
      <c r="LK297" s="12" t="s">
        <v>37</v>
      </c>
      <c r="LM297" s="12" t="s">
        <v>37</v>
      </c>
      <c r="LN297" s="12" t="s">
        <v>37</v>
      </c>
      <c r="LO297" s="12" t="s">
        <v>37</v>
      </c>
      <c r="LU297" s="12" t="s">
        <v>37</v>
      </c>
      <c r="LV297" s="12" t="s">
        <v>37</v>
      </c>
      <c r="LW297" s="12" t="s">
        <v>37</v>
      </c>
      <c r="LY297" s="12" t="s">
        <v>37</v>
      </c>
      <c r="LZ297" s="12" t="s">
        <v>37</v>
      </c>
      <c r="MA297" s="12" t="s">
        <v>37</v>
      </c>
      <c r="MF297" s="12" t="s">
        <v>37</v>
      </c>
      <c r="MG297" s="12" t="s">
        <v>37</v>
      </c>
      <c r="MH297" s="12" t="s">
        <v>37</v>
      </c>
      <c r="MJ297" s="12" t="s">
        <v>37</v>
      </c>
      <c r="MK297" s="12" t="s">
        <v>37</v>
      </c>
      <c r="ML297" s="12" t="s">
        <v>37</v>
      </c>
      <c r="MQ297" s="12" t="s">
        <v>37</v>
      </c>
      <c r="MR297" s="12" t="s">
        <v>37</v>
      </c>
      <c r="MS297" s="12" t="s">
        <v>37</v>
      </c>
      <c r="MU297" s="12" t="s">
        <v>37</v>
      </c>
      <c r="MV297" s="12" t="s">
        <v>37</v>
      </c>
      <c r="MW297" s="12" t="s">
        <v>37</v>
      </c>
      <c r="NC297" s="12" t="s">
        <v>37</v>
      </c>
      <c r="ND297" s="12" t="s">
        <v>37</v>
      </c>
      <c r="NE297" s="12" t="s">
        <v>37</v>
      </c>
      <c r="NG297" s="12" t="s">
        <v>37</v>
      </c>
      <c r="NH297" s="12" t="s">
        <v>37</v>
      </c>
      <c r="NI297" s="12" t="s">
        <v>37</v>
      </c>
      <c r="NO297" s="12" t="s">
        <v>37</v>
      </c>
      <c r="NP297" s="12" t="s">
        <v>37</v>
      </c>
      <c r="NQ297" s="12" t="s">
        <v>37</v>
      </c>
      <c r="NS297" s="12" t="s">
        <v>37</v>
      </c>
      <c r="NT297" s="12" t="s">
        <v>37</v>
      </c>
      <c r="NU297" s="12" t="s">
        <v>37</v>
      </c>
      <c r="OA297" s="12" t="s">
        <v>37</v>
      </c>
      <c r="OB297" s="12" t="s">
        <v>37</v>
      </c>
      <c r="OC297" s="12" t="s">
        <v>37</v>
      </c>
      <c r="OD297" s="12"/>
      <c r="OE297" s="12" t="s">
        <v>37</v>
      </c>
      <c r="OF297" s="12" t="s">
        <v>37</v>
      </c>
      <c r="OG297" s="12" t="s">
        <v>37</v>
      </c>
      <c r="OH297" s="12"/>
      <c r="OI297" s="12"/>
      <c r="OJ297" s="12"/>
      <c r="OM297" s="12" t="s">
        <v>37</v>
      </c>
      <c r="ON297" s="12" t="s">
        <v>37</v>
      </c>
      <c r="OO297" s="12" t="s">
        <v>37</v>
      </c>
      <c r="OP297" s="12" t="s">
        <v>37</v>
      </c>
      <c r="OQ297" s="12" t="s">
        <v>37</v>
      </c>
      <c r="OR297" s="12" t="s">
        <v>37</v>
      </c>
      <c r="OS297" s="12"/>
      <c r="OT297" s="12"/>
      <c r="OW297" s="12" t="s">
        <v>37</v>
      </c>
      <c r="OX297" s="12" t="s">
        <v>37</v>
      </c>
      <c r="OY297" s="13" t="s">
        <v>37</v>
      </c>
      <c r="OZ297" s="12" t="s">
        <v>37</v>
      </c>
      <c r="PA297" s="12" t="s">
        <v>37</v>
      </c>
      <c r="PB297" s="13" t="s">
        <v>37</v>
      </c>
      <c r="PG297" s="12" t="s">
        <v>37</v>
      </c>
      <c r="PH297" s="12" t="s">
        <v>37</v>
      </c>
      <c r="PI297" s="12" t="s">
        <v>37</v>
      </c>
      <c r="PJ297" s="12" t="s">
        <v>37</v>
      </c>
      <c r="PK297" s="12" t="s">
        <v>37</v>
      </c>
      <c r="PL297" s="12" t="s">
        <v>37</v>
      </c>
      <c r="PM297" s="12"/>
      <c r="PN297" s="12"/>
      <c r="PQ297" s="12" t="s">
        <v>37</v>
      </c>
      <c r="PR297" s="12" t="s">
        <v>37</v>
      </c>
      <c r="PS297" s="12" t="s">
        <v>37</v>
      </c>
      <c r="PT297" s="12" t="s">
        <v>37</v>
      </c>
      <c r="PU297" s="12" t="s">
        <v>37</v>
      </c>
      <c r="PV297" s="12" t="s">
        <v>37</v>
      </c>
      <c r="PW297" s="12"/>
      <c r="PX297" s="12"/>
      <c r="PZ297" s="12" t="s">
        <v>37</v>
      </c>
      <c r="QA297" s="12" t="s">
        <v>37</v>
      </c>
      <c r="QB297" s="12" t="s">
        <v>37</v>
      </c>
      <c r="QD297" s="12" t="s">
        <v>37</v>
      </c>
      <c r="QE297" s="12" t="s">
        <v>37</v>
      </c>
      <c r="QF297" s="12" t="s">
        <v>37</v>
      </c>
      <c r="QK297" s="12" t="s">
        <v>37</v>
      </c>
      <c r="QL297" s="12" t="s">
        <v>37</v>
      </c>
      <c r="QM297" s="12" t="s">
        <v>37</v>
      </c>
      <c r="QN297" s="12" t="s">
        <v>37</v>
      </c>
      <c r="QO297" s="12" t="s">
        <v>37</v>
      </c>
      <c r="QP297" s="12" t="s">
        <v>37</v>
      </c>
      <c r="QQ297" s="12"/>
      <c r="QR297" s="12"/>
      <c r="QU297" s="12" t="s">
        <v>37</v>
      </c>
      <c r="QV297" s="12" t="s">
        <v>37</v>
      </c>
      <c r="QW297" s="12" t="s">
        <v>37</v>
      </c>
      <c r="QX297" s="12" t="s">
        <v>37</v>
      </c>
      <c r="QY297" s="12" t="s">
        <v>37</v>
      </c>
      <c r="QZ297" s="12" t="s">
        <v>37</v>
      </c>
      <c r="RC297" s="12" t="s">
        <v>37</v>
      </c>
      <c r="RD297" s="12" t="s">
        <v>37</v>
      </c>
      <c r="RE297" s="13" t="s">
        <v>37</v>
      </c>
      <c r="RF297" s="12" t="s">
        <v>37</v>
      </c>
      <c r="RG297" s="12" t="s">
        <v>37</v>
      </c>
      <c r="RH297" s="13" t="s">
        <v>37</v>
      </c>
      <c r="RK297" s="12" t="s">
        <v>37</v>
      </c>
      <c r="RL297" s="12" t="s">
        <v>37</v>
      </c>
      <c r="RM297" s="11" t="s">
        <v>37</v>
      </c>
      <c r="RN297" s="12" t="s">
        <v>37</v>
      </c>
      <c r="RO297" s="12" t="s">
        <v>37</v>
      </c>
      <c r="RP297" s="11" t="s">
        <v>37</v>
      </c>
      <c r="RS297" s="12" t="s">
        <v>37</v>
      </c>
      <c r="RT297" s="12" t="s">
        <v>37</v>
      </c>
      <c r="RU297" s="12" t="s">
        <v>37</v>
      </c>
      <c r="RV297" s="12" t="s">
        <v>37</v>
      </c>
      <c r="RW297" s="12" t="s">
        <v>37</v>
      </c>
      <c r="RX297" s="12" t="s">
        <v>37</v>
      </c>
      <c r="SA297" s="12" t="s">
        <v>37</v>
      </c>
      <c r="SB297" s="12" t="s">
        <v>37</v>
      </c>
      <c r="SC297" s="12" t="s">
        <v>37</v>
      </c>
      <c r="SD297" s="12" t="s">
        <v>37</v>
      </c>
      <c r="SE297" s="12" t="s">
        <v>37</v>
      </c>
      <c r="SF297" s="12" t="s">
        <v>37</v>
      </c>
      <c r="SI297" s="12" t="s">
        <v>37</v>
      </c>
      <c r="SJ297" s="12" t="s">
        <v>37</v>
      </c>
      <c r="SK297" s="13" t="s">
        <v>37</v>
      </c>
      <c r="SM297" s="12" t="s">
        <v>37</v>
      </c>
      <c r="SN297" s="12" t="s">
        <v>37</v>
      </c>
      <c r="SO297" s="13" t="s">
        <v>37</v>
      </c>
      <c r="SU297" s="12" t="s">
        <v>37</v>
      </c>
      <c r="SV297" s="12" t="s">
        <v>37</v>
      </c>
      <c r="SW297" s="12" t="s">
        <v>37</v>
      </c>
      <c r="SX297" s="12" t="s">
        <v>37</v>
      </c>
      <c r="SY297" s="12" t="s">
        <v>37</v>
      </c>
      <c r="SZ297" s="12" t="s">
        <v>37</v>
      </c>
      <c r="TA297" s="12"/>
      <c r="TB297" s="12"/>
      <c r="TE297" s="12" t="s">
        <v>37</v>
      </c>
      <c r="TF297" s="12" t="s">
        <v>37</v>
      </c>
      <c r="TG297" s="12" t="s">
        <v>37</v>
      </c>
      <c r="TH297" s="12" t="s">
        <v>37</v>
      </c>
      <c r="TI297" s="12" t="s">
        <v>37</v>
      </c>
      <c r="TJ297" s="12" t="s">
        <v>37</v>
      </c>
      <c r="TK297" s="12"/>
      <c r="TL297" s="12"/>
      <c r="TO297" s="12" t="s">
        <v>37</v>
      </c>
      <c r="TP297" s="12" t="s">
        <v>37</v>
      </c>
      <c r="TQ297" s="12" t="s">
        <v>37</v>
      </c>
      <c r="TR297" s="12" t="s">
        <v>37</v>
      </c>
      <c r="TS297" s="12" t="s">
        <v>37</v>
      </c>
      <c r="TT297" s="12" t="s">
        <v>37</v>
      </c>
      <c r="TU297" s="12"/>
      <c r="TV297" s="12"/>
      <c r="TY297" s="12" t="s">
        <v>37</v>
      </c>
      <c r="TZ297" s="12" t="s">
        <v>37</v>
      </c>
      <c r="UA297" s="12" t="s">
        <v>37</v>
      </c>
      <c r="UB297" s="12" t="s">
        <v>37</v>
      </c>
      <c r="UC297" s="12" t="s">
        <v>37</v>
      </c>
      <c r="UD297" s="12" t="s">
        <v>37</v>
      </c>
      <c r="UE297" s="12"/>
      <c r="UF297" s="12"/>
      <c r="UI297" s="12" t="s">
        <v>37</v>
      </c>
      <c r="UJ297" s="12" t="s">
        <v>37</v>
      </c>
      <c r="UK297" s="12" t="s">
        <v>37</v>
      </c>
      <c r="UL297" s="12" t="s">
        <v>37</v>
      </c>
      <c r="UM297" s="12" t="s">
        <v>37</v>
      </c>
      <c r="UN297" s="12" t="s">
        <v>37</v>
      </c>
      <c r="UO297" s="12"/>
      <c r="UP297" s="12"/>
      <c r="UR297" s="12" t="s">
        <v>37</v>
      </c>
      <c r="US297" s="12" t="s">
        <v>37</v>
      </c>
      <c r="UT297" s="12" t="s">
        <v>37</v>
      </c>
      <c r="UU297" s="12" t="s">
        <v>37</v>
      </c>
      <c r="UV297" s="12" t="s">
        <v>37</v>
      </c>
      <c r="UW297" s="12" t="s">
        <v>37</v>
      </c>
      <c r="UX297" s="12"/>
      <c r="UY297" s="12"/>
      <c r="VB297" s="12" t="s">
        <v>37</v>
      </c>
      <c r="VC297" s="12" t="s">
        <v>37</v>
      </c>
      <c r="VD297" s="12" t="s">
        <v>37</v>
      </c>
      <c r="VE297" s="12" t="s">
        <v>37</v>
      </c>
      <c r="VF297" s="12" t="s">
        <v>37</v>
      </c>
      <c r="VG297" s="12" t="s">
        <v>37</v>
      </c>
      <c r="VI297" s="12" t="s">
        <v>37</v>
      </c>
      <c r="VJ297" s="12" t="s">
        <v>37</v>
      </c>
      <c r="VK297" s="12" t="s">
        <v>37</v>
      </c>
      <c r="VL297" s="12" t="s">
        <v>37</v>
      </c>
      <c r="VM297" s="12" t="s">
        <v>37</v>
      </c>
      <c r="VN297" s="12" t="s">
        <v>37</v>
      </c>
      <c r="VQ297" s="12" t="s">
        <v>37</v>
      </c>
      <c r="VR297" s="12" t="s">
        <v>37</v>
      </c>
      <c r="VS297" s="12" t="s">
        <v>37</v>
      </c>
      <c r="VT297" s="12" t="s">
        <v>37</v>
      </c>
      <c r="VU297" s="12" t="s">
        <v>37</v>
      </c>
      <c r="VV297" s="12" t="s">
        <v>37</v>
      </c>
      <c r="VW297" s="12"/>
      <c r="VX297" s="12"/>
      <c r="WA297" s="12" t="s">
        <v>37</v>
      </c>
      <c r="WB297" s="12" t="s">
        <v>37</v>
      </c>
      <c r="WC297" s="12" t="s">
        <v>37</v>
      </c>
      <c r="WD297" s="12" t="s">
        <v>37</v>
      </c>
      <c r="WE297" s="12" t="s">
        <v>37</v>
      </c>
      <c r="WF297" s="12" t="s">
        <v>37</v>
      </c>
    </row>
    <row r="298" spans="1:604" ht="18" customHeight="1" x14ac:dyDescent="0.3">
      <c r="A298" s="11">
        <v>70</v>
      </c>
      <c r="B298" s="16" t="s">
        <v>399</v>
      </c>
      <c r="C298" s="12" t="s">
        <v>864</v>
      </c>
      <c r="D298" s="12" t="s">
        <v>54</v>
      </c>
      <c r="E298" s="40" t="s">
        <v>37</v>
      </c>
      <c r="F298" s="14">
        <v>0</v>
      </c>
      <c r="G298" s="14">
        <v>0</v>
      </c>
      <c r="H298" s="12" t="s">
        <v>91</v>
      </c>
      <c r="I298" s="29">
        <v>49.05</v>
      </c>
      <c r="J298" s="29">
        <v>-80.667000000000002</v>
      </c>
      <c r="K298" s="12" t="s">
        <v>778</v>
      </c>
      <c r="L298" s="12" t="s">
        <v>779</v>
      </c>
      <c r="M298" s="13" t="s">
        <v>37</v>
      </c>
      <c r="N298" s="14">
        <v>0.6</v>
      </c>
      <c r="O298" s="14">
        <v>885</v>
      </c>
      <c r="P298" s="14" t="s">
        <v>16</v>
      </c>
      <c r="Q298" s="75">
        <v>7</v>
      </c>
      <c r="R298" s="11" t="s">
        <v>1000</v>
      </c>
      <c r="S298" s="12" t="s">
        <v>93</v>
      </c>
      <c r="T298" s="12" t="s">
        <v>141</v>
      </c>
      <c r="U298" s="12" t="s">
        <v>334</v>
      </c>
      <c r="V298" s="12" t="s">
        <v>275</v>
      </c>
      <c r="W298" s="23" t="s">
        <v>404</v>
      </c>
      <c r="X298" s="12" t="s">
        <v>281</v>
      </c>
      <c r="Y298" s="12" t="s">
        <v>37</v>
      </c>
      <c r="Z298" s="12" t="s">
        <v>37</v>
      </c>
      <c r="AA298" s="32" t="s">
        <v>345</v>
      </c>
      <c r="AB298" s="12">
        <v>4.5999999999999996</v>
      </c>
      <c r="AE298" s="12" t="s">
        <v>37</v>
      </c>
      <c r="AH298" s="12" t="s">
        <v>37</v>
      </c>
      <c r="AK298" s="12" t="s">
        <v>37</v>
      </c>
      <c r="AL298" s="32" t="s">
        <v>400</v>
      </c>
      <c r="AM298" s="12" t="s">
        <v>317</v>
      </c>
      <c r="AN298" s="32" t="s">
        <v>879</v>
      </c>
      <c r="AO298" s="12" t="s">
        <v>37</v>
      </c>
      <c r="AP298" s="12" t="s">
        <v>401</v>
      </c>
      <c r="AQ298" s="12" t="s">
        <v>975</v>
      </c>
      <c r="AT298" s="12" t="s">
        <v>326</v>
      </c>
      <c r="AU298" s="12" t="s">
        <v>326</v>
      </c>
      <c r="AV298" s="13" t="s">
        <v>326</v>
      </c>
      <c r="AX298" s="12" t="s">
        <v>326</v>
      </c>
      <c r="AY298" s="12" t="s">
        <v>326</v>
      </c>
      <c r="AZ298" s="13" t="s">
        <v>326</v>
      </c>
      <c r="BE298" s="12" t="s">
        <v>326</v>
      </c>
      <c r="BF298" s="12" t="s">
        <v>326</v>
      </c>
      <c r="BG298" s="12" t="s">
        <v>326</v>
      </c>
      <c r="BI298" s="12" t="s">
        <v>326</v>
      </c>
      <c r="BJ298" s="12" t="s">
        <v>326</v>
      </c>
      <c r="BK298" s="12" t="s">
        <v>326</v>
      </c>
      <c r="BP298" s="12" t="s">
        <v>37</v>
      </c>
      <c r="BQ298" s="12" t="s">
        <v>37</v>
      </c>
      <c r="BR298" s="13" t="s">
        <v>37</v>
      </c>
      <c r="BT298" s="12" t="s">
        <v>37</v>
      </c>
      <c r="BU298" s="12" t="s">
        <v>37</v>
      </c>
      <c r="BV298" s="12" t="s">
        <v>37</v>
      </c>
      <c r="CA298" s="12" t="s">
        <v>37</v>
      </c>
      <c r="CB298" s="12" t="s">
        <v>37</v>
      </c>
      <c r="CC298" s="13" t="s">
        <v>37</v>
      </c>
      <c r="CE298" s="12" t="s">
        <v>37</v>
      </c>
      <c r="CF298" s="12" t="s">
        <v>37</v>
      </c>
      <c r="CG298" s="12" t="s">
        <v>37</v>
      </c>
      <c r="CN298" s="12" t="s">
        <v>37</v>
      </c>
      <c r="CO298" s="12" t="s">
        <v>37</v>
      </c>
      <c r="CP298" s="13" t="s">
        <v>37</v>
      </c>
      <c r="CR298" s="12" t="s">
        <v>37</v>
      </c>
      <c r="CS298" s="12" t="s">
        <v>37</v>
      </c>
      <c r="CT298" s="13" t="s">
        <v>37</v>
      </c>
      <c r="CX298" s="72"/>
      <c r="CY298" s="72"/>
      <c r="DA298" s="12" t="s">
        <v>37</v>
      </c>
      <c r="DB298" s="12" t="s">
        <v>37</v>
      </c>
      <c r="DC298" s="13" t="s">
        <v>37</v>
      </c>
      <c r="DE298" s="12" t="s">
        <v>37</v>
      </c>
      <c r="DF298" s="12" t="s">
        <v>37</v>
      </c>
      <c r="DG298" s="12" t="s">
        <v>37</v>
      </c>
      <c r="DM298" s="12" t="s">
        <v>47</v>
      </c>
      <c r="DN298" s="19">
        <f>4.6*("1991/10/31"-"1991/5/1")*10^4/10^6/'[1]classes-1'!$I$32</f>
        <v>11.627460214917093</v>
      </c>
      <c r="DO298" s="12">
        <f t="shared" ref="DO298:DO299" si="1257">DO297</f>
        <v>19.919328099494376</v>
      </c>
      <c r="DP298" s="13">
        <v>6</v>
      </c>
      <c r="DQ298" s="19">
        <f t="shared" si="1255"/>
        <v>1.7131280375347564</v>
      </c>
      <c r="DR298" s="19">
        <f>-0.2*("1991/10/31"-"1991/5/1")*10^4/10^6/'[1]classes-1'!$I$30</f>
        <v>-0.10743713529994561</v>
      </c>
      <c r="DS298" s="12">
        <f>SQRT((1/[2]Classes!$I$30)^2*(0.7*("1991/10/31"-"1991/5/1")*10^4/10^6)^2+(-DR298/([2]Classes!$I$30)^2)^2*([2]Classes!$J$30)^2)</f>
        <v>0.39119879833905941</v>
      </c>
      <c r="DT298" s="13">
        <v>6</v>
      </c>
      <c r="DU298" s="19">
        <f t="shared" si="1256"/>
        <v>3.6411879118602806</v>
      </c>
      <c r="DV298" s="19">
        <f t="shared" si="1211"/>
        <v>-11.73489735021704</v>
      </c>
      <c r="DW298" s="12">
        <f t="shared" si="1212"/>
        <v>14.08780799903108</v>
      </c>
      <c r="DX298" s="72">
        <f t="shared" si="1251"/>
        <v>66.155444739188027</v>
      </c>
      <c r="DY298" s="72">
        <f t="shared" si="1252"/>
        <v>66.155444739188027</v>
      </c>
      <c r="EA298" s="19" t="s">
        <v>37</v>
      </c>
      <c r="EB298" s="19" t="s">
        <v>37</v>
      </c>
      <c r="EC298" s="72" t="s">
        <v>37</v>
      </c>
      <c r="EE298" s="19" t="s">
        <v>37</v>
      </c>
      <c r="EF298" s="19" t="s">
        <v>37</v>
      </c>
      <c r="EG298" s="12" t="s">
        <v>37</v>
      </c>
      <c r="EM298" s="12" t="s">
        <v>39</v>
      </c>
      <c r="EN298" s="12">
        <v>-20.8</v>
      </c>
      <c r="EO298" s="50">
        <f t="shared" si="1241"/>
        <v>8.475925094026902</v>
      </c>
      <c r="EP298" s="13">
        <v>1</v>
      </c>
      <c r="ER298" s="12">
        <v>-40</v>
      </c>
      <c r="ES298" s="50">
        <f t="shared" si="1242"/>
        <v>9.0725621403677668</v>
      </c>
      <c r="ET298" s="13">
        <v>1</v>
      </c>
      <c r="EV298" s="19">
        <f t="shared" si="1233"/>
        <v>-19.2</v>
      </c>
      <c r="EW298" s="12" t="e">
        <f t="shared" si="1234"/>
        <v>#DIV/0!</v>
      </c>
      <c r="EX298" s="19" t="e">
        <f t="shared" si="1235"/>
        <v>#DIV/0!</v>
      </c>
      <c r="EY298" s="19">
        <f t="shared" si="1236"/>
        <v>154.15268999038949</v>
      </c>
      <c r="FB298" s="12" t="s">
        <v>37</v>
      </c>
      <c r="FC298" s="12" t="s">
        <v>37</v>
      </c>
      <c r="FD298" s="12" t="s">
        <v>37</v>
      </c>
      <c r="FE298" s="12" t="s">
        <v>37</v>
      </c>
      <c r="FF298" s="20" t="s">
        <v>37</v>
      </c>
      <c r="FG298" s="12" t="s">
        <v>37</v>
      </c>
      <c r="FI298" s="12" t="s">
        <v>37</v>
      </c>
      <c r="FJ298" s="12" t="s">
        <v>37</v>
      </c>
      <c r="FK298" s="12" t="s">
        <v>37</v>
      </c>
      <c r="FL298" s="12" t="s">
        <v>37</v>
      </c>
      <c r="FM298" s="12" t="s">
        <v>37</v>
      </c>
      <c r="FN298" s="12" t="s">
        <v>37</v>
      </c>
      <c r="FP298" s="12" t="s">
        <v>37</v>
      </c>
      <c r="FQ298" s="12" t="s">
        <v>37</v>
      </c>
      <c r="FR298" s="12" t="s">
        <v>37</v>
      </c>
      <c r="FS298" s="12" t="s">
        <v>37</v>
      </c>
      <c r="FT298" s="12" t="s">
        <v>37</v>
      </c>
      <c r="FU298" s="12" t="s">
        <v>37</v>
      </c>
      <c r="FW298" s="12" t="s">
        <v>37</v>
      </c>
      <c r="FX298" s="12" t="s">
        <v>37</v>
      </c>
      <c r="FY298" s="12" t="s">
        <v>37</v>
      </c>
      <c r="FZ298" s="12" t="s">
        <v>37</v>
      </c>
      <c r="GA298" s="12" t="s">
        <v>37</v>
      </c>
      <c r="GB298" s="12" t="s">
        <v>37</v>
      </c>
      <c r="GO298" s="12" t="s">
        <v>660</v>
      </c>
      <c r="GP298" s="12" t="s">
        <v>372</v>
      </c>
      <c r="GQ298" s="12">
        <v>13</v>
      </c>
      <c r="GR298" s="50">
        <f t="shared" si="1243"/>
        <v>1.2418842480306649</v>
      </c>
      <c r="GS298" s="13">
        <v>1</v>
      </c>
      <c r="GU298" s="12">
        <v>11.2</v>
      </c>
      <c r="GV298" s="50">
        <f t="shared" si="1244"/>
        <v>1.1920852418096908</v>
      </c>
      <c r="GW298" s="13">
        <v>1</v>
      </c>
      <c r="GY298" s="19">
        <f t="shared" si="1253"/>
        <v>-0.14903557916048796</v>
      </c>
      <c r="GZ298" s="19">
        <f t="shared" si="1254"/>
        <v>2.045455726748819E-2</v>
      </c>
      <c r="IK298" s="12" t="s">
        <v>37</v>
      </c>
      <c r="IL298" s="12" t="s">
        <v>37</v>
      </c>
      <c r="IM298" s="12" t="s">
        <v>37</v>
      </c>
      <c r="IO298" s="12" t="s">
        <v>37</v>
      </c>
      <c r="IP298" s="12" t="s">
        <v>37</v>
      </c>
      <c r="IQ298" s="12" t="s">
        <v>37</v>
      </c>
      <c r="IV298" s="32" t="s">
        <v>345</v>
      </c>
      <c r="IW298" s="12">
        <v>4.5999999999999996</v>
      </c>
      <c r="IX298" s="12">
        <v>0.2</v>
      </c>
      <c r="IY298" s="13">
        <v>6</v>
      </c>
      <c r="IZ298" s="19">
        <f t="shared" si="1247"/>
        <v>4.3478260869565223E-2</v>
      </c>
      <c r="JA298" s="13"/>
      <c r="JB298" s="13"/>
      <c r="JH298" s="12" t="s">
        <v>37</v>
      </c>
      <c r="JI298" s="12" t="s">
        <v>37</v>
      </c>
      <c r="JJ298" s="13" t="s">
        <v>37</v>
      </c>
      <c r="JL298" s="12" t="s">
        <v>37</v>
      </c>
      <c r="JM298" s="12" t="s">
        <v>37</v>
      </c>
      <c r="JN298" s="12" t="s">
        <v>37</v>
      </c>
      <c r="JS298" s="12" t="s">
        <v>37</v>
      </c>
      <c r="JT298" s="12" t="s">
        <v>37</v>
      </c>
      <c r="JU298" s="13" t="s">
        <v>37</v>
      </c>
      <c r="JW298" s="12" t="s">
        <v>37</v>
      </c>
      <c r="JX298" s="12" t="s">
        <v>37</v>
      </c>
      <c r="JY298" s="12" t="s">
        <v>37</v>
      </c>
      <c r="KE298" s="12" t="s">
        <v>37</v>
      </c>
      <c r="KF298" s="12" t="s">
        <v>37</v>
      </c>
      <c r="KG298" s="13" t="s">
        <v>37</v>
      </c>
      <c r="KH298" s="12" t="s">
        <v>37</v>
      </c>
      <c r="KI298" s="12" t="s">
        <v>37</v>
      </c>
      <c r="KJ298" s="12" t="s">
        <v>37</v>
      </c>
      <c r="KM298" s="12" t="s">
        <v>37</v>
      </c>
      <c r="KN298" s="12" t="s">
        <v>37</v>
      </c>
      <c r="KO298" s="11" t="s">
        <v>37</v>
      </c>
      <c r="KQ298" s="12" t="s">
        <v>37</v>
      </c>
      <c r="KR298" s="12" t="s">
        <v>37</v>
      </c>
      <c r="KS298" s="12" t="s">
        <v>37</v>
      </c>
      <c r="KX298" s="12" t="s">
        <v>37</v>
      </c>
      <c r="KY298" s="12" t="s">
        <v>37</v>
      </c>
      <c r="KZ298" s="12" t="s">
        <v>37</v>
      </c>
      <c r="LB298" s="12" t="s">
        <v>37</v>
      </c>
      <c r="LC298" s="12" t="s">
        <v>37</v>
      </c>
      <c r="LD298" s="12" t="s">
        <v>37</v>
      </c>
      <c r="LI298" s="12" t="s">
        <v>37</v>
      </c>
      <c r="LJ298" s="12" t="s">
        <v>37</v>
      </c>
      <c r="LK298" s="12" t="s">
        <v>37</v>
      </c>
      <c r="LM298" s="12" t="s">
        <v>37</v>
      </c>
      <c r="LN298" s="12" t="s">
        <v>37</v>
      </c>
      <c r="LO298" s="12" t="s">
        <v>37</v>
      </c>
      <c r="LU298" s="12" t="s">
        <v>37</v>
      </c>
      <c r="LV298" s="12" t="s">
        <v>37</v>
      </c>
      <c r="LW298" s="12" t="s">
        <v>37</v>
      </c>
      <c r="LY298" s="12" t="s">
        <v>37</v>
      </c>
      <c r="LZ298" s="12" t="s">
        <v>37</v>
      </c>
      <c r="MA298" s="12" t="s">
        <v>37</v>
      </c>
      <c r="MF298" s="12" t="s">
        <v>37</v>
      </c>
      <c r="MG298" s="12" t="s">
        <v>37</v>
      </c>
      <c r="MH298" s="12" t="s">
        <v>37</v>
      </c>
      <c r="MJ298" s="12" t="s">
        <v>37</v>
      </c>
      <c r="MK298" s="12" t="s">
        <v>37</v>
      </c>
      <c r="ML298" s="12" t="s">
        <v>37</v>
      </c>
      <c r="MQ298" s="12" t="s">
        <v>37</v>
      </c>
      <c r="MR298" s="12" t="s">
        <v>37</v>
      </c>
      <c r="MS298" s="12" t="s">
        <v>37</v>
      </c>
      <c r="MU298" s="12" t="s">
        <v>37</v>
      </c>
      <c r="MV298" s="12" t="s">
        <v>37</v>
      </c>
      <c r="MW298" s="12" t="s">
        <v>37</v>
      </c>
      <c r="NC298" s="12" t="s">
        <v>37</v>
      </c>
      <c r="ND298" s="12" t="s">
        <v>37</v>
      </c>
      <c r="NE298" s="12" t="s">
        <v>37</v>
      </c>
      <c r="NG298" s="12" t="s">
        <v>37</v>
      </c>
      <c r="NH298" s="12" t="s">
        <v>37</v>
      </c>
      <c r="NI298" s="12" t="s">
        <v>37</v>
      </c>
      <c r="NO298" s="12" t="s">
        <v>37</v>
      </c>
      <c r="NP298" s="12" t="s">
        <v>37</v>
      </c>
      <c r="NQ298" s="12" t="s">
        <v>37</v>
      </c>
      <c r="NS298" s="12" t="s">
        <v>37</v>
      </c>
      <c r="NT298" s="12" t="s">
        <v>37</v>
      </c>
      <c r="NU298" s="12" t="s">
        <v>37</v>
      </c>
      <c r="OA298" s="12" t="s">
        <v>37</v>
      </c>
      <c r="OB298" s="12" t="s">
        <v>37</v>
      </c>
      <c r="OC298" s="12" t="s">
        <v>37</v>
      </c>
      <c r="OD298" s="12"/>
      <c r="OE298" s="12" t="s">
        <v>37</v>
      </c>
      <c r="OF298" s="12" t="s">
        <v>37</v>
      </c>
      <c r="OG298" s="12" t="s">
        <v>37</v>
      </c>
      <c r="OH298" s="12"/>
      <c r="OI298" s="12"/>
      <c r="OJ298" s="12"/>
      <c r="OM298" s="12" t="s">
        <v>37</v>
      </c>
      <c r="ON298" s="12" t="s">
        <v>37</v>
      </c>
      <c r="OO298" s="12" t="s">
        <v>37</v>
      </c>
      <c r="OP298" s="12" t="s">
        <v>37</v>
      </c>
      <c r="OQ298" s="12" t="s">
        <v>37</v>
      </c>
      <c r="OR298" s="12" t="s">
        <v>37</v>
      </c>
      <c r="OS298" s="12"/>
      <c r="OT298" s="12"/>
      <c r="OW298" s="12" t="s">
        <v>37</v>
      </c>
      <c r="OX298" s="12" t="s">
        <v>37</v>
      </c>
      <c r="OY298" s="13" t="s">
        <v>37</v>
      </c>
      <c r="OZ298" s="12" t="s">
        <v>37</v>
      </c>
      <c r="PA298" s="12" t="s">
        <v>37</v>
      </c>
      <c r="PB298" s="13" t="s">
        <v>37</v>
      </c>
      <c r="PG298" s="12" t="s">
        <v>37</v>
      </c>
      <c r="PH298" s="12" t="s">
        <v>37</v>
      </c>
      <c r="PI298" s="12" t="s">
        <v>37</v>
      </c>
      <c r="PJ298" s="12" t="s">
        <v>37</v>
      </c>
      <c r="PK298" s="12" t="s">
        <v>37</v>
      </c>
      <c r="PL298" s="12" t="s">
        <v>37</v>
      </c>
      <c r="PM298" s="12"/>
      <c r="PN298" s="12"/>
      <c r="PQ298" s="12" t="s">
        <v>37</v>
      </c>
      <c r="PR298" s="12" t="s">
        <v>37</v>
      </c>
      <c r="PS298" s="12" t="s">
        <v>37</v>
      </c>
      <c r="PT298" s="12" t="s">
        <v>37</v>
      </c>
      <c r="PU298" s="12" t="s">
        <v>37</v>
      </c>
      <c r="PV298" s="12" t="s">
        <v>37</v>
      </c>
      <c r="PW298" s="12"/>
      <c r="PX298" s="12"/>
      <c r="PZ298" s="12" t="s">
        <v>37</v>
      </c>
      <c r="QA298" s="12" t="s">
        <v>37</v>
      </c>
      <c r="QB298" s="12" t="s">
        <v>37</v>
      </c>
      <c r="QD298" s="12" t="s">
        <v>37</v>
      </c>
      <c r="QE298" s="12" t="s">
        <v>37</v>
      </c>
      <c r="QF298" s="12" t="s">
        <v>37</v>
      </c>
      <c r="QK298" s="12" t="s">
        <v>37</v>
      </c>
      <c r="QL298" s="12" t="s">
        <v>37</v>
      </c>
      <c r="QM298" s="12" t="s">
        <v>37</v>
      </c>
      <c r="QN298" s="12" t="s">
        <v>37</v>
      </c>
      <c r="QO298" s="12" t="s">
        <v>37</v>
      </c>
      <c r="QP298" s="12" t="s">
        <v>37</v>
      </c>
      <c r="QQ298" s="12"/>
      <c r="QR298" s="12"/>
      <c r="QU298" s="12" t="s">
        <v>37</v>
      </c>
      <c r="QV298" s="12" t="s">
        <v>37</v>
      </c>
      <c r="QW298" s="12" t="s">
        <v>37</v>
      </c>
      <c r="QX298" s="12" t="s">
        <v>37</v>
      </c>
      <c r="QY298" s="12" t="s">
        <v>37</v>
      </c>
      <c r="QZ298" s="12" t="s">
        <v>37</v>
      </c>
      <c r="RC298" s="12" t="s">
        <v>37</v>
      </c>
      <c r="RD298" s="12" t="s">
        <v>37</v>
      </c>
      <c r="RE298" s="13" t="s">
        <v>37</v>
      </c>
      <c r="RF298" s="12" t="s">
        <v>37</v>
      </c>
      <c r="RG298" s="12" t="s">
        <v>37</v>
      </c>
      <c r="RH298" s="13" t="s">
        <v>37</v>
      </c>
      <c r="RK298" s="12" t="s">
        <v>37</v>
      </c>
      <c r="RL298" s="12" t="s">
        <v>37</v>
      </c>
      <c r="RM298" s="11" t="s">
        <v>37</v>
      </c>
      <c r="RN298" s="12" t="s">
        <v>37</v>
      </c>
      <c r="RO298" s="12" t="s">
        <v>37</v>
      </c>
      <c r="RP298" s="11" t="s">
        <v>37</v>
      </c>
      <c r="RS298" s="12" t="s">
        <v>37</v>
      </c>
      <c r="RT298" s="12" t="s">
        <v>37</v>
      </c>
      <c r="RU298" s="12" t="s">
        <v>37</v>
      </c>
      <c r="RV298" s="12" t="s">
        <v>37</v>
      </c>
      <c r="RW298" s="12" t="s">
        <v>37</v>
      </c>
      <c r="RX298" s="12" t="s">
        <v>37</v>
      </c>
      <c r="SA298" s="12" t="s">
        <v>37</v>
      </c>
      <c r="SB298" s="12" t="s">
        <v>37</v>
      </c>
      <c r="SC298" s="12" t="s">
        <v>37</v>
      </c>
      <c r="SD298" s="12" t="s">
        <v>37</v>
      </c>
      <c r="SE298" s="12" t="s">
        <v>37</v>
      </c>
      <c r="SF298" s="12" t="s">
        <v>37</v>
      </c>
      <c r="SI298" s="12" t="s">
        <v>37</v>
      </c>
      <c r="SJ298" s="12" t="s">
        <v>37</v>
      </c>
      <c r="SK298" s="13" t="s">
        <v>37</v>
      </c>
      <c r="SM298" s="12" t="s">
        <v>37</v>
      </c>
      <c r="SN298" s="12" t="s">
        <v>37</v>
      </c>
      <c r="SO298" s="13" t="s">
        <v>37</v>
      </c>
      <c r="SU298" s="12" t="s">
        <v>37</v>
      </c>
      <c r="SV298" s="12" t="s">
        <v>37</v>
      </c>
      <c r="SW298" s="12" t="s">
        <v>37</v>
      </c>
      <c r="SX298" s="12" t="s">
        <v>37</v>
      </c>
      <c r="SY298" s="12" t="s">
        <v>37</v>
      </c>
      <c r="SZ298" s="12" t="s">
        <v>37</v>
      </c>
      <c r="TA298" s="12"/>
      <c r="TB298" s="12"/>
      <c r="TE298" s="12" t="s">
        <v>37</v>
      </c>
      <c r="TF298" s="12" t="s">
        <v>37</v>
      </c>
      <c r="TG298" s="12" t="s">
        <v>37</v>
      </c>
      <c r="TH298" s="12" t="s">
        <v>37</v>
      </c>
      <c r="TI298" s="12" t="s">
        <v>37</v>
      </c>
      <c r="TJ298" s="12" t="s">
        <v>37</v>
      </c>
      <c r="TK298" s="12"/>
      <c r="TL298" s="12"/>
      <c r="TO298" s="12" t="s">
        <v>37</v>
      </c>
      <c r="TP298" s="12" t="s">
        <v>37</v>
      </c>
      <c r="TQ298" s="12" t="s">
        <v>37</v>
      </c>
      <c r="TR298" s="12" t="s">
        <v>37</v>
      </c>
      <c r="TS298" s="12" t="s">
        <v>37</v>
      </c>
      <c r="TT298" s="12" t="s">
        <v>37</v>
      </c>
      <c r="TU298" s="12"/>
      <c r="TV298" s="12"/>
      <c r="TY298" s="12" t="s">
        <v>37</v>
      </c>
      <c r="TZ298" s="12" t="s">
        <v>37</v>
      </c>
      <c r="UA298" s="12" t="s">
        <v>37</v>
      </c>
      <c r="UB298" s="12" t="s">
        <v>37</v>
      </c>
      <c r="UC298" s="12" t="s">
        <v>37</v>
      </c>
      <c r="UD298" s="12" t="s">
        <v>37</v>
      </c>
      <c r="UE298" s="12"/>
      <c r="UF298" s="12"/>
      <c r="UI298" s="12" t="s">
        <v>37</v>
      </c>
      <c r="UJ298" s="12" t="s">
        <v>37</v>
      </c>
      <c r="UK298" s="12" t="s">
        <v>37</v>
      </c>
      <c r="UL298" s="12" t="s">
        <v>37</v>
      </c>
      <c r="UM298" s="12" t="s">
        <v>37</v>
      </c>
      <c r="UN298" s="12" t="s">
        <v>37</v>
      </c>
      <c r="UO298" s="12"/>
      <c r="UP298" s="12"/>
      <c r="UR298" s="12" t="s">
        <v>37</v>
      </c>
      <c r="US298" s="12" t="s">
        <v>37</v>
      </c>
      <c r="UT298" s="12" t="s">
        <v>37</v>
      </c>
      <c r="UU298" s="12" t="s">
        <v>37</v>
      </c>
      <c r="UV298" s="12" t="s">
        <v>37</v>
      </c>
      <c r="UW298" s="12" t="s">
        <v>37</v>
      </c>
      <c r="UX298" s="12"/>
      <c r="UY298" s="12"/>
      <c r="VB298" s="12" t="s">
        <v>37</v>
      </c>
      <c r="VC298" s="12" t="s">
        <v>37</v>
      </c>
      <c r="VD298" s="12" t="s">
        <v>37</v>
      </c>
      <c r="VE298" s="12" t="s">
        <v>37</v>
      </c>
      <c r="VF298" s="12" t="s">
        <v>37</v>
      </c>
      <c r="VG298" s="12" t="s">
        <v>37</v>
      </c>
      <c r="VI298" s="12" t="s">
        <v>37</v>
      </c>
      <c r="VJ298" s="12" t="s">
        <v>37</v>
      </c>
      <c r="VK298" s="12" t="s">
        <v>37</v>
      </c>
      <c r="VL298" s="12" t="s">
        <v>37</v>
      </c>
      <c r="VM298" s="12" t="s">
        <v>37</v>
      </c>
      <c r="VN298" s="12" t="s">
        <v>37</v>
      </c>
      <c r="VQ298" s="12" t="s">
        <v>37</v>
      </c>
      <c r="VR298" s="12" t="s">
        <v>37</v>
      </c>
      <c r="VS298" s="12" t="s">
        <v>37</v>
      </c>
      <c r="VT298" s="12" t="s">
        <v>37</v>
      </c>
      <c r="VU298" s="12" t="s">
        <v>37</v>
      </c>
      <c r="VV298" s="12" t="s">
        <v>37</v>
      </c>
      <c r="VW298" s="12"/>
      <c r="VX298" s="12"/>
      <c r="WA298" s="12" t="s">
        <v>37</v>
      </c>
      <c r="WB298" s="12" t="s">
        <v>37</v>
      </c>
      <c r="WC298" s="12" t="s">
        <v>37</v>
      </c>
      <c r="WD298" s="12" t="s">
        <v>37</v>
      </c>
      <c r="WE298" s="12" t="s">
        <v>37</v>
      </c>
      <c r="WF298" s="12" t="s">
        <v>37</v>
      </c>
    </row>
    <row r="299" spans="1:604" ht="18" customHeight="1" x14ac:dyDescent="0.3">
      <c r="A299" s="11">
        <v>70</v>
      </c>
      <c r="B299" s="16" t="s">
        <v>399</v>
      </c>
      <c r="C299" s="12" t="s">
        <v>31</v>
      </c>
      <c r="D299" s="12" t="s">
        <v>54</v>
      </c>
      <c r="E299" s="40" t="s">
        <v>37</v>
      </c>
      <c r="F299" s="14">
        <v>0</v>
      </c>
      <c r="G299" s="14">
        <v>0</v>
      </c>
      <c r="H299" s="12" t="s">
        <v>91</v>
      </c>
      <c r="I299" s="29">
        <v>49.05</v>
      </c>
      <c r="J299" s="29">
        <v>-80.667000000000002</v>
      </c>
      <c r="K299" s="12" t="s">
        <v>778</v>
      </c>
      <c r="L299" s="12" t="s">
        <v>779</v>
      </c>
      <c r="M299" s="13" t="s">
        <v>37</v>
      </c>
      <c r="N299" s="14">
        <v>0.6</v>
      </c>
      <c r="O299" s="14">
        <v>885</v>
      </c>
      <c r="P299" s="14" t="s">
        <v>16</v>
      </c>
      <c r="Q299" s="75">
        <v>7</v>
      </c>
      <c r="R299" s="11" t="s">
        <v>1000</v>
      </c>
      <c r="S299" s="12" t="s">
        <v>93</v>
      </c>
      <c r="T299" s="12" t="s">
        <v>141</v>
      </c>
      <c r="U299" s="12" t="s">
        <v>334</v>
      </c>
      <c r="V299" s="12" t="s">
        <v>275</v>
      </c>
      <c r="W299" s="23" t="s">
        <v>404</v>
      </c>
      <c r="X299" s="12" t="s">
        <v>281</v>
      </c>
      <c r="Y299" s="12" t="s">
        <v>37</v>
      </c>
      <c r="Z299" s="12" t="s">
        <v>37</v>
      </c>
      <c r="AA299" s="32" t="s">
        <v>345</v>
      </c>
      <c r="AB299" s="12">
        <v>4.5999999999999996</v>
      </c>
      <c r="AE299" s="12" t="s">
        <v>37</v>
      </c>
      <c r="AH299" s="12" t="s">
        <v>37</v>
      </c>
      <c r="AK299" s="12" t="s">
        <v>37</v>
      </c>
      <c r="AL299" s="32" t="s">
        <v>400</v>
      </c>
      <c r="AM299" s="12" t="s">
        <v>317</v>
      </c>
      <c r="AN299" s="32" t="s">
        <v>879</v>
      </c>
      <c r="AO299" s="12" t="s">
        <v>37</v>
      </c>
      <c r="AP299" s="12" t="s">
        <v>401</v>
      </c>
      <c r="AQ299" s="12" t="s">
        <v>975</v>
      </c>
      <c r="AT299" s="12" t="s">
        <v>326</v>
      </c>
      <c r="AU299" s="12" t="s">
        <v>326</v>
      </c>
      <c r="AV299" s="13" t="s">
        <v>326</v>
      </c>
      <c r="AX299" s="12" t="s">
        <v>326</v>
      </c>
      <c r="AY299" s="12" t="s">
        <v>326</v>
      </c>
      <c r="AZ299" s="13" t="s">
        <v>326</v>
      </c>
      <c r="BE299" s="12" t="s">
        <v>326</v>
      </c>
      <c r="BF299" s="12" t="s">
        <v>326</v>
      </c>
      <c r="BG299" s="12" t="s">
        <v>326</v>
      </c>
      <c r="BI299" s="12" t="s">
        <v>326</v>
      </c>
      <c r="BJ299" s="12" t="s">
        <v>326</v>
      </c>
      <c r="BK299" s="12" t="s">
        <v>326</v>
      </c>
      <c r="BP299" s="12" t="s">
        <v>37</v>
      </c>
      <c r="BQ299" s="12" t="s">
        <v>37</v>
      </c>
      <c r="BR299" s="13" t="s">
        <v>37</v>
      </c>
      <c r="BT299" s="12" t="s">
        <v>37</v>
      </c>
      <c r="BU299" s="12" t="s">
        <v>37</v>
      </c>
      <c r="BV299" s="12" t="s">
        <v>37</v>
      </c>
      <c r="CA299" s="12" t="s">
        <v>37</v>
      </c>
      <c r="CB299" s="12" t="s">
        <v>37</v>
      </c>
      <c r="CC299" s="13" t="s">
        <v>37</v>
      </c>
      <c r="CE299" s="12" t="s">
        <v>37</v>
      </c>
      <c r="CF299" s="12" t="s">
        <v>37</v>
      </c>
      <c r="CG299" s="12" t="s">
        <v>37</v>
      </c>
      <c r="CN299" s="12" t="s">
        <v>37</v>
      </c>
      <c r="CO299" s="12" t="s">
        <v>37</v>
      </c>
      <c r="CP299" s="13" t="s">
        <v>37</v>
      </c>
      <c r="CR299" s="12" t="s">
        <v>37</v>
      </c>
      <c r="CS299" s="12" t="s">
        <v>37</v>
      </c>
      <c r="CT299" s="13" t="s">
        <v>37</v>
      </c>
      <c r="CX299" s="72"/>
      <c r="CY299" s="72"/>
      <c r="DA299" s="12" t="s">
        <v>37</v>
      </c>
      <c r="DB299" s="12" t="s">
        <v>37</v>
      </c>
      <c r="DC299" s="13" t="s">
        <v>37</v>
      </c>
      <c r="DE299" s="12" t="s">
        <v>37</v>
      </c>
      <c r="DF299" s="12" t="s">
        <v>37</v>
      </c>
      <c r="DG299" s="12" t="s">
        <v>37</v>
      </c>
      <c r="DM299" s="12" t="s">
        <v>47</v>
      </c>
      <c r="DN299" s="19">
        <f>4.6*("1991/10/31"-"1991/5/1")*10^4/10^6/'[1]classes-1'!$I$32</f>
        <v>11.627460214917093</v>
      </c>
      <c r="DO299" s="12">
        <f t="shared" si="1257"/>
        <v>19.919328099494376</v>
      </c>
      <c r="DP299" s="13">
        <v>6</v>
      </c>
      <c r="DQ299" s="19">
        <f t="shared" si="1255"/>
        <v>1.7131280375347564</v>
      </c>
      <c r="DR299" s="19">
        <f>-0.1*("1991/10/31"-"1991/5/1")*10^4/10^6/'[1]classes-1'!$I$30</f>
        <v>-5.3718567649972807E-2</v>
      </c>
      <c r="DS299" s="12">
        <f>SQRT((1/[2]Classes!$I$30)^2*(0.7*("1991/10/31"-"1991/5/1")*10^4/10^6)^2+(-DR299/([2]Classes!$I$30)^2)^2*([2]Classes!$J$30)^2)</f>
        <v>0.37987896850363267</v>
      </c>
      <c r="DT299" s="13">
        <v>6</v>
      </c>
      <c r="DU299" s="19">
        <f t="shared" si="1256"/>
        <v>7.0716511091454048</v>
      </c>
      <c r="DV299" s="19">
        <f t="shared" si="1211"/>
        <v>-11.681178782567066</v>
      </c>
      <c r="DW299" s="12">
        <f t="shared" si="1212"/>
        <v>14.087653104155027</v>
      </c>
      <c r="DX299" s="72">
        <f t="shared" si="1251"/>
        <v>66.153989994336257</v>
      </c>
      <c r="DY299" s="72">
        <f t="shared" si="1252"/>
        <v>66.153989994336271</v>
      </c>
      <c r="EA299" s="19" t="s">
        <v>37</v>
      </c>
      <c r="EB299" s="19" t="s">
        <v>37</v>
      </c>
      <c r="EC299" s="72" t="s">
        <v>37</v>
      </c>
      <c r="EE299" s="19" t="s">
        <v>37</v>
      </c>
      <c r="EF299" s="19" t="s">
        <v>37</v>
      </c>
      <c r="EG299" s="12" t="s">
        <v>37</v>
      </c>
      <c r="EM299" s="12" t="s">
        <v>39</v>
      </c>
      <c r="EN299" s="12">
        <v>-20.8</v>
      </c>
      <c r="EO299" s="50">
        <f t="shared" si="1241"/>
        <v>8.475925094026902</v>
      </c>
      <c r="EP299" s="13">
        <v>1</v>
      </c>
      <c r="ER299" s="12">
        <v>-31.5</v>
      </c>
      <c r="ES299" s="50">
        <f t="shared" si="1242"/>
        <v>7.1446426855396163</v>
      </c>
      <c r="ET299" s="13">
        <v>1</v>
      </c>
      <c r="EV299" s="19">
        <f t="shared" si="1233"/>
        <v>-10.7</v>
      </c>
      <c r="EW299" s="12" t="e">
        <f t="shared" si="1234"/>
        <v>#DIV/0!</v>
      </c>
      <c r="EX299" s="19" t="e">
        <f t="shared" si="1235"/>
        <v>#DIV/0!</v>
      </c>
      <c r="EY299" s="19">
        <f t="shared" si="1236"/>
        <v>122.88722530358969</v>
      </c>
      <c r="FB299" s="12" t="s">
        <v>37</v>
      </c>
      <c r="FC299" s="12" t="s">
        <v>37</v>
      </c>
      <c r="FD299" s="12" t="s">
        <v>37</v>
      </c>
      <c r="FE299" s="12" t="s">
        <v>37</v>
      </c>
      <c r="FF299" s="20" t="s">
        <v>37</v>
      </c>
      <c r="FG299" s="12" t="s">
        <v>37</v>
      </c>
      <c r="FI299" s="12" t="s">
        <v>37</v>
      </c>
      <c r="FJ299" s="12" t="s">
        <v>37</v>
      </c>
      <c r="FK299" s="12" t="s">
        <v>37</v>
      </c>
      <c r="FL299" s="12" t="s">
        <v>37</v>
      </c>
      <c r="FM299" s="12" t="s">
        <v>37</v>
      </c>
      <c r="FN299" s="12" t="s">
        <v>37</v>
      </c>
      <c r="FP299" s="12" t="s">
        <v>37</v>
      </c>
      <c r="FQ299" s="12" t="s">
        <v>37</v>
      </c>
      <c r="FR299" s="12" t="s">
        <v>37</v>
      </c>
      <c r="FS299" s="12" t="s">
        <v>37</v>
      </c>
      <c r="FT299" s="12" t="s">
        <v>37</v>
      </c>
      <c r="FU299" s="12" t="s">
        <v>37</v>
      </c>
      <c r="FW299" s="12" t="s">
        <v>37</v>
      </c>
      <c r="FX299" s="12" t="s">
        <v>37</v>
      </c>
      <c r="FY299" s="12" t="s">
        <v>37</v>
      </c>
      <c r="FZ299" s="12" t="s">
        <v>37</v>
      </c>
      <c r="GA299" s="12" t="s">
        <v>37</v>
      </c>
      <c r="GB299" s="12" t="s">
        <v>37</v>
      </c>
      <c r="GO299" s="12" t="s">
        <v>660</v>
      </c>
      <c r="GP299" s="12" t="s">
        <v>372</v>
      </c>
      <c r="GQ299" s="12">
        <v>13</v>
      </c>
      <c r="GR299" s="50">
        <f t="shared" si="1243"/>
        <v>1.2418842480306649</v>
      </c>
      <c r="GS299" s="13">
        <v>1</v>
      </c>
      <c r="GU299" s="12">
        <v>10.5</v>
      </c>
      <c r="GV299" s="50">
        <f t="shared" si="1244"/>
        <v>1.1175799141965852</v>
      </c>
      <c r="GW299" s="13">
        <v>1</v>
      </c>
      <c r="GY299" s="19">
        <f t="shared" si="1253"/>
        <v>-0.21357410029805904</v>
      </c>
      <c r="GZ299" s="19">
        <f t="shared" si="1254"/>
        <v>2.045455726748819E-2</v>
      </c>
      <c r="IK299" s="12" t="s">
        <v>37</v>
      </c>
      <c r="IL299" s="12" t="s">
        <v>37</v>
      </c>
      <c r="IM299" s="12" t="s">
        <v>37</v>
      </c>
      <c r="IO299" s="12" t="s">
        <v>37</v>
      </c>
      <c r="IP299" s="12" t="s">
        <v>37</v>
      </c>
      <c r="IQ299" s="12" t="s">
        <v>37</v>
      </c>
      <c r="IV299" s="32" t="s">
        <v>345</v>
      </c>
      <c r="IW299" s="12">
        <v>4.5999999999999996</v>
      </c>
      <c r="IX299" s="12">
        <v>0.2</v>
      </c>
      <c r="IY299" s="13">
        <v>6</v>
      </c>
      <c r="IZ299" s="19">
        <f t="shared" si="1247"/>
        <v>4.3478260869565223E-2</v>
      </c>
      <c r="JA299" s="13"/>
      <c r="JB299" s="13"/>
      <c r="JH299" s="12" t="s">
        <v>37</v>
      </c>
      <c r="JI299" s="12" t="s">
        <v>37</v>
      </c>
      <c r="JJ299" s="13" t="s">
        <v>37</v>
      </c>
      <c r="JL299" s="12" t="s">
        <v>37</v>
      </c>
      <c r="JM299" s="12" t="s">
        <v>37</v>
      </c>
      <c r="JN299" s="12" t="s">
        <v>37</v>
      </c>
      <c r="JS299" s="12" t="s">
        <v>37</v>
      </c>
      <c r="JT299" s="12" t="s">
        <v>37</v>
      </c>
      <c r="JU299" s="13" t="s">
        <v>37</v>
      </c>
      <c r="JW299" s="12" t="s">
        <v>37</v>
      </c>
      <c r="JX299" s="12" t="s">
        <v>37</v>
      </c>
      <c r="JY299" s="12" t="s">
        <v>37</v>
      </c>
      <c r="KE299" s="12" t="s">
        <v>37</v>
      </c>
      <c r="KF299" s="12" t="s">
        <v>37</v>
      </c>
      <c r="KG299" s="13" t="s">
        <v>37</v>
      </c>
      <c r="KH299" s="12" t="s">
        <v>37</v>
      </c>
      <c r="KI299" s="12" t="s">
        <v>37</v>
      </c>
      <c r="KJ299" s="12" t="s">
        <v>37</v>
      </c>
      <c r="KM299" s="12" t="s">
        <v>37</v>
      </c>
      <c r="KN299" s="12" t="s">
        <v>37</v>
      </c>
      <c r="KO299" s="11" t="s">
        <v>37</v>
      </c>
      <c r="KQ299" s="12" t="s">
        <v>37</v>
      </c>
      <c r="KR299" s="12" t="s">
        <v>37</v>
      </c>
      <c r="KS299" s="12" t="s">
        <v>37</v>
      </c>
      <c r="KX299" s="12" t="s">
        <v>37</v>
      </c>
      <c r="KY299" s="12" t="s">
        <v>37</v>
      </c>
      <c r="KZ299" s="12" t="s">
        <v>37</v>
      </c>
      <c r="LB299" s="12" t="s">
        <v>37</v>
      </c>
      <c r="LC299" s="12" t="s">
        <v>37</v>
      </c>
      <c r="LD299" s="12" t="s">
        <v>37</v>
      </c>
      <c r="LI299" s="12" t="s">
        <v>37</v>
      </c>
      <c r="LJ299" s="12" t="s">
        <v>37</v>
      </c>
      <c r="LK299" s="12" t="s">
        <v>37</v>
      </c>
      <c r="LM299" s="12" t="s">
        <v>37</v>
      </c>
      <c r="LN299" s="12" t="s">
        <v>37</v>
      </c>
      <c r="LO299" s="12" t="s">
        <v>37</v>
      </c>
      <c r="LU299" s="12" t="s">
        <v>37</v>
      </c>
      <c r="LV299" s="12" t="s">
        <v>37</v>
      </c>
      <c r="LW299" s="12" t="s">
        <v>37</v>
      </c>
      <c r="LY299" s="12" t="s">
        <v>37</v>
      </c>
      <c r="LZ299" s="12" t="s">
        <v>37</v>
      </c>
      <c r="MA299" s="12" t="s">
        <v>37</v>
      </c>
      <c r="MF299" s="12" t="s">
        <v>37</v>
      </c>
      <c r="MG299" s="12" t="s">
        <v>37</v>
      </c>
      <c r="MH299" s="12" t="s">
        <v>37</v>
      </c>
      <c r="MJ299" s="12" t="s">
        <v>37</v>
      </c>
      <c r="MK299" s="12" t="s">
        <v>37</v>
      </c>
      <c r="ML299" s="12" t="s">
        <v>37</v>
      </c>
      <c r="MQ299" s="12" t="s">
        <v>37</v>
      </c>
      <c r="MR299" s="12" t="s">
        <v>37</v>
      </c>
      <c r="MS299" s="12" t="s">
        <v>37</v>
      </c>
      <c r="MU299" s="12" t="s">
        <v>37</v>
      </c>
      <c r="MV299" s="12" t="s">
        <v>37</v>
      </c>
      <c r="MW299" s="12" t="s">
        <v>37</v>
      </c>
      <c r="NC299" s="12" t="s">
        <v>37</v>
      </c>
      <c r="ND299" s="12" t="s">
        <v>37</v>
      </c>
      <c r="NE299" s="12" t="s">
        <v>37</v>
      </c>
      <c r="NG299" s="12" t="s">
        <v>37</v>
      </c>
      <c r="NH299" s="12" t="s">
        <v>37</v>
      </c>
      <c r="NI299" s="12" t="s">
        <v>37</v>
      </c>
      <c r="NO299" s="12" t="s">
        <v>37</v>
      </c>
      <c r="NP299" s="12" t="s">
        <v>37</v>
      </c>
      <c r="NQ299" s="12" t="s">
        <v>37</v>
      </c>
      <c r="NS299" s="12" t="s">
        <v>37</v>
      </c>
      <c r="NT299" s="12" t="s">
        <v>37</v>
      </c>
      <c r="NU299" s="12" t="s">
        <v>37</v>
      </c>
      <c r="OA299" s="12" t="s">
        <v>37</v>
      </c>
      <c r="OB299" s="12" t="s">
        <v>37</v>
      </c>
      <c r="OC299" s="12" t="s">
        <v>37</v>
      </c>
      <c r="OD299" s="12"/>
      <c r="OE299" s="12" t="s">
        <v>37</v>
      </c>
      <c r="OF299" s="12" t="s">
        <v>37</v>
      </c>
      <c r="OG299" s="12" t="s">
        <v>37</v>
      </c>
      <c r="OH299" s="12"/>
      <c r="OI299" s="12"/>
      <c r="OJ299" s="12"/>
      <c r="OM299" s="12" t="s">
        <v>37</v>
      </c>
      <c r="ON299" s="12" t="s">
        <v>37</v>
      </c>
      <c r="OO299" s="12" t="s">
        <v>37</v>
      </c>
      <c r="OP299" s="12" t="s">
        <v>37</v>
      </c>
      <c r="OQ299" s="12" t="s">
        <v>37</v>
      </c>
      <c r="OR299" s="12" t="s">
        <v>37</v>
      </c>
      <c r="OS299" s="12"/>
      <c r="OT299" s="12"/>
      <c r="OW299" s="12" t="s">
        <v>37</v>
      </c>
      <c r="OX299" s="12" t="s">
        <v>37</v>
      </c>
      <c r="OY299" s="13" t="s">
        <v>37</v>
      </c>
      <c r="OZ299" s="12" t="s">
        <v>37</v>
      </c>
      <c r="PA299" s="12" t="s">
        <v>37</v>
      </c>
      <c r="PB299" s="13" t="s">
        <v>37</v>
      </c>
      <c r="PG299" s="12" t="s">
        <v>37</v>
      </c>
      <c r="PH299" s="12" t="s">
        <v>37</v>
      </c>
      <c r="PI299" s="12" t="s">
        <v>37</v>
      </c>
      <c r="PJ299" s="12" t="s">
        <v>37</v>
      </c>
      <c r="PK299" s="12" t="s">
        <v>37</v>
      </c>
      <c r="PL299" s="12" t="s">
        <v>37</v>
      </c>
      <c r="PM299" s="12"/>
      <c r="PN299" s="12"/>
      <c r="PQ299" s="12" t="s">
        <v>37</v>
      </c>
      <c r="PR299" s="12" t="s">
        <v>37</v>
      </c>
      <c r="PS299" s="12" t="s">
        <v>37</v>
      </c>
      <c r="PT299" s="12" t="s">
        <v>37</v>
      </c>
      <c r="PU299" s="12" t="s">
        <v>37</v>
      </c>
      <c r="PV299" s="12" t="s">
        <v>37</v>
      </c>
      <c r="PW299" s="12"/>
      <c r="PX299" s="12"/>
      <c r="PZ299" s="12" t="s">
        <v>37</v>
      </c>
      <c r="QA299" s="12" t="s">
        <v>37</v>
      </c>
      <c r="QB299" s="12" t="s">
        <v>37</v>
      </c>
      <c r="QD299" s="12" t="s">
        <v>37</v>
      </c>
      <c r="QE299" s="12" t="s">
        <v>37</v>
      </c>
      <c r="QF299" s="12" t="s">
        <v>37</v>
      </c>
      <c r="QK299" s="12" t="s">
        <v>37</v>
      </c>
      <c r="QL299" s="12" t="s">
        <v>37</v>
      </c>
      <c r="QM299" s="12" t="s">
        <v>37</v>
      </c>
      <c r="QN299" s="12" t="s">
        <v>37</v>
      </c>
      <c r="QO299" s="12" t="s">
        <v>37</v>
      </c>
      <c r="QP299" s="12" t="s">
        <v>37</v>
      </c>
      <c r="QQ299" s="12"/>
      <c r="QR299" s="12"/>
      <c r="QU299" s="12" t="s">
        <v>37</v>
      </c>
      <c r="QV299" s="12" t="s">
        <v>37</v>
      </c>
      <c r="QW299" s="12" t="s">
        <v>37</v>
      </c>
      <c r="QX299" s="12" t="s">
        <v>37</v>
      </c>
      <c r="QY299" s="12" t="s">
        <v>37</v>
      </c>
      <c r="QZ299" s="12" t="s">
        <v>37</v>
      </c>
      <c r="RC299" s="12" t="s">
        <v>37</v>
      </c>
      <c r="RD299" s="12" t="s">
        <v>37</v>
      </c>
      <c r="RE299" s="13" t="s">
        <v>37</v>
      </c>
      <c r="RF299" s="12" t="s">
        <v>37</v>
      </c>
      <c r="RG299" s="12" t="s">
        <v>37</v>
      </c>
      <c r="RH299" s="13" t="s">
        <v>37</v>
      </c>
      <c r="RK299" s="12" t="s">
        <v>37</v>
      </c>
      <c r="RL299" s="12" t="s">
        <v>37</v>
      </c>
      <c r="RM299" s="11" t="s">
        <v>37</v>
      </c>
      <c r="RN299" s="12" t="s">
        <v>37</v>
      </c>
      <c r="RO299" s="12" t="s">
        <v>37</v>
      </c>
      <c r="RP299" s="11" t="s">
        <v>37</v>
      </c>
      <c r="RS299" s="12" t="s">
        <v>37</v>
      </c>
      <c r="RT299" s="12" t="s">
        <v>37</v>
      </c>
      <c r="RU299" s="12" t="s">
        <v>37</v>
      </c>
      <c r="RV299" s="12" t="s">
        <v>37</v>
      </c>
      <c r="RW299" s="12" t="s">
        <v>37</v>
      </c>
      <c r="RX299" s="12" t="s">
        <v>37</v>
      </c>
      <c r="SA299" s="12" t="s">
        <v>37</v>
      </c>
      <c r="SB299" s="12" t="s">
        <v>37</v>
      </c>
      <c r="SC299" s="12" t="s">
        <v>37</v>
      </c>
      <c r="SD299" s="12" t="s">
        <v>37</v>
      </c>
      <c r="SE299" s="12" t="s">
        <v>37</v>
      </c>
      <c r="SF299" s="12" t="s">
        <v>37</v>
      </c>
      <c r="SI299" s="12" t="s">
        <v>37</v>
      </c>
      <c r="SJ299" s="12" t="s">
        <v>37</v>
      </c>
      <c r="SK299" s="13" t="s">
        <v>37</v>
      </c>
      <c r="SM299" s="12" t="s">
        <v>37</v>
      </c>
      <c r="SN299" s="12" t="s">
        <v>37</v>
      </c>
      <c r="SO299" s="13" t="s">
        <v>37</v>
      </c>
      <c r="SU299" s="12" t="s">
        <v>37</v>
      </c>
      <c r="SV299" s="12" t="s">
        <v>37</v>
      </c>
      <c r="SW299" s="12" t="s">
        <v>37</v>
      </c>
      <c r="SX299" s="12" t="s">
        <v>37</v>
      </c>
      <c r="SY299" s="12" t="s">
        <v>37</v>
      </c>
      <c r="SZ299" s="12" t="s">
        <v>37</v>
      </c>
      <c r="TA299" s="12"/>
      <c r="TB299" s="12"/>
      <c r="TE299" s="12" t="s">
        <v>37</v>
      </c>
      <c r="TF299" s="12" t="s">
        <v>37</v>
      </c>
      <c r="TG299" s="12" t="s">
        <v>37</v>
      </c>
      <c r="TH299" s="12" t="s">
        <v>37</v>
      </c>
      <c r="TI299" s="12" t="s">
        <v>37</v>
      </c>
      <c r="TJ299" s="12" t="s">
        <v>37</v>
      </c>
      <c r="TK299" s="12"/>
      <c r="TL299" s="12"/>
      <c r="TO299" s="12" t="s">
        <v>37</v>
      </c>
      <c r="TP299" s="12" t="s">
        <v>37</v>
      </c>
      <c r="TQ299" s="12" t="s">
        <v>37</v>
      </c>
      <c r="TR299" s="12" t="s">
        <v>37</v>
      </c>
      <c r="TS299" s="12" t="s">
        <v>37</v>
      </c>
      <c r="TT299" s="12" t="s">
        <v>37</v>
      </c>
      <c r="TU299" s="12"/>
      <c r="TV299" s="12"/>
      <c r="TY299" s="12" t="s">
        <v>37</v>
      </c>
      <c r="TZ299" s="12" t="s">
        <v>37</v>
      </c>
      <c r="UA299" s="12" t="s">
        <v>37</v>
      </c>
      <c r="UB299" s="12" t="s">
        <v>37</v>
      </c>
      <c r="UC299" s="12" t="s">
        <v>37</v>
      </c>
      <c r="UD299" s="12" t="s">
        <v>37</v>
      </c>
      <c r="UE299" s="12"/>
      <c r="UF299" s="12"/>
      <c r="UI299" s="12" t="s">
        <v>37</v>
      </c>
      <c r="UJ299" s="12" t="s">
        <v>37</v>
      </c>
      <c r="UK299" s="12" t="s">
        <v>37</v>
      </c>
      <c r="UL299" s="12" t="s">
        <v>37</v>
      </c>
      <c r="UM299" s="12" t="s">
        <v>37</v>
      </c>
      <c r="UN299" s="12" t="s">
        <v>37</v>
      </c>
      <c r="UO299" s="12"/>
      <c r="UP299" s="12"/>
      <c r="UR299" s="12" t="s">
        <v>37</v>
      </c>
      <c r="US299" s="12" t="s">
        <v>37</v>
      </c>
      <c r="UT299" s="12" t="s">
        <v>37</v>
      </c>
      <c r="UU299" s="12" t="s">
        <v>37</v>
      </c>
      <c r="UV299" s="12" t="s">
        <v>37</v>
      </c>
      <c r="UW299" s="12" t="s">
        <v>37</v>
      </c>
      <c r="UX299" s="12"/>
      <c r="UY299" s="12"/>
      <c r="VB299" s="12" t="s">
        <v>37</v>
      </c>
      <c r="VC299" s="12" t="s">
        <v>37</v>
      </c>
      <c r="VD299" s="12" t="s">
        <v>37</v>
      </c>
      <c r="VE299" s="12" t="s">
        <v>37</v>
      </c>
      <c r="VF299" s="12" t="s">
        <v>37</v>
      </c>
      <c r="VG299" s="12" t="s">
        <v>37</v>
      </c>
      <c r="VI299" s="12" t="s">
        <v>37</v>
      </c>
      <c r="VJ299" s="12" t="s">
        <v>37</v>
      </c>
      <c r="VK299" s="12" t="s">
        <v>37</v>
      </c>
      <c r="VL299" s="12" t="s">
        <v>37</v>
      </c>
      <c r="VM299" s="12" t="s">
        <v>37</v>
      </c>
      <c r="VN299" s="12" t="s">
        <v>37</v>
      </c>
      <c r="VQ299" s="12" t="s">
        <v>37</v>
      </c>
      <c r="VR299" s="12" t="s">
        <v>37</v>
      </c>
      <c r="VS299" s="12" t="s">
        <v>37</v>
      </c>
      <c r="VT299" s="12" t="s">
        <v>37</v>
      </c>
      <c r="VU299" s="12" t="s">
        <v>37</v>
      </c>
      <c r="VV299" s="12" t="s">
        <v>37</v>
      </c>
      <c r="VW299" s="12"/>
      <c r="VX299" s="12"/>
      <c r="WA299" s="12" t="s">
        <v>37</v>
      </c>
      <c r="WB299" s="12" t="s">
        <v>37</v>
      </c>
      <c r="WC299" s="12" t="s">
        <v>37</v>
      </c>
      <c r="WD299" s="12" t="s">
        <v>37</v>
      </c>
      <c r="WE299" s="12" t="s">
        <v>37</v>
      </c>
      <c r="WF299" s="12" t="s">
        <v>37</v>
      </c>
    </row>
    <row r="300" spans="1:604" ht="18" customHeight="1" x14ac:dyDescent="0.3">
      <c r="A300" s="11">
        <v>70</v>
      </c>
      <c r="B300" s="16" t="s">
        <v>399</v>
      </c>
      <c r="C300" s="12" t="s">
        <v>32</v>
      </c>
      <c r="D300" s="12" t="s">
        <v>54</v>
      </c>
      <c r="E300" s="40" t="s">
        <v>37</v>
      </c>
      <c r="F300" s="14">
        <v>0</v>
      </c>
      <c r="G300" s="14">
        <v>0</v>
      </c>
      <c r="H300" s="12" t="s">
        <v>91</v>
      </c>
      <c r="I300" s="29">
        <v>49.05</v>
      </c>
      <c r="J300" s="29">
        <v>-80.667000000000002</v>
      </c>
      <c r="K300" s="12" t="s">
        <v>778</v>
      </c>
      <c r="L300" s="12" t="s">
        <v>779</v>
      </c>
      <c r="M300" s="13" t="s">
        <v>37</v>
      </c>
      <c r="N300" s="14">
        <v>0.6</v>
      </c>
      <c r="O300" s="14">
        <v>885</v>
      </c>
      <c r="P300" s="14" t="s">
        <v>16</v>
      </c>
      <c r="Q300" s="75">
        <v>7</v>
      </c>
      <c r="R300" s="11" t="s">
        <v>1000</v>
      </c>
      <c r="S300" s="12" t="s">
        <v>93</v>
      </c>
      <c r="T300" s="12" t="s">
        <v>141</v>
      </c>
      <c r="U300" s="12" t="s">
        <v>164</v>
      </c>
      <c r="V300" s="12" t="s">
        <v>275</v>
      </c>
      <c r="W300" s="23" t="s">
        <v>404</v>
      </c>
      <c r="X300" s="12" t="s">
        <v>281</v>
      </c>
      <c r="Y300" s="12" t="s">
        <v>37</v>
      </c>
      <c r="Z300" s="12" t="s">
        <v>37</v>
      </c>
      <c r="AA300" s="32" t="s">
        <v>345</v>
      </c>
      <c r="AB300" s="12">
        <v>4.5999999999999996</v>
      </c>
      <c r="AE300" s="12" t="s">
        <v>37</v>
      </c>
      <c r="AH300" s="12" t="s">
        <v>37</v>
      </c>
      <c r="AK300" s="12" t="s">
        <v>37</v>
      </c>
      <c r="AL300" s="32" t="s">
        <v>400</v>
      </c>
      <c r="AM300" s="12" t="s">
        <v>317</v>
      </c>
      <c r="AN300" s="32" t="s">
        <v>879</v>
      </c>
      <c r="AO300" s="12" t="s">
        <v>37</v>
      </c>
      <c r="AP300" s="12" t="s">
        <v>401</v>
      </c>
      <c r="AQ300" s="12" t="s">
        <v>975</v>
      </c>
      <c r="AT300" s="12" t="s">
        <v>326</v>
      </c>
      <c r="AU300" s="12" t="s">
        <v>326</v>
      </c>
      <c r="AV300" s="13" t="s">
        <v>326</v>
      </c>
      <c r="AX300" s="12" t="s">
        <v>326</v>
      </c>
      <c r="AY300" s="12" t="s">
        <v>326</v>
      </c>
      <c r="AZ300" s="13" t="s">
        <v>326</v>
      </c>
      <c r="BE300" s="12" t="s">
        <v>326</v>
      </c>
      <c r="BF300" s="12" t="s">
        <v>326</v>
      </c>
      <c r="BG300" s="12" t="s">
        <v>326</v>
      </c>
      <c r="BI300" s="12" t="s">
        <v>326</v>
      </c>
      <c r="BJ300" s="12" t="s">
        <v>326</v>
      </c>
      <c r="BK300" s="12" t="s">
        <v>326</v>
      </c>
      <c r="BP300" s="12" t="s">
        <v>37</v>
      </c>
      <c r="BQ300" s="12" t="s">
        <v>37</v>
      </c>
      <c r="BR300" s="13" t="s">
        <v>37</v>
      </c>
      <c r="BT300" s="12" t="s">
        <v>37</v>
      </c>
      <c r="BU300" s="12" t="s">
        <v>37</v>
      </c>
      <c r="BV300" s="12" t="s">
        <v>37</v>
      </c>
      <c r="CA300" s="12" t="s">
        <v>37</v>
      </c>
      <c r="CB300" s="12" t="s">
        <v>37</v>
      </c>
      <c r="CC300" s="13" t="s">
        <v>37</v>
      </c>
      <c r="CE300" s="12" t="s">
        <v>37</v>
      </c>
      <c r="CF300" s="12" t="s">
        <v>37</v>
      </c>
      <c r="CG300" s="12" t="s">
        <v>37</v>
      </c>
      <c r="CN300" s="12" t="s">
        <v>37</v>
      </c>
      <c r="CO300" s="12" t="s">
        <v>37</v>
      </c>
      <c r="CP300" s="13" t="s">
        <v>37</v>
      </c>
      <c r="CR300" s="12" t="s">
        <v>37</v>
      </c>
      <c r="CS300" s="12" t="s">
        <v>37</v>
      </c>
      <c r="CT300" s="13" t="s">
        <v>37</v>
      </c>
      <c r="CX300" s="72"/>
      <c r="CY300" s="72"/>
      <c r="DA300" s="12" t="s">
        <v>37</v>
      </c>
      <c r="DB300" s="12" t="s">
        <v>37</v>
      </c>
      <c r="DC300" s="13" t="s">
        <v>37</v>
      </c>
      <c r="DE300" s="12" t="s">
        <v>37</v>
      </c>
      <c r="DF300" s="12" t="s">
        <v>37</v>
      </c>
      <c r="DG300" s="12" t="s">
        <v>37</v>
      </c>
      <c r="DM300" s="12" t="s">
        <v>47</v>
      </c>
      <c r="DN300" s="19">
        <f>5.2*("1991/10/31"-"1991/5/1")*10^4/10^6/'[1]classes-1'!$I$32</f>
        <v>13.144085460341062</v>
      </c>
      <c r="DO300" s="12">
        <f>SQRT((1/[2]Classes!$I$32)^2*(8.1*("1991/10/31"-"1991/5/1")*10^4/10^6)^2+(-DN300/([2]Classes!$I$32)^2)*([2]Classes!$J$32)^2)</f>
        <v>20.285444054594439</v>
      </c>
      <c r="DP300" s="13">
        <v>6</v>
      </c>
      <c r="DQ300" s="19">
        <f t="shared" si="1255"/>
        <v>1.5433134633672774</v>
      </c>
      <c r="DR300" s="19">
        <f>0.1*("1991/10/31"-"1991/5/1")*10^4/10^6/'[1]classes-1'!$I$35</f>
        <v>5.3718567649972807E-2</v>
      </c>
      <c r="DS300" s="12">
        <f>SQRT((1/[2]Classes!$I$35)^2*(0.9*("1991/10/31"-"1991/5/1")*10^4/10^6)^2+(-DR300/([2]Classes!$I$35)^2)^2*([2]Classes!$J$35)^2)</f>
        <v>0.48646678719420772</v>
      </c>
      <c r="DT300" s="13">
        <v>6</v>
      </c>
      <c r="DU300" s="19">
        <f t="shared" si="1256"/>
        <v>9.0558406241208473</v>
      </c>
      <c r="DV300" s="19">
        <f t="shared" si="1211"/>
        <v>-13.090366892691089</v>
      </c>
      <c r="DW300" s="12">
        <f t="shared" si="1212"/>
        <v>14.348099010446019</v>
      </c>
      <c r="DX300" s="72">
        <f t="shared" si="1251"/>
        <v>68.622648404520675</v>
      </c>
      <c r="DY300" s="72">
        <f t="shared" si="1252"/>
        <v>68.62264840452066</v>
      </c>
      <c r="EA300" s="19" t="s">
        <v>37</v>
      </c>
      <c r="EB300" s="19" t="s">
        <v>37</v>
      </c>
      <c r="EC300" s="72" t="s">
        <v>37</v>
      </c>
      <c r="EE300" s="19" t="s">
        <v>37</v>
      </c>
      <c r="EF300" s="19" t="s">
        <v>37</v>
      </c>
      <c r="EG300" s="12" t="s">
        <v>37</v>
      </c>
      <c r="EM300" s="12" t="s">
        <v>39</v>
      </c>
      <c r="EN300" s="12">
        <v>-20.8</v>
      </c>
      <c r="EO300" s="50">
        <f t="shared" si="1241"/>
        <v>8.475925094026902</v>
      </c>
      <c r="EP300" s="13">
        <v>1</v>
      </c>
      <c r="ER300" s="12">
        <v>-48.2</v>
      </c>
      <c r="ES300" s="50">
        <f t="shared" si="1242"/>
        <v>10.93243737914316</v>
      </c>
      <c r="ET300" s="13">
        <v>1</v>
      </c>
      <c r="EV300" s="19">
        <f t="shared" si="1233"/>
        <v>-27.400000000000002</v>
      </c>
      <c r="EW300" s="12" t="e">
        <f t="shared" si="1234"/>
        <v>#DIV/0!</v>
      </c>
      <c r="EX300" s="19" t="e">
        <f t="shared" si="1235"/>
        <v>#DIV/0!</v>
      </c>
      <c r="EY300" s="19">
        <f t="shared" si="1236"/>
        <v>191.35949324844151</v>
      </c>
      <c r="FB300" s="12" t="s">
        <v>37</v>
      </c>
      <c r="FC300" s="12" t="s">
        <v>37</v>
      </c>
      <c r="FD300" s="12" t="s">
        <v>37</v>
      </c>
      <c r="FE300" s="12" t="s">
        <v>37</v>
      </c>
      <c r="FF300" s="20" t="s">
        <v>37</v>
      </c>
      <c r="FG300" s="12" t="s">
        <v>37</v>
      </c>
      <c r="FI300" s="12" t="s">
        <v>37</v>
      </c>
      <c r="FJ300" s="12" t="s">
        <v>37</v>
      </c>
      <c r="FK300" s="12" t="s">
        <v>37</v>
      </c>
      <c r="FL300" s="12" t="s">
        <v>37</v>
      </c>
      <c r="FM300" s="12" t="s">
        <v>37</v>
      </c>
      <c r="FN300" s="12" t="s">
        <v>37</v>
      </c>
      <c r="FP300" s="12" t="s">
        <v>37</v>
      </c>
      <c r="FQ300" s="12" t="s">
        <v>37</v>
      </c>
      <c r="FR300" s="12" t="s">
        <v>37</v>
      </c>
      <c r="FS300" s="12" t="s">
        <v>37</v>
      </c>
      <c r="FT300" s="12" t="s">
        <v>37</v>
      </c>
      <c r="FU300" s="12" t="s">
        <v>37</v>
      </c>
      <c r="FW300" s="12" t="s">
        <v>37</v>
      </c>
      <c r="FX300" s="12" t="s">
        <v>37</v>
      </c>
      <c r="FY300" s="12" t="s">
        <v>37</v>
      </c>
      <c r="FZ300" s="12" t="s">
        <v>37</v>
      </c>
      <c r="GA300" s="12" t="s">
        <v>37</v>
      </c>
      <c r="GB300" s="12" t="s">
        <v>37</v>
      </c>
      <c r="GO300" s="12" t="s">
        <v>660</v>
      </c>
      <c r="GP300" s="12" t="s">
        <v>372</v>
      </c>
      <c r="GQ300" s="12">
        <v>13</v>
      </c>
      <c r="GR300" s="50">
        <f t="shared" si="1243"/>
        <v>1.2418842480306649</v>
      </c>
      <c r="GS300" s="13">
        <v>1</v>
      </c>
      <c r="GU300" s="12">
        <v>12.5</v>
      </c>
      <c r="GV300" s="50">
        <f t="shared" si="1244"/>
        <v>1.3304522788054587</v>
      </c>
      <c r="GW300" s="13">
        <v>1</v>
      </c>
      <c r="GY300" s="19">
        <f t="shared" si="1253"/>
        <v>-3.9220713153281267E-2</v>
      </c>
      <c r="GZ300" s="19">
        <f t="shared" si="1254"/>
        <v>2.0454557267488193E-2</v>
      </c>
      <c r="IK300" s="12" t="s">
        <v>37</v>
      </c>
      <c r="IL300" s="12" t="s">
        <v>37</v>
      </c>
      <c r="IM300" s="12" t="s">
        <v>37</v>
      </c>
      <c r="IO300" s="12" t="s">
        <v>37</v>
      </c>
      <c r="IP300" s="12" t="s">
        <v>37</v>
      </c>
      <c r="IQ300" s="12" t="s">
        <v>37</v>
      </c>
      <c r="IV300" s="32" t="s">
        <v>345</v>
      </c>
      <c r="IW300" s="12">
        <v>4.5999999999999996</v>
      </c>
      <c r="IX300" s="12">
        <v>0.2</v>
      </c>
      <c r="IY300" s="13">
        <v>6</v>
      </c>
      <c r="IZ300" s="19">
        <f t="shared" si="1247"/>
        <v>4.3478260869565223E-2</v>
      </c>
      <c r="JA300" s="13"/>
      <c r="JB300" s="13"/>
      <c r="JH300" s="12" t="s">
        <v>37</v>
      </c>
      <c r="JI300" s="12" t="s">
        <v>37</v>
      </c>
      <c r="JJ300" s="13" t="s">
        <v>37</v>
      </c>
      <c r="JL300" s="12" t="s">
        <v>37</v>
      </c>
      <c r="JM300" s="12" t="s">
        <v>37</v>
      </c>
      <c r="JN300" s="12" t="s">
        <v>37</v>
      </c>
      <c r="JS300" s="12" t="s">
        <v>37</v>
      </c>
      <c r="JT300" s="12" t="s">
        <v>37</v>
      </c>
      <c r="JU300" s="13" t="s">
        <v>37</v>
      </c>
      <c r="JW300" s="12" t="s">
        <v>37</v>
      </c>
      <c r="JX300" s="12" t="s">
        <v>37</v>
      </c>
      <c r="JY300" s="12" t="s">
        <v>37</v>
      </c>
      <c r="KE300" s="12" t="s">
        <v>37</v>
      </c>
      <c r="KF300" s="12" t="s">
        <v>37</v>
      </c>
      <c r="KG300" s="13" t="s">
        <v>37</v>
      </c>
      <c r="KH300" s="12" t="s">
        <v>37</v>
      </c>
      <c r="KI300" s="12" t="s">
        <v>37</v>
      </c>
      <c r="KJ300" s="12" t="s">
        <v>37</v>
      </c>
      <c r="KM300" s="12" t="s">
        <v>37</v>
      </c>
      <c r="KN300" s="12" t="s">
        <v>37</v>
      </c>
      <c r="KO300" s="11" t="s">
        <v>37</v>
      </c>
      <c r="KQ300" s="12" t="s">
        <v>37</v>
      </c>
      <c r="KR300" s="12" t="s">
        <v>37</v>
      </c>
      <c r="KS300" s="12" t="s">
        <v>37</v>
      </c>
      <c r="KX300" s="12" t="s">
        <v>37</v>
      </c>
      <c r="KY300" s="12" t="s">
        <v>37</v>
      </c>
      <c r="KZ300" s="12" t="s">
        <v>37</v>
      </c>
      <c r="LB300" s="12" t="s">
        <v>37</v>
      </c>
      <c r="LC300" s="12" t="s">
        <v>37</v>
      </c>
      <c r="LD300" s="12" t="s">
        <v>37</v>
      </c>
      <c r="LI300" s="12" t="s">
        <v>37</v>
      </c>
      <c r="LJ300" s="12" t="s">
        <v>37</v>
      </c>
      <c r="LK300" s="12" t="s">
        <v>37</v>
      </c>
      <c r="LM300" s="12" t="s">
        <v>37</v>
      </c>
      <c r="LN300" s="12" t="s">
        <v>37</v>
      </c>
      <c r="LO300" s="12" t="s">
        <v>37</v>
      </c>
      <c r="LU300" s="12" t="s">
        <v>37</v>
      </c>
      <c r="LV300" s="12" t="s">
        <v>37</v>
      </c>
      <c r="LW300" s="12" t="s">
        <v>37</v>
      </c>
      <c r="LY300" s="12" t="s">
        <v>37</v>
      </c>
      <c r="LZ300" s="12" t="s">
        <v>37</v>
      </c>
      <c r="MA300" s="12" t="s">
        <v>37</v>
      </c>
      <c r="MF300" s="12" t="s">
        <v>37</v>
      </c>
      <c r="MG300" s="12" t="s">
        <v>37</v>
      </c>
      <c r="MH300" s="12" t="s">
        <v>37</v>
      </c>
      <c r="MJ300" s="12" t="s">
        <v>37</v>
      </c>
      <c r="MK300" s="12" t="s">
        <v>37</v>
      </c>
      <c r="ML300" s="12" t="s">
        <v>37</v>
      </c>
      <c r="MQ300" s="12" t="s">
        <v>37</v>
      </c>
      <c r="MR300" s="12" t="s">
        <v>37</v>
      </c>
      <c r="MS300" s="12" t="s">
        <v>37</v>
      </c>
      <c r="MU300" s="12" t="s">
        <v>37</v>
      </c>
      <c r="MV300" s="12" t="s">
        <v>37</v>
      </c>
      <c r="MW300" s="12" t="s">
        <v>37</v>
      </c>
      <c r="NC300" s="12" t="s">
        <v>37</v>
      </c>
      <c r="ND300" s="12" t="s">
        <v>37</v>
      </c>
      <c r="NE300" s="12" t="s">
        <v>37</v>
      </c>
      <c r="NG300" s="12" t="s">
        <v>37</v>
      </c>
      <c r="NH300" s="12" t="s">
        <v>37</v>
      </c>
      <c r="NI300" s="12" t="s">
        <v>37</v>
      </c>
      <c r="NO300" s="12" t="s">
        <v>37</v>
      </c>
      <c r="NP300" s="12" t="s">
        <v>37</v>
      </c>
      <c r="NQ300" s="12" t="s">
        <v>37</v>
      </c>
      <c r="NS300" s="12" t="s">
        <v>37</v>
      </c>
      <c r="NT300" s="12" t="s">
        <v>37</v>
      </c>
      <c r="NU300" s="12" t="s">
        <v>37</v>
      </c>
      <c r="OA300" s="12" t="s">
        <v>37</v>
      </c>
      <c r="OB300" s="12" t="s">
        <v>37</v>
      </c>
      <c r="OC300" s="12" t="s">
        <v>37</v>
      </c>
      <c r="OD300" s="12"/>
      <c r="OE300" s="12" t="s">
        <v>37</v>
      </c>
      <c r="OF300" s="12" t="s">
        <v>37</v>
      </c>
      <c r="OG300" s="12" t="s">
        <v>37</v>
      </c>
      <c r="OH300" s="12"/>
      <c r="OI300" s="12"/>
      <c r="OJ300" s="12"/>
      <c r="OM300" s="12" t="s">
        <v>37</v>
      </c>
      <c r="ON300" s="12" t="s">
        <v>37</v>
      </c>
      <c r="OO300" s="12" t="s">
        <v>37</v>
      </c>
      <c r="OP300" s="12" t="s">
        <v>37</v>
      </c>
      <c r="OQ300" s="12" t="s">
        <v>37</v>
      </c>
      <c r="OR300" s="12" t="s">
        <v>37</v>
      </c>
      <c r="OS300" s="12"/>
      <c r="OT300" s="12"/>
      <c r="OW300" s="12" t="s">
        <v>37</v>
      </c>
      <c r="OX300" s="12" t="s">
        <v>37</v>
      </c>
      <c r="OY300" s="13" t="s">
        <v>37</v>
      </c>
      <c r="OZ300" s="12" t="s">
        <v>37</v>
      </c>
      <c r="PA300" s="12" t="s">
        <v>37</v>
      </c>
      <c r="PB300" s="13" t="s">
        <v>37</v>
      </c>
      <c r="PG300" s="12" t="s">
        <v>37</v>
      </c>
      <c r="PH300" s="12" t="s">
        <v>37</v>
      </c>
      <c r="PI300" s="12" t="s">
        <v>37</v>
      </c>
      <c r="PJ300" s="12" t="s">
        <v>37</v>
      </c>
      <c r="PK300" s="12" t="s">
        <v>37</v>
      </c>
      <c r="PL300" s="12" t="s">
        <v>37</v>
      </c>
      <c r="PM300" s="12"/>
      <c r="PN300" s="12"/>
      <c r="PQ300" s="12" t="s">
        <v>37</v>
      </c>
      <c r="PR300" s="12" t="s">
        <v>37</v>
      </c>
      <c r="PS300" s="12" t="s">
        <v>37</v>
      </c>
      <c r="PT300" s="12" t="s">
        <v>37</v>
      </c>
      <c r="PU300" s="12" t="s">
        <v>37</v>
      </c>
      <c r="PV300" s="12" t="s">
        <v>37</v>
      </c>
      <c r="PW300" s="12"/>
      <c r="PX300" s="12"/>
      <c r="PZ300" s="12" t="s">
        <v>37</v>
      </c>
      <c r="QA300" s="12" t="s">
        <v>37</v>
      </c>
      <c r="QB300" s="12" t="s">
        <v>37</v>
      </c>
      <c r="QD300" s="12" t="s">
        <v>37</v>
      </c>
      <c r="QE300" s="12" t="s">
        <v>37</v>
      </c>
      <c r="QF300" s="12" t="s">
        <v>37</v>
      </c>
      <c r="QK300" s="12" t="s">
        <v>37</v>
      </c>
      <c r="QL300" s="12" t="s">
        <v>37</v>
      </c>
      <c r="QM300" s="12" t="s">
        <v>37</v>
      </c>
      <c r="QN300" s="12" t="s">
        <v>37</v>
      </c>
      <c r="QO300" s="12" t="s">
        <v>37</v>
      </c>
      <c r="QP300" s="12" t="s">
        <v>37</v>
      </c>
      <c r="QQ300" s="12"/>
      <c r="QR300" s="12"/>
      <c r="QU300" s="12" t="s">
        <v>37</v>
      </c>
      <c r="QV300" s="12" t="s">
        <v>37</v>
      </c>
      <c r="QW300" s="12" t="s">
        <v>37</v>
      </c>
      <c r="QX300" s="12" t="s">
        <v>37</v>
      </c>
      <c r="QY300" s="12" t="s">
        <v>37</v>
      </c>
      <c r="QZ300" s="12" t="s">
        <v>37</v>
      </c>
      <c r="RC300" s="12" t="s">
        <v>37</v>
      </c>
      <c r="RD300" s="12" t="s">
        <v>37</v>
      </c>
      <c r="RE300" s="13" t="s">
        <v>37</v>
      </c>
      <c r="RF300" s="12" t="s">
        <v>37</v>
      </c>
      <c r="RG300" s="12" t="s">
        <v>37</v>
      </c>
      <c r="RH300" s="13" t="s">
        <v>37</v>
      </c>
      <c r="RK300" s="12" t="s">
        <v>37</v>
      </c>
      <c r="RL300" s="12" t="s">
        <v>37</v>
      </c>
      <c r="RM300" s="11" t="s">
        <v>37</v>
      </c>
      <c r="RN300" s="12" t="s">
        <v>37</v>
      </c>
      <c r="RO300" s="12" t="s">
        <v>37</v>
      </c>
      <c r="RP300" s="11" t="s">
        <v>37</v>
      </c>
      <c r="RS300" s="12" t="s">
        <v>37</v>
      </c>
      <c r="RT300" s="12" t="s">
        <v>37</v>
      </c>
      <c r="RU300" s="12" t="s">
        <v>37</v>
      </c>
      <c r="RV300" s="12" t="s">
        <v>37</v>
      </c>
      <c r="RW300" s="12" t="s">
        <v>37</v>
      </c>
      <c r="RX300" s="12" t="s">
        <v>37</v>
      </c>
      <c r="SA300" s="12" t="s">
        <v>37</v>
      </c>
      <c r="SB300" s="12" t="s">
        <v>37</v>
      </c>
      <c r="SC300" s="12" t="s">
        <v>37</v>
      </c>
      <c r="SD300" s="12" t="s">
        <v>37</v>
      </c>
      <c r="SE300" s="12" t="s">
        <v>37</v>
      </c>
      <c r="SF300" s="12" t="s">
        <v>37</v>
      </c>
      <c r="SI300" s="12" t="s">
        <v>37</v>
      </c>
      <c r="SJ300" s="12" t="s">
        <v>37</v>
      </c>
      <c r="SK300" s="13" t="s">
        <v>37</v>
      </c>
      <c r="SM300" s="12" t="s">
        <v>37</v>
      </c>
      <c r="SN300" s="12" t="s">
        <v>37</v>
      </c>
      <c r="SO300" s="13" t="s">
        <v>37</v>
      </c>
      <c r="SU300" s="12" t="s">
        <v>37</v>
      </c>
      <c r="SV300" s="12" t="s">
        <v>37</v>
      </c>
      <c r="SW300" s="12" t="s">
        <v>37</v>
      </c>
      <c r="SX300" s="12" t="s">
        <v>37</v>
      </c>
      <c r="SY300" s="12" t="s">
        <v>37</v>
      </c>
      <c r="SZ300" s="12" t="s">
        <v>37</v>
      </c>
      <c r="TA300" s="12"/>
      <c r="TB300" s="12"/>
      <c r="TE300" s="12" t="s">
        <v>37</v>
      </c>
      <c r="TF300" s="12" t="s">
        <v>37</v>
      </c>
      <c r="TG300" s="12" t="s">
        <v>37</v>
      </c>
      <c r="TH300" s="12" t="s">
        <v>37</v>
      </c>
      <c r="TI300" s="12" t="s">
        <v>37</v>
      </c>
      <c r="TJ300" s="12" t="s">
        <v>37</v>
      </c>
      <c r="TK300" s="12"/>
      <c r="TL300" s="12"/>
      <c r="TO300" s="12" t="s">
        <v>37</v>
      </c>
      <c r="TP300" s="12" t="s">
        <v>37</v>
      </c>
      <c r="TQ300" s="12" t="s">
        <v>37</v>
      </c>
      <c r="TR300" s="12" t="s">
        <v>37</v>
      </c>
      <c r="TS300" s="12" t="s">
        <v>37</v>
      </c>
      <c r="TT300" s="12" t="s">
        <v>37</v>
      </c>
      <c r="TU300" s="12"/>
      <c r="TV300" s="12"/>
      <c r="TY300" s="12" t="s">
        <v>37</v>
      </c>
      <c r="TZ300" s="12" t="s">
        <v>37</v>
      </c>
      <c r="UA300" s="12" t="s">
        <v>37</v>
      </c>
      <c r="UB300" s="12" t="s">
        <v>37</v>
      </c>
      <c r="UC300" s="12" t="s">
        <v>37</v>
      </c>
      <c r="UD300" s="12" t="s">
        <v>37</v>
      </c>
      <c r="UE300" s="12"/>
      <c r="UF300" s="12"/>
      <c r="UI300" s="12" t="s">
        <v>37</v>
      </c>
      <c r="UJ300" s="12" t="s">
        <v>37</v>
      </c>
      <c r="UK300" s="12" t="s">
        <v>37</v>
      </c>
      <c r="UL300" s="12" t="s">
        <v>37</v>
      </c>
      <c r="UM300" s="12" t="s">
        <v>37</v>
      </c>
      <c r="UN300" s="12" t="s">
        <v>37</v>
      </c>
      <c r="UO300" s="12"/>
      <c r="UP300" s="12"/>
      <c r="UR300" s="12" t="s">
        <v>37</v>
      </c>
      <c r="US300" s="12" t="s">
        <v>37</v>
      </c>
      <c r="UT300" s="12" t="s">
        <v>37</v>
      </c>
      <c r="UU300" s="12" t="s">
        <v>37</v>
      </c>
      <c r="UV300" s="12" t="s">
        <v>37</v>
      </c>
      <c r="UW300" s="12" t="s">
        <v>37</v>
      </c>
      <c r="UX300" s="12"/>
      <c r="UY300" s="12"/>
      <c r="VB300" s="12" t="s">
        <v>37</v>
      </c>
      <c r="VC300" s="12" t="s">
        <v>37</v>
      </c>
      <c r="VD300" s="12" t="s">
        <v>37</v>
      </c>
      <c r="VE300" s="12" t="s">
        <v>37</v>
      </c>
      <c r="VF300" s="12" t="s">
        <v>37</v>
      </c>
      <c r="VG300" s="12" t="s">
        <v>37</v>
      </c>
      <c r="VI300" s="12" t="s">
        <v>37</v>
      </c>
      <c r="VJ300" s="12" t="s">
        <v>37</v>
      </c>
      <c r="VK300" s="12" t="s">
        <v>37</v>
      </c>
      <c r="VL300" s="12" t="s">
        <v>37</v>
      </c>
      <c r="VM300" s="12" t="s">
        <v>37</v>
      </c>
      <c r="VN300" s="12" t="s">
        <v>37</v>
      </c>
      <c r="VQ300" s="12" t="s">
        <v>37</v>
      </c>
      <c r="VR300" s="12" t="s">
        <v>37</v>
      </c>
      <c r="VS300" s="12" t="s">
        <v>37</v>
      </c>
      <c r="VT300" s="12" t="s">
        <v>37</v>
      </c>
      <c r="VU300" s="12" t="s">
        <v>37</v>
      </c>
      <c r="VV300" s="12" t="s">
        <v>37</v>
      </c>
      <c r="VW300" s="12"/>
      <c r="VX300" s="12"/>
      <c r="WA300" s="12" t="s">
        <v>37</v>
      </c>
      <c r="WB300" s="12" t="s">
        <v>37</v>
      </c>
      <c r="WC300" s="12" t="s">
        <v>37</v>
      </c>
      <c r="WD300" s="12" t="s">
        <v>37</v>
      </c>
      <c r="WE300" s="12" t="s">
        <v>37</v>
      </c>
      <c r="WF300" s="12" t="s">
        <v>37</v>
      </c>
    </row>
    <row r="301" spans="1:604" ht="18" customHeight="1" x14ac:dyDescent="0.3">
      <c r="A301" s="11">
        <v>70</v>
      </c>
      <c r="B301" s="16" t="s">
        <v>399</v>
      </c>
      <c r="C301" s="12" t="s">
        <v>32</v>
      </c>
      <c r="D301" s="12" t="s">
        <v>54</v>
      </c>
      <c r="E301" s="40" t="s">
        <v>37</v>
      </c>
      <c r="F301" s="14">
        <v>0</v>
      </c>
      <c r="G301" s="14">
        <v>0</v>
      </c>
      <c r="H301" s="12" t="s">
        <v>91</v>
      </c>
      <c r="I301" s="29">
        <v>49.05</v>
      </c>
      <c r="J301" s="29">
        <v>-80.667000000000002</v>
      </c>
      <c r="K301" s="12" t="s">
        <v>778</v>
      </c>
      <c r="L301" s="12" t="s">
        <v>779</v>
      </c>
      <c r="M301" s="13" t="s">
        <v>37</v>
      </c>
      <c r="N301" s="14">
        <v>0.6</v>
      </c>
      <c r="O301" s="14">
        <v>885</v>
      </c>
      <c r="P301" s="14" t="s">
        <v>16</v>
      </c>
      <c r="Q301" s="75">
        <v>7</v>
      </c>
      <c r="R301" s="11" t="s">
        <v>1000</v>
      </c>
      <c r="S301" s="12" t="s">
        <v>93</v>
      </c>
      <c r="T301" s="12" t="s">
        <v>141</v>
      </c>
      <c r="U301" s="12" t="s">
        <v>164</v>
      </c>
      <c r="V301" s="12" t="s">
        <v>275</v>
      </c>
      <c r="W301" s="23" t="s">
        <v>404</v>
      </c>
      <c r="X301" s="12" t="s">
        <v>281</v>
      </c>
      <c r="Y301" s="12" t="s">
        <v>37</v>
      </c>
      <c r="Z301" s="12" t="s">
        <v>37</v>
      </c>
      <c r="AA301" s="32" t="s">
        <v>345</v>
      </c>
      <c r="AB301" s="12">
        <v>4.5999999999999996</v>
      </c>
      <c r="AE301" s="12" t="s">
        <v>37</v>
      </c>
      <c r="AH301" s="12" t="s">
        <v>37</v>
      </c>
      <c r="AK301" s="12" t="s">
        <v>37</v>
      </c>
      <c r="AL301" s="32" t="s">
        <v>400</v>
      </c>
      <c r="AM301" s="12" t="s">
        <v>317</v>
      </c>
      <c r="AN301" s="32" t="s">
        <v>879</v>
      </c>
      <c r="AO301" s="12" t="s">
        <v>37</v>
      </c>
      <c r="AP301" s="12" t="s">
        <v>401</v>
      </c>
      <c r="AQ301" s="12" t="s">
        <v>975</v>
      </c>
      <c r="AT301" s="12" t="s">
        <v>326</v>
      </c>
      <c r="AU301" s="12" t="s">
        <v>326</v>
      </c>
      <c r="AV301" s="13" t="s">
        <v>326</v>
      </c>
      <c r="AX301" s="12" t="s">
        <v>326</v>
      </c>
      <c r="AY301" s="12" t="s">
        <v>326</v>
      </c>
      <c r="AZ301" s="13" t="s">
        <v>326</v>
      </c>
      <c r="BE301" s="12" t="s">
        <v>326</v>
      </c>
      <c r="BF301" s="12" t="s">
        <v>326</v>
      </c>
      <c r="BG301" s="12" t="s">
        <v>326</v>
      </c>
      <c r="BI301" s="12" t="s">
        <v>326</v>
      </c>
      <c r="BJ301" s="12" t="s">
        <v>326</v>
      </c>
      <c r="BK301" s="12" t="s">
        <v>326</v>
      </c>
      <c r="BP301" s="12" t="s">
        <v>37</v>
      </c>
      <c r="BQ301" s="12" t="s">
        <v>37</v>
      </c>
      <c r="BR301" s="13" t="s">
        <v>37</v>
      </c>
      <c r="BT301" s="12" t="s">
        <v>37</v>
      </c>
      <c r="BU301" s="12" t="s">
        <v>37</v>
      </c>
      <c r="BV301" s="12" t="s">
        <v>37</v>
      </c>
      <c r="CA301" s="12" t="s">
        <v>37</v>
      </c>
      <c r="CB301" s="12" t="s">
        <v>37</v>
      </c>
      <c r="CC301" s="13" t="s">
        <v>37</v>
      </c>
      <c r="CE301" s="12" t="s">
        <v>37</v>
      </c>
      <c r="CF301" s="12" t="s">
        <v>37</v>
      </c>
      <c r="CG301" s="12" t="s">
        <v>37</v>
      </c>
      <c r="CN301" s="12" t="s">
        <v>37</v>
      </c>
      <c r="CO301" s="12" t="s">
        <v>37</v>
      </c>
      <c r="CP301" s="13" t="s">
        <v>37</v>
      </c>
      <c r="CR301" s="12" t="s">
        <v>37</v>
      </c>
      <c r="CS301" s="12" t="s">
        <v>37</v>
      </c>
      <c r="CT301" s="13" t="s">
        <v>37</v>
      </c>
      <c r="CX301" s="72"/>
      <c r="CY301" s="72"/>
      <c r="DA301" s="12" t="s">
        <v>37</v>
      </c>
      <c r="DB301" s="12" t="s">
        <v>37</v>
      </c>
      <c r="DC301" s="13" t="s">
        <v>37</v>
      </c>
      <c r="DE301" s="12" t="s">
        <v>37</v>
      </c>
      <c r="DF301" s="12" t="s">
        <v>37</v>
      </c>
      <c r="DG301" s="12" t="s">
        <v>37</v>
      </c>
      <c r="DM301" s="12" t="s">
        <v>47</v>
      </c>
      <c r="DN301" s="19">
        <f>5.2*("1991/10/31"-"1991/5/1")*10^4/10^6/'[1]classes-1'!$I$32</f>
        <v>13.144085460341062</v>
      </c>
      <c r="DO301" s="12">
        <f>DO300</f>
        <v>20.285444054594439</v>
      </c>
      <c r="DP301" s="13">
        <v>6</v>
      </c>
      <c r="DQ301" s="19">
        <f t="shared" si="1255"/>
        <v>1.5433134633672774</v>
      </c>
      <c r="DR301" s="19">
        <f>-0.2*("1991/10/31"-"1991/5/1")*10^4/10^6/'[1]classes-1'!$I$35</f>
        <v>-0.10743713529994561</v>
      </c>
      <c r="DS301" s="12">
        <f>SQRT((1/[2]Classes!$I$35)^2*(0.5*("1991/10/31"-"1991/5/1")*10^4/10^6)^2+(-DR301/([2]Classes!$I$35)^2)^2*([2]Classes!$J$35)^2)</f>
        <v>0.28944787367187741</v>
      </c>
      <c r="DT301" s="13">
        <v>6</v>
      </c>
      <c r="DU301" s="19">
        <f t="shared" si="1256"/>
        <v>2.6941138449362949</v>
      </c>
      <c r="DV301" s="19">
        <f t="shared" si="1211"/>
        <v>-13.251522595641008</v>
      </c>
      <c r="DW301" s="12">
        <f t="shared" si="1212"/>
        <v>14.3454351722709</v>
      </c>
      <c r="DX301" s="72">
        <f t="shared" si="1251"/>
        <v>68.597170093942353</v>
      </c>
      <c r="DY301" s="72">
        <f t="shared" si="1252"/>
        <v>68.597170093942353</v>
      </c>
      <c r="EA301" s="19" t="s">
        <v>37</v>
      </c>
      <c r="EB301" s="19" t="s">
        <v>37</v>
      </c>
      <c r="EC301" s="72" t="s">
        <v>37</v>
      </c>
      <c r="EE301" s="19" t="s">
        <v>37</v>
      </c>
      <c r="EF301" s="19" t="s">
        <v>37</v>
      </c>
      <c r="EG301" s="12" t="s">
        <v>37</v>
      </c>
      <c r="EM301" s="12" t="s">
        <v>39</v>
      </c>
      <c r="EN301" s="12">
        <v>-20.8</v>
      </c>
      <c r="EO301" s="50">
        <f t="shared" si="1241"/>
        <v>8.475925094026902</v>
      </c>
      <c r="EP301" s="13">
        <v>1</v>
      </c>
      <c r="ER301" s="12">
        <v>-46</v>
      </c>
      <c r="ES301" s="50">
        <f t="shared" si="1242"/>
        <v>10.433446461422932</v>
      </c>
      <c r="ET301" s="13">
        <v>1</v>
      </c>
      <c r="EV301" s="19">
        <f t="shared" si="1233"/>
        <v>-25.2</v>
      </c>
      <c r="EW301" s="12" t="e">
        <f t="shared" si="1234"/>
        <v>#DIV/0!</v>
      </c>
      <c r="EX301" s="19" t="e">
        <f t="shared" si="1235"/>
        <v>#DIV/0!</v>
      </c>
      <c r="EY301" s="19">
        <f t="shared" si="1236"/>
        <v>180.69811126293365</v>
      </c>
      <c r="FB301" s="12" t="s">
        <v>37</v>
      </c>
      <c r="FC301" s="12" t="s">
        <v>37</v>
      </c>
      <c r="FD301" s="12" t="s">
        <v>37</v>
      </c>
      <c r="FE301" s="12" t="s">
        <v>37</v>
      </c>
      <c r="FF301" s="20" t="s">
        <v>37</v>
      </c>
      <c r="FG301" s="12" t="s">
        <v>37</v>
      </c>
      <c r="FI301" s="12" t="s">
        <v>37</v>
      </c>
      <c r="FJ301" s="12" t="s">
        <v>37</v>
      </c>
      <c r="FK301" s="12" t="s">
        <v>37</v>
      </c>
      <c r="FL301" s="12" t="s">
        <v>37</v>
      </c>
      <c r="FM301" s="12" t="s">
        <v>37</v>
      </c>
      <c r="FN301" s="12" t="s">
        <v>37</v>
      </c>
      <c r="FP301" s="12" t="s">
        <v>37</v>
      </c>
      <c r="FQ301" s="12" t="s">
        <v>37</v>
      </c>
      <c r="FR301" s="12" t="s">
        <v>37</v>
      </c>
      <c r="FS301" s="12" t="s">
        <v>37</v>
      </c>
      <c r="FT301" s="12" t="s">
        <v>37</v>
      </c>
      <c r="FU301" s="12" t="s">
        <v>37</v>
      </c>
      <c r="FW301" s="12" t="s">
        <v>37</v>
      </c>
      <c r="FX301" s="12" t="s">
        <v>37</v>
      </c>
      <c r="FY301" s="12" t="s">
        <v>37</v>
      </c>
      <c r="FZ301" s="12" t="s">
        <v>37</v>
      </c>
      <c r="GA301" s="12" t="s">
        <v>37</v>
      </c>
      <c r="GB301" s="12" t="s">
        <v>37</v>
      </c>
      <c r="GO301" s="12" t="s">
        <v>660</v>
      </c>
      <c r="GP301" s="12" t="s">
        <v>372</v>
      </c>
      <c r="GQ301" s="12">
        <v>13</v>
      </c>
      <c r="GR301" s="50">
        <f t="shared" si="1243"/>
        <v>1.2418842480306649</v>
      </c>
      <c r="GS301" s="13">
        <v>1</v>
      </c>
      <c r="GU301" s="12">
        <v>10.3</v>
      </c>
      <c r="GV301" s="50">
        <f t="shared" si="1244"/>
        <v>1.0962926777356981</v>
      </c>
      <c r="GW301" s="13">
        <v>1</v>
      </c>
      <c r="GY301" s="19">
        <f t="shared" si="1253"/>
        <v>-0.23280546222594656</v>
      </c>
      <c r="GZ301" s="19">
        <f t="shared" si="1254"/>
        <v>2.0454557267488193E-2</v>
      </c>
      <c r="IK301" s="12" t="s">
        <v>37</v>
      </c>
      <c r="IL301" s="12" t="s">
        <v>37</v>
      </c>
      <c r="IM301" s="12" t="s">
        <v>37</v>
      </c>
      <c r="IO301" s="12" t="s">
        <v>37</v>
      </c>
      <c r="IP301" s="12" t="s">
        <v>37</v>
      </c>
      <c r="IQ301" s="12" t="s">
        <v>37</v>
      </c>
      <c r="IV301" s="32" t="s">
        <v>345</v>
      </c>
      <c r="IW301" s="12">
        <v>4.5999999999999996</v>
      </c>
      <c r="IX301" s="12">
        <v>0.2</v>
      </c>
      <c r="IY301" s="13">
        <v>6</v>
      </c>
      <c r="IZ301" s="19">
        <f t="shared" si="1247"/>
        <v>4.3478260869565223E-2</v>
      </c>
      <c r="JA301" s="13"/>
      <c r="JB301" s="13"/>
      <c r="JH301" s="12" t="s">
        <v>37</v>
      </c>
      <c r="JI301" s="12" t="s">
        <v>37</v>
      </c>
      <c r="JJ301" s="13" t="s">
        <v>37</v>
      </c>
      <c r="JL301" s="12" t="s">
        <v>37</v>
      </c>
      <c r="JM301" s="12" t="s">
        <v>37</v>
      </c>
      <c r="JN301" s="12" t="s">
        <v>37</v>
      </c>
      <c r="JS301" s="12" t="s">
        <v>37</v>
      </c>
      <c r="JT301" s="12" t="s">
        <v>37</v>
      </c>
      <c r="JU301" s="13" t="s">
        <v>37</v>
      </c>
      <c r="JW301" s="12" t="s">
        <v>37</v>
      </c>
      <c r="JX301" s="12" t="s">
        <v>37</v>
      </c>
      <c r="JY301" s="12" t="s">
        <v>37</v>
      </c>
      <c r="KE301" s="12" t="s">
        <v>37</v>
      </c>
      <c r="KF301" s="12" t="s">
        <v>37</v>
      </c>
      <c r="KG301" s="13" t="s">
        <v>37</v>
      </c>
      <c r="KH301" s="12" t="s">
        <v>37</v>
      </c>
      <c r="KI301" s="12" t="s">
        <v>37</v>
      </c>
      <c r="KJ301" s="12" t="s">
        <v>37</v>
      </c>
      <c r="KM301" s="12" t="s">
        <v>37</v>
      </c>
      <c r="KN301" s="12" t="s">
        <v>37</v>
      </c>
      <c r="KO301" s="11" t="s">
        <v>37</v>
      </c>
      <c r="KQ301" s="12" t="s">
        <v>37</v>
      </c>
      <c r="KR301" s="12" t="s">
        <v>37</v>
      </c>
      <c r="KS301" s="12" t="s">
        <v>37</v>
      </c>
      <c r="KX301" s="12" t="s">
        <v>37</v>
      </c>
      <c r="KY301" s="12" t="s">
        <v>37</v>
      </c>
      <c r="KZ301" s="12" t="s">
        <v>37</v>
      </c>
      <c r="LB301" s="12" t="s">
        <v>37</v>
      </c>
      <c r="LC301" s="12" t="s">
        <v>37</v>
      </c>
      <c r="LD301" s="12" t="s">
        <v>37</v>
      </c>
      <c r="LI301" s="12" t="s">
        <v>37</v>
      </c>
      <c r="LJ301" s="12" t="s">
        <v>37</v>
      </c>
      <c r="LK301" s="12" t="s">
        <v>37</v>
      </c>
      <c r="LM301" s="12" t="s">
        <v>37</v>
      </c>
      <c r="LN301" s="12" t="s">
        <v>37</v>
      </c>
      <c r="LO301" s="12" t="s">
        <v>37</v>
      </c>
      <c r="LU301" s="12" t="s">
        <v>37</v>
      </c>
      <c r="LV301" s="12" t="s">
        <v>37</v>
      </c>
      <c r="LW301" s="12" t="s">
        <v>37</v>
      </c>
      <c r="LY301" s="12" t="s">
        <v>37</v>
      </c>
      <c r="LZ301" s="12" t="s">
        <v>37</v>
      </c>
      <c r="MA301" s="12" t="s">
        <v>37</v>
      </c>
      <c r="MF301" s="12" t="s">
        <v>37</v>
      </c>
      <c r="MG301" s="12" t="s">
        <v>37</v>
      </c>
      <c r="MH301" s="12" t="s">
        <v>37</v>
      </c>
      <c r="MJ301" s="12" t="s">
        <v>37</v>
      </c>
      <c r="MK301" s="12" t="s">
        <v>37</v>
      </c>
      <c r="ML301" s="12" t="s">
        <v>37</v>
      </c>
      <c r="MQ301" s="12" t="s">
        <v>37</v>
      </c>
      <c r="MR301" s="12" t="s">
        <v>37</v>
      </c>
      <c r="MS301" s="12" t="s">
        <v>37</v>
      </c>
      <c r="MU301" s="12" t="s">
        <v>37</v>
      </c>
      <c r="MV301" s="12" t="s">
        <v>37</v>
      </c>
      <c r="MW301" s="12" t="s">
        <v>37</v>
      </c>
      <c r="NC301" s="12" t="s">
        <v>37</v>
      </c>
      <c r="ND301" s="12" t="s">
        <v>37</v>
      </c>
      <c r="NE301" s="12" t="s">
        <v>37</v>
      </c>
      <c r="NG301" s="12" t="s">
        <v>37</v>
      </c>
      <c r="NH301" s="12" t="s">
        <v>37</v>
      </c>
      <c r="NI301" s="12" t="s">
        <v>37</v>
      </c>
      <c r="NO301" s="12" t="s">
        <v>37</v>
      </c>
      <c r="NP301" s="12" t="s">
        <v>37</v>
      </c>
      <c r="NQ301" s="12" t="s">
        <v>37</v>
      </c>
      <c r="NS301" s="12" t="s">
        <v>37</v>
      </c>
      <c r="NT301" s="12" t="s">
        <v>37</v>
      </c>
      <c r="NU301" s="12" t="s">
        <v>37</v>
      </c>
      <c r="OA301" s="12" t="s">
        <v>37</v>
      </c>
      <c r="OB301" s="12" t="s">
        <v>37</v>
      </c>
      <c r="OC301" s="12" t="s">
        <v>37</v>
      </c>
      <c r="OD301" s="12"/>
      <c r="OE301" s="12" t="s">
        <v>37</v>
      </c>
      <c r="OF301" s="12" t="s">
        <v>37</v>
      </c>
      <c r="OG301" s="12" t="s">
        <v>37</v>
      </c>
      <c r="OH301" s="12"/>
      <c r="OI301" s="12"/>
      <c r="OJ301" s="12"/>
      <c r="OM301" s="12" t="s">
        <v>37</v>
      </c>
      <c r="ON301" s="12" t="s">
        <v>37</v>
      </c>
      <c r="OO301" s="12" t="s">
        <v>37</v>
      </c>
      <c r="OP301" s="12" t="s">
        <v>37</v>
      </c>
      <c r="OQ301" s="12" t="s">
        <v>37</v>
      </c>
      <c r="OR301" s="12" t="s">
        <v>37</v>
      </c>
      <c r="OS301" s="12"/>
      <c r="OT301" s="12"/>
      <c r="OW301" s="12" t="s">
        <v>37</v>
      </c>
      <c r="OX301" s="12" t="s">
        <v>37</v>
      </c>
      <c r="OY301" s="13" t="s">
        <v>37</v>
      </c>
      <c r="OZ301" s="12" t="s">
        <v>37</v>
      </c>
      <c r="PA301" s="12" t="s">
        <v>37</v>
      </c>
      <c r="PB301" s="13" t="s">
        <v>37</v>
      </c>
      <c r="PG301" s="12" t="s">
        <v>37</v>
      </c>
      <c r="PH301" s="12" t="s">
        <v>37</v>
      </c>
      <c r="PI301" s="12" t="s">
        <v>37</v>
      </c>
      <c r="PJ301" s="12" t="s">
        <v>37</v>
      </c>
      <c r="PK301" s="12" t="s">
        <v>37</v>
      </c>
      <c r="PL301" s="12" t="s">
        <v>37</v>
      </c>
      <c r="PM301" s="12"/>
      <c r="PN301" s="12"/>
      <c r="PQ301" s="12" t="s">
        <v>37</v>
      </c>
      <c r="PR301" s="12" t="s">
        <v>37</v>
      </c>
      <c r="PS301" s="12" t="s">
        <v>37</v>
      </c>
      <c r="PT301" s="12" t="s">
        <v>37</v>
      </c>
      <c r="PU301" s="12" t="s">
        <v>37</v>
      </c>
      <c r="PV301" s="12" t="s">
        <v>37</v>
      </c>
      <c r="PW301" s="12"/>
      <c r="PX301" s="12"/>
      <c r="PZ301" s="12" t="s">
        <v>37</v>
      </c>
      <c r="QA301" s="12" t="s">
        <v>37</v>
      </c>
      <c r="QB301" s="12" t="s">
        <v>37</v>
      </c>
      <c r="QD301" s="12" t="s">
        <v>37</v>
      </c>
      <c r="QE301" s="12" t="s">
        <v>37</v>
      </c>
      <c r="QF301" s="12" t="s">
        <v>37</v>
      </c>
      <c r="QK301" s="12" t="s">
        <v>37</v>
      </c>
      <c r="QL301" s="12" t="s">
        <v>37</v>
      </c>
      <c r="QM301" s="12" t="s">
        <v>37</v>
      </c>
      <c r="QN301" s="12" t="s">
        <v>37</v>
      </c>
      <c r="QO301" s="12" t="s">
        <v>37</v>
      </c>
      <c r="QP301" s="12" t="s">
        <v>37</v>
      </c>
      <c r="QQ301" s="12"/>
      <c r="QR301" s="12"/>
      <c r="QU301" s="12" t="s">
        <v>37</v>
      </c>
      <c r="QV301" s="12" t="s">
        <v>37</v>
      </c>
      <c r="QW301" s="12" t="s">
        <v>37</v>
      </c>
      <c r="QX301" s="12" t="s">
        <v>37</v>
      </c>
      <c r="QY301" s="12" t="s">
        <v>37</v>
      </c>
      <c r="QZ301" s="12" t="s">
        <v>37</v>
      </c>
      <c r="RC301" s="12" t="s">
        <v>37</v>
      </c>
      <c r="RD301" s="12" t="s">
        <v>37</v>
      </c>
      <c r="RE301" s="13" t="s">
        <v>37</v>
      </c>
      <c r="RF301" s="12" t="s">
        <v>37</v>
      </c>
      <c r="RG301" s="12" t="s">
        <v>37</v>
      </c>
      <c r="RH301" s="13" t="s">
        <v>37</v>
      </c>
      <c r="RK301" s="12" t="s">
        <v>37</v>
      </c>
      <c r="RL301" s="12" t="s">
        <v>37</v>
      </c>
      <c r="RM301" s="11" t="s">
        <v>37</v>
      </c>
      <c r="RN301" s="12" t="s">
        <v>37</v>
      </c>
      <c r="RO301" s="12" t="s">
        <v>37</v>
      </c>
      <c r="RP301" s="11" t="s">
        <v>37</v>
      </c>
      <c r="RS301" s="12" t="s">
        <v>37</v>
      </c>
      <c r="RT301" s="12" t="s">
        <v>37</v>
      </c>
      <c r="RU301" s="12" t="s">
        <v>37</v>
      </c>
      <c r="RV301" s="12" t="s">
        <v>37</v>
      </c>
      <c r="RW301" s="12" t="s">
        <v>37</v>
      </c>
      <c r="RX301" s="12" t="s">
        <v>37</v>
      </c>
      <c r="SA301" s="12" t="s">
        <v>37</v>
      </c>
      <c r="SB301" s="12" t="s">
        <v>37</v>
      </c>
      <c r="SC301" s="12" t="s">
        <v>37</v>
      </c>
      <c r="SD301" s="12" t="s">
        <v>37</v>
      </c>
      <c r="SE301" s="12" t="s">
        <v>37</v>
      </c>
      <c r="SF301" s="12" t="s">
        <v>37</v>
      </c>
      <c r="SI301" s="12" t="s">
        <v>37</v>
      </c>
      <c r="SJ301" s="12" t="s">
        <v>37</v>
      </c>
      <c r="SK301" s="13" t="s">
        <v>37</v>
      </c>
      <c r="SM301" s="12" t="s">
        <v>37</v>
      </c>
      <c r="SN301" s="12" t="s">
        <v>37</v>
      </c>
      <c r="SO301" s="13" t="s">
        <v>37</v>
      </c>
      <c r="SU301" s="12" t="s">
        <v>37</v>
      </c>
      <c r="SV301" s="12" t="s">
        <v>37</v>
      </c>
      <c r="SW301" s="12" t="s">
        <v>37</v>
      </c>
      <c r="SX301" s="12" t="s">
        <v>37</v>
      </c>
      <c r="SY301" s="12" t="s">
        <v>37</v>
      </c>
      <c r="SZ301" s="12" t="s">
        <v>37</v>
      </c>
      <c r="TA301" s="12"/>
      <c r="TB301" s="12"/>
      <c r="TE301" s="12" t="s">
        <v>37</v>
      </c>
      <c r="TF301" s="12" t="s">
        <v>37</v>
      </c>
      <c r="TG301" s="12" t="s">
        <v>37</v>
      </c>
      <c r="TH301" s="12" t="s">
        <v>37</v>
      </c>
      <c r="TI301" s="12" t="s">
        <v>37</v>
      </c>
      <c r="TJ301" s="12" t="s">
        <v>37</v>
      </c>
      <c r="TK301" s="12"/>
      <c r="TL301" s="12"/>
      <c r="TO301" s="12" t="s">
        <v>37</v>
      </c>
      <c r="TP301" s="12" t="s">
        <v>37</v>
      </c>
      <c r="TQ301" s="12" t="s">
        <v>37</v>
      </c>
      <c r="TR301" s="12" t="s">
        <v>37</v>
      </c>
      <c r="TS301" s="12" t="s">
        <v>37</v>
      </c>
      <c r="TT301" s="12" t="s">
        <v>37</v>
      </c>
      <c r="TU301" s="12"/>
      <c r="TV301" s="12"/>
      <c r="TY301" s="12" t="s">
        <v>37</v>
      </c>
      <c r="TZ301" s="12" t="s">
        <v>37</v>
      </c>
      <c r="UA301" s="12" t="s">
        <v>37</v>
      </c>
      <c r="UB301" s="12" t="s">
        <v>37</v>
      </c>
      <c r="UC301" s="12" t="s">
        <v>37</v>
      </c>
      <c r="UD301" s="12" t="s">
        <v>37</v>
      </c>
      <c r="UE301" s="12"/>
      <c r="UF301" s="12"/>
      <c r="UI301" s="12" t="s">
        <v>37</v>
      </c>
      <c r="UJ301" s="12" t="s">
        <v>37</v>
      </c>
      <c r="UK301" s="12" t="s">
        <v>37</v>
      </c>
      <c r="UL301" s="12" t="s">
        <v>37</v>
      </c>
      <c r="UM301" s="12" t="s">
        <v>37</v>
      </c>
      <c r="UN301" s="12" t="s">
        <v>37</v>
      </c>
      <c r="UO301" s="12"/>
      <c r="UP301" s="12"/>
      <c r="UR301" s="12" t="s">
        <v>37</v>
      </c>
      <c r="US301" s="12" t="s">
        <v>37</v>
      </c>
      <c r="UT301" s="12" t="s">
        <v>37</v>
      </c>
      <c r="UU301" s="12" t="s">
        <v>37</v>
      </c>
      <c r="UV301" s="12" t="s">
        <v>37</v>
      </c>
      <c r="UW301" s="12" t="s">
        <v>37</v>
      </c>
      <c r="UX301" s="12"/>
      <c r="UY301" s="12"/>
      <c r="VB301" s="12" t="s">
        <v>37</v>
      </c>
      <c r="VC301" s="12" t="s">
        <v>37</v>
      </c>
      <c r="VD301" s="12" t="s">
        <v>37</v>
      </c>
      <c r="VE301" s="12" t="s">
        <v>37</v>
      </c>
      <c r="VF301" s="12" t="s">
        <v>37</v>
      </c>
      <c r="VG301" s="12" t="s">
        <v>37</v>
      </c>
      <c r="VI301" s="12" t="s">
        <v>37</v>
      </c>
      <c r="VJ301" s="12" t="s">
        <v>37</v>
      </c>
      <c r="VK301" s="12" t="s">
        <v>37</v>
      </c>
      <c r="VL301" s="12" t="s">
        <v>37</v>
      </c>
      <c r="VM301" s="12" t="s">
        <v>37</v>
      </c>
      <c r="VN301" s="12" t="s">
        <v>37</v>
      </c>
      <c r="VQ301" s="12" t="s">
        <v>37</v>
      </c>
      <c r="VR301" s="12" t="s">
        <v>37</v>
      </c>
      <c r="VS301" s="12" t="s">
        <v>37</v>
      </c>
      <c r="VT301" s="12" t="s">
        <v>37</v>
      </c>
      <c r="VU301" s="12" t="s">
        <v>37</v>
      </c>
      <c r="VV301" s="12" t="s">
        <v>37</v>
      </c>
      <c r="VW301" s="12"/>
      <c r="VX301" s="12"/>
      <c r="WA301" s="12" t="s">
        <v>37</v>
      </c>
      <c r="WB301" s="12" t="s">
        <v>37</v>
      </c>
      <c r="WC301" s="12" t="s">
        <v>37</v>
      </c>
      <c r="WD301" s="12" t="s">
        <v>37</v>
      </c>
      <c r="WE301" s="12" t="s">
        <v>37</v>
      </c>
      <c r="WF301" s="12" t="s">
        <v>37</v>
      </c>
    </row>
    <row r="302" spans="1:604" ht="18" customHeight="1" x14ac:dyDescent="0.3">
      <c r="A302" s="11">
        <v>70</v>
      </c>
      <c r="B302" s="16" t="s">
        <v>399</v>
      </c>
      <c r="C302" s="12" t="s">
        <v>864</v>
      </c>
      <c r="D302" s="12" t="s">
        <v>54</v>
      </c>
      <c r="E302" s="40" t="s">
        <v>37</v>
      </c>
      <c r="F302" s="14">
        <v>0</v>
      </c>
      <c r="G302" s="14">
        <v>0</v>
      </c>
      <c r="H302" s="12" t="s">
        <v>91</v>
      </c>
      <c r="I302" s="29">
        <v>49.05</v>
      </c>
      <c r="J302" s="29">
        <v>-80.667000000000002</v>
      </c>
      <c r="K302" s="12" t="s">
        <v>778</v>
      </c>
      <c r="L302" s="12" t="s">
        <v>779</v>
      </c>
      <c r="M302" s="13" t="s">
        <v>37</v>
      </c>
      <c r="N302" s="14">
        <v>0.6</v>
      </c>
      <c r="O302" s="14">
        <v>885</v>
      </c>
      <c r="P302" s="14" t="s">
        <v>16</v>
      </c>
      <c r="Q302" s="75">
        <v>7</v>
      </c>
      <c r="R302" s="11" t="s">
        <v>1000</v>
      </c>
      <c r="S302" s="12" t="s">
        <v>93</v>
      </c>
      <c r="T302" s="12" t="s">
        <v>141</v>
      </c>
      <c r="U302" s="12" t="s">
        <v>164</v>
      </c>
      <c r="V302" s="12" t="s">
        <v>275</v>
      </c>
      <c r="W302" s="23" t="s">
        <v>404</v>
      </c>
      <c r="X302" s="12" t="s">
        <v>281</v>
      </c>
      <c r="Y302" s="12" t="s">
        <v>37</v>
      </c>
      <c r="Z302" s="12" t="s">
        <v>37</v>
      </c>
      <c r="AA302" s="32" t="s">
        <v>345</v>
      </c>
      <c r="AB302" s="12">
        <v>4.5999999999999996</v>
      </c>
      <c r="AE302" s="12" t="s">
        <v>37</v>
      </c>
      <c r="AH302" s="12" t="s">
        <v>37</v>
      </c>
      <c r="AK302" s="12" t="s">
        <v>37</v>
      </c>
      <c r="AL302" s="32" t="s">
        <v>400</v>
      </c>
      <c r="AM302" s="12" t="s">
        <v>317</v>
      </c>
      <c r="AN302" s="32" t="s">
        <v>879</v>
      </c>
      <c r="AO302" s="12" t="s">
        <v>37</v>
      </c>
      <c r="AP302" s="12" t="s">
        <v>401</v>
      </c>
      <c r="AQ302" s="12" t="s">
        <v>975</v>
      </c>
      <c r="AT302" s="12" t="s">
        <v>326</v>
      </c>
      <c r="AU302" s="12" t="s">
        <v>326</v>
      </c>
      <c r="AV302" s="13" t="s">
        <v>326</v>
      </c>
      <c r="AX302" s="12" t="s">
        <v>326</v>
      </c>
      <c r="AY302" s="12" t="s">
        <v>326</v>
      </c>
      <c r="AZ302" s="13" t="s">
        <v>326</v>
      </c>
      <c r="BE302" s="12" t="s">
        <v>326</v>
      </c>
      <c r="BF302" s="12" t="s">
        <v>326</v>
      </c>
      <c r="BG302" s="12" t="s">
        <v>326</v>
      </c>
      <c r="BI302" s="12" t="s">
        <v>326</v>
      </c>
      <c r="BJ302" s="12" t="s">
        <v>326</v>
      </c>
      <c r="BK302" s="12" t="s">
        <v>326</v>
      </c>
      <c r="BP302" s="12" t="s">
        <v>37</v>
      </c>
      <c r="BQ302" s="12" t="s">
        <v>37</v>
      </c>
      <c r="BR302" s="13" t="s">
        <v>37</v>
      </c>
      <c r="BT302" s="12" t="s">
        <v>37</v>
      </c>
      <c r="BU302" s="12" t="s">
        <v>37</v>
      </c>
      <c r="BV302" s="12" t="s">
        <v>37</v>
      </c>
      <c r="CA302" s="12" t="s">
        <v>37</v>
      </c>
      <c r="CB302" s="12" t="s">
        <v>37</v>
      </c>
      <c r="CC302" s="13" t="s">
        <v>37</v>
      </c>
      <c r="CE302" s="12" t="s">
        <v>37</v>
      </c>
      <c r="CF302" s="12" t="s">
        <v>37</v>
      </c>
      <c r="CG302" s="12" t="s">
        <v>37</v>
      </c>
      <c r="CN302" s="12" t="s">
        <v>37</v>
      </c>
      <c r="CO302" s="12" t="s">
        <v>37</v>
      </c>
      <c r="CP302" s="13" t="s">
        <v>37</v>
      </c>
      <c r="CR302" s="12" t="s">
        <v>37</v>
      </c>
      <c r="CS302" s="12" t="s">
        <v>37</v>
      </c>
      <c r="CT302" s="13" t="s">
        <v>37</v>
      </c>
      <c r="CX302" s="72"/>
      <c r="CY302" s="72"/>
      <c r="DA302" s="12" t="s">
        <v>37</v>
      </c>
      <c r="DB302" s="12" t="s">
        <v>37</v>
      </c>
      <c r="DC302" s="13" t="s">
        <v>37</v>
      </c>
      <c r="DE302" s="12" t="s">
        <v>37</v>
      </c>
      <c r="DF302" s="12" t="s">
        <v>37</v>
      </c>
      <c r="DG302" s="12" t="s">
        <v>37</v>
      </c>
      <c r="DM302" s="12" t="s">
        <v>47</v>
      </c>
      <c r="DN302" s="19">
        <f>5.2*("1991/10/31"-"1991/5/1")*10^4/10^6/'[1]classes-1'!$I$32</f>
        <v>13.144085460341062</v>
      </c>
      <c r="DO302" s="12">
        <f t="shared" ref="DO302:DO303" si="1258">DO301</f>
        <v>20.285444054594439</v>
      </c>
      <c r="DP302" s="13">
        <v>6</v>
      </c>
      <c r="DQ302" s="19">
        <f t="shared" si="1255"/>
        <v>1.5433134633672774</v>
      </c>
      <c r="DR302" s="19">
        <f>-0.2*("1991/10/31"-"1991/5/1")*10^4/10^6/'[1]classes-1'!$I$35</f>
        <v>-0.10743713529994561</v>
      </c>
      <c r="DS302" s="12">
        <f>SQRT((1/[2]Classes!$I$35)^2*(0.7*("1991/10/31"-"1991/5/1")*10^4/10^6)^2+(-DR302/([2]Classes!$I$35)^2)^2*([2]Classes!$J$35)^2)</f>
        <v>0.39119879833905941</v>
      </c>
      <c r="DT302" s="13">
        <v>6</v>
      </c>
      <c r="DU302" s="19">
        <f t="shared" si="1256"/>
        <v>3.6411879118602806</v>
      </c>
      <c r="DV302" s="19">
        <f t="shared" si="1211"/>
        <v>-13.251522595641008</v>
      </c>
      <c r="DW302" s="12">
        <f t="shared" si="1212"/>
        <v>14.346642063422067</v>
      </c>
      <c r="DX302" s="72">
        <f t="shared" si="1251"/>
        <v>68.608712831983809</v>
      </c>
      <c r="DY302" s="72">
        <f t="shared" si="1252"/>
        <v>68.608712831983809</v>
      </c>
      <c r="EA302" s="19" t="s">
        <v>37</v>
      </c>
      <c r="EB302" s="19" t="s">
        <v>37</v>
      </c>
      <c r="EC302" s="72" t="s">
        <v>37</v>
      </c>
      <c r="EE302" s="19" t="s">
        <v>37</v>
      </c>
      <c r="EF302" s="19" t="s">
        <v>37</v>
      </c>
      <c r="EG302" s="12" t="s">
        <v>37</v>
      </c>
      <c r="EM302" s="12" t="s">
        <v>39</v>
      </c>
      <c r="EN302" s="12">
        <v>-20.8</v>
      </c>
      <c r="EO302" s="50">
        <f t="shared" si="1241"/>
        <v>8.475925094026902</v>
      </c>
      <c r="EP302" s="13">
        <v>1</v>
      </c>
      <c r="ER302" s="12">
        <v>-40</v>
      </c>
      <c r="ES302" s="50">
        <f t="shared" si="1242"/>
        <v>9.0725621403677668</v>
      </c>
      <c r="ET302" s="13">
        <v>1</v>
      </c>
      <c r="EV302" s="19">
        <f t="shared" si="1233"/>
        <v>-19.2</v>
      </c>
      <c r="EW302" s="12" t="e">
        <f t="shared" si="1234"/>
        <v>#DIV/0!</v>
      </c>
      <c r="EX302" s="19" t="e">
        <f t="shared" si="1235"/>
        <v>#DIV/0!</v>
      </c>
      <c r="EY302" s="19">
        <f t="shared" si="1236"/>
        <v>154.15268999038949</v>
      </c>
      <c r="FB302" s="12" t="s">
        <v>37</v>
      </c>
      <c r="FC302" s="12" t="s">
        <v>37</v>
      </c>
      <c r="FD302" s="12" t="s">
        <v>37</v>
      </c>
      <c r="FE302" s="12" t="s">
        <v>37</v>
      </c>
      <c r="FF302" s="20" t="s">
        <v>37</v>
      </c>
      <c r="FG302" s="12" t="s">
        <v>37</v>
      </c>
      <c r="FI302" s="12" t="s">
        <v>37</v>
      </c>
      <c r="FJ302" s="12" t="s">
        <v>37</v>
      </c>
      <c r="FK302" s="12" t="s">
        <v>37</v>
      </c>
      <c r="FL302" s="12" t="s">
        <v>37</v>
      </c>
      <c r="FM302" s="12" t="s">
        <v>37</v>
      </c>
      <c r="FN302" s="12" t="s">
        <v>37</v>
      </c>
      <c r="FP302" s="12" t="s">
        <v>37</v>
      </c>
      <c r="FQ302" s="12" t="s">
        <v>37</v>
      </c>
      <c r="FR302" s="12" t="s">
        <v>37</v>
      </c>
      <c r="FS302" s="12" t="s">
        <v>37</v>
      </c>
      <c r="FT302" s="12" t="s">
        <v>37</v>
      </c>
      <c r="FU302" s="12" t="s">
        <v>37</v>
      </c>
      <c r="FW302" s="12" t="s">
        <v>37</v>
      </c>
      <c r="FX302" s="12" t="s">
        <v>37</v>
      </c>
      <c r="FY302" s="12" t="s">
        <v>37</v>
      </c>
      <c r="FZ302" s="12" t="s">
        <v>37</v>
      </c>
      <c r="GA302" s="12" t="s">
        <v>37</v>
      </c>
      <c r="GB302" s="12" t="s">
        <v>37</v>
      </c>
      <c r="GO302" s="12" t="s">
        <v>660</v>
      </c>
      <c r="GP302" s="12" t="s">
        <v>372</v>
      </c>
      <c r="GQ302" s="12">
        <v>13</v>
      </c>
      <c r="GR302" s="50">
        <f t="shared" si="1243"/>
        <v>1.2418842480306649</v>
      </c>
      <c r="GS302" s="13">
        <v>1</v>
      </c>
      <c r="GU302" s="12">
        <v>11.2</v>
      </c>
      <c r="GV302" s="50">
        <f t="shared" si="1244"/>
        <v>1.1920852418096908</v>
      </c>
      <c r="GW302" s="13">
        <v>1</v>
      </c>
      <c r="GY302" s="19">
        <f t="shared" si="1253"/>
        <v>-0.14903557916048796</v>
      </c>
      <c r="GZ302" s="19">
        <f t="shared" si="1254"/>
        <v>2.045455726748819E-2</v>
      </c>
      <c r="IK302" s="12" t="s">
        <v>37</v>
      </c>
      <c r="IL302" s="12" t="s">
        <v>37</v>
      </c>
      <c r="IM302" s="12" t="s">
        <v>37</v>
      </c>
      <c r="IO302" s="12" t="s">
        <v>37</v>
      </c>
      <c r="IP302" s="12" t="s">
        <v>37</v>
      </c>
      <c r="IQ302" s="12" t="s">
        <v>37</v>
      </c>
      <c r="IV302" s="32" t="s">
        <v>345</v>
      </c>
      <c r="IW302" s="12">
        <v>4.5999999999999996</v>
      </c>
      <c r="IX302" s="12">
        <v>0.2</v>
      </c>
      <c r="IY302" s="13">
        <v>6</v>
      </c>
      <c r="IZ302" s="19">
        <f t="shared" si="1247"/>
        <v>4.3478260869565223E-2</v>
      </c>
      <c r="JA302" s="13"/>
      <c r="JB302" s="13"/>
      <c r="JH302" s="12" t="s">
        <v>37</v>
      </c>
      <c r="JI302" s="12" t="s">
        <v>37</v>
      </c>
      <c r="JJ302" s="13" t="s">
        <v>37</v>
      </c>
      <c r="JL302" s="12" t="s">
        <v>37</v>
      </c>
      <c r="JM302" s="12" t="s">
        <v>37</v>
      </c>
      <c r="JN302" s="12" t="s">
        <v>37</v>
      </c>
      <c r="JS302" s="12" t="s">
        <v>37</v>
      </c>
      <c r="JT302" s="12" t="s">
        <v>37</v>
      </c>
      <c r="JU302" s="13" t="s">
        <v>37</v>
      </c>
      <c r="JW302" s="12" t="s">
        <v>37</v>
      </c>
      <c r="JX302" s="12" t="s">
        <v>37</v>
      </c>
      <c r="JY302" s="12" t="s">
        <v>37</v>
      </c>
      <c r="KE302" s="12" t="s">
        <v>37</v>
      </c>
      <c r="KF302" s="12" t="s">
        <v>37</v>
      </c>
      <c r="KG302" s="13" t="s">
        <v>37</v>
      </c>
      <c r="KH302" s="12" t="s">
        <v>37</v>
      </c>
      <c r="KI302" s="12" t="s">
        <v>37</v>
      </c>
      <c r="KJ302" s="12" t="s">
        <v>37</v>
      </c>
      <c r="KM302" s="12" t="s">
        <v>37</v>
      </c>
      <c r="KN302" s="12" t="s">
        <v>37</v>
      </c>
      <c r="KO302" s="11" t="s">
        <v>37</v>
      </c>
      <c r="KQ302" s="12" t="s">
        <v>37</v>
      </c>
      <c r="KR302" s="12" t="s">
        <v>37</v>
      </c>
      <c r="KS302" s="12" t="s">
        <v>37</v>
      </c>
      <c r="KX302" s="12" t="s">
        <v>37</v>
      </c>
      <c r="KY302" s="12" t="s">
        <v>37</v>
      </c>
      <c r="KZ302" s="12" t="s">
        <v>37</v>
      </c>
      <c r="LB302" s="12" t="s">
        <v>37</v>
      </c>
      <c r="LC302" s="12" t="s">
        <v>37</v>
      </c>
      <c r="LD302" s="12" t="s">
        <v>37</v>
      </c>
      <c r="LI302" s="12" t="s">
        <v>37</v>
      </c>
      <c r="LJ302" s="12" t="s">
        <v>37</v>
      </c>
      <c r="LK302" s="12" t="s">
        <v>37</v>
      </c>
      <c r="LM302" s="12" t="s">
        <v>37</v>
      </c>
      <c r="LN302" s="12" t="s">
        <v>37</v>
      </c>
      <c r="LO302" s="12" t="s">
        <v>37</v>
      </c>
      <c r="LU302" s="12" t="s">
        <v>37</v>
      </c>
      <c r="LV302" s="12" t="s">
        <v>37</v>
      </c>
      <c r="LW302" s="12" t="s">
        <v>37</v>
      </c>
      <c r="LY302" s="12" t="s">
        <v>37</v>
      </c>
      <c r="LZ302" s="12" t="s">
        <v>37</v>
      </c>
      <c r="MA302" s="12" t="s">
        <v>37</v>
      </c>
      <c r="MF302" s="12" t="s">
        <v>37</v>
      </c>
      <c r="MG302" s="12" t="s">
        <v>37</v>
      </c>
      <c r="MH302" s="12" t="s">
        <v>37</v>
      </c>
      <c r="MJ302" s="12" t="s">
        <v>37</v>
      </c>
      <c r="MK302" s="12" t="s">
        <v>37</v>
      </c>
      <c r="ML302" s="12" t="s">
        <v>37</v>
      </c>
      <c r="MQ302" s="12" t="s">
        <v>37</v>
      </c>
      <c r="MR302" s="12" t="s">
        <v>37</v>
      </c>
      <c r="MS302" s="12" t="s">
        <v>37</v>
      </c>
      <c r="MU302" s="12" t="s">
        <v>37</v>
      </c>
      <c r="MV302" s="12" t="s">
        <v>37</v>
      </c>
      <c r="MW302" s="12" t="s">
        <v>37</v>
      </c>
      <c r="NC302" s="12" t="s">
        <v>37</v>
      </c>
      <c r="ND302" s="12" t="s">
        <v>37</v>
      </c>
      <c r="NE302" s="12" t="s">
        <v>37</v>
      </c>
      <c r="NG302" s="12" t="s">
        <v>37</v>
      </c>
      <c r="NH302" s="12" t="s">
        <v>37</v>
      </c>
      <c r="NI302" s="12" t="s">
        <v>37</v>
      </c>
      <c r="NO302" s="12" t="s">
        <v>37</v>
      </c>
      <c r="NP302" s="12" t="s">
        <v>37</v>
      </c>
      <c r="NQ302" s="12" t="s">
        <v>37</v>
      </c>
      <c r="NS302" s="12" t="s">
        <v>37</v>
      </c>
      <c r="NT302" s="12" t="s">
        <v>37</v>
      </c>
      <c r="NU302" s="12" t="s">
        <v>37</v>
      </c>
      <c r="OA302" s="12" t="s">
        <v>37</v>
      </c>
      <c r="OB302" s="12" t="s">
        <v>37</v>
      </c>
      <c r="OC302" s="12" t="s">
        <v>37</v>
      </c>
      <c r="OD302" s="12"/>
      <c r="OE302" s="12" t="s">
        <v>37</v>
      </c>
      <c r="OF302" s="12" t="s">
        <v>37</v>
      </c>
      <c r="OG302" s="12" t="s">
        <v>37</v>
      </c>
      <c r="OH302" s="12"/>
      <c r="OI302" s="12"/>
      <c r="OJ302" s="12"/>
      <c r="OM302" s="12" t="s">
        <v>37</v>
      </c>
      <c r="ON302" s="12" t="s">
        <v>37</v>
      </c>
      <c r="OO302" s="12" t="s">
        <v>37</v>
      </c>
      <c r="OP302" s="12" t="s">
        <v>37</v>
      </c>
      <c r="OQ302" s="12" t="s">
        <v>37</v>
      </c>
      <c r="OR302" s="12" t="s">
        <v>37</v>
      </c>
      <c r="OS302" s="12"/>
      <c r="OT302" s="12"/>
      <c r="OW302" s="12" t="s">
        <v>37</v>
      </c>
      <c r="OX302" s="12" t="s">
        <v>37</v>
      </c>
      <c r="OY302" s="13" t="s">
        <v>37</v>
      </c>
      <c r="OZ302" s="12" t="s">
        <v>37</v>
      </c>
      <c r="PA302" s="12" t="s">
        <v>37</v>
      </c>
      <c r="PB302" s="13" t="s">
        <v>37</v>
      </c>
      <c r="PG302" s="12" t="s">
        <v>37</v>
      </c>
      <c r="PH302" s="12" t="s">
        <v>37</v>
      </c>
      <c r="PI302" s="12" t="s">
        <v>37</v>
      </c>
      <c r="PJ302" s="12" t="s">
        <v>37</v>
      </c>
      <c r="PK302" s="12" t="s">
        <v>37</v>
      </c>
      <c r="PL302" s="12" t="s">
        <v>37</v>
      </c>
      <c r="PM302" s="12"/>
      <c r="PN302" s="12"/>
      <c r="PQ302" s="12" t="s">
        <v>37</v>
      </c>
      <c r="PR302" s="12" t="s">
        <v>37</v>
      </c>
      <c r="PS302" s="12" t="s">
        <v>37</v>
      </c>
      <c r="PT302" s="12" t="s">
        <v>37</v>
      </c>
      <c r="PU302" s="12" t="s">
        <v>37</v>
      </c>
      <c r="PV302" s="12" t="s">
        <v>37</v>
      </c>
      <c r="PW302" s="12"/>
      <c r="PX302" s="12"/>
      <c r="PZ302" s="12" t="s">
        <v>37</v>
      </c>
      <c r="QA302" s="12" t="s">
        <v>37</v>
      </c>
      <c r="QB302" s="12" t="s">
        <v>37</v>
      </c>
      <c r="QD302" s="12" t="s">
        <v>37</v>
      </c>
      <c r="QE302" s="12" t="s">
        <v>37</v>
      </c>
      <c r="QF302" s="12" t="s">
        <v>37</v>
      </c>
      <c r="QK302" s="12" t="s">
        <v>37</v>
      </c>
      <c r="QL302" s="12" t="s">
        <v>37</v>
      </c>
      <c r="QM302" s="12" t="s">
        <v>37</v>
      </c>
      <c r="QN302" s="12" t="s">
        <v>37</v>
      </c>
      <c r="QO302" s="12" t="s">
        <v>37</v>
      </c>
      <c r="QP302" s="12" t="s">
        <v>37</v>
      </c>
      <c r="QQ302" s="12"/>
      <c r="QR302" s="12"/>
      <c r="QU302" s="12" t="s">
        <v>37</v>
      </c>
      <c r="QV302" s="12" t="s">
        <v>37</v>
      </c>
      <c r="QW302" s="12" t="s">
        <v>37</v>
      </c>
      <c r="QX302" s="12" t="s">
        <v>37</v>
      </c>
      <c r="QY302" s="12" t="s">
        <v>37</v>
      </c>
      <c r="QZ302" s="12" t="s">
        <v>37</v>
      </c>
      <c r="RC302" s="12" t="s">
        <v>37</v>
      </c>
      <c r="RD302" s="12" t="s">
        <v>37</v>
      </c>
      <c r="RE302" s="13" t="s">
        <v>37</v>
      </c>
      <c r="RF302" s="12" t="s">
        <v>37</v>
      </c>
      <c r="RG302" s="12" t="s">
        <v>37</v>
      </c>
      <c r="RH302" s="13" t="s">
        <v>37</v>
      </c>
      <c r="RK302" s="12" t="s">
        <v>37</v>
      </c>
      <c r="RL302" s="12" t="s">
        <v>37</v>
      </c>
      <c r="RM302" s="11" t="s">
        <v>37</v>
      </c>
      <c r="RN302" s="12" t="s">
        <v>37</v>
      </c>
      <c r="RO302" s="12" t="s">
        <v>37</v>
      </c>
      <c r="RP302" s="11" t="s">
        <v>37</v>
      </c>
      <c r="RS302" s="12" t="s">
        <v>37</v>
      </c>
      <c r="RT302" s="12" t="s">
        <v>37</v>
      </c>
      <c r="RU302" s="12" t="s">
        <v>37</v>
      </c>
      <c r="RV302" s="12" t="s">
        <v>37</v>
      </c>
      <c r="RW302" s="12" t="s">
        <v>37</v>
      </c>
      <c r="RX302" s="12" t="s">
        <v>37</v>
      </c>
      <c r="SA302" s="12" t="s">
        <v>37</v>
      </c>
      <c r="SB302" s="12" t="s">
        <v>37</v>
      </c>
      <c r="SC302" s="12" t="s">
        <v>37</v>
      </c>
      <c r="SD302" s="12" t="s">
        <v>37</v>
      </c>
      <c r="SE302" s="12" t="s">
        <v>37</v>
      </c>
      <c r="SF302" s="12" t="s">
        <v>37</v>
      </c>
      <c r="SI302" s="12" t="s">
        <v>37</v>
      </c>
      <c r="SJ302" s="12" t="s">
        <v>37</v>
      </c>
      <c r="SK302" s="13" t="s">
        <v>37</v>
      </c>
      <c r="SM302" s="12" t="s">
        <v>37</v>
      </c>
      <c r="SN302" s="12" t="s">
        <v>37</v>
      </c>
      <c r="SO302" s="13" t="s">
        <v>37</v>
      </c>
      <c r="SU302" s="12" t="s">
        <v>37</v>
      </c>
      <c r="SV302" s="12" t="s">
        <v>37</v>
      </c>
      <c r="SW302" s="12" t="s">
        <v>37</v>
      </c>
      <c r="SX302" s="12" t="s">
        <v>37</v>
      </c>
      <c r="SY302" s="12" t="s">
        <v>37</v>
      </c>
      <c r="SZ302" s="12" t="s">
        <v>37</v>
      </c>
      <c r="TA302" s="12"/>
      <c r="TB302" s="12"/>
      <c r="TE302" s="12" t="s">
        <v>37</v>
      </c>
      <c r="TF302" s="12" t="s">
        <v>37</v>
      </c>
      <c r="TG302" s="12" t="s">
        <v>37</v>
      </c>
      <c r="TH302" s="12" t="s">
        <v>37</v>
      </c>
      <c r="TI302" s="12" t="s">
        <v>37</v>
      </c>
      <c r="TJ302" s="12" t="s">
        <v>37</v>
      </c>
      <c r="TK302" s="12"/>
      <c r="TL302" s="12"/>
      <c r="TO302" s="12" t="s">
        <v>37</v>
      </c>
      <c r="TP302" s="12" t="s">
        <v>37</v>
      </c>
      <c r="TQ302" s="12" t="s">
        <v>37</v>
      </c>
      <c r="TR302" s="12" t="s">
        <v>37</v>
      </c>
      <c r="TS302" s="12" t="s">
        <v>37</v>
      </c>
      <c r="TT302" s="12" t="s">
        <v>37</v>
      </c>
      <c r="TU302" s="12"/>
      <c r="TV302" s="12"/>
      <c r="TY302" s="12" t="s">
        <v>37</v>
      </c>
      <c r="TZ302" s="12" t="s">
        <v>37</v>
      </c>
      <c r="UA302" s="12" t="s">
        <v>37</v>
      </c>
      <c r="UB302" s="12" t="s">
        <v>37</v>
      </c>
      <c r="UC302" s="12" t="s">
        <v>37</v>
      </c>
      <c r="UD302" s="12" t="s">
        <v>37</v>
      </c>
      <c r="UE302" s="12"/>
      <c r="UF302" s="12"/>
      <c r="UI302" s="12" t="s">
        <v>37</v>
      </c>
      <c r="UJ302" s="12" t="s">
        <v>37</v>
      </c>
      <c r="UK302" s="12" t="s">
        <v>37</v>
      </c>
      <c r="UL302" s="12" t="s">
        <v>37</v>
      </c>
      <c r="UM302" s="12" t="s">
        <v>37</v>
      </c>
      <c r="UN302" s="12" t="s">
        <v>37</v>
      </c>
      <c r="UO302" s="12"/>
      <c r="UP302" s="12"/>
      <c r="UR302" s="12" t="s">
        <v>37</v>
      </c>
      <c r="US302" s="12" t="s">
        <v>37</v>
      </c>
      <c r="UT302" s="12" t="s">
        <v>37</v>
      </c>
      <c r="UU302" s="12" t="s">
        <v>37</v>
      </c>
      <c r="UV302" s="12" t="s">
        <v>37</v>
      </c>
      <c r="UW302" s="12" t="s">
        <v>37</v>
      </c>
      <c r="UX302" s="12"/>
      <c r="UY302" s="12"/>
      <c r="VB302" s="12" t="s">
        <v>37</v>
      </c>
      <c r="VC302" s="12" t="s">
        <v>37</v>
      </c>
      <c r="VD302" s="12" t="s">
        <v>37</v>
      </c>
      <c r="VE302" s="12" t="s">
        <v>37</v>
      </c>
      <c r="VF302" s="12" t="s">
        <v>37</v>
      </c>
      <c r="VG302" s="12" t="s">
        <v>37</v>
      </c>
      <c r="VI302" s="12" t="s">
        <v>37</v>
      </c>
      <c r="VJ302" s="12" t="s">
        <v>37</v>
      </c>
      <c r="VK302" s="12" t="s">
        <v>37</v>
      </c>
      <c r="VL302" s="12" t="s">
        <v>37</v>
      </c>
      <c r="VM302" s="12" t="s">
        <v>37</v>
      </c>
      <c r="VN302" s="12" t="s">
        <v>37</v>
      </c>
      <c r="VQ302" s="12" t="s">
        <v>37</v>
      </c>
      <c r="VR302" s="12" t="s">
        <v>37</v>
      </c>
      <c r="VS302" s="12" t="s">
        <v>37</v>
      </c>
      <c r="VT302" s="12" t="s">
        <v>37</v>
      </c>
      <c r="VU302" s="12" t="s">
        <v>37</v>
      </c>
      <c r="VV302" s="12" t="s">
        <v>37</v>
      </c>
      <c r="VW302" s="12"/>
      <c r="VX302" s="12"/>
      <c r="WA302" s="12" t="s">
        <v>37</v>
      </c>
      <c r="WB302" s="12" t="s">
        <v>37</v>
      </c>
      <c r="WC302" s="12" t="s">
        <v>37</v>
      </c>
      <c r="WD302" s="12" t="s">
        <v>37</v>
      </c>
      <c r="WE302" s="12" t="s">
        <v>37</v>
      </c>
      <c r="WF302" s="12" t="s">
        <v>37</v>
      </c>
    </row>
    <row r="303" spans="1:604" ht="18" customHeight="1" x14ac:dyDescent="0.3">
      <c r="A303" s="11">
        <v>70</v>
      </c>
      <c r="B303" s="16" t="s">
        <v>399</v>
      </c>
      <c r="C303" s="12" t="s">
        <v>31</v>
      </c>
      <c r="D303" s="12" t="s">
        <v>54</v>
      </c>
      <c r="E303" s="40" t="s">
        <v>37</v>
      </c>
      <c r="F303" s="14">
        <v>0</v>
      </c>
      <c r="G303" s="14">
        <v>0</v>
      </c>
      <c r="H303" s="12" t="s">
        <v>91</v>
      </c>
      <c r="I303" s="29">
        <v>49.05</v>
      </c>
      <c r="J303" s="29">
        <v>-80.667000000000002</v>
      </c>
      <c r="K303" s="12" t="s">
        <v>778</v>
      </c>
      <c r="L303" s="12" t="s">
        <v>779</v>
      </c>
      <c r="M303" s="13" t="s">
        <v>37</v>
      </c>
      <c r="N303" s="14">
        <v>0.6</v>
      </c>
      <c r="O303" s="14">
        <v>885</v>
      </c>
      <c r="P303" s="14" t="s">
        <v>16</v>
      </c>
      <c r="Q303" s="75">
        <v>7</v>
      </c>
      <c r="R303" s="11" t="s">
        <v>1000</v>
      </c>
      <c r="S303" s="12" t="s">
        <v>93</v>
      </c>
      <c r="T303" s="12" t="s">
        <v>141</v>
      </c>
      <c r="U303" s="12" t="s">
        <v>164</v>
      </c>
      <c r="V303" s="12" t="s">
        <v>275</v>
      </c>
      <c r="W303" s="23" t="s">
        <v>404</v>
      </c>
      <c r="X303" s="12" t="s">
        <v>281</v>
      </c>
      <c r="Y303" s="12" t="s">
        <v>37</v>
      </c>
      <c r="Z303" s="12" t="s">
        <v>37</v>
      </c>
      <c r="AA303" s="32" t="s">
        <v>345</v>
      </c>
      <c r="AB303" s="12">
        <v>4.5999999999999996</v>
      </c>
      <c r="AE303" s="12" t="s">
        <v>37</v>
      </c>
      <c r="AH303" s="12" t="s">
        <v>37</v>
      </c>
      <c r="AK303" s="12" t="s">
        <v>37</v>
      </c>
      <c r="AL303" s="32" t="s">
        <v>400</v>
      </c>
      <c r="AM303" s="12" t="s">
        <v>317</v>
      </c>
      <c r="AN303" s="32" t="s">
        <v>879</v>
      </c>
      <c r="AO303" s="12" t="s">
        <v>37</v>
      </c>
      <c r="AP303" s="12" t="s">
        <v>401</v>
      </c>
      <c r="AQ303" s="12" t="s">
        <v>975</v>
      </c>
      <c r="AT303" s="12" t="s">
        <v>326</v>
      </c>
      <c r="AU303" s="12" t="s">
        <v>326</v>
      </c>
      <c r="AV303" s="13" t="s">
        <v>326</v>
      </c>
      <c r="AX303" s="12" t="s">
        <v>326</v>
      </c>
      <c r="AY303" s="12" t="s">
        <v>326</v>
      </c>
      <c r="AZ303" s="13" t="s">
        <v>326</v>
      </c>
      <c r="BE303" s="12" t="s">
        <v>326</v>
      </c>
      <c r="BF303" s="12" t="s">
        <v>326</v>
      </c>
      <c r="BG303" s="12" t="s">
        <v>326</v>
      </c>
      <c r="BI303" s="12" t="s">
        <v>326</v>
      </c>
      <c r="BJ303" s="12" t="s">
        <v>326</v>
      </c>
      <c r="BK303" s="12" t="s">
        <v>326</v>
      </c>
      <c r="BP303" s="12" t="s">
        <v>37</v>
      </c>
      <c r="BQ303" s="12" t="s">
        <v>37</v>
      </c>
      <c r="BR303" s="13" t="s">
        <v>37</v>
      </c>
      <c r="BT303" s="12" t="s">
        <v>37</v>
      </c>
      <c r="BU303" s="12" t="s">
        <v>37</v>
      </c>
      <c r="BV303" s="12" t="s">
        <v>37</v>
      </c>
      <c r="CA303" s="12" t="s">
        <v>37</v>
      </c>
      <c r="CB303" s="12" t="s">
        <v>37</v>
      </c>
      <c r="CC303" s="13" t="s">
        <v>37</v>
      </c>
      <c r="CE303" s="12" t="s">
        <v>37</v>
      </c>
      <c r="CF303" s="12" t="s">
        <v>37</v>
      </c>
      <c r="CG303" s="12" t="s">
        <v>37</v>
      </c>
      <c r="CN303" s="12" t="s">
        <v>37</v>
      </c>
      <c r="CO303" s="12" t="s">
        <v>37</v>
      </c>
      <c r="CP303" s="13" t="s">
        <v>37</v>
      </c>
      <c r="CR303" s="12" t="s">
        <v>37</v>
      </c>
      <c r="CS303" s="12" t="s">
        <v>37</v>
      </c>
      <c r="CT303" s="13" t="s">
        <v>37</v>
      </c>
      <c r="CX303" s="72"/>
      <c r="CY303" s="72"/>
      <c r="DA303" s="12" t="s">
        <v>37</v>
      </c>
      <c r="DB303" s="12" t="s">
        <v>37</v>
      </c>
      <c r="DC303" s="13" t="s">
        <v>37</v>
      </c>
      <c r="DE303" s="12" t="s">
        <v>37</v>
      </c>
      <c r="DF303" s="12" t="s">
        <v>37</v>
      </c>
      <c r="DG303" s="12" t="s">
        <v>37</v>
      </c>
      <c r="DM303" s="12" t="s">
        <v>47</v>
      </c>
      <c r="DN303" s="19">
        <f>5.2*("1991/10/31"-"1991/5/1")*10^4/10^6/'[1]classes-1'!$I$32</f>
        <v>13.144085460341062</v>
      </c>
      <c r="DO303" s="12">
        <f t="shared" si="1258"/>
        <v>20.285444054594439</v>
      </c>
      <c r="DP303" s="13">
        <v>6</v>
      </c>
      <c r="DQ303" s="19">
        <f t="shared" si="1255"/>
        <v>1.5433134633672774</v>
      </c>
      <c r="DR303" s="19">
        <f>-0.1*("1991/10/31"-"1991/5/1")*10^4/10^6/'[1]classes-1'!$I$35</f>
        <v>-5.3718567649972807E-2</v>
      </c>
      <c r="DS303" s="12">
        <f>DS302</f>
        <v>0.39119879833905941</v>
      </c>
      <c r="DT303" s="13">
        <v>6</v>
      </c>
      <c r="DU303" s="19">
        <f t="shared" si="1256"/>
        <v>7.2823758237205611</v>
      </c>
      <c r="DV303" s="19">
        <f t="shared" si="1211"/>
        <v>-13.197804027991035</v>
      </c>
      <c r="DW303" s="12">
        <f t="shared" si="1212"/>
        <v>14.346642063422067</v>
      </c>
      <c r="DX303" s="72">
        <f t="shared" si="1251"/>
        <v>68.608712831983809</v>
      </c>
      <c r="DY303" s="72">
        <f t="shared" si="1252"/>
        <v>68.608712831983809</v>
      </c>
      <c r="EA303" s="19" t="s">
        <v>37</v>
      </c>
      <c r="EB303" s="19" t="s">
        <v>37</v>
      </c>
      <c r="EC303" s="72" t="s">
        <v>37</v>
      </c>
      <c r="EE303" s="19" t="s">
        <v>37</v>
      </c>
      <c r="EF303" s="19" t="s">
        <v>37</v>
      </c>
      <c r="EG303" s="12" t="s">
        <v>37</v>
      </c>
      <c r="EM303" s="12" t="s">
        <v>39</v>
      </c>
      <c r="EN303" s="12">
        <v>-20.8</v>
      </c>
      <c r="EO303" s="50">
        <f t="shared" si="1241"/>
        <v>8.475925094026902</v>
      </c>
      <c r="EP303" s="13">
        <v>1</v>
      </c>
      <c r="ER303" s="12">
        <v>-31.5</v>
      </c>
      <c r="ES303" s="50">
        <f t="shared" si="1242"/>
        <v>7.1446426855396163</v>
      </c>
      <c r="ET303" s="13">
        <v>1</v>
      </c>
      <c r="EV303" s="19">
        <f t="shared" si="1233"/>
        <v>-10.7</v>
      </c>
      <c r="EW303" s="12" t="e">
        <f t="shared" si="1234"/>
        <v>#DIV/0!</v>
      </c>
      <c r="EX303" s="19" t="e">
        <f t="shared" si="1235"/>
        <v>#DIV/0!</v>
      </c>
      <c r="EY303" s="19">
        <f t="shared" si="1236"/>
        <v>122.88722530358969</v>
      </c>
      <c r="FB303" s="12" t="s">
        <v>37</v>
      </c>
      <c r="FC303" s="12" t="s">
        <v>37</v>
      </c>
      <c r="FD303" s="12" t="s">
        <v>37</v>
      </c>
      <c r="FE303" s="12" t="s">
        <v>37</v>
      </c>
      <c r="FF303" s="20" t="s">
        <v>37</v>
      </c>
      <c r="FG303" s="12" t="s">
        <v>37</v>
      </c>
      <c r="FI303" s="12" t="s">
        <v>37</v>
      </c>
      <c r="FJ303" s="12" t="s">
        <v>37</v>
      </c>
      <c r="FK303" s="12" t="s">
        <v>37</v>
      </c>
      <c r="FL303" s="12" t="s">
        <v>37</v>
      </c>
      <c r="FM303" s="12" t="s">
        <v>37</v>
      </c>
      <c r="FN303" s="12" t="s">
        <v>37</v>
      </c>
      <c r="FP303" s="12" t="s">
        <v>37</v>
      </c>
      <c r="FQ303" s="12" t="s">
        <v>37</v>
      </c>
      <c r="FR303" s="12" t="s">
        <v>37</v>
      </c>
      <c r="FS303" s="12" t="s">
        <v>37</v>
      </c>
      <c r="FT303" s="12" t="s">
        <v>37</v>
      </c>
      <c r="FU303" s="12" t="s">
        <v>37</v>
      </c>
      <c r="FW303" s="12" t="s">
        <v>37</v>
      </c>
      <c r="FX303" s="12" t="s">
        <v>37</v>
      </c>
      <c r="FY303" s="12" t="s">
        <v>37</v>
      </c>
      <c r="FZ303" s="12" t="s">
        <v>37</v>
      </c>
      <c r="GA303" s="12" t="s">
        <v>37</v>
      </c>
      <c r="GB303" s="12" t="s">
        <v>37</v>
      </c>
      <c r="GO303" s="12" t="s">
        <v>660</v>
      </c>
      <c r="GP303" s="12" t="s">
        <v>372</v>
      </c>
      <c r="GQ303" s="12">
        <v>13</v>
      </c>
      <c r="GR303" s="50">
        <f t="shared" si="1243"/>
        <v>1.2418842480306649</v>
      </c>
      <c r="GS303" s="13">
        <v>1</v>
      </c>
      <c r="GU303" s="12">
        <v>10.5</v>
      </c>
      <c r="GV303" s="50">
        <f t="shared" si="1244"/>
        <v>1.1175799141965852</v>
      </c>
      <c r="GW303" s="13">
        <v>1</v>
      </c>
      <c r="GY303" s="19">
        <f t="shared" si="1253"/>
        <v>-0.21357410029805904</v>
      </c>
      <c r="GZ303" s="19">
        <f t="shared" si="1254"/>
        <v>2.045455726748819E-2</v>
      </c>
      <c r="IK303" s="12" t="s">
        <v>37</v>
      </c>
      <c r="IL303" s="12" t="s">
        <v>37</v>
      </c>
      <c r="IM303" s="12" t="s">
        <v>37</v>
      </c>
      <c r="IO303" s="12" t="s">
        <v>37</v>
      </c>
      <c r="IP303" s="12" t="s">
        <v>37</v>
      </c>
      <c r="IQ303" s="12" t="s">
        <v>37</v>
      </c>
      <c r="IV303" s="32" t="s">
        <v>345</v>
      </c>
      <c r="IW303" s="12">
        <v>4.5999999999999996</v>
      </c>
      <c r="IX303" s="12">
        <v>0.2</v>
      </c>
      <c r="IY303" s="13">
        <v>6</v>
      </c>
      <c r="IZ303" s="19">
        <f t="shared" si="1247"/>
        <v>4.3478260869565223E-2</v>
      </c>
      <c r="JA303" s="13"/>
      <c r="JB303" s="13"/>
      <c r="JH303" s="12" t="s">
        <v>37</v>
      </c>
      <c r="JI303" s="12" t="s">
        <v>37</v>
      </c>
      <c r="JJ303" s="13" t="s">
        <v>37</v>
      </c>
      <c r="JL303" s="12" t="s">
        <v>37</v>
      </c>
      <c r="JM303" s="12" t="s">
        <v>37</v>
      </c>
      <c r="JN303" s="12" t="s">
        <v>37</v>
      </c>
      <c r="JS303" s="12" t="s">
        <v>37</v>
      </c>
      <c r="JT303" s="12" t="s">
        <v>37</v>
      </c>
      <c r="JU303" s="13" t="s">
        <v>37</v>
      </c>
      <c r="JW303" s="12" t="s">
        <v>37</v>
      </c>
      <c r="JX303" s="12" t="s">
        <v>37</v>
      </c>
      <c r="JY303" s="12" t="s">
        <v>37</v>
      </c>
      <c r="KE303" s="12" t="s">
        <v>37</v>
      </c>
      <c r="KF303" s="12" t="s">
        <v>37</v>
      </c>
      <c r="KG303" s="13" t="s">
        <v>37</v>
      </c>
      <c r="KH303" s="12" t="s">
        <v>37</v>
      </c>
      <c r="KI303" s="12" t="s">
        <v>37</v>
      </c>
      <c r="KJ303" s="12" t="s">
        <v>37</v>
      </c>
      <c r="KM303" s="12" t="s">
        <v>37</v>
      </c>
      <c r="KN303" s="12" t="s">
        <v>37</v>
      </c>
      <c r="KO303" s="11" t="s">
        <v>37</v>
      </c>
      <c r="KQ303" s="12" t="s">
        <v>37</v>
      </c>
      <c r="KR303" s="12" t="s">
        <v>37</v>
      </c>
      <c r="KS303" s="12" t="s">
        <v>37</v>
      </c>
      <c r="KX303" s="12" t="s">
        <v>37</v>
      </c>
      <c r="KY303" s="12" t="s">
        <v>37</v>
      </c>
      <c r="KZ303" s="12" t="s">
        <v>37</v>
      </c>
      <c r="LB303" s="12" t="s">
        <v>37</v>
      </c>
      <c r="LC303" s="12" t="s">
        <v>37</v>
      </c>
      <c r="LD303" s="12" t="s">
        <v>37</v>
      </c>
      <c r="LI303" s="12" t="s">
        <v>37</v>
      </c>
      <c r="LJ303" s="12" t="s">
        <v>37</v>
      </c>
      <c r="LK303" s="12" t="s">
        <v>37</v>
      </c>
      <c r="LM303" s="12" t="s">
        <v>37</v>
      </c>
      <c r="LN303" s="12" t="s">
        <v>37</v>
      </c>
      <c r="LO303" s="12" t="s">
        <v>37</v>
      </c>
      <c r="LU303" s="12" t="s">
        <v>37</v>
      </c>
      <c r="LV303" s="12" t="s">
        <v>37</v>
      </c>
      <c r="LW303" s="12" t="s">
        <v>37</v>
      </c>
      <c r="LY303" s="12" t="s">
        <v>37</v>
      </c>
      <c r="LZ303" s="12" t="s">
        <v>37</v>
      </c>
      <c r="MA303" s="12" t="s">
        <v>37</v>
      </c>
      <c r="MF303" s="12" t="s">
        <v>37</v>
      </c>
      <c r="MG303" s="12" t="s">
        <v>37</v>
      </c>
      <c r="MH303" s="12" t="s">
        <v>37</v>
      </c>
      <c r="MJ303" s="12" t="s">
        <v>37</v>
      </c>
      <c r="MK303" s="12" t="s">
        <v>37</v>
      </c>
      <c r="ML303" s="12" t="s">
        <v>37</v>
      </c>
      <c r="MQ303" s="12" t="s">
        <v>37</v>
      </c>
      <c r="MR303" s="12" t="s">
        <v>37</v>
      </c>
      <c r="MS303" s="12" t="s">
        <v>37</v>
      </c>
      <c r="MU303" s="12" t="s">
        <v>37</v>
      </c>
      <c r="MV303" s="12" t="s">
        <v>37</v>
      </c>
      <c r="MW303" s="12" t="s">
        <v>37</v>
      </c>
      <c r="NC303" s="12" t="s">
        <v>37</v>
      </c>
      <c r="ND303" s="12" t="s">
        <v>37</v>
      </c>
      <c r="NE303" s="12" t="s">
        <v>37</v>
      </c>
      <c r="NG303" s="12" t="s">
        <v>37</v>
      </c>
      <c r="NH303" s="12" t="s">
        <v>37</v>
      </c>
      <c r="NI303" s="12" t="s">
        <v>37</v>
      </c>
      <c r="NO303" s="12" t="s">
        <v>37</v>
      </c>
      <c r="NP303" s="12" t="s">
        <v>37</v>
      </c>
      <c r="NQ303" s="12" t="s">
        <v>37</v>
      </c>
      <c r="NS303" s="12" t="s">
        <v>37</v>
      </c>
      <c r="NT303" s="12" t="s">
        <v>37</v>
      </c>
      <c r="NU303" s="12" t="s">
        <v>37</v>
      </c>
      <c r="OA303" s="12" t="s">
        <v>37</v>
      </c>
      <c r="OB303" s="12" t="s">
        <v>37</v>
      </c>
      <c r="OC303" s="12" t="s">
        <v>37</v>
      </c>
      <c r="OD303" s="12"/>
      <c r="OE303" s="12" t="s">
        <v>37</v>
      </c>
      <c r="OF303" s="12" t="s">
        <v>37</v>
      </c>
      <c r="OG303" s="12" t="s">
        <v>37</v>
      </c>
      <c r="OH303" s="12"/>
      <c r="OI303" s="12"/>
      <c r="OJ303" s="12"/>
      <c r="OM303" s="12" t="s">
        <v>37</v>
      </c>
      <c r="ON303" s="12" t="s">
        <v>37</v>
      </c>
      <c r="OO303" s="12" t="s">
        <v>37</v>
      </c>
      <c r="OP303" s="12" t="s">
        <v>37</v>
      </c>
      <c r="OQ303" s="12" t="s">
        <v>37</v>
      </c>
      <c r="OR303" s="12" t="s">
        <v>37</v>
      </c>
      <c r="OS303" s="12"/>
      <c r="OT303" s="12"/>
      <c r="OW303" s="12" t="s">
        <v>37</v>
      </c>
      <c r="OX303" s="12" t="s">
        <v>37</v>
      </c>
      <c r="OY303" s="13" t="s">
        <v>37</v>
      </c>
      <c r="OZ303" s="12" t="s">
        <v>37</v>
      </c>
      <c r="PA303" s="12" t="s">
        <v>37</v>
      </c>
      <c r="PB303" s="13" t="s">
        <v>37</v>
      </c>
      <c r="PG303" s="12" t="s">
        <v>37</v>
      </c>
      <c r="PH303" s="12" t="s">
        <v>37</v>
      </c>
      <c r="PI303" s="12" t="s">
        <v>37</v>
      </c>
      <c r="PJ303" s="12" t="s">
        <v>37</v>
      </c>
      <c r="PK303" s="12" t="s">
        <v>37</v>
      </c>
      <c r="PL303" s="12" t="s">
        <v>37</v>
      </c>
      <c r="PM303" s="12"/>
      <c r="PN303" s="12"/>
      <c r="PQ303" s="12" t="s">
        <v>37</v>
      </c>
      <c r="PR303" s="12" t="s">
        <v>37</v>
      </c>
      <c r="PS303" s="12" t="s">
        <v>37</v>
      </c>
      <c r="PT303" s="12" t="s">
        <v>37</v>
      </c>
      <c r="PU303" s="12" t="s">
        <v>37</v>
      </c>
      <c r="PV303" s="12" t="s">
        <v>37</v>
      </c>
      <c r="PW303" s="12"/>
      <c r="PX303" s="12"/>
      <c r="PZ303" s="12" t="s">
        <v>37</v>
      </c>
      <c r="QA303" s="12" t="s">
        <v>37</v>
      </c>
      <c r="QB303" s="12" t="s">
        <v>37</v>
      </c>
      <c r="QD303" s="12" t="s">
        <v>37</v>
      </c>
      <c r="QE303" s="12" t="s">
        <v>37</v>
      </c>
      <c r="QF303" s="12" t="s">
        <v>37</v>
      </c>
      <c r="QK303" s="12" t="s">
        <v>37</v>
      </c>
      <c r="QL303" s="12" t="s">
        <v>37</v>
      </c>
      <c r="QM303" s="12" t="s">
        <v>37</v>
      </c>
      <c r="QN303" s="12" t="s">
        <v>37</v>
      </c>
      <c r="QO303" s="12" t="s">
        <v>37</v>
      </c>
      <c r="QP303" s="12" t="s">
        <v>37</v>
      </c>
      <c r="QQ303" s="12"/>
      <c r="QR303" s="12"/>
      <c r="QU303" s="12" t="s">
        <v>37</v>
      </c>
      <c r="QV303" s="12" t="s">
        <v>37</v>
      </c>
      <c r="QW303" s="12" t="s">
        <v>37</v>
      </c>
      <c r="QX303" s="12" t="s">
        <v>37</v>
      </c>
      <c r="QY303" s="12" t="s">
        <v>37</v>
      </c>
      <c r="QZ303" s="12" t="s">
        <v>37</v>
      </c>
      <c r="RC303" s="12" t="s">
        <v>37</v>
      </c>
      <c r="RD303" s="12" t="s">
        <v>37</v>
      </c>
      <c r="RE303" s="13" t="s">
        <v>37</v>
      </c>
      <c r="RF303" s="12" t="s">
        <v>37</v>
      </c>
      <c r="RG303" s="12" t="s">
        <v>37</v>
      </c>
      <c r="RH303" s="13" t="s">
        <v>37</v>
      </c>
      <c r="RK303" s="12" t="s">
        <v>37</v>
      </c>
      <c r="RL303" s="12" t="s">
        <v>37</v>
      </c>
      <c r="RM303" s="11" t="s">
        <v>37</v>
      </c>
      <c r="RN303" s="12" t="s">
        <v>37</v>
      </c>
      <c r="RO303" s="12" t="s">
        <v>37</v>
      </c>
      <c r="RP303" s="11" t="s">
        <v>37</v>
      </c>
      <c r="RS303" s="12" t="s">
        <v>37</v>
      </c>
      <c r="RT303" s="12" t="s">
        <v>37</v>
      </c>
      <c r="RU303" s="12" t="s">
        <v>37</v>
      </c>
      <c r="RV303" s="12" t="s">
        <v>37</v>
      </c>
      <c r="RW303" s="12" t="s">
        <v>37</v>
      </c>
      <c r="RX303" s="12" t="s">
        <v>37</v>
      </c>
      <c r="SA303" s="12" t="s">
        <v>37</v>
      </c>
      <c r="SB303" s="12" t="s">
        <v>37</v>
      </c>
      <c r="SC303" s="12" t="s">
        <v>37</v>
      </c>
      <c r="SD303" s="12" t="s">
        <v>37</v>
      </c>
      <c r="SE303" s="12" t="s">
        <v>37</v>
      </c>
      <c r="SF303" s="12" t="s">
        <v>37</v>
      </c>
      <c r="SI303" s="12" t="s">
        <v>37</v>
      </c>
      <c r="SJ303" s="12" t="s">
        <v>37</v>
      </c>
      <c r="SK303" s="13" t="s">
        <v>37</v>
      </c>
      <c r="SM303" s="12" t="s">
        <v>37</v>
      </c>
      <c r="SN303" s="12" t="s">
        <v>37</v>
      </c>
      <c r="SO303" s="13" t="s">
        <v>37</v>
      </c>
      <c r="SU303" s="12" t="s">
        <v>37</v>
      </c>
      <c r="SV303" s="12" t="s">
        <v>37</v>
      </c>
      <c r="SW303" s="12" t="s">
        <v>37</v>
      </c>
      <c r="SX303" s="12" t="s">
        <v>37</v>
      </c>
      <c r="SY303" s="12" t="s">
        <v>37</v>
      </c>
      <c r="SZ303" s="12" t="s">
        <v>37</v>
      </c>
      <c r="TA303" s="12"/>
      <c r="TB303" s="12"/>
      <c r="TE303" s="12" t="s">
        <v>37</v>
      </c>
      <c r="TF303" s="12" t="s">
        <v>37</v>
      </c>
      <c r="TG303" s="12" t="s">
        <v>37</v>
      </c>
      <c r="TH303" s="12" t="s">
        <v>37</v>
      </c>
      <c r="TI303" s="12" t="s">
        <v>37</v>
      </c>
      <c r="TJ303" s="12" t="s">
        <v>37</v>
      </c>
      <c r="TK303" s="12"/>
      <c r="TL303" s="12"/>
      <c r="TO303" s="12" t="s">
        <v>37</v>
      </c>
      <c r="TP303" s="12" t="s">
        <v>37</v>
      </c>
      <c r="TQ303" s="12" t="s">
        <v>37</v>
      </c>
      <c r="TR303" s="12" t="s">
        <v>37</v>
      </c>
      <c r="TS303" s="12" t="s">
        <v>37</v>
      </c>
      <c r="TT303" s="12" t="s">
        <v>37</v>
      </c>
      <c r="TU303" s="12"/>
      <c r="TV303" s="12"/>
      <c r="TY303" s="12" t="s">
        <v>37</v>
      </c>
      <c r="TZ303" s="12" t="s">
        <v>37</v>
      </c>
      <c r="UA303" s="12" t="s">
        <v>37</v>
      </c>
      <c r="UB303" s="12" t="s">
        <v>37</v>
      </c>
      <c r="UC303" s="12" t="s">
        <v>37</v>
      </c>
      <c r="UD303" s="12" t="s">
        <v>37</v>
      </c>
      <c r="UE303" s="12"/>
      <c r="UF303" s="12"/>
      <c r="UI303" s="12" t="s">
        <v>37</v>
      </c>
      <c r="UJ303" s="12" t="s">
        <v>37</v>
      </c>
      <c r="UK303" s="12" t="s">
        <v>37</v>
      </c>
      <c r="UL303" s="12" t="s">
        <v>37</v>
      </c>
      <c r="UM303" s="12" t="s">
        <v>37</v>
      </c>
      <c r="UN303" s="12" t="s">
        <v>37</v>
      </c>
      <c r="UO303" s="12"/>
      <c r="UP303" s="12"/>
      <c r="UR303" s="12" t="s">
        <v>37</v>
      </c>
      <c r="US303" s="12" t="s">
        <v>37</v>
      </c>
      <c r="UT303" s="12" t="s">
        <v>37</v>
      </c>
      <c r="UU303" s="12" t="s">
        <v>37</v>
      </c>
      <c r="UV303" s="12" t="s">
        <v>37</v>
      </c>
      <c r="UW303" s="12" t="s">
        <v>37</v>
      </c>
      <c r="UX303" s="12"/>
      <c r="UY303" s="12"/>
      <c r="VB303" s="12" t="s">
        <v>37</v>
      </c>
      <c r="VC303" s="12" t="s">
        <v>37</v>
      </c>
      <c r="VD303" s="12" t="s">
        <v>37</v>
      </c>
      <c r="VE303" s="12" t="s">
        <v>37</v>
      </c>
      <c r="VF303" s="12" t="s">
        <v>37</v>
      </c>
      <c r="VG303" s="12" t="s">
        <v>37</v>
      </c>
      <c r="VI303" s="12" t="s">
        <v>37</v>
      </c>
      <c r="VJ303" s="12" t="s">
        <v>37</v>
      </c>
      <c r="VK303" s="12" t="s">
        <v>37</v>
      </c>
      <c r="VL303" s="12" t="s">
        <v>37</v>
      </c>
      <c r="VM303" s="12" t="s">
        <v>37</v>
      </c>
      <c r="VN303" s="12" t="s">
        <v>37</v>
      </c>
      <c r="VQ303" s="12" t="s">
        <v>37</v>
      </c>
      <c r="VR303" s="12" t="s">
        <v>37</v>
      </c>
      <c r="VS303" s="12" t="s">
        <v>37</v>
      </c>
      <c r="VT303" s="12" t="s">
        <v>37</v>
      </c>
      <c r="VU303" s="12" t="s">
        <v>37</v>
      </c>
      <c r="VV303" s="12" t="s">
        <v>37</v>
      </c>
      <c r="VW303" s="12"/>
      <c r="VX303" s="12"/>
      <c r="WA303" s="12" t="s">
        <v>37</v>
      </c>
      <c r="WB303" s="12" t="s">
        <v>37</v>
      </c>
      <c r="WC303" s="12" t="s">
        <v>37</v>
      </c>
      <c r="WD303" s="12" t="s">
        <v>37</v>
      </c>
      <c r="WE303" s="12" t="s">
        <v>37</v>
      </c>
      <c r="WF303" s="12" t="s">
        <v>37</v>
      </c>
    </row>
    <row r="304" spans="1:604" ht="18" customHeight="1" x14ac:dyDescent="0.3">
      <c r="A304" s="11">
        <v>70</v>
      </c>
      <c r="B304" s="16" t="s">
        <v>399</v>
      </c>
      <c r="C304" s="12" t="s">
        <v>32</v>
      </c>
      <c r="D304" s="12" t="s">
        <v>54</v>
      </c>
      <c r="E304" s="40" t="s">
        <v>37</v>
      </c>
      <c r="F304" s="14">
        <v>0</v>
      </c>
      <c r="G304" s="14">
        <v>0</v>
      </c>
      <c r="H304" s="12" t="s">
        <v>91</v>
      </c>
      <c r="I304" s="29">
        <v>49.05</v>
      </c>
      <c r="J304" s="29">
        <v>-80.667000000000002</v>
      </c>
      <c r="K304" s="12" t="s">
        <v>778</v>
      </c>
      <c r="L304" s="12" t="s">
        <v>779</v>
      </c>
      <c r="M304" s="13" t="s">
        <v>37</v>
      </c>
      <c r="N304" s="14">
        <v>0.6</v>
      </c>
      <c r="O304" s="14">
        <v>885</v>
      </c>
      <c r="P304" s="14" t="s">
        <v>16</v>
      </c>
      <c r="Q304" s="75">
        <v>7</v>
      </c>
      <c r="R304" s="11" t="s">
        <v>1000</v>
      </c>
      <c r="S304" s="12" t="s">
        <v>93</v>
      </c>
      <c r="T304" s="12" t="s">
        <v>141</v>
      </c>
      <c r="U304" s="12" t="s">
        <v>163</v>
      </c>
      <c r="V304" s="12" t="s">
        <v>275</v>
      </c>
      <c r="W304" s="23" t="s">
        <v>377</v>
      </c>
      <c r="X304" s="12" t="s">
        <v>281</v>
      </c>
      <c r="Y304" s="12" t="s">
        <v>37</v>
      </c>
      <c r="Z304" s="12" t="s">
        <v>37</v>
      </c>
      <c r="AA304" s="32" t="s">
        <v>345</v>
      </c>
      <c r="AB304" s="12">
        <v>4.5</v>
      </c>
      <c r="AE304" s="12" t="s">
        <v>37</v>
      </c>
      <c r="AH304" s="12" t="s">
        <v>37</v>
      </c>
      <c r="AK304" s="12" t="s">
        <v>37</v>
      </c>
      <c r="AL304" s="32" t="s">
        <v>400</v>
      </c>
      <c r="AM304" s="12" t="s">
        <v>317</v>
      </c>
      <c r="AN304" s="32" t="s">
        <v>879</v>
      </c>
      <c r="AO304" s="12" t="s">
        <v>37</v>
      </c>
      <c r="AP304" s="12" t="s">
        <v>401</v>
      </c>
      <c r="AQ304" s="12" t="s">
        <v>975</v>
      </c>
      <c r="AT304" s="12" t="s">
        <v>326</v>
      </c>
      <c r="AU304" s="12" t="s">
        <v>326</v>
      </c>
      <c r="AV304" s="13" t="s">
        <v>326</v>
      </c>
      <c r="AX304" s="12" t="s">
        <v>326</v>
      </c>
      <c r="AY304" s="12" t="s">
        <v>326</v>
      </c>
      <c r="AZ304" s="13" t="s">
        <v>326</v>
      </c>
      <c r="BE304" s="12" t="s">
        <v>326</v>
      </c>
      <c r="BF304" s="12" t="s">
        <v>326</v>
      </c>
      <c r="BG304" s="12" t="s">
        <v>326</v>
      </c>
      <c r="BI304" s="12" t="s">
        <v>326</v>
      </c>
      <c r="BJ304" s="12" t="s">
        <v>326</v>
      </c>
      <c r="BK304" s="12" t="s">
        <v>326</v>
      </c>
      <c r="BP304" s="12" t="s">
        <v>37</v>
      </c>
      <c r="BQ304" s="12" t="s">
        <v>37</v>
      </c>
      <c r="BR304" s="13" t="s">
        <v>37</v>
      </c>
      <c r="BT304" s="12" t="s">
        <v>37</v>
      </c>
      <c r="BU304" s="12" t="s">
        <v>37</v>
      </c>
      <c r="BV304" s="12" t="s">
        <v>37</v>
      </c>
      <c r="CA304" s="12" t="s">
        <v>37</v>
      </c>
      <c r="CB304" s="12" t="s">
        <v>37</v>
      </c>
      <c r="CC304" s="13" t="s">
        <v>37</v>
      </c>
      <c r="CE304" s="12" t="s">
        <v>37</v>
      </c>
      <c r="CF304" s="12" t="s">
        <v>37</v>
      </c>
      <c r="CG304" s="12" t="s">
        <v>37</v>
      </c>
      <c r="CN304" s="12" t="s">
        <v>37</v>
      </c>
      <c r="CO304" s="12" t="s">
        <v>37</v>
      </c>
      <c r="CP304" s="13" t="s">
        <v>37</v>
      </c>
      <c r="CR304" s="12" t="s">
        <v>37</v>
      </c>
      <c r="CS304" s="12" t="s">
        <v>37</v>
      </c>
      <c r="CT304" s="13" t="s">
        <v>37</v>
      </c>
      <c r="CX304" s="72"/>
      <c r="CY304" s="72"/>
      <c r="DA304" s="12" t="s">
        <v>37</v>
      </c>
      <c r="DB304" s="12" t="s">
        <v>37</v>
      </c>
      <c r="DC304" s="13" t="s">
        <v>37</v>
      </c>
      <c r="DE304" s="12" t="s">
        <v>37</v>
      </c>
      <c r="DF304" s="12" t="s">
        <v>37</v>
      </c>
      <c r="DG304" s="12" t="s">
        <v>37</v>
      </c>
      <c r="DM304" s="12" t="s">
        <v>47</v>
      </c>
      <c r="DN304" s="19">
        <f>0.1*("1991/10/31"-"1991/5/1")*10^4/10^6/'[1]classes-1'!$I$32</f>
        <v>0.25277087423732814</v>
      </c>
      <c r="DO304" s="12">
        <f>SQRT((1/[2]Classes!$I$32)^2*(0.8*("1991/10/31"-"1991/5/1")*10^4/10^6)^2+(-DN304/([2]Classes!$I$32)^2)^2*([2]Classes!$J$32)^2)</f>
        <v>2.0397555922164208</v>
      </c>
      <c r="DP304" s="13">
        <v>6</v>
      </c>
      <c r="DQ304" s="19">
        <f t="shared" si="1255"/>
        <v>8.0695831684360986</v>
      </c>
      <c r="DR304" s="19">
        <f>-0.3*("1991/10/31"-"1991/5/1")*10^4/10^6/'[1]classes-1'!$I$33</f>
        <v>-0.16115570294991843</v>
      </c>
      <c r="DS304" s="12">
        <f>SQRT((1/[2]Classes!$I$33)^2*(1*("1991/10/31"-"1991/5/1")*10^4/10^6)^2+(-DR304/([2]Classes!$I$33)^2)^2*([2]Classes!$J$33)^2)</f>
        <v>0.5610292847687105</v>
      </c>
      <c r="DT304" s="13">
        <v>6</v>
      </c>
      <c r="DU304" s="19">
        <f t="shared" si="1256"/>
        <v>3.4812871930635851</v>
      </c>
      <c r="DV304" s="19">
        <f t="shared" si="1211"/>
        <v>-0.41392657718724657</v>
      </c>
      <c r="DW304" s="12">
        <f t="shared" si="1212"/>
        <v>1.4958871505475022</v>
      </c>
      <c r="DX304" s="72">
        <f t="shared" si="1251"/>
        <v>0.74589278905770851</v>
      </c>
      <c r="DY304" s="72">
        <f t="shared" si="1252"/>
        <v>0.74589278905770862</v>
      </c>
      <c r="EA304" s="19" t="s">
        <v>37</v>
      </c>
      <c r="EB304" s="19" t="s">
        <v>37</v>
      </c>
      <c r="EC304" s="72" t="s">
        <v>37</v>
      </c>
      <c r="EE304" s="19" t="s">
        <v>37</v>
      </c>
      <c r="EF304" s="19" t="s">
        <v>37</v>
      </c>
      <c r="EG304" s="12" t="s">
        <v>37</v>
      </c>
      <c r="EM304" s="12" t="s">
        <v>39</v>
      </c>
      <c r="EN304" s="12">
        <v>-48.7</v>
      </c>
      <c r="EO304" s="50">
        <f t="shared" si="1241"/>
        <v>19.845074619187987</v>
      </c>
      <c r="EP304" s="13">
        <v>1</v>
      </c>
      <c r="ER304" s="12">
        <v>-77.599999999999994</v>
      </c>
      <c r="ES304" s="50">
        <f t="shared" si="1242"/>
        <v>17.600770552313467</v>
      </c>
      <c r="ET304" s="13">
        <v>1</v>
      </c>
      <c r="EV304" s="19">
        <f t="shared" si="1233"/>
        <v>-28.899999999999991</v>
      </c>
      <c r="EW304" s="12" t="e">
        <f t="shared" si="1234"/>
        <v>#DIV/0!</v>
      </c>
      <c r="EX304" s="19" t="e">
        <f t="shared" si="1235"/>
        <v>#DIV/0!</v>
      </c>
      <c r="EY304" s="19">
        <f t="shared" si="1236"/>
        <v>703.61411067632412</v>
      </c>
      <c r="FB304" s="12" t="s">
        <v>37</v>
      </c>
      <c r="FC304" s="12" t="s">
        <v>37</v>
      </c>
      <c r="FD304" s="12" t="s">
        <v>37</v>
      </c>
      <c r="FE304" s="12" t="s">
        <v>37</v>
      </c>
      <c r="FF304" s="20" t="s">
        <v>37</v>
      </c>
      <c r="FG304" s="12" t="s">
        <v>37</v>
      </c>
      <c r="FI304" s="12" t="s">
        <v>37</v>
      </c>
      <c r="FJ304" s="12" t="s">
        <v>37</v>
      </c>
      <c r="FK304" s="12" t="s">
        <v>37</v>
      </c>
      <c r="FL304" s="12" t="s">
        <v>37</v>
      </c>
      <c r="FM304" s="12" t="s">
        <v>37</v>
      </c>
      <c r="FN304" s="12" t="s">
        <v>37</v>
      </c>
      <c r="FP304" s="12" t="s">
        <v>37</v>
      </c>
      <c r="FQ304" s="12" t="s">
        <v>37</v>
      </c>
      <c r="FR304" s="12" t="s">
        <v>37</v>
      </c>
      <c r="FS304" s="12" t="s">
        <v>37</v>
      </c>
      <c r="FT304" s="12" t="s">
        <v>37</v>
      </c>
      <c r="FU304" s="12" t="s">
        <v>37</v>
      </c>
      <c r="FW304" s="12" t="s">
        <v>37</v>
      </c>
      <c r="FX304" s="12" t="s">
        <v>37</v>
      </c>
      <c r="FY304" s="12" t="s">
        <v>37</v>
      </c>
      <c r="FZ304" s="12" t="s">
        <v>37</v>
      </c>
      <c r="GA304" s="12" t="s">
        <v>37</v>
      </c>
      <c r="GB304" s="12" t="s">
        <v>37</v>
      </c>
      <c r="GO304" s="12" t="s">
        <v>660</v>
      </c>
      <c r="GP304" s="12" t="s">
        <v>372</v>
      </c>
      <c r="GQ304" s="12">
        <v>13.1</v>
      </c>
      <c r="GR304" s="50">
        <f t="shared" si="1243"/>
        <v>1.251437203784747</v>
      </c>
      <c r="GS304" s="13">
        <v>1</v>
      </c>
      <c r="GU304" s="12">
        <v>11.3</v>
      </c>
      <c r="GV304" s="50">
        <f t="shared" si="1244"/>
        <v>1.2027288600401347</v>
      </c>
      <c r="GW304" s="13">
        <v>1</v>
      </c>
      <c r="GY304" s="19">
        <f t="shared" si="1253"/>
        <v>-0.14780950448881086</v>
      </c>
      <c r="GZ304" s="19">
        <f t="shared" si="1254"/>
        <v>2.0454557267488196E-2</v>
      </c>
      <c r="IK304" s="12" t="s">
        <v>37</v>
      </c>
      <c r="IL304" s="12" t="s">
        <v>37</v>
      </c>
      <c r="IM304" s="12" t="s">
        <v>37</v>
      </c>
      <c r="IO304" s="12" t="s">
        <v>37</v>
      </c>
      <c r="IP304" s="12" t="s">
        <v>37</v>
      </c>
      <c r="IQ304" s="12" t="s">
        <v>37</v>
      </c>
      <c r="IV304" s="32" t="s">
        <v>345</v>
      </c>
      <c r="IW304" s="12">
        <v>4.5</v>
      </c>
      <c r="IX304" s="12">
        <v>0.3</v>
      </c>
      <c r="IY304" s="13">
        <v>6</v>
      </c>
      <c r="IZ304" s="19">
        <f t="shared" si="1247"/>
        <v>6.6666666666666666E-2</v>
      </c>
      <c r="JA304" s="13"/>
      <c r="JB304" s="13"/>
      <c r="JH304" s="12" t="s">
        <v>37</v>
      </c>
      <c r="JI304" s="12" t="s">
        <v>37</v>
      </c>
      <c r="JJ304" s="13" t="s">
        <v>37</v>
      </c>
      <c r="JL304" s="12" t="s">
        <v>37</v>
      </c>
      <c r="JM304" s="12" t="s">
        <v>37</v>
      </c>
      <c r="JN304" s="12" t="s">
        <v>37</v>
      </c>
      <c r="JS304" s="12" t="s">
        <v>37</v>
      </c>
      <c r="JT304" s="12" t="s">
        <v>37</v>
      </c>
      <c r="JU304" s="13" t="s">
        <v>37</v>
      </c>
      <c r="JW304" s="12" t="s">
        <v>37</v>
      </c>
      <c r="JX304" s="12" t="s">
        <v>37</v>
      </c>
      <c r="JY304" s="12" t="s">
        <v>37</v>
      </c>
      <c r="KE304" s="12" t="s">
        <v>37</v>
      </c>
      <c r="KF304" s="12" t="s">
        <v>37</v>
      </c>
      <c r="KG304" s="13" t="s">
        <v>37</v>
      </c>
      <c r="KH304" s="12" t="s">
        <v>37</v>
      </c>
      <c r="KI304" s="12" t="s">
        <v>37</v>
      </c>
      <c r="KJ304" s="12" t="s">
        <v>37</v>
      </c>
      <c r="KM304" s="12" t="s">
        <v>37</v>
      </c>
      <c r="KN304" s="12" t="s">
        <v>37</v>
      </c>
      <c r="KO304" s="11" t="s">
        <v>37</v>
      </c>
      <c r="KQ304" s="12" t="s">
        <v>37</v>
      </c>
      <c r="KR304" s="12" t="s">
        <v>37</v>
      </c>
      <c r="KS304" s="12" t="s">
        <v>37</v>
      </c>
      <c r="KX304" s="12" t="s">
        <v>37</v>
      </c>
      <c r="KY304" s="12" t="s">
        <v>37</v>
      </c>
      <c r="KZ304" s="12" t="s">
        <v>37</v>
      </c>
      <c r="LB304" s="12" t="s">
        <v>37</v>
      </c>
      <c r="LC304" s="12" t="s">
        <v>37</v>
      </c>
      <c r="LD304" s="12" t="s">
        <v>37</v>
      </c>
      <c r="LI304" s="12" t="s">
        <v>37</v>
      </c>
      <c r="LJ304" s="12" t="s">
        <v>37</v>
      </c>
      <c r="LK304" s="12" t="s">
        <v>37</v>
      </c>
      <c r="LM304" s="12" t="s">
        <v>37</v>
      </c>
      <c r="LN304" s="12" t="s">
        <v>37</v>
      </c>
      <c r="LO304" s="12" t="s">
        <v>37</v>
      </c>
      <c r="LU304" s="12" t="s">
        <v>37</v>
      </c>
      <c r="LV304" s="12" t="s">
        <v>37</v>
      </c>
      <c r="LW304" s="12" t="s">
        <v>37</v>
      </c>
      <c r="LY304" s="12" t="s">
        <v>37</v>
      </c>
      <c r="LZ304" s="12" t="s">
        <v>37</v>
      </c>
      <c r="MA304" s="12" t="s">
        <v>37</v>
      </c>
      <c r="MF304" s="12" t="s">
        <v>37</v>
      </c>
      <c r="MG304" s="12" t="s">
        <v>37</v>
      </c>
      <c r="MH304" s="12" t="s">
        <v>37</v>
      </c>
      <c r="MJ304" s="12" t="s">
        <v>37</v>
      </c>
      <c r="MK304" s="12" t="s">
        <v>37</v>
      </c>
      <c r="ML304" s="12" t="s">
        <v>37</v>
      </c>
      <c r="MQ304" s="12" t="s">
        <v>37</v>
      </c>
      <c r="MR304" s="12" t="s">
        <v>37</v>
      </c>
      <c r="MS304" s="12" t="s">
        <v>37</v>
      </c>
      <c r="MU304" s="12" t="s">
        <v>37</v>
      </c>
      <c r="MV304" s="12" t="s">
        <v>37</v>
      </c>
      <c r="MW304" s="12" t="s">
        <v>37</v>
      </c>
      <c r="NC304" s="12" t="s">
        <v>37</v>
      </c>
      <c r="ND304" s="12" t="s">
        <v>37</v>
      </c>
      <c r="NE304" s="12" t="s">
        <v>37</v>
      </c>
      <c r="NG304" s="12" t="s">
        <v>37</v>
      </c>
      <c r="NH304" s="12" t="s">
        <v>37</v>
      </c>
      <c r="NI304" s="12" t="s">
        <v>37</v>
      </c>
      <c r="NO304" s="12" t="s">
        <v>37</v>
      </c>
      <c r="NP304" s="12" t="s">
        <v>37</v>
      </c>
      <c r="NQ304" s="12" t="s">
        <v>37</v>
      </c>
      <c r="NS304" s="12" t="s">
        <v>37</v>
      </c>
      <c r="NT304" s="12" t="s">
        <v>37</v>
      </c>
      <c r="NU304" s="12" t="s">
        <v>37</v>
      </c>
      <c r="OA304" s="12" t="s">
        <v>37</v>
      </c>
      <c r="OB304" s="12" t="s">
        <v>37</v>
      </c>
      <c r="OC304" s="12" t="s">
        <v>37</v>
      </c>
      <c r="OD304" s="12"/>
      <c r="OE304" s="12" t="s">
        <v>37</v>
      </c>
      <c r="OF304" s="12" t="s">
        <v>37</v>
      </c>
      <c r="OG304" s="12" t="s">
        <v>37</v>
      </c>
      <c r="OH304" s="12"/>
      <c r="OI304" s="12"/>
      <c r="OJ304" s="12"/>
      <c r="OM304" s="12" t="s">
        <v>37</v>
      </c>
      <c r="ON304" s="12" t="s">
        <v>37</v>
      </c>
      <c r="OO304" s="12" t="s">
        <v>37</v>
      </c>
      <c r="OP304" s="12" t="s">
        <v>37</v>
      </c>
      <c r="OQ304" s="12" t="s">
        <v>37</v>
      </c>
      <c r="OR304" s="12" t="s">
        <v>37</v>
      </c>
      <c r="OS304" s="12"/>
      <c r="OT304" s="12"/>
      <c r="OW304" s="12" t="s">
        <v>37</v>
      </c>
      <c r="OX304" s="12" t="s">
        <v>37</v>
      </c>
      <c r="OY304" s="13" t="s">
        <v>37</v>
      </c>
      <c r="OZ304" s="12" t="s">
        <v>37</v>
      </c>
      <c r="PA304" s="12" t="s">
        <v>37</v>
      </c>
      <c r="PB304" s="13" t="s">
        <v>37</v>
      </c>
      <c r="PG304" s="12" t="s">
        <v>37</v>
      </c>
      <c r="PH304" s="12" t="s">
        <v>37</v>
      </c>
      <c r="PI304" s="12" t="s">
        <v>37</v>
      </c>
      <c r="PJ304" s="12" t="s">
        <v>37</v>
      </c>
      <c r="PK304" s="12" t="s">
        <v>37</v>
      </c>
      <c r="PL304" s="12" t="s">
        <v>37</v>
      </c>
      <c r="PM304" s="12"/>
      <c r="PN304" s="12"/>
      <c r="PQ304" s="12" t="s">
        <v>37</v>
      </c>
      <c r="PR304" s="12" t="s">
        <v>37</v>
      </c>
      <c r="PS304" s="12" t="s">
        <v>37</v>
      </c>
      <c r="PT304" s="12" t="s">
        <v>37</v>
      </c>
      <c r="PU304" s="12" t="s">
        <v>37</v>
      </c>
      <c r="PV304" s="12" t="s">
        <v>37</v>
      </c>
      <c r="PW304" s="12"/>
      <c r="PX304" s="12"/>
      <c r="PZ304" s="12" t="s">
        <v>37</v>
      </c>
      <c r="QA304" s="12" t="s">
        <v>37</v>
      </c>
      <c r="QB304" s="12" t="s">
        <v>37</v>
      </c>
      <c r="QD304" s="12" t="s">
        <v>37</v>
      </c>
      <c r="QE304" s="12" t="s">
        <v>37</v>
      </c>
      <c r="QF304" s="12" t="s">
        <v>37</v>
      </c>
      <c r="QK304" s="12" t="s">
        <v>37</v>
      </c>
      <c r="QL304" s="12" t="s">
        <v>37</v>
      </c>
      <c r="QM304" s="12" t="s">
        <v>37</v>
      </c>
      <c r="QN304" s="12" t="s">
        <v>37</v>
      </c>
      <c r="QO304" s="12" t="s">
        <v>37</v>
      </c>
      <c r="QP304" s="12" t="s">
        <v>37</v>
      </c>
      <c r="QQ304" s="12"/>
      <c r="QR304" s="12"/>
      <c r="QU304" s="12" t="s">
        <v>37</v>
      </c>
      <c r="QV304" s="12" t="s">
        <v>37</v>
      </c>
      <c r="QW304" s="12" t="s">
        <v>37</v>
      </c>
      <c r="QX304" s="12" t="s">
        <v>37</v>
      </c>
      <c r="QY304" s="12" t="s">
        <v>37</v>
      </c>
      <c r="QZ304" s="12" t="s">
        <v>37</v>
      </c>
      <c r="RC304" s="12" t="s">
        <v>37</v>
      </c>
      <c r="RD304" s="12" t="s">
        <v>37</v>
      </c>
      <c r="RE304" s="13" t="s">
        <v>37</v>
      </c>
      <c r="RF304" s="12" t="s">
        <v>37</v>
      </c>
      <c r="RG304" s="12" t="s">
        <v>37</v>
      </c>
      <c r="RH304" s="13" t="s">
        <v>37</v>
      </c>
      <c r="RK304" s="12" t="s">
        <v>37</v>
      </c>
      <c r="RL304" s="12" t="s">
        <v>37</v>
      </c>
      <c r="RM304" s="11" t="s">
        <v>37</v>
      </c>
      <c r="RN304" s="12" t="s">
        <v>37</v>
      </c>
      <c r="RO304" s="12" t="s">
        <v>37</v>
      </c>
      <c r="RP304" s="11" t="s">
        <v>37</v>
      </c>
      <c r="RS304" s="12" t="s">
        <v>37</v>
      </c>
      <c r="RT304" s="12" t="s">
        <v>37</v>
      </c>
      <c r="RU304" s="12" t="s">
        <v>37</v>
      </c>
      <c r="RV304" s="12" t="s">
        <v>37</v>
      </c>
      <c r="RW304" s="12" t="s">
        <v>37</v>
      </c>
      <c r="RX304" s="12" t="s">
        <v>37</v>
      </c>
      <c r="SA304" s="12" t="s">
        <v>37</v>
      </c>
      <c r="SB304" s="12" t="s">
        <v>37</v>
      </c>
      <c r="SC304" s="12" t="s">
        <v>37</v>
      </c>
      <c r="SD304" s="12" t="s">
        <v>37</v>
      </c>
      <c r="SE304" s="12" t="s">
        <v>37</v>
      </c>
      <c r="SF304" s="12" t="s">
        <v>37</v>
      </c>
      <c r="SI304" s="12" t="s">
        <v>37</v>
      </c>
      <c r="SJ304" s="12" t="s">
        <v>37</v>
      </c>
      <c r="SK304" s="13" t="s">
        <v>37</v>
      </c>
      <c r="SM304" s="12" t="s">
        <v>37</v>
      </c>
      <c r="SN304" s="12" t="s">
        <v>37</v>
      </c>
      <c r="SO304" s="13" t="s">
        <v>37</v>
      </c>
      <c r="SU304" s="12" t="s">
        <v>37</v>
      </c>
      <c r="SV304" s="12" t="s">
        <v>37</v>
      </c>
      <c r="SW304" s="12" t="s">
        <v>37</v>
      </c>
      <c r="SX304" s="12" t="s">
        <v>37</v>
      </c>
      <c r="SY304" s="12" t="s">
        <v>37</v>
      </c>
      <c r="SZ304" s="12" t="s">
        <v>37</v>
      </c>
      <c r="TA304" s="12"/>
      <c r="TB304" s="12"/>
      <c r="TE304" s="12" t="s">
        <v>37</v>
      </c>
      <c r="TF304" s="12" t="s">
        <v>37</v>
      </c>
      <c r="TG304" s="12" t="s">
        <v>37</v>
      </c>
      <c r="TH304" s="12" t="s">
        <v>37</v>
      </c>
      <c r="TI304" s="12" t="s">
        <v>37</v>
      </c>
      <c r="TJ304" s="12" t="s">
        <v>37</v>
      </c>
      <c r="TK304" s="12"/>
      <c r="TL304" s="12"/>
      <c r="TO304" s="12" t="s">
        <v>37</v>
      </c>
      <c r="TP304" s="12" t="s">
        <v>37</v>
      </c>
      <c r="TQ304" s="12" t="s">
        <v>37</v>
      </c>
      <c r="TR304" s="12" t="s">
        <v>37</v>
      </c>
      <c r="TS304" s="12" t="s">
        <v>37</v>
      </c>
      <c r="TT304" s="12" t="s">
        <v>37</v>
      </c>
      <c r="TU304" s="12"/>
      <c r="TV304" s="12"/>
      <c r="TY304" s="12" t="s">
        <v>37</v>
      </c>
      <c r="TZ304" s="12" t="s">
        <v>37</v>
      </c>
      <c r="UA304" s="12" t="s">
        <v>37</v>
      </c>
      <c r="UB304" s="12" t="s">
        <v>37</v>
      </c>
      <c r="UC304" s="12" t="s">
        <v>37</v>
      </c>
      <c r="UD304" s="12" t="s">
        <v>37</v>
      </c>
      <c r="UE304" s="12"/>
      <c r="UF304" s="12"/>
      <c r="UI304" s="12" t="s">
        <v>37</v>
      </c>
      <c r="UJ304" s="12" t="s">
        <v>37</v>
      </c>
      <c r="UK304" s="12" t="s">
        <v>37</v>
      </c>
      <c r="UL304" s="12" t="s">
        <v>37</v>
      </c>
      <c r="UM304" s="12" t="s">
        <v>37</v>
      </c>
      <c r="UN304" s="12" t="s">
        <v>37</v>
      </c>
      <c r="UO304" s="12"/>
      <c r="UP304" s="12"/>
      <c r="UR304" s="12" t="s">
        <v>37</v>
      </c>
      <c r="US304" s="12" t="s">
        <v>37</v>
      </c>
      <c r="UT304" s="12" t="s">
        <v>37</v>
      </c>
      <c r="UU304" s="12" t="s">
        <v>37</v>
      </c>
      <c r="UV304" s="12" t="s">
        <v>37</v>
      </c>
      <c r="UW304" s="12" t="s">
        <v>37</v>
      </c>
      <c r="UX304" s="12"/>
      <c r="UY304" s="12"/>
      <c r="VB304" s="12" t="s">
        <v>37</v>
      </c>
      <c r="VC304" s="12" t="s">
        <v>37</v>
      </c>
      <c r="VD304" s="12" t="s">
        <v>37</v>
      </c>
      <c r="VE304" s="12" t="s">
        <v>37</v>
      </c>
      <c r="VF304" s="12" t="s">
        <v>37</v>
      </c>
      <c r="VG304" s="12" t="s">
        <v>37</v>
      </c>
      <c r="VI304" s="12" t="s">
        <v>37</v>
      </c>
      <c r="VJ304" s="12" t="s">
        <v>37</v>
      </c>
      <c r="VK304" s="12" t="s">
        <v>37</v>
      </c>
      <c r="VL304" s="12" t="s">
        <v>37</v>
      </c>
      <c r="VM304" s="12" t="s">
        <v>37</v>
      </c>
      <c r="VN304" s="12" t="s">
        <v>37</v>
      </c>
      <c r="VQ304" s="12" t="s">
        <v>37</v>
      </c>
      <c r="VR304" s="12" t="s">
        <v>37</v>
      </c>
      <c r="VS304" s="12" t="s">
        <v>37</v>
      </c>
      <c r="VT304" s="12" t="s">
        <v>37</v>
      </c>
      <c r="VU304" s="12" t="s">
        <v>37</v>
      </c>
      <c r="VV304" s="12" t="s">
        <v>37</v>
      </c>
      <c r="VW304" s="12"/>
      <c r="VX304" s="12"/>
      <c r="WA304" s="12" t="s">
        <v>37</v>
      </c>
      <c r="WB304" s="12" t="s">
        <v>37</v>
      </c>
      <c r="WC304" s="12" t="s">
        <v>37</v>
      </c>
      <c r="WD304" s="12" t="s">
        <v>37</v>
      </c>
      <c r="WE304" s="12" t="s">
        <v>37</v>
      </c>
      <c r="WF304" s="12" t="s">
        <v>37</v>
      </c>
    </row>
    <row r="305" spans="1:604" ht="18" customHeight="1" x14ac:dyDescent="0.3">
      <c r="A305" s="11">
        <v>70</v>
      </c>
      <c r="B305" s="16" t="s">
        <v>399</v>
      </c>
      <c r="C305" s="12" t="s">
        <v>32</v>
      </c>
      <c r="D305" s="12" t="s">
        <v>54</v>
      </c>
      <c r="E305" s="40" t="s">
        <v>37</v>
      </c>
      <c r="F305" s="14">
        <v>0</v>
      </c>
      <c r="G305" s="14">
        <v>0</v>
      </c>
      <c r="H305" s="12" t="s">
        <v>91</v>
      </c>
      <c r="I305" s="29">
        <v>49.05</v>
      </c>
      <c r="J305" s="29">
        <v>-80.667000000000002</v>
      </c>
      <c r="K305" s="12" t="s">
        <v>778</v>
      </c>
      <c r="L305" s="12" t="s">
        <v>779</v>
      </c>
      <c r="M305" s="13" t="s">
        <v>37</v>
      </c>
      <c r="N305" s="14">
        <v>0.6</v>
      </c>
      <c r="O305" s="14">
        <v>885</v>
      </c>
      <c r="P305" s="14" t="s">
        <v>16</v>
      </c>
      <c r="Q305" s="75">
        <v>7</v>
      </c>
      <c r="R305" s="11" t="s">
        <v>999</v>
      </c>
      <c r="S305" s="12" t="s">
        <v>93</v>
      </c>
      <c r="T305" s="12" t="s">
        <v>141</v>
      </c>
      <c r="U305" s="12" t="s">
        <v>163</v>
      </c>
      <c r="V305" s="12" t="s">
        <v>275</v>
      </c>
      <c r="W305" s="23" t="s">
        <v>377</v>
      </c>
      <c r="X305" s="12" t="s">
        <v>281</v>
      </c>
      <c r="Y305" s="12" t="s">
        <v>37</v>
      </c>
      <c r="Z305" s="12" t="s">
        <v>37</v>
      </c>
      <c r="AA305" s="32" t="s">
        <v>345</v>
      </c>
      <c r="AB305" s="12">
        <v>4.5</v>
      </c>
      <c r="AE305" s="12" t="s">
        <v>37</v>
      </c>
      <c r="AH305" s="12" t="s">
        <v>37</v>
      </c>
      <c r="AK305" s="12" t="s">
        <v>37</v>
      </c>
      <c r="AL305" s="32" t="s">
        <v>400</v>
      </c>
      <c r="AM305" s="12" t="s">
        <v>317</v>
      </c>
      <c r="AN305" s="32" t="s">
        <v>879</v>
      </c>
      <c r="AO305" s="12" t="s">
        <v>37</v>
      </c>
      <c r="AP305" s="12" t="s">
        <v>401</v>
      </c>
      <c r="AQ305" s="12" t="s">
        <v>975</v>
      </c>
      <c r="AT305" s="12" t="s">
        <v>326</v>
      </c>
      <c r="AU305" s="12" t="s">
        <v>326</v>
      </c>
      <c r="AV305" s="13" t="s">
        <v>326</v>
      </c>
      <c r="AX305" s="12" t="s">
        <v>326</v>
      </c>
      <c r="AY305" s="12" t="s">
        <v>326</v>
      </c>
      <c r="AZ305" s="13" t="s">
        <v>326</v>
      </c>
      <c r="BE305" s="12" t="s">
        <v>326</v>
      </c>
      <c r="BF305" s="12" t="s">
        <v>326</v>
      </c>
      <c r="BG305" s="12" t="s">
        <v>326</v>
      </c>
      <c r="BI305" s="12" t="s">
        <v>326</v>
      </c>
      <c r="BJ305" s="12" t="s">
        <v>326</v>
      </c>
      <c r="BK305" s="12" t="s">
        <v>326</v>
      </c>
      <c r="BP305" s="12" t="s">
        <v>37</v>
      </c>
      <c r="BQ305" s="12" t="s">
        <v>37</v>
      </c>
      <c r="BR305" s="13" t="s">
        <v>37</v>
      </c>
      <c r="BT305" s="12" t="s">
        <v>37</v>
      </c>
      <c r="BU305" s="12" t="s">
        <v>37</v>
      </c>
      <c r="BV305" s="12" t="s">
        <v>37</v>
      </c>
      <c r="CA305" s="12" t="s">
        <v>37</v>
      </c>
      <c r="CB305" s="12" t="s">
        <v>37</v>
      </c>
      <c r="CC305" s="13" t="s">
        <v>37</v>
      </c>
      <c r="CE305" s="12" t="s">
        <v>37</v>
      </c>
      <c r="CF305" s="12" t="s">
        <v>37</v>
      </c>
      <c r="CG305" s="12" t="s">
        <v>37</v>
      </c>
      <c r="CN305" s="12" t="s">
        <v>37</v>
      </c>
      <c r="CO305" s="12" t="s">
        <v>37</v>
      </c>
      <c r="CP305" s="13" t="s">
        <v>37</v>
      </c>
      <c r="CR305" s="12" t="s">
        <v>37</v>
      </c>
      <c r="CS305" s="12" t="s">
        <v>37</v>
      </c>
      <c r="CT305" s="13" t="s">
        <v>37</v>
      </c>
      <c r="CX305" s="72"/>
      <c r="CY305" s="72"/>
      <c r="DA305" s="12" t="s">
        <v>37</v>
      </c>
      <c r="DB305" s="12" t="s">
        <v>37</v>
      </c>
      <c r="DC305" s="13" t="s">
        <v>37</v>
      </c>
      <c r="DE305" s="12" t="s">
        <v>37</v>
      </c>
      <c r="DF305" s="12" t="s">
        <v>37</v>
      </c>
      <c r="DG305" s="12" t="s">
        <v>37</v>
      </c>
      <c r="DM305" s="12" t="s">
        <v>47</v>
      </c>
      <c r="DN305" s="19">
        <f>0.1*("1991/10/31"-"1991/5/1")*10^4/10^6/'[1]classes-1'!$I$32</f>
        <v>0.25277087423732814</v>
      </c>
      <c r="DO305" s="12">
        <f>DO304</f>
        <v>2.0397555922164208</v>
      </c>
      <c r="DP305" s="13">
        <v>6</v>
      </c>
      <c r="DQ305" s="19">
        <f t="shared" si="1255"/>
        <v>8.0695831684360986</v>
      </c>
      <c r="DR305" s="19">
        <f>-0.3*("1991/10/31"-"1991/5/1")*10^4/10^6/'[1]classes-1'!$I$33</f>
        <v>-0.16115570294991843</v>
      </c>
      <c r="DS305" s="12">
        <f>DS304</f>
        <v>0.5610292847687105</v>
      </c>
      <c r="DT305" s="13">
        <v>6</v>
      </c>
      <c r="DU305" s="19">
        <f t="shared" si="1256"/>
        <v>3.4812871930635851</v>
      </c>
      <c r="DV305" s="19">
        <f t="shared" si="1211"/>
        <v>-0.41392657718724657</v>
      </c>
      <c r="DW305" s="12">
        <f t="shared" si="1212"/>
        <v>1.4958871505475022</v>
      </c>
      <c r="DX305" s="72">
        <f t="shared" si="1251"/>
        <v>0.74589278905770851</v>
      </c>
      <c r="DY305" s="72">
        <f t="shared" si="1252"/>
        <v>0.74589278905770862</v>
      </c>
      <c r="EA305" s="19" t="s">
        <v>37</v>
      </c>
      <c r="EB305" s="19" t="s">
        <v>37</v>
      </c>
      <c r="EC305" s="72" t="s">
        <v>37</v>
      </c>
      <c r="EE305" s="19" t="s">
        <v>37</v>
      </c>
      <c r="EF305" s="19" t="s">
        <v>37</v>
      </c>
      <c r="EG305" s="12" t="s">
        <v>37</v>
      </c>
      <c r="EM305" s="12" t="s">
        <v>39</v>
      </c>
      <c r="EN305" s="12">
        <v>-48.7</v>
      </c>
      <c r="EO305" s="50">
        <f t="shared" si="1241"/>
        <v>19.845074619187987</v>
      </c>
      <c r="EP305" s="13">
        <v>1</v>
      </c>
      <c r="ER305" s="12">
        <v>-119.3</v>
      </c>
      <c r="ES305" s="50">
        <f t="shared" si="1242"/>
        <v>27.058916583646866</v>
      </c>
      <c r="ET305" s="13">
        <v>1</v>
      </c>
      <c r="EV305" s="19">
        <f t="shared" si="1233"/>
        <v>-70.599999999999994</v>
      </c>
      <c r="EW305" s="12" t="e">
        <f t="shared" si="1234"/>
        <v>#DIV/0!</v>
      </c>
      <c r="EX305" s="19" t="e">
        <f t="shared" si="1235"/>
        <v>#DIV/0!</v>
      </c>
      <c r="EY305" s="19">
        <f t="shared" si="1236"/>
        <v>1126.0119533218985</v>
      </c>
      <c r="FB305" s="12" t="s">
        <v>37</v>
      </c>
      <c r="FC305" s="12" t="s">
        <v>37</v>
      </c>
      <c r="FD305" s="12" t="s">
        <v>37</v>
      </c>
      <c r="FE305" s="12" t="s">
        <v>37</v>
      </c>
      <c r="FF305" s="20" t="s">
        <v>37</v>
      </c>
      <c r="FG305" s="12" t="s">
        <v>37</v>
      </c>
      <c r="FI305" s="12" t="s">
        <v>37</v>
      </c>
      <c r="FJ305" s="12" t="s">
        <v>37</v>
      </c>
      <c r="FK305" s="12" t="s">
        <v>37</v>
      </c>
      <c r="FL305" s="12" t="s">
        <v>37</v>
      </c>
      <c r="FM305" s="12" t="s">
        <v>37</v>
      </c>
      <c r="FN305" s="12" t="s">
        <v>37</v>
      </c>
      <c r="FP305" s="12" t="s">
        <v>37</v>
      </c>
      <c r="FQ305" s="12" t="s">
        <v>37</v>
      </c>
      <c r="FR305" s="12" t="s">
        <v>37</v>
      </c>
      <c r="FS305" s="12" t="s">
        <v>37</v>
      </c>
      <c r="FT305" s="12" t="s">
        <v>37</v>
      </c>
      <c r="FU305" s="12" t="s">
        <v>37</v>
      </c>
      <c r="FW305" s="12" t="s">
        <v>37</v>
      </c>
      <c r="FX305" s="12" t="s">
        <v>37</v>
      </c>
      <c r="FY305" s="12" t="s">
        <v>37</v>
      </c>
      <c r="FZ305" s="12" t="s">
        <v>37</v>
      </c>
      <c r="GA305" s="12" t="s">
        <v>37</v>
      </c>
      <c r="GB305" s="12" t="s">
        <v>37</v>
      </c>
      <c r="GO305" s="12" t="s">
        <v>660</v>
      </c>
      <c r="GP305" s="12" t="s">
        <v>372</v>
      </c>
      <c r="GQ305" s="12">
        <v>13.1</v>
      </c>
      <c r="GR305" s="50">
        <f t="shared" si="1243"/>
        <v>1.251437203784747</v>
      </c>
      <c r="GS305" s="13">
        <v>1</v>
      </c>
      <c r="GU305" s="12">
        <v>16.2</v>
      </c>
      <c r="GV305" s="50">
        <f t="shared" si="1244"/>
        <v>1.7242661533318744</v>
      </c>
      <c r="GW305" s="13">
        <v>1</v>
      </c>
      <c r="GY305" s="19">
        <f t="shared" si="1253"/>
        <v>0.21239901203123257</v>
      </c>
      <c r="GZ305" s="19">
        <f t="shared" si="1254"/>
        <v>2.0454557267488193E-2</v>
      </c>
      <c r="IK305" s="12" t="s">
        <v>37</v>
      </c>
      <c r="IL305" s="12" t="s">
        <v>37</v>
      </c>
      <c r="IM305" s="12" t="s">
        <v>37</v>
      </c>
      <c r="IO305" s="12" t="s">
        <v>37</v>
      </c>
      <c r="IP305" s="12" t="s">
        <v>37</v>
      </c>
      <c r="IQ305" s="12" t="s">
        <v>37</v>
      </c>
      <c r="IV305" s="32" t="s">
        <v>345</v>
      </c>
      <c r="IW305" s="12">
        <v>4.5</v>
      </c>
      <c r="IX305" s="12">
        <v>0.3</v>
      </c>
      <c r="IY305" s="13">
        <v>6</v>
      </c>
      <c r="IZ305" s="19">
        <f t="shared" si="1247"/>
        <v>6.6666666666666666E-2</v>
      </c>
      <c r="JA305" s="13"/>
      <c r="JB305" s="13"/>
      <c r="JH305" s="12" t="s">
        <v>37</v>
      </c>
      <c r="JI305" s="12" t="s">
        <v>37</v>
      </c>
      <c r="JJ305" s="13" t="s">
        <v>37</v>
      </c>
      <c r="JL305" s="12" t="s">
        <v>37</v>
      </c>
      <c r="JM305" s="12" t="s">
        <v>37</v>
      </c>
      <c r="JN305" s="12" t="s">
        <v>37</v>
      </c>
      <c r="JS305" s="12" t="s">
        <v>37</v>
      </c>
      <c r="JT305" s="12" t="s">
        <v>37</v>
      </c>
      <c r="JU305" s="13" t="s">
        <v>37</v>
      </c>
      <c r="JW305" s="12" t="s">
        <v>37</v>
      </c>
      <c r="JX305" s="12" t="s">
        <v>37</v>
      </c>
      <c r="JY305" s="12" t="s">
        <v>37</v>
      </c>
      <c r="KE305" s="12" t="s">
        <v>37</v>
      </c>
      <c r="KF305" s="12" t="s">
        <v>37</v>
      </c>
      <c r="KG305" s="13" t="s">
        <v>37</v>
      </c>
      <c r="KH305" s="12" t="s">
        <v>37</v>
      </c>
      <c r="KI305" s="12" t="s">
        <v>37</v>
      </c>
      <c r="KJ305" s="12" t="s">
        <v>37</v>
      </c>
      <c r="KM305" s="12" t="s">
        <v>37</v>
      </c>
      <c r="KN305" s="12" t="s">
        <v>37</v>
      </c>
      <c r="KO305" s="11" t="s">
        <v>37</v>
      </c>
      <c r="KQ305" s="12" t="s">
        <v>37</v>
      </c>
      <c r="KR305" s="12" t="s">
        <v>37</v>
      </c>
      <c r="KS305" s="12" t="s">
        <v>37</v>
      </c>
      <c r="KX305" s="12" t="s">
        <v>37</v>
      </c>
      <c r="KY305" s="12" t="s">
        <v>37</v>
      </c>
      <c r="KZ305" s="12" t="s">
        <v>37</v>
      </c>
      <c r="LB305" s="12" t="s">
        <v>37</v>
      </c>
      <c r="LC305" s="12" t="s">
        <v>37</v>
      </c>
      <c r="LD305" s="12" t="s">
        <v>37</v>
      </c>
      <c r="LI305" s="12" t="s">
        <v>37</v>
      </c>
      <c r="LJ305" s="12" t="s">
        <v>37</v>
      </c>
      <c r="LK305" s="12" t="s">
        <v>37</v>
      </c>
      <c r="LM305" s="12" t="s">
        <v>37</v>
      </c>
      <c r="LN305" s="12" t="s">
        <v>37</v>
      </c>
      <c r="LO305" s="12" t="s">
        <v>37</v>
      </c>
      <c r="LU305" s="12" t="s">
        <v>37</v>
      </c>
      <c r="LV305" s="12" t="s">
        <v>37</v>
      </c>
      <c r="LW305" s="12" t="s">
        <v>37</v>
      </c>
      <c r="LY305" s="12" t="s">
        <v>37</v>
      </c>
      <c r="LZ305" s="12" t="s">
        <v>37</v>
      </c>
      <c r="MA305" s="12" t="s">
        <v>37</v>
      </c>
      <c r="MF305" s="12" t="s">
        <v>37</v>
      </c>
      <c r="MG305" s="12" t="s">
        <v>37</v>
      </c>
      <c r="MH305" s="12" t="s">
        <v>37</v>
      </c>
      <c r="MJ305" s="12" t="s">
        <v>37</v>
      </c>
      <c r="MK305" s="12" t="s">
        <v>37</v>
      </c>
      <c r="ML305" s="12" t="s">
        <v>37</v>
      </c>
      <c r="MQ305" s="12" t="s">
        <v>37</v>
      </c>
      <c r="MR305" s="12" t="s">
        <v>37</v>
      </c>
      <c r="MS305" s="12" t="s">
        <v>37</v>
      </c>
      <c r="MU305" s="12" t="s">
        <v>37</v>
      </c>
      <c r="MV305" s="12" t="s">
        <v>37</v>
      </c>
      <c r="MW305" s="12" t="s">
        <v>37</v>
      </c>
      <c r="NC305" s="12" t="s">
        <v>37</v>
      </c>
      <c r="ND305" s="12" t="s">
        <v>37</v>
      </c>
      <c r="NE305" s="12" t="s">
        <v>37</v>
      </c>
      <c r="NG305" s="12" t="s">
        <v>37</v>
      </c>
      <c r="NH305" s="12" t="s">
        <v>37</v>
      </c>
      <c r="NI305" s="12" t="s">
        <v>37</v>
      </c>
      <c r="NO305" s="12" t="s">
        <v>37</v>
      </c>
      <c r="NP305" s="12" t="s">
        <v>37</v>
      </c>
      <c r="NQ305" s="12" t="s">
        <v>37</v>
      </c>
      <c r="NS305" s="12" t="s">
        <v>37</v>
      </c>
      <c r="NT305" s="12" t="s">
        <v>37</v>
      </c>
      <c r="NU305" s="12" t="s">
        <v>37</v>
      </c>
      <c r="OA305" s="12" t="s">
        <v>37</v>
      </c>
      <c r="OB305" s="12" t="s">
        <v>37</v>
      </c>
      <c r="OC305" s="12" t="s">
        <v>37</v>
      </c>
      <c r="OD305" s="12"/>
      <c r="OE305" s="12" t="s">
        <v>37</v>
      </c>
      <c r="OF305" s="12" t="s">
        <v>37</v>
      </c>
      <c r="OG305" s="12" t="s">
        <v>37</v>
      </c>
      <c r="OH305" s="12"/>
      <c r="OI305" s="12"/>
      <c r="OJ305" s="12"/>
      <c r="OM305" s="12" t="s">
        <v>37</v>
      </c>
      <c r="ON305" s="12" t="s">
        <v>37</v>
      </c>
      <c r="OO305" s="12" t="s">
        <v>37</v>
      </c>
      <c r="OP305" s="12" t="s">
        <v>37</v>
      </c>
      <c r="OQ305" s="12" t="s">
        <v>37</v>
      </c>
      <c r="OR305" s="12" t="s">
        <v>37</v>
      </c>
      <c r="OS305" s="12"/>
      <c r="OT305" s="12"/>
      <c r="OW305" s="12" t="s">
        <v>37</v>
      </c>
      <c r="OX305" s="12" t="s">
        <v>37</v>
      </c>
      <c r="OY305" s="13" t="s">
        <v>37</v>
      </c>
      <c r="OZ305" s="12" t="s">
        <v>37</v>
      </c>
      <c r="PA305" s="12" t="s">
        <v>37</v>
      </c>
      <c r="PB305" s="13" t="s">
        <v>37</v>
      </c>
      <c r="PG305" s="12" t="s">
        <v>37</v>
      </c>
      <c r="PH305" s="12" t="s">
        <v>37</v>
      </c>
      <c r="PI305" s="12" t="s">
        <v>37</v>
      </c>
      <c r="PJ305" s="12" t="s">
        <v>37</v>
      </c>
      <c r="PK305" s="12" t="s">
        <v>37</v>
      </c>
      <c r="PL305" s="12" t="s">
        <v>37</v>
      </c>
      <c r="PM305" s="12"/>
      <c r="PN305" s="12"/>
      <c r="PQ305" s="12" t="s">
        <v>37</v>
      </c>
      <c r="PR305" s="12" t="s">
        <v>37</v>
      </c>
      <c r="PS305" s="12" t="s">
        <v>37</v>
      </c>
      <c r="PT305" s="12" t="s">
        <v>37</v>
      </c>
      <c r="PU305" s="12" t="s">
        <v>37</v>
      </c>
      <c r="PV305" s="12" t="s">
        <v>37</v>
      </c>
      <c r="PW305" s="12"/>
      <c r="PX305" s="12"/>
      <c r="PZ305" s="12" t="s">
        <v>37</v>
      </c>
      <c r="QA305" s="12" t="s">
        <v>37</v>
      </c>
      <c r="QB305" s="12" t="s">
        <v>37</v>
      </c>
      <c r="QD305" s="12" t="s">
        <v>37</v>
      </c>
      <c r="QE305" s="12" t="s">
        <v>37</v>
      </c>
      <c r="QF305" s="12" t="s">
        <v>37</v>
      </c>
      <c r="QK305" s="12" t="s">
        <v>37</v>
      </c>
      <c r="QL305" s="12" t="s">
        <v>37</v>
      </c>
      <c r="QM305" s="12" t="s">
        <v>37</v>
      </c>
      <c r="QN305" s="12" t="s">
        <v>37</v>
      </c>
      <c r="QO305" s="12" t="s">
        <v>37</v>
      </c>
      <c r="QP305" s="12" t="s">
        <v>37</v>
      </c>
      <c r="QQ305" s="12"/>
      <c r="QR305" s="12"/>
      <c r="QU305" s="12" t="s">
        <v>37</v>
      </c>
      <c r="QV305" s="12" t="s">
        <v>37</v>
      </c>
      <c r="QW305" s="12" t="s">
        <v>37</v>
      </c>
      <c r="QX305" s="12" t="s">
        <v>37</v>
      </c>
      <c r="QY305" s="12" t="s">
        <v>37</v>
      </c>
      <c r="QZ305" s="12" t="s">
        <v>37</v>
      </c>
      <c r="RC305" s="12" t="s">
        <v>37</v>
      </c>
      <c r="RD305" s="12" t="s">
        <v>37</v>
      </c>
      <c r="RE305" s="13" t="s">
        <v>37</v>
      </c>
      <c r="RF305" s="12" t="s">
        <v>37</v>
      </c>
      <c r="RG305" s="12" t="s">
        <v>37</v>
      </c>
      <c r="RH305" s="13" t="s">
        <v>37</v>
      </c>
      <c r="RK305" s="12" t="s">
        <v>37</v>
      </c>
      <c r="RL305" s="12" t="s">
        <v>37</v>
      </c>
      <c r="RM305" s="11" t="s">
        <v>37</v>
      </c>
      <c r="RN305" s="12" t="s">
        <v>37</v>
      </c>
      <c r="RO305" s="12" t="s">
        <v>37</v>
      </c>
      <c r="RP305" s="11" t="s">
        <v>37</v>
      </c>
      <c r="RS305" s="12" t="s">
        <v>37</v>
      </c>
      <c r="RT305" s="12" t="s">
        <v>37</v>
      </c>
      <c r="RU305" s="12" t="s">
        <v>37</v>
      </c>
      <c r="RV305" s="12" t="s">
        <v>37</v>
      </c>
      <c r="RW305" s="12" t="s">
        <v>37</v>
      </c>
      <c r="RX305" s="12" t="s">
        <v>37</v>
      </c>
      <c r="SA305" s="12" t="s">
        <v>37</v>
      </c>
      <c r="SB305" s="12" t="s">
        <v>37</v>
      </c>
      <c r="SC305" s="12" t="s">
        <v>37</v>
      </c>
      <c r="SD305" s="12" t="s">
        <v>37</v>
      </c>
      <c r="SE305" s="12" t="s">
        <v>37</v>
      </c>
      <c r="SF305" s="12" t="s">
        <v>37</v>
      </c>
      <c r="SI305" s="12" t="s">
        <v>37</v>
      </c>
      <c r="SJ305" s="12" t="s">
        <v>37</v>
      </c>
      <c r="SK305" s="13" t="s">
        <v>37</v>
      </c>
      <c r="SM305" s="12" t="s">
        <v>37</v>
      </c>
      <c r="SN305" s="12" t="s">
        <v>37</v>
      </c>
      <c r="SO305" s="13" t="s">
        <v>37</v>
      </c>
      <c r="SU305" s="12" t="s">
        <v>37</v>
      </c>
      <c r="SV305" s="12" t="s">
        <v>37</v>
      </c>
      <c r="SW305" s="12" t="s">
        <v>37</v>
      </c>
      <c r="SX305" s="12" t="s">
        <v>37</v>
      </c>
      <c r="SY305" s="12" t="s">
        <v>37</v>
      </c>
      <c r="SZ305" s="12" t="s">
        <v>37</v>
      </c>
      <c r="TA305" s="12"/>
      <c r="TB305" s="12"/>
      <c r="TE305" s="12" t="s">
        <v>37</v>
      </c>
      <c r="TF305" s="12" t="s">
        <v>37</v>
      </c>
      <c r="TG305" s="12" t="s">
        <v>37</v>
      </c>
      <c r="TH305" s="12" t="s">
        <v>37</v>
      </c>
      <c r="TI305" s="12" t="s">
        <v>37</v>
      </c>
      <c r="TJ305" s="12" t="s">
        <v>37</v>
      </c>
      <c r="TK305" s="12"/>
      <c r="TL305" s="12"/>
      <c r="TO305" s="12" t="s">
        <v>37</v>
      </c>
      <c r="TP305" s="12" t="s">
        <v>37</v>
      </c>
      <c r="TQ305" s="12" t="s">
        <v>37</v>
      </c>
      <c r="TR305" s="12" t="s">
        <v>37</v>
      </c>
      <c r="TS305" s="12" t="s">
        <v>37</v>
      </c>
      <c r="TT305" s="12" t="s">
        <v>37</v>
      </c>
      <c r="TU305" s="12"/>
      <c r="TV305" s="12"/>
      <c r="TY305" s="12" t="s">
        <v>37</v>
      </c>
      <c r="TZ305" s="12" t="s">
        <v>37</v>
      </c>
      <c r="UA305" s="12" t="s">
        <v>37</v>
      </c>
      <c r="UB305" s="12" t="s">
        <v>37</v>
      </c>
      <c r="UC305" s="12" t="s">
        <v>37</v>
      </c>
      <c r="UD305" s="12" t="s">
        <v>37</v>
      </c>
      <c r="UE305" s="12"/>
      <c r="UF305" s="12"/>
      <c r="UI305" s="12" t="s">
        <v>37</v>
      </c>
      <c r="UJ305" s="12" t="s">
        <v>37</v>
      </c>
      <c r="UK305" s="12" t="s">
        <v>37</v>
      </c>
      <c r="UL305" s="12" t="s">
        <v>37</v>
      </c>
      <c r="UM305" s="12" t="s">
        <v>37</v>
      </c>
      <c r="UN305" s="12" t="s">
        <v>37</v>
      </c>
      <c r="UO305" s="12"/>
      <c r="UP305" s="12"/>
      <c r="UR305" s="12" t="s">
        <v>37</v>
      </c>
      <c r="US305" s="12" t="s">
        <v>37</v>
      </c>
      <c r="UT305" s="12" t="s">
        <v>37</v>
      </c>
      <c r="UU305" s="12" t="s">
        <v>37</v>
      </c>
      <c r="UV305" s="12" t="s">
        <v>37</v>
      </c>
      <c r="UW305" s="12" t="s">
        <v>37</v>
      </c>
      <c r="UX305" s="12"/>
      <c r="UY305" s="12"/>
      <c r="VB305" s="12" t="s">
        <v>37</v>
      </c>
      <c r="VC305" s="12" t="s">
        <v>37</v>
      </c>
      <c r="VD305" s="12" t="s">
        <v>37</v>
      </c>
      <c r="VE305" s="12" t="s">
        <v>37</v>
      </c>
      <c r="VF305" s="12" t="s">
        <v>37</v>
      </c>
      <c r="VG305" s="12" t="s">
        <v>37</v>
      </c>
      <c r="VI305" s="12" t="s">
        <v>37</v>
      </c>
      <c r="VJ305" s="12" t="s">
        <v>37</v>
      </c>
      <c r="VK305" s="12" t="s">
        <v>37</v>
      </c>
      <c r="VL305" s="12" t="s">
        <v>37</v>
      </c>
      <c r="VM305" s="12" t="s">
        <v>37</v>
      </c>
      <c r="VN305" s="12" t="s">
        <v>37</v>
      </c>
      <c r="VQ305" s="12" t="s">
        <v>37</v>
      </c>
      <c r="VR305" s="12" t="s">
        <v>37</v>
      </c>
      <c r="VS305" s="12" t="s">
        <v>37</v>
      </c>
      <c r="VT305" s="12" t="s">
        <v>37</v>
      </c>
      <c r="VU305" s="12" t="s">
        <v>37</v>
      </c>
      <c r="VV305" s="12" t="s">
        <v>37</v>
      </c>
      <c r="VW305" s="12"/>
      <c r="VX305" s="12"/>
      <c r="WA305" s="12" t="s">
        <v>37</v>
      </c>
      <c r="WB305" s="12" t="s">
        <v>37</v>
      </c>
      <c r="WC305" s="12" t="s">
        <v>37</v>
      </c>
      <c r="WD305" s="12" t="s">
        <v>37</v>
      </c>
      <c r="WE305" s="12" t="s">
        <v>37</v>
      </c>
      <c r="WF305" s="12" t="s">
        <v>37</v>
      </c>
    </row>
    <row r="306" spans="1:604" ht="18" customHeight="1" x14ac:dyDescent="0.3">
      <c r="A306" s="11">
        <v>70</v>
      </c>
      <c r="B306" s="16" t="s">
        <v>901</v>
      </c>
      <c r="C306" s="12" t="s">
        <v>864</v>
      </c>
      <c r="D306" s="12" t="s">
        <v>54</v>
      </c>
      <c r="E306" s="40" t="s">
        <v>37</v>
      </c>
      <c r="F306" s="14">
        <v>0</v>
      </c>
      <c r="G306" s="14">
        <v>0</v>
      </c>
      <c r="H306" s="12" t="s">
        <v>91</v>
      </c>
      <c r="I306" s="29">
        <v>49.05</v>
      </c>
      <c r="J306" s="29">
        <v>-80.667000000000002</v>
      </c>
      <c r="K306" s="12" t="s">
        <v>778</v>
      </c>
      <c r="L306" s="12" t="s">
        <v>779</v>
      </c>
      <c r="M306" s="13" t="s">
        <v>37</v>
      </c>
      <c r="N306" s="14">
        <v>0.6</v>
      </c>
      <c r="O306" s="14">
        <v>885</v>
      </c>
      <c r="P306" s="14" t="s">
        <v>16</v>
      </c>
      <c r="Q306" s="75">
        <v>7</v>
      </c>
      <c r="R306" s="11" t="s">
        <v>999</v>
      </c>
      <c r="S306" s="12" t="s">
        <v>93</v>
      </c>
      <c r="T306" s="12" t="s">
        <v>141</v>
      </c>
      <c r="U306" s="12" t="s">
        <v>163</v>
      </c>
      <c r="V306" s="12" t="s">
        <v>275</v>
      </c>
      <c r="W306" s="23" t="s">
        <v>377</v>
      </c>
      <c r="X306" s="12" t="s">
        <v>281</v>
      </c>
      <c r="Y306" s="12" t="s">
        <v>37</v>
      </c>
      <c r="Z306" s="12" t="s">
        <v>37</v>
      </c>
      <c r="AA306" s="32" t="s">
        <v>345</v>
      </c>
      <c r="AB306" s="12">
        <v>4.5</v>
      </c>
      <c r="AE306" s="12" t="s">
        <v>37</v>
      </c>
      <c r="AH306" s="12" t="s">
        <v>37</v>
      </c>
      <c r="AK306" s="12" t="s">
        <v>37</v>
      </c>
      <c r="AL306" s="32" t="s">
        <v>400</v>
      </c>
      <c r="AM306" s="12" t="s">
        <v>317</v>
      </c>
      <c r="AN306" s="32" t="s">
        <v>879</v>
      </c>
      <c r="AO306" s="12" t="s">
        <v>37</v>
      </c>
      <c r="AP306" s="12" t="s">
        <v>401</v>
      </c>
      <c r="AQ306" s="12" t="s">
        <v>975</v>
      </c>
      <c r="AT306" s="12" t="s">
        <v>326</v>
      </c>
      <c r="AU306" s="12" t="s">
        <v>326</v>
      </c>
      <c r="AV306" s="13" t="s">
        <v>326</v>
      </c>
      <c r="AX306" s="12" t="s">
        <v>326</v>
      </c>
      <c r="AY306" s="12" t="s">
        <v>326</v>
      </c>
      <c r="AZ306" s="13" t="s">
        <v>326</v>
      </c>
      <c r="BE306" s="12" t="s">
        <v>326</v>
      </c>
      <c r="BF306" s="12" t="s">
        <v>326</v>
      </c>
      <c r="BG306" s="12" t="s">
        <v>326</v>
      </c>
      <c r="BI306" s="12" t="s">
        <v>326</v>
      </c>
      <c r="BJ306" s="12" t="s">
        <v>326</v>
      </c>
      <c r="BK306" s="12" t="s">
        <v>326</v>
      </c>
      <c r="BP306" s="12" t="s">
        <v>37</v>
      </c>
      <c r="BQ306" s="12" t="s">
        <v>37</v>
      </c>
      <c r="BR306" s="13" t="s">
        <v>37</v>
      </c>
      <c r="BT306" s="12" t="s">
        <v>37</v>
      </c>
      <c r="BU306" s="12" t="s">
        <v>37</v>
      </c>
      <c r="BV306" s="12" t="s">
        <v>37</v>
      </c>
      <c r="CA306" s="12" t="s">
        <v>37</v>
      </c>
      <c r="CB306" s="12" t="s">
        <v>37</v>
      </c>
      <c r="CC306" s="13" t="s">
        <v>37</v>
      </c>
      <c r="CE306" s="12" t="s">
        <v>37</v>
      </c>
      <c r="CF306" s="12" t="s">
        <v>37</v>
      </c>
      <c r="CG306" s="12" t="s">
        <v>37</v>
      </c>
      <c r="CN306" s="12" t="s">
        <v>37</v>
      </c>
      <c r="CO306" s="12" t="s">
        <v>37</v>
      </c>
      <c r="CP306" s="13" t="s">
        <v>37</v>
      </c>
      <c r="CR306" s="12" t="s">
        <v>37</v>
      </c>
      <c r="CS306" s="12" t="s">
        <v>37</v>
      </c>
      <c r="CT306" s="13" t="s">
        <v>37</v>
      </c>
      <c r="CX306" s="72"/>
      <c r="CY306" s="72"/>
      <c r="DA306" s="12" t="s">
        <v>37</v>
      </c>
      <c r="DB306" s="12" t="s">
        <v>37</v>
      </c>
      <c r="DC306" s="13" t="s">
        <v>37</v>
      </c>
      <c r="DE306" s="12" t="s">
        <v>37</v>
      </c>
      <c r="DF306" s="12" t="s">
        <v>37</v>
      </c>
      <c r="DG306" s="12" t="s">
        <v>37</v>
      </c>
      <c r="DM306" s="12" t="s">
        <v>47</v>
      </c>
      <c r="DN306" s="19">
        <f>0.1*("1991/10/31"-"1991/5/1")*10^4/10^6/'[1]classes-1'!$I$32</f>
        <v>0.25277087423732814</v>
      </c>
      <c r="DO306" s="12">
        <f t="shared" ref="DO306:DO307" si="1259">DO305</f>
        <v>2.0397555922164208</v>
      </c>
      <c r="DP306" s="13">
        <v>6</v>
      </c>
      <c r="DQ306" s="19">
        <f t="shared" si="1255"/>
        <v>8.0695831684360986</v>
      </c>
      <c r="DR306" s="19">
        <f>-0.3*("1991/10/31"-"1991/5/1")*10^4/10^6/'[1]classes-1'!$I$33</f>
        <v>-0.16115570294991843</v>
      </c>
      <c r="DS306" s="12">
        <f>SQRT((1/[2]Classes!$I$33)^2*(0.9*("1991/10/31"-"1991/5/1")*10^4/10^6)^2+(-DR306/([2]Classes!$I$33)^2)^2*([2]Classes!$J$33)^2)</f>
        <v>0.50982923873701236</v>
      </c>
      <c r="DT306" s="13">
        <v>6</v>
      </c>
      <c r="DU306" s="19">
        <f t="shared" si="1256"/>
        <v>3.16358173744214</v>
      </c>
      <c r="DV306" s="19">
        <f t="shared" si="1211"/>
        <v>-0.41392657718724657</v>
      </c>
      <c r="DW306" s="12">
        <f t="shared" si="1212"/>
        <v>1.486695787417406</v>
      </c>
      <c r="DX306" s="72">
        <f t="shared" si="1251"/>
        <v>0.73675478810822037</v>
      </c>
      <c r="DY306" s="72">
        <f t="shared" si="1252"/>
        <v>0.73675478810822037</v>
      </c>
      <c r="EA306" s="19" t="s">
        <v>37</v>
      </c>
      <c r="EB306" s="19" t="s">
        <v>37</v>
      </c>
      <c r="EC306" s="72" t="s">
        <v>37</v>
      </c>
      <c r="EE306" s="19" t="s">
        <v>37</v>
      </c>
      <c r="EF306" s="19" t="s">
        <v>37</v>
      </c>
      <c r="EG306" s="12" t="s">
        <v>37</v>
      </c>
      <c r="EM306" s="12" t="s">
        <v>39</v>
      </c>
      <c r="EN306" s="12">
        <v>-48.7</v>
      </c>
      <c r="EO306" s="50">
        <f t="shared" si="1241"/>
        <v>19.845074619187987</v>
      </c>
      <c r="EP306" s="13">
        <v>1</v>
      </c>
      <c r="ER306" s="12">
        <v>-85.1</v>
      </c>
      <c r="ES306" s="50">
        <f t="shared" si="1242"/>
        <v>19.301875953632422</v>
      </c>
      <c r="ET306" s="13">
        <v>1</v>
      </c>
      <c r="EV306" s="19">
        <f t="shared" si="1233"/>
        <v>-36.399999999999991</v>
      </c>
      <c r="EW306" s="12" t="e">
        <f t="shared" si="1234"/>
        <v>#DIV/0!</v>
      </c>
      <c r="EX306" s="19" t="e">
        <f t="shared" si="1235"/>
        <v>#DIV/0!</v>
      </c>
      <c r="EY306" s="19">
        <f t="shared" si="1236"/>
        <v>766.38940197055274</v>
      </c>
      <c r="FB306" s="12" t="s">
        <v>37</v>
      </c>
      <c r="FC306" s="12" t="s">
        <v>37</v>
      </c>
      <c r="FD306" s="12" t="s">
        <v>37</v>
      </c>
      <c r="FE306" s="12" t="s">
        <v>37</v>
      </c>
      <c r="FF306" s="20" t="s">
        <v>37</v>
      </c>
      <c r="FG306" s="12" t="s">
        <v>37</v>
      </c>
      <c r="FI306" s="12" t="s">
        <v>37</v>
      </c>
      <c r="FJ306" s="12" t="s">
        <v>37</v>
      </c>
      <c r="FK306" s="12" t="s">
        <v>37</v>
      </c>
      <c r="FL306" s="12" t="s">
        <v>37</v>
      </c>
      <c r="FM306" s="12" t="s">
        <v>37</v>
      </c>
      <c r="FN306" s="12" t="s">
        <v>37</v>
      </c>
      <c r="FP306" s="12" t="s">
        <v>37</v>
      </c>
      <c r="FQ306" s="12" t="s">
        <v>37</v>
      </c>
      <c r="FR306" s="12" t="s">
        <v>37</v>
      </c>
      <c r="FS306" s="12" t="s">
        <v>37</v>
      </c>
      <c r="FT306" s="12" t="s">
        <v>37</v>
      </c>
      <c r="FU306" s="12" t="s">
        <v>37</v>
      </c>
      <c r="FW306" s="12" t="s">
        <v>37</v>
      </c>
      <c r="FX306" s="12" t="s">
        <v>37</v>
      </c>
      <c r="FY306" s="12" t="s">
        <v>37</v>
      </c>
      <c r="FZ306" s="12" t="s">
        <v>37</v>
      </c>
      <c r="GA306" s="12" t="s">
        <v>37</v>
      </c>
      <c r="GB306" s="12" t="s">
        <v>37</v>
      </c>
      <c r="GO306" s="12" t="s">
        <v>660</v>
      </c>
      <c r="GP306" s="12" t="s">
        <v>372</v>
      </c>
      <c r="GQ306" s="12">
        <v>13.1</v>
      </c>
      <c r="GR306" s="50">
        <f t="shared" si="1243"/>
        <v>1.251437203784747</v>
      </c>
      <c r="GS306" s="13">
        <v>1</v>
      </c>
      <c r="GU306" s="12">
        <v>11.6</v>
      </c>
      <c r="GV306" s="50">
        <f t="shared" si="1244"/>
        <v>1.2346597147314655</v>
      </c>
      <c r="GW306" s="13">
        <v>1</v>
      </c>
      <c r="GY306" s="19">
        <f t="shared" si="1253"/>
        <v>-0.12160713209478687</v>
      </c>
      <c r="GZ306" s="19">
        <f t="shared" si="1254"/>
        <v>2.045455726748819E-2</v>
      </c>
      <c r="IK306" s="12" t="s">
        <v>37</v>
      </c>
      <c r="IL306" s="12" t="s">
        <v>37</v>
      </c>
      <c r="IM306" s="12" t="s">
        <v>37</v>
      </c>
      <c r="IO306" s="12" t="s">
        <v>37</v>
      </c>
      <c r="IP306" s="12" t="s">
        <v>37</v>
      </c>
      <c r="IQ306" s="12" t="s">
        <v>37</v>
      </c>
      <c r="IV306" s="32" t="s">
        <v>345</v>
      </c>
      <c r="IW306" s="12">
        <v>4.5</v>
      </c>
      <c r="IX306" s="12">
        <v>0.3</v>
      </c>
      <c r="IY306" s="13">
        <v>6</v>
      </c>
      <c r="IZ306" s="19">
        <f t="shared" si="1247"/>
        <v>6.6666666666666666E-2</v>
      </c>
      <c r="JA306" s="13"/>
      <c r="JB306" s="13"/>
      <c r="JH306" s="12" t="s">
        <v>37</v>
      </c>
      <c r="JI306" s="12" t="s">
        <v>37</v>
      </c>
      <c r="JJ306" s="13" t="s">
        <v>37</v>
      </c>
      <c r="JL306" s="12" t="s">
        <v>37</v>
      </c>
      <c r="JM306" s="12" t="s">
        <v>37</v>
      </c>
      <c r="JN306" s="12" t="s">
        <v>37</v>
      </c>
      <c r="JS306" s="12" t="s">
        <v>37</v>
      </c>
      <c r="JT306" s="12" t="s">
        <v>37</v>
      </c>
      <c r="JU306" s="13" t="s">
        <v>37</v>
      </c>
      <c r="JW306" s="12" t="s">
        <v>37</v>
      </c>
      <c r="JX306" s="12" t="s">
        <v>37</v>
      </c>
      <c r="JY306" s="12" t="s">
        <v>37</v>
      </c>
      <c r="KE306" s="12" t="s">
        <v>37</v>
      </c>
      <c r="KF306" s="12" t="s">
        <v>37</v>
      </c>
      <c r="KG306" s="13" t="s">
        <v>37</v>
      </c>
      <c r="KH306" s="12" t="s">
        <v>37</v>
      </c>
      <c r="KI306" s="12" t="s">
        <v>37</v>
      </c>
      <c r="KJ306" s="12" t="s">
        <v>37</v>
      </c>
      <c r="KM306" s="12" t="s">
        <v>37</v>
      </c>
      <c r="KN306" s="12" t="s">
        <v>37</v>
      </c>
      <c r="KO306" s="11" t="s">
        <v>37</v>
      </c>
      <c r="KQ306" s="12" t="s">
        <v>37</v>
      </c>
      <c r="KR306" s="12" t="s">
        <v>37</v>
      </c>
      <c r="KS306" s="12" t="s">
        <v>37</v>
      </c>
      <c r="KX306" s="12" t="s">
        <v>37</v>
      </c>
      <c r="KY306" s="12" t="s">
        <v>37</v>
      </c>
      <c r="KZ306" s="12" t="s">
        <v>37</v>
      </c>
      <c r="LB306" s="12" t="s">
        <v>37</v>
      </c>
      <c r="LC306" s="12" t="s">
        <v>37</v>
      </c>
      <c r="LD306" s="12" t="s">
        <v>37</v>
      </c>
      <c r="LI306" s="12" t="s">
        <v>37</v>
      </c>
      <c r="LJ306" s="12" t="s">
        <v>37</v>
      </c>
      <c r="LK306" s="12" t="s">
        <v>37</v>
      </c>
      <c r="LM306" s="12" t="s">
        <v>37</v>
      </c>
      <c r="LN306" s="12" t="s">
        <v>37</v>
      </c>
      <c r="LO306" s="12" t="s">
        <v>37</v>
      </c>
      <c r="LU306" s="12" t="s">
        <v>37</v>
      </c>
      <c r="LV306" s="12" t="s">
        <v>37</v>
      </c>
      <c r="LW306" s="12" t="s">
        <v>37</v>
      </c>
      <c r="LY306" s="12" t="s">
        <v>37</v>
      </c>
      <c r="LZ306" s="12" t="s">
        <v>37</v>
      </c>
      <c r="MA306" s="12" t="s">
        <v>37</v>
      </c>
      <c r="MF306" s="12" t="s">
        <v>37</v>
      </c>
      <c r="MG306" s="12" t="s">
        <v>37</v>
      </c>
      <c r="MH306" s="12" t="s">
        <v>37</v>
      </c>
      <c r="MJ306" s="12" t="s">
        <v>37</v>
      </c>
      <c r="MK306" s="12" t="s">
        <v>37</v>
      </c>
      <c r="ML306" s="12" t="s">
        <v>37</v>
      </c>
      <c r="MQ306" s="12" t="s">
        <v>37</v>
      </c>
      <c r="MR306" s="12" t="s">
        <v>37</v>
      </c>
      <c r="MS306" s="12" t="s">
        <v>37</v>
      </c>
      <c r="MU306" s="12" t="s">
        <v>37</v>
      </c>
      <c r="MV306" s="12" t="s">
        <v>37</v>
      </c>
      <c r="MW306" s="12" t="s">
        <v>37</v>
      </c>
      <c r="NC306" s="12" t="s">
        <v>37</v>
      </c>
      <c r="ND306" s="12" t="s">
        <v>37</v>
      </c>
      <c r="NE306" s="12" t="s">
        <v>37</v>
      </c>
      <c r="NG306" s="12" t="s">
        <v>37</v>
      </c>
      <c r="NH306" s="12" t="s">
        <v>37</v>
      </c>
      <c r="NI306" s="12" t="s">
        <v>37</v>
      </c>
      <c r="NO306" s="12" t="s">
        <v>37</v>
      </c>
      <c r="NP306" s="12" t="s">
        <v>37</v>
      </c>
      <c r="NQ306" s="12" t="s">
        <v>37</v>
      </c>
      <c r="NS306" s="12" t="s">
        <v>37</v>
      </c>
      <c r="NT306" s="12" t="s">
        <v>37</v>
      </c>
      <c r="NU306" s="12" t="s">
        <v>37</v>
      </c>
      <c r="OA306" s="12" t="s">
        <v>37</v>
      </c>
      <c r="OB306" s="12" t="s">
        <v>37</v>
      </c>
      <c r="OC306" s="12" t="s">
        <v>37</v>
      </c>
      <c r="OD306" s="12"/>
      <c r="OE306" s="12" t="s">
        <v>37</v>
      </c>
      <c r="OF306" s="12" t="s">
        <v>37</v>
      </c>
      <c r="OG306" s="12" t="s">
        <v>37</v>
      </c>
      <c r="OH306" s="12"/>
      <c r="OI306" s="12"/>
      <c r="OJ306" s="12"/>
      <c r="OM306" s="12" t="s">
        <v>37</v>
      </c>
      <c r="ON306" s="12" t="s">
        <v>37</v>
      </c>
      <c r="OO306" s="12" t="s">
        <v>37</v>
      </c>
      <c r="OP306" s="12" t="s">
        <v>37</v>
      </c>
      <c r="OQ306" s="12" t="s">
        <v>37</v>
      </c>
      <c r="OR306" s="12" t="s">
        <v>37</v>
      </c>
      <c r="OS306" s="12"/>
      <c r="OT306" s="12"/>
      <c r="OW306" s="12" t="s">
        <v>37</v>
      </c>
      <c r="OX306" s="12" t="s">
        <v>37</v>
      </c>
      <c r="OY306" s="13" t="s">
        <v>37</v>
      </c>
      <c r="OZ306" s="12" t="s">
        <v>37</v>
      </c>
      <c r="PA306" s="12" t="s">
        <v>37</v>
      </c>
      <c r="PB306" s="13" t="s">
        <v>37</v>
      </c>
      <c r="PG306" s="12" t="s">
        <v>37</v>
      </c>
      <c r="PH306" s="12" t="s">
        <v>37</v>
      </c>
      <c r="PI306" s="12" t="s">
        <v>37</v>
      </c>
      <c r="PJ306" s="12" t="s">
        <v>37</v>
      </c>
      <c r="PK306" s="12" t="s">
        <v>37</v>
      </c>
      <c r="PL306" s="12" t="s">
        <v>37</v>
      </c>
      <c r="PM306" s="12"/>
      <c r="PN306" s="12"/>
      <c r="PQ306" s="12" t="s">
        <v>37</v>
      </c>
      <c r="PR306" s="12" t="s">
        <v>37</v>
      </c>
      <c r="PS306" s="12" t="s">
        <v>37</v>
      </c>
      <c r="PT306" s="12" t="s">
        <v>37</v>
      </c>
      <c r="PU306" s="12" t="s">
        <v>37</v>
      </c>
      <c r="PV306" s="12" t="s">
        <v>37</v>
      </c>
      <c r="PW306" s="12"/>
      <c r="PX306" s="12"/>
      <c r="PZ306" s="12" t="s">
        <v>37</v>
      </c>
      <c r="QA306" s="12" t="s">
        <v>37</v>
      </c>
      <c r="QB306" s="12" t="s">
        <v>37</v>
      </c>
      <c r="QD306" s="12" t="s">
        <v>37</v>
      </c>
      <c r="QE306" s="12" t="s">
        <v>37</v>
      </c>
      <c r="QF306" s="12" t="s">
        <v>37</v>
      </c>
      <c r="QK306" s="12" t="s">
        <v>37</v>
      </c>
      <c r="QL306" s="12" t="s">
        <v>37</v>
      </c>
      <c r="QM306" s="12" t="s">
        <v>37</v>
      </c>
      <c r="QN306" s="12" t="s">
        <v>37</v>
      </c>
      <c r="QO306" s="12" t="s">
        <v>37</v>
      </c>
      <c r="QP306" s="12" t="s">
        <v>37</v>
      </c>
      <c r="QQ306" s="12"/>
      <c r="QR306" s="12"/>
      <c r="QU306" s="12" t="s">
        <v>37</v>
      </c>
      <c r="QV306" s="12" t="s">
        <v>37</v>
      </c>
      <c r="QW306" s="12" t="s">
        <v>37</v>
      </c>
      <c r="QX306" s="12" t="s">
        <v>37</v>
      </c>
      <c r="QY306" s="12" t="s">
        <v>37</v>
      </c>
      <c r="QZ306" s="12" t="s">
        <v>37</v>
      </c>
      <c r="RC306" s="12" t="s">
        <v>37</v>
      </c>
      <c r="RD306" s="12" t="s">
        <v>37</v>
      </c>
      <c r="RE306" s="13" t="s">
        <v>37</v>
      </c>
      <c r="RF306" s="12" t="s">
        <v>37</v>
      </c>
      <c r="RG306" s="12" t="s">
        <v>37</v>
      </c>
      <c r="RH306" s="13" t="s">
        <v>37</v>
      </c>
      <c r="RK306" s="12" t="s">
        <v>37</v>
      </c>
      <c r="RL306" s="12" t="s">
        <v>37</v>
      </c>
      <c r="RM306" s="11" t="s">
        <v>37</v>
      </c>
      <c r="RN306" s="12" t="s">
        <v>37</v>
      </c>
      <c r="RO306" s="12" t="s">
        <v>37</v>
      </c>
      <c r="RP306" s="11" t="s">
        <v>37</v>
      </c>
      <c r="RS306" s="12" t="s">
        <v>37</v>
      </c>
      <c r="RT306" s="12" t="s">
        <v>37</v>
      </c>
      <c r="RU306" s="12" t="s">
        <v>37</v>
      </c>
      <c r="RV306" s="12" t="s">
        <v>37</v>
      </c>
      <c r="RW306" s="12" t="s">
        <v>37</v>
      </c>
      <c r="RX306" s="12" t="s">
        <v>37</v>
      </c>
      <c r="SA306" s="12" t="s">
        <v>37</v>
      </c>
      <c r="SB306" s="12" t="s">
        <v>37</v>
      </c>
      <c r="SC306" s="12" t="s">
        <v>37</v>
      </c>
      <c r="SD306" s="12" t="s">
        <v>37</v>
      </c>
      <c r="SE306" s="12" t="s">
        <v>37</v>
      </c>
      <c r="SF306" s="12" t="s">
        <v>37</v>
      </c>
      <c r="SI306" s="12" t="s">
        <v>37</v>
      </c>
      <c r="SJ306" s="12" t="s">
        <v>37</v>
      </c>
      <c r="SK306" s="13" t="s">
        <v>37</v>
      </c>
      <c r="SM306" s="12" t="s">
        <v>37</v>
      </c>
      <c r="SN306" s="12" t="s">
        <v>37</v>
      </c>
      <c r="SO306" s="13" t="s">
        <v>37</v>
      </c>
      <c r="SU306" s="12" t="s">
        <v>37</v>
      </c>
      <c r="SV306" s="12" t="s">
        <v>37</v>
      </c>
      <c r="SW306" s="12" t="s">
        <v>37</v>
      </c>
      <c r="SX306" s="12" t="s">
        <v>37</v>
      </c>
      <c r="SY306" s="12" t="s">
        <v>37</v>
      </c>
      <c r="SZ306" s="12" t="s">
        <v>37</v>
      </c>
      <c r="TA306" s="12"/>
      <c r="TB306" s="12"/>
      <c r="TE306" s="12" t="s">
        <v>37</v>
      </c>
      <c r="TF306" s="12" t="s">
        <v>37</v>
      </c>
      <c r="TG306" s="12" t="s">
        <v>37</v>
      </c>
      <c r="TH306" s="12" t="s">
        <v>37</v>
      </c>
      <c r="TI306" s="12" t="s">
        <v>37</v>
      </c>
      <c r="TJ306" s="12" t="s">
        <v>37</v>
      </c>
      <c r="TK306" s="12"/>
      <c r="TL306" s="12"/>
      <c r="TO306" s="12" t="s">
        <v>37</v>
      </c>
      <c r="TP306" s="12" t="s">
        <v>37</v>
      </c>
      <c r="TQ306" s="12" t="s">
        <v>37</v>
      </c>
      <c r="TR306" s="12" t="s">
        <v>37</v>
      </c>
      <c r="TS306" s="12" t="s">
        <v>37</v>
      </c>
      <c r="TT306" s="12" t="s">
        <v>37</v>
      </c>
      <c r="TU306" s="12"/>
      <c r="TV306" s="12"/>
      <c r="TY306" s="12" t="s">
        <v>37</v>
      </c>
      <c r="TZ306" s="12" t="s">
        <v>37</v>
      </c>
      <c r="UA306" s="12" t="s">
        <v>37</v>
      </c>
      <c r="UB306" s="12" t="s">
        <v>37</v>
      </c>
      <c r="UC306" s="12" t="s">
        <v>37</v>
      </c>
      <c r="UD306" s="12" t="s">
        <v>37</v>
      </c>
      <c r="UE306" s="12"/>
      <c r="UF306" s="12"/>
      <c r="UI306" s="12" t="s">
        <v>37</v>
      </c>
      <c r="UJ306" s="12" t="s">
        <v>37</v>
      </c>
      <c r="UK306" s="12" t="s">
        <v>37</v>
      </c>
      <c r="UL306" s="12" t="s">
        <v>37</v>
      </c>
      <c r="UM306" s="12" t="s">
        <v>37</v>
      </c>
      <c r="UN306" s="12" t="s">
        <v>37</v>
      </c>
      <c r="UO306" s="12"/>
      <c r="UP306" s="12"/>
      <c r="UR306" s="12" t="s">
        <v>37</v>
      </c>
      <c r="US306" s="12" t="s">
        <v>37</v>
      </c>
      <c r="UT306" s="12" t="s">
        <v>37</v>
      </c>
      <c r="UU306" s="12" t="s">
        <v>37</v>
      </c>
      <c r="UV306" s="12" t="s">
        <v>37</v>
      </c>
      <c r="UW306" s="12" t="s">
        <v>37</v>
      </c>
      <c r="UX306" s="12"/>
      <c r="UY306" s="12"/>
      <c r="VB306" s="12" t="s">
        <v>37</v>
      </c>
      <c r="VC306" s="12" t="s">
        <v>37</v>
      </c>
      <c r="VD306" s="12" t="s">
        <v>37</v>
      </c>
      <c r="VE306" s="12" t="s">
        <v>37</v>
      </c>
      <c r="VF306" s="12" t="s">
        <v>37</v>
      </c>
      <c r="VG306" s="12" t="s">
        <v>37</v>
      </c>
      <c r="VI306" s="12" t="s">
        <v>37</v>
      </c>
      <c r="VJ306" s="12" t="s">
        <v>37</v>
      </c>
      <c r="VK306" s="12" t="s">
        <v>37</v>
      </c>
      <c r="VL306" s="12" t="s">
        <v>37</v>
      </c>
      <c r="VM306" s="12" t="s">
        <v>37</v>
      </c>
      <c r="VN306" s="12" t="s">
        <v>37</v>
      </c>
      <c r="VQ306" s="12" t="s">
        <v>37</v>
      </c>
      <c r="VR306" s="12" t="s">
        <v>37</v>
      </c>
      <c r="VS306" s="12" t="s">
        <v>37</v>
      </c>
      <c r="VT306" s="12" t="s">
        <v>37</v>
      </c>
      <c r="VU306" s="12" t="s">
        <v>37</v>
      </c>
      <c r="VV306" s="12" t="s">
        <v>37</v>
      </c>
      <c r="VW306" s="12"/>
      <c r="VX306" s="12"/>
      <c r="WA306" s="12" t="s">
        <v>37</v>
      </c>
      <c r="WB306" s="12" t="s">
        <v>37</v>
      </c>
      <c r="WC306" s="12" t="s">
        <v>37</v>
      </c>
      <c r="WD306" s="12" t="s">
        <v>37</v>
      </c>
      <c r="WE306" s="12" t="s">
        <v>37</v>
      </c>
      <c r="WF306" s="12" t="s">
        <v>37</v>
      </c>
    </row>
    <row r="307" spans="1:604" ht="18" customHeight="1" x14ac:dyDescent="0.3">
      <c r="A307" s="11">
        <v>70</v>
      </c>
      <c r="B307" s="16" t="s">
        <v>399</v>
      </c>
      <c r="C307" s="12" t="s">
        <v>31</v>
      </c>
      <c r="D307" s="12" t="s">
        <v>54</v>
      </c>
      <c r="E307" s="40" t="s">
        <v>37</v>
      </c>
      <c r="F307" s="14">
        <v>0</v>
      </c>
      <c r="G307" s="14">
        <v>0</v>
      </c>
      <c r="H307" s="12" t="s">
        <v>91</v>
      </c>
      <c r="I307" s="29">
        <v>49.05</v>
      </c>
      <c r="J307" s="29">
        <v>-80.667000000000002</v>
      </c>
      <c r="K307" s="12" t="s">
        <v>778</v>
      </c>
      <c r="L307" s="12" t="s">
        <v>779</v>
      </c>
      <c r="M307" s="13" t="s">
        <v>37</v>
      </c>
      <c r="N307" s="14">
        <v>0.6</v>
      </c>
      <c r="O307" s="14">
        <v>885</v>
      </c>
      <c r="P307" s="14" t="s">
        <v>16</v>
      </c>
      <c r="Q307" s="75">
        <v>7</v>
      </c>
      <c r="R307" s="11" t="s">
        <v>999</v>
      </c>
      <c r="S307" s="12" t="s">
        <v>93</v>
      </c>
      <c r="T307" s="12" t="s">
        <v>141</v>
      </c>
      <c r="U307" s="12" t="s">
        <v>163</v>
      </c>
      <c r="V307" s="12" t="s">
        <v>275</v>
      </c>
      <c r="W307" s="23" t="s">
        <v>377</v>
      </c>
      <c r="X307" s="12" t="s">
        <v>281</v>
      </c>
      <c r="Y307" s="12" t="s">
        <v>37</v>
      </c>
      <c r="Z307" s="12" t="s">
        <v>37</v>
      </c>
      <c r="AA307" s="32" t="s">
        <v>345</v>
      </c>
      <c r="AB307" s="12">
        <v>4.5</v>
      </c>
      <c r="AE307" s="12" t="s">
        <v>37</v>
      </c>
      <c r="AH307" s="12" t="s">
        <v>37</v>
      </c>
      <c r="AK307" s="12" t="s">
        <v>37</v>
      </c>
      <c r="AL307" s="32" t="s">
        <v>400</v>
      </c>
      <c r="AM307" s="12" t="s">
        <v>317</v>
      </c>
      <c r="AN307" s="32" t="s">
        <v>879</v>
      </c>
      <c r="AO307" s="12" t="s">
        <v>37</v>
      </c>
      <c r="AP307" s="12" t="s">
        <v>401</v>
      </c>
      <c r="AQ307" s="12" t="s">
        <v>975</v>
      </c>
      <c r="AT307" s="12" t="s">
        <v>326</v>
      </c>
      <c r="AU307" s="12" t="s">
        <v>326</v>
      </c>
      <c r="AV307" s="13" t="s">
        <v>326</v>
      </c>
      <c r="AX307" s="12" t="s">
        <v>326</v>
      </c>
      <c r="AY307" s="12" t="s">
        <v>326</v>
      </c>
      <c r="AZ307" s="13" t="s">
        <v>326</v>
      </c>
      <c r="BE307" s="12" t="s">
        <v>326</v>
      </c>
      <c r="BF307" s="12" t="s">
        <v>326</v>
      </c>
      <c r="BG307" s="12" t="s">
        <v>326</v>
      </c>
      <c r="BI307" s="12" t="s">
        <v>326</v>
      </c>
      <c r="BJ307" s="12" t="s">
        <v>326</v>
      </c>
      <c r="BK307" s="12" t="s">
        <v>326</v>
      </c>
      <c r="BP307" s="12" t="s">
        <v>37</v>
      </c>
      <c r="BQ307" s="12" t="s">
        <v>37</v>
      </c>
      <c r="BR307" s="13" t="s">
        <v>37</v>
      </c>
      <c r="BT307" s="12" t="s">
        <v>37</v>
      </c>
      <c r="BU307" s="12" t="s">
        <v>37</v>
      </c>
      <c r="BV307" s="12" t="s">
        <v>37</v>
      </c>
      <c r="CA307" s="12" t="s">
        <v>37</v>
      </c>
      <c r="CB307" s="12" t="s">
        <v>37</v>
      </c>
      <c r="CC307" s="13" t="s">
        <v>37</v>
      </c>
      <c r="CE307" s="12" t="s">
        <v>37</v>
      </c>
      <c r="CF307" s="12" t="s">
        <v>37</v>
      </c>
      <c r="CG307" s="12" t="s">
        <v>37</v>
      </c>
      <c r="CN307" s="12" t="s">
        <v>37</v>
      </c>
      <c r="CO307" s="12" t="s">
        <v>37</v>
      </c>
      <c r="CP307" s="13" t="s">
        <v>37</v>
      </c>
      <c r="CR307" s="12" t="s">
        <v>37</v>
      </c>
      <c r="CS307" s="12" t="s">
        <v>37</v>
      </c>
      <c r="CT307" s="13" t="s">
        <v>37</v>
      </c>
      <c r="CX307" s="72"/>
      <c r="CY307" s="72"/>
      <c r="DA307" s="12" t="s">
        <v>37</v>
      </c>
      <c r="DB307" s="12" t="s">
        <v>37</v>
      </c>
      <c r="DC307" s="13" t="s">
        <v>37</v>
      </c>
      <c r="DE307" s="12" t="s">
        <v>37</v>
      </c>
      <c r="DF307" s="12" t="s">
        <v>37</v>
      </c>
      <c r="DG307" s="12" t="s">
        <v>37</v>
      </c>
      <c r="DM307" s="12" t="s">
        <v>47</v>
      </c>
      <c r="DN307" s="19">
        <f>0.1*("1991/10/31"-"1991/5/1")*10^4/10^6/'[1]classes-1'!$I$32</f>
        <v>0.25277087423732814</v>
      </c>
      <c r="DO307" s="12">
        <f t="shared" si="1259"/>
        <v>2.0397555922164208</v>
      </c>
      <c r="DP307" s="13">
        <v>6</v>
      </c>
      <c r="DQ307" s="19">
        <f t="shared" si="1255"/>
        <v>8.0695831684360986</v>
      </c>
      <c r="DR307" s="19">
        <f>-0.4*("1991/10/31"-"1991/5/1")*10^4/10^6/'[1]classes-1'!$I$33</f>
        <v>-0.21487427059989123</v>
      </c>
      <c r="DS307" s="12">
        <f>SQRT((1/[2]Classes!$I$33)^2*(0.9*("1991/10/31"-"1991/5/1")*10^4/10^6)^2+(-DR307/([2]Classes!$I$33)^2)^2*([2]Classes!$J$33)^2)</f>
        <v>0.52942636938081877</v>
      </c>
      <c r="DT307" s="13">
        <v>6</v>
      </c>
      <c r="DU307" s="19">
        <f t="shared" si="1256"/>
        <v>2.4638890822188872</v>
      </c>
      <c r="DV307" s="19">
        <f t="shared" si="1211"/>
        <v>-0.46764514483721936</v>
      </c>
      <c r="DW307" s="12">
        <f t="shared" si="1212"/>
        <v>1.4901166324442385</v>
      </c>
      <c r="DX307" s="72">
        <f t="shared" si="1251"/>
        <v>0.74014919276231927</v>
      </c>
      <c r="DY307" s="72">
        <f t="shared" si="1252"/>
        <v>0.74014919276231939</v>
      </c>
      <c r="EA307" s="19" t="s">
        <v>37</v>
      </c>
      <c r="EB307" s="19" t="s">
        <v>37</v>
      </c>
      <c r="EC307" s="72" t="s">
        <v>37</v>
      </c>
      <c r="EE307" s="19" t="s">
        <v>37</v>
      </c>
      <c r="EF307" s="19" t="s">
        <v>37</v>
      </c>
      <c r="EG307" s="12" t="s">
        <v>37</v>
      </c>
      <c r="EM307" s="12" t="s">
        <v>39</v>
      </c>
      <c r="EN307" s="12">
        <v>-48.7</v>
      </c>
      <c r="EO307" s="50">
        <f t="shared" si="1241"/>
        <v>19.845074619187987</v>
      </c>
      <c r="EP307" s="13">
        <v>1</v>
      </c>
      <c r="ER307" s="12">
        <v>-90</v>
      </c>
      <c r="ES307" s="50">
        <f t="shared" si="1242"/>
        <v>20.413264815827475</v>
      </c>
      <c r="ET307" s="13">
        <v>1</v>
      </c>
      <c r="EV307" s="19">
        <f t="shared" si="1233"/>
        <v>-41.3</v>
      </c>
      <c r="EW307" s="12" t="e">
        <f t="shared" si="1234"/>
        <v>#DIV/0!</v>
      </c>
      <c r="EX307" s="19" t="e">
        <f t="shared" si="1235"/>
        <v>#DIV/0!</v>
      </c>
      <c r="EY307" s="19">
        <f t="shared" si="1236"/>
        <v>810.52836708223913</v>
      </c>
      <c r="FB307" s="12" t="s">
        <v>37</v>
      </c>
      <c r="FC307" s="12" t="s">
        <v>37</v>
      </c>
      <c r="FD307" s="12" t="s">
        <v>37</v>
      </c>
      <c r="FE307" s="12" t="s">
        <v>37</v>
      </c>
      <c r="FF307" s="20" t="s">
        <v>37</v>
      </c>
      <c r="FG307" s="12" t="s">
        <v>37</v>
      </c>
      <c r="FI307" s="12" t="s">
        <v>37</v>
      </c>
      <c r="FJ307" s="12" t="s">
        <v>37</v>
      </c>
      <c r="FK307" s="12" t="s">
        <v>37</v>
      </c>
      <c r="FL307" s="12" t="s">
        <v>37</v>
      </c>
      <c r="FM307" s="12" t="s">
        <v>37</v>
      </c>
      <c r="FN307" s="12" t="s">
        <v>37</v>
      </c>
      <c r="FP307" s="12" t="s">
        <v>37</v>
      </c>
      <c r="FQ307" s="12" t="s">
        <v>37</v>
      </c>
      <c r="FR307" s="12" t="s">
        <v>37</v>
      </c>
      <c r="FS307" s="12" t="s">
        <v>37</v>
      </c>
      <c r="FT307" s="12" t="s">
        <v>37</v>
      </c>
      <c r="FU307" s="12" t="s">
        <v>37</v>
      </c>
      <c r="FW307" s="12" t="s">
        <v>37</v>
      </c>
      <c r="FX307" s="12" t="s">
        <v>37</v>
      </c>
      <c r="FY307" s="12" t="s">
        <v>37</v>
      </c>
      <c r="FZ307" s="12" t="s">
        <v>37</v>
      </c>
      <c r="GA307" s="12" t="s">
        <v>37</v>
      </c>
      <c r="GB307" s="12" t="s">
        <v>37</v>
      </c>
      <c r="GO307" s="12" t="s">
        <v>660</v>
      </c>
      <c r="GP307" s="12" t="s">
        <v>372</v>
      </c>
      <c r="GQ307" s="12">
        <v>13.1</v>
      </c>
      <c r="GR307" s="50">
        <f t="shared" si="1243"/>
        <v>1.251437203784747</v>
      </c>
      <c r="GS307" s="13">
        <v>1</v>
      </c>
      <c r="GU307" s="12">
        <v>12.1</v>
      </c>
      <c r="GV307" s="50">
        <f t="shared" si="1244"/>
        <v>1.2878778058836839</v>
      </c>
      <c r="GW307" s="13">
        <v>1</v>
      </c>
      <c r="GY307" s="19">
        <f t="shared" si="1253"/>
        <v>-7.9406777604410478E-2</v>
      </c>
      <c r="GZ307" s="19">
        <f t="shared" si="1254"/>
        <v>2.0454557267488193E-2</v>
      </c>
      <c r="IK307" s="12" t="s">
        <v>37</v>
      </c>
      <c r="IL307" s="12" t="s">
        <v>37</v>
      </c>
      <c r="IM307" s="12" t="s">
        <v>37</v>
      </c>
      <c r="IO307" s="12" t="s">
        <v>37</v>
      </c>
      <c r="IP307" s="12" t="s">
        <v>37</v>
      </c>
      <c r="IQ307" s="12" t="s">
        <v>37</v>
      </c>
      <c r="IV307" s="32" t="s">
        <v>345</v>
      </c>
      <c r="IW307" s="12">
        <v>4.5</v>
      </c>
      <c r="IX307" s="12">
        <v>0.3</v>
      </c>
      <c r="IY307" s="13">
        <v>6</v>
      </c>
      <c r="IZ307" s="19">
        <f t="shared" si="1247"/>
        <v>6.6666666666666666E-2</v>
      </c>
      <c r="JA307" s="13"/>
      <c r="JB307" s="13"/>
      <c r="JH307" s="12" t="s">
        <v>37</v>
      </c>
      <c r="JI307" s="12" t="s">
        <v>37</v>
      </c>
      <c r="JJ307" s="13" t="s">
        <v>37</v>
      </c>
      <c r="JL307" s="12" t="s">
        <v>37</v>
      </c>
      <c r="JM307" s="12" t="s">
        <v>37</v>
      </c>
      <c r="JN307" s="12" t="s">
        <v>37</v>
      </c>
      <c r="JS307" s="12" t="s">
        <v>37</v>
      </c>
      <c r="JT307" s="12" t="s">
        <v>37</v>
      </c>
      <c r="JU307" s="13" t="s">
        <v>37</v>
      </c>
      <c r="JW307" s="12" t="s">
        <v>37</v>
      </c>
      <c r="JX307" s="12" t="s">
        <v>37</v>
      </c>
      <c r="JY307" s="12" t="s">
        <v>37</v>
      </c>
      <c r="KE307" s="12" t="s">
        <v>37</v>
      </c>
      <c r="KF307" s="12" t="s">
        <v>37</v>
      </c>
      <c r="KG307" s="13" t="s">
        <v>37</v>
      </c>
      <c r="KH307" s="12" t="s">
        <v>37</v>
      </c>
      <c r="KI307" s="12" t="s">
        <v>37</v>
      </c>
      <c r="KJ307" s="12" t="s">
        <v>37</v>
      </c>
      <c r="KM307" s="12" t="s">
        <v>37</v>
      </c>
      <c r="KN307" s="12" t="s">
        <v>37</v>
      </c>
      <c r="KO307" s="11" t="s">
        <v>37</v>
      </c>
      <c r="KQ307" s="12" t="s">
        <v>37</v>
      </c>
      <c r="KR307" s="12" t="s">
        <v>37</v>
      </c>
      <c r="KS307" s="12" t="s">
        <v>37</v>
      </c>
      <c r="KX307" s="12" t="s">
        <v>37</v>
      </c>
      <c r="KY307" s="12" t="s">
        <v>37</v>
      </c>
      <c r="KZ307" s="12" t="s">
        <v>37</v>
      </c>
      <c r="LB307" s="12" t="s">
        <v>37</v>
      </c>
      <c r="LC307" s="12" t="s">
        <v>37</v>
      </c>
      <c r="LD307" s="12" t="s">
        <v>37</v>
      </c>
      <c r="LI307" s="12" t="s">
        <v>37</v>
      </c>
      <c r="LJ307" s="12" t="s">
        <v>37</v>
      </c>
      <c r="LK307" s="12" t="s">
        <v>37</v>
      </c>
      <c r="LM307" s="12" t="s">
        <v>37</v>
      </c>
      <c r="LN307" s="12" t="s">
        <v>37</v>
      </c>
      <c r="LO307" s="12" t="s">
        <v>37</v>
      </c>
      <c r="LU307" s="12" t="s">
        <v>37</v>
      </c>
      <c r="LV307" s="12" t="s">
        <v>37</v>
      </c>
      <c r="LW307" s="12" t="s">
        <v>37</v>
      </c>
      <c r="LY307" s="12" t="s">
        <v>37</v>
      </c>
      <c r="LZ307" s="12" t="s">
        <v>37</v>
      </c>
      <c r="MA307" s="12" t="s">
        <v>37</v>
      </c>
      <c r="MF307" s="12" t="s">
        <v>37</v>
      </c>
      <c r="MG307" s="12" t="s">
        <v>37</v>
      </c>
      <c r="MH307" s="12" t="s">
        <v>37</v>
      </c>
      <c r="MJ307" s="12" t="s">
        <v>37</v>
      </c>
      <c r="MK307" s="12" t="s">
        <v>37</v>
      </c>
      <c r="ML307" s="12" t="s">
        <v>37</v>
      </c>
      <c r="MQ307" s="12" t="s">
        <v>37</v>
      </c>
      <c r="MR307" s="12" t="s">
        <v>37</v>
      </c>
      <c r="MS307" s="12" t="s">
        <v>37</v>
      </c>
      <c r="MU307" s="12" t="s">
        <v>37</v>
      </c>
      <c r="MV307" s="12" t="s">
        <v>37</v>
      </c>
      <c r="MW307" s="12" t="s">
        <v>37</v>
      </c>
      <c r="NC307" s="12" t="s">
        <v>37</v>
      </c>
      <c r="ND307" s="12" t="s">
        <v>37</v>
      </c>
      <c r="NE307" s="12" t="s">
        <v>37</v>
      </c>
      <c r="NG307" s="12" t="s">
        <v>37</v>
      </c>
      <c r="NH307" s="12" t="s">
        <v>37</v>
      </c>
      <c r="NI307" s="12" t="s">
        <v>37</v>
      </c>
      <c r="NO307" s="12" t="s">
        <v>37</v>
      </c>
      <c r="NP307" s="12" t="s">
        <v>37</v>
      </c>
      <c r="NQ307" s="12" t="s">
        <v>37</v>
      </c>
      <c r="NS307" s="12" t="s">
        <v>37</v>
      </c>
      <c r="NT307" s="12" t="s">
        <v>37</v>
      </c>
      <c r="NU307" s="12" t="s">
        <v>37</v>
      </c>
      <c r="OA307" s="12" t="s">
        <v>37</v>
      </c>
      <c r="OB307" s="12" t="s">
        <v>37</v>
      </c>
      <c r="OC307" s="12" t="s">
        <v>37</v>
      </c>
      <c r="OD307" s="12"/>
      <c r="OE307" s="12" t="s">
        <v>37</v>
      </c>
      <c r="OF307" s="12" t="s">
        <v>37</v>
      </c>
      <c r="OG307" s="12" t="s">
        <v>37</v>
      </c>
      <c r="OH307" s="12"/>
      <c r="OI307" s="12"/>
      <c r="OJ307" s="12"/>
      <c r="OM307" s="12" t="s">
        <v>37</v>
      </c>
      <c r="ON307" s="12" t="s">
        <v>37</v>
      </c>
      <c r="OO307" s="12" t="s">
        <v>37</v>
      </c>
      <c r="OP307" s="12" t="s">
        <v>37</v>
      </c>
      <c r="OQ307" s="12" t="s">
        <v>37</v>
      </c>
      <c r="OR307" s="12" t="s">
        <v>37</v>
      </c>
      <c r="OS307" s="12"/>
      <c r="OT307" s="12"/>
      <c r="OW307" s="12" t="s">
        <v>37</v>
      </c>
      <c r="OX307" s="12" t="s">
        <v>37</v>
      </c>
      <c r="OY307" s="13" t="s">
        <v>37</v>
      </c>
      <c r="OZ307" s="12" t="s">
        <v>37</v>
      </c>
      <c r="PA307" s="12" t="s">
        <v>37</v>
      </c>
      <c r="PB307" s="13" t="s">
        <v>37</v>
      </c>
      <c r="PG307" s="12" t="s">
        <v>37</v>
      </c>
      <c r="PH307" s="12" t="s">
        <v>37</v>
      </c>
      <c r="PI307" s="12" t="s">
        <v>37</v>
      </c>
      <c r="PJ307" s="12" t="s">
        <v>37</v>
      </c>
      <c r="PK307" s="12" t="s">
        <v>37</v>
      </c>
      <c r="PL307" s="12" t="s">
        <v>37</v>
      </c>
      <c r="PM307" s="12"/>
      <c r="PN307" s="12"/>
      <c r="PQ307" s="12" t="s">
        <v>37</v>
      </c>
      <c r="PR307" s="12" t="s">
        <v>37</v>
      </c>
      <c r="PS307" s="12" t="s">
        <v>37</v>
      </c>
      <c r="PT307" s="12" t="s">
        <v>37</v>
      </c>
      <c r="PU307" s="12" t="s">
        <v>37</v>
      </c>
      <c r="PV307" s="12" t="s">
        <v>37</v>
      </c>
      <c r="PW307" s="12"/>
      <c r="PX307" s="12"/>
      <c r="PZ307" s="12" t="s">
        <v>37</v>
      </c>
      <c r="QA307" s="12" t="s">
        <v>37</v>
      </c>
      <c r="QB307" s="12" t="s">
        <v>37</v>
      </c>
      <c r="QD307" s="12" t="s">
        <v>37</v>
      </c>
      <c r="QE307" s="12" t="s">
        <v>37</v>
      </c>
      <c r="QF307" s="12" t="s">
        <v>37</v>
      </c>
      <c r="QK307" s="12" t="s">
        <v>37</v>
      </c>
      <c r="QL307" s="12" t="s">
        <v>37</v>
      </c>
      <c r="QM307" s="12" t="s">
        <v>37</v>
      </c>
      <c r="QN307" s="12" t="s">
        <v>37</v>
      </c>
      <c r="QO307" s="12" t="s">
        <v>37</v>
      </c>
      <c r="QP307" s="12" t="s">
        <v>37</v>
      </c>
      <c r="QQ307" s="12"/>
      <c r="QR307" s="12"/>
      <c r="QU307" s="12" t="s">
        <v>37</v>
      </c>
      <c r="QV307" s="12" t="s">
        <v>37</v>
      </c>
      <c r="QW307" s="12" t="s">
        <v>37</v>
      </c>
      <c r="QX307" s="12" t="s">
        <v>37</v>
      </c>
      <c r="QY307" s="12" t="s">
        <v>37</v>
      </c>
      <c r="QZ307" s="12" t="s">
        <v>37</v>
      </c>
      <c r="RC307" s="12" t="s">
        <v>37</v>
      </c>
      <c r="RD307" s="12" t="s">
        <v>37</v>
      </c>
      <c r="RE307" s="13" t="s">
        <v>37</v>
      </c>
      <c r="RF307" s="12" t="s">
        <v>37</v>
      </c>
      <c r="RG307" s="12" t="s">
        <v>37</v>
      </c>
      <c r="RH307" s="13" t="s">
        <v>37</v>
      </c>
      <c r="RK307" s="12" t="s">
        <v>37</v>
      </c>
      <c r="RL307" s="12" t="s">
        <v>37</v>
      </c>
      <c r="RM307" s="11" t="s">
        <v>37</v>
      </c>
      <c r="RN307" s="12" t="s">
        <v>37</v>
      </c>
      <c r="RO307" s="12" t="s">
        <v>37</v>
      </c>
      <c r="RP307" s="11" t="s">
        <v>37</v>
      </c>
      <c r="RS307" s="12" t="s">
        <v>37</v>
      </c>
      <c r="RT307" s="12" t="s">
        <v>37</v>
      </c>
      <c r="RU307" s="12" t="s">
        <v>37</v>
      </c>
      <c r="RV307" s="12" t="s">
        <v>37</v>
      </c>
      <c r="RW307" s="12" t="s">
        <v>37</v>
      </c>
      <c r="RX307" s="12" t="s">
        <v>37</v>
      </c>
      <c r="SA307" s="12" t="s">
        <v>37</v>
      </c>
      <c r="SB307" s="12" t="s">
        <v>37</v>
      </c>
      <c r="SC307" s="12" t="s">
        <v>37</v>
      </c>
      <c r="SD307" s="12" t="s">
        <v>37</v>
      </c>
      <c r="SE307" s="12" t="s">
        <v>37</v>
      </c>
      <c r="SF307" s="12" t="s">
        <v>37</v>
      </c>
      <c r="SI307" s="12" t="s">
        <v>37</v>
      </c>
      <c r="SJ307" s="12" t="s">
        <v>37</v>
      </c>
      <c r="SK307" s="13" t="s">
        <v>37</v>
      </c>
      <c r="SM307" s="12" t="s">
        <v>37</v>
      </c>
      <c r="SN307" s="12" t="s">
        <v>37</v>
      </c>
      <c r="SO307" s="13" t="s">
        <v>37</v>
      </c>
      <c r="SU307" s="12" t="s">
        <v>37</v>
      </c>
      <c r="SV307" s="12" t="s">
        <v>37</v>
      </c>
      <c r="SW307" s="12" t="s">
        <v>37</v>
      </c>
      <c r="SX307" s="12" t="s">
        <v>37</v>
      </c>
      <c r="SY307" s="12" t="s">
        <v>37</v>
      </c>
      <c r="SZ307" s="12" t="s">
        <v>37</v>
      </c>
      <c r="TA307" s="12"/>
      <c r="TB307" s="12"/>
      <c r="TE307" s="12" t="s">
        <v>37</v>
      </c>
      <c r="TF307" s="12" t="s">
        <v>37</v>
      </c>
      <c r="TG307" s="12" t="s">
        <v>37</v>
      </c>
      <c r="TH307" s="12" t="s">
        <v>37</v>
      </c>
      <c r="TI307" s="12" t="s">
        <v>37</v>
      </c>
      <c r="TJ307" s="12" t="s">
        <v>37</v>
      </c>
      <c r="TK307" s="12"/>
      <c r="TL307" s="12"/>
      <c r="TO307" s="12" t="s">
        <v>37</v>
      </c>
      <c r="TP307" s="12" t="s">
        <v>37</v>
      </c>
      <c r="TQ307" s="12" t="s">
        <v>37</v>
      </c>
      <c r="TR307" s="12" t="s">
        <v>37</v>
      </c>
      <c r="TS307" s="12" t="s">
        <v>37</v>
      </c>
      <c r="TT307" s="12" t="s">
        <v>37</v>
      </c>
      <c r="TU307" s="12"/>
      <c r="TV307" s="12"/>
      <c r="TY307" s="12" t="s">
        <v>37</v>
      </c>
      <c r="TZ307" s="12" t="s">
        <v>37</v>
      </c>
      <c r="UA307" s="12" t="s">
        <v>37</v>
      </c>
      <c r="UB307" s="12" t="s">
        <v>37</v>
      </c>
      <c r="UC307" s="12" t="s">
        <v>37</v>
      </c>
      <c r="UD307" s="12" t="s">
        <v>37</v>
      </c>
      <c r="UE307" s="12"/>
      <c r="UF307" s="12"/>
      <c r="UI307" s="12" t="s">
        <v>37</v>
      </c>
      <c r="UJ307" s="12" t="s">
        <v>37</v>
      </c>
      <c r="UK307" s="12" t="s">
        <v>37</v>
      </c>
      <c r="UL307" s="12" t="s">
        <v>37</v>
      </c>
      <c r="UM307" s="12" t="s">
        <v>37</v>
      </c>
      <c r="UN307" s="12" t="s">
        <v>37</v>
      </c>
      <c r="UO307" s="12"/>
      <c r="UP307" s="12"/>
      <c r="UR307" s="12" t="s">
        <v>37</v>
      </c>
      <c r="US307" s="12" t="s">
        <v>37</v>
      </c>
      <c r="UT307" s="12" t="s">
        <v>37</v>
      </c>
      <c r="UU307" s="12" t="s">
        <v>37</v>
      </c>
      <c r="UV307" s="12" t="s">
        <v>37</v>
      </c>
      <c r="UW307" s="12" t="s">
        <v>37</v>
      </c>
      <c r="UX307" s="12"/>
      <c r="UY307" s="12"/>
      <c r="VB307" s="12" t="s">
        <v>37</v>
      </c>
      <c r="VC307" s="12" t="s">
        <v>37</v>
      </c>
      <c r="VD307" s="12" t="s">
        <v>37</v>
      </c>
      <c r="VE307" s="12" t="s">
        <v>37</v>
      </c>
      <c r="VF307" s="12" t="s">
        <v>37</v>
      </c>
      <c r="VG307" s="12" t="s">
        <v>37</v>
      </c>
      <c r="VI307" s="12" t="s">
        <v>37</v>
      </c>
      <c r="VJ307" s="12" t="s">
        <v>37</v>
      </c>
      <c r="VK307" s="12" t="s">
        <v>37</v>
      </c>
      <c r="VL307" s="12" t="s">
        <v>37</v>
      </c>
      <c r="VM307" s="12" t="s">
        <v>37</v>
      </c>
      <c r="VN307" s="12" t="s">
        <v>37</v>
      </c>
      <c r="VQ307" s="12" t="s">
        <v>37</v>
      </c>
      <c r="VR307" s="12" t="s">
        <v>37</v>
      </c>
      <c r="VS307" s="12" t="s">
        <v>37</v>
      </c>
      <c r="VT307" s="12" t="s">
        <v>37</v>
      </c>
      <c r="VU307" s="12" t="s">
        <v>37</v>
      </c>
      <c r="VV307" s="12" t="s">
        <v>37</v>
      </c>
      <c r="VW307" s="12"/>
      <c r="VX307" s="12"/>
      <c r="WA307" s="12" t="s">
        <v>37</v>
      </c>
      <c r="WB307" s="12" t="s">
        <v>37</v>
      </c>
      <c r="WC307" s="12" t="s">
        <v>37</v>
      </c>
      <c r="WD307" s="12" t="s">
        <v>37</v>
      </c>
      <c r="WE307" s="12" t="s">
        <v>37</v>
      </c>
      <c r="WF307" s="12" t="s">
        <v>37</v>
      </c>
    </row>
    <row r="308" spans="1:604" ht="18" customHeight="1" x14ac:dyDescent="0.3">
      <c r="A308" s="11">
        <v>70</v>
      </c>
      <c r="B308" s="16" t="s">
        <v>399</v>
      </c>
      <c r="C308" s="12" t="s">
        <v>32</v>
      </c>
      <c r="D308" s="12" t="s">
        <v>54</v>
      </c>
      <c r="E308" s="40" t="s">
        <v>37</v>
      </c>
      <c r="F308" s="14">
        <v>0</v>
      </c>
      <c r="G308" s="14">
        <v>0</v>
      </c>
      <c r="H308" s="12" t="s">
        <v>91</v>
      </c>
      <c r="I308" s="29">
        <v>49.05</v>
      </c>
      <c r="J308" s="29">
        <v>-80.667000000000002</v>
      </c>
      <c r="K308" s="12" t="s">
        <v>778</v>
      </c>
      <c r="L308" s="12" t="s">
        <v>779</v>
      </c>
      <c r="M308" s="13" t="s">
        <v>37</v>
      </c>
      <c r="N308" s="14">
        <v>0.6</v>
      </c>
      <c r="O308" s="14">
        <v>885</v>
      </c>
      <c r="P308" s="14" t="s">
        <v>16</v>
      </c>
      <c r="Q308" s="75">
        <v>7</v>
      </c>
      <c r="R308" s="11" t="s">
        <v>1000</v>
      </c>
      <c r="S308" s="12" t="s">
        <v>93</v>
      </c>
      <c r="T308" s="12" t="s">
        <v>141</v>
      </c>
      <c r="U308" s="12" t="s">
        <v>334</v>
      </c>
      <c r="V308" s="12" t="s">
        <v>275</v>
      </c>
      <c r="W308" s="23" t="s">
        <v>404</v>
      </c>
      <c r="X308" s="12" t="s">
        <v>281</v>
      </c>
      <c r="Y308" s="12" t="s">
        <v>37</v>
      </c>
      <c r="Z308" s="12" t="s">
        <v>37</v>
      </c>
      <c r="AA308" s="32" t="s">
        <v>345</v>
      </c>
      <c r="AB308" s="12">
        <v>4.5</v>
      </c>
      <c r="AE308" s="12" t="s">
        <v>37</v>
      </c>
      <c r="AH308" s="12" t="s">
        <v>37</v>
      </c>
      <c r="AK308" s="12" t="s">
        <v>37</v>
      </c>
      <c r="AL308" s="32" t="s">
        <v>400</v>
      </c>
      <c r="AM308" s="12" t="s">
        <v>317</v>
      </c>
      <c r="AN308" s="32" t="s">
        <v>879</v>
      </c>
      <c r="AO308" s="12" t="s">
        <v>37</v>
      </c>
      <c r="AP308" s="12" t="s">
        <v>401</v>
      </c>
      <c r="AQ308" s="12" t="s">
        <v>975</v>
      </c>
      <c r="AT308" s="12" t="s">
        <v>326</v>
      </c>
      <c r="AU308" s="12" t="s">
        <v>326</v>
      </c>
      <c r="AV308" s="13" t="s">
        <v>326</v>
      </c>
      <c r="AX308" s="12" t="s">
        <v>326</v>
      </c>
      <c r="AY308" s="12" t="s">
        <v>326</v>
      </c>
      <c r="AZ308" s="13" t="s">
        <v>326</v>
      </c>
      <c r="BE308" s="12" t="s">
        <v>326</v>
      </c>
      <c r="BF308" s="12" t="s">
        <v>326</v>
      </c>
      <c r="BG308" s="12" t="s">
        <v>326</v>
      </c>
      <c r="BI308" s="12" t="s">
        <v>326</v>
      </c>
      <c r="BJ308" s="12" t="s">
        <v>326</v>
      </c>
      <c r="BK308" s="12" t="s">
        <v>326</v>
      </c>
      <c r="BP308" s="12" t="s">
        <v>37</v>
      </c>
      <c r="BQ308" s="12" t="s">
        <v>37</v>
      </c>
      <c r="BR308" s="13" t="s">
        <v>37</v>
      </c>
      <c r="BT308" s="12" t="s">
        <v>37</v>
      </c>
      <c r="BU308" s="12" t="s">
        <v>37</v>
      </c>
      <c r="BV308" s="12" t="s">
        <v>37</v>
      </c>
      <c r="CA308" s="12" t="s">
        <v>37</v>
      </c>
      <c r="CB308" s="12" t="s">
        <v>37</v>
      </c>
      <c r="CC308" s="13" t="s">
        <v>37</v>
      </c>
      <c r="CE308" s="12" t="s">
        <v>37</v>
      </c>
      <c r="CF308" s="12" t="s">
        <v>37</v>
      </c>
      <c r="CG308" s="12" t="s">
        <v>37</v>
      </c>
      <c r="CN308" s="12" t="s">
        <v>37</v>
      </c>
      <c r="CO308" s="12" t="s">
        <v>37</v>
      </c>
      <c r="CP308" s="13" t="s">
        <v>37</v>
      </c>
      <c r="CR308" s="12" t="s">
        <v>37</v>
      </c>
      <c r="CS308" s="12" t="s">
        <v>37</v>
      </c>
      <c r="CT308" s="13" t="s">
        <v>37</v>
      </c>
      <c r="CX308" s="72"/>
      <c r="CY308" s="72"/>
      <c r="DA308" s="12" t="s">
        <v>37</v>
      </c>
      <c r="DB308" s="12" t="s">
        <v>37</v>
      </c>
      <c r="DC308" s="13" t="s">
        <v>37</v>
      </c>
      <c r="DE308" s="12" t="s">
        <v>37</v>
      </c>
      <c r="DF308" s="12" t="s">
        <v>37</v>
      </c>
      <c r="DG308" s="12" t="s">
        <v>37</v>
      </c>
      <c r="DM308" s="12" t="s">
        <v>47</v>
      </c>
      <c r="DN308" s="19">
        <f>0.5*("1991/10/31"-"1991/5/1")*10^4/10^6/'[1]classes-1'!$I$32</f>
        <v>1.2638543711866406</v>
      </c>
      <c r="DO308" s="12">
        <f>SQRT((1/[2]Classes!$I$32)^2*(1.4*("1991/10/31"-"1991/5/1")*10^4/10^6)^2+(-DN308/([2]Classes!$I$32)^2)^2*([2]Classes!$J$32)^2)</f>
        <v>3.7827422106480872</v>
      </c>
      <c r="DP308" s="13">
        <v>6</v>
      </c>
      <c r="DQ308" s="19">
        <f t="shared" si="1255"/>
        <v>2.9930206334583054</v>
      </c>
      <c r="DR308" s="19">
        <f>-0.3*("1991/10/31"-"1991/5/1")*10^4/10^6/'[1]classes-1'!$I$34</f>
        <v>-0.16115570294991843</v>
      </c>
      <c r="DS308" s="12">
        <f>SQRT((1/[2]Classes!$I$34)^2*(1*("1991/10/31"-"1991/5/1")*10^4/10^6)^2+(-DR308/([2]Classes!$I$34)^2)^2*([2]Classes!$J$34)^2)</f>
        <v>0.5610292847687105</v>
      </c>
      <c r="DT308" s="13">
        <v>6</v>
      </c>
      <c r="DU308" s="19">
        <f t="shared" si="1256"/>
        <v>3.4812871930635851</v>
      </c>
      <c r="DV308" s="19">
        <f t="shared" si="1211"/>
        <v>-1.425010074136559</v>
      </c>
      <c r="DW308" s="12">
        <f t="shared" si="1212"/>
        <v>2.7040610653780424</v>
      </c>
      <c r="DX308" s="72">
        <f t="shared" si="1251"/>
        <v>2.4373154150978111</v>
      </c>
      <c r="DY308" s="72">
        <f t="shared" si="1252"/>
        <v>2.4373154150978111</v>
      </c>
      <c r="EA308" s="19" t="s">
        <v>37</v>
      </c>
      <c r="EB308" s="19" t="s">
        <v>37</v>
      </c>
      <c r="EC308" s="72" t="s">
        <v>37</v>
      </c>
      <c r="EE308" s="19" t="s">
        <v>37</v>
      </c>
      <c r="EF308" s="19" t="s">
        <v>37</v>
      </c>
      <c r="EG308" s="12" t="s">
        <v>37</v>
      </c>
      <c r="EM308" s="12" t="s">
        <v>39</v>
      </c>
      <c r="EN308" s="12">
        <v>-48.7</v>
      </c>
      <c r="EO308" s="50">
        <f t="shared" si="1241"/>
        <v>19.845074619187987</v>
      </c>
      <c r="EP308" s="13">
        <v>1</v>
      </c>
      <c r="ER308" s="12">
        <v>-77.599999999999994</v>
      </c>
      <c r="ES308" s="50">
        <f t="shared" si="1242"/>
        <v>17.600770552313467</v>
      </c>
      <c r="ET308" s="13">
        <v>1</v>
      </c>
      <c r="EV308" s="19">
        <f t="shared" si="1233"/>
        <v>-28.899999999999991</v>
      </c>
      <c r="EW308" s="12" t="e">
        <f t="shared" si="1234"/>
        <v>#DIV/0!</v>
      </c>
      <c r="EX308" s="19" t="e">
        <f t="shared" si="1235"/>
        <v>#DIV/0!</v>
      </c>
      <c r="EY308" s="19">
        <f t="shared" si="1236"/>
        <v>703.61411067632412</v>
      </c>
      <c r="FB308" s="12" t="s">
        <v>37</v>
      </c>
      <c r="FC308" s="12" t="s">
        <v>37</v>
      </c>
      <c r="FD308" s="12" t="s">
        <v>37</v>
      </c>
      <c r="FE308" s="12" t="s">
        <v>37</v>
      </c>
      <c r="FF308" s="20" t="s">
        <v>37</v>
      </c>
      <c r="FG308" s="12" t="s">
        <v>37</v>
      </c>
      <c r="FI308" s="12" t="s">
        <v>37</v>
      </c>
      <c r="FJ308" s="12" t="s">
        <v>37</v>
      </c>
      <c r="FK308" s="12" t="s">
        <v>37</v>
      </c>
      <c r="FL308" s="12" t="s">
        <v>37</v>
      </c>
      <c r="FM308" s="12" t="s">
        <v>37</v>
      </c>
      <c r="FN308" s="12" t="s">
        <v>37</v>
      </c>
      <c r="FP308" s="12" t="s">
        <v>37</v>
      </c>
      <c r="FQ308" s="12" t="s">
        <v>37</v>
      </c>
      <c r="FR308" s="12" t="s">
        <v>37</v>
      </c>
      <c r="FS308" s="12" t="s">
        <v>37</v>
      </c>
      <c r="FT308" s="12" t="s">
        <v>37</v>
      </c>
      <c r="FU308" s="12" t="s">
        <v>37</v>
      </c>
      <c r="FW308" s="12" t="s">
        <v>37</v>
      </c>
      <c r="FX308" s="12" t="s">
        <v>37</v>
      </c>
      <c r="FY308" s="12" t="s">
        <v>37</v>
      </c>
      <c r="FZ308" s="12" t="s">
        <v>37</v>
      </c>
      <c r="GA308" s="12" t="s">
        <v>37</v>
      </c>
      <c r="GB308" s="12" t="s">
        <v>37</v>
      </c>
      <c r="GO308" s="12" t="s">
        <v>660</v>
      </c>
      <c r="GP308" s="12" t="s">
        <v>372</v>
      </c>
      <c r="GQ308" s="12">
        <v>13.1</v>
      </c>
      <c r="GR308" s="50">
        <f t="shared" si="1243"/>
        <v>1.251437203784747</v>
      </c>
      <c r="GS308" s="13">
        <v>1</v>
      </c>
      <c r="GU308" s="12">
        <v>11.3</v>
      </c>
      <c r="GV308" s="50">
        <f t="shared" si="1244"/>
        <v>1.2027288600401347</v>
      </c>
      <c r="GW308" s="13">
        <v>1</v>
      </c>
      <c r="GY308" s="19">
        <f t="shared" si="1253"/>
        <v>-0.14780950448881086</v>
      </c>
      <c r="GZ308" s="19">
        <f t="shared" si="1254"/>
        <v>2.0454557267488196E-2</v>
      </c>
      <c r="IK308" s="12" t="s">
        <v>37</v>
      </c>
      <c r="IL308" s="12" t="s">
        <v>37</v>
      </c>
      <c r="IM308" s="12" t="s">
        <v>37</v>
      </c>
      <c r="IO308" s="12" t="s">
        <v>37</v>
      </c>
      <c r="IP308" s="12" t="s">
        <v>37</v>
      </c>
      <c r="IQ308" s="12" t="s">
        <v>37</v>
      </c>
      <c r="IV308" s="32" t="s">
        <v>345</v>
      </c>
      <c r="IW308" s="12">
        <v>4.5</v>
      </c>
      <c r="IX308" s="12">
        <v>0.3</v>
      </c>
      <c r="IY308" s="13">
        <v>6</v>
      </c>
      <c r="IZ308" s="19">
        <f t="shared" si="1247"/>
        <v>6.6666666666666666E-2</v>
      </c>
      <c r="JA308" s="13"/>
      <c r="JB308" s="13"/>
      <c r="JH308" s="12" t="s">
        <v>37</v>
      </c>
      <c r="JI308" s="12" t="s">
        <v>37</v>
      </c>
      <c r="JJ308" s="13" t="s">
        <v>37</v>
      </c>
      <c r="JL308" s="12" t="s">
        <v>37</v>
      </c>
      <c r="JM308" s="12" t="s">
        <v>37</v>
      </c>
      <c r="JN308" s="12" t="s">
        <v>37</v>
      </c>
      <c r="JS308" s="12" t="s">
        <v>37</v>
      </c>
      <c r="JT308" s="12" t="s">
        <v>37</v>
      </c>
      <c r="JU308" s="13" t="s">
        <v>37</v>
      </c>
      <c r="JW308" s="12" t="s">
        <v>37</v>
      </c>
      <c r="JX308" s="12" t="s">
        <v>37</v>
      </c>
      <c r="JY308" s="12" t="s">
        <v>37</v>
      </c>
      <c r="KE308" s="12" t="s">
        <v>37</v>
      </c>
      <c r="KF308" s="12" t="s">
        <v>37</v>
      </c>
      <c r="KG308" s="13" t="s">
        <v>37</v>
      </c>
      <c r="KH308" s="12" t="s">
        <v>37</v>
      </c>
      <c r="KI308" s="12" t="s">
        <v>37</v>
      </c>
      <c r="KJ308" s="12" t="s">
        <v>37</v>
      </c>
      <c r="KM308" s="12" t="s">
        <v>37</v>
      </c>
      <c r="KN308" s="12" t="s">
        <v>37</v>
      </c>
      <c r="KO308" s="11" t="s">
        <v>37</v>
      </c>
      <c r="KQ308" s="12" t="s">
        <v>37</v>
      </c>
      <c r="KR308" s="12" t="s">
        <v>37</v>
      </c>
      <c r="KS308" s="12" t="s">
        <v>37</v>
      </c>
      <c r="KX308" s="12" t="s">
        <v>37</v>
      </c>
      <c r="KY308" s="12" t="s">
        <v>37</v>
      </c>
      <c r="KZ308" s="12" t="s">
        <v>37</v>
      </c>
      <c r="LB308" s="12" t="s">
        <v>37</v>
      </c>
      <c r="LC308" s="12" t="s">
        <v>37</v>
      </c>
      <c r="LD308" s="12" t="s">
        <v>37</v>
      </c>
      <c r="LI308" s="12" t="s">
        <v>37</v>
      </c>
      <c r="LJ308" s="12" t="s">
        <v>37</v>
      </c>
      <c r="LK308" s="12" t="s">
        <v>37</v>
      </c>
      <c r="LM308" s="12" t="s">
        <v>37</v>
      </c>
      <c r="LN308" s="12" t="s">
        <v>37</v>
      </c>
      <c r="LO308" s="12" t="s">
        <v>37</v>
      </c>
      <c r="LU308" s="12" t="s">
        <v>37</v>
      </c>
      <c r="LV308" s="12" t="s">
        <v>37</v>
      </c>
      <c r="LW308" s="12" t="s">
        <v>37</v>
      </c>
      <c r="LY308" s="12" t="s">
        <v>37</v>
      </c>
      <c r="LZ308" s="12" t="s">
        <v>37</v>
      </c>
      <c r="MA308" s="12" t="s">
        <v>37</v>
      </c>
      <c r="MF308" s="12" t="s">
        <v>37</v>
      </c>
      <c r="MG308" s="12" t="s">
        <v>37</v>
      </c>
      <c r="MH308" s="12" t="s">
        <v>37</v>
      </c>
      <c r="MJ308" s="12" t="s">
        <v>37</v>
      </c>
      <c r="MK308" s="12" t="s">
        <v>37</v>
      </c>
      <c r="ML308" s="12" t="s">
        <v>37</v>
      </c>
      <c r="MQ308" s="12" t="s">
        <v>37</v>
      </c>
      <c r="MR308" s="12" t="s">
        <v>37</v>
      </c>
      <c r="MS308" s="12" t="s">
        <v>37</v>
      </c>
      <c r="MU308" s="12" t="s">
        <v>37</v>
      </c>
      <c r="MV308" s="12" t="s">
        <v>37</v>
      </c>
      <c r="MW308" s="12" t="s">
        <v>37</v>
      </c>
      <c r="NC308" s="12" t="s">
        <v>37</v>
      </c>
      <c r="ND308" s="12" t="s">
        <v>37</v>
      </c>
      <c r="NE308" s="12" t="s">
        <v>37</v>
      </c>
      <c r="NG308" s="12" t="s">
        <v>37</v>
      </c>
      <c r="NH308" s="12" t="s">
        <v>37</v>
      </c>
      <c r="NI308" s="12" t="s">
        <v>37</v>
      </c>
      <c r="NO308" s="12" t="s">
        <v>37</v>
      </c>
      <c r="NP308" s="12" t="s">
        <v>37</v>
      </c>
      <c r="NQ308" s="12" t="s">
        <v>37</v>
      </c>
      <c r="NS308" s="12" t="s">
        <v>37</v>
      </c>
      <c r="NT308" s="12" t="s">
        <v>37</v>
      </c>
      <c r="NU308" s="12" t="s">
        <v>37</v>
      </c>
      <c r="OA308" s="12" t="s">
        <v>37</v>
      </c>
      <c r="OB308" s="12" t="s">
        <v>37</v>
      </c>
      <c r="OC308" s="12" t="s">
        <v>37</v>
      </c>
      <c r="OD308" s="12"/>
      <c r="OE308" s="12" t="s">
        <v>37</v>
      </c>
      <c r="OF308" s="12" t="s">
        <v>37</v>
      </c>
      <c r="OG308" s="12" t="s">
        <v>37</v>
      </c>
      <c r="OH308" s="12"/>
      <c r="OI308" s="12"/>
      <c r="OJ308" s="12"/>
      <c r="OM308" s="12" t="s">
        <v>37</v>
      </c>
      <c r="ON308" s="12" t="s">
        <v>37</v>
      </c>
      <c r="OO308" s="12" t="s">
        <v>37</v>
      </c>
      <c r="OP308" s="12" t="s">
        <v>37</v>
      </c>
      <c r="OQ308" s="12" t="s">
        <v>37</v>
      </c>
      <c r="OR308" s="12" t="s">
        <v>37</v>
      </c>
      <c r="OS308" s="12"/>
      <c r="OT308" s="12"/>
      <c r="OW308" s="12" t="s">
        <v>37</v>
      </c>
      <c r="OX308" s="12" t="s">
        <v>37</v>
      </c>
      <c r="OY308" s="13" t="s">
        <v>37</v>
      </c>
      <c r="OZ308" s="12" t="s">
        <v>37</v>
      </c>
      <c r="PA308" s="12" t="s">
        <v>37</v>
      </c>
      <c r="PB308" s="13" t="s">
        <v>37</v>
      </c>
      <c r="PG308" s="12" t="s">
        <v>37</v>
      </c>
      <c r="PH308" s="12" t="s">
        <v>37</v>
      </c>
      <c r="PI308" s="12" t="s">
        <v>37</v>
      </c>
      <c r="PJ308" s="12" t="s">
        <v>37</v>
      </c>
      <c r="PK308" s="12" t="s">
        <v>37</v>
      </c>
      <c r="PL308" s="12" t="s">
        <v>37</v>
      </c>
      <c r="PM308" s="12"/>
      <c r="PN308" s="12"/>
      <c r="PQ308" s="12" t="s">
        <v>37</v>
      </c>
      <c r="PR308" s="12" t="s">
        <v>37</v>
      </c>
      <c r="PS308" s="12" t="s">
        <v>37</v>
      </c>
      <c r="PT308" s="12" t="s">
        <v>37</v>
      </c>
      <c r="PU308" s="12" t="s">
        <v>37</v>
      </c>
      <c r="PV308" s="12" t="s">
        <v>37</v>
      </c>
      <c r="PW308" s="12"/>
      <c r="PX308" s="12"/>
      <c r="PZ308" s="12" t="s">
        <v>37</v>
      </c>
      <c r="QA308" s="12" t="s">
        <v>37</v>
      </c>
      <c r="QB308" s="12" t="s">
        <v>37</v>
      </c>
      <c r="QD308" s="12" t="s">
        <v>37</v>
      </c>
      <c r="QE308" s="12" t="s">
        <v>37</v>
      </c>
      <c r="QF308" s="12" t="s">
        <v>37</v>
      </c>
      <c r="QK308" s="12" t="s">
        <v>37</v>
      </c>
      <c r="QL308" s="12" t="s">
        <v>37</v>
      </c>
      <c r="QM308" s="12" t="s">
        <v>37</v>
      </c>
      <c r="QN308" s="12" t="s">
        <v>37</v>
      </c>
      <c r="QO308" s="12" t="s">
        <v>37</v>
      </c>
      <c r="QP308" s="12" t="s">
        <v>37</v>
      </c>
      <c r="QQ308" s="12"/>
      <c r="QR308" s="12"/>
      <c r="QU308" s="12" t="s">
        <v>37</v>
      </c>
      <c r="QV308" s="12" t="s">
        <v>37</v>
      </c>
      <c r="QW308" s="12" t="s">
        <v>37</v>
      </c>
      <c r="QX308" s="12" t="s">
        <v>37</v>
      </c>
      <c r="QY308" s="12" t="s">
        <v>37</v>
      </c>
      <c r="QZ308" s="12" t="s">
        <v>37</v>
      </c>
      <c r="RC308" s="12" t="s">
        <v>37</v>
      </c>
      <c r="RD308" s="12" t="s">
        <v>37</v>
      </c>
      <c r="RE308" s="13" t="s">
        <v>37</v>
      </c>
      <c r="RF308" s="12" t="s">
        <v>37</v>
      </c>
      <c r="RG308" s="12" t="s">
        <v>37</v>
      </c>
      <c r="RH308" s="13" t="s">
        <v>37</v>
      </c>
      <c r="RK308" s="12" t="s">
        <v>37</v>
      </c>
      <c r="RL308" s="12" t="s">
        <v>37</v>
      </c>
      <c r="RM308" s="11" t="s">
        <v>37</v>
      </c>
      <c r="RN308" s="12" t="s">
        <v>37</v>
      </c>
      <c r="RO308" s="12" t="s">
        <v>37</v>
      </c>
      <c r="RP308" s="11" t="s">
        <v>37</v>
      </c>
      <c r="RS308" s="12" t="s">
        <v>37</v>
      </c>
      <c r="RT308" s="12" t="s">
        <v>37</v>
      </c>
      <c r="RU308" s="12" t="s">
        <v>37</v>
      </c>
      <c r="RV308" s="12" t="s">
        <v>37</v>
      </c>
      <c r="RW308" s="12" t="s">
        <v>37</v>
      </c>
      <c r="RX308" s="12" t="s">
        <v>37</v>
      </c>
      <c r="SA308" s="12" t="s">
        <v>37</v>
      </c>
      <c r="SB308" s="12" t="s">
        <v>37</v>
      </c>
      <c r="SC308" s="12" t="s">
        <v>37</v>
      </c>
      <c r="SD308" s="12" t="s">
        <v>37</v>
      </c>
      <c r="SE308" s="12" t="s">
        <v>37</v>
      </c>
      <c r="SF308" s="12" t="s">
        <v>37</v>
      </c>
      <c r="SI308" s="12" t="s">
        <v>37</v>
      </c>
      <c r="SJ308" s="12" t="s">
        <v>37</v>
      </c>
      <c r="SK308" s="13" t="s">
        <v>37</v>
      </c>
      <c r="SM308" s="12" t="s">
        <v>37</v>
      </c>
      <c r="SN308" s="12" t="s">
        <v>37</v>
      </c>
      <c r="SO308" s="13" t="s">
        <v>37</v>
      </c>
      <c r="SU308" s="12" t="s">
        <v>37</v>
      </c>
      <c r="SV308" s="12" t="s">
        <v>37</v>
      </c>
      <c r="SW308" s="12" t="s">
        <v>37</v>
      </c>
      <c r="SX308" s="12" t="s">
        <v>37</v>
      </c>
      <c r="SY308" s="12" t="s">
        <v>37</v>
      </c>
      <c r="SZ308" s="12" t="s">
        <v>37</v>
      </c>
      <c r="TA308" s="12"/>
      <c r="TB308" s="12"/>
      <c r="TE308" s="12" t="s">
        <v>37</v>
      </c>
      <c r="TF308" s="12" t="s">
        <v>37</v>
      </c>
      <c r="TG308" s="12" t="s">
        <v>37</v>
      </c>
      <c r="TH308" s="12" t="s">
        <v>37</v>
      </c>
      <c r="TI308" s="12" t="s">
        <v>37</v>
      </c>
      <c r="TJ308" s="12" t="s">
        <v>37</v>
      </c>
      <c r="TK308" s="12"/>
      <c r="TL308" s="12"/>
      <c r="TO308" s="12" t="s">
        <v>37</v>
      </c>
      <c r="TP308" s="12" t="s">
        <v>37</v>
      </c>
      <c r="TQ308" s="12" t="s">
        <v>37</v>
      </c>
      <c r="TR308" s="12" t="s">
        <v>37</v>
      </c>
      <c r="TS308" s="12" t="s">
        <v>37</v>
      </c>
      <c r="TT308" s="12" t="s">
        <v>37</v>
      </c>
      <c r="TU308" s="12"/>
      <c r="TV308" s="12"/>
      <c r="TY308" s="12" t="s">
        <v>37</v>
      </c>
      <c r="TZ308" s="12" t="s">
        <v>37</v>
      </c>
      <c r="UA308" s="12" t="s">
        <v>37</v>
      </c>
      <c r="UB308" s="12" t="s">
        <v>37</v>
      </c>
      <c r="UC308" s="12" t="s">
        <v>37</v>
      </c>
      <c r="UD308" s="12" t="s">
        <v>37</v>
      </c>
      <c r="UE308" s="12"/>
      <c r="UF308" s="12"/>
      <c r="UI308" s="12" t="s">
        <v>37</v>
      </c>
      <c r="UJ308" s="12" t="s">
        <v>37</v>
      </c>
      <c r="UK308" s="12" t="s">
        <v>37</v>
      </c>
      <c r="UL308" s="12" t="s">
        <v>37</v>
      </c>
      <c r="UM308" s="12" t="s">
        <v>37</v>
      </c>
      <c r="UN308" s="12" t="s">
        <v>37</v>
      </c>
      <c r="UO308" s="12"/>
      <c r="UP308" s="12"/>
      <c r="UR308" s="12" t="s">
        <v>37</v>
      </c>
      <c r="US308" s="12" t="s">
        <v>37</v>
      </c>
      <c r="UT308" s="12" t="s">
        <v>37</v>
      </c>
      <c r="UU308" s="12" t="s">
        <v>37</v>
      </c>
      <c r="UV308" s="12" t="s">
        <v>37</v>
      </c>
      <c r="UW308" s="12" t="s">
        <v>37</v>
      </c>
      <c r="UX308" s="12"/>
      <c r="UY308" s="12"/>
      <c r="VB308" s="12" t="s">
        <v>37</v>
      </c>
      <c r="VC308" s="12" t="s">
        <v>37</v>
      </c>
      <c r="VD308" s="12" t="s">
        <v>37</v>
      </c>
      <c r="VE308" s="12" t="s">
        <v>37</v>
      </c>
      <c r="VF308" s="12" t="s">
        <v>37</v>
      </c>
      <c r="VG308" s="12" t="s">
        <v>37</v>
      </c>
      <c r="VI308" s="12" t="s">
        <v>37</v>
      </c>
      <c r="VJ308" s="12" t="s">
        <v>37</v>
      </c>
      <c r="VK308" s="12" t="s">
        <v>37</v>
      </c>
      <c r="VL308" s="12" t="s">
        <v>37</v>
      </c>
      <c r="VM308" s="12" t="s">
        <v>37</v>
      </c>
      <c r="VN308" s="12" t="s">
        <v>37</v>
      </c>
      <c r="VQ308" s="12" t="s">
        <v>37</v>
      </c>
      <c r="VR308" s="12" t="s">
        <v>37</v>
      </c>
      <c r="VS308" s="12" t="s">
        <v>37</v>
      </c>
      <c r="VT308" s="12" t="s">
        <v>37</v>
      </c>
      <c r="VU308" s="12" t="s">
        <v>37</v>
      </c>
      <c r="VV308" s="12" t="s">
        <v>37</v>
      </c>
      <c r="VW308" s="12"/>
      <c r="VX308" s="12"/>
      <c r="WA308" s="12" t="s">
        <v>37</v>
      </c>
      <c r="WB308" s="12" t="s">
        <v>37</v>
      </c>
      <c r="WC308" s="12" t="s">
        <v>37</v>
      </c>
      <c r="WD308" s="12" t="s">
        <v>37</v>
      </c>
      <c r="WE308" s="12" t="s">
        <v>37</v>
      </c>
      <c r="WF308" s="12" t="s">
        <v>37</v>
      </c>
    </row>
    <row r="309" spans="1:604" ht="18" customHeight="1" x14ac:dyDescent="0.3">
      <c r="A309" s="11">
        <v>70</v>
      </c>
      <c r="B309" s="16" t="s">
        <v>399</v>
      </c>
      <c r="C309" s="12" t="s">
        <v>32</v>
      </c>
      <c r="D309" s="12" t="s">
        <v>54</v>
      </c>
      <c r="E309" s="40" t="s">
        <v>37</v>
      </c>
      <c r="F309" s="14">
        <v>0</v>
      </c>
      <c r="G309" s="14">
        <v>0</v>
      </c>
      <c r="H309" s="12" t="s">
        <v>91</v>
      </c>
      <c r="I309" s="29">
        <v>49.05</v>
      </c>
      <c r="J309" s="29">
        <v>-80.667000000000002</v>
      </c>
      <c r="K309" s="12" t="s">
        <v>778</v>
      </c>
      <c r="L309" s="12" t="s">
        <v>779</v>
      </c>
      <c r="M309" s="13" t="s">
        <v>37</v>
      </c>
      <c r="N309" s="14">
        <v>0.6</v>
      </c>
      <c r="O309" s="14">
        <v>885</v>
      </c>
      <c r="P309" s="14" t="s">
        <v>16</v>
      </c>
      <c r="Q309" s="75">
        <v>7</v>
      </c>
      <c r="R309" s="11" t="s">
        <v>999</v>
      </c>
      <c r="S309" s="12" t="s">
        <v>93</v>
      </c>
      <c r="T309" s="12" t="s">
        <v>141</v>
      </c>
      <c r="U309" s="12" t="s">
        <v>334</v>
      </c>
      <c r="V309" s="12" t="s">
        <v>275</v>
      </c>
      <c r="W309" s="23" t="s">
        <v>404</v>
      </c>
      <c r="X309" s="12" t="s">
        <v>281</v>
      </c>
      <c r="Y309" s="12" t="s">
        <v>37</v>
      </c>
      <c r="Z309" s="12" t="s">
        <v>37</v>
      </c>
      <c r="AA309" s="32" t="s">
        <v>345</v>
      </c>
      <c r="AB309" s="12">
        <v>4.5</v>
      </c>
      <c r="AE309" s="12" t="s">
        <v>37</v>
      </c>
      <c r="AH309" s="12" t="s">
        <v>37</v>
      </c>
      <c r="AK309" s="12" t="s">
        <v>37</v>
      </c>
      <c r="AL309" s="32" t="s">
        <v>400</v>
      </c>
      <c r="AM309" s="12" t="s">
        <v>317</v>
      </c>
      <c r="AN309" s="32" t="s">
        <v>879</v>
      </c>
      <c r="AO309" s="12" t="s">
        <v>37</v>
      </c>
      <c r="AP309" s="12" t="s">
        <v>401</v>
      </c>
      <c r="AQ309" s="12" t="s">
        <v>975</v>
      </c>
      <c r="AT309" s="12" t="s">
        <v>326</v>
      </c>
      <c r="AU309" s="12" t="s">
        <v>326</v>
      </c>
      <c r="AV309" s="13" t="s">
        <v>326</v>
      </c>
      <c r="AX309" s="12" t="s">
        <v>326</v>
      </c>
      <c r="AY309" s="12" t="s">
        <v>326</v>
      </c>
      <c r="AZ309" s="13" t="s">
        <v>326</v>
      </c>
      <c r="BE309" s="12" t="s">
        <v>326</v>
      </c>
      <c r="BF309" s="12" t="s">
        <v>326</v>
      </c>
      <c r="BG309" s="12" t="s">
        <v>326</v>
      </c>
      <c r="BI309" s="12" t="s">
        <v>326</v>
      </c>
      <c r="BJ309" s="12" t="s">
        <v>326</v>
      </c>
      <c r="BK309" s="12" t="s">
        <v>326</v>
      </c>
      <c r="BP309" s="12" t="s">
        <v>37</v>
      </c>
      <c r="BQ309" s="12" t="s">
        <v>37</v>
      </c>
      <c r="BR309" s="13" t="s">
        <v>37</v>
      </c>
      <c r="BT309" s="12" t="s">
        <v>37</v>
      </c>
      <c r="BU309" s="12" t="s">
        <v>37</v>
      </c>
      <c r="BV309" s="12" t="s">
        <v>37</v>
      </c>
      <c r="CA309" s="12" t="s">
        <v>37</v>
      </c>
      <c r="CB309" s="12" t="s">
        <v>37</v>
      </c>
      <c r="CC309" s="13" t="s">
        <v>37</v>
      </c>
      <c r="CE309" s="12" t="s">
        <v>37</v>
      </c>
      <c r="CF309" s="12" t="s">
        <v>37</v>
      </c>
      <c r="CG309" s="12" t="s">
        <v>37</v>
      </c>
      <c r="CN309" s="12" t="s">
        <v>37</v>
      </c>
      <c r="CO309" s="12" t="s">
        <v>37</v>
      </c>
      <c r="CP309" s="13" t="s">
        <v>37</v>
      </c>
      <c r="CR309" s="12" t="s">
        <v>37</v>
      </c>
      <c r="CS309" s="12" t="s">
        <v>37</v>
      </c>
      <c r="CT309" s="13" t="s">
        <v>37</v>
      </c>
      <c r="CX309" s="72"/>
      <c r="CY309" s="72"/>
      <c r="DA309" s="12" t="s">
        <v>37</v>
      </c>
      <c r="DB309" s="12" t="s">
        <v>37</v>
      </c>
      <c r="DC309" s="13" t="s">
        <v>37</v>
      </c>
      <c r="DE309" s="12" t="s">
        <v>37</v>
      </c>
      <c r="DF309" s="12" t="s">
        <v>37</v>
      </c>
      <c r="DG309" s="12" t="s">
        <v>37</v>
      </c>
      <c r="DM309" s="12" t="s">
        <v>47</v>
      </c>
      <c r="DN309" s="19">
        <f>0.5*("1991/10/31"-"1991/5/1")*10^4/10^6/'[1]classes-1'!$I$32</f>
        <v>1.2638543711866406</v>
      </c>
      <c r="DO309" s="12">
        <f>DO308</f>
        <v>3.7827422106480872</v>
      </c>
      <c r="DP309" s="13">
        <v>6</v>
      </c>
      <c r="DQ309" s="19">
        <f t="shared" si="1255"/>
        <v>2.9930206334583054</v>
      </c>
      <c r="DR309" s="19">
        <f>-0.3*("1991/10/31"-"1991/5/1")*10^4/10^6/'[1]classes-1'!$I$34</f>
        <v>-0.16115570294991843</v>
      </c>
      <c r="DS309" s="12">
        <f>SQRT((1/[2]Classes!$I$34)^2*(1*("1991/10/31"-"1991/5/1")*10^4/10^6)^2+(-DR309/([2]Classes!$I$34)^2)^2*([2]Classes!$J$34)^2)</f>
        <v>0.5610292847687105</v>
      </c>
      <c r="DT309" s="13">
        <v>6</v>
      </c>
      <c r="DU309" s="19">
        <f t="shared" si="1256"/>
        <v>3.4812871930635851</v>
      </c>
      <c r="DV309" s="19">
        <f t="shared" si="1211"/>
        <v>-1.425010074136559</v>
      </c>
      <c r="DW309" s="12">
        <f t="shared" si="1212"/>
        <v>2.7040610653780424</v>
      </c>
      <c r="DX309" s="72">
        <f t="shared" si="1251"/>
        <v>2.4373154150978111</v>
      </c>
      <c r="DY309" s="72">
        <f t="shared" si="1252"/>
        <v>2.4373154150978111</v>
      </c>
      <c r="EA309" s="19" t="s">
        <v>37</v>
      </c>
      <c r="EB309" s="19" t="s">
        <v>37</v>
      </c>
      <c r="EC309" s="72" t="s">
        <v>37</v>
      </c>
      <c r="EE309" s="19" t="s">
        <v>37</v>
      </c>
      <c r="EF309" s="19" t="s">
        <v>37</v>
      </c>
      <c r="EG309" s="12" t="s">
        <v>37</v>
      </c>
      <c r="EM309" s="12" t="s">
        <v>39</v>
      </c>
      <c r="EN309" s="12">
        <v>-48.7</v>
      </c>
      <c r="EO309" s="50">
        <f t="shared" si="1241"/>
        <v>19.845074619187987</v>
      </c>
      <c r="EP309" s="13">
        <v>1</v>
      </c>
      <c r="ER309" s="12">
        <v>-119.3</v>
      </c>
      <c r="ES309" s="50">
        <f t="shared" si="1242"/>
        <v>27.058916583646866</v>
      </c>
      <c r="ET309" s="13">
        <v>1</v>
      </c>
      <c r="EV309" s="19">
        <f t="shared" si="1233"/>
        <v>-70.599999999999994</v>
      </c>
      <c r="EW309" s="12" t="e">
        <f t="shared" si="1234"/>
        <v>#DIV/0!</v>
      </c>
      <c r="EX309" s="19" t="e">
        <f t="shared" si="1235"/>
        <v>#DIV/0!</v>
      </c>
      <c r="EY309" s="19">
        <f t="shared" si="1236"/>
        <v>1126.0119533218985</v>
      </c>
      <c r="FB309" s="12" t="s">
        <v>37</v>
      </c>
      <c r="FC309" s="12" t="s">
        <v>37</v>
      </c>
      <c r="FD309" s="12" t="s">
        <v>37</v>
      </c>
      <c r="FE309" s="12" t="s">
        <v>37</v>
      </c>
      <c r="FF309" s="20" t="s">
        <v>37</v>
      </c>
      <c r="FG309" s="12" t="s">
        <v>37</v>
      </c>
      <c r="FI309" s="12" t="s">
        <v>37</v>
      </c>
      <c r="FJ309" s="12" t="s">
        <v>37</v>
      </c>
      <c r="FK309" s="12" t="s">
        <v>37</v>
      </c>
      <c r="FL309" s="12" t="s">
        <v>37</v>
      </c>
      <c r="FM309" s="12" t="s">
        <v>37</v>
      </c>
      <c r="FN309" s="12" t="s">
        <v>37</v>
      </c>
      <c r="FP309" s="12" t="s">
        <v>37</v>
      </c>
      <c r="FQ309" s="12" t="s">
        <v>37</v>
      </c>
      <c r="FR309" s="12" t="s">
        <v>37</v>
      </c>
      <c r="FS309" s="12" t="s">
        <v>37</v>
      </c>
      <c r="FT309" s="12" t="s">
        <v>37</v>
      </c>
      <c r="FU309" s="12" t="s">
        <v>37</v>
      </c>
      <c r="FW309" s="12" t="s">
        <v>37</v>
      </c>
      <c r="FX309" s="12" t="s">
        <v>37</v>
      </c>
      <c r="FY309" s="12" t="s">
        <v>37</v>
      </c>
      <c r="FZ309" s="12" t="s">
        <v>37</v>
      </c>
      <c r="GA309" s="12" t="s">
        <v>37</v>
      </c>
      <c r="GB309" s="12" t="s">
        <v>37</v>
      </c>
      <c r="GO309" s="12" t="s">
        <v>660</v>
      </c>
      <c r="GP309" s="12" t="s">
        <v>372</v>
      </c>
      <c r="GQ309" s="12">
        <v>13.1</v>
      </c>
      <c r="GR309" s="50">
        <f t="shared" si="1243"/>
        <v>1.251437203784747</v>
      </c>
      <c r="GS309" s="13">
        <v>1</v>
      </c>
      <c r="GU309" s="12">
        <v>16.2</v>
      </c>
      <c r="GV309" s="50">
        <f t="shared" si="1244"/>
        <v>1.7242661533318744</v>
      </c>
      <c r="GW309" s="13">
        <v>1</v>
      </c>
      <c r="GY309" s="19">
        <f t="shared" si="1253"/>
        <v>0.21239901203123257</v>
      </c>
      <c r="GZ309" s="19">
        <f t="shared" si="1254"/>
        <v>2.0454557267488193E-2</v>
      </c>
      <c r="IK309" s="12" t="s">
        <v>37</v>
      </c>
      <c r="IL309" s="12" t="s">
        <v>37</v>
      </c>
      <c r="IM309" s="12" t="s">
        <v>37</v>
      </c>
      <c r="IO309" s="12" t="s">
        <v>37</v>
      </c>
      <c r="IP309" s="12" t="s">
        <v>37</v>
      </c>
      <c r="IQ309" s="12" t="s">
        <v>37</v>
      </c>
      <c r="IV309" s="32" t="s">
        <v>345</v>
      </c>
      <c r="IW309" s="12">
        <v>4.5</v>
      </c>
      <c r="IX309" s="12">
        <v>0.3</v>
      </c>
      <c r="IY309" s="13">
        <v>6</v>
      </c>
      <c r="IZ309" s="19">
        <f t="shared" si="1247"/>
        <v>6.6666666666666666E-2</v>
      </c>
      <c r="JA309" s="13"/>
      <c r="JB309" s="13"/>
      <c r="JH309" s="12" t="s">
        <v>37</v>
      </c>
      <c r="JI309" s="12" t="s">
        <v>37</v>
      </c>
      <c r="JJ309" s="13" t="s">
        <v>37</v>
      </c>
      <c r="JL309" s="12" t="s">
        <v>37</v>
      </c>
      <c r="JM309" s="12" t="s">
        <v>37</v>
      </c>
      <c r="JN309" s="12" t="s">
        <v>37</v>
      </c>
      <c r="JS309" s="12" t="s">
        <v>37</v>
      </c>
      <c r="JT309" s="12" t="s">
        <v>37</v>
      </c>
      <c r="JU309" s="13" t="s">
        <v>37</v>
      </c>
      <c r="JW309" s="12" t="s">
        <v>37</v>
      </c>
      <c r="JX309" s="12" t="s">
        <v>37</v>
      </c>
      <c r="JY309" s="12" t="s">
        <v>37</v>
      </c>
      <c r="KE309" s="12" t="s">
        <v>37</v>
      </c>
      <c r="KF309" s="12" t="s">
        <v>37</v>
      </c>
      <c r="KG309" s="13" t="s">
        <v>37</v>
      </c>
      <c r="KH309" s="12" t="s">
        <v>37</v>
      </c>
      <c r="KI309" s="12" t="s">
        <v>37</v>
      </c>
      <c r="KJ309" s="12" t="s">
        <v>37</v>
      </c>
      <c r="KM309" s="12" t="s">
        <v>37</v>
      </c>
      <c r="KN309" s="12" t="s">
        <v>37</v>
      </c>
      <c r="KO309" s="11" t="s">
        <v>37</v>
      </c>
      <c r="KQ309" s="12" t="s">
        <v>37</v>
      </c>
      <c r="KR309" s="12" t="s">
        <v>37</v>
      </c>
      <c r="KS309" s="12" t="s">
        <v>37</v>
      </c>
      <c r="KX309" s="12" t="s">
        <v>37</v>
      </c>
      <c r="KY309" s="12" t="s">
        <v>37</v>
      </c>
      <c r="KZ309" s="12" t="s">
        <v>37</v>
      </c>
      <c r="LB309" s="12" t="s">
        <v>37</v>
      </c>
      <c r="LC309" s="12" t="s">
        <v>37</v>
      </c>
      <c r="LD309" s="12" t="s">
        <v>37</v>
      </c>
      <c r="LI309" s="12" t="s">
        <v>37</v>
      </c>
      <c r="LJ309" s="12" t="s">
        <v>37</v>
      </c>
      <c r="LK309" s="12" t="s">
        <v>37</v>
      </c>
      <c r="LM309" s="12" t="s">
        <v>37</v>
      </c>
      <c r="LN309" s="12" t="s">
        <v>37</v>
      </c>
      <c r="LO309" s="12" t="s">
        <v>37</v>
      </c>
      <c r="LU309" s="12" t="s">
        <v>37</v>
      </c>
      <c r="LV309" s="12" t="s">
        <v>37</v>
      </c>
      <c r="LW309" s="12" t="s">
        <v>37</v>
      </c>
      <c r="LY309" s="12" t="s">
        <v>37</v>
      </c>
      <c r="LZ309" s="12" t="s">
        <v>37</v>
      </c>
      <c r="MA309" s="12" t="s">
        <v>37</v>
      </c>
      <c r="MF309" s="12" t="s">
        <v>37</v>
      </c>
      <c r="MG309" s="12" t="s">
        <v>37</v>
      </c>
      <c r="MH309" s="12" t="s">
        <v>37</v>
      </c>
      <c r="MJ309" s="12" t="s">
        <v>37</v>
      </c>
      <c r="MK309" s="12" t="s">
        <v>37</v>
      </c>
      <c r="ML309" s="12" t="s">
        <v>37</v>
      </c>
      <c r="MQ309" s="12" t="s">
        <v>37</v>
      </c>
      <c r="MR309" s="12" t="s">
        <v>37</v>
      </c>
      <c r="MS309" s="12" t="s">
        <v>37</v>
      </c>
      <c r="MU309" s="12" t="s">
        <v>37</v>
      </c>
      <c r="MV309" s="12" t="s">
        <v>37</v>
      </c>
      <c r="MW309" s="12" t="s">
        <v>37</v>
      </c>
      <c r="NC309" s="12" t="s">
        <v>37</v>
      </c>
      <c r="ND309" s="12" t="s">
        <v>37</v>
      </c>
      <c r="NE309" s="12" t="s">
        <v>37</v>
      </c>
      <c r="NG309" s="12" t="s">
        <v>37</v>
      </c>
      <c r="NH309" s="12" t="s">
        <v>37</v>
      </c>
      <c r="NI309" s="12" t="s">
        <v>37</v>
      </c>
      <c r="NO309" s="12" t="s">
        <v>37</v>
      </c>
      <c r="NP309" s="12" t="s">
        <v>37</v>
      </c>
      <c r="NQ309" s="12" t="s">
        <v>37</v>
      </c>
      <c r="NS309" s="12" t="s">
        <v>37</v>
      </c>
      <c r="NT309" s="12" t="s">
        <v>37</v>
      </c>
      <c r="NU309" s="12" t="s">
        <v>37</v>
      </c>
      <c r="OA309" s="12" t="s">
        <v>37</v>
      </c>
      <c r="OB309" s="12" t="s">
        <v>37</v>
      </c>
      <c r="OC309" s="12" t="s">
        <v>37</v>
      </c>
      <c r="OD309" s="12"/>
      <c r="OE309" s="12" t="s">
        <v>37</v>
      </c>
      <c r="OF309" s="12" t="s">
        <v>37</v>
      </c>
      <c r="OG309" s="12" t="s">
        <v>37</v>
      </c>
      <c r="OH309" s="12"/>
      <c r="OI309" s="12"/>
      <c r="OJ309" s="12"/>
      <c r="OM309" s="12" t="s">
        <v>37</v>
      </c>
      <c r="ON309" s="12" t="s">
        <v>37</v>
      </c>
      <c r="OO309" s="12" t="s">
        <v>37</v>
      </c>
      <c r="OP309" s="12" t="s">
        <v>37</v>
      </c>
      <c r="OQ309" s="12" t="s">
        <v>37</v>
      </c>
      <c r="OR309" s="12" t="s">
        <v>37</v>
      </c>
      <c r="OS309" s="12"/>
      <c r="OT309" s="12"/>
      <c r="OW309" s="12" t="s">
        <v>37</v>
      </c>
      <c r="OX309" s="12" t="s">
        <v>37</v>
      </c>
      <c r="OY309" s="13" t="s">
        <v>37</v>
      </c>
      <c r="OZ309" s="12" t="s">
        <v>37</v>
      </c>
      <c r="PA309" s="12" t="s">
        <v>37</v>
      </c>
      <c r="PB309" s="13" t="s">
        <v>37</v>
      </c>
      <c r="PG309" s="12" t="s">
        <v>37</v>
      </c>
      <c r="PH309" s="12" t="s">
        <v>37</v>
      </c>
      <c r="PI309" s="12" t="s">
        <v>37</v>
      </c>
      <c r="PJ309" s="12" t="s">
        <v>37</v>
      </c>
      <c r="PK309" s="12" t="s">
        <v>37</v>
      </c>
      <c r="PL309" s="12" t="s">
        <v>37</v>
      </c>
      <c r="PM309" s="12"/>
      <c r="PN309" s="12"/>
      <c r="PQ309" s="12" t="s">
        <v>37</v>
      </c>
      <c r="PR309" s="12" t="s">
        <v>37</v>
      </c>
      <c r="PS309" s="12" t="s">
        <v>37</v>
      </c>
      <c r="PT309" s="12" t="s">
        <v>37</v>
      </c>
      <c r="PU309" s="12" t="s">
        <v>37</v>
      </c>
      <c r="PV309" s="12" t="s">
        <v>37</v>
      </c>
      <c r="PW309" s="12"/>
      <c r="PX309" s="12"/>
      <c r="PZ309" s="12" t="s">
        <v>37</v>
      </c>
      <c r="QA309" s="12" t="s">
        <v>37</v>
      </c>
      <c r="QB309" s="12" t="s">
        <v>37</v>
      </c>
      <c r="QD309" s="12" t="s">
        <v>37</v>
      </c>
      <c r="QE309" s="12" t="s">
        <v>37</v>
      </c>
      <c r="QF309" s="12" t="s">
        <v>37</v>
      </c>
      <c r="QK309" s="12" t="s">
        <v>37</v>
      </c>
      <c r="QL309" s="12" t="s">
        <v>37</v>
      </c>
      <c r="QM309" s="12" t="s">
        <v>37</v>
      </c>
      <c r="QN309" s="12" t="s">
        <v>37</v>
      </c>
      <c r="QO309" s="12" t="s">
        <v>37</v>
      </c>
      <c r="QP309" s="12" t="s">
        <v>37</v>
      </c>
      <c r="QQ309" s="12"/>
      <c r="QR309" s="12"/>
      <c r="QU309" s="12" t="s">
        <v>37</v>
      </c>
      <c r="QV309" s="12" t="s">
        <v>37</v>
      </c>
      <c r="QW309" s="12" t="s">
        <v>37</v>
      </c>
      <c r="QX309" s="12" t="s">
        <v>37</v>
      </c>
      <c r="QY309" s="12" t="s">
        <v>37</v>
      </c>
      <c r="QZ309" s="12" t="s">
        <v>37</v>
      </c>
      <c r="RC309" s="12" t="s">
        <v>37</v>
      </c>
      <c r="RD309" s="12" t="s">
        <v>37</v>
      </c>
      <c r="RE309" s="13" t="s">
        <v>37</v>
      </c>
      <c r="RF309" s="12" t="s">
        <v>37</v>
      </c>
      <c r="RG309" s="12" t="s">
        <v>37</v>
      </c>
      <c r="RH309" s="13" t="s">
        <v>37</v>
      </c>
      <c r="RK309" s="12" t="s">
        <v>37</v>
      </c>
      <c r="RL309" s="12" t="s">
        <v>37</v>
      </c>
      <c r="RM309" s="11" t="s">
        <v>37</v>
      </c>
      <c r="RN309" s="12" t="s">
        <v>37</v>
      </c>
      <c r="RO309" s="12" t="s">
        <v>37</v>
      </c>
      <c r="RP309" s="11" t="s">
        <v>37</v>
      </c>
      <c r="RS309" s="12" t="s">
        <v>37</v>
      </c>
      <c r="RT309" s="12" t="s">
        <v>37</v>
      </c>
      <c r="RU309" s="12" t="s">
        <v>37</v>
      </c>
      <c r="RV309" s="12" t="s">
        <v>37</v>
      </c>
      <c r="RW309" s="12" t="s">
        <v>37</v>
      </c>
      <c r="RX309" s="12" t="s">
        <v>37</v>
      </c>
      <c r="SA309" s="12" t="s">
        <v>37</v>
      </c>
      <c r="SB309" s="12" t="s">
        <v>37</v>
      </c>
      <c r="SC309" s="12" t="s">
        <v>37</v>
      </c>
      <c r="SD309" s="12" t="s">
        <v>37</v>
      </c>
      <c r="SE309" s="12" t="s">
        <v>37</v>
      </c>
      <c r="SF309" s="12" t="s">
        <v>37</v>
      </c>
      <c r="SI309" s="12" t="s">
        <v>37</v>
      </c>
      <c r="SJ309" s="12" t="s">
        <v>37</v>
      </c>
      <c r="SK309" s="13" t="s">
        <v>37</v>
      </c>
      <c r="SM309" s="12" t="s">
        <v>37</v>
      </c>
      <c r="SN309" s="12" t="s">
        <v>37</v>
      </c>
      <c r="SO309" s="13" t="s">
        <v>37</v>
      </c>
      <c r="SU309" s="12" t="s">
        <v>37</v>
      </c>
      <c r="SV309" s="12" t="s">
        <v>37</v>
      </c>
      <c r="SW309" s="12" t="s">
        <v>37</v>
      </c>
      <c r="SX309" s="12" t="s">
        <v>37</v>
      </c>
      <c r="SY309" s="12" t="s">
        <v>37</v>
      </c>
      <c r="SZ309" s="12" t="s">
        <v>37</v>
      </c>
      <c r="TA309" s="12"/>
      <c r="TB309" s="12"/>
      <c r="TE309" s="12" t="s">
        <v>37</v>
      </c>
      <c r="TF309" s="12" t="s">
        <v>37</v>
      </c>
      <c r="TG309" s="12" t="s">
        <v>37</v>
      </c>
      <c r="TH309" s="12" t="s">
        <v>37</v>
      </c>
      <c r="TI309" s="12" t="s">
        <v>37</v>
      </c>
      <c r="TJ309" s="12" t="s">
        <v>37</v>
      </c>
      <c r="TK309" s="12"/>
      <c r="TL309" s="12"/>
      <c r="TO309" s="12" t="s">
        <v>37</v>
      </c>
      <c r="TP309" s="12" t="s">
        <v>37</v>
      </c>
      <c r="TQ309" s="12" t="s">
        <v>37</v>
      </c>
      <c r="TR309" s="12" t="s">
        <v>37</v>
      </c>
      <c r="TS309" s="12" t="s">
        <v>37</v>
      </c>
      <c r="TT309" s="12" t="s">
        <v>37</v>
      </c>
      <c r="TU309" s="12"/>
      <c r="TV309" s="12"/>
      <c r="TY309" s="12" t="s">
        <v>37</v>
      </c>
      <c r="TZ309" s="12" t="s">
        <v>37</v>
      </c>
      <c r="UA309" s="12" t="s">
        <v>37</v>
      </c>
      <c r="UB309" s="12" t="s">
        <v>37</v>
      </c>
      <c r="UC309" s="12" t="s">
        <v>37</v>
      </c>
      <c r="UD309" s="12" t="s">
        <v>37</v>
      </c>
      <c r="UE309" s="12"/>
      <c r="UF309" s="12"/>
      <c r="UI309" s="12" t="s">
        <v>37</v>
      </c>
      <c r="UJ309" s="12" t="s">
        <v>37</v>
      </c>
      <c r="UK309" s="12" t="s">
        <v>37</v>
      </c>
      <c r="UL309" s="12" t="s">
        <v>37</v>
      </c>
      <c r="UM309" s="12" t="s">
        <v>37</v>
      </c>
      <c r="UN309" s="12" t="s">
        <v>37</v>
      </c>
      <c r="UO309" s="12"/>
      <c r="UP309" s="12"/>
      <c r="UR309" s="12" t="s">
        <v>37</v>
      </c>
      <c r="US309" s="12" t="s">
        <v>37</v>
      </c>
      <c r="UT309" s="12" t="s">
        <v>37</v>
      </c>
      <c r="UU309" s="12" t="s">
        <v>37</v>
      </c>
      <c r="UV309" s="12" t="s">
        <v>37</v>
      </c>
      <c r="UW309" s="12" t="s">
        <v>37</v>
      </c>
      <c r="UX309" s="12"/>
      <c r="UY309" s="12"/>
      <c r="VB309" s="12" t="s">
        <v>37</v>
      </c>
      <c r="VC309" s="12" t="s">
        <v>37</v>
      </c>
      <c r="VD309" s="12" t="s">
        <v>37</v>
      </c>
      <c r="VE309" s="12" t="s">
        <v>37</v>
      </c>
      <c r="VF309" s="12" t="s">
        <v>37</v>
      </c>
      <c r="VG309" s="12" t="s">
        <v>37</v>
      </c>
      <c r="VI309" s="12" t="s">
        <v>37</v>
      </c>
      <c r="VJ309" s="12" t="s">
        <v>37</v>
      </c>
      <c r="VK309" s="12" t="s">
        <v>37</v>
      </c>
      <c r="VL309" s="12" t="s">
        <v>37</v>
      </c>
      <c r="VM309" s="12" t="s">
        <v>37</v>
      </c>
      <c r="VN309" s="12" t="s">
        <v>37</v>
      </c>
      <c r="VQ309" s="12" t="s">
        <v>37</v>
      </c>
      <c r="VR309" s="12" t="s">
        <v>37</v>
      </c>
      <c r="VS309" s="12" t="s">
        <v>37</v>
      </c>
      <c r="VT309" s="12" t="s">
        <v>37</v>
      </c>
      <c r="VU309" s="12" t="s">
        <v>37</v>
      </c>
      <c r="VV309" s="12" t="s">
        <v>37</v>
      </c>
      <c r="VW309" s="12"/>
      <c r="VX309" s="12"/>
      <c r="WA309" s="12" t="s">
        <v>37</v>
      </c>
      <c r="WB309" s="12" t="s">
        <v>37</v>
      </c>
      <c r="WC309" s="12" t="s">
        <v>37</v>
      </c>
      <c r="WD309" s="12" t="s">
        <v>37</v>
      </c>
      <c r="WE309" s="12" t="s">
        <v>37</v>
      </c>
      <c r="WF309" s="12" t="s">
        <v>37</v>
      </c>
    </row>
    <row r="310" spans="1:604" ht="18" customHeight="1" x14ac:dyDescent="0.3">
      <c r="A310" s="11">
        <v>70</v>
      </c>
      <c r="B310" s="16" t="s">
        <v>399</v>
      </c>
      <c r="C310" s="12" t="s">
        <v>864</v>
      </c>
      <c r="D310" s="12" t="s">
        <v>54</v>
      </c>
      <c r="E310" s="40" t="s">
        <v>37</v>
      </c>
      <c r="F310" s="14">
        <v>0</v>
      </c>
      <c r="G310" s="14">
        <v>0</v>
      </c>
      <c r="H310" s="12" t="s">
        <v>91</v>
      </c>
      <c r="I310" s="29">
        <v>49.05</v>
      </c>
      <c r="J310" s="29">
        <v>-80.667000000000002</v>
      </c>
      <c r="K310" s="12" t="s">
        <v>778</v>
      </c>
      <c r="L310" s="12" t="s">
        <v>779</v>
      </c>
      <c r="M310" s="13" t="s">
        <v>37</v>
      </c>
      <c r="N310" s="14">
        <v>0.6</v>
      </c>
      <c r="O310" s="14">
        <v>885</v>
      </c>
      <c r="P310" s="14" t="s">
        <v>16</v>
      </c>
      <c r="Q310" s="75">
        <v>7</v>
      </c>
      <c r="R310" s="11" t="s">
        <v>999</v>
      </c>
      <c r="S310" s="12" t="s">
        <v>93</v>
      </c>
      <c r="T310" s="12" t="s">
        <v>141</v>
      </c>
      <c r="U310" s="12" t="s">
        <v>334</v>
      </c>
      <c r="V310" s="12" t="s">
        <v>275</v>
      </c>
      <c r="W310" s="23" t="s">
        <v>404</v>
      </c>
      <c r="X310" s="12" t="s">
        <v>281</v>
      </c>
      <c r="Y310" s="12" t="s">
        <v>37</v>
      </c>
      <c r="Z310" s="12" t="s">
        <v>37</v>
      </c>
      <c r="AA310" s="32" t="s">
        <v>345</v>
      </c>
      <c r="AB310" s="12">
        <v>4.5</v>
      </c>
      <c r="AE310" s="12" t="s">
        <v>37</v>
      </c>
      <c r="AH310" s="12" t="s">
        <v>37</v>
      </c>
      <c r="AK310" s="12" t="s">
        <v>37</v>
      </c>
      <c r="AL310" s="32" t="s">
        <v>400</v>
      </c>
      <c r="AM310" s="12" t="s">
        <v>317</v>
      </c>
      <c r="AN310" s="32" t="s">
        <v>879</v>
      </c>
      <c r="AO310" s="12" t="s">
        <v>37</v>
      </c>
      <c r="AP310" s="12" t="s">
        <v>401</v>
      </c>
      <c r="AQ310" s="12" t="s">
        <v>975</v>
      </c>
      <c r="AT310" s="12" t="s">
        <v>326</v>
      </c>
      <c r="AU310" s="12" t="s">
        <v>326</v>
      </c>
      <c r="AV310" s="13" t="s">
        <v>326</v>
      </c>
      <c r="AX310" s="12" t="s">
        <v>326</v>
      </c>
      <c r="AY310" s="12" t="s">
        <v>326</v>
      </c>
      <c r="AZ310" s="13" t="s">
        <v>326</v>
      </c>
      <c r="BE310" s="12" t="s">
        <v>326</v>
      </c>
      <c r="BF310" s="12" t="s">
        <v>326</v>
      </c>
      <c r="BG310" s="12" t="s">
        <v>326</v>
      </c>
      <c r="BI310" s="12" t="s">
        <v>326</v>
      </c>
      <c r="BJ310" s="12" t="s">
        <v>326</v>
      </c>
      <c r="BK310" s="12" t="s">
        <v>326</v>
      </c>
      <c r="BP310" s="12" t="s">
        <v>37</v>
      </c>
      <c r="BQ310" s="12" t="s">
        <v>37</v>
      </c>
      <c r="BR310" s="13" t="s">
        <v>37</v>
      </c>
      <c r="BT310" s="12" t="s">
        <v>37</v>
      </c>
      <c r="BU310" s="12" t="s">
        <v>37</v>
      </c>
      <c r="BV310" s="12" t="s">
        <v>37</v>
      </c>
      <c r="CA310" s="12" t="s">
        <v>37</v>
      </c>
      <c r="CB310" s="12" t="s">
        <v>37</v>
      </c>
      <c r="CC310" s="13" t="s">
        <v>37</v>
      </c>
      <c r="CE310" s="12" t="s">
        <v>37</v>
      </c>
      <c r="CF310" s="12" t="s">
        <v>37</v>
      </c>
      <c r="CG310" s="12" t="s">
        <v>37</v>
      </c>
      <c r="CN310" s="12" t="s">
        <v>37</v>
      </c>
      <c r="CO310" s="12" t="s">
        <v>37</v>
      </c>
      <c r="CP310" s="13" t="s">
        <v>37</v>
      </c>
      <c r="CR310" s="12" t="s">
        <v>37</v>
      </c>
      <c r="CS310" s="12" t="s">
        <v>37</v>
      </c>
      <c r="CT310" s="13" t="s">
        <v>37</v>
      </c>
      <c r="CX310" s="72"/>
      <c r="CY310" s="72"/>
      <c r="DA310" s="12" t="s">
        <v>37</v>
      </c>
      <c r="DB310" s="12" t="s">
        <v>37</v>
      </c>
      <c r="DC310" s="13" t="s">
        <v>37</v>
      </c>
      <c r="DE310" s="12" t="s">
        <v>37</v>
      </c>
      <c r="DF310" s="12" t="s">
        <v>37</v>
      </c>
      <c r="DG310" s="12" t="s">
        <v>37</v>
      </c>
      <c r="DM310" s="12" t="s">
        <v>47</v>
      </c>
      <c r="DN310" s="19">
        <f>0.5*("1991/10/31"-"1991/5/1")*10^4/10^6/'[1]classes-1'!$I$32</f>
        <v>1.2638543711866406</v>
      </c>
      <c r="DO310" s="12">
        <f t="shared" ref="DO310:DO311" si="1260">DO309</f>
        <v>3.7827422106480872</v>
      </c>
      <c r="DP310" s="13">
        <v>6</v>
      </c>
      <c r="DQ310" s="19">
        <f t="shared" si="1255"/>
        <v>2.9930206334583054</v>
      </c>
      <c r="DR310" s="19">
        <f>-0.3*("1991/10/31"-"1991/5/1")*10^4/10^6/'[1]classes-1'!$I$34</f>
        <v>-0.16115570294991843</v>
      </c>
      <c r="DS310" s="12">
        <f>DS309</f>
        <v>0.5610292847687105</v>
      </c>
      <c r="DT310" s="13">
        <v>6</v>
      </c>
      <c r="DU310" s="19">
        <f t="shared" si="1256"/>
        <v>3.4812871930635851</v>
      </c>
      <c r="DV310" s="19">
        <f t="shared" si="1211"/>
        <v>-1.425010074136559</v>
      </c>
      <c r="DW310" s="12">
        <f t="shared" si="1212"/>
        <v>2.7040610653780424</v>
      </c>
      <c r="DX310" s="72">
        <f t="shared" si="1251"/>
        <v>2.4373154150978111</v>
      </c>
      <c r="DY310" s="72">
        <f t="shared" si="1252"/>
        <v>2.4373154150978111</v>
      </c>
      <c r="EA310" s="19" t="s">
        <v>37</v>
      </c>
      <c r="EB310" s="19" t="s">
        <v>37</v>
      </c>
      <c r="EC310" s="72" t="s">
        <v>37</v>
      </c>
      <c r="EE310" s="19" t="s">
        <v>37</v>
      </c>
      <c r="EF310" s="19" t="s">
        <v>37</v>
      </c>
      <c r="EG310" s="12" t="s">
        <v>37</v>
      </c>
      <c r="EM310" s="12" t="s">
        <v>39</v>
      </c>
      <c r="EN310" s="12">
        <v>-48.7</v>
      </c>
      <c r="EO310" s="50">
        <f t="shared" si="1241"/>
        <v>19.845074619187987</v>
      </c>
      <c r="EP310" s="13">
        <v>1</v>
      </c>
      <c r="ER310" s="12">
        <v>-85.1</v>
      </c>
      <c r="ES310" s="50">
        <f t="shared" si="1242"/>
        <v>19.301875953632422</v>
      </c>
      <c r="ET310" s="13">
        <v>1</v>
      </c>
      <c r="EV310" s="19">
        <f t="shared" si="1233"/>
        <v>-36.399999999999991</v>
      </c>
      <c r="EW310" s="12" t="e">
        <f t="shared" si="1234"/>
        <v>#DIV/0!</v>
      </c>
      <c r="EX310" s="19" t="e">
        <f t="shared" si="1235"/>
        <v>#DIV/0!</v>
      </c>
      <c r="EY310" s="19">
        <f t="shared" si="1236"/>
        <v>766.38940197055274</v>
      </c>
      <c r="FB310" s="12" t="s">
        <v>37</v>
      </c>
      <c r="FC310" s="12" t="s">
        <v>37</v>
      </c>
      <c r="FD310" s="12" t="s">
        <v>37</v>
      </c>
      <c r="FE310" s="12" t="s">
        <v>37</v>
      </c>
      <c r="FF310" s="20" t="s">
        <v>37</v>
      </c>
      <c r="FG310" s="12" t="s">
        <v>37</v>
      </c>
      <c r="FI310" s="12" t="s">
        <v>37</v>
      </c>
      <c r="FJ310" s="12" t="s">
        <v>37</v>
      </c>
      <c r="FK310" s="12" t="s">
        <v>37</v>
      </c>
      <c r="FL310" s="12" t="s">
        <v>37</v>
      </c>
      <c r="FM310" s="12" t="s">
        <v>37</v>
      </c>
      <c r="FN310" s="12" t="s">
        <v>37</v>
      </c>
      <c r="FP310" s="12" t="s">
        <v>37</v>
      </c>
      <c r="FQ310" s="12" t="s">
        <v>37</v>
      </c>
      <c r="FR310" s="12" t="s">
        <v>37</v>
      </c>
      <c r="FS310" s="12" t="s">
        <v>37</v>
      </c>
      <c r="FT310" s="12" t="s">
        <v>37</v>
      </c>
      <c r="FU310" s="12" t="s">
        <v>37</v>
      </c>
      <c r="FW310" s="12" t="s">
        <v>37</v>
      </c>
      <c r="FX310" s="12" t="s">
        <v>37</v>
      </c>
      <c r="FY310" s="12" t="s">
        <v>37</v>
      </c>
      <c r="FZ310" s="12" t="s">
        <v>37</v>
      </c>
      <c r="GA310" s="12" t="s">
        <v>37</v>
      </c>
      <c r="GB310" s="12" t="s">
        <v>37</v>
      </c>
      <c r="GO310" s="12" t="s">
        <v>660</v>
      </c>
      <c r="GP310" s="12" t="s">
        <v>372</v>
      </c>
      <c r="GQ310" s="12">
        <v>13.1</v>
      </c>
      <c r="GR310" s="50">
        <f t="shared" si="1243"/>
        <v>1.251437203784747</v>
      </c>
      <c r="GS310" s="13">
        <v>1</v>
      </c>
      <c r="GU310" s="12">
        <v>11.6</v>
      </c>
      <c r="GV310" s="50">
        <f t="shared" si="1244"/>
        <v>1.2346597147314655</v>
      </c>
      <c r="GW310" s="13">
        <v>1</v>
      </c>
      <c r="GY310" s="19">
        <f t="shared" si="1253"/>
        <v>-0.12160713209478687</v>
      </c>
      <c r="GZ310" s="19">
        <f t="shared" si="1254"/>
        <v>2.045455726748819E-2</v>
      </c>
      <c r="IK310" s="12" t="s">
        <v>37</v>
      </c>
      <c r="IL310" s="12" t="s">
        <v>37</v>
      </c>
      <c r="IM310" s="12" t="s">
        <v>37</v>
      </c>
      <c r="IO310" s="12" t="s">
        <v>37</v>
      </c>
      <c r="IP310" s="12" t="s">
        <v>37</v>
      </c>
      <c r="IQ310" s="12" t="s">
        <v>37</v>
      </c>
      <c r="IV310" s="32" t="s">
        <v>345</v>
      </c>
      <c r="IW310" s="12">
        <v>4.5</v>
      </c>
      <c r="IX310" s="12">
        <v>0.3</v>
      </c>
      <c r="IY310" s="13">
        <v>6</v>
      </c>
      <c r="IZ310" s="19">
        <f t="shared" si="1247"/>
        <v>6.6666666666666666E-2</v>
      </c>
      <c r="JA310" s="13"/>
      <c r="JB310" s="13"/>
      <c r="JH310" s="12" t="s">
        <v>37</v>
      </c>
      <c r="JI310" s="12" t="s">
        <v>37</v>
      </c>
      <c r="JJ310" s="13" t="s">
        <v>37</v>
      </c>
      <c r="JL310" s="12" t="s">
        <v>37</v>
      </c>
      <c r="JM310" s="12" t="s">
        <v>37</v>
      </c>
      <c r="JN310" s="12" t="s">
        <v>37</v>
      </c>
      <c r="JS310" s="12" t="s">
        <v>37</v>
      </c>
      <c r="JT310" s="12" t="s">
        <v>37</v>
      </c>
      <c r="JU310" s="13" t="s">
        <v>37</v>
      </c>
      <c r="JW310" s="12" t="s">
        <v>37</v>
      </c>
      <c r="JX310" s="12" t="s">
        <v>37</v>
      </c>
      <c r="JY310" s="12" t="s">
        <v>37</v>
      </c>
      <c r="KE310" s="12" t="s">
        <v>37</v>
      </c>
      <c r="KF310" s="12" t="s">
        <v>37</v>
      </c>
      <c r="KG310" s="13" t="s">
        <v>37</v>
      </c>
      <c r="KH310" s="12" t="s">
        <v>37</v>
      </c>
      <c r="KI310" s="12" t="s">
        <v>37</v>
      </c>
      <c r="KJ310" s="12" t="s">
        <v>37</v>
      </c>
      <c r="KM310" s="12" t="s">
        <v>37</v>
      </c>
      <c r="KN310" s="12" t="s">
        <v>37</v>
      </c>
      <c r="KO310" s="11" t="s">
        <v>37</v>
      </c>
      <c r="KQ310" s="12" t="s">
        <v>37</v>
      </c>
      <c r="KR310" s="12" t="s">
        <v>37</v>
      </c>
      <c r="KS310" s="12" t="s">
        <v>37</v>
      </c>
      <c r="KX310" s="12" t="s">
        <v>37</v>
      </c>
      <c r="KY310" s="12" t="s">
        <v>37</v>
      </c>
      <c r="KZ310" s="12" t="s">
        <v>37</v>
      </c>
      <c r="LB310" s="12" t="s">
        <v>37</v>
      </c>
      <c r="LC310" s="12" t="s">
        <v>37</v>
      </c>
      <c r="LD310" s="12" t="s">
        <v>37</v>
      </c>
      <c r="LI310" s="12" t="s">
        <v>37</v>
      </c>
      <c r="LJ310" s="12" t="s">
        <v>37</v>
      </c>
      <c r="LK310" s="12" t="s">
        <v>37</v>
      </c>
      <c r="LM310" s="12" t="s">
        <v>37</v>
      </c>
      <c r="LN310" s="12" t="s">
        <v>37</v>
      </c>
      <c r="LO310" s="12" t="s">
        <v>37</v>
      </c>
      <c r="LU310" s="12" t="s">
        <v>37</v>
      </c>
      <c r="LV310" s="12" t="s">
        <v>37</v>
      </c>
      <c r="LW310" s="12" t="s">
        <v>37</v>
      </c>
      <c r="LY310" s="12" t="s">
        <v>37</v>
      </c>
      <c r="LZ310" s="12" t="s">
        <v>37</v>
      </c>
      <c r="MA310" s="12" t="s">
        <v>37</v>
      </c>
      <c r="MF310" s="12" t="s">
        <v>37</v>
      </c>
      <c r="MG310" s="12" t="s">
        <v>37</v>
      </c>
      <c r="MH310" s="12" t="s">
        <v>37</v>
      </c>
      <c r="MJ310" s="12" t="s">
        <v>37</v>
      </c>
      <c r="MK310" s="12" t="s">
        <v>37</v>
      </c>
      <c r="ML310" s="12" t="s">
        <v>37</v>
      </c>
      <c r="MQ310" s="12" t="s">
        <v>37</v>
      </c>
      <c r="MR310" s="12" t="s">
        <v>37</v>
      </c>
      <c r="MS310" s="12" t="s">
        <v>37</v>
      </c>
      <c r="MU310" s="12" t="s">
        <v>37</v>
      </c>
      <c r="MV310" s="12" t="s">
        <v>37</v>
      </c>
      <c r="MW310" s="12" t="s">
        <v>37</v>
      </c>
      <c r="NC310" s="12" t="s">
        <v>37</v>
      </c>
      <c r="ND310" s="12" t="s">
        <v>37</v>
      </c>
      <c r="NE310" s="12" t="s">
        <v>37</v>
      </c>
      <c r="NG310" s="12" t="s">
        <v>37</v>
      </c>
      <c r="NH310" s="12" t="s">
        <v>37</v>
      </c>
      <c r="NI310" s="12" t="s">
        <v>37</v>
      </c>
      <c r="NO310" s="12" t="s">
        <v>37</v>
      </c>
      <c r="NP310" s="12" t="s">
        <v>37</v>
      </c>
      <c r="NQ310" s="12" t="s">
        <v>37</v>
      </c>
      <c r="NS310" s="12" t="s">
        <v>37</v>
      </c>
      <c r="NT310" s="12" t="s">
        <v>37</v>
      </c>
      <c r="NU310" s="12" t="s">
        <v>37</v>
      </c>
      <c r="OA310" s="12" t="s">
        <v>37</v>
      </c>
      <c r="OB310" s="12" t="s">
        <v>37</v>
      </c>
      <c r="OC310" s="12" t="s">
        <v>37</v>
      </c>
      <c r="OD310" s="12"/>
      <c r="OE310" s="12" t="s">
        <v>37</v>
      </c>
      <c r="OF310" s="12" t="s">
        <v>37</v>
      </c>
      <c r="OG310" s="12" t="s">
        <v>37</v>
      </c>
      <c r="OH310" s="12"/>
      <c r="OI310" s="12"/>
      <c r="OJ310" s="12"/>
      <c r="OM310" s="12" t="s">
        <v>37</v>
      </c>
      <c r="ON310" s="12" t="s">
        <v>37</v>
      </c>
      <c r="OO310" s="12" t="s">
        <v>37</v>
      </c>
      <c r="OP310" s="12" t="s">
        <v>37</v>
      </c>
      <c r="OQ310" s="12" t="s">
        <v>37</v>
      </c>
      <c r="OR310" s="12" t="s">
        <v>37</v>
      </c>
      <c r="OS310" s="12"/>
      <c r="OT310" s="12"/>
      <c r="OW310" s="12" t="s">
        <v>37</v>
      </c>
      <c r="OX310" s="12" t="s">
        <v>37</v>
      </c>
      <c r="OY310" s="13" t="s">
        <v>37</v>
      </c>
      <c r="OZ310" s="12" t="s">
        <v>37</v>
      </c>
      <c r="PA310" s="12" t="s">
        <v>37</v>
      </c>
      <c r="PB310" s="13" t="s">
        <v>37</v>
      </c>
      <c r="PG310" s="12" t="s">
        <v>37</v>
      </c>
      <c r="PH310" s="12" t="s">
        <v>37</v>
      </c>
      <c r="PI310" s="12" t="s">
        <v>37</v>
      </c>
      <c r="PJ310" s="12" t="s">
        <v>37</v>
      </c>
      <c r="PK310" s="12" t="s">
        <v>37</v>
      </c>
      <c r="PL310" s="12" t="s">
        <v>37</v>
      </c>
      <c r="PM310" s="12"/>
      <c r="PN310" s="12"/>
      <c r="PQ310" s="12" t="s">
        <v>37</v>
      </c>
      <c r="PR310" s="12" t="s">
        <v>37</v>
      </c>
      <c r="PS310" s="12" t="s">
        <v>37</v>
      </c>
      <c r="PT310" s="12" t="s">
        <v>37</v>
      </c>
      <c r="PU310" s="12" t="s">
        <v>37</v>
      </c>
      <c r="PV310" s="12" t="s">
        <v>37</v>
      </c>
      <c r="PW310" s="12"/>
      <c r="PX310" s="12"/>
      <c r="PZ310" s="12" t="s">
        <v>37</v>
      </c>
      <c r="QA310" s="12" t="s">
        <v>37</v>
      </c>
      <c r="QB310" s="12" t="s">
        <v>37</v>
      </c>
      <c r="QD310" s="12" t="s">
        <v>37</v>
      </c>
      <c r="QE310" s="12" t="s">
        <v>37</v>
      </c>
      <c r="QF310" s="12" t="s">
        <v>37</v>
      </c>
      <c r="QK310" s="12" t="s">
        <v>37</v>
      </c>
      <c r="QL310" s="12" t="s">
        <v>37</v>
      </c>
      <c r="QM310" s="12" t="s">
        <v>37</v>
      </c>
      <c r="QN310" s="12" t="s">
        <v>37</v>
      </c>
      <c r="QO310" s="12" t="s">
        <v>37</v>
      </c>
      <c r="QP310" s="12" t="s">
        <v>37</v>
      </c>
      <c r="QQ310" s="12"/>
      <c r="QR310" s="12"/>
      <c r="QU310" s="12" t="s">
        <v>37</v>
      </c>
      <c r="QV310" s="12" t="s">
        <v>37</v>
      </c>
      <c r="QW310" s="12" t="s">
        <v>37</v>
      </c>
      <c r="QX310" s="12" t="s">
        <v>37</v>
      </c>
      <c r="QY310" s="12" t="s">
        <v>37</v>
      </c>
      <c r="QZ310" s="12" t="s">
        <v>37</v>
      </c>
      <c r="RC310" s="12" t="s">
        <v>37</v>
      </c>
      <c r="RD310" s="12" t="s">
        <v>37</v>
      </c>
      <c r="RE310" s="13" t="s">
        <v>37</v>
      </c>
      <c r="RF310" s="12" t="s">
        <v>37</v>
      </c>
      <c r="RG310" s="12" t="s">
        <v>37</v>
      </c>
      <c r="RH310" s="13" t="s">
        <v>37</v>
      </c>
      <c r="RK310" s="12" t="s">
        <v>37</v>
      </c>
      <c r="RL310" s="12" t="s">
        <v>37</v>
      </c>
      <c r="RM310" s="11" t="s">
        <v>37</v>
      </c>
      <c r="RN310" s="12" t="s">
        <v>37</v>
      </c>
      <c r="RO310" s="12" t="s">
        <v>37</v>
      </c>
      <c r="RP310" s="11" t="s">
        <v>37</v>
      </c>
      <c r="RS310" s="12" t="s">
        <v>37</v>
      </c>
      <c r="RT310" s="12" t="s">
        <v>37</v>
      </c>
      <c r="RU310" s="12" t="s">
        <v>37</v>
      </c>
      <c r="RV310" s="12" t="s">
        <v>37</v>
      </c>
      <c r="RW310" s="12" t="s">
        <v>37</v>
      </c>
      <c r="RX310" s="12" t="s">
        <v>37</v>
      </c>
      <c r="SA310" s="12" t="s">
        <v>37</v>
      </c>
      <c r="SB310" s="12" t="s">
        <v>37</v>
      </c>
      <c r="SC310" s="12" t="s">
        <v>37</v>
      </c>
      <c r="SD310" s="12" t="s">
        <v>37</v>
      </c>
      <c r="SE310" s="12" t="s">
        <v>37</v>
      </c>
      <c r="SF310" s="12" t="s">
        <v>37</v>
      </c>
      <c r="SI310" s="12" t="s">
        <v>37</v>
      </c>
      <c r="SJ310" s="12" t="s">
        <v>37</v>
      </c>
      <c r="SK310" s="13" t="s">
        <v>37</v>
      </c>
      <c r="SM310" s="12" t="s">
        <v>37</v>
      </c>
      <c r="SN310" s="12" t="s">
        <v>37</v>
      </c>
      <c r="SO310" s="13" t="s">
        <v>37</v>
      </c>
      <c r="SU310" s="12" t="s">
        <v>37</v>
      </c>
      <c r="SV310" s="12" t="s">
        <v>37</v>
      </c>
      <c r="SW310" s="12" t="s">
        <v>37</v>
      </c>
      <c r="SX310" s="12" t="s">
        <v>37</v>
      </c>
      <c r="SY310" s="12" t="s">
        <v>37</v>
      </c>
      <c r="SZ310" s="12" t="s">
        <v>37</v>
      </c>
      <c r="TA310" s="12"/>
      <c r="TB310" s="12"/>
      <c r="TE310" s="12" t="s">
        <v>37</v>
      </c>
      <c r="TF310" s="12" t="s">
        <v>37</v>
      </c>
      <c r="TG310" s="12" t="s">
        <v>37</v>
      </c>
      <c r="TH310" s="12" t="s">
        <v>37</v>
      </c>
      <c r="TI310" s="12" t="s">
        <v>37</v>
      </c>
      <c r="TJ310" s="12" t="s">
        <v>37</v>
      </c>
      <c r="TK310" s="12"/>
      <c r="TL310" s="12"/>
      <c r="TO310" s="12" t="s">
        <v>37</v>
      </c>
      <c r="TP310" s="12" t="s">
        <v>37</v>
      </c>
      <c r="TQ310" s="12" t="s">
        <v>37</v>
      </c>
      <c r="TR310" s="12" t="s">
        <v>37</v>
      </c>
      <c r="TS310" s="12" t="s">
        <v>37</v>
      </c>
      <c r="TT310" s="12" t="s">
        <v>37</v>
      </c>
      <c r="TU310" s="12"/>
      <c r="TV310" s="12"/>
      <c r="TY310" s="12" t="s">
        <v>37</v>
      </c>
      <c r="TZ310" s="12" t="s">
        <v>37</v>
      </c>
      <c r="UA310" s="12" t="s">
        <v>37</v>
      </c>
      <c r="UB310" s="12" t="s">
        <v>37</v>
      </c>
      <c r="UC310" s="12" t="s">
        <v>37</v>
      </c>
      <c r="UD310" s="12" t="s">
        <v>37</v>
      </c>
      <c r="UE310" s="12"/>
      <c r="UF310" s="12"/>
      <c r="UI310" s="12" t="s">
        <v>37</v>
      </c>
      <c r="UJ310" s="12" t="s">
        <v>37</v>
      </c>
      <c r="UK310" s="12" t="s">
        <v>37</v>
      </c>
      <c r="UL310" s="12" t="s">
        <v>37</v>
      </c>
      <c r="UM310" s="12" t="s">
        <v>37</v>
      </c>
      <c r="UN310" s="12" t="s">
        <v>37</v>
      </c>
      <c r="UO310" s="12"/>
      <c r="UP310" s="12"/>
      <c r="UR310" s="12" t="s">
        <v>37</v>
      </c>
      <c r="US310" s="12" t="s">
        <v>37</v>
      </c>
      <c r="UT310" s="12" t="s">
        <v>37</v>
      </c>
      <c r="UU310" s="12" t="s">
        <v>37</v>
      </c>
      <c r="UV310" s="12" t="s">
        <v>37</v>
      </c>
      <c r="UW310" s="12" t="s">
        <v>37</v>
      </c>
      <c r="UX310" s="12"/>
      <c r="UY310" s="12"/>
      <c r="VB310" s="12" t="s">
        <v>37</v>
      </c>
      <c r="VC310" s="12" t="s">
        <v>37</v>
      </c>
      <c r="VD310" s="12" t="s">
        <v>37</v>
      </c>
      <c r="VE310" s="12" t="s">
        <v>37</v>
      </c>
      <c r="VF310" s="12" t="s">
        <v>37</v>
      </c>
      <c r="VG310" s="12" t="s">
        <v>37</v>
      </c>
      <c r="VI310" s="12" t="s">
        <v>37</v>
      </c>
      <c r="VJ310" s="12" t="s">
        <v>37</v>
      </c>
      <c r="VK310" s="12" t="s">
        <v>37</v>
      </c>
      <c r="VL310" s="12" t="s">
        <v>37</v>
      </c>
      <c r="VM310" s="12" t="s">
        <v>37</v>
      </c>
      <c r="VN310" s="12" t="s">
        <v>37</v>
      </c>
      <c r="VQ310" s="12" t="s">
        <v>37</v>
      </c>
      <c r="VR310" s="12" t="s">
        <v>37</v>
      </c>
      <c r="VS310" s="12" t="s">
        <v>37</v>
      </c>
      <c r="VT310" s="12" t="s">
        <v>37</v>
      </c>
      <c r="VU310" s="12" t="s">
        <v>37</v>
      </c>
      <c r="VV310" s="12" t="s">
        <v>37</v>
      </c>
      <c r="VW310" s="12"/>
      <c r="VX310" s="12"/>
      <c r="WA310" s="12" t="s">
        <v>37</v>
      </c>
      <c r="WB310" s="12" t="s">
        <v>37</v>
      </c>
      <c r="WC310" s="12" t="s">
        <v>37</v>
      </c>
      <c r="WD310" s="12" t="s">
        <v>37</v>
      </c>
      <c r="WE310" s="12" t="s">
        <v>37</v>
      </c>
      <c r="WF310" s="12" t="s">
        <v>37</v>
      </c>
    </row>
    <row r="311" spans="1:604" ht="18" customHeight="1" x14ac:dyDescent="0.3">
      <c r="A311" s="11">
        <v>70</v>
      </c>
      <c r="B311" s="16" t="s">
        <v>399</v>
      </c>
      <c r="C311" s="12" t="s">
        <v>31</v>
      </c>
      <c r="D311" s="12" t="s">
        <v>54</v>
      </c>
      <c r="E311" s="40" t="s">
        <v>37</v>
      </c>
      <c r="F311" s="14">
        <v>0</v>
      </c>
      <c r="G311" s="14">
        <v>0</v>
      </c>
      <c r="H311" s="12" t="s">
        <v>91</v>
      </c>
      <c r="I311" s="29">
        <v>49.05</v>
      </c>
      <c r="J311" s="29">
        <v>-80.667000000000002</v>
      </c>
      <c r="K311" s="12" t="s">
        <v>778</v>
      </c>
      <c r="L311" s="12" t="s">
        <v>779</v>
      </c>
      <c r="M311" s="13" t="s">
        <v>37</v>
      </c>
      <c r="N311" s="14">
        <v>0.6</v>
      </c>
      <c r="O311" s="14">
        <v>885</v>
      </c>
      <c r="P311" s="14" t="s">
        <v>16</v>
      </c>
      <c r="Q311" s="75">
        <v>7</v>
      </c>
      <c r="R311" s="11" t="s">
        <v>999</v>
      </c>
      <c r="S311" s="12" t="s">
        <v>93</v>
      </c>
      <c r="T311" s="12" t="s">
        <v>141</v>
      </c>
      <c r="U311" s="12" t="s">
        <v>334</v>
      </c>
      <c r="V311" s="12" t="s">
        <v>275</v>
      </c>
      <c r="W311" s="23" t="s">
        <v>404</v>
      </c>
      <c r="X311" s="12" t="s">
        <v>281</v>
      </c>
      <c r="Y311" s="12" t="s">
        <v>37</v>
      </c>
      <c r="Z311" s="12" t="s">
        <v>37</v>
      </c>
      <c r="AA311" s="32" t="s">
        <v>345</v>
      </c>
      <c r="AB311" s="12">
        <v>4.5</v>
      </c>
      <c r="AE311" s="12" t="s">
        <v>37</v>
      </c>
      <c r="AH311" s="12" t="s">
        <v>37</v>
      </c>
      <c r="AK311" s="12" t="s">
        <v>37</v>
      </c>
      <c r="AL311" s="32" t="s">
        <v>400</v>
      </c>
      <c r="AM311" s="12" t="s">
        <v>317</v>
      </c>
      <c r="AN311" s="32" t="s">
        <v>879</v>
      </c>
      <c r="AO311" s="12" t="s">
        <v>37</v>
      </c>
      <c r="AP311" s="12" t="s">
        <v>401</v>
      </c>
      <c r="AQ311" s="12" t="s">
        <v>975</v>
      </c>
      <c r="AT311" s="12" t="s">
        <v>326</v>
      </c>
      <c r="AU311" s="12" t="s">
        <v>326</v>
      </c>
      <c r="AV311" s="13" t="s">
        <v>326</v>
      </c>
      <c r="AX311" s="12" t="s">
        <v>326</v>
      </c>
      <c r="AY311" s="12" t="s">
        <v>326</v>
      </c>
      <c r="AZ311" s="13" t="s">
        <v>326</v>
      </c>
      <c r="BE311" s="12" t="s">
        <v>326</v>
      </c>
      <c r="BF311" s="12" t="s">
        <v>326</v>
      </c>
      <c r="BG311" s="12" t="s">
        <v>326</v>
      </c>
      <c r="BI311" s="12" t="s">
        <v>326</v>
      </c>
      <c r="BJ311" s="12" t="s">
        <v>326</v>
      </c>
      <c r="BK311" s="12" t="s">
        <v>326</v>
      </c>
      <c r="BP311" s="12" t="s">
        <v>37</v>
      </c>
      <c r="BQ311" s="12" t="s">
        <v>37</v>
      </c>
      <c r="BR311" s="13" t="s">
        <v>37</v>
      </c>
      <c r="BT311" s="12" t="s">
        <v>37</v>
      </c>
      <c r="BU311" s="12" t="s">
        <v>37</v>
      </c>
      <c r="BV311" s="12" t="s">
        <v>37</v>
      </c>
      <c r="CA311" s="12" t="s">
        <v>37</v>
      </c>
      <c r="CB311" s="12" t="s">
        <v>37</v>
      </c>
      <c r="CC311" s="13" t="s">
        <v>37</v>
      </c>
      <c r="CE311" s="12" t="s">
        <v>37</v>
      </c>
      <c r="CF311" s="12" t="s">
        <v>37</v>
      </c>
      <c r="CG311" s="12" t="s">
        <v>37</v>
      </c>
      <c r="CN311" s="12" t="s">
        <v>37</v>
      </c>
      <c r="CO311" s="12" t="s">
        <v>37</v>
      </c>
      <c r="CP311" s="13" t="s">
        <v>37</v>
      </c>
      <c r="CR311" s="12" t="s">
        <v>37</v>
      </c>
      <c r="CS311" s="12" t="s">
        <v>37</v>
      </c>
      <c r="CT311" s="13" t="s">
        <v>37</v>
      </c>
      <c r="CX311" s="72"/>
      <c r="CY311" s="72"/>
      <c r="DA311" s="12" t="s">
        <v>37</v>
      </c>
      <c r="DB311" s="12" t="s">
        <v>37</v>
      </c>
      <c r="DC311" s="13" t="s">
        <v>37</v>
      </c>
      <c r="DE311" s="12" t="s">
        <v>37</v>
      </c>
      <c r="DF311" s="12" t="s">
        <v>37</v>
      </c>
      <c r="DG311" s="12" t="s">
        <v>37</v>
      </c>
      <c r="DM311" s="12" t="s">
        <v>47</v>
      </c>
      <c r="DN311" s="19">
        <f>0.5*("1991/10/31"-"1991/5/1")*10^4/10^6/'[1]classes-1'!$I$32</f>
        <v>1.2638543711866406</v>
      </c>
      <c r="DO311" s="12">
        <f t="shared" si="1260"/>
        <v>3.7827422106480872</v>
      </c>
      <c r="DP311" s="13">
        <v>6</v>
      </c>
      <c r="DQ311" s="19">
        <f t="shared" si="1255"/>
        <v>2.9930206334583054</v>
      </c>
      <c r="DR311" s="19">
        <f>-0.4*("1991/10/31"-"1991/5/1")*10^4/10^6/'[1]classes-1'!$I$34</f>
        <v>-0.21487427059989123</v>
      </c>
      <c r="DS311" s="12">
        <f>SQRT((1/[2]Classes!$I$34)^2*(0.9*("1991/10/31"-"1991/5/1")*10^4/10^6)^2+(-DR311/([2]Classes!$I$34)^2)^2*([2]Classes!$J$34)^2)</f>
        <v>0.52942636938081877</v>
      </c>
      <c r="DT311" s="13">
        <v>6</v>
      </c>
      <c r="DU311" s="19">
        <f t="shared" si="1256"/>
        <v>2.4638890822188872</v>
      </c>
      <c r="DV311" s="19">
        <f t="shared" si="1211"/>
        <v>-1.4787286417865317</v>
      </c>
      <c r="DW311" s="12">
        <f t="shared" si="1212"/>
        <v>2.7008730915034249</v>
      </c>
      <c r="DX311" s="72">
        <f t="shared" si="1251"/>
        <v>2.4315718188024222</v>
      </c>
      <c r="DY311" s="72">
        <f t="shared" si="1252"/>
        <v>2.4315718188024218</v>
      </c>
      <c r="EA311" s="19" t="s">
        <v>37</v>
      </c>
      <c r="EB311" s="19" t="s">
        <v>37</v>
      </c>
      <c r="EC311" s="72" t="s">
        <v>37</v>
      </c>
      <c r="EE311" s="19" t="s">
        <v>37</v>
      </c>
      <c r="EF311" s="19" t="s">
        <v>37</v>
      </c>
      <c r="EG311" s="12" t="s">
        <v>37</v>
      </c>
      <c r="EM311" s="12" t="s">
        <v>39</v>
      </c>
      <c r="EN311" s="12">
        <v>-48.7</v>
      </c>
      <c r="EO311" s="50">
        <f t="shared" si="1241"/>
        <v>19.845074619187987</v>
      </c>
      <c r="EP311" s="13">
        <v>1</v>
      </c>
      <c r="ER311" s="12">
        <v>-90</v>
      </c>
      <c r="ES311" s="50">
        <f t="shared" si="1242"/>
        <v>20.413264815827475</v>
      </c>
      <c r="ET311" s="13">
        <v>1</v>
      </c>
      <c r="EV311" s="19">
        <f t="shared" si="1233"/>
        <v>-41.3</v>
      </c>
      <c r="EW311" s="12" t="e">
        <f t="shared" si="1234"/>
        <v>#DIV/0!</v>
      </c>
      <c r="EX311" s="19" t="e">
        <f t="shared" si="1235"/>
        <v>#DIV/0!</v>
      </c>
      <c r="EY311" s="19">
        <f t="shared" si="1236"/>
        <v>810.52836708223913</v>
      </c>
      <c r="FB311" s="12" t="s">
        <v>37</v>
      </c>
      <c r="FC311" s="12" t="s">
        <v>37</v>
      </c>
      <c r="FD311" s="12" t="s">
        <v>37</v>
      </c>
      <c r="FE311" s="12" t="s">
        <v>37</v>
      </c>
      <c r="FF311" s="20" t="s">
        <v>37</v>
      </c>
      <c r="FG311" s="12" t="s">
        <v>37</v>
      </c>
      <c r="FI311" s="12" t="s">
        <v>37</v>
      </c>
      <c r="FJ311" s="12" t="s">
        <v>37</v>
      </c>
      <c r="FK311" s="12" t="s">
        <v>37</v>
      </c>
      <c r="FL311" s="12" t="s">
        <v>37</v>
      </c>
      <c r="FM311" s="12" t="s">
        <v>37</v>
      </c>
      <c r="FN311" s="12" t="s">
        <v>37</v>
      </c>
      <c r="FP311" s="12" t="s">
        <v>37</v>
      </c>
      <c r="FQ311" s="12" t="s">
        <v>37</v>
      </c>
      <c r="FR311" s="12" t="s">
        <v>37</v>
      </c>
      <c r="FS311" s="12" t="s">
        <v>37</v>
      </c>
      <c r="FT311" s="12" t="s">
        <v>37</v>
      </c>
      <c r="FU311" s="12" t="s">
        <v>37</v>
      </c>
      <c r="FW311" s="12" t="s">
        <v>37</v>
      </c>
      <c r="FX311" s="12" t="s">
        <v>37</v>
      </c>
      <c r="FY311" s="12" t="s">
        <v>37</v>
      </c>
      <c r="FZ311" s="12" t="s">
        <v>37</v>
      </c>
      <c r="GA311" s="12" t="s">
        <v>37</v>
      </c>
      <c r="GB311" s="12" t="s">
        <v>37</v>
      </c>
      <c r="GO311" s="12" t="s">
        <v>660</v>
      </c>
      <c r="GP311" s="12" t="s">
        <v>372</v>
      </c>
      <c r="GQ311" s="12">
        <v>13.1</v>
      </c>
      <c r="GR311" s="50">
        <f t="shared" si="1243"/>
        <v>1.251437203784747</v>
      </c>
      <c r="GS311" s="13">
        <v>1</v>
      </c>
      <c r="GU311" s="12">
        <v>12.1</v>
      </c>
      <c r="GV311" s="50">
        <f t="shared" si="1244"/>
        <v>1.2878778058836839</v>
      </c>
      <c r="GW311" s="13">
        <v>1</v>
      </c>
      <c r="GY311" s="19">
        <f t="shared" si="1253"/>
        <v>-7.9406777604410478E-2</v>
      </c>
      <c r="GZ311" s="19">
        <f t="shared" si="1254"/>
        <v>2.0454557267488193E-2</v>
      </c>
      <c r="IK311" s="12" t="s">
        <v>37</v>
      </c>
      <c r="IL311" s="12" t="s">
        <v>37</v>
      </c>
      <c r="IM311" s="12" t="s">
        <v>37</v>
      </c>
      <c r="IO311" s="12" t="s">
        <v>37</v>
      </c>
      <c r="IP311" s="12" t="s">
        <v>37</v>
      </c>
      <c r="IQ311" s="12" t="s">
        <v>37</v>
      </c>
      <c r="IV311" s="32" t="s">
        <v>345</v>
      </c>
      <c r="IW311" s="12">
        <v>4.5</v>
      </c>
      <c r="IX311" s="12">
        <v>0.3</v>
      </c>
      <c r="IY311" s="13">
        <v>6</v>
      </c>
      <c r="IZ311" s="19">
        <f t="shared" si="1247"/>
        <v>6.6666666666666666E-2</v>
      </c>
      <c r="JA311" s="13"/>
      <c r="JB311" s="13"/>
      <c r="JH311" s="12" t="s">
        <v>37</v>
      </c>
      <c r="JI311" s="12" t="s">
        <v>37</v>
      </c>
      <c r="JJ311" s="13" t="s">
        <v>37</v>
      </c>
      <c r="JL311" s="12" t="s">
        <v>37</v>
      </c>
      <c r="JM311" s="12" t="s">
        <v>37</v>
      </c>
      <c r="JN311" s="12" t="s">
        <v>37</v>
      </c>
      <c r="JS311" s="12" t="s">
        <v>37</v>
      </c>
      <c r="JT311" s="12" t="s">
        <v>37</v>
      </c>
      <c r="JU311" s="13" t="s">
        <v>37</v>
      </c>
      <c r="JW311" s="12" t="s">
        <v>37</v>
      </c>
      <c r="JX311" s="12" t="s">
        <v>37</v>
      </c>
      <c r="JY311" s="12" t="s">
        <v>37</v>
      </c>
      <c r="KE311" s="12" t="s">
        <v>37</v>
      </c>
      <c r="KF311" s="12" t="s">
        <v>37</v>
      </c>
      <c r="KG311" s="13" t="s">
        <v>37</v>
      </c>
      <c r="KH311" s="12" t="s">
        <v>37</v>
      </c>
      <c r="KI311" s="12" t="s">
        <v>37</v>
      </c>
      <c r="KJ311" s="12" t="s">
        <v>37</v>
      </c>
      <c r="KM311" s="12" t="s">
        <v>37</v>
      </c>
      <c r="KN311" s="12" t="s">
        <v>37</v>
      </c>
      <c r="KO311" s="11" t="s">
        <v>37</v>
      </c>
      <c r="KQ311" s="12" t="s">
        <v>37</v>
      </c>
      <c r="KR311" s="12" t="s">
        <v>37</v>
      </c>
      <c r="KS311" s="12" t="s">
        <v>37</v>
      </c>
      <c r="KX311" s="12" t="s">
        <v>37</v>
      </c>
      <c r="KY311" s="12" t="s">
        <v>37</v>
      </c>
      <c r="KZ311" s="12" t="s">
        <v>37</v>
      </c>
      <c r="LB311" s="12" t="s">
        <v>37</v>
      </c>
      <c r="LC311" s="12" t="s">
        <v>37</v>
      </c>
      <c r="LD311" s="12" t="s">
        <v>37</v>
      </c>
      <c r="LI311" s="12" t="s">
        <v>37</v>
      </c>
      <c r="LJ311" s="12" t="s">
        <v>37</v>
      </c>
      <c r="LK311" s="12" t="s">
        <v>37</v>
      </c>
      <c r="LM311" s="12" t="s">
        <v>37</v>
      </c>
      <c r="LN311" s="12" t="s">
        <v>37</v>
      </c>
      <c r="LO311" s="12" t="s">
        <v>37</v>
      </c>
      <c r="LU311" s="12" t="s">
        <v>37</v>
      </c>
      <c r="LV311" s="12" t="s">
        <v>37</v>
      </c>
      <c r="LW311" s="12" t="s">
        <v>37</v>
      </c>
      <c r="LY311" s="12" t="s">
        <v>37</v>
      </c>
      <c r="LZ311" s="12" t="s">
        <v>37</v>
      </c>
      <c r="MA311" s="12" t="s">
        <v>37</v>
      </c>
      <c r="MF311" s="12" t="s">
        <v>37</v>
      </c>
      <c r="MG311" s="12" t="s">
        <v>37</v>
      </c>
      <c r="MH311" s="12" t="s">
        <v>37</v>
      </c>
      <c r="MJ311" s="12" t="s">
        <v>37</v>
      </c>
      <c r="MK311" s="12" t="s">
        <v>37</v>
      </c>
      <c r="ML311" s="12" t="s">
        <v>37</v>
      </c>
      <c r="MQ311" s="12" t="s">
        <v>37</v>
      </c>
      <c r="MR311" s="12" t="s">
        <v>37</v>
      </c>
      <c r="MS311" s="12" t="s">
        <v>37</v>
      </c>
      <c r="MU311" s="12" t="s">
        <v>37</v>
      </c>
      <c r="MV311" s="12" t="s">
        <v>37</v>
      </c>
      <c r="MW311" s="12" t="s">
        <v>37</v>
      </c>
      <c r="NC311" s="12" t="s">
        <v>37</v>
      </c>
      <c r="ND311" s="12" t="s">
        <v>37</v>
      </c>
      <c r="NE311" s="12" t="s">
        <v>37</v>
      </c>
      <c r="NG311" s="12" t="s">
        <v>37</v>
      </c>
      <c r="NH311" s="12" t="s">
        <v>37</v>
      </c>
      <c r="NI311" s="12" t="s">
        <v>37</v>
      </c>
      <c r="NO311" s="12" t="s">
        <v>37</v>
      </c>
      <c r="NP311" s="12" t="s">
        <v>37</v>
      </c>
      <c r="NQ311" s="12" t="s">
        <v>37</v>
      </c>
      <c r="NS311" s="12" t="s">
        <v>37</v>
      </c>
      <c r="NT311" s="12" t="s">
        <v>37</v>
      </c>
      <c r="NU311" s="12" t="s">
        <v>37</v>
      </c>
      <c r="OA311" s="12" t="s">
        <v>37</v>
      </c>
      <c r="OB311" s="12" t="s">
        <v>37</v>
      </c>
      <c r="OC311" s="12" t="s">
        <v>37</v>
      </c>
      <c r="OD311" s="12"/>
      <c r="OE311" s="12" t="s">
        <v>37</v>
      </c>
      <c r="OF311" s="12" t="s">
        <v>37</v>
      </c>
      <c r="OG311" s="12" t="s">
        <v>37</v>
      </c>
      <c r="OH311" s="12"/>
      <c r="OI311" s="12"/>
      <c r="OJ311" s="12"/>
      <c r="OM311" s="12" t="s">
        <v>37</v>
      </c>
      <c r="ON311" s="12" t="s">
        <v>37</v>
      </c>
      <c r="OO311" s="12" t="s">
        <v>37</v>
      </c>
      <c r="OP311" s="12" t="s">
        <v>37</v>
      </c>
      <c r="OQ311" s="12" t="s">
        <v>37</v>
      </c>
      <c r="OR311" s="12" t="s">
        <v>37</v>
      </c>
      <c r="OS311" s="12"/>
      <c r="OT311" s="12"/>
      <c r="OW311" s="12" t="s">
        <v>37</v>
      </c>
      <c r="OX311" s="12" t="s">
        <v>37</v>
      </c>
      <c r="OY311" s="13" t="s">
        <v>37</v>
      </c>
      <c r="OZ311" s="12" t="s">
        <v>37</v>
      </c>
      <c r="PA311" s="12" t="s">
        <v>37</v>
      </c>
      <c r="PB311" s="13" t="s">
        <v>37</v>
      </c>
      <c r="PG311" s="12" t="s">
        <v>37</v>
      </c>
      <c r="PH311" s="12" t="s">
        <v>37</v>
      </c>
      <c r="PI311" s="12" t="s">
        <v>37</v>
      </c>
      <c r="PJ311" s="12" t="s">
        <v>37</v>
      </c>
      <c r="PK311" s="12" t="s">
        <v>37</v>
      </c>
      <c r="PL311" s="12" t="s">
        <v>37</v>
      </c>
      <c r="PM311" s="12"/>
      <c r="PN311" s="12"/>
      <c r="PQ311" s="12" t="s">
        <v>37</v>
      </c>
      <c r="PR311" s="12" t="s">
        <v>37</v>
      </c>
      <c r="PS311" s="12" t="s">
        <v>37</v>
      </c>
      <c r="PT311" s="12" t="s">
        <v>37</v>
      </c>
      <c r="PU311" s="12" t="s">
        <v>37</v>
      </c>
      <c r="PV311" s="12" t="s">
        <v>37</v>
      </c>
      <c r="PW311" s="12"/>
      <c r="PX311" s="12"/>
      <c r="PZ311" s="12" t="s">
        <v>37</v>
      </c>
      <c r="QA311" s="12" t="s">
        <v>37</v>
      </c>
      <c r="QB311" s="12" t="s">
        <v>37</v>
      </c>
      <c r="QD311" s="12" t="s">
        <v>37</v>
      </c>
      <c r="QE311" s="12" t="s">
        <v>37</v>
      </c>
      <c r="QF311" s="12" t="s">
        <v>37</v>
      </c>
      <c r="QK311" s="12" t="s">
        <v>37</v>
      </c>
      <c r="QL311" s="12" t="s">
        <v>37</v>
      </c>
      <c r="QM311" s="12" t="s">
        <v>37</v>
      </c>
      <c r="QN311" s="12" t="s">
        <v>37</v>
      </c>
      <c r="QO311" s="12" t="s">
        <v>37</v>
      </c>
      <c r="QP311" s="12" t="s">
        <v>37</v>
      </c>
      <c r="QQ311" s="12"/>
      <c r="QR311" s="12"/>
      <c r="QU311" s="12" t="s">
        <v>37</v>
      </c>
      <c r="QV311" s="12" t="s">
        <v>37</v>
      </c>
      <c r="QW311" s="12" t="s">
        <v>37</v>
      </c>
      <c r="QX311" s="12" t="s">
        <v>37</v>
      </c>
      <c r="QY311" s="12" t="s">
        <v>37</v>
      </c>
      <c r="QZ311" s="12" t="s">
        <v>37</v>
      </c>
      <c r="RC311" s="12" t="s">
        <v>37</v>
      </c>
      <c r="RD311" s="12" t="s">
        <v>37</v>
      </c>
      <c r="RE311" s="13" t="s">
        <v>37</v>
      </c>
      <c r="RF311" s="12" t="s">
        <v>37</v>
      </c>
      <c r="RG311" s="12" t="s">
        <v>37</v>
      </c>
      <c r="RH311" s="13" t="s">
        <v>37</v>
      </c>
      <c r="RK311" s="12" t="s">
        <v>37</v>
      </c>
      <c r="RL311" s="12" t="s">
        <v>37</v>
      </c>
      <c r="RM311" s="11" t="s">
        <v>37</v>
      </c>
      <c r="RN311" s="12" t="s">
        <v>37</v>
      </c>
      <c r="RO311" s="12" t="s">
        <v>37</v>
      </c>
      <c r="RP311" s="11" t="s">
        <v>37</v>
      </c>
      <c r="RS311" s="12" t="s">
        <v>37</v>
      </c>
      <c r="RT311" s="12" t="s">
        <v>37</v>
      </c>
      <c r="RU311" s="12" t="s">
        <v>37</v>
      </c>
      <c r="RV311" s="12" t="s">
        <v>37</v>
      </c>
      <c r="RW311" s="12" t="s">
        <v>37</v>
      </c>
      <c r="RX311" s="12" t="s">
        <v>37</v>
      </c>
      <c r="SA311" s="12" t="s">
        <v>37</v>
      </c>
      <c r="SB311" s="12" t="s">
        <v>37</v>
      </c>
      <c r="SC311" s="12" t="s">
        <v>37</v>
      </c>
      <c r="SD311" s="12" t="s">
        <v>37</v>
      </c>
      <c r="SE311" s="12" t="s">
        <v>37</v>
      </c>
      <c r="SF311" s="12" t="s">
        <v>37</v>
      </c>
      <c r="SI311" s="12" t="s">
        <v>37</v>
      </c>
      <c r="SJ311" s="12" t="s">
        <v>37</v>
      </c>
      <c r="SK311" s="13" t="s">
        <v>37</v>
      </c>
      <c r="SM311" s="12" t="s">
        <v>37</v>
      </c>
      <c r="SN311" s="12" t="s">
        <v>37</v>
      </c>
      <c r="SO311" s="13" t="s">
        <v>37</v>
      </c>
      <c r="SU311" s="12" t="s">
        <v>37</v>
      </c>
      <c r="SV311" s="12" t="s">
        <v>37</v>
      </c>
      <c r="SW311" s="12" t="s">
        <v>37</v>
      </c>
      <c r="SX311" s="12" t="s">
        <v>37</v>
      </c>
      <c r="SY311" s="12" t="s">
        <v>37</v>
      </c>
      <c r="SZ311" s="12" t="s">
        <v>37</v>
      </c>
      <c r="TA311" s="12"/>
      <c r="TB311" s="12"/>
      <c r="TE311" s="12" t="s">
        <v>37</v>
      </c>
      <c r="TF311" s="12" t="s">
        <v>37</v>
      </c>
      <c r="TG311" s="12" t="s">
        <v>37</v>
      </c>
      <c r="TH311" s="12" t="s">
        <v>37</v>
      </c>
      <c r="TI311" s="12" t="s">
        <v>37</v>
      </c>
      <c r="TJ311" s="12" t="s">
        <v>37</v>
      </c>
      <c r="TK311" s="12"/>
      <c r="TL311" s="12"/>
      <c r="TO311" s="12" t="s">
        <v>37</v>
      </c>
      <c r="TP311" s="12" t="s">
        <v>37</v>
      </c>
      <c r="TQ311" s="12" t="s">
        <v>37</v>
      </c>
      <c r="TR311" s="12" t="s">
        <v>37</v>
      </c>
      <c r="TS311" s="12" t="s">
        <v>37</v>
      </c>
      <c r="TT311" s="12" t="s">
        <v>37</v>
      </c>
      <c r="TU311" s="12"/>
      <c r="TV311" s="12"/>
      <c r="TY311" s="12" t="s">
        <v>37</v>
      </c>
      <c r="TZ311" s="12" t="s">
        <v>37</v>
      </c>
      <c r="UA311" s="12" t="s">
        <v>37</v>
      </c>
      <c r="UB311" s="12" t="s">
        <v>37</v>
      </c>
      <c r="UC311" s="12" t="s">
        <v>37</v>
      </c>
      <c r="UD311" s="12" t="s">
        <v>37</v>
      </c>
      <c r="UE311" s="12"/>
      <c r="UF311" s="12"/>
      <c r="UI311" s="12" t="s">
        <v>37</v>
      </c>
      <c r="UJ311" s="12" t="s">
        <v>37</v>
      </c>
      <c r="UK311" s="12" t="s">
        <v>37</v>
      </c>
      <c r="UL311" s="12" t="s">
        <v>37</v>
      </c>
      <c r="UM311" s="12" t="s">
        <v>37</v>
      </c>
      <c r="UN311" s="12" t="s">
        <v>37</v>
      </c>
      <c r="UO311" s="12"/>
      <c r="UP311" s="12"/>
      <c r="UR311" s="12" t="s">
        <v>37</v>
      </c>
      <c r="US311" s="12" t="s">
        <v>37</v>
      </c>
      <c r="UT311" s="12" t="s">
        <v>37</v>
      </c>
      <c r="UU311" s="12" t="s">
        <v>37</v>
      </c>
      <c r="UV311" s="12" t="s">
        <v>37</v>
      </c>
      <c r="UW311" s="12" t="s">
        <v>37</v>
      </c>
      <c r="UX311" s="12"/>
      <c r="UY311" s="12"/>
      <c r="VB311" s="12" t="s">
        <v>37</v>
      </c>
      <c r="VC311" s="12" t="s">
        <v>37</v>
      </c>
      <c r="VD311" s="12" t="s">
        <v>37</v>
      </c>
      <c r="VE311" s="12" t="s">
        <v>37</v>
      </c>
      <c r="VF311" s="12" t="s">
        <v>37</v>
      </c>
      <c r="VG311" s="12" t="s">
        <v>37</v>
      </c>
      <c r="VI311" s="12" t="s">
        <v>37</v>
      </c>
      <c r="VJ311" s="12" t="s">
        <v>37</v>
      </c>
      <c r="VK311" s="12" t="s">
        <v>37</v>
      </c>
      <c r="VL311" s="12" t="s">
        <v>37</v>
      </c>
      <c r="VM311" s="12" t="s">
        <v>37</v>
      </c>
      <c r="VN311" s="12" t="s">
        <v>37</v>
      </c>
      <c r="VQ311" s="12" t="s">
        <v>37</v>
      </c>
      <c r="VR311" s="12" t="s">
        <v>37</v>
      </c>
      <c r="VS311" s="12" t="s">
        <v>37</v>
      </c>
      <c r="VT311" s="12" t="s">
        <v>37</v>
      </c>
      <c r="VU311" s="12" t="s">
        <v>37</v>
      </c>
      <c r="VV311" s="12" t="s">
        <v>37</v>
      </c>
      <c r="VW311" s="12"/>
      <c r="VX311" s="12"/>
      <c r="WA311" s="12" t="s">
        <v>37</v>
      </c>
      <c r="WB311" s="12" t="s">
        <v>37</v>
      </c>
      <c r="WC311" s="12" t="s">
        <v>37</v>
      </c>
      <c r="WD311" s="12" t="s">
        <v>37</v>
      </c>
      <c r="WE311" s="12" t="s">
        <v>37</v>
      </c>
      <c r="WF311" s="12" t="s">
        <v>37</v>
      </c>
    </row>
    <row r="312" spans="1:604" ht="18" customHeight="1" x14ac:dyDescent="0.3">
      <c r="A312" s="11">
        <v>70</v>
      </c>
      <c r="B312" s="16" t="s">
        <v>399</v>
      </c>
      <c r="C312" s="12" t="s">
        <v>32</v>
      </c>
      <c r="D312" s="12" t="s">
        <v>54</v>
      </c>
      <c r="E312" s="40" t="s">
        <v>37</v>
      </c>
      <c r="F312" s="14">
        <v>0</v>
      </c>
      <c r="G312" s="14">
        <v>0</v>
      </c>
      <c r="H312" s="12" t="s">
        <v>91</v>
      </c>
      <c r="I312" s="29">
        <v>49.05</v>
      </c>
      <c r="J312" s="29">
        <v>-80.667000000000002</v>
      </c>
      <c r="K312" s="12" t="s">
        <v>778</v>
      </c>
      <c r="L312" s="12" t="s">
        <v>779</v>
      </c>
      <c r="M312" s="13" t="s">
        <v>37</v>
      </c>
      <c r="N312" s="14">
        <v>0.6</v>
      </c>
      <c r="O312" s="14">
        <v>885</v>
      </c>
      <c r="P312" s="14" t="s">
        <v>16</v>
      </c>
      <c r="Q312" s="75">
        <v>7</v>
      </c>
      <c r="R312" s="11" t="s">
        <v>1000</v>
      </c>
      <c r="S312" s="12" t="s">
        <v>93</v>
      </c>
      <c r="T312" s="12" t="s">
        <v>141</v>
      </c>
      <c r="U312" s="12" t="s">
        <v>164</v>
      </c>
      <c r="V312" s="12" t="s">
        <v>275</v>
      </c>
      <c r="W312" s="23" t="s">
        <v>405</v>
      </c>
      <c r="X312" s="12" t="s">
        <v>281</v>
      </c>
      <c r="Y312" s="12" t="s">
        <v>37</v>
      </c>
      <c r="Z312" s="12" t="s">
        <v>37</v>
      </c>
      <c r="AA312" s="32" t="s">
        <v>345</v>
      </c>
      <c r="AB312" s="12">
        <v>4.5</v>
      </c>
      <c r="AE312" s="12" t="s">
        <v>37</v>
      </c>
      <c r="AH312" s="12" t="s">
        <v>37</v>
      </c>
      <c r="AK312" s="12" t="s">
        <v>37</v>
      </c>
      <c r="AL312" s="32" t="s">
        <v>400</v>
      </c>
      <c r="AM312" s="12" t="s">
        <v>317</v>
      </c>
      <c r="AN312" s="32" t="s">
        <v>879</v>
      </c>
      <c r="AO312" s="12" t="s">
        <v>37</v>
      </c>
      <c r="AP312" s="12" t="s">
        <v>401</v>
      </c>
      <c r="AQ312" s="12" t="s">
        <v>975</v>
      </c>
      <c r="AT312" s="12" t="s">
        <v>326</v>
      </c>
      <c r="AU312" s="12" t="s">
        <v>326</v>
      </c>
      <c r="AV312" s="13" t="s">
        <v>326</v>
      </c>
      <c r="AX312" s="12" t="s">
        <v>326</v>
      </c>
      <c r="AY312" s="12" t="s">
        <v>326</v>
      </c>
      <c r="AZ312" s="13" t="s">
        <v>326</v>
      </c>
      <c r="BE312" s="12" t="s">
        <v>326</v>
      </c>
      <c r="BF312" s="12" t="s">
        <v>326</v>
      </c>
      <c r="BG312" s="12" t="s">
        <v>326</v>
      </c>
      <c r="BI312" s="12" t="s">
        <v>326</v>
      </c>
      <c r="BJ312" s="12" t="s">
        <v>326</v>
      </c>
      <c r="BK312" s="12" t="s">
        <v>326</v>
      </c>
      <c r="BP312" s="12" t="s">
        <v>37</v>
      </c>
      <c r="BQ312" s="12" t="s">
        <v>37</v>
      </c>
      <c r="BR312" s="13" t="s">
        <v>37</v>
      </c>
      <c r="BT312" s="12" t="s">
        <v>37</v>
      </c>
      <c r="BU312" s="12" t="s">
        <v>37</v>
      </c>
      <c r="BV312" s="12" t="s">
        <v>37</v>
      </c>
      <c r="CA312" s="12" t="s">
        <v>37</v>
      </c>
      <c r="CB312" s="12" t="s">
        <v>37</v>
      </c>
      <c r="CC312" s="13" t="s">
        <v>37</v>
      </c>
      <c r="CE312" s="12" t="s">
        <v>37</v>
      </c>
      <c r="CF312" s="12" t="s">
        <v>37</v>
      </c>
      <c r="CG312" s="12" t="s">
        <v>37</v>
      </c>
      <c r="CN312" s="12" t="s">
        <v>37</v>
      </c>
      <c r="CO312" s="12" t="s">
        <v>37</v>
      </c>
      <c r="CP312" s="13" t="s">
        <v>37</v>
      </c>
      <c r="CR312" s="12" t="s">
        <v>37</v>
      </c>
      <c r="CS312" s="12" t="s">
        <v>37</v>
      </c>
      <c r="CT312" s="13" t="s">
        <v>37</v>
      </c>
      <c r="CX312" s="72"/>
      <c r="CY312" s="72"/>
      <c r="DA312" s="12" t="s">
        <v>37</v>
      </c>
      <c r="DB312" s="12" t="s">
        <v>37</v>
      </c>
      <c r="DC312" s="13" t="s">
        <v>37</v>
      </c>
      <c r="DE312" s="12" t="s">
        <v>37</v>
      </c>
      <c r="DF312" s="12" t="s">
        <v>37</v>
      </c>
      <c r="DG312" s="12" t="s">
        <v>37</v>
      </c>
      <c r="DM312" s="12" t="s">
        <v>47</v>
      </c>
      <c r="DN312" s="19">
        <f>0.3*("1991/10/31"-"1991/5/1")*10^4/10^6/'[1]classes-1'!$I$32</f>
        <v>0.75831262271198441</v>
      </c>
      <c r="DO312" s="12">
        <f>SQRT((1/[2]Classes!$I$32)^2*(0.8*("1991/10/31"-"1991/5/1")*10^4/10^6)^2+(-DN312/([2]Classes!$I$32)^2)^2*([2]Classes!$J$32)^2)</f>
        <v>2.1753507933433238</v>
      </c>
      <c r="DP312" s="13">
        <v>6</v>
      </c>
      <c r="DQ312" s="19">
        <f t="shared" si="1255"/>
        <v>2.8686727982497877</v>
      </c>
      <c r="DR312" s="19">
        <f>-0.3*("1991/10/31"-"1991/5/1")*10^4/10^6/'[1]classes-1'!$I$35</f>
        <v>-0.16115570294991843</v>
      </c>
      <c r="DS312" s="12">
        <f>SQRT((1/[2]Classes!$I$35)^2*(1*("1991/10/31"-"1991/5/1")*10^4/10^6)^2+(-DR312/([2]Classes!$I$34)^2)^2*([2]Classes!$J$35)^2)</f>
        <v>0.5610292847687105</v>
      </c>
      <c r="DT312" s="13">
        <v>6</v>
      </c>
      <c r="DU312" s="19">
        <f t="shared" si="1256"/>
        <v>3.4812871930635851</v>
      </c>
      <c r="DV312" s="19">
        <f t="shared" si="1211"/>
        <v>-0.91946832566190284</v>
      </c>
      <c r="DW312" s="12">
        <f t="shared" si="1212"/>
        <v>1.5885378390941021</v>
      </c>
      <c r="DX312" s="72">
        <f t="shared" si="1251"/>
        <v>0.84115082207791969</v>
      </c>
      <c r="DY312" s="72">
        <f t="shared" si="1252"/>
        <v>0.8411508220779198</v>
      </c>
      <c r="EA312" s="19" t="s">
        <v>37</v>
      </c>
      <c r="EB312" s="19" t="s">
        <v>37</v>
      </c>
      <c r="EC312" s="72" t="s">
        <v>37</v>
      </c>
      <c r="EE312" s="19" t="s">
        <v>37</v>
      </c>
      <c r="EF312" s="19" t="s">
        <v>37</v>
      </c>
      <c r="EG312" s="12" t="s">
        <v>37</v>
      </c>
      <c r="EM312" s="12" t="s">
        <v>39</v>
      </c>
      <c r="EN312" s="12">
        <v>-48.7</v>
      </c>
      <c r="EO312" s="50">
        <f t="shared" si="1241"/>
        <v>19.845074619187987</v>
      </c>
      <c r="EP312" s="13">
        <v>1</v>
      </c>
      <c r="ER312" s="12">
        <v>-77.599999999999994</v>
      </c>
      <c r="ES312" s="50">
        <f t="shared" si="1242"/>
        <v>17.600770552313467</v>
      </c>
      <c r="ET312" s="13">
        <v>1</v>
      </c>
      <c r="EV312" s="19">
        <f t="shared" si="1233"/>
        <v>-28.899999999999991</v>
      </c>
      <c r="EW312" s="12" t="e">
        <f t="shared" si="1234"/>
        <v>#DIV/0!</v>
      </c>
      <c r="EX312" s="19" t="e">
        <f t="shared" si="1235"/>
        <v>#DIV/0!</v>
      </c>
      <c r="EY312" s="19">
        <f t="shared" si="1236"/>
        <v>703.61411067632412</v>
      </c>
      <c r="FB312" s="12" t="s">
        <v>37</v>
      </c>
      <c r="FC312" s="12" t="s">
        <v>37</v>
      </c>
      <c r="FD312" s="12" t="s">
        <v>37</v>
      </c>
      <c r="FE312" s="12" t="s">
        <v>37</v>
      </c>
      <c r="FF312" s="20" t="s">
        <v>37</v>
      </c>
      <c r="FG312" s="12" t="s">
        <v>37</v>
      </c>
      <c r="FI312" s="12" t="s">
        <v>37</v>
      </c>
      <c r="FJ312" s="12" t="s">
        <v>37</v>
      </c>
      <c r="FK312" s="12" t="s">
        <v>37</v>
      </c>
      <c r="FL312" s="12" t="s">
        <v>37</v>
      </c>
      <c r="FM312" s="12" t="s">
        <v>37</v>
      </c>
      <c r="FN312" s="12" t="s">
        <v>37</v>
      </c>
      <c r="FP312" s="12" t="s">
        <v>37</v>
      </c>
      <c r="FQ312" s="12" t="s">
        <v>37</v>
      </c>
      <c r="FR312" s="12" t="s">
        <v>37</v>
      </c>
      <c r="FS312" s="12" t="s">
        <v>37</v>
      </c>
      <c r="FT312" s="12" t="s">
        <v>37</v>
      </c>
      <c r="FU312" s="12" t="s">
        <v>37</v>
      </c>
      <c r="FW312" s="12" t="s">
        <v>37</v>
      </c>
      <c r="FX312" s="12" t="s">
        <v>37</v>
      </c>
      <c r="FY312" s="12" t="s">
        <v>37</v>
      </c>
      <c r="FZ312" s="12" t="s">
        <v>37</v>
      </c>
      <c r="GA312" s="12" t="s">
        <v>37</v>
      </c>
      <c r="GB312" s="12" t="s">
        <v>37</v>
      </c>
      <c r="GO312" s="12" t="s">
        <v>660</v>
      </c>
      <c r="GP312" s="12" t="s">
        <v>372</v>
      </c>
      <c r="GQ312" s="12">
        <v>13.1</v>
      </c>
      <c r="GR312" s="50">
        <f t="shared" si="1243"/>
        <v>1.251437203784747</v>
      </c>
      <c r="GS312" s="13">
        <v>1</v>
      </c>
      <c r="GU312" s="12">
        <v>11.3</v>
      </c>
      <c r="GV312" s="50">
        <f t="shared" si="1244"/>
        <v>1.2027288600401347</v>
      </c>
      <c r="GW312" s="13">
        <v>1</v>
      </c>
      <c r="GY312" s="19">
        <f t="shared" si="1253"/>
        <v>-0.14780950448881086</v>
      </c>
      <c r="GZ312" s="19">
        <f t="shared" si="1254"/>
        <v>2.0454557267488196E-2</v>
      </c>
      <c r="IK312" s="12" t="s">
        <v>37</v>
      </c>
      <c r="IL312" s="12" t="s">
        <v>37</v>
      </c>
      <c r="IM312" s="12" t="s">
        <v>37</v>
      </c>
      <c r="IO312" s="12" t="s">
        <v>37</v>
      </c>
      <c r="IP312" s="12" t="s">
        <v>37</v>
      </c>
      <c r="IQ312" s="12" t="s">
        <v>37</v>
      </c>
      <c r="IV312" s="32" t="s">
        <v>345</v>
      </c>
      <c r="IW312" s="12">
        <v>4.5</v>
      </c>
      <c r="IX312" s="12">
        <v>0.3</v>
      </c>
      <c r="IY312" s="13">
        <v>6</v>
      </c>
      <c r="IZ312" s="19">
        <f t="shared" si="1247"/>
        <v>6.6666666666666666E-2</v>
      </c>
      <c r="JA312" s="13"/>
      <c r="JB312" s="13"/>
      <c r="JH312" s="12" t="s">
        <v>37</v>
      </c>
      <c r="JI312" s="12" t="s">
        <v>37</v>
      </c>
      <c r="JJ312" s="13" t="s">
        <v>37</v>
      </c>
      <c r="JL312" s="12" t="s">
        <v>37</v>
      </c>
      <c r="JM312" s="12" t="s">
        <v>37</v>
      </c>
      <c r="JN312" s="12" t="s">
        <v>37</v>
      </c>
      <c r="JS312" s="12" t="s">
        <v>37</v>
      </c>
      <c r="JT312" s="12" t="s">
        <v>37</v>
      </c>
      <c r="JU312" s="13" t="s">
        <v>37</v>
      </c>
      <c r="JW312" s="12" t="s">
        <v>37</v>
      </c>
      <c r="JX312" s="12" t="s">
        <v>37</v>
      </c>
      <c r="JY312" s="12" t="s">
        <v>37</v>
      </c>
      <c r="KE312" s="12" t="s">
        <v>37</v>
      </c>
      <c r="KF312" s="12" t="s">
        <v>37</v>
      </c>
      <c r="KG312" s="13" t="s">
        <v>37</v>
      </c>
      <c r="KH312" s="12" t="s">
        <v>37</v>
      </c>
      <c r="KI312" s="12" t="s">
        <v>37</v>
      </c>
      <c r="KJ312" s="12" t="s">
        <v>37</v>
      </c>
      <c r="KM312" s="12" t="s">
        <v>37</v>
      </c>
      <c r="KN312" s="12" t="s">
        <v>37</v>
      </c>
      <c r="KO312" s="11" t="s">
        <v>37</v>
      </c>
      <c r="KQ312" s="12" t="s">
        <v>37</v>
      </c>
      <c r="KR312" s="12" t="s">
        <v>37</v>
      </c>
      <c r="KS312" s="12" t="s">
        <v>37</v>
      </c>
      <c r="KX312" s="12" t="s">
        <v>37</v>
      </c>
      <c r="KY312" s="12" t="s">
        <v>37</v>
      </c>
      <c r="KZ312" s="12" t="s">
        <v>37</v>
      </c>
      <c r="LB312" s="12" t="s">
        <v>37</v>
      </c>
      <c r="LC312" s="12" t="s">
        <v>37</v>
      </c>
      <c r="LD312" s="12" t="s">
        <v>37</v>
      </c>
      <c r="LI312" s="12" t="s">
        <v>37</v>
      </c>
      <c r="LJ312" s="12" t="s">
        <v>37</v>
      </c>
      <c r="LK312" s="12" t="s">
        <v>37</v>
      </c>
      <c r="LM312" s="12" t="s">
        <v>37</v>
      </c>
      <c r="LN312" s="12" t="s">
        <v>37</v>
      </c>
      <c r="LO312" s="12" t="s">
        <v>37</v>
      </c>
      <c r="LU312" s="12" t="s">
        <v>37</v>
      </c>
      <c r="LV312" s="12" t="s">
        <v>37</v>
      </c>
      <c r="LW312" s="12" t="s">
        <v>37</v>
      </c>
      <c r="LY312" s="12" t="s">
        <v>37</v>
      </c>
      <c r="LZ312" s="12" t="s">
        <v>37</v>
      </c>
      <c r="MA312" s="12" t="s">
        <v>37</v>
      </c>
      <c r="MF312" s="12" t="s">
        <v>37</v>
      </c>
      <c r="MG312" s="12" t="s">
        <v>37</v>
      </c>
      <c r="MH312" s="12" t="s">
        <v>37</v>
      </c>
      <c r="MJ312" s="12" t="s">
        <v>37</v>
      </c>
      <c r="MK312" s="12" t="s">
        <v>37</v>
      </c>
      <c r="ML312" s="12" t="s">
        <v>37</v>
      </c>
      <c r="MQ312" s="12" t="s">
        <v>37</v>
      </c>
      <c r="MR312" s="12" t="s">
        <v>37</v>
      </c>
      <c r="MS312" s="12" t="s">
        <v>37</v>
      </c>
      <c r="MU312" s="12" t="s">
        <v>37</v>
      </c>
      <c r="MV312" s="12" t="s">
        <v>37</v>
      </c>
      <c r="MW312" s="12" t="s">
        <v>37</v>
      </c>
      <c r="NC312" s="12" t="s">
        <v>37</v>
      </c>
      <c r="ND312" s="12" t="s">
        <v>37</v>
      </c>
      <c r="NE312" s="12" t="s">
        <v>37</v>
      </c>
      <c r="NG312" s="12" t="s">
        <v>37</v>
      </c>
      <c r="NH312" s="12" t="s">
        <v>37</v>
      </c>
      <c r="NI312" s="12" t="s">
        <v>37</v>
      </c>
      <c r="NO312" s="12" t="s">
        <v>37</v>
      </c>
      <c r="NP312" s="12" t="s">
        <v>37</v>
      </c>
      <c r="NQ312" s="12" t="s">
        <v>37</v>
      </c>
      <c r="NS312" s="12" t="s">
        <v>37</v>
      </c>
      <c r="NT312" s="12" t="s">
        <v>37</v>
      </c>
      <c r="NU312" s="12" t="s">
        <v>37</v>
      </c>
      <c r="OA312" s="12" t="s">
        <v>37</v>
      </c>
      <c r="OB312" s="12" t="s">
        <v>37</v>
      </c>
      <c r="OC312" s="12" t="s">
        <v>37</v>
      </c>
      <c r="OD312" s="12"/>
      <c r="OE312" s="12" t="s">
        <v>37</v>
      </c>
      <c r="OF312" s="12" t="s">
        <v>37</v>
      </c>
      <c r="OG312" s="12" t="s">
        <v>37</v>
      </c>
      <c r="OH312" s="12"/>
      <c r="OI312" s="12"/>
      <c r="OJ312" s="12"/>
      <c r="OM312" s="12" t="s">
        <v>37</v>
      </c>
      <c r="ON312" s="12" t="s">
        <v>37</v>
      </c>
      <c r="OO312" s="12" t="s">
        <v>37</v>
      </c>
      <c r="OP312" s="12" t="s">
        <v>37</v>
      </c>
      <c r="OQ312" s="12" t="s">
        <v>37</v>
      </c>
      <c r="OR312" s="12" t="s">
        <v>37</v>
      </c>
      <c r="OS312" s="12"/>
      <c r="OT312" s="12"/>
      <c r="OW312" s="12" t="s">
        <v>37</v>
      </c>
      <c r="OX312" s="12" t="s">
        <v>37</v>
      </c>
      <c r="OY312" s="13" t="s">
        <v>37</v>
      </c>
      <c r="OZ312" s="12" t="s">
        <v>37</v>
      </c>
      <c r="PA312" s="12" t="s">
        <v>37</v>
      </c>
      <c r="PB312" s="13" t="s">
        <v>37</v>
      </c>
      <c r="PG312" s="12" t="s">
        <v>37</v>
      </c>
      <c r="PH312" s="12" t="s">
        <v>37</v>
      </c>
      <c r="PI312" s="12" t="s">
        <v>37</v>
      </c>
      <c r="PJ312" s="12" t="s">
        <v>37</v>
      </c>
      <c r="PK312" s="12" t="s">
        <v>37</v>
      </c>
      <c r="PL312" s="12" t="s">
        <v>37</v>
      </c>
      <c r="PM312" s="12"/>
      <c r="PN312" s="12"/>
      <c r="PQ312" s="12" t="s">
        <v>37</v>
      </c>
      <c r="PR312" s="12" t="s">
        <v>37</v>
      </c>
      <c r="PS312" s="12" t="s">
        <v>37</v>
      </c>
      <c r="PT312" s="12" t="s">
        <v>37</v>
      </c>
      <c r="PU312" s="12" t="s">
        <v>37</v>
      </c>
      <c r="PV312" s="12" t="s">
        <v>37</v>
      </c>
      <c r="PW312" s="12"/>
      <c r="PX312" s="12"/>
      <c r="PZ312" s="12" t="s">
        <v>37</v>
      </c>
      <c r="QA312" s="12" t="s">
        <v>37</v>
      </c>
      <c r="QB312" s="12" t="s">
        <v>37</v>
      </c>
      <c r="QD312" s="12" t="s">
        <v>37</v>
      </c>
      <c r="QE312" s="12" t="s">
        <v>37</v>
      </c>
      <c r="QF312" s="12" t="s">
        <v>37</v>
      </c>
      <c r="QK312" s="12" t="s">
        <v>37</v>
      </c>
      <c r="QL312" s="12" t="s">
        <v>37</v>
      </c>
      <c r="QM312" s="12" t="s">
        <v>37</v>
      </c>
      <c r="QN312" s="12" t="s">
        <v>37</v>
      </c>
      <c r="QO312" s="12" t="s">
        <v>37</v>
      </c>
      <c r="QP312" s="12" t="s">
        <v>37</v>
      </c>
      <c r="QQ312" s="12"/>
      <c r="QR312" s="12"/>
      <c r="QU312" s="12" t="s">
        <v>37</v>
      </c>
      <c r="QV312" s="12" t="s">
        <v>37</v>
      </c>
      <c r="QW312" s="12" t="s">
        <v>37</v>
      </c>
      <c r="QX312" s="12" t="s">
        <v>37</v>
      </c>
      <c r="QY312" s="12" t="s">
        <v>37</v>
      </c>
      <c r="QZ312" s="12" t="s">
        <v>37</v>
      </c>
      <c r="RC312" s="12" t="s">
        <v>37</v>
      </c>
      <c r="RD312" s="12" t="s">
        <v>37</v>
      </c>
      <c r="RE312" s="13" t="s">
        <v>37</v>
      </c>
      <c r="RF312" s="12" t="s">
        <v>37</v>
      </c>
      <c r="RG312" s="12" t="s">
        <v>37</v>
      </c>
      <c r="RH312" s="13" t="s">
        <v>37</v>
      </c>
      <c r="RK312" s="12" t="s">
        <v>37</v>
      </c>
      <c r="RL312" s="12" t="s">
        <v>37</v>
      </c>
      <c r="RM312" s="11" t="s">
        <v>37</v>
      </c>
      <c r="RN312" s="12" t="s">
        <v>37</v>
      </c>
      <c r="RO312" s="12" t="s">
        <v>37</v>
      </c>
      <c r="RP312" s="11" t="s">
        <v>37</v>
      </c>
      <c r="RS312" s="12" t="s">
        <v>37</v>
      </c>
      <c r="RT312" s="12" t="s">
        <v>37</v>
      </c>
      <c r="RU312" s="12" t="s">
        <v>37</v>
      </c>
      <c r="RV312" s="12" t="s">
        <v>37</v>
      </c>
      <c r="RW312" s="12" t="s">
        <v>37</v>
      </c>
      <c r="RX312" s="12" t="s">
        <v>37</v>
      </c>
      <c r="SA312" s="12" t="s">
        <v>37</v>
      </c>
      <c r="SB312" s="12" t="s">
        <v>37</v>
      </c>
      <c r="SC312" s="12" t="s">
        <v>37</v>
      </c>
      <c r="SD312" s="12" t="s">
        <v>37</v>
      </c>
      <c r="SE312" s="12" t="s">
        <v>37</v>
      </c>
      <c r="SF312" s="12" t="s">
        <v>37</v>
      </c>
      <c r="SI312" s="12" t="s">
        <v>37</v>
      </c>
      <c r="SJ312" s="12" t="s">
        <v>37</v>
      </c>
      <c r="SK312" s="13" t="s">
        <v>37</v>
      </c>
      <c r="SM312" s="12" t="s">
        <v>37</v>
      </c>
      <c r="SN312" s="12" t="s">
        <v>37</v>
      </c>
      <c r="SO312" s="13" t="s">
        <v>37</v>
      </c>
      <c r="SU312" s="12" t="s">
        <v>37</v>
      </c>
      <c r="SV312" s="12" t="s">
        <v>37</v>
      </c>
      <c r="SW312" s="12" t="s">
        <v>37</v>
      </c>
      <c r="SX312" s="12" t="s">
        <v>37</v>
      </c>
      <c r="SY312" s="12" t="s">
        <v>37</v>
      </c>
      <c r="SZ312" s="12" t="s">
        <v>37</v>
      </c>
      <c r="TA312" s="12"/>
      <c r="TB312" s="12"/>
      <c r="TE312" s="12" t="s">
        <v>37</v>
      </c>
      <c r="TF312" s="12" t="s">
        <v>37</v>
      </c>
      <c r="TG312" s="12" t="s">
        <v>37</v>
      </c>
      <c r="TH312" s="12" t="s">
        <v>37</v>
      </c>
      <c r="TI312" s="12" t="s">
        <v>37</v>
      </c>
      <c r="TJ312" s="12" t="s">
        <v>37</v>
      </c>
      <c r="TK312" s="12"/>
      <c r="TL312" s="12"/>
      <c r="TO312" s="12" t="s">
        <v>37</v>
      </c>
      <c r="TP312" s="12" t="s">
        <v>37</v>
      </c>
      <c r="TQ312" s="12" t="s">
        <v>37</v>
      </c>
      <c r="TR312" s="12" t="s">
        <v>37</v>
      </c>
      <c r="TS312" s="12" t="s">
        <v>37</v>
      </c>
      <c r="TT312" s="12" t="s">
        <v>37</v>
      </c>
      <c r="TU312" s="12"/>
      <c r="TV312" s="12"/>
      <c r="TY312" s="12" t="s">
        <v>37</v>
      </c>
      <c r="TZ312" s="12" t="s">
        <v>37</v>
      </c>
      <c r="UA312" s="12" t="s">
        <v>37</v>
      </c>
      <c r="UB312" s="12" t="s">
        <v>37</v>
      </c>
      <c r="UC312" s="12" t="s">
        <v>37</v>
      </c>
      <c r="UD312" s="12" t="s">
        <v>37</v>
      </c>
      <c r="UE312" s="12"/>
      <c r="UF312" s="12"/>
      <c r="UI312" s="12" t="s">
        <v>37</v>
      </c>
      <c r="UJ312" s="12" t="s">
        <v>37</v>
      </c>
      <c r="UK312" s="12" t="s">
        <v>37</v>
      </c>
      <c r="UL312" s="12" t="s">
        <v>37</v>
      </c>
      <c r="UM312" s="12" t="s">
        <v>37</v>
      </c>
      <c r="UN312" s="12" t="s">
        <v>37</v>
      </c>
      <c r="UO312" s="12"/>
      <c r="UP312" s="12"/>
      <c r="UR312" s="12" t="s">
        <v>37</v>
      </c>
      <c r="US312" s="12" t="s">
        <v>37</v>
      </c>
      <c r="UT312" s="12" t="s">
        <v>37</v>
      </c>
      <c r="UU312" s="12" t="s">
        <v>37</v>
      </c>
      <c r="UV312" s="12" t="s">
        <v>37</v>
      </c>
      <c r="UW312" s="12" t="s">
        <v>37</v>
      </c>
      <c r="UX312" s="12"/>
      <c r="UY312" s="12"/>
      <c r="VB312" s="12" t="s">
        <v>37</v>
      </c>
      <c r="VC312" s="12" t="s">
        <v>37</v>
      </c>
      <c r="VD312" s="12" t="s">
        <v>37</v>
      </c>
      <c r="VE312" s="12" t="s">
        <v>37</v>
      </c>
      <c r="VF312" s="12" t="s">
        <v>37</v>
      </c>
      <c r="VG312" s="12" t="s">
        <v>37</v>
      </c>
      <c r="VI312" s="12" t="s">
        <v>37</v>
      </c>
      <c r="VJ312" s="12" t="s">
        <v>37</v>
      </c>
      <c r="VK312" s="12" t="s">
        <v>37</v>
      </c>
      <c r="VL312" s="12" t="s">
        <v>37</v>
      </c>
      <c r="VM312" s="12" t="s">
        <v>37</v>
      </c>
      <c r="VN312" s="12" t="s">
        <v>37</v>
      </c>
      <c r="VQ312" s="12" t="s">
        <v>37</v>
      </c>
      <c r="VR312" s="12" t="s">
        <v>37</v>
      </c>
      <c r="VS312" s="12" t="s">
        <v>37</v>
      </c>
      <c r="VT312" s="12" t="s">
        <v>37</v>
      </c>
      <c r="VU312" s="12" t="s">
        <v>37</v>
      </c>
      <c r="VV312" s="12" t="s">
        <v>37</v>
      </c>
      <c r="VW312" s="12"/>
      <c r="VX312" s="12"/>
      <c r="WA312" s="12" t="s">
        <v>37</v>
      </c>
      <c r="WB312" s="12" t="s">
        <v>37</v>
      </c>
      <c r="WC312" s="12" t="s">
        <v>37</v>
      </c>
      <c r="WD312" s="12" t="s">
        <v>37</v>
      </c>
      <c r="WE312" s="12" t="s">
        <v>37</v>
      </c>
      <c r="WF312" s="12" t="s">
        <v>37</v>
      </c>
    </row>
    <row r="313" spans="1:604" ht="18" customHeight="1" x14ac:dyDescent="0.3">
      <c r="A313" s="11">
        <v>70</v>
      </c>
      <c r="B313" s="16" t="s">
        <v>399</v>
      </c>
      <c r="C313" s="12" t="s">
        <v>32</v>
      </c>
      <c r="D313" s="12" t="s">
        <v>54</v>
      </c>
      <c r="E313" s="40" t="s">
        <v>37</v>
      </c>
      <c r="F313" s="14">
        <v>0</v>
      </c>
      <c r="G313" s="14">
        <v>0</v>
      </c>
      <c r="H313" s="12" t="s">
        <v>91</v>
      </c>
      <c r="I313" s="29">
        <v>49.05</v>
      </c>
      <c r="J313" s="29">
        <v>-80.667000000000002</v>
      </c>
      <c r="K313" s="12" t="s">
        <v>778</v>
      </c>
      <c r="L313" s="12" t="s">
        <v>779</v>
      </c>
      <c r="M313" s="13" t="s">
        <v>37</v>
      </c>
      <c r="N313" s="14">
        <v>0.6</v>
      </c>
      <c r="O313" s="14">
        <v>885</v>
      </c>
      <c r="P313" s="14" t="s">
        <v>16</v>
      </c>
      <c r="Q313" s="75">
        <v>7</v>
      </c>
      <c r="R313" s="11" t="s">
        <v>999</v>
      </c>
      <c r="S313" s="12" t="s">
        <v>93</v>
      </c>
      <c r="T313" s="12" t="s">
        <v>141</v>
      </c>
      <c r="U313" s="12" t="s">
        <v>164</v>
      </c>
      <c r="V313" s="12" t="s">
        <v>275</v>
      </c>
      <c r="W313" s="23" t="s">
        <v>405</v>
      </c>
      <c r="X313" s="12" t="s">
        <v>281</v>
      </c>
      <c r="Y313" s="12" t="s">
        <v>37</v>
      </c>
      <c r="Z313" s="12" t="s">
        <v>37</v>
      </c>
      <c r="AA313" s="32" t="s">
        <v>345</v>
      </c>
      <c r="AB313" s="12">
        <v>4.5</v>
      </c>
      <c r="AE313" s="12" t="s">
        <v>37</v>
      </c>
      <c r="AH313" s="12" t="s">
        <v>37</v>
      </c>
      <c r="AK313" s="12" t="s">
        <v>37</v>
      </c>
      <c r="AL313" s="32" t="s">
        <v>400</v>
      </c>
      <c r="AM313" s="12" t="s">
        <v>317</v>
      </c>
      <c r="AN313" s="32" t="s">
        <v>879</v>
      </c>
      <c r="AO313" s="12" t="s">
        <v>37</v>
      </c>
      <c r="AP313" s="12" t="s">
        <v>401</v>
      </c>
      <c r="AQ313" s="12" t="s">
        <v>975</v>
      </c>
      <c r="AT313" s="12" t="s">
        <v>326</v>
      </c>
      <c r="AU313" s="12" t="s">
        <v>326</v>
      </c>
      <c r="AV313" s="13" t="s">
        <v>326</v>
      </c>
      <c r="AX313" s="12" t="s">
        <v>326</v>
      </c>
      <c r="AY313" s="12" t="s">
        <v>326</v>
      </c>
      <c r="AZ313" s="13" t="s">
        <v>326</v>
      </c>
      <c r="BE313" s="12" t="s">
        <v>326</v>
      </c>
      <c r="BF313" s="12" t="s">
        <v>326</v>
      </c>
      <c r="BG313" s="12" t="s">
        <v>326</v>
      </c>
      <c r="BI313" s="12" t="s">
        <v>326</v>
      </c>
      <c r="BJ313" s="12" t="s">
        <v>326</v>
      </c>
      <c r="BK313" s="12" t="s">
        <v>326</v>
      </c>
      <c r="BP313" s="12" t="s">
        <v>37</v>
      </c>
      <c r="BQ313" s="12" t="s">
        <v>37</v>
      </c>
      <c r="BR313" s="13" t="s">
        <v>37</v>
      </c>
      <c r="BT313" s="12" t="s">
        <v>37</v>
      </c>
      <c r="BU313" s="12" t="s">
        <v>37</v>
      </c>
      <c r="BV313" s="12" t="s">
        <v>37</v>
      </c>
      <c r="CA313" s="12" t="s">
        <v>37</v>
      </c>
      <c r="CB313" s="12" t="s">
        <v>37</v>
      </c>
      <c r="CC313" s="13" t="s">
        <v>37</v>
      </c>
      <c r="CE313" s="12" t="s">
        <v>37</v>
      </c>
      <c r="CF313" s="12" t="s">
        <v>37</v>
      </c>
      <c r="CG313" s="12" t="s">
        <v>37</v>
      </c>
      <c r="CN313" s="12" t="s">
        <v>37</v>
      </c>
      <c r="CO313" s="12" t="s">
        <v>37</v>
      </c>
      <c r="CP313" s="13" t="s">
        <v>37</v>
      </c>
      <c r="CR313" s="12" t="s">
        <v>37</v>
      </c>
      <c r="CS313" s="12" t="s">
        <v>37</v>
      </c>
      <c r="CT313" s="13" t="s">
        <v>37</v>
      </c>
      <c r="CX313" s="72"/>
      <c r="CY313" s="72"/>
      <c r="DA313" s="12" t="s">
        <v>37</v>
      </c>
      <c r="DB313" s="12" t="s">
        <v>37</v>
      </c>
      <c r="DC313" s="13" t="s">
        <v>37</v>
      </c>
      <c r="DE313" s="12" t="s">
        <v>37</v>
      </c>
      <c r="DF313" s="12" t="s">
        <v>37</v>
      </c>
      <c r="DG313" s="12" t="s">
        <v>37</v>
      </c>
      <c r="DM313" s="12" t="s">
        <v>47</v>
      </c>
      <c r="DN313" s="19">
        <f>0.3*("1991/10/31"-"1991/5/1")*10^4/10^6/'[1]classes-1'!$I$32</f>
        <v>0.75831262271198441</v>
      </c>
      <c r="DO313" s="12">
        <f>DO312</f>
        <v>2.1753507933433238</v>
      </c>
      <c r="DP313" s="13">
        <v>6</v>
      </c>
      <c r="DQ313" s="19">
        <f t="shared" si="1255"/>
        <v>2.8686727982497877</v>
      </c>
      <c r="DR313" s="19">
        <f>-0.3*("1991/10/31"-"1991/5/1")*10^4/10^6/'[1]classes-1'!$I$35</f>
        <v>-0.16115570294991843</v>
      </c>
      <c r="DS313" s="12">
        <f>DS312</f>
        <v>0.5610292847687105</v>
      </c>
      <c r="DT313" s="13">
        <v>6</v>
      </c>
      <c r="DU313" s="19">
        <f t="shared" si="1256"/>
        <v>3.4812871930635851</v>
      </c>
      <c r="DV313" s="19">
        <f t="shared" si="1211"/>
        <v>-0.91946832566190284</v>
      </c>
      <c r="DW313" s="12">
        <f t="shared" si="1212"/>
        <v>1.5885378390941021</v>
      </c>
      <c r="DX313" s="72">
        <f t="shared" si="1251"/>
        <v>0.84115082207791969</v>
      </c>
      <c r="DY313" s="72">
        <f t="shared" si="1252"/>
        <v>0.8411508220779198</v>
      </c>
      <c r="EA313" s="19" t="s">
        <v>37</v>
      </c>
      <c r="EB313" s="19" t="s">
        <v>37</v>
      </c>
      <c r="EC313" s="72" t="s">
        <v>37</v>
      </c>
      <c r="EE313" s="19" t="s">
        <v>37</v>
      </c>
      <c r="EF313" s="19" t="s">
        <v>37</v>
      </c>
      <c r="EG313" s="12" t="s">
        <v>37</v>
      </c>
      <c r="EM313" s="12" t="s">
        <v>39</v>
      </c>
      <c r="EN313" s="12">
        <v>-48.7</v>
      </c>
      <c r="EO313" s="50">
        <f t="shared" si="1241"/>
        <v>19.845074619187987</v>
      </c>
      <c r="EP313" s="13">
        <v>1</v>
      </c>
      <c r="ER313" s="12">
        <v>-119.3</v>
      </c>
      <c r="ES313" s="50">
        <f t="shared" si="1242"/>
        <v>27.058916583646866</v>
      </c>
      <c r="ET313" s="13">
        <v>1</v>
      </c>
      <c r="EV313" s="19">
        <f t="shared" si="1233"/>
        <v>-70.599999999999994</v>
      </c>
      <c r="EW313" s="12" t="e">
        <f t="shared" si="1234"/>
        <v>#DIV/0!</v>
      </c>
      <c r="EX313" s="19" t="e">
        <f t="shared" si="1235"/>
        <v>#DIV/0!</v>
      </c>
      <c r="EY313" s="19">
        <f t="shared" si="1236"/>
        <v>1126.0119533218985</v>
      </c>
      <c r="FB313" s="12" t="s">
        <v>37</v>
      </c>
      <c r="FC313" s="12" t="s">
        <v>37</v>
      </c>
      <c r="FD313" s="12" t="s">
        <v>37</v>
      </c>
      <c r="FE313" s="12" t="s">
        <v>37</v>
      </c>
      <c r="FF313" s="20" t="s">
        <v>37</v>
      </c>
      <c r="FG313" s="12" t="s">
        <v>37</v>
      </c>
      <c r="FI313" s="12" t="s">
        <v>37</v>
      </c>
      <c r="FJ313" s="12" t="s">
        <v>37</v>
      </c>
      <c r="FK313" s="12" t="s">
        <v>37</v>
      </c>
      <c r="FL313" s="12" t="s">
        <v>37</v>
      </c>
      <c r="FM313" s="12" t="s">
        <v>37</v>
      </c>
      <c r="FN313" s="12" t="s">
        <v>37</v>
      </c>
      <c r="FP313" s="12" t="s">
        <v>37</v>
      </c>
      <c r="FQ313" s="12" t="s">
        <v>37</v>
      </c>
      <c r="FR313" s="12" t="s">
        <v>37</v>
      </c>
      <c r="FS313" s="12" t="s">
        <v>37</v>
      </c>
      <c r="FT313" s="12" t="s">
        <v>37</v>
      </c>
      <c r="FU313" s="12" t="s">
        <v>37</v>
      </c>
      <c r="FW313" s="12" t="s">
        <v>37</v>
      </c>
      <c r="FX313" s="12" t="s">
        <v>37</v>
      </c>
      <c r="FY313" s="12" t="s">
        <v>37</v>
      </c>
      <c r="FZ313" s="12" t="s">
        <v>37</v>
      </c>
      <c r="GA313" s="12" t="s">
        <v>37</v>
      </c>
      <c r="GB313" s="12" t="s">
        <v>37</v>
      </c>
      <c r="GO313" s="12" t="s">
        <v>660</v>
      </c>
      <c r="GP313" s="12" t="s">
        <v>372</v>
      </c>
      <c r="GQ313" s="12">
        <v>13.1</v>
      </c>
      <c r="GR313" s="50">
        <f t="shared" si="1243"/>
        <v>1.251437203784747</v>
      </c>
      <c r="GS313" s="13">
        <v>1</v>
      </c>
      <c r="GU313" s="12">
        <v>16.2</v>
      </c>
      <c r="GV313" s="50">
        <f t="shared" si="1244"/>
        <v>1.7242661533318744</v>
      </c>
      <c r="GW313" s="13">
        <v>1</v>
      </c>
      <c r="GY313" s="19">
        <f t="shared" si="1253"/>
        <v>0.21239901203123257</v>
      </c>
      <c r="GZ313" s="19">
        <f t="shared" si="1254"/>
        <v>2.0454557267488193E-2</v>
      </c>
      <c r="IK313" s="12" t="s">
        <v>37</v>
      </c>
      <c r="IL313" s="12" t="s">
        <v>37</v>
      </c>
      <c r="IM313" s="12" t="s">
        <v>37</v>
      </c>
      <c r="IO313" s="12" t="s">
        <v>37</v>
      </c>
      <c r="IP313" s="12" t="s">
        <v>37</v>
      </c>
      <c r="IQ313" s="12" t="s">
        <v>37</v>
      </c>
      <c r="IV313" s="32" t="s">
        <v>345</v>
      </c>
      <c r="IW313" s="12">
        <v>4.5</v>
      </c>
      <c r="IX313" s="12">
        <v>0.3</v>
      </c>
      <c r="IY313" s="13">
        <v>6</v>
      </c>
      <c r="IZ313" s="19">
        <f t="shared" si="1247"/>
        <v>6.6666666666666666E-2</v>
      </c>
      <c r="JA313" s="13"/>
      <c r="JB313" s="13"/>
      <c r="JH313" s="12" t="s">
        <v>37</v>
      </c>
      <c r="JI313" s="12" t="s">
        <v>37</v>
      </c>
      <c r="JJ313" s="13" t="s">
        <v>37</v>
      </c>
      <c r="JL313" s="12" t="s">
        <v>37</v>
      </c>
      <c r="JM313" s="12" t="s">
        <v>37</v>
      </c>
      <c r="JN313" s="12" t="s">
        <v>37</v>
      </c>
      <c r="JS313" s="12" t="s">
        <v>37</v>
      </c>
      <c r="JT313" s="12" t="s">
        <v>37</v>
      </c>
      <c r="JU313" s="13" t="s">
        <v>37</v>
      </c>
      <c r="JW313" s="12" t="s">
        <v>37</v>
      </c>
      <c r="JX313" s="12" t="s">
        <v>37</v>
      </c>
      <c r="JY313" s="12" t="s">
        <v>37</v>
      </c>
      <c r="KE313" s="12" t="s">
        <v>37</v>
      </c>
      <c r="KF313" s="12" t="s">
        <v>37</v>
      </c>
      <c r="KG313" s="13" t="s">
        <v>37</v>
      </c>
      <c r="KH313" s="12" t="s">
        <v>37</v>
      </c>
      <c r="KI313" s="12" t="s">
        <v>37</v>
      </c>
      <c r="KJ313" s="12" t="s">
        <v>37</v>
      </c>
      <c r="KM313" s="12" t="s">
        <v>37</v>
      </c>
      <c r="KN313" s="12" t="s">
        <v>37</v>
      </c>
      <c r="KO313" s="11" t="s">
        <v>37</v>
      </c>
      <c r="KQ313" s="12" t="s">
        <v>37</v>
      </c>
      <c r="KR313" s="12" t="s">
        <v>37</v>
      </c>
      <c r="KS313" s="12" t="s">
        <v>37</v>
      </c>
      <c r="KX313" s="12" t="s">
        <v>37</v>
      </c>
      <c r="KY313" s="12" t="s">
        <v>37</v>
      </c>
      <c r="KZ313" s="12" t="s">
        <v>37</v>
      </c>
      <c r="LB313" s="12" t="s">
        <v>37</v>
      </c>
      <c r="LC313" s="12" t="s">
        <v>37</v>
      </c>
      <c r="LD313" s="12" t="s">
        <v>37</v>
      </c>
      <c r="LI313" s="12" t="s">
        <v>37</v>
      </c>
      <c r="LJ313" s="12" t="s">
        <v>37</v>
      </c>
      <c r="LK313" s="12" t="s">
        <v>37</v>
      </c>
      <c r="LM313" s="12" t="s">
        <v>37</v>
      </c>
      <c r="LN313" s="12" t="s">
        <v>37</v>
      </c>
      <c r="LO313" s="12" t="s">
        <v>37</v>
      </c>
      <c r="LU313" s="12" t="s">
        <v>37</v>
      </c>
      <c r="LV313" s="12" t="s">
        <v>37</v>
      </c>
      <c r="LW313" s="12" t="s">
        <v>37</v>
      </c>
      <c r="LY313" s="12" t="s">
        <v>37</v>
      </c>
      <c r="LZ313" s="12" t="s">
        <v>37</v>
      </c>
      <c r="MA313" s="12" t="s">
        <v>37</v>
      </c>
      <c r="MF313" s="12" t="s">
        <v>37</v>
      </c>
      <c r="MG313" s="12" t="s">
        <v>37</v>
      </c>
      <c r="MH313" s="12" t="s">
        <v>37</v>
      </c>
      <c r="MJ313" s="12" t="s">
        <v>37</v>
      </c>
      <c r="MK313" s="12" t="s">
        <v>37</v>
      </c>
      <c r="ML313" s="12" t="s">
        <v>37</v>
      </c>
      <c r="MQ313" s="12" t="s">
        <v>37</v>
      </c>
      <c r="MR313" s="12" t="s">
        <v>37</v>
      </c>
      <c r="MS313" s="12" t="s">
        <v>37</v>
      </c>
      <c r="MU313" s="12" t="s">
        <v>37</v>
      </c>
      <c r="MV313" s="12" t="s">
        <v>37</v>
      </c>
      <c r="MW313" s="12" t="s">
        <v>37</v>
      </c>
      <c r="NC313" s="12" t="s">
        <v>37</v>
      </c>
      <c r="ND313" s="12" t="s">
        <v>37</v>
      </c>
      <c r="NE313" s="12" t="s">
        <v>37</v>
      </c>
      <c r="NG313" s="12" t="s">
        <v>37</v>
      </c>
      <c r="NH313" s="12" t="s">
        <v>37</v>
      </c>
      <c r="NI313" s="12" t="s">
        <v>37</v>
      </c>
      <c r="NO313" s="12" t="s">
        <v>37</v>
      </c>
      <c r="NP313" s="12" t="s">
        <v>37</v>
      </c>
      <c r="NQ313" s="12" t="s">
        <v>37</v>
      </c>
      <c r="NS313" s="12" t="s">
        <v>37</v>
      </c>
      <c r="NT313" s="12" t="s">
        <v>37</v>
      </c>
      <c r="NU313" s="12" t="s">
        <v>37</v>
      </c>
      <c r="OA313" s="12" t="s">
        <v>37</v>
      </c>
      <c r="OB313" s="12" t="s">
        <v>37</v>
      </c>
      <c r="OC313" s="12" t="s">
        <v>37</v>
      </c>
      <c r="OD313" s="12"/>
      <c r="OE313" s="12" t="s">
        <v>37</v>
      </c>
      <c r="OF313" s="12" t="s">
        <v>37</v>
      </c>
      <c r="OG313" s="12" t="s">
        <v>37</v>
      </c>
      <c r="OH313" s="12"/>
      <c r="OI313" s="12"/>
      <c r="OJ313" s="12"/>
      <c r="OM313" s="12" t="s">
        <v>37</v>
      </c>
      <c r="ON313" s="12" t="s">
        <v>37</v>
      </c>
      <c r="OO313" s="12" t="s">
        <v>37</v>
      </c>
      <c r="OP313" s="12" t="s">
        <v>37</v>
      </c>
      <c r="OQ313" s="12" t="s">
        <v>37</v>
      </c>
      <c r="OR313" s="12" t="s">
        <v>37</v>
      </c>
      <c r="OS313" s="12"/>
      <c r="OT313" s="12"/>
      <c r="OW313" s="12" t="s">
        <v>37</v>
      </c>
      <c r="OX313" s="12" t="s">
        <v>37</v>
      </c>
      <c r="OY313" s="13" t="s">
        <v>37</v>
      </c>
      <c r="OZ313" s="12" t="s">
        <v>37</v>
      </c>
      <c r="PA313" s="12" t="s">
        <v>37</v>
      </c>
      <c r="PB313" s="13" t="s">
        <v>37</v>
      </c>
      <c r="PG313" s="12" t="s">
        <v>37</v>
      </c>
      <c r="PH313" s="12" t="s">
        <v>37</v>
      </c>
      <c r="PI313" s="12" t="s">
        <v>37</v>
      </c>
      <c r="PJ313" s="12" t="s">
        <v>37</v>
      </c>
      <c r="PK313" s="12" t="s">
        <v>37</v>
      </c>
      <c r="PL313" s="12" t="s">
        <v>37</v>
      </c>
      <c r="PM313" s="12"/>
      <c r="PN313" s="12"/>
      <c r="PQ313" s="12" t="s">
        <v>37</v>
      </c>
      <c r="PR313" s="12" t="s">
        <v>37</v>
      </c>
      <c r="PS313" s="12" t="s">
        <v>37</v>
      </c>
      <c r="PT313" s="12" t="s">
        <v>37</v>
      </c>
      <c r="PU313" s="12" t="s">
        <v>37</v>
      </c>
      <c r="PV313" s="12" t="s">
        <v>37</v>
      </c>
      <c r="PW313" s="12"/>
      <c r="PX313" s="12"/>
      <c r="PZ313" s="12" t="s">
        <v>37</v>
      </c>
      <c r="QA313" s="12" t="s">
        <v>37</v>
      </c>
      <c r="QB313" s="12" t="s">
        <v>37</v>
      </c>
      <c r="QD313" s="12" t="s">
        <v>37</v>
      </c>
      <c r="QE313" s="12" t="s">
        <v>37</v>
      </c>
      <c r="QF313" s="12" t="s">
        <v>37</v>
      </c>
      <c r="QK313" s="12" t="s">
        <v>37</v>
      </c>
      <c r="QL313" s="12" t="s">
        <v>37</v>
      </c>
      <c r="QM313" s="12" t="s">
        <v>37</v>
      </c>
      <c r="QN313" s="12" t="s">
        <v>37</v>
      </c>
      <c r="QO313" s="12" t="s">
        <v>37</v>
      </c>
      <c r="QP313" s="12" t="s">
        <v>37</v>
      </c>
      <c r="QQ313" s="12"/>
      <c r="QR313" s="12"/>
      <c r="QU313" s="12" t="s">
        <v>37</v>
      </c>
      <c r="QV313" s="12" t="s">
        <v>37</v>
      </c>
      <c r="QW313" s="12" t="s">
        <v>37</v>
      </c>
      <c r="QX313" s="12" t="s">
        <v>37</v>
      </c>
      <c r="QY313" s="12" t="s">
        <v>37</v>
      </c>
      <c r="QZ313" s="12" t="s">
        <v>37</v>
      </c>
      <c r="RC313" s="12" t="s">
        <v>37</v>
      </c>
      <c r="RD313" s="12" t="s">
        <v>37</v>
      </c>
      <c r="RE313" s="13" t="s">
        <v>37</v>
      </c>
      <c r="RF313" s="12" t="s">
        <v>37</v>
      </c>
      <c r="RG313" s="12" t="s">
        <v>37</v>
      </c>
      <c r="RH313" s="13" t="s">
        <v>37</v>
      </c>
      <c r="RK313" s="12" t="s">
        <v>37</v>
      </c>
      <c r="RL313" s="12" t="s">
        <v>37</v>
      </c>
      <c r="RM313" s="11" t="s">
        <v>37</v>
      </c>
      <c r="RN313" s="12" t="s">
        <v>37</v>
      </c>
      <c r="RO313" s="12" t="s">
        <v>37</v>
      </c>
      <c r="RP313" s="11" t="s">
        <v>37</v>
      </c>
      <c r="RS313" s="12" t="s">
        <v>37</v>
      </c>
      <c r="RT313" s="12" t="s">
        <v>37</v>
      </c>
      <c r="RU313" s="12" t="s">
        <v>37</v>
      </c>
      <c r="RV313" s="12" t="s">
        <v>37</v>
      </c>
      <c r="RW313" s="12" t="s">
        <v>37</v>
      </c>
      <c r="RX313" s="12" t="s">
        <v>37</v>
      </c>
      <c r="SA313" s="12" t="s">
        <v>37</v>
      </c>
      <c r="SB313" s="12" t="s">
        <v>37</v>
      </c>
      <c r="SC313" s="12" t="s">
        <v>37</v>
      </c>
      <c r="SD313" s="12" t="s">
        <v>37</v>
      </c>
      <c r="SE313" s="12" t="s">
        <v>37</v>
      </c>
      <c r="SF313" s="12" t="s">
        <v>37</v>
      </c>
      <c r="SI313" s="12" t="s">
        <v>37</v>
      </c>
      <c r="SJ313" s="12" t="s">
        <v>37</v>
      </c>
      <c r="SK313" s="13" t="s">
        <v>37</v>
      </c>
      <c r="SM313" s="12" t="s">
        <v>37</v>
      </c>
      <c r="SN313" s="12" t="s">
        <v>37</v>
      </c>
      <c r="SO313" s="13" t="s">
        <v>37</v>
      </c>
      <c r="SU313" s="12" t="s">
        <v>37</v>
      </c>
      <c r="SV313" s="12" t="s">
        <v>37</v>
      </c>
      <c r="SW313" s="12" t="s">
        <v>37</v>
      </c>
      <c r="SX313" s="12" t="s">
        <v>37</v>
      </c>
      <c r="SY313" s="12" t="s">
        <v>37</v>
      </c>
      <c r="SZ313" s="12" t="s">
        <v>37</v>
      </c>
      <c r="TA313" s="12"/>
      <c r="TB313" s="12"/>
      <c r="TE313" s="12" t="s">
        <v>37</v>
      </c>
      <c r="TF313" s="12" t="s">
        <v>37</v>
      </c>
      <c r="TG313" s="12" t="s">
        <v>37</v>
      </c>
      <c r="TH313" s="12" t="s">
        <v>37</v>
      </c>
      <c r="TI313" s="12" t="s">
        <v>37</v>
      </c>
      <c r="TJ313" s="12" t="s">
        <v>37</v>
      </c>
      <c r="TK313" s="12"/>
      <c r="TL313" s="12"/>
      <c r="TO313" s="12" t="s">
        <v>37</v>
      </c>
      <c r="TP313" s="12" t="s">
        <v>37</v>
      </c>
      <c r="TQ313" s="12" t="s">
        <v>37</v>
      </c>
      <c r="TR313" s="12" t="s">
        <v>37</v>
      </c>
      <c r="TS313" s="12" t="s">
        <v>37</v>
      </c>
      <c r="TT313" s="12" t="s">
        <v>37</v>
      </c>
      <c r="TU313" s="12"/>
      <c r="TV313" s="12"/>
      <c r="TY313" s="12" t="s">
        <v>37</v>
      </c>
      <c r="TZ313" s="12" t="s">
        <v>37</v>
      </c>
      <c r="UA313" s="12" t="s">
        <v>37</v>
      </c>
      <c r="UB313" s="12" t="s">
        <v>37</v>
      </c>
      <c r="UC313" s="12" t="s">
        <v>37</v>
      </c>
      <c r="UD313" s="12" t="s">
        <v>37</v>
      </c>
      <c r="UE313" s="12"/>
      <c r="UF313" s="12"/>
      <c r="UI313" s="12" t="s">
        <v>37</v>
      </c>
      <c r="UJ313" s="12" t="s">
        <v>37</v>
      </c>
      <c r="UK313" s="12" t="s">
        <v>37</v>
      </c>
      <c r="UL313" s="12" t="s">
        <v>37</v>
      </c>
      <c r="UM313" s="12" t="s">
        <v>37</v>
      </c>
      <c r="UN313" s="12" t="s">
        <v>37</v>
      </c>
      <c r="UO313" s="12"/>
      <c r="UP313" s="12"/>
      <c r="UR313" s="12" t="s">
        <v>37</v>
      </c>
      <c r="US313" s="12" t="s">
        <v>37</v>
      </c>
      <c r="UT313" s="12" t="s">
        <v>37</v>
      </c>
      <c r="UU313" s="12" t="s">
        <v>37</v>
      </c>
      <c r="UV313" s="12" t="s">
        <v>37</v>
      </c>
      <c r="UW313" s="12" t="s">
        <v>37</v>
      </c>
      <c r="UX313" s="12"/>
      <c r="UY313" s="12"/>
      <c r="VB313" s="12" t="s">
        <v>37</v>
      </c>
      <c r="VC313" s="12" t="s">
        <v>37</v>
      </c>
      <c r="VD313" s="12" t="s">
        <v>37</v>
      </c>
      <c r="VE313" s="12" t="s">
        <v>37</v>
      </c>
      <c r="VF313" s="12" t="s">
        <v>37</v>
      </c>
      <c r="VG313" s="12" t="s">
        <v>37</v>
      </c>
      <c r="VI313" s="12" t="s">
        <v>37</v>
      </c>
      <c r="VJ313" s="12" t="s">
        <v>37</v>
      </c>
      <c r="VK313" s="12" t="s">
        <v>37</v>
      </c>
      <c r="VL313" s="12" t="s">
        <v>37</v>
      </c>
      <c r="VM313" s="12" t="s">
        <v>37</v>
      </c>
      <c r="VN313" s="12" t="s">
        <v>37</v>
      </c>
      <c r="VQ313" s="12" t="s">
        <v>37</v>
      </c>
      <c r="VR313" s="12" t="s">
        <v>37</v>
      </c>
      <c r="VS313" s="12" t="s">
        <v>37</v>
      </c>
      <c r="VT313" s="12" t="s">
        <v>37</v>
      </c>
      <c r="VU313" s="12" t="s">
        <v>37</v>
      </c>
      <c r="VV313" s="12" t="s">
        <v>37</v>
      </c>
      <c r="VW313" s="12"/>
      <c r="VX313" s="12"/>
      <c r="WA313" s="12" t="s">
        <v>37</v>
      </c>
      <c r="WB313" s="12" t="s">
        <v>37</v>
      </c>
      <c r="WC313" s="12" t="s">
        <v>37</v>
      </c>
      <c r="WD313" s="12" t="s">
        <v>37</v>
      </c>
      <c r="WE313" s="12" t="s">
        <v>37</v>
      </c>
      <c r="WF313" s="12" t="s">
        <v>37</v>
      </c>
    </row>
    <row r="314" spans="1:604" ht="18" customHeight="1" x14ac:dyDescent="0.3">
      <c r="A314" s="11">
        <v>70</v>
      </c>
      <c r="B314" s="16" t="s">
        <v>399</v>
      </c>
      <c r="C314" s="12" t="s">
        <v>864</v>
      </c>
      <c r="D314" s="12" t="s">
        <v>54</v>
      </c>
      <c r="E314" s="40" t="s">
        <v>37</v>
      </c>
      <c r="F314" s="14">
        <v>0</v>
      </c>
      <c r="G314" s="14">
        <v>0</v>
      </c>
      <c r="H314" s="12" t="s">
        <v>91</v>
      </c>
      <c r="I314" s="29">
        <v>49.05</v>
      </c>
      <c r="J314" s="29">
        <v>-80.667000000000002</v>
      </c>
      <c r="K314" s="12" t="s">
        <v>778</v>
      </c>
      <c r="L314" s="12" t="s">
        <v>779</v>
      </c>
      <c r="M314" s="13" t="s">
        <v>37</v>
      </c>
      <c r="N314" s="14">
        <v>0.6</v>
      </c>
      <c r="O314" s="14">
        <v>885</v>
      </c>
      <c r="P314" s="14" t="s">
        <v>16</v>
      </c>
      <c r="Q314" s="75">
        <v>7</v>
      </c>
      <c r="R314" s="11" t="s">
        <v>999</v>
      </c>
      <c r="S314" s="12" t="s">
        <v>93</v>
      </c>
      <c r="T314" s="12" t="s">
        <v>141</v>
      </c>
      <c r="U314" s="12" t="s">
        <v>164</v>
      </c>
      <c r="V314" s="12" t="s">
        <v>275</v>
      </c>
      <c r="W314" s="23" t="s">
        <v>405</v>
      </c>
      <c r="X314" s="12" t="s">
        <v>281</v>
      </c>
      <c r="Y314" s="12" t="s">
        <v>37</v>
      </c>
      <c r="Z314" s="12" t="s">
        <v>37</v>
      </c>
      <c r="AA314" s="32" t="s">
        <v>345</v>
      </c>
      <c r="AB314" s="12">
        <v>4.5</v>
      </c>
      <c r="AE314" s="12" t="s">
        <v>37</v>
      </c>
      <c r="AH314" s="12" t="s">
        <v>37</v>
      </c>
      <c r="AK314" s="12" t="s">
        <v>37</v>
      </c>
      <c r="AL314" s="32" t="s">
        <v>400</v>
      </c>
      <c r="AM314" s="12" t="s">
        <v>317</v>
      </c>
      <c r="AN314" s="32" t="s">
        <v>879</v>
      </c>
      <c r="AO314" s="12" t="s">
        <v>37</v>
      </c>
      <c r="AP314" s="12" t="s">
        <v>401</v>
      </c>
      <c r="AQ314" s="12" t="s">
        <v>975</v>
      </c>
      <c r="AT314" s="12" t="s">
        <v>326</v>
      </c>
      <c r="AU314" s="12" t="s">
        <v>326</v>
      </c>
      <c r="AV314" s="13" t="s">
        <v>326</v>
      </c>
      <c r="AX314" s="12" t="s">
        <v>326</v>
      </c>
      <c r="AY314" s="12" t="s">
        <v>326</v>
      </c>
      <c r="AZ314" s="13" t="s">
        <v>326</v>
      </c>
      <c r="BE314" s="12" t="s">
        <v>326</v>
      </c>
      <c r="BF314" s="12" t="s">
        <v>326</v>
      </c>
      <c r="BG314" s="12" t="s">
        <v>326</v>
      </c>
      <c r="BI314" s="12" t="s">
        <v>326</v>
      </c>
      <c r="BJ314" s="12" t="s">
        <v>326</v>
      </c>
      <c r="BK314" s="12" t="s">
        <v>326</v>
      </c>
      <c r="BP314" s="12" t="s">
        <v>37</v>
      </c>
      <c r="BQ314" s="12" t="s">
        <v>37</v>
      </c>
      <c r="BR314" s="13" t="s">
        <v>37</v>
      </c>
      <c r="BT314" s="12" t="s">
        <v>37</v>
      </c>
      <c r="BU314" s="12" t="s">
        <v>37</v>
      </c>
      <c r="BV314" s="12" t="s">
        <v>37</v>
      </c>
      <c r="CA314" s="12" t="s">
        <v>37</v>
      </c>
      <c r="CB314" s="12" t="s">
        <v>37</v>
      </c>
      <c r="CC314" s="13" t="s">
        <v>37</v>
      </c>
      <c r="CE314" s="12" t="s">
        <v>37</v>
      </c>
      <c r="CF314" s="12" t="s">
        <v>37</v>
      </c>
      <c r="CG314" s="12" t="s">
        <v>37</v>
      </c>
      <c r="CN314" s="12" t="s">
        <v>37</v>
      </c>
      <c r="CO314" s="12" t="s">
        <v>37</v>
      </c>
      <c r="CP314" s="13" t="s">
        <v>37</v>
      </c>
      <c r="CR314" s="12" t="s">
        <v>37</v>
      </c>
      <c r="CS314" s="12" t="s">
        <v>37</v>
      </c>
      <c r="CT314" s="13" t="s">
        <v>37</v>
      </c>
      <c r="CX314" s="72"/>
      <c r="CY314" s="72"/>
      <c r="DA314" s="12" t="s">
        <v>37</v>
      </c>
      <c r="DB314" s="12" t="s">
        <v>37</v>
      </c>
      <c r="DC314" s="13" t="s">
        <v>37</v>
      </c>
      <c r="DE314" s="12" t="s">
        <v>37</v>
      </c>
      <c r="DF314" s="12" t="s">
        <v>37</v>
      </c>
      <c r="DG314" s="12" t="s">
        <v>37</v>
      </c>
      <c r="DM314" s="12" t="s">
        <v>47</v>
      </c>
      <c r="DN314" s="19">
        <f>0.3*("1991/10/31"-"1991/5/1")*10^4/10^6/'[1]classes-1'!$I$32</f>
        <v>0.75831262271198441</v>
      </c>
      <c r="DO314" s="12">
        <f t="shared" ref="DO314:DO315" si="1261">DO313</f>
        <v>2.1753507933433238</v>
      </c>
      <c r="DP314" s="13">
        <v>6</v>
      </c>
      <c r="DQ314" s="19">
        <f t="shared" si="1255"/>
        <v>2.8686727982497877</v>
      </c>
      <c r="DR314" s="19">
        <f>-0.3*("1991/10/31"-"1991/5/1")*10^4/10^6/'[1]classes-1'!$I$35</f>
        <v>-0.16115570294991843</v>
      </c>
      <c r="DS314" s="12">
        <f>DS311</f>
        <v>0.52942636938081877</v>
      </c>
      <c r="DT314" s="13">
        <v>6</v>
      </c>
      <c r="DU314" s="19">
        <f t="shared" si="1256"/>
        <v>3.2851854429585159</v>
      </c>
      <c r="DV314" s="19">
        <f t="shared" si="1211"/>
        <v>-0.91946832566190284</v>
      </c>
      <c r="DW314" s="12">
        <f t="shared" si="1212"/>
        <v>1.5831050746389488</v>
      </c>
      <c r="DX314" s="72">
        <f t="shared" si="1251"/>
        <v>0.83540722578253046</v>
      </c>
      <c r="DY314" s="72">
        <f t="shared" si="1252"/>
        <v>0.83540722578253057</v>
      </c>
      <c r="EA314" s="19" t="s">
        <v>37</v>
      </c>
      <c r="EB314" s="19" t="s">
        <v>37</v>
      </c>
      <c r="EC314" s="72" t="s">
        <v>37</v>
      </c>
      <c r="EE314" s="19" t="s">
        <v>37</v>
      </c>
      <c r="EF314" s="19" t="s">
        <v>37</v>
      </c>
      <c r="EG314" s="12" t="s">
        <v>37</v>
      </c>
      <c r="EM314" s="12" t="s">
        <v>39</v>
      </c>
      <c r="EN314" s="12">
        <v>-48.7</v>
      </c>
      <c r="EO314" s="50">
        <f t="shared" si="1241"/>
        <v>19.845074619187987</v>
      </c>
      <c r="EP314" s="13">
        <v>1</v>
      </c>
      <c r="ER314" s="12">
        <v>-85.1</v>
      </c>
      <c r="ES314" s="50">
        <f t="shared" si="1242"/>
        <v>19.301875953632422</v>
      </c>
      <c r="ET314" s="13">
        <v>1</v>
      </c>
      <c r="EV314" s="19">
        <f t="shared" si="1233"/>
        <v>-36.399999999999991</v>
      </c>
      <c r="EW314" s="12" t="e">
        <f t="shared" si="1234"/>
        <v>#DIV/0!</v>
      </c>
      <c r="EX314" s="19" t="e">
        <f t="shared" si="1235"/>
        <v>#DIV/0!</v>
      </c>
      <c r="EY314" s="19">
        <f t="shared" si="1236"/>
        <v>766.38940197055274</v>
      </c>
      <c r="FB314" s="12" t="s">
        <v>37</v>
      </c>
      <c r="FC314" s="12" t="s">
        <v>37</v>
      </c>
      <c r="FD314" s="12" t="s">
        <v>37</v>
      </c>
      <c r="FE314" s="12" t="s">
        <v>37</v>
      </c>
      <c r="FF314" s="20" t="s">
        <v>37</v>
      </c>
      <c r="FG314" s="12" t="s">
        <v>37</v>
      </c>
      <c r="FI314" s="12" t="s">
        <v>37</v>
      </c>
      <c r="FJ314" s="12" t="s">
        <v>37</v>
      </c>
      <c r="FK314" s="12" t="s">
        <v>37</v>
      </c>
      <c r="FL314" s="12" t="s">
        <v>37</v>
      </c>
      <c r="FM314" s="12" t="s">
        <v>37</v>
      </c>
      <c r="FN314" s="12" t="s">
        <v>37</v>
      </c>
      <c r="FP314" s="12" t="s">
        <v>37</v>
      </c>
      <c r="FQ314" s="12" t="s">
        <v>37</v>
      </c>
      <c r="FR314" s="12" t="s">
        <v>37</v>
      </c>
      <c r="FS314" s="12" t="s">
        <v>37</v>
      </c>
      <c r="FT314" s="12" t="s">
        <v>37</v>
      </c>
      <c r="FU314" s="12" t="s">
        <v>37</v>
      </c>
      <c r="FW314" s="12" t="s">
        <v>37</v>
      </c>
      <c r="FX314" s="12" t="s">
        <v>37</v>
      </c>
      <c r="FY314" s="12" t="s">
        <v>37</v>
      </c>
      <c r="FZ314" s="12" t="s">
        <v>37</v>
      </c>
      <c r="GA314" s="12" t="s">
        <v>37</v>
      </c>
      <c r="GB314" s="12" t="s">
        <v>37</v>
      </c>
      <c r="GO314" s="12" t="s">
        <v>660</v>
      </c>
      <c r="GP314" s="12" t="s">
        <v>372</v>
      </c>
      <c r="GQ314" s="12">
        <v>13.1</v>
      </c>
      <c r="GR314" s="50">
        <f t="shared" si="1243"/>
        <v>1.251437203784747</v>
      </c>
      <c r="GS314" s="13">
        <v>1</v>
      </c>
      <c r="GU314" s="12">
        <v>11.6</v>
      </c>
      <c r="GV314" s="50">
        <f t="shared" si="1244"/>
        <v>1.2346597147314655</v>
      </c>
      <c r="GW314" s="13">
        <v>1</v>
      </c>
      <c r="GY314" s="19">
        <f t="shared" si="1253"/>
        <v>-0.12160713209478687</v>
      </c>
      <c r="GZ314" s="19">
        <f t="shared" si="1254"/>
        <v>2.045455726748819E-2</v>
      </c>
      <c r="IK314" s="12" t="s">
        <v>37</v>
      </c>
      <c r="IL314" s="12" t="s">
        <v>37</v>
      </c>
      <c r="IM314" s="12" t="s">
        <v>37</v>
      </c>
      <c r="IO314" s="12" t="s">
        <v>37</v>
      </c>
      <c r="IP314" s="12" t="s">
        <v>37</v>
      </c>
      <c r="IQ314" s="12" t="s">
        <v>37</v>
      </c>
      <c r="IV314" s="32" t="s">
        <v>345</v>
      </c>
      <c r="IW314" s="12">
        <v>4.5</v>
      </c>
      <c r="IX314" s="12">
        <v>0.3</v>
      </c>
      <c r="IY314" s="13">
        <v>6</v>
      </c>
      <c r="IZ314" s="19">
        <f t="shared" si="1247"/>
        <v>6.6666666666666666E-2</v>
      </c>
      <c r="JA314" s="13"/>
      <c r="JB314" s="13"/>
      <c r="JH314" s="12" t="s">
        <v>37</v>
      </c>
      <c r="JI314" s="12" t="s">
        <v>37</v>
      </c>
      <c r="JJ314" s="13" t="s">
        <v>37</v>
      </c>
      <c r="JL314" s="12" t="s">
        <v>37</v>
      </c>
      <c r="JM314" s="12" t="s">
        <v>37</v>
      </c>
      <c r="JN314" s="12" t="s">
        <v>37</v>
      </c>
      <c r="JS314" s="12" t="s">
        <v>37</v>
      </c>
      <c r="JT314" s="12" t="s">
        <v>37</v>
      </c>
      <c r="JU314" s="13" t="s">
        <v>37</v>
      </c>
      <c r="JW314" s="12" t="s">
        <v>37</v>
      </c>
      <c r="JX314" s="12" t="s">
        <v>37</v>
      </c>
      <c r="JY314" s="12" t="s">
        <v>37</v>
      </c>
      <c r="KE314" s="12" t="s">
        <v>37</v>
      </c>
      <c r="KF314" s="12" t="s">
        <v>37</v>
      </c>
      <c r="KG314" s="13" t="s">
        <v>37</v>
      </c>
      <c r="KH314" s="12" t="s">
        <v>37</v>
      </c>
      <c r="KI314" s="12" t="s">
        <v>37</v>
      </c>
      <c r="KJ314" s="12" t="s">
        <v>37</v>
      </c>
      <c r="KM314" s="12" t="s">
        <v>37</v>
      </c>
      <c r="KN314" s="12" t="s">
        <v>37</v>
      </c>
      <c r="KO314" s="11" t="s">
        <v>37</v>
      </c>
      <c r="KQ314" s="12" t="s">
        <v>37</v>
      </c>
      <c r="KR314" s="12" t="s">
        <v>37</v>
      </c>
      <c r="KS314" s="12" t="s">
        <v>37</v>
      </c>
      <c r="KX314" s="12" t="s">
        <v>37</v>
      </c>
      <c r="KY314" s="12" t="s">
        <v>37</v>
      </c>
      <c r="KZ314" s="12" t="s">
        <v>37</v>
      </c>
      <c r="LB314" s="12" t="s">
        <v>37</v>
      </c>
      <c r="LC314" s="12" t="s">
        <v>37</v>
      </c>
      <c r="LD314" s="12" t="s">
        <v>37</v>
      </c>
      <c r="LI314" s="12" t="s">
        <v>37</v>
      </c>
      <c r="LJ314" s="12" t="s">
        <v>37</v>
      </c>
      <c r="LK314" s="12" t="s">
        <v>37</v>
      </c>
      <c r="LM314" s="12" t="s">
        <v>37</v>
      </c>
      <c r="LN314" s="12" t="s">
        <v>37</v>
      </c>
      <c r="LO314" s="12" t="s">
        <v>37</v>
      </c>
      <c r="LU314" s="12" t="s">
        <v>37</v>
      </c>
      <c r="LV314" s="12" t="s">
        <v>37</v>
      </c>
      <c r="LW314" s="12" t="s">
        <v>37</v>
      </c>
      <c r="LY314" s="12" t="s">
        <v>37</v>
      </c>
      <c r="LZ314" s="12" t="s">
        <v>37</v>
      </c>
      <c r="MA314" s="12" t="s">
        <v>37</v>
      </c>
      <c r="MF314" s="12" t="s">
        <v>37</v>
      </c>
      <c r="MG314" s="12" t="s">
        <v>37</v>
      </c>
      <c r="MH314" s="12" t="s">
        <v>37</v>
      </c>
      <c r="MJ314" s="12" t="s">
        <v>37</v>
      </c>
      <c r="MK314" s="12" t="s">
        <v>37</v>
      </c>
      <c r="ML314" s="12" t="s">
        <v>37</v>
      </c>
      <c r="MQ314" s="12" t="s">
        <v>37</v>
      </c>
      <c r="MR314" s="12" t="s">
        <v>37</v>
      </c>
      <c r="MS314" s="12" t="s">
        <v>37</v>
      </c>
      <c r="MU314" s="12" t="s">
        <v>37</v>
      </c>
      <c r="MV314" s="12" t="s">
        <v>37</v>
      </c>
      <c r="MW314" s="12" t="s">
        <v>37</v>
      </c>
      <c r="NC314" s="12" t="s">
        <v>37</v>
      </c>
      <c r="ND314" s="12" t="s">
        <v>37</v>
      </c>
      <c r="NE314" s="12" t="s">
        <v>37</v>
      </c>
      <c r="NG314" s="12" t="s">
        <v>37</v>
      </c>
      <c r="NH314" s="12" t="s">
        <v>37</v>
      </c>
      <c r="NI314" s="12" t="s">
        <v>37</v>
      </c>
      <c r="NO314" s="12" t="s">
        <v>37</v>
      </c>
      <c r="NP314" s="12" t="s">
        <v>37</v>
      </c>
      <c r="NQ314" s="12" t="s">
        <v>37</v>
      </c>
      <c r="NS314" s="12" t="s">
        <v>37</v>
      </c>
      <c r="NT314" s="12" t="s">
        <v>37</v>
      </c>
      <c r="NU314" s="12" t="s">
        <v>37</v>
      </c>
      <c r="OA314" s="12" t="s">
        <v>37</v>
      </c>
      <c r="OB314" s="12" t="s">
        <v>37</v>
      </c>
      <c r="OC314" s="12" t="s">
        <v>37</v>
      </c>
      <c r="OD314" s="12"/>
      <c r="OE314" s="12" t="s">
        <v>37</v>
      </c>
      <c r="OF314" s="12" t="s">
        <v>37</v>
      </c>
      <c r="OG314" s="12" t="s">
        <v>37</v>
      </c>
      <c r="OH314" s="12"/>
      <c r="OI314" s="12"/>
      <c r="OJ314" s="12"/>
      <c r="OM314" s="12" t="s">
        <v>37</v>
      </c>
      <c r="ON314" s="12" t="s">
        <v>37</v>
      </c>
      <c r="OO314" s="12" t="s">
        <v>37</v>
      </c>
      <c r="OP314" s="12" t="s">
        <v>37</v>
      </c>
      <c r="OQ314" s="12" t="s">
        <v>37</v>
      </c>
      <c r="OR314" s="12" t="s">
        <v>37</v>
      </c>
      <c r="OS314" s="12"/>
      <c r="OT314" s="12"/>
      <c r="OW314" s="12" t="s">
        <v>37</v>
      </c>
      <c r="OX314" s="12" t="s">
        <v>37</v>
      </c>
      <c r="OY314" s="13" t="s">
        <v>37</v>
      </c>
      <c r="OZ314" s="12" t="s">
        <v>37</v>
      </c>
      <c r="PA314" s="12" t="s">
        <v>37</v>
      </c>
      <c r="PB314" s="13" t="s">
        <v>37</v>
      </c>
      <c r="PG314" s="12" t="s">
        <v>37</v>
      </c>
      <c r="PH314" s="12" t="s">
        <v>37</v>
      </c>
      <c r="PI314" s="12" t="s">
        <v>37</v>
      </c>
      <c r="PJ314" s="12" t="s">
        <v>37</v>
      </c>
      <c r="PK314" s="12" t="s">
        <v>37</v>
      </c>
      <c r="PL314" s="12" t="s">
        <v>37</v>
      </c>
      <c r="PM314" s="12"/>
      <c r="PN314" s="12"/>
      <c r="PQ314" s="12" t="s">
        <v>37</v>
      </c>
      <c r="PR314" s="12" t="s">
        <v>37</v>
      </c>
      <c r="PS314" s="12" t="s">
        <v>37</v>
      </c>
      <c r="PT314" s="12" t="s">
        <v>37</v>
      </c>
      <c r="PU314" s="12" t="s">
        <v>37</v>
      </c>
      <c r="PV314" s="12" t="s">
        <v>37</v>
      </c>
      <c r="PW314" s="12"/>
      <c r="PX314" s="12"/>
      <c r="PZ314" s="12" t="s">
        <v>37</v>
      </c>
      <c r="QA314" s="12" t="s">
        <v>37</v>
      </c>
      <c r="QB314" s="12" t="s">
        <v>37</v>
      </c>
      <c r="QD314" s="12" t="s">
        <v>37</v>
      </c>
      <c r="QE314" s="12" t="s">
        <v>37</v>
      </c>
      <c r="QF314" s="12" t="s">
        <v>37</v>
      </c>
      <c r="QK314" s="12" t="s">
        <v>37</v>
      </c>
      <c r="QL314" s="12" t="s">
        <v>37</v>
      </c>
      <c r="QM314" s="12" t="s">
        <v>37</v>
      </c>
      <c r="QN314" s="12" t="s">
        <v>37</v>
      </c>
      <c r="QO314" s="12" t="s">
        <v>37</v>
      </c>
      <c r="QP314" s="12" t="s">
        <v>37</v>
      </c>
      <c r="QQ314" s="12"/>
      <c r="QR314" s="12"/>
      <c r="QU314" s="12" t="s">
        <v>37</v>
      </c>
      <c r="QV314" s="12" t="s">
        <v>37</v>
      </c>
      <c r="QW314" s="12" t="s">
        <v>37</v>
      </c>
      <c r="QX314" s="12" t="s">
        <v>37</v>
      </c>
      <c r="QY314" s="12" t="s">
        <v>37</v>
      </c>
      <c r="QZ314" s="12" t="s">
        <v>37</v>
      </c>
      <c r="RC314" s="12" t="s">
        <v>37</v>
      </c>
      <c r="RD314" s="12" t="s">
        <v>37</v>
      </c>
      <c r="RE314" s="13" t="s">
        <v>37</v>
      </c>
      <c r="RF314" s="12" t="s">
        <v>37</v>
      </c>
      <c r="RG314" s="12" t="s">
        <v>37</v>
      </c>
      <c r="RH314" s="13" t="s">
        <v>37</v>
      </c>
      <c r="RK314" s="12" t="s">
        <v>37</v>
      </c>
      <c r="RL314" s="12" t="s">
        <v>37</v>
      </c>
      <c r="RM314" s="11" t="s">
        <v>37</v>
      </c>
      <c r="RN314" s="12" t="s">
        <v>37</v>
      </c>
      <c r="RO314" s="12" t="s">
        <v>37</v>
      </c>
      <c r="RP314" s="11" t="s">
        <v>37</v>
      </c>
      <c r="RS314" s="12" t="s">
        <v>37</v>
      </c>
      <c r="RT314" s="12" t="s">
        <v>37</v>
      </c>
      <c r="RU314" s="12" t="s">
        <v>37</v>
      </c>
      <c r="RV314" s="12" t="s">
        <v>37</v>
      </c>
      <c r="RW314" s="12" t="s">
        <v>37</v>
      </c>
      <c r="RX314" s="12" t="s">
        <v>37</v>
      </c>
      <c r="SA314" s="12" t="s">
        <v>37</v>
      </c>
      <c r="SB314" s="12" t="s">
        <v>37</v>
      </c>
      <c r="SC314" s="12" t="s">
        <v>37</v>
      </c>
      <c r="SD314" s="12" t="s">
        <v>37</v>
      </c>
      <c r="SE314" s="12" t="s">
        <v>37</v>
      </c>
      <c r="SF314" s="12" t="s">
        <v>37</v>
      </c>
      <c r="SI314" s="12" t="s">
        <v>37</v>
      </c>
      <c r="SJ314" s="12" t="s">
        <v>37</v>
      </c>
      <c r="SK314" s="13" t="s">
        <v>37</v>
      </c>
      <c r="SM314" s="12" t="s">
        <v>37</v>
      </c>
      <c r="SN314" s="12" t="s">
        <v>37</v>
      </c>
      <c r="SO314" s="13" t="s">
        <v>37</v>
      </c>
      <c r="SU314" s="12" t="s">
        <v>37</v>
      </c>
      <c r="SV314" s="12" t="s">
        <v>37</v>
      </c>
      <c r="SW314" s="12" t="s">
        <v>37</v>
      </c>
      <c r="SX314" s="12" t="s">
        <v>37</v>
      </c>
      <c r="SY314" s="12" t="s">
        <v>37</v>
      </c>
      <c r="SZ314" s="12" t="s">
        <v>37</v>
      </c>
      <c r="TA314" s="12"/>
      <c r="TB314" s="12"/>
      <c r="TE314" s="12" t="s">
        <v>37</v>
      </c>
      <c r="TF314" s="12" t="s">
        <v>37</v>
      </c>
      <c r="TG314" s="12" t="s">
        <v>37</v>
      </c>
      <c r="TH314" s="12" t="s">
        <v>37</v>
      </c>
      <c r="TI314" s="12" t="s">
        <v>37</v>
      </c>
      <c r="TJ314" s="12" t="s">
        <v>37</v>
      </c>
      <c r="TK314" s="12"/>
      <c r="TL314" s="12"/>
      <c r="TO314" s="12" t="s">
        <v>37</v>
      </c>
      <c r="TP314" s="12" t="s">
        <v>37</v>
      </c>
      <c r="TQ314" s="12" t="s">
        <v>37</v>
      </c>
      <c r="TR314" s="12" t="s">
        <v>37</v>
      </c>
      <c r="TS314" s="12" t="s">
        <v>37</v>
      </c>
      <c r="TT314" s="12" t="s">
        <v>37</v>
      </c>
      <c r="TU314" s="12"/>
      <c r="TV314" s="12"/>
      <c r="TY314" s="12" t="s">
        <v>37</v>
      </c>
      <c r="TZ314" s="12" t="s">
        <v>37</v>
      </c>
      <c r="UA314" s="12" t="s">
        <v>37</v>
      </c>
      <c r="UB314" s="12" t="s">
        <v>37</v>
      </c>
      <c r="UC314" s="12" t="s">
        <v>37</v>
      </c>
      <c r="UD314" s="12" t="s">
        <v>37</v>
      </c>
      <c r="UE314" s="12"/>
      <c r="UF314" s="12"/>
      <c r="UI314" s="12" t="s">
        <v>37</v>
      </c>
      <c r="UJ314" s="12" t="s">
        <v>37</v>
      </c>
      <c r="UK314" s="12" t="s">
        <v>37</v>
      </c>
      <c r="UL314" s="12" t="s">
        <v>37</v>
      </c>
      <c r="UM314" s="12" t="s">
        <v>37</v>
      </c>
      <c r="UN314" s="12" t="s">
        <v>37</v>
      </c>
      <c r="UO314" s="12"/>
      <c r="UP314" s="12"/>
      <c r="UR314" s="12" t="s">
        <v>37</v>
      </c>
      <c r="US314" s="12" t="s">
        <v>37</v>
      </c>
      <c r="UT314" s="12" t="s">
        <v>37</v>
      </c>
      <c r="UU314" s="12" t="s">
        <v>37</v>
      </c>
      <c r="UV314" s="12" t="s">
        <v>37</v>
      </c>
      <c r="UW314" s="12" t="s">
        <v>37</v>
      </c>
      <c r="UX314" s="12"/>
      <c r="UY314" s="12"/>
      <c r="VB314" s="12" t="s">
        <v>37</v>
      </c>
      <c r="VC314" s="12" t="s">
        <v>37</v>
      </c>
      <c r="VD314" s="12" t="s">
        <v>37</v>
      </c>
      <c r="VE314" s="12" t="s">
        <v>37</v>
      </c>
      <c r="VF314" s="12" t="s">
        <v>37</v>
      </c>
      <c r="VG314" s="12" t="s">
        <v>37</v>
      </c>
      <c r="VI314" s="12" t="s">
        <v>37</v>
      </c>
      <c r="VJ314" s="12" t="s">
        <v>37</v>
      </c>
      <c r="VK314" s="12" t="s">
        <v>37</v>
      </c>
      <c r="VL314" s="12" t="s">
        <v>37</v>
      </c>
      <c r="VM314" s="12" t="s">
        <v>37</v>
      </c>
      <c r="VN314" s="12" t="s">
        <v>37</v>
      </c>
      <c r="VQ314" s="12" t="s">
        <v>37</v>
      </c>
      <c r="VR314" s="12" t="s">
        <v>37</v>
      </c>
      <c r="VS314" s="12" t="s">
        <v>37</v>
      </c>
      <c r="VT314" s="12" t="s">
        <v>37</v>
      </c>
      <c r="VU314" s="12" t="s">
        <v>37</v>
      </c>
      <c r="VV314" s="12" t="s">
        <v>37</v>
      </c>
      <c r="VW314" s="12"/>
      <c r="VX314" s="12"/>
      <c r="WA314" s="12" t="s">
        <v>37</v>
      </c>
      <c r="WB314" s="12" t="s">
        <v>37</v>
      </c>
      <c r="WC314" s="12" t="s">
        <v>37</v>
      </c>
      <c r="WD314" s="12" t="s">
        <v>37</v>
      </c>
      <c r="WE314" s="12" t="s">
        <v>37</v>
      </c>
      <c r="WF314" s="12" t="s">
        <v>37</v>
      </c>
    </row>
    <row r="315" spans="1:604" ht="18" customHeight="1" x14ac:dyDescent="0.3">
      <c r="A315" s="11">
        <v>70</v>
      </c>
      <c r="B315" s="16" t="s">
        <v>399</v>
      </c>
      <c r="C315" s="12" t="s">
        <v>31</v>
      </c>
      <c r="D315" s="12" t="s">
        <v>54</v>
      </c>
      <c r="E315" s="40" t="s">
        <v>37</v>
      </c>
      <c r="F315" s="14">
        <v>0</v>
      </c>
      <c r="G315" s="14">
        <v>0</v>
      </c>
      <c r="H315" s="12" t="s">
        <v>91</v>
      </c>
      <c r="I315" s="29">
        <v>49.05</v>
      </c>
      <c r="J315" s="29">
        <v>-80.667000000000002</v>
      </c>
      <c r="K315" s="12" t="s">
        <v>778</v>
      </c>
      <c r="L315" s="12" t="s">
        <v>779</v>
      </c>
      <c r="M315" s="13" t="s">
        <v>37</v>
      </c>
      <c r="N315" s="14">
        <v>0.6</v>
      </c>
      <c r="O315" s="14">
        <v>885</v>
      </c>
      <c r="P315" s="14" t="s">
        <v>16</v>
      </c>
      <c r="Q315" s="75">
        <v>7</v>
      </c>
      <c r="R315" s="11" t="s">
        <v>999</v>
      </c>
      <c r="S315" s="12" t="s">
        <v>93</v>
      </c>
      <c r="T315" s="12" t="s">
        <v>141</v>
      </c>
      <c r="U315" s="12" t="s">
        <v>164</v>
      </c>
      <c r="V315" s="12" t="s">
        <v>275</v>
      </c>
      <c r="W315" s="23" t="s">
        <v>142</v>
      </c>
      <c r="X315" s="12" t="s">
        <v>281</v>
      </c>
      <c r="Y315" s="12" t="s">
        <v>37</v>
      </c>
      <c r="Z315" s="12" t="s">
        <v>37</v>
      </c>
      <c r="AA315" s="32" t="s">
        <v>345</v>
      </c>
      <c r="AB315" s="12">
        <v>4.5</v>
      </c>
      <c r="AE315" s="12" t="s">
        <v>37</v>
      </c>
      <c r="AH315" s="12" t="s">
        <v>37</v>
      </c>
      <c r="AK315" s="12" t="s">
        <v>37</v>
      </c>
      <c r="AL315" s="32" t="s">
        <v>400</v>
      </c>
      <c r="AM315" s="12" t="s">
        <v>317</v>
      </c>
      <c r="AN315" s="32" t="s">
        <v>879</v>
      </c>
      <c r="AO315" s="12" t="s">
        <v>37</v>
      </c>
      <c r="AP315" s="12" t="s">
        <v>401</v>
      </c>
      <c r="AQ315" s="12" t="s">
        <v>975</v>
      </c>
      <c r="AT315" s="12" t="s">
        <v>326</v>
      </c>
      <c r="AU315" s="12" t="s">
        <v>326</v>
      </c>
      <c r="AV315" s="13" t="s">
        <v>326</v>
      </c>
      <c r="AX315" s="12" t="s">
        <v>326</v>
      </c>
      <c r="AY315" s="12" t="s">
        <v>326</v>
      </c>
      <c r="AZ315" s="13" t="s">
        <v>326</v>
      </c>
      <c r="BE315" s="12" t="s">
        <v>326</v>
      </c>
      <c r="BF315" s="12" t="s">
        <v>326</v>
      </c>
      <c r="BG315" s="12" t="s">
        <v>326</v>
      </c>
      <c r="BI315" s="12" t="s">
        <v>326</v>
      </c>
      <c r="BJ315" s="12" t="s">
        <v>326</v>
      </c>
      <c r="BK315" s="12" t="s">
        <v>326</v>
      </c>
      <c r="BP315" s="12" t="s">
        <v>37</v>
      </c>
      <c r="BQ315" s="12" t="s">
        <v>37</v>
      </c>
      <c r="BR315" s="13" t="s">
        <v>37</v>
      </c>
      <c r="BT315" s="12" t="s">
        <v>37</v>
      </c>
      <c r="BU315" s="12" t="s">
        <v>37</v>
      </c>
      <c r="BV315" s="12" t="s">
        <v>37</v>
      </c>
      <c r="CA315" s="12" t="s">
        <v>37</v>
      </c>
      <c r="CB315" s="12" t="s">
        <v>37</v>
      </c>
      <c r="CC315" s="13" t="s">
        <v>37</v>
      </c>
      <c r="CE315" s="12" t="s">
        <v>37</v>
      </c>
      <c r="CF315" s="12" t="s">
        <v>37</v>
      </c>
      <c r="CG315" s="12" t="s">
        <v>37</v>
      </c>
      <c r="CN315" s="12" t="s">
        <v>37</v>
      </c>
      <c r="CO315" s="12" t="s">
        <v>37</v>
      </c>
      <c r="CP315" s="13" t="s">
        <v>37</v>
      </c>
      <c r="CR315" s="12" t="s">
        <v>37</v>
      </c>
      <c r="CS315" s="12" t="s">
        <v>37</v>
      </c>
      <c r="CT315" s="13" t="s">
        <v>37</v>
      </c>
      <c r="CX315" s="72"/>
      <c r="CY315" s="72"/>
      <c r="DA315" s="12" t="s">
        <v>37</v>
      </c>
      <c r="DB315" s="12" t="s">
        <v>37</v>
      </c>
      <c r="DC315" s="13" t="s">
        <v>37</v>
      </c>
      <c r="DE315" s="12" t="s">
        <v>37</v>
      </c>
      <c r="DF315" s="12" t="s">
        <v>37</v>
      </c>
      <c r="DG315" s="12" t="s">
        <v>37</v>
      </c>
      <c r="DM315" s="12" t="s">
        <v>47</v>
      </c>
      <c r="DN315" s="19">
        <f>0.3*("1991/10/31"-"1991/5/1")*10^4/10^6/'[1]classes-1'!$I$32</f>
        <v>0.75831262271198441</v>
      </c>
      <c r="DO315" s="12">
        <f t="shared" si="1261"/>
        <v>2.1753507933433238</v>
      </c>
      <c r="DP315" s="13">
        <v>6</v>
      </c>
      <c r="DQ315" s="19">
        <f>DO315/ABS(DN315)</f>
        <v>2.8686727982497877</v>
      </c>
      <c r="DR315" s="19">
        <f>-0.4*("1991/10/31"-"1991/5/1")*10^4/10^6/'[1]classes-1'!$I$35</f>
        <v>-0.21487427059989123</v>
      </c>
      <c r="DS315" s="12">
        <f>DS311</f>
        <v>0.52942636938081877</v>
      </c>
      <c r="DT315" s="13">
        <v>6</v>
      </c>
      <c r="DU315" s="19">
        <f t="shared" si="1256"/>
        <v>2.4638890822188872</v>
      </c>
      <c r="DV315" s="19">
        <f t="shared" si="1211"/>
        <v>-0.97318689331187569</v>
      </c>
      <c r="DW315" s="12">
        <f t="shared" si="1212"/>
        <v>1.5831050746389488</v>
      </c>
      <c r="DX315" s="72">
        <f t="shared" si="1251"/>
        <v>0.83540722578253046</v>
      </c>
      <c r="DY315" s="72">
        <f t="shared" si="1252"/>
        <v>0.83540722578253057</v>
      </c>
      <c r="EA315" s="19" t="s">
        <v>37</v>
      </c>
      <c r="EB315" s="19" t="s">
        <v>37</v>
      </c>
      <c r="EC315" s="72" t="s">
        <v>37</v>
      </c>
      <c r="EE315" s="19" t="s">
        <v>37</v>
      </c>
      <c r="EF315" s="19" t="s">
        <v>37</v>
      </c>
      <c r="EG315" s="12" t="s">
        <v>37</v>
      </c>
      <c r="EM315" s="12" t="s">
        <v>39</v>
      </c>
      <c r="EN315" s="12">
        <v>-48.7</v>
      </c>
      <c r="EO315" s="50">
        <f t="shared" si="1241"/>
        <v>19.845074619187987</v>
      </c>
      <c r="EP315" s="13">
        <v>1</v>
      </c>
      <c r="ER315" s="12">
        <v>-90</v>
      </c>
      <c r="ES315" s="50">
        <f t="shared" si="1242"/>
        <v>20.413264815827475</v>
      </c>
      <c r="ET315" s="13">
        <v>1</v>
      </c>
      <c r="EV315" s="19">
        <f t="shared" si="1233"/>
        <v>-41.3</v>
      </c>
      <c r="EW315" s="12" t="e">
        <f t="shared" si="1234"/>
        <v>#DIV/0!</v>
      </c>
      <c r="EX315" s="19" t="e">
        <f t="shared" si="1235"/>
        <v>#DIV/0!</v>
      </c>
      <c r="EY315" s="19">
        <f t="shared" si="1236"/>
        <v>810.52836708223913</v>
      </c>
      <c r="FB315" s="12" t="s">
        <v>37</v>
      </c>
      <c r="FC315" s="12" t="s">
        <v>37</v>
      </c>
      <c r="FD315" s="12" t="s">
        <v>37</v>
      </c>
      <c r="FE315" s="12" t="s">
        <v>37</v>
      </c>
      <c r="FF315" s="20" t="s">
        <v>37</v>
      </c>
      <c r="FG315" s="12" t="s">
        <v>37</v>
      </c>
      <c r="FI315" s="12" t="s">
        <v>37</v>
      </c>
      <c r="FJ315" s="12" t="s">
        <v>37</v>
      </c>
      <c r="FK315" s="12" t="s">
        <v>37</v>
      </c>
      <c r="FL315" s="12" t="s">
        <v>37</v>
      </c>
      <c r="FM315" s="12" t="s">
        <v>37</v>
      </c>
      <c r="FN315" s="12" t="s">
        <v>37</v>
      </c>
      <c r="FP315" s="12" t="s">
        <v>37</v>
      </c>
      <c r="FQ315" s="12" t="s">
        <v>37</v>
      </c>
      <c r="FR315" s="12" t="s">
        <v>37</v>
      </c>
      <c r="FS315" s="12" t="s">
        <v>37</v>
      </c>
      <c r="FT315" s="12" t="s">
        <v>37</v>
      </c>
      <c r="FU315" s="12" t="s">
        <v>37</v>
      </c>
      <c r="FW315" s="12" t="s">
        <v>37</v>
      </c>
      <c r="FX315" s="12" t="s">
        <v>37</v>
      </c>
      <c r="FY315" s="12" t="s">
        <v>37</v>
      </c>
      <c r="FZ315" s="12" t="s">
        <v>37</v>
      </c>
      <c r="GA315" s="12" t="s">
        <v>37</v>
      </c>
      <c r="GB315" s="12" t="s">
        <v>37</v>
      </c>
      <c r="GO315" s="12" t="s">
        <v>660</v>
      </c>
      <c r="GP315" s="12" t="s">
        <v>372</v>
      </c>
      <c r="GQ315" s="12">
        <v>13.1</v>
      </c>
      <c r="GR315" s="50">
        <f t="shared" si="1243"/>
        <v>1.251437203784747</v>
      </c>
      <c r="GS315" s="13">
        <v>1</v>
      </c>
      <c r="GU315" s="12">
        <v>12.1</v>
      </c>
      <c r="GV315" s="50">
        <f t="shared" si="1244"/>
        <v>1.2878778058836839</v>
      </c>
      <c r="GW315" s="13">
        <v>1</v>
      </c>
      <c r="GY315" s="19">
        <f t="shared" si="1253"/>
        <v>-7.9406777604410478E-2</v>
      </c>
      <c r="GZ315" s="19">
        <f t="shared" si="1254"/>
        <v>2.0454557267488193E-2</v>
      </c>
      <c r="IK315" s="12" t="s">
        <v>37</v>
      </c>
      <c r="IL315" s="12" t="s">
        <v>37</v>
      </c>
      <c r="IM315" s="12" t="s">
        <v>37</v>
      </c>
      <c r="IO315" s="12" t="s">
        <v>37</v>
      </c>
      <c r="IP315" s="12" t="s">
        <v>37</v>
      </c>
      <c r="IQ315" s="12" t="s">
        <v>37</v>
      </c>
      <c r="IV315" s="32" t="s">
        <v>345</v>
      </c>
      <c r="IW315" s="12">
        <v>4.5</v>
      </c>
      <c r="IX315" s="12">
        <v>0.3</v>
      </c>
      <c r="IY315" s="13">
        <v>6</v>
      </c>
      <c r="IZ315" s="19">
        <f t="shared" si="1247"/>
        <v>6.6666666666666666E-2</v>
      </c>
      <c r="JA315" s="13"/>
      <c r="JB315" s="13"/>
      <c r="JH315" s="12" t="s">
        <v>37</v>
      </c>
      <c r="JI315" s="12" t="s">
        <v>37</v>
      </c>
      <c r="JJ315" s="13" t="s">
        <v>37</v>
      </c>
      <c r="JL315" s="12" t="s">
        <v>37</v>
      </c>
      <c r="JM315" s="12" t="s">
        <v>37</v>
      </c>
      <c r="JN315" s="12" t="s">
        <v>37</v>
      </c>
      <c r="JS315" s="12" t="s">
        <v>37</v>
      </c>
      <c r="JT315" s="12" t="s">
        <v>37</v>
      </c>
      <c r="JU315" s="13" t="s">
        <v>37</v>
      </c>
      <c r="JW315" s="12" t="s">
        <v>37</v>
      </c>
      <c r="JX315" s="12" t="s">
        <v>37</v>
      </c>
      <c r="JY315" s="12" t="s">
        <v>37</v>
      </c>
      <c r="KE315" s="12" t="s">
        <v>37</v>
      </c>
      <c r="KF315" s="12" t="s">
        <v>37</v>
      </c>
      <c r="KG315" s="13" t="s">
        <v>37</v>
      </c>
      <c r="KH315" s="12" t="s">
        <v>37</v>
      </c>
      <c r="KI315" s="12" t="s">
        <v>37</v>
      </c>
      <c r="KJ315" s="12" t="s">
        <v>37</v>
      </c>
      <c r="KM315" s="12" t="s">
        <v>37</v>
      </c>
      <c r="KN315" s="12" t="s">
        <v>37</v>
      </c>
      <c r="KO315" s="11" t="s">
        <v>37</v>
      </c>
      <c r="KQ315" s="12" t="s">
        <v>37</v>
      </c>
      <c r="KR315" s="12" t="s">
        <v>37</v>
      </c>
      <c r="KS315" s="12" t="s">
        <v>37</v>
      </c>
      <c r="KX315" s="12" t="s">
        <v>37</v>
      </c>
      <c r="KY315" s="12" t="s">
        <v>37</v>
      </c>
      <c r="KZ315" s="12" t="s">
        <v>37</v>
      </c>
      <c r="LB315" s="12" t="s">
        <v>37</v>
      </c>
      <c r="LC315" s="12" t="s">
        <v>37</v>
      </c>
      <c r="LD315" s="12" t="s">
        <v>37</v>
      </c>
      <c r="LI315" s="12" t="s">
        <v>37</v>
      </c>
      <c r="LJ315" s="12" t="s">
        <v>37</v>
      </c>
      <c r="LK315" s="12" t="s">
        <v>37</v>
      </c>
      <c r="LM315" s="12" t="s">
        <v>37</v>
      </c>
      <c r="LN315" s="12" t="s">
        <v>37</v>
      </c>
      <c r="LO315" s="12" t="s">
        <v>37</v>
      </c>
      <c r="LU315" s="12" t="s">
        <v>37</v>
      </c>
      <c r="LV315" s="12" t="s">
        <v>37</v>
      </c>
      <c r="LW315" s="12" t="s">
        <v>37</v>
      </c>
      <c r="LY315" s="12" t="s">
        <v>37</v>
      </c>
      <c r="LZ315" s="12" t="s">
        <v>37</v>
      </c>
      <c r="MA315" s="12" t="s">
        <v>37</v>
      </c>
      <c r="MF315" s="12" t="s">
        <v>37</v>
      </c>
      <c r="MG315" s="12" t="s">
        <v>37</v>
      </c>
      <c r="MH315" s="12" t="s">
        <v>37</v>
      </c>
      <c r="MJ315" s="12" t="s">
        <v>37</v>
      </c>
      <c r="MK315" s="12" t="s">
        <v>37</v>
      </c>
      <c r="ML315" s="12" t="s">
        <v>37</v>
      </c>
      <c r="MQ315" s="12" t="s">
        <v>37</v>
      </c>
      <c r="MR315" s="12" t="s">
        <v>37</v>
      </c>
      <c r="MS315" s="12" t="s">
        <v>37</v>
      </c>
      <c r="MU315" s="12" t="s">
        <v>37</v>
      </c>
      <c r="MV315" s="12" t="s">
        <v>37</v>
      </c>
      <c r="MW315" s="12" t="s">
        <v>37</v>
      </c>
      <c r="NC315" s="12" t="s">
        <v>37</v>
      </c>
      <c r="ND315" s="12" t="s">
        <v>37</v>
      </c>
      <c r="NE315" s="12" t="s">
        <v>37</v>
      </c>
      <c r="NG315" s="12" t="s">
        <v>37</v>
      </c>
      <c r="NH315" s="12" t="s">
        <v>37</v>
      </c>
      <c r="NI315" s="12" t="s">
        <v>37</v>
      </c>
      <c r="NO315" s="12" t="s">
        <v>37</v>
      </c>
      <c r="NP315" s="12" t="s">
        <v>37</v>
      </c>
      <c r="NQ315" s="12" t="s">
        <v>37</v>
      </c>
      <c r="NS315" s="12" t="s">
        <v>37</v>
      </c>
      <c r="NT315" s="12" t="s">
        <v>37</v>
      </c>
      <c r="NU315" s="12" t="s">
        <v>37</v>
      </c>
      <c r="OA315" s="12" t="s">
        <v>37</v>
      </c>
      <c r="OB315" s="12" t="s">
        <v>37</v>
      </c>
      <c r="OC315" s="12" t="s">
        <v>37</v>
      </c>
      <c r="OD315" s="12"/>
      <c r="OE315" s="12" t="s">
        <v>37</v>
      </c>
      <c r="OF315" s="12" t="s">
        <v>37</v>
      </c>
      <c r="OG315" s="12" t="s">
        <v>37</v>
      </c>
      <c r="OH315" s="12"/>
      <c r="OI315" s="12"/>
      <c r="OJ315" s="12"/>
      <c r="OM315" s="12" t="s">
        <v>37</v>
      </c>
      <c r="ON315" s="12" t="s">
        <v>37</v>
      </c>
      <c r="OO315" s="12" t="s">
        <v>37</v>
      </c>
      <c r="OP315" s="12" t="s">
        <v>37</v>
      </c>
      <c r="OQ315" s="12" t="s">
        <v>37</v>
      </c>
      <c r="OR315" s="12" t="s">
        <v>37</v>
      </c>
      <c r="OS315" s="12"/>
      <c r="OT315" s="12"/>
      <c r="OW315" s="12" t="s">
        <v>37</v>
      </c>
      <c r="OX315" s="12" t="s">
        <v>37</v>
      </c>
      <c r="OY315" s="13" t="s">
        <v>37</v>
      </c>
      <c r="OZ315" s="12" t="s">
        <v>37</v>
      </c>
      <c r="PA315" s="12" t="s">
        <v>37</v>
      </c>
      <c r="PB315" s="13" t="s">
        <v>37</v>
      </c>
      <c r="PG315" s="12" t="s">
        <v>37</v>
      </c>
      <c r="PH315" s="12" t="s">
        <v>37</v>
      </c>
      <c r="PI315" s="12" t="s">
        <v>37</v>
      </c>
      <c r="PJ315" s="12" t="s">
        <v>37</v>
      </c>
      <c r="PK315" s="12" t="s">
        <v>37</v>
      </c>
      <c r="PL315" s="12" t="s">
        <v>37</v>
      </c>
      <c r="PM315" s="12"/>
      <c r="PN315" s="12"/>
      <c r="PQ315" s="12" t="s">
        <v>37</v>
      </c>
      <c r="PR315" s="12" t="s">
        <v>37</v>
      </c>
      <c r="PS315" s="12" t="s">
        <v>37</v>
      </c>
      <c r="PT315" s="12" t="s">
        <v>37</v>
      </c>
      <c r="PU315" s="12" t="s">
        <v>37</v>
      </c>
      <c r="PV315" s="12" t="s">
        <v>37</v>
      </c>
      <c r="PW315" s="12"/>
      <c r="PX315" s="12"/>
      <c r="PZ315" s="12" t="s">
        <v>37</v>
      </c>
      <c r="QA315" s="12" t="s">
        <v>37</v>
      </c>
      <c r="QB315" s="12" t="s">
        <v>37</v>
      </c>
      <c r="QD315" s="12" t="s">
        <v>37</v>
      </c>
      <c r="QE315" s="12" t="s">
        <v>37</v>
      </c>
      <c r="QF315" s="12" t="s">
        <v>37</v>
      </c>
      <c r="QK315" s="12" t="s">
        <v>37</v>
      </c>
      <c r="QL315" s="12" t="s">
        <v>37</v>
      </c>
      <c r="QM315" s="12" t="s">
        <v>37</v>
      </c>
      <c r="QN315" s="12" t="s">
        <v>37</v>
      </c>
      <c r="QO315" s="12" t="s">
        <v>37</v>
      </c>
      <c r="QP315" s="12" t="s">
        <v>37</v>
      </c>
      <c r="QQ315" s="12"/>
      <c r="QR315" s="12"/>
      <c r="QU315" s="12" t="s">
        <v>37</v>
      </c>
      <c r="QV315" s="12" t="s">
        <v>37</v>
      </c>
      <c r="QW315" s="12" t="s">
        <v>37</v>
      </c>
      <c r="QX315" s="12" t="s">
        <v>37</v>
      </c>
      <c r="QY315" s="12" t="s">
        <v>37</v>
      </c>
      <c r="QZ315" s="12" t="s">
        <v>37</v>
      </c>
      <c r="RC315" s="12" t="s">
        <v>37</v>
      </c>
      <c r="RD315" s="12" t="s">
        <v>37</v>
      </c>
      <c r="RE315" s="13" t="s">
        <v>37</v>
      </c>
      <c r="RF315" s="12" t="s">
        <v>37</v>
      </c>
      <c r="RG315" s="12" t="s">
        <v>37</v>
      </c>
      <c r="RH315" s="13" t="s">
        <v>37</v>
      </c>
      <c r="RK315" s="12" t="s">
        <v>37</v>
      </c>
      <c r="RL315" s="12" t="s">
        <v>37</v>
      </c>
      <c r="RM315" s="11" t="s">
        <v>37</v>
      </c>
      <c r="RN315" s="12" t="s">
        <v>37</v>
      </c>
      <c r="RO315" s="12" t="s">
        <v>37</v>
      </c>
      <c r="RP315" s="11" t="s">
        <v>37</v>
      </c>
      <c r="RS315" s="12" t="s">
        <v>37</v>
      </c>
      <c r="RT315" s="12" t="s">
        <v>37</v>
      </c>
      <c r="RU315" s="12" t="s">
        <v>37</v>
      </c>
      <c r="RV315" s="12" t="s">
        <v>37</v>
      </c>
      <c r="RW315" s="12" t="s">
        <v>37</v>
      </c>
      <c r="RX315" s="12" t="s">
        <v>37</v>
      </c>
      <c r="SA315" s="12" t="s">
        <v>37</v>
      </c>
      <c r="SB315" s="12" t="s">
        <v>37</v>
      </c>
      <c r="SC315" s="12" t="s">
        <v>37</v>
      </c>
      <c r="SD315" s="12" t="s">
        <v>37</v>
      </c>
      <c r="SE315" s="12" t="s">
        <v>37</v>
      </c>
      <c r="SF315" s="12" t="s">
        <v>37</v>
      </c>
      <c r="SI315" s="12" t="s">
        <v>37</v>
      </c>
      <c r="SJ315" s="12" t="s">
        <v>37</v>
      </c>
      <c r="SK315" s="13" t="s">
        <v>37</v>
      </c>
      <c r="SM315" s="12" t="s">
        <v>37</v>
      </c>
      <c r="SN315" s="12" t="s">
        <v>37</v>
      </c>
      <c r="SO315" s="13" t="s">
        <v>37</v>
      </c>
      <c r="SU315" s="12" t="s">
        <v>37</v>
      </c>
      <c r="SV315" s="12" t="s">
        <v>37</v>
      </c>
      <c r="SW315" s="12" t="s">
        <v>37</v>
      </c>
      <c r="SX315" s="12" t="s">
        <v>37</v>
      </c>
      <c r="SY315" s="12" t="s">
        <v>37</v>
      </c>
      <c r="SZ315" s="12" t="s">
        <v>37</v>
      </c>
      <c r="TA315" s="12"/>
      <c r="TB315" s="12"/>
      <c r="TE315" s="12" t="s">
        <v>37</v>
      </c>
      <c r="TF315" s="12" t="s">
        <v>37</v>
      </c>
      <c r="TG315" s="12" t="s">
        <v>37</v>
      </c>
      <c r="TH315" s="12" t="s">
        <v>37</v>
      </c>
      <c r="TI315" s="12" t="s">
        <v>37</v>
      </c>
      <c r="TJ315" s="12" t="s">
        <v>37</v>
      </c>
      <c r="TK315" s="12"/>
      <c r="TL315" s="12"/>
      <c r="TO315" s="12" t="s">
        <v>37</v>
      </c>
      <c r="TP315" s="12" t="s">
        <v>37</v>
      </c>
      <c r="TQ315" s="12" t="s">
        <v>37</v>
      </c>
      <c r="TR315" s="12" t="s">
        <v>37</v>
      </c>
      <c r="TS315" s="12" t="s">
        <v>37</v>
      </c>
      <c r="TT315" s="12" t="s">
        <v>37</v>
      </c>
      <c r="TU315" s="12"/>
      <c r="TV315" s="12"/>
      <c r="TY315" s="12" t="s">
        <v>37</v>
      </c>
      <c r="TZ315" s="12" t="s">
        <v>37</v>
      </c>
      <c r="UA315" s="12" t="s">
        <v>37</v>
      </c>
      <c r="UB315" s="12" t="s">
        <v>37</v>
      </c>
      <c r="UC315" s="12" t="s">
        <v>37</v>
      </c>
      <c r="UD315" s="12" t="s">
        <v>37</v>
      </c>
      <c r="UE315" s="12"/>
      <c r="UF315" s="12"/>
      <c r="UI315" s="12" t="s">
        <v>37</v>
      </c>
      <c r="UJ315" s="12" t="s">
        <v>37</v>
      </c>
      <c r="UK315" s="12" t="s">
        <v>37</v>
      </c>
      <c r="UL315" s="12" t="s">
        <v>37</v>
      </c>
      <c r="UM315" s="12" t="s">
        <v>37</v>
      </c>
      <c r="UN315" s="12" t="s">
        <v>37</v>
      </c>
      <c r="UO315" s="12"/>
      <c r="UP315" s="12"/>
      <c r="UR315" s="12" t="s">
        <v>37</v>
      </c>
      <c r="US315" s="12" t="s">
        <v>37</v>
      </c>
      <c r="UT315" s="12" t="s">
        <v>37</v>
      </c>
      <c r="UU315" s="12" t="s">
        <v>37</v>
      </c>
      <c r="UV315" s="12" t="s">
        <v>37</v>
      </c>
      <c r="UW315" s="12" t="s">
        <v>37</v>
      </c>
      <c r="UX315" s="12"/>
      <c r="UY315" s="12"/>
      <c r="VB315" s="12" t="s">
        <v>37</v>
      </c>
      <c r="VC315" s="12" t="s">
        <v>37</v>
      </c>
      <c r="VD315" s="12" t="s">
        <v>37</v>
      </c>
      <c r="VE315" s="12" t="s">
        <v>37</v>
      </c>
      <c r="VF315" s="12" t="s">
        <v>37</v>
      </c>
      <c r="VG315" s="12" t="s">
        <v>37</v>
      </c>
      <c r="VI315" s="12" t="s">
        <v>37</v>
      </c>
      <c r="VJ315" s="12" t="s">
        <v>37</v>
      </c>
      <c r="VK315" s="12" t="s">
        <v>37</v>
      </c>
      <c r="VL315" s="12" t="s">
        <v>37</v>
      </c>
      <c r="VM315" s="12" t="s">
        <v>37</v>
      </c>
      <c r="VN315" s="12" t="s">
        <v>37</v>
      </c>
      <c r="VQ315" s="12" t="s">
        <v>37</v>
      </c>
      <c r="VR315" s="12" t="s">
        <v>37</v>
      </c>
      <c r="VS315" s="12" t="s">
        <v>37</v>
      </c>
      <c r="VT315" s="12" t="s">
        <v>37</v>
      </c>
      <c r="VU315" s="12" t="s">
        <v>37</v>
      </c>
      <c r="VV315" s="12" t="s">
        <v>37</v>
      </c>
      <c r="VW315" s="12"/>
      <c r="VX315" s="12"/>
      <c r="WA315" s="12" t="s">
        <v>37</v>
      </c>
      <c r="WB315" s="12" t="s">
        <v>37</v>
      </c>
      <c r="WC315" s="12" t="s">
        <v>37</v>
      </c>
      <c r="WD315" s="12" t="s">
        <v>37</v>
      </c>
      <c r="WE315" s="12" t="s">
        <v>37</v>
      </c>
      <c r="WF315" s="12" t="s">
        <v>37</v>
      </c>
    </row>
    <row r="316" spans="1:604" ht="18" customHeight="1" x14ac:dyDescent="0.3">
      <c r="A316" s="11">
        <v>71</v>
      </c>
      <c r="B316" s="16" t="s">
        <v>406</v>
      </c>
      <c r="C316" s="12" t="s">
        <v>26</v>
      </c>
      <c r="D316" s="12" t="s">
        <v>54</v>
      </c>
      <c r="E316" s="40">
        <v>2.1</v>
      </c>
      <c r="F316" s="14">
        <v>0</v>
      </c>
      <c r="G316" s="14">
        <v>0</v>
      </c>
      <c r="H316" s="12" t="s">
        <v>123</v>
      </c>
      <c r="I316" s="29">
        <v>61.783000000000001</v>
      </c>
      <c r="J316" s="29">
        <v>24.3</v>
      </c>
      <c r="K316" s="12" t="s">
        <v>775</v>
      </c>
      <c r="L316" s="12" t="s">
        <v>709</v>
      </c>
      <c r="M316" s="13">
        <v>150</v>
      </c>
      <c r="N316" s="14">
        <v>3</v>
      </c>
      <c r="O316" s="14">
        <v>709</v>
      </c>
      <c r="P316" s="14" t="s">
        <v>84</v>
      </c>
      <c r="Q316" s="75">
        <v>30</v>
      </c>
      <c r="R316" s="11" t="s">
        <v>1000</v>
      </c>
      <c r="S316" s="12" t="s">
        <v>93</v>
      </c>
      <c r="T316" s="12" t="s">
        <v>141</v>
      </c>
      <c r="U316" s="12" t="s">
        <v>158</v>
      </c>
      <c r="V316" s="12" t="s">
        <v>275</v>
      </c>
      <c r="W316" s="23" t="s">
        <v>408</v>
      </c>
      <c r="X316" s="12" t="s">
        <v>280</v>
      </c>
      <c r="Y316" s="12" t="s">
        <v>37</v>
      </c>
      <c r="Z316" s="12" t="s">
        <v>37</v>
      </c>
      <c r="AA316" s="32" t="s">
        <v>345</v>
      </c>
      <c r="AB316" s="12">
        <v>3.9</v>
      </c>
      <c r="AE316" s="12" t="s">
        <v>37</v>
      </c>
      <c r="AF316" s="12" t="s">
        <v>42</v>
      </c>
      <c r="AG316" s="32" t="s">
        <v>345</v>
      </c>
      <c r="AH316" s="12">
        <v>6</v>
      </c>
      <c r="AK316" s="12" t="s">
        <v>37</v>
      </c>
      <c r="AL316" s="32">
        <v>1991</v>
      </c>
      <c r="AM316" s="12" t="s">
        <v>344</v>
      </c>
      <c r="AO316" s="12" t="s">
        <v>37</v>
      </c>
      <c r="AP316" s="12" t="s">
        <v>108</v>
      </c>
      <c r="AQ316" s="12" t="s">
        <v>975</v>
      </c>
      <c r="AT316" s="12" t="s">
        <v>326</v>
      </c>
      <c r="AU316" s="12" t="s">
        <v>326</v>
      </c>
      <c r="AV316" s="13" t="s">
        <v>326</v>
      </c>
      <c r="AX316" s="12" t="s">
        <v>326</v>
      </c>
      <c r="AY316" s="12" t="s">
        <v>326</v>
      </c>
      <c r="AZ316" s="13" t="s">
        <v>326</v>
      </c>
      <c r="BE316" s="12" t="s">
        <v>326</v>
      </c>
      <c r="BF316" s="12" t="s">
        <v>326</v>
      </c>
      <c r="BG316" s="12" t="s">
        <v>326</v>
      </c>
      <c r="BI316" s="12" t="s">
        <v>326</v>
      </c>
      <c r="BJ316" s="12" t="s">
        <v>326</v>
      </c>
      <c r="BK316" s="12" t="s">
        <v>326</v>
      </c>
      <c r="BP316" s="12" t="s">
        <v>37</v>
      </c>
      <c r="BQ316" s="12" t="s">
        <v>37</v>
      </c>
      <c r="BR316" s="13" t="s">
        <v>37</v>
      </c>
      <c r="BT316" s="12" t="s">
        <v>37</v>
      </c>
      <c r="BU316" s="12" t="s">
        <v>37</v>
      </c>
      <c r="BV316" s="12" t="s">
        <v>37</v>
      </c>
      <c r="CA316" s="12" t="s">
        <v>37</v>
      </c>
      <c r="CB316" s="12" t="s">
        <v>37</v>
      </c>
      <c r="CC316" s="13" t="s">
        <v>37</v>
      </c>
      <c r="CE316" s="12" t="s">
        <v>37</v>
      </c>
      <c r="CF316" s="12" t="s">
        <v>37</v>
      </c>
      <c r="CG316" s="12" t="s">
        <v>37</v>
      </c>
      <c r="CN316" s="12" t="s">
        <v>37</v>
      </c>
      <c r="CO316" s="12" t="s">
        <v>37</v>
      </c>
      <c r="CP316" s="13" t="s">
        <v>37</v>
      </c>
      <c r="CR316" s="12" t="s">
        <v>37</v>
      </c>
      <c r="CS316" s="12" t="s">
        <v>37</v>
      </c>
      <c r="CT316" s="13" t="s">
        <v>37</v>
      </c>
      <c r="CX316" s="72"/>
      <c r="CY316" s="72"/>
      <c r="DA316" s="12" t="s">
        <v>37</v>
      </c>
      <c r="DB316" s="12" t="s">
        <v>37</v>
      </c>
      <c r="DC316" s="13" t="s">
        <v>37</v>
      </c>
      <c r="DE316" s="12" t="s">
        <v>37</v>
      </c>
      <c r="DF316" s="12" t="s">
        <v>37</v>
      </c>
      <c r="DG316" s="12" t="s">
        <v>37</v>
      </c>
      <c r="DM316" s="11" t="s">
        <v>47</v>
      </c>
      <c r="DN316" s="19">
        <v>93.1</v>
      </c>
      <c r="DO316" s="50">
        <f t="shared" ref="DO316:DO330" si="1262">ABS(DN316)*DQ$474</f>
        <v>103.79526182078902</v>
      </c>
      <c r="DP316" s="13">
        <v>18</v>
      </c>
      <c r="DR316" s="19">
        <v>32.799999999999997</v>
      </c>
      <c r="DS316" s="50">
        <f t="shared" ref="DS316:DS330" si="1263">ABS(DR316)*DU$474</f>
        <v>122.58069446389712</v>
      </c>
      <c r="DT316" s="13">
        <v>18</v>
      </c>
      <c r="DV316" s="19">
        <f t="shared" si="1211"/>
        <v>-60.3</v>
      </c>
      <c r="DW316" s="12">
        <f t="shared" si="1212"/>
        <v>113.57702899727884</v>
      </c>
      <c r="DX316" s="72">
        <f t="shared" si="1251"/>
        <v>1433.3046128720798</v>
      </c>
      <c r="DY316" s="72">
        <f t="shared" si="1252"/>
        <v>1433.30461287208</v>
      </c>
      <c r="EA316" s="19" t="s">
        <v>37</v>
      </c>
      <c r="EB316" s="19" t="s">
        <v>37</v>
      </c>
      <c r="EC316" s="72" t="s">
        <v>37</v>
      </c>
      <c r="EE316" s="19" t="s">
        <v>37</v>
      </c>
      <c r="EF316" s="19" t="s">
        <v>37</v>
      </c>
      <c r="EG316" s="12" t="s">
        <v>37</v>
      </c>
      <c r="EM316" s="12" t="s">
        <v>39</v>
      </c>
      <c r="EN316" s="12">
        <v>-7.2</v>
      </c>
      <c r="EO316" s="12">
        <v>5.7</v>
      </c>
      <c r="EP316" s="13">
        <v>18</v>
      </c>
      <c r="EQ316" s="19">
        <f t="shared" si="1239"/>
        <v>0.79166666666666663</v>
      </c>
      <c r="ER316" s="12">
        <v>-22.1</v>
      </c>
      <c r="ES316" s="12">
        <v>8.6</v>
      </c>
      <c r="ET316" s="13">
        <v>18</v>
      </c>
      <c r="EU316" s="19">
        <f t="shared" si="1240"/>
        <v>0.38914027149321262</v>
      </c>
      <c r="EV316" s="19">
        <f t="shared" si="1233"/>
        <v>-14.900000000000002</v>
      </c>
      <c r="EW316" s="12">
        <f t="shared" si="1234"/>
        <v>7.2955465867884088</v>
      </c>
      <c r="EX316" s="19">
        <f t="shared" si="1235"/>
        <v>5.9138888888888888</v>
      </c>
      <c r="EY316" s="19">
        <f t="shared" si="1236"/>
        <v>5.9138888888888879</v>
      </c>
      <c r="FB316" s="12" t="s">
        <v>37</v>
      </c>
      <c r="FC316" s="12" t="s">
        <v>37</v>
      </c>
      <c r="FD316" s="12" t="s">
        <v>37</v>
      </c>
      <c r="FE316" s="12" t="s">
        <v>37</v>
      </c>
      <c r="FF316" s="20" t="s">
        <v>37</v>
      </c>
      <c r="FG316" s="12" t="s">
        <v>37</v>
      </c>
      <c r="FI316" s="12" t="s">
        <v>37</v>
      </c>
      <c r="FJ316" s="12" t="s">
        <v>37</v>
      </c>
      <c r="FK316" s="12" t="s">
        <v>37</v>
      </c>
      <c r="FL316" s="12" t="s">
        <v>37</v>
      </c>
      <c r="FM316" s="12" t="s">
        <v>37</v>
      </c>
      <c r="FN316" s="12" t="s">
        <v>37</v>
      </c>
      <c r="FP316" s="12" t="s">
        <v>37</v>
      </c>
      <c r="FQ316" s="12" t="s">
        <v>37</v>
      </c>
      <c r="FR316" s="12" t="s">
        <v>37</v>
      </c>
      <c r="FS316" s="12" t="s">
        <v>37</v>
      </c>
      <c r="FT316" s="12" t="s">
        <v>37</v>
      </c>
      <c r="FU316" s="12" t="s">
        <v>37</v>
      </c>
      <c r="FW316" s="12" t="s">
        <v>37</v>
      </c>
      <c r="FX316" s="12" t="s">
        <v>37</v>
      </c>
      <c r="FY316" s="12" t="s">
        <v>37</v>
      </c>
      <c r="FZ316" s="12" t="s">
        <v>37</v>
      </c>
      <c r="GA316" s="12" t="s">
        <v>37</v>
      </c>
      <c r="GB316" s="12" t="s">
        <v>37</v>
      </c>
      <c r="GO316" s="12" t="s">
        <v>660</v>
      </c>
      <c r="GP316" s="12" t="s">
        <v>340</v>
      </c>
      <c r="GQ316" s="12">
        <v>11.5</v>
      </c>
      <c r="GR316" s="12">
        <v>3.2</v>
      </c>
      <c r="GS316" s="13">
        <v>18</v>
      </c>
      <c r="GT316" s="19">
        <f t="shared" ref="GT316:GT331" si="1264">GR316/GQ316</f>
        <v>0.27826086956521739</v>
      </c>
      <c r="GU316" s="12">
        <v>9.5</v>
      </c>
      <c r="GV316" s="12">
        <v>3.8</v>
      </c>
      <c r="GW316" s="13">
        <v>18</v>
      </c>
      <c r="GX316" s="19">
        <f t="shared" ref="GX316:GX332" si="1265">GV316/GU316</f>
        <v>0.39999999999999997</v>
      </c>
      <c r="GY316" s="19">
        <f t="shared" ref="GY316:GY332" si="1266">LN(GU316/GQ316)</f>
        <v>-0.19105523676270922</v>
      </c>
      <c r="GZ316" s="19">
        <f t="shared" ref="GZ316:GZ332" si="1267">GV316^2/(GW316*GU316^2)+GR316^2/(GS316*GQ316^2)</f>
        <v>1.3190506196177273E-2</v>
      </c>
      <c r="HA316" s="17" t="s">
        <v>63</v>
      </c>
      <c r="HB316" s="34" t="s">
        <v>345</v>
      </c>
      <c r="HC316" s="12">
        <v>3.5000000000000003E-2</v>
      </c>
      <c r="HD316" s="50">
        <f t="shared" ref="HD316:HD330" si="1268">ABS(HC316)*HF$474</f>
        <v>6.0344110101271846E-3</v>
      </c>
      <c r="HE316" s="13">
        <v>3</v>
      </c>
      <c r="HG316" s="12">
        <v>4.7E-2</v>
      </c>
      <c r="HH316" s="50">
        <f t="shared" ref="HH316:HH330" si="1269">ABS(HG316)*HJ$474</f>
        <v>5.2571624384539382E-3</v>
      </c>
      <c r="HI316" s="13">
        <v>3</v>
      </c>
      <c r="HK316" s="19">
        <f t="shared" ref="HK316:HK330" si="1270">LN(HG316/HC316)</f>
        <v>0.29479954022064481</v>
      </c>
      <c r="HL316" s="19">
        <f t="shared" ref="HL316:HL330" si="1271">HH316^2/(HI316*HG316^2)+HD316^2/(HE316*HC316^2)</f>
        <v>1.4079080937294361E-2</v>
      </c>
      <c r="IK316" s="12" t="s">
        <v>37</v>
      </c>
      <c r="IL316" s="12" t="s">
        <v>37</v>
      </c>
      <c r="IM316" s="12" t="s">
        <v>37</v>
      </c>
      <c r="IO316" s="12" t="s">
        <v>37</v>
      </c>
      <c r="IP316" s="12" t="s">
        <v>37</v>
      </c>
      <c r="IQ316" s="12" t="s">
        <v>37</v>
      </c>
      <c r="IV316" s="32" t="s">
        <v>345</v>
      </c>
      <c r="IW316" s="12">
        <v>3.9</v>
      </c>
      <c r="IX316" s="50">
        <f t="shared" ref="IX316:IX329" si="1272">ABS(IW316)*IZ$474</f>
        <v>0.14278969624929022</v>
      </c>
      <c r="IY316" s="13">
        <v>3</v>
      </c>
      <c r="JA316" s="12">
        <v>3.7</v>
      </c>
      <c r="JB316" s="50">
        <f t="shared" ref="JB316:JB329" si="1273">ABS(JA316)*JD$474</f>
        <v>0.10363259250710022</v>
      </c>
      <c r="JC316" s="13">
        <v>3</v>
      </c>
      <c r="JE316" s="19">
        <f t="shared" ref="JE316:JE329" si="1274">LN(JA316/IW316)</f>
        <v>-5.2643733485421909E-2</v>
      </c>
      <c r="JF316" s="19">
        <f t="shared" ref="JF316:JF329" si="1275">JB316^2/(JC316*JA316^2)+IX316^2/(IY316*IW316^2)</f>
        <v>7.083287641133075E-4</v>
      </c>
      <c r="JH316" s="12" t="s">
        <v>37</v>
      </c>
      <c r="JI316" s="12" t="s">
        <v>37</v>
      </c>
      <c r="JJ316" s="13" t="s">
        <v>37</v>
      </c>
      <c r="JL316" s="12" t="s">
        <v>37</v>
      </c>
      <c r="JM316" s="12" t="s">
        <v>37</v>
      </c>
      <c r="JN316" s="12" t="s">
        <v>37</v>
      </c>
      <c r="JS316" s="12" t="s">
        <v>37</v>
      </c>
      <c r="JT316" s="12" t="s">
        <v>37</v>
      </c>
      <c r="JU316" s="13" t="s">
        <v>37</v>
      </c>
      <c r="JW316" s="12" t="s">
        <v>37</v>
      </c>
      <c r="JX316" s="12" t="s">
        <v>37</v>
      </c>
      <c r="JY316" s="12" t="s">
        <v>37</v>
      </c>
      <c r="KE316" s="12" t="s">
        <v>37</v>
      </c>
      <c r="KF316" s="12" t="s">
        <v>37</v>
      </c>
      <c r="KG316" s="13" t="s">
        <v>37</v>
      </c>
      <c r="KH316" s="12" t="s">
        <v>37</v>
      </c>
      <c r="KI316" s="12" t="s">
        <v>37</v>
      </c>
      <c r="KJ316" s="12" t="s">
        <v>37</v>
      </c>
      <c r="KK316" s="12" t="s">
        <v>42</v>
      </c>
      <c r="KL316" s="32" t="s">
        <v>345</v>
      </c>
      <c r="KM316" s="12">
        <v>6</v>
      </c>
      <c r="KN316" s="50">
        <f t="shared" ref="KN316:KN329" si="1276">ABS(KM316)*KP$474</f>
        <v>0.71575824830915691</v>
      </c>
      <c r="KO316" s="11">
        <v>3</v>
      </c>
      <c r="KQ316" s="12">
        <v>8</v>
      </c>
      <c r="KR316" s="50">
        <f t="shared" ref="KR316:KR329" si="1277">ABS(KQ316)*KT$474</f>
        <v>0.84354744134909398</v>
      </c>
      <c r="KS316" s="11">
        <v>3</v>
      </c>
      <c r="KU316" s="19">
        <f t="shared" ref="KU316:KU329" si="1278">LN(KQ316/KM316)</f>
        <v>0.28768207245178085</v>
      </c>
      <c r="KV316" s="19">
        <f t="shared" ref="KV316:KV329" si="1279">KR316^2/(KS316*KQ316^2)+KN316^2/(KO316*KM316^2)</f>
        <v>8.4497155628593234E-3</v>
      </c>
      <c r="KX316" s="12" t="s">
        <v>37</v>
      </c>
      <c r="KY316" s="12" t="s">
        <v>37</v>
      </c>
      <c r="KZ316" s="12" t="s">
        <v>37</v>
      </c>
      <c r="LB316" s="12" t="s">
        <v>37</v>
      </c>
      <c r="LC316" s="12" t="s">
        <v>37</v>
      </c>
      <c r="LD316" s="12" t="s">
        <v>37</v>
      </c>
      <c r="LI316" s="12" t="s">
        <v>37</v>
      </c>
      <c r="LJ316" s="12" t="s">
        <v>37</v>
      </c>
      <c r="LK316" s="12" t="s">
        <v>37</v>
      </c>
      <c r="LM316" s="12" t="s">
        <v>37</v>
      </c>
      <c r="LN316" s="12" t="s">
        <v>37</v>
      </c>
      <c r="LO316" s="12" t="s">
        <v>37</v>
      </c>
      <c r="LU316" s="12" t="s">
        <v>37</v>
      </c>
      <c r="LV316" s="12" t="s">
        <v>37</v>
      </c>
      <c r="LW316" s="12" t="s">
        <v>37</v>
      </c>
      <c r="LY316" s="12" t="s">
        <v>37</v>
      </c>
      <c r="LZ316" s="12" t="s">
        <v>37</v>
      </c>
      <c r="MA316" s="12" t="s">
        <v>37</v>
      </c>
      <c r="MF316" s="12" t="s">
        <v>37</v>
      </c>
      <c r="MG316" s="12" t="s">
        <v>37</v>
      </c>
      <c r="MH316" s="12" t="s">
        <v>37</v>
      </c>
      <c r="MJ316" s="12" t="s">
        <v>37</v>
      </c>
      <c r="MK316" s="12" t="s">
        <v>37</v>
      </c>
      <c r="ML316" s="12" t="s">
        <v>37</v>
      </c>
      <c r="MQ316" s="12" t="s">
        <v>37</v>
      </c>
      <c r="MR316" s="12" t="s">
        <v>37</v>
      </c>
      <c r="MS316" s="12" t="s">
        <v>37</v>
      </c>
      <c r="MU316" s="12" t="s">
        <v>37</v>
      </c>
      <c r="MV316" s="12" t="s">
        <v>37</v>
      </c>
      <c r="MW316" s="12" t="s">
        <v>37</v>
      </c>
      <c r="NC316" s="12" t="s">
        <v>37</v>
      </c>
      <c r="ND316" s="12" t="s">
        <v>37</v>
      </c>
      <c r="NE316" s="12" t="s">
        <v>37</v>
      </c>
      <c r="NG316" s="12" t="s">
        <v>37</v>
      </c>
      <c r="NH316" s="12" t="s">
        <v>37</v>
      </c>
      <c r="NI316" s="12" t="s">
        <v>37</v>
      </c>
      <c r="NO316" s="12" t="s">
        <v>37</v>
      </c>
      <c r="NP316" s="12" t="s">
        <v>37</v>
      </c>
      <c r="NQ316" s="12" t="s">
        <v>37</v>
      </c>
      <c r="NS316" s="12" t="s">
        <v>37</v>
      </c>
      <c r="NT316" s="12" t="s">
        <v>37</v>
      </c>
      <c r="NU316" s="12" t="s">
        <v>37</v>
      </c>
      <c r="OA316" s="12" t="s">
        <v>37</v>
      </c>
      <c r="OB316" s="12" t="s">
        <v>37</v>
      </c>
      <c r="OC316" s="12" t="s">
        <v>37</v>
      </c>
      <c r="OD316" s="12"/>
      <c r="OE316" s="12" t="s">
        <v>37</v>
      </c>
      <c r="OF316" s="12" t="s">
        <v>37</v>
      </c>
      <c r="OG316" s="12" t="s">
        <v>37</v>
      </c>
      <c r="OH316" s="12"/>
      <c r="OI316" s="12"/>
      <c r="OJ316" s="12"/>
      <c r="OM316" s="12" t="s">
        <v>37</v>
      </c>
      <c r="ON316" s="12" t="s">
        <v>37</v>
      </c>
      <c r="OO316" s="12" t="s">
        <v>37</v>
      </c>
      <c r="OP316" s="12" t="s">
        <v>37</v>
      </c>
      <c r="OQ316" s="12" t="s">
        <v>37</v>
      </c>
      <c r="OR316" s="12" t="s">
        <v>37</v>
      </c>
      <c r="OS316" s="12"/>
      <c r="OT316" s="12"/>
      <c r="OW316" s="12" t="s">
        <v>37</v>
      </c>
      <c r="OX316" s="12" t="s">
        <v>37</v>
      </c>
      <c r="OY316" s="13" t="s">
        <v>37</v>
      </c>
      <c r="OZ316" s="12" t="s">
        <v>37</v>
      </c>
      <c r="PA316" s="12" t="s">
        <v>37</v>
      </c>
      <c r="PB316" s="13" t="s">
        <v>37</v>
      </c>
      <c r="PG316" s="12" t="s">
        <v>37</v>
      </c>
      <c r="PH316" s="12" t="s">
        <v>37</v>
      </c>
      <c r="PI316" s="12" t="s">
        <v>37</v>
      </c>
      <c r="PJ316" s="12" t="s">
        <v>37</v>
      </c>
      <c r="PK316" s="12" t="s">
        <v>37</v>
      </c>
      <c r="PL316" s="12" t="s">
        <v>37</v>
      </c>
      <c r="PM316" s="12"/>
      <c r="PN316" s="12"/>
      <c r="PQ316" s="12" t="s">
        <v>37</v>
      </c>
      <c r="PR316" s="12" t="s">
        <v>37</v>
      </c>
      <c r="PS316" s="12" t="s">
        <v>37</v>
      </c>
      <c r="PT316" s="12" t="s">
        <v>37</v>
      </c>
      <c r="PU316" s="12" t="s">
        <v>37</v>
      </c>
      <c r="PV316" s="12" t="s">
        <v>37</v>
      </c>
      <c r="PW316" s="12"/>
      <c r="PX316" s="12"/>
      <c r="PZ316" s="12" t="s">
        <v>37</v>
      </c>
      <c r="QA316" s="12" t="s">
        <v>37</v>
      </c>
      <c r="QB316" s="12" t="s">
        <v>37</v>
      </c>
      <c r="QD316" s="12" t="s">
        <v>37</v>
      </c>
      <c r="QE316" s="12" t="s">
        <v>37</v>
      </c>
      <c r="QF316" s="12" t="s">
        <v>37</v>
      </c>
      <c r="QK316" s="12" t="s">
        <v>37</v>
      </c>
      <c r="QL316" s="12" t="s">
        <v>37</v>
      </c>
      <c r="QM316" s="12" t="s">
        <v>37</v>
      </c>
      <c r="QN316" s="12" t="s">
        <v>37</v>
      </c>
      <c r="QO316" s="12" t="s">
        <v>37</v>
      </c>
      <c r="QP316" s="12" t="s">
        <v>37</v>
      </c>
      <c r="QQ316" s="12"/>
      <c r="QR316" s="12"/>
      <c r="QU316" s="12" t="s">
        <v>37</v>
      </c>
      <c r="QV316" s="12" t="s">
        <v>37</v>
      </c>
      <c r="QW316" s="12" t="s">
        <v>37</v>
      </c>
      <c r="QX316" s="12" t="s">
        <v>37</v>
      </c>
      <c r="QY316" s="12" t="s">
        <v>37</v>
      </c>
      <c r="QZ316" s="12" t="s">
        <v>37</v>
      </c>
      <c r="RC316" s="12" t="s">
        <v>37</v>
      </c>
      <c r="RD316" s="12" t="s">
        <v>37</v>
      </c>
      <c r="RE316" s="13" t="s">
        <v>37</v>
      </c>
      <c r="RF316" s="12" t="s">
        <v>37</v>
      </c>
      <c r="RG316" s="12" t="s">
        <v>37</v>
      </c>
      <c r="RH316" s="13" t="s">
        <v>37</v>
      </c>
      <c r="RK316" s="12" t="s">
        <v>37</v>
      </c>
      <c r="RL316" s="12" t="s">
        <v>37</v>
      </c>
      <c r="RM316" s="11" t="s">
        <v>37</v>
      </c>
      <c r="RN316" s="12" t="s">
        <v>37</v>
      </c>
      <c r="RO316" s="12" t="s">
        <v>37</v>
      </c>
      <c r="RP316" s="11" t="s">
        <v>37</v>
      </c>
      <c r="RS316" s="12" t="s">
        <v>37</v>
      </c>
      <c r="RT316" s="12" t="s">
        <v>37</v>
      </c>
      <c r="RU316" s="12" t="s">
        <v>37</v>
      </c>
      <c r="RV316" s="12" t="s">
        <v>37</v>
      </c>
      <c r="RW316" s="12" t="s">
        <v>37</v>
      </c>
      <c r="RX316" s="12" t="s">
        <v>37</v>
      </c>
      <c r="SA316" s="12" t="s">
        <v>37</v>
      </c>
      <c r="SB316" s="12" t="s">
        <v>37</v>
      </c>
      <c r="SC316" s="12" t="s">
        <v>37</v>
      </c>
      <c r="SD316" s="12" t="s">
        <v>37</v>
      </c>
      <c r="SE316" s="12" t="s">
        <v>37</v>
      </c>
      <c r="SF316" s="12" t="s">
        <v>37</v>
      </c>
      <c r="SG316" s="12" t="s">
        <v>42</v>
      </c>
      <c r="SH316" s="12" t="s">
        <v>345</v>
      </c>
      <c r="SI316" s="12">
        <v>0.47299999999999998</v>
      </c>
      <c r="SJ316" s="50">
        <f t="shared" ref="SJ316:SJ321" si="1280">ABS(SI316)*SL$474</f>
        <v>0.14672963499812763</v>
      </c>
      <c r="SK316" s="13">
        <v>3</v>
      </c>
      <c r="SM316" s="12">
        <v>0.73599999999999999</v>
      </c>
      <c r="SN316" s="50">
        <f t="shared" ref="SN316:SN321" si="1281">ABS(SM316)*SP$474</f>
        <v>0.20014529596810504</v>
      </c>
      <c r="SO316" s="13">
        <v>3</v>
      </c>
      <c r="SQ316" s="19">
        <f t="shared" ref="SQ316:SQ321" si="1282">LN(SM316/SI316)</f>
        <v>0.44213473023694333</v>
      </c>
      <c r="SR316" s="19">
        <f t="shared" ref="SR316:SR321" si="1283">SN316^2/(SO316*SM316^2)+SJ316^2/(SK316*SI316^2)</f>
        <v>5.6726709270900982E-2</v>
      </c>
      <c r="SU316" s="12" t="s">
        <v>37</v>
      </c>
      <c r="SV316" s="12" t="s">
        <v>37</v>
      </c>
      <c r="SW316" s="12" t="s">
        <v>37</v>
      </c>
      <c r="SX316" s="12" t="s">
        <v>37</v>
      </c>
      <c r="SY316" s="12" t="s">
        <v>37</v>
      </c>
      <c r="SZ316" s="12" t="s">
        <v>37</v>
      </c>
      <c r="TA316" s="12"/>
      <c r="TB316" s="12"/>
      <c r="TE316" s="12" t="s">
        <v>37</v>
      </c>
      <c r="TF316" s="12" t="s">
        <v>37</v>
      </c>
      <c r="TG316" s="12" t="s">
        <v>37</v>
      </c>
      <c r="TH316" s="12" t="s">
        <v>37</v>
      </c>
      <c r="TI316" s="12" t="s">
        <v>37</v>
      </c>
      <c r="TJ316" s="12" t="s">
        <v>37</v>
      </c>
      <c r="TK316" s="12"/>
      <c r="TL316" s="12"/>
      <c r="TO316" s="12" t="s">
        <v>37</v>
      </c>
      <c r="TP316" s="12" t="s">
        <v>37</v>
      </c>
      <c r="TQ316" s="12" t="s">
        <v>37</v>
      </c>
      <c r="TR316" s="12" t="s">
        <v>37</v>
      </c>
      <c r="TS316" s="12" t="s">
        <v>37</v>
      </c>
      <c r="TT316" s="12" t="s">
        <v>37</v>
      </c>
      <c r="TU316" s="12"/>
      <c r="TV316" s="12"/>
      <c r="TY316" s="12" t="s">
        <v>37</v>
      </c>
      <c r="TZ316" s="12" t="s">
        <v>37</v>
      </c>
      <c r="UA316" s="12" t="s">
        <v>37</v>
      </c>
      <c r="UB316" s="12" t="s">
        <v>37</v>
      </c>
      <c r="UC316" s="12" t="s">
        <v>37</v>
      </c>
      <c r="UD316" s="12" t="s">
        <v>37</v>
      </c>
      <c r="UE316" s="12"/>
      <c r="UF316" s="12"/>
      <c r="UI316" s="12" t="s">
        <v>37</v>
      </c>
      <c r="UJ316" s="12" t="s">
        <v>37</v>
      </c>
      <c r="UK316" s="12" t="s">
        <v>37</v>
      </c>
      <c r="UL316" s="12" t="s">
        <v>37</v>
      </c>
      <c r="UM316" s="12" t="s">
        <v>37</v>
      </c>
      <c r="UN316" s="12" t="s">
        <v>37</v>
      </c>
      <c r="UO316" s="12"/>
      <c r="UP316" s="12"/>
      <c r="UR316" s="12" t="s">
        <v>37</v>
      </c>
      <c r="US316" s="12" t="s">
        <v>37</v>
      </c>
      <c r="UT316" s="12" t="s">
        <v>37</v>
      </c>
      <c r="UU316" s="12" t="s">
        <v>37</v>
      </c>
      <c r="UV316" s="12" t="s">
        <v>37</v>
      </c>
      <c r="UW316" s="12" t="s">
        <v>37</v>
      </c>
      <c r="UX316" s="12"/>
      <c r="UY316" s="12"/>
      <c r="VB316" s="12" t="s">
        <v>37</v>
      </c>
      <c r="VC316" s="12" t="s">
        <v>37</v>
      </c>
      <c r="VD316" s="12" t="s">
        <v>37</v>
      </c>
      <c r="VE316" s="12" t="s">
        <v>37</v>
      </c>
      <c r="VF316" s="12" t="s">
        <v>37</v>
      </c>
      <c r="VG316" s="12" t="s">
        <v>37</v>
      </c>
      <c r="VI316" s="12" t="s">
        <v>37</v>
      </c>
      <c r="VJ316" s="12" t="s">
        <v>37</v>
      </c>
      <c r="VK316" s="12" t="s">
        <v>37</v>
      </c>
      <c r="VL316" s="12" t="s">
        <v>37</v>
      </c>
      <c r="VM316" s="12" t="s">
        <v>37</v>
      </c>
      <c r="VN316" s="12" t="s">
        <v>37</v>
      </c>
      <c r="VQ316" s="12" t="s">
        <v>37</v>
      </c>
      <c r="VR316" s="12" t="s">
        <v>37</v>
      </c>
      <c r="VS316" s="12" t="s">
        <v>37</v>
      </c>
      <c r="VT316" s="12" t="s">
        <v>37</v>
      </c>
      <c r="VU316" s="12" t="s">
        <v>37</v>
      </c>
      <c r="VV316" s="12" t="s">
        <v>37</v>
      </c>
      <c r="VW316" s="12"/>
      <c r="VX316" s="12"/>
      <c r="WA316" s="12" t="s">
        <v>37</v>
      </c>
      <c r="WB316" s="12" t="s">
        <v>37</v>
      </c>
      <c r="WC316" s="12" t="s">
        <v>37</v>
      </c>
      <c r="WD316" s="12" t="s">
        <v>37</v>
      </c>
      <c r="WE316" s="12" t="s">
        <v>37</v>
      </c>
      <c r="WF316" s="12" t="s">
        <v>37</v>
      </c>
    </row>
    <row r="317" spans="1:604" ht="18" customHeight="1" x14ac:dyDescent="0.3">
      <c r="A317" s="11">
        <v>71</v>
      </c>
      <c r="B317" s="16" t="s">
        <v>406</v>
      </c>
      <c r="C317" s="12" t="s">
        <v>26</v>
      </c>
      <c r="D317" s="12" t="s">
        <v>54</v>
      </c>
      <c r="E317" s="40">
        <v>2.1</v>
      </c>
      <c r="F317" s="14">
        <v>0</v>
      </c>
      <c r="G317" s="14">
        <v>0</v>
      </c>
      <c r="H317" s="12" t="s">
        <v>123</v>
      </c>
      <c r="I317" s="29">
        <v>61.783000000000001</v>
      </c>
      <c r="J317" s="29">
        <v>24.3</v>
      </c>
      <c r="K317" s="12" t="s">
        <v>775</v>
      </c>
      <c r="L317" s="12" t="s">
        <v>709</v>
      </c>
      <c r="M317" s="13">
        <v>150</v>
      </c>
      <c r="N317" s="14">
        <v>3</v>
      </c>
      <c r="O317" s="14">
        <v>709</v>
      </c>
      <c r="P317" s="14" t="s">
        <v>84</v>
      </c>
      <c r="Q317" s="75">
        <v>31</v>
      </c>
      <c r="R317" s="11" t="s">
        <v>1000</v>
      </c>
      <c r="S317" s="12" t="s">
        <v>93</v>
      </c>
      <c r="T317" s="12" t="s">
        <v>141</v>
      </c>
      <c r="U317" s="12" t="s">
        <v>158</v>
      </c>
      <c r="V317" s="12" t="s">
        <v>275</v>
      </c>
      <c r="W317" s="23" t="s">
        <v>408</v>
      </c>
      <c r="X317" s="12" t="s">
        <v>280</v>
      </c>
      <c r="Y317" s="12" t="s">
        <v>37</v>
      </c>
      <c r="Z317" s="12" t="s">
        <v>37</v>
      </c>
      <c r="AA317" s="32" t="s">
        <v>345</v>
      </c>
      <c r="AB317" s="12">
        <v>3.9</v>
      </c>
      <c r="AE317" s="12" t="s">
        <v>37</v>
      </c>
      <c r="AF317" s="12" t="s">
        <v>42</v>
      </c>
      <c r="AG317" s="32" t="s">
        <v>345</v>
      </c>
      <c r="AH317" s="12">
        <v>6</v>
      </c>
      <c r="AK317" s="12" t="s">
        <v>37</v>
      </c>
      <c r="AL317" s="32">
        <v>1992</v>
      </c>
      <c r="AM317" s="12" t="s">
        <v>344</v>
      </c>
      <c r="AO317" s="12" t="s">
        <v>37</v>
      </c>
      <c r="AP317" s="12" t="s">
        <v>108</v>
      </c>
      <c r="AQ317" s="12" t="s">
        <v>975</v>
      </c>
      <c r="AT317" s="12" t="s">
        <v>326</v>
      </c>
      <c r="AU317" s="12" t="s">
        <v>326</v>
      </c>
      <c r="AV317" s="13" t="s">
        <v>326</v>
      </c>
      <c r="AX317" s="12" t="s">
        <v>326</v>
      </c>
      <c r="AY317" s="12" t="s">
        <v>326</v>
      </c>
      <c r="AZ317" s="13" t="s">
        <v>326</v>
      </c>
      <c r="BE317" s="12" t="s">
        <v>326</v>
      </c>
      <c r="BF317" s="12" t="s">
        <v>326</v>
      </c>
      <c r="BG317" s="12" t="s">
        <v>326</v>
      </c>
      <c r="BI317" s="12" t="s">
        <v>326</v>
      </c>
      <c r="BJ317" s="12" t="s">
        <v>326</v>
      </c>
      <c r="BK317" s="12" t="s">
        <v>326</v>
      </c>
      <c r="BP317" s="12" t="s">
        <v>37</v>
      </c>
      <c r="BQ317" s="12" t="s">
        <v>37</v>
      </c>
      <c r="BR317" s="13" t="s">
        <v>37</v>
      </c>
      <c r="BT317" s="12" t="s">
        <v>37</v>
      </c>
      <c r="BU317" s="12" t="s">
        <v>37</v>
      </c>
      <c r="BV317" s="12" t="s">
        <v>37</v>
      </c>
      <c r="CA317" s="12" t="s">
        <v>37</v>
      </c>
      <c r="CB317" s="12" t="s">
        <v>37</v>
      </c>
      <c r="CC317" s="13" t="s">
        <v>37</v>
      </c>
      <c r="CE317" s="12" t="s">
        <v>37</v>
      </c>
      <c r="CF317" s="12" t="s">
        <v>37</v>
      </c>
      <c r="CG317" s="12" t="s">
        <v>37</v>
      </c>
      <c r="CN317" s="12" t="s">
        <v>37</v>
      </c>
      <c r="CO317" s="12" t="s">
        <v>37</v>
      </c>
      <c r="CP317" s="13" t="s">
        <v>37</v>
      </c>
      <c r="CR317" s="12" t="s">
        <v>37</v>
      </c>
      <c r="CS317" s="12" t="s">
        <v>37</v>
      </c>
      <c r="CT317" s="13" t="s">
        <v>37</v>
      </c>
      <c r="CX317" s="72"/>
      <c r="CY317" s="72"/>
      <c r="DA317" s="12" t="s">
        <v>37</v>
      </c>
      <c r="DB317" s="12" t="s">
        <v>37</v>
      </c>
      <c r="DC317" s="13" t="s">
        <v>37</v>
      </c>
      <c r="DE317" s="12" t="s">
        <v>37</v>
      </c>
      <c r="DF317" s="12" t="s">
        <v>37</v>
      </c>
      <c r="DG317" s="12" t="s">
        <v>37</v>
      </c>
      <c r="DM317" s="11" t="s">
        <v>47</v>
      </c>
      <c r="DN317" s="19">
        <v>82.2</v>
      </c>
      <c r="DO317" s="50">
        <f t="shared" si="1262"/>
        <v>91.643077568945841</v>
      </c>
      <c r="DP317" s="13">
        <v>15</v>
      </c>
      <c r="DR317" s="19">
        <v>27.8</v>
      </c>
      <c r="DS317" s="50">
        <f t="shared" si="1263"/>
        <v>103.89461299074208</v>
      </c>
      <c r="DT317" s="13">
        <v>15</v>
      </c>
      <c r="DV317" s="19">
        <f t="shared" si="1211"/>
        <v>-54.400000000000006</v>
      </c>
      <c r="DW317" s="12">
        <f t="shared" si="1212"/>
        <v>97.960564194996081</v>
      </c>
      <c r="DX317" s="72">
        <f t="shared" si="1251"/>
        <v>1279.5029516535928</v>
      </c>
      <c r="DY317" s="72">
        <f t="shared" si="1252"/>
        <v>1279.5029516535931</v>
      </c>
      <c r="EA317" s="19" t="s">
        <v>37</v>
      </c>
      <c r="EB317" s="19" t="s">
        <v>37</v>
      </c>
      <c r="EC317" s="72" t="s">
        <v>37</v>
      </c>
      <c r="EE317" s="19" t="s">
        <v>37</v>
      </c>
      <c r="EF317" s="19" t="s">
        <v>37</v>
      </c>
      <c r="EG317" s="12" t="s">
        <v>37</v>
      </c>
      <c r="EM317" s="12" t="s">
        <v>39</v>
      </c>
      <c r="EN317" s="12">
        <v>-18.7</v>
      </c>
      <c r="EO317" s="12">
        <v>7.2</v>
      </c>
      <c r="EP317" s="13">
        <v>15</v>
      </c>
      <c r="EQ317" s="19">
        <f t="shared" si="1239"/>
        <v>0.38502673796791448</v>
      </c>
      <c r="ER317" s="12">
        <v>-34.5</v>
      </c>
      <c r="ES317" s="12">
        <v>9.3000000000000007</v>
      </c>
      <c r="ET317" s="13">
        <v>15</v>
      </c>
      <c r="EU317" s="19">
        <f t="shared" si="1240"/>
        <v>0.26956521739130435</v>
      </c>
      <c r="EV317" s="19">
        <f t="shared" si="1233"/>
        <v>-15.8</v>
      </c>
      <c r="EW317" s="12">
        <f t="shared" si="1234"/>
        <v>8.3165497653774665</v>
      </c>
      <c r="EX317" s="19">
        <f t="shared" si="1235"/>
        <v>9.2219999999999995</v>
      </c>
      <c r="EY317" s="19">
        <f t="shared" si="1236"/>
        <v>9.2220000000000013</v>
      </c>
      <c r="FB317" s="12" t="s">
        <v>37</v>
      </c>
      <c r="FC317" s="12" t="s">
        <v>37</v>
      </c>
      <c r="FD317" s="12" t="s">
        <v>37</v>
      </c>
      <c r="FE317" s="12" t="s">
        <v>37</v>
      </c>
      <c r="FF317" s="20" t="s">
        <v>37</v>
      </c>
      <c r="FG317" s="12" t="s">
        <v>37</v>
      </c>
      <c r="FI317" s="12" t="s">
        <v>37</v>
      </c>
      <c r="FJ317" s="12" t="s">
        <v>37</v>
      </c>
      <c r="FK317" s="12" t="s">
        <v>37</v>
      </c>
      <c r="FL317" s="12" t="s">
        <v>37</v>
      </c>
      <c r="FM317" s="12" t="s">
        <v>37</v>
      </c>
      <c r="FN317" s="12" t="s">
        <v>37</v>
      </c>
      <c r="FP317" s="12" t="s">
        <v>37</v>
      </c>
      <c r="FQ317" s="12" t="s">
        <v>37</v>
      </c>
      <c r="FR317" s="12" t="s">
        <v>37</v>
      </c>
      <c r="FS317" s="12" t="s">
        <v>37</v>
      </c>
      <c r="FT317" s="12" t="s">
        <v>37</v>
      </c>
      <c r="FU317" s="12" t="s">
        <v>37</v>
      </c>
      <c r="FW317" s="12" t="s">
        <v>37</v>
      </c>
      <c r="FX317" s="12" t="s">
        <v>37</v>
      </c>
      <c r="FY317" s="12" t="s">
        <v>37</v>
      </c>
      <c r="FZ317" s="12" t="s">
        <v>37</v>
      </c>
      <c r="GA317" s="12" t="s">
        <v>37</v>
      </c>
      <c r="GB317" s="12" t="s">
        <v>37</v>
      </c>
      <c r="GO317" s="12" t="s">
        <v>660</v>
      </c>
      <c r="GP317" s="12" t="s">
        <v>340</v>
      </c>
      <c r="GQ317" s="12">
        <v>12.2</v>
      </c>
      <c r="GR317" s="12">
        <v>0.8</v>
      </c>
      <c r="GS317" s="13">
        <v>15</v>
      </c>
      <c r="GT317" s="19">
        <f t="shared" si="1264"/>
        <v>6.5573770491803282E-2</v>
      </c>
      <c r="GU317" s="12">
        <v>11.5</v>
      </c>
      <c r="GV317" s="12">
        <v>0.7</v>
      </c>
      <c r="GW317" s="13">
        <v>15</v>
      </c>
      <c r="GX317" s="19">
        <f t="shared" si="1265"/>
        <v>6.08695652173913E-2</v>
      </c>
      <c r="GY317" s="19">
        <f t="shared" si="1266"/>
        <v>-5.908891637000644E-2</v>
      </c>
      <c r="GZ317" s="19">
        <f t="shared" si="1267"/>
        <v>5.3366822308439639E-4</v>
      </c>
      <c r="HA317" s="17" t="s">
        <v>63</v>
      </c>
      <c r="HB317" s="34" t="s">
        <v>345</v>
      </c>
      <c r="HC317" s="12">
        <v>3.5000000000000003E-2</v>
      </c>
      <c r="HD317" s="50">
        <f t="shared" si="1268"/>
        <v>6.0344110101271846E-3</v>
      </c>
      <c r="HE317" s="13">
        <v>3</v>
      </c>
      <c r="HG317" s="12">
        <v>4.7E-2</v>
      </c>
      <c r="HH317" s="50">
        <f t="shared" si="1269"/>
        <v>5.2571624384539382E-3</v>
      </c>
      <c r="HI317" s="13">
        <v>3</v>
      </c>
      <c r="HK317" s="19">
        <f t="shared" si="1270"/>
        <v>0.29479954022064481</v>
      </c>
      <c r="HL317" s="19">
        <f t="shared" si="1271"/>
        <v>1.4079080937294361E-2</v>
      </c>
      <c r="IK317" s="12" t="s">
        <v>37</v>
      </c>
      <c r="IL317" s="12" t="s">
        <v>37</v>
      </c>
      <c r="IM317" s="12" t="s">
        <v>37</v>
      </c>
      <c r="IO317" s="12" t="s">
        <v>37</v>
      </c>
      <c r="IP317" s="12" t="s">
        <v>37</v>
      </c>
      <c r="IQ317" s="12" t="s">
        <v>37</v>
      </c>
      <c r="IV317" s="32" t="s">
        <v>345</v>
      </c>
      <c r="IW317" s="12">
        <v>3.9</v>
      </c>
      <c r="IX317" s="50">
        <f t="shared" si="1272"/>
        <v>0.14278969624929022</v>
      </c>
      <c r="IY317" s="13">
        <v>3</v>
      </c>
      <c r="JA317" s="12">
        <v>3.7</v>
      </c>
      <c r="JB317" s="50">
        <f t="shared" si="1273"/>
        <v>0.10363259250710022</v>
      </c>
      <c r="JC317" s="13">
        <v>3</v>
      </c>
      <c r="JE317" s="19">
        <f t="shared" si="1274"/>
        <v>-5.2643733485421909E-2</v>
      </c>
      <c r="JF317" s="19">
        <f t="shared" si="1275"/>
        <v>7.083287641133075E-4</v>
      </c>
      <c r="JH317" s="12" t="s">
        <v>37</v>
      </c>
      <c r="JI317" s="12" t="s">
        <v>37</v>
      </c>
      <c r="JJ317" s="13" t="s">
        <v>37</v>
      </c>
      <c r="JL317" s="12" t="s">
        <v>37</v>
      </c>
      <c r="JM317" s="12" t="s">
        <v>37</v>
      </c>
      <c r="JN317" s="12" t="s">
        <v>37</v>
      </c>
      <c r="JS317" s="12" t="s">
        <v>37</v>
      </c>
      <c r="JT317" s="12" t="s">
        <v>37</v>
      </c>
      <c r="JU317" s="13" t="s">
        <v>37</v>
      </c>
      <c r="JW317" s="12" t="s">
        <v>37</v>
      </c>
      <c r="JX317" s="12" t="s">
        <v>37</v>
      </c>
      <c r="JY317" s="12" t="s">
        <v>37</v>
      </c>
      <c r="KE317" s="12" t="s">
        <v>37</v>
      </c>
      <c r="KF317" s="12" t="s">
        <v>37</v>
      </c>
      <c r="KG317" s="13" t="s">
        <v>37</v>
      </c>
      <c r="KH317" s="12" t="s">
        <v>37</v>
      </c>
      <c r="KI317" s="12" t="s">
        <v>37</v>
      </c>
      <c r="KJ317" s="12" t="s">
        <v>37</v>
      </c>
      <c r="KK317" s="12" t="s">
        <v>42</v>
      </c>
      <c r="KL317" s="32" t="s">
        <v>345</v>
      </c>
      <c r="KM317" s="12">
        <v>6</v>
      </c>
      <c r="KN317" s="50">
        <f t="shared" si="1276"/>
        <v>0.71575824830915691</v>
      </c>
      <c r="KO317" s="11">
        <v>3</v>
      </c>
      <c r="KQ317" s="12">
        <v>8</v>
      </c>
      <c r="KR317" s="50">
        <f t="shared" si="1277"/>
        <v>0.84354744134909398</v>
      </c>
      <c r="KS317" s="11">
        <v>3</v>
      </c>
      <c r="KU317" s="19">
        <f t="shared" si="1278"/>
        <v>0.28768207245178085</v>
      </c>
      <c r="KV317" s="19">
        <f t="shared" si="1279"/>
        <v>8.4497155628593234E-3</v>
      </c>
      <c r="KX317" s="12" t="s">
        <v>37</v>
      </c>
      <c r="KY317" s="12" t="s">
        <v>37</v>
      </c>
      <c r="KZ317" s="12" t="s">
        <v>37</v>
      </c>
      <c r="LB317" s="12" t="s">
        <v>37</v>
      </c>
      <c r="LC317" s="12" t="s">
        <v>37</v>
      </c>
      <c r="LD317" s="12" t="s">
        <v>37</v>
      </c>
      <c r="LI317" s="12" t="s">
        <v>37</v>
      </c>
      <c r="LJ317" s="12" t="s">
        <v>37</v>
      </c>
      <c r="LK317" s="12" t="s">
        <v>37</v>
      </c>
      <c r="LM317" s="12" t="s">
        <v>37</v>
      </c>
      <c r="LN317" s="12" t="s">
        <v>37</v>
      </c>
      <c r="LO317" s="12" t="s">
        <v>37</v>
      </c>
      <c r="LU317" s="12" t="s">
        <v>37</v>
      </c>
      <c r="LV317" s="12" t="s">
        <v>37</v>
      </c>
      <c r="LW317" s="12" t="s">
        <v>37</v>
      </c>
      <c r="LY317" s="12" t="s">
        <v>37</v>
      </c>
      <c r="LZ317" s="12" t="s">
        <v>37</v>
      </c>
      <c r="MA317" s="12" t="s">
        <v>37</v>
      </c>
      <c r="MF317" s="12" t="s">
        <v>37</v>
      </c>
      <c r="MG317" s="12" t="s">
        <v>37</v>
      </c>
      <c r="MH317" s="12" t="s">
        <v>37</v>
      </c>
      <c r="MJ317" s="12" t="s">
        <v>37</v>
      </c>
      <c r="MK317" s="12" t="s">
        <v>37</v>
      </c>
      <c r="ML317" s="12" t="s">
        <v>37</v>
      </c>
      <c r="MQ317" s="12" t="s">
        <v>37</v>
      </c>
      <c r="MR317" s="12" t="s">
        <v>37</v>
      </c>
      <c r="MS317" s="12" t="s">
        <v>37</v>
      </c>
      <c r="MU317" s="12" t="s">
        <v>37</v>
      </c>
      <c r="MV317" s="12" t="s">
        <v>37</v>
      </c>
      <c r="MW317" s="12" t="s">
        <v>37</v>
      </c>
      <c r="NC317" s="12" t="s">
        <v>37</v>
      </c>
      <c r="ND317" s="12" t="s">
        <v>37</v>
      </c>
      <c r="NE317" s="12" t="s">
        <v>37</v>
      </c>
      <c r="NG317" s="12" t="s">
        <v>37</v>
      </c>
      <c r="NH317" s="12" t="s">
        <v>37</v>
      </c>
      <c r="NI317" s="12" t="s">
        <v>37</v>
      </c>
      <c r="NO317" s="12" t="s">
        <v>37</v>
      </c>
      <c r="NP317" s="12" t="s">
        <v>37</v>
      </c>
      <c r="NQ317" s="12" t="s">
        <v>37</v>
      </c>
      <c r="NS317" s="12" t="s">
        <v>37</v>
      </c>
      <c r="NT317" s="12" t="s">
        <v>37</v>
      </c>
      <c r="NU317" s="12" t="s">
        <v>37</v>
      </c>
      <c r="OA317" s="12" t="s">
        <v>37</v>
      </c>
      <c r="OB317" s="12" t="s">
        <v>37</v>
      </c>
      <c r="OC317" s="12" t="s">
        <v>37</v>
      </c>
      <c r="OD317" s="12"/>
      <c r="OE317" s="12" t="s">
        <v>37</v>
      </c>
      <c r="OF317" s="12" t="s">
        <v>37</v>
      </c>
      <c r="OG317" s="12" t="s">
        <v>37</v>
      </c>
      <c r="OH317" s="12"/>
      <c r="OI317" s="12"/>
      <c r="OJ317" s="12"/>
      <c r="OM317" s="12" t="s">
        <v>37</v>
      </c>
      <c r="ON317" s="12" t="s">
        <v>37</v>
      </c>
      <c r="OO317" s="12" t="s">
        <v>37</v>
      </c>
      <c r="OP317" s="12" t="s">
        <v>37</v>
      </c>
      <c r="OQ317" s="12" t="s">
        <v>37</v>
      </c>
      <c r="OR317" s="12" t="s">
        <v>37</v>
      </c>
      <c r="OS317" s="12"/>
      <c r="OT317" s="12"/>
      <c r="OW317" s="12" t="s">
        <v>37</v>
      </c>
      <c r="OX317" s="12" t="s">
        <v>37</v>
      </c>
      <c r="OY317" s="13" t="s">
        <v>37</v>
      </c>
      <c r="OZ317" s="12" t="s">
        <v>37</v>
      </c>
      <c r="PA317" s="12" t="s">
        <v>37</v>
      </c>
      <c r="PB317" s="13" t="s">
        <v>37</v>
      </c>
      <c r="PG317" s="12" t="s">
        <v>37</v>
      </c>
      <c r="PH317" s="12" t="s">
        <v>37</v>
      </c>
      <c r="PI317" s="12" t="s">
        <v>37</v>
      </c>
      <c r="PJ317" s="12" t="s">
        <v>37</v>
      </c>
      <c r="PK317" s="12" t="s">
        <v>37</v>
      </c>
      <c r="PL317" s="12" t="s">
        <v>37</v>
      </c>
      <c r="PM317" s="12"/>
      <c r="PN317" s="12"/>
      <c r="PQ317" s="12" t="s">
        <v>37</v>
      </c>
      <c r="PR317" s="12" t="s">
        <v>37</v>
      </c>
      <c r="PS317" s="12" t="s">
        <v>37</v>
      </c>
      <c r="PT317" s="12" t="s">
        <v>37</v>
      </c>
      <c r="PU317" s="12" t="s">
        <v>37</v>
      </c>
      <c r="PV317" s="12" t="s">
        <v>37</v>
      </c>
      <c r="PW317" s="12"/>
      <c r="PX317" s="12"/>
      <c r="PZ317" s="12" t="s">
        <v>37</v>
      </c>
      <c r="QA317" s="12" t="s">
        <v>37</v>
      </c>
      <c r="QB317" s="12" t="s">
        <v>37</v>
      </c>
      <c r="QD317" s="12" t="s">
        <v>37</v>
      </c>
      <c r="QE317" s="12" t="s">
        <v>37</v>
      </c>
      <c r="QF317" s="12" t="s">
        <v>37</v>
      </c>
      <c r="QK317" s="12" t="s">
        <v>37</v>
      </c>
      <c r="QL317" s="12" t="s">
        <v>37</v>
      </c>
      <c r="QM317" s="12" t="s">
        <v>37</v>
      </c>
      <c r="QN317" s="12" t="s">
        <v>37</v>
      </c>
      <c r="QO317" s="12" t="s">
        <v>37</v>
      </c>
      <c r="QP317" s="12" t="s">
        <v>37</v>
      </c>
      <c r="QQ317" s="12"/>
      <c r="QR317" s="12"/>
      <c r="QU317" s="12" t="s">
        <v>37</v>
      </c>
      <c r="QV317" s="12" t="s">
        <v>37</v>
      </c>
      <c r="QW317" s="12" t="s">
        <v>37</v>
      </c>
      <c r="QX317" s="12" t="s">
        <v>37</v>
      </c>
      <c r="QY317" s="12" t="s">
        <v>37</v>
      </c>
      <c r="QZ317" s="12" t="s">
        <v>37</v>
      </c>
      <c r="RC317" s="12" t="s">
        <v>37</v>
      </c>
      <c r="RD317" s="12" t="s">
        <v>37</v>
      </c>
      <c r="RE317" s="13" t="s">
        <v>37</v>
      </c>
      <c r="RF317" s="12" t="s">
        <v>37</v>
      </c>
      <c r="RG317" s="12" t="s">
        <v>37</v>
      </c>
      <c r="RH317" s="13" t="s">
        <v>37</v>
      </c>
      <c r="RK317" s="12" t="s">
        <v>37</v>
      </c>
      <c r="RL317" s="12" t="s">
        <v>37</v>
      </c>
      <c r="RM317" s="11" t="s">
        <v>37</v>
      </c>
      <c r="RN317" s="12" t="s">
        <v>37</v>
      </c>
      <c r="RO317" s="12" t="s">
        <v>37</v>
      </c>
      <c r="RP317" s="11" t="s">
        <v>37</v>
      </c>
      <c r="RS317" s="12" t="s">
        <v>37</v>
      </c>
      <c r="RT317" s="12" t="s">
        <v>37</v>
      </c>
      <c r="RU317" s="12" t="s">
        <v>37</v>
      </c>
      <c r="RV317" s="12" t="s">
        <v>37</v>
      </c>
      <c r="RW317" s="12" t="s">
        <v>37</v>
      </c>
      <c r="RX317" s="12" t="s">
        <v>37</v>
      </c>
      <c r="SA317" s="12" t="s">
        <v>37</v>
      </c>
      <c r="SB317" s="12" t="s">
        <v>37</v>
      </c>
      <c r="SC317" s="12" t="s">
        <v>37</v>
      </c>
      <c r="SD317" s="12" t="s">
        <v>37</v>
      </c>
      <c r="SE317" s="12" t="s">
        <v>37</v>
      </c>
      <c r="SF317" s="12" t="s">
        <v>37</v>
      </c>
      <c r="SG317" s="12" t="s">
        <v>42</v>
      </c>
      <c r="SH317" s="12" t="s">
        <v>345</v>
      </c>
      <c r="SI317" s="12">
        <v>0.47299999999999998</v>
      </c>
      <c r="SJ317" s="50">
        <f t="shared" si="1280"/>
        <v>0.14672963499812763</v>
      </c>
      <c r="SK317" s="13">
        <v>3</v>
      </c>
      <c r="SM317" s="12">
        <v>0.73599999999999999</v>
      </c>
      <c r="SN317" s="50">
        <f t="shared" si="1281"/>
        <v>0.20014529596810504</v>
      </c>
      <c r="SO317" s="13">
        <v>3</v>
      </c>
      <c r="SQ317" s="19">
        <f t="shared" si="1282"/>
        <v>0.44213473023694333</v>
      </c>
      <c r="SR317" s="19">
        <f t="shared" si="1283"/>
        <v>5.6726709270900982E-2</v>
      </c>
      <c r="SU317" s="12" t="s">
        <v>37</v>
      </c>
      <c r="SV317" s="12" t="s">
        <v>37</v>
      </c>
      <c r="SW317" s="12" t="s">
        <v>37</v>
      </c>
      <c r="SX317" s="12" t="s">
        <v>37</v>
      </c>
      <c r="SY317" s="12" t="s">
        <v>37</v>
      </c>
      <c r="SZ317" s="12" t="s">
        <v>37</v>
      </c>
      <c r="TA317" s="12"/>
      <c r="TB317" s="12"/>
      <c r="TE317" s="12" t="s">
        <v>37</v>
      </c>
      <c r="TF317" s="12" t="s">
        <v>37</v>
      </c>
      <c r="TG317" s="12" t="s">
        <v>37</v>
      </c>
      <c r="TH317" s="12" t="s">
        <v>37</v>
      </c>
      <c r="TI317" s="12" t="s">
        <v>37</v>
      </c>
      <c r="TJ317" s="12" t="s">
        <v>37</v>
      </c>
      <c r="TK317" s="12"/>
      <c r="TL317" s="12"/>
      <c r="TO317" s="12" t="s">
        <v>37</v>
      </c>
      <c r="TP317" s="12" t="s">
        <v>37</v>
      </c>
      <c r="TQ317" s="12" t="s">
        <v>37</v>
      </c>
      <c r="TR317" s="12" t="s">
        <v>37</v>
      </c>
      <c r="TS317" s="12" t="s">
        <v>37</v>
      </c>
      <c r="TT317" s="12" t="s">
        <v>37</v>
      </c>
      <c r="TU317" s="12"/>
      <c r="TV317" s="12"/>
      <c r="TY317" s="12" t="s">
        <v>37</v>
      </c>
      <c r="TZ317" s="12" t="s">
        <v>37</v>
      </c>
      <c r="UA317" s="12" t="s">
        <v>37</v>
      </c>
      <c r="UB317" s="12" t="s">
        <v>37</v>
      </c>
      <c r="UC317" s="12" t="s">
        <v>37</v>
      </c>
      <c r="UD317" s="12" t="s">
        <v>37</v>
      </c>
      <c r="UE317" s="12"/>
      <c r="UF317" s="12"/>
      <c r="UI317" s="12" t="s">
        <v>37</v>
      </c>
      <c r="UJ317" s="12" t="s">
        <v>37</v>
      </c>
      <c r="UK317" s="12" t="s">
        <v>37</v>
      </c>
      <c r="UL317" s="12" t="s">
        <v>37</v>
      </c>
      <c r="UM317" s="12" t="s">
        <v>37</v>
      </c>
      <c r="UN317" s="12" t="s">
        <v>37</v>
      </c>
      <c r="UO317" s="12"/>
      <c r="UP317" s="12"/>
      <c r="UR317" s="12" t="s">
        <v>37</v>
      </c>
      <c r="US317" s="12" t="s">
        <v>37</v>
      </c>
      <c r="UT317" s="12" t="s">
        <v>37</v>
      </c>
      <c r="UU317" s="12" t="s">
        <v>37</v>
      </c>
      <c r="UV317" s="12" t="s">
        <v>37</v>
      </c>
      <c r="UW317" s="12" t="s">
        <v>37</v>
      </c>
      <c r="UX317" s="12"/>
      <c r="UY317" s="12"/>
      <c r="VB317" s="12" t="s">
        <v>37</v>
      </c>
      <c r="VC317" s="12" t="s">
        <v>37</v>
      </c>
      <c r="VD317" s="12" t="s">
        <v>37</v>
      </c>
      <c r="VE317" s="12" t="s">
        <v>37</v>
      </c>
      <c r="VF317" s="12" t="s">
        <v>37</v>
      </c>
      <c r="VG317" s="12" t="s">
        <v>37</v>
      </c>
      <c r="VI317" s="12" t="s">
        <v>37</v>
      </c>
      <c r="VJ317" s="12" t="s">
        <v>37</v>
      </c>
      <c r="VK317" s="12" t="s">
        <v>37</v>
      </c>
      <c r="VL317" s="12" t="s">
        <v>37</v>
      </c>
      <c r="VM317" s="12" t="s">
        <v>37</v>
      </c>
      <c r="VN317" s="12" t="s">
        <v>37</v>
      </c>
      <c r="VQ317" s="12" t="s">
        <v>37</v>
      </c>
      <c r="VR317" s="12" t="s">
        <v>37</v>
      </c>
      <c r="VS317" s="12" t="s">
        <v>37</v>
      </c>
      <c r="VT317" s="12" t="s">
        <v>37</v>
      </c>
      <c r="VU317" s="12" t="s">
        <v>37</v>
      </c>
      <c r="VV317" s="12" t="s">
        <v>37</v>
      </c>
      <c r="VW317" s="12"/>
      <c r="VX317" s="12"/>
      <c r="WA317" s="12" t="s">
        <v>37</v>
      </c>
      <c r="WB317" s="12" t="s">
        <v>37</v>
      </c>
      <c r="WC317" s="12" t="s">
        <v>37</v>
      </c>
      <c r="WD317" s="12" t="s">
        <v>37</v>
      </c>
      <c r="WE317" s="12" t="s">
        <v>37</v>
      </c>
      <c r="WF317" s="12" t="s">
        <v>37</v>
      </c>
    </row>
    <row r="318" spans="1:604" ht="18" customHeight="1" x14ac:dyDescent="0.3">
      <c r="A318" s="11">
        <v>71</v>
      </c>
      <c r="B318" s="16" t="s">
        <v>406</v>
      </c>
      <c r="C318" s="12" t="s">
        <v>26</v>
      </c>
      <c r="D318" s="12" t="s">
        <v>54</v>
      </c>
      <c r="E318" s="40">
        <v>2.2999999999999998</v>
      </c>
      <c r="F318" s="14">
        <v>0</v>
      </c>
      <c r="G318" s="14">
        <v>0</v>
      </c>
      <c r="H318" s="12" t="s">
        <v>123</v>
      </c>
      <c r="I318" s="29">
        <v>61.783000000000001</v>
      </c>
      <c r="J318" s="29">
        <v>24.3</v>
      </c>
      <c r="K318" s="12" t="s">
        <v>775</v>
      </c>
      <c r="L318" s="12" t="s">
        <v>709</v>
      </c>
      <c r="M318" s="13">
        <v>150</v>
      </c>
      <c r="N318" s="14">
        <v>3</v>
      </c>
      <c r="O318" s="14">
        <v>709</v>
      </c>
      <c r="P318" s="14" t="s">
        <v>84</v>
      </c>
      <c r="Q318" s="75">
        <v>30</v>
      </c>
      <c r="R318" s="11" t="s">
        <v>1000</v>
      </c>
      <c r="S318" s="12" t="s">
        <v>93</v>
      </c>
      <c r="T318" s="12" t="s">
        <v>141</v>
      </c>
      <c r="U318" s="12" t="s">
        <v>163</v>
      </c>
      <c r="V318" s="12" t="s">
        <v>275</v>
      </c>
      <c r="W318" s="23" t="s">
        <v>408</v>
      </c>
      <c r="X318" s="12" t="s">
        <v>280</v>
      </c>
      <c r="Y318" s="12" t="s">
        <v>37</v>
      </c>
      <c r="Z318" s="12" t="s">
        <v>37</v>
      </c>
      <c r="AA318" s="32" t="s">
        <v>345</v>
      </c>
      <c r="AB318" s="12">
        <v>3.8</v>
      </c>
      <c r="AE318" s="12" t="s">
        <v>37</v>
      </c>
      <c r="AF318" s="12" t="s">
        <v>42</v>
      </c>
      <c r="AG318" s="32" t="s">
        <v>345</v>
      </c>
      <c r="AH318" s="12">
        <v>5</v>
      </c>
      <c r="AK318" s="12" t="s">
        <v>37</v>
      </c>
      <c r="AL318" s="32">
        <v>1991</v>
      </c>
      <c r="AM318" s="12" t="s">
        <v>344</v>
      </c>
      <c r="AO318" s="12" t="s">
        <v>37</v>
      </c>
      <c r="AP318" s="12" t="s">
        <v>108</v>
      </c>
      <c r="AQ318" s="12" t="s">
        <v>975</v>
      </c>
      <c r="AT318" s="12" t="s">
        <v>326</v>
      </c>
      <c r="AU318" s="12" t="s">
        <v>326</v>
      </c>
      <c r="AV318" s="13" t="s">
        <v>326</v>
      </c>
      <c r="AX318" s="12" t="s">
        <v>326</v>
      </c>
      <c r="AY318" s="12" t="s">
        <v>326</v>
      </c>
      <c r="AZ318" s="13" t="s">
        <v>326</v>
      </c>
      <c r="BE318" s="12" t="s">
        <v>326</v>
      </c>
      <c r="BF318" s="12" t="s">
        <v>326</v>
      </c>
      <c r="BG318" s="12" t="s">
        <v>326</v>
      </c>
      <c r="BI318" s="12" t="s">
        <v>326</v>
      </c>
      <c r="BJ318" s="12" t="s">
        <v>326</v>
      </c>
      <c r="BK318" s="12" t="s">
        <v>326</v>
      </c>
      <c r="BP318" s="12" t="s">
        <v>37</v>
      </c>
      <c r="BQ318" s="12" t="s">
        <v>37</v>
      </c>
      <c r="BR318" s="13" t="s">
        <v>37</v>
      </c>
      <c r="BT318" s="12" t="s">
        <v>37</v>
      </c>
      <c r="BU318" s="12" t="s">
        <v>37</v>
      </c>
      <c r="BV318" s="12" t="s">
        <v>37</v>
      </c>
      <c r="CA318" s="12" t="s">
        <v>37</v>
      </c>
      <c r="CB318" s="12" t="s">
        <v>37</v>
      </c>
      <c r="CC318" s="13" t="s">
        <v>37</v>
      </c>
      <c r="CE318" s="12" t="s">
        <v>37</v>
      </c>
      <c r="CF318" s="12" t="s">
        <v>37</v>
      </c>
      <c r="CG318" s="12" t="s">
        <v>37</v>
      </c>
      <c r="CN318" s="12" t="s">
        <v>37</v>
      </c>
      <c r="CO318" s="12" t="s">
        <v>37</v>
      </c>
      <c r="CP318" s="13" t="s">
        <v>37</v>
      </c>
      <c r="CR318" s="12" t="s">
        <v>37</v>
      </c>
      <c r="CS318" s="12" t="s">
        <v>37</v>
      </c>
      <c r="CT318" s="13" t="s">
        <v>37</v>
      </c>
      <c r="CX318" s="72"/>
      <c r="CY318" s="72"/>
      <c r="DA318" s="12" t="s">
        <v>37</v>
      </c>
      <c r="DB318" s="12" t="s">
        <v>37</v>
      </c>
      <c r="DC318" s="13" t="s">
        <v>37</v>
      </c>
      <c r="DE318" s="12" t="s">
        <v>37</v>
      </c>
      <c r="DF318" s="12" t="s">
        <v>37</v>
      </c>
      <c r="DG318" s="12" t="s">
        <v>37</v>
      </c>
      <c r="DM318" s="11" t="s">
        <v>47</v>
      </c>
      <c r="DN318" s="19">
        <v>57.9</v>
      </c>
      <c r="DO318" s="50">
        <f t="shared" si="1262"/>
        <v>64.551510842359662</v>
      </c>
      <c r="DP318" s="13">
        <v>18</v>
      </c>
      <c r="DR318" s="19">
        <v>31.7</v>
      </c>
      <c r="DS318" s="50">
        <f t="shared" si="1263"/>
        <v>118.46975653980302</v>
      </c>
      <c r="DT318" s="13">
        <v>18</v>
      </c>
      <c r="DV318" s="19">
        <f t="shared" si="1211"/>
        <v>-26.2</v>
      </c>
      <c r="DW318" s="12">
        <f t="shared" si="1212"/>
        <v>95.399111019525435</v>
      </c>
      <c r="DX318" s="72">
        <f t="shared" si="1251"/>
        <v>1011.2211537017487</v>
      </c>
      <c r="DY318" s="72">
        <f t="shared" si="1252"/>
        <v>1011.2211537017488</v>
      </c>
      <c r="EA318" s="19" t="s">
        <v>37</v>
      </c>
      <c r="EB318" s="19" t="s">
        <v>37</v>
      </c>
      <c r="EC318" s="72" t="s">
        <v>37</v>
      </c>
      <c r="EE318" s="19" t="s">
        <v>37</v>
      </c>
      <c r="EF318" s="19" t="s">
        <v>37</v>
      </c>
      <c r="EG318" s="12" t="s">
        <v>37</v>
      </c>
      <c r="EM318" s="12" t="s">
        <v>39</v>
      </c>
      <c r="EN318" s="12">
        <v>-10.3</v>
      </c>
      <c r="EO318" s="12">
        <v>8</v>
      </c>
      <c r="EP318" s="13">
        <v>18</v>
      </c>
      <c r="EQ318" s="19">
        <f t="shared" si="1239"/>
        <v>0.77669902912621358</v>
      </c>
      <c r="ER318" s="12">
        <v>-20.6</v>
      </c>
      <c r="ES318" s="12">
        <v>9.6999999999999993</v>
      </c>
      <c r="ET318" s="13">
        <v>18</v>
      </c>
      <c r="EU318" s="19">
        <f t="shared" si="1240"/>
        <v>0.47087378640776695</v>
      </c>
      <c r="EV318" s="19">
        <f t="shared" si="1233"/>
        <v>-10.3</v>
      </c>
      <c r="EW318" s="12">
        <f t="shared" si="1234"/>
        <v>8.8907255047043261</v>
      </c>
      <c r="EX318" s="19">
        <f t="shared" si="1235"/>
        <v>8.7827777777777776</v>
      </c>
      <c r="EY318" s="19">
        <f t="shared" si="1236"/>
        <v>8.7827777777777776</v>
      </c>
      <c r="FB318" s="12" t="s">
        <v>37</v>
      </c>
      <c r="FC318" s="12" t="s">
        <v>37</v>
      </c>
      <c r="FD318" s="12" t="s">
        <v>37</v>
      </c>
      <c r="FE318" s="12" t="s">
        <v>37</v>
      </c>
      <c r="FF318" s="20" t="s">
        <v>37</v>
      </c>
      <c r="FG318" s="12" t="s">
        <v>37</v>
      </c>
      <c r="FI318" s="12" t="s">
        <v>37</v>
      </c>
      <c r="FJ318" s="12" t="s">
        <v>37</v>
      </c>
      <c r="FK318" s="12" t="s">
        <v>37</v>
      </c>
      <c r="FL318" s="12" t="s">
        <v>37</v>
      </c>
      <c r="FM318" s="12" t="s">
        <v>37</v>
      </c>
      <c r="FN318" s="12" t="s">
        <v>37</v>
      </c>
      <c r="FP318" s="12" t="s">
        <v>37</v>
      </c>
      <c r="FQ318" s="12" t="s">
        <v>37</v>
      </c>
      <c r="FR318" s="12" t="s">
        <v>37</v>
      </c>
      <c r="FS318" s="12" t="s">
        <v>37</v>
      </c>
      <c r="FT318" s="12" t="s">
        <v>37</v>
      </c>
      <c r="FU318" s="12" t="s">
        <v>37</v>
      </c>
      <c r="FW318" s="12" t="s">
        <v>37</v>
      </c>
      <c r="FX318" s="12" t="s">
        <v>37</v>
      </c>
      <c r="FY318" s="12" t="s">
        <v>37</v>
      </c>
      <c r="FZ318" s="12" t="s">
        <v>37</v>
      </c>
      <c r="GA318" s="12" t="s">
        <v>37</v>
      </c>
      <c r="GB318" s="12" t="s">
        <v>37</v>
      </c>
      <c r="GO318" s="12" t="s">
        <v>660</v>
      </c>
      <c r="GP318" s="12" t="s">
        <v>340</v>
      </c>
      <c r="GQ318" s="12">
        <v>11.2</v>
      </c>
      <c r="GR318" s="12">
        <v>3.5</v>
      </c>
      <c r="GS318" s="13">
        <v>18</v>
      </c>
      <c r="GT318" s="19">
        <f t="shared" si="1264"/>
        <v>0.3125</v>
      </c>
      <c r="GU318" s="12">
        <v>9.5</v>
      </c>
      <c r="GV318" s="12">
        <v>3.7</v>
      </c>
      <c r="GW318" s="13">
        <v>18</v>
      </c>
      <c r="GX318" s="19">
        <f t="shared" si="1265"/>
        <v>0.38947368421052636</v>
      </c>
      <c r="GY318" s="19">
        <f t="shared" si="1266"/>
        <v>-0.16462197969455358</v>
      </c>
      <c r="GZ318" s="19">
        <f t="shared" si="1267"/>
        <v>1.3852555594028933E-2</v>
      </c>
      <c r="HA318" s="17" t="s">
        <v>63</v>
      </c>
      <c r="HB318" s="34" t="s">
        <v>345</v>
      </c>
      <c r="HC318" s="12">
        <v>3.5000000000000003E-2</v>
      </c>
      <c r="HD318" s="50">
        <f t="shared" si="1268"/>
        <v>6.0344110101271846E-3</v>
      </c>
      <c r="HE318" s="13">
        <v>3</v>
      </c>
      <c r="HG318" s="12">
        <v>4.7E-2</v>
      </c>
      <c r="HH318" s="50">
        <f t="shared" si="1269"/>
        <v>5.2571624384539382E-3</v>
      </c>
      <c r="HI318" s="13">
        <v>3</v>
      </c>
      <c r="HK318" s="19">
        <f t="shared" si="1270"/>
        <v>0.29479954022064481</v>
      </c>
      <c r="HL318" s="19">
        <f t="shared" si="1271"/>
        <v>1.4079080937294361E-2</v>
      </c>
      <c r="IK318" s="12" t="s">
        <v>37</v>
      </c>
      <c r="IL318" s="12" t="s">
        <v>37</v>
      </c>
      <c r="IM318" s="12" t="s">
        <v>37</v>
      </c>
      <c r="IO318" s="12" t="s">
        <v>37</v>
      </c>
      <c r="IP318" s="12" t="s">
        <v>37</v>
      </c>
      <c r="IQ318" s="12" t="s">
        <v>37</v>
      </c>
      <c r="IV318" s="32" t="s">
        <v>345</v>
      </c>
      <c r="IW318" s="12">
        <v>3.8</v>
      </c>
      <c r="IX318" s="50">
        <f t="shared" si="1272"/>
        <v>0.13912842198648792</v>
      </c>
      <c r="IY318" s="13">
        <v>3</v>
      </c>
      <c r="JA318" s="12">
        <v>3.8</v>
      </c>
      <c r="JB318" s="50">
        <f t="shared" si="1273"/>
        <v>0.10643347338567048</v>
      </c>
      <c r="JC318" s="13">
        <v>3</v>
      </c>
      <c r="JE318" s="19">
        <f t="shared" si="1274"/>
        <v>0</v>
      </c>
      <c r="JF318" s="19">
        <f t="shared" si="1275"/>
        <v>7.083287641133075E-4</v>
      </c>
      <c r="JH318" s="12" t="s">
        <v>37</v>
      </c>
      <c r="JI318" s="12" t="s">
        <v>37</v>
      </c>
      <c r="JJ318" s="13" t="s">
        <v>37</v>
      </c>
      <c r="JL318" s="12" t="s">
        <v>37</v>
      </c>
      <c r="JM318" s="12" t="s">
        <v>37</v>
      </c>
      <c r="JN318" s="12" t="s">
        <v>37</v>
      </c>
      <c r="JS318" s="12" t="s">
        <v>37</v>
      </c>
      <c r="JT318" s="12" t="s">
        <v>37</v>
      </c>
      <c r="JU318" s="13" t="s">
        <v>37</v>
      </c>
      <c r="JW318" s="12" t="s">
        <v>37</v>
      </c>
      <c r="JX318" s="12" t="s">
        <v>37</v>
      </c>
      <c r="JY318" s="12" t="s">
        <v>37</v>
      </c>
      <c r="KE318" s="12" t="s">
        <v>37</v>
      </c>
      <c r="KF318" s="12" t="s">
        <v>37</v>
      </c>
      <c r="KG318" s="13" t="s">
        <v>37</v>
      </c>
      <c r="KH318" s="12" t="s">
        <v>37</v>
      </c>
      <c r="KI318" s="12" t="s">
        <v>37</v>
      </c>
      <c r="KJ318" s="12" t="s">
        <v>37</v>
      </c>
      <c r="KK318" s="12" t="s">
        <v>42</v>
      </c>
      <c r="KL318" s="32" t="s">
        <v>345</v>
      </c>
      <c r="KM318" s="12">
        <v>5</v>
      </c>
      <c r="KN318" s="50">
        <f t="shared" si="1276"/>
        <v>0.59646520692429739</v>
      </c>
      <c r="KO318" s="11">
        <v>3</v>
      </c>
      <c r="KQ318" s="12">
        <v>5</v>
      </c>
      <c r="KR318" s="50">
        <f t="shared" si="1277"/>
        <v>0.52721715084318377</v>
      </c>
      <c r="KS318" s="11">
        <v>3</v>
      </c>
      <c r="KU318" s="19">
        <f t="shared" si="1278"/>
        <v>0</v>
      </c>
      <c r="KV318" s="19">
        <f t="shared" si="1279"/>
        <v>8.4497155628593234E-3</v>
      </c>
      <c r="KX318" s="12" t="s">
        <v>37</v>
      </c>
      <c r="KY318" s="12" t="s">
        <v>37</v>
      </c>
      <c r="KZ318" s="12" t="s">
        <v>37</v>
      </c>
      <c r="LB318" s="12" t="s">
        <v>37</v>
      </c>
      <c r="LC318" s="12" t="s">
        <v>37</v>
      </c>
      <c r="LD318" s="12" t="s">
        <v>37</v>
      </c>
      <c r="LI318" s="12" t="s">
        <v>37</v>
      </c>
      <c r="LJ318" s="12" t="s">
        <v>37</v>
      </c>
      <c r="LK318" s="12" t="s">
        <v>37</v>
      </c>
      <c r="LM318" s="12" t="s">
        <v>37</v>
      </c>
      <c r="LN318" s="12" t="s">
        <v>37</v>
      </c>
      <c r="LO318" s="12" t="s">
        <v>37</v>
      </c>
      <c r="LU318" s="12" t="s">
        <v>37</v>
      </c>
      <c r="LV318" s="12" t="s">
        <v>37</v>
      </c>
      <c r="LW318" s="12" t="s">
        <v>37</v>
      </c>
      <c r="LY318" s="12" t="s">
        <v>37</v>
      </c>
      <c r="LZ318" s="12" t="s">
        <v>37</v>
      </c>
      <c r="MA318" s="12" t="s">
        <v>37</v>
      </c>
      <c r="MF318" s="12" t="s">
        <v>37</v>
      </c>
      <c r="MG318" s="12" t="s">
        <v>37</v>
      </c>
      <c r="MH318" s="12" t="s">
        <v>37</v>
      </c>
      <c r="MJ318" s="12" t="s">
        <v>37</v>
      </c>
      <c r="MK318" s="12" t="s">
        <v>37</v>
      </c>
      <c r="ML318" s="12" t="s">
        <v>37</v>
      </c>
      <c r="MQ318" s="12" t="s">
        <v>37</v>
      </c>
      <c r="MR318" s="12" t="s">
        <v>37</v>
      </c>
      <c r="MS318" s="12" t="s">
        <v>37</v>
      </c>
      <c r="MU318" s="12" t="s">
        <v>37</v>
      </c>
      <c r="MV318" s="12" t="s">
        <v>37</v>
      </c>
      <c r="MW318" s="12" t="s">
        <v>37</v>
      </c>
      <c r="NC318" s="12" t="s">
        <v>37</v>
      </c>
      <c r="ND318" s="12" t="s">
        <v>37</v>
      </c>
      <c r="NE318" s="12" t="s">
        <v>37</v>
      </c>
      <c r="NG318" s="12" t="s">
        <v>37</v>
      </c>
      <c r="NH318" s="12" t="s">
        <v>37</v>
      </c>
      <c r="NI318" s="12" t="s">
        <v>37</v>
      </c>
      <c r="NO318" s="12" t="s">
        <v>37</v>
      </c>
      <c r="NP318" s="12" t="s">
        <v>37</v>
      </c>
      <c r="NQ318" s="12" t="s">
        <v>37</v>
      </c>
      <c r="NS318" s="12" t="s">
        <v>37</v>
      </c>
      <c r="NT318" s="12" t="s">
        <v>37</v>
      </c>
      <c r="NU318" s="12" t="s">
        <v>37</v>
      </c>
      <c r="OA318" s="12" t="s">
        <v>37</v>
      </c>
      <c r="OB318" s="12" t="s">
        <v>37</v>
      </c>
      <c r="OC318" s="12" t="s">
        <v>37</v>
      </c>
      <c r="OD318" s="12"/>
      <c r="OE318" s="12" t="s">
        <v>37</v>
      </c>
      <c r="OF318" s="12" t="s">
        <v>37</v>
      </c>
      <c r="OG318" s="12" t="s">
        <v>37</v>
      </c>
      <c r="OH318" s="12"/>
      <c r="OI318" s="12"/>
      <c r="OJ318" s="12"/>
      <c r="OM318" s="12" t="s">
        <v>37</v>
      </c>
      <c r="ON318" s="12" t="s">
        <v>37</v>
      </c>
      <c r="OO318" s="12" t="s">
        <v>37</v>
      </c>
      <c r="OP318" s="12" t="s">
        <v>37</v>
      </c>
      <c r="OQ318" s="12" t="s">
        <v>37</v>
      </c>
      <c r="OR318" s="12" t="s">
        <v>37</v>
      </c>
      <c r="OS318" s="12"/>
      <c r="OT318" s="12"/>
      <c r="OW318" s="12" t="s">
        <v>37</v>
      </c>
      <c r="OX318" s="12" t="s">
        <v>37</v>
      </c>
      <c r="OY318" s="13" t="s">
        <v>37</v>
      </c>
      <c r="OZ318" s="12" t="s">
        <v>37</v>
      </c>
      <c r="PA318" s="12" t="s">
        <v>37</v>
      </c>
      <c r="PB318" s="13" t="s">
        <v>37</v>
      </c>
      <c r="PG318" s="12" t="s">
        <v>37</v>
      </c>
      <c r="PH318" s="12" t="s">
        <v>37</v>
      </c>
      <c r="PI318" s="12" t="s">
        <v>37</v>
      </c>
      <c r="PJ318" s="12" t="s">
        <v>37</v>
      </c>
      <c r="PK318" s="12" t="s">
        <v>37</v>
      </c>
      <c r="PL318" s="12" t="s">
        <v>37</v>
      </c>
      <c r="PM318" s="12"/>
      <c r="PN318" s="12"/>
      <c r="PQ318" s="12" t="s">
        <v>37</v>
      </c>
      <c r="PR318" s="12" t="s">
        <v>37</v>
      </c>
      <c r="PS318" s="12" t="s">
        <v>37</v>
      </c>
      <c r="PT318" s="12" t="s">
        <v>37</v>
      </c>
      <c r="PU318" s="12" t="s">
        <v>37</v>
      </c>
      <c r="PV318" s="12" t="s">
        <v>37</v>
      </c>
      <c r="PW318" s="12"/>
      <c r="PX318" s="12"/>
      <c r="PZ318" s="12" t="s">
        <v>37</v>
      </c>
      <c r="QA318" s="12" t="s">
        <v>37</v>
      </c>
      <c r="QB318" s="12" t="s">
        <v>37</v>
      </c>
      <c r="QD318" s="12" t="s">
        <v>37</v>
      </c>
      <c r="QE318" s="12" t="s">
        <v>37</v>
      </c>
      <c r="QF318" s="12" t="s">
        <v>37</v>
      </c>
      <c r="QK318" s="12" t="s">
        <v>37</v>
      </c>
      <c r="QL318" s="12" t="s">
        <v>37</v>
      </c>
      <c r="QM318" s="12" t="s">
        <v>37</v>
      </c>
      <c r="QN318" s="12" t="s">
        <v>37</v>
      </c>
      <c r="QO318" s="12" t="s">
        <v>37</v>
      </c>
      <c r="QP318" s="12" t="s">
        <v>37</v>
      </c>
      <c r="QQ318" s="12"/>
      <c r="QR318" s="12"/>
      <c r="QU318" s="12" t="s">
        <v>37</v>
      </c>
      <c r="QV318" s="12" t="s">
        <v>37</v>
      </c>
      <c r="QW318" s="12" t="s">
        <v>37</v>
      </c>
      <c r="QX318" s="12" t="s">
        <v>37</v>
      </c>
      <c r="QY318" s="12" t="s">
        <v>37</v>
      </c>
      <c r="QZ318" s="12" t="s">
        <v>37</v>
      </c>
      <c r="RC318" s="12" t="s">
        <v>37</v>
      </c>
      <c r="RD318" s="12" t="s">
        <v>37</v>
      </c>
      <c r="RE318" s="13" t="s">
        <v>37</v>
      </c>
      <c r="RF318" s="12" t="s">
        <v>37</v>
      </c>
      <c r="RG318" s="12" t="s">
        <v>37</v>
      </c>
      <c r="RH318" s="13" t="s">
        <v>37</v>
      </c>
      <c r="RK318" s="12" t="s">
        <v>37</v>
      </c>
      <c r="RL318" s="12" t="s">
        <v>37</v>
      </c>
      <c r="RM318" s="11" t="s">
        <v>37</v>
      </c>
      <c r="RN318" s="12" t="s">
        <v>37</v>
      </c>
      <c r="RO318" s="12" t="s">
        <v>37</v>
      </c>
      <c r="RP318" s="11" t="s">
        <v>37</v>
      </c>
      <c r="RS318" s="12" t="s">
        <v>37</v>
      </c>
      <c r="RT318" s="12" t="s">
        <v>37</v>
      </c>
      <c r="RU318" s="12" t="s">
        <v>37</v>
      </c>
      <c r="RV318" s="12" t="s">
        <v>37</v>
      </c>
      <c r="RW318" s="12" t="s">
        <v>37</v>
      </c>
      <c r="RX318" s="12" t="s">
        <v>37</v>
      </c>
      <c r="SA318" s="12" t="s">
        <v>37</v>
      </c>
      <c r="SB318" s="12" t="s">
        <v>37</v>
      </c>
      <c r="SC318" s="12" t="s">
        <v>37</v>
      </c>
      <c r="SD318" s="12" t="s">
        <v>37</v>
      </c>
      <c r="SE318" s="12" t="s">
        <v>37</v>
      </c>
      <c r="SF318" s="12" t="s">
        <v>37</v>
      </c>
      <c r="SG318" s="12" t="s">
        <v>42</v>
      </c>
      <c r="SH318" s="12" t="s">
        <v>345</v>
      </c>
      <c r="SI318" s="12">
        <v>0.36699999999999999</v>
      </c>
      <c r="SJ318" s="50">
        <f t="shared" si="1280"/>
        <v>0.11384730664759588</v>
      </c>
      <c r="SK318" s="13">
        <v>3</v>
      </c>
      <c r="SM318" s="12">
        <v>0.501</v>
      </c>
      <c r="SN318" s="50">
        <f t="shared" si="1281"/>
        <v>0.13624020826089761</v>
      </c>
      <c r="SO318" s="13">
        <v>3</v>
      </c>
      <c r="SQ318" s="19">
        <f t="shared" si="1282"/>
        <v>0.31124425303029457</v>
      </c>
      <c r="SR318" s="19">
        <f t="shared" si="1283"/>
        <v>5.6726709270900996E-2</v>
      </c>
      <c r="SU318" s="12" t="s">
        <v>37</v>
      </c>
      <c r="SV318" s="12" t="s">
        <v>37</v>
      </c>
      <c r="SW318" s="12" t="s">
        <v>37</v>
      </c>
      <c r="SX318" s="12" t="s">
        <v>37</v>
      </c>
      <c r="SY318" s="12" t="s">
        <v>37</v>
      </c>
      <c r="SZ318" s="12" t="s">
        <v>37</v>
      </c>
      <c r="TA318" s="12"/>
      <c r="TB318" s="12"/>
      <c r="TE318" s="12" t="s">
        <v>37</v>
      </c>
      <c r="TF318" s="12" t="s">
        <v>37</v>
      </c>
      <c r="TG318" s="12" t="s">
        <v>37</v>
      </c>
      <c r="TH318" s="12" t="s">
        <v>37</v>
      </c>
      <c r="TI318" s="12" t="s">
        <v>37</v>
      </c>
      <c r="TJ318" s="12" t="s">
        <v>37</v>
      </c>
      <c r="TK318" s="12"/>
      <c r="TL318" s="12"/>
      <c r="TO318" s="12" t="s">
        <v>37</v>
      </c>
      <c r="TP318" s="12" t="s">
        <v>37</v>
      </c>
      <c r="TQ318" s="12" t="s">
        <v>37</v>
      </c>
      <c r="TR318" s="12" t="s">
        <v>37</v>
      </c>
      <c r="TS318" s="12" t="s">
        <v>37</v>
      </c>
      <c r="TT318" s="12" t="s">
        <v>37</v>
      </c>
      <c r="TU318" s="12"/>
      <c r="TV318" s="12"/>
      <c r="TY318" s="12" t="s">
        <v>37</v>
      </c>
      <c r="TZ318" s="12" t="s">
        <v>37</v>
      </c>
      <c r="UA318" s="12" t="s">
        <v>37</v>
      </c>
      <c r="UB318" s="12" t="s">
        <v>37</v>
      </c>
      <c r="UC318" s="12" t="s">
        <v>37</v>
      </c>
      <c r="UD318" s="12" t="s">
        <v>37</v>
      </c>
      <c r="UE318" s="12"/>
      <c r="UF318" s="12"/>
      <c r="UI318" s="12" t="s">
        <v>37</v>
      </c>
      <c r="UJ318" s="12" t="s">
        <v>37</v>
      </c>
      <c r="UK318" s="12" t="s">
        <v>37</v>
      </c>
      <c r="UL318" s="12" t="s">
        <v>37</v>
      </c>
      <c r="UM318" s="12" t="s">
        <v>37</v>
      </c>
      <c r="UN318" s="12" t="s">
        <v>37</v>
      </c>
      <c r="UO318" s="12"/>
      <c r="UP318" s="12"/>
      <c r="UR318" s="12" t="s">
        <v>37</v>
      </c>
      <c r="US318" s="12" t="s">
        <v>37</v>
      </c>
      <c r="UT318" s="12" t="s">
        <v>37</v>
      </c>
      <c r="UU318" s="12" t="s">
        <v>37</v>
      </c>
      <c r="UV318" s="12" t="s">
        <v>37</v>
      </c>
      <c r="UW318" s="12" t="s">
        <v>37</v>
      </c>
      <c r="UX318" s="12"/>
      <c r="UY318" s="12"/>
      <c r="VB318" s="12" t="s">
        <v>37</v>
      </c>
      <c r="VC318" s="12" t="s">
        <v>37</v>
      </c>
      <c r="VD318" s="12" t="s">
        <v>37</v>
      </c>
      <c r="VE318" s="12" t="s">
        <v>37</v>
      </c>
      <c r="VF318" s="12" t="s">
        <v>37</v>
      </c>
      <c r="VG318" s="12" t="s">
        <v>37</v>
      </c>
      <c r="VI318" s="12" t="s">
        <v>37</v>
      </c>
      <c r="VJ318" s="12" t="s">
        <v>37</v>
      </c>
      <c r="VK318" s="12" t="s">
        <v>37</v>
      </c>
      <c r="VL318" s="12" t="s">
        <v>37</v>
      </c>
      <c r="VM318" s="12" t="s">
        <v>37</v>
      </c>
      <c r="VN318" s="12" t="s">
        <v>37</v>
      </c>
      <c r="VQ318" s="12" t="s">
        <v>37</v>
      </c>
      <c r="VR318" s="12" t="s">
        <v>37</v>
      </c>
      <c r="VS318" s="12" t="s">
        <v>37</v>
      </c>
      <c r="VT318" s="12" t="s">
        <v>37</v>
      </c>
      <c r="VU318" s="12" t="s">
        <v>37</v>
      </c>
      <c r="VV318" s="12" t="s">
        <v>37</v>
      </c>
      <c r="VW318" s="12"/>
      <c r="VX318" s="12"/>
      <c r="WA318" s="12" t="s">
        <v>37</v>
      </c>
      <c r="WB318" s="12" t="s">
        <v>37</v>
      </c>
      <c r="WC318" s="12" t="s">
        <v>37</v>
      </c>
      <c r="WD318" s="12" t="s">
        <v>37</v>
      </c>
      <c r="WE318" s="12" t="s">
        <v>37</v>
      </c>
      <c r="WF318" s="12" t="s">
        <v>37</v>
      </c>
    </row>
    <row r="319" spans="1:604" ht="18" customHeight="1" x14ac:dyDescent="0.3">
      <c r="A319" s="11">
        <v>71</v>
      </c>
      <c r="B319" s="16" t="s">
        <v>406</v>
      </c>
      <c r="C319" s="12" t="s">
        <v>26</v>
      </c>
      <c r="D319" s="12" t="s">
        <v>54</v>
      </c>
      <c r="E319" s="40">
        <v>2.2999999999999998</v>
      </c>
      <c r="F319" s="14">
        <v>0</v>
      </c>
      <c r="G319" s="14">
        <v>0</v>
      </c>
      <c r="H319" s="12" t="s">
        <v>123</v>
      </c>
      <c r="I319" s="29">
        <v>61.783000000000001</v>
      </c>
      <c r="J319" s="29">
        <v>24.3</v>
      </c>
      <c r="K319" s="12" t="s">
        <v>775</v>
      </c>
      <c r="L319" s="12" t="s">
        <v>709</v>
      </c>
      <c r="M319" s="13">
        <v>150</v>
      </c>
      <c r="N319" s="14">
        <v>3</v>
      </c>
      <c r="O319" s="14">
        <v>709</v>
      </c>
      <c r="P319" s="14" t="s">
        <v>84</v>
      </c>
      <c r="Q319" s="75">
        <v>31</v>
      </c>
      <c r="R319" s="11" t="s">
        <v>1000</v>
      </c>
      <c r="S319" s="12" t="s">
        <v>93</v>
      </c>
      <c r="T319" s="12" t="s">
        <v>141</v>
      </c>
      <c r="U319" s="12" t="s">
        <v>163</v>
      </c>
      <c r="V319" s="12" t="s">
        <v>275</v>
      </c>
      <c r="W319" s="23" t="s">
        <v>408</v>
      </c>
      <c r="X319" s="12" t="s">
        <v>280</v>
      </c>
      <c r="Y319" s="12" t="s">
        <v>37</v>
      </c>
      <c r="Z319" s="12" t="s">
        <v>37</v>
      </c>
      <c r="AA319" s="32" t="s">
        <v>345</v>
      </c>
      <c r="AB319" s="12">
        <v>3.8</v>
      </c>
      <c r="AE319" s="12" t="s">
        <v>37</v>
      </c>
      <c r="AF319" s="12" t="s">
        <v>42</v>
      </c>
      <c r="AG319" s="32" t="s">
        <v>345</v>
      </c>
      <c r="AH319" s="12">
        <v>5</v>
      </c>
      <c r="AK319" s="12" t="s">
        <v>37</v>
      </c>
      <c r="AL319" s="32">
        <v>1992</v>
      </c>
      <c r="AM319" s="12" t="s">
        <v>344</v>
      </c>
      <c r="AO319" s="12" t="s">
        <v>37</v>
      </c>
      <c r="AP319" s="12" t="s">
        <v>108</v>
      </c>
      <c r="AQ319" s="12" t="s">
        <v>975</v>
      </c>
      <c r="AT319" s="12" t="s">
        <v>326</v>
      </c>
      <c r="AU319" s="12" t="s">
        <v>326</v>
      </c>
      <c r="AV319" s="13" t="s">
        <v>326</v>
      </c>
      <c r="AX319" s="12" t="s">
        <v>326</v>
      </c>
      <c r="AY319" s="12" t="s">
        <v>326</v>
      </c>
      <c r="AZ319" s="13" t="s">
        <v>326</v>
      </c>
      <c r="BE319" s="12" t="s">
        <v>326</v>
      </c>
      <c r="BF319" s="12" t="s">
        <v>326</v>
      </c>
      <c r="BG319" s="12" t="s">
        <v>326</v>
      </c>
      <c r="BI319" s="12" t="s">
        <v>326</v>
      </c>
      <c r="BJ319" s="12" t="s">
        <v>326</v>
      </c>
      <c r="BK319" s="12" t="s">
        <v>326</v>
      </c>
      <c r="BP319" s="12" t="s">
        <v>37</v>
      </c>
      <c r="BQ319" s="12" t="s">
        <v>37</v>
      </c>
      <c r="BR319" s="13" t="s">
        <v>37</v>
      </c>
      <c r="BT319" s="12" t="s">
        <v>37</v>
      </c>
      <c r="BU319" s="12" t="s">
        <v>37</v>
      </c>
      <c r="BV319" s="12" t="s">
        <v>37</v>
      </c>
      <c r="CA319" s="12" t="s">
        <v>37</v>
      </c>
      <c r="CB319" s="12" t="s">
        <v>37</v>
      </c>
      <c r="CC319" s="13" t="s">
        <v>37</v>
      </c>
      <c r="CE319" s="12" t="s">
        <v>37</v>
      </c>
      <c r="CF319" s="12" t="s">
        <v>37</v>
      </c>
      <c r="CG319" s="12" t="s">
        <v>37</v>
      </c>
      <c r="CN319" s="12" t="s">
        <v>37</v>
      </c>
      <c r="CO319" s="12" t="s">
        <v>37</v>
      </c>
      <c r="CP319" s="13" t="s">
        <v>37</v>
      </c>
      <c r="CR319" s="12" t="s">
        <v>37</v>
      </c>
      <c r="CS319" s="12" t="s">
        <v>37</v>
      </c>
      <c r="CT319" s="13" t="s">
        <v>37</v>
      </c>
      <c r="CX319" s="72"/>
      <c r="CY319" s="72"/>
      <c r="DA319" s="12" t="s">
        <v>37</v>
      </c>
      <c r="DB319" s="12" t="s">
        <v>37</v>
      </c>
      <c r="DC319" s="13" t="s">
        <v>37</v>
      </c>
      <c r="DE319" s="12" t="s">
        <v>37</v>
      </c>
      <c r="DF319" s="12" t="s">
        <v>37</v>
      </c>
      <c r="DG319" s="12" t="s">
        <v>37</v>
      </c>
      <c r="DM319" s="11" t="s">
        <v>47</v>
      </c>
      <c r="DN319" s="19">
        <v>38.4</v>
      </c>
      <c r="DO319" s="50">
        <f t="shared" si="1262"/>
        <v>42.81136470374112</v>
      </c>
      <c r="DP319" s="13">
        <v>12</v>
      </c>
      <c r="DR319" s="19">
        <v>22.1</v>
      </c>
      <c r="DS319" s="50">
        <f t="shared" si="1263"/>
        <v>82.592480111345324</v>
      </c>
      <c r="DT319" s="13">
        <v>12</v>
      </c>
      <c r="DV319" s="19">
        <f t="shared" si="1211"/>
        <v>-16.299999999999997</v>
      </c>
      <c r="DW319" s="12">
        <f t="shared" si="1212"/>
        <v>65.781193052192748</v>
      </c>
      <c r="DX319" s="72">
        <f t="shared" si="1251"/>
        <v>721.19422656164181</v>
      </c>
      <c r="DY319" s="72">
        <f t="shared" si="1252"/>
        <v>721.19422656164193</v>
      </c>
      <c r="EA319" s="19" t="s">
        <v>37</v>
      </c>
      <c r="EB319" s="19" t="s">
        <v>37</v>
      </c>
      <c r="EC319" s="72" t="s">
        <v>37</v>
      </c>
      <c r="EE319" s="19" t="s">
        <v>37</v>
      </c>
      <c r="EF319" s="19" t="s">
        <v>37</v>
      </c>
      <c r="EG319" s="12" t="s">
        <v>37</v>
      </c>
      <c r="EM319" s="12" t="s">
        <v>39</v>
      </c>
      <c r="EN319" s="12">
        <v>-27.8</v>
      </c>
      <c r="EO319" s="12">
        <v>9.3000000000000007</v>
      </c>
      <c r="EP319" s="13">
        <v>12</v>
      </c>
      <c r="EQ319" s="19">
        <f t="shared" si="1239"/>
        <v>0.33453237410071945</v>
      </c>
      <c r="ER319" s="12">
        <v>-31.9</v>
      </c>
      <c r="ES319" s="12">
        <v>7.5</v>
      </c>
      <c r="ET319" s="13">
        <v>12</v>
      </c>
      <c r="EU319" s="19">
        <f t="shared" si="1240"/>
        <v>0.23510971786833856</v>
      </c>
      <c r="EV319" s="19">
        <f t="shared" si="1233"/>
        <v>-4.0999999999999979</v>
      </c>
      <c r="EW319" s="12">
        <f t="shared" si="1234"/>
        <v>8.4480767041972342</v>
      </c>
      <c r="EX319" s="19">
        <f t="shared" si="1235"/>
        <v>11.895</v>
      </c>
      <c r="EY319" s="19">
        <f t="shared" si="1236"/>
        <v>11.895</v>
      </c>
      <c r="FB319" s="12" t="s">
        <v>37</v>
      </c>
      <c r="FC319" s="12" t="s">
        <v>37</v>
      </c>
      <c r="FD319" s="12" t="s">
        <v>37</v>
      </c>
      <c r="FE319" s="12" t="s">
        <v>37</v>
      </c>
      <c r="FF319" s="20" t="s">
        <v>37</v>
      </c>
      <c r="FG319" s="12" t="s">
        <v>37</v>
      </c>
      <c r="FI319" s="12" t="s">
        <v>37</v>
      </c>
      <c r="FJ319" s="12" t="s">
        <v>37</v>
      </c>
      <c r="FK319" s="12" t="s">
        <v>37</v>
      </c>
      <c r="FL319" s="12" t="s">
        <v>37</v>
      </c>
      <c r="FM319" s="12" t="s">
        <v>37</v>
      </c>
      <c r="FN319" s="12" t="s">
        <v>37</v>
      </c>
      <c r="FP319" s="12" t="s">
        <v>37</v>
      </c>
      <c r="FQ319" s="12" t="s">
        <v>37</v>
      </c>
      <c r="FR319" s="12" t="s">
        <v>37</v>
      </c>
      <c r="FS319" s="12" t="s">
        <v>37</v>
      </c>
      <c r="FT319" s="12" t="s">
        <v>37</v>
      </c>
      <c r="FU319" s="12" t="s">
        <v>37</v>
      </c>
      <c r="FW319" s="12" t="s">
        <v>37</v>
      </c>
      <c r="FX319" s="12" t="s">
        <v>37</v>
      </c>
      <c r="FY319" s="12" t="s">
        <v>37</v>
      </c>
      <c r="FZ319" s="12" t="s">
        <v>37</v>
      </c>
      <c r="GA319" s="12" t="s">
        <v>37</v>
      </c>
      <c r="GB319" s="12" t="s">
        <v>37</v>
      </c>
      <c r="GO319" s="12" t="s">
        <v>660</v>
      </c>
      <c r="GP319" s="12" t="s">
        <v>340</v>
      </c>
      <c r="GQ319" s="12">
        <v>11.5</v>
      </c>
      <c r="GR319" s="12">
        <v>0.7</v>
      </c>
      <c r="GS319" s="13">
        <v>12</v>
      </c>
      <c r="GT319" s="19">
        <f t="shared" si="1264"/>
        <v>6.08695652173913E-2</v>
      </c>
      <c r="GU319" s="12">
        <v>10.8</v>
      </c>
      <c r="GV319" s="12">
        <v>1</v>
      </c>
      <c r="GW319" s="13">
        <v>12</v>
      </c>
      <c r="GX319" s="19">
        <f t="shared" si="1265"/>
        <v>9.2592592592592587E-2</v>
      </c>
      <c r="GY319" s="19">
        <f t="shared" si="1266"/>
        <v>-6.2800901239030357E-2</v>
      </c>
      <c r="GZ319" s="19">
        <f t="shared" si="1267"/>
        <v>1.0232076810643403E-3</v>
      </c>
      <c r="HA319" s="17" t="s">
        <v>63</v>
      </c>
      <c r="HB319" s="34" t="s">
        <v>345</v>
      </c>
      <c r="HC319" s="12">
        <v>3.5000000000000003E-2</v>
      </c>
      <c r="HD319" s="50">
        <f t="shared" si="1268"/>
        <v>6.0344110101271846E-3</v>
      </c>
      <c r="HE319" s="13">
        <v>3</v>
      </c>
      <c r="HG319" s="12">
        <v>4.7E-2</v>
      </c>
      <c r="HH319" s="50">
        <f t="shared" si="1269"/>
        <v>5.2571624384539382E-3</v>
      </c>
      <c r="HI319" s="13">
        <v>3</v>
      </c>
      <c r="HK319" s="19">
        <f t="shared" si="1270"/>
        <v>0.29479954022064481</v>
      </c>
      <c r="HL319" s="19">
        <f t="shared" si="1271"/>
        <v>1.4079080937294361E-2</v>
      </c>
      <c r="IK319" s="12" t="s">
        <v>37</v>
      </c>
      <c r="IL319" s="12" t="s">
        <v>37</v>
      </c>
      <c r="IM319" s="12" t="s">
        <v>37</v>
      </c>
      <c r="IO319" s="12" t="s">
        <v>37</v>
      </c>
      <c r="IP319" s="12" t="s">
        <v>37</v>
      </c>
      <c r="IQ319" s="12" t="s">
        <v>37</v>
      </c>
      <c r="IV319" s="32" t="s">
        <v>345</v>
      </c>
      <c r="IW319" s="12">
        <v>3.8</v>
      </c>
      <c r="IX319" s="50">
        <f t="shared" si="1272"/>
        <v>0.13912842198648792</v>
      </c>
      <c r="IY319" s="13">
        <v>3</v>
      </c>
      <c r="JA319" s="12">
        <v>3.8</v>
      </c>
      <c r="JB319" s="50">
        <f t="shared" si="1273"/>
        <v>0.10643347338567048</v>
      </c>
      <c r="JC319" s="13">
        <v>3</v>
      </c>
      <c r="JE319" s="19">
        <f t="shared" si="1274"/>
        <v>0</v>
      </c>
      <c r="JF319" s="19">
        <f t="shared" si="1275"/>
        <v>7.083287641133075E-4</v>
      </c>
      <c r="JH319" s="12" t="s">
        <v>37</v>
      </c>
      <c r="JI319" s="12" t="s">
        <v>37</v>
      </c>
      <c r="JJ319" s="13" t="s">
        <v>37</v>
      </c>
      <c r="JL319" s="12" t="s">
        <v>37</v>
      </c>
      <c r="JM319" s="12" t="s">
        <v>37</v>
      </c>
      <c r="JN319" s="12" t="s">
        <v>37</v>
      </c>
      <c r="JS319" s="12" t="s">
        <v>37</v>
      </c>
      <c r="JT319" s="12" t="s">
        <v>37</v>
      </c>
      <c r="JU319" s="13" t="s">
        <v>37</v>
      </c>
      <c r="JW319" s="12" t="s">
        <v>37</v>
      </c>
      <c r="JX319" s="12" t="s">
        <v>37</v>
      </c>
      <c r="JY319" s="12" t="s">
        <v>37</v>
      </c>
      <c r="KE319" s="12" t="s">
        <v>37</v>
      </c>
      <c r="KF319" s="12" t="s">
        <v>37</v>
      </c>
      <c r="KG319" s="13" t="s">
        <v>37</v>
      </c>
      <c r="KH319" s="12" t="s">
        <v>37</v>
      </c>
      <c r="KI319" s="12" t="s">
        <v>37</v>
      </c>
      <c r="KJ319" s="12" t="s">
        <v>37</v>
      </c>
      <c r="KK319" s="12" t="s">
        <v>42</v>
      </c>
      <c r="KL319" s="32" t="s">
        <v>345</v>
      </c>
      <c r="KM319" s="12">
        <v>5</v>
      </c>
      <c r="KN319" s="50">
        <f t="shared" si="1276"/>
        <v>0.59646520692429739</v>
      </c>
      <c r="KO319" s="11">
        <v>3</v>
      </c>
      <c r="KQ319" s="12">
        <v>5</v>
      </c>
      <c r="KR319" s="50">
        <f t="shared" si="1277"/>
        <v>0.52721715084318377</v>
      </c>
      <c r="KS319" s="11">
        <v>3</v>
      </c>
      <c r="KU319" s="19">
        <f t="shared" si="1278"/>
        <v>0</v>
      </c>
      <c r="KV319" s="19">
        <f t="shared" si="1279"/>
        <v>8.4497155628593234E-3</v>
      </c>
      <c r="KX319" s="12" t="s">
        <v>37</v>
      </c>
      <c r="KY319" s="12" t="s">
        <v>37</v>
      </c>
      <c r="KZ319" s="12" t="s">
        <v>37</v>
      </c>
      <c r="LB319" s="12" t="s">
        <v>37</v>
      </c>
      <c r="LC319" s="12" t="s">
        <v>37</v>
      </c>
      <c r="LD319" s="12" t="s">
        <v>37</v>
      </c>
      <c r="LI319" s="12" t="s">
        <v>37</v>
      </c>
      <c r="LJ319" s="12" t="s">
        <v>37</v>
      </c>
      <c r="LK319" s="12" t="s">
        <v>37</v>
      </c>
      <c r="LM319" s="12" t="s">
        <v>37</v>
      </c>
      <c r="LN319" s="12" t="s">
        <v>37</v>
      </c>
      <c r="LO319" s="12" t="s">
        <v>37</v>
      </c>
      <c r="LU319" s="12" t="s">
        <v>37</v>
      </c>
      <c r="LV319" s="12" t="s">
        <v>37</v>
      </c>
      <c r="LW319" s="12" t="s">
        <v>37</v>
      </c>
      <c r="LY319" s="12" t="s">
        <v>37</v>
      </c>
      <c r="LZ319" s="12" t="s">
        <v>37</v>
      </c>
      <c r="MA319" s="12" t="s">
        <v>37</v>
      </c>
      <c r="MF319" s="12" t="s">
        <v>37</v>
      </c>
      <c r="MG319" s="12" t="s">
        <v>37</v>
      </c>
      <c r="MH319" s="12" t="s">
        <v>37</v>
      </c>
      <c r="MJ319" s="12" t="s">
        <v>37</v>
      </c>
      <c r="MK319" s="12" t="s">
        <v>37</v>
      </c>
      <c r="ML319" s="12" t="s">
        <v>37</v>
      </c>
      <c r="MQ319" s="12" t="s">
        <v>37</v>
      </c>
      <c r="MR319" s="12" t="s">
        <v>37</v>
      </c>
      <c r="MS319" s="12" t="s">
        <v>37</v>
      </c>
      <c r="MU319" s="12" t="s">
        <v>37</v>
      </c>
      <c r="MV319" s="12" t="s">
        <v>37</v>
      </c>
      <c r="MW319" s="12" t="s">
        <v>37</v>
      </c>
      <c r="NC319" s="12" t="s">
        <v>37</v>
      </c>
      <c r="ND319" s="12" t="s">
        <v>37</v>
      </c>
      <c r="NE319" s="12" t="s">
        <v>37</v>
      </c>
      <c r="NG319" s="12" t="s">
        <v>37</v>
      </c>
      <c r="NH319" s="12" t="s">
        <v>37</v>
      </c>
      <c r="NI319" s="12" t="s">
        <v>37</v>
      </c>
      <c r="NO319" s="12" t="s">
        <v>37</v>
      </c>
      <c r="NP319" s="12" t="s">
        <v>37</v>
      </c>
      <c r="NQ319" s="12" t="s">
        <v>37</v>
      </c>
      <c r="NS319" s="12" t="s">
        <v>37</v>
      </c>
      <c r="NT319" s="12" t="s">
        <v>37</v>
      </c>
      <c r="NU319" s="12" t="s">
        <v>37</v>
      </c>
      <c r="OA319" s="12" t="s">
        <v>37</v>
      </c>
      <c r="OB319" s="12" t="s">
        <v>37</v>
      </c>
      <c r="OC319" s="12" t="s">
        <v>37</v>
      </c>
      <c r="OD319" s="12"/>
      <c r="OE319" s="12" t="s">
        <v>37</v>
      </c>
      <c r="OF319" s="12" t="s">
        <v>37</v>
      </c>
      <c r="OG319" s="12" t="s">
        <v>37</v>
      </c>
      <c r="OH319" s="12"/>
      <c r="OI319" s="12"/>
      <c r="OJ319" s="12"/>
      <c r="OM319" s="12" t="s">
        <v>37</v>
      </c>
      <c r="ON319" s="12" t="s">
        <v>37</v>
      </c>
      <c r="OO319" s="12" t="s">
        <v>37</v>
      </c>
      <c r="OP319" s="12" t="s">
        <v>37</v>
      </c>
      <c r="OQ319" s="12" t="s">
        <v>37</v>
      </c>
      <c r="OR319" s="12" t="s">
        <v>37</v>
      </c>
      <c r="OS319" s="12"/>
      <c r="OT319" s="12"/>
      <c r="OW319" s="12" t="s">
        <v>37</v>
      </c>
      <c r="OX319" s="12" t="s">
        <v>37</v>
      </c>
      <c r="OY319" s="13" t="s">
        <v>37</v>
      </c>
      <c r="OZ319" s="12" t="s">
        <v>37</v>
      </c>
      <c r="PA319" s="12" t="s">
        <v>37</v>
      </c>
      <c r="PB319" s="13" t="s">
        <v>37</v>
      </c>
      <c r="PG319" s="12" t="s">
        <v>37</v>
      </c>
      <c r="PH319" s="12" t="s">
        <v>37</v>
      </c>
      <c r="PI319" s="12" t="s">
        <v>37</v>
      </c>
      <c r="PJ319" s="12" t="s">
        <v>37</v>
      </c>
      <c r="PK319" s="12" t="s">
        <v>37</v>
      </c>
      <c r="PL319" s="12" t="s">
        <v>37</v>
      </c>
      <c r="PM319" s="12"/>
      <c r="PN319" s="12"/>
      <c r="PQ319" s="12" t="s">
        <v>37</v>
      </c>
      <c r="PR319" s="12" t="s">
        <v>37</v>
      </c>
      <c r="PS319" s="12" t="s">
        <v>37</v>
      </c>
      <c r="PT319" s="12" t="s">
        <v>37</v>
      </c>
      <c r="PU319" s="12" t="s">
        <v>37</v>
      </c>
      <c r="PV319" s="12" t="s">
        <v>37</v>
      </c>
      <c r="PW319" s="12"/>
      <c r="PX319" s="12"/>
      <c r="PZ319" s="12" t="s">
        <v>37</v>
      </c>
      <c r="QA319" s="12" t="s">
        <v>37</v>
      </c>
      <c r="QB319" s="12" t="s">
        <v>37</v>
      </c>
      <c r="QD319" s="12" t="s">
        <v>37</v>
      </c>
      <c r="QE319" s="12" t="s">
        <v>37</v>
      </c>
      <c r="QF319" s="12" t="s">
        <v>37</v>
      </c>
      <c r="QK319" s="12" t="s">
        <v>37</v>
      </c>
      <c r="QL319" s="12" t="s">
        <v>37</v>
      </c>
      <c r="QM319" s="12" t="s">
        <v>37</v>
      </c>
      <c r="QN319" s="12" t="s">
        <v>37</v>
      </c>
      <c r="QO319" s="12" t="s">
        <v>37</v>
      </c>
      <c r="QP319" s="12" t="s">
        <v>37</v>
      </c>
      <c r="QQ319" s="12"/>
      <c r="QR319" s="12"/>
      <c r="QU319" s="12" t="s">
        <v>37</v>
      </c>
      <c r="QV319" s="12" t="s">
        <v>37</v>
      </c>
      <c r="QW319" s="12" t="s">
        <v>37</v>
      </c>
      <c r="QX319" s="12" t="s">
        <v>37</v>
      </c>
      <c r="QY319" s="12" t="s">
        <v>37</v>
      </c>
      <c r="QZ319" s="12" t="s">
        <v>37</v>
      </c>
      <c r="RC319" s="12" t="s">
        <v>37</v>
      </c>
      <c r="RD319" s="12" t="s">
        <v>37</v>
      </c>
      <c r="RE319" s="13" t="s">
        <v>37</v>
      </c>
      <c r="RF319" s="12" t="s">
        <v>37</v>
      </c>
      <c r="RG319" s="12" t="s">
        <v>37</v>
      </c>
      <c r="RH319" s="13" t="s">
        <v>37</v>
      </c>
      <c r="RK319" s="12" t="s">
        <v>37</v>
      </c>
      <c r="RL319" s="12" t="s">
        <v>37</v>
      </c>
      <c r="RM319" s="11" t="s">
        <v>37</v>
      </c>
      <c r="RN319" s="12" t="s">
        <v>37</v>
      </c>
      <c r="RO319" s="12" t="s">
        <v>37</v>
      </c>
      <c r="RP319" s="11" t="s">
        <v>37</v>
      </c>
      <c r="RS319" s="12" t="s">
        <v>37</v>
      </c>
      <c r="RT319" s="12" t="s">
        <v>37</v>
      </c>
      <c r="RU319" s="12" t="s">
        <v>37</v>
      </c>
      <c r="RV319" s="12" t="s">
        <v>37</v>
      </c>
      <c r="RW319" s="12" t="s">
        <v>37</v>
      </c>
      <c r="RX319" s="12" t="s">
        <v>37</v>
      </c>
      <c r="SA319" s="12" t="s">
        <v>37</v>
      </c>
      <c r="SB319" s="12" t="s">
        <v>37</v>
      </c>
      <c r="SC319" s="12" t="s">
        <v>37</v>
      </c>
      <c r="SD319" s="12" t="s">
        <v>37</v>
      </c>
      <c r="SE319" s="12" t="s">
        <v>37</v>
      </c>
      <c r="SF319" s="12" t="s">
        <v>37</v>
      </c>
      <c r="SG319" s="12" t="s">
        <v>42</v>
      </c>
      <c r="SH319" s="12" t="s">
        <v>345</v>
      </c>
      <c r="SI319" s="12">
        <v>0.36699999999999999</v>
      </c>
      <c r="SJ319" s="50">
        <f t="shared" si="1280"/>
        <v>0.11384730664759588</v>
      </c>
      <c r="SK319" s="13">
        <v>3</v>
      </c>
      <c r="SM319" s="12">
        <v>0.501</v>
      </c>
      <c r="SN319" s="50">
        <f t="shared" si="1281"/>
        <v>0.13624020826089761</v>
      </c>
      <c r="SO319" s="13">
        <v>3</v>
      </c>
      <c r="SQ319" s="19">
        <f t="shared" si="1282"/>
        <v>0.31124425303029457</v>
      </c>
      <c r="SR319" s="19">
        <f t="shared" si="1283"/>
        <v>5.6726709270900996E-2</v>
      </c>
      <c r="SU319" s="12" t="s">
        <v>37</v>
      </c>
      <c r="SV319" s="12" t="s">
        <v>37</v>
      </c>
      <c r="SW319" s="12" t="s">
        <v>37</v>
      </c>
      <c r="SX319" s="12" t="s">
        <v>37</v>
      </c>
      <c r="SY319" s="12" t="s">
        <v>37</v>
      </c>
      <c r="SZ319" s="12" t="s">
        <v>37</v>
      </c>
      <c r="TA319" s="12"/>
      <c r="TB319" s="12"/>
      <c r="TE319" s="12" t="s">
        <v>37</v>
      </c>
      <c r="TF319" s="12" t="s">
        <v>37</v>
      </c>
      <c r="TG319" s="12" t="s">
        <v>37</v>
      </c>
      <c r="TH319" s="12" t="s">
        <v>37</v>
      </c>
      <c r="TI319" s="12" t="s">
        <v>37</v>
      </c>
      <c r="TJ319" s="12" t="s">
        <v>37</v>
      </c>
      <c r="TK319" s="12"/>
      <c r="TL319" s="12"/>
      <c r="TO319" s="12" t="s">
        <v>37</v>
      </c>
      <c r="TP319" s="12" t="s">
        <v>37</v>
      </c>
      <c r="TQ319" s="12" t="s">
        <v>37</v>
      </c>
      <c r="TR319" s="12" t="s">
        <v>37</v>
      </c>
      <c r="TS319" s="12" t="s">
        <v>37</v>
      </c>
      <c r="TT319" s="12" t="s">
        <v>37</v>
      </c>
      <c r="TU319" s="12"/>
      <c r="TV319" s="12"/>
      <c r="TY319" s="12" t="s">
        <v>37</v>
      </c>
      <c r="TZ319" s="12" t="s">
        <v>37</v>
      </c>
      <c r="UA319" s="12" t="s">
        <v>37</v>
      </c>
      <c r="UB319" s="12" t="s">
        <v>37</v>
      </c>
      <c r="UC319" s="12" t="s">
        <v>37</v>
      </c>
      <c r="UD319" s="12" t="s">
        <v>37</v>
      </c>
      <c r="UE319" s="12"/>
      <c r="UF319" s="12"/>
      <c r="UI319" s="12" t="s">
        <v>37</v>
      </c>
      <c r="UJ319" s="12" t="s">
        <v>37</v>
      </c>
      <c r="UK319" s="12" t="s">
        <v>37</v>
      </c>
      <c r="UL319" s="12" t="s">
        <v>37</v>
      </c>
      <c r="UM319" s="12" t="s">
        <v>37</v>
      </c>
      <c r="UN319" s="12" t="s">
        <v>37</v>
      </c>
      <c r="UO319" s="12"/>
      <c r="UP319" s="12"/>
      <c r="UR319" s="12" t="s">
        <v>37</v>
      </c>
      <c r="US319" s="12" t="s">
        <v>37</v>
      </c>
      <c r="UT319" s="12" t="s">
        <v>37</v>
      </c>
      <c r="UU319" s="12" t="s">
        <v>37</v>
      </c>
      <c r="UV319" s="12" t="s">
        <v>37</v>
      </c>
      <c r="UW319" s="12" t="s">
        <v>37</v>
      </c>
      <c r="UX319" s="12"/>
      <c r="UY319" s="12"/>
      <c r="VB319" s="12" t="s">
        <v>37</v>
      </c>
      <c r="VC319" s="12" t="s">
        <v>37</v>
      </c>
      <c r="VD319" s="12" t="s">
        <v>37</v>
      </c>
      <c r="VE319" s="12" t="s">
        <v>37</v>
      </c>
      <c r="VF319" s="12" t="s">
        <v>37</v>
      </c>
      <c r="VG319" s="12" t="s">
        <v>37</v>
      </c>
      <c r="VI319" s="12" t="s">
        <v>37</v>
      </c>
      <c r="VJ319" s="12" t="s">
        <v>37</v>
      </c>
      <c r="VK319" s="12" t="s">
        <v>37</v>
      </c>
      <c r="VL319" s="12" t="s">
        <v>37</v>
      </c>
      <c r="VM319" s="12" t="s">
        <v>37</v>
      </c>
      <c r="VN319" s="12" t="s">
        <v>37</v>
      </c>
      <c r="VQ319" s="12" t="s">
        <v>37</v>
      </c>
      <c r="VR319" s="12" t="s">
        <v>37</v>
      </c>
      <c r="VS319" s="12" t="s">
        <v>37</v>
      </c>
      <c r="VT319" s="12" t="s">
        <v>37</v>
      </c>
      <c r="VU319" s="12" t="s">
        <v>37</v>
      </c>
      <c r="VV319" s="12" t="s">
        <v>37</v>
      </c>
      <c r="VW319" s="12"/>
      <c r="VX319" s="12"/>
      <c r="WA319" s="12" t="s">
        <v>37</v>
      </c>
      <c r="WB319" s="12" t="s">
        <v>37</v>
      </c>
      <c r="WC319" s="12" t="s">
        <v>37</v>
      </c>
      <c r="WD319" s="12" t="s">
        <v>37</v>
      </c>
      <c r="WE319" s="12" t="s">
        <v>37</v>
      </c>
      <c r="WF319" s="12" t="s">
        <v>37</v>
      </c>
    </row>
    <row r="320" spans="1:604" ht="18" customHeight="1" x14ac:dyDescent="0.3">
      <c r="A320" s="11">
        <v>71</v>
      </c>
      <c r="B320" s="16" t="s">
        <v>406</v>
      </c>
      <c r="C320" s="12" t="s">
        <v>26</v>
      </c>
      <c r="D320" s="12" t="s">
        <v>54</v>
      </c>
      <c r="E320" s="40">
        <v>1.9</v>
      </c>
      <c r="F320" s="14">
        <v>0</v>
      </c>
      <c r="G320" s="14">
        <v>0</v>
      </c>
      <c r="H320" s="12" t="s">
        <v>123</v>
      </c>
      <c r="I320" s="29">
        <v>61.783000000000001</v>
      </c>
      <c r="J320" s="29">
        <v>24.3</v>
      </c>
      <c r="K320" s="12" t="s">
        <v>775</v>
      </c>
      <c r="L320" s="12" t="s">
        <v>709</v>
      </c>
      <c r="M320" s="13">
        <v>150</v>
      </c>
      <c r="N320" s="14">
        <v>3</v>
      </c>
      <c r="O320" s="14">
        <v>709</v>
      </c>
      <c r="P320" s="14" t="s">
        <v>84</v>
      </c>
      <c r="Q320" s="75">
        <v>30</v>
      </c>
      <c r="R320" s="11" t="s">
        <v>1000</v>
      </c>
      <c r="S320" s="12" t="s">
        <v>93</v>
      </c>
      <c r="T320" s="12" t="s">
        <v>141</v>
      </c>
      <c r="U320" s="12" t="s">
        <v>158</v>
      </c>
      <c r="V320" s="12" t="s">
        <v>275</v>
      </c>
      <c r="W320" s="23" t="s">
        <v>408</v>
      </c>
      <c r="X320" s="12" t="s">
        <v>280</v>
      </c>
      <c r="Y320" s="12" t="s">
        <v>37</v>
      </c>
      <c r="Z320" s="12" t="s">
        <v>37</v>
      </c>
      <c r="AA320" s="32" t="s">
        <v>345</v>
      </c>
      <c r="AB320" s="12">
        <v>3.8</v>
      </c>
      <c r="AE320" s="12" t="s">
        <v>37</v>
      </c>
      <c r="AF320" s="12" t="s">
        <v>42</v>
      </c>
      <c r="AG320" s="32" t="s">
        <v>345</v>
      </c>
      <c r="AH320" s="12">
        <v>9</v>
      </c>
      <c r="AK320" s="12" t="s">
        <v>37</v>
      </c>
      <c r="AL320" s="32">
        <v>1991</v>
      </c>
      <c r="AM320" s="12" t="s">
        <v>344</v>
      </c>
      <c r="AO320" s="12" t="s">
        <v>37</v>
      </c>
      <c r="AP320" s="12" t="s">
        <v>108</v>
      </c>
      <c r="AQ320" s="12" t="s">
        <v>975</v>
      </c>
      <c r="AT320" s="12" t="s">
        <v>326</v>
      </c>
      <c r="AU320" s="12" t="s">
        <v>326</v>
      </c>
      <c r="AV320" s="13" t="s">
        <v>326</v>
      </c>
      <c r="AX320" s="12" t="s">
        <v>326</v>
      </c>
      <c r="AY320" s="12" t="s">
        <v>326</v>
      </c>
      <c r="AZ320" s="13" t="s">
        <v>326</v>
      </c>
      <c r="BE320" s="12" t="s">
        <v>326</v>
      </c>
      <c r="BF320" s="12" t="s">
        <v>326</v>
      </c>
      <c r="BG320" s="12" t="s">
        <v>326</v>
      </c>
      <c r="BI320" s="12" t="s">
        <v>326</v>
      </c>
      <c r="BJ320" s="12" t="s">
        <v>326</v>
      </c>
      <c r="BK320" s="12" t="s">
        <v>326</v>
      </c>
      <c r="BP320" s="12" t="s">
        <v>37</v>
      </c>
      <c r="BQ320" s="12" t="s">
        <v>37</v>
      </c>
      <c r="BR320" s="13" t="s">
        <v>37</v>
      </c>
      <c r="BT320" s="12" t="s">
        <v>37</v>
      </c>
      <c r="BU320" s="12" t="s">
        <v>37</v>
      </c>
      <c r="BV320" s="12" t="s">
        <v>37</v>
      </c>
      <c r="CA320" s="12" t="s">
        <v>37</v>
      </c>
      <c r="CB320" s="12" t="s">
        <v>37</v>
      </c>
      <c r="CC320" s="13" t="s">
        <v>37</v>
      </c>
      <c r="CE320" s="12" t="s">
        <v>37</v>
      </c>
      <c r="CF320" s="12" t="s">
        <v>37</v>
      </c>
      <c r="CG320" s="12" t="s">
        <v>37</v>
      </c>
      <c r="CN320" s="12" t="s">
        <v>37</v>
      </c>
      <c r="CO320" s="12" t="s">
        <v>37</v>
      </c>
      <c r="CP320" s="13" t="s">
        <v>37</v>
      </c>
      <c r="CR320" s="12" t="s">
        <v>37</v>
      </c>
      <c r="CS320" s="12" t="s">
        <v>37</v>
      </c>
      <c r="CT320" s="13" t="s">
        <v>37</v>
      </c>
      <c r="CX320" s="72"/>
      <c r="CY320" s="72"/>
      <c r="DA320" s="12" t="s">
        <v>37</v>
      </c>
      <c r="DB320" s="12" t="s">
        <v>37</v>
      </c>
      <c r="DC320" s="13" t="s">
        <v>37</v>
      </c>
      <c r="DE320" s="12" t="s">
        <v>37</v>
      </c>
      <c r="DF320" s="12" t="s">
        <v>37</v>
      </c>
      <c r="DG320" s="12" t="s">
        <v>37</v>
      </c>
      <c r="DM320" s="11" t="s">
        <v>47</v>
      </c>
      <c r="DN320" s="19">
        <v>78.099999999999994</v>
      </c>
      <c r="DO320" s="50">
        <f t="shared" si="1262"/>
        <v>87.072072483390144</v>
      </c>
      <c r="DP320" s="13">
        <v>17</v>
      </c>
      <c r="DR320" s="19">
        <v>34.9</v>
      </c>
      <c r="DS320" s="50">
        <f t="shared" si="1263"/>
        <v>130.42884868262223</v>
      </c>
      <c r="DT320" s="13">
        <v>18</v>
      </c>
      <c r="DV320" s="19">
        <f t="shared" si="1211"/>
        <v>-43.199999999999996</v>
      </c>
      <c r="DW320" s="12">
        <f t="shared" si="1212"/>
        <v>111.53248888977926</v>
      </c>
      <c r="DX320" s="72">
        <f t="shared" si="1251"/>
        <v>1422.8181788503452</v>
      </c>
      <c r="DY320" s="72">
        <f t="shared" si="1252"/>
        <v>1391.0668698869727</v>
      </c>
      <c r="EA320" s="19" t="s">
        <v>37</v>
      </c>
      <c r="EB320" s="19" t="s">
        <v>37</v>
      </c>
      <c r="EC320" s="72" t="s">
        <v>37</v>
      </c>
      <c r="EE320" s="19" t="s">
        <v>37</v>
      </c>
      <c r="EF320" s="19" t="s">
        <v>37</v>
      </c>
      <c r="EG320" s="12" t="s">
        <v>37</v>
      </c>
      <c r="EM320" s="12" t="s">
        <v>39</v>
      </c>
      <c r="EN320" s="12">
        <v>-7.1</v>
      </c>
      <c r="EO320" s="12">
        <v>4.7</v>
      </c>
      <c r="EP320" s="13">
        <v>17</v>
      </c>
      <c r="EQ320" s="19">
        <f t="shared" si="1239"/>
        <v>0.6619718309859155</v>
      </c>
      <c r="ER320" s="12">
        <v>-11.8</v>
      </c>
      <c r="ES320" s="12">
        <v>6.6</v>
      </c>
      <c r="ET320" s="13">
        <v>18</v>
      </c>
      <c r="EU320" s="19">
        <f t="shared" si="1240"/>
        <v>0.55932203389830504</v>
      </c>
      <c r="EV320" s="19">
        <f t="shared" si="1233"/>
        <v>-4.7000000000000011</v>
      </c>
      <c r="EW320" s="12">
        <f t="shared" si="1234"/>
        <v>5.7576299837956793</v>
      </c>
      <c r="EX320" s="19">
        <f t="shared" si="1235"/>
        <v>3.7917013269954443</v>
      </c>
      <c r="EY320" s="19">
        <f t="shared" si="1236"/>
        <v>3.7194117647058826</v>
      </c>
      <c r="FB320" s="12" t="s">
        <v>37</v>
      </c>
      <c r="FC320" s="12" t="s">
        <v>37</v>
      </c>
      <c r="FD320" s="12" t="s">
        <v>37</v>
      </c>
      <c r="FE320" s="12" t="s">
        <v>37</v>
      </c>
      <c r="FF320" s="20" t="s">
        <v>37</v>
      </c>
      <c r="FG320" s="12" t="s">
        <v>37</v>
      </c>
      <c r="FI320" s="12" t="s">
        <v>37</v>
      </c>
      <c r="FJ320" s="12" t="s">
        <v>37</v>
      </c>
      <c r="FK320" s="12" t="s">
        <v>37</v>
      </c>
      <c r="FL320" s="12" t="s">
        <v>37</v>
      </c>
      <c r="FM320" s="12" t="s">
        <v>37</v>
      </c>
      <c r="FN320" s="12" t="s">
        <v>37</v>
      </c>
      <c r="FP320" s="12" t="s">
        <v>37</v>
      </c>
      <c r="FQ320" s="12" t="s">
        <v>37</v>
      </c>
      <c r="FR320" s="12" t="s">
        <v>37</v>
      </c>
      <c r="FS320" s="12" t="s">
        <v>37</v>
      </c>
      <c r="FT320" s="12" t="s">
        <v>37</v>
      </c>
      <c r="FU320" s="12" t="s">
        <v>37</v>
      </c>
      <c r="FW320" s="12" t="s">
        <v>37</v>
      </c>
      <c r="FX320" s="12" t="s">
        <v>37</v>
      </c>
      <c r="FY320" s="12" t="s">
        <v>37</v>
      </c>
      <c r="FZ320" s="12" t="s">
        <v>37</v>
      </c>
      <c r="GA320" s="12" t="s">
        <v>37</v>
      </c>
      <c r="GB320" s="12" t="s">
        <v>37</v>
      </c>
      <c r="GO320" s="12" t="s">
        <v>660</v>
      </c>
      <c r="GP320" s="12" t="s">
        <v>340</v>
      </c>
      <c r="GQ320" s="12">
        <v>10.9</v>
      </c>
      <c r="GR320" s="12">
        <v>3.5</v>
      </c>
      <c r="GS320" s="13">
        <v>17</v>
      </c>
      <c r="GT320" s="19">
        <f t="shared" si="1264"/>
        <v>0.32110091743119262</v>
      </c>
      <c r="GU320" s="12">
        <v>10.9</v>
      </c>
      <c r="GV320" s="12">
        <v>3.1</v>
      </c>
      <c r="GW320" s="13">
        <v>18</v>
      </c>
      <c r="GX320" s="19">
        <f t="shared" si="1265"/>
        <v>0.28440366972477066</v>
      </c>
      <c r="GY320" s="19">
        <f t="shared" si="1266"/>
        <v>0</v>
      </c>
      <c r="GZ320" s="19">
        <f t="shared" si="1267"/>
        <v>1.0558682974354066E-2</v>
      </c>
      <c r="HA320" s="17" t="s">
        <v>63</v>
      </c>
      <c r="HB320" s="34" t="s">
        <v>345</v>
      </c>
      <c r="HC320" s="12">
        <v>3.7999999999999999E-2</v>
      </c>
      <c r="HD320" s="50">
        <f t="shared" si="1268"/>
        <v>6.5516462395666568E-3</v>
      </c>
      <c r="HE320" s="13">
        <v>3</v>
      </c>
      <c r="HG320" s="12">
        <v>3.5999999999999997E-2</v>
      </c>
      <c r="HH320" s="50">
        <f t="shared" si="1269"/>
        <v>4.0267627188157826E-3</v>
      </c>
      <c r="HI320" s="13">
        <v>3</v>
      </c>
      <c r="HK320" s="19">
        <f t="shared" si="1270"/>
        <v>-5.4067221270275821E-2</v>
      </c>
      <c r="HL320" s="19">
        <f t="shared" si="1271"/>
        <v>1.4079080937294361E-2</v>
      </c>
      <c r="IK320" s="12" t="s">
        <v>37</v>
      </c>
      <c r="IL320" s="12" t="s">
        <v>37</v>
      </c>
      <c r="IM320" s="12" t="s">
        <v>37</v>
      </c>
      <c r="IO320" s="12" t="s">
        <v>37</v>
      </c>
      <c r="IP320" s="12" t="s">
        <v>37</v>
      </c>
      <c r="IQ320" s="12" t="s">
        <v>37</v>
      </c>
      <c r="IV320" s="32" t="s">
        <v>345</v>
      </c>
      <c r="IW320" s="12">
        <v>3.8</v>
      </c>
      <c r="IX320" s="50">
        <f t="shared" si="1272"/>
        <v>0.13912842198648792</v>
      </c>
      <c r="IY320" s="13">
        <v>3</v>
      </c>
      <c r="JA320" s="12">
        <v>3.8</v>
      </c>
      <c r="JB320" s="50">
        <f t="shared" si="1273"/>
        <v>0.10643347338567048</v>
      </c>
      <c r="JC320" s="13">
        <v>3</v>
      </c>
      <c r="JE320" s="19">
        <f t="shared" si="1274"/>
        <v>0</v>
      </c>
      <c r="JF320" s="19">
        <f t="shared" si="1275"/>
        <v>7.083287641133075E-4</v>
      </c>
      <c r="JH320" s="12" t="s">
        <v>37</v>
      </c>
      <c r="JI320" s="12" t="s">
        <v>37</v>
      </c>
      <c r="JJ320" s="13" t="s">
        <v>37</v>
      </c>
      <c r="JL320" s="12" t="s">
        <v>37</v>
      </c>
      <c r="JM320" s="12" t="s">
        <v>37</v>
      </c>
      <c r="JN320" s="12" t="s">
        <v>37</v>
      </c>
      <c r="JS320" s="12" t="s">
        <v>37</v>
      </c>
      <c r="JT320" s="12" t="s">
        <v>37</v>
      </c>
      <c r="JU320" s="13" t="s">
        <v>37</v>
      </c>
      <c r="JW320" s="12" t="s">
        <v>37</v>
      </c>
      <c r="JX320" s="12" t="s">
        <v>37</v>
      </c>
      <c r="JY320" s="12" t="s">
        <v>37</v>
      </c>
      <c r="KE320" s="12" t="s">
        <v>37</v>
      </c>
      <c r="KF320" s="12" t="s">
        <v>37</v>
      </c>
      <c r="KG320" s="13" t="s">
        <v>37</v>
      </c>
      <c r="KH320" s="12" t="s">
        <v>37</v>
      </c>
      <c r="KI320" s="12" t="s">
        <v>37</v>
      </c>
      <c r="KJ320" s="12" t="s">
        <v>37</v>
      </c>
      <c r="KK320" s="12" t="s">
        <v>42</v>
      </c>
      <c r="KL320" s="32" t="s">
        <v>345</v>
      </c>
      <c r="KM320" s="12">
        <v>9</v>
      </c>
      <c r="KN320" s="50">
        <f t="shared" si="1276"/>
        <v>1.0736373724637354</v>
      </c>
      <c r="KO320" s="11">
        <v>3</v>
      </c>
      <c r="KQ320" s="12">
        <v>10</v>
      </c>
      <c r="KR320" s="50">
        <f t="shared" si="1277"/>
        <v>1.0544343016863675</v>
      </c>
      <c r="KS320" s="11">
        <v>3</v>
      </c>
      <c r="KU320" s="19">
        <f t="shared" si="1278"/>
        <v>0.10536051565782635</v>
      </c>
      <c r="KV320" s="19">
        <f t="shared" si="1279"/>
        <v>8.4497155628593251E-3</v>
      </c>
      <c r="KX320" s="12" t="s">
        <v>37</v>
      </c>
      <c r="KY320" s="12" t="s">
        <v>37</v>
      </c>
      <c r="KZ320" s="12" t="s">
        <v>37</v>
      </c>
      <c r="LB320" s="12" t="s">
        <v>37</v>
      </c>
      <c r="LC320" s="12" t="s">
        <v>37</v>
      </c>
      <c r="LD320" s="12" t="s">
        <v>37</v>
      </c>
      <c r="LI320" s="12" t="s">
        <v>37</v>
      </c>
      <c r="LJ320" s="12" t="s">
        <v>37</v>
      </c>
      <c r="LK320" s="12" t="s">
        <v>37</v>
      </c>
      <c r="LM320" s="12" t="s">
        <v>37</v>
      </c>
      <c r="LN320" s="12" t="s">
        <v>37</v>
      </c>
      <c r="LO320" s="12" t="s">
        <v>37</v>
      </c>
      <c r="LU320" s="12" t="s">
        <v>37</v>
      </c>
      <c r="LV320" s="12" t="s">
        <v>37</v>
      </c>
      <c r="LW320" s="12" t="s">
        <v>37</v>
      </c>
      <c r="LY320" s="12" t="s">
        <v>37</v>
      </c>
      <c r="LZ320" s="12" t="s">
        <v>37</v>
      </c>
      <c r="MA320" s="12" t="s">
        <v>37</v>
      </c>
      <c r="MF320" s="12" t="s">
        <v>37</v>
      </c>
      <c r="MG320" s="12" t="s">
        <v>37</v>
      </c>
      <c r="MH320" s="12" t="s">
        <v>37</v>
      </c>
      <c r="MJ320" s="12" t="s">
        <v>37</v>
      </c>
      <c r="MK320" s="12" t="s">
        <v>37</v>
      </c>
      <c r="ML320" s="12" t="s">
        <v>37</v>
      </c>
      <c r="MQ320" s="12" t="s">
        <v>37</v>
      </c>
      <c r="MR320" s="12" t="s">
        <v>37</v>
      </c>
      <c r="MS320" s="12" t="s">
        <v>37</v>
      </c>
      <c r="MU320" s="12" t="s">
        <v>37</v>
      </c>
      <c r="MV320" s="12" t="s">
        <v>37</v>
      </c>
      <c r="MW320" s="12" t="s">
        <v>37</v>
      </c>
      <c r="NC320" s="12" t="s">
        <v>37</v>
      </c>
      <c r="ND320" s="12" t="s">
        <v>37</v>
      </c>
      <c r="NE320" s="12" t="s">
        <v>37</v>
      </c>
      <c r="NG320" s="12" t="s">
        <v>37</v>
      </c>
      <c r="NH320" s="12" t="s">
        <v>37</v>
      </c>
      <c r="NI320" s="12" t="s">
        <v>37</v>
      </c>
      <c r="NO320" s="12" t="s">
        <v>37</v>
      </c>
      <c r="NP320" s="12" t="s">
        <v>37</v>
      </c>
      <c r="NQ320" s="12" t="s">
        <v>37</v>
      </c>
      <c r="NS320" s="12" t="s">
        <v>37</v>
      </c>
      <c r="NT320" s="12" t="s">
        <v>37</v>
      </c>
      <c r="NU320" s="12" t="s">
        <v>37</v>
      </c>
      <c r="OA320" s="12" t="s">
        <v>37</v>
      </c>
      <c r="OB320" s="12" t="s">
        <v>37</v>
      </c>
      <c r="OC320" s="12" t="s">
        <v>37</v>
      </c>
      <c r="OD320" s="12"/>
      <c r="OE320" s="12" t="s">
        <v>37</v>
      </c>
      <c r="OF320" s="12" t="s">
        <v>37</v>
      </c>
      <c r="OG320" s="12" t="s">
        <v>37</v>
      </c>
      <c r="OH320" s="12"/>
      <c r="OI320" s="12"/>
      <c r="OJ320" s="12"/>
      <c r="OM320" s="12" t="s">
        <v>37</v>
      </c>
      <c r="ON320" s="12" t="s">
        <v>37</v>
      </c>
      <c r="OO320" s="12" t="s">
        <v>37</v>
      </c>
      <c r="OP320" s="12" t="s">
        <v>37</v>
      </c>
      <c r="OQ320" s="12" t="s">
        <v>37</v>
      </c>
      <c r="OR320" s="12" t="s">
        <v>37</v>
      </c>
      <c r="OS320" s="12"/>
      <c r="OT320" s="12"/>
      <c r="OW320" s="12" t="s">
        <v>37</v>
      </c>
      <c r="OX320" s="12" t="s">
        <v>37</v>
      </c>
      <c r="OY320" s="13" t="s">
        <v>37</v>
      </c>
      <c r="OZ320" s="12" t="s">
        <v>37</v>
      </c>
      <c r="PA320" s="12" t="s">
        <v>37</v>
      </c>
      <c r="PB320" s="13" t="s">
        <v>37</v>
      </c>
      <c r="PG320" s="12" t="s">
        <v>37</v>
      </c>
      <c r="PH320" s="12" t="s">
        <v>37</v>
      </c>
      <c r="PI320" s="12" t="s">
        <v>37</v>
      </c>
      <c r="PJ320" s="12" t="s">
        <v>37</v>
      </c>
      <c r="PK320" s="12" t="s">
        <v>37</v>
      </c>
      <c r="PL320" s="12" t="s">
        <v>37</v>
      </c>
      <c r="PM320" s="12"/>
      <c r="PN320" s="12"/>
      <c r="PQ320" s="12" t="s">
        <v>37</v>
      </c>
      <c r="PR320" s="12" t="s">
        <v>37</v>
      </c>
      <c r="PS320" s="12" t="s">
        <v>37</v>
      </c>
      <c r="PT320" s="12" t="s">
        <v>37</v>
      </c>
      <c r="PU320" s="12" t="s">
        <v>37</v>
      </c>
      <c r="PV320" s="12" t="s">
        <v>37</v>
      </c>
      <c r="PW320" s="12"/>
      <c r="PX320" s="12"/>
      <c r="PZ320" s="12" t="s">
        <v>37</v>
      </c>
      <c r="QA320" s="12" t="s">
        <v>37</v>
      </c>
      <c r="QB320" s="12" t="s">
        <v>37</v>
      </c>
      <c r="QD320" s="12" t="s">
        <v>37</v>
      </c>
      <c r="QE320" s="12" t="s">
        <v>37</v>
      </c>
      <c r="QF320" s="12" t="s">
        <v>37</v>
      </c>
      <c r="QK320" s="12" t="s">
        <v>37</v>
      </c>
      <c r="QL320" s="12" t="s">
        <v>37</v>
      </c>
      <c r="QM320" s="12" t="s">
        <v>37</v>
      </c>
      <c r="QN320" s="12" t="s">
        <v>37</v>
      </c>
      <c r="QO320" s="12" t="s">
        <v>37</v>
      </c>
      <c r="QP320" s="12" t="s">
        <v>37</v>
      </c>
      <c r="QQ320" s="12"/>
      <c r="QR320" s="12"/>
      <c r="QU320" s="12" t="s">
        <v>37</v>
      </c>
      <c r="QV320" s="12" t="s">
        <v>37</v>
      </c>
      <c r="QW320" s="12" t="s">
        <v>37</v>
      </c>
      <c r="QX320" s="12" t="s">
        <v>37</v>
      </c>
      <c r="QY320" s="12" t="s">
        <v>37</v>
      </c>
      <c r="QZ320" s="12" t="s">
        <v>37</v>
      </c>
      <c r="RC320" s="12" t="s">
        <v>37</v>
      </c>
      <c r="RD320" s="12" t="s">
        <v>37</v>
      </c>
      <c r="RE320" s="13" t="s">
        <v>37</v>
      </c>
      <c r="RF320" s="12" t="s">
        <v>37</v>
      </c>
      <c r="RG320" s="12" t="s">
        <v>37</v>
      </c>
      <c r="RH320" s="13" t="s">
        <v>37</v>
      </c>
      <c r="RK320" s="12" t="s">
        <v>37</v>
      </c>
      <c r="RL320" s="12" t="s">
        <v>37</v>
      </c>
      <c r="RM320" s="11" t="s">
        <v>37</v>
      </c>
      <c r="RN320" s="12" t="s">
        <v>37</v>
      </c>
      <c r="RO320" s="12" t="s">
        <v>37</v>
      </c>
      <c r="RP320" s="11" t="s">
        <v>37</v>
      </c>
      <c r="RS320" s="12" t="s">
        <v>37</v>
      </c>
      <c r="RT320" s="12" t="s">
        <v>37</v>
      </c>
      <c r="RU320" s="12" t="s">
        <v>37</v>
      </c>
      <c r="RV320" s="12" t="s">
        <v>37</v>
      </c>
      <c r="RW320" s="12" t="s">
        <v>37</v>
      </c>
      <c r="RX320" s="12" t="s">
        <v>37</v>
      </c>
      <c r="SA320" s="12" t="s">
        <v>37</v>
      </c>
      <c r="SB320" s="12" t="s">
        <v>37</v>
      </c>
      <c r="SC320" s="12" t="s">
        <v>37</v>
      </c>
      <c r="SD320" s="12" t="s">
        <v>37</v>
      </c>
      <c r="SE320" s="12" t="s">
        <v>37</v>
      </c>
      <c r="SF320" s="12" t="s">
        <v>37</v>
      </c>
      <c r="SG320" s="12" t="s">
        <v>42</v>
      </c>
      <c r="SH320" s="12" t="s">
        <v>345</v>
      </c>
      <c r="SI320" s="12">
        <v>0.48699999999999999</v>
      </c>
      <c r="SJ320" s="50">
        <f t="shared" si="1280"/>
        <v>0.15107258402555637</v>
      </c>
      <c r="SK320" s="13">
        <v>3</v>
      </c>
      <c r="SM320" s="12">
        <v>0.65100000000000002</v>
      </c>
      <c r="SN320" s="50">
        <f t="shared" si="1281"/>
        <v>0.1770306897761364</v>
      </c>
      <c r="SO320" s="13">
        <v>3</v>
      </c>
      <c r="SQ320" s="19">
        <f t="shared" si="1282"/>
        <v>0.29024551912597951</v>
      </c>
      <c r="SR320" s="19">
        <f t="shared" si="1283"/>
        <v>5.6726709270900982E-2</v>
      </c>
      <c r="SU320" s="12" t="s">
        <v>37</v>
      </c>
      <c r="SV320" s="12" t="s">
        <v>37</v>
      </c>
      <c r="SW320" s="12" t="s">
        <v>37</v>
      </c>
      <c r="SX320" s="12" t="s">
        <v>37</v>
      </c>
      <c r="SY320" s="12" t="s">
        <v>37</v>
      </c>
      <c r="SZ320" s="12" t="s">
        <v>37</v>
      </c>
      <c r="TA320" s="12"/>
      <c r="TB320" s="12"/>
      <c r="TE320" s="12" t="s">
        <v>37</v>
      </c>
      <c r="TF320" s="12" t="s">
        <v>37</v>
      </c>
      <c r="TG320" s="12" t="s">
        <v>37</v>
      </c>
      <c r="TH320" s="12" t="s">
        <v>37</v>
      </c>
      <c r="TI320" s="12" t="s">
        <v>37</v>
      </c>
      <c r="TJ320" s="12" t="s">
        <v>37</v>
      </c>
      <c r="TK320" s="12"/>
      <c r="TL320" s="12"/>
      <c r="TO320" s="12" t="s">
        <v>37</v>
      </c>
      <c r="TP320" s="12" t="s">
        <v>37</v>
      </c>
      <c r="TQ320" s="12" t="s">
        <v>37</v>
      </c>
      <c r="TR320" s="12" t="s">
        <v>37</v>
      </c>
      <c r="TS320" s="12" t="s">
        <v>37</v>
      </c>
      <c r="TT320" s="12" t="s">
        <v>37</v>
      </c>
      <c r="TU320" s="12"/>
      <c r="TV320" s="12"/>
      <c r="TY320" s="12" t="s">
        <v>37</v>
      </c>
      <c r="TZ320" s="12" t="s">
        <v>37</v>
      </c>
      <c r="UA320" s="12" t="s">
        <v>37</v>
      </c>
      <c r="UB320" s="12" t="s">
        <v>37</v>
      </c>
      <c r="UC320" s="12" t="s">
        <v>37</v>
      </c>
      <c r="UD320" s="12" t="s">
        <v>37</v>
      </c>
      <c r="UE320" s="12"/>
      <c r="UF320" s="12"/>
      <c r="UI320" s="12" t="s">
        <v>37</v>
      </c>
      <c r="UJ320" s="12" t="s">
        <v>37</v>
      </c>
      <c r="UK320" s="12" t="s">
        <v>37</v>
      </c>
      <c r="UL320" s="12" t="s">
        <v>37</v>
      </c>
      <c r="UM320" s="12" t="s">
        <v>37</v>
      </c>
      <c r="UN320" s="12" t="s">
        <v>37</v>
      </c>
      <c r="UO320" s="12"/>
      <c r="UP320" s="12"/>
      <c r="UR320" s="12" t="s">
        <v>37</v>
      </c>
      <c r="US320" s="12" t="s">
        <v>37</v>
      </c>
      <c r="UT320" s="12" t="s">
        <v>37</v>
      </c>
      <c r="UU320" s="12" t="s">
        <v>37</v>
      </c>
      <c r="UV320" s="12" t="s">
        <v>37</v>
      </c>
      <c r="UW320" s="12" t="s">
        <v>37</v>
      </c>
      <c r="UX320" s="12"/>
      <c r="UY320" s="12"/>
      <c r="VB320" s="12" t="s">
        <v>37</v>
      </c>
      <c r="VC320" s="12" t="s">
        <v>37</v>
      </c>
      <c r="VD320" s="12" t="s">
        <v>37</v>
      </c>
      <c r="VE320" s="12" t="s">
        <v>37</v>
      </c>
      <c r="VF320" s="12" t="s">
        <v>37</v>
      </c>
      <c r="VG320" s="12" t="s">
        <v>37</v>
      </c>
      <c r="VI320" s="12" t="s">
        <v>37</v>
      </c>
      <c r="VJ320" s="12" t="s">
        <v>37</v>
      </c>
      <c r="VK320" s="12" t="s">
        <v>37</v>
      </c>
      <c r="VL320" s="12" t="s">
        <v>37</v>
      </c>
      <c r="VM320" s="12" t="s">
        <v>37</v>
      </c>
      <c r="VN320" s="12" t="s">
        <v>37</v>
      </c>
      <c r="VQ320" s="12" t="s">
        <v>37</v>
      </c>
      <c r="VR320" s="12" t="s">
        <v>37</v>
      </c>
      <c r="VS320" s="12" t="s">
        <v>37</v>
      </c>
      <c r="VT320" s="12" t="s">
        <v>37</v>
      </c>
      <c r="VU320" s="12" t="s">
        <v>37</v>
      </c>
      <c r="VV320" s="12" t="s">
        <v>37</v>
      </c>
      <c r="VW320" s="12"/>
      <c r="VX320" s="12"/>
      <c r="WA320" s="12" t="s">
        <v>37</v>
      </c>
      <c r="WB320" s="12" t="s">
        <v>37</v>
      </c>
      <c r="WC320" s="12" t="s">
        <v>37</v>
      </c>
      <c r="WD320" s="12" t="s">
        <v>37</v>
      </c>
      <c r="WE320" s="12" t="s">
        <v>37</v>
      </c>
      <c r="WF320" s="12" t="s">
        <v>37</v>
      </c>
    </row>
    <row r="321" spans="1:604" ht="18" customHeight="1" x14ac:dyDescent="0.3">
      <c r="A321" s="11">
        <v>71</v>
      </c>
      <c r="B321" s="16" t="s">
        <v>406</v>
      </c>
      <c r="C321" s="12" t="s">
        <v>26</v>
      </c>
      <c r="D321" s="12" t="s">
        <v>54</v>
      </c>
      <c r="E321" s="40">
        <v>1.9</v>
      </c>
      <c r="F321" s="14">
        <v>0</v>
      </c>
      <c r="G321" s="14">
        <v>0</v>
      </c>
      <c r="H321" s="12" t="s">
        <v>123</v>
      </c>
      <c r="I321" s="29">
        <v>61.783000000000001</v>
      </c>
      <c r="J321" s="29">
        <v>24.3</v>
      </c>
      <c r="K321" s="12" t="s">
        <v>775</v>
      </c>
      <c r="L321" s="12" t="s">
        <v>709</v>
      </c>
      <c r="M321" s="13">
        <v>150</v>
      </c>
      <c r="N321" s="14">
        <v>3</v>
      </c>
      <c r="O321" s="14">
        <v>709</v>
      </c>
      <c r="P321" s="14" t="s">
        <v>84</v>
      </c>
      <c r="Q321" s="75">
        <v>31</v>
      </c>
      <c r="R321" s="11" t="s">
        <v>1000</v>
      </c>
      <c r="S321" s="12" t="s">
        <v>93</v>
      </c>
      <c r="T321" s="12" t="s">
        <v>141</v>
      </c>
      <c r="U321" s="12" t="s">
        <v>158</v>
      </c>
      <c r="V321" s="12" t="s">
        <v>275</v>
      </c>
      <c r="W321" s="23" t="s">
        <v>408</v>
      </c>
      <c r="X321" s="12" t="s">
        <v>280</v>
      </c>
      <c r="Y321" s="12" t="s">
        <v>37</v>
      </c>
      <c r="Z321" s="12" t="s">
        <v>37</v>
      </c>
      <c r="AA321" s="32" t="s">
        <v>345</v>
      </c>
      <c r="AB321" s="12">
        <v>3.8</v>
      </c>
      <c r="AE321" s="12" t="s">
        <v>37</v>
      </c>
      <c r="AF321" s="12" t="s">
        <v>42</v>
      </c>
      <c r="AG321" s="32" t="s">
        <v>345</v>
      </c>
      <c r="AH321" s="12">
        <v>9</v>
      </c>
      <c r="AK321" s="12" t="s">
        <v>37</v>
      </c>
      <c r="AL321" s="32">
        <v>1992</v>
      </c>
      <c r="AM321" s="12" t="s">
        <v>344</v>
      </c>
      <c r="AO321" s="12" t="s">
        <v>37</v>
      </c>
      <c r="AP321" s="12" t="s">
        <v>108</v>
      </c>
      <c r="AQ321" s="12" t="s">
        <v>975</v>
      </c>
      <c r="AT321" s="12" t="s">
        <v>326</v>
      </c>
      <c r="AU321" s="12" t="s">
        <v>326</v>
      </c>
      <c r="AV321" s="13" t="s">
        <v>326</v>
      </c>
      <c r="AX321" s="12" t="s">
        <v>326</v>
      </c>
      <c r="AY321" s="12" t="s">
        <v>326</v>
      </c>
      <c r="AZ321" s="13" t="s">
        <v>326</v>
      </c>
      <c r="BE321" s="12" t="s">
        <v>326</v>
      </c>
      <c r="BF321" s="12" t="s">
        <v>326</v>
      </c>
      <c r="BG321" s="12" t="s">
        <v>326</v>
      </c>
      <c r="BI321" s="12" t="s">
        <v>326</v>
      </c>
      <c r="BJ321" s="12" t="s">
        <v>326</v>
      </c>
      <c r="BK321" s="12" t="s">
        <v>326</v>
      </c>
      <c r="BP321" s="12" t="s">
        <v>37</v>
      </c>
      <c r="BQ321" s="12" t="s">
        <v>37</v>
      </c>
      <c r="BR321" s="13" t="s">
        <v>37</v>
      </c>
      <c r="BT321" s="12" t="s">
        <v>37</v>
      </c>
      <c r="BU321" s="12" t="s">
        <v>37</v>
      </c>
      <c r="BV321" s="12" t="s">
        <v>37</v>
      </c>
      <c r="CA321" s="12" t="s">
        <v>37</v>
      </c>
      <c r="CB321" s="12" t="s">
        <v>37</v>
      </c>
      <c r="CC321" s="13" t="s">
        <v>37</v>
      </c>
      <c r="CE321" s="12" t="s">
        <v>37</v>
      </c>
      <c r="CF321" s="12" t="s">
        <v>37</v>
      </c>
      <c r="CG321" s="12" t="s">
        <v>37</v>
      </c>
      <c r="CN321" s="12" t="s">
        <v>37</v>
      </c>
      <c r="CO321" s="12" t="s">
        <v>37</v>
      </c>
      <c r="CP321" s="13" t="s">
        <v>37</v>
      </c>
      <c r="CR321" s="12" t="s">
        <v>37</v>
      </c>
      <c r="CS321" s="12" t="s">
        <v>37</v>
      </c>
      <c r="CT321" s="13" t="s">
        <v>37</v>
      </c>
      <c r="CX321" s="72"/>
      <c r="CY321" s="72"/>
      <c r="DA321" s="12" t="s">
        <v>37</v>
      </c>
      <c r="DB321" s="12" t="s">
        <v>37</v>
      </c>
      <c r="DC321" s="13" t="s">
        <v>37</v>
      </c>
      <c r="DE321" s="12" t="s">
        <v>37</v>
      </c>
      <c r="DF321" s="12" t="s">
        <v>37</v>
      </c>
      <c r="DG321" s="12" t="s">
        <v>37</v>
      </c>
      <c r="DM321" s="11" t="s">
        <v>47</v>
      </c>
      <c r="DN321" s="19">
        <v>53.5</v>
      </c>
      <c r="DO321" s="50">
        <f t="shared" si="1262"/>
        <v>59.64604197005599</v>
      </c>
      <c r="DP321" s="13">
        <v>15</v>
      </c>
      <c r="DR321" s="19">
        <v>34.5</v>
      </c>
      <c r="DS321" s="50">
        <f t="shared" si="1263"/>
        <v>128.93396216476984</v>
      </c>
      <c r="DT321" s="13">
        <v>15</v>
      </c>
      <c r="DV321" s="19">
        <f t="shared" si="1211"/>
        <v>-19</v>
      </c>
      <c r="DW321" s="12">
        <f t="shared" si="1212"/>
        <v>100.45301618717076</v>
      </c>
      <c r="DX321" s="72">
        <f t="shared" si="1251"/>
        <v>1345.4411281466655</v>
      </c>
      <c r="DY321" s="72">
        <f t="shared" si="1252"/>
        <v>1345.4411281466655</v>
      </c>
      <c r="EA321" s="19" t="s">
        <v>37</v>
      </c>
      <c r="EB321" s="19" t="s">
        <v>37</v>
      </c>
      <c r="EC321" s="72" t="s">
        <v>37</v>
      </c>
      <c r="EE321" s="19" t="s">
        <v>37</v>
      </c>
      <c r="EF321" s="19" t="s">
        <v>37</v>
      </c>
      <c r="EG321" s="12" t="s">
        <v>37</v>
      </c>
      <c r="EM321" s="12" t="s">
        <v>39</v>
      </c>
      <c r="EN321" s="12">
        <v>-16.600000000000001</v>
      </c>
      <c r="EO321" s="12">
        <v>8.1999999999999993</v>
      </c>
      <c r="EP321" s="13">
        <v>15</v>
      </c>
      <c r="EQ321" s="19">
        <f t="shared" si="1239"/>
        <v>0.49397590361445776</v>
      </c>
      <c r="ER321" s="12">
        <v>-17.100000000000001</v>
      </c>
      <c r="ES321" s="12">
        <v>11.3</v>
      </c>
      <c r="ET321" s="13">
        <v>15</v>
      </c>
      <c r="EU321" s="19">
        <f t="shared" si="1240"/>
        <v>0.66081871345029242</v>
      </c>
      <c r="EV321" s="19">
        <f t="shared" si="1233"/>
        <v>-0.5</v>
      </c>
      <c r="EW321" s="12">
        <f t="shared" si="1234"/>
        <v>9.8724363760927822</v>
      </c>
      <c r="EX321" s="19">
        <f t="shared" si="1235"/>
        <v>12.995333333333333</v>
      </c>
      <c r="EY321" s="19">
        <f t="shared" si="1236"/>
        <v>12.995333333333335</v>
      </c>
      <c r="FB321" s="12" t="s">
        <v>37</v>
      </c>
      <c r="FC321" s="12" t="s">
        <v>37</v>
      </c>
      <c r="FD321" s="12" t="s">
        <v>37</v>
      </c>
      <c r="FE321" s="12" t="s">
        <v>37</v>
      </c>
      <c r="FF321" s="20" t="s">
        <v>37</v>
      </c>
      <c r="FG321" s="12" t="s">
        <v>37</v>
      </c>
      <c r="FI321" s="12" t="s">
        <v>37</v>
      </c>
      <c r="FJ321" s="12" t="s">
        <v>37</v>
      </c>
      <c r="FK321" s="12" t="s">
        <v>37</v>
      </c>
      <c r="FL321" s="12" t="s">
        <v>37</v>
      </c>
      <c r="FM321" s="12" t="s">
        <v>37</v>
      </c>
      <c r="FN321" s="12" t="s">
        <v>37</v>
      </c>
      <c r="FP321" s="12" t="s">
        <v>37</v>
      </c>
      <c r="FQ321" s="12" t="s">
        <v>37</v>
      </c>
      <c r="FR321" s="12" t="s">
        <v>37</v>
      </c>
      <c r="FS321" s="12" t="s">
        <v>37</v>
      </c>
      <c r="FT321" s="12" t="s">
        <v>37</v>
      </c>
      <c r="FU321" s="12" t="s">
        <v>37</v>
      </c>
      <c r="FW321" s="12" t="s">
        <v>37</v>
      </c>
      <c r="FX321" s="12" t="s">
        <v>37</v>
      </c>
      <c r="FY321" s="12" t="s">
        <v>37</v>
      </c>
      <c r="FZ321" s="12" t="s">
        <v>37</v>
      </c>
      <c r="GA321" s="12" t="s">
        <v>37</v>
      </c>
      <c r="GB321" s="12" t="s">
        <v>37</v>
      </c>
      <c r="GO321" s="12" t="s">
        <v>660</v>
      </c>
      <c r="GP321" s="12" t="s">
        <v>340</v>
      </c>
      <c r="GQ321" s="12">
        <v>11.2</v>
      </c>
      <c r="GR321" s="12">
        <v>1.8</v>
      </c>
      <c r="GS321" s="13">
        <v>15</v>
      </c>
      <c r="GT321" s="19">
        <f t="shared" si="1264"/>
        <v>0.16071428571428573</v>
      </c>
      <c r="GU321" s="12">
        <v>11.2</v>
      </c>
      <c r="GV321" s="12">
        <v>1.8</v>
      </c>
      <c r="GW321" s="13">
        <v>15</v>
      </c>
      <c r="GX321" s="19">
        <f t="shared" si="1265"/>
        <v>0.16071428571428573</v>
      </c>
      <c r="GY321" s="19">
        <f t="shared" si="1266"/>
        <v>0</v>
      </c>
      <c r="GZ321" s="19">
        <f t="shared" si="1267"/>
        <v>3.4438775510204091E-3</v>
      </c>
      <c r="HA321" s="17" t="s">
        <v>63</v>
      </c>
      <c r="HB321" s="34" t="s">
        <v>345</v>
      </c>
      <c r="HC321" s="12">
        <v>3.7999999999999999E-2</v>
      </c>
      <c r="HD321" s="50">
        <f t="shared" si="1268"/>
        <v>6.5516462395666568E-3</v>
      </c>
      <c r="HE321" s="13">
        <v>3</v>
      </c>
      <c r="HG321" s="12">
        <v>3.5999999999999997E-2</v>
      </c>
      <c r="HH321" s="50">
        <f t="shared" si="1269"/>
        <v>4.0267627188157826E-3</v>
      </c>
      <c r="HI321" s="13">
        <v>3</v>
      </c>
      <c r="HK321" s="19">
        <f t="shared" si="1270"/>
        <v>-5.4067221270275821E-2</v>
      </c>
      <c r="HL321" s="19">
        <f t="shared" si="1271"/>
        <v>1.4079080937294361E-2</v>
      </c>
      <c r="IK321" s="12" t="s">
        <v>37</v>
      </c>
      <c r="IL321" s="12" t="s">
        <v>37</v>
      </c>
      <c r="IM321" s="12" t="s">
        <v>37</v>
      </c>
      <c r="IO321" s="12" t="s">
        <v>37</v>
      </c>
      <c r="IP321" s="12" t="s">
        <v>37</v>
      </c>
      <c r="IQ321" s="12" t="s">
        <v>37</v>
      </c>
      <c r="IV321" s="32" t="s">
        <v>345</v>
      </c>
      <c r="IW321" s="12">
        <v>3.8</v>
      </c>
      <c r="IX321" s="50">
        <f t="shared" si="1272"/>
        <v>0.13912842198648792</v>
      </c>
      <c r="IY321" s="13">
        <v>3</v>
      </c>
      <c r="JA321" s="12">
        <v>3.8</v>
      </c>
      <c r="JB321" s="50">
        <f t="shared" si="1273"/>
        <v>0.10643347338567048</v>
      </c>
      <c r="JC321" s="13">
        <v>3</v>
      </c>
      <c r="JE321" s="19">
        <f t="shared" si="1274"/>
        <v>0</v>
      </c>
      <c r="JF321" s="19">
        <f t="shared" si="1275"/>
        <v>7.083287641133075E-4</v>
      </c>
      <c r="JH321" s="12" t="s">
        <v>37</v>
      </c>
      <c r="JI321" s="12" t="s">
        <v>37</v>
      </c>
      <c r="JJ321" s="13" t="s">
        <v>37</v>
      </c>
      <c r="JL321" s="12" t="s">
        <v>37</v>
      </c>
      <c r="JM321" s="12" t="s">
        <v>37</v>
      </c>
      <c r="JN321" s="12" t="s">
        <v>37</v>
      </c>
      <c r="JS321" s="12" t="s">
        <v>37</v>
      </c>
      <c r="JT321" s="12" t="s">
        <v>37</v>
      </c>
      <c r="JU321" s="13" t="s">
        <v>37</v>
      </c>
      <c r="JW321" s="12" t="s">
        <v>37</v>
      </c>
      <c r="JX321" s="12" t="s">
        <v>37</v>
      </c>
      <c r="JY321" s="12" t="s">
        <v>37</v>
      </c>
      <c r="KE321" s="12" t="s">
        <v>37</v>
      </c>
      <c r="KF321" s="12" t="s">
        <v>37</v>
      </c>
      <c r="KG321" s="13" t="s">
        <v>37</v>
      </c>
      <c r="KH321" s="12" t="s">
        <v>37</v>
      </c>
      <c r="KI321" s="12" t="s">
        <v>37</v>
      </c>
      <c r="KJ321" s="12" t="s">
        <v>37</v>
      </c>
      <c r="KK321" s="12" t="s">
        <v>42</v>
      </c>
      <c r="KL321" s="32" t="s">
        <v>345</v>
      </c>
      <c r="KM321" s="12">
        <v>9</v>
      </c>
      <c r="KN321" s="50">
        <f t="shared" si="1276"/>
        <v>1.0736373724637354</v>
      </c>
      <c r="KO321" s="11">
        <v>3</v>
      </c>
      <c r="KQ321" s="12">
        <v>10</v>
      </c>
      <c r="KR321" s="50">
        <f t="shared" si="1277"/>
        <v>1.0544343016863675</v>
      </c>
      <c r="KS321" s="11">
        <v>3</v>
      </c>
      <c r="KU321" s="19">
        <f t="shared" si="1278"/>
        <v>0.10536051565782635</v>
      </c>
      <c r="KV321" s="19">
        <f t="shared" si="1279"/>
        <v>8.4497155628593251E-3</v>
      </c>
      <c r="KX321" s="12" t="s">
        <v>37</v>
      </c>
      <c r="KY321" s="12" t="s">
        <v>37</v>
      </c>
      <c r="KZ321" s="12" t="s">
        <v>37</v>
      </c>
      <c r="LB321" s="12" t="s">
        <v>37</v>
      </c>
      <c r="LC321" s="12" t="s">
        <v>37</v>
      </c>
      <c r="LD321" s="12" t="s">
        <v>37</v>
      </c>
      <c r="LI321" s="12" t="s">
        <v>37</v>
      </c>
      <c r="LJ321" s="12" t="s">
        <v>37</v>
      </c>
      <c r="LK321" s="12" t="s">
        <v>37</v>
      </c>
      <c r="LM321" s="12" t="s">
        <v>37</v>
      </c>
      <c r="LN321" s="12" t="s">
        <v>37</v>
      </c>
      <c r="LO321" s="12" t="s">
        <v>37</v>
      </c>
      <c r="LU321" s="12" t="s">
        <v>37</v>
      </c>
      <c r="LV321" s="12" t="s">
        <v>37</v>
      </c>
      <c r="LW321" s="12" t="s">
        <v>37</v>
      </c>
      <c r="LY321" s="12" t="s">
        <v>37</v>
      </c>
      <c r="LZ321" s="12" t="s">
        <v>37</v>
      </c>
      <c r="MA321" s="12" t="s">
        <v>37</v>
      </c>
      <c r="MF321" s="12" t="s">
        <v>37</v>
      </c>
      <c r="MG321" s="12" t="s">
        <v>37</v>
      </c>
      <c r="MH321" s="12" t="s">
        <v>37</v>
      </c>
      <c r="MJ321" s="12" t="s">
        <v>37</v>
      </c>
      <c r="MK321" s="12" t="s">
        <v>37</v>
      </c>
      <c r="ML321" s="12" t="s">
        <v>37</v>
      </c>
      <c r="MQ321" s="12" t="s">
        <v>37</v>
      </c>
      <c r="MR321" s="12" t="s">
        <v>37</v>
      </c>
      <c r="MS321" s="12" t="s">
        <v>37</v>
      </c>
      <c r="MU321" s="12" t="s">
        <v>37</v>
      </c>
      <c r="MV321" s="12" t="s">
        <v>37</v>
      </c>
      <c r="MW321" s="12" t="s">
        <v>37</v>
      </c>
      <c r="NC321" s="12" t="s">
        <v>37</v>
      </c>
      <c r="ND321" s="12" t="s">
        <v>37</v>
      </c>
      <c r="NE321" s="12" t="s">
        <v>37</v>
      </c>
      <c r="NG321" s="12" t="s">
        <v>37</v>
      </c>
      <c r="NH321" s="12" t="s">
        <v>37</v>
      </c>
      <c r="NI321" s="12" t="s">
        <v>37</v>
      </c>
      <c r="NO321" s="12" t="s">
        <v>37</v>
      </c>
      <c r="NP321" s="12" t="s">
        <v>37</v>
      </c>
      <c r="NQ321" s="12" t="s">
        <v>37</v>
      </c>
      <c r="NS321" s="12" t="s">
        <v>37</v>
      </c>
      <c r="NT321" s="12" t="s">
        <v>37</v>
      </c>
      <c r="NU321" s="12" t="s">
        <v>37</v>
      </c>
      <c r="OA321" s="12" t="s">
        <v>37</v>
      </c>
      <c r="OB321" s="12" t="s">
        <v>37</v>
      </c>
      <c r="OC321" s="12" t="s">
        <v>37</v>
      </c>
      <c r="OD321" s="12"/>
      <c r="OE321" s="12" t="s">
        <v>37</v>
      </c>
      <c r="OF321" s="12" t="s">
        <v>37</v>
      </c>
      <c r="OG321" s="12" t="s">
        <v>37</v>
      </c>
      <c r="OH321" s="12"/>
      <c r="OI321" s="12"/>
      <c r="OJ321" s="12"/>
      <c r="OM321" s="12" t="s">
        <v>37</v>
      </c>
      <c r="ON321" s="12" t="s">
        <v>37</v>
      </c>
      <c r="OO321" s="12" t="s">
        <v>37</v>
      </c>
      <c r="OP321" s="12" t="s">
        <v>37</v>
      </c>
      <c r="OQ321" s="12" t="s">
        <v>37</v>
      </c>
      <c r="OR321" s="12" t="s">
        <v>37</v>
      </c>
      <c r="OS321" s="12"/>
      <c r="OT321" s="12"/>
      <c r="OW321" s="12" t="s">
        <v>37</v>
      </c>
      <c r="OX321" s="12" t="s">
        <v>37</v>
      </c>
      <c r="OY321" s="13" t="s">
        <v>37</v>
      </c>
      <c r="OZ321" s="12" t="s">
        <v>37</v>
      </c>
      <c r="PA321" s="12" t="s">
        <v>37</v>
      </c>
      <c r="PB321" s="13" t="s">
        <v>37</v>
      </c>
      <c r="PG321" s="12" t="s">
        <v>37</v>
      </c>
      <c r="PH321" s="12" t="s">
        <v>37</v>
      </c>
      <c r="PI321" s="12" t="s">
        <v>37</v>
      </c>
      <c r="PJ321" s="12" t="s">
        <v>37</v>
      </c>
      <c r="PK321" s="12" t="s">
        <v>37</v>
      </c>
      <c r="PL321" s="12" t="s">
        <v>37</v>
      </c>
      <c r="PM321" s="12"/>
      <c r="PN321" s="12"/>
      <c r="PQ321" s="12" t="s">
        <v>37</v>
      </c>
      <c r="PR321" s="12" t="s">
        <v>37</v>
      </c>
      <c r="PS321" s="12" t="s">
        <v>37</v>
      </c>
      <c r="PT321" s="12" t="s">
        <v>37</v>
      </c>
      <c r="PU321" s="12" t="s">
        <v>37</v>
      </c>
      <c r="PV321" s="12" t="s">
        <v>37</v>
      </c>
      <c r="PW321" s="12"/>
      <c r="PX321" s="12"/>
      <c r="PZ321" s="12" t="s">
        <v>37</v>
      </c>
      <c r="QA321" s="12" t="s">
        <v>37</v>
      </c>
      <c r="QB321" s="12" t="s">
        <v>37</v>
      </c>
      <c r="QD321" s="12" t="s">
        <v>37</v>
      </c>
      <c r="QE321" s="12" t="s">
        <v>37</v>
      </c>
      <c r="QF321" s="12" t="s">
        <v>37</v>
      </c>
      <c r="QK321" s="12" t="s">
        <v>37</v>
      </c>
      <c r="QL321" s="12" t="s">
        <v>37</v>
      </c>
      <c r="QM321" s="12" t="s">
        <v>37</v>
      </c>
      <c r="QN321" s="12" t="s">
        <v>37</v>
      </c>
      <c r="QO321" s="12" t="s">
        <v>37</v>
      </c>
      <c r="QP321" s="12" t="s">
        <v>37</v>
      </c>
      <c r="QQ321" s="12"/>
      <c r="QR321" s="12"/>
      <c r="QU321" s="12" t="s">
        <v>37</v>
      </c>
      <c r="QV321" s="12" t="s">
        <v>37</v>
      </c>
      <c r="QW321" s="12" t="s">
        <v>37</v>
      </c>
      <c r="QX321" s="12" t="s">
        <v>37</v>
      </c>
      <c r="QY321" s="12" t="s">
        <v>37</v>
      </c>
      <c r="QZ321" s="12" t="s">
        <v>37</v>
      </c>
      <c r="RC321" s="12" t="s">
        <v>37</v>
      </c>
      <c r="RD321" s="12" t="s">
        <v>37</v>
      </c>
      <c r="RE321" s="13" t="s">
        <v>37</v>
      </c>
      <c r="RF321" s="12" t="s">
        <v>37</v>
      </c>
      <c r="RG321" s="12" t="s">
        <v>37</v>
      </c>
      <c r="RH321" s="13" t="s">
        <v>37</v>
      </c>
      <c r="RK321" s="12" t="s">
        <v>37</v>
      </c>
      <c r="RL321" s="12" t="s">
        <v>37</v>
      </c>
      <c r="RM321" s="11" t="s">
        <v>37</v>
      </c>
      <c r="RN321" s="12" t="s">
        <v>37</v>
      </c>
      <c r="RO321" s="12" t="s">
        <v>37</v>
      </c>
      <c r="RP321" s="11" t="s">
        <v>37</v>
      </c>
      <c r="RS321" s="12" t="s">
        <v>37</v>
      </c>
      <c r="RT321" s="12" t="s">
        <v>37</v>
      </c>
      <c r="RU321" s="12" t="s">
        <v>37</v>
      </c>
      <c r="RV321" s="12" t="s">
        <v>37</v>
      </c>
      <c r="RW321" s="12" t="s">
        <v>37</v>
      </c>
      <c r="RX321" s="12" t="s">
        <v>37</v>
      </c>
      <c r="SA321" s="12" t="s">
        <v>37</v>
      </c>
      <c r="SB321" s="12" t="s">
        <v>37</v>
      </c>
      <c r="SC321" s="12" t="s">
        <v>37</v>
      </c>
      <c r="SD321" s="12" t="s">
        <v>37</v>
      </c>
      <c r="SE321" s="12" t="s">
        <v>37</v>
      </c>
      <c r="SF321" s="12" t="s">
        <v>37</v>
      </c>
      <c r="SG321" s="12" t="s">
        <v>42</v>
      </c>
      <c r="SH321" s="12" t="s">
        <v>345</v>
      </c>
      <c r="SI321" s="12">
        <v>0.48699999999999999</v>
      </c>
      <c r="SJ321" s="50">
        <f t="shared" si="1280"/>
        <v>0.15107258402555637</v>
      </c>
      <c r="SK321" s="13">
        <v>3</v>
      </c>
      <c r="SM321" s="12">
        <v>0.65100000000000002</v>
      </c>
      <c r="SN321" s="50">
        <f t="shared" si="1281"/>
        <v>0.1770306897761364</v>
      </c>
      <c r="SO321" s="13">
        <v>3</v>
      </c>
      <c r="SQ321" s="19">
        <f t="shared" si="1282"/>
        <v>0.29024551912597951</v>
      </c>
      <c r="SR321" s="19">
        <f t="shared" si="1283"/>
        <v>5.6726709270900982E-2</v>
      </c>
      <c r="SU321" s="12" t="s">
        <v>37</v>
      </c>
      <c r="SV321" s="12" t="s">
        <v>37</v>
      </c>
      <c r="SW321" s="12" t="s">
        <v>37</v>
      </c>
      <c r="SX321" s="12" t="s">
        <v>37</v>
      </c>
      <c r="SY321" s="12" t="s">
        <v>37</v>
      </c>
      <c r="SZ321" s="12" t="s">
        <v>37</v>
      </c>
      <c r="TA321" s="12"/>
      <c r="TB321" s="12"/>
      <c r="TE321" s="12" t="s">
        <v>37</v>
      </c>
      <c r="TF321" s="12" t="s">
        <v>37</v>
      </c>
      <c r="TG321" s="12" t="s">
        <v>37</v>
      </c>
      <c r="TH321" s="12" t="s">
        <v>37</v>
      </c>
      <c r="TI321" s="12" t="s">
        <v>37</v>
      </c>
      <c r="TJ321" s="12" t="s">
        <v>37</v>
      </c>
      <c r="TK321" s="12"/>
      <c r="TL321" s="12"/>
      <c r="TO321" s="12" t="s">
        <v>37</v>
      </c>
      <c r="TP321" s="12" t="s">
        <v>37</v>
      </c>
      <c r="TQ321" s="12" t="s">
        <v>37</v>
      </c>
      <c r="TR321" s="12" t="s">
        <v>37</v>
      </c>
      <c r="TS321" s="12" t="s">
        <v>37</v>
      </c>
      <c r="TT321" s="12" t="s">
        <v>37</v>
      </c>
      <c r="TU321" s="12"/>
      <c r="TV321" s="12"/>
      <c r="TY321" s="12" t="s">
        <v>37</v>
      </c>
      <c r="TZ321" s="12" t="s">
        <v>37</v>
      </c>
      <c r="UA321" s="12" t="s">
        <v>37</v>
      </c>
      <c r="UB321" s="12" t="s">
        <v>37</v>
      </c>
      <c r="UC321" s="12" t="s">
        <v>37</v>
      </c>
      <c r="UD321" s="12" t="s">
        <v>37</v>
      </c>
      <c r="UE321" s="12"/>
      <c r="UF321" s="12"/>
      <c r="UI321" s="12" t="s">
        <v>37</v>
      </c>
      <c r="UJ321" s="12" t="s">
        <v>37</v>
      </c>
      <c r="UK321" s="12" t="s">
        <v>37</v>
      </c>
      <c r="UL321" s="12" t="s">
        <v>37</v>
      </c>
      <c r="UM321" s="12" t="s">
        <v>37</v>
      </c>
      <c r="UN321" s="12" t="s">
        <v>37</v>
      </c>
      <c r="UO321" s="12"/>
      <c r="UP321" s="12"/>
      <c r="UR321" s="12" t="s">
        <v>37</v>
      </c>
      <c r="US321" s="12" t="s">
        <v>37</v>
      </c>
      <c r="UT321" s="12" t="s">
        <v>37</v>
      </c>
      <c r="UU321" s="12" t="s">
        <v>37</v>
      </c>
      <c r="UV321" s="12" t="s">
        <v>37</v>
      </c>
      <c r="UW321" s="12" t="s">
        <v>37</v>
      </c>
      <c r="UX321" s="12"/>
      <c r="UY321" s="12"/>
      <c r="VB321" s="12" t="s">
        <v>37</v>
      </c>
      <c r="VC321" s="12" t="s">
        <v>37</v>
      </c>
      <c r="VD321" s="12" t="s">
        <v>37</v>
      </c>
      <c r="VE321" s="12" t="s">
        <v>37</v>
      </c>
      <c r="VF321" s="12" t="s">
        <v>37</v>
      </c>
      <c r="VG321" s="12" t="s">
        <v>37</v>
      </c>
      <c r="VI321" s="12" t="s">
        <v>37</v>
      </c>
      <c r="VJ321" s="12" t="s">
        <v>37</v>
      </c>
      <c r="VK321" s="12" t="s">
        <v>37</v>
      </c>
      <c r="VL321" s="12" t="s">
        <v>37</v>
      </c>
      <c r="VM321" s="12" t="s">
        <v>37</v>
      </c>
      <c r="VN321" s="12" t="s">
        <v>37</v>
      </c>
      <c r="VQ321" s="12" t="s">
        <v>37</v>
      </c>
      <c r="VR321" s="12" t="s">
        <v>37</v>
      </c>
      <c r="VS321" s="12" t="s">
        <v>37</v>
      </c>
      <c r="VT321" s="12" t="s">
        <v>37</v>
      </c>
      <c r="VU321" s="12" t="s">
        <v>37</v>
      </c>
      <c r="VV321" s="12" t="s">
        <v>37</v>
      </c>
      <c r="VW321" s="12"/>
      <c r="VX321" s="12"/>
      <c r="WA321" s="12" t="s">
        <v>37</v>
      </c>
      <c r="WB321" s="12" t="s">
        <v>37</v>
      </c>
      <c r="WC321" s="12" t="s">
        <v>37</v>
      </c>
      <c r="WD321" s="12" t="s">
        <v>37</v>
      </c>
      <c r="WE321" s="12" t="s">
        <v>37</v>
      </c>
      <c r="WF321" s="12" t="s">
        <v>37</v>
      </c>
    </row>
    <row r="322" spans="1:604" ht="18" customHeight="1" x14ac:dyDescent="0.3">
      <c r="A322" s="11">
        <v>71</v>
      </c>
      <c r="B322" s="16" t="s">
        <v>406</v>
      </c>
      <c r="C322" s="12" t="s">
        <v>26</v>
      </c>
      <c r="D322" s="12" t="s">
        <v>54</v>
      </c>
      <c r="E322" s="40">
        <v>2</v>
      </c>
      <c r="F322" s="14">
        <v>0</v>
      </c>
      <c r="G322" s="14">
        <v>0</v>
      </c>
      <c r="H322" s="12" t="s">
        <v>123</v>
      </c>
      <c r="I322" s="29">
        <v>61.783000000000001</v>
      </c>
      <c r="J322" s="29">
        <v>24.3</v>
      </c>
      <c r="K322" s="12" t="s">
        <v>775</v>
      </c>
      <c r="L322" s="12" t="s">
        <v>709</v>
      </c>
      <c r="M322" s="13">
        <v>150</v>
      </c>
      <c r="N322" s="14">
        <v>3</v>
      </c>
      <c r="O322" s="14">
        <v>709</v>
      </c>
      <c r="P322" s="14" t="s">
        <v>84</v>
      </c>
      <c r="Q322" s="75">
        <v>30</v>
      </c>
      <c r="R322" s="11" t="s">
        <v>1000</v>
      </c>
      <c r="S322" s="12" t="s">
        <v>93</v>
      </c>
      <c r="T322" s="12" t="s">
        <v>141</v>
      </c>
      <c r="U322" s="12" t="s">
        <v>158</v>
      </c>
      <c r="V322" s="12" t="s">
        <v>275</v>
      </c>
      <c r="W322" s="23" t="s">
        <v>377</v>
      </c>
      <c r="X322" s="12" t="s">
        <v>281</v>
      </c>
      <c r="Y322" s="12" t="s">
        <v>37</v>
      </c>
      <c r="Z322" s="12" t="s">
        <v>37</v>
      </c>
      <c r="AA322" s="32" t="s">
        <v>345</v>
      </c>
      <c r="AB322" s="12">
        <v>4.3</v>
      </c>
      <c r="AE322" s="12" t="s">
        <v>37</v>
      </c>
      <c r="AF322" s="12" t="s">
        <v>42</v>
      </c>
      <c r="AG322" s="32" t="s">
        <v>345</v>
      </c>
      <c r="AH322" s="12">
        <v>14</v>
      </c>
      <c r="AK322" s="12" t="s">
        <v>37</v>
      </c>
      <c r="AL322" s="32">
        <v>1991</v>
      </c>
      <c r="AM322" s="12" t="s">
        <v>344</v>
      </c>
      <c r="AO322" s="12" t="s">
        <v>37</v>
      </c>
      <c r="AP322" s="12" t="s">
        <v>108</v>
      </c>
      <c r="AQ322" s="12" t="s">
        <v>975</v>
      </c>
      <c r="AT322" s="12" t="s">
        <v>326</v>
      </c>
      <c r="AU322" s="12" t="s">
        <v>326</v>
      </c>
      <c r="AV322" s="13" t="s">
        <v>326</v>
      </c>
      <c r="AX322" s="12" t="s">
        <v>326</v>
      </c>
      <c r="AY322" s="12" t="s">
        <v>326</v>
      </c>
      <c r="AZ322" s="13" t="s">
        <v>326</v>
      </c>
      <c r="BE322" s="12" t="s">
        <v>326</v>
      </c>
      <c r="BF322" s="12" t="s">
        <v>326</v>
      </c>
      <c r="BG322" s="12" t="s">
        <v>326</v>
      </c>
      <c r="BI322" s="12" t="s">
        <v>326</v>
      </c>
      <c r="BJ322" s="12" t="s">
        <v>326</v>
      </c>
      <c r="BK322" s="12" t="s">
        <v>326</v>
      </c>
      <c r="BP322" s="12" t="s">
        <v>37</v>
      </c>
      <c r="BQ322" s="12" t="s">
        <v>37</v>
      </c>
      <c r="BR322" s="13" t="s">
        <v>37</v>
      </c>
      <c r="BT322" s="12" t="s">
        <v>37</v>
      </c>
      <c r="BU322" s="12" t="s">
        <v>37</v>
      </c>
      <c r="BV322" s="12" t="s">
        <v>37</v>
      </c>
      <c r="CA322" s="12" t="s">
        <v>37</v>
      </c>
      <c r="CB322" s="12" t="s">
        <v>37</v>
      </c>
      <c r="CC322" s="13" t="s">
        <v>37</v>
      </c>
      <c r="CE322" s="12" t="s">
        <v>37</v>
      </c>
      <c r="CF322" s="12" t="s">
        <v>37</v>
      </c>
      <c r="CG322" s="12" t="s">
        <v>37</v>
      </c>
      <c r="CN322" s="12" t="s">
        <v>37</v>
      </c>
      <c r="CO322" s="12" t="s">
        <v>37</v>
      </c>
      <c r="CP322" s="13" t="s">
        <v>37</v>
      </c>
      <c r="CR322" s="12" t="s">
        <v>37</v>
      </c>
      <c r="CS322" s="12" t="s">
        <v>37</v>
      </c>
      <c r="CT322" s="13" t="s">
        <v>37</v>
      </c>
      <c r="CX322" s="72"/>
      <c r="CY322" s="72"/>
      <c r="DA322" s="12" t="s">
        <v>37</v>
      </c>
      <c r="DB322" s="12" t="s">
        <v>37</v>
      </c>
      <c r="DC322" s="13" t="s">
        <v>37</v>
      </c>
      <c r="DE322" s="12" t="s">
        <v>37</v>
      </c>
      <c r="DF322" s="12" t="s">
        <v>37</v>
      </c>
      <c r="DG322" s="12" t="s">
        <v>37</v>
      </c>
      <c r="DM322" s="11" t="s">
        <v>47</v>
      </c>
      <c r="DN322" s="19">
        <v>43.6</v>
      </c>
      <c r="DO322" s="50">
        <f t="shared" si="1262"/>
        <v>48.608737007372731</v>
      </c>
      <c r="DP322" s="13">
        <v>18</v>
      </c>
      <c r="DR322" s="19">
        <v>14.1</v>
      </c>
      <c r="DS322" s="50">
        <f t="shared" si="1263"/>
        <v>52.694749754297241</v>
      </c>
      <c r="DT322" s="13">
        <v>18</v>
      </c>
      <c r="DV322" s="19">
        <f t="shared" si="1211"/>
        <v>-29.5</v>
      </c>
      <c r="DW322" s="12">
        <f t="shared" si="1212"/>
        <v>50.692928328909623</v>
      </c>
      <c r="DX322" s="72">
        <f t="shared" si="1251"/>
        <v>285.53033139555197</v>
      </c>
      <c r="DY322" s="72">
        <f t="shared" si="1252"/>
        <v>285.53033139555203</v>
      </c>
      <c r="EA322" s="19" t="s">
        <v>37</v>
      </c>
      <c r="EB322" s="19" t="s">
        <v>37</v>
      </c>
      <c r="EC322" s="72" t="s">
        <v>37</v>
      </c>
      <c r="EE322" s="19" t="s">
        <v>37</v>
      </c>
      <c r="EF322" s="19" t="s">
        <v>37</v>
      </c>
      <c r="EG322" s="12" t="s">
        <v>37</v>
      </c>
      <c r="EM322" s="12" t="s">
        <v>39</v>
      </c>
      <c r="EN322" s="12">
        <v>-12.6</v>
      </c>
      <c r="EO322" s="12">
        <v>7.6</v>
      </c>
      <c r="EP322" s="13">
        <v>18</v>
      </c>
      <c r="EQ322" s="19">
        <f t="shared" si="1239"/>
        <v>0.60317460317460314</v>
      </c>
      <c r="ER322" s="12">
        <v>-18</v>
      </c>
      <c r="ES322" s="12">
        <v>8.5</v>
      </c>
      <c r="ET322" s="13">
        <v>18</v>
      </c>
      <c r="EU322" s="19">
        <f t="shared" si="1240"/>
        <v>0.47222222222222221</v>
      </c>
      <c r="EV322" s="19">
        <f t="shared" si="1233"/>
        <v>-5.4</v>
      </c>
      <c r="EW322" s="12">
        <f t="shared" si="1234"/>
        <v>8.0625678291720426</v>
      </c>
      <c r="EX322" s="19">
        <f t="shared" si="1235"/>
        <v>7.222777777777778</v>
      </c>
      <c r="EY322" s="19">
        <f t="shared" si="1236"/>
        <v>7.222777777777778</v>
      </c>
      <c r="FB322" s="12" t="s">
        <v>37</v>
      </c>
      <c r="FC322" s="12" t="s">
        <v>37</v>
      </c>
      <c r="FD322" s="12" t="s">
        <v>37</v>
      </c>
      <c r="FE322" s="12" t="s">
        <v>37</v>
      </c>
      <c r="FF322" s="20" t="s">
        <v>37</v>
      </c>
      <c r="FG322" s="12" t="s">
        <v>37</v>
      </c>
      <c r="FI322" s="12" t="s">
        <v>37</v>
      </c>
      <c r="FJ322" s="12" t="s">
        <v>37</v>
      </c>
      <c r="FK322" s="12" t="s">
        <v>37</v>
      </c>
      <c r="FL322" s="12" t="s">
        <v>37</v>
      </c>
      <c r="FM322" s="12" t="s">
        <v>37</v>
      </c>
      <c r="FN322" s="12" t="s">
        <v>37</v>
      </c>
      <c r="FP322" s="12" t="s">
        <v>37</v>
      </c>
      <c r="FQ322" s="12" t="s">
        <v>37</v>
      </c>
      <c r="FR322" s="12" t="s">
        <v>37</v>
      </c>
      <c r="FS322" s="12" t="s">
        <v>37</v>
      </c>
      <c r="FT322" s="12" t="s">
        <v>37</v>
      </c>
      <c r="FU322" s="12" t="s">
        <v>37</v>
      </c>
      <c r="FW322" s="12" t="s">
        <v>37</v>
      </c>
      <c r="FX322" s="12" t="s">
        <v>37</v>
      </c>
      <c r="FY322" s="12" t="s">
        <v>37</v>
      </c>
      <c r="FZ322" s="12" t="s">
        <v>37</v>
      </c>
      <c r="GA322" s="12" t="s">
        <v>37</v>
      </c>
      <c r="GB322" s="12" t="s">
        <v>37</v>
      </c>
      <c r="GO322" s="12" t="s">
        <v>660</v>
      </c>
      <c r="GP322" s="12" t="s">
        <v>340</v>
      </c>
      <c r="GQ322" s="12">
        <v>13</v>
      </c>
      <c r="GR322" s="12">
        <v>2</v>
      </c>
      <c r="GS322" s="13">
        <v>18</v>
      </c>
      <c r="GT322" s="19">
        <f t="shared" si="1264"/>
        <v>0.15384615384615385</v>
      </c>
      <c r="GU322" s="12">
        <v>13.1</v>
      </c>
      <c r="GV322" s="12">
        <v>5</v>
      </c>
      <c r="GW322" s="13">
        <v>18</v>
      </c>
      <c r="GX322" s="19">
        <f t="shared" si="1265"/>
        <v>0.38167938931297712</v>
      </c>
      <c r="GY322" s="19">
        <f t="shared" si="1266"/>
        <v>7.6628727455690972E-3</v>
      </c>
      <c r="GZ322" s="19">
        <f t="shared" si="1267"/>
        <v>9.4082108488656446E-3</v>
      </c>
      <c r="HA322" s="17" t="s">
        <v>63</v>
      </c>
      <c r="HB322" s="34" t="s">
        <v>345</v>
      </c>
      <c r="HC322" s="12">
        <v>5.8000000000000003E-2</v>
      </c>
      <c r="HD322" s="50">
        <f t="shared" si="1268"/>
        <v>9.999881102496477E-3</v>
      </c>
      <c r="HE322" s="13">
        <v>3</v>
      </c>
      <c r="HG322" s="12">
        <v>5.8000000000000003E-2</v>
      </c>
      <c r="HH322" s="50">
        <f t="shared" si="1269"/>
        <v>6.4875621580920946E-3</v>
      </c>
      <c r="HI322" s="13">
        <v>3</v>
      </c>
      <c r="HK322" s="19">
        <f t="shared" si="1270"/>
        <v>0</v>
      </c>
      <c r="HL322" s="19">
        <f t="shared" si="1271"/>
        <v>1.4079080937294363E-2</v>
      </c>
      <c r="IK322" s="12" t="s">
        <v>37</v>
      </c>
      <c r="IL322" s="12" t="s">
        <v>37</v>
      </c>
      <c r="IM322" s="12" t="s">
        <v>37</v>
      </c>
      <c r="IO322" s="12" t="s">
        <v>37</v>
      </c>
      <c r="IP322" s="12" t="s">
        <v>37</v>
      </c>
      <c r="IQ322" s="12" t="s">
        <v>37</v>
      </c>
      <c r="IV322" s="32" t="s">
        <v>345</v>
      </c>
      <c r="IW322" s="12">
        <v>4.3</v>
      </c>
      <c r="IX322" s="50">
        <f t="shared" si="1272"/>
        <v>0.15743479330049948</v>
      </c>
      <c r="IY322" s="13">
        <v>3</v>
      </c>
      <c r="JA322" s="12">
        <v>4.3</v>
      </c>
      <c r="JB322" s="50">
        <f t="shared" si="1273"/>
        <v>0.12043787777852186</v>
      </c>
      <c r="JC322" s="13">
        <v>3</v>
      </c>
      <c r="JE322" s="19">
        <f t="shared" si="1274"/>
        <v>0</v>
      </c>
      <c r="JF322" s="19">
        <f t="shared" si="1275"/>
        <v>7.083287641133075E-4</v>
      </c>
      <c r="JH322" s="12" t="s">
        <v>37</v>
      </c>
      <c r="JI322" s="12" t="s">
        <v>37</v>
      </c>
      <c r="JJ322" s="13" t="s">
        <v>37</v>
      </c>
      <c r="JL322" s="12" t="s">
        <v>37</v>
      </c>
      <c r="JM322" s="12" t="s">
        <v>37</v>
      </c>
      <c r="JN322" s="12" t="s">
        <v>37</v>
      </c>
      <c r="JS322" s="12" t="s">
        <v>37</v>
      </c>
      <c r="JT322" s="12" t="s">
        <v>37</v>
      </c>
      <c r="JU322" s="13" t="s">
        <v>37</v>
      </c>
      <c r="JW322" s="12" t="s">
        <v>37</v>
      </c>
      <c r="JX322" s="12" t="s">
        <v>37</v>
      </c>
      <c r="JY322" s="12" t="s">
        <v>37</v>
      </c>
      <c r="KE322" s="12" t="s">
        <v>37</v>
      </c>
      <c r="KF322" s="12" t="s">
        <v>37</v>
      </c>
      <c r="KG322" s="13" t="s">
        <v>37</v>
      </c>
      <c r="KH322" s="12" t="s">
        <v>37</v>
      </c>
      <c r="KI322" s="12" t="s">
        <v>37</v>
      </c>
      <c r="KJ322" s="12" t="s">
        <v>37</v>
      </c>
      <c r="KK322" s="12" t="s">
        <v>42</v>
      </c>
      <c r="KL322" s="32" t="s">
        <v>345</v>
      </c>
      <c r="KM322" s="12">
        <v>14</v>
      </c>
      <c r="KN322" s="50">
        <f t="shared" si="1276"/>
        <v>1.6701025793880326</v>
      </c>
      <c r="KO322" s="11">
        <v>3</v>
      </c>
      <c r="KQ322" s="12">
        <v>12</v>
      </c>
      <c r="KR322" s="50">
        <f t="shared" si="1277"/>
        <v>1.2653211620236409</v>
      </c>
      <c r="KS322" s="11">
        <v>3</v>
      </c>
      <c r="KU322" s="19">
        <f t="shared" si="1278"/>
        <v>-0.15415067982725836</v>
      </c>
      <c r="KV322" s="19">
        <f t="shared" si="1279"/>
        <v>8.4497155628593217E-3</v>
      </c>
      <c r="KX322" s="12" t="s">
        <v>37</v>
      </c>
      <c r="KY322" s="12" t="s">
        <v>37</v>
      </c>
      <c r="KZ322" s="12" t="s">
        <v>37</v>
      </c>
      <c r="LB322" s="12" t="s">
        <v>37</v>
      </c>
      <c r="LC322" s="12" t="s">
        <v>37</v>
      </c>
      <c r="LD322" s="12" t="s">
        <v>37</v>
      </c>
      <c r="LI322" s="12" t="s">
        <v>37</v>
      </c>
      <c r="LJ322" s="12" t="s">
        <v>37</v>
      </c>
      <c r="LK322" s="12" t="s">
        <v>37</v>
      </c>
      <c r="LM322" s="12" t="s">
        <v>37</v>
      </c>
      <c r="LN322" s="12" t="s">
        <v>37</v>
      </c>
      <c r="LO322" s="12" t="s">
        <v>37</v>
      </c>
      <c r="LU322" s="12" t="s">
        <v>37</v>
      </c>
      <c r="LV322" s="12" t="s">
        <v>37</v>
      </c>
      <c r="LW322" s="12" t="s">
        <v>37</v>
      </c>
      <c r="LY322" s="12" t="s">
        <v>37</v>
      </c>
      <c r="LZ322" s="12" t="s">
        <v>37</v>
      </c>
      <c r="MA322" s="12" t="s">
        <v>37</v>
      </c>
      <c r="MF322" s="12" t="s">
        <v>37</v>
      </c>
      <c r="MG322" s="12" t="s">
        <v>37</v>
      </c>
      <c r="MH322" s="12" t="s">
        <v>37</v>
      </c>
      <c r="MJ322" s="12" t="s">
        <v>37</v>
      </c>
      <c r="MK322" s="12" t="s">
        <v>37</v>
      </c>
      <c r="ML322" s="12" t="s">
        <v>37</v>
      </c>
      <c r="MQ322" s="12" t="s">
        <v>37</v>
      </c>
      <c r="MR322" s="12" t="s">
        <v>37</v>
      </c>
      <c r="MS322" s="12" t="s">
        <v>37</v>
      </c>
      <c r="MU322" s="12" t="s">
        <v>37</v>
      </c>
      <c r="MV322" s="12" t="s">
        <v>37</v>
      </c>
      <c r="MW322" s="12" t="s">
        <v>37</v>
      </c>
      <c r="NC322" s="12" t="s">
        <v>37</v>
      </c>
      <c r="ND322" s="12" t="s">
        <v>37</v>
      </c>
      <c r="NE322" s="12" t="s">
        <v>37</v>
      </c>
      <c r="NG322" s="12" t="s">
        <v>37</v>
      </c>
      <c r="NH322" s="12" t="s">
        <v>37</v>
      </c>
      <c r="NI322" s="12" t="s">
        <v>37</v>
      </c>
      <c r="NO322" s="12" t="s">
        <v>37</v>
      </c>
      <c r="NP322" s="12" t="s">
        <v>37</v>
      </c>
      <c r="NQ322" s="12" t="s">
        <v>37</v>
      </c>
      <c r="NS322" s="12" t="s">
        <v>37</v>
      </c>
      <c r="NT322" s="12" t="s">
        <v>37</v>
      </c>
      <c r="NU322" s="12" t="s">
        <v>37</v>
      </c>
      <c r="OA322" s="12" t="s">
        <v>37</v>
      </c>
      <c r="OB322" s="12" t="s">
        <v>37</v>
      </c>
      <c r="OC322" s="12" t="s">
        <v>37</v>
      </c>
      <c r="OD322" s="12"/>
      <c r="OE322" s="12" t="s">
        <v>37</v>
      </c>
      <c r="OF322" s="12" t="s">
        <v>37</v>
      </c>
      <c r="OG322" s="12" t="s">
        <v>37</v>
      </c>
      <c r="OH322" s="12"/>
      <c r="OI322" s="12"/>
      <c r="OJ322" s="12"/>
      <c r="OM322" s="12" t="s">
        <v>37</v>
      </c>
      <c r="ON322" s="12" t="s">
        <v>37</v>
      </c>
      <c r="OO322" s="12" t="s">
        <v>37</v>
      </c>
      <c r="OP322" s="12" t="s">
        <v>37</v>
      </c>
      <c r="OQ322" s="12" t="s">
        <v>37</v>
      </c>
      <c r="OR322" s="12" t="s">
        <v>37</v>
      </c>
      <c r="OS322" s="12"/>
      <c r="OT322" s="12"/>
      <c r="OW322" s="12" t="s">
        <v>37</v>
      </c>
      <c r="OX322" s="12" t="s">
        <v>37</v>
      </c>
      <c r="OY322" s="13" t="s">
        <v>37</v>
      </c>
      <c r="OZ322" s="12" t="s">
        <v>37</v>
      </c>
      <c r="PA322" s="12" t="s">
        <v>37</v>
      </c>
      <c r="PB322" s="13" t="s">
        <v>37</v>
      </c>
      <c r="PG322" s="12" t="s">
        <v>37</v>
      </c>
      <c r="PH322" s="12" t="s">
        <v>37</v>
      </c>
      <c r="PI322" s="12" t="s">
        <v>37</v>
      </c>
      <c r="PJ322" s="12" t="s">
        <v>37</v>
      </c>
      <c r="PK322" s="12" t="s">
        <v>37</v>
      </c>
      <c r="PL322" s="12" t="s">
        <v>37</v>
      </c>
      <c r="PM322" s="12"/>
      <c r="PN322" s="12"/>
      <c r="PQ322" s="12" t="s">
        <v>37</v>
      </c>
      <c r="PR322" s="12" t="s">
        <v>37</v>
      </c>
      <c r="PS322" s="12" t="s">
        <v>37</v>
      </c>
      <c r="PT322" s="12" t="s">
        <v>37</v>
      </c>
      <c r="PU322" s="12" t="s">
        <v>37</v>
      </c>
      <c r="PV322" s="12" t="s">
        <v>37</v>
      </c>
      <c r="PW322" s="12"/>
      <c r="PX322" s="12"/>
      <c r="PZ322" s="12" t="s">
        <v>37</v>
      </c>
      <c r="QA322" s="12" t="s">
        <v>37</v>
      </c>
      <c r="QB322" s="12" t="s">
        <v>37</v>
      </c>
      <c r="QD322" s="12" t="s">
        <v>37</v>
      </c>
      <c r="QE322" s="12" t="s">
        <v>37</v>
      </c>
      <c r="QF322" s="12" t="s">
        <v>37</v>
      </c>
      <c r="QK322" s="12" t="s">
        <v>37</v>
      </c>
      <c r="QL322" s="12" t="s">
        <v>37</v>
      </c>
      <c r="QM322" s="12" t="s">
        <v>37</v>
      </c>
      <c r="QN322" s="12" t="s">
        <v>37</v>
      </c>
      <c r="QO322" s="12" t="s">
        <v>37</v>
      </c>
      <c r="QP322" s="12" t="s">
        <v>37</v>
      </c>
      <c r="QQ322" s="12"/>
      <c r="QR322" s="12"/>
      <c r="QU322" s="12" t="s">
        <v>37</v>
      </c>
      <c r="QV322" s="12" t="s">
        <v>37</v>
      </c>
      <c r="QW322" s="12" t="s">
        <v>37</v>
      </c>
      <c r="QX322" s="12" t="s">
        <v>37</v>
      </c>
      <c r="QY322" s="12" t="s">
        <v>37</v>
      </c>
      <c r="QZ322" s="12" t="s">
        <v>37</v>
      </c>
      <c r="RC322" s="12" t="s">
        <v>37</v>
      </c>
      <c r="RD322" s="12" t="s">
        <v>37</v>
      </c>
      <c r="RE322" s="13" t="s">
        <v>37</v>
      </c>
      <c r="RF322" s="12" t="s">
        <v>37</v>
      </c>
      <c r="RG322" s="12" t="s">
        <v>37</v>
      </c>
      <c r="RH322" s="13" t="s">
        <v>37</v>
      </c>
      <c r="RK322" s="12" t="s">
        <v>37</v>
      </c>
      <c r="RL322" s="12" t="s">
        <v>37</v>
      </c>
      <c r="RM322" s="11" t="s">
        <v>37</v>
      </c>
      <c r="RN322" s="12" t="s">
        <v>37</v>
      </c>
      <c r="RO322" s="12" t="s">
        <v>37</v>
      </c>
      <c r="RP322" s="11" t="s">
        <v>37</v>
      </c>
      <c r="RS322" s="12" t="s">
        <v>37</v>
      </c>
      <c r="RT322" s="12" t="s">
        <v>37</v>
      </c>
      <c r="RU322" s="12" t="s">
        <v>37</v>
      </c>
      <c r="RV322" s="12" t="s">
        <v>37</v>
      </c>
      <c r="RW322" s="12" t="s">
        <v>37</v>
      </c>
      <c r="RX322" s="12" t="s">
        <v>37</v>
      </c>
      <c r="SA322" s="12" t="s">
        <v>37</v>
      </c>
      <c r="SB322" s="12" t="s">
        <v>37</v>
      </c>
      <c r="SC322" s="12" t="s">
        <v>37</v>
      </c>
      <c r="SD322" s="12" t="s">
        <v>37</v>
      </c>
      <c r="SE322" s="12" t="s">
        <v>37</v>
      </c>
      <c r="SF322" s="12" t="s">
        <v>37</v>
      </c>
      <c r="SI322" s="12" t="s">
        <v>37</v>
      </c>
      <c r="SJ322" s="12" t="s">
        <v>37</v>
      </c>
      <c r="SK322" s="13" t="s">
        <v>37</v>
      </c>
      <c r="SM322" s="12">
        <v>0.35499999999999998</v>
      </c>
      <c r="SN322" s="12" t="s">
        <v>37</v>
      </c>
      <c r="SO322" s="13" t="s">
        <v>37</v>
      </c>
      <c r="SU322" s="12" t="s">
        <v>37</v>
      </c>
      <c r="SV322" s="12" t="s">
        <v>37</v>
      </c>
      <c r="SW322" s="12" t="s">
        <v>37</v>
      </c>
      <c r="SX322" s="12" t="s">
        <v>37</v>
      </c>
      <c r="SY322" s="12" t="s">
        <v>37</v>
      </c>
      <c r="SZ322" s="12" t="s">
        <v>37</v>
      </c>
      <c r="TA322" s="12"/>
      <c r="TB322" s="12"/>
      <c r="TE322" s="12" t="s">
        <v>37</v>
      </c>
      <c r="TF322" s="12" t="s">
        <v>37</v>
      </c>
      <c r="TG322" s="12" t="s">
        <v>37</v>
      </c>
      <c r="TH322" s="12" t="s">
        <v>37</v>
      </c>
      <c r="TI322" s="12" t="s">
        <v>37</v>
      </c>
      <c r="TJ322" s="12" t="s">
        <v>37</v>
      </c>
      <c r="TK322" s="12"/>
      <c r="TL322" s="12"/>
      <c r="TO322" s="12" t="s">
        <v>37</v>
      </c>
      <c r="TP322" s="12" t="s">
        <v>37</v>
      </c>
      <c r="TQ322" s="12" t="s">
        <v>37</v>
      </c>
      <c r="TR322" s="12" t="s">
        <v>37</v>
      </c>
      <c r="TS322" s="12" t="s">
        <v>37</v>
      </c>
      <c r="TT322" s="12" t="s">
        <v>37</v>
      </c>
      <c r="TU322" s="12"/>
      <c r="TV322" s="12"/>
      <c r="TY322" s="12" t="s">
        <v>37</v>
      </c>
      <c r="TZ322" s="12" t="s">
        <v>37</v>
      </c>
      <c r="UA322" s="12" t="s">
        <v>37</v>
      </c>
      <c r="UB322" s="12" t="s">
        <v>37</v>
      </c>
      <c r="UC322" s="12" t="s">
        <v>37</v>
      </c>
      <c r="UD322" s="12" t="s">
        <v>37</v>
      </c>
      <c r="UE322" s="12"/>
      <c r="UF322" s="12"/>
      <c r="UI322" s="12" t="s">
        <v>37</v>
      </c>
      <c r="UJ322" s="12" t="s">
        <v>37</v>
      </c>
      <c r="UK322" s="12" t="s">
        <v>37</v>
      </c>
      <c r="UL322" s="12" t="s">
        <v>37</v>
      </c>
      <c r="UM322" s="12" t="s">
        <v>37</v>
      </c>
      <c r="UN322" s="12" t="s">
        <v>37</v>
      </c>
      <c r="UO322" s="12"/>
      <c r="UP322" s="12"/>
      <c r="UR322" s="12" t="s">
        <v>37</v>
      </c>
      <c r="US322" s="12" t="s">
        <v>37</v>
      </c>
      <c r="UT322" s="12" t="s">
        <v>37</v>
      </c>
      <c r="UU322" s="12" t="s">
        <v>37</v>
      </c>
      <c r="UV322" s="12" t="s">
        <v>37</v>
      </c>
      <c r="UW322" s="12" t="s">
        <v>37</v>
      </c>
      <c r="UX322" s="12"/>
      <c r="UY322" s="12"/>
      <c r="VB322" s="12" t="s">
        <v>37</v>
      </c>
      <c r="VC322" s="12" t="s">
        <v>37</v>
      </c>
      <c r="VD322" s="12" t="s">
        <v>37</v>
      </c>
      <c r="VE322" s="12" t="s">
        <v>37</v>
      </c>
      <c r="VF322" s="12" t="s">
        <v>37</v>
      </c>
      <c r="VG322" s="12" t="s">
        <v>37</v>
      </c>
      <c r="VI322" s="12" t="s">
        <v>37</v>
      </c>
      <c r="VJ322" s="12" t="s">
        <v>37</v>
      </c>
      <c r="VK322" s="12" t="s">
        <v>37</v>
      </c>
      <c r="VL322" s="12" t="s">
        <v>37</v>
      </c>
      <c r="VM322" s="12" t="s">
        <v>37</v>
      </c>
      <c r="VN322" s="12" t="s">
        <v>37</v>
      </c>
      <c r="VQ322" s="12" t="s">
        <v>37</v>
      </c>
      <c r="VR322" s="12" t="s">
        <v>37</v>
      </c>
      <c r="VS322" s="12" t="s">
        <v>37</v>
      </c>
      <c r="VT322" s="12" t="s">
        <v>37</v>
      </c>
      <c r="VU322" s="12" t="s">
        <v>37</v>
      </c>
      <c r="VV322" s="12" t="s">
        <v>37</v>
      </c>
      <c r="VW322" s="12"/>
      <c r="VX322" s="12"/>
      <c r="WA322" s="12" t="s">
        <v>37</v>
      </c>
      <c r="WB322" s="12" t="s">
        <v>37</v>
      </c>
      <c r="WC322" s="12" t="s">
        <v>37</v>
      </c>
      <c r="WD322" s="12" t="s">
        <v>37</v>
      </c>
      <c r="WE322" s="12" t="s">
        <v>37</v>
      </c>
      <c r="WF322" s="12" t="s">
        <v>37</v>
      </c>
    </row>
    <row r="323" spans="1:604" ht="18" customHeight="1" x14ac:dyDescent="0.3">
      <c r="A323" s="11">
        <v>71</v>
      </c>
      <c r="B323" s="16" t="s">
        <v>406</v>
      </c>
      <c r="C323" s="12" t="s">
        <v>26</v>
      </c>
      <c r="D323" s="12" t="s">
        <v>54</v>
      </c>
      <c r="E323" s="40">
        <v>2</v>
      </c>
      <c r="F323" s="14">
        <v>0</v>
      </c>
      <c r="G323" s="14">
        <v>0</v>
      </c>
      <c r="H323" s="12" t="s">
        <v>123</v>
      </c>
      <c r="I323" s="29">
        <v>61.783000000000001</v>
      </c>
      <c r="J323" s="29">
        <v>24.3</v>
      </c>
      <c r="K323" s="12" t="s">
        <v>775</v>
      </c>
      <c r="L323" s="12" t="s">
        <v>709</v>
      </c>
      <c r="M323" s="13">
        <v>150</v>
      </c>
      <c r="N323" s="14">
        <v>3</v>
      </c>
      <c r="O323" s="14">
        <v>709</v>
      </c>
      <c r="P323" s="14" t="s">
        <v>84</v>
      </c>
      <c r="Q323" s="75">
        <v>31</v>
      </c>
      <c r="R323" s="11" t="s">
        <v>1000</v>
      </c>
      <c r="S323" s="12" t="s">
        <v>93</v>
      </c>
      <c r="T323" s="12" t="s">
        <v>141</v>
      </c>
      <c r="U323" s="12" t="s">
        <v>158</v>
      </c>
      <c r="V323" s="12" t="s">
        <v>275</v>
      </c>
      <c r="W323" s="23" t="s">
        <v>377</v>
      </c>
      <c r="X323" s="12" t="s">
        <v>281</v>
      </c>
      <c r="Y323" s="12" t="s">
        <v>37</v>
      </c>
      <c r="Z323" s="12" t="s">
        <v>37</v>
      </c>
      <c r="AA323" s="32" t="s">
        <v>345</v>
      </c>
      <c r="AB323" s="12">
        <v>4.3</v>
      </c>
      <c r="AE323" s="12" t="s">
        <v>37</v>
      </c>
      <c r="AF323" s="12" t="s">
        <v>42</v>
      </c>
      <c r="AG323" s="32" t="s">
        <v>345</v>
      </c>
      <c r="AH323" s="12">
        <v>14</v>
      </c>
      <c r="AK323" s="12" t="s">
        <v>37</v>
      </c>
      <c r="AL323" s="32">
        <v>1992</v>
      </c>
      <c r="AM323" s="12" t="s">
        <v>344</v>
      </c>
      <c r="AO323" s="12" t="s">
        <v>37</v>
      </c>
      <c r="AP323" s="12" t="s">
        <v>108</v>
      </c>
      <c r="AQ323" s="12" t="s">
        <v>975</v>
      </c>
      <c r="AT323" s="12" t="s">
        <v>326</v>
      </c>
      <c r="AU323" s="12" t="s">
        <v>326</v>
      </c>
      <c r="AV323" s="13" t="s">
        <v>326</v>
      </c>
      <c r="AX323" s="12" t="s">
        <v>326</v>
      </c>
      <c r="AY323" s="12" t="s">
        <v>326</v>
      </c>
      <c r="AZ323" s="13" t="s">
        <v>326</v>
      </c>
      <c r="BE323" s="12" t="s">
        <v>326</v>
      </c>
      <c r="BF323" s="12" t="s">
        <v>326</v>
      </c>
      <c r="BG323" s="12" t="s">
        <v>326</v>
      </c>
      <c r="BI323" s="12" t="s">
        <v>326</v>
      </c>
      <c r="BJ323" s="12" t="s">
        <v>326</v>
      </c>
      <c r="BK323" s="12" t="s">
        <v>326</v>
      </c>
      <c r="BP323" s="12" t="s">
        <v>37</v>
      </c>
      <c r="BQ323" s="12" t="s">
        <v>37</v>
      </c>
      <c r="BR323" s="13" t="s">
        <v>37</v>
      </c>
      <c r="BT323" s="12" t="s">
        <v>37</v>
      </c>
      <c r="BU323" s="12" t="s">
        <v>37</v>
      </c>
      <c r="BV323" s="12" t="s">
        <v>37</v>
      </c>
      <c r="CA323" s="12" t="s">
        <v>37</v>
      </c>
      <c r="CB323" s="12" t="s">
        <v>37</v>
      </c>
      <c r="CC323" s="13" t="s">
        <v>37</v>
      </c>
      <c r="CE323" s="12" t="s">
        <v>37</v>
      </c>
      <c r="CF323" s="12" t="s">
        <v>37</v>
      </c>
      <c r="CG323" s="12" t="s">
        <v>37</v>
      </c>
      <c r="CN323" s="12" t="s">
        <v>37</v>
      </c>
      <c r="CO323" s="12" t="s">
        <v>37</v>
      </c>
      <c r="CP323" s="13" t="s">
        <v>37</v>
      </c>
      <c r="CR323" s="12" t="s">
        <v>37</v>
      </c>
      <c r="CS323" s="12" t="s">
        <v>37</v>
      </c>
      <c r="CT323" s="13" t="s">
        <v>37</v>
      </c>
      <c r="CX323" s="72"/>
      <c r="CY323" s="72"/>
      <c r="DA323" s="12" t="s">
        <v>37</v>
      </c>
      <c r="DB323" s="12" t="s">
        <v>37</v>
      </c>
      <c r="DC323" s="13" t="s">
        <v>37</v>
      </c>
      <c r="DE323" s="12" t="s">
        <v>37</v>
      </c>
      <c r="DF323" s="12" t="s">
        <v>37</v>
      </c>
      <c r="DG323" s="12" t="s">
        <v>37</v>
      </c>
      <c r="DM323" s="11" t="s">
        <v>47</v>
      </c>
      <c r="DN323" s="19">
        <v>24.4</v>
      </c>
      <c r="DO323" s="50">
        <f t="shared" si="1262"/>
        <v>27.203054655502171</v>
      </c>
      <c r="DP323" s="13">
        <v>29</v>
      </c>
      <c r="DR323" s="19">
        <v>5.6</v>
      </c>
      <c r="DS323" s="50">
        <f t="shared" si="1263"/>
        <v>20.928411249933653</v>
      </c>
      <c r="DT323" s="13">
        <v>33</v>
      </c>
      <c r="DV323" s="19">
        <f t="shared" si="1211"/>
        <v>-18.799999999999997</v>
      </c>
      <c r="DW323" s="12">
        <f t="shared" si="1212"/>
        <v>24.061075700118458</v>
      </c>
      <c r="DX323" s="72">
        <f t="shared" si="1251"/>
        <v>37.506784282657812</v>
      </c>
      <c r="DY323" s="72">
        <f t="shared" si="1252"/>
        <v>38.790133282572626</v>
      </c>
      <c r="EA323" s="19" t="s">
        <v>37</v>
      </c>
      <c r="EB323" s="19" t="s">
        <v>37</v>
      </c>
      <c r="EC323" s="72" t="s">
        <v>37</v>
      </c>
      <c r="EE323" s="19" t="s">
        <v>37</v>
      </c>
      <c r="EF323" s="19" t="s">
        <v>37</v>
      </c>
      <c r="EG323" s="12" t="s">
        <v>37</v>
      </c>
      <c r="EM323" s="12" t="s">
        <v>39</v>
      </c>
      <c r="EN323" s="12">
        <v>-26.2</v>
      </c>
      <c r="EO323" s="12">
        <v>12.1</v>
      </c>
      <c r="EP323" s="13">
        <v>29</v>
      </c>
      <c r="EQ323" s="19">
        <f t="shared" si="1239"/>
        <v>0.46183206106870228</v>
      </c>
      <c r="ER323" s="12">
        <v>-30</v>
      </c>
      <c r="ES323" s="12">
        <v>11.2</v>
      </c>
      <c r="ET323" s="13">
        <v>33</v>
      </c>
      <c r="EU323" s="19">
        <f t="shared" si="1240"/>
        <v>0.37333333333333329</v>
      </c>
      <c r="EV323" s="19">
        <f t="shared" si="1233"/>
        <v>-3.8000000000000007</v>
      </c>
      <c r="EW323" s="12">
        <f t="shared" si="1234"/>
        <v>11.62867146324119</v>
      </c>
      <c r="EX323" s="19">
        <f t="shared" si="1235"/>
        <v>8.7607230929989548</v>
      </c>
      <c r="EY323" s="19">
        <f t="shared" si="1236"/>
        <v>8.8498328108672943</v>
      </c>
      <c r="FB323" s="12" t="s">
        <v>37</v>
      </c>
      <c r="FC323" s="12" t="s">
        <v>37</v>
      </c>
      <c r="FD323" s="12" t="s">
        <v>37</v>
      </c>
      <c r="FE323" s="12" t="s">
        <v>37</v>
      </c>
      <c r="FF323" s="20" t="s">
        <v>37</v>
      </c>
      <c r="FG323" s="12" t="s">
        <v>37</v>
      </c>
      <c r="FI323" s="12" t="s">
        <v>37</v>
      </c>
      <c r="FJ323" s="12" t="s">
        <v>37</v>
      </c>
      <c r="FK323" s="12" t="s">
        <v>37</v>
      </c>
      <c r="FL323" s="12" t="s">
        <v>37</v>
      </c>
      <c r="FM323" s="12" t="s">
        <v>37</v>
      </c>
      <c r="FN323" s="12" t="s">
        <v>37</v>
      </c>
      <c r="FP323" s="12" t="s">
        <v>37</v>
      </c>
      <c r="FQ323" s="12" t="s">
        <v>37</v>
      </c>
      <c r="FR323" s="12" t="s">
        <v>37</v>
      </c>
      <c r="FS323" s="12" t="s">
        <v>37</v>
      </c>
      <c r="FT323" s="12" t="s">
        <v>37</v>
      </c>
      <c r="FU323" s="12" t="s">
        <v>37</v>
      </c>
      <c r="FW323" s="12" t="s">
        <v>37</v>
      </c>
      <c r="FX323" s="12" t="s">
        <v>37</v>
      </c>
      <c r="FY323" s="12" t="s">
        <v>37</v>
      </c>
      <c r="FZ323" s="12" t="s">
        <v>37</v>
      </c>
      <c r="GA323" s="12" t="s">
        <v>37</v>
      </c>
      <c r="GB323" s="12" t="s">
        <v>37</v>
      </c>
      <c r="GO323" s="12" t="s">
        <v>660</v>
      </c>
      <c r="GP323" s="12" t="s">
        <v>340</v>
      </c>
      <c r="GQ323" s="12">
        <v>10.6</v>
      </c>
      <c r="GR323" s="12">
        <v>2.8</v>
      </c>
      <c r="GS323" s="13">
        <v>29</v>
      </c>
      <c r="GT323" s="19">
        <f t="shared" si="1264"/>
        <v>0.26415094339622641</v>
      </c>
      <c r="GU323" s="12">
        <v>11</v>
      </c>
      <c r="GV323" s="12">
        <v>2.7</v>
      </c>
      <c r="GW323" s="13">
        <v>33</v>
      </c>
      <c r="GX323" s="19">
        <f t="shared" si="1265"/>
        <v>0.24545454545454548</v>
      </c>
      <c r="GY323" s="19">
        <f t="shared" si="1266"/>
        <v>3.7041271680349076E-2</v>
      </c>
      <c r="GZ323" s="19">
        <f t="shared" si="1267"/>
        <v>4.2317543074707102E-3</v>
      </c>
      <c r="HA323" s="17" t="s">
        <v>63</v>
      </c>
      <c r="HB323" s="34" t="s">
        <v>345</v>
      </c>
      <c r="HC323" s="12">
        <v>5.8000000000000003E-2</v>
      </c>
      <c r="HD323" s="50">
        <f t="shared" si="1268"/>
        <v>9.999881102496477E-3</v>
      </c>
      <c r="HE323" s="13">
        <v>3</v>
      </c>
      <c r="HG323" s="12">
        <v>5.8000000000000003E-2</v>
      </c>
      <c r="HH323" s="50">
        <f t="shared" si="1269"/>
        <v>6.4875621580920946E-3</v>
      </c>
      <c r="HI323" s="13">
        <v>3</v>
      </c>
      <c r="HK323" s="19">
        <f t="shared" si="1270"/>
        <v>0</v>
      </c>
      <c r="HL323" s="19">
        <f t="shared" si="1271"/>
        <v>1.4079080937294363E-2</v>
      </c>
      <c r="IK323" s="12" t="s">
        <v>37</v>
      </c>
      <c r="IL323" s="12" t="s">
        <v>37</v>
      </c>
      <c r="IM323" s="12" t="s">
        <v>37</v>
      </c>
      <c r="IO323" s="12" t="s">
        <v>37</v>
      </c>
      <c r="IP323" s="12" t="s">
        <v>37</v>
      </c>
      <c r="IQ323" s="12" t="s">
        <v>37</v>
      </c>
      <c r="IV323" s="32" t="s">
        <v>345</v>
      </c>
      <c r="IW323" s="12">
        <v>4.3</v>
      </c>
      <c r="IX323" s="50">
        <f t="shared" si="1272"/>
        <v>0.15743479330049948</v>
      </c>
      <c r="IY323" s="13">
        <v>3</v>
      </c>
      <c r="JA323" s="12">
        <v>4.3</v>
      </c>
      <c r="JB323" s="50">
        <f t="shared" si="1273"/>
        <v>0.12043787777852186</v>
      </c>
      <c r="JC323" s="13">
        <v>3</v>
      </c>
      <c r="JE323" s="19">
        <f t="shared" si="1274"/>
        <v>0</v>
      </c>
      <c r="JF323" s="19">
        <f t="shared" si="1275"/>
        <v>7.083287641133075E-4</v>
      </c>
      <c r="JH323" s="12" t="s">
        <v>37</v>
      </c>
      <c r="JI323" s="12" t="s">
        <v>37</v>
      </c>
      <c r="JJ323" s="13" t="s">
        <v>37</v>
      </c>
      <c r="JL323" s="12" t="s">
        <v>37</v>
      </c>
      <c r="JM323" s="12" t="s">
        <v>37</v>
      </c>
      <c r="JN323" s="12" t="s">
        <v>37</v>
      </c>
      <c r="JS323" s="12" t="s">
        <v>37</v>
      </c>
      <c r="JT323" s="12" t="s">
        <v>37</v>
      </c>
      <c r="JU323" s="13" t="s">
        <v>37</v>
      </c>
      <c r="JW323" s="12" t="s">
        <v>37</v>
      </c>
      <c r="JX323" s="12" t="s">
        <v>37</v>
      </c>
      <c r="JY323" s="12" t="s">
        <v>37</v>
      </c>
      <c r="KE323" s="12" t="s">
        <v>37</v>
      </c>
      <c r="KF323" s="12" t="s">
        <v>37</v>
      </c>
      <c r="KG323" s="13" t="s">
        <v>37</v>
      </c>
      <c r="KH323" s="12" t="s">
        <v>37</v>
      </c>
      <c r="KI323" s="12" t="s">
        <v>37</v>
      </c>
      <c r="KJ323" s="12" t="s">
        <v>37</v>
      </c>
      <c r="KK323" s="12" t="s">
        <v>42</v>
      </c>
      <c r="KL323" s="32" t="s">
        <v>345</v>
      </c>
      <c r="KM323" s="12">
        <v>14</v>
      </c>
      <c r="KN323" s="50">
        <f t="shared" si="1276"/>
        <v>1.6701025793880326</v>
      </c>
      <c r="KO323" s="11">
        <v>3</v>
      </c>
      <c r="KQ323" s="12">
        <v>12</v>
      </c>
      <c r="KR323" s="50">
        <f t="shared" si="1277"/>
        <v>1.2653211620236409</v>
      </c>
      <c r="KS323" s="11">
        <v>3</v>
      </c>
      <c r="KU323" s="19">
        <f t="shared" si="1278"/>
        <v>-0.15415067982725836</v>
      </c>
      <c r="KV323" s="19">
        <f t="shared" si="1279"/>
        <v>8.4497155628593217E-3</v>
      </c>
      <c r="KX323" s="12" t="s">
        <v>37</v>
      </c>
      <c r="KY323" s="12" t="s">
        <v>37</v>
      </c>
      <c r="KZ323" s="12" t="s">
        <v>37</v>
      </c>
      <c r="LB323" s="12" t="s">
        <v>37</v>
      </c>
      <c r="LC323" s="12" t="s">
        <v>37</v>
      </c>
      <c r="LD323" s="12" t="s">
        <v>37</v>
      </c>
      <c r="LI323" s="12" t="s">
        <v>37</v>
      </c>
      <c r="LJ323" s="12" t="s">
        <v>37</v>
      </c>
      <c r="LK323" s="12" t="s">
        <v>37</v>
      </c>
      <c r="LM323" s="12" t="s">
        <v>37</v>
      </c>
      <c r="LN323" s="12" t="s">
        <v>37</v>
      </c>
      <c r="LO323" s="12" t="s">
        <v>37</v>
      </c>
      <c r="LU323" s="12" t="s">
        <v>37</v>
      </c>
      <c r="LV323" s="12" t="s">
        <v>37</v>
      </c>
      <c r="LW323" s="12" t="s">
        <v>37</v>
      </c>
      <c r="LY323" s="12" t="s">
        <v>37</v>
      </c>
      <c r="LZ323" s="12" t="s">
        <v>37</v>
      </c>
      <c r="MA323" s="12" t="s">
        <v>37</v>
      </c>
      <c r="MF323" s="12" t="s">
        <v>37</v>
      </c>
      <c r="MG323" s="12" t="s">
        <v>37</v>
      </c>
      <c r="MH323" s="12" t="s">
        <v>37</v>
      </c>
      <c r="MJ323" s="12" t="s">
        <v>37</v>
      </c>
      <c r="MK323" s="12" t="s">
        <v>37</v>
      </c>
      <c r="ML323" s="12" t="s">
        <v>37</v>
      </c>
      <c r="MQ323" s="12" t="s">
        <v>37</v>
      </c>
      <c r="MR323" s="12" t="s">
        <v>37</v>
      </c>
      <c r="MS323" s="12" t="s">
        <v>37</v>
      </c>
      <c r="MU323" s="12" t="s">
        <v>37</v>
      </c>
      <c r="MV323" s="12" t="s">
        <v>37</v>
      </c>
      <c r="MW323" s="12" t="s">
        <v>37</v>
      </c>
      <c r="NC323" s="12" t="s">
        <v>37</v>
      </c>
      <c r="ND323" s="12" t="s">
        <v>37</v>
      </c>
      <c r="NE323" s="12" t="s">
        <v>37</v>
      </c>
      <c r="NG323" s="12" t="s">
        <v>37</v>
      </c>
      <c r="NH323" s="12" t="s">
        <v>37</v>
      </c>
      <c r="NI323" s="12" t="s">
        <v>37</v>
      </c>
      <c r="NO323" s="12" t="s">
        <v>37</v>
      </c>
      <c r="NP323" s="12" t="s">
        <v>37</v>
      </c>
      <c r="NQ323" s="12" t="s">
        <v>37</v>
      </c>
      <c r="NS323" s="12" t="s">
        <v>37</v>
      </c>
      <c r="NT323" s="12" t="s">
        <v>37</v>
      </c>
      <c r="NU323" s="12" t="s">
        <v>37</v>
      </c>
      <c r="OA323" s="12" t="s">
        <v>37</v>
      </c>
      <c r="OB323" s="12" t="s">
        <v>37</v>
      </c>
      <c r="OC323" s="12" t="s">
        <v>37</v>
      </c>
      <c r="OD323" s="12"/>
      <c r="OE323" s="12" t="s">
        <v>37</v>
      </c>
      <c r="OF323" s="12" t="s">
        <v>37</v>
      </c>
      <c r="OG323" s="12" t="s">
        <v>37</v>
      </c>
      <c r="OH323" s="12"/>
      <c r="OI323" s="12"/>
      <c r="OJ323" s="12"/>
      <c r="OM323" s="12" t="s">
        <v>37</v>
      </c>
      <c r="ON323" s="12" t="s">
        <v>37</v>
      </c>
      <c r="OO323" s="12" t="s">
        <v>37</v>
      </c>
      <c r="OP323" s="12" t="s">
        <v>37</v>
      </c>
      <c r="OQ323" s="12" t="s">
        <v>37</v>
      </c>
      <c r="OR323" s="12" t="s">
        <v>37</v>
      </c>
      <c r="OS323" s="12"/>
      <c r="OT323" s="12"/>
      <c r="OW323" s="12" t="s">
        <v>37</v>
      </c>
      <c r="OX323" s="12" t="s">
        <v>37</v>
      </c>
      <c r="OY323" s="13" t="s">
        <v>37</v>
      </c>
      <c r="OZ323" s="12" t="s">
        <v>37</v>
      </c>
      <c r="PA323" s="12" t="s">
        <v>37</v>
      </c>
      <c r="PB323" s="13" t="s">
        <v>37</v>
      </c>
      <c r="PG323" s="12" t="s">
        <v>37</v>
      </c>
      <c r="PH323" s="12" t="s">
        <v>37</v>
      </c>
      <c r="PI323" s="12" t="s">
        <v>37</v>
      </c>
      <c r="PJ323" s="12" t="s">
        <v>37</v>
      </c>
      <c r="PK323" s="12" t="s">
        <v>37</v>
      </c>
      <c r="PL323" s="12" t="s">
        <v>37</v>
      </c>
      <c r="PM323" s="12"/>
      <c r="PN323" s="12"/>
      <c r="PQ323" s="12" t="s">
        <v>37</v>
      </c>
      <c r="PR323" s="12" t="s">
        <v>37</v>
      </c>
      <c r="PS323" s="12" t="s">
        <v>37</v>
      </c>
      <c r="PT323" s="12" t="s">
        <v>37</v>
      </c>
      <c r="PU323" s="12" t="s">
        <v>37</v>
      </c>
      <c r="PV323" s="12" t="s">
        <v>37</v>
      </c>
      <c r="PW323" s="12"/>
      <c r="PX323" s="12"/>
      <c r="PZ323" s="12" t="s">
        <v>37</v>
      </c>
      <c r="QA323" s="12" t="s">
        <v>37</v>
      </c>
      <c r="QB323" s="12" t="s">
        <v>37</v>
      </c>
      <c r="QD323" s="12" t="s">
        <v>37</v>
      </c>
      <c r="QE323" s="12" t="s">
        <v>37</v>
      </c>
      <c r="QF323" s="12" t="s">
        <v>37</v>
      </c>
      <c r="QK323" s="12" t="s">
        <v>37</v>
      </c>
      <c r="QL323" s="12" t="s">
        <v>37</v>
      </c>
      <c r="QM323" s="12" t="s">
        <v>37</v>
      </c>
      <c r="QN323" s="12" t="s">
        <v>37</v>
      </c>
      <c r="QO323" s="12" t="s">
        <v>37</v>
      </c>
      <c r="QP323" s="12" t="s">
        <v>37</v>
      </c>
      <c r="QQ323" s="12"/>
      <c r="QR323" s="12"/>
      <c r="QU323" s="12" t="s">
        <v>37</v>
      </c>
      <c r="QV323" s="12" t="s">
        <v>37</v>
      </c>
      <c r="QW323" s="12" t="s">
        <v>37</v>
      </c>
      <c r="QX323" s="12" t="s">
        <v>37</v>
      </c>
      <c r="QY323" s="12" t="s">
        <v>37</v>
      </c>
      <c r="QZ323" s="12" t="s">
        <v>37</v>
      </c>
      <c r="RC323" s="12" t="s">
        <v>37</v>
      </c>
      <c r="RD323" s="12" t="s">
        <v>37</v>
      </c>
      <c r="RE323" s="13" t="s">
        <v>37</v>
      </c>
      <c r="RF323" s="12" t="s">
        <v>37</v>
      </c>
      <c r="RG323" s="12" t="s">
        <v>37</v>
      </c>
      <c r="RH323" s="13" t="s">
        <v>37</v>
      </c>
      <c r="RK323" s="12" t="s">
        <v>37</v>
      </c>
      <c r="RL323" s="12" t="s">
        <v>37</v>
      </c>
      <c r="RM323" s="11" t="s">
        <v>37</v>
      </c>
      <c r="RN323" s="12" t="s">
        <v>37</v>
      </c>
      <c r="RO323" s="12" t="s">
        <v>37</v>
      </c>
      <c r="RP323" s="11" t="s">
        <v>37</v>
      </c>
      <c r="RS323" s="12" t="s">
        <v>37</v>
      </c>
      <c r="RT323" s="12" t="s">
        <v>37</v>
      </c>
      <c r="RU323" s="12" t="s">
        <v>37</v>
      </c>
      <c r="RV323" s="12" t="s">
        <v>37</v>
      </c>
      <c r="RW323" s="12" t="s">
        <v>37</v>
      </c>
      <c r="RX323" s="12" t="s">
        <v>37</v>
      </c>
      <c r="SA323" s="12" t="s">
        <v>37</v>
      </c>
      <c r="SB323" s="12" t="s">
        <v>37</v>
      </c>
      <c r="SC323" s="12" t="s">
        <v>37</v>
      </c>
      <c r="SD323" s="12" t="s">
        <v>37</v>
      </c>
      <c r="SE323" s="12" t="s">
        <v>37</v>
      </c>
      <c r="SF323" s="12" t="s">
        <v>37</v>
      </c>
      <c r="SI323" s="12" t="s">
        <v>37</v>
      </c>
      <c r="SJ323" s="12" t="s">
        <v>37</v>
      </c>
      <c r="SK323" s="13" t="s">
        <v>37</v>
      </c>
      <c r="SM323" s="12">
        <v>0.35499999999999998</v>
      </c>
      <c r="SN323" s="12" t="s">
        <v>37</v>
      </c>
      <c r="SO323" s="13" t="s">
        <v>37</v>
      </c>
      <c r="SU323" s="12" t="s">
        <v>37</v>
      </c>
      <c r="SV323" s="12" t="s">
        <v>37</v>
      </c>
      <c r="SW323" s="12" t="s">
        <v>37</v>
      </c>
      <c r="SX323" s="12" t="s">
        <v>37</v>
      </c>
      <c r="SY323" s="12" t="s">
        <v>37</v>
      </c>
      <c r="SZ323" s="12" t="s">
        <v>37</v>
      </c>
      <c r="TA323" s="12"/>
      <c r="TB323" s="12"/>
      <c r="TE323" s="12" t="s">
        <v>37</v>
      </c>
      <c r="TF323" s="12" t="s">
        <v>37</v>
      </c>
      <c r="TG323" s="12" t="s">
        <v>37</v>
      </c>
      <c r="TH323" s="12" t="s">
        <v>37</v>
      </c>
      <c r="TI323" s="12" t="s">
        <v>37</v>
      </c>
      <c r="TJ323" s="12" t="s">
        <v>37</v>
      </c>
      <c r="TK323" s="12"/>
      <c r="TL323" s="12"/>
      <c r="TO323" s="12" t="s">
        <v>37</v>
      </c>
      <c r="TP323" s="12" t="s">
        <v>37</v>
      </c>
      <c r="TQ323" s="12" t="s">
        <v>37</v>
      </c>
      <c r="TR323" s="12" t="s">
        <v>37</v>
      </c>
      <c r="TS323" s="12" t="s">
        <v>37</v>
      </c>
      <c r="TT323" s="12" t="s">
        <v>37</v>
      </c>
      <c r="TU323" s="12"/>
      <c r="TV323" s="12"/>
      <c r="TY323" s="12" t="s">
        <v>37</v>
      </c>
      <c r="TZ323" s="12" t="s">
        <v>37</v>
      </c>
      <c r="UA323" s="12" t="s">
        <v>37</v>
      </c>
      <c r="UB323" s="12" t="s">
        <v>37</v>
      </c>
      <c r="UC323" s="12" t="s">
        <v>37</v>
      </c>
      <c r="UD323" s="12" t="s">
        <v>37</v>
      </c>
      <c r="UE323" s="12"/>
      <c r="UF323" s="12"/>
      <c r="UI323" s="12" t="s">
        <v>37</v>
      </c>
      <c r="UJ323" s="12" t="s">
        <v>37</v>
      </c>
      <c r="UK323" s="12" t="s">
        <v>37</v>
      </c>
      <c r="UL323" s="12" t="s">
        <v>37</v>
      </c>
      <c r="UM323" s="12" t="s">
        <v>37</v>
      </c>
      <c r="UN323" s="12" t="s">
        <v>37</v>
      </c>
      <c r="UO323" s="12"/>
      <c r="UP323" s="12"/>
      <c r="UR323" s="12" t="s">
        <v>37</v>
      </c>
      <c r="US323" s="12" t="s">
        <v>37</v>
      </c>
      <c r="UT323" s="12" t="s">
        <v>37</v>
      </c>
      <c r="UU323" s="12" t="s">
        <v>37</v>
      </c>
      <c r="UV323" s="12" t="s">
        <v>37</v>
      </c>
      <c r="UW323" s="12" t="s">
        <v>37</v>
      </c>
      <c r="UX323" s="12"/>
      <c r="UY323" s="12"/>
      <c r="VB323" s="12" t="s">
        <v>37</v>
      </c>
      <c r="VC323" s="12" t="s">
        <v>37</v>
      </c>
      <c r="VD323" s="12" t="s">
        <v>37</v>
      </c>
      <c r="VE323" s="12" t="s">
        <v>37</v>
      </c>
      <c r="VF323" s="12" t="s">
        <v>37</v>
      </c>
      <c r="VG323" s="12" t="s">
        <v>37</v>
      </c>
      <c r="VI323" s="12" t="s">
        <v>37</v>
      </c>
      <c r="VJ323" s="12" t="s">
        <v>37</v>
      </c>
      <c r="VK323" s="12" t="s">
        <v>37</v>
      </c>
      <c r="VL323" s="12" t="s">
        <v>37</v>
      </c>
      <c r="VM323" s="12" t="s">
        <v>37</v>
      </c>
      <c r="VN323" s="12" t="s">
        <v>37</v>
      </c>
      <c r="VQ323" s="12" t="s">
        <v>37</v>
      </c>
      <c r="VR323" s="12" t="s">
        <v>37</v>
      </c>
      <c r="VS323" s="12" t="s">
        <v>37</v>
      </c>
      <c r="VT323" s="12" t="s">
        <v>37</v>
      </c>
      <c r="VU323" s="12" t="s">
        <v>37</v>
      </c>
      <c r="VV323" s="12" t="s">
        <v>37</v>
      </c>
      <c r="VW323" s="12"/>
      <c r="VX323" s="12"/>
      <c r="WA323" s="12" t="s">
        <v>37</v>
      </c>
      <c r="WB323" s="12" t="s">
        <v>37</v>
      </c>
      <c r="WC323" s="12" t="s">
        <v>37</v>
      </c>
      <c r="WD323" s="12" t="s">
        <v>37</v>
      </c>
      <c r="WE323" s="12" t="s">
        <v>37</v>
      </c>
      <c r="WF323" s="12" t="s">
        <v>37</v>
      </c>
    </row>
    <row r="324" spans="1:604" ht="18" customHeight="1" x14ac:dyDescent="0.3">
      <c r="A324" s="11">
        <v>71</v>
      </c>
      <c r="B324" s="16" t="s">
        <v>406</v>
      </c>
      <c r="C324" s="12" t="s">
        <v>26</v>
      </c>
      <c r="D324" s="12" t="s">
        <v>54</v>
      </c>
      <c r="E324" s="40">
        <v>2.5</v>
      </c>
      <c r="F324" s="14">
        <v>0</v>
      </c>
      <c r="G324" s="14">
        <v>0</v>
      </c>
      <c r="H324" s="12" t="s">
        <v>123</v>
      </c>
      <c r="I324" s="29">
        <v>61.783000000000001</v>
      </c>
      <c r="J324" s="29">
        <v>24.3</v>
      </c>
      <c r="K324" s="12" t="s">
        <v>775</v>
      </c>
      <c r="L324" s="12" t="s">
        <v>709</v>
      </c>
      <c r="M324" s="13">
        <v>150</v>
      </c>
      <c r="N324" s="14">
        <v>3</v>
      </c>
      <c r="O324" s="14">
        <v>709</v>
      </c>
      <c r="P324" s="14" t="s">
        <v>84</v>
      </c>
      <c r="Q324" s="75">
        <v>30</v>
      </c>
      <c r="R324" s="11" t="s">
        <v>1000</v>
      </c>
      <c r="S324" s="12" t="s">
        <v>93</v>
      </c>
      <c r="T324" s="12" t="s">
        <v>141</v>
      </c>
      <c r="U324" s="12" t="s">
        <v>158</v>
      </c>
      <c r="V324" s="12" t="s">
        <v>275</v>
      </c>
      <c r="W324" s="23" t="s">
        <v>407</v>
      </c>
      <c r="X324" s="12" t="s">
        <v>280</v>
      </c>
      <c r="Y324" s="12" t="s">
        <v>37</v>
      </c>
      <c r="Z324" s="12" t="s">
        <v>37</v>
      </c>
      <c r="AA324" s="32" t="s">
        <v>345</v>
      </c>
      <c r="AB324" s="12">
        <v>3.8</v>
      </c>
      <c r="AE324" s="12" t="s">
        <v>37</v>
      </c>
      <c r="AF324" s="12" t="s">
        <v>42</v>
      </c>
      <c r="AG324" s="32" t="s">
        <v>345</v>
      </c>
      <c r="AH324" s="12">
        <v>9</v>
      </c>
      <c r="AK324" s="12" t="s">
        <v>37</v>
      </c>
      <c r="AL324" s="32">
        <v>1991</v>
      </c>
      <c r="AM324" s="12" t="s">
        <v>344</v>
      </c>
      <c r="AO324" s="12" t="s">
        <v>37</v>
      </c>
      <c r="AP324" s="12" t="s">
        <v>108</v>
      </c>
      <c r="AQ324" s="12" t="s">
        <v>975</v>
      </c>
      <c r="AT324" s="12" t="s">
        <v>326</v>
      </c>
      <c r="AU324" s="12" t="s">
        <v>326</v>
      </c>
      <c r="AV324" s="13" t="s">
        <v>326</v>
      </c>
      <c r="AX324" s="12" t="s">
        <v>326</v>
      </c>
      <c r="AY324" s="12" t="s">
        <v>326</v>
      </c>
      <c r="AZ324" s="13" t="s">
        <v>326</v>
      </c>
      <c r="BE324" s="12" t="s">
        <v>326</v>
      </c>
      <c r="BF324" s="12" t="s">
        <v>326</v>
      </c>
      <c r="BG324" s="12" t="s">
        <v>326</v>
      </c>
      <c r="BI324" s="12" t="s">
        <v>326</v>
      </c>
      <c r="BJ324" s="12" t="s">
        <v>326</v>
      </c>
      <c r="BK324" s="12" t="s">
        <v>326</v>
      </c>
      <c r="BP324" s="12" t="s">
        <v>37</v>
      </c>
      <c r="BQ324" s="12" t="s">
        <v>37</v>
      </c>
      <c r="BR324" s="13" t="s">
        <v>37</v>
      </c>
      <c r="BT324" s="12" t="s">
        <v>37</v>
      </c>
      <c r="BU324" s="12" t="s">
        <v>37</v>
      </c>
      <c r="BV324" s="12" t="s">
        <v>37</v>
      </c>
      <c r="CA324" s="12" t="s">
        <v>37</v>
      </c>
      <c r="CB324" s="12" t="s">
        <v>37</v>
      </c>
      <c r="CC324" s="13" t="s">
        <v>37</v>
      </c>
      <c r="CE324" s="12" t="s">
        <v>37</v>
      </c>
      <c r="CF324" s="12" t="s">
        <v>37</v>
      </c>
      <c r="CG324" s="12" t="s">
        <v>37</v>
      </c>
      <c r="CN324" s="12" t="s">
        <v>37</v>
      </c>
      <c r="CO324" s="12" t="s">
        <v>37</v>
      </c>
      <c r="CP324" s="13" t="s">
        <v>37</v>
      </c>
      <c r="CR324" s="12" t="s">
        <v>37</v>
      </c>
      <c r="CS324" s="12" t="s">
        <v>37</v>
      </c>
      <c r="CT324" s="13" t="s">
        <v>37</v>
      </c>
      <c r="CX324" s="72"/>
      <c r="CY324" s="72"/>
      <c r="DA324" s="12" t="s">
        <v>37</v>
      </c>
      <c r="DB324" s="12" t="s">
        <v>37</v>
      </c>
      <c r="DC324" s="13" t="s">
        <v>37</v>
      </c>
      <c r="DE324" s="12" t="s">
        <v>37</v>
      </c>
      <c r="DF324" s="12" t="s">
        <v>37</v>
      </c>
      <c r="DG324" s="12" t="s">
        <v>37</v>
      </c>
      <c r="DM324" s="11" t="s">
        <v>47</v>
      </c>
      <c r="DN324" s="19">
        <v>19.7</v>
      </c>
      <c r="DO324" s="50">
        <f t="shared" si="1262"/>
        <v>21.963121996450521</v>
      </c>
      <c r="DP324" s="13">
        <v>18</v>
      </c>
      <c r="DR324" s="19">
        <v>10.7</v>
      </c>
      <c r="DS324" s="50">
        <f t="shared" si="1263"/>
        <v>39.9882143525518</v>
      </c>
      <c r="DT324" s="13">
        <v>18</v>
      </c>
      <c r="DV324" s="19">
        <f t="shared" si="1211"/>
        <v>-9</v>
      </c>
      <c r="DW324" s="12">
        <f t="shared" si="1212"/>
        <v>32.260161305676995</v>
      </c>
      <c r="DX324" s="72">
        <f t="shared" si="1251"/>
        <v>115.63533416314435</v>
      </c>
      <c r="DY324" s="72">
        <f t="shared" si="1252"/>
        <v>115.63533416314435</v>
      </c>
      <c r="EA324" s="19" t="s">
        <v>37</v>
      </c>
      <c r="EB324" s="19" t="s">
        <v>37</v>
      </c>
      <c r="EC324" s="72" t="s">
        <v>37</v>
      </c>
      <c r="EE324" s="19" t="s">
        <v>37</v>
      </c>
      <c r="EF324" s="19" t="s">
        <v>37</v>
      </c>
      <c r="EG324" s="12" t="s">
        <v>37</v>
      </c>
      <c r="EM324" s="12" t="s">
        <v>39</v>
      </c>
      <c r="EN324" s="12">
        <v>-17.100000000000001</v>
      </c>
      <c r="EO324" s="12">
        <v>5.2</v>
      </c>
      <c r="EP324" s="13">
        <v>18</v>
      </c>
      <c r="EQ324" s="19">
        <f t="shared" si="1239"/>
        <v>0.30409356725146197</v>
      </c>
      <c r="ER324" s="12">
        <v>-28.9</v>
      </c>
      <c r="ES324" s="12">
        <v>7.5</v>
      </c>
      <c r="ET324" s="13">
        <v>18</v>
      </c>
      <c r="EU324" s="19">
        <f t="shared" si="1240"/>
        <v>0.25951557093425609</v>
      </c>
      <c r="EV324" s="19">
        <f t="shared" si="1233"/>
        <v>-11.799999999999997</v>
      </c>
      <c r="EW324" s="12">
        <f t="shared" si="1234"/>
        <v>6.4532937326608657</v>
      </c>
      <c r="EX324" s="19">
        <f t="shared" si="1235"/>
        <v>4.6272222222222226</v>
      </c>
      <c r="EY324" s="19">
        <f t="shared" si="1236"/>
        <v>4.6272222222222226</v>
      </c>
      <c r="FB324" s="12" t="s">
        <v>37</v>
      </c>
      <c r="FC324" s="12" t="s">
        <v>37</v>
      </c>
      <c r="FD324" s="12" t="s">
        <v>37</v>
      </c>
      <c r="FE324" s="12" t="s">
        <v>37</v>
      </c>
      <c r="FF324" s="20" t="s">
        <v>37</v>
      </c>
      <c r="FG324" s="12" t="s">
        <v>37</v>
      </c>
      <c r="FI324" s="12" t="s">
        <v>37</v>
      </c>
      <c r="FJ324" s="12" t="s">
        <v>37</v>
      </c>
      <c r="FK324" s="12" t="s">
        <v>37</v>
      </c>
      <c r="FL324" s="12" t="s">
        <v>37</v>
      </c>
      <c r="FM324" s="12" t="s">
        <v>37</v>
      </c>
      <c r="FN324" s="12" t="s">
        <v>37</v>
      </c>
      <c r="FP324" s="12" t="s">
        <v>37</v>
      </c>
      <c r="FQ324" s="12" t="s">
        <v>37</v>
      </c>
      <c r="FR324" s="12" t="s">
        <v>37</v>
      </c>
      <c r="FS324" s="12" t="s">
        <v>37</v>
      </c>
      <c r="FT324" s="12" t="s">
        <v>37</v>
      </c>
      <c r="FU324" s="12" t="s">
        <v>37</v>
      </c>
      <c r="FW324" s="12" t="s">
        <v>37</v>
      </c>
      <c r="FX324" s="12" t="s">
        <v>37</v>
      </c>
      <c r="FY324" s="12" t="s">
        <v>37</v>
      </c>
      <c r="FZ324" s="12" t="s">
        <v>37</v>
      </c>
      <c r="GA324" s="12" t="s">
        <v>37</v>
      </c>
      <c r="GB324" s="12" t="s">
        <v>37</v>
      </c>
      <c r="GO324" s="12" t="s">
        <v>660</v>
      </c>
      <c r="GP324" s="12" t="s">
        <v>340</v>
      </c>
      <c r="GQ324" s="12">
        <v>9.4</v>
      </c>
      <c r="GR324" s="12">
        <v>3.6</v>
      </c>
      <c r="GS324" s="13">
        <v>18</v>
      </c>
      <c r="GT324" s="19">
        <f t="shared" si="1264"/>
        <v>0.38297872340425532</v>
      </c>
      <c r="GU324" s="12">
        <v>8.9</v>
      </c>
      <c r="GV324" s="12">
        <v>4</v>
      </c>
      <c r="GW324" s="13">
        <v>18</v>
      </c>
      <c r="GX324" s="19">
        <f t="shared" si="1265"/>
        <v>0.449438202247191</v>
      </c>
      <c r="GY324" s="19">
        <f t="shared" si="1266"/>
        <v>-5.4658412537864083E-2</v>
      </c>
      <c r="GZ324" s="19">
        <f t="shared" si="1267"/>
        <v>1.9370411123307778E-2</v>
      </c>
      <c r="HA324" s="17" t="s">
        <v>63</v>
      </c>
      <c r="HB324" s="34" t="s">
        <v>345</v>
      </c>
      <c r="HC324" s="12">
        <v>0.06</v>
      </c>
      <c r="HD324" s="50">
        <f t="shared" si="1268"/>
        <v>1.0344704588789458E-2</v>
      </c>
      <c r="HE324" s="13">
        <v>3</v>
      </c>
      <c r="HG324" s="12">
        <v>7.4999999999999997E-2</v>
      </c>
      <c r="HH324" s="50">
        <f t="shared" si="1269"/>
        <v>8.3890889975328804E-3</v>
      </c>
      <c r="HI324" s="13">
        <v>3</v>
      </c>
      <c r="HK324" s="19">
        <f t="shared" si="1270"/>
        <v>0.22314355131420976</v>
      </c>
      <c r="HL324" s="19">
        <f t="shared" si="1271"/>
        <v>1.4079080937294359E-2</v>
      </c>
      <c r="IK324" s="12" t="s">
        <v>37</v>
      </c>
      <c r="IL324" s="12" t="s">
        <v>37</v>
      </c>
      <c r="IM324" s="12" t="s">
        <v>37</v>
      </c>
      <c r="IO324" s="12" t="s">
        <v>37</v>
      </c>
      <c r="IP324" s="12" t="s">
        <v>37</v>
      </c>
      <c r="IQ324" s="12" t="s">
        <v>37</v>
      </c>
      <c r="IV324" s="32" t="s">
        <v>345</v>
      </c>
      <c r="IW324" s="12">
        <v>3.8</v>
      </c>
      <c r="IX324" s="50">
        <f t="shared" si="1272"/>
        <v>0.13912842198648792</v>
      </c>
      <c r="IY324" s="13">
        <v>3</v>
      </c>
      <c r="JA324" s="12">
        <v>3.8</v>
      </c>
      <c r="JB324" s="50">
        <f t="shared" si="1273"/>
        <v>0.10643347338567048</v>
      </c>
      <c r="JC324" s="13">
        <v>3</v>
      </c>
      <c r="JE324" s="19">
        <f t="shared" si="1274"/>
        <v>0</v>
      </c>
      <c r="JF324" s="19">
        <f t="shared" si="1275"/>
        <v>7.083287641133075E-4</v>
      </c>
      <c r="JH324" s="12" t="s">
        <v>37</v>
      </c>
      <c r="JI324" s="12" t="s">
        <v>37</v>
      </c>
      <c r="JJ324" s="13" t="s">
        <v>37</v>
      </c>
      <c r="JL324" s="12" t="s">
        <v>37</v>
      </c>
      <c r="JM324" s="12" t="s">
        <v>37</v>
      </c>
      <c r="JN324" s="12" t="s">
        <v>37</v>
      </c>
      <c r="JS324" s="12" t="s">
        <v>37</v>
      </c>
      <c r="JT324" s="12" t="s">
        <v>37</v>
      </c>
      <c r="JU324" s="13" t="s">
        <v>37</v>
      </c>
      <c r="JW324" s="12" t="s">
        <v>37</v>
      </c>
      <c r="JX324" s="12" t="s">
        <v>37</v>
      </c>
      <c r="JY324" s="12" t="s">
        <v>37</v>
      </c>
      <c r="KE324" s="12" t="s">
        <v>37</v>
      </c>
      <c r="KF324" s="12" t="s">
        <v>37</v>
      </c>
      <c r="KG324" s="13" t="s">
        <v>37</v>
      </c>
      <c r="KH324" s="12" t="s">
        <v>37</v>
      </c>
      <c r="KI324" s="12" t="s">
        <v>37</v>
      </c>
      <c r="KJ324" s="12" t="s">
        <v>37</v>
      </c>
      <c r="KK324" s="12" t="s">
        <v>42</v>
      </c>
      <c r="KL324" s="32" t="s">
        <v>345</v>
      </c>
      <c r="KM324" s="12">
        <v>9</v>
      </c>
      <c r="KN324" s="50">
        <f t="shared" si="1276"/>
        <v>1.0736373724637354</v>
      </c>
      <c r="KO324" s="11">
        <v>3</v>
      </c>
      <c r="KQ324" s="12">
        <v>9</v>
      </c>
      <c r="KR324" s="50">
        <f t="shared" si="1277"/>
        <v>0.94899087151773076</v>
      </c>
      <c r="KS324" s="11">
        <v>3</v>
      </c>
      <c r="KU324" s="19">
        <f t="shared" si="1278"/>
        <v>0</v>
      </c>
      <c r="KV324" s="19">
        <f t="shared" si="1279"/>
        <v>8.4497155628593251E-3</v>
      </c>
      <c r="KX324" s="12" t="s">
        <v>37</v>
      </c>
      <c r="KY324" s="12" t="s">
        <v>37</v>
      </c>
      <c r="KZ324" s="12" t="s">
        <v>37</v>
      </c>
      <c r="LB324" s="12" t="s">
        <v>37</v>
      </c>
      <c r="LC324" s="12" t="s">
        <v>37</v>
      </c>
      <c r="LD324" s="12" t="s">
        <v>37</v>
      </c>
      <c r="LI324" s="12" t="s">
        <v>37</v>
      </c>
      <c r="LJ324" s="12" t="s">
        <v>37</v>
      </c>
      <c r="LK324" s="12" t="s">
        <v>37</v>
      </c>
      <c r="LM324" s="12" t="s">
        <v>37</v>
      </c>
      <c r="LN324" s="12" t="s">
        <v>37</v>
      </c>
      <c r="LO324" s="12" t="s">
        <v>37</v>
      </c>
      <c r="LU324" s="12" t="s">
        <v>37</v>
      </c>
      <c r="LV324" s="12" t="s">
        <v>37</v>
      </c>
      <c r="LW324" s="12" t="s">
        <v>37</v>
      </c>
      <c r="LY324" s="12" t="s">
        <v>37</v>
      </c>
      <c r="LZ324" s="12" t="s">
        <v>37</v>
      </c>
      <c r="MA324" s="12" t="s">
        <v>37</v>
      </c>
      <c r="MF324" s="12" t="s">
        <v>37</v>
      </c>
      <c r="MG324" s="12" t="s">
        <v>37</v>
      </c>
      <c r="MH324" s="12" t="s">
        <v>37</v>
      </c>
      <c r="MJ324" s="12" t="s">
        <v>37</v>
      </c>
      <c r="MK324" s="12" t="s">
        <v>37</v>
      </c>
      <c r="ML324" s="12" t="s">
        <v>37</v>
      </c>
      <c r="MQ324" s="12" t="s">
        <v>37</v>
      </c>
      <c r="MR324" s="12" t="s">
        <v>37</v>
      </c>
      <c r="MS324" s="12" t="s">
        <v>37</v>
      </c>
      <c r="MU324" s="12" t="s">
        <v>37</v>
      </c>
      <c r="MV324" s="12" t="s">
        <v>37</v>
      </c>
      <c r="MW324" s="12" t="s">
        <v>37</v>
      </c>
      <c r="NC324" s="12" t="s">
        <v>37</v>
      </c>
      <c r="ND324" s="12" t="s">
        <v>37</v>
      </c>
      <c r="NE324" s="12" t="s">
        <v>37</v>
      </c>
      <c r="NG324" s="12" t="s">
        <v>37</v>
      </c>
      <c r="NH324" s="12" t="s">
        <v>37</v>
      </c>
      <c r="NI324" s="12" t="s">
        <v>37</v>
      </c>
      <c r="NO324" s="12" t="s">
        <v>37</v>
      </c>
      <c r="NP324" s="12" t="s">
        <v>37</v>
      </c>
      <c r="NQ324" s="12" t="s">
        <v>37</v>
      </c>
      <c r="NS324" s="12" t="s">
        <v>37</v>
      </c>
      <c r="NT324" s="12" t="s">
        <v>37</v>
      </c>
      <c r="NU324" s="12" t="s">
        <v>37</v>
      </c>
      <c r="OA324" s="12" t="s">
        <v>37</v>
      </c>
      <c r="OB324" s="12" t="s">
        <v>37</v>
      </c>
      <c r="OC324" s="12" t="s">
        <v>37</v>
      </c>
      <c r="OD324" s="12"/>
      <c r="OE324" s="12" t="s">
        <v>37</v>
      </c>
      <c r="OF324" s="12" t="s">
        <v>37</v>
      </c>
      <c r="OG324" s="12" t="s">
        <v>37</v>
      </c>
      <c r="OH324" s="12"/>
      <c r="OI324" s="12"/>
      <c r="OJ324" s="12"/>
      <c r="OM324" s="12" t="s">
        <v>37</v>
      </c>
      <c r="ON324" s="12" t="s">
        <v>37</v>
      </c>
      <c r="OO324" s="12" t="s">
        <v>37</v>
      </c>
      <c r="OP324" s="12" t="s">
        <v>37</v>
      </c>
      <c r="OQ324" s="12" t="s">
        <v>37</v>
      </c>
      <c r="OR324" s="12" t="s">
        <v>37</v>
      </c>
      <c r="OS324" s="12"/>
      <c r="OT324" s="12"/>
      <c r="OW324" s="12" t="s">
        <v>37</v>
      </c>
      <c r="OX324" s="12" t="s">
        <v>37</v>
      </c>
      <c r="OY324" s="13" t="s">
        <v>37</v>
      </c>
      <c r="OZ324" s="12" t="s">
        <v>37</v>
      </c>
      <c r="PA324" s="12" t="s">
        <v>37</v>
      </c>
      <c r="PB324" s="13" t="s">
        <v>37</v>
      </c>
      <c r="PG324" s="12" t="s">
        <v>37</v>
      </c>
      <c r="PH324" s="12" t="s">
        <v>37</v>
      </c>
      <c r="PI324" s="12" t="s">
        <v>37</v>
      </c>
      <c r="PJ324" s="12" t="s">
        <v>37</v>
      </c>
      <c r="PK324" s="12" t="s">
        <v>37</v>
      </c>
      <c r="PL324" s="12" t="s">
        <v>37</v>
      </c>
      <c r="PM324" s="12"/>
      <c r="PN324" s="12"/>
      <c r="PQ324" s="12" t="s">
        <v>37</v>
      </c>
      <c r="PR324" s="12" t="s">
        <v>37</v>
      </c>
      <c r="PS324" s="12" t="s">
        <v>37</v>
      </c>
      <c r="PT324" s="12" t="s">
        <v>37</v>
      </c>
      <c r="PU324" s="12" t="s">
        <v>37</v>
      </c>
      <c r="PV324" s="12" t="s">
        <v>37</v>
      </c>
      <c r="PW324" s="12"/>
      <c r="PX324" s="12"/>
      <c r="PZ324" s="12" t="s">
        <v>37</v>
      </c>
      <c r="QA324" s="12" t="s">
        <v>37</v>
      </c>
      <c r="QB324" s="12" t="s">
        <v>37</v>
      </c>
      <c r="QD324" s="12" t="s">
        <v>37</v>
      </c>
      <c r="QE324" s="12" t="s">
        <v>37</v>
      </c>
      <c r="QF324" s="12" t="s">
        <v>37</v>
      </c>
      <c r="QK324" s="12" t="s">
        <v>37</v>
      </c>
      <c r="QL324" s="12" t="s">
        <v>37</v>
      </c>
      <c r="QM324" s="12" t="s">
        <v>37</v>
      </c>
      <c r="QN324" s="12" t="s">
        <v>37</v>
      </c>
      <c r="QO324" s="12" t="s">
        <v>37</v>
      </c>
      <c r="QP324" s="12" t="s">
        <v>37</v>
      </c>
      <c r="QQ324" s="12"/>
      <c r="QR324" s="12"/>
      <c r="QU324" s="12" t="s">
        <v>37</v>
      </c>
      <c r="QV324" s="12" t="s">
        <v>37</v>
      </c>
      <c r="QW324" s="12" t="s">
        <v>37</v>
      </c>
      <c r="QX324" s="12" t="s">
        <v>37</v>
      </c>
      <c r="QY324" s="12" t="s">
        <v>37</v>
      </c>
      <c r="QZ324" s="12" t="s">
        <v>37</v>
      </c>
      <c r="RC324" s="12" t="s">
        <v>37</v>
      </c>
      <c r="RD324" s="12" t="s">
        <v>37</v>
      </c>
      <c r="RE324" s="13" t="s">
        <v>37</v>
      </c>
      <c r="RF324" s="12" t="s">
        <v>37</v>
      </c>
      <c r="RG324" s="12" t="s">
        <v>37</v>
      </c>
      <c r="RH324" s="13" t="s">
        <v>37</v>
      </c>
      <c r="RK324" s="12" t="s">
        <v>37</v>
      </c>
      <c r="RL324" s="12" t="s">
        <v>37</v>
      </c>
      <c r="RM324" s="11" t="s">
        <v>37</v>
      </c>
      <c r="RN324" s="12" t="s">
        <v>37</v>
      </c>
      <c r="RO324" s="12" t="s">
        <v>37</v>
      </c>
      <c r="RP324" s="11" t="s">
        <v>37</v>
      </c>
      <c r="RS324" s="12" t="s">
        <v>37</v>
      </c>
      <c r="RT324" s="12" t="s">
        <v>37</v>
      </c>
      <c r="RU324" s="12" t="s">
        <v>37</v>
      </c>
      <c r="RV324" s="12" t="s">
        <v>37</v>
      </c>
      <c r="RW324" s="12" t="s">
        <v>37</v>
      </c>
      <c r="RX324" s="12" t="s">
        <v>37</v>
      </c>
      <c r="SA324" s="12" t="s">
        <v>37</v>
      </c>
      <c r="SB324" s="12" t="s">
        <v>37</v>
      </c>
      <c r="SC324" s="12" t="s">
        <v>37</v>
      </c>
      <c r="SD324" s="12" t="s">
        <v>37</v>
      </c>
      <c r="SE324" s="12" t="s">
        <v>37</v>
      </c>
      <c r="SF324" s="12" t="s">
        <v>37</v>
      </c>
      <c r="SG324" s="12" t="s">
        <v>42</v>
      </c>
      <c r="SH324" s="12" t="s">
        <v>345</v>
      </c>
      <c r="SI324" s="12">
        <v>0.79</v>
      </c>
      <c r="SJ324" s="50">
        <f t="shared" ref="SJ324:SJ329" si="1284">ABS(SI324)*SL$474</f>
        <v>0.24506640940490665</v>
      </c>
      <c r="SK324" s="13">
        <v>3</v>
      </c>
      <c r="SM324" s="12">
        <v>0.73499999999999999</v>
      </c>
      <c r="SN324" s="50">
        <f t="shared" ref="SN324:SN329" si="1285">ABS(SM324)*SP$474</f>
        <v>0.19987335942467013</v>
      </c>
      <c r="SO324" s="13">
        <v>3</v>
      </c>
      <c r="SQ324" s="19">
        <f t="shared" ref="SQ324:SQ329" si="1286">LN(SM324/SI324)</f>
        <v>-7.2162446248230538E-2</v>
      </c>
      <c r="SR324" s="19">
        <f t="shared" ref="SR324:SR329" si="1287">SN324^2/(SO324*SM324^2)+SJ324^2/(SK324*SI324^2)</f>
        <v>5.6726709270900982E-2</v>
      </c>
      <c r="SU324" s="12" t="s">
        <v>37</v>
      </c>
      <c r="SV324" s="12" t="s">
        <v>37</v>
      </c>
      <c r="SW324" s="12" t="s">
        <v>37</v>
      </c>
      <c r="SX324" s="12" t="s">
        <v>37</v>
      </c>
      <c r="SY324" s="12" t="s">
        <v>37</v>
      </c>
      <c r="SZ324" s="12" t="s">
        <v>37</v>
      </c>
      <c r="TA324" s="12"/>
      <c r="TB324" s="12"/>
      <c r="TE324" s="12" t="s">
        <v>37</v>
      </c>
      <c r="TF324" s="12" t="s">
        <v>37</v>
      </c>
      <c r="TG324" s="12" t="s">
        <v>37</v>
      </c>
      <c r="TH324" s="12" t="s">
        <v>37</v>
      </c>
      <c r="TI324" s="12" t="s">
        <v>37</v>
      </c>
      <c r="TJ324" s="12" t="s">
        <v>37</v>
      </c>
      <c r="TK324" s="12"/>
      <c r="TL324" s="12"/>
      <c r="TO324" s="12" t="s">
        <v>37</v>
      </c>
      <c r="TP324" s="12" t="s">
        <v>37</v>
      </c>
      <c r="TQ324" s="12" t="s">
        <v>37</v>
      </c>
      <c r="TR324" s="12" t="s">
        <v>37</v>
      </c>
      <c r="TS324" s="12" t="s">
        <v>37</v>
      </c>
      <c r="TT324" s="12" t="s">
        <v>37</v>
      </c>
      <c r="TU324" s="12"/>
      <c r="TV324" s="12"/>
      <c r="TY324" s="12" t="s">
        <v>37</v>
      </c>
      <c r="TZ324" s="12" t="s">
        <v>37</v>
      </c>
      <c r="UA324" s="12" t="s">
        <v>37</v>
      </c>
      <c r="UB324" s="12" t="s">
        <v>37</v>
      </c>
      <c r="UC324" s="12" t="s">
        <v>37</v>
      </c>
      <c r="UD324" s="12" t="s">
        <v>37</v>
      </c>
      <c r="UE324" s="12"/>
      <c r="UF324" s="12"/>
      <c r="UI324" s="12" t="s">
        <v>37</v>
      </c>
      <c r="UJ324" s="12" t="s">
        <v>37</v>
      </c>
      <c r="UK324" s="12" t="s">
        <v>37</v>
      </c>
      <c r="UL324" s="12" t="s">
        <v>37</v>
      </c>
      <c r="UM324" s="12" t="s">
        <v>37</v>
      </c>
      <c r="UN324" s="12" t="s">
        <v>37</v>
      </c>
      <c r="UO324" s="12"/>
      <c r="UP324" s="12"/>
      <c r="UR324" s="12" t="s">
        <v>37</v>
      </c>
      <c r="US324" s="12" t="s">
        <v>37</v>
      </c>
      <c r="UT324" s="12" t="s">
        <v>37</v>
      </c>
      <c r="UU324" s="12" t="s">
        <v>37</v>
      </c>
      <c r="UV324" s="12" t="s">
        <v>37</v>
      </c>
      <c r="UW324" s="12" t="s">
        <v>37</v>
      </c>
      <c r="UX324" s="12"/>
      <c r="UY324" s="12"/>
      <c r="VB324" s="12" t="s">
        <v>37</v>
      </c>
      <c r="VC324" s="12" t="s">
        <v>37</v>
      </c>
      <c r="VD324" s="12" t="s">
        <v>37</v>
      </c>
      <c r="VE324" s="12" t="s">
        <v>37</v>
      </c>
      <c r="VF324" s="12" t="s">
        <v>37</v>
      </c>
      <c r="VG324" s="12" t="s">
        <v>37</v>
      </c>
      <c r="VI324" s="12" t="s">
        <v>37</v>
      </c>
      <c r="VJ324" s="12" t="s">
        <v>37</v>
      </c>
      <c r="VK324" s="12" t="s">
        <v>37</v>
      </c>
      <c r="VL324" s="12" t="s">
        <v>37</v>
      </c>
      <c r="VM324" s="12" t="s">
        <v>37</v>
      </c>
      <c r="VN324" s="12" t="s">
        <v>37</v>
      </c>
      <c r="VQ324" s="12" t="s">
        <v>37</v>
      </c>
      <c r="VR324" s="12" t="s">
        <v>37</v>
      </c>
      <c r="VS324" s="12" t="s">
        <v>37</v>
      </c>
      <c r="VT324" s="12" t="s">
        <v>37</v>
      </c>
      <c r="VU324" s="12" t="s">
        <v>37</v>
      </c>
      <c r="VV324" s="12" t="s">
        <v>37</v>
      </c>
      <c r="VW324" s="12"/>
      <c r="VX324" s="12"/>
      <c r="WA324" s="12" t="s">
        <v>37</v>
      </c>
      <c r="WB324" s="12" t="s">
        <v>37</v>
      </c>
      <c r="WC324" s="12" t="s">
        <v>37</v>
      </c>
      <c r="WD324" s="12" t="s">
        <v>37</v>
      </c>
      <c r="WE324" s="12" t="s">
        <v>37</v>
      </c>
      <c r="WF324" s="12" t="s">
        <v>37</v>
      </c>
    </row>
    <row r="325" spans="1:604" ht="18" customHeight="1" x14ac:dyDescent="0.3">
      <c r="A325" s="11">
        <v>71</v>
      </c>
      <c r="B325" s="16" t="s">
        <v>406</v>
      </c>
      <c r="C325" s="12" t="s">
        <v>26</v>
      </c>
      <c r="D325" s="12" t="s">
        <v>54</v>
      </c>
      <c r="E325" s="40">
        <v>2.5</v>
      </c>
      <c r="F325" s="14">
        <v>0</v>
      </c>
      <c r="G325" s="14">
        <v>0</v>
      </c>
      <c r="H325" s="12" t="s">
        <v>123</v>
      </c>
      <c r="I325" s="29">
        <v>61.783000000000001</v>
      </c>
      <c r="J325" s="29">
        <v>24.3</v>
      </c>
      <c r="K325" s="12" t="s">
        <v>775</v>
      </c>
      <c r="L325" s="12" t="s">
        <v>709</v>
      </c>
      <c r="M325" s="13">
        <v>150</v>
      </c>
      <c r="N325" s="14">
        <v>3</v>
      </c>
      <c r="O325" s="14">
        <v>709</v>
      </c>
      <c r="P325" s="14" t="s">
        <v>84</v>
      </c>
      <c r="Q325" s="75">
        <v>31</v>
      </c>
      <c r="R325" s="11" t="s">
        <v>1000</v>
      </c>
      <c r="S325" s="12" t="s">
        <v>93</v>
      </c>
      <c r="T325" s="12" t="s">
        <v>141</v>
      </c>
      <c r="U325" s="12" t="s">
        <v>158</v>
      </c>
      <c r="V325" s="12" t="s">
        <v>275</v>
      </c>
      <c r="W325" s="23" t="s">
        <v>407</v>
      </c>
      <c r="X325" s="12" t="s">
        <v>280</v>
      </c>
      <c r="Y325" s="12" t="s">
        <v>37</v>
      </c>
      <c r="Z325" s="12" t="s">
        <v>37</v>
      </c>
      <c r="AA325" s="32" t="s">
        <v>345</v>
      </c>
      <c r="AB325" s="12">
        <v>3.8</v>
      </c>
      <c r="AE325" s="12" t="s">
        <v>37</v>
      </c>
      <c r="AF325" s="12" t="s">
        <v>42</v>
      </c>
      <c r="AG325" s="32" t="s">
        <v>345</v>
      </c>
      <c r="AH325" s="12">
        <v>9</v>
      </c>
      <c r="AK325" s="12" t="s">
        <v>37</v>
      </c>
      <c r="AL325" s="32">
        <v>1992</v>
      </c>
      <c r="AM325" s="12" t="s">
        <v>344</v>
      </c>
      <c r="AO325" s="12" t="s">
        <v>37</v>
      </c>
      <c r="AP325" s="12" t="s">
        <v>108</v>
      </c>
      <c r="AQ325" s="12" t="s">
        <v>975</v>
      </c>
      <c r="AT325" s="12" t="s">
        <v>326</v>
      </c>
      <c r="AU325" s="12" t="s">
        <v>326</v>
      </c>
      <c r="AV325" s="13" t="s">
        <v>326</v>
      </c>
      <c r="AX325" s="12" t="s">
        <v>326</v>
      </c>
      <c r="AY325" s="12" t="s">
        <v>326</v>
      </c>
      <c r="AZ325" s="13" t="s">
        <v>326</v>
      </c>
      <c r="BE325" s="12" t="s">
        <v>326</v>
      </c>
      <c r="BF325" s="12" t="s">
        <v>326</v>
      </c>
      <c r="BG325" s="12" t="s">
        <v>326</v>
      </c>
      <c r="BI325" s="12" t="s">
        <v>326</v>
      </c>
      <c r="BJ325" s="12" t="s">
        <v>326</v>
      </c>
      <c r="BK325" s="12" t="s">
        <v>326</v>
      </c>
      <c r="BP325" s="12" t="s">
        <v>37</v>
      </c>
      <c r="BQ325" s="12" t="s">
        <v>37</v>
      </c>
      <c r="BR325" s="13" t="s">
        <v>37</v>
      </c>
      <c r="BT325" s="12" t="s">
        <v>37</v>
      </c>
      <c r="BU325" s="12" t="s">
        <v>37</v>
      </c>
      <c r="BV325" s="12" t="s">
        <v>37</v>
      </c>
      <c r="CA325" s="12" t="s">
        <v>37</v>
      </c>
      <c r="CB325" s="12" t="s">
        <v>37</v>
      </c>
      <c r="CC325" s="13" t="s">
        <v>37</v>
      </c>
      <c r="CE325" s="12" t="s">
        <v>37</v>
      </c>
      <c r="CF325" s="12" t="s">
        <v>37</v>
      </c>
      <c r="CG325" s="12" t="s">
        <v>37</v>
      </c>
      <c r="CN325" s="12" t="s">
        <v>37</v>
      </c>
      <c r="CO325" s="12" t="s">
        <v>37</v>
      </c>
      <c r="CP325" s="13" t="s">
        <v>37</v>
      </c>
      <c r="CR325" s="12" t="s">
        <v>37</v>
      </c>
      <c r="CS325" s="12" t="s">
        <v>37</v>
      </c>
      <c r="CT325" s="13" t="s">
        <v>37</v>
      </c>
      <c r="CX325" s="72"/>
      <c r="CY325" s="72"/>
      <c r="DA325" s="12" t="s">
        <v>37</v>
      </c>
      <c r="DB325" s="12" t="s">
        <v>37</v>
      </c>
      <c r="DC325" s="13" t="s">
        <v>37</v>
      </c>
      <c r="DE325" s="12" t="s">
        <v>37</v>
      </c>
      <c r="DF325" s="12" t="s">
        <v>37</v>
      </c>
      <c r="DG325" s="12" t="s">
        <v>37</v>
      </c>
      <c r="DM325" s="11" t="s">
        <v>47</v>
      </c>
      <c r="DN325" s="19">
        <v>19.899999999999999</v>
      </c>
      <c r="DO325" s="50">
        <f t="shared" si="1262"/>
        <v>22.186097854282508</v>
      </c>
      <c r="DP325" s="13">
        <v>12</v>
      </c>
      <c r="DR325" s="19">
        <v>11.3</v>
      </c>
      <c r="DS325" s="50">
        <f t="shared" si="1263"/>
        <v>42.230544129330411</v>
      </c>
      <c r="DT325" s="13">
        <v>12</v>
      </c>
      <c r="DV325" s="19">
        <f t="shared" si="1211"/>
        <v>-8.5999999999999979</v>
      </c>
      <c r="DW325" s="12">
        <f t="shared" si="1212"/>
        <v>33.731600877064245</v>
      </c>
      <c r="DX325" s="72">
        <f t="shared" si="1251"/>
        <v>189.63681628826018</v>
      </c>
      <c r="DY325" s="72">
        <f t="shared" si="1252"/>
        <v>189.63681628826021</v>
      </c>
      <c r="EA325" s="19" t="s">
        <v>37</v>
      </c>
      <c r="EB325" s="19" t="s">
        <v>37</v>
      </c>
      <c r="EC325" s="72" t="s">
        <v>37</v>
      </c>
      <c r="EE325" s="19" t="s">
        <v>37</v>
      </c>
      <c r="EF325" s="19" t="s">
        <v>37</v>
      </c>
      <c r="EG325" s="12" t="s">
        <v>37</v>
      </c>
      <c r="EM325" s="12" t="s">
        <v>39</v>
      </c>
      <c r="EN325" s="12">
        <v>-38.9</v>
      </c>
      <c r="EO325" s="12">
        <v>9.4</v>
      </c>
      <c r="EP325" s="13">
        <v>12</v>
      </c>
      <c r="EQ325" s="19">
        <f t="shared" si="1239"/>
        <v>0.24164524421593833</v>
      </c>
      <c r="ER325" s="12">
        <v>-44.7</v>
      </c>
      <c r="ES325" s="12">
        <v>8.9</v>
      </c>
      <c r="ET325" s="13">
        <v>12</v>
      </c>
      <c r="EU325" s="19">
        <f t="shared" si="1240"/>
        <v>0.19910514541387025</v>
      </c>
      <c r="EV325" s="19">
        <f t="shared" si="1233"/>
        <v>-5.8000000000000043</v>
      </c>
      <c r="EW325" s="12">
        <f t="shared" si="1234"/>
        <v>9.1534146633920184</v>
      </c>
      <c r="EX325" s="19">
        <f t="shared" si="1235"/>
        <v>13.964166666666669</v>
      </c>
      <c r="EY325" s="19">
        <f t="shared" si="1236"/>
        <v>13.964166666666667</v>
      </c>
      <c r="FB325" s="12" t="s">
        <v>37</v>
      </c>
      <c r="FC325" s="12" t="s">
        <v>37</v>
      </c>
      <c r="FD325" s="12" t="s">
        <v>37</v>
      </c>
      <c r="FE325" s="12" t="s">
        <v>37</v>
      </c>
      <c r="FF325" s="20" t="s">
        <v>37</v>
      </c>
      <c r="FG325" s="12" t="s">
        <v>37</v>
      </c>
      <c r="FI325" s="12" t="s">
        <v>37</v>
      </c>
      <c r="FJ325" s="12" t="s">
        <v>37</v>
      </c>
      <c r="FK325" s="12" t="s">
        <v>37</v>
      </c>
      <c r="FL325" s="12" t="s">
        <v>37</v>
      </c>
      <c r="FM325" s="12" t="s">
        <v>37</v>
      </c>
      <c r="FN325" s="12" t="s">
        <v>37</v>
      </c>
      <c r="FP325" s="12" t="s">
        <v>37</v>
      </c>
      <c r="FQ325" s="12" t="s">
        <v>37</v>
      </c>
      <c r="FR325" s="12" t="s">
        <v>37</v>
      </c>
      <c r="FS325" s="12" t="s">
        <v>37</v>
      </c>
      <c r="FT325" s="12" t="s">
        <v>37</v>
      </c>
      <c r="FU325" s="12" t="s">
        <v>37</v>
      </c>
      <c r="FW325" s="12" t="s">
        <v>37</v>
      </c>
      <c r="FX325" s="12" t="s">
        <v>37</v>
      </c>
      <c r="FY325" s="12" t="s">
        <v>37</v>
      </c>
      <c r="FZ325" s="12" t="s">
        <v>37</v>
      </c>
      <c r="GA325" s="12" t="s">
        <v>37</v>
      </c>
      <c r="GB325" s="12" t="s">
        <v>37</v>
      </c>
      <c r="GO325" s="12" t="s">
        <v>660</v>
      </c>
      <c r="GP325" s="12" t="s">
        <v>340</v>
      </c>
      <c r="GQ325" s="12">
        <v>8.1</v>
      </c>
      <c r="GR325" s="12">
        <v>3.8</v>
      </c>
      <c r="GS325" s="13">
        <v>12</v>
      </c>
      <c r="GT325" s="19">
        <f t="shared" si="1264"/>
        <v>0.46913580246913578</v>
      </c>
      <c r="GU325" s="12">
        <v>7.7</v>
      </c>
      <c r="GV325" s="12">
        <v>3.8</v>
      </c>
      <c r="GW325" s="13">
        <v>12</v>
      </c>
      <c r="GX325" s="19">
        <f t="shared" si="1265"/>
        <v>0.49350649350649345</v>
      </c>
      <c r="GY325" s="19">
        <f t="shared" si="1266"/>
        <v>-5.0643732818754797E-2</v>
      </c>
      <c r="GZ325" s="19">
        <f t="shared" si="1267"/>
        <v>3.8636421690952896E-2</v>
      </c>
      <c r="HA325" s="17" t="s">
        <v>63</v>
      </c>
      <c r="HB325" s="34" t="s">
        <v>345</v>
      </c>
      <c r="HC325" s="12">
        <v>0.06</v>
      </c>
      <c r="HD325" s="50">
        <f t="shared" si="1268"/>
        <v>1.0344704588789458E-2</v>
      </c>
      <c r="HE325" s="13">
        <v>3</v>
      </c>
      <c r="HG325" s="12">
        <v>7.4999999999999997E-2</v>
      </c>
      <c r="HH325" s="50">
        <f t="shared" si="1269"/>
        <v>8.3890889975328804E-3</v>
      </c>
      <c r="HI325" s="13">
        <v>3</v>
      </c>
      <c r="HK325" s="19">
        <f t="shared" si="1270"/>
        <v>0.22314355131420976</v>
      </c>
      <c r="HL325" s="19">
        <f t="shared" si="1271"/>
        <v>1.4079080937294359E-2</v>
      </c>
      <c r="IK325" s="12" t="s">
        <v>37</v>
      </c>
      <c r="IL325" s="12" t="s">
        <v>37</v>
      </c>
      <c r="IM325" s="12" t="s">
        <v>37</v>
      </c>
      <c r="IO325" s="12" t="s">
        <v>37</v>
      </c>
      <c r="IP325" s="12" t="s">
        <v>37</v>
      </c>
      <c r="IQ325" s="12" t="s">
        <v>37</v>
      </c>
      <c r="IV325" s="32" t="s">
        <v>345</v>
      </c>
      <c r="IW325" s="12">
        <v>3.8</v>
      </c>
      <c r="IX325" s="50">
        <f t="shared" si="1272"/>
        <v>0.13912842198648792</v>
      </c>
      <c r="IY325" s="13">
        <v>3</v>
      </c>
      <c r="JA325" s="12">
        <v>3.8</v>
      </c>
      <c r="JB325" s="50">
        <f t="shared" si="1273"/>
        <v>0.10643347338567048</v>
      </c>
      <c r="JC325" s="13">
        <v>3</v>
      </c>
      <c r="JE325" s="19">
        <f t="shared" si="1274"/>
        <v>0</v>
      </c>
      <c r="JF325" s="19">
        <f t="shared" si="1275"/>
        <v>7.083287641133075E-4</v>
      </c>
      <c r="JH325" s="12" t="s">
        <v>37</v>
      </c>
      <c r="JI325" s="12" t="s">
        <v>37</v>
      </c>
      <c r="JJ325" s="13" t="s">
        <v>37</v>
      </c>
      <c r="JL325" s="12" t="s">
        <v>37</v>
      </c>
      <c r="JM325" s="12" t="s">
        <v>37</v>
      </c>
      <c r="JN325" s="12" t="s">
        <v>37</v>
      </c>
      <c r="JS325" s="12" t="s">
        <v>37</v>
      </c>
      <c r="JT325" s="12" t="s">
        <v>37</v>
      </c>
      <c r="JU325" s="13" t="s">
        <v>37</v>
      </c>
      <c r="JW325" s="12" t="s">
        <v>37</v>
      </c>
      <c r="JX325" s="12" t="s">
        <v>37</v>
      </c>
      <c r="JY325" s="12" t="s">
        <v>37</v>
      </c>
      <c r="KE325" s="12" t="s">
        <v>37</v>
      </c>
      <c r="KF325" s="12" t="s">
        <v>37</v>
      </c>
      <c r="KG325" s="13" t="s">
        <v>37</v>
      </c>
      <c r="KH325" s="12" t="s">
        <v>37</v>
      </c>
      <c r="KI325" s="12" t="s">
        <v>37</v>
      </c>
      <c r="KJ325" s="12" t="s">
        <v>37</v>
      </c>
      <c r="KK325" s="12" t="s">
        <v>42</v>
      </c>
      <c r="KL325" s="32" t="s">
        <v>345</v>
      </c>
      <c r="KM325" s="12">
        <v>9</v>
      </c>
      <c r="KN325" s="50">
        <f t="shared" si="1276"/>
        <v>1.0736373724637354</v>
      </c>
      <c r="KO325" s="11">
        <v>3</v>
      </c>
      <c r="KQ325" s="12">
        <v>9</v>
      </c>
      <c r="KR325" s="50">
        <f t="shared" si="1277"/>
        <v>0.94899087151773076</v>
      </c>
      <c r="KS325" s="11">
        <v>3</v>
      </c>
      <c r="KU325" s="19">
        <f t="shared" si="1278"/>
        <v>0</v>
      </c>
      <c r="KV325" s="19">
        <f t="shared" si="1279"/>
        <v>8.4497155628593251E-3</v>
      </c>
      <c r="KX325" s="12" t="s">
        <v>37</v>
      </c>
      <c r="KY325" s="12" t="s">
        <v>37</v>
      </c>
      <c r="KZ325" s="12" t="s">
        <v>37</v>
      </c>
      <c r="LB325" s="12" t="s">
        <v>37</v>
      </c>
      <c r="LC325" s="12" t="s">
        <v>37</v>
      </c>
      <c r="LD325" s="12" t="s">
        <v>37</v>
      </c>
      <c r="LI325" s="12" t="s">
        <v>37</v>
      </c>
      <c r="LJ325" s="12" t="s">
        <v>37</v>
      </c>
      <c r="LK325" s="12" t="s">
        <v>37</v>
      </c>
      <c r="LM325" s="12" t="s">
        <v>37</v>
      </c>
      <c r="LN325" s="12" t="s">
        <v>37</v>
      </c>
      <c r="LO325" s="12" t="s">
        <v>37</v>
      </c>
      <c r="LU325" s="12" t="s">
        <v>37</v>
      </c>
      <c r="LV325" s="12" t="s">
        <v>37</v>
      </c>
      <c r="LW325" s="12" t="s">
        <v>37</v>
      </c>
      <c r="LY325" s="12" t="s">
        <v>37</v>
      </c>
      <c r="LZ325" s="12" t="s">
        <v>37</v>
      </c>
      <c r="MA325" s="12" t="s">
        <v>37</v>
      </c>
      <c r="MF325" s="12" t="s">
        <v>37</v>
      </c>
      <c r="MG325" s="12" t="s">
        <v>37</v>
      </c>
      <c r="MH325" s="12" t="s">
        <v>37</v>
      </c>
      <c r="MJ325" s="12" t="s">
        <v>37</v>
      </c>
      <c r="MK325" s="12" t="s">
        <v>37</v>
      </c>
      <c r="ML325" s="12" t="s">
        <v>37</v>
      </c>
      <c r="MQ325" s="12" t="s">
        <v>37</v>
      </c>
      <c r="MR325" s="12" t="s">
        <v>37</v>
      </c>
      <c r="MS325" s="12" t="s">
        <v>37</v>
      </c>
      <c r="MU325" s="12" t="s">
        <v>37</v>
      </c>
      <c r="MV325" s="12" t="s">
        <v>37</v>
      </c>
      <c r="MW325" s="12" t="s">
        <v>37</v>
      </c>
      <c r="NC325" s="12" t="s">
        <v>37</v>
      </c>
      <c r="ND325" s="12" t="s">
        <v>37</v>
      </c>
      <c r="NE325" s="12" t="s">
        <v>37</v>
      </c>
      <c r="NG325" s="12" t="s">
        <v>37</v>
      </c>
      <c r="NH325" s="12" t="s">
        <v>37</v>
      </c>
      <c r="NI325" s="12" t="s">
        <v>37</v>
      </c>
      <c r="NO325" s="12" t="s">
        <v>37</v>
      </c>
      <c r="NP325" s="12" t="s">
        <v>37</v>
      </c>
      <c r="NQ325" s="12" t="s">
        <v>37</v>
      </c>
      <c r="NS325" s="12" t="s">
        <v>37</v>
      </c>
      <c r="NT325" s="12" t="s">
        <v>37</v>
      </c>
      <c r="NU325" s="12" t="s">
        <v>37</v>
      </c>
      <c r="OA325" s="12" t="s">
        <v>37</v>
      </c>
      <c r="OB325" s="12" t="s">
        <v>37</v>
      </c>
      <c r="OC325" s="12" t="s">
        <v>37</v>
      </c>
      <c r="OD325" s="12"/>
      <c r="OE325" s="12" t="s">
        <v>37</v>
      </c>
      <c r="OF325" s="12" t="s">
        <v>37</v>
      </c>
      <c r="OG325" s="12" t="s">
        <v>37</v>
      </c>
      <c r="OH325" s="12"/>
      <c r="OI325" s="12"/>
      <c r="OJ325" s="12"/>
      <c r="OM325" s="12" t="s">
        <v>37</v>
      </c>
      <c r="ON325" s="12" t="s">
        <v>37</v>
      </c>
      <c r="OO325" s="12" t="s">
        <v>37</v>
      </c>
      <c r="OP325" s="12" t="s">
        <v>37</v>
      </c>
      <c r="OQ325" s="12" t="s">
        <v>37</v>
      </c>
      <c r="OR325" s="12" t="s">
        <v>37</v>
      </c>
      <c r="OS325" s="12"/>
      <c r="OT325" s="12"/>
      <c r="OW325" s="12" t="s">
        <v>37</v>
      </c>
      <c r="OX325" s="12" t="s">
        <v>37</v>
      </c>
      <c r="OY325" s="13" t="s">
        <v>37</v>
      </c>
      <c r="OZ325" s="12" t="s">
        <v>37</v>
      </c>
      <c r="PA325" s="12" t="s">
        <v>37</v>
      </c>
      <c r="PB325" s="13" t="s">
        <v>37</v>
      </c>
      <c r="PG325" s="12" t="s">
        <v>37</v>
      </c>
      <c r="PH325" s="12" t="s">
        <v>37</v>
      </c>
      <c r="PI325" s="12" t="s">
        <v>37</v>
      </c>
      <c r="PJ325" s="12" t="s">
        <v>37</v>
      </c>
      <c r="PK325" s="12" t="s">
        <v>37</v>
      </c>
      <c r="PL325" s="12" t="s">
        <v>37</v>
      </c>
      <c r="PM325" s="12"/>
      <c r="PN325" s="12"/>
      <c r="PQ325" s="12" t="s">
        <v>37</v>
      </c>
      <c r="PR325" s="12" t="s">
        <v>37</v>
      </c>
      <c r="PS325" s="12" t="s">
        <v>37</v>
      </c>
      <c r="PT325" s="12" t="s">
        <v>37</v>
      </c>
      <c r="PU325" s="12" t="s">
        <v>37</v>
      </c>
      <c r="PV325" s="12" t="s">
        <v>37</v>
      </c>
      <c r="PW325" s="12"/>
      <c r="PX325" s="12"/>
      <c r="PZ325" s="12" t="s">
        <v>37</v>
      </c>
      <c r="QA325" s="12" t="s">
        <v>37</v>
      </c>
      <c r="QB325" s="12" t="s">
        <v>37</v>
      </c>
      <c r="QD325" s="12" t="s">
        <v>37</v>
      </c>
      <c r="QE325" s="12" t="s">
        <v>37</v>
      </c>
      <c r="QF325" s="12" t="s">
        <v>37</v>
      </c>
      <c r="QK325" s="12" t="s">
        <v>37</v>
      </c>
      <c r="QL325" s="12" t="s">
        <v>37</v>
      </c>
      <c r="QM325" s="12" t="s">
        <v>37</v>
      </c>
      <c r="QN325" s="12" t="s">
        <v>37</v>
      </c>
      <c r="QO325" s="12" t="s">
        <v>37</v>
      </c>
      <c r="QP325" s="12" t="s">
        <v>37</v>
      </c>
      <c r="QQ325" s="12"/>
      <c r="QR325" s="12"/>
      <c r="QU325" s="12" t="s">
        <v>37</v>
      </c>
      <c r="QV325" s="12" t="s">
        <v>37</v>
      </c>
      <c r="QW325" s="12" t="s">
        <v>37</v>
      </c>
      <c r="QX325" s="12" t="s">
        <v>37</v>
      </c>
      <c r="QY325" s="12" t="s">
        <v>37</v>
      </c>
      <c r="QZ325" s="12" t="s">
        <v>37</v>
      </c>
      <c r="RC325" s="12" t="s">
        <v>37</v>
      </c>
      <c r="RD325" s="12" t="s">
        <v>37</v>
      </c>
      <c r="RE325" s="13" t="s">
        <v>37</v>
      </c>
      <c r="RF325" s="12" t="s">
        <v>37</v>
      </c>
      <c r="RG325" s="12" t="s">
        <v>37</v>
      </c>
      <c r="RH325" s="13" t="s">
        <v>37</v>
      </c>
      <c r="RK325" s="12" t="s">
        <v>37</v>
      </c>
      <c r="RL325" s="12" t="s">
        <v>37</v>
      </c>
      <c r="RM325" s="11" t="s">
        <v>37</v>
      </c>
      <c r="RN325" s="12" t="s">
        <v>37</v>
      </c>
      <c r="RO325" s="12" t="s">
        <v>37</v>
      </c>
      <c r="RP325" s="11" t="s">
        <v>37</v>
      </c>
      <c r="RS325" s="12" t="s">
        <v>37</v>
      </c>
      <c r="RT325" s="12" t="s">
        <v>37</v>
      </c>
      <c r="RU325" s="12" t="s">
        <v>37</v>
      </c>
      <c r="RV325" s="12" t="s">
        <v>37</v>
      </c>
      <c r="RW325" s="12" t="s">
        <v>37</v>
      </c>
      <c r="RX325" s="12" t="s">
        <v>37</v>
      </c>
      <c r="SA325" s="12" t="s">
        <v>37</v>
      </c>
      <c r="SB325" s="12" t="s">
        <v>37</v>
      </c>
      <c r="SC325" s="12" t="s">
        <v>37</v>
      </c>
      <c r="SD325" s="12" t="s">
        <v>37</v>
      </c>
      <c r="SE325" s="12" t="s">
        <v>37</v>
      </c>
      <c r="SF325" s="12" t="s">
        <v>37</v>
      </c>
      <c r="SG325" s="12" t="s">
        <v>42</v>
      </c>
      <c r="SH325" s="12" t="s">
        <v>345</v>
      </c>
      <c r="SI325" s="12">
        <v>0.79</v>
      </c>
      <c r="SJ325" s="50">
        <f t="shared" si="1284"/>
        <v>0.24506640940490665</v>
      </c>
      <c r="SK325" s="13">
        <v>3</v>
      </c>
      <c r="SM325" s="12">
        <v>0.73499999999999999</v>
      </c>
      <c r="SN325" s="50">
        <f t="shared" si="1285"/>
        <v>0.19987335942467013</v>
      </c>
      <c r="SO325" s="13">
        <v>3</v>
      </c>
      <c r="SQ325" s="19">
        <f t="shared" si="1286"/>
        <v>-7.2162446248230538E-2</v>
      </c>
      <c r="SR325" s="19">
        <f t="shared" si="1287"/>
        <v>5.6726709270900982E-2</v>
      </c>
      <c r="SU325" s="12" t="s">
        <v>37</v>
      </c>
      <c r="SV325" s="12" t="s">
        <v>37</v>
      </c>
      <c r="SW325" s="12" t="s">
        <v>37</v>
      </c>
      <c r="SX325" s="12" t="s">
        <v>37</v>
      </c>
      <c r="SY325" s="12" t="s">
        <v>37</v>
      </c>
      <c r="SZ325" s="12" t="s">
        <v>37</v>
      </c>
      <c r="TA325" s="12"/>
      <c r="TB325" s="12"/>
      <c r="TE325" s="12" t="s">
        <v>37</v>
      </c>
      <c r="TF325" s="12" t="s">
        <v>37</v>
      </c>
      <c r="TG325" s="12" t="s">
        <v>37</v>
      </c>
      <c r="TH325" s="12" t="s">
        <v>37</v>
      </c>
      <c r="TI325" s="12" t="s">
        <v>37</v>
      </c>
      <c r="TJ325" s="12" t="s">
        <v>37</v>
      </c>
      <c r="TK325" s="12"/>
      <c r="TL325" s="12"/>
      <c r="TO325" s="12" t="s">
        <v>37</v>
      </c>
      <c r="TP325" s="12" t="s">
        <v>37</v>
      </c>
      <c r="TQ325" s="12" t="s">
        <v>37</v>
      </c>
      <c r="TR325" s="12" t="s">
        <v>37</v>
      </c>
      <c r="TS325" s="12" t="s">
        <v>37</v>
      </c>
      <c r="TT325" s="12" t="s">
        <v>37</v>
      </c>
      <c r="TU325" s="12"/>
      <c r="TV325" s="12"/>
      <c r="TY325" s="12" t="s">
        <v>37</v>
      </c>
      <c r="TZ325" s="12" t="s">
        <v>37</v>
      </c>
      <c r="UA325" s="12" t="s">
        <v>37</v>
      </c>
      <c r="UB325" s="12" t="s">
        <v>37</v>
      </c>
      <c r="UC325" s="12" t="s">
        <v>37</v>
      </c>
      <c r="UD325" s="12" t="s">
        <v>37</v>
      </c>
      <c r="UE325" s="12"/>
      <c r="UF325" s="12"/>
      <c r="UI325" s="12" t="s">
        <v>37</v>
      </c>
      <c r="UJ325" s="12" t="s">
        <v>37</v>
      </c>
      <c r="UK325" s="12" t="s">
        <v>37</v>
      </c>
      <c r="UL325" s="12" t="s">
        <v>37</v>
      </c>
      <c r="UM325" s="12" t="s">
        <v>37</v>
      </c>
      <c r="UN325" s="12" t="s">
        <v>37</v>
      </c>
      <c r="UO325" s="12"/>
      <c r="UP325" s="12"/>
      <c r="UR325" s="12" t="s">
        <v>37</v>
      </c>
      <c r="US325" s="12" t="s">
        <v>37</v>
      </c>
      <c r="UT325" s="12" t="s">
        <v>37</v>
      </c>
      <c r="UU325" s="12" t="s">
        <v>37</v>
      </c>
      <c r="UV325" s="12" t="s">
        <v>37</v>
      </c>
      <c r="UW325" s="12" t="s">
        <v>37</v>
      </c>
      <c r="UX325" s="12"/>
      <c r="UY325" s="12"/>
      <c r="VB325" s="12" t="s">
        <v>37</v>
      </c>
      <c r="VC325" s="12" t="s">
        <v>37</v>
      </c>
      <c r="VD325" s="12" t="s">
        <v>37</v>
      </c>
      <c r="VE325" s="12" t="s">
        <v>37</v>
      </c>
      <c r="VF325" s="12" t="s">
        <v>37</v>
      </c>
      <c r="VG325" s="12" t="s">
        <v>37</v>
      </c>
      <c r="VI325" s="12" t="s">
        <v>37</v>
      </c>
      <c r="VJ325" s="12" t="s">
        <v>37</v>
      </c>
      <c r="VK325" s="12" t="s">
        <v>37</v>
      </c>
      <c r="VL325" s="12" t="s">
        <v>37</v>
      </c>
      <c r="VM325" s="12" t="s">
        <v>37</v>
      </c>
      <c r="VN325" s="12" t="s">
        <v>37</v>
      </c>
      <c r="VQ325" s="12" t="s">
        <v>37</v>
      </c>
      <c r="VR325" s="12" t="s">
        <v>37</v>
      </c>
      <c r="VS325" s="12" t="s">
        <v>37</v>
      </c>
      <c r="VT325" s="12" t="s">
        <v>37</v>
      </c>
      <c r="VU325" s="12" t="s">
        <v>37</v>
      </c>
      <c r="VV325" s="12" t="s">
        <v>37</v>
      </c>
      <c r="VW325" s="12"/>
      <c r="VX325" s="12"/>
      <c r="WA325" s="12" t="s">
        <v>37</v>
      </c>
      <c r="WB325" s="12" t="s">
        <v>37</v>
      </c>
      <c r="WC325" s="12" t="s">
        <v>37</v>
      </c>
      <c r="WD325" s="12" t="s">
        <v>37</v>
      </c>
      <c r="WE325" s="12" t="s">
        <v>37</v>
      </c>
      <c r="WF325" s="12" t="s">
        <v>37</v>
      </c>
    </row>
    <row r="326" spans="1:604" ht="18" customHeight="1" x14ac:dyDescent="0.3">
      <c r="A326" s="11">
        <v>71</v>
      </c>
      <c r="B326" s="16" t="s">
        <v>406</v>
      </c>
      <c r="C326" s="12" t="s">
        <v>26</v>
      </c>
      <c r="D326" s="12" t="s">
        <v>54</v>
      </c>
      <c r="E326" s="40">
        <v>1.6</v>
      </c>
      <c r="F326" s="14">
        <v>0</v>
      </c>
      <c r="G326" s="14">
        <v>0</v>
      </c>
      <c r="H326" s="12" t="s">
        <v>123</v>
      </c>
      <c r="I326" s="29">
        <v>62.767000000000003</v>
      </c>
      <c r="J326" s="29">
        <v>29.832999999999998</v>
      </c>
      <c r="K326" s="12" t="s">
        <v>776</v>
      </c>
      <c r="L326" s="12" t="s">
        <v>780</v>
      </c>
      <c r="M326" s="13">
        <v>145</v>
      </c>
      <c r="N326" s="14">
        <v>1.9</v>
      </c>
      <c r="O326" s="14">
        <v>650</v>
      </c>
      <c r="P326" s="14" t="s">
        <v>84</v>
      </c>
      <c r="Q326" s="75">
        <v>50</v>
      </c>
      <c r="R326" s="11" t="s">
        <v>1000</v>
      </c>
      <c r="S326" s="12" t="s">
        <v>85</v>
      </c>
      <c r="T326" s="12" t="s">
        <v>138</v>
      </c>
      <c r="U326" s="12" t="s">
        <v>158</v>
      </c>
      <c r="V326" s="12" t="s">
        <v>275</v>
      </c>
      <c r="W326" s="23" t="s">
        <v>409</v>
      </c>
      <c r="X326" s="12" t="s">
        <v>280</v>
      </c>
      <c r="Y326" s="12" t="s">
        <v>37</v>
      </c>
      <c r="Z326" s="12" t="s">
        <v>37</v>
      </c>
      <c r="AA326" s="32" t="s">
        <v>345</v>
      </c>
      <c r="AB326" s="12">
        <v>5.6</v>
      </c>
      <c r="AE326" s="12" t="s">
        <v>37</v>
      </c>
      <c r="AF326" s="12" t="s">
        <v>42</v>
      </c>
      <c r="AG326" s="32" t="s">
        <v>345</v>
      </c>
      <c r="AH326" s="12">
        <v>19</v>
      </c>
      <c r="AK326" s="12" t="s">
        <v>37</v>
      </c>
      <c r="AL326" s="32">
        <v>1991</v>
      </c>
      <c r="AM326" s="12" t="s">
        <v>344</v>
      </c>
      <c r="AO326" s="12" t="s">
        <v>37</v>
      </c>
      <c r="AP326" s="12" t="s">
        <v>108</v>
      </c>
      <c r="AQ326" s="12" t="s">
        <v>975</v>
      </c>
      <c r="AT326" s="12" t="s">
        <v>326</v>
      </c>
      <c r="AU326" s="12" t="s">
        <v>326</v>
      </c>
      <c r="AV326" s="13" t="s">
        <v>326</v>
      </c>
      <c r="AX326" s="12" t="s">
        <v>326</v>
      </c>
      <c r="AY326" s="12" t="s">
        <v>326</v>
      </c>
      <c r="AZ326" s="13" t="s">
        <v>326</v>
      </c>
      <c r="BE326" s="12" t="s">
        <v>326</v>
      </c>
      <c r="BF326" s="12" t="s">
        <v>326</v>
      </c>
      <c r="BG326" s="12" t="s">
        <v>326</v>
      </c>
      <c r="BI326" s="12" t="s">
        <v>326</v>
      </c>
      <c r="BJ326" s="12" t="s">
        <v>326</v>
      </c>
      <c r="BK326" s="12" t="s">
        <v>326</v>
      </c>
      <c r="BP326" s="12" t="s">
        <v>37</v>
      </c>
      <c r="BQ326" s="12" t="s">
        <v>37</v>
      </c>
      <c r="BR326" s="13" t="s">
        <v>37</v>
      </c>
      <c r="BT326" s="12" t="s">
        <v>37</v>
      </c>
      <c r="BU326" s="12" t="s">
        <v>37</v>
      </c>
      <c r="BV326" s="12" t="s">
        <v>37</v>
      </c>
      <c r="CA326" s="12" t="s">
        <v>37</v>
      </c>
      <c r="CB326" s="12" t="s">
        <v>37</v>
      </c>
      <c r="CC326" s="13" t="s">
        <v>37</v>
      </c>
      <c r="CE326" s="12" t="s">
        <v>37</v>
      </c>
      <c r="CF326" s="12" t="s">
        <v>37</v>
      </c>
      <c r="CG326" s="12" t="s">
        <v>37</v>
      </c>
      <c r="CN326" s="12" t="s">
        <v>37</v>
      </c>
      <c r="CO326" s="12" t="s">
        <v>37</v>
      </c>
      <c r="CP326" s="13" t="s">
        <v>37</v>
      </c>
      <c r="CR326" s="12" t="s">
        <v>37</v>
      </c>
      <c r="CS326" s="12" t="s">
        <v>37</v>
      </c>
      <c r="CT326" s="13" t="s">
        <v>37</v>
      </c>
      <c r="CX326" s="72"/>
      <c r="CY326" s="72"/>
      <c r="DA326" s="12" t="s">
        <v>37</v>
      </c>
      <c r="DB326" s="12" t="s">
        <v>37</v>
      </c>
      <c r="DC326" s="13" t="s">
        <v>37</v>
      </c>
      <c r="DE326" s="12" t="s">
        <v>37</v>
      </c>
      <c r="DF326" s="12" t="s">
        <v>37</v>
      </c>
      <c r="DG326" s="12" t="s">
        <v>37</v>
      </c>
      <c r="DM326" s="11" t="s">
        <v>47</v>
      </c>
      <c r="DN326" s="19">
        <v>220.49</v>
      </c>
      <c r="DO326" s="50">
        <f t="shared" si="1262"/>
        <v>245.81973446687189</v>
      </c>
      <c r="DP326" s="13">
        <v>18</v>
      </c>
      <c r="DR326" s="19">
        <v>-0.5</v>
      </c>
      <c r="DS326" s="50">
        <f t="shared" si="1263"/>
        <v>1.868608147315505</v>
      </c>
      <c r="DT326" s="13">
        <v>18</v>
      </c>
      <c r="DV326" s="19">
        <f t="shared" si="1211"/>
        <v>-220.99</v>
      </c>
      <c r="DW326" s="12">
        <f t="shared" si="1212"/>
        <v>173.82582309566612</v>
      </c>
      <c r="DX326" s="72">
        <f t="shared" si="1251"/>
        <v>3357.2685305428677</v>
      </c>
      <c r="DY326" s="72">
        <f t="shared" si="1252"/>
        <v>3357.2685305428677</v>
      </c>
      <c r="EA326" s="19" t="s">
        <v>37</v>
      </c>
      <c r="EB326" s="19" t="s">
        <v>37</v>
      </c>
      <c r="EC326" s="72" t="s">
        <v>37</v>
      </c>
      <c r="EE326" s="19" t="s">
        <v>37</v>
      </c>
      <c r="EF326" s="19" t="s">
        <v>37</v>
      </c>
      <c r="EG326" s="12" t="s">
        <v>37</v>
      </c>
      <c r="EM326" s="12" t="s">
        <v>39</v>
      </c>
      <c r="EN326" s="12">
        <v>-2.5</v>
      </c>
      <c r="EO326" s="12">
        <v>2.2999999999999998</v>
      </c>
      <c r="EP326" s="13">
        <v>18</v>
      </c>
      <c r="EQ326" s="19">
        <f t="shared" si="1239"/>
        <v>0.91999999999999993</v>
      </c>
      <c r="ER326" s="12">
        <v>-30.1</v>
      </c>
      <c r="ES326" s="12">
        <v>13.9</v>
      </c>
      <c r="ET326" s="13">
        <v>18</v>
      </c>
      <c r="EU326" s="19">
        <f t="shared" si="1240"/>
        <v>0.46179401993355479</v>
      </c>
      <c r="EV326" s="19">
        <f t="shared" si="1233"/>
        <v>-27.6</v>
      </c>
      <c r="EW326" s="12">
        <f t="shared" si="1234"/>
        <v>9.9624294225856378</v>
      </c>
      <c r="EX326" s="19">
        <f t="shared" si="1235"/>
        <v>11.027777777777777</v>
      </c>
      <c r="EY326" s="19">
        <f t="shared" si="1236"/>
        <v>11.027777777777779</v>
      </c>
      <c r="FB326" s="12" t="s">
        <v>37</v>
      </c>
      <c r="FC326" s="12" t="s">
        <v>37</v>
      </c>
      <c r="FD326" s="12" t="s">
        <v>37</v>
      </c>
      <c r="FE326" s="12" t="s">
        <v>37</v>
      </c>
      <c r="FF326" s="20" t="s">
        <v>37</v>
      </c>
      <c r="FG326" s="12" t="s">
        <v>37</v>
      </c>
      <c r="FI326" s="12" t="s">
        <v>37</v>
      </c>
      <c r="FJ326" s="12" t="s">
        <v>37</v>
      </c>
      <c r="FK326" s="12" t="s">
        <v>37</v>
      </c>
      <c r="FL326" s="12" t="s">
        <v>37</v>
      </c>
      <c r="FM326" s="12" t="s">
        <v>37</v>
      </c>
      <c r="FN326" s="12" t="s">
        <v>37</v>
      </c>
      <c r="FP326" s="12" t="s">
        <v>37</v>
      </c>
      <c r="FQ326" s="12" t="s">
        <v>37</v>
      </c>
      <c r="FR326" s="12" t="s">
        <v>37</v>
      </c>
      <c r="FS326" s="12" t="s">
        <v>37</v>
      </c>
      <c r="FT326" s="12" t="s">
        <v>37</v>
      </c>
      <c r="FU326" s="12" t="s">
        <v>37</v>
      </c>
      <c r="FW326" s="12" t="s">
        <v>37</v>
      </c>
      <c r="FX326" s="12" t="s">
        <v>37</v>
      </c>
      <c r="FY326" s="12" t="s">
        <v>37</v>
      </c>
      <c r="FZ326" s="12" t="s">
        <v>37</v>
      </c>
      <c r="GA326" s="12" t="s">
        <v>37</v>
      </c>
      <c r="GB326" s="12" t="s">
        <v>37</v>
      </c>
      <c r="GO326" s="12" t="s">
        <v>660</v>
      </c>
      <c r="GP326" s="12" t="s">
        <v>340</v>
      </c>
      <c r="GQ326" s="12">
        <v>11.6</v>
      </c>
      <c r="GR326" s="12">
        <v>4.0999999999999996</v>
      </c>
      <c r="GS326" s="13">
        <v>18</v>
      </c>
      <c r="GT326" s="19">
        <f t="shared" si="1264"/>
        <v>0.35344827586206895</v>
      </c>
      <c r="GU326" s="12">
        <v>8.1999999999999993</v>
      </c>
      <c r="GV326" s="12">
        <v>4.3</v>
      </c>
      <c r="GW326" s="13">
        <v>18</v>
      </c>
      <c r="GX326" s="19">
        <f t="shared" si="1265"/>
        <v>0.52439024390243905</v>
      </c>
      <c r="GY326" s="19">
        <f t="shared" si="1266"/>
        <v>-0.34687094384211159</v>
      </c>
      <c r="GZ326" s="19">
        <f t="shared" si="1267"/>
        <v>2.2217267311662701E-2</v>
      </c>
      <c r="HA326" s="17" t="s">
        <v>63</v>
      </c>
      <c r="HB326" s="34" t="s">
        <v>345</v>
      </c>
      <c r="HC326" s="12">
        <v>6.7000000000000004E-2</v>
      </c>
      <c r="HD326" s="50">
        <f t="shared" si="1268"/>
        <v>1.1551586790814895E-2</v>
      </c>
      <c r="HE326" s="13">
        <v>3</v>
      </c>
      <c r="HG326" s="12">
        <v>0.11</v>
      </c>
      <c r="HH326" s="50">
        <f t="shared" si="1269"/>
        <v>1.2303997196381559E-2</v>
      </c>
      <c r="HI326" s="13">
        <v>3</v>
      </c>
      <c r="HK326" s="19">
        <f t="shared" si="1270"/>
        <v>0.49578774640145007</v>
      </c>
      <c r="HL326" s="19">
        <f t="shared" si="1271"/>
        <v>1.4079080937294359E-2</v>
      </c>
      <c r="IK326" s="12" t="s">
        <v>37</v>
      </c>
      <c r="IL326" s="12" t="s">
        <v>37</v>
      </c>
      <c r="IM326" s="12" t="s">
        <v>37</v>
      </c>
      <c r="IO326" s="12" t="s">
        <v>37</v>
      </c>
      <c r="IP326" s="12" t="s">
        <v>37</v>
      </c>
      <c r="IQ326" s="12" t="s">
        <v>37</v>
      </c>
      <c r="IV326" s="32" t="s">
        <v>345</v>
      </c>
      <c r="IW326" s="12">
        <v>5.6</v>
      </c>
      <c r="IX326" s="50">
        <f t="shared" si="1272"/>
        <v>0.20503135871692957</v>
      </c>
      <c r="IY326" s="13">
        <v>3</v>
      </c>
      <c r="JA326" s="12">
        <v>4.5</v>
      </c>
      <c r="JB326" s="50">
        <f t="shared" si="1273"/>
        <v>0.12603963953566241</v>
      </c>
      <c r="JC326" s="13">
        <v>3</v>
      </c>
      <c r="JE326" s="19">
        <f t="shared" si="1274"/>
        <v>-0.21868920096482944</v>
      </c>
      <c r="JF326" s="19">
        <f t="shared" si="1275"/>
        <v>7.0832876411330761E-4</v>
      </c>
      <c r="JH326" s="12" t="s">
        <v>37</v>
      </c>
      <c r="JI326" s="12" t="s">
        <v>37</v>
      </c>
      <c r="JJ326" s="13" t="s">
        <v>37</v>
      </c>
      <c r="JL326" s="12" t="s">
        <v>37</v>
      </c>
      <c r="JM326" s="12" t="s">
        <v>37</v>
      </c>
      <c r="JN326" s="12" t="s">
        <v>37</v>
      </c>
      <c r="JS326" s="12" t="s">
        <v>37</v>
      </c>
      <c r="JT326" s="12" t="s">
        <v>37</v>
      </c>
      <c r="JU326" s="13" t="s">
        <v>37</v>
      </c>
      <c r="JW326" s="12" t="s">
        <v>37</v>
      </c>
      <c r="JX326" s="12" t="s">
        <v>37</v>
      </c>
      <c r="JY326" s="12" t="s">
        <v>37</v>
      </c>
      <c r="KE326" s="12" t="s">
        <v>37</v>
      </c>
      <c r="KF326" s="12" t="s">
        <v>37</v>
      </c>
      <c r="KG326" s="13" t="s">
        <v>37</v>
      </c>
      <c r="KH326" s="12" t="s">
        <v>37</v>
      </c>
      <c r="KI326" s="12" t="s">
        <v>37</v>
      </c>
      <c r="KJ326" s="12" t="s">
        <v>37</v>
      </c>
      <c r="KK326" s="12" t="s">
        <v>42</v>
      </c>
      <c r="KL326" s="32" t="s">
        <v>345</v>
      </c>
      <c r="KM326" s="12">
        <v>19</v>
      </c>
      <c r="KN326" s="50">
        <f t="shared" si="1276"/>
        <v>2.2665677863123301</v>
      </c>
      <c r="KO326" s="11">
        <v>3</v>
      </c>
      <c r="KQ326" s="12">
        <v>21</v>
      </c>
      <c r="KR326" s="50">
        <f t="shared" si="1277"/>
        <v>2.2143120335413715</v>
      </c>
      <c r="KS326" s="11">
        <v>3</v>
      </c>
      <c r="KU326" s="19">
        <f t="shared" si="1278"/>
        <v>0.10008345855698263</v>
      </c>
      <c r="KV326" s="19">
        <f t="shared" si="1279"/>
        <v>8.4497155628593234E-3</v>
      </c>
      <c r="KX326" s="12" t="s">
        <v>37</v>
      </c>
      <c r="KY326" s="12" t="s">
        <v>37</v>
      </c>
      <c r="KZ326" s="12" t="s">
        <v>37</v>
      </c>
      <c r="LB326" s="12" t="s">
        <v>37</v>
      </c>
      <c r="LC326" s="12" t="s">
        <v>37</v>
      </c>
      <c r="LD326" s="12" t="s">
        <v>37</v>
      </c>
      <c r="LI326" s="12" t="s">
        <v>37</v>
      </c>
      <c r="LJ326" s="12" t="s">
        <v>37</v>
      </c>
      <c r="LK326" s="12" t="s">
        <v>37</v>
      </c>
      <c r="LM326" s="12" t="s">
        <v>37</v>
      </c>
      <c r="LN326" s="12" t="s">
        <v>37</v>
      </c>
      <c r="LO326" s="12" t="s">
        <v>37</v>
      </c>
      <c r="LU326" s="12" t="s">
        <v>37</v>
      </c>
      <c r="LV326" s="12" t="s">
        <v>37</v>
      </c>
      <c r="LW326" s="12" t="s">
        <v>37</v>
      </c>
      <c r="LY326" s="12" t="s">
        <v>37</v>
      </c>
      <c r="LZ326" s="12" t="s">
        <v>37</v>
      </c>
      <c r="MA326" s="12" t="s">
        <v>37</v>
      </c>
      <c r="MF326" s="12" t="s">
        <v>37</v>
      </c>
      <c r="MG326" s="12" t="s">
        <v>37</v>
      </c>
      <c r="MH326" s="12" t="s">
        <v>37</v>
      </c>
      <c r="MJ326" s="12" t="s">
        <v>37</v>
      </c>
      <c r="MK326" s="12" t="s">
        <v>37</v>
      </c>
      <c r="ML326" s="12" t="s">
        <v>37</v>
      </c>
      <c r="MQ326" s="12" t="s">
        <v>37</v>
      </c>
      <c r="MR326" s="12" t="s">
        <v>37</v>
      </c>
      <c r="MS326" s="12" t="s">
        <v>37</v>
      </c>
      <c r="MU326" s="12" t="s">
        <v>37</v>
      </c>
      <c r="MV326" s="12" t="s">
        <v>37</v>
      </c>
      <c r="MW326" s="12" t="s">
        <v>37</v>
      </c>
      <c r="NC326" s="12" t="s">
        <v>37</v>
      </c>
      <c r="ND326" s="12" t="s">
        <v>37</v>
      </c>
      <c r="NE326" s="12" t="s">
        <v>37</v>
      </c>
      <c r="NG326" s="12" t="s">
        <v>37</v>
      </c>
      <c r="NH326" s="12" t="s">
        <v>37</v>
      </c>
      <c r="NI326" s="12" t="s">
        <v>37</v>
      </c>
      <c r="NO326" s="12" t="s">
        <v>37</v>
      </c>
      <c r="NP326" s="12" t="s">
        <v>37</v>
      </c>
      <c r="NQ326" s="12" t="s">
        <v>37</v>
      </c>
      <c r="NS326" s="12" t="s">
        <v>37</v>
      </c>
      <c r="NT326" s="12" t="s">
        <v>37</v>
      </c>
      <c r="NU326" s="12" t="s">
        <v>37</v>
      </c>
      <c r="OA326" s="12" t="s">
        <v>37</v>
      </c>
      <c r="OB326" s="12" t="s">
        <v>37</v>
      </c>
      <c r="OC326" s="12" t="s">
        <v>37</v>
      </c>
      <c r="OD326" s="12"/>
      <c r="OE326" s="12" t="s">
        <v>37</v>
      </c>
      <c r="OF326" s="12" t="s">
        <v>37</v>
      </c>
      <c r="OG326" s="12" t="s">
        <v>37</v>
      </c>
      <c r="OH326" s="12"/>
      <c r="OI326" s="12"/>
      <c r="OJ326" s="12"/>
      <c r="OM326" s="12" t="s">
        <v>37</v>
      </c>
      <c r="ON326" s="12" t="s">
        <v>37</v>
      </c>
      <c r="OO326" s="12" t="s">
        <v>37</v>
      </c>
      <c r="OP326" s="12" t="s">
        <v>37</v>
      </c>
      <c r="OQ326" s="12" t="s">
        <v>37</v>
      </c>
      <c r="OR326" s="12" t="s">
        <v>37</v>
      </c>
      <c r="OS326" s="12"/>
      <c r="OT326" s="12"/>
      <c r="OW326" s="12" t="s">
        <v>37</v>
      </c>
      <c r="OX326" s="12" t="s">
        <v>37</v>
      </c>
      <c r="OY326" s="13" t="s">
        <v>37</v>
      </c>
      <c r="OZ326" s="12" t="s">
        <v>37</v>
      </c>
      <c r="PA326" s="12" t="s">
        <v>37</v>
      </c>
      <c r="PB326" s="13" t="s">
        <v>37</v>
      </c>
      <c r="PG326" s="12" t="s">
        <v>37</v>
      </c>
      <c r="PH326" s="12" t="s">
        <v>37</v>
      </c>
      <c r="PI326" s="12" t="s">
        <v>37</v>
      </c>
      <c r="PJ326" s="12" t="s">
        <v>37</v>
      </c>
      <c r="PK326" s="12" t="s">
        <v>37</v>
      </c>
      <c r="PL326" s="12" t="s">
        <v>37</v>
      </c>
      <c r="PM326" s="12"/>
      <c r="PN326" s="12"/>
      <c r="PQ326" s="12" t="s">
        <v>37</v>
      </c>
      <c r="PR326" s="12" t="s">
        <v>37</v>
      </c>
      <c r="PS326" s="12" t="s">
        <v>37</v>
      </c>
      <c r="PT326" s="12" t="s">
        <v>37</v>
      </c>
      <c r="PU326" s="12" t="s">
        <v>37</v>
      </c>
      <c r="PV326" s="12" t="s">
        <v>37</v>
      </c>
      <c r="PW326" s="12"/>
      <c r="PX326" s="12"/>
      <c r="PZ326" s="12" t="s">
        <v>37</v>
      </c>
      <c r="QA326" s="12" t="s">
        <v>37</v>
      </c>
      <c r="QB326" s="12" t="s">
        <v>37</v>
      </c>
      <c r="QD326" s="12" t="s">
        <v>37</v>
      </c>
      <c r="QE326" s="12" t="s">
        <v>37</v>
      </c>
      <c r="QF326" s="12" t="s">
        <v>37</v>
      </c>
      <c r="QK326" s="12" t="s">
        <v>37</v>
      </c>
      <c r="QL326" s="12" t="s">
        <v>37</v>
      </c>
      <c r="QM326" s="12" t="s">
        <v>37</v>
      </c>
      <c r="QN326" s="12" t="s">
        <v>37</v>
      </c>
      <c r="QO326" s="12" t="s">
        <v>37</v>
      </c>
      <c r="QP326" s="12" t="s">
        <v>37</v>
      </c>
      <c r="QQ326" s="12"/>
      <c r="QR326" s="12"/>
      <c r="QU326" s="12" t="s">
        <v>37</v>
      </c>
      <c r="QV326" s="12" t="s">
        <v>37</v>
      </c>
      <c r="QW326" s="12" t="s">
        <v>37</v>
      </c>
      <c r="QX326" s="12" t="s">
        <v>37</v>
      </c>
      <c r="QY326" s="12" t="s">
        <v>37</v>
      </c>
      <c r="QZ326" s="12" t="s">
        <v>37</v>
      </c>
      <c r="RC326" s="12" t="s">
        <v>37</v>
      </c>
      <c r="RD326" s="12" t="s">
        <v>37</v>
      </c>
      <c r="RE326" s="13" t="s">
        <v>37</v>
      </c>
      <c r="RF326" s="12" t="s">
        <v>37</v>
      </c>
      <c r="RG326" s="12" t="s">
        <v>37</v>
      </c>
      <c r="RH326" s="13" t="s">
        <v>37</v>
      </c>
      <c r="RK326" s="12" t="s">
        <v>37</v>
      </c>
      <c r="RL326" s="12" t="s">
        <v>37</v>
      </c>
      <c r="RM326" s="11" t="s">
        <v>37</v>
      </c>
      <c r="RN326" s="12" t="s">
        <v>37</v>
      </c>
      <c r="RO326" s="12" t="s">
        <v>37</v>
      </c>
      <c r="RP326" s="11" t="s">
        <v>37</v>
      </c>
      <c r="RS326" s="12" t="s">
        <v>37</v>
      </c>
      <c r="RT326" s="12" t="s">
        <v>37</v>
      </c>
      <c r="RU326" s="12" t="s">
        <v>37</v>
      </c>
      <c r="RV326" s="12" t="s">
        <v>37</v>
      </c>
      <c r="RW326" s="12" t="s">
        <v>37</v>
      </c>
      <c r="RX326" s="12" t="s">
        <v>37</v>
      </c>
      <c r="SA326" s="12" t="s">
        <v>37</v>
      </c>
      <c r="SB326" s="12" t="s">
        <v>37</v>
      </c>
      <c r="SC326" s="12" t="s">
        <v>37</v>
      </c>
      <c r="SD326" s="12" t="s">
        <v>37</v>
      </c>
      <c r="SE326" s="12" t="s">
        <v>37</v>
      </c>
      <c r="SF326" s="12" t="s">
        <v>37</v>
      </c>
      <c r="SG326" s="12" t="s">
        <v>42</v>
      </c>
      <c r="SH326" s="12" t="s">
        <v>345</v>
      </c>
      <c r="SI326" s="12">
        <v>0.82299999999999995</v>
      </c>
      <c r="SJ326" s="50">
        <f t="shared" si="1284"/>
        <v>0.25530336068384579</v>
      </c>
      <c r="SK326" s="13">
        <v>3</v>
      </c>
      <c r="SM326" s="12">
        <v>1.204</v>
      </c>
      <c r="SN326" s="50">
        <f t="shared" si="1285"/>
        <v>0.32741159829565009</v>
      </c>
      <c r="SO326" s="13">
        <v>3</v>
      </c>
      <c r="SQ326" s="19">
        <f t="shared" si="1286"/>
        <v>0.38044842519169658</v>
      </c>
      <c r="SR326" s="19">
        <f t="shared" si="1287"/>
        <v>5.6726709270900989E-2</v>
      </c>
      <c r="SU326" s="12" t="s">
        <v>37</v>
      </c>
      <c r="SV326" s="12" t="s">
        <v>37</v>
      </c>
      <c r="SW326" s="12" t="s">
        <v>37</v>
      </c>
      <c r="SX326" s="12" t="s">
        <v>37</v>
      </c>
      <c r="SY326" s="12" t="s">
        <v>37</v>
      </c>
      <c r="SZ326" s="12" t="s">
        <v>37</v>
      </c>
      <c r="TA326" s="12"/>
      <c r="TB326" s="12"/>
      <c r="TE326" s="12" t="s">
        <v>37</v>
      </c>
      <c r="TF326" s="12" t="s">
        <v>37</v>
      </c>
      <c r="TG326" s="12" t="s">
        <v>37</v>
      </c>
      <c r="TH326" s="12" t="s">
        <v>37</v>
      </c>
      <c r="TI326" s="12" t="s">
        <v>37</v>
      </c>
      <c r="TJ326" s="12" t="s">
        <v>37</v>
      </c>
      <c r="TK326" s="12"/>
      <c r="TL326" s="12"/>
      <c r="TO326" s="12" t="s">
        <v>37</v>
      </c>
      <c r="TP326" s="12" t="s">
        <v>37</v>
      </c>
      <c r="TQ326" s="12" t="s">
        <v>37</v>
      </c>
      <c r="TR326" s="12" t="s">
        <v>37</v>
      </c>
      <c r="TS326" s="12" t="s">
        <v>37</v>
      </c>
      <c r="TT326" s="12" t="s">
        <v>37</v>
      </c>
      <c r="TU326" s="12"/>
      <c r="TV326" s="12"/>
      <c r="TY326" s="12" t="s">
        <v>37</v>
      </c>
      <c r="TZ326" s="12" t="s">
        <v>37</v>
      </c>
      <c r="UA326" s="12" t="s">
        <v>37</v>
      </c>
      <c r="UB326" s="12" t="s">
        <v>37</v>
      </c>
      <c r="UC326" s="12" t="s">
        <v>37</v>
      </c>
      <c r="UD326" s="12" t="s">
        <v>37</v>
      </c>
      <c r="UE326" s="12"/>
      <c r="UF326" s="12"/>
      <c r="UI326" s="12" t="s">
        <v>37</v>
      </c>
      <c r="UJ326" s="12" t="s">
        <v>37</v>
      </c>
      <c r="UK326" s="12" t="s">
        <v>37</v>
      </c>
      <c r="UL326" s="12" t="s">
        <v>37</v>
      </c>
      <c r="UM326" s="12" t="s">
        <v>37</v>
      </c>
      <c r="UN326" s="12" t="s">
        <v>37</v>
      </c>
      <c r="UO326" s="12"/>
      <c r="UP326" s="12"/>
      <c r="UR326" s="12" t="s">
        <v>37</v>
      </c>
      <c r="US326" s="12" t="s">
        <v>37</v>
      </c>
      <c r="UT326" s="12" t="s">
        <v>37</v>
      </c>
      <c r="UU326" s="12" t="s">
        <v>37</v>
      </c>
      <c r="UV326" s="12" t="s">
        <v>37</v>
      </c>
      <c r="UW326" s="12" t="s">
        <v>37</v>
      </c>
      <c r="UX326" s="12"/>
      <c r="UY326" s="12"/>
      <c r="VB326" s="12" t="s">
        <v>37</v>
      </c>
      <c r="VC326" s="12" t="s">
        <v>37</v>
      </c>
      <c r="VD326" s="12" t="s">
        <v>37</v>
      </c>
      <c r="VE326" s="12" t="s">
        <v>37</v>
      </c>
      <c r="VF326" s="12" t="s">
        <v>37</v>
      </c>
      <c r="VG326" s="12" t="s">
        <v>37</v>
      </c>
      <c r="VI326" s="12" t="s">
        <v>37</v>
      </c>
      <c r="VJ326" s="12" t="s">
        <v>37</v>
      </c>
      <c r="VK326" s="12" t="s">
        <v>37</v>
      </c>
      <c r="VL326" s="12" t="s">
        <v>37</v>
      </c>
      <c r="VM326" s="12" t="s">
        <v>37</v>
      </c>
      <c r="VN326" s="12" t="s">
        <v>37</v>
      </c>
      <c r="VQ326" s="12" t="s">
        <v>37</v>
      </c>
      <c r="VR326" s="12" t="s">
        <v>37</v>
      </c>
      <c r="VS326" s="12" t="s">
        <v>37</v>
      </c>
      <c r="VT326" s="12" t="s">
        <v>37</v>
      </c>
      <c r="VU326" s="12" t="s">
        <v>37</v>
      </c>
      <c r="VV326" s="12" t="s">
        <v>37</v>
      </c>
      <c r="VW326" s="12"/>
      <c r="VX326" s="12"/>
      <c r="WA326" s="12" t="s">
        <v>37</v>
      </c>
      <c r="WB326" s="12" t="s">
        <v>37</v>
      </c>
      <c r="WC326" s="12" t="s">
        <v>37</v>
      </c>
      <c r="WD326" s="12" t="s">
        <v>37</v>
      </c>
      <c r="WE326" s="12" t="s">
        <v>37</v>
      </c>
      <c r="WF326" s="12" t="s">
        <v>37</v>
      </c>
    </row>
    <row r="327" spans="1:604" ht="18" customHeight="1" x14ac:dyDescent="0.3">
      <c r="A327" s="11">
        <v>71</v>
      </c>
      <c r="B327" s="16" t="s">
        <v>406</v>
      </c>
      <c r="C327" s="12" t="s">
        <v>26</v>
      </c>
      <c r="D327" s="12" t="s">
        <v>54</v>
      </c>
      <c r="E327" s="40">
        <v>1.6</v>
      </c>
      <c r="F327" s="14">
        <v>0</v>
      </c>
      <c r="G327" s="14">
        <v>0</v>
      </c>
      <c r="H327" s="12" t="s">
        <v>123</v>
      </c>
      <c r="I327" s="29">
        <v>62.767000000000003</v>
      </c>
      <c r="J327" s="29">
        <v>29.832999999999998</v>
      </c>
      <c r="K327" s="12" t="s">
        <v>776</v>
      </c>
      <c r="L327" s="12" t="s">
        <v>780</v>
      </c>
      <c r="M327" s="13">
        <v>145</v>
      </c>
      <c r="N327" s="14">
        <v>1.9</v>
      </c>
      <c r="O327" s="14">
        <v>650</v>
      </c>
      <c r="P327" s="14" t="s">
        <v>84</v>
      </c>
      <c r="Q327" s="75">
        <v>51</v>
      </c>
      <c r="R327" s="11" t="s">
        <v>999</v>
      </c>
      <c r="S327" s="12" t="s">
        <v>85</v>
      </c>
      <c r="T327" s="12" t="s">
        <v>138</v>
      </c>
      <c r="U327" s="12" t="s">
        <v>158</v>
      </c>
      <c r="V327" s="12" t="s">
        <v>275</v>
      </c>
      <c r="W327" s="23" t="s">
        <v>409</v>
      </c>
      <c r="X327" s="12" t="s">
        <v>280</v>
      </c>
      <c r="Y327" s="12" t="s">
        <v>37</v>
      </c>
      <c r="Z327" s="12" t="s">
        <v>37</v>
      </c>
      <c r="AA327" s="32" t="s">
        <v>345</v>
      </c>
      <c r="AB327" s="12">
        <v>5.6</v>
      </c>
      <c r="AE327" s="12" t="s">
        <v>37</v>
      </c>
      <c r="AF327" s="12" t="s">
        <v>42</v>
      </c>
      <c r="AG327" s="32" t="s">
        <v>345</v>
      </c>
      <c r="AH327" s="12">
        <v>19</v>
      </c>
      <c r="AK327" s="12" t="s">
        <v>37</v>
      </c>
      <c r="AL327" s="32">
        <v>1992</v>
      </c>
      <c r="AM327" s="12" t="s">
        <v>344</v>
      </c>
      <c r="AO327" s="12" t="s">
        <v>37</v>
      </c>
      <c r="AP327" s="12" t="s">
        <v>108</v>
      </c>
      <c r="AQ327" s="12" t="s">
        <v>975</v>
      </c>
      <c r="AT327" s="12" t="s">
        <v>326</v>
      </c>
      <c r="AU327" s="12" t="s">
        <v>326</v>
      </c>
      <c r="AV327" s="13" t="s">
        <v>326</v>
      </c>
      <c r="AX327" s="12" t="s">
        <v>326</v>
      </c>
      <c r="AY327" s="12" t="s">
        <v>326</v>
      </c>
      <c r="AZ327" s="13" t="s">
        <v>326</v>
      </c>
      <c r="BE327" s="12" t="s">
        <v>326</v>
      </c>
      <c r="BF327" s="12" t="s">
        <v>326</v>
      </c>
      <c r="BG327" s="12" t="s">
        <v>326</v>
      </c>
      <c r="BI327" s="12" t="s">
        <v>326</v>
      </c>
      <c r="BJ327" s="12" t="s">
        <v>326</v>
      </c>
      <c r="BK327" s="12" t="s">
        <v>326</v>
      </c>
      <c r="BP327" s="12" t="s">
        <v>37</v>
      </c>
      <c r="BQ327" s="12" t="s">
        <v>37</v>
      </c>
      <c r="BR327" s="13" t="s">
        <v>37</v>
      </c>
      <c r="BT327" s="12" t="s">
        <v>37</v>
      </c>
      <c r="BU327" s="12" t="s">
        <v>37</v>
      </c>
      <c r="BV327" s="12" t="s">
        <v>37</v>
      </c>
      <c r="CA327" s="12" t="s">
        <v>37</v>
      </c>
      <c r="CB327" s="12" t="s">
        <v>37</v>
      </c>
      <c r="CC327" s="13" t="s">
        <v>37</v>
      </c>
      <c r="CE327" s="12" t="s">
        <v>37</v>
      </c>
      <c r="CF327" s="12" t="s">
        <v>37</v>
      </c>
      <c r="CG327" s="12" t="s">
        <v>37</v>
      </c>
      <c r="CN327" s="12" t="s">
        <v>37</v>
      </c>
      <c r="CO327" s="12" t="s">
        <v>37</v>
      </c>
      <c r="CP327" s="13" t="s">
        <v>37</v>
      </c>
      <c r="CR327" s="12" t="s">
        <v>37</v>
      </c>
      <c r="CS327" s="12" t="s">
        <v>37</v>
      </c>
      <c r="CT327" s="13" t="s">
        <v>37</v>
      </c>
      <c r="CX327" s="72"/>
      <c r="CY327" s="72"/>
      <c r="DA327" s="12" t="s">
        <v>37</v>
      </c>
      <c r="DB327" s="12" t="s">
        <v>37</v>
      </c>
      <c r="DC327" s="13" t="s">
        <v>37</v>
      </c>
      <c r="DE327" s="12" t="s">
        <v>37</v>
      </c>
      <c r="DF327" s="12" t="s">
        <v>37</v>
      </c>
      <c r="DG327" s="12" t="s">
        <v>37</v>
      </c>
      <c r="DM327" s="11" t="s">
        <v>47</v>
      </c>
      <c r="DN327" s="19">
        <v>395.8</v>
      </c>
      <c r="DO327" s="50">
        <f t="shared" si="1262"/>
        <v>441.26922264949837</v>
      </c>
      <c r="DP327" s="13">
        <v>12</v>
      </c>
      <c r="DR327" s="19">
        <v>0.2</v>
      </c>
      <c r="DS327" s="50">
        <f t="shared" si="1263"/>
        <v>0.747443258926202</v>
      </c>
      <c r="DT327" s="13">
        <v>15</v>
      </c>
      <c r="DV327" s="19">
        <f t="shared" si="1211"/>
        <v>-395.6</v>
      </c>
      <c r="DW327" s="12">
        <f t="shared" si="1212"/>
        <v>292.70542303377795</v>
      </c>
      <c r="DX327" s="72">
        <f t="shared" si="1251"/>
        <v>12851.469701007438</v>
      </c>
      <c r="DY327" s="72">
        <f t="shared" si="1252"/>
        <v>16226.581149569403</v>
      </c>
      <c r="EA327" s="19" t="s">
        <v>37</v>
      </c>
      <c r="EB327" s="19" t="s">
        <v>37</v>
      </c>
      <c r="EC327" s="72" t="s">
        <v>37</v>
      </c>
      <c r="EE327" s="19" t="s">
        <v>37</v>
      </c>
      <c r="EF327" s="19" t="s">
        <v>37</v>
      </c>
      <c r="EG327" s="12" t="s">
        <v>37</v>
      </c>
      <c r="EM327" s="12" t="s">
        <v>39</v>
      </c>
      <c r="EN327" s="12">
        <v>-5.9</v>
      </c>
      <c r="EO327" s="12">
        <v>4.8</v>
      </c>
      <c r="EP327" s="13">
        <v>12</v>
      </c>
      <c r="EQ327" s="19">
        <f t="shared" si="1239"/>
        <v>0.81355932203389825</v>
      </c>
      <c r="ER327" s="12">
        <v>-39.700000000000003</v>
      </c>
      <c r="ES327" s="12">
        <v>17.8</v>
      </c>
      <c r="ET327" s="13">
        <v>15</v>
      </c>
      <c r="EU327" s="19">
        <f t="shared" si="1240"/>
        <v>0.44836272040302266</v>
      </c>
      <c r="EV327" s="19">
        <f t="shared" si="1233"/>
        <v>-33.800000000000004</v>
      </c>
      <c r="EW327" s="12">
        <f t="shared" si="1234"/>
        <v>13.69554672147118</v>
      </c>
      <c r="EX327" s="19">
        <f t="shared" si="1235"/>
        <v>28.135200000000001</v>
      </c>
      <c r="EY327" s="19">
        <f t="shared" si="1236"/>
        <v>23.042666666666669</v>
      </c>
      <c r="FB327" s="12" t="s">
        <v>37</v>
      </c>
      <c r="FC327" s="12" t="s">
        <v>37</v>
      </c>
      <c r="FD327" s="12" t="s">
        <v>37</v>
      </c>
      <c r="FE327" s="12" t="s">
        <v>37</v>
      </c>
      <c r="FF327" s="20" t="s">
        <v>37</v>
      </c>
      <c r="FG327" s="12" t="s">
        <v>37</v>
      </c>
      <c r="FI327" s="12" t="s">
        <v>37</v>
      </c>
      <c r="FJ327" s="12" t="s">
        <v>37</v>
      </c>
      <c r="FK327" s="12" t="s">
        <v>37</v>
      </c>
      <c r="FL327" s="12" t="s">
        <v>37</v>
      </c>
      <c r="FM327" s="12" t="s">
        <v>37</v>
      </c>
      <c r="FN327" s="12" t="s">
        <v>37</v>
      </c>
      <c r="FP327" s="12" t="s">
        <v>37</v>
      </c>
      <c r="FQ327" s="12" t="s">
        <v>37</v>
      </c>
      <c r="FR327" s="12" t="s">
        <v>37</v>
      </c>
      <c r="FS327" s="12" t="s">
        <v>37</v>
      </c>
      <c r="FT327" s="12" t="s">
        <v>37</v>
      </c>
      <c r="FU327" s="12" t="s">
        <v>37</v>
      </c>
      <c r="FW327" s="12" t="s">
        <v>37</v>
      </c>
      <c r="FX327" s="12" t="s">
        <v>37</v>
      </c>
      <c r="FY327" s="12" t="s">
        <v>37</v>
      </c>
      <c r="FZ327" s="12" t="s">
        <v>37</v>
      </c>
      <c r="GA327" s="12" t="s">
        <v>37</v>
      </c>
      <c r="GB327" s="12" t="s">
        <v>37</v>
      </c>
      <c r="GO327" s="12" t="s">
        <v>660</v>
      </c>
      <c r="GP327" s="12" t="s">
        <v>340</v>
      </c>
      <c r="GQ327" s="12">
        <v>12.6</v>
      </c>
      <c r="GR327" s="12">
        <v>2.7</v>
      </c>
      <c r="GS327" s="13">
        <v>12</v>
      </c>
      <c r="GT327" s="19">
        <f t="shared" si="1264"/>
        <v>0.2142857142857143</v>
      </c>
      <c r="GU327" s="12">
        <v>8.4</v>
      </c>
      <c r="GV327" s="12">
        <v>2.9</v>
      </c>
      <c r="GW327" s="13">
        <v>15</v>
      </c>
      <c r="GX327" s="19">
        <f t="shared" si="1265"/>
        <v>0.34523809523809523</v>
      </c>
      <c r="GY327" s="19">
        <f t="shared" si="1266"/>
        <v>-0.40546510810816427</v>
      </c>
      <c r="GZ327" s="19">
        <f t="shared" si="1267"/>
        <v>1.1772486772486773E-2</v>
      </c>
      <c r="HA327" s="17" t="s">
        <v>63</v>
      </c>
      <c r="HB327" s="34" t="s">
        <v>345</v>
      </c>
      <c r="HC327" s="12">
        <v>6.7000000000000004E-2</v>
      </c>
      <c r="HD327" s="50">
        <f t="shared" si="1268"/>
        <v>1.1551586790814895E-2</v>
      </c>
      <c r="HE327" s="13">
        <v>3</v>
      </c>
      <c r="HG327" s="12">
        <v>0.11</v>
      </c>
      <c r="HH327" s="50">
        <f t="shared" si="1269"/>
        <v>1.2303997196381559E-2</v>
      </c>
      <c r="HI327" s="13">
        <v>3</v>
      </c>
      <c r="HK327" s="19">
        <f t="shared" si="1270"/>
        <v>0.49578774640145007</v>
      </c>
      <c r="HL327" s="19">
        <f t="shared" si="1271"/>
        <v>1.4079080937294359E-2</v>
      </c>
      <c r="IK327" s="12" t="s">
        <v>37</v>
      </c>
      <c r="IL327" s="12" t="s">
        <v>37</v>
      </c>
      <c r="IM327" s="12" t="s">
        <v>37</v>
      </c>
      <c r="IO327" s="12" t="s">
        <v>37</v>
      </c>
      <c r="IP327" s="12" t="s">
        <v>37</v>
      </c>
      <c r="IQ327" s="12" t="s">
        <v>37</v>
      </c>
      <c r="IV327" s="32" t="s">
        <v>345</v>
      </c>
      <c r="IW327" s="12">
        <v>5.6</v>
      </c>
      <c r="IX327" s="50">
        <f t="shared" si="1272"/>
        <v>0.20503135871692957</v>
      </c>
      <c r="IY327" s="13">
        <v>3</v>
      </c>
      <c r="JA327" s="12">
        <v>4.5</v>
      </c>
      <c r="JB327" s="50">
        <f t="shared" si="1273"/>
        <v>0.12603963953566241</v>
      </c>
      <c r="JC327" s="13">
        <v>3</v>
      </c>
      <c r="JE327" s="19">
        <f t="shared" si="1274"/>
        <v>-0.21868920096482944</v>
      </c>
      <c r="JF327" s="19">
        <f t="shared" si="1275"/>
        <v>7.0832876411330761E-4</v>
      </c>
      <c r="JH327" s="12" t="s">
        <v>37</v>
      </c>
      <c r="JI327" s="12" t="s">
        <v>37</v>
      </c>
      <c r="JJ327" s="13" t="s">
        <v>37</v>
      </c>
      <c r="JL327" s="12" t="s">
        <v>37</v>
      </c>
      <c r="JM327" s="12" t="s">
        <v>37</v>
      </c>
      <c r="JN327" s="12" t="s">
        <v>37</v>
      </c>
      <c r="JS327" s="12" t="s">
        <v>37</v>
      </c>
      <c r="JT327" s="12" t="s">
        <v>37</v>
      </c>
      <c r="JU327" s="13" t="s">
        <v>37</v>
      </c>
      <c r="JW327" s="12" t="s">
        <v>37</v>
      </c>
      <c r="JX327" s="12" t="s">
        <v>37</v>
      </c>
      <c r="JY327" s="12" t="s">
        <v>37</v>
      </c>
      <c r="KE327" s="12" t="s">
        <v>37</v>
      </c>
      <c r="KF327" s="12" t="s">
        <v>37</v>
      </c>
      <c r="KG327" s="13" t="s">
        <v>37</v>
      </c>
      <c r="KH327" s="12" t="s">
        <v>37</v>
      </c>
      <c r="KI327" s="12" t="s">
        <v>37</v>
      </c>
      <c r="KJ327" s="12" t="s">
        <v>37</v>
      </c>
      <c r="KK327" s="12" t="s">
        <v>42</v>
      </c>
      <c r="KL327" s="32" t="s">
        <v>345</v>
      </c>
      <c r="KM327" s="12">
        <v>19</v>
      </c>
      <c r="KN327" s="50">
        <f t="shared" si="1276"/>
        <v>2.2665677863123301</v>
      </c>
      <c r="KO327" s="11">
        <v>3</v>
      </c>
      <c r="KQ327" s="12">
        <v>21</v>
      </c>
      <c r="KR327" s="50">
        <f t="shared" si="1277"/>
        <v>2.2143120335413715</v>
      </c>
      <c r="KS327" s="11">
        <v>3</v>
      </c>
      <c r="KU327" s="19">
        <f t="shared" si="1278"/>
        <v>0.10008345855698263</v>
      </c>
      <c r="KV327" s="19">
        <f t="shared" si="1279"/>
        <v>8.4497155628593234E-3</v>
      </c>
      <c r="KX327" s="12" t="s">
        <v>37</v>
      </c>
      <c r="KY327" s="12" t="s">
        <v>37</v>
      </c>
      <c r="KZ327" s="12" t="s">
        <v>37</v>
      </c>
      <c r="LB327" s="12" t="s">
        <v>37</v>
      </c>
      <c r="LC327" s="12" t="s">
        <v>37</v>
      </c>
      <c r="LD327" s="12" t="s">
        <v>37</v>
      </c>
      <c r="LI327" s="12" t="s">
        <v>37</v>
      </c>
      <c r="LJ327" s="12" t="s">
        <v>37</v>
      </c>
      <c r="LK327" s="12" t="s">
        <v>37</v>
      </c>
      <c r="LM327" s="12" t="s">
        <v>37</v>
      </c>
      <c r="LN327" s="12" t="s">
        <v>37</v>
      </c>
      <c r="LO327" s="12" t="s">
        <v>37</v>
      </c>
      <c r="LU327" s="12" t="s">
        <v>37</v>
      </c>
      <c r="LV327" s="12" t="s">
        <v>37</v>
      </c>
      <c r="LW327" s="12" t="s">
        <v>37</v>
      </c>
      <c r="LY327" s="12" t="s">
        <v>37</v>
      </c>
      <c r="LZ327" s="12" t="s">
        <v>37</v>
      </c>
      <c r="MA327" s="12" t="s">
        <v>37</v>
      </c>
      <c r="MF327" s="12" t="s">
        <v>37</v>
      </c>
      <c r="MG327" s="12" t="s">
        <v>37</v>
      </c>
      <c r="MH327" s="12" t="s">
        <v>37</v>
      </c>
      <c r="MJ327" s="12" t="s">
        <v>37</v>
      </c>
      <c r="MK327" s="12" t="s">
        <v>37</v>
      </c>
      <c r="ML327" s="12" t="s">
        <v>37</v>
      </c>
      <c r="MQ327" s="12" t="s">
        <v>37</v>
      </c>
      <c r="MR327" s="12" t="s">
        <v>37</v>
      </c>
      <c r="MS327" s="12" t="s">
        <v>37</v>
      </c>
      <c r="MU327" s="12" t="s">
        <v>37</v>
      </c>
      <c r="MV327" s="12" t="s">
        <v>37</v>
      </c>
      <c r="MW327" s="12" t="s">
        <v>37</v>
      </c>
      <c r="NC327" s="12" t="s">
        <v>37</v>
      </c>
      <c r="ND327" s="12" t="s">
        <v>37</v>
      </c>
      <c r="NE327" s="12" t="s">
        <v>37</v>
      </c>
      <c r="NG327" s="12" t="s">
        <v>37</v>
      </c>
      <c r="NH327" s="12" t="s">
        <v>37</v>
      </c>
      <c r="NI327" s="12" t="s">
        <v>37</v>
      </c>
      <c r="NO327" s="12" t="s">
        <v>37</v>
      </c>
      <c r="NP327" s="12" t="s">
        <v>37</v>
      </c>
      <c r="NQ327" s="12" t="s">
        <v>37</v>
      </c>
      <c r="NS327" s="12" t="s">
        <v>37</v>
      </c>
      <c r="NT327" s="12" t="s">
        <v>37</v>
      </c>
      <c r="NU327" s="12" t="s">
        <v>37</v>
      </c>
      <c r="OA327" s="12" t="s">
        <v>37</v>
      </c>
      <c r="OB327" s="12" t="s">
        <v>37</v>
      </c>
      <c r="OC327" s="12" t="s">
        <v>37</v>
      </c>
      <c r="OD327" s="12"/>
      <c r="OE327" s="12" t="s">
        <v>37</v>
      </c>
      <c r="OF327" s="12" t="s">
        <v>37</v>
      </c>
      <c r="OG327" s="12" t="s">
        <v>37</v>
      </c>
      <c r="OH327" s="12"/>
      <c r="OI327" s="12"/>
      <c r="OJ327" s="12"/>
      <c r="OM327" s="12" t="s">
        <v>37</v>
      </c>
      <c r="ON327" s="12" t="s">
        <v>37</v>
      </c>
      <c r="OO327" s="12" t="s">
        <v>37</v>
      </c>
      <c r="OP327" s="12" t="s">
        <v>37</v>
      </c>
      <c r="OQ327" s="12" t="s">
        <v>37</v>
      </c>
      <c r="OR327" s="12" t="s">
        <v>37</v>
      </c>
      <c r="OS327" s="12"/>
      <c r="OT327" s="12"/>
      <c r="OW327" s="12" t="s">
        <v>37</v>
      </c>
      <c r="OX327" s="12" t="s">
        <v>37</v>
      </c>
      <c r="OY327" s="13" t="s">
        <v>37</v>
      </c>
      <c r="OZ327" s="12" t="s">
        <v>37</v>
      </c>
      <c r="PA327" s="12" t="s">
        <v>37</v>
      </c>
      <c r="PB327" s="13" t="s">
        <v>37</v>
      </c>
      <c r="PG327" s="12" t="s">
        <v>37</v>
      </c>
      <c r="PH327" s="12" t="s">
        <v>37</v>
      </c>
      <c r="PI327" s="12" t="s">
        <v>37</v>
      </c>
      <c r="PJ327" s="12" t="s">
        <v>37</v>
      </c>
      <c r="PK327" s="12" t="s">
        <v>37</v>
      </c>
      <c r="PL327" s="12" t="s">
        <v>37</v>
      </c>
      <c r="PM327" s="12"/>
      <c r="PN327" s="12"/>
      <c r="PQ327" s="12" t="s">
        <v>37</v>
      </c>
      <c r="PR327" s="12" t="s">
        <v>37</v>
      </c>
      <c r="PS327" s="12" t="s">
        <v>37</v>
      </c>
      <c r="PT327" s="12" t="s">
        <v>37</v>
      </c>
      <c r="PU327" s="12" t="s">
        <v>37</v>
      </c>
      <c r="PV327" s="12" t="s">
        <v>37</v>
      </c>
      <c r="PW327" s="12"/>
      <c r="PX327" s="12"/>
      <c r="PZ327" s="12" t="s">
        <v>37</v>
      </c>
      <c r="QA327" s="12" t="s">
        <v>37</v>
      </c>
      <c r="QB327" s="12" t="s">
        <v>37</v>
      </c>
      <c r="QD327" s="12" t="s">
        <v>37</v>
      </c>
      <c r="QE327" s="12" t="s">
        <v>37</v>
      </c>
      <c r="QF327" s="12" t="s">
        <v>37</v>
      </c>
      <c r="QK327" s="12" t="s">
        <v>37</v>
      </c>
      <c r="QL327" s="12" t="s">
        <v>37</v>
      </c>
      <c r="QM327" s="12" t="s">
        <v>37</v>
      </c>
      <c r="QN327" s="12" t="s">
        <v>37</v>
      </c>
      <c r="QO327" s="12" t="s">
        <v>37</v>
      </c>
      <c r="QP327" s="12" t="s">
        <v>37</v>
      </c>
      <c r="QQ327" s="12"/>
      <c r="QR327" s="12"/>
      <c r="QU327" s="12" t="s">
        <v>37</v>
      </c>
      <c r="QV327" s="12" t="s">
        <v>37</v>
      </c>
      <c r="QW327" s="12" t="s">
        <v>37</v>
      </c>
      <c r="QX327" s="12" t="s">
        <v>37</v>
      </c>
      <c r="QY327" s="12" t="s">
        <v>37</v>
      </c>
      <c r="QZ327" s="12" t="s">
        <v>37</v>
      </c>
      <c r="RC327" s="12" t="s">
        <v>37</v>
      </c>
      <c r="RD327" s="12" t="s">
        <v>37</v>
      </c>
      <c r="RE327" s="13" t="s">
        <v>37</v>
      </c>
      <c r="RF327" s="12" t="s">
        <v>37</v>
      </c>
      <c r="RG327" s="12" t="s">
        <v>37</v>
      </c>
      <c r="RH327" s="13" t="s">
        <v>37</v>
      </c>
      <c r="RK327" s="12" t="s">
        <v>37</v>
      </c>
      <c r="RL327" s="12" t="s">
        <v>37</v>
      </c>
      <c r="RM327" s="11" t="s">
        <v>37</v>
      </c>
      <c r="RN327" s="12" t="s">
        <v>37</v>
      </c>
      <c r="RO327" s="12" t="s">
        <v>37</v>
      </c>
      <c r="RP327" s="11" t="s">
        <v>37</v>
      </c>
      <c r="RS327" s="12" t="s">
        <v>37</v>
      </c>
      <c r="RT327" s="12" t="s">
        <v>37</v>
      </c>
      <c r="RU327" s="12" t="s">
        <v>37</v>
      </c>
      <c r="RV327" s="12" t="s">
        <v>37</v>
      </c>
      <c r="RW327" s="12" t="s">
        <v>37</v>
      </c>
      <c r="RX327" s="12" t="s">
        <v>37</v>
      </c>
      <c r="SA327" s="12" t="s">
        <v>37</v>
      </c>
      <c r="SB327" s="12" t="s">
        <v>37</v>
      </c>
      <c r="SC327" s="12" t="s">
        <v>37</v>
      </c>
      <c r="SD327" s="12" t="s">
        <v>37</v>
      </c>
      <c r="SE327" s="12" t="s">
        <v>37</v>
      </c>
      <c r="SF327" s="12" t="s">
        <v>37</v>
      </c>
      <c r="SG327" s="12" t="s">
        <v>42</v>
      </c>
      <c r="SH327" s="12" t="s">
        <v>345</v>
      </c>
      <c r="SI327" s="12">
        <v>0.82299999999999995</v>
      </c>
      <c r="SJ327" s="50">
        <f t="shared" si="1284"/>
        <v>0.25530336068384579</v>
      </c>
      <c r="SK327" s="13">
        <v>3</v>
      </c>
      <c r="SM327" s="12">
        <v>1.204</v>
      </c>
      <c r="SN327" s="50">
        <f t="shared" si="1285"/>
        <v>0.32741159829565009</v>
      </c>
      <c r="SO327" s="13">
        <v>3</v>
      </c>
      <c r="SQ327" s="19">
        <f t="shared" si="1286"/>
        <v>0.38044842519169658</v>
      </c>
      <c r="SR327" s="19">
        <f t="shared" si="1287"/>
        <v>5.6726709270900989E-2</v>
      </c>
      <c r="SU327" s="12" t="s">
        <v>37</v>
      </c>
      <c r="SV327" s="12" t="s">
        <v>37</v>
      </c>
      <c r="SW327" s="12" t="s">
        <v>37</v>
      </c>
      <c r="SX327" s="12" t="s">
        <v>37</v>
      </c>
      <c r="SY327" s="12" t="s">
        <v>37</v>
      </c>
      <c r="SZ327" s="12" t="s">
        <v>37</v>
      </c>
      <c r="TA327" s="12"/>
      <c r="TB327" s="12"/>
      <c r="TE327" s="12" t="s">
        <v>37</v>
      </c>
      <c r="TF327" s="12" t="s">
        <v>37</v>
      </c>
      <c r="TG327" s="12" t="s">
        <v>37</v>
      </c>
      <c r="TH327" s="12" t="s">
        <v>37</v>
      </c>
      <c r="TI327" s="12" t="s">
        <v>37</v>
      </c>
      <c r="TJ327" s="12" t="s">
        <v>37</v>
      </c>
      <c r="TK327" s="12"/>
      <c r="TL327" s="12"/>
      <c r="TO327" s="12" t="s">
        <v>37</v>
      </c>
      <c r="TP327" s="12" t="s">
        <v>37</v>
      </c>
      <c r="TQ327" s="12" t="s">
        <v>37</v>
      </c>
      <c r="TR327" s="12" t="s">
        <v>37</v>
      </c>
      <c r="TS327" s="12" t="s">
        <v>37</v>
      </c>
      <c r="TT327" s="12" t="s">
        <v>37</v>
      </c>
      <c r="TU327" s="12"/>
      <c r="TV327" s="12"/>
      <c r="TY327" s="12" t="s">
        <v>37</v>
      </c>
      <c r="TZ327" s="12" t="s">
        <v>37</v>
      </c>
      <c r="UA327" s="12" t="s">
        <v>37</v>
      </c>
      <c r="UB327" s="12" t="s">
        <v>37</v>
      </c>
      <c r="UC327" s="12" t="s">
        <v>37</v>
      </c>
      <c r="UD327" s="12" t="s">
        <v>37</v>
      </c>
      <c r="UE327" s="12"/>
      <c r="UF327" s="12"/>
      <c r="UI327" s="12" t="s">
        <v>37</v>
      </c>
      <c r="UJ327" s="12" t="s">
        <v>37</v>
      </c>
      <c r="UK327" s="12" t="s">
        <v>37</v>
      </c>
      <c r="UL327" s="12" t="s">
        <v>37</v>
      </c>
      <c r="UM327" s="12" t="s">
        <v>37</v>
      </c>
      <c r="UN327" s="12" t="s">
        <v>37</v>
      </c>
      <c r="UO327" s="12"/>
      <c r="UP327" s="12"/>
      <c r="UR327" s="12" t="s">
        <v>37</v>
      </c>
      <c r="US327" s="12" t="s">
        <v>37</v>
      </c>
      <c r="UT327" s="12" t="s">
        <v>37</v>
      </c>
      <c r="UU327" s="12" t="s">
        <v>37</v>
      </c>
      <c r="UV327" s="12" t="s">
        <v>37</v>
      </c>
      <c r="UW327" s="12" t="s">
        <v>37</v>
      </c>
      <c r="UX327" s="12"/>
      <c r="UY327" s="12"/>
      <c r="VB327" s="12" t="s">
        <v>37</v>
      </c>
      <c r="VC327" s="12" t="s">
        <v>37</v>
      </c>
      <c r="VD327" s="12" t="s">
        <v>37</v>
      </c>
      <c r="VE327" s="12" t="s">
        <v>37</v>
      </c>
      <c r="VF327" s="12" t="s">
        <v>37</v>
      </c>
      <c r="VG327" s="12" t="s">
        <v>37</v>
      </c>
      <c r="VI327" s="12" t="s">
        <v>37</v>
      </c>
      <c r="VJ327" s="12" t="s">
        <v>37</v>
      </c>
      <c r="VK327" s="12" t="s">
        <v>37</v>
      </c>
      <c r="VL327" s="12" t="s">
        <v>37</v>
      </c>
      <c r="VM327" s="12" t="s">
        <v>37</v>
      </c>
      <c r="VN327" s="12" t="s">
        <v>37</v>
      </c>
      <c r="VQ327" s="12" t="s">
        <v>37</v>
      </c>
      <c r="VR327" s="12" t="s">
        <v>37</v>
      </c>
      <c r="VS327" s="12" t="s">
        <v>37</v>
      </c>
      <c r="VT327" s="12" t="s">
        <v>37</v>
      </c>
      <c r="VU327" s="12" t="s">
        <v>37</v>
      </c>
      <c r="VV327" s="12" t="s">
        <v>37</v>
      </c>
      <c r="VW327" s="12"/>
      <c r="VX327" s="12"/>
      <c r="WA327" s="12" t="s">
        <v>37</v>
      </c>
      <c r="WB327" s="12" t="s">
        <v>37</v>
      </c>
      <c r="WC327" s="12" t="s">
        <v>37</v>
      </c>
      <c r="WD327" s="12" t="s">
        <v>37</v>
      </c>
      <c r="WE327" s="12" t="s">
        <v>37</v>
      </c>
      <c r="WF327" s="12" t="s">
        <v>37</v>
      </c>
    </row>
    <row r="328" spans="1:604" ht="18" customHeight="1" x14ac:dyDescent="0.3">
      <c r="A328" s="11">
        <v>71</v>
      </c>
      <c r="B328" s="16" t="s">
        <v>406</v>
      </c>
      <c r="C328" s="12" t="s">
        <v>26</v>
      </c>
      <c r="D328" s="12" t="s">
        <v>54</v>
      </c>
      <c r="E328" s="40">
        <v>1.9</v>
      </c>
      <c r="F328" s="14">
        <v>0</v>
      </c>
      <c r="G328" s="14">
        <v>0</v>
      </c>
      <c r="H328" s="12" t="s">
        <v>123</v>
      </c>
      <c r="I328" s="29">
        <v>62.767000000000003</v>
      </c>
      <c r="J328" s="29">
        <v>29.832999999999998</v>
      </c>
      <c r="K328" s="12" t="s">
        <v>776</v>
      </c>
      <c r="L328" s="12" t="s">
        <v>780</v>
      </c>
      <c r="M328" s="13">
        <v>145</v>
      </c>
      <c r="N328" s="14">
        <v>1.9</v>
      </c>
      <c r="O328" s="14">
        <v>650</v>
      </c>
      <c r="P328" s="14" t="s">
        <v>84</v>
      </c>
      <c r="Q328" s="75">
        <v>50</v>
      </c>
      <c r="R328" s="11" t="s">
        <v>1000</v>
      </c>
      <c r="S328" s="12" t="s">
        <v>85</v>
      </c>
      <c r="T328" s="12" t="s">
        <v>138</v>
      </c>
      <c r="U328" s="12" t="s">
        <v>158</v>
      </c>
      <c r="V328" s="12" t="s">
        <v>275</v>
      </c>
      <c r="W328" s="23" t="s">
        <v>411</v>
      </c>
      <c r="X328" s="12" t="s">
        <v>280</v>
      </c>
      <c r="Y328" s="12" t="s">
        <v>37</v>
      </c>
      <c r="Z328" s="12" t="s">
        <v>37</v>
      </c>
      <c r="AA328" s="32" t="s">
        <v>345</v>
      </c>
      <c r="AB328" s="12">
        <v>4.4000000000000004</v>
      </c>
      <c r="AE328" s="12" t="s">
        <v>37</v>
      </c>
      <c r="AF328" s="12" t="s">
        <v>42</v>
      </c>
      <c r="AG328" s="32" t="s">
        <v>345</v>
      </c>
      <c r="AH328" s="12">
        <v>14</v>
      </c>
      <c r="AK328" s="12" t="s">
        <v>37</v>
      </c>
      <c r="AL328" s="32">
        <v>1991</v>
      </c>
      <c r="AM328" s="12" t="s">
        <v>344</v>
      </c>
      <c r="AO328" s="12" t="s">
        <v>37</v>
      </c>
      <c r="AP328" s="12" t="s">
        <v>108</v>
      </c>
      <c r="AQ328" s="12" t="s">
        <v>975</v>
      </c>
      <c r="AT328" s="12" t="s">
        <v>326</v>
      </c>
      <c r="AU328" s="12" t="s">
        <v>326</v>
      </c>
      <c r="AV328" s="13" t="s">
        <v>326</v>
      </c>
      <c r="AX328" s="12" t="s">
        <v>326</v>
      </c>
      <c r="AY328" s="12" t="s">
        <v>326</v>
      </c>
      <c r="AZ328" s="13" t="s">
        <v>326</v>
      </c>
      <c r="BE328" s="12" t="s">
        <v>326</v>
      </c>
      <c r="BF328" s="12" t="s">
        <v>326</v>
      </c>
      <c r="BG328" s="12" t="s">
        <v>326</v>
      </c>
      <c r="BI328" s="12" t="s">
        <v>326</v>
      </c>
      <c r="BJ328" s="12" t="s">
        <v>326</v>
      </c>
      <c r="BK328" s="12" t="s">
        <v>326</v>
      </c>
      <c r="BP328" s="12" t="s">
        <v>37</v>
      </c>
      <c r="BQ328" s="12" t="s">
        <v>37</v>
      </c>
      <c r="BR328" s="13" t="s">
        <v>37</v>
      </c>
      <c r="BT328" s="12" t="s">
        <v>37</v>
      </c>
      <c r="BU328" s="12" t="s">
        <v>37</v>
      </c>
      <c r="BV328" s="12" t="s">
        <v>37</v>
      </c>
      <c r="CA328" s="12" t="s">
        <v>37</v>
      </c>
      <c r="CB328" s="12" t="s">
        <v>37</v>
      </c>
      <c r="CC328" s="13" t="s">
        <v>37</v>
      </c>
      <c r="CE328" s="12" t="s">
        <v>37</v>
      </c>
      <c r="CF328" s="12" t="s">
        <v>37</v>
      </c>
      <c r="CG328" s="12" t="s">
        <v>37</v>
      </c>
      <c r="CN328" s="12" t="s">
        <v>37</v>
      </c>
      <c r="CO328" s="12" t="s">
        <v>37</v>
      </c>
      <c r="CP328" s="13" t="s">
        <v>37</v>
      </c>
      <c r="CR328" s="12" t="s">
        <v>37</v>
      </c>
      <c r="CS328" s="12" t="s">
        <v>37</v>
      </c>
      <c r="CT328" s="13" t="s">
        <v>37</v>
      </c>
      <c r="CX328" s="72"/>
      <c r="CY328" s="72"/>
      <c r="DA328" s="12" t="s">
        <v>37</v>
      </c>
      <c r="DB328" s="12" t="s">
        <v>37</v>
      </c>
      <c r="DC328" s="13" t="s">
        <v>37</v>
      </c>
      <c r="DE328" s="12" t="s">
        <v>37</v>
      </c>
      <c r="DF328" s="12" t="s">
        <v>37</v>
      </c>
      <c r="DG328" s="12" t="s">
        <v>37</v>
      </c>
      <c r="DM328" s="11" t="s">
        <v>47</v>
      </c>
      <c r="DN328" s="19">
        <v>180.3</v>
      </c>
      <c r="DO328" s="50">
        <f t="shared" si="1262"/>
        <v>201.0127358355345</v>
      </c>
      <c r="DP328" s="13">
        <v>18</v>
      </c>
      <c r="DR328" s="19">
        <v>0.2</v>
      </c>
      <c r="DS328" s="50">
        <f t="shared" si="1263"/>
        <v>0.747443258926202</v>
      </c>
      <c r="DT328" s="13">
        <v>18</v>
      </c>
      <c r="DV328" s="19">
        <f t="shared" si="1211"/>
        <v>-180.10000000000002</v>
      </c>
      <c r="DW328" s="12">
        <f t="shared" si="1212"/>
        <v>142.13845123595459</v>
      </c>
      <c r="DX328" s="72">
        <f t="shared" si="1251"/>
        <v>2244.8154799728713</v>
      </c>
      <c r="DY328" s="72">
        <f t="shared" si="1252"/>
        <v>2244.8154799728713</v>
      </c>
      <c r="EA328" s="19" t="s">
        <v>37</v>
      </c>
      <c r="EB328" s="19" t="s">
        <v>37</v>
      </c>
      <c r="EC328" s="72" t="s">
        <v>37</v>
      </c>
      <c r="EE328" s="19" t="s">
        <v>37</v>
      </c>
      <c r="EF328" s="19" t="s">
        <v>37</v>
      </c>
      <c r="EG328" s="12" t="s">
        <v>37</v>
      </c>
      <c r="EM328" s="12" t="s">
        <v>39</v>
      </c>
      <c r="EN328" s="12">
        <v>-8.3000000000000007</v>
      </c>
      <c r="EO328" s="12">
        <v>7.5</v>
      </c>
      <c r="EP328" s="13">
        <v>18</v>
      </c>
      <c r="EQ328" s="19">
        <f t="shared" si="1239"/>
        <v>0.90361445783132521</v>
      </c>
      <c r="ER328" s="12">
        <v>-32</v>
      </c>
      <c r="ES328" s="12">
        <v>17.2</v>
      </c>
      <c r="ET328" s="13">
        <v>18</v>
      </c>
      <c r="EU328" s="19">
        <f t="shared" si="1240"/>
        <v>0.53749999999999998</v>
      </c>
      <c r="EV328" s="19">
        <f t="shared" si="1233"/>
        <v>-23.7</v>
      </c>
      <c r="EW328" s="12">
        <f t="shared" si="1234"/>
        <v>13.268195054339531</v>
      </c>
      <c r="EX328" s="19">
        <f t="shared" si="1235"/>
        <v>19.560555555555556</v>
      </c>
      <c r="EY328" s="19">
        <f t="shared" si="1236"/>
        <v>19.560555555555553</v>
      </c>
      <c r="FB328" s="12" t="s">
        <v>37</v>
      </c>
      <c r="FC328" s="12" t="s">
        <v>37</v>
      </c>
      <c r="FD328" s="12" t="s">
        <v>37</v>
      </c>
      <c r="FE328" s="12" t="s">
        <v>37</v>
      </c>
      <c r="FF328" s="20" t="s">
        <v>37</v>
      </c>
      <c r="FG328" s="12" t="s">
        <v>37</v>
      </c>
      <c r="FI328" s="12" t="s">
        <v>37</v>
      </c>
      <c r="FJ328" s="12" t="s">
        <v>37</v>
      </c>
      <c r="FK328" s="12" t="s">
        <v>37</v>
      </c>
      <c r="FL328" s="12" t="s">
        <v>37</v>
      </c>
      <c r="FM328" s="12" t="s">
        <v>37</v>
      </c>
      <c r="FN328" s="12" t="s">
        <v>37</v>
      </c>
      <c r="FP328" s="12" t="s">
        <v>37</v>
      </c>
      <c r="FQ328" s="12" t="s">
        <v>37</v>
      </c>
      <c r="FR328" s="12" t="s">
        <v>37</v>
      </c>
      <c r="FS328" s="12" t="s">
        <v>37</v>
      </c>
      <c r="FT328" s="12" t="s">
        <v>37</v>
      </c>
      <c r="FU328" s="12" t="s">
        <v>37</v>
      </c>
      <c r="FW328" s="12" t="s">
        <v>37</v>
      </c>
      <c r="FX328" s="12" t="s">
        <v>37</v>
      </c>
      <c r="FY328" s="12" t="s">
        <v>37</v>
      </c>
      <c r="FZ328" s="12" t="s">
        <v>37</v>
      </c>
      <c r="GA328" s="12" t="s">
        <v>37</v>
      </c>
      <c r="GB328" s="12" t="s">
        <v>37</v>
      </c>
      <c r="GO328" s="12" t="s">
        <v>660</v>
      </c>
      <c r="GP328" s="12" t="s">
        <v>340</v>
      </c>
      <c r="GQ328" s="12">
        <v>9.6999999999999993</v>
      </c>
      <c r="GR328" s="12">
        <v>4.5999999999999996</v>
      </c>
      <c r="GS328" s="13">
        <v>18</v>
      </c>
      <c r="GT328" s="19">
        <f t="shared" si="1264"/>
        <v>0.47422680412371132</v>
      </c>
      <c r="GU328" s="12">
        <v>9.1</v>
      </c>
      <c r="GV328" s="12">
        <v>3.9</v>
      </c>
      <c r="GW328" s="13">
        <v>18</v>
      </c>
      <c r="GX328" s="19">
        <f t="shared" si="1265"/>
        <v>0.4285714285714286</v>
      </c>
      <c r="GY328" s="19">
        <f t="shared" si="1266"/>
        <v>-6.3851471986532779E-2</v>
      </c>
      <c r="GZ328" s="19">
        <f t="shared" si="1267"/>
        <v>2.2698029507619108E-2</v>
      </c>
      <c r="HA328" s="17" t="s">
        <v>63</v>
      </c>
      <c r="HB328" s="34" t="s">
        <v>345</v>
      </c>
      <c r="HC328" s="12">
        <v>6.4000000000000001E-2</v>
      </c>
      <c r="HD328" s="50">
        <f t="shared" si="1268"/>
        <v>1.1034351561375421E-2</v>
      </c>
      <c r="HE328" s="13">
        <v>3</v>
      </c>
      <c r="HG328" s="12">
        <v>0.1</v>
      </c>
      <c r="HH328" s="50">
        <f t="shared" si="1269"/>
        <v>1.1185451996710508E-2</v>
      </c>
      <c r="HI328" s="13">
        <v>3</v>
      </c>
      <c r="HK328" s="19">
        <f t="shared" si="1270"/>
        <v>0.44628710262841953</v>
      </c>
      <c r="HL328" s="19">
        <f t="shared" si="1271"/>
        <v>1.4079080937294359E-2</v>
      </c>
      <c r="IK328" s="12" t="s">
        <v>37</v>
      </c>
      <c r="IL328" s="12" t="s">
        <v>37</v>
      </c>
      <c r="IM328" s="12" t="s">
        <v>37</v>
      </c>
      <c r="IO328" s="12" t="s">
        <v>37</v>
      </c>
      <c r="IP328" s="12" t="s">
        <v>37</v>
      </c>
      <c r="IQ328" s="12" t="s">
        <v>37</v>
      </c>
      <c r="IV328" s="32" t="s">
        <v>345</v>
      </c>
      <c r="IW328" s="12">
        <v>4.4000000000000004</v>
      </c>
      <c r="IX328" s="50">
        <f t="shared" si="1272"/>
        <v>0.1610960675633018</v>
      </c>
      <c r="IY328" s="13">
        <v>3</v>
      </c>
      <c r="JA328" s="12">
        <v>4</v>
      </c>
      <c r="JB328" s="50">
        <f t="shared" si="1273"/>
        <v>0.11203523514281104</v>
      </c>
      <c r="JC328" s="13">
        <v>3</v>
      </c>
      <c r="JE328" s="19">
        <f t="shared" si="1274"/>
        <v>-9.5310179804324893E-2</v>
      </c>
      <c r="JF328" s="19">
        <f t="shared" si="1275"/>
        <v>7.0832876411330739E-4</v>
      </c>
      <c r="JH328" s="12" t="s">
        <v>37</v>
      </c>
      <c r="JI328" s="12" t="s">
        <v>37</v>
      </c>
      <c r="JJ328" s="13" t="s">
        <v>37</v>
      </c>
      <c r="JL328" s="12" t="s">
        <v>37</v>
      </c>
      <c r="JM328" s="12" t="s">
        <v>37</v>
      </c>
      <c r="JN328" s="12" t="s">
        <v>37</v>
      </c>
      <c r="JS328" s="12" t="s">
        <v>37</v>
      </c>
      <c r="JT328" s="12" t="s">
        <v>37</v>
      </c>
      <c r="JU328" s="13" t="s">
        <v>37</v>
      </c>
      <c r="JW328" s="12" t="s">
        <v>37</v>
      </c>
      <c r="JX328" s="12" t="s">
        <v>37</v>
      </c>
      <c r="JY328" s="12" t="s">
        <v>37</v>
      </c>
      <c r="KE328" s="12" t="s">
        <v>37</v>
      </c>
      <c r="KF328" s="12" t="s">
        <v>37</v>
      </c>
      <c r="KG328" s="13" t="s">
        <v>37</v>
      </c>
      <c r="KH328" s="12" t="s">
        <v>37</v>
      </c>
      <c r="KI328" s="12" t="s">
        <v>37</v>
      </c>
      <c r="KJ328" s="12" t="s">
        <v>37</v>
      </c>
      <c r="KK328" s="12" t="s">
        <v>42</v>
      </c>
      <c r="KL328" s="32" t="s">
        <v>345</v>
      </c>
      <c r="KM328" s="12">
        <v>14</v>
      </c>
      <c r="KN328" s="50">
        <f t="shared" si="1276"/>
        <v>1.6701025793880326</v>
      </c>
      <c r="KO328" s="11">
        <v>3</v>
      </c>
      <c r="KQ328" s="12">
        <v>23</v>
      </c>
      <c r="KR328" s="50">
        <f t="shared" si="1277"/>
        <v>2.4251988938786453</v>
      </c>
      <c r="KS328" s="11">
        <v>3</v>
      </c>
      <c r="KU328" s="19">
        <f t="shared" si="1278"/>
        <v>0.49643688631389105</v>
      </c>
      <c r="KV328" s="19">
        <f t="shared" si="1279"/>
        <v>8.4497155628593234E-3</v>
      </c>
      <c r="KX328" s="12" t="s">
        <v>37</v>
      </c>
      <c r="KY328" s="12" t="s">
        <v>37</v>
      </c>
      <c r="KZ328" s="12" t="s">
        <v>37</v>
      </c>
      <c r="LB328" s="12" t="s">
        <v>37</v>
      </c>
      <c r="LC328" s="12" t="s">
        <v>37</v>
      </c>
      <c r="LD328" s="12" t="s">
        <v>37</v>
      </c>
      <c r="LI328" s="12" t="s">
        <v>37</v>
      </c>
      <c r="LJ328" s="12" t="s">
        <v>37</v>
      </c>
      <c r="LK328" s="12" t="s">
        <v>37</v>
      </c>
      <c r="LM328" s="12" t="s">
        <v>37</v>
      </c>
      <c r="LN328" s="12" t="s">
        <v>37</v>
      </c>
      <c r="LO328" s="12" t="s">
        <v>37</v>
      </c>
      <c r="LU328" s="12" t="s">
        <v>37</v>
      </c>
      <c r="LV328" s="12" t="s">
        <v>37</v>
      </c>
      <c r="LW328" s="12" t="s">
        <v>37</v>
      </c>
      <c r="LY328" s="12" t="s">
        <v>37</v>
      </c>
      <c r="LZ328" s="12" t="s">
        <v>37</v>
      </c>
      <c r="MA328" s="12" t="s">
        <v>37</v>
      </c>
      <c r="MF328" s="12" t="s">
        <v>37</v>
      </c>
      <c r="MG328" s="12" t="s">
        <v>37</v>
      </c>
      <c r="MH328" s="12" t="s">
        <v>37</v>
      </c>
      <c r="MJ328" s="12" t="s">
        <v>37</v>
      </c>
      <c r="MK328" s="12" t="s">
        <v>37</v>
      </c>
      <c r="ML328" s="12" t="s">
        <v>37</v>
      </c>
      <c r="MQ328" s="12" t="s">
        <v>37</v>
      </c>
      <c r="MR328" s="12" t="s">
        <v>37</v>
      </c>
      <c r="MS328" s="12" t="s">
        <v>37</v>
      </c>
      <c r="MU328" s="12" t="s">
        <v>37</v>
      </c>
      <c r="MV328" s="12" t="s">
        <v>37</v>
      </c>
      <c r="MW328" s="12" t="s">
        <v>37</v>
      </c>
      <c r="NC328" s="12" t="s">
        <v>37</v>
      </c>
      <c r="ND328" s="12" t="s">
        <v>37</v>
      </c>
      <c r="NE328" s="12" t="s">
        <v>37</v>
      </c>
      <c r="NG328" s="12" t="s">
        <v>37</v>
      </c>
      <c r="NH328" s="12" t="s">
        <v>37</v>
      </c>
      <c r="NI328" s="12" t="s">
        <v>37</v>
      </c>
      <c r="NO328" s="12" t="s">
        <v>37</v>
      </c>
      <c r="NP328" s="12" t="s">
        <v>37</v>
      </c>
      <c r="NQ328" s="12" t="s">
        <v>37</v>
      </c>
      <c r="NS328" s="12" t="s">
        <v>37</v>
      </c>
      <c r="NT328" s="12" t="s">
        <v>37</v>
      </c>
      <c r="NU328" s="12" t="s">
        <v>37</v>
      </c>
      <c r="OA328" s="12" t="s">
        <v>37</v>
      </c>
      <c r="OB328" s="12" t="s">
        <v>37</v>
      </c>
      <c r="OC328" s="12" t="s">
        <v>37</v>
      </c>
      <c r="OD328" s="12"/>
      <c r="OE328" s="12" t="s">
        <v>37</v>
      </c>
      <c r="OF328" s="12" t="s">
        <v>37</v>
      </c>
      <c r="OG328" s="12" t="s">
        <v>37</v>
      </c>
      <c r="OH328" s="12"/>
      <c r="OI328" s="12"/>
      <c r="OJ328" s="12"/>
      <c r="OM328" s="12" t="s">
        <v>37</v>
      </c>
      <c r="ON328" s="12" t="s">
        <v>37</v>
      </c>
      <c r="OO328" s="12" t="s">
        <v>37</v>
      </c>
      <c r="OP328" s="12" t="s">
        <v>37</v>
      </c>
      <c r="OQ328" s="12" t="s">
        <v>37</v>
      </c>
      <c r="OR328" s="12" t="s">
        <v>37</v>
      </c>
      <c r="OS328" s="12"/>
      <c r="OT328" s="12"/>
      <c r="OW328" s="12" t="s">
        <v>37</v>
      </c>
      <c r="OX328" s="12" t="s">
        <v>37</v>
      </c>
      <c r="OY328" s="13" t="s">
        <v>37</v>
      </c>
      <c r="OZ328" s="12" t="s">
        <v>37</v>
      </c>
      <c r="PA328" s="12" t="s">
        <v>37</v>
      </c>
      <c r="PB328" s="13" t="s">
        <v>37</v>
      </c>
      <c r="PG328" s="12" t="s">
        <v>37</v>
      </c>
      <c r="PH328" s="12" t="s">
        <v>37</v>
      </c>
      <c r="PI328" s="12" t="s">
        <v>37</v>
      </c>
      <c r="PJ328" s="12" t="s">
        <v>37</v>
      </c>
      <c r="PK328" s="12" t="s">
        <v>37</v>
      </c>
      <c r="PL328" s="12" t="s">
        <v>37</v>
      </c>
      <c r="PM328" s="12"/>
      <c r="PN328" s="12"/>
      <c r="PQ328" s="12" t="s">
        <v>37</v>
      </c>
      <c r="PR328" s="12" t="s">
        <v>37</v>
      </c>
      <c r="PS328" s="12" t="s">
        <v>37</v>
      </c>
      <c r="PT328" s="12" t="s">
        <v>37</v>
      </c>
      <c r="PU328" s="12" t="s">
        <v>37</v>
      </c>
      <c r="PV328" s="12" t="s">
        <v>37</v>
      </c>
      <c r="PW328" s="12"/>
      <c r="PX328" s="12"/>
      <c r="PZ328" s="12" t="s">
        <v>37</v>
      </c>
      <c r="QA328" s="12" t="s">
        <v>37</v>
      </c>
      <c r="QB328" s="12" t="s">
        <v>37</v>
      </c>
      <c r="QD328" s="12" t="s">
        <v>37</v>
      </c>
      <c r="QE328" s="12" t="s">
        <v>37</v>
      </c>
      <c r="QF328" s="12" t="s">
        <v>37</v>
      </c>
      <c r="QK328" s="12" t="s">
        <v>37</v>
      </c>
      <c r="QL328" s="12" t="s">
        <v>37</v>
      </c>
      <c r="QM328" s="12" t="s">
        <v>37</v>
      </c>
      <c r="QN328" s="12" t="s">
        <v>37</v>
      </c>
      <c r="QO328" s="12" t="s">
        <v>37</v>
      </c>
      <c r="QP328" s="12" t="s">
        <v>37</v>
      </c>
      <c r="QQ328" s="12"/>
      <c r="QR328" s="12"/>
      <c r="QU328" s="12" t="s">
        <v>37</v>
      </c>
      <c r="QV328" s="12" t="s">
        <v>37</v>
      </c>
      <c r="QW328" s="12" t="s">
        <v>37</v>
      </c>
      <c r="QX328" s="12" t="s">
        <v>37</v>
      </c>
      <c r="QY328" s="12" t="s">
        <v>37</v>
      </c>
      <c r="QZ328" s="12" t="s">
        <v>37</v>
      </c>
      <c r="RC328" s="12" t="s">
        <v>37</v>
      </c>
      <c r="RD328" s="12" t="s">
        <v>37</v>
      </c>
      <c r="RE328" s="13" t="s">
        <v>37</v>
      </c>
      <c r="RF328" s="12" t="s">
        <v>37</v>
      </c>
      <c r="RG328" s="12" t="s">
        <v>37</v>
      </c>
      <c r="RH328" s="13" t="s">
        <v>37</v>
      </c>
      <c r="RK328" s="12" t="s">
        <v>37</v>
      </c>
      <c r="RL328" s="12" t="s">
        <v>37</v>
      </c>
      <c r="RM328" s="11" t="s">
        <v>37</v>
      </c>
      <c r="RN328" s="12" t="s">
        <v>37</v>
      </c>
      <c r="RO328" s="12" t="s">
        <v>37</v>
      </c>
      <c r="RP328" s="11" t="s">
        <v>37</v>
      </c>
      <c r="RS328" s="12" t="s">
        <v>37</v>
      </c>
      <c r="RT328" s="12" t="s">
        <v>37</v>
      </c>
      <c r="RU328" s="12" t="s">
        <v>37</v>
      </c>
      <c r="RV328" s="12" t="s">
        <v>37</v>
      </c>
      <c r="RW328" s="12" t="s">
        <v>37</v>
      </c>
      <c r="RX328" s="12" t="s">
        <v>37</v>
      </c>
      <c r="SA328" s="12" t="s">
        <v>37</v>
      </c>
      <c r="SB328" s="12" t="s">
        <v>37</v>
      </c>
      <c r="SC328" s="12" t="s">
        <v>37</v>
      </c>
      <c r="SD328" s="12" t="s">
        <v>37</v>
      </c>
      <c r="SE328" s="12" t="s">
        <v>37</v>
      </c>
      <c r="SF328" s="12" t="s">
        <v>37</v>
      </c>
      <c r="SG328" s="12" t="s">
        <v>42</v>
      </c>
      <c r="SH328" s="12" t="s">
        <v>345</v>
      </c>
      <c r="SI328" s="12">
        <v>0.75800000000000001</v>
      </c>
      <c r="SJ328" s="50">
        <f t="shared" si="1284"/>
        <v>0.23513966877078385</v>
      </c>
      <c r="SK328" s="13">
        <v>3</v>
      </c>
      <c r="SM328" s="12">
        <v>0.83399999999999996</v>
      </c>
      <c r="SN328" s="50">
        <f t="shared" si="1285"/>
        <v>0.22679507722472772</v>
      </c>
      <c r="SO328" s="13">
        <v>3</v>
      </c>
      <c r="SQ328" s="19">
        <f t="shared" si="1286"/>
        <v>9.5550016716374975E-2</v>
      </c>
      <c r="SR328" s="19">
        <f t="shared" si="1287"/>
        <v>5.6726709270900989E-2</v>
      </c>
      <c r="SU328" s="12" t="s">
        <v>37</v>
      </c>
      <c r="SV328" s="12" t="s">
        <v>37</v>
      </c>
      <c r="SW328" s="12" t="s">
        <v>37</v>
      </c>
      <c r="SX328" s="12" t="s">
        <v>37</v>
      </c>
      <c r="SY328" s="12" t="s">
        <v>37</v>
      </c>
      <c r="SZ328" s="12" t="s">
        <v>37</v>
      </c>
      <c r="TA328" s="12"/>
      <c r="TB328" s="12"/>
      <c r="TE328" s="12" t="s">
        <v>37</v>
      </c>
      <c r="TF328" s="12" t="s">
        <v>37</v>
      </c>
      <c r="TG328" s="12" t="s">
        <v>37</v>
      </c>
      <c r="TH328" s="12" t="s">
        <v>37</v>
      </c>
      <c r="TI328" s="12" t="s">
        <v>37</v>
      </c>
      <c r="TJ328" s="12" t="s">
        <v>37</v>
      </c>
      <c r="TK328" s="12"/>
      <c r="TL328" s="12"/>
      <c r="TO328" s="12" t="s">
        <v>37</v>
      </c>
      <c r="TP328" s="12" t="s">
        <v>37</v>
      </c>
      <c r="TQ328" s="12" t="s">
        <v>37</v>
      </c>
      <c r="TR328" s="12" t="s">
        <v>37</v>
      </c>
      <c r="TS328" s="12" t="s">
        <v>37</v>
      </c>
      <c r="TT328" s="12" t="s">
        <v>37</v>
      </c>
      <c r="TU328" s="12"/>
      <c r="TV328" s="12"/>
      <c r="TY328" s="12" t="s">
        <v>37</v>
      </c>
      <c r="TZ328" s="12" t="s">
        <v>37</v>
      </c>
      <c r="UA328" s="12" t="s">
        <v>37</v>
      </c>
      <c r="UB328" s="12" t="s">
        <v>37</v>
      </c>
      <c r="UC328" s="12" t="s">
        <v>37</v>
      </c>
      <c r="UD328" s="12" t="s">
        <v>37</v>
      </c>
      <c r="UE328" s="12"/>
      <c r="UF328" s="12"/>
      <c r="UI328" s="12" t="s">
        <v>37</v>
      </c>
      <c r="UJ328" s="12" t="s">
        <v>37</v>
      </c>
      <c r="UK328" s="12" t="s">
        <v>37</v>
      </c>
      <c r="UL328" s="12" t="s">
        <v>37</v>
      </c>
      <c r="UM328" s="12" t="s">
        <v>37</v>
      </c>
      <c r="UN328" s="12" t="s">
        <v>37</v>
      </c>
      <c r="UO328" s="12"/>
      <c r="UP328" s="12"/>
      <c r="UR328" s="12" t="s">
        <v>37</v>
      </c>
      <c r="US328" s="12" t="s">
        <v>37</v>
      </c>
      <c r="UT328" s="12" t="s">
        <v>37</v>
      </c>
      <c r="UU328" s="12" t="s">
        <v>37</v>
      </c>
      <c r="UV328" s="12" t="s">
        <v>37</v>
      </c>
      <c r="UW328" s="12" t="s">
        <v>37</v>
      </c>
      <c r="UX328" s="12"/>
      <c r="UY328" s="12"/>
      <c r="VB328" s="12" t="s">
        <v>37</v>
      </c>
      <c r="VC328" s="12" t="s">
        <v>37</v>
      </c>
      <c r="VD328" s="12" t="s">
        <v>37</v>
      </c>
      <c r="VE328" s="12" t="s">
        <v>37</v>
      </c>
      <c r="VF328" s="12" t="s">
        <v>37</v>
      </c>
      <c r="VG328" s="12" t="s">
        <v>37</v>
      </c>
      <c r="VI328" s="12" t="s">
        <v>37</v>
      </c>
      <c r="VJ328" s="12" t="s">
        <v>37</v>
      </c>
      <c r="VK328" s="12" t="s">
        <v>37</v>
      </c>
      <c r="VL328" s="12" t="s">
        <v>37</v>
      </c>
      <c r="VM328" s="12" t="s">
        <v>37</v>
      </c>
      <c r="VN328" s="12" t="s">
        <v>37</v>
      </c>
      <c r="VQ328" s="12" t="s">
        <v>37</v>
      </c>
      <c r="VR328" s="12" t="s">
        <v>37</v>
      </c>
      <c r="VS328" s="12" t="s">
        <v>37</v>
      </c>
      <c r="VT328" s="12" t="s">
        <v>37</v>
      </c>
      <c r="VU328" s="12" t="s">
        <v>37</v>
      </c>
      <c r="VV328" s="12" t="s">
        <v>37</v>
      </c>
      <c r="VW328" s="12"/>
      <c r="VX328" s="12"/>
      <c r="WA328" s="12" t="s">
        <v>37</v>
      </c>
      <c r="WB328" s="12" t="s">
        <v>37</v>
      </c>
      <c r="WC328" s="12" t="s">
        <v>37</v>
      </c>
      <c r="WD328" s="12" t="s">
        <v>37</v>
      </c>
      <c r="WE328" s="12" t="s">
        <v>37</v>
      </c>
      <c r="WF328" s="12" t="s">
        <v>37</v>
      </c>
    </row>
    <row r="329" spans="1:604" ht="18" customHeight="1" x14ac:dyDescent="0.3">
      <c r="A329" s="11">
        <v>71</v>
      </c>
      <c r="B329" s="16" t="s">
        <v>928</v>
      </c>
      <c r="C329" s="12" t="s">
        <v>26</v>
      </c>
      <c r="D329" s="12" t="s">
        <v>54</v>
      </c>
      <c r="E329" s="40">
        <v>1.9</v>
      </c>
      <c r="F329" s="14">
        <v>0</v>
      </c>
      <c r="G329" s="14">
        <v>0</v>
      </c>
      <c r="H329" s="12" t="s">
        <v>123</v>
      </c>
      <c r="I329" s="29">
        <v>62.767000000000003</v>
      </c>
      <c r="J329" s="29">
        <v>29.832999999999998</v>
      </c>
      <c r="K329" s="12" t="s">
        <v>776</v>
      </c>
      <c r="L329" s="12" t="s">
        <v>780</v>
      </c>
      <c r="M329" s="13">
        <v>145</v>
      </c>
      <c r="N329" s="14">
        <v>1.9</v>
      </c>
      <c r="O329" s="14">
        <v>650</v>
      </c>
      <c r="P329" s="14" t="s">
        <v>84</v>
      </c>
      <c r="Q329" s="75">
        <v>51</v>
      </c>
      <c r="R329" s="11" t="s">
        <v>1000</v>
      </c>
      <c r="S329" s="12" t="s">
        <v>85</v>
      </c>
      <c r="T329" s="12" t="s">
        <v>138</v>
      </c>
      <c r="U329" s="12" t="s">
        <v>158</v>
      </c>
      <c r="V329" s="12" t="s">
        <v>275</v>
      </c>
      <c r="W329" s="23" t="s">
        <v>410</v>
      </c>
      <c r="X329" s="12" t="s">
        <v>280</v>
      </c>
      <c r="Y329" s="12" t="s">
        <v>37</v>
      </c>
      <c r="Z329" s="12" t="s">
        <v>37</v>
      </c>
      <c r="AA329" s="32" t="s">
        <v>345</v>
      </c>
      <c r="AB329" s="12">
        <v>4.4000000000000004</v>
      </c>
      <c r="AE329" s="12" t="s">
        <v>37</v>
      </c>
      <c r="AF329" s="12" t="s">
        <v>42</v>
      </c>
      <c r="AG329" s="32" t="s">
        <v>345</v>
      </c>
      <c r="AH329" s="12">
        <v>14</v>
      </c>
      <c r="AK329" s="12" t="s">
        <v>37</v>
      </c>
      <c r="AL329" s="32">
        <v>1992</v>
      </c>
      <c r="AM329" s="12" t="s">
        <v>344</v>
      </c>
      <c r="AO329" s="12" t="s">
        <v>37</v>
      </c>
      <c r="AP329" s="12" t="s">
        <v>108</v>
      </c>
      <c r="AQ329" s="12" t="s">
        <v>975</v>
      </c>
      <c r="AT329" s="12" t="s">
        <v>326</v>
      </c>
      <c r="AU329" s="12" t="s">
        <v>326</v>
      </c>
      <c r="AV329" s="13" t="s">
        <v>326</v>
      </c>
      <c r="AX329" s="12" t="s">
        <v>326</v>
      </c>
      <c r="AY329" s="12" t="s">
        <v>326</v>
      </c>
      <c r="AZ329" s="13" t="s">
        <v>326</v>
      </c>
      <c r="BE329" s="12" t="s">
        <v>326</v>
      </c>
      <c r="BF329" s="12" t="s">
        <v>326</v>
      </c>
      <c r="BG329" s="12" t="s">
        <v>326</v>
      </c>
      <c r="BI329" s="12" t="s">
        <v>326</v>
      </c>
      <c r="BJ329" s="12" t="s">
        <v>326</v>
      </c>
      <c r="BK329" s="12" t="s">
        <v>326</v>
      </c>
      <c r="BP329" s="12" t="s">
        <v>37</v>
      </c>
      <c r="BQ329" s="12" t="s">
        <v>37</v>
      </c>
      <c r="BR329" s="13" t="s">
        <v>37</v>
      </c>
      <c r="BT329" s="12" t="s">
        <v>37</v>
      </c>
      <c r="BU329" s="12" t="s">
        <v>37</v>
      </c>
      <c r="BV329" s="12" t="s">
        <v>37</v>
      </c>
      <c r="CA329" s="12" t="s">
        <v>37</v>
      </c>
      <c r="CB329" s="12" t="s">
        <v>37</v>
      </c>
      <c r="CC329" s="13" t="s">
        <v>37</v>
      </c>
      <c r="CE329" s="12" t="s">
        <v>37</v>
      </c>
      <c r="CF329" s="12" t="s">
        <v>37</v>
      </c>
      <c r="CG329" s="12" t="s">
        <v>37</v>
      </c>
      <c r="CN329" s="12" t="s">
        <v>37</v>
      </c>
      <c r="CO329" s="12" t="s">
        <v>37</v>
      </c>
      <c r="CP329" s="13" t="s">
        <v>37</v>
      </c>
      <c r="CR329" s="12" t="s">
        <v>37</v>
      </c>
      <c r="CS329" s="12" t="s">
        <v>37</v>
      </c>
      <c r="CT329" s="13" t="s">
        <v>37</v>
      </c>
      <c r="CX329" s="72"/>
      <c r="CY329" s="72"/>
      <c r="DA329" s="12" t="s">
        <v>37</v>
      </c>
      <c r="DB329" s="12" t="s">
        <v>37</v>
      </c>
      <c r="DC329" s="13" t="s">
        <v>37</v>
      </c>
      <c r="DE329" s="12" t="s">
        <v>37</v>
      </c>
      <c r="DF329" s="12" t="s">
        <v>37</v>
      </c>
      <c r="DG329" s="12" t="s">
        <v>37</v>
      </c>
      <c r="DM329" s="11" t="s">
        <v>47</v>
      </c>
      <c r="DN329" s="19">
        <v>22.6</v>
      </c>
      <c r="DO329" s="50">
        <f t="shared" si="1262"/>
        <v>25.196271935014309</v>
      </c>
      <c r="DP329" s="13">
        <v>15</v>
      </c>
      <c r="DR329" s="19">
        <v>0.03</v>
      </c>
      <c r="DS329" s="50">
        <f t="shared" si="1263"/>
        <v>0.11211648883893029</v>
      </c>
      <c r="DT329" s="13">
        <v>15</v>
      </c>
      <c r="DV329" s="19">
        <f t="shared" si="1211"/>
        <v>-22.57</v>
      </c>
      <c r="DW329" s="12">
        <f t="shared" si="1212"/>
        <v>17.816631128390394</v>
      </c>
      <c r="DX329" s="72">
        <f t="shared" si="1251"/>
        <v>42.324312635350623</v>
      </c>
      <c r="DY329" s="72">
        <f t="shared" si="1252"/>
        <v>42.324312635350623</v>
      </c>
      <c r="EA329" s="19" t="s">
        <v>37</v>
      </c>
      <c r="EB329" s="19" t="s">
        <v>37</v>
      </c>
      <c r="EC329" s="72" t="s">
        <v>37</v>
      </c>
      <c r="EE329" s="19" t="s">
        <v>37</v>
      </c>
      <c r="EF329" s="19" t="s">
        <v>37</v>
      </c>
      <c r="EG329" s="12" t="s">
        <v>37</v>
      </c>
      <c r="EM329" s="12" t="s">
        <v>39</v>
      </c>
      <c r="EN329" s="12">
        <v>-32.799999999999997</v>
      </c>
      <c r="EO329" s="12">
        <v>14.8</v>
      </c>
      <c r="EP329" s="13">
        <v>15</v>
      </c>
      <c r="EQ329" s="19">
        <f t="shared" si="1239"/>
        <v>0.45121951219512202</v>
      </c>
      <c r="ER329" s="12">
        <v>-48.3</v>
      </c>
      <c r="ES329" s="12">
        <v>15.3</v>
      </c>
      <c r="ET329" s="13">
        <v>15</v>
      </c>
      <c r="EU329" s="19">
        <f t="shared" si="1240"/>
        <v>0.31677018633540377</v>
      </c>
      <c r="EV329" s="19">
        <f t="shared" si="1233"/>
        <v>-15.5</v>
      </c>
      <c r="EW329" s="12">
        <f t="shared" si="1234"/>
        <v>15.052076268741134</v>
      </c>
      <c r="EX329" s="19">
        <f t="shared" si="1235"/>
        <v>30.208666666666669</v>
      </c>
      <c r="EY329" s="19">
        <f t="shared" si="1236"/>
        <v>30.208666666666669</v>
      </c>
      <c r="FB329" s="12" t="s">
        <v>37</v>
      </c>
      <c r="FC329" s="12" t="s">
        <v>37</v>
      </c>
      <c r="FD329" s="12" t="s">
        <v>37</v>
      </c>
      <c r="FE329" s="12" t="s">
        <v>37</v>
      </c>
      <c r="FF329" s="20" t="s">
        <v>37</v>
      </c>
      <c r="FG329" s="12" t="s">
        <v>37</v>
      </c>
      <c r="FI329" s="12" t="s">
        <v>37</v>
      </c>
      <c r="FJ329" s="12" t="s">
        <v>37</v>
      </c>
      <c r="FK329" s="12" t="s">
        <v>37</v>
      </c>
      <c r="FL329" s="12" t="s">
        <v>37</v>
      </c>
      <c r="FM329" s="12" t="s">
        <v>37</v>
      </c>
      <c r="FN329" s="12" t="s">
        <v>37</v>
      </c>
      <c r="FP329" s="12" t="s">
        <v>37</v>
      </c>
      <c r="FQ329" s="12" t="s">
        <v>37</v>
      </c>
      <c r="FR329" s="12" t="s">
        <v>37</v>
      </c>
      <c r="FS329" s="12" t="s">
        <v>37</v>
      </c>
      <c r="FT329" s="12" t="s">
        <v>37</v>
      </c>
      <c r="FU329" s="12" t="s">
        <v>37</v>
      </c>
      <c r="FW329" s="12" t="s">
        <v>37</v>
      </c>
      <c r="FX329" s="12" t="s">
        <v>37</v>
      </c>
      <c r="FY329" s="12" t="s">
        <v>37</v>
      </c>
      <c r="FZ329" s="12" t="s">
        <v>37</v>
      </c>
      <c r="GA329" s="12" t="s">
        <v>37</v>
      </c>
      <c r="GB329" s="12" t="s">
        <v>37</v>
      </c>
      <c r="GO329" s="12" t="s">
        <v>660</v>
      </c>
      <c r="GP329" s="12" t="s">
        <v>340</v>
      </c>
      <c r="GQ329" s="12">
        <v>10.4</v>
      </c>
      <c r="GR329" s="12">
        <v>3.2</v>
      </c>
      <c r="GS329" s="13">
        <v>15</v>
      </c>
      <c r="GT329" s="19">
        <f t="shared" si="1264"/>
        <v>0.30769230769230771</v>
      </c>
      <c r="GU329" s="12">
        <v>8.9</v>
      </c>
      <c r="GV329" s="12">
        <v>3.5</v>
      </c>
      <c r="GW329" s="13">
        <v>15</v>
      </c>
      <c r="GX329" s="19">
        <f t="shared" si="1265"/>
        <v>0.3932584269662921</v>
      </c>
      <c r="GY329" s="19">
        <f t="shared" si="1266"/>
        <v>-0.15575452940923287</v>
      </c>
      <c r="GZ329" s="19">
        <f t="shared" si="1267"/>
        <v>1.6621783106201351E-2</v>
      </c>
      <c r="HA329" s="17" t="s">
        <v>63</v>
      </c>
      <c r="HB329" s="34" t="s">
        <v>345</v>
      </c>
      <c r="HC329" s="12">
        <v>6.4000000000000001E-2</v>
      </c>
      <c r="HD329" s="50">
        <f t="shared" si="1268"/>
        <v>1.1034351561375421E-2</v>
      </c>
      <c r="HE329" s="13">
        <v>3</v>
      </c>
      <c r="HG329" s="12">
        <v>0.1</v>
      </c>
      <c r="HH329" s="50">
        <f t="shared" si="1269"/>
        <v>1.1185451996710508E-2</v>
      </c>
      <c r="HI329" s="13">
        <v>3</v>
      </c>
      <c r="HK329" s="19">
        <f t="shared" si="1270"/>
        <v>0.44628710262841953</v>
      </c>
      <c r="HL329" s="19">
        <f t="shared" si="1271"/>
        <v>1.4079080937294359E-2</v>
      </c>
      <c r="IK329" s="12" t="s">
        <v>37</v>
      </c>
      <c r="IL329" s="12" t="s">
        <v>37</v>
      </c>
      <c r="IM329" s="12" t="s">
        <v>37</v>
      </c>
      <c r="IO329" s="12" t="s">
        <v>37</v>
      </c>
      <c r="IP329" s="12" t="s">
        <v>37</v>
      </c>
      <c r="IQ329" s="12" t="s">
        <v>37</v>
      </c>
      <c r="IV329" s="32" t="s">
        <v>345</v>
      </c>
      <c r="IW329" s="12">
        <v>4.4000000000000004</v>
      </c>
      <c r="IX329" s="50">
        <f t="shared" si="1272"/>
        <v>0.1610960675633018</v>
      </c>
      <c r="IY329" s="13">
        <v>3</v>
      </c>
      <c r="JA329" s="12">
        <v>4</v>
      </c>
      <c r="JB329" s="50">
        <f t="shared" si="1273"/>
        <v>0.11203523514281104</v>
      </c>
      <c r="JC329" s="13">
        <v>3</v>
      </c>
      <c r="JE329" s="19">
        <f t="shared" si="1274"/>
        <v>-9.5310179804324893E-2</v>
      </c>
      <c r="JF329" s="19">
        <f t="shared" si="1275"/>
        <v>7.0832876411330739E-4</v>
      </c>
      <c r="JH329" s="12" t="s">
        <v>37</v>
      </c>
      <c r="JI329" s="12" t="s">
        <v>37</v>
      </c>
      <c r="JJ329" s="13" t="s">
        <v>37</v>
      </c>
      <c r="JL329" s="12" t="s">
        <v>37</v>
      </c>
      <c r="JM329" s="12" t="s">
        <v>37</v>
      </c>
      <c r="JN329" s="12" t="s">
        <v>37</v>
      </c>
      <c r="JS329" s="12" t="s">
        <v>37</v>
      </c>
      <c r="JT329" s="12" t="s">
        <v>37</v>
      </c>
      <c r="JU329" s="13" t="s">
        <v>37</v>
      </c>
      <c r="JW329" s="12" t="s">
        <v>37</v>
      </c>
      <c r="JX329" s="12" t="s">
        <v>37</v>
      </c>
      <c r="JY329" s="12" t="s">
        <v>37</v>
      </c>
      <c r="KE329" s="12" t="s">
        <v>37</v>
      </c>
      <c r="KF329" s="12" t="s">
        <v>37</v>
      </c>
      <c r="KG329" s="13" t="s">
        <v>37</v>
      </c>
      <c r="KH329" s="12" t="s">
        <v>37</v>
      </c>
      <c r="KI329" s="12" t="s">
        <v>37</v>
      </c>
      <c r="KJ329" s="12" t="s">
        <v>37</v>
      </c>
      <c r="KK329" s="12" t="s">
        <v>42</v>
      </c>
      <c r="KL329" s="32" t="s">
        <v>345</v>
      </c>
      <c r="KM329" s="12">
        <v>14</v>
      </c>
      <c r="KN329" s="50">
        <f t="shared" si="1276"/>
        <v>1.6701025793880326</v>
      </c>
      <c r="KO329" s="11">
        <v>3</v>
      </c>
      <c r="KQ329" s="12">
        <v>23</v>
      </c>
      <c r="KR329" s="50">
        <f t="shared" si="1277"/>
        <v>2.4251988938786453</v>
      </c>
      <c r="KS329" s="11">
        <v>3</v>
      </c>
      <c r="KU329" s="19">
        <f t="shared" si="1278"/>
        <v>0.49643688631389105</v>
      </c>
      <c r="KV329" s="19">
        <f t="shared" si="1279"/>
        <v>8.4497155628593234E-3</v>
      </c>
      <c r="KX329" s="12" t="s">
        <v>37</v>
      </c>
      <c r="KY329" s="12" t="s">
        <v>37</v>
      </c>
      <c r="KZ329" s="12" t="s">
        <v>37</v>
      </c>
      <c r="LB329" s="12" t="s">
        <v>37</v>
      </c>
      <c r="LC329" s="12" t="s">
        <v>37</v>
      </c>
      <c r="LD329" s="12" t="s">
        <v>37</v>
      </c>
      <c r="LI329" s="12" t="s">
        <v>37</v>
      </c>
      <c r="LJ329" s="12" t="s">
        <v>37</v>
      </c>
      <c r="LK329" s="12" t="s">
        <v>37</v>
      </c>
      <c r="LM329" s="12" t="s">
        <v>37</v>
      </c>
      <c r="LN329" s="12" t="s">
        <v>37</v>
      </c>
      <c r="LO329" s="12" t="s">
        <v>37</v>
      </c>
      <c r="LU329" s="12" t="s">
        <v>37</v>
      </c>
      <c r="LV329" s="12" t="s">
        <v>37</v>
      </c>
      <c r="LW329" s="12" t="s">
        <v>37</v>
      </c>
      <c r="LY329" s="12" t="s">
        <v>37</v>
      </c>
      <c r="LZ329" s="12" t="s">
        <v>37</v>
      </c>
      <c r="MA329" s="12" t="s">
        <v>37</v>
      </c>
      <c r="MF329" s="12" t="s">
        <v>37</v>
      </c>
      <c r="MG329" s="12" t="s">
        <v>37</v>
      </c>
      <c r="MH329" s="12" t="s">
        <v>37</v>
      </c>
      <c r="MJ329" s="12" t="s">
        <v>37</v>
      </c>
      <c r="MK329" s="12" t="s">
        <v>37</v>
      </c>
      <c r="ML329" s="12" t="s">
        <v>37</v>
      </c>
      <c r="MQ329" s="12" t="s">
        <v>37</v>
      </c>
      <c r="MR329" s="12" t="s">
        <v>37</v>
      </c>
      <c r="MS329" s="12" t="s">
        <v>37</v>
      </c>
      <c r="MU329" s="12" t="s">
        <v>37</v>
      </c>
      <c r="MV329" s="12" t="s">
        <v>37</v>
      </c>
      <c r="MW329" s="12" t="s">
        <v>37</v>
      </c>
      <c r="NC329" s="12" t="s">
        <v>37</v>
      </c>
      <c r="ND329" s="12" t="s">
        <v>37</v>
      </c>
      <c r="NE329" s="12" t="s">
        <v>37</v>
      </c>
      <c r="NG329" s="12" t="s">
        <v>37</v>
      </c>
      <c r="NH329" s="12" t="s">
        <v>37</v>
      </c>
      <c r="NI329" s="12" t="s">
        <v>37</v>
      </c>
      <c r="NO329" s="12" t="s">
        <v>37</v>
      </c>
      <c r="NP329" s="12" t="s">
        <v>37</v>
      </c>
      <c r="NQ329" s="12" t="s">
        <v>37</v>
      </c>
      <c r="NS329" s="12" t="s">
        <v>37</v>
      </c>
      <c r="NT329" s="12" t="s">
        <v>37</v>
      </c>
      <c r="NU329" s="12" t="s">
        <v>37</v>
      </c>
      <c r="OA329" s="12" t="s">
        <v>37</v>
      </c>
      <c r="OB329" s="12" t="s">
        <v>37</v>
      </c>
      <c r="OC329" s="12" t="s">
        <v>37</v>
      </c>
      <c r="OD329" s="12"/>
      <c r="OE329" s="12" t="s">
        <v>37</v>
      </c>
      <c r="OF329" s="12" t="s">
        <v>37</v>
      </c>
      <c r="OG329" s="12" t="s">
        <v>37</v>
      </c>
      <c r="OH329" s="12"/>
      <c r="OI329" s="12"/>
      <c r="OJ329" s="12"/>
      <c r="OM329" s="12" t="s">
        <v>37</v>
      </c>
      <c r="ON329" s="12" t="s">
        <v>37</v>
      </c>
      <c r="OO329" s="12" t="s">
        <v>37</v>
      </c>
      <c r="OP329" s="12" t="s">
        <v>37</v>
      </c>
      <c r="OQ329" s="12" t="s">
        <v>37</v>
      </c>
      <c r="OR329" s="12" t="s">
        <v>37</v>
      </c>
      <c r="OS329" s="12"/>
      <c r="OT329" s="12"/>
      <c r="OW329" s="12" t="s">
        <v>37</v>
      </c>
      <c r="OX329" s="12" t="s">
        <v>37</v>
      </c>
      <c r="OY329" s="13" t="s">
        <v>37</v>
      </c>
      <c r="OZ329" s="12" t="s">
        <v>37</v>
      </c>
      <c r="PA329" s="12" t="s">
        <v>37</v>
      </c>
      <c r="PB329" s="13" t="s">
        <v>37</v>
      </c>
      <c r="PG329" s="12" t="s">
        <v>37</v>
      </c>
      <c r="PH329" s="12" t="s">
        <v>37</v>
      </c>
      <c r="PI329" s="12" t="s">
        <v>37</v>
      </c>
      <c r="PJ329" s="12" t="s">
        <v>37</v>
      </c>
      <c r="PK329" s="12" t="s">
        <v>37</v>
      </c>
      <c r="PL329" s="12" t="s">
        <v>37</v>
      </c>
      <c r="PM329" s="12"/>
      <c r="PN329" s="12"/>
      <c r="PQ329" s="12" t="s">
        <v>37</v>
      </c>
      <c r="PR329" s="12" t="s">
        <v>37</v>
      </c>
      <c r="PS329" s="12" t="s">
        <v>37</v>
      </c>
      <c r="PT329" s="12" t="s">
        <v>37</v>
      </c>
      <c r="PU329" s="12" t="s">
        <v>37</v>
      </c>
      <c r="PV329" s="12" t="s">
        <v>37</v>
      </c>
      <c r="PW329" s="12"/>
      <c r="PX329" s="12"/>
      <c r="PZ329" s="12" t="s">
        <v>37</v>
      </c>
      <c r="QA329" s="12" t="s">
        <v>37</v>
      </c>
      <c r="QB329" s="12" t="s">
        <v>37</v>
      </c>
      <c r="QD329" s="12" t="s">
        <v>37</v>
      </c>
      <c r="QE329" s="12" t="s">
        <v>37</v>
      </c>
      <c r="QF329" s="12" t="s">
        <v>37</v>
      </c>
      <c r="QK329" s="12" t="s">
        <v>37</v>
      </c>
      <c r="QL329" s="12" t="s">
        <v>37</v>
      </c>
      <c r="QM329" s="12" t="s">
        <v>37</v>
      </c>
      <c r="QN329" s="12" t="s">
        <v>37</v>
      </c>
      <c r="QO329" s="12" t="s">
        <v>37</v>
      </c>
      <c r="QP329" s="12" t="s">
        <v>37</v>
      </c>
      <c r="QQ329" s="12"/>
      <c r="QR329" s="12"/>
      <c r="QU329" s="12" t="s">
        <v>37</v>
      </c>
      <c r="QV329" s="12" t="s">
        <v>37</v>
      </c>
      <c r="QW329" s="12" t="s">
        <v>37</v>
      </c>
      <c r="QX329" s="12" t="s">
        <v>37</v>
      </c>
      <c r="QY329" s="12" t="s">
        <v>37</v>
      </c>
      <c r="QZ329" s="12" t="s">
        <v>37</v>
      </c>
      <c r="RC329" s="12" t="s">
        <v>37</v>
      </c>
      <c r="RD329" s="12" t="s">
        <v>37</v>
      </c>
      <c r="RE329" s="13" t="s">
        <v>37</v>
      </c>
      <c r="RF329" s="12" t="s">
        <v>37</v>
      </c>
      <c r="RG329" s="12" t="s">
        <v>37</v>
      </c>
      <c r="RH329" s="13" t="s">
        <v>37</v>
      </c>
      <c r="RK329" s="12" t="s">
        <v>37</v>
      </c>
      <c r="RL329" s="12" t="s">
        <v>37</v>
      </c>
      <c r="RM329" s="11" t="s">
        <v>37</v>
      </c>
      <c r="RN329" s="12" t="s">
        <v>37</v>
      </c>
      <c r="RO329" s="12" t="s">
        <v>37</v>
      </c>
      <c r="RP329" s="11" t="s">
        <v>37</v>
      </c>
      <c r="RS329" s="12" t="s">
        <v>37</v>
      </c>
      <c r="RT329" s="12" t="s">
        <v>37</v>
      </c>
      <c r="RU329" s="12" t="s">
        <v>37</v>
      </c>
      <c r="RV329" s="12" t="s">
        <v>37</v>
      </c>
      <c r="RW329" s="12" t="s">
        <v>37</v>
      </c>
      <c r="RX329" s="12" t="s">
        <v>37</v>
      </c>
      <c r="SA329" s="12" t="s">
        <v>37</v>
      </c>
      <c r="SB329" s="12" t="s">
        <v>37</v>
      </c>
      <c r="SC329" s="12" t="s">
        <v>37</v>
      </c>
      <c r="SD329" s="12" t="s">
        <v>37</v>
      </c>
      <c r="SE329" s="12" t="s">
        <v>37</v>
      </c>
      <c r="SF329" s="12" t="s">
        <v>37</v>
      </c>
      <c r="SG329" s="12" t="s">
        <v>42</v>
      </c>
      <c r="SH329" s="12" t="s">
        <v>345</v>
      </c>
      <c r="SI329" s="12">
        <v>0.75800000000000001</v>
      </c>
      <c r="SJ329" s="50">
        <f t="shared" si="1284"/>
        <v>0.23513966877078385</v>
      </c>
      <c r="SK329" s="13">
        <v>3</v>
      </c>
      <c r="SM329" s="12">
        <v>0.83399999999999996</v>
      </c>
      <c r="SN329" s="50">
        <f t="shared" si="1285"/>
        <v>0.22679507722472772</v>
      </c>
      <c r="SO329" s="13">
        <v>3</v>
      </c>
      <c r="SQ329" s="19">
        <f t="shared" si="1286"/>
        <v>9.5550016716374975E-2</v>
      </c>
      <c r="SR329" s="19">
        <f t="shared" si="1287"/>
        <v>5.6726709270900989E-2</v>
      </c>
      <c r="SU329" s="12" t="s">
        <v>37</v>
      </c>
      <c r="SV329" s="12" t="s">
        <v>37</v>
      </c>
      <c r="SW329" s="12" t="s">
        <v>37</v>
      </c>
      <c r="SX329" s="12" t="s">
        <v>37</v>
      </c>
      <c r="SY329" s="12" t="s">
        <v>37</v>
      </c>
      <c r="SZ329" s="12" t="s">
        <v>37</v>
      </c>
      <c r="TA329" s="12"/>
      <c r="TB329" s="12"/>
      <c r="TE329" s="12" t="s">
        <v>37</v>
      </c>
      <c r="TF329" s="12" t="s">
        <v>37</v>
      </c>
      <c r="TG329" s="12" t="s">
        <v>37</v>
      </c>
      <c r="TH329" s="12" t="s">
        <v>37</v>
      </c>
      <c r="TI329" s="12" t="s">
        <v>37</v>
      </c>
      <c r="TJ329" s="12" t="s">
        <v>37</v>
      </c>
      <c r="TK329" s="12"/>
      <c r="TL329" s="12"/>
      <c r="TO329" s="12" t="s">
        <v>37</v>
      </c>
      <c r="TP329" s="12" t="s">
        <v>37</v>
      </c>
      <c r="TQ329" s="12" t="s">
        <v>37</v>
      </c>
      <c r="TR329" s="12" t="s">
        <v>37</v>
      </c>
      <c r="TS329" s="12" t="s">
        <v>37</v>
      </c>
      <c r="TT329" s="12" t="s">
        <v>37</v>
      </c>
      <c r="TU329" s="12"/>
      <c r="TV329" s="12"/>
      <c r="TY329" s="12" t="s">
        <v>37</v>
      </c>
      <c r="TZ329" s="12" t="s">
        <v>37</v>
      </c>
      <c r="UA329" s="12" t="s">
        <v>37</v>
      </c>
      <c r="UB329" s="12" t="s">
        <v>37</v>
      </c>
      <c r="UC329" s="12" t="s">
        <v>37</v>
      </c>
      <c r="UD329" s="12" t="s">
        <v>37</v>
      </c>
      <c r="UE329" s="12"/>
      <c r="UF329" s="12"/>
      <c r="UI329" s="12" t="s">
        <v>37</v>
      </c>
      <c r="UJ329" s="12" t="s">
        <v>37</v>
      </c>
      <c r="UK329" s="12" t="s">
        <v>37</v>
      </c>
      <c r="UL329" s="12" t="s">
        <v>37</v>
      </c>
      <c r="UM329" s="12" t="s">
        <v>37</v>
      </c>
      <c r="UN329" s="12" t="s">
        <v>37</v>
      </c>
      <c r="UO329" s="12"/>
      <c r="UP329" s="12"/>
      <c r="UR329" s="12" t="s">
        <v>37</v>
      </c>
      <c r="US329" s="12" t="s">
        <v>37</v>
      </c>
      <c r="UT329" s="12" t="s">
        <v>37</v>
      </c>
      <c r="UU329" s="12" t="s">
        <v>37</v>
      </c>
      <c r="UV329" s="12" t="s">
        <v>37</v>
      </c>
      <c r="UW329" s="12" t="s">
        <v>37</v>
      </c>
      <c r="UX329" s="12"/>
      <c r="UY329" s="12"/>
      <c r="VB329" s="12" t="s">
        <v>37</v>
      </c>
      <c r="VC329" s="12" t="s">
        <v>37</v>
      </c>
      <c r="VD329" s="12" t="s">
        <v>37</v>
      </c>
      <c r="VE329" s="12" t="s">
        <v>37</v>
      </c>
      <c r="VF329" s="12" t="s">
        <v>37</v>
      </c>
      <c r="VG329" s="12" t="s">
        <v>37</v>
      </c>
      <c r="VI329" s="12" t="s">
        <v>37</v>
      </c>
      <c r="VJ329" s="12" t="s">
        <v>37</v>
      </c>
      <c r="VK329" s="12" t="s">
        <v>37</v>
      </c>
      <c r="VL329" s="12" t="s">
        <v>37</v>
      </c>
      <c r="VM329" s="12" t="s">
        <v>37</v>
      </c>
      <c r="VN329" s="12" t="s">
        <v>37</v>
      </c>
      <c r="VQ329" s="12" t="s">
        <v>37</v>
      </c>
      <c r="VR329" s="12" t="s">
        <v>37</v>
      </c>
      <c r="VS329" s="12" t="s">
        <v>37</v>
      </c>
      <c r="VT329" s="12" t="s">
        <v>37</v>
      </c>
      <c r="VU329" s="12" t="s">
        <v>37</v>
      </c>
      <c r="VV329" s="12" t="s">
        <v>37</v>
      </c>
      <c r="VW329" s="12"/>
      <c r="VX329" s="12"/>
      <c r="WA329" s="12" t="s">
        <v>37</v>
      </c>
      <c r="WB329" s="12" t="s">
        <v>37</v>
      </c>
      <c r="WC329" s="12" t="s">
        <v>37</v>
      </c>
      <c r="WD329" s="12" t="s">
        <v>37</v>
      </c>
      <c r="WE329" s="12" t="s">
        <v>37</v>
      </c>
      <c r="WF329" s="12" t="s">
        <v>37</v>
      </c>
    </row>
    <row r="330" spans="1:604" ht="18" customHeight="1" x14ac:dyDescent="0.3">
      <c r="A330" s="11">
        <v>71</v>
      </c>
      <c r="B330" s="16" t="s">
        <v>412</v>
      </c>
      <c r="C330" s="12" t="s">
        <v>26</v>
      </c>
      <c r="D330" s="12" t="s">
        <v>54</v>
      </c>
      <c r="E330" s="40">
        <v>0.5</v>
      </c>
      <c r="F330" s="14">
        <v>0</v>
      </c>
      <c r="G330" s="14">
        <v>0</v>
      </c>
      <c r="H330" s="12" t="s">
        <v>123</v>
      </c>
      <c r="I330" s="29">
        <v>62.783000000000001</v>
      </c>
      <c r="J330" s="29">
        <v>29.85</v>
      </c>
      <c r="K330" s="12" t="s">
        <v>413</v>
      </c>
      <c r="L330" s="12" t="s">
        <v>414</v>
      </c>
      <c r="M330" s="13">
        <v>145</v>
      </c>
      <c r="N330" s="14">
        <v>1.9</v>
      </c>
      <c r="O330" s="14">
        <v>650</v>
      </c>
      <c r="P330" s="14" t="s">
        <v>84</v>
      </c>
      <c r="Q330" s="75">
        <v>50</v>
      </c>
      <c r="R330" s="11" t="s">
        <v>1000</v>
      </c>
      <c r="S330" s="12" t="s">
        <v>85</v>
      </c>
      <c r="T330" s="12" t="s">
        <v>138</v>
      </c>
      <c r="U330" s="12" t="s">
        <v>158</v>
      </c>
      <c r="V330" s="12" t="s">
        <v>275</v>
      </c>
      <c r="W330" s="23" t="s">
        <v>415</v>
      </c>
      <c r="X330" s="12" t="s">
        <v>280</v>
      </c>
      <c r="Y330" s="12" t="s">
        <v>37</v>
      </c>
      <c r="Z330" s="12" t="s">
        <v>37</v>
      </c>
      <c r="AB330" s="12" t="s">
        <v>37</v>
      </c>
      <c r="AE330" s="12" t="s">
        <v>37</v>
      </c>
      <c r="AH330" s="12" t="s">
        <v>37</v>
      </c>
      <c r="AK330" s="12" t="s">
        <v>37</v>
      </c>
      <c r="AL330" s="32">
        <v>1992</v>
      </c>
      <c r="AM330" s="12" t="s">
        <v>344</v>
      </c>
      <c r="AO330" s="12" t="s">
        <v>37</v>
      </c>
      <c r="AP330" s="12" t="s">
        <v>108</v>
      </c>
      <c r="AQ330" s="12" t="s">
        <v>975</v>
      </c>
      <c r="AT330" s="12" t="s">
        <v>326</v>
      </c>
      <c r="AU330" s="12" t="s">
        <v>326</v>
      </c>
      <c r="AV330" s="13" t="s">
        <v>326</v>
      </c>
      <c r="AX330" s="12" t="s">
        <v>326</v>
      </c>
      <c r="AY330" s="12" t="s">
        <v>326</v>
      </c>
      <c r="AZ330" s="13" t="s">
        <v>326</v>
      </c>
      <c r="BE330" s="12" t="s">
        <v>326</v>
      </c>
      <c r="BF330" s="12" t="s">
        <v>326</v>
      </c>
      <c r="BG330" s="12" t="s">
        <v>326</v>
      </c>
      <c r="BI330" s="12" t="s">
        <v>326</v>
      </c>
      <c r="BJ330" s="12" t="s">
        <v>326</v>
      </c>
      <c r="BK330" s="12" t="s">
        <v>326</v>
      </c>
      <c r="BP330" s="12" t="s">
        <v>37</v>
      </c>
      <c r="BQ330" s="12" t="s">
        <v>37</v>
      </c>
      <c r="BR330" s="13" t="s">
        <v>37</v>
      </c>
      <c r="BT330" s="12" t="s">
        <v>37</v>
      </c>
      <c r="BU330" s="12" t="s">
        <v>37</v>
      </c>
      <c r="BV330" s="12" t="s">
        <v>37</v>
      </c>
      <c r="CA330" s="12" t="s">
        <v>37</v>
      </c>
      <c r="CB330" s="12" t="s">
        <v>37</v>
      </c>
      <c r="CC330" s="13" t="s">
        <v>37</v>
      </c>
      <c r="CE330" s="12" t="s">
        <v>37</v>
      </c>
      <c r="CF330" s="12" t="s">
        <v>37</v>
      </c>
      <c r="CG330" s="12" t="s">
        <v>37</v>
      </c>
      <c r="CN330" s="12" t="s">
        <v>37</v>
      </c>
      <c r="CO330" s="12" t="s">
        <v>37</v>
      </c>
      <c r="CP330" s="13" t="s">
        <v>37</v>
      </c>
      <c r="CR330" s="12" t="s">
        <v>37</v>
      </c>
      <c r="CS330" s="12" t="s">
        <v>37</v>
      </c>
      <c r="CT330" s="13" t="s">
        <v>37</v>
      </c>
      <c r="CX330" s="72"/>
      <c r="CY330" s="72"/>
      <c r="DA330" s="12" t="s">
        <v>37</v>
      </c>
      <c r="DB330" s="12" t="s">
        <v>37</v>
      </c>
      <c r="DC330" s="13" t="s">
        <v>37</v>
      </c>
      <c r="DE330" s="12" t="s">
        <v>37</v>
      </c>
      <c r="DF330" s="12" t="s">
        <v>37</v>
      </c>
      <c r="DG330" s="12" t="s">
        <v>37</v>
      </c>
      <c r="DM330" s="11" t="s">
        <v>47</v>
      </c>
      <c r="DN330" s="19">
        <v>23.9</v>
      </c>
      <c r="DO330" s="50">
        <f t="shared" si="1262"/>
        <v>26.645615010922207</v>
      </c>
      <c r="DP330" s="13">
        <v>10</v>
      </c>
      <c r="DR330" s="19">
        <v>8.6999999999999993</v>
      </c>
      <c r="DS330" s="50">
        <f t="shared" si="1263"/>
        <v>32.513781763289785</v>
      </c>
      <c r="DT330" s="13">
        <v>15</v>
      </c>
      <c r="DV330" s="19">
        <f t="shared" si="1211"/>
        <v>-15.2</v>
      </c>
      <c r="DW330" s="12">
        <f t="shared" si="1212"/>
        <v>30.352955058133205</v>
      </c>
      <c r="DX330" s="72">
        <f t="shared" si="1251"/>
        <v>153.55031346017566</v>
      </c>
      <c r="DY330" s="72">
        <f t="shared" si="1252"/>
        <v>141.47528023441731</v>
      </c>
      <c r="EA330" s="19" t="s">
        <v>37</v>
      </c>
      <c r="EB330" s="19" t="s">
        <v>37</v>
      </c>
      <c r="EC330" s="72" t="s">
        <v>37</v>
      </c>
      <c r="EE330" s="19" t="s">
        <v>37</v>
      </c>
      <c r="EF330" s="19" t="s">
        <v>37</v>
      </c>
      <c r="EG330" s="12" t="s">
        <v>37</v>
      </c>
      <c r="EM330" s="12" t="s">
        <v>39</v>
      </c>
      <c r="EN330" s="12">
        <v>-27.5</v>
      </c>
      <c r="EO330" s="12">
        <v>13.7</v>
      </c>
      <c r="EP330" s="13">
        <v>10</v>
      </c>
      <c r="EQ330" s="19">
        <f t="shared" si="1239"/>
        <v>0.49818181818181817</v>
      </c>
      <c r="ER330" s="12">
        <v>-43.3</v>
      </c>
      <c r="ES330" s="12">
        <v>10.7</v>
      </c>
      <c r="ET330" s="13">
        <v>15</v>
      </c>
      <c r="EU330" s="19">
        <f t="shared" si="1240"/>
        <v>0.24711316397228639</v>
      </c>
      <c r="EV330" s="19">
        <f t="shared" si="1233"/>
        <v>-15.799999999999997</v>
      </c>
      <c r="EW330" s="12">
        <f t="shared" si="1234"/>
        <v>11.963840447818985</v>
      </c>
      <c r="EX330" s="19">
        <f t="shared" si="1235"/>
        <v>23.855579710144927</v>
      </c>
      <c r="EY330" s="19">
        <f t="shared" si="1236"/>
        <v>26.401666666666664</v>
      </c>
      <c r="FB330" s="12" t="s">
        <v>37</v>
      </c>
      <c r="FC330" s="12" t="s">
        <v>37</v>
      </c>
      <c r="FD330" s="12" t="s">
        <v>37</v>
      </c>
      <c r="FE330" s="12" t="s">
        <v>37</v>
      </c>
      <c r="FF330" s="20" t="s">
        <v>37</v>
      </c>
      <c r="FG330" s="12" t="s">
        <v>37</v>
      </c>
      <c r="FI330" s="12" t="s">
        <v>37</v>
      </c>
      <c r="FJ330" s="12" t="s">
        <v>37</v>
      </c>
      <c r="FK330" s="12" t="s">
        <v>37</v>
      </c>
      <c r="FL330" s="12" t="s">
        <v>37</v>
      </c>
      <c r="FM330" s="12" t="s">
        <v>37</v>
      </c>
      <c r="FN330" s="12" t="s">
        <v>37</v>
      </c>
      <c r="FP330" s="12" t="s">
        <v>37</v>
      </c>
      <c r="FQ330" s="12" t="s">
        <v>37</v>
      </c>
      <c r="FR330" s="12" t="s">
        <v>37</v>
      </c>
      <c r="FS330" s="12" t="s">
        <v>37</v>
      </c>
      <c r="FT330" s="12" t="s">
        <v>37</v>
      </c>
      <c r="FU330" s="12" t="s">
        <v>37</v>
      </c>
      <c r="FW330" s="12" t="s">
        <v>37</v>
      </c>
      <c r="FX330" s="12" t="s">
        <v>37</v>
      </c>
      <c r="FY330" s="12" t="s">
        <v>37</v>
      </c>
      <c r="FZ330" s="12" t="s">
        <v>37</v>
      </c>
      <c r="GA330" s="12" t="s">
        <v>37</v>
      </c>
      <c r="GB330" s="12" t="s">
        <v>37</v>
      </c>
      <c r="GO330" s="12" t="s">
        <v>660</v>
      </c>
      <c r="GP330" s="12" t="s">
        <v>340</v>
      </c>
      <c r="GQ330" s="12">
        <v>10.7</v>
      </c>
      <c r="GR330" s="12">
        <v>1.3</v>
      </c>
      <c r="GS330" s="13">
        <v>10</v>
      </c>
      <c r="GT330" s="19">
        <f t="shared" si="1264"/>
        <v>0.12149532710280375</v>
      </c>
      <c r="GU330" s="12">
        <v>8.4</v>
      </c>
      <c r="GV330" s="12">
        <v>1.3</v>
      </c>
      <c r="GW330" s="13">
        <v>15</v>
      </c>
      <c r="GX330" s="19">
        <f t="shared" si="1265"/>
        <v>0.15476190476190477</v>
      </c>
      <c r="GY330" s="19">
        <f t="shared" si="1266"/>
        <v>-0.24201203561859244</v>
      </c>
      <c r="GZ330" s="19">
        <f t="shared" si="1267"/>
        <v>3.0728612618172533E-3</v>
      </c>
      <c r="HA330" s="17" t="s">
        <v>63</v>
      </c>
      <c r="HB330" s="34" t="s">
        <v>345</v>
      </c>
      <c r="HC330" s="12">
        <v>0.13900000000000001</v>
      </c>
      <c r="HD330" s="50">
        <f t="shared" si="1268"/>
        <v>2.3965232297362245E-2</v>
      </c>
      <c r="HE330" s="13">
        <v>3</v>
      </c>
      <c r="HG330" s="12">
        <v>0.14099999999999999</v>
      </c>
      <c r="HH330" s="50">
        <f t="shared" si="1269"/>
        <v>1.5771487315361814E-2</v>
      </c>
      <c r="HI330" s="13">
        <v>3</v>
      </c>
      <c r="HK330" s="19">
        <f t="shared" si="1270"/>
        <v>1.4285957247476434E-2</v>
      </c>
      <c r="HL330" s="19">
        <f t="shared" si="1271"/>
        <v>1.4079080937294361E-2</v>
      </c>
      <c r="IK330" s="12" t="s">
        <v>37</v>
      </c>
      <c r="IL330" s="12" t="s">
        <v>37</v>
      </c>
      <c r="IM330" s="12" t="s">
        <v>37</v>
      </c>
      <c r="IO330" s="12" t="s">
        <v>37</v>
      </c>
      <c r="IP330" s="12" t="s">
        <v>37</v>
      </c>
      <c r="IQ330" s="12" t="s">
        <v>37</v>
      </c>
      <c r="IW330" s="12" t="s">
        <v>37</v>
      </c>
      <c r="IX330" s="12" t="s">
        <v>37</v>
      </c>
      <c r="IY330" s="13" t="s">
        <v>37</v>
      </c>
      <c r="JA330" s="12" t="s">
        <v>37</v>
      </c>
      <c r="JB330" s="12" t="s">
        <v>37</v>
      </c>
      <c r="JC330" s="13" t="s">
        <v>37</v>
      </c>
      <c r="JH330" s="12" t="s">
        <v>37</v>
      </c>
      <c r="JI330" s="12" t="s">
        <v>37</v>
      </c>
      <c r="JJ330" s="13" t="s">
        <v>37</v>
      </c>
      <c r="JL330" s="12" t="s">
        <v>37</v>
      </c>
      <c r="JM330" s="12" t="s">
        <v>37</v>
      </c>
      <c r="JN330" s="12" t="s">
        <v>37</v>
      </c>
      <c r="JS330" s="12" t="s">
        <v>37</v>
      </c>
      <c r="JT330" s="12" t="s">
        <v>37</v>
      </c>
      <c r="JU330" s="13" t="s">
        <v>37</v>
      </c>
      <c r="JW330" s="12" t="s">
        <v>37</v>
      </c>
      <c r="JX330" s="12" t="s">
        <v>37</v>
      </c>
      <c r="JY330" s="12" t="s">
        <v>37</v>
      </c>
      <c r="KE330" s="12" t="s">
        <v>37</v>
      </c>
      <c r="KF330" s="12" t="s">
        <v>37</v>
      </c>
      <c r="KG330" s="13" t="s">
        <v>37</v>
      </c>
      <c r="KH330" s="12" t="s">
        <v>37</v>
      </c>
      <c r="KI330" s="12" t="s">
        <v>37</v>
      </c>
      <c r="KJ330" s="12" t="s">
        <v>37</v>
      </c>
      <c r="KM330" s="12" t="s">
        <v>37</v>
      </c>
      <c r="KN330" s="12" t="s">
        <v>37</v>
      </c>
      <c r="KO330" s="11" t="s">
        <v>37</v>
      </c>
      <c r="KQ330" s="12" t="s">
        <v>37</v>
      </c>
      <c r="KR330" s="12" t="s">
        <v>37</v>
      </c>
      <c r="KS330" s="12" t="s">
        <v>37</v>
      </c>
      <c r="KX330" s="12" t="s">
        <v>37</v>
      </c>
      <c r="KY330" s="12" t="s">
        <v>37</v>
      </c>
      <c r="KZ330" s="12" t="s">
        <v>37</v>
      </c>
      <c r="LB330" s="12" t="s">
        <v>37</v>
      </c>
      <c r="LC330" s="12" t="s">
        <v>37</v>
      </c>
      <c r="LD330" s="12" t="s">
        <v>37</v>
      </c>
      <c r="LI330" s="12" t="s">
        <v>37</v>
      </c>
      <c r="LJ330" s="12" t="s">
        <v>37</v>
      </c>
      <c r="LK330" s="12" t="s">
        <v>37</v>
      </c>
      <c r="LM330" s="12" t="s">
        <v>37</v>
      </c>
      <c r="LN330" s="12" t="s">
        <v>37</v>
      </c>
      <c r="LO330" s="12" t="s">
        <v>37</v>
      </c>
      <c r="LU330" s="12" t="s">
        <v>37</v>
      </c>
      <c r="LV330" s="12" t="s">
        <v>37</v>
      </c>
      <c r="LW330" s="12" t="s">
        <v>37</v>
      </c>
      <c r="LY330" s="12" t="s">
        <v>37</v>
      </c>
      <c r="LZ330" s="12" t="s">
        <v>37</v>
      </c>
      <c r="MA330" s="12" t="s">
        <v>37</v>
      </c>
      <c r="MF330" s="12" t="s">
        <v>37</v>
      </c>
      <c r="MG330" s="12" t="s">
        <v>37</v>
      </c>
      <c r="MH330" s="12" t="s">
        <v>37</v>
      </c>
      <c r="MJ330" s="12" t="s">
        <v>37</v>
      </c>
      <c r="MK330" s="12" t="s">
        <v>37</v>
      </c>
      <c r="ML330" s="12" t="s">
        <v>37</v>
      </c>
      <c r="MQ330" s="12" t="s">
        <v>37</v>
      </c>
      <c r="MR330" s="12" t="s">
        <v>37</v>
      </c>
      <c r="MS330" s="12" t="s">
        <v>37</v>
      </c>
      <c r="MU330" s="12" t="s">
        <v>37</v>
      </c>
      <c r="MV330" s="12" t="s">
        <v>37</v>
      </c>
      <c r="MW330" s="12" t="s">
        <v>37</v>
      </c>
      <c r="NC330" s="12" t="s">
        <v>37</v>
      </c>
      <c r="ND330" s="12" t="s">
        <v>37</v>
      </c>
      <c r="NE330" s="12" t="s">
        <v>37</v>
      </c>
      <c r="NG330" s="12" t="s">
        <v>37</v>
      </c>
      <c r="NH330" s="12" t="s">
        <v>37</v>
      </c>
      <c r="NI330" s="12" t="s">
        <v>37</v>
      </c>
      <c r="NO330" s="12" t="s">
        <v>37</v>
      </c>
      <c r="NP330" s="12" t="s">
        <v>37</v>
      </c>
      <c r="NQ330" s="12" t="s">
        <v>37</v>
      </c>
      <c r="NS330" s="12" t="s">
        <v>37</v>
      </c>
      <c r="NT330" s="12" t="s">
        <v>37</v>
      </c>
      <c r="NU330" s="12" t="s">
        <v>37</v>
      </c>
      <c r="OA330" s="12" t="s">
        <v>37</v>
      </c>
      <c r="OB330" s="12" t="s">
        <v>37</v>
      </c>
      <c r="OC330" s="12" t="s">
        <v>37</v>
      </c>
      <c r="OD330" s="12"/>
      <c r="OE330" s="12" t="s">
        <v>37</v>
      </c>
      <c r="OF330" s="12" t="s">
        <v>37</v>
      </c>
      <c r="OG330" s="12" t="s">
        <v>37</v>
      </c>
      <c r="OH330" s="12"/>
      <c r="OI330" s="12"/>
      <c r="OJ330" s="12"/>
      <c r="OM330" s="12" t="s">
        <v>37</v>
      </c>
      <c r="ON330" s="12" t="s">
        <v>37</v>
      </c>
      <c r="OO330" s="12" t="s">
        <v>37</v>
      </c>
      <c r="OP330" s="12" t="s">
        <v>37</v>
      </c>
      <c r="OQ330" s="12" t="s">
        <v>37</v>
      </c>
      <c r="OR330" s="12" t="s">
        <v>37</v>
      </c>
      <c r="OS330" s="12"/>
      <c r="OT330" s="12"/>
      <c r="OW330" s="12" t="s">
        <v>37</v>
      </c>
      <c r="OX330" s="12" t="s">
        <v>37</v>
      </c>
      <c r="OY330" s="13" t="s">
        <v>37</v>
      </c>
      <c r="OZ330" s="12" t="s">
        <v>37</v>
      </c>
      <c r="PA330" s="12" t="s">
        <v>37</v>
      </c>
      <c r="PB330" s="13" t="s">
        <v>37</v>
      </c>
      <c r="PG330" s="12" t="s">
        <v>37</v>
      </c>
      <c r="PH330" s="12" t="s">
        <v>37</v>
      </c>
      <c r="PI330" s="12" t="s">
        <v>37</v>
      </c>
      <c r="PJ330" s="12" t="s">
        <v>37</v>
      </c>
      <c r="PK330" s="12" t="s">
        <v>37</v>
      </c>
      <c r="PL330" s="12" t="s">
        <v>37</v>
      </c>
      <c r="PM330" s="12"/>
      <c r="PN330" s="12"/>
      <c r="PQ330" s="12" t="s">
        <v>37</v>
      </c>
      <c r="PR330" s="12" t="s">
        <v>37</v>
      </c>
      <c r="PS330" s="12" t="s">
        <v>37</v>
      </c>
      <c r="PT330" s="12" t="s">
        <v>37</v>
      </c>
      <c r="PU330" s="12" t="s">
        <v>37</v>
      </c>
      <c r="PV330" s="12" t="s">
        <v>37</v>
      </c>
      <c r="PW330" s="12"/>
      <c r="PX330" s="12"/>
      <c r="PZ330" s="12" t="s">
        <v>37</v>
      </c>
      <c r="QA330" s="12" t="s">
        <v>37</v>
      </c>
      <c r="QB330" s="12" t="s">
        <v>37</v>
      </c>
      <c r="QD330" s="12" t="s">
        <v>37</v>
      </c>
      <c r="QE330" s="12" t="s">
        <v>37</v>
      </c>
      <c r="QF330" s="12" t="s">
        <v>37</v>
      </c>
      <c r="QK330" s="12" t="s">
        <v>37</v>
      </c>
      <c r="QL330" s="12" t="s">
        <v>37</v>
      </c>
      <c r="QM330" s="12" t="s">
        <v>37</v>
      </c>
      <c r="QN330" s="12" t="s">
        <v>37</v>
      </c>
      <c r="QO330" s="12" t="s">
        <v>37</v>
      </c>
      <c r="QP330" s="12" t="s">
        <v>37</v>
      </c>
      <c r="QQ330" s="12"/>
      <c r="QR330" s="12"/>
      <c r="QU330" s="12" t="s">
        <v>37</v>
      </c>
      <c r="QV330" s="12" t="s">
        <v>37</v>
      </c>
      <c r="QW330" s="12" t="s">
        <v>37</v>
      </c>
      <c r="QX330" s="12" t="s">
        <v>37</v>
      </c>
      <c r="QY330" s="12" t="s">
        <v>37</v>
      </c>
      <c r="QZ330" s="12" t="s">
        <v>37</v>
      </c>
      <c r="RC330" s="12" t="s">
        <v>37</v>
      </c>
      <c r="RD330" s="12" t="s">
        <v>37</v>
      </c>
      <c r="RE330" s="13" t="s">
        <v>37</v>
      </c>
      <c r="RF330" s="12" t="s">
        <v>37</v>
      </c>
      <c r="RG330" s="12" t="s">
        <v>37</v>
      </c>
      <c r="RH330" s="13" t="s">
        <v>37</v>
      </c>
      <c r="RK330" s="12" t="s">
        <v>37</v>
      </c>
      <c r="RL330" s="12" t="s">
        <v>37</v>
      </c>
      <c r="RM330" s="11" t="s">
        <v>37</v>
      </c>
      <c r="RN330" s="12" t="s">
        <v>37</v>
      </c>
      <c r="RO330" s="12" t="s">
        <v>37</v>
      </c>
      <c r="RP330" s="11" t="s">
        <v>37</v>
      </c>
      <c r="RS330" s="12" t="s">
        <v>37</v>
      </c>
      <c r="RT330" s="12" t="s">
        <v>37</v>
      </c>
      <c r="RU330" s="12" t="s">
        <v>37</v>
      </c>
      <c r="RV330" s="12" t="s">
        <v>37</v>
      </c>
      <c r="RW330" s="12" t="s">
        <v>37</v>
      </c>
      <c r="RX330" s="12" t="s">
        <v>37</v>
      </c>
      <c r="SA330" s="12" t="s">
        <v>37</v>
      </c>
      <c r="SB330" s="12" t="s">
        <v>37</v>
      </c>
      <c r="SC330" s="12" t="s">
        <v>37</v>
      </c>
      <c r="SD330" s="12" t="s">
        <v>37</v>
      </c>
      <c r="SE330" s="12" t="s">
        <v>37</v>
      </c>
      <c r="SF330" s="12" t="s">
        <v>37</v>
      </c>
      <c r="SI330" s="12" t="s">
        <v>37</v>
      </c>
      <c r="SJ330" s="12" t="s">
        <v>37</v>
      </c>
      <c r="SK330" s="13" t="s">
        <v>37</v>
      </c>
      <c r="SM330" s="12" t="s">
        <v>37</v>
      </c>
      <c r="SN330" s="12" t="s">
        <v>37</v>
      </c>
      <c r="SO330" s="13" t="s">
        <v>37</v>
      </c>
      <c r="SU330" s="12" t="s">
        <v>37</v>
      </c>
      <c r="SV330" s="12" t="s">
        <v>37</v>
      </c>
      <c r="SW330" s="12" t="s">
        <v>37</v>
      </c>
      <c r="SX330" s="12" t="s">
        <v>37</v>
      </c>
      <c r="SY330" s="12" t="s">
        <v>37</v>
      </c>
      <c r="SZ330" s="12" t="s">
        <v>37</v>
      </c>
      <c r="TA330" s="12"/>
      <c r="TB330" s="12"/>
      <c r="TE330" s="12" t="s">
        <v>37</v>
      </c>
      <c r="TF330" s="12" t="s">
        <v>37</v>
      </c>
      <c r="TG330" s="12" t="s">
        <v>37</v>
      </c>
      <c r="TH330" s="12" t="s">
        <v>37</v>
      </c>
      <c r="TI330" s="12" t="s">
        <v>37</v>
      </c>
      <c r="TJ330" s="12" t="s">
        <v>37</v>
      </c>
      <c r="TK330" s="12"/>
      <c r="TL330" s="12"/>
      <c r="TO330" s="12" t="s">
        <v>37</v>
      </c>
      <c r="TP330" s="12" t="s">
        <v>37</v>
      </c>
      <c r="TQ330" s="12" t="s">
        <v>37</v>
      </c>
      <c r="TR330" s="12" t="s">
        <v>37</v>
      </c>
      <c r="TS330" s="12" t="s">
        <v>37</v>
      </c>
      <c r="TT330" s="12" t="s">
        <v>37</v>
      </c>
      <c r="TU330" s="12"/>
      <c r="TV330" s="12"/>
      <c r="TY330" s="12" t="s">
        <v>37</v>
      </c>
      <c r="TZ330" s="12" t="s">
        <v>37</v>
      </c>
      <c r="UA330" s="12" t="s">
        <v>37</v>
      </c>
      <c r="UB330" s="12" t="s">
        <v>37</v>
      </c>
      <c r="UC330" s="12" t="s">
        <v>37</v>
      </c>
      <c r="UD330" s="12" t="s">
        <v>37</v>
      </c>
      <c r="UE330" s="12"/>
      <c r="UF330" s="12"/>
      <c r="UI330" s="12" t="s">
        <v>37</v>
      </c>
      <c r="UJ330" s="12" t="s">
        <v>37</v>
      </c>
      <c r="UK330" s="12" t="s">
        <v>37</v>
      </c>
      <c r="UL330" s="12" t="s">
        <v>37</v>
      </c>
      <c r="UM330" s="12" t="s">
        <v>37</v>
      </c>
      <c r="UN330" s="12" t="s">
        <v>37</v>
      </c>
      <c r="UO330" s="12"/>
      <c r="UP330" s="12"/>
      <c r="UR330" s="12" t="s">
        <v>37</v>
      </c>
      <c r="US330" s="12" t="s">
        <v>37</v>
      </c>
      <c r="UT330" s="12" t="s">
        <v>37</v>
      </c>
      <c r="UU330" s="12" t="s">
        <v>37</v>
      </c>
      <c r="UV330" s="12" t="s">
        <v>37</v>
      </c>
      <c r="UW330" s="12" t="s">
        <v>37</v>
      </c>
      <c r="UX330" s="12"/>
      <c r="UY330" s="12"/>
      <c r="VB330" s="12" t="s">
        <v>37</v>
      </c>
      <c r="VC330" s="12" t="s">
        <v>37</v>
      </c>
      <c r="VD330" s="12" t="s">
        <v>37</v>
      </c>
      <c r="VE330" s="12" t="s">
        <v>37</v>
      </c>
      <c r="VF330" s="12" t="s">
        <v>37</v>
      </c>
      <c r="VG330" s="12" t="s">
        <v>37</v>
      </c>
      <c r="VI330" s="12" t="s">
        <v>37</v>
      </c>
      <c r="VJ330" s="12" t="s">
        <v>37</v>
      </c>
      <c r="VK330" s="12" t="s">
        <v>37</v>
      </c>
      <c r="VL330" s="12" t="s">
        <v>37</v>
      </c>
      <c r="VM330" s="12" t="s">
        <v>37</v>
      </c>
      <c r="VN330" s="12" t="s">
        <v>37</v>
      </c>
      <c r="VQ330" s="12" t="s">
        <v>37</v>
      </c>
      <c r="VR330" s="12" t="s">
        <v>37</v>
      </c>
      <c r="VS330" s="12" t="s">
        <v>37</v>
      </c>
      <c r="VT330" s="12" t="s">
        <v>37</v>
      </c>
      <c r="VU330" s="12" t="s">
        <v>37</v>
      </c>
      <c r="VV330" s="12" t="s">
        <v>37</v>
      </c>
      <c r="VW330" s="12"/>
      <c r="VX330" s="12"/>
      <c r="WA330" s="12" t="s">
        <v>37</v>
      </c>
      <c r="WB330" s="12" t="s">
        <v>37</v>
      </c>
      <c r="WC330" s="12" t="s">
        <v>37</v>
      </c>
      <c r="WD330" s="12" t="s">
        <v>37</v>
      </c>
      <c r="WE330" s="12" t="s">
        <v>37</v>
      </c>
      <c r="WF330" s="12" t="s">
        <v>37</v>
      </c>
    </row>
    <row r="331" spans="1:604" ht="18" customHeight="1" x14ac:dyDescent="0.3">
      <c r="A331" s="11">
        <v>72</v>
      </c>
      <c r="B331" s="16" t="s">
        <v>424</v>
      </c>
      <c r="C331" s="12" t="s">
        <v>26</v>
      </c>
      <c r="D331" s="12" t="s">
        <v>1039</v>
      </c>
      <c r="E331" s="40">
        <v>1.4</v>
      </c>
      <c r="F331" s="14">
        <v>0</v>
      </c>
      <c r="G331" s="14">
        <v>0</v>
      </c>
      <c r="H331" s="12" t="s">
        <v>79</v>
      </c>
      <c r="I331" s="29">
        <v>33.1</v>
      </c>
      <c r="J331" s="29">
        <v>102.65</v>
      </c>
      <c r="K331" s="12" t="s">
        <v>781</v>
      </c>
      <c r="L331" s="12" t="s">
        <v>782</v>
      </c>
      <c r="M331" s="13">
        <v>3471</v>
      </c>
      <c r="N331" s="14">
        <v>1.5</v>
      </c>
      <c r="O331" s="14">
        <v>756</v>
      </c>
      <c r="P331" s="14" t="s">
        <v>16</v>
      </c>
      <c r="Q331" s="75" t="s">
        <v>326</v>
      </c>
      <c r="R331" s="11" t="s">
        <v>1000</v>
      </c>
      <c r="S331" s="12" t="s">
        <v>51</v>
      </c>
      <c r="T331" s="12" t="s">
        <v>37</v>
      </c>
      <c r="U331" s="12" t="s">
        <v>37</v>
      </c>
      <c r="V331" s="12" t="s">
        <v>275</v>
      </c>
      <c r="W331" s="23" t="s">
        <v>425</v>
      </c>
      <c r="X331" s="12" t="s">
        <v>280</v>
      </c>
      <c r="Y331" s="12" t="s">
        <v>37</v>
      </c>
      <c r="Z331" s="12" t="s">
        <v>37</v>
      </c>
      <c r="AA331" s="32" t="s">
        <v>340</v>
      </c>
      <c r="AB331" s="12">
        <v>5.67</v>
      </c>
      <c r="AC331" s="12" t="s">
        <v>42</v>
      </c>
      <c r="AD331" s="32" t="s">
        <v>345</v>
      </c>
      <c r="AE331" s="12">
        <v>251.7</v>
      </c>
      <c r="AF331" s="12" t="s">
        <v>42</v>
      </c>
      <c r="AG331" s="32" t="s">
        <v>340</v>
      </c>
      <c r="AH331" s="12">
        <v>17.5</v>
      </c>
      <c r="AJ331" s="12" t="str">
        <f t="shared" ref="AJ331:AJ332" si="1288">AD331</f>
        <v>0-10</v>
      </c>
      <c r="AK331" s="19">
        <f t="shared" ref="AK331:AK332" si="1289">AE331/AH331</f>
        <v>14.382857142857143</v>
      </c>
      <c r="AL331" s="32" t="s">
        <v>426</v>
      </c>
      <c r="AM331" s="12" t="s">
        <v>344</v>
      </c>
      <c r="AO331" s="12" t="s">
        <v>37</v>
      </c>
      <c r="AP331" s="12" t="s">
        <v>238</v>
      </c>
      <c r="AQ331" s="12" t="s">
        <v>975</v>
      </c>
      <c r="AR331" s="12" t="s">
        <v>42</v>
      </c>
      <c r="AS331" s="32" t="s">
        <v>501</v>
      </c>
      <c r="AT331" s="12">
        <v>251.7</v>
      </c>
      <c r="AU331" s="12">
        <f>2.78*SQRT(3)</f>
        <v>4.8151012450414781</v>
      </c>
      <c r="AV331" s="13">
        <v>3</v>
      </c>
      <c r="AW331" s="19">
        <f t="shared" ref="AW331:AW332" si="1290">AU331/AT331</f>
        <v>1.9130318812242662E-2</v>
      </c>
      <c r="AX331" s="12">
        <v>264.8</v>
      </c>
      <c r="AY331" s="12">
        <f>0.7*SQRT(3)</f>
        <v>1.2124355652982139</v>
      </c>
      <c r="AZ331" s="13">
        <v>3</v>
      </c>
      <c r="BA331" s="19">
        <f t="shared" ref="BA331:BA332" si="1291">AY331/AX331</f>
        <v>4.5786841589811706E-3</v>
      </c>
      <c r="BB331" s="52">
        <f t="shared" ref="BB331:BB332" si="1292">LN(AX331/AT331)</f>
        <v>5.0736921921583099E-2</v>
      </c>
      <c r="BC331" s="19">
        <f t="shared" ref="BC331:BC332" si="1293">AY331^2/(AZ331*AX331^2)+AU331^2/(AV331*AT331^2)</f>
        <v>1.2897781549525022E-4</v>
      </c>
      <c r="BE331" s="12" t="s">
        <v>326</v>
      </c>
      <c r="BF331" s="12" t="s">
        <v>326</v>
      </c>
      <c r="BG331" s="12" t="s">
        <v>326</v>
      </c>
      <c r="BI331" s="12" t="s">
        <v>326</v>
      </c>
      <c r="BJ331" s="12" t="s">
        <v>326</v>
      </c>
      <c r="BK331" s="12" t="s">
        <v>326</v>
      </c>
      <c r="BP331" s="12" t="s">
        <v>37</v>
      </c>
      <c r="BQ331" s="12" t="s">
        <v>37</v>
      </c>
      <c r="BR331" s="13" t="s">
        <v>37</v>
      </c>
      <c r="BT331" s="12" t="s">
        <v>37</v>
      </c>
      <c r="BU331" s="12" t="s">
        <v>37</v>
      </c>
      <c r="BV331" s="12" t="s">
        <v>37</v>
      </c>
      <c r="CA331" s="12" t="s">
        <v>37</v>
      </c>
      <c r="CB331" s="12" t="s">
        <v>37</v>
      </c>
      <c r="CC331" s="13" t="s">
        <v>37</v>
      </c>
      <c r="CE331" s="12" t="s">
        <v>37</v>
      </c>
      <c r="CF331" s="12" t="s">
        <v>37</v>
      </c>
      <c r="CG331" s="12" t="s">
        <v>37</v>
      </c>
      <c r="CN331" s="12" t="s">
        <v>37</v>
      </c>
      <c r="CO331" s="12" t="s">
        <v>37</v>
      </c>
      <c r="CP331" s="13" t="s">
        <v>37</v>
      </c>
      <c r="CR331" s="12" t="s">
        <v>37</v>
      </c>
      <c r="CS331" s="12" t="s">
        <v>37</v>
      </c>
      <c r="CT331" s="13" t="s">
        <v>37</v>
      </c>
      <c r="CX331" s="72"/>
      <c r="CY331" s="72"/>
      <c r="DA331" s="12" t="s">
        <v>37</v>
      </c>
      <c r="DB331" s="12" t="s">
        <v>37</v>
      </c>
      <c r="DC331" s="13" t="s">
        <v>37</v>
      </c>
      <c r="DE331" s="12" t="s">
        <v>37</v>
      </c>
      <c r="DF331" s="12" t="s">
        <v>37</v>
      </c>
      <c r="DG331" s="12" t="s">
        <v>37</v>
      </c>
      <c r="DM331" s="11" t="s">
        <v>47</v>
      </c>
      <c r="DN331" s="19">
        <f>26.85*16/12*365*10^4/10^6</f>
        <v>130.67000000000002</v>
      </c>
      <c r="DO331" s="12">
        <f>8.09*SQRT(3)*16/12*365*10^4/10^6</f>
        <v>68.193149695063454</v>
      </c>
      <c r="DP331" s="13">
        <v>3</v>
      </c>
      <c r="DQ331" s="19">
        <f t="shared" ref="DQ331:DQ347" si="1294">DO331/ABS(DN331)</f>
        <v>0.52187303661944939</v>
      </c>
      <c r="DR331" s="19">
        <f>12.54*16/12*365*10^4/10^6</f>
        <v>61.027999999999992</v>
      </c>
      <c r="DS331" s="12">
        <f>5.13*SQRT(3)*16/12*365*10^4/10^6</f>
        <v>43.24238046176459</v>
      </c>
      <c r="DT331" s="13">
        <v>3</v>
      </c>
      <c r="DU331" s="19">
        <f t="shared" ref="DU331:DU347" si="1295">DS331/ABS(DR331)</f>
        <v>0.70856623945999531</v>
      </c>
      <c r="DV331" s="19">
        <f t="shared" si="1211"/>
        <v>-69.642000000000024</v>
      </c>
      <c r="DW331" s="12">
        <f t="shared" si="1212"/>
        <v>57.097325389782192</v>
      </c>
      <c r="DX331" s="72">
        <f t="shared" si="1251"/>
        <v>2173.4030444444438</v>
      </c>
      <c r="DY331" s="72">
        <f t="shared" si="1252"/>
        <v>2173.4030444444443</v>
      </c>
      <c r="EA331" s="19" t="s">
        <v>37</v>
      </c>
      <c r="EB331" s="19" t="s">
        <v>37</v>
      </c>
      <c r="EC331" s="72" t="s">
        <v>37</v>
      </c>
      <c r="EE331" s="19" t="s">
        <v>37</v>
      </c>
      <c r="EF331" s="19" t="s">
        <v>37</v>
      </c>
      <c r="EG331" s="12" t="s">
        <v>37</v>
      </c>
      <c r="EM331" s="12" t="s">
        <v>39</v>
      </c>
      <c r="EN331" s="12">
        <v>-1.7536945812807845</v>
      </c>
      <c r="EO331" s="12">
        <v>0.69808857905462174</v>
      </c>
      <c r="EP331" s="13">
        <v>3</v>
      </c>
      <c r="EQ331" s="19">
        <f t="shared" si="1239"/>
        <v>0.39806736389912506</v>
      </c>
      <c r="ER331" s="12">
        <v>-7.7635467980295543</v>
      </c>
      <c r="ES331" s="12">
        <v>0.98832726576778518</v>
      </c>
      <c r="ET331" s="13">
        <v>3</v>
      </c>
      <c r="EU331" s="19">
        <f t="shared" si="1240"/>
        <v>0.12730357547643431</v>
      </c>
      <c r="EV331" s="19">
        <f t="shared" si="1233"/>
        <v>-6.0098522167487696</v>
      </c>
      <c r="EW331" s="12">
        <f t="shared" si="1234"/>
        <v>0.85560459572939618</v>
      </c>
      <c r="EX331" s="19">
        <f t="shared" si="1235"/>
        <v>0.48803948282217569</v>
      </c>
      <c r="EY331" s="19">
        <f t="shared" si="1236"/>
        <v>0.48803948282217574</v>
      </c>
      <c r="FB331" s="12" t="s">
        <v>37</v>
      </c>
      <c r="FC331" s="12" t="s">
        <v>37</v>
      </c>
      <c r="FD331" s="12" t="s">
        <v>37</v>
      </c>
      <c r="FE331" s="12" t="s">
        <v>37</v>
      </c>
      <c r="FF331" s="20" t="s">
        <v>37</v>
      </c>
      <c r="FG331" s="12" t="s">
        <v>37</v>
      </c>
      <c r="FI331" s="12" t="s">
        <v>37</v>
      </c>
      <c r="FJ331" s="12" t="s">
        <v>37</v>
      </c>
      <c r="FK331" s="12" t="s">
        <v>37</v>
      </c>
      <c r="FL331" s="12" t="s">
        <v>37</v>
      </c>
      <c r="FM331" s="12" t="s">
        <v>37</v>
      </c>
      <c r="FN331" s="12" t="s">
        <v>37</v>
      </c>
      <c r="FP331" s="12" t="s">
        <v>37</v>
      </c>
      <c r="FQ331" s="12" t="s">
        <v>37</v>
      </c>
      <c r="FR331" s="12" t="s">
        <v>37</v>
      </c>
      <c r="FS331" s="12" t="s">
        <v>37</v>
      </c>
      <c r="FT331" s="12" t="s">
        <v>37</v>
      </c>
      <c r="FU331" s="12" t="s">
        <v>37</v>
      </c>
      <c r="FW331" s="12" t="s">
        <v>37</v>
      </c>
      <c r="FX331" s="12" t="s">
        <v>37</v>
      </c>
      <c r="FY331" s="12" t="s">
        <v>37</v>
      </c>
      <c r="FZ331" s="12" t="s">
        <v>37</v>
      </c>
      <c r="GA331" s="12" t="s">
        <v>37</v>
      </c>
      <c r="GB331" s="12" t="s">
        <v>37</v>
      </c>
      <c r="GO331" s="12" t="s">
        <v>660</v>
      </c>
      <c r="GP331" s="12" t="s">
        <v>330</v>
      </c>
      <c r="GQ331" s="12">
        <v>7.7767857142857144</v>
      </c>
      <c r="GR331" s="12">
        <v>1.6813017800347436</v>
      </c>
      <c r="GS331" s="13">
        <v>3</v>
      </c>
      <c r="GT331" s="19">
        <f t="shared" si="1264"/>
        <v>0.21619494760492686</v>
      </c>
      <c r="GU331" s="12">
        <v>9.4396551724137936</v>
      </c>
      <c r="GV331" s="12">
        <v>1.638404131831225</v>
      </c>
      <c r="GW331" s="13">
        <v>3</v>
      </c>
      <c r="GX331" s="19">
        <f t="shared" si="1265"/>
        <v>0.17356609981043114</v>
      </c>
      <c r="GY331" s="19">
        <f t="shared" si="1266"/>
        <v>0.19377634558682841</v>
      </c>
      <c r="GZ331" s="19">
        <f t="shared" si="1267"/>
        <v>2.5621815457767205E-2</v>
      </c>
      <c r="IK331" s="12" t="s">
        <v>37</v>
      </c>
      <c r="IL331" s="12" t="s">
        <v>37</v>
      </c>
      <c r="IM331" s="12" t="s">
        <v>37</v>
      </c>
      <c r="IO331" s="12" t="s">
        <v>37</v>
      </c>
      <c r="IP331" s="12" t="s">
        <v>37</v>
      </c>
      <c r="IQ331" s="12" t="s">
        <v>37</v>
      </c>
      <c r="IV331" s="32" t="s">
        <v>340</v>
      </c>
      <c r="IW331" s="12">
        <v>5.67</v>
      </c>
      <c r="IX331" s="12">
        <f>0.03*SQRT(3)</f>
        <v>5.1961524227066312E-2</v>
      </c>
      <c r="IY331" s="13">
        <v>3</v>
      </c>
      <c r="IZ331" s="19">
        <f t="shared" ref="IZ331:IZ332" si="1296">IX331/IW331</f>
        <v>9.1642899871369164E-3</v>
      </c>
      <c r="JA331" s="12">
        <v>5.93</v>
      </c>
      <c r="JB331" s="12">
        <f>0.02*SQRT(3)</f>
        <v>3.4641016151377546E-2</v>
      </c>
      <c r="JC331" s="13">
        <v>3</v>
      </c>
      <c r="JD331" s="19">
        <f t="shared" ref="JD331:JD332" si="1297">JB331/JA331</f>
        <v>5.8416553375004298E-3</v>
      </c>
      <c r="JE331" s="19">
        <f t="shared" ref="JE331:JE332" si="1298">LN(JA331/IW331)</f>
        <v>4.4835095269973271E-2</v>
      </c>
      <c r="JF331" s="19">
        <f t="shared" ref="JF331:JF332" si="1299">JB331^2/(JC331*JA331^2)+IX331^2/(IY331*IW331^2)</f>
        <v>3.9369716016828397E-5</v>
      </c>
      <c r="JH331" s="12" t="s">
        <v>37</v>
      </c>
      <c r="JI331" s="12" t="s">
        <v>37</v>
      </c>
      <c r="JJ331" s="13" t="s">
        <v>37</v>
      </c>
      <c r="JL331" s="12" t="s">
        <v>37</v>
      </c>
      <c r="JM331" s="12" t="s">
        <v>37</v>
      </c>
      <c r="JN331" s="12" t="s">
        <v>37</v>
      </c>
      <c r="JS331" s="12" t="s">
        <v>37</v>
      </c>
      <c r="JT331" s="12" t="s">
        <v>37</v>
      </c>
      <c r="JU331" s="13" t="s">
        <v>37</v>
      </c>
      <c r="JW331" s="12" t="s">
        <v>37</v>
      </c>
      <c r="JX331" s="12" t="s">
        <v>37</v>
      </c>
      <c r="JY331" s="12" t="s">
        <v>37</v>
      </c>
      <c r="KE331" s="12" t="s">
        <v>37</v>
      </c>
      <c r="KF331" s="12" t="s">
        <v>37</v>
      </c>
      <c r="KG331" s="13" t="s">
        <v>37</v>
      </c>
      <c r="KH331" s="12" t="s">
        <v>37</v>
      </c>
      <c r="KI331" s="12" t="s">
        <v>37</v>
      </c>
      <c r="KJ331" s="12" t="s">
        <v>37</v>
      </c>
      <c r="KK331" s="12" t="s">
        <v>42</v>
      </c>
      <c r="KL331" s="32" t="s">
        <v>340</v>
      </c>
      <c r="KM331" s="12">
        <v>17.5</v>
      </c>
      <c r="KN331" s="12">
        <f>1.9*SQRT(3)</f>
        <v>3.2908965343808667</v>
      </c>
      <c r="KO331" s="11">
        <v>3</v>
      </c>
      <c r="KP331" s="19">
        <f t="shared" ref="KP331:KP332" si="1300">KN331/KM331</f>
        <v>0.18805123053604952</v>
      </c>
      <c r="KQ331" s="12">
        <v>19.899999999999999</v>
      </c>
      <c r="KR331" s="12">
        <f>0.2*SQRT(3)</f>
        <v>0.34641016151377546</v>
      </c>
      <c r="KS331" s="13">
        <v>3</v>
      </c>
      <c r="KT331" s="19">
        <f t="shared" ref="KT331:KT332" si="1301">KR331/KQ331</f>
        <v>1.7407545804712335E-2</v>
      </c>
      <c r="KU331" s="19">
        <f t="shared" ref="KU331:KU332" si="1302">LN(KQ331/KM331)</f>
        <v>0.12851885080097822</v>
      </c>
      <c r="KV331" s="19">
        <f t="shared" ref="KV331:KV332" si="1303">KR331^2/(KS331*KQ331^2)+KN331^2/(KO331*KM331^2)</f>
        <v>1.18887626523552E-2</v>
      </c>
      <c r="KX331" s="12" t="s">
        <v>37</v>
      </c>
      <c r="KY331" s="12" t="s">
        <v>37</v>
      </c>
      <c r="KZ331" s="12" t="s">
        <v>37</v>
      </c>
      <c r="LB331" s="12" t="s">
        <v>37</v>
      </c>
      <c r="LC331" s="12" t="s">
        <v>37</v>
      </c>
      <c r="LD331" s="12" t="s">
        <v>37</v>
      </c>
      <c r="LI331" s="12" t="s">
        <v>37</v>
      </c>
      <c r="LJ331" s="12" t="s">
        <v>37</v>
      </c>
      <c r="LK331" s="12" t="s">
        <v>37</v>
      </c>
      <c r="LM331" s="12" t="s">
        <v>37</v>
      </c>
      <c r="LN331" s="12" t="s">
        <v>37</v>
      </c>
      <c r="LO331" s="12" t="s">
        <v>37</v>
      </c>
      <c r="LT331" s="12" t="str">
        <f t="shared" ref="LT331:LT332" si="1304">KL331</f>
        <v>0-30</v>
      </c>
      <c r="LU331" s="12">
        <f>AT331/KM331</f>
        <v>14.382857142857143</v>
      </c>
      <c r="LV331" s="12">
        <f>SQRT((1/KM331)^2*AU331^2+AT331^2*(-1/KM331^2)^2*KN331^2)</f>
        <v>2.7186733000834105</v>
      </c>
      <c r="LW331" s="13">
        <f t="shared" ref="LW331:LW332" si="1305">KO331</f>
        <v>3</v>
      </c>
      <c r="LX331" s="19">
        <f t="shared" ref="LX331:LX332" si="1306">LV331/LU331</f>
        <v>0.1890217828822395</v>
      </c>
      <c r="LY331" s="12">
        <f>AX331/KQ331</f>
        <v>13.306532663316585</v>
      </c>
      <c r="LZ331" s="12">
        <f>SQRT((1/KQ331)^2*AY331^2+AX331^2*(-1/KQ331^2)^2*KR331^2)</f>
        <v>0.2395127825960795</v>
      </c>
      <c r="MA331" s="13">
        <f t="shared" ref="MA331:MA332" si="1307">KS331</f>
        <v>3</v>
      </c>
      <c r="MB331" s="19">
        <f t="shared" ref="MB331:MB332" si="1308">LZ331/LY331</f>
        <v>1.7999638873345852E-2</v>
      </c>
      <c r="MC331" s="19">
        <f t="shared" ref="MC331:MC332" si="1309">LN(LY331/LU331)</f>
        <v>-7.7781928879395265E-2</v>
      </c>
      <c r="MD331" s="19">
        <f t="shared" ref="MD331:MD332" si="1310">LZ331^2/(MA331*LY331^2)+LV331^2/(LW331*LU331^2)</f>
        <v>1.201774046785045E-2</v>
      </c>
      <c r="MF331" s="12" t="s">
        <v>37</v>
      </c>
      <c r="MG331" s="12" t="s">
        <v>37</v>
      </c>
      <c r="MH331" s="12" t="s">
        <v>37</v>
      </c>
      <c r="MJ331" s="12" t="s">
        <v>37</v>
      </c>
      <c r="MK331" s="12" t="s">
        <v>37</v>
      </c>
      <c r="ML331" s="12" t="s">
        <v>37</v>
      </c>
      <c r="MQ331" s="12" t="s">
        <v>37</v>
      </c>
      <c r="MR331" s="12" t="s">
        <v>37</v>
      </c>
      <c r="MS331" s="12" t="s">
        <v>37</v>
      </c>
      <c r="MU331" s="12" t="s">
        <v>37</v>
      </c>
      <c r="MV331" s="12" t="s">
        <v>37</v>
      </c>
      <c r="MW331" s="12" t="s">
        <v>37</v>
      </c>
      <c r="NC331" s="12" t="s">
        <v>37</v>
      </c>
      <c r="ND331" s="12" t="s">
        <v>37</v>
      </c>
      <c r="NE331" s="12" t="s">
        <v>37</v>
      </c>
      <c r="NG331" s="12" t="s">
        <v>37</v>
      </c>
      <c r="NH331" s="12" t="s">
        <v>37</v>
      </c>
      <c r="NI331" s="12" t="s">
        <v>37</v>
      </c>
      <c r="NO331" s="12" t="s">
        <v>37</v>
      </c>
      <c r="NP331" s="12" t="s">
        <v>37</v>
      </c>
      <c r="NQ331" s="12" t="s">
        <v>37</v>
      </c>
      <c r="NS331" s="12" t="s">
        <v>37</v>
      </c>
      <c r="NT331" s="12" t="s">
        <v>37</v>
      </c>
      <c r="NU331" s="12" t="s">
        <v>37</v>
      </c>
      <c r="OA331" s="12" t="s">
        <v>37</v>
      </c>
      <c r="OB331" s="12" t="s">
        <v>37</v>
      </c>
      <c r="OC331" s="12" t="s">
        <v>37</v>
      </c>
      <c r="OD331" s="12"/>
      <c r="OE331" s="12" t="s">
        <v>37</v>
      </c>
      <c r="OF331" s="12" t="s">
        <v>37</v>
      </c>
      <c r="OG331" s="12" t="s">
        <v>37</v>
      </c>
      <c r="OH331" s="12"/>
      <c r="OI331" s="12"/>
      <c r="OJ331" s="12"/>
      <c r="OM331" s="12" t="s">
        <v>37</v>
      </c>
      <c r="ON331" s="12" t="s">
        <v>37</v>
      </c>
      <c r="OO331" s="12" t="s">
        <v>37</v>
      </c>
      <c r="OP331" s="12" t="s">
        <v>37</v>
      </c>
      <c r="OQ331" s="12" t="s">
        <v>37</v>
      </c>
      <c r="OR331" s="12" t="s">
        <v>37</v>
      </c>
      <c r="OS331" s="12"/>
      <c r="OT331" s="12"/>
      <c r="OU331" s="12" t="s">
        <v>45</v>
      </c>
      <c r="OV331" s="12" t="s">
        <v>340</v>
      </c>
      <c r="OW331" s="12">
        <v>445.04</v>
      </c>
      <c r="OX331" s="12">
        <f>81.3*SQRT(3)</f>
        <v>140.81573065534971</v>
      </c>
      <c r="OY331" s="13">
        <v>3</v>
      </c>
      <c r="OZ331" s="12">
        <v>348.63</v>
      </c>
      <c r="PA331" s="12">
        <f>22.8*SQRT(3)</f>
        <v>39.490758412570401</v>
      </c>
      <c r="PB331" s="13">
        <v>3</v>
      </c>
      <c r="PC331" s="19">
        <f t="shared" ref="PC331:PC332" si="1311">LN(OZ331/OW331)</f>
        <v>-0.24415297786414578</v>
      </c>
      <c r="PD331" s="19">
        <f t="shared" ref="PD331:PD332" si="1312">PA331^2/(PB331*OZ331^2)+OX331^2/(OY331*OW331^2)</f>
        <v>3.7649067762943904E-2</v>
      </c>
      <c r="PG331" s="12" t="s">
        <v>37</v>
      </c>
      <c r="PH331" s="12" t="s">
        <v>37</v>
      </c>
      <c r="PI331" s="12" t="s">
        <v>37</v>
      </c>
      <c r="PJ331" s="12" t="s">
        <v>37</v>
      </c>
      <c r="PK331" s="12" t="s">
        <v>37</v>
      </c>
      <c r="PL331" s="12" t="s">
        <v>37</v>
      </c>
      <c r="PM331" s="12"/>
      <c r="PN331" s="12"/>
      <c r="PQ331" s="12" t="s">
        <v>37</v>
      </c>
      <c r="PR331" s="12" t="s">
        <v>37</v>
      </c>
      <c r="PS331" s="12" t="s">
        <v>37</v>
      </c>
      <c r="PT331" s="12" t="s">
        <v>37</v>
      </c>
      <c r="PU331" s="12" t="s">
        <v>37</v>
      </c>
      <c r="PV331" s="12" t="s">
        <v>37</v>
      </c>
      <c r="PW331" s="12"/>
      <c r="PX331" s="12"/>
      <c r="PZ331" s="12" t="s">
        <v>37</v>
      </c>
      <c r="QA331" s="12" t="s">
        <v>37</v>
      </c>
      <c r="QB331" s="12" t="s">
        <v>37</v>
      </c>
      <c r="QD331" s="12" t="s">
        <v>37</v>
      </c>
      <c r="QE331" s="12" t="s">
        <v>37</v>
      </c>
      <c r="QF331" s="12" t="s">
        <v>37</v>
      </c>
      <c r="QK331" s="12" t="s">
        <v>37</v>
      </c>
      <c r="QL331" s="12" t="s">
        <v>37</v>
      </c>
      <c r="QM331" s="12" t="s">
        <v>37</v>
      </c>
      <c r="QN331" s="12" t="s">
        <v>37</v>
      </c>
      <c r="QO331" s="12" t="s">
        <v>37</v>
      </c>
      <c r="QP331" s="12" t="s">
        <v>37</v>
      </c>
      <c r="QQ331" s="12"/>
      <c r="QR331" s="12"/>
      <c r="QU331" s="12" t="s">
        <v>37</v>
      </c>
      <c r="QV331" s="12" t="s">
        <v>37</v>
      </c>
      <c r="QW331" s="12" t="s">
        <v>37</v>
      </c>
      <c r="QX331" s="12" t="s">
        <v>37</v>
      </c>
      <c r="QY331" s="12" t="s">
        <v>37</v>
      </c>
      <c r="QZ331" s="12" t="s">
        <v>37</v>
      </c>
      <c r="RC331" s="12" t="s">
        <v>37</v>
      </c>
      <c r="RD331" s="12" t="s">
        <v>37</v>
      </c>
      <c r="RE331" s="13" t="s">
        <v>37</v>
      </c>
      <c r="RF331" s="12" t="s">
        <v>37</v>
      </c>
      <c r="RG331" s="12" t="s">
        <v>37</v>
      </c>
      <c r="RH331" s="13" t="s">
        <v>37</v>
      </c>
      <c r="RK331" s="12" t="s">
        <v>37</v>
      </c>
      <c r="RL331" s="12" t="s">
        <v>37</v>
      </c>
      <c r="RM331" s="11" t="s">
        <v>37</v>
      </c>
      <c r="RN331" s="12" t="s">
        <v>37</v>
      </c>
      <c r="RO331" s="12" t="s">
        <v>37</v>
      </c>
      <c r="RP331" s="11" t="s">
        <v>37</v>
      </c>
      <c r="RS331" s="12" t="s">
        <v>37</v>
      </c>
      <c r="RT331" s="12" t="s">
        <v>37</v>
      </c>
      <c r="RU331" s="12" t="s">
        <v>37</v>
      </c>
      <c r="RV331" s="12" t="s">
        <v>37</v>
      </c>
      <c r="RW331" s="12" t="s">
        <v>37</v>
      </c>
      <c r="RX331" s="12" t="s">
        <v>37</v>
      </c>
      <c r="SA331" s="12" t="s">
        <v>37</v>
      </c>
      <c r="SB331" s="12" t="s">
        <v>37</v>
      </c>
      <c r="SC331" s="12" t="s">
        <v>37</v>
      </c>
      <c r="SD331" s="12" t="s">
        <v>37</v>
      </c>
      <c r="SE331" s="12" t="s">
        <v>37</v>
      </c>
      <c r="SF331" s="12" t="s">
        <v>37</v>
      </c>
      <c r="SI331" s="12" t="s">
        <v>37</v>
      </c>
      <c r="SJ331" s="12" t="s">
        <v>37</v>
      </c>
      <c r="SK331" s="13" t="s">
        <v>37</v>
      </c>
      <c r="SM331" s="12" t="s">
        <v>37</v>
      </c>
      <c r="SN331" s="12" t="s">
        <v>37</v>
      </c>
      <c r="SO331" s="13" t="s">
        <v>37</v>
      </c>
      <c r="SU331" s="12" t="s">
        <v>37</v>
      </c>
      <c r="SV331" s="12" t="s">
        <v>37</v>
      </c>
      <c r="SW331" s="12" t="s">
        <v>37</v>
      </c>
      <c r="SX331" s="12" t="s">
        <v>37</v>
      </c>
      <c r="SY331" s="12" t="s">
        <v>37</v>
      </c>
      <c r="SZ331" s="12" t="s">
        <v>37</v>
      </c>
      <c r="TA331" s="12"/>
      <c r="TB331" s="12"/>
      <c r="TE331" s="12" t="s">
        <v>37</v>
      </c>
      <c r="TF331" s="12" t="s">
        <v>37</v>
      </c>
      <c r="TG331" s="12" t="s">
        <v>37</v>
      </c>
      <c r="TH331" s="12" t="s">
        <v>37</v>
      </c>
      <c r="TI331" s="12" t="s">
        <v>37</v>
      </c>
      <c r="TJ331" s="12" t="s">
        <v>37</v>
      </c>
      <c r="TK331" s="12"/>
      <c r="TL331" s="12"/>
      <c r="TO331" s="12" t="s">
        <v>37</v>
      </c>
      <c r="TP331" s="12" t="s">
        <v>37</v>
      </c>
      <c r="TQ331" s="12" t="s">
        <v>37</v>
      </c>
      <c r="TR331" s="12" t="s">
        <v>37</v>
      </c>
      <c r="TS331" s="12" t="s">
        <v>37</v>
      </c>
      <c r="TT331" s="12" t="s">
        <v>37</v>
      </c>
      <c r="TU331" s="12"/>
      <c r="TV331" s="12"/>
      <c r="TY331" s="12" t="s">
        <v>37</v>
      </c>
      <c r="TZ331" s="12" t="s">
        <v>37</v>
      </c>
      <c r="UA331" s="12" t="s">
        <v>37</v>
      </c>
      <c r="UB331" s="12" t="s">
        <v>37</v>
      </c>
      <c r="UC331" s="12" t="s">
        <v>37</v>
      </c>
      <c r="UD331" s="12" t="s">
        <v>37</v>
      </c>
      <c r="UE331" s="12"/>
      <c r="UF331" s="12"/>
      <c r="UI331" s="12" t="s">
        <v>37</v>
      </c>
      <c r="UJ331" s="12" t="s">
        <v>37</v>
      </c>
      <c r="UK331" s="12" t="s">
        <v>37</v>
      </c>
      <c r="UL331" s="12" t="s">
        <v>37</v>
      </c>
      <c r="UM331" s="12" t="s">
        <v>37</v>
      </c>
      <c r="UN331" s="12" t="s">
        <v>37</v>
      </c>
      <c r="UO331" s="12"/>
      <c r="UP331" s="12"/>
      <c r="UR331" s="12" t="s">
        <v>37</v>
      </c>
      <c r="US331" s="12" t="s">
        <v>37</v>
      </c>
      <c r="UT331" s="12" t="s">
        <v>37</v>
      </c>
      <c r="UU331" s="12" t="s">
        <v>37</v>
      </c>
      <c r="UV331" s="12" t="s">
        <v>37</v>
      </c>
      <c r="UW331" s="12" t="s">
        <v>37</v>
      </c>
      <c r="UX331" s="12"/>
      <c r="UY331" s="12"/>
      <c r="VB331" s="12" t="s">
        <v>37</v>
      </c>
      <c r="VC331" s="12" t="s">
        <v>37</v>
      </c>
      <c r="VD331" s="12" t="s">
        <v>37</v>
      </c>
      <c r="VE331" s="12" t="s">
        <v>37</v>
      </c>
      <c r="VF331" s="12" t="s">
        <v>37</v>
      </c>
      <c r="VG331" s="12" t="s">
        <v>37</v>
      </c>
      <c r="VI331" s="12" t="s">
        <v>37</v>
      </c>
      <c r="VJ331" s="12" t="s">
        <v>37</v>
      </c>
      <c r="VK331" s="12" t="s">
        <v>37</v>
      </c>
      <c r="VL331" s="12" t="s">
        <v>37</v>
      </c>
      <c r="VM331" s="12" t="s">
        <v>37</v>
      </c>
      <c r="VN331" s="12" t="s">
        <v>37</v>
      </c>
      <c r="VQ331" s="12" t="s">
        <v>37</v>
      </c>
      <c r="VR331" s="12" t="s">
        <v>37</v>
      </c>
      <c r="VS331" s="12" t="s">
        <v>37</v>
      </c>
      <c r="VT331" s="12" t="s">
        <v>37</v>
      </c>
      <c r="VU331" s="12" t="s">
        <v>37</v>
      </c>
      <c r="VV331" s="12" t="s">
        <v>37</v>
      </c>
      <c r="VW331" s="12"/>
      <c r="VX331" s="12"/>
      <c r="WA331" s="13" t="s">
        <v>37</v>
      </c>
      <c r="WB331" s="13" t="s">
        <v>37</v>
      </c>
      <c r="WC331" s="13" t="s">
        <v>37</v>
      </c>
      <c r="WD331" s="13" t="s">
        <v>37</v>
      </c>
      <c r="WE331" s="13" t="s">
        <v>37</v>
      </c>
      <c r="WF331" s="13" t="s">
        <v>37</v>
      </c>
    </row>
    <row r="332" spans="1:604" ht="18" customHeight="1" x14ac:dyDescent="0.3">
      <c r="A332" s="11">
        <v>72</v>
      </c>
      <c r="B332" s="16" t="s">
        <v>424</v>
      </c>
      <c r="C332" s="12" t="s">
        <v>26</v>
      </c>
      <c r="D332" s="12" t="s">
        <v>1039</v>
      </c>
      <c r="E332" s="40">
        <v>1.4</v>
      </c>
      <c r="F332" s="14">
        <v>0</v>
      </c>
      <c r="G332" s="14">
        <v>0</v>
      </c>
      <c r="H332" s="12" t="s">
        <v>79</v>
      </c>
      <c r="I332" s="29">
        <v>33.1</v>
      </c>
      <c r="J332" s="29">
        <v>102.65</v>
      </c>
      <c r="K332" s="12" t="s">
        <v>781</v>
      </c>
      <c r="L332" s="12" t="s">
        <v>782</v>
      </c>
      <c r="M332" s="13">
        <v>3471</v>
      </c>
      <c r="N332" s="14">
        <v>1.5</v>
      </c>
      <c r="O332" s="14">
        <v>756</v>
      </c>
      <c r="P332" s="14" t="s">
        <v>16</v>
      </c>
      <c r="Q332" s="75" t="s">
        <v>326</v>
      </c>
      <c r="R332" s="11" t="s">
        <v>1000</v>
      </c>
      <c r="S332" s="12" t="s">
        <v>51</v>
      </c>
      <c r="T332" s="12" t="s">
        <v>37</v>
      </c>
      <c r="U332" s="12" t="s">
        <v>37</v>
      </c>
      <c r="V332" s="12" t="s">
        <v>275</v>
      </c>
      <c r="W332" s="23" t="s">
        <v>425</v>
      </c>
      <c r="X332" s="12" t="s">
        <v>280</v>
      </c>
      <c r="Y332" s="12" t="s">
        <v>37</v>
      </c>
      <c r="Z332" s="12" t="s">
        <v>37</v>
      </c>
      <c r="AA332" s="32" t="s">
        <v>340</v>
      </c>
      <c r="AB332" s="12">
        <v>5.67</v>
      </c>
      <c r="AC332" s="12" t="s">
        <v>42</v>
      </c>
      <c r="AD332" s="32" t="s">
        <v>345</v>
      </c>
      <c r="AE332" s="12">
        <v>251.7</v>
      </c>
      <c r="AF332" s="12" t="s">
        <v>42</v>
      </c>
      <c r="AG332" s="32" t="s">
        <v>340</v>
      </c>
      <c r="AH332" s="12">
        <v>17.5</v>
      </c>
      <c r="AJ332" s="12" t="str">
        <f t="shared" si="1288"/>
        <v>0-10</v>
      </c>
      <c r="AK332" s="19">
        <f t="shared" si="1289"/>
        <v>14.382857142857143</v>
      </c>
      <c r="AL332" s="32" t="s">
        <v>426</v>
      </c>
      <c r="AM332" s="12" t="s">
        <v>344</v>
      </c>
      <c r="AO332" s="12" t="s">
        <v>37</v>
      </c>
      <c r="AP332" s="12" t="s">
        <v>238</v>
      </c>
      <c r="AQ332" s="12" t="s">
        <v>975</v>
      </c>
      <c r="AR332" s="12" t="s">
        <v>42</v>
      </c>
      <c r="AS332" s="32" t="s">
        <v>501</v>
      </c>
      <c r="AT332" s="12">
        <v>251.7</v>
      </c>
      <c r="AU332" s="12">
        <f>2.78*SQRT(3)</f>
        <v>4.8151012450414781</v>
      </c>
      <c r="AV332" s="13">
        <v>3</v>
      </c>
      <c r="AW332" s="19">
        <f t="shared" si="1290"/>
        <v>1.9130318812242662E-2</v>
      </c>
      <c r="AX332" s="12">
        <v>91.4</v>
      </c>
      <c r="AY332" s="12">
        <f>1.28*SQRT(3)</f>
        <v>2.2170250336881629</v>
      </c>
      <c r="AZ332" s="13">
        <v>3</v>
      </c>
      <c r="BA332" s="19">
        <f t="shared" si="1291"/>
        <v>2.4256291397025852E-2</v>
      </c>
      <c r="BB332" s="52">
        <f t="shared" si="1292"/>
        <v>-1.0129924236811658</v>
      </c>
      <c r="BC332" s="19">
        <f t="shared" si="1293"/>
        <v>3.1811225673182531E-4</v>
      </c>
      <c r="BE332" s="12" t="s">
        <v>326</v>
      </c>
      <c r="BF332" s="12" t="s">
        <v>326</v>
      </c>
      <c r="BG332" s="12" t="s">
        <v>326</v>
      </c>
      <c r="BI332" s="12" t="s">
        <v>326</v>
      </c>
      <c r="BJ332" s="12" t="s">
        <v>326</v>
      </c>
      <c r="BK332" s="12" t="s">
        <v>326</v>
      </c>
      <c r="BP332" s="12" t="s">
        <v>37</v>
      </c>
      <c r="BQ332" s="12" t="s">
        <v>37</v>
      </c>
      <c r="BR332" s="13" t="s">
        <v>37</v>
      </c>
      <c r="BT332" s="12" t="s">
        <v>37</v>
      </c>
      <c r="BU332" s="12" t="s">
        <v>37</v>
      </c>
      <c r="BV332" s="12" t="s">
        <v>37</v>
      </c>
      <c r="CA332" s="12" t="s">
        <v>37</v>
      </c>
      <c r="CB332" s="12" t="s">
        <v>37</v>
      </c>
      <c r="CC332" s="13" t="s">
        <v>37</v>
      </c>
      <c r="CE332" s="12" t="s">
        <v>37</v>
      </c>
      <c r="CF332" s="12" t="s">
        <v>37</v>
      </c>
      <c r="CG332" s="12" t="s">
        <v>37</v>
      </c>
      <c r="CN332" s="12" t="s">
        <v>37</v>
      </c>
      <c r="CO332" s="12" t="s">
        <v>37</v>
      </c>
      <c r="CP332" s="13" t="s">
        <v>37</v>
      </c>
      <c r="CR332" s="12" t="s">
        <v>37</v>
      </c>
      <c r="CS332" s="12" t="s">
        <v>37</v>
      </c>
      <c r="CT332" s="13" t="s">
        <v>37</v>
      </c>
      <c r="CX332" s="72"/>
      <c r="CY332" s="72"/>
      <c r="DA332" s="12" t="s">
        <v>37</v>
      </c>
      <c r="DB332" s="12" t="s">
        <v>37</v>
      </c>
      <c r="DC332" s="13" t="s">
        <v>37</v>
      </c>
      <c r="DE332" s="12" t="s">
        <v>37</v>
      </c>
      <c r="DF332" s="12" t="s">
        <v>37</v>
      </c>
      <c r="DG332" s="12" t="s">
        <v>37</v>
      </c>
      <c r="DM332" s="11" t="s">
        <v>47</v>
      </c>
      <c r="DN332" s="19">
        <f>26.85*16/12*365*10^4/10^6</f>
        <v>130.67000000000002</v>
      </c>
      <c r="DO332" s="12">
        <f>8.09*SQRT(3)*16/12*365*10^4/10^6</f>
        <v>68.193149695063454</v>
      </c>
      <c r="DP332" s="13">
        <v>3</v>
      </c>
      <c r="DQ332" s="19">
        <f t="shared" si="1294"/>
        <v>0.52187303661944939</v>
      </c>
      <c r="DR332" s="19">
        <f>0.28*16/12*365*10^4/10^6</f>
        <v>1.3626666666666667</v>
      </c>
      <c r="DS332" s="12">
        <f>0.18*SQRT(3)*16/12*365*10^4/10^6</f>
        <v>1.5172765074303363</v>
      </c>
      <c r="DT332" s="13">
        <v>3</v>
      </c>
      <c r="DU332" s="19">
        <f t="shared" si="1295"/>
        <v>1.1134612334371352</v>
      </c>
      <c r="DV332" s="19">
        <f t="shared" si="1211"/>
        <v>-129.30733333333336</v>
      </c>
      <c r="DW332" s="12">
        <f t="shared" si="1212"/>
        <v>48.231772688412214</v>
      </c>
      <c r="DX332" s="72">
        <f t="shared" si="1251"/>
        <v>1550.8692644444441</v>
      </c>
      <c r="DY332" s="72">
        <f t="shared" si="1252"/>
        <v>1550.8692644444441</v>
      </c>
      <c r="EA332" s="19" t="s">
        <v>37</v>
      </c>
      <c r="EB332" s="19" t="s">
        <v>37</v>
      </c>
      <c r="EC332" s="72" t="s">
        <v>37</v>
      </c>
      <c r="EE332" s="19" t="s">
        <v>37</v>
      </c>
      <c r="EF332" s="19" t="s">
        <v>37</v>
      </c>
      <c r="EG332" s="12" t="s">
        <v>37</v>
      </c>
      <c r="EM332" s="12" t="s">
        <v>39</v>
      </c>
      <c r="EN332" s="12">
        <v>-1.7536945812807845</v>
      </c>
      <c r="EO332" s="12">
        <v>0.69808857905462174</v>
      </c>
      <c r="EP332" s="13">
        <v>3</v>
      </c>
      <c r="EQ332" s="19">
        <f t="shared" si="1239"/>
        <v>0.39806736389912506</v>
      </c>
      <c r="ER332" s="12">
        <v>-13.556650246305416</v>
      </c>
      <c r="ES332" s="12">
        <v>1.7667087815907134</v>
      </c>
      <c r="ET332" s="13">
        <v>3</v>
      </c>
      <c r="EU332" s="19">
        <f t="shared" si="1240"/>
        <v>0.1303204515490243</v>
      </c>
      <c r="EV332" s="19">
        <f t="shared" si="1233"/>
        <v>-11.802955665024632</v>
      </c>
      <c r="EW332" s="12">
        <f t="shared" si="1234"/>
        <v>1.34324003498188</v>
      </c>
      <c r="EX332" s="19">
        <f t="shared" si="1235"/>
        <v>1.2028625277187479</v>
      </c>
      <c r="EY332" s="19">
        <f t="shared" si="1236"/>
        <v>1.2028625277187479</v>
      </c>
      <c r="FB332" s="12" t="s">
        <v>37</v>
      </c>
      <c r="FC332" s="12" t="s">
        <v>37</v>
      </c>
      <c r="FD332" s="12" t="s">
        <v>37</v>
      </c>
      <c r="FE332" s="12" t="s">
        <v>37</v>
      </c>
      <c r="FF332" s="20" t="s">
        <v>37</v>
      </c>
      <c r="FG332" s="12" t="s">
        <v>37</v>
      </c>
      <c r="FI332" s="12" t="s">
        <v>37</v>
      </c>
      <c r="FJ332" s="12" t="s">
        <v>37</v>
      </c>
      <c r="FK332" s="12" t="s">
        <v>37</v>
      </c>
      <c r="FL332" s="12" t="s">
        <v>37</v>
      </c>
      <c r="FM332" s="12" t="s">
        <v>37</v>
      </c>
      <c r="FN332" s="12" t="s">
        <v>37</v>
      </c>
      <c r="FP332" s="12" t="s">
        <v>37</v>
      </c>
      <c r="FQ332" s="12" t="s">
        <v>37</v>
      </c>
      <c r="FR332" s="12" t="s">
        <v>37</v>
      </c>
      <c r="FS332" s="12" t="s">
        <v>37</v>
      </c>
      <c r="FT332" s="12" t="s">
        <v>37</v>
      </c>
      <c r="FU332" s="12" t="s">
        <v>37</v>
      </c>
      <c r="FW332" s="12" t="s">
        <v>37</v>
      </c>
      <c r="FX332" s="12" t="s">
        <v>37</v>
      </c>
      <c r="FY332" s="12" t="s">
        <v>37</v>
      </c>
      <c r="FZ332" s="12" t="s">
        <v>37</v>
      </c>
      <c r="GA332" s="12" t="s">
        <v>37</v>
      </c>
      <c r="GB332" s="12" t="s">
        <v>37</v>
      </c>
      <c r="GO332" s="12" t="s">
        <v>660</v>
      </c>
      <c r="GP332" s="12" t="s">
        <v>330</v>
      </c>
      <c r="GQ332" s="12">
        <v>7.7767857142857144</v>
      </c>
      <c r="GR332" s="12">
        <v>1.6813017800347436</v>
      </c>
      <c r="GS332" s="13">
        <v>3</v>
      </c>
      <c r="GT332" s="19">
        <f>GR332/GQ332</f>
        <v>0.21619494760492686</v>
      </c>
      <c r="GU332" s="12">
        <v>5.5011904761904766</v>
      </c>
      <c r="GV332" s="12">
        <v>1.4210552307907307</v>
      </c>
      <c r="GW332" s="13">
        <v>3</v>
      </c>
      <c r="GX332" s="19">
        <f t="shared" si="1265"/>
        <v>0.25831776538935591</v>
      </c>
      <c r="GY332" s="19">
        <f t="shared" si="1266"/>
        <v>-0.34617858652450112</v>
      </c>
      <c r="GZ332" s="19">
        <f t="shared" si="1267"/>
        <v>3.782277442854913E-2</v>
      </c>
      <c r="IK332" s="12" t="s">
        <v>37</v>
      </c>
      <c r="IL332" s="12" t="s">
        <v>37</v>
      </c>
      <c r="IM332" s="12" t="s">
        <v>37</v>
      </c>
      <c r="IO332" s="12" t="s">
        <v>37</v>
      </c>
      <c r="IP332" s="12" t="s">
        <v>37</v>
      </c>
      <c r="IQ332" s="12" t="s">
        <v>37</v>
      </c>
      <c r="IV332" s="32" t="s">
        <v>340</v>
      </c>
      <c r="IW332" s="12">
        <v>5.67</v>
      </c>
      <c r="IX332" s="12">
        <f>0.03*SQRT(3)</f>
        <v>5.1961524227066312E-2</v>
      </c>
      <c r="IY332" s="13">
        <v>3</v>
      </c>
      <c r="IZ332" s="19">
        <f t="shared" si="1296"/>
        <v>9.1642899871369164E-3</v>
      </c>
      <c r="JA332" s="12">
        <v>5.52</v>
      </c>
      <c r="JB332" s="12">
        <f>0.01*SQRT(3)</f>
        <v>1.7320508075688773E-2</v>
      </c>
      <c r="JC332" s="13">
        <v>3</v>
      </c>
      <c r="JD332" s="19">
        <f t="shared" si="1297"/>
        <v>3.1377732021175314E-3</v>
      </c>
      <c r="JE332" s="19">
        <f t="shared" si="1298"/>
        <v>-2.6811257450656815E-2</v>
      </c>
      <c r="JF332" s="19">
        <f t="shared" si="1299"/>
        <v>3.1276610545421617E-5</v>
      </c>
      <c r="JH332" s="12" t="s">
        <v>37</v>
      </c>
      <c r="JI332" s="12" t="s">
        <v>37</v>
      </c>
      <c r="JJ332" s="13" t="s">
        <v>37</v>
      </c>
      <c r="JL332" s="12" t="s">
        <v>37</v>
      </c>
      <c r="JM332" s="12" t="s">
        <v>37</v>
      </c>
      <c r="JN332" s="12" t="s">
        <v>37</v>
      </c>
      <c r="JS332" s="12" t="s">
        <v>37</v>
      </c>
      <c r="JT332" s="12" t="s">
        <v>37</v>
      </c>
      <c r="JU332" s="13" t="s">
        <v>37</v>
      </c>
      <c r="JW332" s="12" t="s">
        <v>37</v>
      </c>
      <c r="JX332" s="12" t="s">
        <v>37</v>
      </c>
      <c r="JY332" s="12" t="s">
        <v>37</v>
      </c>
      <c r="KE332" s="12" t="s">
        <v>37</v>
      </c>
      <c r="KF332" s="12" t="s">
        <v>37</v>
      </c>
      <c r="KG332" s="13" t="s">
        <v>37</v>
      </c>
      <c r="KH332" s="12" t="s">
        <v>37</v>
      </c>
      <c r="KI332" s="12" t="s">
        <v>37</v>
      </c>
      <c r="KJ332" s="12" t="s">
        <v>37</v>
      </c>
      <c r="KK332" s="12" t="s">
        <v>42</v>
      </c>
      <c r="KL332" s="32" t="s">
        <v>340</v>
      </c>
      <c r="KM332" s="12">
        <v>17.5</v>
      </c>
      <c r="KN332" s="12">
        <f>1.9*SQRT(3)</f>
        <v>3.2908965343808667</v>
      </c>
      <c r="KO332" s="11">
        <v>3</v>
      </c>
      <c r="KP332" s="19">
        <f t="shared" si="1300"/>
        <v>0.18805123053604952</v>
      </c>
      <c r="KQ332" s="12">
        <v>6.6</v>
      </c>
      <c r="KR332" s="12">
        <f>0.8*SQRT(3)</f>
        <v>1.3856406460551018</v>
      </c>
      <c r="KS332" s="13">
        <v>3</v>
      </c>
      <c r="KT332" s="19">
        <f t="shared" si="1301"/>
        <v>0.20994555243259119</v>
      </c>
      <c r="KU332" s="19">
        <f t="shared" si="1302"/>
        <v>-0.97513123189708861</v>
      </c>
      <c r="KV332" s="19">
        <f t="shared" si="1303"/>
        <v>2.648013343078278E-2</v>
      </c>
      <c r="KX332" s="12" t="s">
        <v>37</v>
      </c>
      <c r="KY332" s="12" t="s">
        <v>37</v>
      </c>
      <c r="KZ332" s="12" t="s">
        <v>37</v>
      </c>
      <c r="LB332" s="12" t="s">
        <v>37</v>
      </c>
      <c r="LC332" s="12" t="s">
        <v>37</v>
      </c>
      <c r="LD332" s="12" t="s">
        <v>37</v>
      </c>
      <c r="LI332" s="12" t="s">
        <v>37</v>
      </c>
      <c r="LJ332" s="12" t="s">
        <v>37</v>
      </c>
      <c r="LK332" s="12" t="s">
        <v>37</v>
      </c>
      <c r="LM332" s="12" t="s">
        <v>37</v>
      </c>
      <c r="LN332" s="12" t="s">
        <v>37</v>
      </c>
      <c r="LO332" s="12" t="s">
        <v>37</v>
      </c>
      <c r="LT332" s="12" t="str">
        <f t="shared" si="1304"/>
        <v>0-30</v>
      </c>
      <c r="LU332" s="12">
        <f>AT332/KM332</f>
        <v>14.382857142857143</v>
      </c>
      <c r="LV332" s="12">
        <f>SQRT((1/KM332)^2*AU332^2+AT332^2*(-1/KM332^2)^2*KN332^2)</f>
        <v>2.7186733000834105</v>
      </c>
      <c r="LW332" s="13">
        <f t="shared" si="1305"/>
        <v>3</v>
      </c>
      <c r="LX332" s="19">
        <f t="shared" si="1306"/>
        <v>0.1890217828822395</v>
      </c>
      <c r="LY332" s="12">
        <f>AX332/KQ332</f>
        <v>13.84848484848485</v>
      </c>
      <c r="LZ332" s="12">
        <f>SQRT((1/KQ332)^2*AY332^2+AX332^2*(-1/KQ332^2)^2*KR332^2)</f>
        <v>2.9267685061597493</v>
      </c>
      <c r="MA332" s="13">
        <f t="shared" si="1307"/>
        <v>3</v>
      </c>
      <c r="MB332" s="19">
        <f t="shared" si="1308"/>
        <v>0.21134214595901907</v>
      </c>
      <c r="MC332" s="19">
        <f t="shared" si="1309"/>
        <v>-3.7861191784077264E-2</v>
      </c>
      <c r="MD332" s="19">
        <f t="shared" si="1310"/>
        <v>2.6798245687514603E-2</v>
      </c>
      <c r="MF332" s="12" t="s">
        <v>37</v>
      </c>
      <c r="MG332" s="12" t="s">
        <v>37</v>
      </c>
      <c r="MH332" s="12" t="s">
        <v>37</v>
      </c>
      <c r="MJ332" s="12" t="s">
        <v>37</v>
      </c>
      <c r="MK332" s="12" t="s">
        <v>37</v>
      </c>
      <c r="ML332" s="12" t="s">
        <v>37</v>
      </c>
      <c r="MQ332" s="12" t="s">
        <v>37</v>
      </c>
      <c r="MR332" s="12" t="s">
        <v>37</v>
      </c>
      <c r="MS332" s="12" t="s">
        <v>37</v>
      </c>
      <c r="MU332" s="12" t="s">
        <v>37</v>
      </c>
      <c r="MV332" s="12" t="s">
        <v>37</v>
      </c>
      <c r="MW332" s="12" t="s">
        <v>37</v>
      </c>
      <c r="NC332" s="12" t="s">
        <v>37</v>
      </c>
      <c r="ND332" s="12" t="s">
        <v>37</v>
      </c>
      <c r="NE332" s="12" t="s">
        <v>37</v>
      </c>
      <c r="NG332" s="12" t="s">
        <v>37</v>
      </c>
      <c r="NH332" s="12" t="s">
        <v>37</v>
      </c>
      <c r="NI332" s="12" t="s">
        <v>37</v>
      </c>
      <c r="NO332" s="12" t="s">
        <v>37</v>
      </c>
      <c r="NP332" s="12" t="s">
        <v>37</v>
      </c>
      <c r="NQ332" s="12" t="s">
        <v>37</v>
      </c>
      <c r="NS332" s="12" t="s">
        <v>37</v>
      </c>
      <c r="NT332" s="12" t="s">
        <v>37</v>
      </c>
      <c r="NU332" s="12" t="s">
        <v>37</v>
      </c>
      <c r="OA332" s="12" t="s">
        <v>37</v>
      </c>
      <c r="OB332" s="12" t="s">
        <v>37</v>
      </c>
      <c r="OC332" s="12" t="s">
        <v>37</v>
      </c>
      <c r="OD332" s="12"/>
      <c r="OE332" s="12" t="s">
        <v>37</v>
      </c>
      <c r="OF332" s="12" t="s">
        <v>37</v>
      </c>
      <c r="OG332" s="12" t="s">
        <v>37</v>
      </c>
      <c r="OH332" s="12"/>
      <c r="OI332" s="12"/>
      <c r="OJ332" s="12"/>
      <c r="OM332" s="12" t="s">
        <v>37</v>
      </c>
      <c r="ON332" s="12" t="s">
        <v>37</v>
      </c>
      <c r="OO332" s="12" t="s">
        <v>37</v>
      </c>
      <c r="OP332" s="12" t="s">
        <v>37</v>
      </c>
      <c r="OQ332" s="12" t="s">
        <v>37</v>
      </c>
      <c r="OR332" s="12" t="s">
        <v>37</v>
      </c>
      <c r="OS332" s="12"/>
      <c r="OT332" s="12"/>
      <c r="OU332" s="12" t="s">
        <v>45</v>
      </c>
      <c r="OV332" s="12" t="s">
        <v>340</v>
      </c>
      <c r="OW332" s="12">
        <v>445.04</v>
      </c>
      <c r="OX332" s="12">
        <f>81.3*SQRT(3)</f>
        <v>140.81573065534971</v>
      </c>
      <c r="OY332" s="13">
        <v>3</v>
      </c>
      <c r="OZ332" s="12">
        <v>195.08</v>
      </c>
      <c r="PA332" s="12">
        <f>22.18*SQRT(3)</f>
        <v>38.416886911877697</v>
      </c>
      <c r="PB332" s="13">
        <v>3</v>
      </c>
      <c r="PC332" s="19">
        <f t="shared" si="1311"/>
        <v>-0.82475443492518596</v>
      </c>
      <c r="PD332" s="19">
        <f t="shared" si="1312"/>
        <v>4.6299053851787772E-2</v>
      </c>
      <c r="PG332" s="12" t="s">
        <v>37</v>
      </c>
      <c r="PH332" s="12" t="s">
        <v>37</v>
      </c>
      <c r="PI332" s="12" t="s">
        <v>37</v>
      </c>
      <c r="PJ332" s="12" t="s">
        <v>37</v>
      </c>
      <c r="PK332" s="12" t="s">
        <v>37</v>
      </c>
      <c r="PL332" s="12" t="s">
        <v>37</v>
      </c>
      <c r="PM332" s="12"/>
      <c r="PN332" s="12"/>
      <c r="PQ332" s="12" t="s">
        <v>37</v>
      </c>
      <c r="PR332" s="12" t="s">
        <v>37</v>
      </c>
      <c r="PS332" s="12" t="s">
        <v>37</v>
      </c>
      <c r="PT332" s="12" t="s">
        <v>37</v>
      </c>
      <c r="PU332" s="12" t="s">
        <v>37</v>
      </c>
      <c r="PV332" s="12" t="s">
        <v>37</v>
      </c>
      <c r="PW332" s="12"/>
      <c r="PX332" s="12"/>
      <c r="PZ332" s="12" t="s">
        <v>37</v>
      </c>
      <c r="QA332" s="12" t="s">
        <v>37</v>
      </c>
      <c r="QB332" s="12" t="s">
        <v>37</v>
      </c>
      <c r="QD332" s="12" t="s">
        <v>37</v>
      </c>
      <c r="QE332" s="12" t="s">
        <v>37</v>
      </c>
      <c r="QF332" s="12" t="s">
        <v>37</v>
      </c>
      <c r="QK332" s="12" t="s">
        <v>37</v>
      </c>
      <c r="QL332" s="12" t="s">
        <v>37</v>
      </c>
      <c r="QM332" s="12" t="s">
        <v>37</v>
      </c>
      <c r="QN332" s="12" t="s">
        <v>37</v>
      </c>
      <c r="QO332" s="12" t="s">
        <v>37</v>
      </c>
      <c r="QP332" s="12" t="s">
        <v>37</v>
      </c>
      <c r="QQ332" s="12"/>
      <c r="QR332" s="12"/>
      <c r="QU332" s="12" t="s">
        <v>37</v>
      </c>
      <c r="QV332" s="12" t="s">
        <v>37</v>
      </c>
      <c r="QW332" s="12" t="s">
        <v>37</v>
      </c>
      <c r="QX332" s="12" t="s">
        <v>37</v>
      </c>
      <c r="QY332" s="12" t="s">
        <v>37</v>
      </c>
      <c r="QZ332" s="12" t="s">
        <v>37</v>
      </c>
      <c r="RC332" s="12" t="s">
        <v>37</v>
      </c>
      <c r="RD332" s="12" t="s">
        <v>37</v>
      </c>
      <c r="RE332" s="13" t="s">
        <v>37</v>
      </c>
      <c r="RF332" s="12" t="s">
        <v>37</v>
      </c>
      <c r="RG332" s="12" t="s">
        <v>37</v>
      </c>
      <c r="RH332" s="13" t="s">
        <v>37</v>
      </c>
      <c r="RK332" s="12" t="s">
        <v>37</v>
      </c>
      <c r="RL332" s="12" t="s">
        <v>37</v>
      </c>
      <c r="RM332" s="11" t="s">
        <v>37</v>
      </c>
      <c r="RN332" s="12" t="s">
        <v>37</v>
      </c>
      <c r="RO332" s="12" t="s">
        <v>37</v>
      </c>
      <c r="RP332" s="11" t="s">
        <v>37</v>
      </c>
      <c r="RS332" s="12" t="s">
        <v>37</v>
      </c>
      <c r="RT332" s="12" t="s">
        <v>37</v>
      </c>
      <c r="RU332" s="12" t="s">
        <v>37</v>
      </c>
      <c r="RV332" s="12" t="s">
        <v>37</v>
      </c>
      <c r="RW332" s="12" t="s">
        <v>37</v>
      </c>
      <c r="RX332" s="12" t="s">
        <v>37</v>
      </c>
      <c r="SA332" s="12" t="s">
        <v>37</v>
      </c>
      <c r="SB332" s="12" t="s">
        <v>37</v>
      </c>
      <c r="SC332" s="12" t="s">
        <v>37</v>
      </c>
      <c r="SD332" s="12" t="s">
        <v>37</v>
      </c>
      <c r="SE332" s="12" t="s">
        <v>37</v>
      </c>
      <c r="SF332" s="12" t="s">
        <v>37</v>
      </c>
      <c r="SI332" s="12" t="s">
        <v>37</v>
      </c>
      <c r="SJ332" s="12" t="s">
        <v>37</v>
      </c>
      <c r="SK332" s="13" t="s">
        <v>37</v>
      </c>
      <c r="SM332" s="12" t="s">
        <v>37</v>
      </c>
      <c r="SN332" s="12" t="s">
        <v>37</v>
      </c>
      <c r="SO332" s="13" t="s">
        <v>37</v>
      </c>
      <c r="SU332" s="12" t="s">
        <v>37</v>
      </c>
      <c r="SV332" s="12" t="s">
        <v>37</v>
      </c>
      <c r="SW332" s="12" t="s">
        <v>37</v>
      </c>
      <c r="SX332" s="12" t="s">
        <v>37</v>
      </c>
      <c r="SY332" s="12" t="s">
        <v>37</v>
      </c>
      <c r="SZ332" s="12" t="s">
        <v>37</v>
      </c>
      <c r="TA332" s="12"/>
      <c r="TB332" s="12"/>
      <c r="TE332" s="12" t="s">
        <v>37</v>
      </c>
      <c r="TF332" s="12" t="s">
        <v>37</v>
      </c>
      <c r="TG332" s="12" t="s">
        <v>37</v>
      </c>
      <c r="TH332" s="12" t="s">
        <v>37</v>
      </c>
      <c r="TI332" s="12" t="s">
        <v>37</v>
      </c>
      <c r="TJ332" s="12" t="s">
        <v>37</v>
      </c>
      <c r="TK332" s="12"/>
      <c r="TL332" s="12"/>
      <c r="TO332" s="12" t="s">
        <v>37</v>
      </c>
      <c r="TP332" s="12" t="s">
        <v>37</v>
      </c>
      <c r="TQ332" s="12" t="s">
        <v>37</v>
      </c>
      <c r="TR332" s="12" t="s">
        <v>37</v>
      </c>
      <c r="TS332" s="12" t="s">
        <v>37</v>
      </c>
      <c r="TT332" s="12" t="s">
        <v>37</v>
      </c>
      <c r="TU332" s="12"/>
      <c r="TV332" s="12"/>
      <c r="TY332" s="12" t="s">
        <v>37</v>
      </c>
      <c r="TZ332" s="12" t="s">
        <v>37</v>
      </c>
      <c r="UA332" s="12" t="s">
        <v>37</v>
      </c>
      <c r="UB332" s="12" t="s">
        <v>37</v>
      </c>
      <c r="UC332" s="12" t="s">
        <v>37</v>
      </c>
      <c r="UD332" s="12" t="s">
        <v>37</v>
      </c>
      <c r="UE332" s="12"/>
      <c r="UF332" s="12"/>
      <c r="UI332" s="12" t="s">
        <v>37</v>
      </c>
      <c r="UJ332" s="12" t="s">
        <v>37</v>
      </c>
      <c r="UK332" s="12" t="s">
        <v>37</v>
      </c>
      <c r="UL332" s="12" t="s">
        <v>37</v>
      </c>
      <c r="UM332" s="12" t="s">
        <v>37</v>
      </c>
      <c r="UN332" s="12" t="s">
        <v>37</v>
      </c>
      <c r="UO332" s="12"/>
      <c r="UP332" s="12"/>
      <c r="UR332" s="12" t="s">
        <v>37</v>
      </c>
      <c r="US332" s="12" t="s">
        <v>37</v>
      </c>
      <c r="UT332" s="12" t="s">
        <v>37</v>
      </c>
      <c r="UU332" s="12" t="s">
        <v>37</v>
      </c>
      <c r="UV332" s="12" t="s">
        <v>37</v>
      </c>
      <c r="UW332" s="12" t="s">
        <v>37</v>
      </c>
      <c r="UX332" s="12"/>
      <c r="UY332" s="12"/>
      <c r="VB332" s="12" t="s">
        <v>37</v>
      </c>
      <c r="VC332" s="12" t="s">
        <v>37</v>
      </c>
      <c r="VD332" s="12" t="s">
        <v>37</v>
      </c>
      <c r="VE332" s="12" t="s">
        <v>37</v>
      </c>
      <c r="VF332" s="12" t="s">
        <v>37</v>
      </c>
      <c r="VG332" s="12" t="s">
        <v>37</v>
      </c>
      <c r="VI332" s="12" t="s">
        <v>37</v>
      </c>
      <c r="VJ332" s="12" t="s">
        <v>37</v>
      </c>
      <c r="VK332" s="12" t="s">
        <v>37</v>
      </c>
      <c r="VL332" s="12" t="s">
        <v>37</v>
      </c>
      <c r="VM332" s="12" t="s">
        <v>37</v>
      </c>
      <c r="VN332" s="12" t="s">
        <v>37</v>
      </c>
      <c r="VQ332" s="12" t="s">
        <v>37</v>
      </c>
      <c r="VR332" s="12" t="s">
        <v>37</v>
      </c>
      <c r="VS332" s="12" t="s">
        <v>37</v>
      </c>
      <c r="VT332" s="12" t="s">
        <v>37</v>
      </c>
      <c r="VU332" s="12" t="s">
        <v>37</v>
      </c>
      <c r="VV332" s="12" t="s">
        <v>37</v>
      </c>
      <c r="VW332" s="12"/>
      <c r="VX332" s="12"/>
      <c r="WA332" s="13" t="s">
        <v>37</v>
      </c>
      <c r="WB332" s="13" t="s">
        <v>37</v>
      </c>
      <c r="WC332" s="13" t="s">
        <v>37</v>
      </c>
      <c r="WD332" s="13" t="s">
        <v>37</v>
      </c>
      <c r="WE332" s="13" t="s">
        <v>37</v>
      </c>
      <c r="WF332" s="13" t="s">
        <v>37</v>
      </c>
    </row>
    <row r="333" spans="1:604" ht="18" customHeight="1" x14ac:dyDescent="0.3">
      <c r="A333" s="11">
        <v>73</v>
      </c>
      <c r="B333" s="16" t="s">
        <v>427</v>
      </c>
      <c r="C333" s="12" t="s">
        <v>26</v>
      </c>
      <c r="D333" s="12" t="s">
        <v>973</v>
      </c>
      <c r="E333" s="40" t="s">
        <v>37</v>
      </c>
      <c r="F333" s="14">
        <v>0</v>
      </c>
      <c r="G333" s="14">
        <v>0</v>
      </c>
      <c r="H333" s="12" t="s">
        <v>82</v>
      </c>
      <c r="I333" s="29">
        <v>47</v>
      </c>
      <c r="J333" s="29">
        <v>-92</v>
      </c>
      <c r="K333" s="12" t="s">
        <v>783</v>
      </c>
      <c r="L333" s="12" t="s">
        <v>784</v>
      </c>
      <c r="M333" s="13" t="s">
        <v>37</v>
      </c>
      <c r="N333" s="13" t="s">
        <v>37</v>
      </c>
      <c r="O333" s="13" t="s">
        <v>37</v>
      </c>
      <c r="P333" s="14" t="s">
        <v>16</v>
      </c>
      <c r="Q333" s="75">
        <v>1</v>
      </c>
      <c r="R333" s="11" t="s">
        <v>1000</v>
      </c>
      <c r="S333" s="12" t="s">
        <v>85</v>
      </c>
      <c r="T333" s="12" t="s">
        <v>138</v>
      </c>
      <c r="U333" s="12" t="s">
        <v>158</v>
      </c>
      <c r="V333" s="12" t="s">
        <v>275</v>
      </c>
      <c r="W333" s="23" t="s">
        <v>428</v>
      </c>
      <c r="X333" s="12" t="s">
        <v>280</v>
      </c>
      <c r="Y333" s="12" t="s">
        <v>37</v>
      </c>
      <c r="Z333" s="12" t="s">
        <v>37</v>
      </c>
      <c r="AB333" s="12" t="s">
        <v>37</v>
      </c>
      <c r="AE333" s="12" t="s">
        <v>37</v>
      </c>
      <c r="AH333" s="12" t="s">
        <v>37</v>
      </c>
      <c r="AK333" s="12" t="s">
        <v>37</v>
      </c>
      <c r="AL333" s="32" t="s">
        <v>429</v>
      </c>
      <c r="AM333" s="12" t="s">
        <v>317</v>
      </c>
      <c r="AN333" s="32" t="s">
        <v>879</v>
      </c>
      <c r="AO333" s="12" t="s">
        <v>37</v>
      </c>
      <c r="AP333" s="12" t="s">
        <v>167</v>
      </c>
      <c r="AQ333" s="12" t="s">
        <v>975</v>
      </c>
      <c r="AT333" s="12" t="s">
        <v>326</v>
      </c>
      <c r="AU333" s="12" t="s">
        <v>326</v>
      </c>
      <c r="AV333" s="13" t="s">
        <v>326</v>
      </c>
      <c r="AX333" s="12" t="s">
        <v>326</v>
      </c>
      <c r="AY333" s="12" t="s">
        <v>326</v>
      </c>
      <c r="AZ333" s="13" t="s">
        <v>326</v>
      </c>
      <c r="BE333" s="12" t="s">
        <v>326</v>
      </c>
      <c r="BF333" s="12" t="s">
        <v>326</v>
      </c>
      <c r="BG333" s="12" t="s">
        <v>326</v>
      </c>
      <c r="BI333" s="12" t="s">
        <v>326</v>
      </c>
      <c r="BJ333" s="12" t="s">
        <v>326</v>
      </c>
      <c r="BK333" s="12" t="s">
        <v>326</v>
      </c>
      <c r="BP333" s="12" t="s">
        <v>37</v>
      </c>
      <c r="BQ333" s="12" t="s">
        <v>37</v>
      </c>
      <c r="BR333" s="13" t="s">
        <v>37</v>
      </c>
      <c r="BT333" s="12" t="s">
        <v>37</v>
      </c>
      <c r="BU333" s="12" t="s">
        <v>37</v>
      </c>
      <c r="BV333" s="12" t="s">
        <v>37</v>
      </c>
      <c r="CA333" s="12" t="s">
        <v>37</v>
      </c>
      <c r="CB333" s="12" t="s">
        <v>37</v>
      </c>
      <c r="CC333" s="13" t="s">
        <v>37</v>
      </c>
      <c r="CE333" s="12" t="s">
        <v>37</v>
      </c>
      <c r="CF333" s="12" t="s">
        <v>37</v>
      </c>
      <c r="CG333" s="12" t="s">
        <v>37</v>
      </c>
      <c r="CN333" s="12" t="s">
        <v>37</v>
      </c>
      <c r="CO333" s="12" t="s">
        <v>37</v>
      </c>
      <c r="CP333" s="13" t="s">
        <v>37</v>
      </c>
      <c r="CR333" s="12" t="s">
        <v>37</v>
      </c>
      <c r="CS333" s="12" t="s">
        <v>37</v>
      </c>
      <c r="CT333" s="13" t="s">
        <v>37</v>
      </c>
      <c r="CX333" s="72"/>
      <c r="CY333" s="72"/>
      <c r="DA333" s="12" t="s">
        <v>37</v>
      </c>
      <c r="DB333" s="12" t="s">
        <v>37</v>
      </c>
      <c r="DC333" s="13" t="s">
        <v>37</v>
      </c>
      <c r="DE333" s="12" t="s">
        <v>37</v>
      </c>
      <c r="DF333" s="12" t="s">
        <v>37</v>
      </c>
      <c r="DG333" s="12" t="s">
        <v>37</v>
      </c>
      <c r="DM333" s="11" t="s">
        <v>47</v>
      </c>
      <c r="DN333" s="19">
        <f>7.185845503563*12*10^4/10^6*("2011/10/31"-"2011/05/01")*16/12/'[1]classes-1'!$I$18</f>
        <v>224.95402018476722</v>
      </c>
      <c r="DO333" s="12">
        <f>SQRT((1/[2]Classes!$I$18)^2*(0.868622936999058*12*10^4/10^6*("2011/10/31"-"2011/05/01")*16/12)^2+(-DN333/([2]Classes!$I$18)^2)^2*([2]Classes!$J$18)^2)</f>
        <v>27.300798963122862</v>
      </c>
      <c r="DP333" s="13">
        <v>3</v>
      </c>
      <c r="DQ333" s="19">
        <f t="shared" si="1294"/>
        <v>0.12136168511547027</v>
      </c>
      <c r="DR333" s="19">
        <f>1.36261413823936*12*10^4/10^6*("2011/10/31"-"2011/05/01")*16/12/'[1]classes-1'!$I$19</f>
        <v>41.219419022620272</v>
      </c>
      <c r="DS333" s="12">
        <f>SQRT((1/[2]Classes!$I$19)^2*(0.180105210266415*12*10^4/10^6*("2011/10/31"-"2011/05/01")*16/12)^2+(-DR333/([2]Classes!$I$19)^2)^2*([2]Classes!$J$19)^2)</f>
        <v>28.248116299491517</v>
      </c>
      <c r="DT333" s="13">
        <v>3</v>
      </c>
      <c r="DU333" s="19">
        <f t="shared" si="1295"/>
        <v>0.68531087941801405</v>
      </c>
      <c r="DV333" s="19">
        <f t="shared" si="1211"/>
        <v>-183.73460116214693</v>
      </c>
      <c r="DW333" s="12">
        <f t="shared" si="1212"/>
        <v>27.778496166049457</v>
      </c>
      <c r="DX333" s="72">
        <f t="shared" si="1251"/>
        <v>514.42989949814955</v>
      </c>
      <c r="DY333" s="72">
        <f t="shared" si="1252"/>
        <v>514.42989949814955</v>
      </c>
      <c r="EA333" s="19" t="s">
        <v>37</v>
      </c>
      <c r="EB333" s="19" t="s">
        <v>37</v>
      </c>
      <c r="EC333" s="72" t="s">
        <v>37</v>
      </c>
      <c r="EE333" s="19" t="s">
        <v>37</v>
      </c>
      <c r="EF333" s="19" t="s">
        <v>37</v>
      </c>
      <c r="EG333" s="12" t="s">
        <v>37</v>
      </c>
      <c r="EM333" s="12" t="s">
        <v>39</v>
      </c>
      <c r="EN333" s="12">
        <v>-1</v>
      </c>
      <c r="EO333" s="50">
        <f t="shared" ref="EO333:EO338" si="1313">ABS(EN333)*EQ$474</f>
        <v>0.40749639875129334</v>
      </c>
      <c r="EP333" s="13">
        <v>3</v>
      </c>
      <c r="ER333" s="12">
        <v>-20</v>
      </c>
      <c r="ES333" s="50">
        <f t="shared" ref="ES333:ES338" si="1314">ABS(ER333)*EU$474</f>
        <v>4.5362810701838834</v>
      </c>
      <c r="ET333" s="13">
        <v>3</v>
      </c>
      <c r="EV333" s="19">
        <f t="shared" si="1233"/>
        <v>-19</v>
      </c>
      <c r="EW333" s="12">
        <f t="shared" si="1234"/>
        <v>3.2205511378259399</v>
      </c>
      <c r="EX333" s="19">
        <f t="shared" si="1235"/>
        <v>6.9146330875679709</v>
      </c>
      <c r="EY333" s="19">
        <f t="shared" si="1236"/>
        <v>6.91463308756797</v>
      </c>
      <c r="FB333" s="12" t="s">
        <v>37</v>
      </c>
      <c r="FC333" s="12" t="s">
        <v>37</v>
      </c>
      <c r="FD333" s="12" t="s">
        <v>37</v>
      </c>
      <c r="FE333" s="12" t="s">
        <v>37</v>
      </c>
      <c r="FF333" s="20" t="s">
        <v>37</v>
      </c>
      <c r="FG333" s="12" t="s">
        <v>37</v>
      </c>
      <c r="FI333" s="12" t="s">
        <v>37</v>
      </c>
      <c r="FJ333" s="12" t="s">
        <v>37</v>
      </c>
      <c r="FK333" s="12" t="s">
        <v>37</v>
      </c>
      <c r="FL333" s="12" t="s">
        <v>37</v>
      </c>
      <c r="FM333" s="12" t="s">
        <v>37</v>
      </c>
      <c r="FN333" s="12" t="s">
        <v>37</v>
      </c>
      <c r="FP333" s="12" t="s">
        <v>37</v>
      </c>
      <c r="FQ333" s="12" t="s">
        <v>37</v>
      </c>
      <c r="FR333" s="12" t="s">
        <v>37</v>
      </c>
      <c r="FS333" s="12" t="s">
        <v>37</v>
      </c>
      <c r="FT333" s="12" t="s">
        <v>37</v>
      </c>
      <c r="FU333" s="12" t="s">
        <v>37</v>
      </c>
      <c r="FW333" s="12" t="s">
        <v>37</v>
      </c>
      <c r="FX333" s="12" t="s">
        <v>37</v>
      </c>
      <c r="FY333" s="12" t="s">
        <v>37</v>
      </c>
      <c r="FZ333" s="12" t="s">
        <v>37</v>
      </c>
      <c r="GA333" s="12" t="s">
        <v>37</v>
      </c>
      <c r="GB333" s="12" t="s">
        <v>37</v>
      </c>
      <c r="IK333" s="12" t="s">
        <v>37</v>
      </c>
      <c r="IL333" s="12" t="s">
        <v>37</v>
      </c>
      <c r="IM333" s="12" t="s">
        <v>37</v>
      </c>
      <c r="IO333" s="12" t="s">
        <v>37</v>
      </c>
      <c r="IP333" s="12" t="s">
        <v>37</v>
      </c>
      <c r="IQ333" s="12" t="s">
        <v>37</v>
      </c>
      <c r="IW333" s="12" t="s">
        <v>37</v>
      </c>
      <c r="IX333" s="12" t="s">
        <v>37</v>
      </c>
      <c r="IY333" s="13" t="s">
        <v>37</v>
      </c>
      <c r="JA333" s="12" t="s">
        <v>37</v>
      </c>
      <c r="JB333" s="12" t="s">
        <v>37</v>
      </c>
      <c r="JC333" s="13" t="s">
        <v>37</v>
      </c>
      <c r="JH333" s="12" t="s">
        <v>37</v>
      </c>
      <c r="JI333" s="12" t="s">
        <v>37</v>
      </c>
      <c r="JJ333" s="13" t="s">
        <v>37</v>
      </c>
      <c r="JL333" s="12" t="s">
        <v>37</v>
      </c>
      <c r="JM333" s="12" t="s">
        <v>37</v>
      </c>
      <c r="JN333" s="12" t="s">
        <v>37</v>
      </c>
      <c r="JS333" s="12" t="s">
        <v>37</v>
      </c>
      <c r="JT333" s="12" t="s">
        <v>37</v>
      </c>
      <c r="JU333" s="13" t="s">
        <v>37</v>
      </c>
      <c r="JW333" s="12" t="s">
        <v>37</v>
      </c>
      <c r="JX333" s="12" t="s">
        <v>37</v>
      </c>
      <c r="JY333" s="12" t="s">
        <v>37</v>
      </c>
      <c r="KE333" s="12" t="s">
        <v>37</v>
      </c>
      <c r="KF333" s="12" t="s">
        <v>37</v>
      </c>
      <c r="KG333" s="13" t="s">
        <v>37</v>
      </c>
      <c r="KH333" s="12" t="s">
        <v>37</v>
      </c>
      <c r="KI333" s="12" t="s">
        <v>37</v>
      </c>
      <c r="KJ333" s="12" t="s">
        <v>37</v>
      </c>
      <c r="KM333" s="12" t="s">
        <v>37</v>
      </c>
      <c r="KN333" s="12" t="s">
        <v>37</v>
      </c>
      <c r="KO333" s="11" t="s">
        <v>37</v>
      </c>
      <c r="KQ333" s="12" t="s">
        <v>37</v>
      </c>
      <c r="KR333" s="12" t="s">
        <v>37</v>
      </c>
      <c r="KS333" s="12" t="s">
        <v>37</v>
      </c>
      <c r="KX333" s="12" t="s">
        <v>37</v>
      </c>
      <c r="KY333" s="12" t="s">
        <v>37</v>
      </c>
      <c r="KZ333" s="12" t="s">
        <v>37</v>
      </c>
      <c r="LB333" s="12" t="s">
        <v>37</v>
      </c>
      <c r="LC333" s="12" t="s">
        <v>37</v>
      </c>
      <c r="LD333" s="12" t="s">
        <v>37</v>
      </c>
      <c r="LI333" s="12" t="s">
        <v>37</v>
      </c>
      <c r="LJ333" s="12" t="s">
        <v>37</v>
      </c>
      <c r="LK333" s="12" t="s">
        <v>37</v>
      </c>
      <c r="LM333" s="12" t="s">
        <v>37</v>
      </c>
      <c r="LN333" s="12" t="s">
        <v>37</v>
      </c>
      <c r="LO333" s="12" t="s">
        <v>37</v>
      </c>
      <c r="LU333" s="12" t="s">
        <v>37</v>
      </c>
      <c r="LV333" s="12" t="s">
        <v>37</v>
      </c>
      <c r="LW333" s="12" t="s">
        <v>37</v>
      </c>
      <c r="LY333" s="12" t="s">
        <v>37</v>
      </c>
      <c r="LZ333" s="12" t="s">
        <v>37</v>
      </c>
      <c r="MA333" s="12" t="s">
        <v>37</v>
      </c>
      <c r="MF333" s="12" t="s">
        <v>37</v>
      </c>
      <c r="MG333" s="12" t="s">
        <v>37</v>
      </c>
      <c r="MH333" s="12" t="s">
        <v>37</v>
      </c>
      <c r="MJ333" s="12" t="s">
        <v>37</v>
      </c>
      <c r="MK333" s="12" t="s">
        <v>37</v>
      </c>
      <c r="ML333" s="12" t="s">
        <v>37</v>
      </c>
      <c r="MQ333" s="12" t="s">
        <v>37</v>
      </c>
      <c r="MR333" s="12" t="s">
        <v>37</v>
      </c>
      <c r="MS333" s="12" t="s">
        <v>37</v>
      </c>
      <c r="MU333" s="12" t="s">
        <v>37</v>
      </c>
      <c r="MV333" s="12" t="s">
        <v>37</v>
      </c>
      <c r="MW333" s="12" t="s">
        <v>37</v>
      </c>
      <c r="NC333" s="12" t="s">
        <v>37</v>
      </c>
      <c r="ND333" s="12" t="s">
        <v>37</v>
      </c>
      <c r="NE333" s="12" t="s">
        <v>37</v>
      </c>
      <c r="NG333" s="12" t="s">
        <v>37</v>
      </c>
      <c r="NH333" s="12" t="s">
        <v>37</v>
      </c>
      <c r="NI333" s="12" t="s">
        <v>37</v>
      </c>
      <c r="NO333" s="12" t="s">
        <v>37</v>
      </c>
      <c r="NP333" s="12" t="s">
        <v>37</v>
      </c>
      <c r="NQ333" s="12" t="s">
        <v>37</v>
      </c>
      <c r="NS333" s="12" t="s">
        <v>37</v>
      </c>
      <c r="NT333" s="12" t="s">
        <v>37</v>
      </c>
      <c r="NU333" s="12" t="s">
        <v>37</v>
      </c>
      <c r="OA333" s="12" t="s">
        <v>37</v>
      </c>
      <c r="OB333" s="12" t="s">
        <v>37</v>
      </c>
      <c r="OC333" s="12" t="s">
        <v>37</v>
      </c>
      <c r="OD333" s="12"/>
      <c r="OE333" s="12" t="s">
        <v>37</v>
      </c>
      <c r="OF333" s="12" t="s">
        <v>37</v>
      </c>
      <c r="OG333" s="12" t="s">
        <v>37</v>
      </c>
      <c r="OH333" s="12"/>
      <c r="OI333" s="12"/>
      <c r="OJ333" s="12"/>
      <c r="OM333" s="12" t="s">
        <v>37</v>
      </c>
      <c r="ON333" s="12" t="s">
        <v>37</v>
      </c>
      <c r="OO333" s="12" t="s">
        <v>37</v>
      </c>
      <c r="OP333" s="12" t="s">
        <v>37</v>
      </c>
      <c r="OQ333" s="12" t="s">
        <v>37</v>
      </c>
      <c r="OR333" s="12" t="s">
        <v>37</v>
      </c>
      <c r="OS333" s="12"/>
      <c r="OT333" s="12"/>
      <c r="OW333" s="12" t="s">
        <v>37</v>
      </c>
      <c r="OX333" s="12" t="s">
        <v>37</v>
      </c>
      <c r="OY333" s="13" t="s">
        <v>37</v>
      </c>
      <c r="OZ333" s="12" t="s">
        <v>37</v>
      </c>
      <c r="PA333" s="12" t="s">
        <v>37</v>
      </c>
      <c r="PB333" s="13" t="s">
        <v>37</v>
      </c>
      <c r="PG333" s="12" t="s">
        <v>37</v>
      </c>
      <c r="PH333" s="12" t="s">
        <v>37</v>
      </c>
      <c r="PI333" s="12" t="s">
        <v>37</v>
      </c>
      <c r="PJ333" s="12" t="s">
        <v>37</v>
      </c>
      <c r="PK333" s="12" t="s">
        <v>37</v>
      </c>
      <c r="PL333" s="12" t="s">
        <v>37</v>
      </c>
      <c r="PM333" s="12"/>
      <c r="PN333" s="12"/>
      <c r="PQ333" s="12" t="s">
        <v>37</v>
      </c>
      <c r="PR333" s="12" t="s">
        <v>37</v>
      </c>
      <c r="PS333" s="12" t="s">
        <v>37</v>
      </c>
      <c r="PT333" s="12" t="s">
        <v>37</v>
      </c>
      <c r="PU333" s="12" t="s">
        <v>37</v>
      </c>
      <c r="PV333" s="12" t="s">
        <v>37</v>
      </c>
      <c r="PW333" s="12"/>
      <c r="PX333" s="12"/>
      <c r="PZ333" s="12" t="s">
        <v>37</v>
      </c>
      <c r="QA333" s="12" t="s">
        <v>37</v>
      </c>
      <c r="QB333" s="12" t="s">
        <v>37</v>
      </c>
      <c r="QD333" s="12" t="s">
        <v>37</v>
      </c>
      <c r="QE333" s="12" t="s">
        <v>37</v>
      </c>
      <c r="QF333" s="12" t="s">
        <v>37</v>
      </c>
      <c r="QK333" s="12" t="s">
        <v>37</v>
      </c>
      <c r="QL333" s="12" t="s">
        <v>37</v>
      </c>
      <c r="QM333" s="12" t="s">
        <v>37</v>
      </c>
      <c r="QN333" s="12" t="s">
        <v>37</v>
      </c>
      <c r="QO333" s="12" t="s">
        <v>37</v>
      </c>
      <c r="QP333" s="12" t="s">
        <v>37</v>
      </c>
      <c r="QQ333" s="12"/>
      <c r="QR333" s="12"/>
      <c r="QU333" s="12" t="s">
        <v>37</v>
      </c>
      <c r="QV333" s="12" t="s">
        <v>37</v>
      </c>
      <c r="QW333" s="12" t="s">
        <v>37</v>
      </c>
      <c r="QX333" s="12" t="s">
        <v>37</v>
      </c>
      <c r="QY333" s="12" t="s">
        <v>37</v>
      </c>
      <c r="QZ333" s="12" t="s">
        <v>37</v>
      </c>
      <c r="RC333" s="12" t="s">
        <v>37</v>
      </c>
      <c r="RD333" s="12" t="s">
        <v>37</v>
      </c>
      <c r="RE333" s="13" t="s">
        <v>37</v>
      </c>
      <c r="RF333" s="12" t="s">
        <v>37</v>
      </c>
      <c r="RG333" s="12" t="s">
        <v>37</v>
      </c>
      <c r="RH333" s="13" t="s">
        <v>37</v>
      </c>
      <c r="RK333" s="12" t="s">
        <v>37</v>
      </c>
      <c r="RL333" s="12" t="s">
        <v>37</v>
      </c>
      <c r="RM333" s="11" t="s">
        <v>37</v>
      </c>
      <c r="RN333" s="12" t="s">
        <v>37</v>
      </c>
      <c r="RO333" s="12" t="s">
        <v>37</v>
      </c>
      <c r="RP333" s="11" t="s">
        <v>37</v>
      </c>
      <c r="RS333" s="12" t="s">
        <v>37</v>
      </c>
      <c r="RT333" s="12" t="s">
        <v>37</v>
      </c>
      <c r="RU333" s="12" t="s">
        <v>37</v>
      </c>
      <c r="RV333" s="12" t="s">
        <v>37</v>
      </c>
      <c r="RW333" s="12" t="s">
        <v>37</v>
      </c>
      <c r="RX333" s="12" t="s">
        <v>37</v>
      </c>
      <c r="SA333" s="12" t="s">
        <v>37</v>
      </c>
      <c r="SB333" s="12" t="s">
        <v>37</v>
      </c>
      <c r="SC333" s="12" t="s">
        <v>37</v>
      </c>
      <c r="SD333" s="12" t="s">
        <v>37</v>
      </c>
      <c r="SE333" s="12" t="s">
        <v>37</v>
      </c>
      <c r="SF333" s="12" t="s">
        <v>37</v>
      </c>
      <c r="SI333" s="12" t="s">
        <v>37</v>
      </c>
      <c r="SJ333" s="12" t="s">
        <v>37</v>
      </c>
      <c r="SK333" s="13" t="s">
        <v>37</v>
      </c>
      <c r="SM333" s="12" t="s">
        <v>37</v>
      </c>
      <c r="SN333" s="12" t="s">
        <v>37</v>
      </c>
      <c r="SO333" s="13" t="s">
        <v>37</v>
      </c>
      <c r="SU333" s="12" t="s">
        <v>37</v>
      </c>
      <c r="SV333" s="12" t="s">
        <v>37</v>
      </c>
      <c r="SW333" s="12" t="s">
        <v>37</v>
      </c>
      <c r="SX333" s="12" t="s">
        <v>37</v>
      </c>
      <c r="SY333" s="12" t="s">
        <v>37</v>
      </c>
      <c r="SZ333" s="12" t="s">
        <v>37</v>
      </c>
      <c r="TA333" s="12"/>
      <c r="TB333" s="12"/>
      <c r="TE333" s="12" t="s">
        <v>37</v>
      </c>
      <c r="TF333" s="12" t="s">
        <v>37</v>
      </c>
      <c r="TG333" s="12" t="s">
        <v>37</v>
      </c>
      <c r="TH333" s="12" t="s">
        <v>37</v>
      </c>
      <c r="TI333" s="12" t="s">
        <v>37</v>
      </c>
      <c r="TJ333" s="12" t="s">
        <v>37</v>
      </c>
      <c r="TK333" s="12"/>
      <c r="TL333" s="12"/>
      <c r="TO333" s="12" t="s">
        <v>37</v>
      </c>
      <c r="TP333" s="12" t="s">
        <v>37</v>
      </c>
      <c r="TQ333" s="12" t="s">
        <v>37</v>
      </c>
      <c r="TR333" s="12" t="s">
        <v>37</v>
      </c>
      <c r="TS333" s="12" t="s">
        <v>37</v>
      </c>
      <c r="TT333" s="12" t="s">
        <v>37</v>
      </c>
      <c r="TU333" s="12"/>
      <c r="TV333" s="12"/>
      <c r="TY333" s="12" t="s">
        <v>37</v>
      </c>
      <c r="TZ333" s="12" t="s">
        <v>37</v>
      </c>
      <c r="UA333" s="12" t="s">
        <v>37</v>
      </c>
      <c r="UB333" s="12" t="s">
        <v>37</v>
      </c>
      <c r="UC333" s="12" t="s">
        <v>37</v>
      </c>
      <c r="UD333" s="12" t="s">
        <v>37</v>
      </c>
      <c r="UE333" s="12"/>
      <c r="UF333" s="12"/>
      <c r="UI333" s="12" t="s">
        <v>37</v>
      </c>
      <c r="UJ333" s="12" t="s">
        <v>37</v>
      </c>
      <c r="UK333" s="12" t="s">
        <v>37</v>
      </c>
      <c r="UL333" s="12" t="s">
        <v>37</v>
      </c>
      <c r="UM333" s="12" t="s">
        <v>37</v>
      </c>
      <c r="UN333" s="12" t="s">
        <v>37</v>
      </c>
      <c r="UO333" s="12"/>
      <c r="UP333" s="12"/>
      <c r="UR333" s="12" t="s">
        <v>37</v>
      </c>
      <c r="US333" s="12" t="s">
        <v>37</v>
      </c>
      <c r="UT333" s="12" t="s">
        <v>37</v>
      </c>
      <c r="UU333" s="12" t="s">
        <v>37</v>
      </c>
      <c r="UV333" s="12" t="s">
        <v>37</v>
      </c>
      <c r="UW333" s="12" t="s">
        <v>37</v>
      </c>
      <c r="UX333" s="12"/>
      <c r="UY333" s="12"/>
      <c r="VB333" s="12" t="s">
        <v>37</v>
      </c>
      <c r="VC333" s="12" t="s">
        <v>37</v>
      </c>
      <c r="VD333" s="12" t="s">
        <v>37</v>
      </c>
      <c r="VE333" s="12" t="s">
        <v>37</v>
      </c>
      <c r="VF333" s="12" t="s">
        <v>37</v>
      </c>
      <c r="VG333" s="12" t="s">
        <v>37</v>
      </c>
      <c r="VI333" s="12" t="s">
        <v>37</v>
      </c>
      <c r="VJ333" s="12" t="s">
        <v>37</v>
      </c>
      <c r="VK333" s="12" t="s">
        <v>37</v>
      </c>
      <c r="VL333" s="12" t="s">
        <v>37</v>
      </c>
      <c r="VM333" s="12" t="s">
        <v>37</v>
      </c>
      <c r="VN333" s="12" t="s">
        <v>37</v>
      </c>
      <c r="VQ333" s="12" t="s">
        <v>37</v>
      </c>
      <c r="VR333" s="12" t="s">
        <v>37</v>
      </c>
      <c r="VS333" s="12" t="s">
        <v>37</v>
      </c>
      <c r="VT333" s="12" t="s">
        <v>37</v>
      </c>
      <c r="VU333" s="12" t="s">
        <v>37</v>
      </c>
      <c r="VV333" s="12" t="s">
        <v>37</v>
      </c>
      <c r="VW333" s="12"/>
      <c r="VX333" s="12"/>
      <c r="WA333" s="13" t="s">
        <v>37</v>
      </c>
      <c r="WB333" s="13" t="s">
        <v>37</v>
      </c>
      <c r="WC333" s="13" t="s">
        <v>37</v>
      </c>
      <c r="WD333" s="13" t="s">
        <v>37</v>
      </c>
      <c r="WE333" s="13" t="s">
        <v>37</v>
      </c>
      <c r="WF333" s="13" t="s">
        <v>37</v>
      </c>
    </row>
    <row r="334" spans="1:604" ht="18" customHeight="1" x14ac:dyDescent="0.3">
      <c r="A334" s="11">
        <v>73</v>
      </c>
      <c r="B334" s="16" t="s">
        <v>427</v>
      </c>
      <c r="C334" s="12" t="s">
        <v>26</v>
      </c>
      <c r="D334" s="12" t="s">
        <v>973</v>
      </c>
      <c r="E334" s="40" t="s">
        <v>37</v>
      </c>
      <c r="F334" s="14">
        <v>0</v>
      </c>
      <c r="G334" s="14">
        <v>0</v>
      </c>
      <c r="H334" s="12" t="s">
        <v>82</v>
      </c>
      <c r="I334" s="29">
        <v>47</v>
      </c>
      <c r="J334" s="29">
        <v>-92</v>
      </c>
      <c r="K334" s="12" t="s">
        <v>783</v>
      </c>
      <c r="L334" s="12" t="s">
        <v>784</v>
      </c>
      <c r="M334" s="13" t="s">
        <v>37</v>
      </c>
      <c r="N334" s="13" t="s">
        <v>37</v>
      </c>
      <c r="O334" s="13" t="s">
        <v>37</v>
      </c>
      <c r="P334" s="14" t="s">
        <v>16</v>
      </c>
      <c r="Q334" s="75">
        <v>2</v>
      </c>
      <c r="R334" s="11" t="s">
        <v>1000</v>
      </c>
      <c r="S334" s="12" t="s">
        <v>85</v>
      </c>
      <c r="T334" s="12" t="s">
        <v>138</v>
      </c>
      <c r="U334" s="12" t="s">
        <v>158</v>
      </c>
      <c r="V334" s="12" t="s">
        <v>275</v>
      </c>
      <c r="W334" s="23" t="s">
        <v>428</v>
      </c>
      <c r="X334" s="12" t="s">
        <v>280</v>
      </c>
      <c r="Y334" s="12" t="s">
        <v>37</v>
      </c>
      <c r="Z334" s="12" t="s">
        <v>37</v>
      </c>
      <c r="AB334" s="12" t="s">
        <v>37</v>
      </c>
      <c r="AE334" s="12" t="s">
        <v>37</v>
      </c>
      <c r="AH334" s="12" t="s">
        <v>37</v>
      </c>
      <c r="AK334" s="12" t="s">
        <v>37</v>
      </c>
      <c r="AL334" s="32" t="s">
        <v>430</v>
      </c>
      <c r="AM334" s="12" t="s">
        <v>317</v>
      </c>
      <c r="AN334" s="32" t="s">
        <v>879</v>
      </c>
      <c r="AO334" s="12" t="s">
        <v>37</v>
      </c>
      <c r="AP334" s="12" t="s">
        <v>167</v>
      </c>
      <c r="AQ334" s="12" t="s">
        <v>975</v>
      </c>
      <c r="AT334" s="12" t="s">
        <v>326</v>
      </c>
      <c r="AU334" s="12" t="s">
        <v>326</v>
      </c>
      <c r="AV334" s="13" t="s">
        <v>326</v>
      </c>
      <c r="AX334" s="12" t="s">
        <v>326</v>
      </c>
      <c r="AY334" s="12" t="s">
        <v>326</v>
      </c>
      <c r="AZ334" s="13" t="s">
        <v>326</v>
      </c>
      <c r="BE334" s="12" t="s">
        <v>326</v>
      </c>
      <c r="BF334" s="12" t="s">
        <v>326</v>
      </c>
      <c r="BG334" s="12" t="s">
        <v>326</v>
      </c>
      <c r="BI334" s="12" t="s">
        <v>326</v>
      </c>
      <c r="BJ334" s="12" t="s">
        <v>326</v>
      </c>
      <c r="BK334" s="12" t="s">
        <v>326</v>
      </c>
      <c r="BP334" s="12" t="s">
        <v>37</v>
      </c>
      <c r="BQ334" s="12" t="s">
        <v>37</v>
      </c>
      <c r="BR334" s="13" t="s">
        <v>37</v>
      </c>
      <c r="BT334" s="12" t="s">
        <v>37</v>
      </c>
      <c r="BU334" s="12" t="s">
        <v>37</v>
      </c>
      <c r="BV334" s="12" t="s">
        <v>37</v>
      </c>
      <c r="CA334" s="12" t="s">
        <v>37</v>
      </c>
      <c r="CB334" s="12" t="s">
        <v>37</v>
      </c>
      <c r="CC334" s="13" t="s">
        <v>37</v>
      </c>
      <c r="CE334" s="12" t="s">
        <v>37</v>
      </c>
      <c r="CF334" s="12" t="s">
        <v>37</v>
      </c>
      <c r="CG334" s="12" t="s">
        <v>37</v>
      </c>
      <c r="CN334" s="12" t="s">
        <v>37</v>
      </c>
      <c r="CO334" s="12" t="s">
        <v>37</v>
      </c>
      <c r="CP334" s="13" t="s">
        <v>37</v>
      </c>
      <c r="CR334" s="12" t="s">
        <v>37</v>
      </c>
      <c r="CS334" s="12" t="s">
        <v>37</v>
      </c>
      <c r="CT334" s="13" t="s">
        <v>37</v>
      </c>
      <c r="CX334" s="72"/>
      <c r="CY334" s="72"/>
      <c r="DA334" s="12" t="s">
        <v>37</v>
      </c>
      <c r="DB334" s="12" t="s">
        <v>37</v>
      </c>
      <c r="DC334" s="13" t="s">
        <v>37</v>
      </c>
      <c r="DE334" s="12" t="s">
        <v>37</v>
      </c>
      <c r="DF334" s="12" t="s">
        <v>37</v>
      </c>
      <c r="DG334" s="12" t="s">
        <v>37</v>
      </c>
      <c r="DM334" s="11" t="s">
        <v>47</v>
      </c>
      <c r="DN334" s="19">
        <f>10.2136257543091*12*10^4/10^6*("2011/10/31"-"2011/05/01")*16/12/'[1]classes-1'!$I$18</f>
        <v>319.73915567142052</v>
      </c>
      <c r="DO334" s="12">
        <f>SQRT((1/[2]Classes!$I$18)^2*(1.39894986436562*12*10^4/10^6*("2011/10/31"-"2011/05/01")*16/12)^2+(-DN334/([2]Classes!$I$18)^2)^2*([2]Classes!$J$18)^2)</f>
        <v>43.930407967061235</v>
      </c>
      <c r="DP334" s="13">
        <v>3</v>
      </c>
      <c r="DQ334" s="19">
        <f t="shared" si="1294"/>
        <v>0.13739452046406933</v>
      </c>
      <c r="DR334" s="19">
        <f>1.7094498785235*12*10^4/10^6*("2011/10/31"-"2011/05/01")*16/12/'[1]classes-1'!$I$19</f>
        <v>51.711287050105334</v>
      </c>
      <c r="DS334" s="12">
        <f>SQRT((1/[2]Classes!$I$19)^2*(0.167205425874329*12*10^4/10^6*("2011/10/31"-"2011/05/01")*16/12)^2+(-DR334/([2]Classes!$I$19)^2)^2*([2]Classes!$J$19)^2)</f>
        <v>35.138864518591532</v>
      </c>
      <c r="DT334" s="13">
        <v>3</v>
      </c>
      <c r="DU334" s="19">
        <f t="shared" si="1295"/>
        <v>0.67952020773615529</v>
      </c>
      <c r="DV334" s="19">
        <f t="shared" ref="DV334:DV347" si="1315">DR334-DN334</f>
        <v>-268.02786862131518</v>
      </c>
      <c r="DW334" s="12">
        <f t="shared" ref="DW334:DW347" si="1316">SQRT(((DP334-1)*DO334^2+(DT334-1)*DS334^2)/(DP334+DT334-2))</f>
        <v>39.778263812089435</v>
      </c>
      <c r="DX334" s="72">
        <f t="shared" si="1251"/>
        <v>1054.8735146027893</v>
      </c>
      <c r="DY334" s="72">
        <f t="shared" si="1252"/>
        <v>1054.8735146027893</v>
      </c>
      <c r="EA334" s="19" t="s">
        <v>37</v>
      </c>
      <c r="EB334" s="19" t="s">
        <v>37</v>
      </c>
      <c r="EC334" s="72" t="s">
        <v>37</v>
      </c>
      <c r="EE334" s="19" t="s">
        <v>37</v>
      </c>
      <c r="EF334" s="19" t="s">
        <v>37</v>
      </c>
      <c r="EG334" s="12" t="s">
        <v>37</v>
      </c>
      <c r="EM334" s="12" t="s">
        <v>39</v>
      </c>
      <c r="EN334" s="12">
        <v>-1</v>
      </c>
      <c r="EO334" s="50">
        <f t="shared" si="1313"/>
        <v>0.40749639875129334</v>
      </c>
      <c r="EP334" s="13">
        <v>3</v>
      </c>
      <c r="ER334" s="12">
        <v>-20</v>
      </c>
      <c r="ES334" s="50">
        <f t="shared" si="1314"/>
        <v>4.5362810701838834</v>
      </c>
      <c r="ET334" s="13">
        <v>3</v>
      </c>
      <c r="EV334" s="19">
        <f t="shared" si="1233"/>
        <v>-19</v>
      </c>
      <c r="EW334" s="12">
        <f t="shared" si="1234"/>
        <v>3.2205511378259399</v>
      </c>
      <c r="EX334" s="19">
        <f t="shared" si="1235"/>
        <v>6.9146330875679709</v>
      </c>
      <c r="EY334" s="19">
        <f t="shared" si="1236"/>
        <v>6.91463308756797</v>
      </c>
      <c r="FB334" s="12" t="s">
        <v>37</v>
      </c>
      <c r="FC334" s="12" t="s">
        <v>37</v>
      </c>
      <c r="FD334" s="12" t="s">
        <v>37</v>
      </c>
      <c r="FE334" s="12" t="s">
        <v>37</v>
      </c>
      <c r="FF334" s="20" t="s">
        <v>37</v>
      </c>
      <c r="FG334" s="12" t="s">
        <v>37</v>
      </c>
      <c r="FI334" s="12" t="s">
        <v>37</v>
      </c>
      <c r="FJ334" s="12" t="s">
        <v>37</v>
      </c>
      <c r="FK334" s="12" t="s">
        <v>37</v>
      </c>
      <c r="FL334" s="12" t="s">
        <v>37</v>
      </c>
      <c r="FM334" s="12" t="s">
        <v>37</v>
      </c>
      <c r="FN334" s="12" t="s">
        <v>37</v>
      </c>
      <c r="FP334" s="12" t="s">
        <v>37</v>
      </c>
      <c r="FQ334" s="12" t="s">
        <v>37</v>
      </c>
      <c r="FR334" s="12" t="s">
        <v>37</v>
      </c>
      <c r="FS334" s="12" t="s">
        <v>37</v>
      </c>
      <c r="FT334" s="12" t="s">
        <v>37</v>
      </c>
      <c r="FU334" s="12" t="s">
        <v>37</v>
      </c>
      <c r="FW334" s="12" t="s">
        <v>37</v>
      </c>
      <c r="FX334" s="12" t="s">
        <v>37</v>
      </c>
      <c r="FY334" s="12" t="s">
        <v>37</v>
      </c>
      <c r="FZ334" s="12" t="s">
        <v>37</v>
      </c>
      <c r="GA334" s="12" t="s">
        <v>37</v>
      </c>
      <c r="GB334" s="12" t="s">
        <v>37</v>
      </c>
      <c r="IK334" s="12" t="s">
        <v>37</v>
      </c>
      <c r="IL334" s="12" t="s">
        <v>37</v>
      </c>
      <c r="IM334" s="12" t="s">
        <v>37</v>
      </c>
      <c r="IO334" s="12" t="s">
        <v>37</v>
      </c>
      <c r="IP334" s="12" t="s">
        <v>37</v>
      </c>
      <c r="IQ334" s="12" t="s">
        <v>37</v>
      </c>
      <c r="IW334" s="12" t="s">
        <v>37</v>
      </c>
      <c r="IX334" s="12" t="s">
        <v>37</v>
      </c>
      <c r="IY334" s="13" t="s">
        <v>37</v>
      </c>
      <c r="JA334" s="12" t="s">
        <v>37</v>
      </c>
      <c r="JB334" s="12" t="s">
        <v>37</v>
      </c>
      <c r="JC334" s="13" t="s">
        <v>37</v>
      </c>
      <c r="JH334" s="12" t="s">
        <v>37</v>
      </c>
      <c r="JI334" s="12" t="s">
        <v>37</v>
      </c>
      <c r="JJ334" s="13" t="s">
        <v>37</v>
      </c>
      <c r="JL334" s="12" t="s">
        <v>37</v>
      </c>
      <c r="JM334" s="12" t="s">
        <v>37</v>
      </c>
      <c r="JN334" s="12" t="s">
        <v>37</v>
      </c>
      <c r="JS334" s="12" t="s">
        <v>37</v>
      </c>
      <c r="JT334" s="12" t="s">
        <v>37</v>
      </c>
      <c r="JU334" s="13" t="s">
        <v>37</v>
      </c>
      <c r="JW334" s="12" t="s">
        <v>37</v>
      </c>
      <c r="JX334" s="12" t="s">
        <v>37</v>
      </c>
      <c r="JY334" s="12" t="s">
        <v>37</v>
      </c>
      <c r="KE334" s="12" t="s">
        <v>37</v>
      </c>
      <c r="KF334" s="12" t="s">
        <v>37</v>
      </c>
      <c r="KG334" s="13" t="s">
        <v>37</v>
      </c>
      <c r="KH334" s="12" t="s">
        <v>37</v>
      </c>
      <c r="KI334" s="12" t="s">
        <v>37</v>
      </c>
      <c r="KJ334" s="12" t="s">
        <v>37</v>
      </c>
      <c r="KM334" s="12" t="s">
        <v>37</v>
      </c>
      <c r="KN334" s="12" t="s">
        <v>37</v>
      </c>
      <c r="KO334" s="11" t="s">
        <v>37</v>
      </c>
      <c r="KQ334" s="12" t="s">
        <v>37</v>
      </c>
      <c r="KR334" s="12" t="s">
        <v>37</v>
      </c>
      <c r="KS334" s="12" t="s">
        <v>37</v>
      </c>
      <c r="KX334" s="12" t="s">
        <v>37</v>
      </c>
      <c r="KY334" s="12" t="s">
        <v>37</v>
      </c>
      <c r="KZ334" s="12" t="s">
        <v>37</v>
      </c>
      <c r="LB334" s="12" t="s">
        <v>37</v>
      </c>
      <c r="LC334" s="12" t="s">
        <v>37</v>
      </c>
      <c r="LD334" s="12" t="s">
        <v>37</v>
      </c>
      <c r="LI334" s="12" t="s">
        <v>37</v>
      </c>
      <c r="LJ334" s="12" t="s">
        <v>37</v>
      </c>
      <c r="LK334" s="12" t="s">
        <v>37</v>
      </c>
      <c r="LM334" s="12" t="s">
        <v>37</v>
      </c>
      <c r="LN334" s="12" t="s">
        <v>37</v>
      </c>
      <c r="LO334" s="12" t="s">
        <v>37</v>
      </c>
      <c r="LU334" s="12" t="s">
        <v>37</v>
      </c>
      <c r="LV334" s="12" t="s">
        <v>37</v>
      </c>
      <c r="LW334" s="12" t="s">
        <v>37</v>
      </c>
      <c r="LY334" s="12" t="s">
        <v>37</v>
      </c>
      <c r="LZ334" s="12" t="s">
        <v>37</v>
      </c>
      <c r="MA334" s="12" t="s">
        <v>37</v>
      </c>
      <c r="MF334" s="12" t="s">
        <v>37</v>
      </c>
      <c r="MG334" s="12" t="s">
        <v>37</v>
      </c>
      <c r="MH334" s="12" t="s">
        <v>37</v>
      </c>
      <c r="MJ334" s="12" t="s">
        <v>37</v>
      </c>
      <c r="MK334" s="12" t="s">
        <v>37</v>
      </c>
      <c r="ML334" s="12" t="s">
        <v>37</v>
      </c>
      <c r="MQ334" s="12" t="s">
        <v>37</v>
      </c>
      <c r="MR334" s="12" t="s">
        <v>37</v>
      </c>
      <c r="MS334" s="12" t="s">
        <v>37</v>
      </c>
      <c r="MU334" s="12" t="s">
        <v>37</v>
      </c>
      <c r="MV334" s="12" t="s">
        <v>37</v>
      </c>
      <c r="MW334" s="12" t="s">
        <v>37</v>
      </c>
      <c r="NC334" s="12" t="s">
        <v>37</v>
      </c>
      <c r="ND334" s="12" t="s">
        <v>37</v>
      </c>
      <c r="NE334" s="12" t="s">
        <v>37</v>
      </c>
      <c r="NG334" s="12" t="s">
        <v>37</v>
      </c>
      <c r="NH334" s="12" t="s">
        <v>37</v>
      </c>
      <c r="NI334" s="12" t="s">
        <v>37</v>
      </c>
      <c r="NO334" s="12" t="s">
        <v>37</v>
      </c>
      <c r="NP334" s="12" t="s">
        <v>37</v>
      </c>
      <c r="NQ334" s="12" t="s">
        <v>37</v>
      </c>
      <c r="NS334" s="12" t="s">
        <v>37</v>
      </c>
      <c r="NT334" s="12" t="s">
        <v>37</v>
      </c>
      <c r="NU334" s="12" t="s">
        <v>37</v>
      </c>
      <c r="OA334" s="12" t="s">
        <v>37</v>
      </c>
      <c r="OB334" s="12" t="s">
        <v>37</v>
      </c>
      <c r="OC334" s="12" t="s">
        <v>37</v>
      </c>
      <c r="OD334" s="12"/>
      <c r="OE334" s="12" t="s">
        <v>37</v>
      </c>
      <c r="OF334" s="12" t="s">
        <v>37</v>
      </c>
      <c r="OG334" s="12" t="s">
        <v>37</v>
      </c>
      <c r="OH334" s="12"/>
      <c r="OI334" s="12"/>
      <c r="OJ334" s="12"/>
      <c r="OM334" s="12" t="s">
        <v>37</v>
      </c>
      <c r="ON334" s="12" t="s">
        <v>37</v>
      </c>
      <c r="OO334" s="12" t="s">
        <v>37</v>
      </c>
      <c r="OP334" s="12" t="s">
        <v>37</v>
      </c>
      <c r="OQ334" s="12" t="s">
        <v>37</v>
      </c>
      <c r="OR334" s="12" t="s">
        <v>37</v>
      </c>
      <c r="OS334" s="12"/>
      <c r="OT334" s="12"/>
      <c r="OW334" s="12" t="s">
        <v>37</v>
      </c>
      <c r="OX334" s="12" t="s">
        <v>37</v>
      </c>
      <c r="OY334" s="13" t="s">
        <v>37</v>
      </c>
      <c r="OZ334" s="12" t="s">
        <v>37</v>
      </c>
      <c r="PA334" s="12" t="s">
        <v>37</v>
      </c>
      <c r="PB334" s="13" t="s">
        <v>37</v>
      </c>
      <c r="PG334" s="12" t="s">
        <v>37</v>
      </c>
      <c r="PH334" s="12" t="s">
        <v>37</v>
      </c>
      <c r="PI334" s="12" t="s">
        <v>37</v>
      </c>
      <c r="PJ334" s="12" t="s">
        <v>37</v>
      </c>
      <c r="PK334" s="12" t="s">
        <v>37</v>
      </c>
      <c r="PL334" s="12" t="s">
        <v>37</v>
      </c>
      <c r="PM334" s="12"/>
      <c r="PN334" s="12"/>
      <c r="PQ334" s="12" t="s">
        <v>37</v>
      </c>
      <c r="PR334" s="12" t="s">
        <v>37</v>
      </c>
      <c r="PS334" s="12" t="s">
        <v>37</v>
      </c>
      <c r="PT334" s="12" t="s">
        <v>37</v>
      </c>
      <c r="PU334" s="12" t="s">
        <v>37</v>
      </c>
      <c r="PV334" s="12" t="s">
        <v>37</v>
      </c>
      <c r="PW334" s="12"/>
      <c r="PX334" s="12"/>
      <c r="PZ334" s="12" t="s">
        <v>37</v>
      </c>
      <c r="QA334" s="12" t="s">
        <v>37</v>
      </c>
      <c r="QB334" s="12" t="s">
        <v>37</v>
      </c>
      <c r="QD334" s="12" t="s">
        <v>37</v>
      </c>
      <c r="QE334" s="12" t="s">
        <v>37</v>
      </c>
      <c r="QF334" s="12" t="s">
        <v>37</v>
      </c>
      <c r="QK334" s="12" t="s">
        <v>37</v>
      </c>
      <c r="QL334" s="12" t="s">
        <v>37</v>
      </c>
      <c r="QM334" s="12" t="s">
        <v>37</v>
      </c>
      <c r="QN334" s="12" t="s">
        <v>37</v>
      </c>
      <c r="QO334" s="12" t="s">
        <v>37</v>
      </c>
      <c r="QP334" s="12" t="s">
        <v>37</v>
      </c>
      <c r="QQ334" s="12"/>
      <c r="QR334" s="12"/>
      <c r="QU334" s="12" t="s">
        <v>37</v>
      </c>
      <c r="QV334" s="12" t="s">
        <v>37</v>
      </c>
      <c r="QW334" s="12" t="s">
        <v>37</v>
      </c>
      <c r="QX334" s="12" t="s">
        <v>37</v>
      </c>
      <c r="QY334" s="12" t="s">
        <v>37</v>
      </c>
      <c r="QZ334" s="12" t="s">
        <v>37</v>
      </c>
      <c r="RC334" s="12" t="s">
        <v>37</v>
      </c>
      <c r="RD334" s="12" t="s">
        <v>37</v>
      </c>
      <c r="RE334" s="13" t="s">
        <v>37</v>
      </c>
      <c r="RF334" s="12" t="s">
        <v>37</v>
      </c>
      <c r="RG334" s="12" t="s">
        <v>37</v>
      </c>
      <c r="RH334" s="13" t="s">
        <v>37</v>
      </c>
      <c r="RK334" s="12" t="s">
        <v>37</v>
      </c>
      <c r="RL334" s="12" t="s">
        <v>37</v>
      </c>
      <c r="RM334" s="11" t="s">
        <v>37</v>
      </c>
      <c r="RN334" s="12" t="s">
        <v>37</v>
      </c>
      <c r="RO334" s="12" t="s">
        <v>37</v>
      </c>
      <c r="RP334" s="11" t="s">
        <v>37</v>
      </c>
      <c r="RS334" s="12" t="s">
        <v>37</v>
      </c>
      <c r="RT334" s="12" t="s">
        <v>37</v>
      </c>
      <c r="RU334" s="12" t="s">
        <v>37</v>
      </c>
      <c r="RV334" s="12" t="s">
        <v>37</v>
      </c>
      <c r="RW334" s="12" t="s">
        <v>37</v>
      </c>
      <c r="RX334" s="12" t="s">
        <v>37</v>
      </c>
      <c r="SA334" s="12" t="s">
        <v>37</v>
      </c>
      <c r="SB334" s="12" t="s">
        <v>37</v>
      </c>
      <c r="SC334" s="12" t="s">
        <v>37</v>
      </c>
      <c r="SD334" s="12" t="s">
        <v>37</v>
      </c>
      <c r="SE334" s="12" t="s">
        <v>37</v>
      </c>
      <c r="SF334" s="12" t="s">
        <v>37</v>
      </c>
      <c r="SI334" s="12" t="s">
        <v>37</v>
      </c>
      <c r="SJ334" s="12" t="s">
        <v>37</v>
      </c>
      <c r="SK334" s="13" t="s">
        <v>37</v>
      </c>
      <c r="SM334" s="12" t="s">
        <v>37</v>
      </c>
      <c r="SN334" s="12" t="s">
        <v>37</v>
      </c>
      <c r="SO334" s="13" t="s">
        <v>37</v>
      </c>
      <c r="SU334" s="12" t="s">
        <v>37</v>
      </c>
      <c r="SV334" s="12" t="s">
        <v>37</v>
      </c>
      <c r="SW334" s="12" t="s">
        <v>37</v>
      </c>
      <c r="SX334" s="12" t="s">
        <v>37</v>
      </c>
      <c r="SY334" s="12" t="s">
        <v>37</v>
      </c>
      <c r="SZ334" s="12" t="s">
        <v>37</v>
      </c>
      <c r="TA334" s="12"/>
      <c r="TB334" s="12"/>
      <c r="TE334" s="12" t="s">
        <v>37</v>
      </c>
      <c r="TF334" s="12" t="s">
        <v>37</v>
      </c>
      <c r="TG334" s="12" t="s">
        <v>37</v>
      </c>
      <c r="TH334" s="12" t="s">
        <v>37</v>
      </c>
      <c r="TI334" s="12" t="s">
        <v>37</v>
      </c>
      <c r="TJ334" s="12" t="s">
        <v>37</v>
      </c>
      <c r="TK334" s="12"/>
      <c r="TL334" s="12"/>
      <c r="TO334" s="12" t="s">
        <v>37</v>
      </c>
      <c r="TP334" s="12" t="s">
        <v>37</v>
      </c>
      <c r="TQ334" s="12" t="s">
        <v>37</v>
      </c>
      <c r="TR334" s="12" t="s">
        <v>37</v>
      </c>
      <c r="TS334" s="12" t="s">
        <v>37</v>
      </c>
      <c r="TT334" s="12" t="s">
        <v>37</v>
      </c>
      <c r="TU334" s="12"/>
      <c r="TV334" s="12"/>
      <c r="TY334" s="12" t="s">
        <v>37</v>
      </c>
      <c r="TZ334" s="12" t="s">
        <v>37</v>
      </c>
      <c r="UA334" s="12" t="s">
        <v>37</v>
      </c>
      <c r="UB334" s="12" t="s">
        <v>37</v>
      </c>
      <c r="UC334" s="12" t="s">
        <v>37</v>
      </c>
      <c r="UD334" s="12" t="s">
        <v>37</v>
      </c>
      <c r="UE334" s="12"/>
      <c r="UF334" s="12"/>
      <c r="UI334" s="12" t="s">
        <v>37</v>
      </c>
      <c r="UJ334" s="12" t="s">
        <v>37</v>
      </c>
      <c r="UK334" s="12" t="s">
        <v>37</v>
      </c>
      <c r="UL334" s="12" t="s">
        <v>37</v>
      </c>
      <c r="UM334" s="12" t="s">
        <v>37</v>
      </c>
      <c r="UN334" s="12" t="s">
        <v>37</v>
      </c>
      <c r="UO334" s="12"/>
      <c r="UP334" s="12"/>
      <c r="UR334" s="12" t="s">
        <v>37</v>
      </c>
      <c r="US334" s="12" t="s">
        <v>37</v>
      </c>
      <c r="UT334" s="12" t="s">
        <v>37</v>
      </c>
      <c r="UU334" s="12" t="s">
        <v>37</v>
      </c>
      <c r="UV334" s="12" t="s">
        <v>37</v>
      </c>
      <c r="UW334" s="12" t="s">
        <v>37</v>
      </c>
      <c r="UX334" s="12"/>
      <c r="UY334" s="12"/>
      <c r="VB334" s="12" t="s">
        <v>37</v>
      </c>
      <c r="VC334" s="12" t="s">
        <v>37</v>
      </c>
      <c r="VD334" s="12" t="s">
        <v>37</v>
      </c>
      <c r="VE334" s="12" t="s">
        <v>37</v>
      </c>
      <c r="VF334" s="12" t="s">
        <v>37</v>
      </c>
      <c r="VG334" s="12" t="s">
        <v>37</v>
      </c>
      <c r="VI334" s="12" t="s">
        <v>37</v>
      </c>
      <c r="VJ334" s="12" t="s">
        <v>37</v>
      </c>
      <c r="VK334" s="12" t="s">
        <v>37</v>
      </c>
      <c r="VL334" s="12" t="s">
        <v>37</v>
      </c>
      <c r="VM334" s="12" t="s">
        <v>37</v>
      </c>
      <c r="VN334" s="12" t="s">
        <v>37</v>
      </c>
      <c r="VQ334" s="12" t="s">
        <v>37</v>
      </c>
      <c r="VR334" s="12" t="s">
        <v>37</v>
      </c>
      <c r="VS334" s="12" t="s">
        <v>37</v>
      </c>
      <c r="VT334" s="12" t="s">
        <v>37</v>
      </c>
      <c r="VU334" s="12" t="s">
        <v>37</v>
      </c>
      <c r="VV334" s="12" t="s">
        <v>37</v>
      </c>
      <c r="VW334" s="12"/>
      <c r="VX334" s="12"/>
      <c r="WA334" s="13" t="s">
        <v>37</v>
      </c>
      <c r="WB334" s="13" t="s">
        <v>37</v>
      </c>
      <c r="WC334" s="13" t="s">
        <v>37</v>
      </c>
      <c r="WD334" s="13" t="s">
        <v>37</v>
      </c>
      <c r="WE334" s="13" t="s">
        <v>37</v>
      </c>
      <c r="WF334" s="13" t="s">
        <v>37</v>
      </c>
    </row>
    <row r="335" spans="1:604" ht="18" customHeight="1" x14ac:dyDescent="0.3">
      <c r="A335" s="11">
        <v>73</v>
      </c>
      <c r="B335" s="16" t="s">
        <v>427</v>
      </c>
      <c r="C335" s="12" t="s">
        <v>26</v>
      </c>
      <c r="D335" s="12" t="s">
        <v>973</v>
      </c>
      <c r="E335" s="40" t="s">
        <v>37</v>
      </c>
      <c r="F335" s="14">
        <v>0</v>
      </c>
      <c r="G335" s="14">
        <v>0</v>
      </c>
      <c r="H335" s="12" t="s">
        <v>82</v>
      </c>
      <c r="I335" s="29">
        <v>47</v>
      </c>
      <c r="J335" s="29">
        <v>-92</v>
      </c>
      <c r="K335" s="12" t="s">
        <v>783</v>
      </c>
      <c r="L335" s="12" t="s">
        <v>784</v>
      </c>
      <c r="M335" s="13" t="s">
        <v>37</v>
      </c>
      <c r="N335" s="13" t="s">
        <v>37</v>
      </c>
      <c r="O335" s="13" t="s">
        <v>37</v>
      </c>
      <c r="P335" s="14" t="s">
        <v>16</v>
      </c>
      <c r="Q335" s="75">
        <v>3</v>
      </c>
      <c r="R335" s="11" t="s">
        <v>1000</v>
      </c>
      <c r="S335" s="12" t="s">
        <v>85</v>
      </c>
      <c r="T335" s="12" t="s">
        <v>138</v>
      </c>
      <c r="U335" s="12" t="s">
        <v>158</v>
      </c>
      <c r="V335" s="12" t="s">
        <v>275</v>
      </c>
      <c r="W335" s="23" t="s">
        <v>428</v>
      </c>
      <c r="X335" s="12" t="s">
        <v>280</v>
      </c>
      <c r="Y335" s="12" t="s">
        <v>37</v>
      </c>
      <c r="Z335" s="12" t="s">
        <v>37</v>
      </c>
      <c r="AB335" s="12" t="s">
        <v>37</v>
      </c>
      <c r="AE335" s="12" t="s">
        <v>37</v>
      </c>
      <c r="AH335" s="12" t="s">
        <v>37</v>
      </c>
      <c r="AK335" s="12" t="s">
        <v>37</v>
      </c>
      <c r="AL335" s="32" t="s">
        <v>431</v>
      </c>
      <c r="AM335" s="12" t="s">
        <v>317</v>
      </c>
      <c r="AN335" s="32" t="s">
        <v>879</v>
      </c>
      <c r="AO335" s="12" t="s">
        <v>37</v>
      </c>
      <c r="AP335" s="12" t="s">
        <v>167</v>
      </c>
      <c r="AQ335" s="12" t="s">
        <v>975</v>
      </c>
      <c r="AT335" s="12" t="s">
        <v>326</v>
      </c>
      <c r="AU335" s="12" t="s">
        <v>326</v>
      </c>
      <c r="AV335" s="13" t="s">
        <v>326</v>
      </c>
      <c r="AX335" s="12" t="s">
        <v>326</v>
      </c>
      <c r="AY335" s="12" t="s">
        <v>326</v>
      </c>
      <c r="AZ335" s="13" t="s">
        <v>326</v>
      </c>
      <c r="BE335" s="12" t="s">
        <v>326</v>
      </c>
      <c r="BF335" s="12" t="s">
        <v>326</v>
      </c>
      <c r="BG335" s="12" t="s">
        <v>326</v>
      </c>
      <c r="BI335" s="12" t="s">
        <v>326</v>
      </c>
      <c r="BJ335" s="12" t="s">
        <v>326</v>
      </c>
      <c r="BK335" s="12" t="s">
        <v>326</v>
      </c>
      <c r="BP335" s="12" t="s">
        <v>37</v>
      </c>
      <c r="BQ335" s="12" t="s">
        <v>37</v>
      </c>
      <c r="BR335" s="13" t="s">
        <v>37</v>
      </c>
      <c r="BT335" s="12" t="s">
        <v>37</v>
      </c>
      <c r="BU335" s="12" t="s">
        <v>37</v>
      </c>
      <c r="BV335" s="12" t="s">
        <v>37</v>
      </c>
      <c r="CA335" s="12" t="s">
        <v>37</v>
      </c>
      <c r="CB335" s="12" t="s">
        <v>37</v>
      </c>
      <c r="CC335" s="13" t="s">
        <v>37</v>
      </c>
      <c r="CE335" s="12" t="s">
        <v>37</v>
      </c>
      <c r="CF335" s="12" t="s">
        <v>37</v>
      </c>
      <c r="CG335" s="12" t="s">
        <v>37</v>
      </c>
      <c r="CN335" s="12" t="s">
        <v>37</v>
      </c>
      <c r="CO335" s="12" t="s">
        <v>37</v>
      </c>
      <c r="CP335" s="13" t="s">
        <v>37</v>
      </c>
      <c r="CR335" s="12" t="s">
        <v>37</v>
      </c>
      <c r="CS335" s="12" t="s">
        <v>37</v>
      </c>
      <c r="CT335" s="13" t="s">
        <v>37</v>
      </c>
      <c r="CX335" s="72"/>
      <c r="CY335" s="72"/>
      <c r="DA335" s="12" t="s">
        <v>37</v>
      </c>
      <c r="DB335" s="12" t="s">
        <v>37</v>
      </c>
      <c r="DC335" s="13" t="s">
        <v>37</v>
      </c>
      <c r="DE335" s="12" t="s">
        <v>37</v>
      </c>
      <c r="DF335" s="12" t="s">
        <v>37</v>
      </c>
      <c r="DG335" s="12" t="s">
        <v>37</v>
      </c>
      <c r="DM335" s="11" t="s">
        <v>47</v>
      </c>
      <c r="DN335" s="19">
        <f>7.38404847110512*12*10^4/10^6*("2011/10/31"-"2011/05/01")*16/12/'[1]classes-1'!$I$18</f>
        <v>231.15879516066161</v>
      </c>
      <c r="DO335" s="12">
        <f>SQRT((1/[2]Classes!$I$18)^2*(0.950154741051585*12*10^4/10^6*("2011/10/31"-"2011/05/01")*16/12)^2+(-DN335/([2]Classes!$I$18)^2)^2*([2]Classes!$J$18)^2)</f>
        <v>29.849428994378311</v>
      </c>
      <c r="DP335" s="13">
        <v>3</v>
      </c>
      <c r="DQ335" s="19">
        <f t="shared" si="1294"/>
        <v>0.12912954046862959</v>
      </c>
      <c r="DR335" s="19">
        <f>1.20072073048473*12*10^4/10^6*("2011/10/31"-"2011/05/01")*16/12/'[1]classes-1'!$I$19</f>
        <v>36.322102883026695</v>
      </c>
      <c r="DS335" s="12">
        <f>SQRT((1/[2]Classes!$I$19)^2*(0.138963568684754*12*10^4/10^6*("2011/10/31"-"2011/05/01")*16/12)^2+(-DR335/([2]Classes!$I$19)^2)^2*([2]Classes!$J$19)^2)</f>
        <v>24.783672418143286</v>
      </c>
      <c r="DT335" s="13">
        <v>3</v>
      </c>
      <c r="DU335" s="19">
        <f t="shared" si="1295"/>
        <v>0.68233032922013681</v>
      </c>
      <c r="DV335" s="19">
        <f t="shared" si="1315"/>
        <v>-194.83669227763491</v>
      </c>
      <c r="DW335" s="12">
        <f t="shared" si="1316"/>
        <v>27.433727688925806</v>
      </c>
      <c r="DX335" s="72">
        <f t="shared" si="1251"/>
        <v>501.73960994008962</v>
      </c>
      <c r="DY335" s="72">
        <f t="shared" si="1252"/>
        <v>501.73960994008962</v>
      </c>
      <c r="EA335" s="19" t="s">
        <v>37</v>
      </c>
      <c r="EB335" s="19" t="s">
        <v>37</v>
      </c>
      <c r="EC335" s="72" t="s">
        <v>37</v>
      </c>
      <c r="EE335" s="19" t="s">
        <v>37</v>
      </c>
      <c r="EF335" s="19" t="s">
        <v>37</v>
      </c>
      <c r="EG335" s="12" t="s">
        <v>37</v>
      </c>
      <c r="EM335" s="12" t="s">
        <v>39</v>
      </c>
      <c r="EN335" s="12">
        <v>-1</v>
      </c>
      <c r="EO335" s="50">
        <f t="shared" si="1313"/>
        <v>0.40749639875129334</v>
      </c>
      <c r="EP335" s="13">
        <v>3</v>
      </c>
      <c r="ER335" s="12">
        <v>-20</v>
      </c>
      <c r="ES335" s="50">
        <f t="shared" si="1314"/>
        <v>4.5362810701838834</v>
      </c>
      <c r="ET335" s="13">
        <v>3</v>
      </c>
      <c r="EV335" s="19">
        <f t="shared" si="1233"/>
        <v>-19</v>
      </c>
      <c r="EW335" s="12">
        <f t="shared" si="1234"/>
        <v>3.2205511378259399</v>
      </c>
      <c r="EX335" s="19">
        <f t="shared" si="1235"/>
        <v>6.9146330875679709</v>
      </c>
      <c r="EY335" s="19">
        <f t="shared" si="1236"/>
        <v>6.91463308756797</v>
      </c>
      <c r="FB335" s="12" t="s">
        <v>37</v>
      </c>
      <c r="FC335" s="12" t="s">
        <v>37</v>
      </c>
      <c r="FD335" s="12" t="s">
        <v>37</v>
      </c>
      <c r="FE335" s="12" t="s">
        <v>37</v>
      </c>
      <c r="FF335" s="20" t="s">
        <v>37</v>
      </c>
      <c r="FG335" s="12" t="s">
        <v>37</v>
      </c>
      <c r="FI335" s="12" t="s">
        <v>37</v>
      </c>
      <c r="FJ335" s="12" t="s">
        <v>37</v>
      </c>
      <c r="FK335" s="12" t="s">
        <v>37</v>
      </c>
      <c r="FL335" s="12" t="s">
        <v>37</v>
      </c>
      <c r="FM335" s="12" t="s">
        <v>37</v>
      </c>
      <c r="FN335" s="12" t="s">
        <v>37</v>
      </c>
      <c r="FP335" s="12" t="s">
        <v>37</v>
      </c>
      <c r="FQ335" s="12" t="s">
        <v>37</v>
      </c>
      <c r="FR335" s="12" t="s">
        <v>37</v>
      </c>
      <c r="FS335" s="12" t="s">
        <v>37</v>
      </c>
      <c r="FT335" s="12" t="s">
        <v>37</v>
      </c>
      <c r="FU335" s="12" t="s">
        <v>37</v>
      </c>
      <c r="FW335" s="12" t="s">
        <v>37</v>
      </c>
      <c r="FX335" s="12" t="s">
        <v>37</v>
      </c>
      <c r="FY335" s="12" t="s">
        <v>37</v>
      </c>
      <c r="FZ335" s="12" t="s">
        <v>37</v>
      </c>
      <c r="GA335" s="12" t="s">
        <v>37</v>
      </c>
      <c r="GB335" s="12" t="s">
        <v>37</v>
      </c>
      <c r="IK335" s="12" t="s">
        <v>37</v>
      </c>
      <c r="IL335" s="12" t="s">
        <v>37</v>
      </c>
      <c r="IM335" s="12" t="s">
        <v>37</v>
      </c>
      <c r="IO335" s="12" t="s">
        <v>37</v>
      </c>
      <c r="IP335" s="12" t="s">
        <v>37</v>
      </c>
      <c r="IQ335" s="12" t="s">
        <v>37</v>
      </c>
      <c r="IW335" s="12" t="s">
        <v>37</v>
      </c>
      <c r="IX335" s="12" t="s">
        <v>37</v>
      </c>
      <c r="IY335" s="13" t="s">
        <v>37</v>
      </c>
      <c r="JA335" s="12" t="s">
        <v>37</v>
      </c>
      <c r="JB335" s="12" t="s">
        <v>37</v>
      </c>
      <c r="JC335" s="13" t="s">
        <v>37</v>
      </c>
      <c r="JH335" s="12" t="s">
        <v>37</v>
      </c>
      <c r="JI335" s="12" t="s">
        <v>37</v>
      </c>
      <c r="JJ335" s="13" t="s">
        <v>37</v>
      </c>
      <c r="JL335" s="12" t="s">
        <v>37</v>
      </c>
      <c r="JM335" s="12" t="s">
        <v>37</v>
      </c>
      <c r="JN335" s="12" t="s">
        <v>37</v>
      </c>
      <c r="JS335" s="12" t="s">
        <v>37</v>
      </c>
      <c r="JT335" s="12" t="s">
        <v>37</v>
      </c>
      <c r="JU335" s="13" t="s">
        <v>37</v>
      </c>
      <c r="JW335" s="12" t="s">
        <v>37</v>
      </c>
      <c r="JX335" s="12" t="s">
        <v>37</v>
      </c>
      <c r="JY335" s="12" t="s">
        <v>37</v>
      </c>
      <c r="KE335" s="12" t="s">
        <v>37</v>
      </c>
      <c r="KF335" s="12" t="s">
        <v>37</v>
      </c>
      <c r="KG335" s="13" t="s">
        <v>37</v>
      </c>
      <c r="KH335" s="12" t="s">
        <v>37</v>
      </c>
      <c r="KI335" s="12" t="s">
        <v>37</v>
      </c>
      <c r="KJ335" s="12" t="s">
        <v>37</v>
      </c>
      <c r="KM335" s="12" t="s">
        <v>37</v>
      </c>
      <c r="KN335" s="12" t="s">
        <v>37</v>
      </c>
      <c r="KO335" s="11" t="s">
        <v>37</v>
      </c>
      <c r="KQ335" s="12" t="s">
        <v>37</v>
      </c>
      <c r="KR335" s="12" t="s">
        <v>37</v>
      </c>
      <c r="KS335" s="12" t="s">
        <v>37</v>
      </c>
      <c r="KX335" s="12" t="s">
        <v>37</v>
      </c>
      <c r="KY335" s="12" t="s">
        <v>37</v>
      </c>
      <c r="KZ335" s="12" t="s">
        <v>37</v>
      </c>
      <c r="LB335" s="12" t="s">
        <v>37</v>
      </c>
      <c r="LC335" s="12" t="s">
        <v>37</v>
      </c>
      <c r="LD335" s="12" t="s">
        <v>37</v>
      </c>
      <c r="LI335" s="12" t="s">
        <v>37</v>
      </c>
      <c r="LJ335" s="12" t="s">
        <v>37</v>
      </c>
      <c r="LK335" s="12" t="s">
        <v>37</v>
      </c>
      <c r="LM335" s="12" t="s">
        <v>37</v>
      </c>
      <c r="LN335" s="12" t="s">
        <v>37</v>
      </c>
      <c r="LO335" s="12" t="s">
        <v>37</v>
      </c>
      <c r="LU335" s="12" t="s">
        <v>37</v>
      </c>
      <c r="LV335" s="12" t="s">
        <v>37</v>
      </c>
      <c r="LW335" s="12" t="s">
        <v>37</v>
      </c>
      <c r="LY335" s="12" t="s">
        <v>37</v>
      </c>
      <c r="LZ335" s="12" t="s">
        <v>37</v>
      </c>
      <c r="MA335" s="12" t="s">
        <v>37</v>
      </c>
      <c r="MF335" s="12" t="s">
        <v>37</v>
      </c>
      <c r="MG335" s="12" t="s">
        <v>37</v>
      </c>
      <c r="MH335" s="12" t="s">
        <v>37</v>
      </c>
      <c r="MJ335" s="12" t="s">
        <v>37</v>
      </c>
      <c r="MK335" s="12" t="s">
        <v>37</v>
      </c>
      <c r="ML335" s="12" t="s">
        <v>37</v>
      </c>
      <c r="MQ335" s="12" t="s">
        <v>37</v>
      </c>
      <c r="MR335" s="12" t="s">
        <v>37</v>
      </c>
      <c r="MS335" s="12" t="s">
        <v>37</v>
      </c>
      <c r="MU335" s="12" t="s">
        <v>37</v>
      </c>
      <c r="MV335" s="12" t="s">
        <v>37</v>
      </c>
      <c r="MW335" s="12" t="s">
        <v>37</v>
      </c>
      <c r="NC335" s="12" t="s">
        <v>37</v>
      </c>
      <c r="ND335" s="12" t="s">
        <v>37</v>
      </c>
      <c r="NE335" s="12" t="s">
        <v>37</v>
      </c>
      <c r="NG335" s="12" t="s">
        <v>37</v>
      </c>
      <c r="NH335" s="12" t="s">
        <v>37</v>
      </c>
      <c r="NI335" s="12" t="s">
        <v>37</v>
      </c>
      <c r="NO335" s="12" t="s">
        <v>37</v>
      </c>
      <c r="NP335" s="12" t="s">
        <v>37</v>
      </c>
      <c r="NQ335" s="12" t="s">
        <v>37</v>
      </c>
      <c r="NS335" s="12" t="s">
        <v>37</v>
      </c>
      <c r="NT335" s="12" t="s">
        <v>37</v>
      </c>
      <c r="NU335" s="12" t="s">
        <v>37</v>
      </c>
      <c r="OA335" s="12" t="s">
        <v>37</v>
      </c>
      <c r="OB335" s="12" t="s">
        <v>37</v>
      </c>
      <c r="OC335" s="12" t="s">
        <v>37</v>
      </c>
      <c r="OD335" s="12"/>
      <c r="OE335" s="12" t="s">
        <v>37</v>
      </c>
      <c r="OF335" s="12" t="s">
        <v>37</v>
      </c>
      <c r="OG335" s="12" t="s">
        <v>37</v>
      </c>
      <c r="OH335" s="12"/>
      <c r="OI335" s="12"/>
      <c r="OJ335" s="12"/>
      <c r="OM335" s="12" t="s">
        <v>37</v>
      </c>
      <c r="ON335" s="12" t="s">
        <v>37</v>
      </c>
      <c r="OO335" s="12" t="s">
        <v>37</v>
      </c>
      <c r="OP335" s="12" t="s">
        <v>37</v>
      </c>
      <c r="OQ335" s="12" t="s">
        <v>37</v>
      </c>
      <c r="OR335" s="12" t="s">
        <v>37</v>
      </c>
      <c r="OS335" s="12"/>
      <c r="OT335" s="12"/>
      <c r="OW335" s="12" t="s">
        <v>37</v>
      </c>
      <c r="OX335" s="12" t="s">
        <v>37</v>
      </c>
      <c r="OY335" s="13" t="s">
        <v>37</v>
      </c>
      <c r="OZ335" s="12" t="s">
        <v>37</v>
      </c>
      <c r="PA335" s="12" t="s">
        <v>37</v>
      </c>
      <c r="PB335" s="13" t="s">
        <v>37</v>
      </c>
      <c r="PG335" s="12" t="s">
        <v>37</v>
      </c>
      <c r="PH335" s="12" t="s">
        <v>37</v>
      </c>
      <c r="PI335" s="12" t="s">
        <v>37</v>
      </c>
      <c r="PJ335" s="12" t="s">
        <v>37</v>
      </c>
      <c r="PK335" s="12" t="s">
        <v>37</v>
      </c>
      <c r="PL335" s="12" t="s">
        <v>37</v>
      </c>
      <c r="PM335" s="12"/>
      <c r="PN335" s="12"/>
      <c r="PQ335" s="12" t="s">
        <v>37</v>
      </c>
      <c r="PR335" s="12" t="s">
        <v>37</v>
      </c>
      <c r="PS335" s="12" t="s">
        <v>37</v>
      </c>
      <c r="PT335" s="12" t="s">
        <v>37</v>
      </c>
      <c r="PU335" s="12" t="s">
        <v>37</v>
      </c>
      <c r="PV335" s="12" t="s">
        <v>37</v>
      </c>
      <c r="PW335" s="12"/>
      <c r="PX335" s="12"/>
      <c r="PZ335" s="12" t="s">
        <v>37</v>
      </c>
      <c r="QA335" s="12" t="s">
        <v>37</v>
      </c>
      <c r="QB335" s="12" t="s">
        <v>37</v>
      </c>
      <c r="QD335" s="12" t="s">
        <v>37</v>
      </c>
      <c r="QE335" s="12" t="s">
        <v>37</v>
      </c>
      <c r="QF335" s="12" t="s">
        <v>37</v>
      </c>
      <c r="QK335" s="12" t="s">
        <v>37</v>
      </c>
      <c r="QL335" s="12" t="s">
        <v>37</v>
      </c>
      <c r="QM335" s="12" t="s">
        <v>37</v>
      </c>
      <c r="QN335" s="12" t="s">
        <v>37</v>
      </c>
      <c r="QO335" s="12" t="s">
        <v>37</v>
      </c>
      <c r="QP335" s="12" t="s">
        <v>37</v>
      </c>
      <c r="QQ335" s="12"/>
      <c r="QR335" s="12"/>
      <c r="QU335" s="12" t="s">
        <v>37</v>
      </c>
      <c r="QV335" s="12" t="s">
        <v>37</v>
      </c>
      <c r="QW335" s="12" t="s">
        <v>37</v>
      </c>
      <c r="QX335" s="12" t="s">
        <v>37</v>
      </c>
      <c r="QY335" s="12" t="s">
        <v>37</v>
      </c>
      <c r="QZ335" s="12" t="s">
        <v>37</v>
      </c>
      <c r="RC335" s="12" t="s">
        <v>37</v>
      </c>
      <c r="RD335" s="12" t="s">
        <v>37</v>
      </c>
      <c r="RE335" s="13" t="s">
        <v>37</v>
      </c>
      <c r="RF335" s="12" t="s">
        <v>37</v>
      </c>
      <c r="RG335" s="12" t="s">
        <v>37</v>
      </c>
      <c r="RH335" s="13" t="s">
        <v>37</v>
      </c>
      <c r="RK335" s="12" t="s">
        <v>37</v>
      </c>
      <c r="RL335" s="12" t="s">
        <v>37</v>
      </c>
      <c r="RM335" s="11" t="s">
        <v>37</v>
      </c>
      <c r="RN335" s="12" t="s">
        <v>37</v>
      </c>
      <c r="RO335" s="12" t="s">
        <v>37</v>
      </c>
      <c r="RP335" s="11" t="s">
        <v>37</v>
      </c>
      <c r="RS335" s="12" t="s">
        <v>37</v>
      </c>
      <c r="RT335" s="12" t="s">
        <v>37</v>
      </c>
      <c r="RU335" s="12" t="s">
        <v>37</v>
      </c>
      <c r="RV335" s="12" t="s">
        <v>37</v>
      </c>
      <c r="RW335" s="12" t="s">
        <v>37</v>
      </c>
      <c r="RX335" s="12" t="s">
        <v>37</v>
      </c>
      <c r="SA335" s="12" t="s">
        <v>37</v>
      </c>
      <c r="SB335" s="12" t="s">
        <v>37</v>
      </c>
      <c r="SC335" s="12" t="s">
        <v>37</v>
      </c>
      <c r="SD335" s="12" t="s">
        <v>37</v>
      </c>
      <c r="SE335" s="12" t="s">
        <v>37</v>
      </c>
      <c r="SF335" s="12" t="s">
        <v>37</v>
      </c>
      <c r="SI335" s="12" t="s">
        <v>37</v>
      </c>
      <c r="SJ335" s="12" t="s">
        <v>37</v>
      </c>
      <c r="SK335" s="13" t="s">
        <v>37</v>
      </c>
      <c r="SM335" s="12" t="s">
        <v>37</v>
      </c>
      <c r="SN335" s="12" t="s">
        <v>37</v>
      </c>
      <c r="SO335" s="13" t="s">
        <v>37</v>
      </c>
      <c r="SU335" s="12" t="s">
        <v>37</v>
      </c>
      <c r="SV335" s="12" t="s">
        <v>37</v>
      </c>
      <c r="SW335" s="12" t="s">
        <v>37</v>
      </c>
      <c r="SX335" s="12" t="s">
        <v>37</v>
      </c>
      <c r="SY335" s="12" t="s">
        <v>37</v>
      </c>
      <c r="SZ335" s="12" t="s">
        <v>37</v>
      </c>
      <c r="TA335" s="12"/>
      <c r="TB335" s="12"/>
      <c r="TE335" s="12" t="s">
        <v>37</v>
      </c>
      <c r="TF335" s="12" t="s">
        <v>37</v>
      </c>
      <c r="TG335" s="12" t="s">
        <v>37</v>
      </c>
      <c r="TH335" s="12" t="s">
        <v>37</v>
      </c>
      <c r="TI335" s="12" t="s">
        <v>37</v>
      </c>
      <c r="TJ335" s="12" t="s">
        <v>37</v>
      </c>
      <c r="TK335" s="12"/>
      <c r="TL335" s="12"/>
      <c r="TO335" s="12" t="s">
        <v>37</v>
      </c>
      <c r="TP335" s="12" t="s">
        <v>37</v>
      </c>
      <c r="TQ335" s="12" t="s">
        <v>37</v>
      </c>
      <c r="TR335" s="12" t="s">
        <v>37</v>
      </c>
      <c r="TS335" s="12" t="s">
        <v>37</v>
      </c>
      <c r="TT335" s="12" t="s">
        <v>37</v>
      </c>
      <c r="TU335" s="12"/>
      <c r="TV335" s="12"/>
      <c r="TY335" s="12" t="s">
        <v>37</v>
      </c>
      <c r="TZ335" s="12" t="s">
        <v>37</v>
      </c>
      <c r="UA335" s="12" t="s">
        <v>37</v>
      </c>
      <c r="UB335" s="12" t="s">
        <v>37</v>
      </c>
      <c r="UC335" s="12" t="s">
        <v>37</v>
      </c>
      <c r="UD335" s="12" t="s">
        <v>37</v>
      </c>
      <c r="UE335" s="12"/>
      <c r="UF335" s="12"/>
      <c r="UI335" s="12" t="s">
        <v>37</v>
      </c>
      <c r="UJ335" s="12" t="s">
        <v>37</v>
      </c>
      <c r="UK335" s="12" t="s">
        <v>37</v>
      </c>
      <c r="UL335" s="12" t="s">
        <v>37</v>
      </c>
      <c r="UM335" s="12" t="s">
        <v>37</v>
      </c>
      <c r="UN335" s="12" t="s">
        <v>37</v>
      </c>
      <c r="UO335" s="12"/>
      <c r="UP335" s="12"/>
      <c r="UR335" s="12" t="s">
        <v>37</v>
      </c>
      <c r="US335" s="12" t="s">
        <v>37</v>
      </c>
      <c r="UT335" s="12" t="s">
        <v>37</v>
      </c>
      <c r="UU335" s="12" t="s">
        <v>37</v>
      </c>
      <c r="UV335" s="12" t="s">
        <v>37</v>
      </c>
      <c r="UW335" s="12" t="s">
        <v>37</v>
      </c>
      <c r="UX335" s="12"/>
      <c r="UY335" s="12"/>
      <c r="VB335" s="12" t="s">
        <v>37</v>
      </c>
      <c r="VC335" s="12" t="s">
        <v>37</v>
      </c>
      <c r="VD335" s="12" t="s">
        <v>37</v>
      </c>
      <c r="VE335" s="12" t="s">
        <v>37</v>
      </c>
      <c r="VF335" s="12" t="s">
        <v>37</v>
      </c>
      <c r="VG335" s="12" t="s">
        <v>37</v>
      </c>
      <c r="VI335" s="12" t="s">
        <v>37</v>
      </c>
      <c r="VJ335" s="12" t="s">
        <v>37</v>
      </c>
      <c r="VK335" s="12" t="s">
        <v>37</v>
      </c>
      <c r="VL335" s="12" t="s">
        <v>37</v>
      </c>
      <c r="VM335" s="12" t="s">
        <v>37</v>
      </c>
      <c r="VN335" s="12" t="s">
        <v>37</v>
      </c>
      <c r="VQ335" s="12" t="s">
        <v>37</v>
      </c>
      <c r="VR335" s="12" t="s">
        <v>37</v>
      </c>
      <c r="VS335" s="12" t="s">
        <v>37</v>
      </c>
      <c r="VT335" s="12" t="s">
        <v>37</v>
      </c>
      <c r="VU335" s="12" t="s">
        <v>37</v>
      </c>
      <c r="VV335" s="12" t="s">
        <v>37</v>
      </c>
      <c r="VW335" s="12"/>
      <c r="VX335" s="12"/>
      <c r="WA335" s="13" t="s">
        <v>37</v>
      </c>
      <c r="WB335" s="13" t="s">
        <v>37</v>
      </c>
      <c r="WC335" s="13" t="s">
        <v>37</v>
      </c>
      <c r="WD335" s="13" t="s">
        <v>37</v>
      </c>
      <c r="WE335" s="13" t="s">
        <v>37</v>
      </c>
      <c r="WF335" s="13" t="s">
        <v>37</v>
      </c>
    </row>
    <row r="336" spans="1:604" ht="18" customHeight="1" x14ac:dyDescent="0.3">
      <c r="A336" s="11">
        <v>73</v>
      </c>
      <c r="B336" s="16" t="s">
        <v>427</v>
      </c>
      <c r="C336" s="12" t="s">
        <v>26</v>
      </c>
      <c r="D336" s="12" t="s">
        <v>973</v>
      </c>
      <c r="E336" s="40" t="s">
        <v>37</v>
      </c>
      <c r="F336" s="14">
        <v>0</v>
      </c>
      <c r="G336" s="14">
        <v>0</v>
      </c>
      <c r="H336" s="12" t="s">
        <v>82</v>
      </c>
      <c r="I336" s="29">
        <v>47</v>
      </c>
      <c r="J336" s="29">
        <v>-92</v>
      </c>
      <c r="K336" s="12" t="s">
        <v>783</v>
      </c>
      <c r="L336" s="12" t="s">
        <v>784</v>
      </c>
      <c r="M336" s="13" t="s">
        <v>37</v>
      </c>
      <c r="N336" s="13" t="s">
        <v>37</v>
      </c>
      <c r="O336" s="13" t="s">
        <v>37</v>
      </c>
      <c r="P336" s="14" t="s">
        <v>16</v>
      </c>
      <c r="Q336" s="75">
        <v>1</v>
      </c>
      <c r="R336" s="11" t="s">
        <v>1000</v>
      </c>
      <c r="S336" s="12" t="s">
        <v>93</v>
      </c>
      <c r="T336" s="12" t="s">
        <v>141</v>
      </c>
      <c r="U336" s="12" t="s">
        <v>158</v>
      </c>
      <c r="V336" s="12" t="s">
        <v>275</v>
      </c>
      <c r="W336" s="23" t="s">
        <v>432</v>
      </c>
      <c r="X336" s="12" t="s">
        <v>281</v>
      </c>
      <c r="Y336" s="12" t="s">
        <v>37</v>
      </c>
      <c r="Z336" s="12" t="s">
        <v>37</v>
      </c>
      <c r="AB336" s="12" t="s">
        <v>37</v>
      </c>
      <c r="AE336" s="12" t="s">
        <v>37</v>
      </c>
      <c r="AH336" s="12" t="s">
        <v>37</v>
      </c>
      <c r="AK336" s="12" t="s">
        <v>37</v>
      </c>
      <c r="AL336" s="32" t="s">
        <v>429</v>
      </c>
      <c r="AM336" s="12" t="s">
        <v>317</v>
      </c>
      <c r="AN336" s="32" t="s">
        <v>879</v>
      </c>
      <c r="AO336" s="12" t="s">
        <v>37</v>
      </c>
      <c r="AP336" s="12" t="s">
        <v>167</v>
      </c>
      <c r="AQ336" s="12" t="s">
        <v>975</v>
      </c>
      <c r="AT336" s="12" t="s">
        <v>326</v>
      </c>
      <c r="AU336" s="12" t="s">
        <v>326</v>
      </c>
      <c r="AV336" s="13" t="s">
        <v>326</v>
      </c>
      <c r="AX336" s="12" t="s">
        <v>326</v>
      </c>
      <c r="AY336" s="12" t="s">
        <v>326</v>
      </c>
      <c r="AZ336" s="13" t="s">
        <v>326</v>
      </c>
      <c r="BE336" s="12" t="s">
        <v>326</v>
      </c>
      <c r="BF336" s="12" t="s">
        <v>326</v>
      </c>
      <c r="BG336" s="12" t="s">
        <v>326</v>
      </c>
      <c r="BI336" s="12" t="s">
        <v>326</v>
      </c>
      <c r="BJ336" s="12" t="s">
        <v>326</v>
      </c>
      <c r="BK336" s="12" t="s">
        <v>326</v>
      </c>
      <c r="BP336" s="12" t="s">
        <v>37</v>
      </c>
      <c r="BQ336" s="12" t="s">
        <v>37</v>
      </c>
      <c r="BR336" s="13" t="s">
        <v>37</v>
      </c>
      <c r="BT336" s="12" t="s">
        <v>37</v>
      </c>
      <c r="BU336" s="12" t="s">
        <v>37</v>
      </c>
      <c r="BV336" s="12" t="s">
        <v>37</v>
      </c>
      <c r="CA336" s="12" t="s">
        <v>37</v>
      </c>
      <c r="CB336" s="12" t="s">
        <v>37</v>
      </c>
      <c r="CC336" s="13" t="s">
        <v>37</v>
      </c>
      <c r="CE336" s="12" t="s">
        <v>37</v>
      </c>
      <c r="CF336" s="12" t="s">
        <v>37</v>
      </c>
      <c r="CG336" s="12" t="s">
        <v>37</v>
      </c>
      <c r="CN336" s="12" t="s">
        <v>37</v>
      </c>
      <c r="CO336" s="12" t="s">
        <v>37</v>
      </c>
      <c r="CP336" s="13" t="s">
        <v>37</v>
      </c>
      <c r="CR336" s="12" t="s">
        <v>37</v>
      </c>
      <c r="CS336" s="12" t="s">
        <v>37</v>
      </c>
      <c r="CT336" s="13" t="s">
        <v>37</v>
      </c>
      <c r="CX336" s="72"/>
      <c r="CY336" s="72"/>
      <c r="DA336" s="12" t="s">
        <v>37</v>
      </c>
      <c r="DB336" s="12" t="s">
        <v>37</v>
      </c>
      <c r="DC336" s="13" t="s">
        <v>37</v>
      </c>
      <c r="DE336" s="12" t="s">
        <v>37</v>
      </c>
      <c r="DF336" s="12" t="s">
        <v>37</v>
      </c>
      <c r="DG336" s="12" t="s">
        <v>37</v>
      </c>
      <c r="DM336" s="11" t="s">
        <v>47</v>
      </c>
      <c r="DN336" s="19">
        <f>12.1925133689839*12*10^4/10^6*("2011/10/31"-"2011/05/01")*16/12/'[1]classes-1'!$I$36</f>
        <v>493.10596214853945</v>
      </c>
      <c r="DO336" s="12">
        <f>SQRT((1/[2]Classes!$I$36)^2*(1.76337658571336*12*10^4/10^6*("2011/10/31"-"2011/05/01")*16/12)^2+(-DN336/([2]Classes!$I$36)^2)^2*([2]Classes!$J$36)^2)</f>
        <v>526.28285184988022</v>
      </c>
      <c r="DP336" s="13">
        <v>3</v>
      </c>
      <c r="DQ336" s="19">
        <f t="shared" si="1294"/>
        <v>1.0672814612842723</v>
      </c>
      <c r="DR336" s="19">
        <f>9.15909090909092*12*10^4/10^6*("2011/10/31"-"2011/05/01")*16/12/'[1]classes-1'!$I$37</f>
        <v>78.722119137960249</v>
      </c>
      <c r="DS336" s="12">
        <f>SQRT((1/[2]Classes!$I$37)^2*(1.46669875371863*12*10^4/10^6*("2011/10/31"-"2011/05/01")*16/12)^2+(-DR336/([2]Classes!$I$37)^2)^2*([2]Classes!$J$37)^2)</f>
        <v>80.04506331866223</v>
      </c>
      <c r="DT336" s="13">
        <v>3</v>
      </c>
      <c r="DU336" s="19">
        <f t="shared" si="1295"/>
        <v>1.0168052409562747</v>
      </c>
      <c r="DV336" s="19">
        <f t="shared" si="1315"/>
        <v>-414.3838430105792</v>
      </c>
      <c r="DW336" s="12">
        <f t="shared" si="1316"/>
        <v>376.41788766803552</v>
      </c>
      <c r="DX336" s="72">
        <f t="shared" si="1251"/>
        <v>94460.284104310529</v>
      </c>
      <c r="DY336" s="72">
        <f t="shared" si="1252"/>
        <v>94460.284104310529</v>
      </c>
      <c r="EA336" s="19" t="s">
        <v>37</v>
      </c>
      <c r="EB336" s="19" t="s">
        <v>37</v>
      </c>
      <c r="EC336" s="72" t="s">
        <v>37</v>
      </c>
      <c r="EE336" s="19" t="s">
        <v>37</v>
      </c>
      <c r="EF336" s="19" t="s">
        <v>37</v>
      </c>
      <c r="EG336" s="12" t="s">
        <v>37</v>
      </c>
      <c r="EM336" s="12" t="s">
        <v>39</v>
      </c>
      <c r="EN336" s="12">
        <v>-1</v>
      </c>
      <c r="EO336" s="50">
        <f t="shared" si="1313"/>
        <v>0.40749639875129334</v>
      </c>
      <c r="EP336" s="13">
        <v>3</v>
      </c>
      <c r="ER336" s="12">
        <v>-20</v>
      </c>
      <c r="ES336" s="50">
        <f t="shared" si="1314"/>
        <v>4.5362810701838834</v>
      </c>
      <c r="ET336" s="13">
        <v>3</v>
      </c>
      <c r="EV336" s="19">
        <f t="shared" si="1233"/>
        <v>-19</v>
      </c>
      <c r="EW336" s="12">
        <f t="shared" si="1234"/>
        <v>3.2205511378259399</v>
      </c>
      <c r="EX336" s="19">
        <f t="shared" si="1235"/>
        <v>6.9146330875679709</v>
      </c>
      <c r="EY336" s="19">
        <f t="shared" si="1236"/>
        <v>6.91463308756797</v>
      </c>
      <c r="FB336" s="12" t="s">
        <v>37</v>
      </c>
      <c r="FC336" s="12" t="s">
        <v>37</v>
      </c>
      <c r="FD336" s="12" t="s">
        <v>37</v>
      </c>
      <c r="FE336" s="12" t="s">
        <v>37</v>
      </c>
      <c r="FF336" s="20" t="s">
        <v>37</v>
      </c>
      <c r="FG336" s="12" t="s">
        <v>37</v>
      </c>
      <c r="FI336" s="12" t="s">
        <v>37</v>
      </c>
      <c r="FJ336" s="12" t="s">
        <v>37</v>
      </c>
      <c r="FK336" s="12" t="s">
        <v>37</v>
      </c>
      <c r="FL336" s="12" t="s">
        <v>37</v>
      </c>
      <c r="FM336" s="12" t="s">
        <v>37</v>
      </c>
      <c r="FN336" s="12" t="s">
        <v>37</v>
      </c>
      <c r="FP336" s="12" t="s">
        <v>37</v>
      </c>
      <c r="FQ336" s="12" t="s">
        <v>37</v>
      </c>
      <c r="FR336" s="12" t="s">
        <v>37</v>
      </c>
      <c r="FS336" s="12" t="s">
        <v>37</v>
      </c>
      <c r="FT336" s="12" t="s">
        <v>37</v>
      </c>
      <c r="FU336" s="12" t="s">
        <v>37</v>
      </c>
      <c r="FW336" s="12" t="s">
        <v>37</v>
      </c>
      <c r="FX336" s="12" t="s">
        <v>37</v>
      </c>
      <c r="FY336" s="12" t="s">
        <v>37</v>
      </c>
      <c r="FZ336" s="12" t="s">
        <v>37</v>
      </c>
      <c r="GA336" s="12" t="s">
        <v>37</v>
      </c>
      <c r="GB336" s="12" t="s">
        <v>37</v>
      </c>
      <c r="IK336" s="12" t="s">
        <v>37</v>
      </c>
      <c r="IL336" s="12" t="s">
        <v>37</v>
      </c>
      <c r="IM336" s="12" t="s">
        <v>37</v>
      </c>
      <c r="IO336" s="12" t="s">
        <v>37</v>
      </c>
      <c r="IP336" s="12" t="s">
        <v>37</v>
      </c>
      <c r="IQ336" s="12" t="s">
        <v>37</v>
      </c>
      <c r="IW336" s="12" t="s">
        <v>37</v>
      </c>
      <c r="IX336" s="12" t="s">
        <v>37</v>
      </c>
      <c r="IY336" s="13" t="s">
        <v>37</v>
      </c>
      <c r="JA336" s="12" t="s">
        <v>37</v>
      </c>
      <c r="JB336" s="12" t="s">
        <v>37</v>
      </c>
      <c r="JC336" s="13" t="s">
        <v>37</v>
      </c>
      <c r="JH336" s="12" t="s">
        <v>37</v>
      </c>
      <c r="JI336" s="12" t="s">
        <v>37</v>
      </c>
      <c r="JJ336" s="13" t="s">
        <v>37</v>
      </c>
      <c r="JL336" s="12" t="s">
        <v>37</v>
      </c>
      <c r="JM336" s="12" t="s">
        <v>37</v>
      </c>
      <c r="JN336" s="12" t="s">
        <v>37</v>
      </c>
      <c r="JS336" s="12" t="s">
        <v>37</v>
      </c>
      <c r="JT336" s="12" t="s">
        <v>37</v>
      </c>
      <c r="JU336" s="13" t="s">
        <v>37</v>
      </c>
      <c r="JW336" s="12" t="s">
        <v>37</v>
      </c>
      <c r="JX336" s="12" t="s">
        <v>37</v>
      </c>
      <c r="JY336" s="12" t="s">
        <v>37</v>
      </c>
      <c r="KE336" s="12" t="s">
        <v>37</v>
      </c>
      <c r="KF336" s="12" t="s">
        <v>37</v>
      </c>
      <c r="KG336" s="13" t="s">
        <v>37</v>
      </c>
      <c r="KH336" s="12" t="s">
        <v>37</v>
      </c>
      <c r="KI336" s="12" t="s">
        <v>37</v>
      </c>
      <c r="KJ336" s="12" t="s">
        <v>37</v>
      </c>
      <c r="KM336" s="12" t="s">
        <v>37</v>
      </c>
      <c r="KN336" s="12" t="s">
        <v>37</v>
      </c>
      <c r="KO336" s="11" t="s">
        <v>37</v>
      </c>
      <c r="KQ336" s="12" t="s">
        <v>37</v>
      </c>
      <c r="KR336" s="12" t="s">
        <v>37</v>
      </c>
      <c r="KS336" s="12" t="s">
        <v>37</v>
      </c>
      <c r="KX336" s="12" t="s">
        <v>37</v>
      </c>
      <c r="KY336" s="12" t="s">
        <v>37</v>
      </c>
      <c r="KZ336" s="12" t="s">
        <v>37</v>
      </c>
      <c r="LB336" s="12" t="s">
        <v>37</v>
      </c>
      <c r="LC336" s="12" t="s">
        <v>37</v>
      </c>
      <c r="LD336" s="12" t="s">
        <v>37</v>
      </c>
      <c r="LI336" s="12" t="s">
        <v>37</v>
      </c>
      <c r="LJ336" s="12" t="s">
        <v>37</v>
      </c>
      <c r="LK336" s="12" t="s">
        <v>37</v>
      </c>
      <c r="LM336" s="12" t="s">
        <v>37</v>
      </c>
      <c r="LN336" s="12" t="s">
        <v>37</v>
      </c>
      <c r="LO336" s="12" t="s">
        <v>37</v>
      </c>
      <c r="LU336" s="12" t="s">
        <v>37</v>
      </c>
      <c r="LV336" s="12" t="s">
        <v>37</v>
      </c>
      <c r="LW336" s="12" t="s">
        <v>37</v>
      </c>
      <c r="LY336" s="12" t="s">
        <v>37</v>
      </c>
      <c r="LZ336" s="12" t="s">
        <v>37</v>
      </c>
      <c r="MA336" s="12" t="s">
        <v>37</v>
      </c>
      <c r="MF336" s="12" t="s">
        <v>37</v>
      </c>
      <c r="MG336" s="12" t="s">
        <v>37</v>
      </c>
      <c r="MH336" s="12" t="s">
        <v>37</v>
      </c>
      <c r="MJ336" s="12" t="s">
        <v>37</v>
      </c>
      <c r="MK336" s="12" t="s">
        <v>37</v>
      </c>
      <c r="ML336" s="12" t="s">
        <v>37</v>
      </c>
      <c r="MQ336" s="12" t="s">
        <v>37</v>
      </c>
      <c r="MR336" s="12" t="s">
        <v>37</v>
      </c>
      <c r="MS336" s="12" t="s">
        <v>37</v>
      </c>
      <c r="MU336" s="12" t="s">
        <v>37</v>
      </c>
      <c r="MV336" s="12" t="s">
        <v>37</v>
      </c>
      <c r="MW336" s="12" t="s">
        <v>37</v>
      </c>
      <c r="NC336" s="12" t="s">
        <v>37</v>
      </c>
      <c r="ND336" s="12" t="s">
        <v>37</v>
      </c>
      <c r="NE336" s="12" t="s">
        <v>37</v>
      </c>
      <c r="NG336" s="12" t="s">
        <v>37</v>
      </c>
      <c r="NH336" s="12" t="s">
        <v>37</v>
      </c>
      <c r="NI336" s="12" t="s">
        <v>37</v>
      </c>
      <c r="NO336" s="12" t="s">
        <v>37</v>
      </c>
      <c r="NP336" s="12" t="s">
        <v>37</v>
      </c>
      <c r="NQ336" s="12" t="s">
        <v>37</v>
      </c>
      <c r="NS336" s="12" t="s">
        <v>37</v>
      </c>
      <c r="NT336" s="12" t="s">
        <v>37</v>
      </c>
      <c r="NU336" s="12" t="s">
        <v>37</v>
      </c>
      <c r="OA336" s="12" t="s">
        <v>37</v>
      </c>
      <c r="OB336" s="12" t="s">
        <v>37</v>
      </c>
      <c r="OC336" s="12" t="s">
        <v>37</v>
      </c>
      <c r="OD336" s="12"/>
      <c r="OE336" s="12" t="s">
        <v>37</v>
      </c>
      <c r="OF336" s="12" t="s">
        <v>37</v>
      </c>
      <c r="OG336" s="12" t="s">
        <v>37</v>
      </c>
      <c r="OH336" s="12"/>
      <c r="OI336" s="12"/>
      <c r="OJ336" s="12"/>
      <c r="OM336" s="12" t="s">
        <v>37</v>
      </c>
      <c r="ON336" s="12" t="s">
        <v>37</v>
      </c>
      <c r="OO336" s="12" t="s">
        <v>37</v>
      </c>
      <c r="OP336" s="12" t="s">
        <v>37</v>
      </c>
      <c r="OQ336" s="12" t="s">
        <v>37</v>
      </c>
      <c r="OR336" s="12" t="s">
        <v>37</v>
      </c>
      <c r="OS336" s="12"/>
      <c r="OT336" s="12"/>
      <c r="OW336" s="12" t="s">
        <v>37</v>
      </c>
      <c r="OX336" s="12" t="s">
        <v>37</v>
      </c>
      <c r="OY336" s="13" t="s">
        <v>37</v>
      </c>
      <c r="OZ336" s="12" t="s">
        <v>37</v>
      </c>
      <c r="PA336" s="12" t="s">
        <v>37</v>
      </c>
      <c r="PB336" s="13" t="s">
        <v>37</v>
      </c>
      <c r="PG336" s="12" t="s">
        <v>37</v>
      </c>
      <c r="PH336" s="12" t="s">
        <v>37</v>
      </c>
      <c r="PI336" s="12" t="s">
        <v>37</v>
      </c>
      <c r="PJ336" s="12" t="s">
        <v>37</v>
      </c>
      <c r="PK336" s="12" t="s">
        <v>37</v>
      </c>
      <c r="PL336" s="12" t="s">
        <v>37</v>
      </c>
      <c r="PM336" s="12"/>
      <c r="PN336" s="12"/>
      <c r="PQ336" s="12" t="s">
        <v>37</v>
      </c>
      <c r="PR336" s="12" t="s">
        <v>37</v>
      </c>
      <c r="PS336" s="12" t="s">
        <v>37</v>
      </c>
      <c r="PT336" s="12" t="s">
        <v>37</v>
      </c>
      <c r="PU336" s="12" t="s">
        <v>37</v>
      </c>
      <c r="PV336" s="12" t="s">
        <v>37</v>
      </c>
      <c r="PW336" s="12"/>
      <c r="PX336" s="12"/>
      <c r="PZ336" s="12" t="s">
        <v>37</v>
      </c>
      <c r="QA336" s="12" t="s">
        <v>37</v>
      </c>
      <c r="QB336" s="12" t="s">
        <v>37</v>
      </c>
      <c r="QD336" s="12" t="s">
        <v>37</v>
      </c>
      <c r="QE336" s="12" t="s">
        <v>37</v>
      </c>
      <c r="QF336" s="12" t="s">
        <v>37</v>
      </c>
      <c r="QK336" s="12" t="s">
        <v>37</v>
      </c>
      <c r="QL336" s="12" t="s">
        <v>37</v>
      </c>
      <c r="QM336" s="12" t="s">
        <v>37</v>
      </c>
      <c r="QN336" s="12" t="s">
        <v>37</v>
      </c>
      <c r="QO336" s="12" t="s">
        <v>37</v>
      </c>
      <c r="QP336" s="12" t="s">
        <v>37</v>
      </c>
      <c r="QQ336" s="12"/>
      <c r="QR336" s="12"/>
      <c r="QU336" s="12" t="s">
        <v>37</v>
      </c>
      <c r="QV336" s="12" t="s">
        <v>37</v>
      </c>
      <c r="QW336" s="12" t="s">
        <v>37</v>
      </c>
      <c r="QX336" s="12" t="s">
        <v>37</v>
      </c>
      <c r="QY336" s="12" t="s">
        <v>37</v>
      </c>
      <c r="QZ336" s="12" t="s">
        <v>37</v>
      </c>
      <c r="RC336" s="12" t="s">
        <v>37</v>
      </c>
      <c r="RD336" s="12" t="s">
        <v>37</v>
      </c>
      <c r="RE336" s="13" t="s">
        <v>37</v>
      </c>
      <c r="RF336" s="12" t="s">
        <v>37</v>
      </c>
      <c r="RG336" s="12" t="s">
        <v>37</v>
      </c>
      <c r="RH336" s="13" t="s">
        <v>37</v>
      </c>
      <c r="RK336" s="12" t="s">
        <v>37</v>
      </c>
      <c r="RL336" s="12" t="s">
        <v>37</v>
      </c>
      <c r="RM336" s="11" t="s">
        <v>37</v>
      </c>
      <c r="RN336" s="12" t="s">
        <v>37</v>
      </c>
      <c r="RO336" s="12" t="s">
        <v>37</v>
      </c>
      <c r="RP336" s="11" t="s">
        <v>37</v>
      </c>
      <c r="RS336" s="12" t="s">
        <v>37</v>
      </c>
      <c r="RT336" s="12" t="s">
        <v>37</v>
      </c>
      <c r="RU336" s="12" t="s">
        <v>37</v>
      </c>
      <c r="RV336" s="12" t="s">
        <v>37</v>
      </c>
      <c r="RW336" s="12" t="s">
        <v>37</v>
      </c>
      <c r="RX336" s="12" t="s">
        <v>37</v>
      </c>
      <c r="SA336" s="12" t="s">
        <v>37</v>
      </c>
      <c r="SB336" s="12" t="s">
        <v>37</v>
      </c>
      <c r="SC336" s="12" t="s">
        <v>37</v>
      </c>
      <c r="SD336" s="12" t="s">
        <v>37</v>
      </c>
      <c r="SE336" s="12" t="s">
        <v>37</v>
      </c>
      <c r="SF336" s="12" t="s">
        <v>37</v>
      </c>
      <c r="SI336" s="12" t="s">
        <v>37</v>
      </c>
      <c r="SJ336" s="12" t="s">
        <v>37</v>
      </c>
      <c r="SK336" s="13" t="s">
        <v>37</v>
      </c>
      <c r="SM336" s="12" t="s">
        <v>37</v>
      </c>
      <c r="SN336" s="12" t="s">
        <v>37</v>
      </c>
      <c r="SO336" s="13" t="s">
        <v>37</v>
      </c>
      <c r="SU336" s="12" t="s">
        <v>37</v>
      </c>
      <c r="SV336" s="12" t="s">
        <v>37</v>
      </c>
      <c r="SW336" s="12" t="s">
        <v>37</v>
      </c>
      <c r="SX336" s="12" t="s">
        <v>37</v>
      </c>
      <c r="SY336" s="12" t="s">
        <v>37</v>
      </c>
      <c r="SZ336" s="12" t="s">
        <v>37</v>
      </c>
      <c r="TA336" s="12"/>
      <c r="TB336" s="12"/>
      <c r="TE336" s="12" t="s">
        <v>37</v>
      </c>
      <c r="TF336" s="12" t="s">
        <v>37</v>
      </c>
      <c r="TG336" s="12" t="s">
        <v>37</v>
      </c>
      <c r="TH336" s="12" t="s">
        <v>37</v>
      </c>
      <c r="TI336" s="12" t="s">
        <v>37</v>
      </c>
      <c r="TJ336" s="12" t="s">
        <v>37</v>
      </c>
      <c r="TK336" s="12"/>
      <c r="TL336" s="12"/>
      <c r="TO336" s="12" t="s">
        <v>37</v>
      </c>
      <c r="TP336" s="12" t="s">
        <v>37</v>
      </c>
      <c r="TQ336" s="12" t="s">
        <v>37</v>
      </c>
      <c r="TR336" s="12" t="s">
        <v>37</v>
      </c>
      <c r="TS336" s="12" t="s">
        <v>37</v>
      </c>
      <c r="TT336" s="12" t="s">
        <v>37</v>
      </c>
      <c r="TU336" s="12"/>
      <c r="TV336" s="12"/>
      <c r="TY336" s="12" t="s">
        <v>37</v>
      </c>
      <c r="TZ336" s="12" t="s">
        <v>37</v>
      </c>
      <c r="UA336" s="12" t="s">
        <v>37</v>
      </c>
      <c r="UB336" s="12" t="s">
        <v>37</v>
      </c>
      <c r="UC336" s="12" t="s">
        <v>37</v>
      </c>
      <c r="UD336" s="12" t="s">
        <v>37</v>
      </c>
      <c r="UE336" s="12"/>
      <c r="UF336" s="12"/>
      <c r="UI336" s="12" t="s">
        <v>37</v>
      </c>
      <c r="UJ336" s="12" t="s">
        <v>37</v>
      </c>
      <c r="UK336" s="12" t="s">
        <v>37</v>
      </c>
      <c r="UL336" s="12" t="s">
        <v>37</v>
      </c>
      <c r="UM336" s="12" t="s">
        <v>37</v>
      </c>
      <c r="UN336" s="12" t="s">
        <v>37</v>
      </c>
      <c r="UO336" s="12"/>
      <c r="UP336" s="12"/>
      <c r="UR336" s="12" t="s">
        <v>37</v>
      </c>
      <c r="US336" s="12" t="s">
        <v>37</v>
      </c>
      <c r="UT336" s="12" t="s">
        <v>37</v>
      </c>
      <c r="UU336" s="12" t="s">
        <v>37</v>
      </c>
      <c r="UV336" s="12" t="s">
        <v>37</v>
      </c>
      <c r="UW336" s="12" t="s">
        <v>37</v>
      </c>
      <c r="UX336" s="12"/>
      <c r="UY336" s="12"/>
      <c r="VB336" s="12" t="s">
        <v>37</v>
      </c>
      <c r="VC336" s="12" t="s">
        <v>37</v>
      </c>
      <c r="VD336" s="12" t="s">
        <v>37</v>
      </c>
      <c r="VE336" s="12" t="s">
        <v>37</v>
      </c>
      <c r="VF336" s="12" t="s">
        <v>37</v>
      </c>
      <c r="VG336" s="12" t="s">
        <v>37</v>
      </c>
      <c r="VI336" s="12" t="s">
        <v>37</v>
      </c>
      <c r="VJ336" s="12" t="s">
        <v>37</v>
      </c>
      <c r="VK336" s="12" t="s">
        <v>37</v>
      </c>
      <c r="VL336" s="12" t="s">
        <v>37</v>
      </c>
      <c r="VM336" s="12" t="s">
        <v>37</v>
      </c>
      <c r="VN336" s="12" t="s">
        <v>37</v>
      </c>
      <c r="VQ336" s="12" t="s">
        <v>37</v>
      </c>
      <c r="VR336" s="12" t="s">
        <v>37</v>
      </c>
      <c r="VS336" s="12" t="s">
        <v>37</v>
      </c>
      <c r="VT336" s="12" t="s">
        <v>37</v>
      </c>
      <c r="VU336" s="12" t="s">
        <v>37</v>
      </c>
      <c r="VV336" s="12" t="s">
        <v>37</v>
      </c>
      <c r="VW336" s="12"/>
      <c r="VX336" s="12"/>
      <c r="WA336" s="13" t="s">
        <v>37</v>
      </c>
      <c r="WB336" s="13" t="s">
        <v>37</v>
      </c>
      <c r="WC336" s="13" t="s">
        <v>37</v>
      </c>
      <c r="WD336" s="13" t="s">
        <v>37</v>
      </c>
      <c r="WE336" s="13" t="s">
        <v>37</v>
      </c>
      <c r="WF336" s="13" t="s">
        <v>37</v>
      </c>
    </row>
    <row r="337" spans="1:604" ht="18" customHeight="1" x14ac:dyDescent="0.3">
      <c r="A337" s="11">
        <v>73</v>
      </c>
      <c r="B337" s="16" t="s">
        <v>427</v>
      </c>
      <c r="C337" s="12" t="s">
        <v>26</v>
      </c>
      <c r="D337" s="12" t="s">
        <v>973</v>
      </c>
      <c r="E337" s="40" t="s">
        <v>37</v>
      </c>
      <c r="F337" s="14">
        <v>0</v>
      </c>
      <c r="G337" s="14">
        <v>0</v>
      </c>
      <c r="H337" s="12" t="s">
        <v>82</v>
      </c>
      <c r="I337" s="29">
        <v>47</v>
      </c>
      <c r="J337" s="29">
        <v>-92</v>
      </c>
      <c r="K337" s="12" t="s">
        <v>783</v>
      </c>
      <c r="L337" s="12" t="s">
        <v>784</v>
      </c>
      <c r="M337" s="13" t="s">
        <v>37</v>
      </c>
      <c r="N337" s="13" t="s">
        <v>37</v>
      </c>
      <c r="O337" s="13" t="s">
        <v>37</v>
      </c>
      <c r="P337" s="14" t="s">
        <v>16</v>
      </c>
      <c r="Q337" s="75">
        <v>2</v>
      </c>
      <c r="R337" s="11" t="s">
        <v>1000</v>
      </c>
      <c r="S337" s="12" t="s">
        <v>93</v>
      </c>
      <c r="T337" s="12" t="s">
        <v>141</v>
      </c>
      <c r="U337" s="12" t="s">
        <v>158</v>
      </c>
      <c r="V337" s="12" t="s">
        <v>275</v>
      </c>
      <c r="W337" s="23" t="s">
        <v>432</v>
      </c>
      <c r="X337" s="12" t="s">
        <v>281</v>
      </c>
      <c r="Y337" s="12" t="s">
        <v>37</v>
      </c>
      <c r="Z337" s="12" t="s">
        <v>37</v>
      </c>
      <c r="AB337" s="12" t="s">
        <v>37</v>
      </c>
      <c r="AE337" s="12" t="s">
        <v>37</v>
      </c>
      <c r="AH337" s="12" t="s">
        <v>37</v>
      </c>
      <c r="AK337" s="12" t="s">
        <v>37</v>
      </c>
      <c r="AL337" s="32" t="s">
        <v>430</v>
      </c>
      <c r="AM337" s="12" t="s">
        <v>317</v>
      </c>
      <c r="AN337" s="32" t="s">
        <v>879</v>
      </c>
      <c r="AO337" s="12" t="s">
        <v>37</v>
      </c>
      <c r="AP337" s="12" t="s">
        <v>167</v>
      </c>
      <c r="AQ337" s="12" t="s">
        <v>975</v>
      </c>
      <c r="AT337" s="12" t="s">
        <v>326</v>
      </c>
      <c r="AU337" s="12" t="s">
        <v>326</v>
      </c>
      <c r="AV337" s="13" t="s">
        <v>326</v>
      </c>
      <c r="AX337" s="12" t="s">
        <v>326</v>
      </c>
      <c r="AY337" s="12" t="s">
        <v>326</v>
      </c>
      <c r="AZ337" s="13" t="s">
        <v>326</v>
      </c>
      <c r="BE337" s="12" t="s">
        <v>326</v>
      </c>
      <c r="BF337" s="12" t="s">
        <v>326</v>
      </c>
      <c r="BG337" s="12" t="s">
        <v>326</v>
      </c>
      <c r="BI337" s="12" t="s">
        <v>326</v>
      </c>
      <c r="BJ337" s="12" t="s">
        <v>326</v>
      </c>
      <c r="BK337" s="12" t="s">
        <v>326</v>
      </c>
      <c r="BP337" s="12" t="s">
        <v>37</v>
      </c>
      <c r="BQ337" s="12" t="s">
        <v>37</v>
      </c>
      <c r="BR337" s="13" t="s">
        <v>37</v>
      </c>
      <c r="BT337" s="12" t="s">
        <v>37</v>
      </c>
      <c r="BU337" s="12" t="s">
        <v>37</v>
      </c>
      <c r="BV337" s="12" t="s">
        <v>37</v>
      </c>
      <c r="CA337" s="12" t="s">
        <v>37</v>
      </c>
      <c r="CB337" s="12" t="s">
        <v>37</v>
      </c>
      <c r="CC337" s="13" t="s">
        <v>37</v>
      </c>
      <c r="CE337" s="12" t="s">
        <v>37</v>
      </c>
      <c r="CF337" s="12" t="s">
        <v>37</v>
      </c>
      <c r="CG337" s="12" t="s">
        <v>37</v>
      </c>
      <c r="CN337" s="12" t="s">
        <v>37</v>
      </c>
      <c r="CO337" s="12" t="s">
        <v>37</v>
      </c>
      <c r="CP337" s="13" t="s">
        <v>37</v>
      </c>
      <c r="CR337" s="12" t="s">
        <v>37</v>
      </c>
      <c r="CS337" s="12" t="s">
        <v>37</v>
      </c>
      <c r="CT337" s="13" t="s">
        <v>37</v>
      </c>
      <c r="CX337" s="72"/>
      <c r="CY337" s="72"/>
      <c r="DA337" s="12" t="s">
        <v>37</v>
      </c>
      <c r="DB337" s="12" t="s">
        <v>37</v>
      </c>
      <c r="DC337" s="13" t="s">
        <v>37</v>
      </c>
      <c r="DE337" s="12" t="s">
        <v>37</v>
      </c>
      <c r="DF337" s="12" t="s">
        <v>37</v>
      </c>
      <c r="DG337" s="12" t="s">
        <v>37</v>
      </c>
      <c r="DM337" s="11" t="s">
        <v>47</v>
      </c>
      <c r="DN337" s="19">
        <f>19.9431818181818*12*10^4/10^6*("2011/10/31"-"2011/05/01")*16/12/'[1]classes-1'!$I$36</f>
        <v>806.56888052092813</v>
      </c>
      <c r="DO337" s="12">
        <f>SQRT((1/[2]Classes!$I$36)^2*(1.90863766264651*12*10^4/10^6*("2011/10/31"-"2011/05/01")*16/12)^2+(-DN337/([2]Classes!$I$36)^2)^2*([2]Classes!$J$36)^2)</f>
        <v>856.38159693760133</v>
      </c>
      <c r="DP337" s="13">
        <v>3</v>
      </c>
      <c r="DQ337" s="19">
        <f t="shared" si="1294"/>
        <v>1.0617587878973229</v>
      </c>
      <c r="DR337" s="19">
        <f>9.84615384615386*12*10^4/10^6*("2011/10/31"-"2011/05/01")*16/12/'[1]classes-1'!$I$37</f>
        <v>84.62740503626496</v>
      </c>
      <c r="DS337" s="12">
        <f>SQRT((1/[2]Classes!$I$37)^2*(1.12605508977264*12*10^4/10^6*("2011/10/31"-"2011/05/01")*16/12)^2+(-DR337/([2]Classes!$I$37)^2)^2*([2]Classes!$J$37)^2)</f>
        <v>85.525142019325685</v>
      </c>
      <c r="DT337" s="13">
        <v>3</v>
      </c>
      <c r="DU337" s="19">
        <f t="shared" si="1295"/>
        <v>1.0106081119074373</v>
      </c>
      <c r="DV337" s="19">
        <f t="shared" si="1315"/>
        <v>-721.94147548466321</v>
      </c>
      <c r="DW337" s="12">
        <f t="shared" si="1316"/>
        <v>608.56552214647445</v>
      </c>
      <c r="DX337" s="72">
        <f t="shared" si="1251"/>
        <v>246901.32983027401</v>
      </c>
      <c r="DY337" s="72">
        <f t="shared" si="1252"/>
        <v>246901.32983027401</v>
      </c>
      <c r="EA337" s="19" t="s">
        <v>37</v>
      </c>
      <c r="EB337" s="19" t="s">
        <v>37</v>
      </c>
      <c r="EC337" s="72" t="s">
        <v>37</v>
      </c>
      <c r="EE337" s="19" t="s">
        <v>37</v>
      </c>
      <c r="EF337" s="19" t="s">
        <v>37</v>
      </c>
      <c r="EG337" s="12" t="s">
        <v>37</v>
      </c>
      <c r="EM337" s="12" t="s">
        <v>39</v>
      </c>
      <c r="EN337" s="12">
        <v>-1</v>
      </c>
      <c r="EO337" s="50">
        <f t="shared" si="1313"/>
        <v>0.40749639875129334</v>
      </c>
      <c r="EP337" s="13">
        <v>3</v>
      </c>
      <c r="ER337" s="12">
        <v>-20</v>
      </c>
      <c r="ES337" s="50">
        <f t="shared" si="1314"/>
        <v>4.5362810701838834</v>
      </c>
      <c r="ET337" s="13">
        <v>3</v>
      </c>
      <c r="EV337" s="19">
        <f t="shared" si="1233"/>
        <v>-19</v>
      </c>
      <c r="EW337" s="12">
        <f t="shared" si="1234"/>
        <v>3.2205511378259399</v>
      </c>
      <c r="EX337" s="19">
        <f t="shared" si="1235"/>
        <v>6.9146330875679709</v>
      </c>
      <c r="EY337" s="19">
        <f t="shared" si="1236"/>
        <v>6.91463308756797</v>
      </c>
      <c r="FB337" s="12" t="s">
        <v>37</v>
      </c>
      <c r="FC337" s="12" t="s">
        <v>37</v>
      </c>
      <c r="FD337" s="12" t="s">
        <v>37</v>
      </c>
      <c r="FE337" s="12" t="s">
        <v>37</v>
      </c>
      <c r="FF337" s="20" t="s">
        <v>37</v>
      </c>
      <c r="FG337" s="12" t="s">
        <v>37</v>
      </c>
      <c r="FI337" s="12" t="s">
        <v>37</v>
      </c>
      <c r="FJ337" s="12" t="s">
        <v>37</v>
      </c>
      <c r="FK337" s="12" t="s">
        <v>37</v>
      </c>
      <c r="FL337" s="12" t="s">
        <v>37</v>
      </c>
      <c r="FM337" s="12" t="s">
        <v>37</v>
      </c>
      <c r="FN337" s="12" t="s">
        <v>37</v>
      </c>
      <c r="FP337" s="12" t="s">
        <v>37</v>
      </c>
      <c r="FQ337" s="12" t="s">
        <v>37</v>
      </c>
      <c r="FR337" s="12" t="s">
        <v>37</v>
      </c>
      <c r="FS337" s="12" t="s">
        <v>37</v>
      </c>
      <c r="FT337" s="12" t="s">
        <v>37</v>
      </c>
      <c r="FU337" s="12" t="s">
        <v>37</v>
      </c>
      <c r="FW337" s="12" t="s">
        <v>37</v>
      </c>
      <c r="FX337" s="12" t="s">
        <v>37</v>
      </c>
      <c r="FY337" s="12" t="s">
        <v>37</v>
      </c>
      <c r="FZ337" s="12" t="s">
        <v>37</v>
      </c>
      <c r="GA337" s="12" t="s">
        <v>37</v>
      </c>
      <c r="GB337" s="12" t="s">
        <v>37</v>
      </c>
      <c r="IK337" s="12" t="s">
        <v>37</v>
      </c>
      <c r="IL337" s="12" t="s">
        <v>37</v>
      </c>
      <c r="IM337" s="12" t="s">
        <v>37</v>
      </c>
      <c r="IO337" s="12" t="s">
        <v>37</v>
      </c>
      <c r="IP337" s="12" t="s">
        <v>37</v>
      </c>
      <c r="IQ337" s="12" t="s">
        <v>37</v>
      </c>
      <c r="IW337" s="12" t="s">
        <v>37</v>
      </c>
      <c r="IX337" s="12" t="s">
        <v>37</v>
      </c>
      <c r="IY337" s="13" t="s">
        <v>37</v>
      </c>
      <c r="JA337" s="12" t="s">
        <v>37</v>
      </c>
      <c r="JB337" s="12" t="s">
        <v>37</v>
      </c>
      <c r="JC337" s="13" t="s">
        <v>37</v>
      </c>
      <c r="JH337" s="12" t="s">
        <v>37</v>
      </c>
      <c r="JI337" s="12" t="s">
        <v>37</v>
      </c>
      <c r="JJ337" s="13" t="s">
        <v>37</v>
      </c>
      <c r="JL337" s="12" t="s">
        <v>37</v>
      </c>
      <c r="JM337" s="12" t="s">
        <v>37</v>
      </c>
      <c r="JN337" s="12" t="s">
        <v>37</v>
      </c>
      <c r="JS337" s="12" t="s">
        <v>37</v>
      </c>
      <c r="JT337" s="12" t="s">
        <v>37</v>
      </c>
      <c r="JU337" s="13" t="s">
        <v>37</v>
      </c>
      <c r="JW337" s="12" t="s">
        <v>37</v>
      </c>
      <c r="JX337" s="12" t="s">
        <v>37</v>
      </c>
      <c r="JY337" s="12" t="s">
        <v>37</v>
      </c>
      <c r="KE337" s="12" t="s">
        <v>37</v>
      </c>
      <c r="KF337" s="12" t="s">
        <v>37</v>
      </c>
      <c r="KG337" s="13" t="s">
        <v>37</v>
      </c>
      <c r="KH337" s="12" t="s">
        <v>37</v>
      </c>
      <c r="KI337" s="12" t="s">
        <v>37</v>
      </c>
      <c r="KJ337" s="12" t="s">
        <v>37</v>
      </c>
      <c r="KM337" s="12" t="s">
        <v>37</v>
      </c>
      <c r="KN337" s="12" t="s">
        <v>37</v>
      </c>
      <c r="KO337" s="11" t="s">
        <v>37</v>
      </c>
      <c r="KQ337" s="12" t="s">
        <v>37</v>
      </c>
      <c r="KR337" s="12" t="s">
        <v>37</v>
      </c>
      <c r="KS337" s="12" t="s">
        <v>37</v>
      </c>
      <c r="KX337" s="12" t="s">
        <v>37</v>
      </c>
      <c r="KY337" s="12" t="s">
        <v>37</v>
      </c>
      <c r="KZ337" s="12" t="s">
        <v>37</v>
      </c>
      <c r="LB337" s="12" t="s">
        <v>37</v>
      </c>
      <c r="LC337" s="12" t="s">
        <v>37</v>
      </c>
      <c r="LD337" s="12" t="s">
        <v>37</v>
      </c>
      <c r="LI337" s="12" t="s">
        <v>37</v>
      </c>
      <c r="LJ337" s="12" t="s">
        <v>37</v>
      </c>
      <c r="LK337" s="12" t="s">
        <v>37</v>
      </c>
      <c r="LM337" s="12" t="s">
        <v>37</v>
      </c>
      <c r="LN337" s="12" t="s">
        <v>37</v>
      </c>
      <c r="LO337" s="12" t="s">
        <v>37</v>
      </c>
      <c r="LU337" s="12" t="s">
        <v>37</v>
      </c>
      <c r="LV337" s="12" t="s">
        <v>37</v>
      </c>
      <c r="LW337" s="12" t="s">
        <v>37</v>
      </c>
      <c r="LY337" s="12" t="s">
        <v>37</v>
      </c>
      <c r="LZ337" s="12" t="s">
        <v>37</v>
      </c>
      <c r="MA337" s="12" t="s">
        <v>37</v>
      </c>
      <c r="MF337" s="12" t="s">
        <v>37</v>
      </c>
      <c r="MG337" s="12" t="s">
        <v>37</v>
      </c>
      <c r="MH337" s="12" t="s">
        <v>37</v>
      </c>
      <c r="MJ337" s="12" t="s">
        <v>37</v>
      </c>
      <c r="MK337" s="12" t="s">
        <v>37</v>
      </c>
      <c r="ML337" s="12" t="s">
        <v>37</v>
      </c>
      <c r="MQ337" s="12" t="s">
        <v>37</v>
      </c>
      <c r="MR337" s="12" t="s">
        <v>37</v>
      </c>
      <c r="MS337" s="12" t="s">
        <v>37</v>
      </c>
      <c r="MU337" s="12" t="s">
        <v>37</v>
      </c>
      <c r="MV337" s="12" t="s">
        <v>37</v>
      </c>
      <c r="MW337" s="12" t="s">
        <v>37</v>
      </c>
      <c r="NC337" s="12" t="s">
        <v>37</v>
      </c>
      <c r="ND337" s="12" t="s">
        <v>37</v>
      </c>
      <c r="NE337" s="12" t="s">
        <v>37</v>
      </c>
      <c r="NG337" s="12" t="s">
        <v>37</v>
      </c>
      <c r="NH337" s="12" t="s">
        <v>37</v>
      </c>
      <c r="NI337" s="12" t="s">
        <v>37</v>
      </c>
      <c r="NO337" s="12" t="s">
        <v>37</v>
      </c>
      <c r="NP337" s="12" t="s">
        <v>37</v>
      </c>
      <c r="NQ337" s="12" t="s">
        <v>37</v>
      </c>
      <c r="NS337" s="12" t="s">
        <v>37</v>
      </c>
      <c r="NT337" s="12" t="s">
        <v>37</v>
      </c>
      <c r="NU337" s="12" t="s">
        <v>37</v>
      </c>
      <c r="OA337" s="12" t="s">
        <v>37</v>
      </c>
      <c r="OB337" s="12" t="s">
        <v>37</v>
      </c>
      <c r="OC337" s="12" t="s">
        <v>37</v>
      </c>
      <c r="OD337" s="12"/>
      <c r="OE337" s="12" t="s">
        <v>37</v>
      </c>
      <c r="OF337" s="12" t="s">
        <v>37</v>
      </c>
      <c r="OG337" s="12" t="s">
        <v>37</v>
      </c>
      <c r="OH337" s="12"/>
      <c r="OI337" s="12"/>
      <c r="OJ337" s="12"/>
      <c r="OM337" s="12" t="s">
        <v>37</v>
      </c>
      <c r="ON337" s="12" t="s">
        <v>37</v>
      </c>
      <c r="OO337" s="12" t="s">
        <v>37</v>
      </c>
      <c r="OP337" s="12" t="s">
        <v>37</v>
      </c>
      <c r="OQ337" s="12" t="s">
        <v>37</v>
      </c>
      <c r="OR337" s="12" t="s">
        <v>37</v>
      </c>
      <c r="OS337" s="12"/>
      <c r="OT337" s="12"/>
      <c r="OW337" s="12" t="s">
        <v>37</v>
      </c>
      <c r="OX337" s="12" t="s">
        <v>37</v>
      </c>
      <c r="OY337" s="13" t="s">
        <v>37</v>
      </c>
      <c r="OZ337" s="12" t="s">
        <v>37</v>
      </c>
      <c r="PA337" s="12" t="s">
        <v>37</v>
      </c>
      <c r="PB337" s="13" t="s">
        <v>37</v>
      </c>
      <c r="PG337" s="12" t="s">
        <v>37</v>
      </c>
      <c r="PH337" s="12" t="s">
        <v>37</v>
      </c>
      <c r="PI337" s="12" t="s">
        <v>37</v>
      </c>
      <c r="PJ337" s="12" t="s">
        <v>37</v>
      </c>
      <c r="PK337" s="12" t="s">
        <v>37</v>
      </c>
      <c r="PL337" s="12" t="s">
        <v>37</v>
      </c>
      <c r="PM337" s="12"/>
      <c r="PN337" s="12"/>
      <c r="PQ337" s="12" t="s">
        <v>37</v>
      </c>
      <c r="PR337" s="12" t="s">
        <v>37</v>
      </c>
      <c r="PS337" s="12" t="s">
        <v>37</v>
      </c>
      <c r="PT337" s="12" t="s">
        <v>37</v>
      </c>
      <c r="PU337" s="12" t="s">
        <v>37</v>
      </c>
      <c r="PV337" s="12" t="s">
        <v>37</v>
      </c>
      <c r="PW337" s="12"/>
      <c r="PX337" s="12"/>
      <c r="PZ337" s="12" t="s">
        <v>37</v>
      </c>
      <c r="QA337" s="12" t="s">
        <v>37</v>
      </c>
      <c r="QB337" s="12" t="s">
        <v>37</v>
      </c>
      <c r="QD337" s="12" t="s">
        <v>37</v>
      </c>
      <c r="QE337" s="12" t="s">
        <v>37</v>
      </c>
      <c r="QF337" s="12" t="s">
        <v>37</v>
      </c>
      <c r="QK337" s="12" t="s">
        <v>37</v>
      </c>
      <c r="QL337" s="12" t="s">
        <v>37</v>
      </c>
      <c r="QM337" s="12" t="s">
        <v>37</v>
      </c>
      <c r="QN337" s="12" t="s">
        <v>37</v>
      </c>
      <c r="QO337" s="12" t="s">
        <v>37</v>
      </c>
      <c r="QP337" s="12" t="s">
        <v>37</v>
      </c>
      <c r="QQ337" s="12"/>
      <c r="QR337" s="12"/>
      <c r="QU337" s="12" t="s">
        <v>37</v>
      </c>
      <c r="QV337" s="12" t="s">
        <v>37</v>
      </c>
      <c r="QW337" s="12" t="s">
        <v>37</v>
      </c>
      <c r="QX337" s="12" t="s">
        <v>37</v>
      </c>
      <c r="QY337" s="12" t="s">
        <v>37</v>
      </c>
      <c r="QZ337" s="12" t="s">
        <v>37</v>
      </c>
      <c r="RC337" s="12" t="s">
        <v>37</v>
      </c>
      <c r="RD337" s="12" t="s">
        <v>37</v>
      </c>
      <c r="RE337" s="13" t="s">
        <v>37</v>
      </c>
      <c r="RF337" s="12" t="s">
        <v>37</v>
      </c>
      <c r="RG337" s="12" t="s">
        <v>37</v>
      </c>
      <c r="RH337" s="13" t="s">
        <v>37</v>
      </c>
      <c r="RK337" s="12" t="s">
        <v>37</v>
      </c>
      <c r="RL337" s="12" t="s">
        <v>37</v>
      </c>
      <c r="RM337" s="11" t="s">
        <v>37</v>
      </c>
      <c r="RN337" s="12" t="s">
        <v>37</v>
      </c>
      <c r="RO337" s="12" t="s">
        <v>37</v>
      </c>
      <c r="RP337" s="11" t="s">
        <v>37</v>
      </c>
      <c r="RS337" s="12" t="s">
        <v>37</v>
      </c>
      <c r="RT337" s="12" t="s">
        <v>37</v>
      </c>
      <c r="RU337" s="12" t="s">
        <v>37</v>
      </c>
      <c r="RV337" s="12" t="s">
        <v>37</v>
      </c>
      <c r="RW337" s="12" t="s">
        <v>37</v>
      </c>
      <c r="RX337" s="12" t="s">
        <v>37</v>
      </c>
      <c r="SA337" s="12" t="s">
        <v>37</v>
      </c>
      <c r="SB337" s="12" t="s">
        <v>37</v>
      </c>
      <c r="SC337" s="12" t="s">
        <v>37</v>
      </c>
      <c r="SD337" s="12" t="s">
        <v>37</v>
      </c>
      <c r="SE337" s="12" t="s">
        <v>37</v>
      </c>
      <c r="SF337" s="12" t="s">
        <v>37</v>
      </c>
      <c r="SI337" s="12" t="s">
        <v>37</v>
      </c>
      <c r="SJ337" s="12" t="s">
        <v>37</v>
      </c>
      <c r="SK337" s="13" t="s">
        <v>37</v>
      </c>
      <c r="SM337" s="12" t="s">
        <v>37</v>
      </c>
      <c r="SN337" s="12" t="s">
        <v>37</v>
      </c>
      <c r="SO337" s="13" t="s">
        <v>37</v>
      </c>
      <c r="SU337" s="12" t="s">
        <v>37</v>
      </c>
      <c r="SV337" s="12" t="s">
        <v>37</v>
      </c>
      <c r="SW337" s="12" t="s">
        <v>37</v>
      </c>
      <c r="SX337" s="12" t="s">
        <v>37</v>
      </c>
      <c r="SY337" s="12" t="s">
        <v>37</v>
      </c>
      <c r="SZ337" s="12" t="s">
        <v>37</v>
      </c>
      <c r="TA337" s="12"/>
      <c r="TB337" s="12"/>
      <c r="TE337" s="12" t="s">
        <v>37</v>
      </c>
      <c r="TF337" s="12" t="s">
        <v>37</v>
      </c>
      <c r="TG337" s="12" t="s">
        <v>37</v>
      </c>
      <c r="TH337" s="12" t="s">
        <v>37</v>
      </c>
      <c r="TI337" s="12" t="s">
        <v>37</v>
      </c>
      <c r="TJ337" s="12" t="s">
        <v>37</v>
      </c>
      <c r="TK337" s="12"/>
      <c r="TL337" s="12"/>
      <c r="TO337" s="12" t="s">
        <v>37</v>
      </c>
      <c r="TP337" s="12" t="s">
        <v>37</v>
      </c>
      <c r="TQ337" s="12" t="s">
        <v>37</v>
      </c>
      <c r="TR337" s="12" t="s">
        <v>37</v>
      </c>
      <c r="TS337" s="12" t="s">
        <v>37</v>
      </c>
      <c r="TT337" s="12" t="s">
        <v>37</v>
      </c>
      <c r="TU337" s="12"/>
      <c r="TV337" s="12"/>
      <c r="TY337" s="12" t="s">
        <v>37</v>
      </c>
      <c r="TZ337" s="12" t="s">
        <v>37</v>
      </c>
      <c r="UA337" s="12" t="s">
        <v>37</v>
      </c>
      <c r="UB337" s="12" t="s">
        <v>37</v>
      </c>
      <c r="UC337" s="12" t="s">
        <v>37</v>
      </c>
      <c r="UD337" s="12" t="s">
        <v>37</v>
      </c>
      <c r="UE337" s="12"/>
      <c r="UF337" s="12"/>
      <c r="UI337" s="12" t="s">
        <v>37</v>
      </c>
      <c r="UJ337" s="12" t="s">
        <v>37</v>
      </c>
      <c r="UK337" s="12" t="s">
        <v>37</v>
      </c>
      <c r="UL337" s="12" t="s">
        <v>37</v>
      </c>
      <c r="UM337" s="12" t="s">
        <v>37</v>
      </c>
      <c r="UN337" s="12" t="s">
        <v>37</v>
      </c>
      <c r="UO337" s="12"/>
      <c r="UP337" s="12"/>
      <c r="UR337" s="12" t="s">
        <v>37</v>
      </c>
      <c r="US337" s="12" t="s">
        <v>37</v>
      </c>
      <c r="UT337" s="12" t="s">
        <v>37</v>
      </c>
      <c r="UU337" s="12" t="s">
        <v>37</v>
      </c>
      <c r="UV337" s="12" t="s">
        <v>37</v>
      </c>
      <c r="UW337" s="12" t="s">
        <v>37</v>
      </c>
      <c r="UX337" s="12"/>
      <c r="UY337" s="12"/>
      <c r="VB337" s="12" t="s">
        <v>37</v>
      </c>
      <c r="VC337" s="12" t="s">
        <v>37</v>
      </c>
      <c r="VD337" s="12" t="s">
        <v>37</v>
      </c>
      <c r="VE337" s="12" t="s">
        <v>37</v>
      </c>
      <c r="VF337" s="12" t="s">
        <v>37</v>
      </c>
      <c r="VG337" s="12" t="s">
        <v>37</v>
      </c>
      <c r="VI337" s="12" t="s">
        <v>37</v>
      </c>
      <c r="VJ337" s="12" t="s">
        <v>37</v>
      </c>
      <c r="VK337" s="12" t="s">
        <v>37</v>
      </c>
      <c r="VL337" s="12" t="s">
        <v>37</v>
      </c>
      <c r="VM337" s="12" t="s">
        <v>37</v>
      </c>
      <c r="VN337" s="12" t="s">
        <v>37</v>
      </c>
      <c r="VQ337" s="12" t="s">
        <v>37</v>
      </c>
      <c r="VR337" s="12" t="s">
        <v>37</v>
      </c>
      <c r="VS337" s="12" t="s">
        <v>37</v>
      </c>
      <c r="VT337" s="12" t="s">
        <v>37</v>
      </c>
      <c r="VU337" s="12" t="s">
        <v>37</v>
      </c>
      <c r="VV337" s="12" t="s">
        <v>37</v>
      </c>
      <c r="VW337" s="12"/>
      <c r="VX337" s="12"/>
      <c r="WA337" s="13" t="s">
        <v>37</v>
      </c>
      <c r="WB337" s="13" t="s">
        <v>37</v>
      </c>
      <c r="WC337" s="13" t="s">
        <v>37</v>
      </c>
      <c r="WD337" s="13" t="s">
        <v>37</v>
      </c>
      <c r="WE337" s="13" t="s">
        <v>37</v>
      </c>
      <c r="WF337" s="13" t="s">
        <v>37</v>
      </c>
    </row>
    <row r="338" spans="1:604" ht="18" customHeight="1" x14ac:dyDescent="0.3">
      <c r="A338" s="11">
        <v>73</v>
      </c>
      <c r="B338" s="16" t="s">
        <v>427</v>
      </c>
      <c r="C338" s="12" t="s">
        <v>26</v>
      </c>
      <c r="D338" s="12" t="s">
        <v>973</v>
      </c>
      <c r="E338" s="40" t="s">
        <v>37</v>
      </c>
      <c r="F338" s="14">
        <v>0</v>
      </c>
      <c r="G338" s="14">
        <v>0</v>
      </c>
      <c r="H338" s="12" t="s">
        <v>82</v>
      </c>
      <c r="I338" s="29">
        <v>47</v>
      </c>
      <c r="J338" s="29">
        <v>-92</v>
      </c>
      <c r="K338" s="12" t="s">
        <v>783</v>
      </c>
      <c r="L338" s="12" t="s">
        <v>784</v>
      </c>
      <c r="M338" s="13" t="s">
        <v>37</v>
      </c>
      <c r="N338" s="13" t="s">
        <v>37</v>
      </c>
      <c r="O338" s="13" t="s">
        <v>37</v>
      </c>
      <c r="P338" s="14" t="s">
        <v>16</v>
      </c>
      <c r="Q338" s="75">
        <v>3</v>
      </c>
      <c r="R338" s="11" t="s">
        <v>1000</v>
      </c>
      <c r="S338" s="12" t="s">
        <v>93</v>
      </c>
      <c r="T338" s="12" t="s">
        <v>141</v>
      </c>
      <c r="U338" s="12" t="s">
        <v>158</v>
      </c>
      <c r="V338" s="12" t="s">
        <v>275</v>
      </c>
      <c r="W338" s="23" t="s">
        <v>432</v>
      </c>
      <c r="X338" s="12" t="s">
        <v>281</v>
      </c>
      <c r="Y338" s="12" t="s">
        <v>37</v>
      </c>
      <c r="Z338" s="12" t="s">
        <v>37</v>
      </c>
      <c r="AB338" s="12" t="s">
        <v>37</v>
      </c>
      <c r="AE338" s="12" t="s">
        <v>37</v>
      </c>
      <c r="AH338" s="12" t="s">
        <v>37</v>
      </c>
      <c r="AK338" s="12" t="s">
        <v>37</v>
      </c>
      <c r="AL338" s="32" t="s">
        <v>431</v>
      </c>
      <c r="AM338" s="12" t="s">
        <v>317</v>
      </c>
      <c r="AN338" s="32" t="s">
        <v>879</v>
      </c>
      <c r="AO338" s="12" t="s">
        <v>37</v>
      </c>
      <c r="AP338" s="12" t="s">
        <v>167</v>
      </c>
      <c r="AQ338" s="12" t="s">
        <v>975</v>
      </c>
      <c r="AT338" s="12" t="s">
        <v>326</v>
      </c>
      <c r="AU338" s="12" t="s">
        <v>326</v>
      </c>
      <c r="AV338" s="13" t="s">
        <v>326</v>
      </c>
      <c r="AX338" s="12" t="s">
        <v>326</v>
      </c>
      <c r="AY338" s="12" t="s">
        <v>326</v>
      </c>
      <c r="AZ338" s="13" t="s">
        <v>326</v>
      </c>
      <c r="BE338" s="12" t="s">
        <v>326</v>
      </c>
      <c r="BF338" s="12" t="s">
        <v>326</v>
      </c>
      <c r="BG338" s="12" t="s">
        <v>326</v>
      </c>
      <c r="BI338" s="12" t="s">
        <v>326</v>
      </c>
      <c r="BJ338" s="12" t="s">
        <v>326</v>
      </c>
      <c r="BK338" s="12" t="s">
        <v>326</v>
      </c>
      <c r="BP338" s="12" t="s">
        <v>37</v>
      </c>
      <c r="BQ338" s="12" t="s">
        <v>37</v>
      </c>
      <c r="BR338" s="13" t="s">
        <v>37</v>
      </c>
      <c r="BT338" s="12" t="s">
        <v>37</v>
      </c>
      <c r="BU338" s="12" t="s">
        <v>37</v>
      </c>
      <c r="BV338" s="12" t="s">
        <v>37</v>
      </c>
      <c r="CA338" s="12" t="s">
        <v>37</v>
      </c>
      <c r="CB338" s="12" t="s">
        <v>37</v>
      </c>
      <c r="CC338" s="13" t="s">
        <v>37</v>
      </c>
      <c r="CE338" s="12" t="s">
        <v>37</v>
      </c>
      <c r="CF338" s="12" t="s">
        <v>37</v>
      </c>
      <c r="CG338" s="12" t="s">
        <v>37</v>
      </c>
      <c r="CN338" s="12" t="s">
        <v>37</v>
      </c>
      <c r="CO338" s="12" t="s">
        <v>37</v>
      </c>
      <c r="CP338" s="13" t="s">
        <v>37</v>
      </c>
      <c r="CR338" s="12" t="s">
        <v>37</v>
      </c>
      <c r="CS338" s="12" t="s">
        <v>37</v>
      </c>
      <c r="CT338" s="13" t="s">
        <v>37</v>
      </c>
      <c r="CX338" s="72"/>
      <c r="CY338" s="72"/>
      <c r="DA338" s="12" t="s">
        <v>37</v>
      </c>
      <c r="DB338" s="12" t="s">
        <v>37</v>
      </c>
      <c r="DC338" s="13" t="s">
        <v>37</v>
      </c>
      <c r="DE338" s="12" t="s">
        <v>37</v>
      </c>
      <c r="DF338" s="12" t="s">
        <v>37</v>
      </c>
      <c r="DG338" s="12" t="s">
        <v>37</v>
      </c>
      <c r="DM338" s="11" t="s">
        <v>47</v>
      </c>
      <c r="DN338" s="19">
        <f>16.3333333333333*12*10^4/10^6*("2011/10/31"-"2011/05/01")*16/12/'[1]classes-1'!$I$36</f>
        <v>660.5745513402162</v>
      </c>
      <c r="DO338" s="12">
        <f>SQRT((1/[2]Classes!$I$36)^2*(2.63649029175513*12*10^4/10^6*("2011/10/31"-"2011/05/01")*16/12)^2+(-DN338/([2]Classes!$I$36)^2)^2*([2]Classes!$J$36)^2)</f>
        <v>706.60737149083172</v>
      </c>
      <c r="DP338" s="13">
        <v>3</v>
      </c>
      <c r="DQ338" s="19">
        <f t="shared" si="1294"/>
        <v>1.0696860332527511</v>
      </c>
      <c r="DR338" s="19">
        <f>7.0909090909091*12*10^4/10^6*("2011/10/31"-"2011/05/01")*16/12/'[1]classes-1'!$I$37</f>
        <v>60.94615675196922</v>
      </c>
      <c r="DS338" s="12">
        <f>SQRT((1/[2]Classes!$I$37)^2*(1.02939515988351*12*10^4/10^6*("2011/10/31"-"2011/05/01")*16/12)^2+(-DR338/([2]Classes!$I$37)^2)^2*([2]Classes!$J$37)^2)</f>
        <v>61.833294541817786</v>
      </c>
      <c r="DT338" s="13">
        <v>3</v>
      </c>
      <c r="DU338" s="19">
        <f t="shared" si="1295"/>
        <v>1.0145560907713824</v>
      </c>
      <c r="DV338" s="19">
        <f t="shared" si="1315"/>
        <v>-599.62839458824703</v>
      </c>
      <c r="DW338" s="12">
        <f t="shared" si="1316"/>
        <v>501.55624498109756</v>
      </c>
      <c r="DX338" s="72">
        <f t="shared" si="1251"/>
        <v>167705.77791969248</v>
      </c>
      <c r="DY338" s="72">
        <f t="shared" si="1252"/>
        <v>167705.77791969248</v>
      </c>
      <c r="EA338" s="19" t="s">
        <v>37</v>
      </c>
      <c r="EB338" s="19" t="s">
        <v>37</v>
      </c>
      <c r="EC338" s="72" t="s">
        <v>37</v>
      </c>
      <c r="EE338" s="19" t="s">
        <v>37</v>
      </c>
      <c r="EF338" s="19" t="s">
        <v>37</v>
      </c>
      <c r="EG338" s="12" t="s">
        <v>37</v>
      </c>
      <c r="EM338" s="12" t="s">
        <v>39</v>
      </c>
      <c r="EN338" s="12">
        <v>-1</v>
      </c>
      <c r="EO338" s="50">
        <f t="shared" si="1313"/>
        <v>0.40749639875129334</v>
      </c>
      <c r="EP338" s="13">
        <v>3</v>
      </c>
      <c r="ER338" s="12">
        <v>-20</v>
      </c>
      <c r="ES338" s="50">
        <f t="shared" si="1314"/>
        <v>4.5362810701838834</v>
      </c>
      <c r="ET338" s="13">
        <v>3</v>
      </c>
      <c r="EV338" s="19">
        <f t="shared" ref="EV338:EV363" si="1317">ER338-EN338</f>
        <v>-19</v>
      </c>
      <c r="EW338" s="12">
        <f t="shared" ref="EW338:EW363" si="1318">SQRT(((EP338-1)*EO338^2+(ET338-1)*ES338^2)/(EP338+ET338-2))</f>
        <v>3.2205511378259399</v>
      </c>
      <c r="EX338" s="19">
        <f t="shared" ref="EX338:EX363" si="1319">(((EP338+ET338)/(EP338*ET338))*(((EP338-1)*EO338^2)+(ET338-1)*ES338^2)/(EP338+ET338-2))</f>
        <v>6.9146330875679709</v>
      </c>
      <c r="EY338" s="19">
        <f t="shared" ref="EY338:EY363" si="1320">(EO338^2/EP338)+(ES338^2/ET338)</f>
        <v>6.91463308756797</v>
      </c>
      <c r="FB338" s="12" t="s">
        <v>37</v>
      </c>
      <c r="FC338" s="12" t="s">
        <v>37</v>
      </c>
      <c r="FD338" s="12" t="s">
        <v>37</v>
      </c>
      <c r="FE338" s="12" t="s">
        <v>37</v>
      </c>
      <c r="FF338" s="20" t="s">
        <v>37</v>
      </c>
      <c r="FG338" s="12" t="s">
        <v>37</v>
      </c>
      <c r="FI338" s="12" t="s">
        <v>37</v>
      </c>
      <c r="FJ338" s="12" t="s">
        <v>37</v>
      </c>
      <c r="FK338" s="12" t="s">
        <v>37</v>
      </c>
      <c r="FL338" s="12" t="s">
        <v>37</v>
      </c>
      <c r="FM338" s="12" t="s">
        <v>37</v>
      </c>
      <c r="FN338" s="12" t="s">
        <v>37</v>
      </c>
      <c r="FP338" s="12" t="s">
        <v>37</v>
      </c>
      <c r="FQ338" s="12" t="s">
        <v>37</v>
      </c>
      <c r="FR338" s="12" t="s">
        <v>37</v>
      </c>
      <c r="FS338" s="12" t="s">
        <v>37</v>
      </c>
      <c r="FT338" s="12" t="s">
        <v>37</v>
      </c>
      <c r="FU338" s="12" t="s">
        <v>37</v>
      </c>
      <c r="FW338" s="12" t="s">
        <v>37</v>
      </c>
      <c r="FX338" s="12" t="s">
        <v>37</v>
      </c>
      <c r="FY338" s="12" t="s">
        <v>37</v>
      </c>
      <c r="FZ338" s="12" t="s">
        <v>37</v>
      </c>
      <c r="GA338" s="12" t="s">
        <v>37</v>
      </c>
      <c r="GB338" s="12" t="s">
        <v>37</v>
      </c>
      <c r="IK338" s="12" t="s">
        <v>37</v>
      </c>
      <c r="IL338" s="12" t="s">
        <v>37</v>
      </c>
      <c r="IM338" s="12" t="s">
        <v>37</v>
      </c>
      <c r="IO338" s="12" t="s">
        <v>37</v>
      </c>
      <c r="IP338" s="12" t="s">
        <v>37</v>
      </c>
      <c r="IQ338" s="12" t="s">
        <v>37</v>
      </c>
      <c r="IW338" s="12" t="s">
        <v>37</v>
      </c>
      <c r="IX338" s="12" t="s">
        <v>37</v>
      </c>
      <c r="IY338" s="13" t="s">
        <v>37</v>
      </c>
      <c r="JA338" s="12" t="s">
        <v>37</v>
      </c>
      <c r="JB338" s="12" t="s">
        <v>37</v>
      </c>
      <c r="JC338" s="13" t="s">
        <v>37</v>
      </c>
      <c r="JH338" s="12" t="s">
        <v>37</v>
      </c>
      <c r="JI338" s="12" t="s">
        <v>37</v>
      </c>
      <c r="JJ338" s="13" t="s">
        <v>37</v>
      </c>
      <c r="JL338" s="12" t="s">
        <v>37</v>
      </c>
      <c r="JM338" s="12" t="s">
        <v>37</v>
      </c>
      <c r="JN338" s="12" t="s">
        <v>37</v>
      </c>
      <c r="JS338" s="12" t="s">
        <v>37</v>
      </c>
      <c r="JT338" s="12" t="s">
        <v>37</v>
      </c>
      <c r="JU338" s="13" t="s">
        <v>37</v>
      </c>
      <c r="JW338" s="12" t="s">
        <v>37</v>
      </c>
      <c r="JX338" s="12" t="s">
        <v>37</v>
      </c>
      <c r="JY338" s="12" t="s">
        <v>37</v>
      </c>
      <c r="KE338" s="12" t="s">
        <v>37</v>
      </c>
      <c r="KF338" s="12" t="s">
        <v>37</v>
      </c>
      <c r="KG338" s="13" t="s">
        <v>37</v>
      </c>
      <c r="KH338" s="12" t="s">
        <v>37</v>
      </c>
      <c r="KI338" s="12" t="s">
        <v>37</v>
      </c>
      <c r="KJ338" s="12" t="s">
        <v>37</v>
      </c>
      <c r="KM338" s="12" t="s">
        <v>37</v>
      </c>
      <c r="KN338" s="12" t="s">
        <v>37</v>
      </c>
      <c r="KO338" s="11" t="s">
        <v>37</v>
      </c>
      <c r="KQ338" s="12" t="s">
        <v>37</v>
      </c>
      <c r="KR338" s="12" t="s">
        <v>37</v>
      </c>
      <c r="KS338" s="12" t="s">
        <v>37</v>
      </c>
      <c r="KX338" s="12" t="s">
        <v>37</v>
      </c>
      <c r="KY338" s="12" t="s">
        <v>37</v>
      </c>
      <c r="KZ338" s="12" t="s">
        <v>37</v>
      </c>
      <c r="LB338" s="12" t="s">
        <v>37</v>
      </c>
      <c r="LC338" s="12" t="s">
        <v>37</v>
      </c>
      <c r="LD338" s="12" t="s">
        <v>37</v>
      </c>
      <c r="LI338" s="12" t="s">
        <v>37</v>
      </c>
      <c r="LJ338" s="12" t="s">
        <v>37</v>
      </c>
      <c r="LK338" s="12" t="s">
        <v>37</v>
      </c>
      <c r="LM338" s="12" t="s">
        <v>37</v>
      </c>
      <c r="LN338" s="12" t="s">
        <v>37</v>
      </c>
      <c r="LO338" s="12" t="s">
        <v>37</v>
      </c>
      <c r="LU338" s="12" t="s">
        <v>37</v>
      </c>
      <c r="LV338" s="12" t="s">
        <v>37</v>
      </c>
      <c r="LW338" s="12" t="s">
        <v>37</v>
      </c>
      <c r="LY338" s="12" t="s">
        <v>37</v>
      </c>
      <c r="LZ338" s="12" t="s">
        <v>37</v>
      </c>
      <c r="MA338" s="12" t="s">
        <v>37</v>
      </c>
      <c r="MF338" s="12" t="s">
        <v>37</v>
      </c>
      <c r="MG338" s="12" t="s">
        <v>37</v>
      </c>
      <c r="MH338" s="12" t="s">
        <v>37</v>
      </c>
      <c r="MJ338" s="12" t="s">
        <v>37</v>
      </c>
      <c r="MK338" s="12" t="s">
        <v>37</v>
      </c>
      <c r="ML338" s="12" t="s">
        <v>37</v>
      </c>
      <c r="MQ338" s="12" t="s">
        <v>37</v>
      </c>
      <c r="MR338" s="12" t="s">
        <v>37</v>
      </c>
      <c r="MS338" s="12" t="s">
        <v>37</v>
      </c>
      <c r="MU338" s="12" t="s">
        <v>37</v>
      </c>
      <c r="MV338" s="12" t="s">
        <v>37</v>
      </c>
      <c r="MW338" s="12" t="s">
        <v>37</v>
      </c>
      <c r="NC338" s="12" t="s">
        <v>37</v>
      </c>
      <c r="ND338" s="12" t="s">
        <v>37</v>
      </c>
      <c r="NE338" s="12" t="s">
        <v>37</v>
      </c>
      <c r="NG338" s="12" t="s">
        <v>37</v>
      </c>
      <c r="NH338" s="12" t="s">
        <v>37</v>
      </c>
      <c r="NI338" s="12" t="s">
        <v>37</v>
      </c>
      <c r="NO338" s="12" t="s">
        <v>37</v>
      </c>
      <c r="NP338" s="12" t="s">
        <v>37</v>
      </c>
      <c r="NQ338" s="12" t="s">
        <v>37</v>
      </c>
      <c r="NS338" s="12" t="s">
        <v>37</v>
      </c>
      <c r="NT338" s="12" t="s">
        <v>37</v>
      </c>
      <c r="NU338" s="12" t="s">
        <v>37</v>
      </c>
      <c r="OA338" s="12" t="s">
        <v>37</v>
      </c>
      <c r="OB338" s="12" t="s">
        <v>37</v>
      </c>
      <c r="OC338" s="12" t="s">
        <v>37</v>
      </c>
      <c r="OD338" s="12"/>
      <c r="OE338" s="12" t="s">
        <v>37</v>
      </c>
      <c r="OF338" s="12" t="s">
        <v>37</v>
      </c>
      <c r="OG338" s="12" t="s">
        <v>37</v>
      </c>
      <c r="OH338" s="12"/>
      <c r="OI338" s="12"/>
      <c r="OJ338" s="12"/>
      <c r="OM338" s="12" t="s">
        <v>37</v>
      </c>
      <c r="ON338" s="12" t="s">
        <v>37</v>
      </c>
      <c r="OO338" s="12" t="s">
        <v>37</v>
      </c>
      <c r="OP338" s="12" t="s">
        <v>37</v>
      </c>
      <c r="OQ338" s="12" t="s">
        <v>37</v>
      </c>
      <c r="OR338" s="12" t="s">
        <v>37</v>
      </c>
      <c r="OS338" s="12"/>
      <c r="OT338" s="12"/>
      <c r="OW338" s="12" t="s">
        <v>37</v>
      </c>
      <c r="OX338" s="12" t="s">
        <v>37</v>
      </c>
      <c r="OY338" s="13" t="s">
        <v>37</v>
      </c>
      <c r="OZ338" s="12" t="s">
        <v>37</v>
      </c>
      <c r="PA338" s="12" t="s">
        <v>37</v>
      </c>
      <c r="PB338" s="13" t="s">
        <v>37</v>
      </c>
      <c r="PG338" s="12" t="s">
        <v>37</v>
      </c>
      <c r="PH338" s="12" t="s">
        <v>37</v>
      </c>
      <c r="PI338" s="12" t="s">
        <v>37</v>
      </c>
      <c r="PJ338" s="12" t="s">
        <v>37</v>
      </c>
      <c r="PK338" s="12" t="s">
        <v>37</v>
      </c>
      <c r="PL338" s="12" t="s">
        <v>37</v>
      </c>
      <c r="PM338" s="12"/>
      <c r="PN338" s="12"/>
      <c r="PQ338" s="12" t="s">
        <v>37</v>
      </c>
      <c r="PR338" s="12" t="s">
        <v>37</v>
      </c>
      <c r="PS338" s="12" t="s">
        <v>37</v>
      </c>
      <c r="PT338" s="12" t="s">
        <v>37</v>
      </c>
      <c r="PU338" s="12" t="s">
        <v>37</v>
      </c>
      <c r="PV338" s="12" t="s">
        <v>37</v>
      </c>
      <c r="PW338" s="12"/>
      <c r="PX338" s="12"/>
      <c r="PZ338" s="12" t="s">
        <v>37</v>
      </c>
      <c r="QA338" s="12" t="s">
        <v>37</v>
      </c>
      <c r="QB338" s="12" t="s">
        <v>37</v>
      </c>
      <c r="QD338" s="12" t="s">
        <v>37</v>
      </c>
      <c r="QE338" s="12" t="s">
        <v>37</v>
      </c>
      <c r="QF338" s="12" t="s">
        <v>37</v>
      </c>
      <c r="QK338" s="12" t="s">
        <v>37</v>
      </c>
      <c r="QL338" s="12" t="s">
        <v>37</v>
      </c>
      <c r="QM338" s="12" t="s">
        <v>37</v>
      </c>
      <c r="QN338" s="12" t="s">
        <v>37</v>
      </c>
      <c r="QO338" s="12" t="s">
        <v>37</v>
      </c>
      <c r="QP338" s="12" t="s">
        <v>37</v>
      </c>
      <c r="QQ338" s="12"/>
      <c r="QR338" s="12"/>
      <c r="QU338" s="12" t="s">
        <v>37</v>
      </c>
      <c r="QV338" s="12" t="s">
        <v>37</v>
      </c>
      <c r="QW338" s="12" t="s">
        <v>37</v>
      </c>
      <c r="QX338" s="12" t="s">
        <v>37</v>
      </c>
      <c r="QY338" s="12" t="s">
        <v>37</v>
      </c>
      <c r="QZ338" s="12" t="s">
        <v>37</v>
      </c>
      <c r="RC338" s="12" t="s">
        <v>37</v>
      </c>
      <c r="RD338" s="12" t="s">
        <v>37</v>
      </c>
      <c r="RE338" s="13" t="s">
        <v>37</v>
      </c>
      <c r="RF338" s="12" t="s">
        <v>37</v>
      </c>
      <c r="RG338" s="12" t="s">
        <v>37</v>
      </c>
      <c r="RH338" s="13" t="s">
        <v>37</v>
      </c>
      <c r="RK338" s="12" t="s">
        <v>37</v>
      </c>
      <c r="RL338" s="12" t="s">
        <v>37</v>
      </c>
      <c r="RM338" s="11" t="s">
        <v>37</v>
      </c>
      <c r="RN338" s="12" t="s">
        <v>37</v>
      </c>
      <c r="RO338" s="12" t="s">
        <v>37</v>
      </c>
      <c r="RP338" s="11" t="s">
        <v>37</v>
      </c>
      <c r="RS338" s="12" t="s">
        <v>37</v>
      </c>
      <c r="RT338" s="12" t="s">
        <v>37</v>
      </c>
      <c r="RU338" s="12" t="s">
        <v>37</v>
      </c>
      <c r="RV338" s="12" t="s">
        <v>37</v>
      </c>
      <c r="RW338" s="12" t="s">
        <v>37</v>
      </c>
      <c r="RX338" s="12" t="s">
        <v>37</v>
      </c>
      <c r="SA338" s="12" t="s">
        <v>37</v>
      </c>
      <c r="SB338" s="12" t="s">
        <v>37</v>
      </c>
      <c r="SC338" s="12" t="s">
        <v>37</v>
      </c>
      <c r="SD338" s="12" t="s">
        <v>37</v>
      </c>
      <c r="SE338" s="12" t="s">
        <v>37</v>
      </c>
      <c r="SF338" s="12" t="s">
        <v>37</v>
      </c>
      <c r="SI338" s="12" t="s">
        <v>37</v>
      </c>
      <c r="SJ338" s="12" t="s">
        <v>37</v>
      </c>
      <c r="SK338" s="13" t="s">
        <v>37</v>
      </c>
      <c r="SM338" s="12" t="s">
        <v>37</v>
      </c>
      <c r="SN338" s="12" t="s">
        <v>37</v>
      </c>
      <c r="SO338" s="13" t="s">
        <v>37</v>
      </c>
      <c r="SU338" s="12" t="s">
        <v>37</v>
      </c>
      <c r="SV338" s="12" t="s">
        <v>37</v>
      </c>
      <c r="SW338" s="12" t="s">
        <v>37</v>
      </c>
      <c r="SX338" s="12" t="s">
        <v>37</v>
      </c>
      <c r="SY338" s="12" t="s">
        <v>37</v>
      </c>
      <c r="SZ338" s="12" t="s">
        <v>37</v>
      </c>
      <c r="TA338" s="12"/>
      <c r="TB338" s="12"/>
      <c r="TE338" s="12" t="s">
        <v>37</v>
      </c>
      <c r="TF338" s="12" t="s">
        <v>37</v>
      </c>
      <c r="TG338" s="12" t="s">
        <v>37</v>
      </c>
      <c r="TH338" s="12" t="s">
        <v>37</v>
      </c>
      <c r="TI338" s="12" t="s">
        <v>37</v>
      </c>
      <c r="TJ338" s="12" t="s">
        <v>37</v>
      </c>
      <c r="TK338" s="12"/>
      <c r="TL338" s="12"/>
      <c r="TO338" s="12" t="s">
        <v>37</v>
      </c>
      <c r="TP338" s="12" t="s">
        <v>37</v>
      </c>
      <c r="TQ338" s="12" t="s">
        <v>37</v>
      </c>
      <c r="TR338" s="12" t="s">
        <v>37</v>
      </c>
      <c r="TS338" s="12" t="s">
        <v>37</v>
      </c>
      <c r="TT338" s="12" t="s">
        <v>37</v>
      </c>
      <c r="TU338" s="12"/>
      <c r="TV338" s="12"/>
      <c r="TY338" s="12" t="s">
        <v>37</v>
      </c>
      <c r="TZ338" s="12" t="s">
        <v>37</v>
      </c>
      <c r="UA338" s="12" t="s">
        <v>37</v>
      </c>
      <c r="UB338" s="12" t="s">
        <v>37</v>
      </c>
      <c r="UC338" s="12" t="s">
        <v>37</v>
      </c>
      <c r="UD338" s="12" t="s">
        <v>37</v>
      </c>
      <c r="UE338" s="12"/>
      <c r="UF338" s="12"/>
      <c r="UI338" s="12" t="s">
        <v>37</v>
      </c>
      <c r="UJ338" s="12" t="s">
        <v>37</v>
      </c>
      <c r="UK338" s="12" t="s">
        <v>37</v>
      </c>
      <c r="UL338" s="12" t="s">
        <v>37</v>
      </c>
      <c r="UM338" s="12" t="s">
        <v>37</v>
      </c>
      <c r="UN338" s="12" t="s">
        <v>37</v>
      </c>
      <c r="UO338" s="12"/>
      <c r="UP338" s="12"/>
      <c r="UR338" s="12" t="s">
        <v>37</v>
      </c>
      <c r="US338" s="12" t="s">
        <v>37</v>
      </c>
      <c r="UT338" s="12" t="s">
        <v>37</v>
      </c>
      <c r="UU338" s="12" t="s">
        <v>37</v>
      </c>
      <c r="UV338" s="12" t="s">
        <v>37</v>
      </c>
      <c r="UW338" s="12" t="s">
        <v>37</v>
      </c>
      <c r="UX338" s="12"/>
      <c r="UY338" s="12"/>
      <c r="VB338" s="12" t="s">
        <v>37</v>
      </c>
      <c r="VC338" s="12" t="s">
        <v>37</v>
      </c>
      <c r="VD338" s="12" t="s">
        <v>37</v>
      </c>
      <c r="VE338" s="12" t="s">
        <v>37</v>
      </c>
      <c r="VF338" s="12" t="s">
        <v>37</v>
      </c>
      <c r="VG338" s="12" t="s">
        <v>37</v>
      </c>
      <c r="VI338" s="12" t="s">
        <v>37</v>
      </c>
      <c r="VJ338" s="12" t="s">
        <v>37</v>
      </c>
      <c r="VK338" s="12" t="s">
        <v>37</v>
      </c>
      <c r="VL338" s="12" t="s">
        <v>37</v>
      </c>
      <c r="VM338" s="12" t="s">
        <v>37</v>
      </c>
      <c r="VN338" s="12" t="s">
        <v>37</v>
      </c>
      <c r="VQ338" s="12" t="s">
        <v>37</v>
      </c>
      <c r="VR338" s="12" t="s">
        <v>37</v>
      </c>
      <c r="VS338" s="12" t="s">
        <v>37</v>
      </c>
      <c r="VT338" s="12" t="s">
        <v>37</v>
      </c>
      <c r="VU338" s="12" t="s">
        <v>37</v>
      </c>
      <c r="VV338" s="12" t="s">
        <v>37</v>
      </c>
      <c r="VW338" s="12"/>
      <c r="VX338" s="12"/>
      <c r="WA338" s="13" t="s">
        <v>37</v>
      </c>
      <c r="WB338" s="13" t="s">
        <v>37</v>
      </c>
      <c r="WC338" s="13" t="s">
        <v>37</v>
      </c>
      <c r="WD338" s="13" t="s">
        <v>37</v>
      </c>
      <c r="WE338" s="13" t="s">
        <v>37</v>
      </c>
      <c r="WF338" s="13" t="s">
        <v>37</v>
      </c>
    </row>
    <row r="339" spans="1:604" ht="18" customHeight="1" x14ac:dyDescent="0.3">
      <c r="A339" s="11">
        <v>74</v>
      </c>
      <c r="B339" s="16" t="s">
        <v>436</v>
      </c>
      <c r="C339" s="12" t="s">
        <v>26</v>
      </c>
      <c r="D339" s="12" t="s">
        <v>973</v>
      </c>
      <c r="E339" s="40">
        <v>1.2</v>
      </c>
      <c r="F339" s="14">
        <v>0</v>
      </c>
      <c r="G339" s="14">
        <v>0</v>
      </c>
      <c r="H339" s="12" t="s">
        <v>91</v>
      </c>
      <c r="I339" s="29">
        <v>46.667000000000002</v>
      </c>
      <c r="J339" s="29">
        <v>-71.167000000000002</v>
      </c>
      <c r="K339" s="12" t="s">
        <v>673</v>
      </c>
      <c r="L339" s="12" t="s">
        <v>674</v>
      </c>
      <c r="M339" s="13" t="s">
        <v>37</v>
      </c>
      <c r="N339" s="14" t="s">
        <v>37</v>
      </c>
      <c r="O339" s="14" t="s">
        <v>37</v>
      </c>
      <c r="P339" s="14" t="s">
        <v>16</v>
      </c>
      <c r="Q339" s="75">
        <v>1</v>
      </c>
      <c r="R339" s="11" t="s">
        <v>1000</v>
      </c>
      <c r="S339" s="12" t="s">
        <v>85</v>
      </c>
      <c r="T339" s="12" t="s">
        <v>141</v>
      </c>
      <c r="U339" s="12" t="s">
        <v>163</v>
      </c>
      <c r="V339" s="12" t="s">
        <v>275</v>
      </c>
      <c r="W339" s="23" t="s">
        <v>437</v>
      </c>
      <c r="X339" s="12" t="s">
        <v>281</v>
      </c>
      <c r="Y339" s="12" t="s">
        <v>37</v>
      </c>
      <c r="Z339" s="12" t="s">
        <v>37</v>
      </c>
      <c r="AB339" s="12" t="s">
        <v>37</v>
      </c>
      <c r="AE339" s="12" t="s">
        <v>37</v>
      </c>
      <c r="AH339" s="12" t="s">
        <v>37</v>
      </c>
      <c r="AK339" s="12" t="s">
        <v>37</v>
      </c>
      <c r="AL339" s="32" t="s">
        <v>440</v>
      </c>
      <c r="AM339" s="12" t="s">
        <v>317</v>
      </c>
      <c r="AN339" s="32" t="s">
        <v>880</v>
      </c>
      <c r="AO339" s="12" t="s">
        <v>847</v>
      </c>
      <c r="AP339" s="12" t="s">
        <v>167</v>
      </c>
      <c r="AQ339" s="12" t="s">
        <v>975</v>
      </c>
      <c r="AT339" s="12" t="s">
        <v>326</v>
      </c>
      <c r="AU339" s="12" t="s">
        <v>326</v>
      </c>
      <c r="AV339" s="13" t="s">
        <v>326</v>
      </c>
      <c r="AX339" s="12" t="s">
        <v>326</v>
      </c>
      <c r="AY339" s="12" t="s">
        <v>326</v>
      </c>
      <c r="AZ339" s="13" t="s">
        <v>326</v>
      </c>
      <c r="BE339" s="12" t="s">
        <v>326</v>
      </c>
      <c r="BF339" s="12" t="s">
        <v>326</v>
      </c>
      <c r="BG339" s="12" t="s">
        <v>326</v>
      </c>
      <c r="BI339" s="12" t="s">
        <v>326</v>
      </c>
      <c r="BJ339" s="12" t="s">
        <v>326</v>
      </c>
      <c r="BK339" s="12" t="s">
        <v>326</v>
      </c>
      <c r="BP339" s="12" t="s">
        <v>37</v>
      </c>
      <c r="BQ339" s="12" t="s">
        <v>37</v>
      </c>
      <c r="BR339" s="13" t="s">
        <v>37</v>
      </c>
      <c r="BT339" s="12" t="s">
        <v>37</v>
      </c>
      <c r="BU339" s="12" t="s">
        <v>37</v>
      </c>
      <c r="BV339" s="12" t="s">
        <v>37</v>
      </c>
      <c r="BZ339" s="12" t="s">
        <v>47</v>
      </c>
      <c r="CA339" s="12">
        <f>-154*("2002/09/30"-"2002/05/01")/("2002/08/31"-"2002/06/10")*10^4/10^3/'[6]classess-1'!$T$92</f>
        <v>-2994.9187190031953</v>
      </c>
      <c r="CB339" s="12">
        <f>SQRT((1/[7]Classess!$T$92)^2*(20*("2002/09/30"-"2002/05/01")/("2002/08/31"-"2002/06/10")*SQRT(3)*10^4/10^3)^2+(-CA339/([7]Classess!$T$92)^2)^2*([7]Classess!$U$92)^2)</f>
        <v>676.52043369186902</v>
      </c>
      <c r="CC339" s="13">
        <v>3</v>
      </c>
      <c r="CD339" s="19">
        <f t="shared" ref="CD339:CD353" si="1321">CB339/ABS(CA339)</f>
        <v>0.22588941375912755</v>
      </c>
      <c r="CE339" s="12">
        <f>-125*("2002/09/30"-"2002/05/01")/("2002/08/31"-"2002/06/10")*10^4/10^3/'[6]classess-1'!$T$93</f>
        <v>-2403.5364233284786</v>
      </c>
      <c r="CF339" s="12">
        <f>SQRT((1/[7]Classess!$T$93)^2*(10*("2002/09/30"-"2002/05/01")/("2002/08/31"-"2002/06/10")*SQRT(3)*10^4/10^3)^2+(-CE339/([7]Classess!$T$93)^2)^2*([7]Classess!$U$93)^2)</f>
        <v>338.39733243694133</v>
      </c>
      <c r="CG339" s="13">
        <v>3</v>
      </c>
      <c r="CH339" s="19">
        <f t="shared" ref="CH339:CH353" si="1322">CF339/ABS(CE339)</f>
        <v>0.14079143097333224</v>
      </c>
      <c r="CI339" s="75">
        <f t="shared" ref="CI339:CI359" si="1323">CE339-CA339</f>
        <v>591.38229567471672</v>
      </c>
      <c r="CJ339" s="12">
        <f t="shared" ref="CJ339:CJ359" si="1324">SQRT(((CC339-1)*CB339^2+(CG339-1)*CF339^2)/(CC339+CG339-2))</f>
        <v>534.87973031470926</v>
      </c>
      <c r="CK339" s="72">
        <f t="shared" ref="CK339:CK359" si="1325">(((CC339+CG339)/(CC339*CG339))*(((CC339-1)*CB339^2)+(CG339-1)*CF339^2)/(CC339+CG339-2))</f>
        <v>190730.88393435744</v>
      </c>
      <c r="CL339" s="72">
        <f t="shared" ref="CL339:CL359" si="1326">(CB339^2/CC339)+(CF339^2/CG339)</f>
        <v>190730.88393435744</v>
      </c>
      <c r="CM339" s="12" t="s">
        <v>47</v>
      </c>
      <c r="CN339" s="12">
        <f>172*("2002/09/30"-"2002/05/01")/("2002/08/31"-"2002/06/10")*10^4/10^3/'[6]classess-1'!$I$92</f>
        <v>3969.4505741620792</v>
      </c>
      <c r="CO339" s="12">
        <f>SQRT((1/[7]Classess!$I$92)^2*(18*("2002/09/30"-"2002/05/01")/("2002/08/31"-"2002/06/10")*SQRT(3)*10^4/10^3)^2+(-CN339/([7]Classess!$I$92)^2)^2*([7]Classess!$J$92)^2)</f>
        <v>723.08718823658228</v>
      </c>
      <c r="CP339" s="13">
        <v>3</v>
      </c>
      <c r="CQ339" s="19">
        <f t="shared" ref="CQ339:CQ353" si="1327">CO339/ABS(CN339)</f>
        <v>0.18216304113805989</v>
      </c>
      <c r="CR339" s="12">
        <f>197*("2002/09/30"-"2002/05/01")/("2002/08/31"-"2002/06/10")*10^4/10^3/'[6]classess-1'!$I$93</f>
        <v>4246.5463132141167</v>
      </c>
      <c r="CS339" s="12">
        <f>SQRT((1/[7]Classess!$I$93)^2*(13*("2002/09/30"-"2002/05/01")/("2002/08/31"-"2002/06/10")*SQRT(3)*10^4/10^3)^2+(-CR339/([7]Classess!$I$93)^2)^2*([7]Classess!$J$93)^2)</f>
        <v>528.2044209164568</v>
      </c>
      <c r="CT339" s="13">
        <v>3</v>
      </c>
      <c r="CU339" s="19">
        <f t="shared" ref="CU339:CU353" si="1328">CS339/ABS(CR339)</f>
        <v>0.12438447198204948</v>
      </c>
      <c r="CV339" s="75">
        <f t="shared" ref="CV339:CV359" si="1329">CR339-CN339</f>
        <v>277.09573905203752</v>
      </c>
      <c r="CW339" s="12">
        <f t="shared" ref="CW339:CW359" si="1330">SQRT(((CP339-1)*CO339^2+(CT339-1)*CS339^2)/(CP339+CT339-2))</f>
        <v>633.1883574686035</v>
      </c>
      <c r="CX339" s="72">
        <f t="shared" ref="CX339:CX359" si="1331">(((CP339+CT339)/(CP339*CT339))*(((CP339-1)*CO339^2)+(CT339-1)*CS339^2)/(CP339+CT339-2))</f>
        <v>267284.99735585868</v>
      </c>
      <c r="CY339" s="72">
        <f t="shared" ref="CY339:CY359" si="1332">(CO339^2/CP339)+(CS339^2/CT339)</f>
        <v>267284.99735585868</v>
      </c>
      <c r="CZ339" s="12" t="s">
        <v>47</v>
      </c>
      <c r="DA339" s="12">
        <f>CA339+CN339</f>
        <v>974.5318551588839</v>
      </c>
      <c r="DB339" s="12">
        <f>SQRT((1/[7]Classess!$I$37)^2*(6*SQRT(3)*10^4/10^3)^2+(-DA339/([7]Classess!$I$37)^2)^2*([7]Classess!$J$37)^2)</f>
        <v>469.46628575554143</v>
      </c>
      <c r="DC339" s="13">
        <v>3</v>
      </c>
      <c r="DD339" s="19">
        <f t="shared" ref="DD339:DD353" si="1333">DB339/ABS(DA339)</f>
        <v>0.48173518728025722</v>
      </c>
      <c r="DE339" s="12">
        <f>CE339+CR339</f>
        <v>1843.0098898856381</v>
      </c>
      <c r="DF339" s="12">
        <f>SQRT((1/[7]Classess!$I$38)^2*(3*SQRT(3)*10^4/10^3)^2+(-DE339/([7]Classess!$I$38)^2)^2*([7]Classess!$J$38)^2)</f>
        <v>320.75875891326473</v>
      </c>
      <c r="DG339" s="13">
        <v>3</v>
      </c>
      <c r="DH339" s="19">
        <f t="shared" ref="DH339:DH353" si="1334">DF339/ABS(DE339)</f>
        <v>0.17404071495957538</v>
      </c>
      <c r="DI339" s="19">
        <f t="shared" ref="DI339:DI359" si="1335">DE339-DA339</f>
        <v>868.47803472675423</v>
      </c>
      <c r="DJ339" s="12">
        <f t="shared" ref="DJ339:DJ359" si="1336">SQRT(((DC339-1)*DB339^2+(DG339-1)*DF339^2)/(DC339+DG339-2))</f>
        <v>402.04774273752707</v>
      </c>
      <c r="DK339" s="72">
        <f t="shared" ref="DK339:DK359" si="1337">(((DC339+DG339)/(DC339*DG339))*(((DC339-1)*DB339^2)+(DG339-1)*DF339^2)/(DC339+DG339-2))</f>
        <v>107761.59162689385</v>
      </c>
      <c r="DL339" s="72">
        <f t="shared" ref="DL339:DL359" si="1338">(DB339^2/DC339)+(DF339^2/DG339)</f>
        <v>107761.59162689385</v>
      </c>
      <c r="DM339" s="11" t="s">
        <v>47</v>
      </c>
      <c r="DN339" s="19">
        <f>6*("2002/09/30"-"2002/05/01")/("2002/08/31"-"2002/06/10")*10^4/10^3/'[1]classes-1'!$I$88</f>
        <v>119.51899620842497</v>
      </c>
      <c r="DO339" s="12">
        <f>SQRT((1/[2]Classes!$I$88)^2*(1*("2002/09/30"-"2002/05/01")/("2002/08/31"-"2002/06/10")*SQRT(3)*10^4/10^3)^2+(-DN339/([2]Classes!$I$88)^2)^2*([2]Classes!$J$88)^2)</f>
        <v>34.824121299588967</v>
      </c>
      <c r="DP339" s="13">
        <v>3</v>
      </c>
      <c r="DQ339" s="19">
        <f t="shared" si="1294"/>
        <v>0.29136892380572216</v>
      </c>
      <c r="DR339" s="19">
        <f>1*("2002/09/30"-"2002/05/01")/("2002/08/31"-"2002/06/10")*10^4/10^3/'[1]classes-1'!$I$89</f>
        <v>20.119884710538422</v>
      </c>
      <c r="DS339" s="12">
        <f>SQRT((1/[2]Classes!$I$89)^2*(0.1*("2002/09/30"-"2002/05/01")/("2002/08/31"-"2002/06/10")*SQRT(3)*10^4/10^3)^2+(-DR339/([2]Classes!$I$89)^2)^2*([2]Classes!$J$89)^2)</f>
        <v>3.7786326870241678</v>
      </c>
      <c r="DT339" s="13">
        <v>3</v>
      </c>
      <c r="DU339" s="19">
        <f t="shared" si="1295"/>
        <v>0.18780588166317821</v>
      </c>
      <c r="DV339" s="19">
        <f t="shared" si="1315"/>
        <v>-99.399111497886537</v>
      </c>
      <c r="DW339" s="12">
        <f t="shared" si="1316"/>
        <v>24.76890681148376</v>
      </c>
      <c r="DX339" s="72">
        <f t="shared" si="1251"/>
        <v>408.9991630906444</v>
      </c>
      <c r="DY339" s="72">
        <f t="shared" si="1252"/>
        <v>408.99916309064452</v>
      </c>
      <c r="EA339" s="19" t="s">
        <v>37</v>
      </c>
      <c r="EB339" s="19" t="s">
        <v>37</v>
      </c>
      <c r="EC339" s="72" t="s">
        <v>37</v>
      </c>
      <c r="EE339" s="19" t="s">
        <v>37</v>
      </c>
      <c r="EF339" s="19" t="s">
        <v>37</v>
      </c>
      <c r="EG339" s="12" t="s">
        <v>37</v>
      </c>
      <c r="EM339" s="12" t="s">
        <v>39</v>
      </c>
      <c r="EN339" s="12">
        <v>-18.728744939271266</v>
      </c>
      <c r="EO339" s="12">
        <v>0.97567994313706652</v>
      </c>
      <c r="EP339" s="13">
        <v>3</v>
      </c>
      <c r="EQ339" s="19">
        <f t="shared" si="1239"/>
        <v>5.209531905638895E-2</v>
      </c>
      <c r="ER339" s="12">
        <v>-28.769509981851183</v>
      </c>
      <c r="ES339" s="12">
        <v>0.91964006572007306</v>
      </c>
      <c r="ET339" s="13">
        <v>3</v>
      </c>
      <c r="EU339" s="19">
        <f t="shared" si="1240"/>
        <v>3.1965788305056787E-2</v>
      </c>
      <c r="EV339" s="19">
        <f t="shared" si="1317"/>
        <v>-10.040765042579917</v>
      </c>
      <c r="EW339" s="12">
        <f t="shared" si="1318"/>
        <v>0.94807415372363402</v>
      </c>
      <c r="EX339" s="19">
        <f t="shared" si="1319"/>
        <v>0.59922973397252322</v>
      </c>
      <c r="EY339" s="19">
        <f t="shared" si="1320"/>
        <v>0.59922973397252322</v>
      </c>
      <c r="FB339" s="12" t="s">
        <v>37</v>
      </c>
      <c r="FC339" s="12" t="s">
        <v>37</v>
      </c>
      <c r="FD339" s="12" t="s">
        <v>37</v>
      </c>
      <c r="FE339" s="12" t="s">
        <v>37</v>
      </c>
      <c r="FF339" s="20" t="s">
        <v>37</v>
      </c>
      <c r="FG339" s="12" t="s">
        <v>37</v>
      </c>
      <c r="FI339" s="12" t="s">
        <v>37</v>
      </c>
      <c r="FJ339" s="12" t="s">
        <v>37</v>
      </c>
      <c r="FK339" s="12" t="s">
        <v>37</v>
      </c>
      <c r="FL339" s="12" t="s">
        <v>37</v>
      </c>
      <c r="FM339" s="12" t="s">
        <v>37</v>
      </c>
      <c r="FN339" s="12" t="s">
        <v>37</v>
      </c>
      <c r="FP339" s="12" t="s">
        <v>37</v>
      </c>
      <c r="FQ339" s="12" t="s">
        <v>37</v>
      </c>
      <c r="FR339" s="12" t="s">
        <v>37</v>
      </c>
      <c r="FS339" s="12" t="s">
        <v>37</v>
      </c>
      <c r="FT339" s="12" t="s">
        <v>37</v>
      </c>
      <c r="FU339" s="12" t="s">
        <v>37</v>
      </c>
      <c r="FW339" s="12" t="s">
        <v>37</v>
      </c>
      <c r="FX339" s="12" t="s">
        <v>37</v>
      </c>
      <c r="FY339" s="12" t="s">
        <v>37</v>
      </c>
      <c r="FZ339" s="12" t="s">
        <v>37</v>
      </c>
      <c r="GA339" s="12" t="s">
        <v>37</v>
      </c>
      <c r="GB339" s="12" t="s">
        <v>37</v>
      </c>
      <c r="IK339" s="12" t="s">
        <v>37</v>
      </c>
      <c r="IL339" s="12" t="s">
        <v>37</v>
      </c>
      <c r="IM339" s="12" t="s">
        <v>37</v>
      </c>
      <c r="IO339" s="12" t="s">
        <v>37</v>
      </c>
      <c r="IP339" s="12" t="s">
        <v>37</v>
      </c>
      <c r="IQ339" s="12" t="s">
        <v>37</v>
      </c>
      <c r="IW339" s="12" t="s">
        <v>37</v>
      </c>
      <c r="IX339" s="12" t="s">
        <v>37</v>
      </c>
      <c r="IY339" s="13" t="s">
        <v>37</v>
      </c>
      <c r="JA339" s="12" t="s">
        <v>37</v>
      </c>
      <c r="JB339" s="12" t="s">
        <v>37</v>
      </c>
      <c r="JC339" s="13" t="s">
        <v>37</v>
      </c>
      <c r="JH339" s="12" t="s">
        <v>37</v>
      </c>
      <c r="JI339" s="12" t="s">
        <v>37</v>
      </c>
      <c r="JJ339" s="13" t="s">
        <v>37</v>
      </c>
      <c r="JL339" s="12" t="s">
        <v>37</v>
      </c>
      <c r="JM339" s="12" t="s">
        <v>37</v>
      </c>
      <c r="JN339" s="12" t="s">
        <v>37</v>
      </c>
      <c r="JS339" s="12" t="s">
        <v>37</v>
      </c>
      <c r="JT339" s="12" t="s">
        <v>37</v>
      </c>
      <c r="JU339" s="13" t="s">
        <v>37</v>
      </c>
      <c r="JW339" s="12" t="s">
        <v>37</v>
      </c>
      <c r="JX339" s="12" t="s">
        <v>37</v>
      </c>
      <c r="JY339" s="12" t="s">
        <v>37</v>
      </c>
      <c r="KE339" s="12" t="s">
        <v>37</v>
      </c>
      <c r="KF339" s="12" t="s">
        <v>37</v>
      </c>
      <c r="KG339" s="13" t="s">
        <v>37</v>
      </c>
      <c r="KH339" s="12" t="s">
        <v>37</v>
      </c>
      <c r="KI339" s="12" t="s">
        <v>37</v>
      </c>
      <c r="KJ339" s="12" t="s">
        <v>37</v>
      </c>
      <c r="KM339" s="12" t="s">
        <v>37</v>
      </c>
      <c r="KN339" s="12" t="s">
        <v>37</v>
      </c>
      <c r="KO339" s="11" t="s">
        <v>37</v>
      </c>
      <c r="KQ339" s="12" t="s">
        <v>37</v>
      </c>
      <c r="KR339" s="12" t="s">
        <v>37</v>
      </c>
      <c r="KS339" s="12" t="s">
        <v>37</v>
      </c>
      <c r="KX339" s="12" t="s">
        <v>37</v>
      </c>
      <c r="KY339" s="12" t="s">
        <v>37</v>
      </c>
      <c r="KZ339" s="12" t="s">
        <v>37</v>
      </c>
      <c r="LB339" s="12" t="s">
        <v>37</v>
      </c>
      <c r="LC339" s="12" t="s">
        <v>37</v>
      </c>
      <c r="LD339" s="12" t="s">
        <v>37</v>
      </c>
      <c r="LI339" s="12" t="s">
        <v>37</v>
      </c>
      <c r="LJ339" s="12" t="s">
        <v>37</v>
      </c>
      <c r="LK339" s="12" t="s">
        <v>37</v>
      </c>
      <c r="LM339" s="12" t="s">
        <v>37</v>
      </c>
      <c r="LN339" s="12" t="s">
        <v>37</v>
      </c>
      <c r="LO339" s="12" t="s">
        <v>37</v>
      </c>
      <c r="LU339" s="12" t="s">
        <v>37</v>
      </c>
      <c r="LV339" s="12" t="s">
        <v>37</v>
      </c>
      <c r="LW339" s="12" t="s">
        <v>37</v>
      </c>
      <c r="LY339" s="12" t="s">
        <v>37</v>
      </c>
      <c r="LZ339" s="12" t="s">
        <v>37</v>
      </c>
      <c r="MA339" s="12" t="s">
        <v>37</v>
      </c>
      <c r="MF339" s="12" t="s">
        <v>37</v>
      </c>
      <c r="MG339" s="12" t="s">
        <v>37</v>
      </c>
      <c r="MH339" s="12" t="s">
        <v>37</v>
      </c>
      <c r="MJ339" s="12" t="s">
        <v>37</v>
      </c>
      <c r="MK339" s="12" t="s">
        <v>37</v>
      </c>
      <c r="ML339" s="12" t="s">
        <v>37</v>
      </c>
      <c r="MQ339" s="12" t="s">
        <v>37</v>
      </c>
      <c r="MR339" s="12" t="s">
        <v>37</v>
      </c>
      <c r="MS339" s="12" t="s">
        <v>37</v>
      </c>
      <c r="MU339" s="12" t="s">
        <v>37</v>
      </c>
      <c r="MV339" s="12" t="s">
        <v>37</v>
      </c>
      <c r="MW339" s="12" t="s">
        <v>37</v>
      </c>
      <c r="NC339" s="12" t="s">
        <v>37</v>
      </c>
      <c r="ND339" s="12" t="s">
        <v>37</v>
      </c>
      <c r="NE339" s="12" t="s">
        <v>37</v>
      </c>
      <c r="NG339" s="12" t="s">
        <v>37</v>
      </c>
      <c r="NH339" s="12" t="s">
        <v>37</v>
      </c>
      <c r="NI339" s="12" t="s">
        <v>37</v>
      </c>
      <c r="NO339" s="12" t="s">
        <v>37</v>
      </c>
      <c r="NP339" s="12" t="s">
        <v>37</v>
      </c>
      <c r="NQ339" s="12" t="s">
        <v>37</v>
      </c>
      <c r="NS339" s="12" t="s">
        <v>37</v>
      </c>
      <c r="NT339" s="12" t="s">
        <v>37</v>
      </c>
      <c r="NU339" s="12" t="s">
        <v>37</v>
      </c>
      <c r="OA339" s="12" t="s">
        <v>37</v>
      </c>
      <c r="OB339" s="12" t="s">
        <v>37</v>
      </c>
      <c r="OC339" s="12" t="s">
        <v>37</v>
      </c>
      <c r="OD339" s="12"/>
      <c r="OE339" s="12" t="s">
        <v>37</v>
      </c>
      <c r="OF339" s="12" t="s">
        <v>37</v>
      </c>
      <c r="OG339" s="12" t="s">
        <v>37</v>
      </c>
      <c r="OH339" s="12"/>
      <c r="OI339" s="12"/>
      <c r="OJ339" s="12"/>
      <c r="OM339" s="12" t="s">
        <v>37</v>
      </c>
      <c r="ON339" s="12" t="s">
        <v>37</v>
      </c>
      <c r="OO339" s="12" t="s">
        <v>37</v>
      </c>
      <c r="OP339" s="12" t="s">
        <v>37</v>
      </c>
      <c r="OQ339" s="12" t="s">
        <v>37</v>
      </c>
      <c r="OR339" s="12" t="s">
        <v>37</v>
      </c>
      <c r="OS339" s="12"/>
      <c r="OT339" s="12"/>
      <c r="OW339" s="12" t="s">
        <v>37</v>
      </c>
      <c r="OX339" s="12" t="s">
        <v>37</v>
      </c>
      <c r="OY339" s="13" t="s">
        <v>37</v>
      </c>
      <c r="OZ339" s="12" t="s">
        <v>37</v>
      </c>
      <c r="PA339" s="12" t="s">
        <v>37</v>
      </c>
      <c r="PB339" s="13" t="s">
        <v>37</v>
      </c>
      <c r="PG339" s="12" t="s">
        <v>37</v>
      </c>
      <c r="PH339" s="12" t="s">
        <v>37</v>
      </c>
      <c r="PI339" s="12" t="s">
        <v>37</v>
      </c>
      <c r="PJ339" s="12" t="s">
        <v>37</v>
      </c>
      <c r="PK339" s="12" t="s">
        <v>37</v>
      </c>
      <c r="PL339" s="12" t="s">
        <v>37</v>
      </c>
      <c r="PM339" s="12"/>
      <c r="PN339" s="12"/>
      <c r="PQ339" s="12" t="s">
        <v>37</v>
      </c>
      <c r="PR339" s="12" t="s">
        <v>37</v>
      </c>
      <c r="PS339" s="12" t="s">
        <v>37</v>
      </c>
      <c r="PT339" s="12" t="s">
        <v>37</v>
      </c>
      <c r="PU339" s="12" t="s">
        <v>37</v>
      </c>
      <c r="PV339" s="12" t="s">
        <v>37</v>
      </c>
      <c r="PW339" s="12"/>
      <c r="PX339" s="12"/>
      <c r="PZ339" s="12" t="s">
        <v>37</v>
      </c>
      <c r="QA339" s="12" t="s">
        <v>37</v>
      </c>
      <c r="QB339" s="12" t="s">
        <v>37</v>
      </c>
      <c r="QD339" s="12" t="s">
        <v>37</v>
      </c>
      <c r="QE339" s="12" t="s">
        <v>37</v>
      </c>
      <c r="QF339" s="12" t="s">
        <v>37</v>
      </c>
      <c r="QK339" s="12" t="s">
        <v>37</v>
      </c>
      <c r="QL339" s="12" t="s">
        <v>37</v>
      </c>
      <c r="QM339" s="12" t="s">
        <v>37</v>
      </c>
      <c r="QN339" s="12" t="s">
        <v>37</v>
      </c>
      <c r="QO339" s="12" t="s">
        <v>37</v>
      </c>
      <c r="QP339" s="12" t="s">
        <v>37</v>
      </c>
      <c r="QQ339" s="12"/>
      <c r="QR339" s="12"/>
      <c r="QU339" s="12" t="s">
        <v>37</v>
      </c>
      <c r="QV339" s="12" t="s">
        <v>37</v>
      </c>
      <c r="QW339" s="12" t="s">
        <v>37</v>
      </c>
      <c r="QX339" s="12" t="s">
        <v>37</v>
      </c>
      <c r="QY339" s="12" t="s">
        <v>37</v>
      </c>
      <c r="QZ339" s="12" t="s">
        <v>37</v>
      </c>
      <c r="RC339" s="12" t="s">
        <v>37</v>
      </c>
      <c r="RD339" s="12" t="s">
        <v>37</v>
      </c>
      <c r="RE339" s="13" t="s">
        <v>37</v>
      </c>
      <c r="RF339" s="12" t="s">
        <v>37</v>
      </c>
      <c r="RG339" s="12" t="s">
        <v>37</v>
      </c>
      <c r="RH339" s="13" t="s">
        <v>37</v>
      </c>
      <c r="RK339" s="12" t="s">
        <v>37</v>
      </c>
      <c r="RL339" s="12" t="s">
        <v>37</v>
      </c>
      <c r="RM339" s="11" t="s">
        <v>37</v>
      </c>
      <c r="RN339" s="12" t="s">
        <v>37</v>
      </c>
      <c r="RO339" s="12" t="s">
        <v>37</v>
      </c>
      <c r="RP339" s="11" t="s">
        <v>37</v>
      </c>
      <c r="RS339" s="12" t="s">
        <v>37</v>
      </c>
      <c r="RT339" s="12" t="s">
        <v>37</v>
      </c>
      <c r="RU339" s="12" t="s">
        <v>37</v>
      </c>
      <c r="RV339" s="12" t="s">
        <v>37</v>
      </c>
      <c r="RW339" s="12" t="s">
        <v>37</v>
      </c>
      <c r="RX339" s="12" t="s">
        <v>37</v>
      </c>
      <c r="SA339" s="12" t="s">
        <v>37</v>
      </c>
      <c r="SB339" s="12" t="s">
        <v>37</v>
      </c>
      <c r="SC339" s="12" t="s">
        <v>37</v>
      </c>
      <c r="SD339" s="12" t="s">
        <v>37</v>
      </c>
      <c r="SE339" s="12" t="s">
        <v>37</v>
      </c>
      <c r="SF339" s="12" t="s">
        <v>37</v>
      </c>
      <c r="SI339" s="12" t="s">
        <v>37</v>
      </c>
      <c r="SJ339" s="12" t="s">
        <v>37</v>
      </c>
      <c r="SK339" s="13" t="s">
        <v>37</v>
      </c>
      <c r="SM339" s="12" t="s">
        <v>37</v>
      </c>
      <c r="SN339" s="12" t="s">
        <v>37</v>
      </c>
      <c r="SO339" s="13" t="s">
        <v>37</v>
      </c>
      <c r="SU339" s="12" t="s">
        <v>37</v>
      </c>
      <c r="SV339" s="12" t="s">
        <v>37</v>
      </c>
      <c r="SW339" s="12" t="s">
        <v>37</v>
      </c>
      <c r="SX339" s="12" t="s">
        <v>37</v>
      </c>
      <c r="SY339" s="12" t="s">
        <v>37</v>
      </c>
      <c r="SZ339" s="12" t="s">
        <v>37</v>
      </c>
      <c r="TA339" s="12"/>
      <c r="TB339" s="12"/>
      <c r="TE339" s="12" t="s">
        <v>37</v>
      </c>
      <c r="TF339" s="12" t="s">
        <v>37</v>
      </c>
      <c r="TG339" s="12" t="s">
        <v>37</v>
      </c>
      <c r="TH339" s="12" t="s">
        <v>37</v>
      </c>
      <c r="TI339" s="12" t="s">
        <v>37</v>
      </c>
      <c r="TJ339" s="12" t="s">
        <v>37</v>
      </c>
      <c r="TK339" s="12"/>
      <c r="TL339" s="12"/>
      <c r="TO339" s="12" t="s">
        <v>37</v>
      </c>
      <c r="TP339" s="12" t="s">
        <v>37</v>
      </c>
      <c r="TQ339" s="12" t="s">
        <v>37</v>
      </c>
      <c r="TR339" s="12" t="s">
        <v>37</v>
      </c>
      <c r="TS339" s="12" t="s">
        <v>37</v>
      </c>
      <c r="TT339" s="12" t="s">
        <v>37</v>
      </c>
      <c r="TU339" s="12"/>
      <c r="TV339" s="12"/>
      <c r="TY339" s="12" t="s">
        <v>37</v>
      </c>
      <c r="TZ339" s="12" t="s">
        <v>37</v>
      </c>
      <c r="UA339" s="12" t="s">
        <v>37</v>
      </c>
      <c r="UB339" s="12" t="s">
        <v>37</v>
      </c>
      <c r="UC339" s="12" t="s">
        <v>37</v>
      </c>
      <c r="UD339" s="12" t="s">
        <v>37</v>
      </c>
      <c r="UE339" s="12"/>
      <c r="UF339" s="12"/>
      <c r="UI339" s="12" t="s">
        <v>37</v>
      </c>
      <c r="UJ339" s="12" t="s">
        <v>37</v>
      </c>
      <c r="UK339" s="12" t="s">
        <v>37</v>
      </c>
      <c r="UL339" s="12" t="s">
        <v>37</v>
      </c>
      <c r="UM339" s="12" t="s">
        <v>37</v>
      </c>
      <c r="UN339" s="12" t="s">
        <v>37</v>
      </c>
      <c r="UO339" s="12"/>
      <c r="UP339" s="12"/>
      <c r="UR339" s="12" t="s">
        <v>37</v>
      </c>
      <c r="US339" s="12" t="s">
        <v>37</v>
      </c>
      <c r="UT339" s="12" t="s">
        <v>37</v>
      </c>
      <c r="UU339" s="12" t="s">
        <v>37</v>
      </c>
      <c r="UV339" s="12" t="s">
        <v>37</v>
      </c>
      <c r="UW339" s="12" t="s">
        <v>37</v>
      </c>
      <c r="UX339" s="12"/>
      <c r="UY339" s="12"/>
      <c r="VB339" s="12" t="s">
        <v>37</v>
      </c>
      <c r="VC339" s="12" t="s">
        <v>37</v>
      </c>
      <c r="VD339" s="12" t="s">
        <v>37</v>
      </c>
      <c r="VE339" s="12" t="s">
        <v>37</v>
      </c>
      <c r="VF339" s="12" t="s">
        <v>37</v>
      </c>
      <c r="VG339" s="12" t="s">
        <v>37</v>
      </c>
      <c r="VI339" s="12" t="s">
        <v>37</v>
      </c>
      <c r="VJ339" s="12" t="s">
        <v>37</v>
      </c>
      <c r="VK339" s="12" t="s">
        <v>37</v>
      </c>
      <c r="VL339" s="12" t="s">
        <v>37</v>
      </c>
      <c r="VM339" s="12" t="s">
        <v>37</v>
      </c>
      <c r="VN339" s="12" t="s">
        <v>37</v>
      </c>
      <c r="VQ339" s="12" t="s">
        <v>37</v>
      </c>
      <c r="VR339" s="12" t="s">
        <v>37</v>
      </c>
      <c r="VS339" s="12" t="s">
        <v>37</v>
      </c>
      <c r="VT339" s="12" t="s">
        <v>37</v>
      </c>
      <c r="VU339" s="12" t="s">
        <v>37</v>
      </c>
      <c r="VV339" s="12" t="s">
        <v>37</v>
      </c>
      <c r="VW339" s="12"/>
      <c r="VX339" s="12"/>
      <c r="WA339" s="12" t="s">
        <v>37</v>
      </c>
      <c r="WB339" s="12" t="s">
        <v>37</v>
      </c>
      <c r="WC339" s="12" t="s">
        <v>37</v>
      </c>
      <c r="WD339" s="12" t="s">
        <v>37</v>
      </c>
      <c r="WE339" s="12" t="s">
        <v>37</v>
      </c>
      <c r="WF339" s="12" t="s">
        <v>37</v>
      </c>
    </row>
    <row r="340" spans="1:604" ht="18" customHeight="1" x14ac:dyDescent="0.3">
      <c r="A340" s="11">
        <v>74</v>
      </c>
      <c r="B340" s="16" t="s">
        <v>436</v>
      </c>
      <c r="C340" s="12" t="s">
        <v>26</v>
      </c>
      <c r="D340" s="84" t="s">
        <v>973</v>
      </c>
      <c r="E340" s="40">
        <v>1.2</v>
      </c>
      <c r="F340" s="14">
        <v>0</v>
      </c>
      <c r="G340" s="14">
        <v>0</v>
      </c>
      <c r="H340" s="12" t="s">
        <v>91</v>
      </c>
      <c r="I340" s="29">
        <v>46.667000000000002</v>
      </c>
      <c r="J340" s="29">
        <v>-71.167000000000002</v>
      </c>
      <c r="K340" s="12" t="s">
        <v>673</v>
      </c>
      <c r="L340" s="12" t="s">
        <v>674</v>
      </c>
      <c r="M340" s="13" t="s">
        <v>37</v>
      </c>
      <c r="N340" s="14" t="s">
        <v>37</v>
      </c>
      <c r="O340" s="14" t="s">
        <v>37</v>
      </c>
      <c r="P340" s="14" t="s">
        <v>16</v>
      </c>
      <c r="Q340" s="75">
        <v>2</v>
      </c>
      <c r="R340" s="11" t="s">
        <v>1000</v>
      </c>
      <c r="S340" s="12" t="s">
        <v>85</v>
      </c>
      <c r="T340" s="12" t="s">
        <v>141</v>
      </c>
      <c r="U340" s="12" t="s">
        <v>163</v>
      </c>
      <c r="V340" s="12" t="s">
        <v>275</v>
      </c>
      <c r="W340" s="23" t="s">
        <v>437</v>
      </c>
      <c r="X340" s="12" t="s">
        <v>281</v>
      </c>
      <c r="Y340" s="12" t="s">
        <v>37</v>
      </c>
      <c r="Z340" s="12" t="s">
        <v>37</v>
      </c>
      <c r="AB340" s="12" t="s">
        <v>37</v>
      </c>
      <c r="AE340" s="12" t="s">
        <v>37</v>
      </c>
      <c r="AH340" s="12" t="s">
        <v>37</v>
      </c>
      <c r="AK340" s="12" t="s">
        <v>37</v>
      </c>
      <c r="AL340" s="32" t="s">
        <v>440</v>
      </c>
      <c r="AM340" s="12" t="s">
        <v>317</v>
      </c>
      <c r="AN340" s="32" t="s">
        <v>880</v>
      </c>
      <c r="AO340" s="12" t="s">
        <v>318</v>
      </c>
      <c r="AP340" s="12" t="s">
        <v>167</v>
      </c>
      <c r="AQ340" s="12" t="s">
        <v>975</v>
      </c>
      <c r="AT340" s="12" t="s">
        <v>326</v>
      </c>
      <c r="AU340" s="12" t="s">
        <v>326</v>
      </c>
      <c r="AV340" s="13" t="s">
        <v>326</v>
      </c>
      <c r="AX340" s="12" t="s">
        <v>326</v>
      </c>
      <c r="AY340" s="12" t="s">
        <v>326</v>
      </c>
      <c r="AZ340" s="13" t="s">
        <v>326</v>
      </c>
      <c r="BE340" s="12" t="s">
        <v>326</v>
      </c>
      <c r="BF340" s="12" t="s">
        <v>326</v>
      </c>
      <c r="BG340" s="12" t="s">
        <v>326</v>
      </c>
      <c r="BI340" s="12" t="s">
        <v>326</v>
      </c>
      <c r="BJ340" s="12" t="s">
        <v>326</v>
      </c>
      <c r="BK340" s="12" t="s">
        <v>326</v>
      </c>
      <c r="BP340" s="12" t="s">
        <v>37</v>
      </c>
      <c r="BQ340" s="12" t="s">
        <v>37</v>
      </c>
      <c r="BR340" s="13" t="s">
        <v>37</v>
      </c>
      <c r="BT340" s="12" t="s">
        <v>37</v>
      </c>
      <c r="BU340" s="12" t="s">
        <v>37</v>
      </c>
      <c r="BV340" s="12" t="s">
        <v>37</v>
      </c>
      <c r="BZ340" s="12" t="s">
        <v>47</v>
      </c>
      <c r="CA340" s="12">
        <f>-167*("2002/09/30"-"2002/05/01")/("2002/08/31"-"2002/06/10")*10^4/10^3/'[6]classess-1'!$T$92</f>
        <v>-3247.736532945024</v>
      </c>
      <c r="CB340" s="12">
        <f>SQRT((1/[7]Classess!$T$92)^2*(17*("2002/09/30"-"2002/05/01")/("2002/08/31"-"2002/06/10")*SQRT(3)*10^4/10^3)^2+(-CA340/([7]Classess!$T$92)^2)^2*([7]Classess!$U$92)^2)</f>
        <v>576.55145764577287</v>
      </c>
      <c r="CC340" s="13">
        <v>3</v>
      </c>
      <c r="CD340" s="19">
        <f t="shared" si="1321"/>
        <v>0.17752408540447712</v>
      </c>
      <c r="CE340" s="12">
        <f>-132*("2002/09/30"-"2002/05/01")/("2002/08/31"-"2002/06/10")*10^4/10^3/'[6]classess-1'!$T$93</f>
        <v>-2538.1344630348735</v>
      </c>
      <c r="CF340" s="12">
        <f>SQRT((1/[7]Classess!$T$93)^2*(5*("2002/09/30"-"2002/05/01")/("2002/08/31"-"2002/06/10")*SQRT(3)*10^4/10^3)^2+(-CE340/([7]Classess!$T$93)^2)^2*([7]Classess!$U$93)^2)</f>
        <v>178.15163353403054</v>
      </c>
      <c r="CG340" s="13">
        <v>3</v>
      </c>
      <c r="CH340" s="19">
        <f t="shared" si="1322"/>
        <v>7.0189990376243822E-2</v>
      </c>
      <c r="CI340" s="75">
        <f t="shared" si="1323"/>
        <v>709.60206991015048</v>
      </c>
      <c r="CJ340" s="12">
        <f t="shared" si="1324"/>
        <v>426.70223097864681</v>
      </c>
      <c r="CK340" s="72">
        <f t="shared" si="1325"/>
        <v>121383.19594810298</v>
      </c>
      <c r="CL340" s="72">
        <f t="shared" si="1326"/>
        <v>121383.19594810298</v>
      </c>
      <c r="CM340" s="12" t="s">
        <v>47</v>
      </c>
      <c r="CN340" s="12">
        <f>211*("2002/09/30"-"2002/05/01")/("2002/08/31"-"2002/06/10")*10^4/10^3/'[6]classess-1'!$I$92</f>
        <v>4869.5004136523185</v>
      </c>
      <c r="CO340" s="12">
        <f>SQRT((1/[7]Classess!$I$92)^2*(19*("2002/09/30"-"2002/05/01")/("2002/08/31"-"2002/06/10")*SQRT(3)*10^4/10^3)^2+(-CN340/([7]Classess!$I$92)^2)^2*([7]Classess!$J$92)^2)</f>
        <v>764.57941069494359</v>
      </c>
      <c r="CP340" s="13">
        <v>3</v>
      </c>
      <c r="CQ340" s="19">
        <f t="shared" si="1327"/>
        <v>0.1570139327951055</v>
      </c>
      <c r="CR340" s="12">
        <f>198*("2002/09/30"-"2002/05/01")/("2002/08/31"-"2002/06/10")*10^4/10^3/'[6]classess-1'!$I$93</f>
        <v>4268.1023858700255</v>
      </c>
      <c r="CS340" s="12">
        <f>SQRT((1/[7]Classess!$I$93)^2*(25*("2002/09/30"-"2002/05/01")/("2002/08/31"-"2002/06/10")*SQRT(3)*10^4/10^3)^2+(-CR340/([7]Classess!$I$93)^2)^2*([7]Classess!$J$93)^2)</f>
        <v>956.60990521947133</v>
      </c>
      <c r="CT340" s="13">
        <v>3</v>
      </c>
      <c r="CU340" s="19">
        <f t="shared" si="1328"/>
        <v>0.22413002752380612</v>
      </c>
      <c r="CV340" s="75">
        <f t="shared" si="1329"/>
        <v>-601.39802778229296</v>
      </c>
      <c r="CW340" s="12">
        <f t="shared" si="1330"/>
        <v>865.9342313428408</v>
      </c>
      <c r="CX340" s="72">
        <f t="shared" si="1331"/>
        <v>499894.72867421107</v>
      </c>
      <c r="CY340" s="72">
        <f t="shared" si="1332"/>
        <v>499894.72867421107</v>
      </c>
      <c r="CZ340" s="12" t="s">
        <v>47</v>
      </c>
      <c r="DA340" s="12">
        <f t="shared" ref="DA340:DA353" si="1339">CA340+CN340</f>
        <v>1621.7638807072944</v>
      </c>
      <c r="DB340" s="12">
        <f>SQRT((1/[7]Classess!$I$37)^2*(26*SQRT(3)*10^4/10^3)^2+(-DA340/([7]Classess!$I$37)^2)^2*([7]Classess!$J$37)^2)</f>
        <v>1098.3220496581039</v>
      </c>
      <c r="DC340" s="13">
        <v>3</v>
      </c>
      <c r="DD340" s="19">
        <f t="shared" si="1333"/>
        <v>0.6772391855089881</v>
      </c>
      <c r="DE340" s="12">
        <f t="shared" ref="DE340:DE353" si="1340">CE340+CR340</f>
        <v>1729.967922835152</v>
      </c>
      <c r="DF340" s="12">
        <f>SQRT((1/[7]Classess!$I$38)^2*(20*SQRT(3)*10^4/10^3)^2+(-DE340/([7]Classess!$I$38)^2)^2*([7]Classess!$J$38)^2)</f>
        <v>370.59428586838715</v>
      </c>
      <c r="DG340" s="13">
        <v>3</v>
      </c>
      <c r="DH340" s="19">
        <f t="shared" si="1334"/>
        <v>0.21422032222484216</v>
      </c>
      <c r="DI340" s="19">
        <f t="shared" si="1335"/>
        <v>108.20404212785752</v>
      </c>
      <c r="DJ340" s="12">
        <f t="shared" si="1336"/>
        <v>819.64975736087365</v>
      </c>
      <c r="DK340" s="72">
        <f t="shared" si="1337"/>
        <v>447883.8164944927</v>
      </c>
      <c r="DL340" s="72">
        <f t="shared" si="1338"/>
        <v>447883.81649449276</v>
      </c>
      <c r="DM340" s="11" t="s">
        <v>47</v>
      </c>
      <c r="DN340" s="19">
        <f>38*("2002/09/30"-"2002/05/01")/("2002/08/31"-"2002/06/10")*10^4/10^3/'[1]classes-1'!$I$88</f>
        <v>756.9536426533582</v>
      </c>
      <c r="DO340" s="12">
        <f>SQRT((1/[2]Classes!$I$88)^2*(28*("2002/09/30"-"2002/05/01")/("2002/08/31"-"2002/06/10")*SQRT(3)*10^4/10^3)^2+(-DN340/([2]Classes!$I$88)^2)^2*([2]Classes!$J$88)^2)</f>
        <v>966.52380476916505</v>
      </c>
      <c r="DP340" s="13">
        <v>3</v>
      </c>
      <c r="DQ340" s="19">
        <f t="shared" si="1294"/>
        <v>1.2768599691008793</v>
      </c>
      <c r="DR340" s="19">
        <f>7*("2002/09/30"-"2002/05/01")/("2002/08/31"-"2002/06/10")*10^4/10^3/'[1]classes-1'!$I$89</f>
        <v>140.83919297376897</v>
      </c>
      <c r="DS340" s="12">
        <f>SQRT((1/[2]Classes!$I$89)^2*(5*("2002/09/30"-"2002/05/01")/("2002/08/31"-"2002/06/10")*SQRT(3)*10^4/10^3)^2+(-DR340/([2]Classes!$I$89)^2)^2*([2]Classes!$I$89)^2)</f>
        <v>231.79656525897315</v>
      </c>
      <c r="DT340" s="13">
        <v>3</v>
      </c>
      <c r="DU340" s="19">
        <f t="shared" si="1295"/>
        <v>1.6458242933992444</v>
      </c>
      <c r="DV340" s="19">
        <f t="shared" si="1315"/>
        <v>-616.11444967958926</v>
      </c>
      <c r="DW340" s="12">
        <f t="shared" si="1316"/>
        <v>702.81502290834703</v>
      </c>
      <c r="DX340" s="72">
        <f t="shared" si="1251"/>
        <v>329299.30428377353</v>
      </c>
      <c r="DY340" s="72">
        <f t="shared" si="1252"/>
        <v>329299.30428377353</v>
      </c>
      <c r="EA340" s="19" t="s">
        <v>37</v>
      </c>
      <c r="EB340" s="19" t="s">
        <v>37</v>
      </c>
      <c r="EC340" s="72" t="s">
        <v>37</v>
      </c>
      <c r="EE340" s="19" t="s">
        <v>37</v>
      </c>
      <c r="EF340" s="19" t="s">
        <v>37</v>
      </c>
      <c r="EG340" s="12" t="s">
        <v>37</v>
      </c>
      <c r="EM340" s="12" t="s">
        <v>39</v>
      </c>
      <c r="EN340" s="12">
        <v>-15.910685805422641</v>
      </c>
      <c r="EO340" s="12">
        <v>1.0227837765091556</v>
      </c>
      <c r="EP340" s="13">
        <v>3</v>
      </c>
      <c r="EQ340" s="19">
        <f t="shared" ref="EQ340:EQ379" si="1341">EO340/ABS(EN340)</f>
        <v>6.4282821558865361E-2</v>
      </c>
      <c r="ER340" s="12">
        <v>-23.453947368421044</v>
      </c>
      <c r="ES340" s="12">
        <v>1.196189530474022</v>
      </c>
      <c r="ET340" s="13">
        <v>3</v>
      </c>
      <c r="EU340" s="19">
        <f t="shared" ref="EU340:EU379" si="1342">ES340/ABS(ER340)</f>
        <v>5.100162934980404E-2</v>
      </c>
      <c r="EV340" s="19">
        <f t="shared" si="1317"/>
        <v>-7.5432615629984028</v>
      </c>
      <c r="EW340" s="12">
        <f t="shared" si="1318"/>
        <v>1.1128692749613478</v>
      </c>
      <c r="EX340" s="19">
        <f t="shared" si="1319"/>
        <v>0.8256520154353304</v>
      </c>
      <c r="EY340" s="19">
        <f t="shared" si="1320"/>
        <v>0.82565201543533062</v>
      </c>
      <c r="FB340" s="12" t="s">
        <v>37</v>
      </c>
      <c r="FC340" s="12" t="s">
        <v>37</v>
      </c>
      <c r="FD340" s="12" t="s">
        <v>37</v>
      </c>
      <c r="FE340" s="12" t="s">
        <v>37</v>
      </c>
      <c r="FF340" s="20" t="s">
        <v>37</v>
      </c>
      <c r="FG340" s="12" t="s">
        <v>37</v>
      </c>
      <c r="FI340" s="12" t="s">
        <v>37</v>
      </c>
      <c r="FJ340" s="12" t="s">
        <v>37</v>
      </c>
      <c r="FK340" s="12" t="s">
        <v>37</v>
      </c>
      <c r="FL340" s="12" t="s">
        <v>37</v>
      </c>
      <c r="FM340" s="12" t="s">
        <v>37</v>
      </c>
      <c r="FN340" s="12" t="s">
        <v>37</v>
      </c>
      <c r="FP340" s="12" t="s">
        <v>37</v>
      </c>
      <c r="FQ340" s="12" t="s">
        <v>37</v>
      </c>
      <c r="FR340" s="12" t="s">
        <v>37</v>
      </c>
      <c r="FS340" s="12" t="s">
        <v>37</v>
      </c>
      <c r="FT340" s="12" t="s">
        <v>37</v>
      </c>
      <c r="FU340" s="12" t="s">
        <v>37</v>
      </c>
      <c r="FW340" s="12" t="s">
        <v>37</v>
      </c>
      <c r="FX340" s="12" t="s">
        <v>37</v>
      </c>
      <c r="FY340" s="12" t="s">
        <v>37</v>
      </c>
      <c r="FZ340" s="12" t="s">
        <v>37</v>
      </c>
      <c r="GA340" s="12" t="s">
        <v>37</v>
      </c>
      <c r="GB340" s="12" t="s">
        <v>37</v>
      </c>
      <c r="IK340" s="12" t="s">
        <v>37</v>
      </c>
      <c r="IL340" s="12" t="s">
        <v>37</v>
      </c>
      <c r="IM340" s="12" t="s">
        <v>37</v>
      </c>
      <c r="IO340" s="12" t="s">
        <v>37</v>
      </c>
      <c r="IP340" s="12" t="s">
        <v>37</v>
      </c>
      <c r="IQ340" s="12" t="s">
        <v>37</v>
      </c>
      <c r="IW340" s="12" t="s">
        <v>37</v>
      </c>
      <c r="IX340" s="12" t="s">
        <v>37</v>
      </c>
      <c r="IY340" s="13" t="s">
        <v>37</v>
      </c>
      <c r="JA340" s="12" t="s">
        <v>37</v>
      </c>
      <c r="JB340" s="12" t="s">
        <v>37</v>
      </c>
      <c r="JC340" s="13" t="s">
        <v>37</v>
      </c>
      <c r="JH340" s="12" t="s">
        <v>37</v>
      </c>
      <c r="JI340" s="12" t="s">
        <v>37</v>
      </c>
      <c r="JJ340" s="13" t="s">
        <v>37</v>
      </c>
      <c r="JL340" s="12" t="s">
        <v>37</v>
      </c>
      <c r="JM340" s="12" t="s">
        <v>37</v>
      </c>
      <c r="JN340" s="12" t="s">
        <v>37</v>
      </c>
      <c r="JS340" s="12" t="s">
        <v>37</v>
      </c>
      <c r="JT340" s="12" t="s">
        <v>37</v>
      </c>
      <c r="JU340" s="13" t="s">
        <v>37</v>
      </c>
      <c r="JW340" s="12" t="s">
        <v>37</v>
      </c>
      <c r="JX340" s="12" t="s">
        <v>37</v>
      </c>
      <c r="JY340" s="12" t="s">
        <v>37</v>
      </c>
      <c r="KE340" s="12" t="s">
        <v>37</v>
      </c>
      <c r="KF340" s="12" t="s">
        <v>37</v>
      </c>
      <c r="KG340" s="13" t="s">
        <v>37</v>
      </c>
      <c r="KH340" s="12" t="s">
        <v>37</v>
      </c>
      <c r="KI340" s="12" t="s">
        <v>37</v>
      </c>
      <c r="KJ340" s="12" t="s">
        <v>37</v>
      </c>
      <c r="KM340" s="12" t="s">
        <v>37</v>
      </c>
      <c r="KN340" s="12" t="s">
        <v>37</v>
      </c>
      <c r="KO340" s="11" t="s">
        <v>37</v>
      </c>
      <c r="KQ340" s="12" t="s">
        <v>37</v>
      </c>
      <c r="KR340" s="12" t="s">
        <v>37</v>
      </c>
      <c r="KS340" s="12" t="s">
        <v>37</v>
      </c>
      <c r="KX340" s="12" t="s">
        <v>37</v>
      </c>
      <c r="KY340" s="12" t="s">
        <v>37</v>
      </c>
      <c r="KZ340" s="12" t="s">
        <v>37</v>
      </c>
      <c r="LB340" s="12" t="s">
        <v>37</v>
      </c>
      <c r="LC340" s="12" t="s">
        <v>37</v>
      </c>
      <c r="LD340" s="12" t="s">
        <v>37</v>
      </c>
      <c r="LI340" s="12" t="s">
        <v>37</v>
      </c>
      <c r="LJ340" s="12" t="s">
        <v>37</v>
      </c>
      <c r="LK340" s="12" t="s">
        <v>37</v>
      </c>
      <c r="LM340" s="12" t="s">
        <v>37</v>
      </c>
      <c r="LN340" s="12" t="s">
        <v>37</v>
      </c>
      <c r="LO340" s="12" t="s">
        <v>37</v>
      </c>
      <c r="LU340" s="12" t="s">
        <v>37</v>
      </c>
      <c r="LV340" s="12" t="s">
        <v>37</v>
      </c>
      <c r="LW340" s="12" t="s">
        <v>37</v>
      </c>
      <c r="LY340" s="12" t="s">
        <v>37</v>
      </c>
      <c r="LZ340" s="12" t="s">
        <v>37</v>
      </c>
      <c r="MA340" s="12" t="s">
        <v>37</v>
      </c>
      <c r="MF340" s="12" t="s">
        <v>37</v>
      </c>
      <c r="MG340" s="12" t="s">
        <v>37</v>
      </c>
      <c r="MH340" s="12" t="s">
        <v>37</v>
      </c>
      <c r="MJ340" s="12" t="s">
        <v>37</v>
      </c>
      <c r="MK340" s="12" t="s">
        <v>37</v>
      </c>
      <c r="ML340" s="12" t="s">
        <v>37</v>
      </c>
      <c r="MQ340" s="12" t="s">
        <v>37</v>
      </c>
      <c r="MR340" s="12" t="s">
        <v>37</v>
      </c>
      <c r="MS340" s="12" t="s">
        <v>37</v>
      </c>
      <c r="MU340" s="12" t="s">
        <v>37</v>
      </c>
      <c r="MV340" s="12" t="s">
        <v>37</v>
      </c>
      <c r="MW340" s="12" t="s">
        <v>37</v>
      </c>
      <c r="NC340" s="12" t="s">
        <v>37</v>
      </c>
      <c r="ND340" s="12" t="s">
        <v>37</v>
      </c>
      <c r="NE340" s="12" t="s">
        <v>37</v>
      </c>
      <c r="NG340" s="12" t="s">
        <v>37</v>
      </c>
      <c r="NH340" s="12" t="s">
        <v>37</v>
      </c>
      <c r="NI340" s="12" t="s">
        <v>37</v>
      </c>
      <c r="NO340" s="12" t="s">
        <v>37</v>
      </c>
      <c r="NP340" s="12" t="s">
        <v>37</v>
      </c>
      <c r="NQ340" s="12" t="s">
        <v>37</v>
      </c>
      <c r="NS340" s="12" t="s">
        <v>37</v>
      </c>
      <c r="NT340" s="12" t="s">
        <v>37</v>
      </c>
      <c r="NU340" s="12" t="s">
        <v>37</v>
      </c>
      <c r="OA340" s="12" t="s">
        <v>37</v>
      </c>
      <c r="OB340" s="12" t="s">
        <v>37</v>
      </c>
      <c r="OC340" s="12" t="s">
        <v>37</v>
      </c>
      <c r="OD340" s="12"/>
      <c r="OE340" s="12" t="s">
        <v>37</v>
      </c>
      <c r="OF340" s="12" t="s">
        <v>37</v>
      </c>
      <c r="OG340" s="12" t="s">
        <v>37</v>
      </c>
      <c r="OH340" s="12"/>
      <c r="OI340" s="12"/>
      <c r="OJ340" s="12"/>
      <c r="OM340" s="12" t="s">
        <v>37</v>
      </c>
      <c r="ON340" s="12" t="s">
        <v>37</v>
      </c>
      <c r="OO340" s="12" t="s">
        <v>37</v>
      </c>
      <c r="OP340" s="12" t="s">
        <v>37</v>
      </c>
      <c r="OQ340" s="12" t="s">
        <v>37</v>
      </c>
      <c r="OR340" s="12" t="s">
        <v>37</v>
      </c>
      <c r="OS340" s="12"/>
      <c r="OT340" s="12"/>
      <c r="OW340" s="12" t="s">
        <v>37</v>
      </c>
      <c r="OX340" s="12" t="s">
        <v>37</v>
      </c>
      <c r="OY340" s="13" t="s">
        <v>37</v>
      </c>
      <c r="OZ340" s="12" t="s">
        <v>37</v>
      </c>
      <c r="PA340" s="12" t="s">
        <v>37</v>
      </c>
      <c r="PB340" s="13" t="s">
        <v>37</v>
      </c>
      <c r="PG340" s="12" t="s">
        <v>37</v>
      </c>
      <c r="PH340" s="12" t="s">
        <v>37</v>
      </c>
      <c r="PI340" s="12" t="s">
        <v>37</v>
      </c>
      <c r="PJ340" s="12" t="s">
        <v>37</v>
      </c>
      <c r="PK340" s="12" t="s">
        <v>37</v>
      </c>
      <c r="PL340" s="12" t="s">
        <v>37</v>
      </c>
      <c r="PM340" s="12"/>
      <c r="PN340" s="12"/>
      <c r="PQ340" s="12" t="s">
        <v>37</v>
      </c>
      <c r="PR340" s="12" t="s">
        <v>37</v>
      </c>
      <c r="PS340" s="12" t="s">
        <v>37</v>
      </c>
      <c r="PT340" s="12" t="s">
        <v>37</v>
      </c>
      <c r="PU340" s="12" t="s">
        <v>37</v>
      </c>
      <c r="PV340" s="12" t="s">
        <v>37</v>
      </c>
      <c r="PW340" s="12"/>
      <c r="PX340" s="12"/>
      <c r="PZ340" s="12" t="s">
        <v>37</v>
      </c>
      <c r="QA340" s="12" t="s">
        <v>37</v>
      </c>
      <c r="QB340" s="12" t="s">
        <v>37</v>
      </c>
      <c r="QD340" s="12" t="s">
        <v>37</v>
      </c>
      <c r="QE340" s="12" t="s">
        <v>37</v>
      </c>
      <c r="QF340" s="12" t="s">
        <v>37</v>
      </c>
      <c r="QK340" s="12" t="s">
        <v>37</v>
      </c>
      <c r="QL340" s="12" t="s">
        <v>37</v>
      </c>
      <c r="QM340" s="12" t="s">
        <v>37</v>
      </c>
      <c r="QN340" s="12" t="s">
        <v>37</v>
      </c>
      <c r="QO340" s="12" t="s">
        <v>37</v>
      </c>
      <c r="QP340" s="12" t="s">
        <v>37</v>
      </c>
      <c r="QQ340" s="12"/>
      <c r="QR340" s="12"/>
      <c r="QU340" s="12" t="s">
        <v>37</v>
      </c>
      <c r="QV340" s="12" t="s">
        <v>37</v>
      </c>
      <c r="QW340" s="12" t="s">
        <v>37</v>
      </c>
      <c r="QX340" s="12" t="s">
        <v>37</v>
      </c>
      <c r="QY340" s="12" t="s">
        <v>37</v>
      </c>
      <c r="QZ340" s="12" t="s">
        <v>37</v>
      </c>
      <c r="RC340" s="12" t="s">
        <v>37</v>
      </c>
      <c r="RD340" s="12" t="s">
        <v>37</v>
      </c>
      <c r="RE340" s="13" t="s">
        <v>37</v>
      </c>
      <c r="RF340" s="12" t="s">
        <v>37</v>
      </c>
      <c r="RG340" s="12" t="s">
        <v>37</v>
      </c>
      <c r="RH340" s="13" t="s">
        <v>37</v>
      </c>
      <c r="RK340" s="12" t="s">
        <v>37</v>
      </c>
      <c r="RL340" s="12" t="s">
        <v>37</v>
      </c>
      <c r="RM340" s="11" t="s">
        <v>37</v>
      </c>
      <c r="RN340" s="12" t="s">
        <v>37</v>
      </c>
      <c r="RO340" s="12" t="s">
        <v>37</v>
      </c>
      <c r="RP340" s="11" t="s">
        <v>37</v>
      </c>
      <c r="RS340" s="12" t="s">
        <v>37</v>
      </c>
      <c r="RT340" s="12" t="s">
        <v>37</v>
      </c>
      <c r="RU340" s="12" t="s">
        <v>37</v>
      </c>
      <c r="RV340" s="12" t="s">
        <v>37</v>
      </c>
      <c r="RW340" s="12" t="s">
        <v>37</v>
      </c>
      <c r="RX340" s="12" t="s">
        <v>37</v>
      </c>
      <c r="SA340" s="12" t="s">
        <v>37</v>
      </c>
      <c r="SB340" s="12" t="s">
        <v>37</v>
      </c>
      <c r="SC340" s="12" t="s">
        <v>37</v>
      </c>
      <c r="SD340" s="12" t="s">
        <v>37</v>
      </c>
      <c r="SE340" s="12" t="s">
        <v>37</v>
      </c>
      <c r="SF340" s="12" t="s">
        <v>37</v>
      </c>
      <c r="SI340" s="12" t="s">
        <v>37</v>
      </c>
      <c r="SJ340" s="12" t="s">
        <v>37</v>
      </c>
      <c r="SK340" s="13" t="s">
        <v>37</v>
      </c>
      <c r="SM340" s="12" t="s">
        <v>37</v>
      </c>
      <c r="SN340" s="12" t="s">
        <v>37</v>
      </c>
      <c r="SO340" s="13" t="s">
        <v>37</v>
      </c>
      <c r="SU340" s="12" t="s">
        <v>37</v>
      </c>
      <c r="SV340" s="12" t="s">
        <v>37</v>
      </c>
      <c r="SW340" s="12" t="s">
        <v>37</v>
      </c>
      <c r="SX340" s="12" t="s">
        <v>37</v>
      </c>
      <c r="SY340" s="12" t="s">
        <v>37</v>
      </c>
      <c r="SZ340" s="12" t="s">
        <v>37</v>
      </c>
      <c r="TA340" s="12"/>
      <c r="TB340" s="12"/>
      <c r="TE340" s="12" t="s">
        <v>37</v>
      </c>
      <c r="TF340" s="12" t="s">
        <v>37</v>
      </c>
      <c r="TG340" s="12" t="s">
        <v>37</v>
      </c>
      <c r="TH340" s="12" t="s">
        <v>37</v>
      </c>
      <c r="TI340" s="12" t="s">
        <v>37</v>
      </c>
      <c r="TJ340" s="12" t="s">
        <v>37</v>
      </c>
      <c r="TK340" s="12"/>
      <c r="TL340" s="12"/>
      <c r="TO340" s="12" t="s">
        <v>37</v>
      </c>
      <c r="TP340" s="12" t="s">
        <v>37</v>
      </c>
      <c r="TQ340" s="12" t="s">
        <v>37</v>
      </c>
      <c r="TR340" s="12" t="s">
        <v>37</v>
      </c>
      <c r="TS340" s="12" t="s">
        <v>37</v>
      </c>
      <c r="TT340" s="12" t="s">
        <v>37</v>
      </c>
      <c r="TU340" s="12"/>
      <c r="TV340" s="12"/>
      <c r="TY340" s="12" t="s">
        <v>37</v>
      </c>
      <c r="TZ340" s="12" t="s">
        <v>37</v>
      </c>
      <c r="UA340" s="12" t="s">
        <v>37</v>
      </c>
      <c r="UB340" s="12" t="s">
        <v>37</v>
      </c>
      <c r="UC340" s="12" t="s">
        <v>37</v>
      </c>
      <c r="UD340" s="12" t="s">
        <v>37</v>
      </c>
      <c r="UE340" s="12"/>
      <c r="UF340" s="12"/>
      <c r="UI340" s="12" t="s">
        <v>37</v>
      </c>
      <c r="UJ340" s="12" t="s">
        <v>37</v>
      </c>
      <c r="UK340" s="12" t="s">
        <v>37</v>
      </c>
      <c r="UL340" s="12" t="s">
        <v>37</v>
      </c>
      <c r="UM340" s="12" t="s">
        <v>37</v>
      </c>
      <c r="UN340" s="12" t="s">
        <v>37</v>
      </c>
      <c r="UO340" s="12"/>
      <c r="UP340" s="12"/>
      <c r="UR340" s="12" t="s">
        <v>37</v>
      </c>
      <c r="US340" s="12" t="s">
        <v>37</v>
      </c>
      <c r="UT340" s="12" t="s">
        <v>37</v>
      </c>
      <c r="UU340" s="12" t="s">
        <v>37</v>
      </c>
      <c r="UV340" s="12" t="s">
        <v>37</v>
      </c>
      <c r="UW340" s="12" t="s">
        <v>37</v>
      </c>
      <c r="UX340" s="12"/>
      <c r="UY340" s="12"/>
      <c r="VB340" s="12" t="s">
        <v>37</v>
      </c>
      <c r="VC340" s="12" t="s">
        <v>37</v>
      </c>
      <c r="VD340" s="12" t="s">
        <v>37</v>
      </c>
      <c r="VE340" s="12" t="s">
        <v>37</v>
      </c>
      <c r="VF340" s="12" t="s">
        <v>37</v>
      </c>
      <c r="VG340" s="12" t="s">
        <v>37</v>
      </c>
      <c r="VI340" s="12" t="s">
        <v>37</v>
      </c>
      <c r="VJ340" s="12" t="s">
        <v>37</v>
      </c>
      <c r="VK340" s="12" t="s">
        <v>37</v>
      </c>
      <c r="VL340" s="12" t="s">
        <v>37</v>
      </c>
      <c r="VM340" s="12" t="s">
        <v>37</v>
      </c>
      <c r="VN340" s="12" t="s">
        <v>37</v>
      </c>
      <c r="VQ340" s="12" t="s">
        <v>37</v>
      </c>
      <c r="VR340" s="12" t="s">
        <v>37</v>
      </c>
      <c r="VS340" s="12" t="s">
        <v>37</v>
      </c>
      <c r="VT340" s="12" t="s">
        <v>37</v>
      </c>
      <c r="VU340" s="12" t="s">
        <v>37</v>
      </c>
      <c r="VV340" s="12" t="s">
        <v>37</v>
      </c>
      <c r="VW340" s="12"/>
      <c r="VX340" s="12"/>
      <c r="WA340" s="12" t="s">
        <v>37</v>
      </c>
      <c r="WB340" s="12" t="s">
        <v>37</v>
      </c>
      <c r="WC340" s="12" t="s">
        <v>37</v>
      </c>
      <c r="WD340" s="12" t="s">
        <v>37</v>
      </c>
      <c r="WE340" s="12" t="s">
        <v>37</v>
      </c>
      <c r="WF340" s="12" t="s">
        <v>37</v>
      </c>
    </row>
    <row r="341" spans="1:604" ht="18" customHeight="1" x14ac:dyDescent="0.3">
      <c r="A341" s="11">
        <v>74</v>
      </c>
      <c r="B341" s="16" t="s">
        <v>436</v>
      </c>
      <c r="C341" s="12" t="s">
        <v>26</v>
      </c>
      <c r="D341" s="84" t="s">
        <v>973</v>
      </c>
      <c r="E341" s="40">
        <v>1.2</v>
      </c>
      <c r="F341" s="14">
        <v>0</v>
      </c>
      <c r="G341" s="14">
        <v>0</v>
      </c>
      <c r="H341" s="12" t="s">
        <v>91</v>
      </c>
      <c r="I341" s="29">
        <v>46.667000000000002</v>
      </c>
      <c r="J341" s="29">
        <v>-71.167000000000002</v>
      </c>
      <c r="K341" s="12" t="s">
        <v>673</v>
      </c>
      <c r="L341" s="12" t="s">
        <v>674</v>
      </c>
      <c r="M341" s="13" t="s">
        <v>37</v>
      </c>
      <c r="N341" s="14" t="s">
        <v>37</v>
      </c>
      <c r="O341" s="14" t="s">
        <v>37</v>
      </c>
      <c r="P341" s="14" t="s">
        <v>16</v>
      </c>
      <c r="Q341" s="75">
        <v>3</v>
      </c>
      <c r="R341" s="11" t="s">
        <v>1000</v>
      </c>
      <c r="S341" s="12" t="s">
        <v>85</v>
      </c>
      <c r="T341" s="12" t="s">
        <v>141</v>
      </c>
      <c r="U341" s="12" t="s">
        <v>163</v>
      </c>
      <c r="V341" s="12" t="s">
        <v>275</v>
      </c>
      <c r="W341" s="23" t="s">
        <v>437</v>
      </c>
      <c r="X341" s="12" t="s">
        <v>281</v>
      </c>
      <c r="Y341" s="12" t="s">
        <v>37</v>
      </c>
      <c r="Z341" s="12" t="s">
        <v>37</v>
      </c>
      <c r="AB341" s="12" t="s">
        <v>37</v>
      </c>
      <c r="AE341" s="12" t="s">
        <v>37</v>
      </c>
      <c r="AH341" s="12" t="s">
        <v>37</v>
      </c>
      <c r="AK341" s="12" t="s">
        <v>37</v>
      </c>
      <c r="AL341" s="32" t="s">
        <v>440</v>
      </c>
      <c r="AM341" s="12" t="s">
        <v>317</v>
      </c>
      <c r="AN341" s="32" t="s">
        <v>880</v>
      </c>
      <c r="AO341" s="12" t="s">
        <v>318</v>
      </c>
      <c r="AP341" s="12" t="s">
        <v>167</v>
      </c>
      <c r="AQ341" s="12" t="s">
        <v>975</v>
      </c>
      <c r="AT341" s="12" t="s">
        <v>326</v>
      </c>
      <c r="AU341" s="12" t="s">
        <v>326</v>
      </c>
      <c r="AV341" s="13" t="s">
        <v>326</v>
      </c>
      <c r="AX341" s="12" t="s">
        <v>326</v>
      </c>
      <c r="AY341" s="12" t="s">
        <v>326</v>
      </c>
      <c r="AZ341" s="13" t="s">
        <v>326</v>
      </c>
      <c r="BE341" s="12" t="s">
        <v>326</v>
      </c>
      <c r="BF341" s="12" t="s">
        <v>326</v>
      </c>
      <c r="BG341" s="12" t="s">
        <v>326</v>
      </c>
      <c r="BI341" s="12" t="s">
        <v>326</v>
      </c>
      <c r="BJ341" s="12" t="s">
        <v>326</v>
      </c>
      <c r="BK341" s="12" t="s">
        <v>326</v>
      </c>
      <c r="BP341" s="12" t="s">
        <v>37</v>
      </c>
      <c r="BQ341" s="12" t="s">
        <v>37</v>
      </c>
      <c r="BR341" s="13" t="s">
        <v>37</v>
      </c>
      <c r="BT341" s="12" t="s">
        <v>37</v>
      </c>
      <c r="BU341" s="12" t="s">
        <v>37</v>
      </c>
      <c r="BV341" s="12" t="s">
        <v>37</v>
      </c>
      <c r="BZ341" s="12" t="s">
        <v>47</v>
      </c>
      <c r="CA341" s="12">
        <f>-218*("2002/09/30"-"2002/05/01")/("2002/08/31"-"2002/06/10")*10^4/10^3/'[6]classess-1'!$T$92</f>
        <v>-4239.5602645629651</v>
      </c>
      <c r="CB341" s="12">
        <f>SQRT((1/[7]Classess!$T$92)^2*(33*("2002/09/30"-"2002/05/01")/("2002/08/31"-"2002/06/10")*SQRT(3)*10^4/10^3)^2+(-CA341/([7]Classess!$T$92)^2)^2*([7]Classess!$U$92)^2)</f>
        <v>1115.0244091372156</v>
      </c>
      <c r="CC341" s="13">
        <v>3</v>
      </c>
      <c r="CD341" s="19">
        <f t="shared" si="1321"/>
        <v>0.26300473151834247</v>
      </c>
      <c r="CE341" s="12">
        <f>-175*("2002/09/30"-"2002/05/01")/("2002/08/31"-"2002/06/10")*10^4/10^3/'[6]classess-1'!$T$93</f>
        <v>-3364.9509926598698</v>
      </c>
      <c r="CF341" s="12">
        <f>SQRT((1/[7]Classess!$T$93)^2*(33*("2002/09/30"-"2002/05/01")/("2002/08/31"-"2002/06/10")*SQRT(3)*10^4/10^3)^2+(-CE341/([7]Classess!$T$93)^2)^2*([7]Classess!$U$93)^2)</f>
        <v>1102.2450453899555</v>
      </c>
      <c r="CG341" s="13">
        <v>3</v>
      </c>
      <c r="CH341" s="19">
        <f t="shared" si="1322"/>
        <v>0.32756644830618215</v>
      </c>
      <c r="CI341" s="75">
        <f t="shared" si="1323"/>
        <v>874.6092719030953</v>
      </c>
      <c r="CJ341" s="12">
        <f t="shared" si="1324"/>
        <v>1108.6531407655195</v>
      </c>
      <c r="CK341" s="72">
        <f t="shared" si="1325"/>
        <v>819407.85768616723</v>
      </c>
      <c r="CL341" s="72">
        <f t="shared" si="1326"/>
        <v>819407.85768616723</v>
      </c>
      <c r="CM341" s="12" t="s">
        <v>47</v>
      </c>
      <c r="CN341" s="12">
        <f>324*("2002/09/30"-"2002/05/01")/("2002/08/31"-"2002/06/10")*10^4/10^3/'[6]classess-1'!$I$92</f>
        <v>7477.3371280727561</v>
      </c>
      <c r="CO341" s="12">
        <f>SQRT((1/[7]Classess!$I$92)^2*(46*("2002/09/30"-"2002/05/01")/("2002/08/31"-"2002/06/10")*SQRT(3)*10^4/10^3)^2+(-CN34:CN341/([7]Classess!$I$92)^2)^2*([7]Classess!$J$92)^2)</f>
        <v>1843.7169743300331</v>
      </c>
      <c r="CP341" s="13">
        <v>3</v>
      </c>
      <c r="CQ341" s="19">
        <f t="shared" si="1327"/>
        <v>0.24657400659494422</v>
      </c>
      <c r="CR341" s="12">
        <f>277*("2002/09/30"-"2002/05/01")/("2002/08/31"-"2002/06/10")*10^4/10^3/'[6]classess-1'!$I$93</f>
        <v>5971.0321256868547</v>
      </c>
      <c r="CS341" s="12">
        <f>SQRT((1/[7]Classess!$I$93)^2*(52*("2002/09/30"-"2002/05/01")/("2002/08/31"-"2002/06/10")*SQRT(3)*10^4/10^3)^2+(-CR341/([7]Classess!$I$93)^2)^2*([7]Classess!$J$93)^2)</f>
        <v>1963.4643578324303</v>
      </c>
      <c r="CT341" s="13">
        <v>3</v>
      </c>
      <c r="CU341" s="19">
        <f t="shared" si="1328"/>
        <v>0.32883165196612818</v>
      </c>
      <c r="CV341" s="75">
        <f t="shared" si="1329"/>
        <v>-1506.3050023859014</v>
      </c>
      <c r="CW341" s="12">
        <f t="shared" si="1330"/>
        <v>1904.5320377865805</v>
      </c>
      <c r="CX341" s="72">
        <f t="shared" si="1331"/>
        <v>2418161.5219703363</v>
      </c>
      <c r="CY341" s="72">
        <f t="shared" si="1332"/>
        <v>2418161.5219703363</v>
      </c>
      <c r="CZ341" s="12" t="s">
        <v>47</v>
      </c>
      <c r="DA341" s="12">
        <f>CA341+CN341</f>
        <v>3237.7768635097909</v>
      </c>
      <c r="DB341" s="12">
        <f>SQRT((1/[7]Classess!$I$37)^2*(22*SQRT(3)*10^4/10^3)^2+(-DA341/([7]Classess!$I$37)^2)^2*([7]Classess!$J$37)^2)</f>
        <v>1588.2056081972487</v>
      </c>
      <c r="DC341" s="13">
        <v>3</v>
      </c>
      <c r="DD341" s="19">
        <f t="shared" si="1333"/>
        <v>0.49052349039137111</v>
      </c>
      <c r="DE341" s="12">
        <f t="shared" si="1340"/>
        <v>2606.0811330269848</v>
      </c>
      <c r="DF341" s="12">
        <f>SQRT((1/[7]Classess!$I$38)^2*(25*SQRT(3)*10^4/10^3)^2+(-DE341/([7]Classess!$I$38)^2)^2*([7]Classess!$IJ$38)^2)</f>
        <v>272.81038691279781</v>
      </c>
      <c r="DG341" s="13">
        <v>3</v>
      </c>
      <c r="DH341" s="19">
        <f t="shared" si="1334"/>
        <v>0.10468223090043489</v>
      </c>
      <c r="DI341" s="19">
        <f t="shared" si="1335"/>
        <v>-631.69573048280608</v>
      </c>
      <c r="DJ341" s="12">
        <f t="shared" si="1336"/>
        <v>1139.47851254789</v>
      </c>
      <c r="DK341" s="72">
        <f t="shared" si="1337"/>
        <v>865607.5203722344</v>
      </c>
      <c r="DL341" s="72">
        <f t="shared" si="1338"/>
        <v>865607.5203722344</v>
      </c>
      <c r="DM341" s="11" t="s">
        <v>47</v>
      </c>
      <c r="DN341" s="19">
        <f>5*("2002/09/30"-"2002/05/01")/("2002/08/31"-"2002/06/10")*10^4/10^3/'[1]classes-1'!$I$88</f>
        <v>99.599163507020805</v>
      </c>
      <c r="DO341" s="12">
        <f>SQRT((1/[2]Classes!$I$88)^2*(1*("2002/09/30"-"2002/05/01")/("2002/08/31"-"2002/06/10")*SQRT(3)*10^4/10^3)^2+(-DN341/([2]Classes!$I$88)^2)*([2]Classes!$J$88)^2)</f>
        <v>34.500209307573023</v>
      </c>
      <c r="DP341" s="13">
        <v>3</v>
      </c>
      <c r="DQ341" s="19">
        <f t="shared" si="1294"/>
        <v>0.3463905528196638</v>
      </c>
      <c r="DR341" s="19">
        <f>0.1*("2002/09/30"-"2002/05/01")/("2002/08/31"-"2002/06/10")*10^4/10^3/'[1]classes-1'!$I$89</f>
        <v>2.0119884710538427</v>
      </c>
      <c r="DS341" s="12">
        <f>SQRT((1/[2]Classes!$I$89)^2*(0.1*("2002/09/30"-"2002/05/01")/("2002/08/31"-"2002/06/10")*SQRT(3)*10^4/10^3)^2+(-DR341/([2]Classes!$I$89)^2)^2*([2]Classes!$I$89)^2)</f>
        <v>4.1125976308977705</v>
      </c>
      <c r="DT341" s="13">
        <v>3</v>
      </c>
      <c r="DU341" s="19">
        <f t="shared" si="1295"/>
        <v>2.0440463203766108</v>
      </c>
      <c r="DV341" s="19">
        <f t="shared" si="1315"/>
        <v>-97.587175035966965</v>
      </c>
      <c r="DW341" s="12">
        <f t="shared" si="1316"/>
        <v>24.56804735362595</v>
      </c>
      <c r="DX341" s="72">
        <f t="shared" si="1251"/>
        <v>402.39263384667134</v>
      </c>
      <c r="DY341" s="72">
        <f t="shared" si="1252"/>
        <v>402.3926338466714</v>
      </c>
      <c r="EA341" s="19" t="s">
        <v>37</v>
      </c>
      <c r="EB341" s="19" t="s">
        <v>37</v>
      </c>
      <c r="EC341" s="72" t="s">
        <v>37</v>
      </c>
      <c r="EE341" s="19" t="s">
        <v>37</v>
      </c>
      <c r="EF341" s="19" t="s">
        <v>37</v>
      </c>
      <c r="EG341" s="12" t="s">
        <v>37</v>
      </c>
      <c r="EM341" s="12" t="s">
        <v>39</v>
      </c>
      <c r="EN341" s="12">
        <v>-11.595789473684208</v>
      </c>
      <c r="EO341" s="12">
        <v>0.44954804430300416</v>
      </c>
      <c r="EP341" s="13">
        <v>3</v>
      </c>
      <c r="EQ341" s="19">
        <f t="shared" si="1341"/>
        <v>3.8768213697154504E-2</v>
      </c>
      <c r="ER341" s="12">
        <v>-23.208711433756811</v>
      </c>
      <c r="ES341" s="12">
        <v>0.78101283680717748</v>
      </c>
      <c r="ET341" s="13">
        <v>3</v>
      </c>
      <c r="EU341" s="19">
        <f t="shared" si="1342"/>
        <v>3.3651710437969558E-2</v>
      </c>
      <c r="EV341" s="19">
        <f t="shared" si="1317"/>
        <v>-11.612921960072603</v>
      </c>
      <c r="EW341" s="12">
        <f t="shared" si="1318"/>
        <v>0.63721052070499062</v>
      </c>
      <c r="EX341" s="19">
        <f t="shared" si="1319"/>
        <v>0.27069149846475016</v>
      </c>
      <c r="EY341" s="19">
        <f t="shared" si="1320"/>
        <v>0.27069149846475021</v>
      </c>
      <c r="FB341" s="12" t="s">
        <v>37</v>
      </c>
      <c r="FC341" s="12" t="s">
        <v>37</v>
      </c>
      <c r="FD341" s="12" t="s">
        <v>37</v>
      </c>
      <c r="FE341" s="12" t="s">
        <v>37</v>
      </c>
      <c r="FF341" s="20" t="s">
        <v>37</v>
      </c>
      <c r="FG341" s="12" t="s">
        <v>37</v>
      </c>
      <c r="FI341" s="12" t="s">
        <v>37</v>
      </c>
      <c r="FJ341" s="12" t="s">
        <v>37</v>
      </c>
      <c r="FK341" s="12" t="s">
        <v>37</v>
      </c>
      <c r="FL341" s="12" t="s">
        <v>37</v>
      </c>
      <c r="FM341" s="12" t="s">
        <v>37</v>
      </c>
      <c r="FN341" s="12" t="s">
        <v>37</v>
      </c>
      <c r="FP341" s="12" t="s">
        <v>37</v>
      </c>
      <c r="FQ341" s="12" t="s">
        <v>37</v>
      </c>
      <c r="FR341" s="12" t="s">
        <v>37</v>
      </c>
      <c r="FS341" s="12" t="s">
        <v>37</v>
      </c>
      <c r="FT341" s="12" t="s">
        <v>37</v>
      </c>
      <c r="FU341" s="12" t="s">
        <v>37</v>
      </c>
      <c r="FW341" s="12" t="s">
        <v>37</v>
      </c>
      <c r="FX341" s="12" t="s">
        <v>37</v>
      </c>
      <c r="FY341" s="12" t="s">
        <v>37</v>
      </c>
      <c r="FZ341" s="12" t="s">
        <v>37</v>
      </c>
      <c r="GA341" s="12" t="s">
        <v>37</v>
      </c>
      <c r="GB341" s="12" t="s">
        <v>37</v>
      </c>
      <c r="GO341" s="12" t="s">
        <v>660</v>
      </c>
      <c r="GP341" s="12" t="s">
        <v>330</v>
      </c>
      <c r="GQ341" s="12">
        <v>18</v>
      </c>
      <c r="GR341" s="12">
        <f>0.3*SQRT(3)</f>
        <v>0.51961524227066314</v>
      </c>
      <c r="GS341" s="13">
        <v>3</v>
      </c>
      <c r="GT341" s="19">
        <f>GR341/GQ341</f>
        <v>2.8867513459481284E-2</v>
      </c>
      <c r="GU341" s="12">
        <v>17.399999999999999</v>
      </c>
      <c r="GV341" s="12">
        <f>0.34*SQRT(3)</f>
        <v>0.58889727457341834</v>
      </c>
      <c r="GW341" s="13">
        <v>3</v>
      </c>
      <c r="GX341" s="19">
        <f>GV341/GU341</f>
        <v>3.3844670952495312E-2</v>
      </c>
      <c r="GY341" s="19">
        <f>LN(GU341/GQ341)</f>
        <v>-3.3901551675681457E-2</v>
      </c>
      <c r="GZ341" s="19">
        <f t="shared" ref="GZ341" si="1343">GV341^2/(GW341*GU341^2)+GR341^2/(GS341*GQ341^2)</f>
        <v>6.5959836173867098E-4</v>
      </c>
      <c r="IK341" s="12" t="s">
        <v>37</v>
      </c>
      <c r="IL341" s="12" t="s">
        <v>37</v>
      </c>
      <c r="IM341" s="12" t="s">
        <v>37</v>
      </c>
      <c r="IO341" s="12" t="s">
        <v>37</v>
      </c>
      <c r="IP341" s="12" t="s">
        <v>37</v>
      </c>
      <c r="IQ341" s="12" t="s">
        <v>37</v>
      </c>
      <c r="IW341" s="12" t="s">
        <v>37</v>
      </c>
      <c r="IX341" s="12" t="s">
        <v>37</v>
      </c>
      <c r="IY341" s="13" t="s">
        <v>37</v>
      </c>
      <c r="JA341" s="12" t="s">
        <v>37</v>
      </c>
      <c r="JB341" s="12" t="s">
        <v>37</v>
      </c>
      <c r="JC341" s="13" t="s">
        <v>37</v>
      </c>
      <c r="JH341" s="12" t="s">
        <v>37</v>
      </c>
      <c r="JI341" s="12" t="s">
        <v>37</v>
      </c>
      <c r="JJ341" s="13" t="s">
        <v>37</v>
      </c>
      <c r="JL341" s="12" t="s">
        <v>37</v>
      </c>
      <c r="JM341" s="12" t="s">
        <v>37</v>
      </c>
      <c r="JN341" s="12" t="s">
        <v>37</v>
      </c>
      <c r="JS341" s="12" t="s">
        <v>37</v>
      </c>
      <c r="JT341" s="12" t="s">
        <v>37</v>
      </c>
      <c r="JU341" s="13" t="s">
        <v>37</v>
      </c>
      <c r="JW341" s="12" t="s">
        <v>37</v>
      </c>
      <c r="JX341" s="12" t="s">
        <v>37</v>
      </c>
      <c r="JY341" s="12" t="s">
        <v>37</v>
      </c>
      <c r="KE341" s="12" t="s">
        <v>37</v>
      </c>
      <c r="KF341" s="12" t="s">
        <v>37</v>
      </c>
      <c r="KG341" s="13" t="s">
        <v>37</v>
      </c>
      <c r="KH341" s="12" t="s">
        <v>37</v>
      </c>
      <c r="KI341" s="12" t="s">
        <v>37</v>
      </c>
      <c r="KJ341" s="12" t="s">
        <v>37</v>
      </c>
      <c r="KM341" s="12" t="s">
        <v>37</v>
      </c>
      <c r="KN341" s="12" t="s">
        <v>37</v>
      </c>
      <c r="KO341" s="11" t="s">
        <v>37</v>
      </c>
      <c r="KQ341" s="12" t="s">
        <v>37</v>
      </c>
      <c r="KR341" s="12" t="s">
        <v>37</v>
      </c>
      <c r="KS341" s="12" t="s">
        <v>37</v>
      </c>
      <c r="KX341" s="12" t="s">
        <v>37</v>
      </c>
      <c r="KY341" s="12" t="s">
        <v>37</v>
      </c>
      <c r="KZ341" s="12" t="s">
        <v>37</v>
      </c>
      <c r="LB341" s="12" t="s">
        <v>37</v>
      </c>
      <c r="LC341" s="12" t="s">
        <v>37</v>
      </c>
      <c r="LD341" s="12" t="s">
        <v>37</v>
      </c>
      <c r="LI341" s="12" t="s">
        <v>37</v>
      </c>
      <c r="LJ341" s="12" t="s">
        <v>37</v>
      </c>
      <c r="LK341" s="12" t="s">
        <v>37</v>
      </c>
      <c r="LM341" s="12" t="s">
        <v>37</v>
      </c>
      <c r="LN341" s="12" t="s">
        <v>37</v>
      </c>
      <c r="LO341" s="12" t="s">
        <v>37</v>
      </c>
      <c r="LU341" s="12" t="s">
        <v>37</v>
      </c>
      <c r="LV341" s="12" t="s">
        <v>37</v>
      </c>
      <c r="LW341" s="12" t="s">
        <v>37</v>
      </c>
      <c r="LY341" s="12" t="s">
        <v>37</v>
      </c>
      <c r="LZ341" s="12" t="s">
        <v>37</v>
      </c>
      <c r="MA341" s="12" t="s">
        <v>37</v>
      </c>
      <c r="MF341" s="12" t="s">
        <v>37</v>
      </c>
      <c r="MG341" s="12" t="s">
        <v>37</v>
      </c>
      <c r="MH341" s="12" t="s">
        <v>37</v>
      </c>
      <c r="MJ341" s="12" t="s">
        <v>37</v>
      </c>
      <c r="MK341" s="12" t="s">
        <v>37</v>
      </c>
      <c r="ML341" s="12" t="s">
        <v>37</v>
      </c>
      <c r="MQ341" s="12" t="s">
        <v>37</v>
      </c>
      <c r="MR341" s="12" t="s">
        <v>37</v>
      </c>
      <c r="MS341" s="12" t="s">
        <v>37</v>
      </c>
      <c r="MU341" s="12" t="s">
        <v>37</v>
      </c>
      <c r="MV341" s="12" t="s">
        <v>37</v>
      </c>
      <c r="MW341" s="12" t="s">
        <v>37</v>
      </c>
      <c r="NC341" s="12" t="s">
        <v>37</v>
      </c>
      <c r="ND341" s="12" t="s">
        <v>37</v>
      </c>
      <c r="NE341" s="12" t="s">
        <v>37</v>
      </c>
      <c r="NG341" s="12" t="s">
        <v>37</v>
      </c>
      <c r="NH341" s="12" t="s">
        <v>37</v>
      </c>
      <c r="NI341" s="12" t="s">
        <v>37</v>
      </c>
      <c r="NO341" s="12" t="s">
        <v>37</v>
      </c>
      <c r="NP341" s="12" t="s">
        <v>37</v>
      </c>
      <c r="NQ341" s="12" t="s">
        <v>37</v>
      </c>
      <c r="NS341" s="12" t="s">
        <v>37</v>
      </c>
      <c r="NT341" s="12" t="s">
        <v>37</v>
      </c>
      <c r="NU341" s="12" t="s">
        <v>37</v>
      </c>
      <c r="OA341" s="12" t="s">
        <v>37</v>
      </c>
      <c r="OB341" s="12" t="s">
        <v>37</v>
      </c>
      <c r="OC341" s="12" t="s">
        <v>37</v>
      </c>
      <c r="OD341" s="12"/>
      <c r="OE341" s="12" t="s">
        <v>37</v>
      </c>
      <c r="OF341" s="12" t="s">
        <v>37</v>
      </c>
      <c r="OG341" s="12" t="s">
        <v>37</v>
      </c>
      <c r="OH341" s="12"/>
      <c r="OI341" s="12"/>
      <c r="OJ341" s="12"/>
      <c r="OM341" s="12" t="s">
        <v>37</v>
      </c>
      <c r="ON341" s="12" t="s">
        <v>37</v>
      </c>
      <c r="OO341" s="12" t="s">
        <v>37</v>
      </c>
      <c r="OP341" s="12" t="s">
        <v>37</v>
      </c>
      <c r="OQ341" s="12" t="s">
        <v>37</v>
      </c>
      <c r="OR341" s="12" t="s">
        <v>37</v>
      </c>
      <c r="OS341" s="12"/>
      <c r="OT341" s="12"/>
      <c r="OW341" s="12" t="s">
        <v>37</v>
      </c>
      <c r="OX341" s="12" t="s">
        <v>37</v>
      </c>
      <c r="OY341" s="13" t="s">
        <v>37</v>
      </c>
      <c r="OZ341" s="12" t="s">
        <v>37</v>
      </c>
      <c r="PA341" s="12" t="s">
        <v>37</v>
      </c>
      <c r="PB341" s="13" t="s">
        <v>37</v>
      </c>
      <c r="PG341" s="12" t="s">
        <v>37</v>
      </c>
      <c r="PH341" s="12" t="s">
        <v>37</v>
      </c>
      <c r="PI341" s="12" t="s">
        <v>37</v>
      </c>
      <c r="PJ341" s="12" t="s">
        <v>37</v>
      </c>
      <c r="PK341" s="12" t="s">
        <v>37</v>
      </c>
      <c r="PL341" s="12" t="s">
        <v>37</v>
      </c>
      <c r="PM341" s="12"/>
      <c r="PN341" s="12"/>
      <c r="PQ341" s="12" t="s">
        <v>37</v>
      </c>
      <c r="PR341" s="12" t="s">
        <v>37</v>
      </c>
      <c r="PS341" s="12" t="s">
        <v>37</v>
      </c>
      <c r="PT341" s="12" t="s">
        <v>37</v>
      </c>
      <c r="PU341" s="12" t="s">
        <v>37</v>
      </c>
      <c r="PV341" s="12" t="s">
        <v>37</v>
      </c>
      <c r="PW341" s="12"/>
      <c r="PX341" s="12"/>
      <c r="PZ341" s="12" t="s">
        <v>37</v>
      </c>
      <c r="QA341" s="12" t="s">
        <v>37</v>
      </c>
      <c r="QB341" s="12" t="s">
        <v>37</v>
      </c>
      <c r="QD341" s="12" t="s">
        <v>37</v>
      </c>
      <c r="QE341" s="12" t="s">
        <v>37</v>
      </c>
      <c r="QF341" s="12" t="s">
        <v>37</v>
      </c>
      <c r="QK341" s="12" t="s">
        <v>37</v>
      </c>
      <c r="QL341" s="12" t="s">
        <v>37</v>
      </c>
      <c r="QM341" s="12" t="s">
        <v>37</v>
      </c>
      <c r="QN341" s="12" t="s">
        <v>37</v>
      </c>
      <c r="QO341" s="12" t="s">
        <v>37</v>
      </c>
      <c r="QP341" s="12" t="s">
        <v>37</v>
      </c>
      <c r="QQ341" s="12"/>
      <c r="QR341" s="12"/>
      <c r="QU341" s="12" t="s">
        <v>37</v>
      </c>
      <c r="QV341" s="12" t="s">
        <v>37</v>
      </c>
      <c r="QW341" s="12" t="s">
        <v>37</v>
      </c>
      <c r="QX341" s="12" t="s">
        <v>37</v>
      </c>
      <c r="QY341" s="12" t="s">
        <v>37</v>
      </c>
      <c r="QZ341" s="12" t="s">
        <v>37</v>
      </c>
      <c r="RC341" s="12" t="s">
        <v>37</v>
      </c>
      <c r="RD341" s="12" t="s">
        <v>37</v>
      </c>
      <c r="RE341" s="13" t="s">
        <v>37</v>
      </c>
      <c r="RF341" s="12" t="s">
        <v>37</v>
      </c>
      <c r="RG341" s="12" t="s">
        <v>37</v>
      </c>
      <c r="RH341" s="13" t="s">
        <v>37</v>
      </c>
      <c r="RK341" s="12" t="s">
        <v>37</v>
      </c>
      <c r="RL341" s="12" t="s">
        <v>37</v>
      </c>
      <c r="RM341" s="11" t="s">
        <v>37</v>
      </c>
      <c r="RN341" s="12" t="s">
        <v>37</v>
      </c>
      <c r="RO341" s="12" t="s">
        <v>37</v>
      </c>
      <c r="RP341" s="11" t="s">
        <v>37</v>
      </c>
      <c r="RS341" s="12" t="s">
        <v>37</v>
      </c>
      <c r="RT341" s="12" t="s">
        <v>37</v>
      </c>
      <c r="RU341" s="12" t="s">
        <v>37</v>
      </c>
      <c r="RV341" s="12" t="s">
        <v>37</v>
      </c>
      <c r="RW341" s="12" t="s">
        <v>37</v>
      </c>
      <c r="RX341" s="12" t="s">
        <v>37</v>
      </c>
      <c r="SA341" s="12" t="s">
        <v>37</v>
      </c>
      <c r="SB341" s="12" t="s">
        <v>37</v>
      </c>
      <c r="SC341" s="12" t="s">
        <v>37</v>
      </c>
      <c r="SD341" s="12" t="s">
        <v>37</v>
      </c>
      <c r="SE341" s="12" t="s">
        <v>37</v>
      </c>
      <c r="SF341" s="12" t="s">
        <v>37</v>
      </c>
      <c r="SI341" s="12" t="s">
        <v>37</v>
      </c>
      <c r="SJ341" s="12" t="s">
        <v>37</v>
      </c>
      <c r="SK341" s="13" t="s">
        <v>37</v>
      </c>
      <c r="SM341" s="12" t="s">
        <v>37</v>
      </c>
      <c r="SN341" s="12" t="s">
        <v>37</v>
      </c>
      <c r="SO341" s="13" t="s">
        <v>37</v>
      </c>
      <c r="SU341" s="12" t="s">
        <v>37</v>
      </c>
      <c r="SV341" s="12" t="s">
        <v>37</v>
      </c>
      <c r="SW341" s="12" t="s">
        <v>37</v>
      </c>
      <c r="SX341" s="12" t="s">
        <v>37</v>
      </c>
      <c r="SY341" s="12" t="s">
        <v>37</v>
      </c>
      <c r="SZ341" s="12" t="s">
        <v>37</v>
      </c>
      <c r="TA341" s="12"/>
      <c r="TB341" s="12"/>
      <c r="TE341" s="12" t="s">
        <v>37</v>
      </c>
      <c r="TF341" s="12" t="s">
        <v>37</v>
      </c>
      <c r="TG341" s="12" t="s">
        <v>37</v>
      </c>
      <c r="TH341" s="12" t="s">
        <v>37</v>
      </c>
      <c r="TI341" s="12" t="s">
        <v>37</v>
      </c>
      <c r="TJ341" s="12" t="s">
        <v>37</v>
      </c>
      <c r="TK341" s="12"/>
      <c r="TL341" s="12"/>
      <c r="TO341" s="12" t="s">
        <v>37</v>
      </c>
      <c r="TP341" s="12" t="s">
        <v>37</v>
      </c>
      <c r="TQ341" s="12" t="s">
        <v>37</v>
      </c>
      <c r="TR341" s="12" t="s">
        <v>37</v>
      </c>
      <c r="TS341" s="12" t="s">
        <v>37</v>
      </c>
      <c r="TT341" s="12" t="s">
        <v>37</v>
      </c>
      <c r="TU341" s="12"/>
      <c r="TV341" s="12"/>
      <c r="TY341" s="12" t="s">
        <v>37</v>
      </c>
      <c r="TZ341" s="12" t="s">
        <v>37</v>
      </c>
      <c r="UA341" s="12" t="s">
        <v>37</v>
      </c>
      <c r="UB341" s="12" t="s">
        <v>37</v>
      </c>
      <c r="UC341" s="12" t="s">
        <v>37</v>
      </c>
      <c r="UD341" s="12" t="s">
        <v>37</v>
      </c>
      <c r="UE341" s="12"/>
      <c r="UF341" s="12"/>
      <c r="UI341" s="12" t="s">
        <v>37</v>
      </c>
      <c r="UJ341" s="12" t="s">
        <v>37</v>
      </c>
      <c r="UK341" s="12" t="s">
        <v>37</v>
      </c>
      <c r="UL341" s="12" t="s">
        <v>37</v>
      </c>
      <c r="UM341" s="12" t="s">
        <v>37</v>
      </c>
      <c r="UN341" s="12" t="s">
        <v>37</v>
      </c>
      <c r="UO341" s="12"/>
      <c r="UP341" s="12"/>
      <c r="UR341" s="12" t="s">
        <v>37</v>
      </c>
      <c r="US341" s="12" t="s">
        <v>37</v>
      </c>
      <c r="UT341" s="12" t="s">
        <v>37</v>
      </c>
      <c r="UU341" s="12" t="s">
        <v>37</v>
      </c>
      <c r="UV341" s="12" t="s">
        <v>37</v>
      </c>
      <c r="UW341" s="12" t="s">
        <v>37</v>
      </c>
      <c r="UX341" s="12"/>
      <c r="UY341" s="12"/>
      <c r="VB341" s="12" t="s">
        <v>37</v>
      </c>
      <c r="VC341" s="12" t="s">
        <v>37</v>
      </c>
      <c r="VD341" s="12" t="s">
        <v>37</v>
      </c>
      <c r="VE341" s="12" t="s">
        <v>37</v>
      </c>
      <c r="VF341" s="12" t="s">
        <v>37</v>
      </c>
      <c r="VG341" s="12" t="s">
        <v>37</v>
      </c>
      <c r="VI341" s="12" t="s">
        <v>37</v>
      </c>
      <c r="VJ341" s="12" t="s">
        <v>37</v>
      </c>
      <c r="VK341" s="12" t="s">
        <v>37</v>
      </c>
      <c r="VL341" s="12" t="s">
        <v>37</v>
      </c>
      <c r="VM341" s="12" t="s">
        <v>37</v>
      </c>
      <c r="VN341" s="12" t="s">
        <v>37</v>
      </c>
      <c r="VQ341" s="12" t="s">
        <v>37</v>
      </c>
      <c r="VR341" s="12" t="s">
        <v>37</v>
      </c>
      <c r="VS341" s="12" t="s">
        <v>37</v>
      </c>
      <c r="VT341" s="12" t="s">
        <v>37</v>
      </c>
      <c r="VU341" s="12" t="s">
        <v>37</v>
      </c>
      <c r="VV341" s="12" t="s">
        <v>37</v>
      </c>
      <c r="VW341" s="12"/>
      <c r="VX341" s="12"/>
      <c r="WA341" s="12" t="s">
        <v>37</v>
      </c>
      <c r="WB341" s="12" t="s">
        <v>37</v>
      </c>
      <c r="WC341" s="12" t="s">
        <v>37</v>
      </c>
      <c r="WD341" s="12" t="s">
        <v>37</v>
      </c>
      <c r="WE341" s="12" t="s">
        <v>37</v>
      </c>
      <c r="WF341" s="12" t="s">
        <v>37</v>
      </c>
    </row>
    <row r="342" spans="1:604" ht="18" customHeight="1" x14ac:dyDescent="0.3">
      <c r="A342" s="11">
        <v>74</v>
      </c>
      <c r="B342" s="16" t="s">
        <v>436</v>
      </c>
      <c r="C342" s="12" t="s">
        <v>26</v>
      </c>
      <c r="D342" s="12" t="s">
        <v>973</v>
      </c>
      <c r="E342" s="40">
        <v>1.2</v>
      </c>
      <c r="F342" s="14">
        <v>0</v>
      </c>
      <c r="G342" s="14">
        <v>0</v>
      </c>
      <c r="H342" s="12" t="s">
        <v>91</v>
      </c>
      <c r="I342" s="29">
        <v>46.667000000000002</v>
      </c>
      <c r="J342" s="29">
        <v>-71.167000000000002</v>
      </c>
      <c r="K342" s="12" t="s">
        <v>673</v>
      </c>
      <c r="L342" s="12" t="s">
        <v>674</v>
      </c>
      <c r="M342" s="13" t="s">
        <v>37</v>
      </c>
      <c r="N342" s="14" t="s">
        <v>37</v>
      </c>
      <c r="O342" s="14" t="s">
        <v>37</v>
      </c>
      <c r="P342" s="14" t="s">
        <v>16</v>
      </c>
      <c r="Q342" s="75">
        <v>1</v>
      </c>
      <c r="R342" s="11" t="s">
        <v>1000</v>
      </c>
      <c r="S342" s="12" t="s">
        <v>85</v>
      </c>
      <c r="T342" s="12" t="s">
        <v>141</v>
      </c>
      <c r="U342" s="12" t="s">
        <v>164</v>
      </c>
      <c r="V342" s="12" t="s">
        <v>275</v>
      </c>
      <c r="W342" s="23" t="s">
        <v>438</v>
      </c>
      <c r="X342" s="12" t="s">
        <v>281</v>
      </c>
      <c r="Y342" s="12" t="s">
        <v>37</v>
      </c>
      <c r="Z342" s="12" t="s">
        <v>37</v>
      </c>
      <c r="AB342" s="12" t="s">
        <v>37</v>
      </c>
      <c r="AE342" s="12" t="s">
        <v>37</v>
      </c>
      <c r="AH342" s="12" t="s">
        <v>37</v>
      </c>
      <c r="AK342" s="12" t="s">
        <v>37</v>
      </c>
      <c r="AL342" s="32" t="s">
        <v>441</v>
      </c>
      <c r="AM342" s="12" t="s">
        <v>317</v>
      </c>
      <c r="AN342" s="32" t="s">
        <v>880</v>
      </c>
      <c r="AO342" s="12" t="s">
        <v>847</v>
      </c>
      <c r="AP342" s="12" t="s">
        <v>167</v>
      </c>
      <c r="AQ342" s="12" t="s">
        <v>975</v>
      </c>
      <c r="AT342" s="12" t="s">
        <v>326</v>
      </c>
      <c r="AU342" s="12" t="s">
        <v>326</v>
      </c>
      <c r="AV342" s="13" t="s">
        <v>326</v>
      </c>
      <c r="AX342" s="12" t="s">
        <v>326</v>
      </c>
      <c r="AY342" s="12" t="s">
        <v>326</v>
      </c>
      <c r="AZ342" s="13" t="s">
        <v>326</v>
      </c>
      <c r="BE342" s="12" t="s">
        <v>326</v>
      </c>
      <c r="BF342" s="12" t="s">
        <v>326</v>
      </c>
      <c r="BG342" s="12" t="s">
        <v>326</v>
      </c>
      <c r="BI342" s="12" t="s">
        <v>326</v>
      </c>
      <c r="BJ342" s="12" t="s">
        <v>326</v>
      </c>
      <c r="BK342" s="12" t="s">
        <v>326</v>
      </c>
      <c r="BP342" s="12" t="s">
        <v>37</v>
      </c>
      <c r="BQ342" s="12" t="s">
        <v>37</v>
      </c>
      <c r="BR342" s="13" t="s">
        <v>37</v>
      </c>
      <c r="BT342" s="12" t="s">
        <v>37</v>
      </c>
      <c r="BU342" s="12" t="s">
        <v>37</v>
      </c>
      <c r="BV342" s="12" t="s">
        <v>37</v>
      </c>
      <c r="BZ342" s="12" t="s">
        <v>47</v>
      </c>
      <c r="CA342" s="12">
        <f>-205*("2002/09/30"-"2002/05/01")/("2002/08/31"-"2002/05/12")*10^4/10^3/'[6]classess-1'!$T$94</f>
        <v>-2945.161089648047</v>
      </c>
      <c r="CB342" s="12">
        <f>SQRT((1/[7]Classess!$T$94)^2*(3*("2002/09/30"-"2002/05/01")/("2002/08/31"-"2002/05/12")*SQRT(3)*10^4/10^3)^2+(-CA342/([7]Classess!$T$94)^2)^2*([7]Classess!$U$94)^2)</f>
        <v>96.327483684879894</v>
      </c>
      <c r="CC342" s="13">
        <v>3</v>
      </c>
      <c r="CD342" s="19">
        <f t="shared" si="1321"/>
        <v>3.2707033928793088E-2</v>
      </c>
      <c r="CE342" s="12">
        <f>-164*("2002/09/30"-"2002/05/01")/("2002/08/31"-"2002/05/12")*10^4/10^3/'[6]classess-1'!$T$93</f>
        <v>-2329.5681312375768</v>
      </c>
      <c r="CF342" s="12">
        <f>SQRT((1/[7]Classess!$T$93)^2*(38*("2002/09/30"-"2002/05/01")/("2002/08/31"-"2002/05/12")*SQRT(3)*10^4/10^3)^2+(-CE342/([7]Classess!$T$93)^2)^2*([7]Classess!$U$93)^2)</f>
        <v>936.72704913647306</v>
      </c>
      <c r="CG342" s="13">
        <v>3</v>
      </c>
      <c r="CH342" s="19">
        <f t="shared" si="1322"/>
        <v>0.40210330686436691</v>
      </c>
      <c r="CI342" s="75">
        <f t="shared" si="1323"/>
        <v>615.59295841047015</v>
      </c>
      <c r="CJ342" s="12">
        <f t="shared" si="1324"/>
        <v>665.85904991108487</v>
      </c>
      <c r="CK342" s="72">
        <f t="shared" si="1325"/>
        <v>295578.84956566169</v>
      </c>
      <c r="CL342" s="72">
        <f t="shared" si="1326"/>
        <v>295578.84956566175</v>
      </c>
      <c r="CM342" s="12" t="s">
        <v>47</v>
      </c>
      <c r="CN342" s="12">
        <f>140*("2002/09/30"-"2002/05/01")/("2002/08/31"-"2002/05/12")*10^4/10^3/'[6]classess-1'!$I$94</f>
        <v>2386.82655517393</v>
      </c>
      <c r="CO342" s="12">
        <f>SQRT((1/[7]Classess!$I$92)^2*(3*("2002/09/30"-"2002/05/01")/("2002/08/31"-"2002/05/12")*SQRT(3)*10^4/10^3)^2+(-CN342/([7]Classess!$I$92)^2)^2*([7]Classess!$J$92)^2)</f>
        <v>98.565445597832763</v>
      </c>
      <c r="CP342" s="13">
        <v>3</v>
      </c>
      <c r="CQ342" s="19">
        <f t="shared" si="1327"/>
        <v>4.1295604569243707E-2</v>
      </c>
      <c r="CR342" s="12">
        <f>152*("2002/09/30"-"2002/05/01")/("2002/08/31"-"2002/05/12")*10^4/10^3/'[6]classess-1'!$I$93</f>
        <v>2420.4945007500228</v>
      </c>
      <c r="CS342" s="12">
        <f>SQRT((1/[7]Classess!$I$93)^2*(7*("2002/09/30"-"2002/05/01")/("2002/08/31"-"2002/05/12")*SQRT(3)*10^4/10^3)^2+(-CR342/([7]Classess!$I$93)^2)^2*([7]Classess!$J$93)^2)</f>
        <v>226.67580770330741</v>
      </c>
      <c r="CT342" s="13">
        <v>3</v>
      </c>
      <c r="CU342" s="19">
        <f t="shared" si="1328"/>
        <v>9.3648553067593773E-2</v>
      </c>
      <c r="CV342" s="75">
        <f t="shared" si="1329"/>
        <v>33.667945576092734</v>
      </c>
      <c r="CW342" s="12">
        <f t="shared" si="1330"/>
        <v>174.78139040505161</v>
      </c>
      <c r="CX342" s="72">
        <f t="shared" si="1331"/>
        <v>20365.689621282043</v>
      </c>
      <c r="CY342" s="72">
        <f t="shared" si="1332"/>
        <v>20365.689621282043</v>
      </c>
      <c r="CZ342" s="12" t="s">
        <v>47</v>
      </c>
      <c r="DA342" s="12">
        <f t="shared" si="1339"/>
        <v>-558.33453447411694</v>
      </c>
      <c r="DB342" s="12">
        <f>SQRT((1/[7]Classess!$I$37)^2*(22*SQRT(3)*10^4/10^3)^2+(-DA342/([7]Classess!$I$37)^2)^2*([7]Classess!$J$37)^2)</f>
        <v>748.7456945126147</v>
      </c>
      <c r="DC342" s="13">
        <v>3</v>
      </c>
      <c r="DD342" s="19">
        <f t="shared" si="1333"/>
        <v>1.3410341798360044</v>
      </c>
      <c r="DE342" s="12">
        <f t="shared" si="1340"/>
        <v>90.926369512445945</v>
      </c>
      <c r="DF342" s="12">
        <f>SQRT((1/[7]Classess!$I$38)^2*(35*SQRT(3)*10^4/10^3)^2+(-DE342/([7]Classess!$I$38)^2)^2*([7]Classess!$J$38)^2)</f>
        <v>382.25882942650333</v>
      </c>
      <c r="DG342" s="13">
        <v>3</v>
      </c>
      <c r="DH342" s="19">
        <f t="shared" si="1334"/>
        <v>4.2040480828191429</v>
      </c>
      <c r="DI342" s="19">
        <f t="shared" si="1335"/>
        <v>649.26090398656288</v>
      </c>
      <c r="DJ342" s="12">
        <f t="shared" si="1336"/>
        <v>594.45013572447704</v>
      </c>
      <c r="DK342" s="72">
        <f t="shared" si="1337"/>
        <v>235580.64257523278</v>
      </c>
      <c r="DL342" s="72">
        <f t="shared" si="1338"/>
        <v>235580.64257523281</v>
      </c>
      <c r="DM342" s="11" t="s">
        <v>47</v>
      </c>
      <c r="DN342" s="19">
        <f>11*("2002/09/30"-"2002/05/01")/("2002/08/31"-"2002/05/12")*10^4/10^3/'[1]classes-1'!$I$90</f>
        <v>230.49976509958381</v>
      </c>
      <c r="DO342" s="12">
        <f>SQRT((1/[2]Classes!$I$90)^2*(3*("2002/09/30"-"2002/05/01")/("2002/08/31"-"2002/05/12")*SQRT(3)*10^4/10^3)^2+(-DN342/([2]Classes!$I$90)^2)^2*([2]Classes!$J$90)^2)</f>
        <v>197.03120287558829</v>
      </c>
      <c r="DP342" s="13">
        <v>3</v>
      </c>
      <c r="DQ342" s="19">
        <f t="shared" si="1294"/>
        <v>0.85480001591526156</v>
      </c>
      <c r="DR342" s="19">
        <f>8*("2002/09/30"-"2002/05/01")/("2002/08/31"-"2002/05/12")*10^4/10^3/'[1]classes-1'!$I$91</f>
        <v>118.90670603705591</v>
      </c>
      <c r="DS342" s="12">
        <f>SQRT((1/[2]Classes!$I$91)^2*(5*SQRT(3)*10^4/10^3)^2+(-DR342/([2]Classes!$I$91)^2)^2*([2]Classes!$I$91)^2)</f>
        <v>159.66597828472533</v>
      </c>
      <c r="DT342" s="13">
        <v>3</v>
      </c>
      <c r="DU342" s="19">
        <f t="shared" si="1295"/>
        <v>1.3427836293351467</v>
      </c>
      <c r="DV342" s="19">
        <f t="shared" si="1315"/>
        <v>-111.5930590625279</v>
      </c>
      <c r="DW342" s="12">
        <f t="shared" si="1316"/>
        <v>179.32445389324292</v>
      </c>
      <c r="DX342" s="72">
        <f t="shared" si="1251"/>
        <v>21438.1731760732</v>
      </c>
      <c r="DY342" s="72">
        <f t="shared" si="1252"/>
        <v>21438.173176073204</v>
      </c>
      <c r="EA342" s="19" t="s">
        <v>37</v>
      </c>
      <c r="EB342" s="19" t="s">
        <v>37</v>
      </c>
      <c r="EC342" s="72" t="s">
        <v>37</v>
      </c>
      <c r="EE342" s="19" t="s">
        <v>37</v>
      </c>
      <c r="EF342" s="19" t="s">
        <v>37</v>
      </c>
      <c r="EG342" s="12" t="s">
        <v>37</v>
      </c>
      <c r="EM342" s="12" t="s">
        <v>39</v>
      </c>
      <c r="EN342" s="12">
        <v>-11.142300194931776</v>
      </c>
      <c r="EO342" s="12">
        <v>0.60135887201815885</v>
      </c>
      <c r="EP342" s="13">
        <v>3</v>
      </c>
      <c r="EQ342" s="19">
        <f t="shared" si="1341"/>
        <v>5.3970801494981707E-2</v>
      </c>
      <c r="ER342" s="12">
        <v>-18.027290448343074</v>
      </c>
      <c r="ES342" s="12">
        <v>0.60993017965284302</v>
      </c>
      <c r="ET342" s="13">
        <v>3</v>
      </c>
      <c r="EU342" s="19">
        <f t="shared" si="1342"/>
        <v>3.3833713469064511E-2</v>
      </c>
      <c r="EV342" s="19">
        <f t="shared" si="1317"/>
        <v>-6.8849902534112974</v>
      </c>
      <c r="EW342" s="12">
        <f t="shared" si="1318"/>
        <v>0.60565968868924314</v>
      </c>
      <c r="EX342" s="19">
        <f t="shared" si="1319"/>
        <v>0.24454910566876722</v>
      </c>
      <c r="EY342" s="19">
        <f t="shared" si="1320"/>
        <v>0.24454910566876722</v>
      </c>
      <c r="FB342" s="12" t="s">
        <v>37</v>
      </c>
      <c r="FC342" s="12" t="s">
        <v>37</v>
      </c>
      <c r="FD342" s="12" t="s">
        <v>37</v>
      </c>
      <c r="FE342" s="12" t="s">
        <v>37</v>
      </c>
      <c r="FF342" s="20" t="s">
        <v>37</v>
      </c>
      <c r="FG342" s="12" t="s">
        <v>37</v>
      </c>
      <c r="FI342" s="12" t="s">
        <v>37</v>
      </c>
      <c r="FJ342" s="12" t="s">
        <v>37</v>
      </c>
      <c r="FK342" s="12" t="s">
        <v>37</v>
      </c>
      <c r="FL342" s="12" t="s">
        <v>37</v>
      </c>
      <c r="FM342" s="12" t="s">
        <v>37</v>
      </c>
      <c r="FN342" s="12" t="s">
        <v>37</v>
      </c>
      <c r="FP342" s="12" t="s">
        <v>37</v>
      </c>
      <c r="FQ342" s="12" t="s">
        <v>37</v>
      </c>
      <c r="FR342" s="12" t="s">
        <v>37</v>
      </c>
      <c r="FS342" s="12" t="s">
        <v>37</v>
      </c>
      <c r="FT342" s="12" t="s">
        <v>37</v>
      </c>
      <c r="FU342" s="12" t="s">
        <v>37</v>
      </c>
      <c r="FW342" s="12" t="s">
        <v>37</v>
      </c>
      <c r="FX342" s="12" t="s">
        <v>37</v>
      </c>
      <c r="FY342" s="12" t="s">
        <v>37</v>
      </c>
      <c r="FZ342" s="12" t="s">
        <v>37</v>
      </c>
      <c r="GA342" s="12" t="s">
        <v>37</v>
      </c>
      <c r="GB342" s="12" t="s">
        <v>37</v>
      </c>
      <c r="IK342" s="12" t="s">
        <v>37</v>
      </c>
      <c r="IL342" s="12" t="s">
        <v>37</v>
      </c>
      <c r="IM342" s="12" t="s">
        <v>37</v>
      </c>
      <c r="IO342" s="12" t="s">
        <v>37</v>
      </c>
      <c r="IP342" s="12" t="s">
        <v>37</v>
      </c>
      <c r="IQ342" s="12" t="s">
        <v>37</v>
      </c>
      <c r="IW342" s="12" t="s">
        <v>37</v>
      </c>
      <c r="IX342" s="12" t="s">
        <v>37</v>
      </c>
      <c r="IY342" s="13" t="s">
        <v>37</v>
      </c>
      <c r="JA342" s="12" t="s">
        <v>37</v>
      </c>
      <c r="JB342" s="12" t="s">
        <v>37</v>
      </c>
      <c r="JC342" s="13" t="s">
        <v>37</v>
      </c>
      <c r="JH342" s="12" t="s">
        <v>37</v>
      </c>
      <c r="JI342" s="12" t="s">
        <v>37</v>
      </c>
      <c r="JJ342" s="13" t="s">
        <v>37</v>
      </c>
      <c r="JL342" s="12" t="s">
        <v>37</v>
      </c>
      <c r="JM342" s="12" t="s">
        <v>37</v>
      </c>
      <c r="JN342" s="12" t="s">
        <v>37</v>
      </c>
      <c r="JS342" s="12" t="s">
        <v>37</v>
      </c>
      <c r="JT342" s="12" t="s">
        <v>37</v>
      </c>
      <c r="JU342" s="13" t="s">
        <v>37</v>
      </c>
      <c r="JW342" s="12" t="s">
        <v>37</v>
      </c>
      <c r="JX342" s="12" t="s">
        <v>37</v>
      </c>
      <c r="JY342" s="12" t="s">
        <v>37</v>
      </c>
      <c r="KE342" s="12" t="s">
        <v>37</v>
      </c>
      <c r="KF342" s="12" t="s">
        <v>37</v>
      </c>
      <c r="KG342" s="13" t="s">
        <v>37</v>
      </c>
      <c r="KH342" s="12" t="s">
        <v>37</v>
      </c>
      <c r="KI342" s="12" t="s">
        <v>37</v>
      </c>
      <c r="KJ342" s="12" t="s">
        <v>37</v>
      </c>
      <c r="KM342" s="12" t="s">
        <v>37</v>
      </c>
      <c r="KN342" s="12" t="s">
        <v>37</v>
      </c>
      <c r="KO342" s="11" t="s">
        <v>37</v>
      </c>
      <c r="KQ342" s="12" t="s">
        <v>37</v>
      </c>
      <c r="KR342" s="12" t="s">
        <v>37</v>
      </c>
      <c r="KS342" s="12" t="s">
        <v>37</v>
      </c>
      <c r="KX342" s="12" t="s">
        <v>37</v>
      </c>
      <c r="KY342" s="12" t="s">
        <v>37</v>
      </c>
      <c r="KZ342" s="12" t="s">
        <v>37</v>
      </c>
      <c r="LB342" s="12" t="s">
        <v>37</v>
      </c>
      <c r="LC342" s="12" t="s">
        <v>37</v>
      </c>
      <c r="LD342" s="12" t="s">
        <v>37</v>
      </c>
      <c r="LI342" s="12" t="s">
        <v>37</v>
      </c>
      <c r="LJ342" s="12" t="s">
        <v>37</v>
      </c>
      <c r="LK342" s="12" t="s">
        <v>37</v>
      </c>
      <c r="LM342" s="12" t="s">
        <v>37</v>
      </c>
      <c r="LN342" s="12" t="s">
        <v>37</v>
      </c>
      <c r="LO342" s="12" t="s">
        <v>37</v>
      </c>
      <c r="LU342" s="12" t="s">
        <v>37</v>
      </c>
      <c r="LV342" s="12" t="s">
        <v>37</v>
      </c>
      <c r="LW342" s="12" t="s">
        <v>37</v>
      </c>
      <c r="LY342" s="12" t="s">
        <v>37</v>
      </c>
      <c r="LZ342" s="12" t="s">
        <v>37</v>
      </c>
      <c r="MA342" s="12" t="s">
        <v>37</v>
      </c>
      <c r="MF342" s="12" t="s">
        <v>37</v>
      </c>
      <c r="MG342" s="12" t="s">
        <v>37</v>
      </c>
      <c r="MH342" s="12" t="s">
        <v>37</v>
      </c>
      <c r="MJ342" s="12" t="s">
        <v>37</v>
      </c>
      <c r="MK342" s="12" t="s">
        <v>37</v>
      </c>
      <c r="ML342" s="12" t="s">
        <v>37</v>
      </c>
      <c r="MQ342" s="12" t="s">
        <v>37</v>
      </c>
      <c r="MR342" s="12" t="s">
        <v>37</v>
      </c>
      <c r="MS342" s="12" t="s">
        <v>37</v>
      </c>
      <c r="MU342" s="12" t="s">
        <v>37</v>
      </c>
      <c r="MV342" s="12" t="s">
        <v>37</v>
      </c>
      <c r="MW342" s="12" t="s">
        <v>37</v>
      </c>
      <c r="NC342" s="12" t="s">
        <v>37</v>
      </c>
      <c r="ND342" s="12" t="s">
        <v>37</v>
      </c>
      <c r="NE342" s="12" t="s">
        <v>37</v>
      </c>
      <c r="NG342" s="12" t="s">
        <v>37</v>
      </c>
      <c r="NH342" s="12" t="s">
        <v>37</v>
      </c>
      <c r="NI342" s="12" t="s">
        <v>37</v>
      </c>
      <c r="NO342" s="12" t="s">
        <v>37</v>
      </c>
      <c r="NP342" s="12" t="s">
        <v>37</v>
      </c>
      <c r="NQ342" s="12" t="s">
        <v>37</v>
      </c>
      <c r="NS342" s="12" t="s">
        <v>37</v>
      </c>
      <c r="NT342" s="12" t="s">
        <v>37</v>
      </c>
      <c r="NU342" s="12" t="s">
        <v>37</v>
      </c>
      <c r="OA342" s="12" t="s">
        <v>37</v>
      </c>
      <c r="OB342" s="12" t="s">
        <v>37</v>
      </c>
      <c r="OC342" s="12" t="s">
        <v>37</v>
      </c>
      <c r="OD342" s="12"/>
      <c r="OE342" s="12" t="s">
        <v>37</v>
      </c>
      <c r="OF342" s="12" t="s">
        <v>37</v>
      </c>
      <c r="OG342" s="12" t="s">
        <v>37</v>
      </c>
      <c r="OH342" s="12"/>
      <c r="OI342" s="12"/>
      <c r="OJ342" s="12"/>
      <c r="OM342" s="12" t="s">
        <v>37</v>
      </c>
      <c r="ON342" s="12" t="s">
        <v>37</v>
      </c>
      <c r="OO342" s="12" t="s">
        <v>37</v>
      </c>
      <c r="OP342" s="12" t="s">
        <v>37</v>
      </c>
      <c r="OQ342" s="12" t="s">
        <v>37</v>
      </c>
      <c r="OR342" s="12" t="s">
        <v>37</v>
      </c>
      <c r="OS342" s="12"/>
      <c r="OT342" s="12"/>
      <c r="OW342" s="12" t="s">
        <v>37</v>
      </c>
      <c r="OX342" s="12" t="s">
        <v>37</v>
      </c>
      <c r="OY342" s="13" t="s">
        <v>37</v>
      </c>
      <c r="OZ342" s="12" t="s">
        <v>37</v>
      </c>
      <c r="PA342" s="12" t="s">
        <v>37</v>
      </c>
      <c r="PB342" s="13" t="s">
        <v>37</v>
      </c>
      <c r="PG342" s="12" t="s">
        <v>37</v>
      </c>
      <c r="PH342" s="12" t="s">
        <v>37</v>
      </c>
      <c r="PI342" s="12" t="s">
        <v>37</v>
      </c>
      <c r="PJ342" s="12" t="s">
        <v>37</v>
      </c>
      <c r="PK342" s="12" t="s">
        <v>37</v>
      </c>
      <c r="PL342" s="12" t="s">
        <v>37</v>
      </c>
      <c r="PM342" s="12"/>
      <c r="PN342" s="12"/>
      <c r="PQ342" s="12" t="s">
        <v>37</v>
      </c>
      <c r="PR342" s="12" t="s">
        <v>37</v>
      </c>
      <c r="PS342" s="12" t="s">
        <v>37</v>
      </c>
      <c r="PT342" s="12" t="s">
        <v>37</v>
      </c>
      <c r="PU342" s="12" t="s">
        <v>37</v>
      </c>
      <c r="PV342" s="12" t="s">
        <v>37</v>
      </c>
      <c r="PW342" s="12"/>
      <c r="PX342" s="12"/>
      <c r="PZ342" s="12" t="s">
        <v>37</v>
      </c>
      <c r="QA342" s="12" t="s">
        <v>37</v>
      </c>
      <c r="QB342" s="12" t="s">
        <v>37</v>
      </c>
      <c r="QD342" s="12" t="s">
        <v>37</v>
      </c>
      <c r="QE342" s="12" t="s">
        <v>37</v>
      </c>
      <c r="QF342" s="12" t="s">
        <v>37</v>
      </c>
      <c r="QK342" s="12" t="s">
        <v>37</v>
      </c>
      <c r="QL342" s="12" t="s">
        <v>37</v>
      </c>
      <c r="QM342" s="12" t="s">
        <v>37</v>
      </c>
      <c r="QN342" s="12" t="s">
        <v>37</v>
      </c>
      <c r="QO342" s="12" t="s">
        <v>37</v>
      </c>
      <c r="QP342" s="12" t="s">
        <v>37</v>
      </c>
      <c r="QQ342" s="12"/>
      <c r="QR342" s="12"/>
      <c r="QU342" s="12" t="s">
        <v>37</v>
      </c>
      <c r="QV342" s="12" t="s">
        <v>37</v>
      </c>
      <c r="QW342" s="12" t="s">
        <v>37</v>
      </c>
      <c r="QX342" s="12" t="s">
        <v>37</v>
      </c>
      <c r="QY342" s="12" t="s">
        <v>37</v>
      </c>
      <c r="QZ342" s="12" t="s">
        <v>37</v>
      </c>
      <c r="RC342" s="12" t="s">
        <v>37</v>
      </c>
      <c r="RD342" s="12" t="s">
        <v>37</v>
      </c>
      <c r="RE342" s="13" t="s">
        <v>37</v>
      </c>
      <c r="RF342" s="12" t="s">
        <v>37</v>
      </c>
      <c r="RG342" s="12" t="s">
        <v>37</v>
      </c>
      <c r="RH342" s="13" t="s">
        <v>37</v>
      </c>
      <c r="RK342" s="12" t="s">
        <v>37</v>
      </c>
      <c r="RL342" s="12" t="s">
        <v>37</v>
      </c>
      <c r="RM342" s="11" t="s">
        <v>37</v>
      </c>
      <c r="RN342" s="12" t="s">
        <v>37</v>
      </c>
      <c r="RO342" s="12" t="s">
        <v>37</v>
      </c>
      <c r="RP342" s="11" t="s">
        <v>37</v>
      </c>
      <c r="RS342" s="12" t="s">
        <v>37</v>
      </c>
      <c r="RT342" s="12" t="s">
        <v>37</v>
      </c>
      <c r="RU342" s="12" t="s">
        <v>37</v>
      </c>
      <c r="RV342" s="12" t="s">
        <v>37</v>
      </c>
      <c r="RW342" s="12" t="s">
        <v>37</v>
      </c>
      <c r="RX342" s="12" t="s">
        <v>37</v>
      </c>
      <c r="SA342" s="12" t="s">
        <v>37</v>
      </c>
      <c r="SB342" s="12" t="s">
        <v>37</v>
      </c>
      <c r="SC342" s="12" t="s">
        <v>37</v>
      </c>
      <c r="SD342" s="12" t="s">
        <v>37</v>
      </c>
      <c r="SE342" s="12" t="s">
        <v>37</v>
      </c>
      <c r="SF342" s="12" t="s">
        <v>37</v>
      </c>
      <c r="SI342" s="12" t="s">
        <v>37</v>
      </c>
      <c r="SJ342" s="12" t="s">
        <v>37</v>
      </c>
      <c r="SK342" s="13" t="s">
        <v>37</v>
      </c>
      <c r="SM342" s="12" t="s">
        <v>37</v>
      </c>
      <c r="SN342" s="12" t="s">
        <v>37</v>
      </c>
      <c r="SO342" s="13" t="s">
        <v>37</v>
      </c>
      <c r="SU342" s="12" t="s">
        <v>37</v>
      </c>
      <c r="SV342" s="12" t="s">
        <v>37</v>
      </c>
      <c r="SW342" s="12" t="s">
        <v>37</v>
      </c>
      <c r="SX342" s="12" t="s">
        <v>37</v>
      </c>
      <c r="SY342" s="12" t="s">
        <v>37</v>
      </c>
      <c r="SZ342" s="12" t="s">
        <v>37</v>
      </c>
      <c r="TA342" s="12"/>
      <c r="TB342" s="12"/>
      <c r="TE342" s="12" t="s">
        <v>37</v>
      </c>
      <c r="TF342" s="12" t="s">
        <v>37</v>
      </c>
      <c r="TG342" s="12" t="s">
        <v>37</v>
      </c>
      <c r="TH342" s="12" t="s">
        <v>37</v>
      </c>
      <c r="TI342" s="12" t="s">
        <v>37</v>
      </c>
      <c r="TJ342" s="12" t="s">
        <v>37</v>
      </c>
      <c r="TK342" s="12"/>
      <c r="TL342" s="12"/>
      <c r="TO342" s="12" t="s">
        <v>37</v>
      </c>
      <c r="TP342" s="12" t="s">
        <v>37</v>
      </c>
      <c r="TQ342" s="12" t="s">
        <v>37</v>
      </c>
      <c r="TR342" s="12" t="s">
        <v>37</v>
      </c>
      <c r="TS342" s="12" t="s">
        <v>37</v>
      </c>
      <c r="TT342" s="12" t="s">
        <v>37</v>
      </c>
      <c r="TU342" s="12"/>
      <c r="TV342" s="12"/>
      <c r="TY342" s="12" t="s">
        <v>37</v>
      </c>
      <c r="TZ342" s="12" t="s">
        <v>37</v>
      </c>
      <c r="UA342" s="12" t="s">
        <v>37</v>
      </c>
      <c r="UB342" s="12" t="s">
        <v>37</v>
      </c>
      <c r="UC342" s="12" t="s">
        <v>37</v>
      </c>
      <c r="UD342" s="12" t="s">
        <v>37</v>
      </c>
      <c r="UE342" s="12"/>
      <c r="UF342" s="12"/>
      <c r="UI342" s="12" t="s">
        <v>37</v>
      </c>
      <c r="UJ342" s="12" t="s">
        <v>37</v>
      </c>
      <c r="UK342" s="12" t="s">
        <v>37</v>
      </c>
      <c r="UL342" s="12" t="s">
        <v>37</v>
      </c>
      <c r="UM342" s="12" t="s">
        <v>37</v>
      </c>
      <c r="UN342" s="12" t="s">
        <v>37</v>
      </c>
      <c r="UO342" s="12"/>
      <c r="UP342" s="12"/>
      <c r="UR342" s="12" t="s">
        <v>37</v>
      </c>
      <c r="US342" s="12" t="s">
        <v>37</v>
      </c>
      <c r="UT342" s="12" t="s">
        <v>37</v>
      </c>
      <c r="UU342" s="12" t="s">
        <v>37</v>
      </c>
      <c r="UV342" s="12" t="s">
        <v>37</v>
      </c>
      <c r="UW342" s="12" t="s">
        <v>37</v>
      </c>
      <c r="UX342" s="12"/>
      <c r="UY342" s="12"/>
      <c r="VB342" s="12" t="s">
        <v>37</v>
      </c>
      <c r="VC342" s="12" t="s">
        <v>37</v>
      </c>
      <c r="VD342" s="12" t="s">
        <v>37</v>
      </c>
      <c r="VE342" s="12" t="s">
        <v>37</v>
      </c>
      <c r="VF342" s="12" t="s">
        <v>37</v>
      </c>
      <c r="VG342" s="12" t="s">
        <v>37</v>
      </c>
      <c r="VI342" s="12" t="s">
        <v>37</v>
      </c>
      <c r="VJ342" s="12" t="s">
        <v>37</v>
      </c>
      <c r="VK342" s="12" t="s">
        <v>37</v>
      </c>
      <c r="VL342" s="12" t="s">
        <v>37</v>
      </c>
      <c r="VM342" s="12" t="s">
        <v>37</v>
      </c>
      <c r="VN342" s="12" t="s">
        <v>37</v>
      </c>
      <c r="VQ342" s="12" t="s">
        <v>37</v>
      </c>
      <c r="VR342" s="12" t="s">
        <v>37</v>
      </c>
      <c r="VS342" s="12" t="s">
        <v>37</v>
      </c>
      <c r="VT342" s="12" t="s">
        <v>37</v>
      </c>
      <c r="VU342" s="12" t="s">
        <v>37</v>
      </c>
      <c r="VV342" s="12" t="s">
        <v>37</v>
      </c>
      <c r="VW342" s="12"/>
      <c r="VX342" s="12"/>
      <c r="WA342" s="12" t="s">
        <v>37</v>
      </c>
      <c r="WB342" s="12" t="s">
        <v>37</v>
      </c>
      <c r="WC342" s="12" t="s">
        <v>37</v>
      </c>
      <c r="WD342" s="12" t="s">
        <v>37</v>
      </c>
      <c r="WE342" s="12" t="s">
        <v>37</v>
      </c>
      <c r="WF342" s="12" t="s">
        <v>37</v>
      </c>
    </row>
    <row r="343" spans="1:604" ht="18" customHeight="1" x14ac:dyDescent="0.3">
      <c r="A343" s="11">
        <v>74</v>
      </c>
      <c r="B343" s="16" t="s">
        <v>436</v>
      </c>
      <c r="C343" s="12" t="s">
        <v>26</v>
      </c>
      <c r="D343" s="84" t="s">
        <v>973</v>
      </c>
      <c r="E343" s="40">
        <v>1.2</v>
      </c>
      <c r="F343" s="14">
        <v>0</v>
      </c>
      <c r="G343" s="14">
        <v>0</v>
      </c>
      <c r="H343" s="12" t="s">
        <v>91</v>
      </c>
      <c r="I343" s="29">
        <v>46.667000000000002</v>
      </c>
      <c r="J343" s="29">
        <v>-71.167000000000002</v>
      </c>
      <c r="K343" s="12" t="s">
        <v>673</v>
      </c>
      <c r="L343" s="12" t="s">
        <v>674</v>
      </c>
      <c r="M343" s="13" t="s">
        <v>37</v>
      </c>
      <c r="N343" s="14" t="s">
        <v>37</v>
      </c>
      <c r="O343" s="14" t="s">
        <v>37</v>
      </c>
      <c r="P343" s="14" t="s">
        <v>16</v>
      </c>
      <c r="Q343" s="75">
        <v>2</v>
      </c>
      <c r="R343" s="11" t="s">
        <v>1000</v>
      </c>
      <c r="S343" s="12" t="s">
        <v>85</v>
      </c>
      <c r="T343" s="12" t="s">
        <v>141</v>
      </c>
      <c r="U343" s="12" t="s">
        <v>164</v>
      </c>
      <c r="V343" s="12" t="s">
        <v>275</v>
      </c>
      <c r="W343" s="23" t="s">
        <v>438</v>
      </c>
      <c r="X343" s="12" t="s">
        <v>281</v>
      </c>
      <c r="Y343" s="12" t="s">
        <v>37</v>
      </c>
      <c r="Z343" s="12" t="s">
        <v>37</v>
      </c>
      <c r="AB343" s="12" t="s">
        <v>37</v>
      </c>
      <c r="AE343" s="12" t="s">
        <v>37</v>
      </c>
      <c r="AH343" s="12" t="s">
        <v>37</v>
      </c>
      <c r="AK343" s="12" t="s">
        <v>37</v>
      </c>
      <c r="AL343" s="32" t="s">
        <v>441</v>
      </c>
      <c r="AM343" s="12" t="s">
        <v>317</v>
      </c>
      <c r="AN343" s="32" t="s">
        <v>880</v>
      </c>
      <c r="AO343" s="12" t="s">
        <v>318</v>
      </c>
      <c r="AP343" s="12" t="s">
        <v>167</v>
      </c>
      <c r="AQ343" s="12" t="s">
        <v>975</v>
      </c>
      <c r="AT343" s="12" t="s">
        <v>326</v>
      </c>
      <c r="AU343" s="12" t="s">
        <v>326</v>
      </c>
      <c r="AV343" s="13" t="s">
        <v>326</v>
      </c>
      <c r="AX343" s="12" t="s">
        <v>326</v>
      </c>
      <c r="AY343" s="12" t="s">
        <v>326</v>
      </c>
      <c r="AZ343" s="13" t="s">
        <v>326</v>
      </c>
      <c r="BE343" s="12" t="s">
        <v>326</v>
      </c>
      <c r="BF343" s="12" t="s">
        <v>326</v>
      </c>
      <c r="BG343" s="12" t="s">
        <v>326</v>
      </c>
      <c r="BI343" s="12" t="s">
        <v>326</v>
      </c>
      <c r="BJ343" s="12" t="s">
        <v>326</v>
      </c>
      <c r="BK343" s="12" t="s">
        <v>326</v>
      </c>
      <c r="BP343" s="12" t="s">
        <v>37</v>
      </c>
      <c r="BQ343" s="12" t="s">
        <v>37</v>
      </c>
      <c r="BR343" s="13" t="s">
        <v>37</v>
      </c>
      <c r="BT343" s="12" t="s">
        <v>37</v>
      </c>
      <c r="BU343" s="12" t="s">
        <v>37</v>
      </c>
      <c r="BV343" s="12" t="s">
        <v>37</v>
      </c>
      <c r="BZ343" s="12" t="s">
        <v>47</v>
      </c>
      <c r="CA343" s="12">
        <f>-201*("2002/09/30"-"2002/05/01")/("2002/08/31"-"2002/05/12")*10^4/10^3/'[6]classess-1'!$T$94</f>
        <v>-2887.6945318012554</v>
      </c>
      <c r="CB343" s="12">
        <f>SQRT((1/[7]Classess!$T$94)^2*(4*("2002/09/30"-"2002/05/01")/("2002/08/31"-"2002/05/12")*SQRT(3)*10^4/10^3)^2+(-CA343/([7]Classess!$T$94)^2)^2*([7]Classess!$U$94)^2)</f>
        <v>116.06106513063514</v>
      </c>
      <c r="CC343" s="13">
        <v>3</v>
      </c>
      <c r="CD343" s="19">
        <f t="shared" si="1321"/>
        <v>4.0191600549328119E-2</v>
      </c>
      <c r="CE343" s="12">
        <f>-142*("2002/09/30"-"2002/05/01")/("2002/08/31"-"2002/05/12")*10^4/10^3/'[6]classess-1'!$T$93</f>
        <v>-2017.0650892422923</v>
      </c>
      <c r="CF343" s="12">
        <f>SQRT((1/[7]Classess!$T$93)^2*(29*("2002/09/30"-"2002/05/01")/("2002/08/31"-"2002/05/12")*SQRT(3)*10^4/10^3)^2+(-CE343/([7]Classess!$T$93)^2)^2*([7]Classess!$U$93)^2)</f>
        <v>715.26564447368787</v>
      </c>
      <c r="CG343" s="13">
        <v>3</v>
      </c>
      <c r="CH343" s="19">
        <f t="shared" si="1322"/>
        <v>0.35460712115263293</v>
      </c>
      <c r="CI343" s="75">
        <f t="shared" si="1323"/>
        <v>870.62944255896309</v>
      </c>
      <c r="CJ343" s="12">
        <f t="shared" si="1324"/>
        <v>512.38418837997801</v>
      </c>
      <c r="CK343" s="72">
        <f t="shared" si="1325"/>
        <v>175025.03766787253</v>
      </c>
      <c r="CL343" s="72">
        <f t="shared" si="1326"/>
        <v>175025.03766787253</v>
      </c>
      <c r="CM343" s="12" t="s">
        <v>47</v>
      </c>
      <c r="CN343" s="12">
        <f>135*("2002/09/30"-"2002/05/01")/("2002/08/31"-"2002/05/12")*10^4/10^3/'[6]classess-1'!$I$94</f>
        <v>2301.5827496320044</v>
      </c>
      <c r="CO343" s="12">
        <f>SQRT((1/[7]Classess!$I$94)^2*(3*("2002/09/30"-"2002/05/01")/("2002/08/31"-"2002/05/12")*SQRT(3)*10^4/10^3)^2+(-CN343/([7]Classess!$I$94)^2)^2*([7]Classess!$J$94)^2)</f>
        <v>97.898666178602923</v>
      </c>
      <c r="CP343" s="13">
        <v>3</v>
      </c>
      <c r="CQ343" s="19">
        <f t="shared" si="1327"/>
        <v>4.2535366670720727E-2</v>
      </c>
      <c r="CR343" s="12">
        <f>152*("2002/09/30"-"2002/05/01")/("2002/08/31"-"2002/05/12")*10^4/10^3/'[6]classess-1'!$I$93</f>
        <v>2420.4945007500228</v>
      </c>
      <c r="CS343" s="12">
        <f>SQRT((1/[7]Classess!$I$93)^2*(20*("2002/09/30"-"2002/05/01")/("2002/08/31"-"2002/05/12")*SQRT(3)*10^4/10^3)^2+(-CR343/([7]Classess!$I$93)^2)^2*([7]Classess!$J$93)^2)</f>
        <v>564.27419535299123</v>
      </c>
      <c r="CT343" s="13">
        <v>3</v>
      </c>
      <c r="CU343" s="19">
        <f t="shared" si="1328"/>
        <v>0.23312351884218008</v>
      </c>
      <c r="CV343" s="75">
        <f t="shared" si="1329"/>
        <v>118.9117511180184</v>
      </c>
      <c r="CW343" s="12">
        <f t="shared" si="1330"/>
        <v>404.9626627115241</v>
      </c>
      <c r="CX343" s="72">
        <f t="shared" si="1331"/>
        <v>109329.83879360507</v>
      </c>
      <c r="CY343" s="72">
        <f t="shared" si="1332"/>
        <v>109329.83879360509</v>
      </c>
      <c r="CZ343" s="12" t="s">
        <v>47</v>
      </c>
      <c r="DA343" s="12">
        <f t="shared" si="1339"/>
        <v>-586.111782169251</v>
      </c>
      <c r="DB343" s="12">
        <f>SQRT((1/[7]Classess!$I$37)^2*(8*SQRT(3)*10^4/10^3)^2+(-DA343/([7]Classess!$I$37)^2)^2*([7]Classess!$J$37)^2)</f>
        <v>363.91958912283872</v>
      </c>
      <c r="DC343" s="13">
        <v>3</v>
      </c>
      <c r="DD343" s="19">
        <f t="shared" si="1333"/>
        <v>0.6209047492202604</v>
      </c>
      <c r="DE343" s="12">
        <f t="shared" si="1340"/>
        <v>403.42941150773049</v>
      </c>
      <c r="DF343" s="12">
        <f>SQRT((1/[7]Classess!$I$38)^2*(42*SQRT(3)*10^4/10^3)^2+(-DE343/([7]Classess!$I$38)^2)^2*([7]Classess!$J$38)^2)</f>
        <v>463.61307598966926</v>
      </c>
      <c r="DG343" s="13">
        <v>3</v>
      </c>
      <c r="DH343" s="19">
        <f t="shared" si="1334"/>
        <v>1.1491801608043779</v>
      </c>
      <c r="DI343" s="19">
        <f t="shared" si="1335"/>
        <v>989.54119367698149</v>
      </c>
      <c r="DJ343" s="12">
        <f t="shared" si="1336"/>
        <v>416.7580542568665</v>
      </c>
      <c r="DK343" s="72">
        <f t="shared" si="1337"/>
        <v>115791.51719197952</v>
      </c>
      <c r="DL343" s="72">
        <f t="shared" si="1338"/>
        <v>115791.51719197954</v>
      </c>
      <c r="DM343" s="11" t="s">
        <v>47</v>
      </c>
      <c r="DN343" s="19">
        <f>52*("2002/09/30"-"2002/05/01")/("2002/08/31"-"2002/05/12")*10^4/10^3/'[1]classes-1'!$I$90</f>
        <v>1089.6352531980324</v>
      </c>
      <c r="DO343" s="12">
        <f>SQRT((1/[2]Classes!$I$90)^2*(14*("2002/09/30"-"2002/05/01")/("2002/08/31"-"2002/05/12")*SQRT(3)*10^4/10^3)^2+(-DN343/([2]Classes!$I$90)^2)^2*([2]Classes!$J$90)^2)</f>
        <v>927.78982978332431</v>
      </c>
      <c r="DP343" s="13">
        <v>3</v>
      </c>
      <c r="DQ343" s="19">
        <f t="shared" si="1294"/>
        <v>0.85146825697893058</v>
      </c>
      <c r="DR343" s="19">
        <f>43*("2002/09/30"-"2002/05/01")/("2002/08/31"-"2002/05/12")*10^4/10^3/'[1]classes-1'!$I$91</f>
        <v>639.12354494917554</v>
      </c>
      <c r="DS343" s="12">
        <f>SQRT((1/[2]Classes!$I$91)^2*(16*SQRT(3)*10^4/10^3)^2+(-DR343/([2]Classes!$I$91)^2)^2*([2]Classes!$J$91)^2)</f>
        <v>304.35692868746287</v>
      </c>
      <c r="DT343" s="13">
        <v>3</v>
      </c>
      <c r="DU343" s="19">
        <f t="shared" si="1295"/>
        <v>0.47620985190221082</v>
      </c>
      <c r="DV343" s="19">
        <f t="shared" si="1315"/>
        <v>-450.51170824885685</v>
      </c>
      <c r="DW343" s="12">
        <f t="shared" si="1316"/>
        <v>690.44446130352708</v>
      </c>
      <c r="DX343" s="72">
        <f t="shared" si="1251"/>
        <v>317809.0360964784</v>
      </c>
      <c r="DY343" s="72">
        <f t="shared" si="1252"/>
        <v>317809.0360964784</v>
      </c>
      <c r="EA343" s="19" t="s">
        <v>37</v>
      </c>
      <c r="EB343" s="19" t="s">
        <v>37</v>
      </c>
      <c r="EC343" s="72" t="s">
        <v>37</v>
      </c>
      <c r="EE343" s="19" t="s">
        <v>37</v>
      </c>
      <c r="EF343" s="19" t="s">
        <v>37</v>
      </c>
      <c r="EG343" s="12" t="s">
        <v>37</v>
      </c>
      <c r="EM343" s="12" t="s">
        <v>39</v>
      </c>
      <c r="EN343" s="12">
        <v>-7.5049786628733965</v>
      </c>
      <c r="EO343" s="12">
        <v>0.56147558903179429</v>
      </c>
      <c r="EP343" s="13">
        <v>3</v>
      </c>
      <c r="EQ343" s="19">
        <f t="shared" si="1341"/>
        <v>7.4813748879710304E-2</v>
      </c>
      <c r="ER343" s="12">
        <v>-14.886247877758912</v>
      </c>
      <c r="ES343" s="12">
        <v>0.59475310250266267</v>
      </c>
      <c r="ET343" s="13">
        <v>3</v>
      </c>
      <c r="EU343" s="19">
        <f t="shared" si="1342"/>
        <v>3.9953190850144656E-2</v>
      </c>
      <c r="EV343" s="19">
        <f t="shared" si="1317"/>
        <v>-7.3812692148855152</v>
      </c>
      <c r="EW343" s="12">
        <f t="shared" si="1318"/>
        <v>0.57835373691848102</v>
      </c>
      <c r="EX343" s="19">
        <f t="shared" si="1319"/>
        <v>0.22299536333838105</v>
      </c>
      <c r="EY343" s="19">
        <f t="shared" si="1320"/>
        <v>0.22299536333838105</v>
      </c>
      <c r="FB343" s="12" t="s">
        <v>37</v>
      </c>
      <c r="FC343" s="12" t="s">
        <v>37</v>
      </c>
      <c r="FD343" s="12" t="s">
        <v>37</v>
      </c>
      <c r="FE343" s="12" t="s">
        <v>37</v>
      </c>
      <c r="FF343" s="20" t="s">
        <v>37</v>
      </c>
      <c r="FG343" s="12" t="s">
        <v>37</v>
      </c>
      <c r="FI343" s="12" t="s">
        <v>37</v>
      </c>
      <c r="FJ343" s="12" t="s">
        <v>37</v>
      </c>
      <c r="FK343" s="12" t="s">
        <v>37</v>
      </c>
      <c r="FL343" s="12" t="s">
        <v>37</v>
      </c>
      <c r="FM343" s="12" t="s">
        <v>37</v>
      </c>
      <c r="FN343" s="12" t="s">
        <v>37</v>
      </c>
      <c r="FP343" s="12" t="s">
        <v>37</v>
      </c>
      <c r="FQ343" s="12" t="s">
        <v>37</v>
      </c>
      <c r="FR343" s="12" t="s">
        <v>37</v>
      </c>
      <c r="FS343" s="12" t="s">
        <v>37</v>
      </c>
      <c r="FT343" s="12" t="s">
        <v>37</v>
      </c>
      <c r="FU343" s="12" t="s">
        <v>37</v>
      </c>
      <c r="FW343" s="12" t="s">
        <v>37</v>
      </c>
      <c r="FX343" s="12" t="s">
        <v>37</v>
      </c>
      <c r="FY343" s="12" t="s">
        <v>37</v>
      </c>
      <c r="FZ343" s="12" t="s">
        <v>37</v>
      </c>
      <c r="GA343" s="12" t="s">
        <v>37</v>
      </c>
      <c r="GB343" s="12" t="s">
        <v>37</v>
      </c>
      <c r="IK343" s="12" t="s">
        <v>37</v>
      </c>
      <c r="IL343" s="12" t="s">
        <v>37</v>
      </c>
      <c r="IM343" s="12" t="s">
        <v>37</v>
      </c>
      <c r="IO343" s="12" t="s">
        <v>37</v>
      </c>
      <c r="IP343" s="12" t="s">
        <v>37</v>
      </c>
      <c r="IQ343" s="12" t="s">
        <v>37</v>
      </c>
      <c r="IW343" s="12" t="s">
        <v>37</v>
      </c>
      <c r="IX343" s="12" t="s">
        <v>37</v>
      </c>
      <c r="IY343" s="13" t="s">
        <v>37</v>
      </c>
      <c r="JA343" s="12" t="s">
        <v>37</v>
      </c>
      <c r="JB343" s="12" t="s">
        <v>37</v>
      </c>
      <c r="JC343" s="13" t="s">
        <v>37</v>
      </c>
      <c r="JH343" s="12" t="s">
        <v>37</v>
      </c>
      <c r="JI343" s="12" t="s">
        <v>37</v>
      </c>
      <c r="JJ343" s="13" t="s">
        <v>37</v>
      </c>
      <c r="JL343" s="12" t="s">
        <v>37</v>
      </c>
      <c r="JM343" s="12" t="s">
        <v>37</v>
      </c>
      <c r="JN343" s="12" t="s">
        <v>37</v>
      </c>
      <c r="JS343" s="12" t="s">
        <v>37</v>
      </c>
      <c r="JT343" s="12" t="s">
        <v>37</v>
      </c>
      <c r="JU343" s="13" t="s">
        <v>37</v>
      </c>
      <c r="JW343" s="12" t="s">
        <v>37</v>
      </c>
      <c r="JX343" s="12" t="s">
        <v>37</v>
      </c>
      <c r="JY343" s="12" t="s">
        <v>37</v>
      </c>
      <c r="KE343" s="12" t="s">
        <v>37</v>
      </c>
      <c r="KF343" s="12" t="s">
        <v>37</v>
      </c>
      <c r="KG343" s="13" t="s">
        <v>37</v>
      </c>
      <c r="KH343" s="12" t="s">
        <v>37</v>
      </c>
      <c r="KI343" s="12" t="s">
        <v>37</v>
      </c>
      <c r="KJ343" s="12" t="s">
        <v>37</v>
      </c>
      <c r="KM343" s="12" t="s">
        <v>37</v>
      </c>
      <c r="KN343" s="12" t="s">
        <v>37</v>
      </c>
      <c r="KO343" s="11" t="s">
        <v>37</v>
      </c>
      <c r="KQ343" s="12" t="s">
        <v>37</v>
      </c>
      <c r="KR343" s="12" t="s">
        <v>37</v>
      </c>
      <c r="KS343" s="12" t="s">
        <v>37</v>
      </c>
      <c r="KX343" s="12" t="s">
        <v>37</v>
      </c>
      <c r="KY343" s="12" t="s">
        <v>37</v>
      </c>
      <c r="KZ343" s="12" t="s">
        <v>37</v>
      </c>
      <c r="LB343" s="12" t="s">
        <v>37</v>
      </c>
      <c r="LC343" s="12" t="s">
        <v>37</v>
      </c>
      <c r="LD343" s="12" t="s">
        <v>37</v>
      </c>
      <c r="LI343" s="12" t="s">
        <v>37</v>
      </c>
      <c r="LJ343" s="12" t="s">
        <v>37</v>
      </c>
      <c r="LK343" s="12" t="s">
        <v>37</v>
      </c>
      <c r="LM343" s="12" t="s">
        <v>37</v>
      </c>
      <c r="LN343" s="12" t="s">
        <v>37</v>
      </c>
      <c r="LO343" s="12" t="s">
        <v>37</v>
      </c>
      <c r="LU343" s="12" t="s">
        <v>37</v>
      </c>
      <c r="LV343" s="12" t="s">
        <v>37</v>
      </c>
      <c r="LW343" s="12" t="s">
        <v>37</v>
      </c>
      <c r="LY343" s="12" t="s">
        <v>37</v>
      </c>
      <c r="LZ343" s="12" t="s">
        <v>37</v>
      </c>
      <c r="MA343" s="12" t="s">
        <v>37</v>
      </c>
      <c r="MF343" s="12" t="s">
        <v>37</v>
      </c>
      <c r="MG343" s="12" t="s">
        <v>37</v>
      </c>
      <c r="MH343" s="12" t="s">
        <v>37</v>
      </c>
      <c r="MJ343" s="12" t="s">
        <v>37</v>
      </c>
      <c r="MK343" s="12" t="s">
        <v>37</v>
      </c>
      <c r="ML343" s="12" t="s">
        <v>37</v>
      </c>
      <c r="MQ343" s="12" t="s">
        <v>37</v>
      </c>
      <c r="MR343" s="12" t="s">
        <v>37</v>
      </c>
      <c r="MS343" s="12" t="s">
        <v>37</v>
      </c>
      <c r="MU343" s="12" t="s">
        <v>37</v>
      </c>
      <c r="MV343" s="12" t="s">
        <v>37</v>
      </c>
      <c r="MW343" s="12" t="s">
        <v>37</v>
      </c>
      <c r="NC343" s="12" t="s">
        <v>37</v>
      </c>
      <c r="ND343" s="12" t="s">
        <v>37</v>
      </c>
      <c r="NE343" s="12" t="s">
        <v>37</v>
      </c>
      <c r="NG343" s="12" t="s">
        <v>37</v>
      </c>
      <c r="NH343" s="12" t="s">
        <v>37</v>
      </c>
      <c r="NI343" s="12" t="s">
        <v>37</v>
      </c>
      <c r="NO343" s="12" t="s">
        <v>37</v>
      </c>
      <c r="NP343" s="12" t="s">
        <v>37</v>
      </c>
      <c r="NQ343" s="12" t="s">
        <v>37</v>
      </c>
      <c r="NS343" s="12" t="s">
        <v>37</v>
      </c>
      <c r="NT343" s="12" t="s">
        <v>37</v>
      </c>
      <c r="NU343" s="12" t="s">
        <v>37</v>
      </c>
      <c r="OA343" s="12" t="s">
        <v>37</v>
      </c>
      <c r="OB343" s="12" t="s">
        <v>37</v>
      </c>
      <c r="OC343" s="12" t="s">
        <v>37</v>
      </c>
      <c r="OD343" s="12"/>
      <c r="OE343" s="12" t="s">
        <v>37</v>
      </c>
      <c r="OF343" s="12" t="s">
        <v>37</v>
      </c>
      <c r="OG343" s="12" t="s">
        <v>37</v>
      </c>
      <c r="OH343" s="12"/>
      <c r="OI343" s="12"/>
      <c r="OJ343" s="12"/>
      <c r="OM343" s="12" t="s">
        <v>37</v>
      </c>
      <c r="ON343" s="12" t="s">
        <v>37</v>
      </c>
      <c r="OO343" s="12" t="s">
        <v>37</v>
      </c>
      <c r="OP343" s="12" t="s">
        <v>37</v>
      </c>
      <c r="OQ343" s="12" t="s">
        <v>37</v>
      </c>
      <c r="OR343" s="12" t="s">
        <v>37</v>
      </c>
      <c r="OS343" s="12"/>
      <c r="OT343" s="12"/>
      <c r="OW343" s="12" t="s">
        <v>37</v>
      </c>
      <c r="OX343" s="12" t="s">
        <v>37</v>
      </c>
      <c r="OY343" s="13" t="s">
        <v>37</v>
      </c>
      <c r="OZ343" s="12" t="s">
        <v>37</v>
      </c>
      <c r="PA343" s="12" t="s">
        <v>37</v>
      </c>
      <c r="PB343" s="13" t="s">
        <v>37</v>
      </c>
      <c r="PG343" s="12" t="s">
        <v>37</v>
      </c>
      <c r="PH343" s="12" t="s">
        <v>37</v>
      </c>
      <c r="PI343" s="12" t="s">
        <v>37</v>
      </c>
      <c r="PJ343" s="12" t="s">
        <v>37</v>
      </c>
      <c r="PK343" s="12" t="s">
        <v>37</v>
      </c>
      <c r="PL343" s="12" t="s">
        <v>37</v>
      </c>
      <c r="PM343" s="12"/>
      <c r="PN343" s="12"/>
      <c r="PQ343" s="12" t="s">
        <v>37</v>
      </c>
      <c r="PR343" s="12" t="s">
        <v>37</v>
      </c>
      <c r="PS343" s="12" t="s">
        <v>37</v>
      </c>
      <c r="PT343" s="12" t="s">
        <v>37</v>
      </c>
      <c r="PU343" s="12" t="s">
        <v>37</v>
      </c>
      <c r="PV343" s="12" t="s">
        <v>37</v>
      </c>
      <c r="PW343" s="12"/>
      <c r="PX343" s="12"/>
      <c r="PZ343" s="12" t="s">
        <v>37</v>
      </c>
      <c r="QA343" s="12" t="s">
        <v>37</v>
      </c>
      <c r="QB343" s="12" t="s">
        <v>37</v>
      </c>
      <c r="QD343" s="12" t="s">
        <v>37</v>
      </c>
      <c r="QE343" s="12" t="s">
        <v>37</v>
      </c>
      <c r="QF343" s="12" t="s">
        <v>37</v>
      </c>
      <c r="QK343" s="12" t="s">
        <v>37</v>
      </c>
      <c r="QL343" s="12" t="s">
        <v>37</v>
      </c>
      <c r="QM343" s="12" t="s">
        <v>37</v>
      </c>
      <c r="QN343" s="12" t="s">
        <v>37</v>
      </c>
      <c r="QO343" s="12" t="s">
        <v>37</v>
      </c>
      <c r="QP343" s="12" t="s">
        <v>37</v>
      </c>
      <c r="QQ343" s="12"/>
      <c r="QR343" s="12"/>
      <c r="QU343" s="12" t="s">
        <v>37</v>
      </c>
      <c r="QV343" s="12" t="s">
        <v>37</v>
      </c>
      <c r="QW343" s="12" t="s">
        <v>37</v>
      </c>
      <c r="QX343" s="12" t="s">
        <v>37</v>
      </c>
      <c r="QY343" s="12" t="s">
        <v>37</v>
      </c>
      <c r="QZ343" s="12" t="s">
        <v>37</v>
      </c>
      <c r="RC343" s="12" t="s">
        <v>37</v>
      </c>
      <c r="RD343" s="12" t="s">
        <v>37</v>
      </c>
      <c r="RE343" s="13" t="s">
        <v>37</v>
      </c>
      <c r="RF343" s="12" t="s">
        <v>37</v>
      </c>
      <c r="RG343" s="12" t="s">
        <v>37</v>
      </c>
      <c r="RH343" s="13" t="s">
        <v>37</v>
      </c>
      <c r="RK343" s="12" t="s">
        <v>37</v>
      </c>
      <c r="RL343" s="12" t="s">
        <v>37</v>
      </c>
      <c r="RM343" s="11" t="s">
        <v>37</v>
      </c>
      <c r="RN343" s="12" t="s">
        <v>37</v>
      </c>
      <c r="RO343" s="12" t="s">
        <v>37</v>
      </c>
      <c r="RP343" s="11" t="s">
        <v>37</v>
      </c>
      <c r="RS343" s="12" t="s">
        <v>37</v>
      </c>
      <c r="RT343" s="12" t="s">
        <v>37</v>
      </c>
      <c r="RU343" s="12" t="s">
        <v>37</v>
      </c>
      <c r="RV343" s="12" t="s">
        <v>37</v>
      </c>
      <c r="RW343" s="12" t="s">
        <v>37</v>
      </c>
      <c r="RX343" s="12" t="s">
        <v>37</v>
      </c>
      <c r="SA343" s="12" t="s">
        <v>37</v>
      </c>
      <c r="SB343" s="12" t="s">
        <v>37</v>
      </c>
      <c r="SC343" s="12" t="s">
        <v>37</v>
      </c>
      <c r="SD343" s="12" t="s">
        <v>37</v>
      </c>
      <c r="SE343" s="12" t="s">
        <v>37</v>
      </c>
      <c r="SF343" s="12" t="s">
        <v>37</v>
      </c>
      <c r="SI343" s="12" t="s">
        <v>37</v>
      </c>
      <c r="SJ343" s="12" t="s">
        <v>37</v>
      </c>
      <c r="SK343" s="13" t="s">
        <v>37</v>
      </c>
      <c r="SM343" s="12" t="s">
        <v>37</v>
      </c>
      <c r="SN343" s="12" t="s">
        <v>37</v>
      </c>
      <c r="SO343" s="13" t="s">
        <v>37</v>
      </c>
      <c r="SU343" s="12" t="s">
        <v>37</v>
      </c>
      <c r="SV343" s="12" t="s">
        <v>37</v>
      </c>
      <c r="SW343" s="12" t="s">
        <v>37</v>
      </c>
      <c r="SX343" s="12" t="s">
        <v>37</v>
      </c>
      <c r="SY343" s="12" t="s">
        <v>37</v>
      </c>
      <c r="SZ343" s="12" t="s">
        <v>37</v>
      </c>
      <c r="TA343" s="12"/>
      <c r="TB343" s="12"/>
      <c r="TE343" s="12" t="s">
        <v>37</v>
      </c>
      <c r="TF343" s="12" t="s">
        <v>37</v>
      </c>
      <c r="TG343" s="12" t="s">
        <v>37</v>
      </c>
      <c r="TH343" s="12" t="s">
        <v>37</v>
      </c>
      <c r="TI343" s="12" t="s">
        <v>37</v>
      </c>
      <c r="TJ343" s="12" t="s">
        <v>37</v>
      </c>
      <c r="TK343" s="12"/>
      <c r="TL343" s="12"/>
      <c r="TO343" s="12" t="s">
        <v>37</v>
      </c>
      <c r="TP343" s="12" t="s">
        <v>37</v>
      </c>
      <c r="TQ343" s="12" t="s">
        <v>37</v>
      </c>
      <c r="TR343" s="12" t="s">
        <v>37</v>
      </c>
      <c r="TS343" s="12" t="s">
        <v>37</v>
      </c>
      <c r="TT343" s="12" t="s">
        <v>37</v>
      </c>
      <c r="TU343" s="12"/>
      <c r="TV343" s="12"/>
      <c r="TY343" s="12" t="s">
        <v>37</v>
      </c>
      <c r="TZ343" s="12" t="s">
        <v>37</v>
      </c>
      <c r="UA343" s="12" t="s">
        <v>37</v>
      </c>
      <c r="UB343" s="12" t="s">
        <v>37</v>
      </c>
      <c r="UC343" s="12" t="s">
        <v>37</v>
      </c>
      <c r="UD343" s="12" t="s">
        <v>37</v>
      </c>
      <c r="UE343" s="12"/>
      <c r="UF343" s="12"/>
      <c r="UI343" s="12" t="s">
        <v>37</v>
      </c>
      <c r="UJ343" s="12" t="s">
        <v>37</v>
      </c>
      <c r="UK343" s="12" t="s">
        <v>37</v>
      </c>
      <c r="UL343" s="12" t="s">
        <v>37</v>
      </c>
      <c r="UM343" s="12" t="s">
        <v>37</v>
      </c>
      <c r="UN343" s="12" t="s">
        <v>37</v>
      </c>
      <c r="UO343" s="12"/>
      <c r="UP343" s="12"/>
      <c r="UR343" s="12" t="s">
        <v>37</v>
      </c>
      <c r="US343" s="12" t="s">
        <v>37</v>
      </c>
      <c r="UT343" s="12" t="s">
        <v>37</v>
      </c>
      <c r="UU343" s="12" t="s">
        <v>37</v>
      </c>
      <c r="UV343" s="12" t="s">
        <v>37</v>
      </c>
      <c r="UW343" s="12" t="s">
        <v>37</v>
      </c>
      <c r="UX343" s="12"/>
      <c r="UY343" s="12"/>
      <c r="VB343" s="12" t="s">
        <v>37</v>
      </c>
      <c r="VC343" s="12" t="s">
        <v>37</v>
      </c>
      <c r="VD343" s="12" t="s">
        <v>37</v>
      </c>
      <c r="VE343" s="12" t="s">
        <v>37</v>
      </c>
      <c r="VF343" s="12" t="s">
        <v>37</v>
      </c>
      <c r="VG343" s="12" t="s">
        <v>37</v>
      </c>
      <c r="VI343" s="12" t="s">
        <v>37</v>
      </c>
      <c r="VJ343" s="12" t="s">
        <v>37</v>
      </c>
      <c r="VK343" s="12" t="s">
        <v>37</v>
      </c>
      <c r="VL343" s="12" t="s">
        <v>37</v>
      </c>
      <c r="VM343" s="12" t="s">
        <v>37</v>
      </c>
      <c r="VN343" s="12" t="s">
        <v>37</v>
      </c>
      <c r="VQ343" s="12" t="s">
        <v>37</v>
      </c>
      <c r="VR343" s="12" t="s">
        <v>37</v>
      </c>
      <c r="VS343" s="12" t="s">
        <v>37</v>
      </c>
      <c r="VT343" s="12" t="s">
        <v>37</v>
      </c>
      <c r="VU343" s="12" t="s">
        <v>37</v>
      </c>
      <c r="VV343" s="12" t="s">
        <v>37</v>
      </c>
      <c r="VW343" s="12"/>
      <c r="VX343" s="12"/>
      <c r="WA343" s="12" t="s">
        <v>37</v>
      </c>
      <c r="WB343" s="12" t="s">
        <v>37</v>
      </c>
      <c r="WC343" s="12" t="s">
        <v>37</v>
      </c>
      <c r="WD343" s="12" t="s">
        <v>37</v>
      </c>
      <c r="WE343" s="12" t="s">
        <v>37</v>
      </c>
      <c r="WF343" s="12" t="s">
        <v>37</v>
      </c>
    </row>
    <row r="344" spans="1:604" ht="18" customHeight="1" x14ac:dyDescent="0.3">
      <c r="A344" s="11">
        <v>74</v>
      </c>
      <c r="B344" s="16" t="s">
        <v>436</v>
      </c>
      <c r="C344" s="12" t="s">
        <v>26</v>
      </c>
      <c r="D344" s="84" t="s">
        <v>973</v>
      </c>
      <c r="E344" s="40">
        <v>1.2</v>
      </c>
      <c r="F344" s="14">
        <v>0</v>
      </c>
      <c r="G344" s="14">
        <v>0</v>
      </c>
      <c r="H344" s="12" t="s">
        <v>91</v>
      </c>
      <c r="I344" s="29">
        <v>46.667000000000002</v>
      </c>
      <c r="J344" s="29">
        <v>-71.167000000000002</v>
      </c>
      <c r="K344" s="12" t="s">
        <v>673</v>
      </c>
      <c r="L344" s="12" t="s">
        <v>674</v>
      </c>
      <c r="M344" s="13" t="s">
        <v>37</v>
      </c>
      <c r="N344" s="14" t="s">
        <v>37</v>
      </c>
      <c r="O344" s="14" t="s">
        <v>37</v>
      </c>
      <c r="P344" s="14" t="s">
        <v>16</v>
      </c>
      <c r="Q344" s="75">
        <v>3</v>
      </c>
      <c r="R344" s="11" t="s">
        <v>1000</v>
      </c>
      <c r="S344" s="12" t="s">
        <v>85</v>
      </c>
      <c r="T344" s="12" t="s">
        <v>141</v>
      </c>
      <c r="U344" s="12" t="s">
        <v>164</v>
      </c>
      <c r="V344" s="12" t="s">
        <v>275</v>
      </c>
      <c r="W344" s="23" t="s">
        <v>438</v>
      </c>
      <c r="X344" s="12" t="s">
        <v>281</v>
      </c>
      <c r="Y344" s="12" t="s">
        <v>37</v>
      </c>
      <c r="Z344" s="12" t="s">
        <v>37</v>
      </c>
      <c r="AB344" s="12" t="s">
        <v>37</v>
      </c>
      <c r="AE344" s="12" t="s">
        <v>37</v>
      </c>
      <c r="AH344" s="12" t="s">
        <v>37</v>
      </c>
      <c r="AK344" s="12" t="s">
        <v>37</v>
      </c>
      <c r="AL344" s="32" t="s">
        <v>441</v>
      </c>
      <c r="AM344" s="12" t="s">
        <v>317</v>
      </c>
      <c r="AN344" s="32" t="s">
        <v>880</v>
      </c>
      <c r="AO344" s="12" t="s">
        <v>318</v>
      </c>
      <c r="AP344" s="12" t="s">
        <v>167</v>
      </c>
      <c r="AQ344" s="12" t="s">
        <v>975</v>
      </c>
      <c r="AT344" s="12" t="s">
        <v>326</v>
      </c>
      <c r="AU344" s="12" t="s">
        <v>326</v>
      </c>
      <c r="AV344" s="13" t="s">
        <v>326</v>
      </c>
      <c r="AX344" s="12" t="s">
        <v>326</v>
      </c>
      <c r="AY344" s="12" t="s">
        <v>326</v>
      </c>
      <c r="AZ344" s="13" t="s">
        <v>326</v>
      </c>
      <c r="BE344" s="12" t="s">
        <v>326</v>
      </c>
      <c r="BF344" s="12" t="s">
        <v>326</v>
      </c>
      <c r="BG344" s="12" t="s">
        <v>326</v>
      </c>
      <c r="BI344" s="12" t="s">
        <v>326</v>
      </c>
      <c r="BJ344" s="12" t="s">
        <v>326</v>
      </c>
      <c r="BK344" s="12" t="s">
        <v>326</v>
      </c>
      <c r="BP344" s="12" t="s">
        <v>37</v>
      </c>
      <c r="BQ344" s="12" t="s">
        <v>37</v>
      </c>
      <c r="BR344" s="13" t="s">
        <v>37</v>
      </c>
      <c r="BT344" s="12" t="s">
        <v>37</v>
      </c>
      <c r="BU344" s="12" t="s">
        <v>37</v>
      </c>
      <c r="BV344" s="12" t="s">
        <v>37</v>
      </c>
      <c r="BZ344" s="12" t="s">
        <v>47</v>
      </c>
      <c r="CA344" s="12">
        <f>-168*("2002/09/30"-"2002/05/01")/("2002/08/31"-"2002/05/12")*10^4/10^3/'[6]classess-1'!$T$94</f>
        <v>-2413.5954295652286</v>
      </c>
      <c r="CB344" s="12">
        <f>SQRT((1/[7]Classess!$T$94)^2*(9*("2002/09/30"-"2002/05/01")/("2002/08/31"-"2002/05/12")*SQRT(3)*10^4/10^3)^2+(-CA344/([7]Classess!$T$94)^2)^2*([7]Classess!$U$94)^2)</f>
        <v>229.44356214196344</v>
      </c>
      <c r="CC344" s="13">
        <v>3</v>
      </c>
      <c r="CD344" s="19">
        <f t="shared" si="1321"/>
        <v>9.5062975066742689E-2</v>
      </c>
      <c r="CE344" s="12">
        <f>-139*("2002/09/30"-"2002/05/01")/("2002/08/31"-"2002/05/12")*10^4/10^3/'[6]classess-1'!$T$93</f>
        <v>-1974.4510380611171</v>
      </c>
      <c r="CF344" s="12">
        <f>SQRT((1/[7]Classess!$T$93)^2*(18*("2002/09/30"-"2002/05/01")/("2002/08/31"-"2002/05/12")*SQRT(3)*10^4/10^3)^2+(-CE344/([7]Classess!$T$93)^2)^2*([7]Classess!$U$93)^2)</f>
        <v>445.58850967321683</v>
      </c>
      <c r="CG344" s="13">
        <v>3</v>
      </c>
      <c r="CH344" s="19">
        <f t="shared" si="1322"/>
        <v>0.2256771634665494</v>
      </c>
      <c r="CI344" s="75">
        <f t="shared" si="1323"/>
        <v>439.14439150411158</v>
      </c>
      <c r="CJ344" s="12">
        <f t="shared" si="1324"/>
        <v>354.39629524107011</v>
      </c>
      <c r="CK344" s="72">
        <f t="shared" si="1325"/>
        <v>83731.15605373049</v>
      </c>
      <c r="CL344" s="72">
        <f t="shared" si="1326"/>
        <v>83731.15605373049</v>
      </c>
      <c r="CM344" s="12" t="s">
        <v>47</v>
      </c>
      <c r="CN344" s="12">
        <f>194*("2002/09/30"-"2002/05/01")/("2002/08/31"-"2002/05/12")*10^4/10^3/'[6]classess-1'!$I$94</f>
        <v>3307.4596550267315</v>
      </c>
      <c r="CO344" s="12">
        <f>SQRT((1/[7]Classess!$I$94)^2*(31*("2002/09/30"-"2002/05/01")/("2002/08/31"-"2002/05/12")*SQRT(3)*10^4/10^3)^2+(-CN344/([7]Classess!$I$94)^2)^2*([7]Classess!$J$94)^2)</f>
        <v>917.36533177060426</v>
      </c>
      <c r="CP344" s="13">
        <v>3</v>
      </c>
      <c r="CQ344" s="19">
        <f t="shared" si="1327"/>
        <v>0.27736251608583568</v>
      </c>
      <c r="CR344" s="12">
        <f>185*("2002/09/30"-"2002/05/01")/("2002/08/31"-"2002/05/12")*10^4/10^3/'[6]classess-1'!$I$93</f>
        <v>2945.9965963075938</v>
      </c>
      <c r="CS344" s="12">
        <f>SQRT((1/[7]Classess!$I$93)^2*(23*("2002/09/30"-"2002/05/01")/("2002/08/31"-"2002/05/12")*SQRT(3)*10^4/10^3)^2+(-CR344/([7]Classess!$I$93)^2)^2*([7]Classess!$J$93)^2)</f>
        <v>650.63940348918732</v>
      </c>
      <c r="CT344" s="13">
        <v>3</v>
      </c>
      <c r="CU344" s="19">
        <f t="shared" si="1328"/>
        <v>0.22085544983476063</v>
      </c>
      <c r="CV344" s="75">
        <f t="shared" si="1329"/>
        <v>-361.46305871913773</v>
      </c>
      <c r="CW344" s="12">
        <f t="shared" si="1330"/>
        <v>795.26435394381792</v>
      </c>
      <c r="CX344" s="72">
        <f t="shared" si="1331"/>
        <v>421630.26176911872</v>
      </c>
      <c r="CY344" s="72">
        <f t="shared" si="1332"/>
        <v>421630.26176911872</v>
      </c>
      <c r="CZ344" s="12" t="s">
        <v>47</v>
      </c>
      <c r="DA344" s="12">
        <f t="shared" si="1339"/>
        <v>893.86422546150288</v>
      </c>
      <c r="DB344" s="12">
        <f>SQRT((1/[7]Classess!$I$37)^2*(35*SQRT(3)*10^4/10^3)^2+(-DA344/([7]Classess!$I$37))^2*([7]Classess!$J$37)^2)</f>
        <v>1145.1881990612055</v>
      </c>
      <c r="DC344" s="13">
        <v>3</v>
      </c>
      <c r="DD344" s="19">
        <f t="shared" si="1333"/>
        <v>1.2811657144796726</v>
      </c>
      <c r="DE344" s="12">
        <f t="shared" si="1340"/>
        <v>971.54555824647673</v>
      </c>
      <c r="DF344" s="12">
        <f>SQRT((1/[7]Classess!$I$38)^2*(25*SQRT(3)*10^4/10^3)^2+(-DE344/([7]Classess!$I$38)^2)^2*([7]Classess!$J$38)^2)</f>
        <v>320.49742821623516</v>
      </c>
      <c r="DG344" s="13">
        <v>3</v>
      </c>
      <c r="DH344" s="19">
        <f t="shared" si="1334"/>
        <v>0.32988409601161123</v>
      </c>
      <c r="DI344" s="19">
        <f t="shared" si="1335"/>
        <v>77.681332784973847</v>
      </c>
      <c r="DJ344" s="12">
        <f t="shared" si="1336"/>
        <v>840.88483538540163</v>
      </c>
      <c r="DK344" s="72">
        <f t="shared" si="1337"/>
        <v>471391.5375874227</v>
      </c>
      <c r="DL344" s="72">
        <f t="shared" si="1338"/>
        <v>471391.53758742276</v>
      </c>
      <c r="DM344" s="11" t="s">
        <v>47</v>
      </c>
      <c r="DN344" s="19">
        <f>7*("2002/09/30"-"2002/05/01")/("2002/08/31"-"2002/05/12")*10^4/10^3/'[1]classes-1'!$I$90</f>
        <v>146.68166869973513</v>
      </c>
      <c r="DO344" s="12">
        <f>SQRT((1/[2]Classes!$I$90)^2*(2*("2002/09/30"-"2002/05/01")/("2002/08/31"-"2002/05/12")*SQRT(3)*10^4/10^3)^2+(-DN344/([2]Classes!$I$90)^2)^2*([2]Classes!$J$90)^2)</f>
        <v>127.23656397839687</v>
      </c>
      <c r="DP344" s="13">
        <v>3</v>
      </c>
      <c r="DQ344" s="19">
        <f t="shared" si="1294"/>
        <v>0.86743330033186783</v>
      </c>
      <c r="DR344" s="19">
        <f>2*("2002/09/30"-"2002/05/01")/("2002/08/31"-"2002/05/12")*10^4/10^3/'[1]classes-1'!$I$91</f>
        <v>29.726676509263978</v>
      </c>
      <c r="DS344" s="12">
        <f>SQRT((1/[2]Classes!$I$91)^2*(1*SQRT(3)*10^4/10^3)^2+(-DR344/([2]Classes!$I$91)^2)^2*([2]Classes!$J$91)^2)</f>
        <v>18.92341152926349</v>
      </c>
      <c r="DT344" s="13">
        <v>3</v>
      </c>
      <c r="DU344" s="19">
        <f t="shared" si="1295"/>
        <v>0.63658012773026362</v>
      </c>
      <c r="DV344" s="19">
        <f t="shared" si="1315"/>
        <v>-116.95499219047115</v>
      </c>
      <c r="DW344" s="12">
        <f t="shared" si="1316"/>
        <v>90.959437984561404</v>
      </c>
      <c r="DX344" s="72">
        <f t="shared" si="1251"/>
        <v>5515.7462389781804</v>
      </c>
      <c r="DY344" s="72">
        <f t="shared" si="1252"/>
        <v>5515.7462389781813</v>
      </c>
      <c r="EA344" s="19" t="s">
        <v>37</v>
      </c>
      <c r="EB344" s="19" t="s">
        <v>37</v>
      </c>
      <c r="EC344" s="72" t="s">
        <v>37</v>
      </c>
      <c r="EE344" s="19" t="s">
        <v>37</v>
      </c>
      <c r="EF344" s="19" t="s">
        <v>37</v>
      </c>
      <c r="EG344" s="12" t="s">
        <v>37</v>
      </c>
      <c r="EM344" s="12" t="s">
        <v>39</v>
      </c>
      <c r="EN344" s="12">
        <v>-5.9727095516569193</v>
      </c>
      <c r="EO344" s="12">
        <v>0.38993551592449915</v>
      </c>
      <c r="EP344" s="13">
        <v>3</v>
      </c>
      <c r="EQ344" s="19">
        <f t="shared" si="1341"/>
        <v>6.5286200936445202E-2</v>
      </c>
      <c r="ER344" s="12">
        <v>-14.607809847198643</v>
      </c>
      <c r="ES344" s="12">
        <v>0.44735902456710497</v>
      </c>
      <c r="ET344" s="13">
        <v>3</v>
      </c>
      <c r="EU344" s="19">
        <f t="shared" si="1342"/>
        <v>3.0624647311718364E-2</v>
      </c>
      <c r="EV344" s="19">
        <f t="shared" si="1317"/>
        <v>-8.635100295541724</v>
      </c>
      <c r="EW344" s="12">
        <f t="shared" si="1318"/>
        <v>0.41963067299765933</v>
      </c>
      <c r="EX344" s="19">
        <f t="shared" si="1319"/>
        <v>0.11739326781364565</v>
      </c>
      <c r="EY344" s="19">
        <f t="shared" si="1320"/>
        <v>0.11739326781364566</v>
      </c>
      <c r="FB344" s="12" t="s">
        <v>37</v>
      </c>
      <c r="FC344" s="12" t="s">
        <v>37</v>
      </c>
      <c r="FD344" s="12" t="s">
        <v>37</v>
      </c>
      <c r="FE344" s="12" t="s">
        <v>37</v>
      </c>
      <c r="FF344" s="20" t="s">
        <v>37</v>
      </c>
      <c r="FG344" s="12" t="s">
        <v>37</v>
      </c>
      <c r="FI344" s="12" t="s">
        <v>37</v>
      </c>
      <c r="FJ344" s="12" t="s">
        <v>37</v>
      </c>
      <c r="FK344" s="12" t="s">
        <v>37</v>
      </c>
      <c r="FL344" s="12" t="s">
        <v>37</v>
      </c>
      <c r="FM344" s="12" t="s">
        <v>37</v>
      </c>
      <c r="FN344" s="12" t="s">
        <v>37</v>
      </c>
      <c r="FP344" s="12" t="s">
        <v>37</v>
      </c>
      <c r="FQ344" s="12" t="s">
        <v>37</v>
      </c>
      <c r="FR344" s="12" t="s">
        <v>37</v>
      </c>
      <c r="FS344" s="12" t="s">
        <v>37</v>
      </c>
      <c r="FT344" s="12" t="s">
        <v>37</v>
      </c>
      <c r="FU344" s="12" t="s">
        <v>37</v>
      </c>
      <c r="FW344" s="12" t="s">
        <v>37</v>
      </c>
      <c r="FX344" s="12" t="s">
        <v>37</v>
      </c>
      <c r="FY344" s="12" t="s">
        <v>37</v>
      </c>
      <c r="FZ344" s="12" t="s">
        <v>37</v>
      </c>
      <c r="GA344" s="12" t="s">
        <v>37</v>
      </c>
      <c r="GB344" s="12" t="s">
        <v>37</v>
      </c>
      <c r="GO344" s="12" t="s">
        <v>660</v>
      </c>
      <c r="GP344" s="12" t="s">
        <v>330</v>
      </c>
      <c r="GQ344" s="12">
        <v>18.5</v>
      </c>
      <c r="GR344" s="12">
        <f>0.27*SQRT(3)</f>
        <v>0.4676537180435969</v>
      </c>
      <c r="GS344" s="13">
        <v>3</v>
      </c>
      <c r="GT344" s="19">
        <f>GR344/GQ344</f>
        <v>2.527857935370794E-2</v>
      </c>
      <c r="GU344" s="12">
        <v>17.8</v>
      </c>
      <c r="GV344" s="12">
        <f>0.71*SQRT(3)</f>
        <v>1.2297560733739028</v>
      </c>
      <c r="GW344" s="13">
        <v>3</v>
      </c>
      <c r="GX344" s="19">
        <f>GV344/GU344</f>
        <v>6.9087419852466442E-2</v>
      </c>
      <c r="GY344" s="19">
        <f>LN(GU344/GQ344)</f>
        <v>-3.8572274786239619E-2</v>
      </c>
      <c r="GZ344" s="19">
        <f t="shared" ref="GZ344" si="1344">GV344^2/(GW344*GU344^2)+GR344^2/(GS344*GQ344^2)</f>
        <v>1.804026052004228E-3</v>
      </c>
      <c r="IK344" s="12" t="s">
        <v>37</v>
      </c>
      <c r="IL344" s="12" t="s">
        <v>37</v>
      </c>
      <c r="IM344" s="12" t="s">
        <v>37</v>
      </c>
      <c r="IO344" s="12" t="s">
        <v>37</v>
      </c>
      <c r="IP344" s="12" t="s">
        <v>37</v>
      </c>
      <c r="IQ344" s="12" t="s">
        <v>37</v>
      </c>
      <c r="IW344" s="12" t="s">
        <v>37</v>
      </c>
      <c r="IX344" s="12" t="s">
        <v>37</v>
      </c>
      <c r="IY344" s="13" t="s">
        <v>37</v>
      </c>
      <c r="JA344" s="12" t="s">
        <v>37</v>
      </c>
      <c r="JB344" s="12" t="s">
        <v>37</v>
      </c>
      <c r="JC344" s="13" t="s">
        <v>37</v>
      </c>
      <c r="JH344" s="12" t="s">
        <v>37</v>
      </c>
      <c r="JI344" s="12" t="s">
        <v>37</v>
      </c>
      <c r="JJ344" s="13" t="s">
        <v>37</v>
      </c>
      <c r="JL344" s="12" t="s">
        <v>37</v>
      </c>
      <c r="JM344" s="12" t="s">
        <v>37</v>
      </c>
      <c r="JN344" s="12" t="s">
        <v>37</v>
      </c>
      <c r="JS344" s="12" t="s">
        <v>37</v>
      </c>
      <c r="JT344" s="12" t="s">
        <v>37</v>
      </c>
      <c r="JU344" s="13" t="s">
        <v>37</v>
      </c>
      <c r="JW344" s="12" t="s">
        <v>37</v>
      </c>
      <c r="JX344" s="12" t="s">
        <v>37</v>
      </c>
      <c r="JY344" s="12" t="s">
        <v>37</v>
      </c>
      <c r="KE344" s="12" t="s">
        <v>37</v>
      </c>
      <c r="KF344" s="12" t="s">
        <v>37</v>
      </c>
      <c r="KG344" s="13" t="s">
        <v>37</v>
      </c>
      <c r="KH344" s="12" t="s">
        <v>37</v>
      </c>
      <c r="KI344" s="12" t="s">
        <v>37</v>
      </c>
      <c r="KJ344" s="12" t="s">
        <v>37</v>
      </c>
      <c r="KM344" s="12" t="s">
        <v>37</v>
      </c>
      <c r="KN344" s="12" t="s">
        <v>37</v>
      </c>
      <c r="KO344" s="11" t="s">
        <v>37</v>
      </c>
      <c r="KQ344" s="12" t="s">
        <v>37</v>
      </c>
      <c r="KR344" s="12" t="s">
        <v>37</v>
      </c>
      <c r="KS344" s="12" t="s">
        <v>37</v>
      </c>
      <c r="KX344" s="12" t="s">
        <v>37</v>
      </c>
      <c r="KY344" s="12" t="s">
        <v>37</v>
      </c>
      <c r="KZ344" s="12" t="s">
        <v>37</v>
      </c>
      <c r="LB344" s="12" t="s">
        <v>37</v>
      </c>
      <c r="LC344" s="12" t="s">
        <v>37</v>
      </c>
      <c r="LD344" s="12" t="s">
        <v>37</v>
      </c>
      <c r="LI344" s="12" t="s">
        <v>37</v>
      </c>
      <c r="LJ344" s="12" t="s">
        <v>37</v>
      </c>
      <c r="LK344" s="12" t="s">
        <v>37</v>
      </c>
      <c r="LM344" s="12" t="s">
        <v>37</v>
      </c>
      <c r="LN344" s="12" t="s">
        <v>37</v>
      </c>
      <c r="LO344" s="12" t="s">
        <v>37</v>
      </c>
      <c r="LU344" s="12" t="s">
        <v>37</v>
      </c>
      <c r="LV344" s="12" t="s">
        <v>37</v>
      </c>
      <c r="LW344" s="12" t="s">
        <v>37</v>
      </c>
      <c r="LY344" s="12" t="s">
        <v>37</v>
      </c>
      <c r="LZ344" s="12" t="s">
        <v>37</v>
      </c>
      <c r="MA344" s="12" t="s">
        <v>37</v>
      </c>
      <c r="MF344" s="12" t="s">
        <v>37</v>
      </c>
      <c r="MG344" s="12" t="s">
        <v>37</v>
      </c>
      <c r="MH344" s="12" t="s">
        <v>37</v>
      </c>
      <c r="MJ344" s="12" t="s">
        <v>37</v>
      </c>
      <c r="MK344" s="12" t="s">
        <v>37</v>
      </c>
      <c r="ML344" s="12" t="s">
        <v>37</v>
      </c>
      <c r="MQ344" s="12" t="s">
        <v>37</v>
      </c>
      <c r="MR344" s="12" t="s">
        <v>37</v>
      </c>
      <c r="MS344" s="12" t="s">
        <v>37</v>
      </c>
      <c r="MU344" s="12" t="s">
        <v>37</v>
      </c>
      <c r="MV344" s="12" t="s">
        <v>37</v>
      </c>
      <c r="MW344" s="12" t="s">
        <v>37</v>
      </c>
      <c r="NC344" s="12" t="s">
        <v>37</v>
      </c>
      <c r="ND344" s="12" t="s">
        <v>37</v>
      </c>
      <c r="NE344" s="12" t="s">
        <v>37</v>
      </c>
      <c r="NG344" s="12" t="s">
        <v>37</v>
      </c>
      <c r="NH344" s="12" t="s">
        <v>37</v>
      </c>
      <c r="NI344" s="12" t="s">
        <v>37</v>
      </c>
      <c r="NO344" s="12" t="s">
        <v>37</v>
      </c>
      <c r="NP344" s="12" t="s">
        <v>37</v>
      </c>
      <c r="NQ344" s="12" t="s">
        <v>37</v>
      </c>
      <c r="NS344" s="12" t="s">
        <v>37</v>
      </c>
      <c r="NT344" s="12" t="s">
        <v>37</v>
      </c>
      <c r="NU344" s="12" t="s">
        <v>37</v>
      </c>
      <c r="OA344" s="12" t="s">
        <v>37</v>
      </c>
      <c r="OB344" s="12" t="s">
        <v>37</v>
      </c>
      <c r="OC344" s="12" t="s">
        <v>37</v>
      </c>
      <c r="OD344" s="12"/>
      <c r="OE344" s="12" t="s">
        <v>37</v>
      </c>
      <c r="OF344" s="12" t="s">
        <v>37</v>
      </c>
      <c r="OG344" s="12" t="s">
        <v>37</v>
      </c>
      <c r="OH344" s="12"/>
      <c r="OI344" s="12"/>
      <c r="OJ344" s="12"/>
      <c r="OM344" s="12" t="s">
        <v>37</v>
      </c>
      <c r="ON344" s="12" t="s">
        <v>37</v>
      </c>
      <c r="OO344" s="12" t="s">
        <v>37</v>
      </c>
      <c r="OP344" s="12" t="s">
        <v>37</v>
      </c>
      <c r="OQ344" s="12" t="s">
        <v>37</v>
      </c>
      <c r="OR344" s="12" t="s">
        <v>37</v>
      </c>
      <c r="OS344" s="12"/>
      <c r="OT344" s="12"/>
      <c r="OW344" s="12" t="s">
        <v>37</v>
      </c>
      <c r="OX344" s="12" t="s">
        <v>37</v>
      </c>
      <c r="OY344" s="13" t="s">
        <v>37</v>
      </c>
      <c r="OZ344" s="12" t="s">
        <v>37</v>
      </c>
      <c r="PA344" s="12" t="s">
        <v>37</v>
      </c>
      <c r="PB344" s="13" t="s">
        <v>37</v>
      </c>
      <c r="PG344" s="12" t="s">
        <v>37</v>
      </c>
      <c r="PH344" s="12" t="s">
        <v>37</v>
      </c>
      <c r="PI344" s="12" t="s">
        <v>37</v>
      </c>
      <c r="PJ344" s="12" t="s">
        <v>37</v>
      </c>
      <c r="PK344" s="12" t="s">
        <v>37</v>
      </c>
      <c r="PL344" s="12" t="s">
        <v>37</v>
      </c>
      <c r="PM344" s="12"/>
      <c r="PN344" s="12"/>
      <c r="PQ344" s="12" t="s">
        <v>37</v>
      </c>
      <c r="PR344" s="12" t="s">
        <v>37</v>
      </c>
      <c r="PS344" s="12" t="s">
        <v>37</v>
      </c>
      <c r="PT344" s="12" t="s">
        <v>37</v>
      </c>
      <c r="PU344" s="12" t="s">
        <v>37</v>
      </c>
      <c r="PV344" s="12" t="s">
        <v>37</v>
      </c>
      <c r="PW344" s="12"/>
      <c r="PX344" s="12"/>
      <c r="PZ344" s="12" t="s">
        <v>37</v>
      </c>
      <c r="QA344" s="12" t="s">
        <v>37</v>
      </c>
      <c r="QB344" s="12" t="s">
        <v>37</v>
      </c>
      <c r="QD344" s="12" t="s">
        <v>37</v>
      </c>
      <c r="QE344" s="12" t="s">
        <v>37</v>
      </c>
      <c r="QF344" s="12" t="s">
        <v>37</v>
      </c>
      <c r="QK344" s="12" t="s">
        <v>37</v>
      </c>
      <c r="QL344" s="12" t="s">
        <v>37</v>
      </c>
      <c r="QM344" s="12" t="s">
        <v>37</v>
      </c>
      <c r="QN344" s="12" t="s">
        <v>37</v>
      </c>
      <c r="QO344" s="12" t="s">
        <v>37</v>
      </c>
      <c r="QP344" s="12" t="s">
        <v>37</v>
      </c>
      <c r="QQ344" s="12"/>
      <c r="QR344" s="12"/>
      <c r="QU344" s="12" t="s">
        <v>37</v>
      </c>
      <c r="QV344" s="12" t="s">
        <v>37</v>
      </c>
      <c r="QW344" s="12" t="s">
        <v>37</v>
      </c>
      <c r="QX344" s="12" t="s">
        <v>37</v>
      </c>
      <c r="QY344" s="12" t="s">
        <v>37</v>
      </c>
      <c r="QZ344" s="12" t="s">
        <v>37</v>
      </c>
      <c r="RC344" s="12" t="s">
        <v>37</v>
      </c>
      <c r="RD344" s="12" t="s">
        <v>37</v>
      </c>
      <c r="RE344" s="13" t="s">
        <v>37</v>
      </c>
      <c r="RF344" s="12" t="s">
        <v>37</v>
      </c>
      <c r="RG344" s="12" t="s">
        <v>37</v>
      </c>
      <c r="RH344" s="13" t="s">
        <v>37</v>
      </c>
      <c r="RK344" s="12" t="s">
        <v>37</v>
      </c>
      <c r="RL344" s="12" t="s">
        <v>37</v>
      </c>
      <c r="RM344" s="11" t="s">
        <v>37</v>
      </c>
      <c r="RN344" s="12" t="s">
        <v>37</v>
      </c>
      <c r="RO344" s="12" t="s">
        <v>37</v>
      </c>
      <c r="RP344" s="11" t="s">
        <v>37</v>
      </c>
      <c r="RS344" s="12" t="s">
        <v>37</v>
      </c>
      <c r="RT344" s="12" t="s">
        <v>37</v>
      </c>
      <c r="RU344" s="12" t="s">
        <v>37</v>
      </c>
      <c r="RV344" s="12" t="s">
        <v>37</v>
      </c>
      <c r="RW344" s="12" t="s">
        <v>37</v>
      </c>
      <c r="RX344" s="12" t="s">
        <v>37</v>
      </c>
      <c r="SA344" s="12" t="s">
        <v>37</v>
      </c>
      <c r="SB344" s="12" t="s">
        <v>37</v>
      </c>
      <c r="SC344" s="12" t="s">
        <v>37</v>
      </c>
      <c r="SD344" s="12" t="s">
        <v>37</v>
      </c>
      <c r="SE344" s="12" t="s">
        <v>37</v>
      </c>
      <c r="SF344" s="12" t="s">
        <v>37</v>
      </c>
      <c r="SI344" s="12" t="s">
        <v>37</v>
      </c>
      <c r="SJ344" s="12" t="s">
        <v>37</v>
      </c>
      <c r="SK344" s="13" t="s">
        <v>37</v>
      </c>
      <c r="SM344" s="12" t="s">
        <v>37</v>
      </c>
      <c r="SN344" s="12" t="s">
        <v>37</v>
      </c>
      <c r="SO344" s="13" t="s">
        <v>37</v>
      </c>
      <c r="SU344" s="12" t="s">
        <v>37</v>
      </c>
      <c r="SV344" s="12" t="s">
        <v>37</v>
      </c>
      <c r="SW344" s="12" t="s">
        <v>37</v>
      </c>
      <c r="SX344" s="12" t="s">
        <v>37</v>
      </c>
      <c r="SY344" s="12" t="s">
        <v>37</v>
      </c>
      <c r="SZ344" s="12" t="s">
        <v>37</v>
      </c>
      <c r="TA344" s="12"/>
      <c r="TB344" s="12"/>
      <c r="TE344" s="12" t="s">
        <v>37</v>
      </c>
      <c r="TF344" s="12" t="s">
        <v>37</v>
      </c>
      <c r="TG344" s="12" t="s">
        <v>37</v>
      </c>
      <c r="TH344" s="12" t="s">
        <v>37</v>
      </c>
      <c r="TI344" s="12" t="s">
        <v>37</v>
      </c>
      <c r="TJ344" s="12" t="s">
        <v>37</v>
      </c>
      <c r="TK344" s="12"/>
      <c r="TL344" s="12"/>
      <c r="TO344" s="12" t="s">
        <v>37</v>
      </c>
      <c r="TP344" s="12" t="s">
        <v>37</v>
      </c>
      <c r="TQ344" s="12" t="s">
        <v>37</v>
      </c>
      <c r="TR344" s="12" t="s">
        <v>37</v>
      </c>
      <c r="TS344" s="12" t="s">
        <v>37</v>
      </c>
      <c r="TT344" s="12" t="s">
        <v>37</v>
      </c>
      <c r="TU344" s="12"/>
      <c r="TV344" s="12"/>
      <c r="TY344" s="12" t="s">
        <v>37</v>
      </c>
      <c r="TZ344" s="12" t="s">
        <v>37</v>
      </c>
      <c r="UA344" s="12" t="s">
        <v>37</v>
      </c>
      <c r="UB344" s="12" t="s">
        <v>37</v>
      </c>
      <c r="UC344" s="12" t="s">
        <v>37</v>
      </c>
      <c r="UD344" s="12" t="s">
        <v>37</v>
      </c>
      <c r="UE344" s="12"/>
      <c r="UF344" s="12"/>
      <c r="UI344" s="12" t="s">
        <v>37</v>
      </c>
      <c r="UJ344" s="12" t="s">
        <v>37</v>
      </c>
      <c r="UK344" s="12" t="s">
        <v>37</v>
      </c>
      <c r="UL344" s="12" t="s">
        <v>37</v>
      </c>
      <c r="UM344" s="12" t="s">
        <v>37</v>
      </c>
      <c r="UN344" s="12" t="s">
        <v>37</v>
      </c>
      <c r="UO344" s="12"/>
      <c r="UP344" s="12"/>
      <c r="UR344" s="12" t="s">
        <v>37</v>
      </c>
      <c r="US344" s="12" t="s">
        <v>37</v>
      </c>
      <c r="UT344" s="12" t="s">
        <v>37</v>
      </c>
      <c r="UU344" s="12" t="s">
        <v>37</v>
      </c>
      <c r="UV344" s="12" t="s">
        <v>37</v>
      </c>
      <c r="UW344" s="12" t="s">
        <v>37</v>
      </c>
      <c r="UX344" s="12"/>
      <c r="UY344" s="12"/>
      <c r="VB344" s="12" t="s">
        <v>37</v>
      </c>
      <c r="VC344" s="12" t="s">
        <v>37</v>
      </c>
      <c r="VD344" s="12" t="s">
        <v>37</v>
      </c>
      <c r="VE344" s="12" t="s">
        <v>37</v>
      </c>
      <c r="VF344" s="12" t="s">
        <v>37</v>
      </c>
      <c r="VG344" s="12" t="s">
        <v>37</v>
      </c>
      <c r="VI344" s="12" t="s">
        <v>37</v>
      </c>
      <c r="VJ344" s="12" t="s">
        <v>37</v>
      </c>
      <c r="VK344" s="12" t="s">
        <v>37</v>
      </c>
      <c r="VL344" s="12" t="s">
        <v>37</v>
      </c>
      <c r="VM344" s="12" t="s">
        <v>37</v>
      </c>
      <c r="VN344" s="12" t="s">
        <v>37</v>
      </c>
      <c r="VQ344" s="12" t="s">
        <v>37</v>
      </c>
      <c r="VR344" s="12" t="s">
        <v>37</v>
      </c>
      <c r="VS344" s="12" t="s">
        <v>37</v>
      </c>
      <c r="VT344" s="12" t="s">
        <v>37</v>
      </c>
      <c r="VU344" s="12" t="s">
        <v>37</v>
      </c>
      <c r="VV344" s="12" t="s">
        <v>37</v>
      </c>
      <c r="VW344" s="12"/>
      <c r="VX344" s="12"/>
      <c r="WA344" s="12" t="s">
        <v>37</v>
      </c>
      <c r="WB344" s="12" t="s">
        <v>37</v>
      </c>
      <c r="WC344" s="12" t="s">
        <v>37</v>
      </c>
      <c r="WD344" s="12" t="s">
        <v>37</v>
      </c>
      <c r="WE344" s="12" t="s">
        <v>37</v>
      </c>
      <c r="WF344" s="12" t="s">
        <v>37</v>
      </c>
    </row>
    <row r="345" spans="1:604" ht="18" customHeight="1" x14ac:dyDescent="0.3">
      <c r="A345" s="11">
        <v>74</v>
      </c>
      <c r="B345" s="16" t="s">
        <v>436</v>
      </c>
      <c r="C345" s="12" t="s">
        <v>26</v>
      </c>
      <c r="D345" s="12" t="s">
        <v>973</v>
      </c>
      <c r="E345" s="40">
        <v>1.2</v>
      </c>
      <c r="F345" s="14">
        <v>0</v>
      </c>
      <c r="G345" s="14">
        <v>0</v>
      </c>
      <c r="H345" s="12" t="s">
        <v>91</v>
      </c>
      <c r="I345" s="29">
        <v>46.667000000000002</v>
      </c>
      <c r="J345" s="29">
        <v>-71.167000000000002</v>
      </c>
      <c r="K345" s="12" t="s">
        <v>673</v>
      </c>
      <c r="L345" s="12" t="s">
        <v>674</v>
      </c>
      <c r="M345" s="13" t="s">
        <v>37</v>
      </c>
      <c r="N345" s="14" t="s">
        <v>37</v>
      </c>
      <c r="O345" s="14" t="s">
        <v>37</v>
      </c>
      <c r="P345" s="14" t="s">
        <v>16</v>
      </c>
      <c r="Q345" s="75">
        <v>1</v>
      </c>
      <c r="R345" s="11" t="s">
        <v>1000</v>
      </c>
      <c r="S345" s="12" t="s">
        <v>85</v>
      </c>
      <c r="T345" s="12" t="s">
        <v>141</v>
      </c>
      <c r="U345" s="12" t="s">
        <v>334</v>
      </c>
      <c r="V345" s="12" t="s">
        <v>275</v>
      </c>
      <c r="W345" s="23" t="s">
        <v>439</v>
      </c>
      <c r="X345" s="12" t="s">
        <v>280</v>
      </c>
      <c r="Y345" s="12" t="s">
        <v>37</v>
      </c>
      <c r="Z345" s="12" t="s">
        <v>37</v>
      </c>
      <c r="AB345" s="12" t="s">
        <v>37</v>
      </c>
      <c r="AE345" s="12" t="s">
        <v>37</v>
      </c>
      <c r="AH345" s="12" t="s">
        <v>37</v>
      </c>
      <c r="AK345" s="12" t="s">
        <v>37</v>
      </c>
      <c r="AL345" s="32" t="s">
        <v>442</v>
      </c>
      <c r="AM345" s="12" t="s">
        <v>317</v>
      </c>
      <c r="AN345" s="32" t="s">
        <v>880</v>
      </c>
      <c r="AO345" s="12" t="s">
        <v>847</v>
      </c>
      <c r="AP345" s="12" t="s">
        <v>167</v>
      </c>
      <c r="AQ345" s="12" t="s">
        <v>975</v>
      </c>
      <c r="AT345" s="12" t="s">
        <v>326</v>
      </c>
      <c r="AU345" s="12" t="s">
        <v>326</v>
      </c>
      <c r="AV345" s="13" t="s">
        <v>326</v>
      </c>
      <c r="AX345" s="12" t="s">
        <v>326</v>
      </c>
      <c r="AY345" s="12" t="s">
        <v>326</v>
      </c>
      <c r="AZ345" s="13" t="s">
        <v>326</v>
      </c>
      <c r="BE345" s="12" t="s">
        <v>326</v>
      </c>
      <c r="BF345" s="12" t="s">
        <v>326</v>
      </c>
      <c r="BG345" s="12" t="s">
        <v>326</v>
      </c>
      <c r="BI345" s="12" t="s">
        <v>326</v>
      </c>
      <c r="BJ345" s="12" t="s">
        <v>326</v>
      </c>
      <c r="BK345" s="12" t="s">
        <v>326</v>
      </c>
      <c r="BP345" s="12" t="s">
        <v>37</v>
      </c>
      <c r="BQ345" s="12" t="s">
        <v>37</v>
      </c>
      <c r="BR345" s="13" t="s">
        <v>37</v>
      </c>
      <c r="BT345" s="12" t="s">
        <v>37</v>
      </c>
      <c r="BU345" s="12" t="s">
        <v>37</v>
      </c>
      <c r="BV345" s="12" t="s">
        <v>37</v>
      </c>
      <c r="BZ345" s="12" t="s">
        <v>47</v>
      </c>
      <c r="CA345" s="12">
        <f>-70*("2002/09/30"-"2002/05/01")/("2002/08/19"-"2002/05/12")*("2002/09/30"-"2002/05/01")/("2002/08/31"-"2002/05/12")*10^4/10^3/'[6]classess-1'!$T$96</f>
        <v>-1544.0509482067121</v>
      </c>
      <c r="CB345" s="12">
        <f>SQRT((1/[7]Classess!$T$96)^2*(30*("2002/09/30"-"2002/05/01")/("2002/08/19"-"2002/05/12")*SQRT(3)*10^4/10^3)^2+(-CA345/([7]Classess!$T$96)^2)^2*([7]Classess!$U$96)^2)</f>
        <v>837.60714709123818</v>
      </c>
      <c r="CC345" s="13">
        <v>3</v>
      </c>
      <c r="CD345" s="19">
        <f t="shared" si="1321"/>
        <v>0.54247377527538831</v>
      </c>
      <c r="CE345" s="12">
        <f>-74*("2002/09/30"-"2002/05/01")/("2002/08/19"-"2002/05/12")*10^4/10^3/'[6]classess-1'!$T$93</f>
        <v>-1178.558304384421</v>
      </c>
      <c r="CF345" s="12">
        <f>SQRT((1/[7]Classess!$T$93)^2*(40*("2002/09/30"-"2002/05/01")/("2002/08/19"-"2002/05/12")*SQRT(3)*10^4/10^3)^2+(-CE345/([7]Classess!$T$93)^2)^2*([7]Classess!$U$93)^2)</f>
        <v>1103.8093288412595</v>
      </c>
      <c r="CG345" s="13">
        <v>3</v>
      </c>
      <c r="CH345" s="19">
        <f t="shared" si="1322"/>
        <v>0.93657592054200145</v>
      </c>
      <c r="CI345" s="75">
        <f t="shared" si="1323"/>
        <v>365.49264382229103</v>
      </c>
      <c r="CJ345" s="12">
        <f t="shared" si="1324"/>
        <v>979.79098977672652</v>
      </c>
      <c r="CK345" s="72">
        <f t="shared" si="1325"/>
        <v>639993.58909843827</v>
      </c>
      <c r="CL345" s="72">
        <f t="shared" si="1326"/>
        <v>639993.58909843827</v>
      </c>
      <c r="CM345" s="12" t="s">
        <v>47</v>
      </c>
      <c r="CN345" s="12">
        <f>43*("2002/09/30"-"2002/05/01")/("2002/08/19"-"2002/05/12")*10^4/10^3/'[6]classess-1'!$I$96</f>
        <v>821.95693707396595</v>
      </c>
      <c r="CO345" s="12">
        <f>SQRT((1/[7]Classess!$I$96)^2*(26*("2002/09/30"-"2002/05/01")/("2002/08/19"-"2002/05/12")*SQRT(3)*10^4/10^3)^2+(-CN345/([7]Classess!$I$96)^2)^2*([7]Classess!$J$96)^2)</f>
        <v>860.95304933064097</v>
      </c>
      <c r="CP345" s="13">
        <v>3</v>
      </c>
      <c r="CQ345" s="19">
        <f t="shared" si="1327"/>
        <v>1.0474430113036028</v>
      </c>
      <c r="CR345" s="12">
        <f>68*("2002/09/30"-"2002/05/01")/("2002/08/19"-"2002/05/12")*10^4/10^3/'[6]classess-1'!$I$93</f>
        <v>1214.1076881752506</v>
      </c>
      <c r="CS345" s="12">
        <f>SQRT((1/[7]Classess!$I$93)^2*(19*("2002/09/30"-"2002/05/01")/("2002/08/19"-"2002/05/12")*SQRT(3)*10^4/10^3)^2+(-CR345/([7]Classess!$I$93)^2)^2*([7]Classess!$J$93)^2)</f>
        <v>590.58610863952993</v>
      </c>
      <c r="CT345" s="13">
        <v>3</v>
      </c>
      <c r="CU345" s="19">
        <f t="shared" si="1328"/>
        <v>0.48643634694971283</v>
      </c>
      <c r="CV345" s="75">
        <f t="shared" si="1329"/>
        <v>392.15075110128464</v>
      </c>
      <c r="CW345" s="12">
        <f t="shared" si="1330"/>
        <v>738.25202501236379</v>
      </c>
      <c r="CX345" s="72">
        <f t="shared" si="1331"/>
        <v>363344.03495657054</v>
      </c>
      <c r="CY345" s="72">
        <f t="shared" si="1332"/>
        <v>363344.0349565706</v>
      </c>
      <c r="CZ345" s="12" t="s">
        <v>47</v>
      </c>
      <c r="DA345" s="12">
        <f t="shared" si="1339"/>
        <v>-722.09401113274612</v>
      </c>
      <c r="DB345" s="12">
        <f>SQRT((1/[7]Classess!$I$37)^2*(5*SQRT(3)*10^4/10^3)^2+(-DA345/([7]Classess!$I$37)^2)^2*([7]Classess!$J$37)^2)</f>
        <v>355.55395504217751</v>
      </c>
      <c r="DC345" s="13">
        <v>3</v>
      </c>
      <c r="DD345" s="19">
        <f t="shared" si="1333"/>
        <v>0.49239288729790376</v>
      </c>
      <c r="DE345" s="12">
        <f t="shared" si="1340"/>
        <v>35.549383790829552</v>
      </c>
      <c r="DF345" s="12">
        <f>SQRT((1/[7]Classess!$I$38)^2*(9*SQRT(3)*10^4/10^3)^2+(-DE345/([7]Classess!$I$38)^2)^2*([7]Classess!$J$38)^2)</f>
        <v>98.404402630841858</v>
      </c>
      <c r="DG345" s="13">
        <v>3</v>
      </c>
      <c r="DH345" s="19">
        <f t="shared" si="1334"/>
        <v>2.76810431398326</v>
      </c>
      <c r="DI345" s="19">
        <f t="shared" si="1335"/>
        <v>757.64339492357567</v>
      </c>
      <c r="DJ345" s="12">
        <f t="shared" si="1336"/>
        <v>260.86590559449087</v>
      </c>
      <c r="DK345" s="72">
        <f t="shared" si="1337"/>
        <v>45367.34713442254</v>
      </c>
      <c r="DL345" s="72">
        <f t="shared" si="1338"/>
        <v>45367.34713442254</v>
      </c>
      <c r="DM345" s="11" t="s">
        <v>47</v>
      </c>
      <c r="DN345" s="19">
        <f>9*("2002/09/30"-"2002/05/01")/("2002/08/19"-"2002/05/12")*10^4/10^3/'[1]classes-1'!$I$92</f>
        <v>158.06344550056443</v>
      </c>
      <c r="DO345" s="12">
        <f>SQRT((1/[2]Classes!$I$92)^2*(5*("2002/09/30"-"2002/05/01")/("2002/08/19"-"2002/05/12")*SQRT(3)*10^4/10^3)^2+(-DN345/([2]Classes!$I$92)^2)^2*([2]Classes!$J$92)^2)</f>
        <v>156.23763874501105</v>
      </c>
      <c r="DP345" s="13">
        <v>3</v>
      </c>
      <c r="DQ345" s="19">
        <f t="shared" si="1294"/>
        <v>0.98844889942914183</v>
      </c>
      <c r="DR345" s="19">
        <f>32*("2002/09/30"-"2002/05/01")/("2002/08/19"-"2002/05/12")*10^4/10^3/'[1]classes-1'!$I$93</f>
        <v>533.27856040861434</v>
      </c>
      <c r="DS345" s="12">
        <f>SQRT((1/[2]Classes!$I$93)^2*(16*("2002/09/30"-"2002/05/01")/("2002/08/19"-"2002/05/12")*SQRT(3)*10^4/10^3)^2+(-DR345/([2]Classes!$I$93)^2)^2*([2]Classes!$J$93)^2)</f>
        <v>463.45283466494965</v>
      </c>
      <c r="DT345" s="13">
        <v>3</v>
      </c>
      <c r="DU345" s="19">
        <f t="shared" si="1295"/>
        <v>0.86906331713361573</v>
      </c>
      <c r="DV345" s="19">
        <f t="shared" si="1315"/>
        <v>375.21511490804994</v>
      </c>
      <c r="DW345" s="12">
        <f t="shared" si="1316"/>
        <v>345.83141103693413</v>
      </c>
      <c r="DX345" s="72">
        <f t="shared" si="1251"/>
        <v>79732.909906531248</v>
      </c>
      <c r="DY345" s="72">
        <f t="shared" si="1252"/>
        <v>79732.909906531248</v>
      </c>
      <c r="EA345" s="19" t="s">
        <v>37</v>
      </c>
      <c r="EB345" s="19" t="s">
        <v>37</v>
      </c>
      <c r="EC345" s="72" t="s">
        <v>37</v>
      </c>
      <c r="EE345" s="19" t="s">
        <v>37</v>
      </c>
      <c r="EF345" s="19" t="s">
        <v>37</v>
      </c>
      <c r="EG345" s="12" t="s">
        <v>37</v>
      </c>
      <c r="EM345" s="12" t="s">
        <v>39</v>
      </c>
      <c r="EN345" s="12">
        <v>9.6094276094276143</v>
      </c>
      <c r="EO345" s="12">
        <v>0.82472710313952347</v>
      </c>
      <c r="EP345" s="13">
        <v>3</v>
      </c>
      <c r="EQ345" s="19">
        <f t="shared" si="1341"/>
        <v>8.5824789639957377E-2</v>
      </c>
      <c r="ER345" s="12">
        <v>0.24242424242424274</v>
      </c>
      <c r="ES345" s="12">
        <v>0.32506616373647801</v>
      </c>
      <c r="ET345" s="13">
        <v>3</v>
      </c>
      <c r="EU345" s="19">
        <f t="shared" si="1342"/>
        <v>1.34089792541297</v>
      </c>
      <c r="EV345" s="19">
        <f t="shared" si="1317"/>
        <v>-9.3670033670033721</v>
      </c>
      <c r="EW345" s="12">
        <f t="shared" si="1318"/>
        <v>0.62683443007673922</v>
      </c>
      <c r="EX345" s="19">
        <f t="shared" si="1319"/>
        <v>0.26194760181975363</v>
      </c>
      <c r="EY345" s="19">
        <f t="shared" si="1320"/>
        <v>0.26194760181975363</v>
      </c>
      <c r="FB345" s="12" t="s">
        <v>37</v>
      </c>
      <c r="FC345" s="12" t="s">
        <v>37</v>
      </c>
      <c r="FD345" s="12" t="s">
        <v>37</v>
      </c>
      <c r="FE345" s="12" t="s">
        <v>37</v>
      </c>
      <c r="FF345" s="20" t="s">
        <v>37</v>
      </c>
      <c r="FG345" s="12" t="s">
        <v>37</v>
      </c>
      <c r="FI345" s="12" t="s">
        <v>37</v>
      </c>
      <c r="FJ345" s="12" t="s">
        <v>37</v>
      </c>
      <c r="FK345" s="12" t="s">
        <v>37</v>
      </c>
      <c r="FL345" s="12" t="s">
        <v>37</v>
      </c>
      <c r="FM345" s="12" t="s">
        <v>37</v>
      </c>
      <c r="FN345" s="12" t="s">
        <v>37</v>
      </c>
      <c r="FP345" s="12" t="s">
        <v>37</v>
      </c>
      <c r="FQ345" s="12" t="s">
        <v>37</v>
      </c>
      <c r="FR345" s="12" t="s">
        <v>37</v>
      </c>
      <c r="FS345" s="12" t="s">
        <v>37</v>
      </c>
      <c r="FT345" s="12" t="s">
        <v>37</v>
      </c>
      <c r="FU345" s="12" t="s">
        <v>37</v>
      </c>
      <c r="FW345" s="12" t="s">
        <v>37</v>
      </c>
      <c r="FX345" s="12" t="s">
        <v>37</v>
      </c>
      <c r="FY345" s="12" t="s">
        <v>37</v>
      </c>
      <c r="FZ345" s="12" t="s">
        <v>37</v>
      </c>
      <c r="GA345" s="12" t="s">
        <v>37</v>
      </c>
      <c r="GB345" s="12" t="s">
        <v>37</v>
      </c>
      <c r="IK345" s="12" t="s">
        <v>37</v>
      </c>
      <c r="IL345" s="12" t="s">
        <v>37</v>
      </c>
      <c r="IM345" s="12" t="s">
        <v>37</v>
      </c>
      <c r="IO345" s="12" t="s">
        <v>37</v>
      </c>
      <c r="IP345" s="12" t="s">
        <v>37</v>
      </c>
      <c r="IQ345" s="12" t="s">
        <v>37</v>
      </c>
      <c r="IW345" s="12" t="s">
        <v>37</v>
      </c>
      <c r="IX345" s="12" t="s">
        <v>37</v>
      </c>
      <c r="IY345" s="13" t="s">
        <v>37</v>
      </c>
      <c r="JA345" s="12" t="s">
        <v>37</v>
      </c>
      <c r="JB345" s="12" t="s">
        <v>37</v>
      </c>
      <c r="JC345" s="13" t="s">
        <v>37</v>
      </c>
      <c r="JH345" s="12" t="s">
        <v>37</v>
      </c>
      <c r="JI345" s="12" t="s">
        <v>37</v>
      </c>
      <c r="JJ345" s="13" t="s">
        <v>37</v>
      </c>
      <c r="JL345" s="12" t="s">
        <v>37</v>
      </c>
      <c r="JM345" s="12" t="s">
        <v>37</v>
      </c>
      <c r="JN345" s="12" t="s">
        <v>37</v>
      </c>
      <c r="JS345" s="12" t="s">
        <v>37</v>
      </c>
      <c r="JT345" s="12" t="s">
        <v>37</v>
      </c>
      <c r="JU345" s="13" t="s">
        <v>37</v>
      </c>
      <c r="JW345" s="12" t="s">
        <v>37</v>
      </c>
      <c r="JX345" s="12" t="s">
        <v>37</v>
      </c>
      <c r="JY345" s="12" t="s">
        <v>37</v>
      </c>
      <c r="KE345" s="12" t="s">
        <v>37</v>
      </c>
      <c r="KF345" s="12" t="s">
        <v>37</v>
      </c>
      <c r="KG345" s="13" t="s">
        <v>37</v>
      </c>
      <c r="KH345" s="12" t="s">
        <v>37</v>
      </c>
      <c r="KI345" s="12" t="s">
        <v>37</v>
      </c>
      <c r="KJ345" s="12" t="s">
        <v>37</v>
      </c>
      <c r="KM345" s="12" t="s">
        <v>37</v>
      </c>
      <c r="KN345" s="12" t="s">
        <v>37</v>
      </c>
      <c r="KO345" s="11" t="s">
        <v>37</v>
      </c>
      <c r="KQ345" s="12" t="s">
        <v>37</v>
      </c>
      <c r="KR345" s="12" t="s">
        <v>37</v>
      </c>
      <c r="KS345" s="12" t="s">
        <v>37</v>
      </c>
      <c r="KX345" s="12" t="s">
        <v>37</v>
      </c>
      <c r="KY345" s="12" t="s">
        <v>37</v>
      </c>
      <c r="KZ345" s="12" t="s">
        <v>37</v>
      </c>
      <c r="LB345" s="12" t="s">
        <v>37</v>
      </c>
      <c r="LC345" s="12" t="s">
        <v>37</v>
      </c>
      <c r="LD345" s="12" t="s">
        <v>37</v>
      </c>
      <c r="LI345" s="12" t="s">
        <v>37</v>
      </c>
      <c r="LJ345" s="12" t="s">
        <v>37</v>
      </c>
      <c r="LK345" s="12" t="s">
        <v>37</v>
      </c>
      <c r="LM345" s="12" t="s">
        <v>37</v>
      </c>
      <c r="LN345" s="12" t="s">
        <v>37</v>
      </c>
      <c r="LO345" s="12" t="s">
        <v>37</v>
      </c>
      <c r="LU345" s="12" t="s">
        <v>37</v>
      </c>
      <c r="LV345" s="12" t="s">
        <v>37</v>
      </c>
      <c r="LW345" s="12" t="s">
        <v>37</v>
      </c>
      <c r="LY345" s="12" t="s">
        <v>37</v>
      </c>
      <c r="LZ345" s="12" t="s">
        <v>37</v>
      </c>
      <c r="MA345" s="12" t="s">
        <v>37</v>
      </c>
      <c r="MF345" s="12" t="s">
        <v>37</v>
      </c>
      <c r="MG345" s="12" t="s">
        <v>37</v>
      </c>
      <c r="MH345" s="12" t="s">
        <v>37</v>
      </c>
      <c r="MJ345" s="12" t="s">
        <v>37</v>
      </c>
      <c r="MK345" s="12" t="s">
        <v>37</v>
      </c>
      <c r="ML345" s="12" t="s">
        <v>37</v>
      </c>
      <c r="MQ345" s="12" t="s">
        <v>37</v>
      </c>
      <c r="MR345" s="12" t="s">
        <v>37</v>
      </c>
      <c r="MS345" s="12" t="s">
        <v>37</v>
      </c>
      <c r="MU345" s="12" t="s">
        <v>37</v>
      </c>
      <c r="MV345" s="12" t="s">
        <v>37</v>
      </c>
      <c r="MW345" s="12" t="s">
        <v>37</v>
      </c>
      <c r="NC345" s="12" t="s">
        <v>37</v>
      </c>
      <c r="ND345" s="12" t="s">
        <v>37</v>
      </c>
      <c r="NE345" s="12" t="s">
        <v>37</v>
      </c>
      <c r="NG345" s="12" t="s">
        <v>37</v>
      </c>
      <c r="NH345" s="12" t="s">
        <v>37</v>
      </c>
      <c r="NI345" s="12" t="s">
        <v>37</v>
      </c>
      <c r="NO345" s="12" t="s">
        <v>37</v>
      </c>
      <c r="NP345" s="12" t="s">
        <v>37</v>
      </c>
      <c r="NQ345" s="12" t="s">
        <v>37</v>
      </c>
      <c r="NS345" s="12" t="s">
        <v>37</v>
      </c>
      <c r="NT345" s="12" t="s">
        <v>37</v>
      </c>
      <c r="NU345" s="12" t="s">
        <v>37</v>
      </c>
      <c r="OA345" s="12" t="s">
        <v>37</v>
      </c>
      <c r="OB345" s="12" t="s">
        <v>37</v>
      </c>
      <c r="OC345" s="12" t="s">
        <v>37</v>
      </c>
      <c r="OD345" s="12"/>
      <c r="OE345" s="12" t="s">
        <v>37</v>
      </c>
      <c r="OF345" s="12" t="s">
        <v>37</v>
      </c>
      <c r="OG345" s="12" t="s">
        <v>37</v>
      </c>
      <c r="OH345" s="12"/>
      <c r="OI345" s="12"/>
      <c r="OJ345" s="12"/>
      <c r="OM345" s="12" t="s">
        <v>37</v>
      </c>
      <c r="ON345" s="12" t="s">
        <v>37</v>
      </c>
      <c r="OO345" s="12" t="s">
        <v>37</v>
      </c>
      <c r="OP345" s="12" t="s">
        <v>37</v>
      </c>
      <c r="OQ345" s="12" t="s">
        <v>37</v>
      </c>
      <c r="OR345" s="12" t="s">
        <v>37</v>
      </c>
      <c r="OS345" s="12"/>
      <c r="OT345" s="12"/>
      <c r="OW345" s="12" t="s">
        <v>37</v>
      </c>
      <c r="OX345" s="12" t="s">
        <v>37</v>
      </c>
      <c r="OY345" s="13" t="s">
        <v>37</v>
      </c>
      <c r="OZ345" s="12" t="s">
        <v>37</v>
      </c>
      <c r="PA345" s="12" t="s">
        <v>37</v>
      </c>
      <c r="PB345" s="13" t="s">
        <v>37</v>
      </c>
      <c r="PG345" s="12" t="s">
        <v>37</v>
      </c>
      <c r="PH345" s="12" t="s">
        <v>37</v>
      </c>
      <c r="PI345" s="12" t="s">
        <v>37</v>
      </c>
      <c r="PJ345" s="12" t="s">
        <v>37</v>
      </c>
      <c r="PK345" s="12" t="s">
        <v>37</v>
      </c>
      <c r="PL345" s="12" t="s">
        <v>37</v>
      </c>
      <c r="PM345" s="12"/>
      <c r="PN345" s="12"/>
      <c r="PQ345" s="12" t="s">
        <v>37</v>
      </c>
      <c r="PR345" s="12" t="s">
        <v>37</v>
      </c>
      <c r="PS345" s="12" t="s">
        <v>37</v>
      </c>
      <c r="PT345" s="12" t="s">
        <v>37</v>
      </c>
      <c r="PU345" s="12" t="s">
        <v>37</v>
      </c>
      <c r="PV345" s="12" t="s">
        <v>37</v>
      </c>
      <c r="PW345" s="12"/>
      <c r="PX345" s="12"/>
      <c r="PZ345" s="12" t="s">
        <v>37</v>
      </c>
      <c r="QA345" s="12" t="s">
        <v>37</v>
      </c>
      <c r="QB345" s="12" t="s">
        <v>37</v>
      </c>
      <c r="QD345" s="12" t="s">
        <v>37</v>
      </c>
      <c r="QE345" s="12" t="s">
        <v>37</v>
      </c>
      <c r="QF345" s="12" t="s">
        <v>37</v>
      </c>
      <c r="QK345" s="12" t="s">
        <v>37</v>
      </c>
      <c r="QL345" s="12" t="s">
        <v>37</v>
      </c>
      <c r="QM345" s="12" t="s">
        <v>37</v>
      </c>
      <c r="QN345" s="12" t="s">
        <v>37</v>
      </c>
      <c r="QO345" s="12" t="s">
        <v>37</v>
      </c>
      <c r="QP345" s="12" t="s">
        <v>37</v>
      </c>
      <c r="QQ345" s="12"/>
      <c r="QR345" s="12"/>
      <c r="QU345" s="12" t="s">
        <v>37</v>
      </c>
      <c r="QV345" s="12" t="s">
        <v>37</v>
      </c>
      <c r="QW345" s="12" t="s">
        <v>37</v>
      </c>
      <c r="QX345" s="12" t="s">
        <v>37</v>
      </c>
      <c r="QY345" s="12" t="s">
        <v>37</v>
      </c>
      <c r="QZ345" s="12" t="s">
        <v>37</v>
      </c>
      <c r="RC345" s="12" t="s">
        <v>37</v>
      </c>
      <c r="RD345" s="12" t="s">
        <v>37</v>
      </c>
      <c r="RE345" s="13" t="s">
        <v>37</v>
      </c>
      <c r="RF345" s="12" t="s">
        <v>37</v>
      </c>
      <c r="RG345" s="12" t="s">
        <v>37</v>
      </c>
      <c r="RH345" s="13" t="s">
        <v>37</v>
      </c>
      <c r="RK345" s="12" t="s">
        <v>37</v>
      </c>
      <c r="RL345" s="12" t="s">
        <v>37</v>
      </c>
      <c r="RM345" s="11" t="s">
        <v>37</v>
      </c>
      <c r="RN345" s="12" t="s">
        <v>37</v>
      </c>
      <c r="RO345" s="12" t="s">
        <v>37</v>
      </c>
      <c r="RP345" s="11" t="s">
        <v>37</v>
      </c>
      <c r="RS345" s="12" t="s">
        <v>37</v>
      </c>
      <c r="RT345" s="12" t="s">
        <v>37</v>
      </c>
      <c r="RU345" s="12" t="s">
        <v>37</v>
      </c>
      <c r="RV345" s="12" t="s">
        <v>37</v>
      </c>
      <c r="RW345" s="12" t="s">
        <v>37</v>
      </c>
      <c r="RX345" s="12" t="s">
        <v>37</v>
      </c>
      <c r="SA345" s="12" t="s">
        <v>37</v>
      </c>
      <c r="SB345" s="12" t="s">
        <v>37</v>
      </c>
      <c r="SC345" s="12" t="s">
        <v>37</v>
      </c>
      <c r="SD345" s="12" t="s">
        <v>37</v>
      </c>
      <c r="SE345" s="12" t="s">
        <v>37</v>
      </c>
      <c r="SF345" s="12" t="s">
        <v>37</v>
      </c>
      <c r="SI345" s="12" t="s">
        <v>37</v>
      </c>
      <c r="SJ345" s="12" t="s">
        <v>37</v>
      </c>
      <c r="SK345" s="13" t="s">
        <v>37</v>
      </c>
      <c r="SM345" s="12" t="s">
        <v>37</v>
      </c>
      <c r="SN345" s="12" t="s">
        <v>37</v>
      </c>
      <c r="SO345" s="13" t="s">
        <v>37</v>
      </c>
      <c r="SU345" s="12" t="s">
        <v>37</v>
      </c>
      <c r="SV345" s="12" t="s">
        <v>37</v>
      </c>
      <c r="SW345" s="12" t="s">
        <v>37</v>
      </c>
      <c r="SX345" s="12" t="s">
        <v>37</v>
      </c>
      <c r="SY345" s="12" t="s">
        <v>37</v>
      </c>
      <c r="SZ345" s="12" t="s">
        <v>37</v>
      </c>
      <c r="TA345" s="12"/>
      <c r="TB345" s="12"/>
      <c r="TE345" s="12" t="s">
        <v>37</v>
      </c>
      <c r="TF345" s="12" t="s">
        <v>37</v>
      </c>
      <c r="TG345" s="12" t="s">
        <v>37</v>
      </c>
      <c r="TH345" s="12" t="s">
        <v>37</v>
      </c>
      <c r="TI345" s="12" t="s">
        <v>37</v>
      </c>
      <c r="TJ345" s="12" t="s">
        <v>37</v>
      </c>
      <c r="TK345" s="12"/>
      <c r="TL345" s="12"/>
      <c r="TO345" s="12" t="s">
        <v>37</v>
      </c>
      <c r="TP345" s="12" t="s">
        <v>37</v>
      </c>
      <c r="TQ345" s="12" t="s">
        <v>37</v>
      </c>
      <c r="TR345" s="12" t="s">
        <v>37</v>
      </c>
      <c r="TS345" s="12" t="s">
        <v>37</v>
      </c>
      <c r="TT345" s="12" t="s">
        <v>37</v>
      </c>
      <c r="TU345" s="12"/>
      <c r="TV345" s="12"/>
      <c r="TY345" s="12" t="s">
        <v>37</v>
      </c>
      <c r="TZ345" s="12" t="s">
        <v>37</v>
      </c>
      <c r="UA345" s="12" t="s">
        <v>37</v>
      </c>
      <c r="UB345" s="12" t="s">
        <v>37</v>
      </c>
      <c r="UC345" s="12" t="s">
        <v>37</v>
      </c>
      <c r="UD345" s="12" t="s">
        <v>37</v>
      </c>
      <c r="UE345" s="12"/>
      <c r="UF345" s="12"/>
      <c r="UI345" s="12" t="s">
        <v>37</v>
      </c>
      <c r="UJ345" s="12" t="s">
        <v>37</v>
      </c>
      <c r="UK345" s="12" t="s">
        <v>37</v>
      </c>
      <c r="UL345" s="12" t="s">
        <v>37</v>
      </c>
      <c r="UM345" s="12" t="s">
        <v>37</v>
      </c>
      <c r="UN345" s="12" t="s">
        <v>37</v>
      </c>
      <c r="UO345" s="12"/>
      <c r="UP345" s="12"/>
      <c r="UR345" s="12" t="s">
        <v>37</v>
      </c>
      <c r="US345" s="12" t="s">
        <v>37</v>
      </c>
      <c r="UT345" s="12" t="s">
        <v>37</v>
      </c>
      <c r="UU345" s="12" t="s">
        <v>37</v>
      </c>
      <c r="UV345" s="12" t="s">
        <v>37</v>
      </c>
      <c r="UW345" s="12" t="s">
        <v>37</v>
      </c>
      <c r="UX345" s="12"/>
      <c r="UY345" s="12"/>
      <c r="VB345" s="12" t="s">
        <v>37</v>
      </c>
      <c r="VC345" s="12" t="s">
        <v>37</v>
      </c>
      <c r="VD345" s="12" t="s">
        <v>37</v>
      </c>
      <c r="VE345" s="12" t="s">
        <v>37</v>
      </c>
      <c r="VF345" s="12" t="s">
        <v>37</v>
      </c>
      <c r="VG345" s="12" t="s">
        <v>37</v>
      </c>
      <c r="VI345" s="12" t="s">
        <v>37</v>
      </c>
      <c r="VJ345" s="12" t="s">
        <v>37</v>
      </c>
      <c r="VK345" s="12" t="s">
        <v>37</v>
      </c>
      <c r="VL345" s="12" t="s">
        <v>37</v>
      </c>
      <c r="VM345" s="12" t="s">
        <v>37</v>
      </c>
      <c r="VN345" s="12" t="s">
        <v>37</v>
      </c>
      <c r="VQ345" s="12" t="s">
        <v>37</v>
      </c>
      <c r="VR345" s="12" t="s">
        <v>37</v>
      </c>
      <c r="VS345" s="12" t="s">
        <v>37</v>
      </c>
      <c r="VT345" s="12" t="s">
        <v>37</v>
      </c>
      <c r="VU345" s="12" t="s">
        <v>37</v>
      </c>
      <c r="VV345" s="12" t="s">
        <v>37</v>
      </c>
      <c r="VW345" s="12"/>
      <c r="VX345" s="12"/>
      <c r="WA345" s="12" t="s">
        <v>37</v>
      </c>
      <c r="WB345" s="12" t="s">
        <v>37</v>
      </c>
      <c r="WC345" s="12" t="s">
        <v>37</v>
      </c>
      <c r="WD345" s="12" t="s">
        <v>37</v>
      </c>
      <c r="WE345" s="12" t="s">
        <v>37</v>
      </c>
      <c r="WF345" s="12" t="s">
        <v>37</v>
      </c>
    </row>
    <row r="346" spans="1:604" ht="18" customHeight="1" x14ac:dyDescent="0.3">
      <c r="A346" s="11">
        <v>74</v>
      </c>
      <c r="B346" s="16" t="s">
        <v>436</v>
      </c>
      <c r="C346" s="12" t="s">
        <v>26</v>
      </c>
      <c r="D346" s="84" t="s">
        <v>973</v>
      </c>
      <c r="E346" s="40">
        <v>1.2</v>
      </c>
      <c r="F346" s="14">
        <v>0</v>
      </c>
      <c r="G346" s="14">
        <v>0</v>
      </c>
      <c r="H346" s="12" t="s">
        <v>91</v>
      </c>
      <c r="I346" s="29">
        <v>46.667000000000002</v>
      </c>
      <c r="J346" s="29">
        <v>-71.167000000000002</v>
      </c>
      <c r="K346" s="12" t="s">
        <v>673</v>
      </c>
      <c r="L346" s="12" t="s">
        <v>674</v>
      </c>
      <c r="M346" s="13" t="s">
        <v>37</v>
      </c>
      <c r="N346" s="14" t="s">
        <v>37</v>
      </c>
      <c r="O346" s="14" t="s">
        <v>37</v>
      </c>
      <c r="P346" s="14" t="s">
        <v>16</v>
      </c>
      <c r="Q346" s="75">
        <v>2</v>
      </c>
      <c r="R346" s="11" t="s">
        <v>1000</v>
      </c>
      <c r="S346" s="12" t="s">
        <v>85</v>
      </c>
      <c r="T346" s="12" t="s">
        <v>141</v>
      </c>
      <c r="U346" s="12" t="s">
        <v>334</v>
      </c>
      <c r="V346" s="12" t="s">
        <v>275</v>
      </c>
      <c r="W346" s="23" t="s">
        <v>439</v>
      </c>
      <c r="X346" s="12" t="s">
        <v>280</v>
      </c>
      <c r="Y346" s="12" t="s">
        <v>37</v>
      </c>
      <c r="Z346" s="12" t="s">
        <v>37</v>
      </c>
      <c r="AB346" s="12" t="s">
        <v>37</v>
      </c>
      <c r="AE346" s="12" t="s">
        <v>37</v>
      </c>
      <c r="AH346" s="12" t="s">
        <v>37</v>
      </c>
      <c r="AK346" s="12" t="s">
        <v>37</v>
      </c>
      <c r="AL346" s="32" t="s">
        <v>442</v>
      </c>
      <c r="AM346" s="12" t="s">
        <v>317</v>
      </c>
      <c r="AN346" s="32" t="s">
        <v>880</v>
      </c>
      <c r="AO346" s="12" t="s">
        <v>318</v>
      </c>
      <c r="AP346" s="12" t="s">
        <v>167</v>
      </c>
      <c r="AQ346" s="12" t="s">
        <v>975</v>
      </c>
      <c r="AT346" s="12" t="s">
        <v>326</v>
      </c>
      <c r="AU346" s="12" t="s">
        <v>326</v>
      </c>
      <c r="AV346" s="13" t="s">
        <v>326</v>
      </c>
      <c r="AX346" s="12" t="s">
        <v>326</v>
      </c>
      <c r="AY346" s="12" t="s">
        <v>326</v>
      </c>
      <c r="AZ346" s="13" t="s">
        <v>326</v>
      </c>
      <c r="BE346" s="12" t="s">
        <v>326</v>
      </c>
      <c r="BF346" s="12" t="s">
        <v>326</v>
      </c>
      <c r="BG346" s="12" t="s">
        <v>326</v>
      </c>
      <c r="BI346" s="12" t="s">
        <v>326</v>
      </c>
      <c r="BJ346" s="12" t="s">
        <v>326</v>
      </c>
      <c r="BK346" s="12" t="s">
        <v>326</v>
      </c>
      <c r="BP346" s="12" t="s">
        <v>37</v>
      </c>
      <c r="BQ346" s="12" t="s">
        <v>37</v>
      </c>
      <c r="BR346" s="13" t="s">
        <v>37</v>
      </c>
      <c r="BT346" s="12" t="s">
        <v>37</v>
      </c>
      <c r="BU346" s="12" t="s">
        <v>37</v>
      </c>
      <c r="BV346" s="12" t="s">
        <v>37</v>
      </c>
      <c r="BZ346" s="12" t="s">
        <v>47</v>
      </c>
      <c r="CA346" s="12">
        <f>-62*("2002/09/30"-"2002/05/01")/("2002/08/19"-"2002/05/12")*10^4/10^3/'[6]classess-1'!$T$96</f>
        <v>-998.69911894347672</v>
      </c>
      <c r="CB346" s="12">
        <f>SQRT((1/[7]Classess!$T$96)^2*(23*("2002/09/30"-"2002/05/01")/("2002/08/19"-"2002/05/12")*SQRT(3)*10^4/10^3)^2+(-CA346/([7]Classess!$T$96)^2)^2*([7]Classess!$U$96)^2)</f>
        <v>642.0310889187042</v>
      </c>
      <c r="CC346" s="13">
        <v>3</v>
      </c>
      <c r="CD346" s="19">
        <f t="shared" si="1321"/>
        <v>0.64286738291900025</v>
      </c>
      <c r="CE346" s="12">
        <f>-90*("2002/09/30"-"2002/05/01")/("2002/08/19"-"2002/05/12")*10^4/10^3/'[6]classess-1'!$T$93</f>
        <v>-1433.3817215486201</v>
      </c>
      <c r="CF346" s="12">
        <f>SQRT((1/[7]Classess!$T$93)^2*(43*("2002/09/30"-"2002/05/01")/("2002/08/19"-"2002/05/12")*SQRT(3)*10^4/10^3)^2+(-CE346/([7]Classess!$T$93)^2)^2*([7]Classess!$U$93)^2)</f>
        <v>1186.7128562544101</v>
      </c>
      <c r="CG346" s="13">
        <v>3</v>
      </c>
      <c r="CH346" s="19">
        <f t="shared" si="1322"/>
        <v>0.82791125239987717</v>
      </c>
      <c r="CI346" s="75">
        <f t="shared" si="1323"/>
        <v>-434.68260260514342</v>
      </c>
      <c r="CJ346" s="12">
        <f t="shared" si="1324"/>
        <v>954.06795416721684</v>
      </c>
      <c r="CK346" s="72">
        <f t="shared" si="1325"/>
        <v>606830.4407792124</v>
      </c>
      <c r="CL346" s="72">
        <f t="shared" si="1326"/>
        <v>606830.4407792124</v>
      </c>
      <c r="CM346" s="12" t="s">
        <v>47</v>
      </c>
      <c r="CN346" s="12">
        <f>36*("2002/09/30"-"2002/05/01")/("2002/08/19"-"2002/05/12")*10^4/10^3/'[6]classess-1'!$I$96</f>
        <v>688.14999382936685</v>
      </c>
      <c r="CO346" s="12">
        <f>SQRT((1/[7]Classess!$I$96)^2*(25*("2002/09/30"-"2002/05/01")/("2002/08/19"-"2002/05/12")*SQRT(3)*10^4/10^3)^2+(-CN346/([7]Classess!$I$96)^2)^2*([7]Classess!$J$96)^2)</f>
        <v>827.80955818446023</v>
      </c>
      <c r="CP346" s="13">
        <v>3</v>
      </c>
      <c r="CQ346" s="19">
        <f t="shared" si="1327"/>
        <v>1.2029493069932704</v>
      </c>
      <c r="CR346" s="12">
        <f>51*("2002/09/30"-"2002/05/01")/("2002/08/19"-"2002/05/12")*10^4/10^3/'[6]classess-1'!$I$93</f>
        <v>910.58076613143794</v>
      </c>
      <c r="CS346" s="12">
        <f>SQRT((1/[7]Classess!$I$93)^2*(28*("2002/09/30"-"2002/05/01")/("2002/08/19"-"2002/05/12")*SQRT(3)*10^4/10^3)^2+(-CR346/([7]Classess!$I$93)^2)^2*([7]Classess!$J$93)^2)</f>
        <v>867.05035134873242</v>
      </c>
      <c r="CT346" s="13">
        <v>3</v>
      </c>
      <c r="CU346" s="19">
        <f t="shared" si="1328"/>
        <v>0.9521948887986702</v>
      </c>
      <c r="CV346" s="75">
        <f t="shared" si="1329"/>
        <v>222.43077230207109</v>
      </c>
      <c r="CW346" s="12">
        <f t="shared" si="1330"/>
        <v>847.65705813008822</v>
      </c>
      <c r="CX346" s="72">
        <f t="shared" si="1331"/>
        <v>479014.99213183718</v>
      </c>
      <c r="CY346" s="72">
        <f t="shared" si="1332"/>
        <v>479014.99213183724</v>
      </c>
      <c r="CZ346" s="12" t="s">
        <v>47</v>
      </c>
      <c r="DA346" s="12">
        <f t="shared" si="1339"/>
        <v>-310.54912511410987</v>
      </c>
      <c r="DB346" s="12">
        <f>SQRT((1/[7]Classess!$I$37)^2*(23*SQRT(3)*10^4/10^3)^2+(-DA346/([7]Classess!$I$37)^2)^2*([7]Classess!$J$37)^2)</f>
        <v>752.08332336197429</v>
      </c>
      <c r="DC346" s="13">
        <v>3</v>
      </c>
      <c r="DD346" s="19">
        <f t="shared" si="1333"/>
        <v>2.4217853554912598</v>
      </c>
      <c r="DE346" s="12">
        <f t="shared" si="1340"/>
        <v>-522.80095541718219</v>
      </c>
      <c r="DF346" s="12">
        <f>SQRT((1/[7]Classess!$I$38)^2*(16*SQRT(3)*10^4/10^3)^2+(-DE346/([7]Classess!$I$38)^2)^2*([7]Classess!$J$38)^2)</f>
        <v>196.66566541741983</v>
      </c>
      <c r="DG346" s="13">
        <v>3</v>
      </c>
      <c r="DH346" s="19">
        <f t="shared" si="1334"/>
        <v>0.37617694340379604</v>
      </c>
      <c r="DI346" s="19">
        <f t="shared" si="1335"/>
        <v>-212.25183030307232</v>
      </c>
      <c r="DJ346" s="12">
        <f t="shared" si="1336"/>
        <v>549.68477750128227</v>
      </c>
      <c r="DK346" s="72">
        <f t="shared" si="1337"/>
        <v>201435.56974442283</v>
      </c>
      <c r="DL346" s="72">
        <f t="shared" si="1338"/>
        <v>201435.56974442283</v>
      </c>
      <c r="DM346" s="11" t="s">
        <v>47</v>
      </c>
      <c r="DN346" s="19">
        <f>81*("2002/09/30"-"2002/05/01")/("2002/08/19"-"2002/05/12")*10^4/10^3/'[1]classes-1'!$I$92</f>
        <v>1422.5710095050797</v>
      </c>
      <c r="DO346" s="12">
        <f>SQRT((1/[2]Classes!$I$90)^2*(39*("2002/09/30"-"2002/05/01")/("2002/08/19"-"2002/05/12")*SQRT(3)*10^4/10^3)^2+(-DN346/([2]Classes!$I$92)^2)^2*([2]Classes!$J$92)^2)</f>
        <v>1619.3061390358012</v>
      </c>
      <c r="DP346" s="13">
        <v>3</v>
      </c>
      <c r="DQ346" s="19">
        <f t="shared" si="1294"/>
        <v>1.1382954722233281</v>
      </c>
      <c r="DR346" s="19">
        <f>74*("2002/09/30"-"2002/05/01")/("2002/08/19"-"2002/05/12")*10^4/10^3/'[1]classes-1'!$I$93</f>
        <v>1233.2066709449209</v>
      </c>
      <c r="DS346" s="12">
        <f>SQRT((1/[2]Classes!$I$93)^2*(18*("2002/09/30"-"2002/05/01")/("2002/08/19"-"2002/05/12")*SQRT(3)*10^4/10^3)^2+(-DR346/([2]Classes!$I$93)^2)^2*([2]Classes!$J$93)^2)</f>
        <v>527.21983078939115</v>
      </c>
      <c r="DT346" s="13">
        <v>3</v>
      </c>
      <c r="DU346" s="19">
        <f t="shared" si="1295"/>
        <v>0.4275194443972794</v>
      </c>
      <c r="DV346" s="19">
        <f t="shared" si="1315"/>
        <v>-189.36433856015879</v>
      </c>
      <c r="DW346" s="12">
        <f t="shared" si="1316"/>
        <v>1204.182943305673</v>
      </c>
      <c r="DX346" s="72">
        <f t="shared" si="1251"/>
        <v>966704.37396554253</v>
      </c>
      <c r="DY346" s="72">
        <f t="shared" si="1252"/>
        <v>966704.37396554265</v>
      </c>
      <c r="EA346" s="19" t="s">
        <v>37</v>
      </c>
      <c r="EB346" s="19" t="s">
        <v>37</v>
      </c>
      <c r="EC346" s="72" t="s">
        <v>37</v>
      </c>
      <c r="EE346" s="19" t="s">
        <v>37</v>
      </c>
      <c r="EF346" s="19" t="s">
        <v>37</v>
      </c>
      <c r="EG346" s="12" t="s">
        <v>37</v>
      </c>
      <c r="EM346" s="12" t="s">
        <v>39</v>
      </c>
      <c r="EN346" s="12">
        <v>10.734402852049913</v>
      </c>
      <c r="EO346" s="12">
        <v>0.89907795198284091</v>
      </c>
      <c r="EP346" s="13">
        <v>3</v>
      </c>
      <c r="EQ346" s="19">
        <f t="shared" si="1341"/>
        <v>8.3756680681231099E-2</v>
      </c>
      <c r="ER346" s="12">
        <v>1.4153297682709467</v>
      </c>
      <c r="ES346" s="12">
        <v>0.51951553041500198</v>
      </c>
      <c r="ET346" s="13">
        <v>3</v>
      </c>
      <c r="EU346" s="19">
        <f t="shared" si="1342"/>
        <v>0.36706324000354623</v>
      </c>
      <c r="EV346" s="19">
        <f t="shared" si="1317"/>
        <v>-9.3190730837789655</v>
      </c>
      <c r="EW346" s="12">
        <f t="shared" si="1318"/>
        <v>0.73424708037691255</v>
      </c>
      <c r="EX346" s="19">
        <f t="shared" si="1319"/>
        <v>0.35941251669468011</v>
      </c>
      <c r="EY346" s="19">
        <f t="shared" si="1320"/>
        <v>0.35941251669468011</v>
      </c>
      <c r="FB346" s="12" t="s">
        <v>37</v>
      </c>
      <c r="FC346" s="12" t="s">
        <v>37</v>
      </c>
      <c r="FD346" s="12" t="s">
        <v>37</v>
      </c>
      <c r="FE346" s="12" t="s">
        <v>37</v>
      </c>
      <c r="FF346" s="20" t="s">
        <v>37</v>
      </c>
      <c r="FG346" s="12" t="s">
        <v>37</v>
      </c>
      <c r="FI346" s="12" t="s">
        <v>37</v>
      </c>
      <c r="FJ346" s="12" t="s">
        <v>37</v>
      </c>
      <c r="FK346" s="12" t="s">
        <v>37</v>
      </c>
      <c r="FL346" s="12" t="s">
        <v>37</v>
      </c>
      <c r="FM346" s="12" t="s">
        <v>37</v>
      </c>
      <c r="FN346" s="12" t="s">
        <v>37</v>
      </c>
      <c r="FP346" s="12" t="s">
        <v>37</v>
      </c>
      <c r="FQ346" s="12" t="s">
        <v>37</v>
      </c>
      <c r="FR346" s="12" t="s">
        <v>37</v>
      </c>
      <c r="FS346" s="12" t="s">
        <v>37</v>
      </c>
      <c r="FT346" s="12" t="s">
        <v>37</v>
      </c>
      <c r="FU346" s="12" t="s">
        <v>37</v>
      </c>
      <c r="FW346" s="12" t="s">
        <v>37</v>
      </c>
      <c r="FX346" s="12" t="s">
        <v>37</v>
      </c>
      <c r="FY346" s="12" t="s">
        <v>37</v>
      </c>
      <c r="FZ346" s="12" t="s">
        <v>37</v>
      </c>
      <c r="GA346" s="12" t="s">
        <v>37</v>
      </c>
      <c r="GB346" s="12" t="s">
        <v>37</v>
      </c>
      <c r="IK346" s="12" t="s">
        <v>37</v>
      </c>
      <c r="IL346" s="12" t="s">
        <v>37</v>
      </c>
      <c r="IM346" s="12" t="s">
        <v>37</v>
      </c>
      <c r="IO346" s="12" t="s">
        <v>37</v>
      </c>
      <c r="IP346" s="12" t="s">
        <v>37</v>
      </c>
      <c r="IQ346" s="12" t="s">
        <v>37</v>
      </c>
      <c r="IW346" s="12" t="s">
        <v>37</v>
      </c>
      <c r="IX346" s="12" t="s">
        <v>37</v>
      </c>
      <c r="IY346" s="13" t="s">
        <v>37</v>
      </c>
      <c r="JA346" s="12" t="s">
        <v>37</v>
      </c>
      <c r="JB346" s="12" t="s">
        <v>37</v>
      </c>
      <c r="JC346" s="13" t="s">
        <v>37</v>
      </c>
      <c r="JH346" s="12" t="s">
        <v>37</v>
      </c>
      <c r="JI346" s="12" t="s">
        <v>37</v>
      </c>
      <c r="JJ346" s="13" t="s">
        <v>37</v>
      </c>
      <c r="JL346" s="12" t="s">
        <v>37</v>
      </c>
      <c r="JM346" s="12" t="s">
        <v>37</v>
      </c>
      <c r="JN346" s="12" t="s">
        <v>37</v>
      </c>
      <c r="JS346" s="12" t="s">
        <v>37</v>
      </c>
      <c r="JT346" s="12" t="s">
        <v>37</v>
      </c>
      <c r="JU346" s="13" t="s">
        <v>37</v>
      </c>
      <c r="JW346" s="12" t="s">
        <v>37</v>
      </c>
      <c r="JX346" s="12" t="s">
        <v>37</v>
      </c>
      <c r="JY346" s="12" t="s">
        <v>37</v>
      </c>
      <c r="KE346" s="12" t="s">
        <v>37</v>
      </c>
      <c r="KF346" s="12" t="s">
        <v>37</v>
      </c>
      <c r="KG346" s="13" t="s">
        <v>37</v>
      </c>
      <c r="KH346" s="12" t="s">
        <v>37</v>
      </c>
      <c r="KI346" s="12" t="s">
        <v>37</v>
      </c>
      <c r="KJ346" s="12" t="s">
        <v>37</v>
      </c>
      <c r="KM346" s="12" t="s">
        <v>37</v>
      </c>
      <c r="KN346" s="12" t="s">
        <v>37</v>
      </c>
      <c r="KO346" s="11" t="s">
        <v>37</v>
      </c>
      <c r="KQ346" s="12" t="s">
        <v>37</v>
      </c>
      <c r="KR346" s="12" t="s">
        <v>37</v>
      </c>
      <c r="KS346" s="12" t="s">
        <v>37</v>
      </c>
      <c r="KX346" s="12" t="s">
        <v>37</v>
      </c>
      <c r="KY346" s="12" t="s">
        <v>37</v>
      </c>
      <c r="KZ346" s="12" t="s">
        <v>37</v>
      </c>
      <c r="LB346" s="12" t="s">
        <v>37</v>
      </c>
      <c r="LC346" s="12" t="s">
        <v>37</v>
      </c>
      <c r="LD346" s="12" t="s">
        <v>37</v>
      </c>
      <c r="LI346" s="12" t="s">
        <v>37</v>
      </c>
      <c r="LJ346" s="12" t="s">
        <v>37</v>
      </c>
      <c r="LK346" s="12" t="s">
        <v>37</v>
      </c>
      <c r="LM346" s="12" t="s">
        <v>37</v>
      </c>
      <c r="LN346" s="12" t="s">
        <v>37</v>
      </c>
      <c r="LO346" s="12" t="s">
        <v>37</v>
      </c>
      <c r="LU346" s="12" t="s">
        <v>37</v>
      </c>
      <c r="LV346" s="12" t="s">
        <v>37</v>
      </c>
      <c r="LW346" s="12" t="s">
        <v>37</v>
      </c>
      <c r="LY346" s="12" t="s">
        <v>37</v>
      </c>
      <c r="LZ346" s="12" t="s">
        <v>37</v>
      </c>
      <c r="MA346" s="12" t="s">
        <v>37</v>
      </c>
      <c r="MF346" s="12" t="s">
        <v>37</v>
      </c>
      <c r="MG346" s="12" t="s">
        <v>37</v>
      </c>
      <c r="MH346" s="12" t="s">
        <v>37</v>
      </c>
      <c r="MJ346" s="12" t="s">
        <v>37</v>
      </c>
      <c r="MK346" s="12" t="s">
        <v>37</v>
      </c>
      <c r="ML346" s="12" t="s">
        <v>37</v>
      </c>
      <c r="MQ346" s="12" t="s">
        <v>37</v>
      </c>
      <c r="MR346" s="12" t="s">
        <v>37</v>
      </c>
      <c r="MS346" s="12" t="s">
        <v>37</v>
      </c>
      <c r="MU346" s="12" t="s">
        <v>37</v>
      </c>
      <c r="MV346" s="12" t="s">
        <v>37</v>
      </c>
      <c r="MW346" s="12" t="s">
        <v>37</v>
      </c>
      <c r="NC346" s="12" t="s">
        <v>37</v>
      </c>
      <c r="ND346" s="12" t="s">
        <v>37</v>
      </c>
      <c r="NE346" s="12" t="s">
        <v>37</v>
      </c>
      <c r="NG346" s="12" t="s">
        <v>37</v>
      </c>
      <c r="NH346" s="12" t="s">
        <v>37</v>
      </c>
      <c r="NI346" s="12" t="s">
        <v>37</v>
      </c>
      <c r="NO346" s="12" t="s">
        <v>37</v>
      </c>
      <c r="NP346" s="12" t="s">
        <v>37</v>
      </c>
      <c r="NQ346" s="12" t="s">
        <v>37</v>
      </c>
      <c r="NS346" s="12" t="s">
        <v>37</v>
      </c>
      <c r="NT346" s="12" t="s">
        <v>37</v>
      </c>
      <c r="NU346" s="12" t="s">
        <v>37</v>
      </c>
      <c r="OA346" s="12" t="s">
        <v>37</v>
      </c>
      <c r="OB346" s="12" t="s">
        <v>37</v>
      </c>
      <c r="OC346" s="12" t="s">
        <v>37</v>
      </c>
      <c r="OD346" s="12"/>
      <c r="OE346" s="12" t="s">
        <v>37</v>
      </c>
      <c r="OF346" s="12" t="s">
        <v>37</v>
      </c>
      <c r="OG346" s="12" t="s">
        <v>37</v>
      </c>
      <c r="OH346" s="12"/>
      <c r="OI346" s="12"/>
      <c r="OJ346" s="12"/>
      <c r="OM346" s="12" t="s">
        <v>37</v>
      </c>
      <c r="ON346" s="12" t="s">
        <v>37</v>
      </c>
      <c r="OO346" s="12" t="s">
        <v>37</v>
      </c>
      <c r="OP346" s="12" t="s">
        <v>37</v>
      </c>
      <c r="OQ346" s="12" t="s">
        <v>37</v>
      </c>
      <c r="OR346" s="12" t="s">
        <v>37</v>
      </c>
      <c r="OS346" s="12"/>
      <c r="OT346" s="12"/>
      <c r="OW346" s="12" t="s">
        <v>37</v>
      </c>
      <c r="OX346" s="12" t="s">
        <v>37</v>
      </c>
      <c r="OY346" s="13" t="s">
        <v>37</v>
      </c>
      <c r="OZ346" s="12" t="s">
        <v>37</v>
      </c>
      <c r="PA346" s="12" t="s">
        <v>37</v>
      </c>
      <c r="PB346" s="13" t="s">
        <v>37</v>
      </c>
      <c r="PG346" s="12" t="s">
        <v>37</v>
      </c>
      <c r="PH346" s="12" t="s">
        <v>37</v>
      </c>
      <c r="PI346" s="12" t="s">
        <v>37</v>
      </c>
      <c r="PJ346" s="12" t="s">
        <v>37</v>
      </c>
      <c r="PK346" s="12" t="s">
        <v>37</v>
      </c>
      <c r="PL346" s="12" t="s">
        <v>37</v>
      </c>
      <c r="PM346" s="12"/>
      <c r="PN346" s="12"/>
      <c r="PQ346" s="12" t="s">
        <v>37</v>
      </c>
      <c r="PR346" s="12" t="s">
        <v>37</v>
      </c>
      <c r="PS346" s="12" t="s">
        <v>37</v>
      </c>
      <c r="PT346" s="12" t="s">
        <v>37</v>
      </c>
      <c r="PU346" s="12" t="s">
        <v>37</v>
      </c>
      <c r="PV346" s="12" t="s">
        <v>37</v>
      </c>
      <c r="PW346" s="12"/>
      <c r="PX346" s="12"/>
      <c r="PZ346" s="12" t="s">
        <v>37</v>
      </c>
      <c r="QA346" s="12" t="s">
        <v>37</v>
      </c>
      <c r="QB346" s="12" t="s">
        <v>37</v>
      </c>
      <c r="QD346" s="12" t="s">
        <v>37</v>
      </c>
      <c r="QE346" s="12" t="s">
        <v>37</v>
      </c>
      <c r="QF346" s="12" t="s">
        <v>37</v>
      </c>
      <c r="QK346" s="12" t="s">
        <v>37</v>
      </c>
      <c r="QL346" s="12" t="s">
        <v>37</v>
      </c>
      <c r="QM346" s="12" t="s">
        <v>37</v>
      </c>
      <c r="QN346" s="12" t="s">
        <v>37</v>
      </c>
      <c r="QO346" s="12" t="s">
        <v>37</v>
      </c>
      <c r="QP346" s="12" t="s">
        <v>37</v>
      </c>
      <c r="QQ346" s="12"/>
      <c r="QR346" s="12"/>
      <c r="QU346" s="12" t="s">
        <v>37</v>
      </c>
      <c r="QV346" s="12" t="s">
        <v>37</v>
      </c>
      <c r="QW346" s="12" t="s">
        <v>37</v>
      </c>
      <c r="QX346" s="12" t="s">
        <v>37</v>
      </c>
      <c r="QY346" s="12" t="s">
        <v>37</v>
      </c>
      <c r="QZ346" s="12" t="s">
        <v>37</v>
      </c>
      <c r="RC346" s="12" t="s">
        <v>37</v>
      </c>
      <c r="RD346" s="12" t="s">
        <v>37</v>
      </c>
      <c r="RE346" s="13" t="s">
        <v>37</v>
      </c>
      <c r="RF346" s="12" t="s">
        <v>37</v>
      </c>
      <c r="RG346" s="12" t="s">
        <v>37</v>
      </c>
      <c r="RH346" s="13" t="s">
        <v>37</v>
      </c>
      <c r="RK346" s="12" t="s">
        <v>37</v>
      </c>
      <c r="RL346" s="12" t="s">
        <v>37</v>
      </c>
      <c r="RM346" s="11" t="s">
        <v>37</v>
      </c>
      <c r="RN346" s="12" t="s">
        <v>37</v>
      </c>
      <c r="RO346" s="12" t="s">
        <v>37</v>
      </c>
      <c r="RP346" s="11" t="s">
        <v>37</v>
      </c>
      <c r="RS346" s="12" t="s">
        <v>37</v>
      </c>
      <c r="RT346" s="12" t="s">
        <v>37</v>
      </c>
      <c r="RU346" s="12" t="s">
        <v>37</v>
      </c>
      <c r="RV346" s="12" t="s">
        <v>37</v>
      </c>
      <c r="RW346" s="12" t="s">
        <v>37</v>
      </c>
      <c r="RX346" s="12" t="s">
        <v>37</v>
      </c>
      <c r="SA346" s="12" t="s">
        <v>37</v>
      </c>
      <c r="SB346" s="12" t="s">
        <v>37</v>
      </c>
      <c r="SC346" s="12" t="s">
        <v>37</v>
      </c>
      <c r="SD346" s="12" t="s">
        <v>37</v>
      </c>
      <c r="SE346" s="12" t="s">
        <v>37</v>
      </c>
      <c r="SF346" s="12" t="s">
        <v>37</v>
      </c>
      <c r="SI346" s="12" t="s">
        <v>37</v>
      </c>
      <c r="SJ346" s="12" t="s">
        <v>37</v>
      </c>
      <c r="SK346" s="13" t="s">
        <v>37</v>
      </c>
      <c r="SM346" s="12" t="s">
        <v>37</v>
      </c>
      <c r="SN346" s="12" t="s">
        <v>37</v>
      </c>
      <c r="SO346" s="13" t="s">
        <v>37</v>
      </c>
      <c r="SU346" s="12" t="s">
        <v>37</v>
      </c>
      <c r="SV346" s="12" t="s">
        <v>37</v>
      </c>
      <c r="SW346" s="12" t="s">
        <v>37</v>
      </c>
      <c r="SX346" s="12" t="s">
        <v>37</v>
      </c>
      <c r="SY346" s="12" t="s">
        <v>37</v>
      </c>
      <c r="SZ346" s="12" t="s">
        <v>37</v>
      </c>
      <c r="TA346" s="12"/>
      <c r="TB346" s="12"/>
      <c r="TE346" s="12" t="s">
        <v>37</v>
      </c>
      <c r="TF346" s="12" t="s">
        <v>37</v>
      </c>
      <c r="TG346" s="12" t="s">
        <v>37</v>
      </c>
      <c r="TH346" s="12" t="s">
        <v>37</v>
      </c>
      <c r="TI346" s="12" t="s">
        <v>37</v>
      </c>
      <c r="TJ346" s="12" t="s">
        <v>37</v>
      </c>
      <c r="TK346" s="12"/>
      <c r="TL346" s="12"/>
      <c r="TO346" s="12" t="s">
        <v>37</v>
      </c>
      <c r="TP346" s="12" t="s">
        <v>37</v>
      </c>
      <c r="TQ346" s="12" t="s">
        <v>37</v>
      </c>
      <c r="TR346" s="12" t="s">
        <v>37</v>
      </c>
      <c r="TS346" s="12" t="s">
        <v>37</v>
      </c>
      <c r="TT346" s="12" t="s">
        <v>37</v>
      </c>
      <c r="TU346" s="12"/>
      <c r="TV346" s="12"/>
      <c r="TY346" s="12" t="s">
        <v>37</v>
      </c>
      <c r="TZ346" s="12" t="s">
        <v>37</v>
      </c>
      <c r="UA346" s="12" t="s">
        <v>37</v>
      </c>
      <c r="UB346" s="12" t="s">
        <v>37</v>
      </c>
      <c r="UC346" s="12" t="s">
        <v>37</v>
      </c>
      <c r="UD346" s="12" t="s">
        <v>37</v>
      </c>
      <c r="UE346" s="12"/>
      <c r="UF346" s="12"/>
      <c r="UI346" s="12" t="s">
        <v>37</v>
      </c>
      <c r="UJ346" s="12" t="s">
        <v>37</v>
      </c>
      <c r="UK346" s="12" t="s">
        <v>37</v>
      </c>
      <c r="UL346" s="12" t="s">
        <v>37</v>
      </c>
      <c r="UM346" s="12" t="s">
        <v>37</v>
      </c>
      <c r="UN346" s="12" t="s">
        <v>37</v>
      </c>
      <c r="UO346" s="12"/>
      <c r="UP346" s="12"/>
      <c r="UR346" s="12" t="s">
        <v>37</v>
      </c>
      <c r="US346" s="12" t="s">
        <v>37</v>
      </c>
      <c r="UT346" s="12" t="s">
        <v>37</v>
      </c>
      <c r="UU346" s="12" t="s">
        <v>37</v>
      </c>
      <c r="UV346" s="12" t="s">
        <v>37</v>
      </c>
      <c r="UW346" s="12" t="s">
        <v>37</v>
      </c>
      <c r="UX346" s="12"/>
      <c r="UY346" s="12"/>
      <c r="VB346" s="12" t="s">
        <v>37</v>
      </c>
      <c r="VC346" s="12" t="s">
        <v>37</v>
      </c>
      <c r="VD346" s="12" t="s">
        <v>37</v>
      </c>
      <c r="VE346" s="12" t="s">
        <v>37</v>
      </c>
      <c r="VF346" s="12" t="s">
        <v>37</v>
      </c>
      <c r="VG346" s="12" t="s">
        <v>37</v>
      </c>
      <c r="VI346" s="12" t="s">
        <v>37</v>
      </c>
      <c r="VJ346" s="12" t="s">
        <v>37</v>
      </c>
      <c r="VK346" s="12" t="s">
        <v>37</v>
      </c>
      <c r="VL346" s="12" t="s">
        <v>37</v>
      </c>
      <c r="VM346" s="12" t="s">
        <v>37</v>
      </c>
      <c r="VN346" s="12" t="s">
        <v>37</v>
      </c>
      <c r="VQ346" s="12" t="s">
        <v>37</v>
      </c>
      <c r="VR346" s="12" t="s">
        <v>37</v>
      </c>
      <c r="VS346" s="12" t="s">
        <v>37</v>
      </c>
      <c r="VT346" s="12" t="s">
        <v>37</v>
      </c>
      <c r="VU346" s="12" t="s">
        <v>37</v>
      </c>
      <c r="VV346" s="12" t="s">
        <v>37</v>
      </c>
      <c r="VW346" s="12"/>
      <c r="VX346" s="12"/>
      <c r="WA346" s="12" t="s">
        <v>37</v>
      </c>
      <c r="WB346" s="12" t="s">
        <v>37</v>
      </c>
      <c r="WC346" s="12" t="s">
        <v>37</v>
      </c>
      <c r="WD346" s="12" t="s">
        <v>37</v>
      </c>
      <c r="WE346" s="12" t="s">
        <v>37</v>
      </c>
      <c r="WF346" s="12" t="s">
        <v>37</v>
      </c>
    </row>
    <row r="347" spans="1:604" ht="18" customHeight="1" x14ac:dyDescent="0.3">
      <c r="A347" s="11">
        <v>74</v>
      </c>
      <c r="B347" s="16" t="s">
        <v>436</v>
      </c>
      <c r="C347" s="12" t="s">
        <v>26</v>
      </c>
      <c r="D347" s="84" t="s">
        <v>973</v>
      </c>
      <c r="E347" s="40">
        <v>1.2</v>
      </c>
      <c r="F347" s="14">
        <v>0</v>
      </c>
      <c r="G347" s="14">
        <v>0</v>
      </c>
      <c r="H347" s="12" t="s">
        <v>91</v>
      </c>
      <c r="I347" s="29">
        <v>46.667000000000002</v>
      </c>
      <c r="J347" s="29">
        <v>-71.167000000000002</v>
      </c>
      <c r="K347" s="12" t="s">
        <v>673</v>
      </c>
      <c r="L347" s="12" t="s">
        <v>674</v>
      </c>
      <c r="M347" s="13" t="s">
        <v>37</v>
      </c>
      <c r="N347" s="14" t="s">
        <v>37</v>
      </c>
      <c r="O347" s="14" t="s">
        <v>37</v>
      </c>
      <c r="P347" s="14" t="s">
        <v>16</v>
      </c>
      <c r="Q347" s="75">
        <v>3</v>
      </c>
      <c r="R347" s="11" t="s">
        <v>1000</v>
      </c>
      <c r="S347" s="12" t="s">
        <v>85</v>
      </c>
      <c r="T347" s="12" t="s">
        <v>141</v>
      </c>
      <c r="U347" s="12" t="s">
        <v>334</v>
      </c>
      <c r="V347" s="12" t="s">
        <v>275</v>
      </c>
      <c r="W347" s="23" t="s">
        <v>439</v>
      </c>
      <c r="X347" s="12" t="s">
        <v>280</v>
      </c>
      <c r="Y347" s="12" t="s">
        <v>37</v>
      </c>
      <c r="Z347" s="12" t="s">
        <v>37</v>
      </c>
      <c r="AB347" s="12" t="s">
        <v>37</v>
      </c>
      <c r="AE347" s="12" t="s">
        <v>37</v>
      </c>
      <c r="AH347" s="12" t="s">
        <v>37</v>
      </c>
      <c r="AK347" s="12" t="s">
        <v>37</v>
      </c>
      <c r="AL347" s="32" t="s">
        <v>442</v>
      </c>
      <c r="AM347" s="12" t="s">
        <v>317</v>
      </c>
      <c r="AN347" s="32" t="s">
        <v>880</v>
      </c>
      <c r="AO347" s="12" t="s">
        <v>318</v>
      </c>
      <c r="AP347" s="12" t="s">
        <v>167</v>
      </c>
      <c r="AQ347" s="12" t="s">
        <v>975</v>
      </c>
      <c r="AT347" s="12" t="s">
        <v>326</v>
      </c>
      <c r="AU347" s="12" t="s">
        <v>326</v>
      </c>
      <c r="AV347" s="13" t="s">
        <v>326</v>
      </c>
      <c r="AX347" s="12" t="s">
        <v>326</v>
      </c>
      <c r="AY347" s="12" t="s">
        <v>326</v>
      </c>
      <c r="AZ347" s="13" t="s">
        <v>326</v>
      </c>
      <c r="BE347" s="12" t="s">
        <v>326</v>
      </c>
      <c r="BF347" s="12" t="s">
        <v>326</v>
      </c>
      <c r="BG347" s="12" t="s">
        <v>326</v>
      </c>
      <c r="BI347" s="12" t="s">
        <v>326</v>
      </c>
      <c r="BJ347" s="12" t="s">
        <v>326</v>
      </c>
      <c r="BK347" s="12" t="s">
        <v>326</v>
      </c>
      <c r="BP347" s="12" t="s">
        <v>37</v>
      </c>
      <c r="BQ347" s="12" t="s">
        <v>37</v>
      </c>
      <c r="BR347" s="13" t="s">
        <v>37</v>
      </c>
      <c r="BT347" s="12" t="s">
        <v>37</v>
      </c>
      <c r="BU347" s="12" t="s">
        <v>37</v>
      </c>
      <c r="BV347" s="12" t="s">
        <v>37</v>
      </c>
      <c r="BZ347" s="12" t="s">
        <v>47</v>
      </c>
      <c r="CA347" s="12">
        <f>-47*("2002/09/30"-"2002/05/01")/("2002/08/19"-"2002/05/12")*10^4/10^3/'[6]classess-1'!$T$96</f>
        <v>-757.07836436037758</v>
      </c>
      <c r="CB347" s="12">
        <f>SQRT((1/[7]Classess!$T$96)^2*(27*("2002/09/30"-"2002/05/01")/("2002/08/19"-"2002/05/12")*SQRT(3)*10^4/10^3)^2+(-CA347/([7]Classess!$T$96)^2)^2*([7]Classess!$U$96)^2)</f>
        <v>753.46149598311479</v>
      </c>
      <c r="CC347" s="13">
        <v>3</v>
      </c>
      <c r="CD347" s="19">
        <f t="shared" si="1321"/>
        <v>0.99522259709492755</v>
      </c>
      <c r="CE347" s="12">
        <f>-110*("2002/09/30"-"2002/05/01")/("2002/08/19"-"2002/05/12")*10^4/10^3/'[6]classess-1'!$T$93</f>
        <v>-1751.9109930038685</v>
      </c>
      <c r="CF347" s="12">
        <f>SQRT((1/[7]Classess!$T$93)^2*(60*("2002/09/30"-"2002/05/01")/("2002/08/19"-"2002/05/12")*SQRT(3)*10^4/10^3)^2+(-CE347/([7]Classess!$T$93)^2)^2*([7]Classess!$U$93)^2)</f>
        <v>1655.7034599262597</v>
      </c>
      <c r="CG347" s="13">
        <v>3</v>
      </c>
      <c r="CH347" s="19">
        <f t="shared" si="1322"/>
        <v>0.94508423460906021</v>
      </c>
      <c r="CI347" s="75">
        <f t="shared" si="1323"/>
        <v>-994.83262864349092</v>
      </c>
      <c r="CJ347" s="12">
        <f t="shared" si="1324"/>
        <v>1286.2849943035371</v>
      </c>
      <c r="CK347" s="72">
        <f t="shared" si="1325"/>
        <v>1103019.3910469669</v>
      </c>
      <c r="CL347" s="72">
        <f t="shared" si="1326"/>
        <v>1103019.3910469669</v>
      </c>
      <c r="CM347" s="12" t="s">
        <v>47</v>
      </c>
      <c r="CN347" s="12">
        <f>40*("2002/09/30"-"2002/05/01")/("2002/08/19"-"2002/05/12")*10^4/10^3/'[6]classess-1'!$I$96</f>
        <v>764.61110425485197</v>
      </c>
      <c r="CO347" s="12">
        <f>SQRT((1/[7]Classess!$I$96)^2*(24*("2002/09/30"-"2002/05/01")/("2002/08/19"-"2002/05/12")*SQRT(3)*10^4/10^3)^2+(-CN347/([7]Classess!$I$96)^2)^2*([7]Classess!$J$96)^2)</f>
        <v>794.72773935581358</v>
      </c>
      <c r="CP347" s="13">
        <v>3</v>
      </c>
      <c r="CQ347" s="19">
        <f t="shared" si="1327"/>
        <v>1.0393881738486019</v>
      </c>
      <c r="CR347" s="12">
        <f>95*("2002/09/30"-"2002/05/01")/("2002/08/19"-"2002/05/12")*10^4/10^3/'[6]classess-1'!$I$93</f>
        <v>1696.1798584801293</v>
      </c>
      <c r="CS347" s="12">
        <f>SQRT((1/[7]Classess!$I$93)^2*(48*("2002/09/30"-"2002/05/01")/("2002/08/19"-"2002/05/12")*SQRT(3)*10^4/10^3)^2+(-CR347/([7]Classess!$I$93)^2)^2*([7]Classess!$J$93)^2)</f>
        <v>1486.728586277671</v>
      </c>
      <c r="CT347" s="13">
        <v>3</v>
      </c>
      <c r="CU347" s="19">
        <f t="shared" si="1328"/>
        <v>0.87651588293818194</v>
      </c>
      <c r="CV347" s="75">
        <f t="shared" si="1329"/>
        <v>931.5687542252773</v>
      </c>
      <c r="CW347" s="12">
        <f t="shared" si="1330"/>
        <v>1192.0474128483322</v>
      </c>
      <c r="CX347" s="72">
        <f t="shared" si="1331"/>
        <v>947318.02298560133</v>
      </c>
      <c r="CY347" s="72">
        <f t="shared" si="1332"/>
        <v>947318.02298560122</v>
      </c>
      <c r="CZ347" s="12" t="s">
        <v>47</v>
      </c>
      <c r="DA347" s="12">
        <f t="shared" si="1339"/>
        <v>7.5327398944743891</v>
      </c>
      <c r="DB347" s="12">
        <f>SQRT((1/[7]Classess!$I$37)^2*(12*SQRT(3)*10^4/10^3)^2+(-DA347/([7]Classess!$I$37)^2)^2*([7]Classess!$J$37)^2)</f>
        <v>385.89969557971807</v>
      </c>
      <c r="DC347" s="13">
        <v>3</v>
      </c>
      <c r="DD347" s="19">
        <f>DB347/ABS(DA347)</f>
        <v>51.22965892699856</v>
      </c>
      <c r="DE347" s="12">
        <f t="shared" si="1340"/>
        <v>-55.731134523739229</v>
      </c>
      <c r="DF347" s="12">
        <f>SQRT((1/[7]Classess!$I$38)^2*(12*SQRT(3)*10^4/10^3)^2+(-DE347/([7]Classess!$I$38)^2)^2*([7]Classess!$J$38)^2)</f>
        <v>131.30398661871592</v>
      </c>
      <c r="DG347" s="13">
        <v>3</v>
      </c>
      <c r="DH347" s="19">
        <f t="shared" si="1334"/>
        <v>2.3560257249524623</v>
      </c>
      <c r="DI347" s="19">
        <f t="shared" si="1335"/>
        <v>-63.263874418213618</v>
      </c>
      <c r="DJ347" s="12">
        <f t="shared" si="1336"/>
        <v>288.23541762809703</v>
      </c>
      <c r="DK347" s="72">
        <f t="shared" si="1337"/>
        <v>55386.437316828997</v>
      </c>
      <c r="DL347" s="72">
        <f t="shared" si="1338"/>
        <v>55386.437316828997</v>
      </c>
      <c r="DM347" s="11" t="s">
        <v>47</v>
      </c>
      <c r="DN347" s="19">
        <f>5*("2002/09/30"-"2002/05/01")/("2002/08/19"-"2002/05/12")*10^4/10^3/'[1]classes-1'!$I$92</f>
        <v>87.813025278091345</v>
      </c>
      <c r="DO347" s="12">
        <f>SQRT((1/[2]Classes!$I$92)^2*(2*("2002/09/30"-"2002/05/01")/("2002/08/19"-"2002/05/12")*SQRT(3)*10^4/10^3)^2+(-DN347/([2]Classes!$J$92)^2)^2*([2]Classes!$J$92)^2)</f>
        <v>511.88953557062587</v>
      </c>
      <c r="DP347" s="13">
        <v>3</v>
      </c>
      <c r="DQ347" s="19">
        <f t="shared" si="1294"/>
        <v>5.8293121544274848</v>
      </c>
      <c r="DR347" s="19">
        <f>5*("2002/09/30"-"2002/05/01")/("2002/08/19"-"2002/05/12")*10^4/10^3/'[1]classes-1'!$I$93</f>
        <v>83.324775063845991</v>
      </c>
      <c r="DS347" s="12">
        <f>SQRT((1/[2]Classes!$I$93)^2*(2*("2002/09/30"-"2002/05/01")/("2002/08/19"-"2002/05/12")*SQRT(3)*10^4/10^3)^2+(-DR347/([2]Classes!$I$93)^2)^2*([2]Classes!$J$93)^2)</f>
        <v>58.045203910854234</v>
      </c>
      <c r="DT347" s="13">
        <v>3</v>
      </c>
      <c r="DU347" s="19">
        <f t="shared" si="1295"/>
        <v>0.69661398865317337</v>
      </c>
      <c r="DV347" s="19">
        <f t="shared" si="1315"/>
        <v>-4.4882502142453546</v>
      </c>
      <c r="DW347" s="12">
        <f t="shared" si="1316"/>
        <v>364.28020967639986</v>
      </c>
      <c r="DX347" s="72">
        <f t="shared" si="1251"/>
        <v>88466.714107921231</v>
      </c>
      <c r="DY347" s="72">
        <f t="shared" si="1252"/>
        <v>88466.714107921231</v>
      </c>
      <c r="EA347" s="19" t="s">
        <v>37</v>
      </c>
      <c r="EB347" s="19" t="s">
        <v>37</v>
      </c>
      <c r="EC347" s="72" t="s">
        <v>37</v>
      </c>
      <c r="EE347" s="19" t="s">
        <v>37</v>
      </c>
      <c r="EF347" s="19" t="s">
        <v>37</v>
      </c>
      <c r="EG347" s="12" t="s">
        <v>37</v>
      </c>
      <c r="EM347" s="12" t="s">
        <v>39</v>
      </c>
      <c r="EN347" s="12">
        <v>21.878787878787879</v>
      </c>
      <c r="EO347" s="12">
        <v>1.1081772383933699</v>
      </c>
      <c r="EP347" s="13">
        <v>3</v>
      </c>
      <c r="EQ347" s="19">
        <f t="shared" si="1341"/>
        <v>5.0650760203575076E-2</v>
      </c>
      <c r="ER347" s="12">
        <v>0.76837548416496004</v>
      </c>
      <c r="ES347" s="12">
        <v>1.2709978400329951</v>
      </c>
      <c r="ET347" s="13">
        <v>3</v>
      </c>
      <c r="EU347" s="19">
        <f t="shared" si="1342"/>
        <v>1.654136377625667</v>
      </c>
      <c r="EV347" s="19">
        <f t="shared" si="1317"/>
        <v>-21.110412394622919</v>
      </c>
      <c r="EW347" s="12">
        <f t="shared" si="1318"/>
        <v>1.1923699721692289</v>
      </c>
      <c r="EX347" s="19">
        <f t="shared" si="1319"/>
        <v>0.94783076702056501</v>
      </c>
      <c r="EY347" s="19">
        <f t="shared" si="1320"/>
        <v>0.94783076702056501</v>
      </c>
      <c r="FB347" s="12" t="s">
        <v>37</v>
      </c>
      <c r="FC347" s="12" t="s">
        <v>37</v>
      </c>
      <c r="FD347" s="12" t="s">
        <v>37</v>
      </c>
      <c r="FE347" s="12" t="s">
        <v>37</v>
      </c>
      <c r="FF347" s="20" t="s">
        <v>37</v>
      </c>
      <c r="FG347" s="12" t="s">
        <v>37</v>
      </c>
      <c r="FI347" s="12" t="s">
        <v>37</v>
      </c>
      <c r="FJ347" s="12" t="s">
        <v>37</v>
      </c>
      <c r="FK347" s="12" t="s">
        <v>37</v>
      </c>
      <c r="FL347" s="12" t="s">
        <v>37</v>
      </c>
      <c r="FM347" s="12" t="s">
        <v>37</v>
      </c>
      <c r="FN347" s="12" t="s">
        <v>37</v>
      </c>
      <c r="FP347" s="12" t="s">
        <v>37</v>
      </c>
      <c r="FQ347" s="12" t="s">
        <v>37</v>
      </c>
      <c r="FR347" s="12" t="s">
        <v>37</v>
      </c>
      <c r="FS347" s="12" t="s">
        <v>37</v>
      </c>
      <c r="FT347" s="12" t="s">
        <v>37</v>
      </c>
      <c r="FU347" s="12" t="s">
        <v>37</v>
      </c>
      <c r="FW347" s="12" t="s">
        <v>37</v>
      </c>
      <c r="FX347" s="12" t="s">
        <v>37</v>
      </c>
      <c r="FY347" s="12" t="s">
        <v>37</v>
      </c>
      <c r="FZ347" s="12" t="s">
        <v>37</v>
      </c>
      <c r="GA347" s="12" t="s">
        <v>37</v>
      </c>
      <c r="GB347" s="12" t="s">
        <v>37</v>
      </c>
      <c r="GO347" s="12" t="s">
        <v>660</v>
      </c>
      <c r="GP347" s="12" t="s">
        <v>330</v>
      </c>
      <c r="GQ347" s="12">
        <v>18.100000000000001</v>
      </c>
      <c r="GR347" s="12">
        <f>1.1*SQRT(3)</f>
        <v>1.9052558883257651</v>
      </c>
      <c r="GS347" s="13">
        <v>3</v>
      </c>
      <c r="GT347" s="19">
        <f>GR347/GQ347</f>
        <v>0.10526275626109198</v>
      </c>
      <c r="GU347" s="12">
        <v>17</v>
      </c>
      <c r="GV347" s="12">
        <f>0.11*SQRT(3)</f>
        <v>0.1905255888325765</v>
      </c>
      <c r="GW347" s="13">
        <v>3</v>
      </c>
      <c r="GX347" s="19">
        <f>GV347/GU347</f>
        <v>1.1207387578386853E-2</v>
      </c>
      <c r="GY347" s="19">
        <f>LN(GU347/GQ347)</f>
        <v>-6.2698594215564049E-2</v>
      </c>
      <c r="GZ347" s="19">
        <f t="shared" ref="GZ347" si="1345">GV347^2/(GW347*GU347^2)+GR347^2/(GS347*GQ347^2)</f>
        <v>3.7352844640047467E-3</v>
      </c>
      <c r="IK347" s="12" t="s">
        <v>37</v>
      </c>
      <c r="IL347" s="12" t="s">
        <v>37</v>
      </c>
      <c r="IM347" s="12" t="s">
        <v>37</v>
      </c>
      <c r="IO347" s="12" t="s">
        <v>37</v>
      </c>
      <c r="IP347" s="12" t="s">
        <v>37</v>
      </c>
      <c r="IQ347" s="12" t="s">
        <v>37</v>
      </c>
      <c r="IW347" s="12" t="s">
        <v>37</v>
      </c>
      <c r="IX347" s="12" t="s">
        <v>37</v>
      </c>
      <c r="IY347" s="13" t="s">
        <v>37</v>
      </c>
      <c r="JA347" s="12" t="s">
        <v>37</v>
      </c>
      <c r="JB347" s="12" t="s">
        <v>37</v>
      </c>
      <c r="JC347" s="13" t="s">
        <v>37</v>
      </c>
      <c r="JH347" s="12" t="s">
        <v>37</v>
      </c>
      <c r="JI347" s="12" t="s">
        <v>37</v>
      </c>
      <c r="JJ347" s="13" t="s">
        <v>37</v>
      </c>
      <c r="JL347" s="12" t="s">
        <v>37</v>
      </c>
      <c r="JM347" s="12" t="s">
        <v>37</v>
      </c>
      <c r="JN347" s="12" t="s">
        <v>37</v>
      </c>
      <c r="JS347" s="12" t="s">
        <v>37</v>
      </c>
      <c r="JT347" s="12" t="s">
        <v>37</v>
      </c>
      <c r="JU347" s="13" t="s">
        <v>37</v>
      </c>
      <c r="JW347" s="12" t="s">
        <v>37</v>
      </c>
      <c r="JX347" s="12" t="s">
        <v>37</v>
      </c>
      <c r="JY347" s="12" t="s">
        <v>37</v>
      </c>
      <c r="KE347" s="12" t="s">
        <v>37</v>
      </c>
      <c r="KF347" s="12" t="s">
        <v>37</v>
      </c>
      <c r="KG347" s="13" t="s">
        <v>37</v>
      </c>
      <c r="KH347" s="12" t="s">
        <v>37</v>
      </c>
      <c r="KI347" s="12" t="s">
        <v>37</v>
      </c>
      <c r="KJ347" s="12" t="s">
        <v>37</v>
      </c>
      <c r="KM347" s="12" t="s">
        <v>37</v>
      </c>
      <c r="KN347" s="12" t="s">
        <v>37</v>
      </c>
      <c r="KO347" s="11" t="s">
        <v>37</v>
      </c>
      <c r="KQ347" s="12" t="s">
        <v>37</v>
      </c>
      <c r="KR347" s="12" t="s">
        <v>37</v>
      </c>
      <c r="KS347" s="12" t="s">
        <v>37</v>
      </c>
      <c r="KX347" s="12" t="s">
        <v>37</v>
      </c>
      <c r="KY347" s="12" t="s">
        <v>37</v>
      </c>
      <c r="KZ347" s="12" t="s">
        <v>37</v>
      </c>
      <c r="LB347" s="12" t="s">
        <v>37</v>
      </c>
      <c r="LC347" s="12" t="s">
        <v>37</v>
      </c>
      <c r="LD347" s="12" t="s">
        <v>37</v>
      </c>
      <c r="LI347" s="12" t="s">
        <v>37</v>
      </c>
      <c r="LJ347" s="12" t="s">
        <v>37</v>
      </c>
      <c r="LK347" s="12" t="s">
        <v>37</v>
      </c>
      <c r="LM347" s="12" t="s">
        <v>37</v>
      </c>
      <c r="LN347" s="12" t="s">
        <v>37</v>
      </c>
      <c r="LO347" s="12" t="s">
        <v>37</v>
      </c>
      <c r="LU347" s="12" t="s">
        <v>37</v>
      </c>
      <c r="LV347" s="12" t="s">
        <v>37</v>
      </c>
      <c r="LW347" s="12" t="s">
        <v>37</v>
      </c>
      <c r="LY347" s="12" t="s">
        <v>37</v>
      </c>
      <c r="LZ347" s="12" t="s">
        <v>37</v>
      </c>
      <c r="MA347" s="12" t="s">
        <v>37</v>
      </c>
      <c r="MF347" s="12" t="s">
        <v>37</v>
      </c>
      <c r="MG347" s="12" t="s">
        <v>37</v>
      </c>
      <c r="MH347" s="12" t="s">
        <v>37</v>
      </c>
      <c r="MJ347" s="12" t="s">
        <v>37</v>
      </c>
      <c r="MK347" s="12" t="s">
        <v>37</v>
      </c>
      <c r="ML347" s="12" t="s">
        <v>37</v>
      </c>
      <c r="MQ347" s="12" t="s">
        <v>37</v>
      </c>
      <c r="MR347" s="12" t="s">
        <v>37</v>
      </c>
      <c r="MS347" s="12" t="s">
        <v>37</v>
      </c>
      <c r="MU347" s="12" t="s">
        <v>37</v>
      </c>
      <c r="MV347" s="12" t="s">
        <v>37</v>
      </c>
      <c r="MW347" s="12" t="s">
        <v>37</v>
      </c>
      <c r="NC347" s="12" t="s">
        <v>37</v>
      </c>
      <c r="ND347" s="12" t="s">
        <v>37</v>
      </c>
      <c r="NE347" s="12" t="s">
        <v>37</v>
      </c>
      <c r="NG347" s="12" t="s">
        <v>37</v>
      </c>
      <c r="NH347" s="12" t="s">
        <v>37</v>
      </c>
      <c r="NI347" s="12" t="s">
        <v>37</v>
      </c>
      <c r="NO347" s="12" t="s">
        <v>37</v>
      </c>
      <c r="NP347" s="12" t="s">
        <v>37</v>
      </c>
      <c r="NQ347" s="12" t="s">
        <v>37</v>
      </c>
      <c r="NS347" s="12" t="s">
        <v>37</v>
      </c>
      <c r="NT347" s="12" t="s">
        <v>37</v>
      </c>
      <c r="NU347" s="12" t="s">
        <v>37</v>
      </c>
      <c r="OA347" s="12" t="s">
        <v>37</v>
      </c>
      <c r="OB347" s="12" t="s">
        <v>37</v>
      </c>
      <c r="OC347" s="12" t="s">
        <v>37</v>
      </c>
      <c r="OD347" s="12"/>
      <c r="OE347" s="12" t="s">
        <v>37</v>
      </c>
      <c r="OF347" s="12" t="s">
        <v>37</v>
      </c>
      <c r="OG347" s="12" t="s">
        <v>37</v>
      </c>
      <c r="OH347" s="12"/>
      <c r="OI347" s="12"/>
      <c r="OJ347" s="12"/>
      <c r="OM347" s="12" t="s">
        <v>37</v>
      </c>
      <c r="ON347" s="12" t="s">
        <v>37</v>
      </c>
      <c r="OO347" s="12" t="s">
        <v>37</v>
      </c>
      <c r="OP347" s="12" t="s">
        <v>37</v>
      </c>
      <c r="OQ347" s="12" t="s">
        <v>37</v>
      </c>
      <c r="OR347" s="12" t="s">
        <v>37</v>
      </c>
      <c r="OS347" s="12"/>
      <c r="OT347" s="12"/>
      <c r="OW347" s="12" t="s">
        <v>37</v>
      </c>
      <c r="OX347" s="12" t="s">
        <v>37</v>
      </c>
      <c r="OY347" s="13" t="s">
        <v>37</v>
      </c>
      <c r="OZ347" s="12" t="s">
        <v>37</v>
      </c>
      <c r="PA347" s="12" t="s">
        <v>37</v>
      </c>
      <c r="PB347" s="13" t="s">
        <v>37</v>
      </c>
      <c r="PG347" s="12" t="s">
        <v>37</v>
      </c>
      <c r="PH347" s="12" t="s">
        <v>37</v>
      </c>
      <c r="PI347" s="12" t="s">
        <v>37</v>
      </c>
      <c r="PJ347" s="12" t="s">
        <v>37</v>
      </c>
      <c r="PK347" s="12" t="s">
        <v>37</v>
      </c>
      <c r="PL347" s="12" t="s">
        <v>37</v>
      </c>
      <c r="PM347" s="12"/>
      <c r="PN347" s="12"/>
      <c r="PQ347" s="12" t="s">
        <v>37</v>
      </c>
      <c r="PR347" s="12" t="s">
        <v>37</v>
      </c>
      <c r="PS347" s="12" t="s">
        <v>37</v>
      </c>
      <c r="PT347" s="12" t="s">
        <v>37</v>
      </c>
      <c r="PU347" s="12" t="s">
        <v>37</v>
      </c>
      <c r="PV347" s="12" t="s">
        <v>37</v>
      </c>
      <c r="PW347" s="12"/>
      <c r="PX347" s="12"/>
      <c r="PZ347" s="12" t="s">
        <v>37</v>
      </c>
      <c r="QA347" s="12" t="s">
        <v>37</v>
      </c>
      <c r="QB347" s="12" t="s">
        <v>37</v>
      </c>
      <c r="QD347" s="12" t="s">
        <v>37</v>
      </c>
      <c r="QE347" s="12" t="s">
        <v>37</v>
      </c>
      <c r="QF347" s="12" t="s">
        <v>37</v>
      </c>
      <c r="QK347" s="12" t="s">
        <v>37</v>
      </c>
      <c r="QL347" s="12" t="s">
        <v>37</v>
      </c>
      <c r="QM347" s="12" t="s">
        <v>37</v>
      </c>
      <c r="QN347" s="12" t="s">
        <v>37</v>
      </c>
      <c r="QO347" s="12" t="s">
        <v>37</v>
      </c>
      <c r="QP347" s="12" t="s">
        <v>37</v>
      </c>
      <c r="QQ347" s="12"/>
      <c r="QR347" s="12"/>
      <c r="QU347" s="12" t="s">
        <v>37</v>
      </c>
      <c r="QV347" s="12" t="s">
        <v>37</v>
      </c>
      <c r="QW347" s="12" t="s">
        <v>37</v>
      </c>
      <c r="QX347" s="12" t="s">
        <v>37</v>
      </c>
      <c r="QY347" s="12" t="s">
        <v>37</v>
      </c>
      <c r="QZ347" s="12" t="s">
        <v>37</v>
      </c>
      <c r="RC347" s="12" t="s">
        <v>37</v>
      </c>
      <c r="RD347" s="12" t="s">
        <v>37</v>
      </c>
      <c r="RE347" s="13" t="s">
        <v>37</v>
      </c>
      <c r="RF347" s="12" t="s">
        <v>37</v>
      </c>
      <c r="RG347" s="12" t="s">
        <v>37</v>
      </c>
      <c r="RH347" s="13" t="s">
        <v>37</v>
      </c>
      <c r="RK347" s="12" t="s">
        <v>37</v>
      </c>
      <c r="RL347" s="12" t="s">
        <v>37</v>
      </c>
      <c r="RM347" s="11" t="s">
        <v>37</v>
      </c>
      <c r="RN347" s="12" t="s">
        <v>37</v>
      </c>
      <c r="RO347" s="12" t="s">
        <v>37</v>
      </c>
      <c r="RP347" s="11" t="s">
        <v>37</v>
      </c>
      <c r="RS347" s="12" t="s">
        <v>37</v>
      </c>
      <c r="RT347" s="12" t="s">
        <v>37</v>
      </c>
      <c r="RU347" s="12" t="s">
        <v>37</v>
      </c>
      <c r="RV347" s="12" t="s">
        <v>37</v>
      </c>
      <c r="RW347" s="12" t="s">
        <v>37</v>
      </c>
      <c r="RX347" s="12" t="s">
        <v>37</v>
      </c>
      <c r="SA347" s="12" t="s">
        <v>37</v>
      </c>
      <c r="SB347" s="12" t="s">
        <v>37</v>
      </c>
      <c r="SC347" s="12" t="s">
        <v>37</v>
      </c>
      <c r="SD347" s="12" t="s">
        <v>37</v>
      </c>
      <c r="SE347" s="12" t="s">
        <v>37</v>
      </c>
      <c r="SF347" s="12" t="s">
        <v>37</v>
      </c>
      <c r="SI347" s="12" t="s">
        <v>37</v>
      </c>
      <c r="SJ347" s="12" t="s">
        <v>37</v>
      </c>
      <c r="SK347" s="13" t="s">
        <v>37</v>
      </c>
      <c r="SM347" s="12" t="s">
        <v>37</v>
      </c>
      <c r="SN347" s="12" t="s">
        <v>37</v>
      </c>
      <c r="SO347" s="13" t="s">
        <v>37</v>
      </c>
      <c r="SU347" s="12" t="s">
        <v>37</v>
      </c>
      <c r="SV347" s="12" t="s">
        <v>37</v>
      </c>
      <c r="SW347" s="12" t="s">
        <v>37</v>
      </c>
      <c r="SX347" s="12" t="s">
        <v>37</v>
      </c>
      <c r="SY347" s="12" t="s">
        <v>37</v>
      </c>
      <c r="SZ347" s="12" t="s">
        <v>37</v>
      </c>
      <c r="TA347" s="12"/>
      <c r="TB347" s="12"/>
      <c r="TE347" s="12" t="s">
        <v>37</v>
      </c>
      <c r="TF347" s="12" t="s">
        <v>37</v>
      </c>
      <c r="TG347" s="12" t="s">
        <v>37</v>
      </c>
      <c r="TH347" s="12" t="s">
        <v>37</v>
      </c>
      <c r="TI347" s="12" t="s">
        <v>37</v>
      </c>
      <c r="TJ347" s="12" t="s">
        <v>37</v>
      </c>
      <c r="TK347" s="12"/>
      <c r="TL347" s="12"/>
      <c r="TO347" s="12" t="s">
        <v>37</v>
      </c>
      <c r="TP347" s="12" t="s">
        <v>37</v>
      </c>
      <c r="TQ347" s="12" t="s">
        <v>37</v>
      </c>
      <c r="TR347" s="12" t="s">
        <v>37</v>
      </c>
      <c r="TS347" s="12" t="s">
        <v>37</v>
      </c>
      <c r="TT347" s="12" t="s">
        <v>37</v>
      </c>
      <c r="TU347" s="12"/>
      <c r="TV347" s="12"/>
      <c r="TY347" s="12" t="s">
        <v>37</v>
      </c>
      <c r="TZ347" s="12" t="s">
        <v>37</v>
      </c>
      <c r="UA347" s="12" t="s">
        <v>37</v>
      </c>
      <c r="UB347" s="12" t="s">
        <v>37</v>
      </c>
      <c r="UC347" s="12" t="s">
        <v>37</v>
      </c>
      <c r="UD347" s="12" t="s">
        <v>37</v>
      </c>
      <c r="UE347" s="12"/>
      <c r="UF347" s="12"/>
      <c r="UI347" s="12" t="s">
        <v>37</v>
      </c>
      <c r="UJ347" s="12" t="s">
        <v>37</v>
      </c>
      <c r="UK347" s="12" t="s">
        <v>37</v>
      </c>
      <c r="UL347" s="12" t="s">
        <v>37</v>
      </c>
      <c r="UM347" s="12" t="s">
        <v>37</v>
      </c>
      <c r="UN347" s="12" t="s">
        <v>37</v>
      </c>
      <c r="UO347" s="12"/>
      <c r="UP347" s="12"/>
      <c r="UR347" s="12" t="s">
        <v>37</v>
      </c>
      <c r="US347" s="12" t="s">
        <v>37</v>
      </c>
      <c r="UT347" s="12" t="s">
        <v>37</v>
      </c>
      <c r="UU347" s="12" t="s">
        <v>37</v>
      </c>
      <c r="UV347" s="12" t="s">
        <v>37</v>
      </c>
      <c r="UW347" s="12" t="s">
        <v>37</v>
      </c>
      <c r="UX347" s="12"/>
      <c r="UY347" s="12"/>
      <c r="VB347" s="12" t="s">
        <v>37</v>
      </c>
      <c r="VC347" s="12" t="s">
        <v>37</v>
      </c>
      <c r="VD347" s="12" t="s">
        <v>37</v>
      </c>
      <c r="VE347" s="12" t="s">
        <v>37</v>
      </c>
      <c r="VF347" s="12" t="s">
        <v>37</v>
      </c>
      <c r="VG347" s="12" t="s">
        <v>37</v>
      </c>
      <c r="VI347" s="12" t="s">
        <v>37</v>
      </c>
      <c r="VJ347" s="12" t="s">
        <v>37</v>
      </c>
      <c r="VK347" s="12" t="s">
        <v>37</v>
      </c>
      <c r="VL347" s="12" t="s">
        <v>37</v>
      </c>
      <c r="VM347" s="12" t="s">
        <v>37</v>
      </c>
      <c r="VN347" s="12" t="s">
        <v>37</v>
      </c>
      <c r="VQ347" s="12" t="s">
        <v>37</v>
      </c>
      <c r="VR347" s="12" t="s">
        <v>37</v>
      </c>
      <c r="VS347" s="12" t="s">
        <v>37</v>
      </c>
      <c r="VT347" s="12" t="s">
        <v>37</v>
      </c>
      <c r="VU347" s="12" t="s">
        <v>37</v>
      </c>
      <c r="VV347" s="12" t="s">
        <v>37</v>
      </c>
      <c r="VW347" s="12"/>
      <c r="VX347" s="12"/>
      <c r="WA347" s="12" t="s">
        <v>37</v>
      </c>
      <c r="WB347" s="12" t="s">
        <v>37</v>
      </c>
      <c r="WC347" s="12" t="s">
        <v>37</v>
      </c>
      <c r="WD347" s="12" t="s">
        <v>37</v>
      </c>
      <c r="WE347" s="12" t="s">
        <v>37</v>
      </c>
      <c r="WF347" s="12" t="s">
        <v>37</v>
      </c>
    </row>
    <row r="348" spans="1:604" ht="18" customHeight="1" x14ac:dyDescent="0.3">
      <c r="A348" s="11">
        <v>75</v>
      </c>
      <c r="B348" s="16" t="s">
        <v>443</v>
      </c>
      <c r="C348" s="12" t="s">
        <v>26</v>
      </c>
      <c r="D348" s="12" t="s">
        <v>973</v>
      </c>
      <c r="E348" s="40">
        <v>1.2</v>
      </c>
      <c r="F348" s="14">
        <v>0</v>
      </c>
      <c r="G348" s="14">
        <v>0</v>
      </c>
      <c r="H348" s="12" t="s">
        <v>91</v>
      </c>
      <c r="I348" s="29">
        <v>46.667000000000002</v>
      </c>
      <c r="J348" s="29">
        <v>-71.167000000000002</v>
      </c>
      <c r="K348" s="12" t="s">
        <v>673</v>
      </c>
      <c r="L348" s="12" t="s">
        <v>674</v>
      </c>
      <c r="M348" s="13" t="s">
        <v>37</v>
      </c>
      <c r="N348" s="14" t="s">
        <v>37</v>
      </c>
      <c r="O348" s="14" t="s">
        <v>37</v>
      </c>
      <c r="P348" s="14" t="s">
        <v>16</v>
      </c>
      <c r="Q348" s="75">
        <v>8</v>
      </c>
      <c r="R348" s="11" t="s">
        <v>1000</v>
      </c>
      <c r="S348" s="12" t="s">
        <v>85</v>
      </c>
      <c r="T348" s="12" t="s">
        <v>141</v>
      </c>
      <c r="U348" s="12" t="s">
        <v>163</v>
      </c>
      <c r="V348" s="12" t="s">
        <v>275</v>
      </c>
      <c r="W348" s="23" t="s">
        <v>160</v>
      </c>
      <c r="X348" s="12" t="s">
        <v>281</v>
      </c>
      <c r="Y348" s="12" t="s">
        <v>37</v>
      </c>
      <c r="Z348" s="12" t="s">
        <v>37</v>
      </c>
      <c r="AB348" s="12" t="s">
        <v>37</v>
      </c>
      <c r="AE348" s="12" t="s">
        <v>37</v>
      </c>
      <c r="AH348" s="12" t="s">
        <v>37</v>
      </c>
      <c r="AK348" s="12" t="s">
        <v>37</v>
      </c>
      <c r="AL348" s="32" t="s">
        <v>444</v>
      </c>
      <c r="AM348" s="12" t="s">
        <v>317</v>
      </c>
      <c r="AN348" s="32" t="s">
        <v>880</v>
      </c>
      <c r="AO348" s="12" t="s">
        <v>318</v>
      </c>
      <c r="AP348" s="12" t="s">
        <v>167</v>
      </c>
      <c r="AQ348" s="12" t="s">
        <v>975</v>
      </c>
      <c r="AT348" s="12" t="s">
        <v>326</v>
      </c>
      <c r="AU348" s="12" t="s">
        <v>326</v>
      </c>
      <c r="AV348" s="13" t="s">
        <v>326</v>
      </c>
      <c r="AX348" s="12" t="s">
        <v>326</v>
      </c>
      <c r="AY348" s="12" t="s">
        <v>326</v>
      </c>
      <c r="AZ348" s="13" t="s">
        <v>326</v>
      </c>
      <c r="BE348" s="12" t="s">
        <v>326</v>
      </c>
      <c r="BF348" s="12" t="s">
        <v>326</v>
      </c>
      <c r="BG348" s="12" t="s">
        <v>326</v>
      </c>
      <c r="BI348" s="12" t="s">
        <v>326</v>
      </c>
      <c r="BJ348" s="12" t="s">
        <v>326</v>
      </c>
      <c r="BK348" s="12" t="s">
        <v>326</v>
      </c>
      <c r="BP348" s="12" t="s">
        <v>37</v>
      </c>
      <c r="BQ348" s="12" t="s">
        <v>37</v>
      </c>
      <c r="BR348" s="13" t="s">
        <v>37</v>
      </c>
      <c r="BT348" s="12" t="s">
        <v>37</v>
      </c>
      <c r="BU348" s="12" t="s">
        <v>37</v>
      </c>
      <c r="BV348" s="12" t="s">
        <v>37</v>
      </c>
      <c r="BZ348" s="12" t="s">
        <v>581</v>
      </c>
      <c r="CA348" s="12">
        <f>-280*("2001/09/30"-"2001/05/01")/("2001/10/31"-"2001/07/01")*10^4/10^3/'[6]classess-1'!$T$92</f>
        <v>-3659.9602825374368</v>
      </c>
      <c r="CB348" s="12">
        <f>SQRT((1/[7]Classess!$T$92)^2*(26*("2001/09/30"-"2001/05/01")/("2001/10/31"-"2001/07/01")*SQRT(3)*10^4/10^3)^2+(-CA348/([7]Classess!$T$92)^2)^2*([7]Classess!$U$92)^2)</f>
        <v>593.4851284595926</v>
      </c>
      <c r="CC348" s="13">
        <v>3</v>
      </c>
      <c r="CD348" s="19">
        <f t="shared" si="1321"/>
        <v>0.16215616636367747</v>
      </c>
      <c r="CE348" s="12">
        <f>-215*("2001/09/30"-"2001/05/01")/("2001/10/31"-"2001/07/01")*10^4/10^3/'[6]classess-1'!$T$93</f>
        <v>-2778.6457143135131</v>
      </c>
      <c r="CF348" s="12">
        <f>SQRT((1/[7]Classess!$T$93)^2*(42*("2001/09/30"-"2001/05/01")/("2001/10/31"-"2001/07/01")*SQRT(3)*10^4/10^3)^2+(-CE348/([7]Classess!$T$93)^2)^2*([7]Classess!$U$93)^2)</f>
        <v>942.7176783399251</v>
      </c>
      <c r="CG348" s="13">
        <v>3</v>
      </c>
      <c r="CH348" s="19">
        <f t="shared" si="1322"/>
        <v>0.33927235612793161</v>
      </c>
      <c r="CI348" s="75">
        <f t="shared" si="1323"/>
        <v>881.31456822392374</v>
      </c>
      <c r="CJ348" s="12">
        <f t="shared" si="1324"/>
        <v>787.69956796906956</v>
      </c>
      <c r="CK348" s="72">
        <f t="shared" si="1325"/>
        <v>413647.07291910588</v>
      </c>
      <c r="CL348" s="72">
        <f t="shared" si="1326"/>
        <v>413647.07291910588</v>
      </c>
      <c r="CM348" s="12" t="s">
        <v>581</v>
      </c>
      <c r="CN348" s="12">
        <f>403*("2001/09/30"-"2001/05/01")/("2001/10/31"-"2001/07/01")*10^4/10^3/'[6]classess-1'!$I$92</f>
        <v>6251.1658250934079</v>
      </c>
      <c r="CO348" s="12">
        <f>SQRT((1/[7]Classess!$I$92)^2*(9*("2001/09/30"-"2001/05/01")/("2001/10/31"-"2001/07/01")*SQRT(3)*10^4/10^3)^2+(-CN348/([7]Classess!$I$92)^2)^2*([7]Classess!$J$92)^2)</f>
        <v>266.97663228644535</v>
      </c>
      <c r="CP348" s="13">
        <v>3</v>
      </c>
      <c r="CQ348" s="19">
        <f t="shared" si="1327"/>
        <v>4.2708294701565695E-2</v>
      </c>
      <c r="CR348" s="12">
        <f>541*("2001/09/30"-"2001/05/01")/("2001/10/31"-"2001/07/01")*10^4/10^3/'[6]classess-1'!$I$93</f>
        <v>7838.2827472249573</v>
      </c>
      <c r="CS348" s="12">
        <f>SQRT((1/[7]Classess!$I$93)^2*(90*("2001/09/30"-"2001/05/01")/("2001/10/31"-"2001/07/01")*SQRT(3)*10^4/10^3)^2+(-CR348/([7]Classess!$I$93)^2)^2*([7]Classess!$J$93)^2)</f>
        <v>2291.0465602792738</v>
      </c>
      <c r="CT348" s="13">
        <v>3</v>
      </c>
      <c r="CU348" s="19">
        <f t="shared" si="1328"/>
        <v>0.29228934884881375</v>
      </c>
      <c r="CV348" s="75">
        <f t="shared" si="1329"/>
        <v>1587.1169221315495</v>
      </c>
      <c r="CW348" s="12">
        <f t="shared" si="1330"/>
        <v>1630.9768336114564</v>
      </c>
      <c r="CX348" s="72">
        <f t="shared" si="1331"/>
        <v>1773390.2878515015</v>
      </c>
      <c r="CY348" s="72">
        <f t="shared" si="1332"/>
        <v>1773390.2878515015</v>
      </c>
      <c r="CZ348" s="12" t="s">
        <v>581</v>
      </c>
      <c r="DA348" s="12">
        <f t="shared" si="1339"/>
        <v>2591.2055425559711</v>
      </c>
      <c r="DB348" s="12">
        <f>SQRT((1/[7]Classess!$I$37)^2*(35*SQRT(3)*10^4/10^3)^2+(-DA348/([7]Classess!$I$37)^2)^2*([7]Classess!$J$37)^2)</f>
        <v>1600.5466590475353</v>
      </c>
      <c r="DC348" s="13">
        <v>3</v>
      </c>
      <c r="DD348" s="19">
        <f>DB348/ABS(DA348)</f>
        <v>0.61768417547793308</v>
      </c>
      <c r="DE348" s="12">
        <f t="shared" si="1340"/>
        <v>5059.6370329114443</v>
      </c>
      <c r="DF348" s="12">
        <f>SQRT((1/[7]Classess!$I$38)^2*(63*SQRT(3)*10^4/10^3)^2+(-DE348/([7]Classess!$I$38)^2)^2*([7]Classess!$J$38)^2)</f>
        <v>1113.5441452092068</v>
      </c>
      <c r="DG348" s="13">
        <v>3</v>
      </c>
      <c r="DH348" s="19">
        <f t="shared" si="1334"/>
        <v>0.22008380007615785</v>
      </c>
      <c r="DI348" s="19">
        <f t="shared" si="1335"/>
        <v>2468.4314903554732</v>
      </c>
      <c r="DJ348" s="12">
        <f t="shared" si="1336"/>
        <v>1378.7186390119505</v>
      </c>
      <c r="DK348" s="72">
        <f t="shared" si="1337"/>
        <v>1267243.3903726432</v>
      </c>
      <c r="DL348" s="72">
        <f t="shared" si="1338"/>
        <v>1267243.3903726432</v>
      </c>
      <c r="DN348" s="19" t="s">
        <v>37</v>
      </c>
      <c r="DO348" s="12" t="s">
        <v>37</v>
      </c>
      <c r="DP348" s="13" t="s">
        <v>37</v>
      </c>
      <c r="DR348" s="19" t="s">
        <v>37</v>
      </c>
      <c r="DS348" s="12" t="s">
        <v>37</v>
      </c>
      <c r="DT348" s="13" t="s">
        <v>37</v>
      </c>
      <c r="EA348" s="19" t="s">
        <v>37</v>
      </c>
      <c r="EB348" s="19" t="s">
        <v>37</v>
      </c>
      <c r="EC348" s="72" t="s">
        <v>37</v>
      </c>
      <c r="EE348" s="19" t="s">
        <v>37</v>
      </c>
      <c r="EF348" s="19" t="s">
        <v>37</v>
      </c>
      <c r="EG348" s="12" t="s">
        <v>37</v>
      </c>
      <c r="EM348" s="12" t="s">
        <v>39</v>
      </c>
      <c r="EN348" s="12">
        <f>AVERAGEA(-21,-14)</f>
        <v>-17.5</v>
      </c>
      <c r="EO348" s="12">
        <f>STDEVA(-21,-14)</f>
        <v>4.9497474683058327</v>
      </c>
      <c r="EP348" s="13">
        <v>4</v>
      </c>
      <c r="EQ348" s="19">
        <f t="shared" si="1341"/>
        <v>0.28284271247461901</v>
      </c>
      <c r="ER348" s="12">
        <f>AVERAGEA(-42,-26)</f>
        <v>-34</v>
      </c>
      <c r="ES348" s="12">
        <f>STDEVA(-42,-26)</f>
        <v>11.313708498984761</v>
      </c>
      <c r="ET348" s="13">
        <v>4</v>
      </c>
      <c r="EU348" s="19">
        <f t="shared" si="1342"/>
        <v>0.33275613232308121</v>
      </c>
      <c r="EV348" s="19">
        <f t="shared" si="1317"/>
        <v>-16.5</v>
      </c>
      <c r="EW348" s="12">
        <f t="shared" si="1318"/>
        <v>8.7321245982864912</v>
      </c>
      <c r="EX348" s="19">
        <f t="shared" si="1319"/>
        <v>38.125000000000007</v>
      </c>
      <c r="EY348" s="19">
        <f t="shared" si="1320"/>
        <v>38.125000000000007</v>
      </c>
      <c r="FB348" s="12" t="s">
        <v>37</v>
      </c>
      <c r="FC348" s="12" t="s">
        <v>37</v>
      </c>
      <c r="FD348" s="12" t="s">
        <v>37</v>
      </c>
      <c r="FE348" s="12" t="s">
        <v>37</v>
      </c>
      <c r="FF348" s="20" t="s">
        <v>37</v>
      </c>
      <c r="FG348" s="12" t="s">
        <v>37</v>
      </c>
      <c r="FI348" s="12" t="s">
        <v>37</v>
      </c>
      <c r="FJ348" s="12" t="s">
        <v>37</v>
      </c>
      <c r="FK348" s="12" t="s">
        <v>37</v>
      </c>
      <c r="FL348" s="12" t="s">
        <v>37</v>
      </c>
      <c r="FM348" s="12" t="s">
        <v>37</v>
      </c>
      <c r="FN348" s="12" t="s">
        <v>37</v>
      </c>
      <c r="FP348" s="12" t="s">
        <v>37</v>
      </c>
      <c r="FQ348" s="12" t="s">
        <v>37</v>
      </c>
      <c r="FR348" s="12" t="s">
        <v>37</v>
      </c>
      <c r="FS348" s="12" t="s">
        <v>37</v>
      </c>
      <c r="FT348" s="12" t="s">
        <v>37</v>
      </c>
      <c r="FU348" s="12" t="s">
        <v>37</v>
      </c>
      <c r="FW348" s="12" t="s">
        <v>37</v>
      </c>
      <c r="FX348" s="12" t="s">
        <v>37</v>
      </c>
      <c r="FY348" s="12" t="s">
        <v>37</v>
      </c>
      <c r="FZ348" s="12" t="s">
        <v>37</v>
      </c>
      <c r="GA348" s="12" t="s">
        <v>37</v>
      </c>
      <c r="GB348" s="12" t="s">
        <v>37</v>
      </c>
      <c r="IK348" s="12" t="s">
        <v>37</v>
      </c>
      <c r="IL348" s="12" t="s">
        <v>37</v>
      </c>
      <c r="IM348" s="12" t="s">
        <v>37</v>
      </c>
      <c r="IO348" s="12" t="s">
        <v>37</v>
      </c>
      <c r="IP348" s="12" t="s">
        <v>37</v>
      </c>
      <c r="IQ348" s="12" t="s">
        <v>37</v>
      </c>
      <c r="IW348" s="12" t="s">
        <v>37</v>
      </c>
      <c r="IX348" s="12" t="s">
        <v>37</v>
      </c>
      <c r="IY348" s="13" t="s">
        <v>37</v>
      </c>
      <c r="JA348" s="12" t="s">
        <v>37</v>
      </c>
      <c r="JB348" s="12" t="s">
        <v>37</v>
      </c>
      <c r="JC348" s="13" t="s">
        <v>37</v>
      </c>
      <c r="JH348" s="12" t="s">
        <v>37</v>
      </c>
      <c r="JI348" s="12" t="s">
        <v>37</v>
      </c>
      <c r="JJ348" s="13" t="s">
        <v>37</v>
      </c>
      <c r="JL348" s="12" t="s">
        <v>37</v>
      </c>
      <c r="JM348" s="12" t="s">
        <v>37</v>
      </c>
      <c r="JN348" s="12" t="s">
        <v>37</v>
      </c>
      <c r="JS348" s="12" t="s">
        <v>37</v>
      </c>
      <c r="JT348" s="12" t="s">
        <v>37</v>
      </c>
      <c r="JU348" s="13" t="s">
        <v>37</v>
      </c>
      <c r="JW348" s="12" t="s">
        <v>37</v>
      </c>
      <c r="JX348" s="12" t="s">
        <v>37</v>
      </c>
      <c r="JY348" s="12" t="s">
        <v>37</v>
      </c>
      <c r="KE348" s="12" t="s">
        <v>37</v>
      </c>
      <c r="KF348" s="12" t="s">
        <v>37</v>
      </c>
      <c r="KG348" s="13" t="s">
        <v>37</v>
      </c>
      <c r="KH348" s="12" t="s">
        <v>37</v>
      </c>
      <c r="KI348" s="12" t="s">
        <v>37</v>
      </c>
      <c r="KJ348" s="12" t="s">
        <v>37</v>
      </c>
      <c r="KM348" s="12" t="s">
        <v>37</v>
      </c>
      <c r="KN348" s="12" t="s">
        <v>37</v>
      </c>
      <c r="KO348" s="11" t="s">
        <v>37</v>
      </c>
      <c r="KQ348" s="12" t="s">
        <v>37</v>
      </c>
      <c r="KR348" s="12" t="s">
        <v>37</v>
      </c>
      <c r="KS348" s="12" t="s">
        <v>37</v>
      </c>
      <c r="KX348" s="12" t="s">
        <v>37</v>
      </c>
      <c r="KY348" s="12" t="s">
        <v>37</v>
      </c>
      <c r="KZ348" s="12" t="s">
        <v>37</v>
      </c>
      <c r="LB348" s="12" t="s">
        <v>37</v>
      </c>
      <c r="LC348" s="12" t="s">
        <v>37</v>
      </c>
      <c r="LD348" s="12" t="s">
        <v>37</v>
      </c>
      <c r="LI348" s="12" t="s">
        <v>37</v>
      </c>
      <c r="LJ348" s="12" t="s">
        <v>37</v>
      </c>
      <c r="LK348" s="12" t="s">
        <v>37</v>
      </c>
      <c r="LM348" s="12" t="s">
        <v>37</v>
      </c>
      <c r="LN348" s="12" t="s">
        <v>37</v>
      </c>
      <c r="LO348" s="12" t="s">
        <v>37</v>
      </c>
      <c r="LU348" s="12" t="s">
        <v>37</v>
      </c>
      <c r="LV348" s="12" t="s">
        <v>37</v>
      </c>
      <c r="LW348" s="12" t="s">
        <v>37</v>
      </c>
      <c r="LY348" s="12" t="s">
        <v>37</v>
      </c>
      <c r="LZ348" s="12" t="s">
        <v>37</v>
      </c>
      <c r="MA348" s="12" t="s">
        <v>37</v>
      </c>
      <c r="MF348" s="12" t="s">
        <v>37</v>
      </c>
      <c r="MG348" s="12" t="s">
        <v>37</v>
      </c>
      <c r="MH348" s="12" t="s">
        <v>37</v>
      </c>
      <c r="MJ348" s="12" t="s">
        <v>37</v>
      </c>
      <c r="MK348" s="12" t="s">
        <v>37</v>
      </c>
      <c r="ML348" s="12" t="s">
        <v>37</v>
      </c>
      <c r="MQ348" s="12" t="s">
        <v>37</v>
      </c>
      <c r="MR348" s="12" t="s">
        <v>37</v>
      </c>
      <c r="MS348" s="12" t="s">
        <v>37</v>
      </c>
      <c r="MU348" s="12" t="s">
        <v>37</v>
      </c>
      <c r="MV348" s="12" t="s">
        <v>37</v>
      </c>
      <c r="MW348" s="12" t="s">
        <v>37</v>
      </c>
      <c r="NC348" s="12" t="s">
        <v>37</v>
      </c>
      <c r="ND348" s="12" t="s">
        <v>37</v>
      </c>
      <c r="NE348" s="12" t="s">
        <v>37</v>
      </c>
      <c r="NG348" s="12" t="s">
        <v>37</v>
      </c>
      <c r="NH348" s="12" t="s">
        <v>37</v>
      </c>
      <c r="NI348" s="12" t="s">
        <v>37</v>
      </c>
      <c r="NO348" s="12" t="s">
        <v>37</v>
      </c>
      <c r="NP348" s="12" t="s">
        <v>37</v>
      </c>
      <c r="NQ348" s="12" t="s">
        <v>37</v>
      </c>
      <c r="NS348" s="12" t="s">
        <v>37</v>
      </c>
      <c r="NT348" s="12" t="s">
        <v>37</v>
      </c>
      <c r="NU348" s="12" t="s">
        <v>37</v>
      </c>
      <c r="OA348" s="12" t="s">
        <v>37</v>
      </c>
      <c r="OB348" s="12" t="s">
        <v>37</v>
      </c>
      <c r="OC348" s="12" t="s">
        <v>37</v>
      </c>
      <c r="OD348" s="12"/>
      <c r="OE348" s="12" t="s">
        <v>37</v>
      </c>
      <c r="OF348" s="12" t="s">
        <v>37</v>
      </c>
      <c r="OG348" s="12" t="s">
        <v>37</v>
      </c>
      <c r="OH348" s="12"/>
      <c r="OI348" s="12"/>
      <c r="OJ348" s="12"/>
      <c r="OM348" s="12" t="s">
        <v>37</v>
      </c>
      <c r="ON348" s="12" t="s">
        <v>37</v>
      </c>
      <c r="OO348" s="12" t="s">
        <v>37</v>
      </c>
      <c r="OP348" s="12" t="s">
        <v>37</v>
      </c>
      <c r="OQ348" s="12" t="s">
        <v>37</v>
      </c>
      <c r="OR348" s="12" t="s">
        <v>37</v>
      </c>
      <c r="OS348" s="12"/>
      <c r="OT348" s="12"/>
      <c r="OW348" s="12" t="s">
        <v>37</v>
      </c>
      <c r="OX348" s="12" t="s">
        <v>37</v>
      </c>
      <c r="OY348" s="13" t="s">
        <v>37</v>
      </c>
      <c r="OZ348" s="12" t="s">
        <v>37</v>
      </c>
      <c r="PA348" s="12" t="s">
        <v>37</v>
      </c>
      <c r="PB348" s="13" t="s">
        <v>37</v>
      </c>
      <c r="PG348" s="12" t="s">
        <v>37</v>
      </c>
      <c r="PH348" s="12" t="s">
        <v>37</v>
      </c>
      <c r="PI348" s="12" t="s">
        <v>37</v>
      </c>
      <c r="PJ348" s="12" t="s">
        <v>37</v>
      </c>
      <c r="PK348" s="12" t="s">
        <v>37</v>
      </c>
      <c r="PL348" s="12" t="s">
        <v>37</v>
      </c>
      <c r="PM348" s="12"/>
      <c r="PN348" s="12"/>
      <c r="PQ348" s="12" t="s">
        <v>37</v>
      </c>
      <c r="PR348" s="12" t="s">
        <v>37</v>
      </c>
      <c r="PS348" s="12" t="s">
        <v>37</v>
      </c>
      <c r="PT348" s="12" t="s">
        <v>37</v>
      </c>
      <c r="PU348" s="12" t="s">
        <v>37</v>
      </c>
      <c r="PV348" s="12" t="s">
        <v>37</v>
      </c>
      <c r="PW348" s="12"/>
      <c r="PX348" s="12"/>
      <c r="PZ348" s="12" t="s">
        <v>37</v>
      </c>
      <c r="QA348" s="12" t="s">
        <v>37</v>
      </c>
      <c r="QB348" s="12" t="s">
        <v>37</v>
      </c>
      <c r="QD348" s="12" t="s">
        <v>37</v>
      </c>
      <c r="QE348" s="12" t="s">
        <v>37</v>
      </c>
      <c r="QF348" s="12" t="s">
        <v>37</v>
      </c>
      <c r="QK348" s="12" t="s">
        <v>37</v>
      </c>
      <c r="QL348" s="12" t="s">
        <v>37</v>
      </c>
      <c r="QM348" s="12" t="s">
        <v>37</v>
      </c>
      <c r="QN348" s="12" t="s">
        <v>37</v>
      </c>
      <c r="QO348" s="12" t="s">
        <v>37</v>
      </c>
      <c r="QP348" s="12" t="s">
        <v>37</v>
      </c>
      <c r="QQ348" s="12"/>
      <c r="QR348" s="12"/>
      <c r="QU348" s="12" t="s">
        <v>37</v>
      </c>
      <c r="QV348" s="12" t="s">
        <v>37</v>
      </c>
      <c r="QW348" s="12" t="s">
        <v>37</v>
      </c>
      <c r="QX348" s="12" t="s">
        <v>37</v>
      </c>
      <c r="QY348" s="12" t="s">
        <v>37</v>
      </c>
      <c r="QZ348" s="12" t="s">
        <v>37</v>
      </c>
      <c r="RC348" s="12" t="s">
        <v>37</v>
      </c>
      <c r="RD348" s="12" t="s">
        <v>37</v>
      </c>
      <c r="RE348" s="13" t="s">
        <v>37</v>
      </c>
      <c r="RF348" s="12" t="s">
        <v>37</v>
      </c>
      <c r="RG348" s="12" t="s">
        <v>37</v>
      </c>
      <c r="RH348" s="13" t="s">
        <v>37</v>
      </c>
      <c r="RK348" s="12" t="s">
        <v>37</v>
      </c>
      <c r="RL348" s="12" t="s">
        <v>37</v>
      </c>
      <c r="RM348" s="11" t="s">
        <v>37</v>
      </c>
      <c r="RN348" s="12" t="s">
        <v>37</v>
      </c>
      <c r="RO348" s="12" t="s">
        <v>37</v>
      </c>
      <c r="RP348" s="11" t="s">
        <v>37</v>
      </c>
      <c r="RS348" s="12" t="s">
        <v>37</v>
      </c>
      <c r="RT348" s="12" t="s">
        <v>37</v>
      </c>
      <c r="RU348" s="12" t="s">
        <v>37</v>
      </c>
      <c r="RV348" s="12" t="s">
        <v>37</v>
      </c>
      <c r="RW348" s="12" t="s">
        <v>37</v>
      </c>
      <c r="RX348" s="12" t="s">
        <v>37</v>
      </c>
      <c r="SA348" s="12" t="s">
        <v>37</v>
      </c>
      <c r="SB348" s="12" t="s">
        <v>37</v>
      </c>
      <c r="SC348" s="12" t="s">
        <v>37</v>
      </c>
      <c r="SD348" s="12" t="s">
        <v>37</v>
      </c>
      <c r="SE348" s="12" t="s">
        <v>37</v>
      </c>
      <c r="SF348" s="12" t="s">
        <v>37</v>
      </c>
      <c r="SI348" s="12" t="s">
        <v>37</v>
      </c>
      <c r="SJ348" s="12" t="s">
        <v>37</v>
      </c>
      <c r="SK348" s="13" t="s">
        <v>37</v>
      </c>
      <c r="SM348" s="12" t="s">
        <v>37</v>
      </c>
      <c r="SN348" s="12" t="s">
        <v>37</v>
      </c>
      <c r="SO348" s="13" t="s">
        <v>37</v>
      </c>
      <c r="SU348" s="12" t="s">
        <v>37</v>
      </c>
      <c r="SV348" s="12" t="s">
        <v>37</v>
      </c>
      <c r="SW348" s="12" t="s">
        <v>37</v>
      </c>
      <c r="SX348" s="12" t="s">
        <v>37</v>
      </c>
      <c r="SY348" s="12" t="s">
        <v>37</v>
      </c>
      <c r="SZ348" s="12" t="s">
        <v>37</v>
      </c>
      <c r="TA348" s="12"/>
      <c r="TB348" s="12"/>
      <c r="TE348" s="12" t="s">
        <v>37</v>
      </c>
      <c r="TF348" s="12" t="s">
        <v>37</v>
      </c>
      <c r="TG348" s="12" t="s">
        <v>37</v>
      </c>
      <c r="TH348" s="12" t="s">
        <v>37</v>
      </c>
      <c r="TI348" s="12" t="s">
        <v>37</v>
      </c>
      <c r="TJ348" s="12" t="s">
        <v>37</v>
      </c>
      <c r="TK348" s="12"/>
      <c r="TL348" s="12"/>
      <c r="TO348" s="12" t="s">
        <v>37</v>
      </c>
      <c r="TP348" s="12" t="s">
        <v>37</v>
      </c>
      <c r="TQ348" s="12" t="s">
        <v>37</v>
      </c>
      <c r="TR348" s="12" t="s">
        <v>37</v>
      </c>
      <c r="TS348" s="12" t="s">
        <v>37</v>
      </c>
      <c r="TT348" s="12" t="s">
        <v>37</v>
      </c>
      <c r="TU348" s="12"/>
      <c r="TV348" s="12"/>
      <c r="TY348" s="12" t="s">
        <v>37</v>
      </c>
      <c r="TZ348" s="12" t="s">
        <v>37</v>
      </c>
      <c r="UA348" s="12" t="s">
        <v>37</v>
      </c>
      <c r="UB348" s="12" t="s">
        <v>37</v>
      </c>
      <c r="UC348" s="12" t="s">
        <v>37</v>
      </c>
      <c r="UD348" s="12" t="s">
        <v>37</v>
      </c>
      <c r="UE348" s="12"/>
      <c r="UF348" s="12"/>
      <c r="UI348" s="12" t="s">
        <v>37</v>
      </c>
      <c r="UJ348" s="12" t="s">
        <v>37</v>
      </c>
      <c r="UK348" s="12" t="s">
        <v>37</v>
      </c>
      <c r="UL348" s="12" t="s">
        <v>37</v>
      </c>
      <c r="UM348" s="12" t="s">
        <v>37</v>
      </c>
      <c r="UN348" s="12" t="s">
        <v>37</v>
      </c>
      <c r="UO348" s="12"/>
      <c r="UP348" s="12"/>
      <c r="UR348" s="12" t="s">
        <v>37</v>
      </c>
      <c r="US348" s="12" t="s">
        <v>37</v>
      </c>
      <c r="UT348" s="12" t="s">
        <v>37</v>
      </c>
      <c r="UU348" s="12" t="s">
        <v>37</v>
      </c>
      <c r="UV348" s="12" t="s">
        <v>37</v>
      </c>
      <c r="UW348" s="12" t="s">
        <v>37</v>
      </c>
      <c r="UX348" s="12"/>
      <c r="UY348" s="12"/>
      <c r="VB348" s="12" t="s">
        <v>37</v>
      </c>
      <c r="VC348" s="12" t="s">
        <v>37</v>
      </c>
      <c r="VD348" s="12" t="s">
        <v>37</v>
      </c>
      <c r="VE348" s="12" t="s">
        <v>37</v>
      </c>
      <c r="VF348" s="12" t="s">
        <v>37</v>
      </c>
      <c r="VG348" s="12" t="s">
        <v>37</v>
      </c>
      <c r="VI348" s="12" t="s">
        <v>37</v>
      </c>
      <c r="VJ348" s="12" t="s">
        <v>37</v>
      </c>
      <c r="VK348" s="12" t="s">
        <v>37</v>
      </c>
      <c r="VL348" s="12" t="s">
        <v>37</v>
      </c>
      <c r="VM348" s="12" t="s">
        <v>37</v>
      </c>
      <c r="VN348" s="12" t="s">
        <v>37</v>
      </c>
      <c r="VQ348" s="12" t="s">
        <v>37</v>
      </c>
      <c r="VR348" s="12" t="s">
        <v>37</v>
      </c>
      <c r="VS348" s="12" t="s">
        <v>37</v>
      </c>
      <c r="VT348" s="12" t="s">
        <v>37</v>
      </c>
      <c r="VU348" s="12" t="s">
        <v>37</v>
      </c>
      <c r="VV348" s="12" t="s">
        <v>37</v>
      </c>
      <c r="VW348" s="12"/>
      <c r="VX348" s="12"/>
      <c r="WA348" s="12" t="s">
        <v>37</v>
      </c>
      <c r="WB348" s="12" t="s">
        <v>37</v>
      </c>
      <c r="WC348" s="12" t="s">
        <v>37</v>
      </c>
      <c r="WD348" s="12" t="s">
        <v>37</v>
      </c>
      <c r="WE348" s="12" t="s">
        <v>37</v>
      </c>
      <c r="WF348" s="12" t="s">
        <v>37</v>
      </c>
    </row>
    <row r="349" spans="1:604" ht="18" customHeight="1" x14ac:dyDescent="0.3">
      <c r="A349" s="11">
        <v>75</v>
      </c>
      <c r="B349" s="16" t="s">
        <v>443</v>
      </c>
      <c r="C349" s="12" t="s">
        <v>26</v>
      </c>
      <c r="D349" s="12" t="s">
        <v>973</v>
      </c>
      <c r="E349" s="40">
        <v>1.2</v>
      </c>
      <c r="F349" s="14">
        <v>0</v>
      </c>
      <c r="G349" s="14">
        <v>0</v>
      </c>
      <c r="H349" s="12" t="s">
        <v>91</v>
      </c>
      <c r="I349" s="29">
        <v>46.667000000000002</v>
      </c>
      <c r="J349" s="29">
        <v>-71.167000000000002</v>
      </c>
      <c r="K349" s="12" t="s">
        <v>673</v>
      </c>
      <c r="L349" s="12" t="s">
        <v>674</v>
      </c>
      <c r="M349" s="13" t="s">
        <v>37</v>
      </c>
      <c r="N349" s="14" t="s">
        <v>37</v>
      </c>
      <c r="O349" s="14" t="s">
        <v>37</v>
      </c>
      <c r="P349" s="14" t="s">
        <v>16</v>
      </c>
      <c r="Q349" s="75">
        <v>8</v>
      </c>
      <c r="R349" s="11" t="s">
        <v>1000</v>
      </c>
      <c r="S349" s="12" t="s">
        <v>85</v>
      </c>
      <c r="T349" s="12" t="s">
        <v>141</v>
      </c>
      <c r="U349" s="12" t="s">
        <v>164</v>
      </c>
      <c r="V349" s="12" t="s">
        <v>275</v>
      </c>
      <c r="W349" s="23" t="s">
        <v>155</v>
      </c>
      <c r="X349" s="12" t="s">
        <v>281</v>
      </c>
      <c r="Y349" s="12" t="s">
        <v>37</v>
      </c>
      <c r="Z349" s="12" t="s">
        <v>37</v>
      </c>
      <c r="AB349" s="12" t="s">
        <v>37</v>
      </c>
      <c r="AE349" s="12" t="s">
        <v>37</v>
      </c>
      <c r="AH349" s="12" t="s">
        <v>37</v>
      </c>
      <c r="AK349" s="12" t="s">
        <v>37</v>
      </c>
      <c r="AL349" s="32" t="s">
        <v>444</v>
      </c>
      <c r="AM349" s="12" t="s">
        <v>317</v>
      </c>
      <c r="AN349" s="32" t="s">
        <v>880</v>
      </c>
      <c r="AO349" s="12" t="s">
        <v>318</v>
      </c>
      <c r="AP349" s="12" t="s">
        <v>167</v>
      </c>
      <c r="AQ349" s="12" t="s">
        <v>975</v>
      </c>
      <c r="AT349" s="12" t="s">
        <v>326</v>
      </c>
      <c r="AU349" s="12" t="s">
        <v>326</v>
      </c>
      <c r="AV349" s="13" t="s">
        <v>326</v>
      </c>
      <c r="AX349" s="12" t="s">
        <v>326</v>
      </c>
      <c r="AY349" s="12" t="s">
        <v>326</v>
      </c>
      <c r="AZ349" s="13" t="s">
        <v>326</v>
      </c>
      <c r="BE349" s="12" t="s">
        <v>326</v>
      </c>
      <c r="BF349" s="12" t="s">
        <v>326</v>
      </c>
      <c r="BG349" s="12" t="s">
        <v>326</v>
      </c>
      <c r="BI349" s="12" t="s">
        <v>326</v>
      </c>
      <c r="BJ349" s="12" t="s">
        <v>326</v>
      </c>
      <c r="BK349" s="12" t="s">
        <v>326</v>
      </c>
      <c r="BP349" s="12" t="s">
        <v>37</v>
      </c>
      <c r="BQ349" s="12" t="s">
        <v>37</v>
      </c>
      <c r="BR349" s="13" t="s">
        <v>37</v>
      </c>
      <c r="BT349" s="12" t="s">
        <v>37</v>
      </c>
      <c r="BU349" s="12" t="s">
        <v>37</v>
      </c>
      <c r="BV349" s="12" t="s">
        <v>37</v>
      </c>
      <c r="BZ349" s="12" t="s">
        <v>581</v>
      </c>
      <c r="CA349" s="12">
        <f>-368*("2001/09/30"-"2001/05/01")/("2001/10/31"-"2001/07/01")*10^4/10^3/'[6]classess-1'!$T$94</f>
        <v>-4810.2335141920603</v>
      </c>
      <c r="CB349" s="12">
        <f>SQRT((1/[7]Classess!$T$94)^2*(22*("2001/09/30"-"2001/05/01")/("2001/10/31"-"2001/07/01")*SQRT(3)*10^4/10^3)^2+(-CA349/([7]Classess!$T$94)^2)^2*([7]Classess!$U$94)^2)</f>
        <v>507.91046480105655</v>
      </c>
      <c r="CC349" s="13">
        <v>3</v>
      </c>
      <c r="CD349" s="19">
        <f t="shared" si="1321"/>
        <v>0.10558956510167813</v>
      </c>
      <c r="CE349" s="12">
        <f>-393*("2001/09/30"-"2001/05/01")/("2001/10/31"-"2001/07/01")*10^4/10^3/'[6]classess-1'!$T$93</f>
        <v>-5079.1058870940042</v>
      </c>
      <c r="CF349" s="12">
        <f>SQRT((1/[7]Classess!$T$93)^2*(13*("2001/09/30"-"2001/05/01")/("2001/10/31"-"2001/07/01")*SQRT(3)*10^4/10^3)^2+(-CE349/([7]Classess!$T$93)^2)^2*([7]Classess!$U$93)^2)</f>
        <v>317.38779673465609</v>
      </c>
      <c r="CG349" s="13">
        <v>3</v>
      </c>
      <c r="CH349" s="19">
        <f t="shared" si="1322"/>
        <v>6.2488911196188629E-2</v>
      </c>
      <c r="CI349" s="75">
        <f t="shared" si="1323"/>
        <v>-268.87237290194389</v>
      </c>
      <c r="CJ349" s="12">
        <f t="shared" si="1324"/>
        <v>423.50209785224479</v>
      </c>
      <c r="CK349" s="72">
        <f t="shared" si="1325"/>
        <v>119569.35125683488</v>
      </c>
      <c r="CL349" s="72">
        <f t="shared" si="1326"/>
        <v>119569.3512568349</v>
      </c>
      <c r="CM349" s="12" t="s">
        <v>581</v>
      </c>
      <c r="CN349" s="12">
        <f>307*("2001/09/30"-"2001/05/01")/("2001/10/31"-"2001/07/01")*10^4/10^3/'[6]classess-1'!$I$94</f>
        <v>4762.0543630364182</v>
      </c>
      <c r="CO349" s="12">
        <f>SQRT((1/[7]Classess!$I$94)^2*(37*("2001/09/30"-"2001/05/01")/("2001/10/31"-"2001/07/01")*SQRT(3)*10^4/10^3)^2+(-CN349/([7]Classess!$I$94)^2)^2*([7]Classess!$J$94)^2)</f>
        <v>997.80477562796057</v>
      </c>
      <c r="CP349" s="13">
        <v>3</v>
      </c>
      <c r="CQ349" s="19">
        <f t="shared" si="1327"/>
        <v>0.20953242016156501</v>
      </c>
      <c r="CR349" s="12">
        <f>424*("2001/09/30"-"2001/05/01")/("2001/10/31"-"2001/07/01")*10^4/10^3/'[6]classess-1'!$I$93</f>
        <v>6143.1273286938667</v>
      </c>
      <c r="CS349" s="12">
        <f>SQRT((1/[7]Classess!$I$93)^2*(44*("2001/09/30"-"2001/05/01")/("2001/10/31"-"2001/07/01")*SQRT(3)*10^4/10^3)^2+(-CR349/([7]Classess!$I$93)^2)^2*([7]Classess!$J$93)^2)</f>
        <v>1144.5750412473667</v>
      </c>
      <c r="CT349" s="13">
        <v>3</v>
      </c>
      <c r="CU349" s="19">
        <f t="shared" si="1328"/>
        <v>0.186317974543875</v>
      </c>
      <c r="CV349" s="75">
        <f t="shared" si="1329"/>
        <v>1381.0729656574485</v>
      </c>
      <c r="CW349" s="12">
        <f t="shared" si="1330"/>
        <v>1073.7007020842391</v>
      </c>
      <c r="CX349" s="72">
        <f t="shared" si="1331"/>
        <v>768555.46510412521</v>
      </c>
      <c r="CY349" s="72">
        <f t="shared" si="1332"/>
        <v>768555.46510412532</v>
      </c>
      <c r="CZ349" s="12" t="s">
        <v>581</v>
      </c>
      <c r="DA349" s="12">
        <f t="shared" si="1339"/>
        <v>-48.179151155642103</v>
      </c>
      <c r="DB349" s="12">
        <f>SQRT((1/[7]Classess!$I$37)^2*(59*SQRT(3)*10^4/10^3)^2+(-DA349/([7]Classess!$I$37)^2)^2*([7]Classess!$J$37)^2)</f>
        <v>1897.3884326053135</v>
      </c>
      <c r="DC349" s="13">
        <v>3</v>
      </c>
      <c r="DD349" s="19">
        <f t="shared" si="1333"/>
        <v>39.381939845221133</v>
      </c>
      <c r="DE349" s="12">
        <f t="shared" si="1340"/>
        <v>1064.0214415998626</v>
      </c>
      <c r="DF349" s="12">
        <f>SQRT((1/[7]Classess!$I$38)^2*(31*SQRT(3)*10^4/10^3)^2+(-DE349/([7]Classess!$I$38)^2)^2*([7]Classess!$J$38)^2)</f>
        <v>385.19113146523358</v>
      </c>
      <c r="DG349" s="13">
        <v>3</v>
      </c>
      <c r="DH349" s="19">
        <f t="shared" si="1334"/>
        <v>0.36201444482740897</v>
      </c>
      <c r="DI349" s="19">
        <f t="shared" si="1335"/>
        <v>1112.2005927555047</v>
      </c>
      <c r="DJ349" s="12">
        <f t="shared" si="1336"/>
        <v>1369.0243007236786</v>
      </c>
      <c r="DK349" s="72">
        <f t="shared" si="1337"/>
        <v>1249485.0239813048</v>
      </c>
      <c r="DL349" s="72">
        <f t="shared" si="1338"/>
        <v>1249485.0239813051</v>
      </c>
      <c r="DN349" s="19" t="s">
        <v>37</v>
      </c>
      <c r="DO349" s="12" t="s">
        <v>37</v>
      </c>
      <c r="DP349" s="13" t="s">
        <v>37</v>
      </c>
      <c r="DR349" s="19" t="s">
        <v>37</v>
      </c>
      <c r="DS349" s="12" t="s">
        <v>37</v>
      </c>
      <c r="DT349" s="13" t="s">
        <v>37</v>
      </c>
      <c r="EA349" s="19" t="s">
        <v>37</v>
      </c>
      <c r="EB349" s="19" t="s">
        <v>37</v>
      </c>
      <c r="EC349" s="72" t="s">
        <v>37</v>
      </c>
      <c r="EE349" s="19" t="s">
        <v>37</v>
      </c>
      <c r="EF349" s="19" t="s">
        <v>37</v>
      </c>
      <c r="EG349" s="12" t="s">
        <v>37</v>
      </c>
      <c r="EM349" s="12" t="s">
        <v>39</v>
      </c>
      <c r="EN349" s="12">
        <f>AVERAGEA(-14,-6)</f>
        <v>-10</v>
      </c>
      <c r="EO349" s="12">
        <f>STDEVA(-14,-6)</f>
        <v>5.6568542494923806</v>
      </c>
      <c r="EP349" s="13">
        <v>4</v>
      </c>
      <c r="EQ349" s="19">
        <f t="shared" si="1341"/>
        <v>0.56568542494923801</v>
      </c>
      <c r="ER349" s="12">
        <f>AVERAGEA(-19,-14)</f>
        <v>-16.5</v>
      </c>
      <c r="ES349" s="12">
        <f>STDEVA(-19,-14)</f>
        <v>3.5355339059327378</v>
      </c>
      <c r="ET349" s="13">
        <v>4</v>
      </c>
      <c r="EU349" s="19">
        <f t="shared" si="1342"/>
        <v>0.21427478217774168</v>
      </c>
      <c r="EV349" s="19">
        <f t="shared" si="1317"/>
        <v>-6.5</v>
      </c>
      <c r="EW349" s="12">
        <f t="shared" si="1318"/>
        <v>4.7169905660283025</v>
      </c>
      <c r="EX349" s="19">
        <f t="shared" si="1319"/>
        <v>11.125000000000002</v>
      </c>
      <c r="EY349" s="19">
        <f t="shared" si="1320"/>
        <v>11.125000000000002</v>
      </c>
      <c r="FB349" s="12" t="s">
        <v>37</v>
      </c>
      <c r="FC349" s="12" t="s">
        <v>37</v>
      </c>
      <c r="FD349" s="12" t="s">
        <v>37</v>
      </c>
      <c r="FE349" s="12" t="s">
        <v>37</v>
      </c>
      <c r="FF349" s="20" t="s">
        <v>37</v>
      </c>
      <c r="FG349" s="12" t="s">
        <v>37</v>
      </c>
      <c r="FI349" s="12" t="s">
        <v>37</v>
      </c>
      <c r="FJ349" s="12" t="s">
        <v>37</v>
      </c>
      <c r="FK349" s="12" t="s">
        <v>37</v>
      </c>
      <c r="FL349" s="12" t="s">
        <v>37</v>
      </c>
      <c r="FM349" s="12" t="s">
        <v>37</v>
      </c>
      <c r="FN349" s="12" t="s">
        <v>37</v>
      </c>
      <c r="FP349" s="12" t="s">
        <v>37</v>
      </c>
      <c r="FQ349" s="12" t="s">
        <v>37</v>
      </c>
      <c r="FR349" s="12" t="s">
        <v>37</v>
      </c>
      <c r="FS349" s="12" t="s">
        <v>37</v>
      </c>
      <c r="FT349" s="12" t="s">
        <v>37</v>
      </c>
      <c r="FU349" s="12" t="s">
        <v>37</v>
      </c>
      <c r="FW349" s="12" t="s">
        <v>37</v>
      </c>
      <c r="FX349" s="12" t="s">
        <v>37</v>
      </c>
      <c r="FY349" s="12" t="s">
        <v>37</v>
      </c>
      <c r="FZ349" s="12" t="s">
        <v>37</v>
      </c>
      <c r="GA349" s="12" t="s">
        <v>37</v>
      </c>
      <c r="GB349" s="12" t="s">
        <v>37</v>
      </c>
      <c r="IK349" s="12" t="s">
        <v>37</v>
      </c>
      <c r="IL349" s="12" t="s">
        <v>37</v>
      </c>
      <c r="IM349" s="12" t="s">
        <v>37</v>
      </c>
      <c r="IO349" s="12" t="s">
        <v>37</v>
      </c>
      <c r="IP349" s="12" t="s">
        <v>37</v>
      </c>
      <c r="IQ349" s="12" t="s">
        <v>37</v>
      </c>
      <c r="IW349" s="12" t="s">
        <v>37</v>
      </c>
      <c r="IX349" s="12" t="s">
        <v>37</v>
      </c>
      <c r="IY349" s="13" t="s">
        <v>37</v>
      </c>
      <c r="JA349" s="12" t="s">
        <v>37</v>
      </c>
      <c r="JB349" s="12" t="s">
        <v>37</v>
      </c>
      <c r="JC349" s="13" t="s">
        <v>37</v>
      </c>
      <c r="JH349" s="12" t="s">
        <v>37</v>
      </c>
      <c r="JI349" s="12" t="s">
        <v>37</v>
      </c>
      <c r="JJ349" s="13" t="s">
        <v>37</v>
      </c>
      <c r="JL349" s="12" t="s">
        <v>37</v>
      </c>
      <c r="JM349" s="12" t="s">
        <v>37</v>
      </c>
      <c r="JN349" s="12" t="s">
        <v>37</v>
      </c>
      <c r="JS349" s="12" t="s">
        <v>37</v>
      </c>
      <c r="JT349" s="12" t="s">
        <v>37</v>
      </c>
      <c r="JU349" s="13" t="s">
        <v>37</v>
      </c>
      <c r="JW349" s="12" t="s">
        <v>37</v>
      </c>
      <c r="JX349" s="12" t="s">
        <v>37</v>
      </c>
      <c r="JY349" s="12" t="s">
        <v>37</v>
      </c>
      <c r="KE349" s="12" t="s">
        <v>37</v>
      </c>
      <c r="KF349" s="12" t="s">
        <v>37</v>
      </c>
      <c r="KG349" s="13" t="s">
        <v>37</v>
      </c>
      <c r="KH349" s="12" t="s">
        <v>37</v>
      </c>
      <c r="KI349" s="12" t="s">
        <v>37</v>
      </c>
      <c r="KJ349" s="12" t="s">
        <v>37</v>
      </c>
      <c r="KM349" s="12" t="s">
        <v>37</v>
      </c>
      <c r="KN349" s="12" t="s">
        <v>37</v>
      </c>
      <c r="KO349" s="11" t="s">
        <v>37</v>
      </c>
      <c r="KQ349" s="12" t="s">
        <v>37</v>
      </c>
      <c r="KR349" s="12" t="s">
        <v>37</v>
      </c>
      <c r="KS349" s="12" t="s">
        <v>37</v>
      </c>
      <c r="KX349" s="12" t="s">
        <v>37</v>
      </c>
      <c r="KY349" s="12" t="s">
        <v>37</v>
      </c>
      <c r="KZ349" s="12" t="s">
        <v>37</v>
      </c>
      <c r="LB349" s="12" t="s">
        <v>37</v>
      </c>
      <c r="LC349" s="12" t="s">
        <v>37</v>
      </c>
      <c r="LD349" s="12" t="s">
        <v>37</v>
      </c>
      <c r="LI349" s="12" t="s">
        <v>37</v>
      </c>
      <c r="LJ349" s="12" t="s">
        <v>37</v>
      </c>
      <c r="LK349" s="12" t="s">
        <v>37</v>
      </c>
      <c r="LM349" s="12" t="s">
        <v>37</v>
      </c>
      <c r="LN349" s="12" t="s">
        <v>37</v>
      </c>
      <c r="LO349" s="12" t="s">
        <v>37</v>
      </c>
      <c r="LU349" s="12" t="s">
        <v>37</v>
      </c>
      <c r="LV349" s="12" t="s">
        <v>37</v>
      </c>
      <c r="LW349" s="12" t="s">
        <v>37</v>
      </c>
      <c r="LY349" s="12" t="s">
        <v>37</v>
      </c>
      <c r="LZ349" s="12" t="s">
        <v>37</v>
      </c>
      <c r="MA349" s="12" t="s">
        <v>37</v>
      </c>
      <c r="MF349" s="12" t="s">
        <v>37</v>
      </c>
      <c r="MG349" s="12" t="s">
        <v>37</v>
      </c>
      <c r="MH349" s="12" t="s">
        <v>37</v>
      </c>
      <c r="MJ349" s="12" t="s">
        <v>37</v>
      </c>
      <c r="MK349" s="12" t="s">
        <v>37</v>
      </c>
      <c r="ML349" s="12" t="s">
        <v>37</v>
      </c>
      <c r="MQ349" s="12" t="s">
        <v>37</v>
      </c>
      <c r="MR349" s="12" t="s">
        <v>37</v>
      </c>
      <c r="MS349" s="12" t="s">
        <v>37</v>
      </c>
      <c r="MU349" s="12" t="s">
        <v>37</v>
      </c>
      <c r="MV349" s="12" t="s">
        <v>37</v>
      </c>
      <c r="MW349" s="12" t="s">
        <v>37</v>
      </c>
      <c r="NC349" s="12" t="s">
        <v>37</v>
      </c>
      <c r="ND349" s="12" t="s">
        <v>37</v>
      </c>
      <c r="NE349" s="12" t="s">
        <v>37</v>
      </c>
      <c r="NG349" s="12" t="s">
        <v>37</v>
      </c>
      <c r="NH349" s="12" t="s">
        <v>37</v>
      </c>
      <c r="NI349" s="12" t="s">
        <v>37</v>
      </c>
      <c r="NO349" s="12" t="s">
        <v>37</v>
      </c>
      <c r="NP349" s="12" t="s">
        <v>37</v>
      </c>
      <c r="NQ349" s="12" t="s">
        <v>37</v>
      </c>
      <c r="NS349" s="12" t="s">
        <v>37</v>
      </c>
      <c r="NT349" s="12" t="s">
        <v>37</v>
      </c>
      <c r="NU349" s="12" t="s">
        <v>37</v>
      </c>
      <c r="OA349" s="12" t="s">
        <v>37</v>
      </c>
      <c r="OB349" s="12" t="s">
        <v>37</v>
      </c>
      <c r="OC349" s="12" t="s">
        <v>37</v>
      </c>
      <c r="OD349" s="12"/>
      <c r="OE349" s="12" t="s">
        <v>37</v>
      </c>
      <c r="OF349" s="12" t="s">
        <v>37</v>
      </c>
      <c r="OG349" s="12" t="s">
        <v>37</v>
      </c>
      <c r="OH349" s="12"/>
      <c r="OI349" s="12"/>
      <c r="OJ349" s="12"/>
      <c r="OM349" s="12" t="s">
        <v>37</v>
      </c>
      <c r="ON349" s="12" t="s">
        <v>37</v>
      </c>
      <c r="OO349" s="12" t="s">
        <v>37</v>
      </c>
      <c r="OP349" s="12" t="s">
        <v>37</v>
      </c>
      <c r="OQ349" s="12" t="s">
        <v>37</v>
      </c>
      <c r="OR349" s="12" t="s">
        <v>37</v>
      </c>
      <c r="OS349" s="12"/>
      <c r="OT349" s="12"/>
      <c r="OW349" s="12" t="s">
        <v>37</v>
      </c>
      <c r="OX349" s="12" t="s">
        <v>37</v>
      </c>
      <c r="OY349" s="13" t="s">
        <v>37</v>
      </c>
      <c r="OZ349" s="12" t="s">
        <v>37</v>
      </c>
      <c r="PA349" s="12" t="s">
        <v>37</v>
      </c>
      <c r="PB349" s="13" t="s">
        <v>37</v>
      </c>
      <c r="PG349" s="12" t="s">
        <v>37</v>
      </c>
      <c r="PH349" s="12" t="s">
        <v>37</v>
      </c>
      <c r="PI349" s="12" t="s">
        <v>37</v>
      </c>
      <c r="PJ349" s="12" t="s">
        <v>37</v>
      </c>
      <c r="PK349" s="12" t="s">
        <v>37</v>
      </c>
      <c r="PL349" s="12" t="s">
        <v>37</v>
      </c>
      <c r="PM349" s="12"/>
      <c r="PN349" s="12"/>
      <c r="PQ349" s="12" t="s">
        <v>37</v>
      </c>
      <c r="PR349" s="12" t="s">
        <v>37</v>
      </c>
      <c r="PS349" s="12" t="s">
        <v>37</v>
      </c>
      <c r="PT349" s="12" t="s">
        <v>37</v>
      </c>
      <c r="PU349" s="12" t="s">
        <v>37</v>
      </c>
      <c r="PV349" s="12" t="s">
        <v>37</v>
      </c>
      <c r="PW349" s="12"/>
      <c r="PX349" s="12"/>
      <c r="PZ349" s="12" t="s">
        <v>37</v>
      </c>
      <c r="QA349" s="12" t="s">
        <v>37</v>
      </c>
      <c r="QB349" s="12" t="s">
        <v>37</v>
      </c>
      <c r="QD349" s="12" t="s">
        <v>37</v>
      </c>
      <c r="QE349" s="12" t="s">
        <v>37</v>
      </c>
      <c r="QF349" s="12" t="s">
        <v>37</v>
      </c>
      <c r="QK349" s="12" t="s">
        <v>37</v>
      </c>
      <c r="QL349" s="12" t="s">
        <v>37</v>
      </c>
      <c r="QM349" s="12" t="s">
        <v>37</v>
      </c>
      <c r="QN349" s="12" t="s">
        <v>37</v>
      </c>
      <c r="QO349" s="12" t="s">
        <v>37</v>
      </c>
      <c r="QP349" s="12" t="s">
        <v>37</v>
      </c>
      <c r="QQ349" s="12"/>
      <c r="QR349" s="12"/>
      <c r="QU349" s="12" t="s">
        <v>37</v>
      </c>
      <c r="QV349" s="12" t="s">
        <v>37</v>
      </c>
      <c r="QW349" s="12" t="s">
        <v>37</v>
      </c>
      <c r="QX349" s="12" t="s">
        <v>37</v>
      </c>
      <c r="QY349" s="12" t="s">
        <v>37</v>
      </c>
      <c r="QZ349" s="12" t="s">
        <v>37</v>
      </c>
      <c r="RC349" s="12" t="s">
        <v>37</v>
      </c>
      <c r="RD349" s="12" t="s">
        <v>37</v>
      </c>
      <c r="RE349" s="13" t="s">
        <v>37</v>
      </c>
      <c r="RF349" s="12" t="s">
        <v>37</v>
      </c>
      <c r="RG349" s="12" t="s">
        <v>37</v>
      </c>
      <c r="RH349" s="13" t="s">
        <v>37</v>
      </c>
      <c r="RK349" s="12" t="s">
        <v>37</v>
      </c>
      <c r="RL349" s="12" t="s">
        <v>37</v>
      </c>
      <c r="RM349" s="11" t="s">
        <v>37</v>
      </c>
      <c r="RN349" s="12" t="s">
        <v>37</v>
      </c>
      <c r="RO349" s="12" t="s">
        <v>37</v>
      </c>
      <c r="RP349" s="11" t="s">
        <v>37</v>
      </c>
      <c r="RS349" s="12" t="s">
        <v>37</v>
      </c>
      <c r="RT349" s="12" t="s">
        <v>37</v>
      </c>
      <c r="RU349" s="12" t="s">
        <v>37</v>
      </c>
      <c r="RV349" s="12" t="s">
        <v>37</v>
      </c>
      <c r="RW349" s="12" t="s">
        <v>37</v>
      </c>
      <c r="RX349" s="12" t="s">
        <v>37</v>
      </c>
      <c r="SA349" s="12" t="s">
        <v>37</v>
      </c>
      <c r="SB349" s="12" t="s">
        <v>37</v>
      </c>
      <c r="SC349" s="12" t="s">
        <v>37</v>
      </c>
      <c r="SD349" s="12" t="s">
        <v>37</v>
      </c>
      <c r="SE349" s="12" t="s">
        <v>37</v>
      </c>
      <c r="SF349" s="12" t="s">
        <v>37</v>
      </c>
      <c r="SI349" s="12" t="s">
        <v>37</v>
      </c>
      <c r="SJ349" s="12" t="s">
        <v>37</v>
      </c>
      <c r="SK349" s="13" t="s">
        <v>37</v>
      </c>
      <c r="SM349" s="12" t="s">
        <v>37</v>
      </c>
      <c r="SN349" s="12" t="s">
        <v>37</v>
      </c>
      <c r="SO349" s="13" t="s">
        <v>37</v>
      </c>
      <c r="SU349" s="12" t="s">
        <v>37</v>
      </c>
      <c r="SV349" s="12" t="s">
        <v>37</v>
      </c>
      <c r="SW349" s="12" t="s">
        <v>37</v>
      </c>
      <c r="SX349" s="12" t="s">
        <v>37</v>
      </c>
      <c r="SY349" s="12" t="s">
        <v>37</v>
      </c>
      <c r="SZ349" s="12" t="s">
        <v>37</v>
      </c>
      <c r="TA349" s="12"/>
      <c r="TB349" s="12"/>
      <c r="TE349" s="12" t="s">
        <v>37</v>
      </c>
      <c r="TF349" s="12" t="s">
        <v>37</v>
      </c>
      <c r="TG349" s="12" t="s">
        <v>37</v>
      </c>
      <c r="TH349" s="12" t="s">
        <v>37</v>
      </c>
      <c r="TI349" s="12" t="s">
        <v>37</v>
      </c>
      <c r="TJ349" s="12" t="s">
        <v>37</v>
      </c>
      <c r="TK349" s="12"/>
      <c r="TL349" s="12"/>
      <c r="TO349" s="12" t="s">
        <v>37</v>
      </c>
      <c r="TP349" s="12" t="s">
        <v>37</v>
      </c>
      <c r="TQ349" s="12" t="s">
        <v>37</v>
      </c>
      <c r="TR349" s="12" t="s">
        <v>37</v>
      </c>
      <c r="TS349" s="12" t="s">
        <v>37</v>
      </c>
      <c r="TT349" s="12" t="s">
        <v>37</v>
      </c>
      <c r="TU349" s="12"/>
      <c r="TV349" s="12"/>
      <c r="TY349" s="12" t="s">
        <v>37</v>
      </c>
      <c r="TZ349" s="12" t="s">
        <v>37</v>
      </c>
      <c r="UA349" s="12" t="s">
        <v>37</v>
      </c>
      <c r="UB349" s="12" t="s">
        <v>37</v>
      </c>
      <c r="UC349" s="12" t="s">
        <v>37</v>
      </c>
      <c r="UD349" s="12" t="s">
        <v>37</v>
      </c>
      <c r="UE349" s="12"/>
      <c r="UF349" s="12"/>
      <c r="UI349" s="12" t="s">
        <v>37</v>
      </c>
      <c r="UJ349" s="12" t="s">
        <v>37</v>
      </c>
      <c r="UK349" s="12" t="s">
        <v>37</v>
      </c>
      <c r="UL349" s="12" t="s">
        <v>37</v>
      </c>
      <c r="UM349" s="12" t="s">
        <v>37</v>
      </c>
      <c r="UN349" s="12" t="s">
        <v>37</v>
      </c>
      <c r="UO349" s="12"/>
      <c r="UP349" s="12"/>
      <c r="UR349" s="12" t="s">
        <v>37</v>
      </c>
      <c r="US349" s="12" t="s">
        <v>37</v>
      </c>
      <c r="UT349" s="12" t="s">
        <v>37</v>
      </c>
      <c r="UU349" s="12" t="s">
        <v>37</v>
      </c>
      <c r="UV349" s="12" t="s">
        <v>37</v>
      </c>
      <c r="UW349" s="12" t="s">
        <v>37</v>
      </c>
      <c r="UX349" s="12"/>
      <c r="UY349" s="12"/>
      <c r="VB349" s="12" t="s">
        <v>37</v>
      </c>
      <c r="VC349" s="12" t="s">
        <v>37</v>
      </c>
      <c r="VD349" s="12" t="s">
        <v>37</v>
      </c>
      <c r="VE349" s="12" t="s">
        <v>37</v>
      </c>
      <c r="VF349" s="12" t="s">
        <v>37</v>
      </c>
      <c r="VG349" s="12" t="s">
        <v>37</v>
      </c>
      <c r="VI349" s="12" t="s">
        <v>37</v>
      </c>
      <c r="VJ349" s="12" t="s">
        <v>37</v>
      </c>
      <c r="VK349" s="12" t="s">
        <v>37</v>
      </c>
      <c r="VL349" s="12" t="s">
        <v>37</v>
      </c>
      <c r="VM349" s="12" t="s">
        <v>37</v>
      </c>
      <c r="VN349" s="12" t="s">
        <v>37</v>
      </c>
      <c r="VQ349" s="12" t="s">
        <v>37</v>
      </c>
      <c r="VR349" s="12" t="s">
        <v>37</v>
      </c>
      <c r="VS349" s="12" t="s">
        <v>37</v>
      </c>
      <c r="VT349" s="12" t="s">
        <v>37</v>
      </c>
      <c r="VU349" s="12" t="s">
        <v>37</v>
      </c>
      <c r="VV349" s="12" t="s">
        <v>37</v>
      </c>
      <c r="VW349" s="12"/>
      <c r="VX349" s="12"/>
      <c r="WA349" s="12" t="s">
        <v>37</v>
      </c>
      <c r="WB349" s="12" t="s">
        <v>37</v>
      </c>
      <c r="WC349" s="12" t="s">
        <v>37</v>
      </c>
      <c r="WD349" s="12" t="s">
        <v>37</v>
      </c>
      <c r="WE349" s="12" t="s">
        <v>37</v>
      </c>
      <c r="WF349" s="12" t="s">
        <v>37</v>
      </c>
    </row>
    <row r="350" spans="1:604" ht="18" customHeight="1" x14ac:dyDescent="0.3">
      <c r="A350" s="11">
        <v>75</v>
      </c>
      <c r="B350" s="16" t="s">
        <v>443</v>
      </c>
      <c r="C350" s="12" t="s">
        <v>26</v>
      </c>
      <c r="D350" s="12" t="s">
        <v>973</v>
      </c>
      <c r="E350" s="40">
        <v>1.2</v>
      </c>
      <c r="F350" s="14">
        <v>0</v>
      </c>
      <c r="G350" s="14">
        <v>0</v>
      </c>
      <c r="H350" s="12" t="s">
        <v>91</v>
      </c>
      <c r="I350" s="29">
        <v>46.667000000000002</v>
      </c>
      <c r="J350" s="29">
        <v>-71.167000000000002</v>
      </c>
      <c r="K350" s="12" t="s">
        <v>673</v>
      </c>
      <c r="L350" s="12" t="s">
        <v>674</v>
      </c>
      <c r="M350" s="13" t="s">
        <v>37</v>
      </c>
      <c r="N350" s="14" t="s">
        <v>37</v>
      </c>
      <c r="O350" s="14" t="s">
        <v>37</v>
      </c>
      <c r="P350" s="14" t="s">
        <v>16</v>
      </c>
      <c r="Q350" s="75">
        <v>8</v>
      </c>
      <c r="R350" s="11" t="s">
        <v>1000</v>
      </c>
      <c r="S350" s="12" t="s">
        <v>85</v>
      </c>
      <c r="T350" s="12" t="s">
        <v>141</v>
      </c>
      <c r="U350" s="12" t="s">
        <v>863</v>
      </c>
      <c r="V350" s="12" t="s">
        <v>275</v>
      </c>
      <c r="W350" s="23" t="s">
        <v>284</v>
      </c>
      <c r="X350" s="12" t="s">
        <v>281</v>
      </c>
      <c r="Y350" s="12" t="s">
        <v>37</v>
      </c>
      <c r="Z350" s="12" t="s">
        <v>37</v>
      </c>
      <c r="AB350" s="12" t="s">
        <v>37</v>
      </c>
      <c r="AE350" s="12" t="s">
        <v>37</v>
      </c>
      <c r="AH350" s="12" t="s">
        <v>37</v>
      </c>
      <c r="AK350" s="12" t="s">
        <v>37</v>
      </c>
      <c r="AL350" s="32" t="s">
        <v>444</v>
      </c>
      <c r="AM350" s="12" t="s">
        <v>317</v>
      </c>
      <c r="AN350" s="32" t="s">
        <v>880</v>
      </c>
      <c r="AO350" s="12" t="s">
        <v>318</v>
      </c>
      <c r="AP350" s="12" t="s">
        <v>167</v>
      </c>
      <c r="AQ350" s="12" t="s">
        <v>975</v>
      </c>
      <c r="AT350" s="12" t="s">
        <v>326</v>
      </c>
      <c r="AU350" s="12" t="s">
        <v>326</v>
      </c>
      <c r="AV350" s="13" t="s">
        <v>326</v>
      </c>
      <c r="AX350" s="12" t="s">
        <v>326</v>
      </c>
      <c r="AY350" s="12" t="s">
        <v>326</v>
      </c>
      <c r="AZ350" s="13" t="s">
        <v>326</v>
      </c>
      <c r="BE350" s="12" t="s">
        <v>326</v>
      </c>
      <c r="BF350" s="12" t="s">
        <v>326</v>
      </c>
      <c r="BG350" s="12" t="s">
        <v>326</v>
      </c>
      <c r="BI350" s="12" t="s">
        <v>326</v>
      </c>
      <c r="BJ350" s="12" t="s">
        <v>326</v>
      </c>
      <c r="BK350" s="12" t="s">
        <v>326</v>
      </c>
      <c r="BP350" s="12" t="s">
        <v>37</v>
      </c>
      <c r="BQ350" s="12" t="s">
        <v>37</v>
      </c>
      <c r="BR350" s="13" t="s">
        <v>37</v>
      </c>
      <c r="BT350" s="12" t="s">
        <v>37</v>
      </c>
      <c r="BU350" s="12" t="s">
        <v>37</v>
      </c>
      <c r="BV350" s="12" t="s">
        <v>37</v>
      </c>
      <c r="BZ350" s="12" t="s">
        <v>581</v>
      </c>
      <c r="CA350" s="12">
        <f>-129*("2001/09/30"-"2001/05/01")/("2001/10/31"-"2001/07/01")*10^4/10^3/'[6]classess-1'!$T$96</f>
        <v>-1686.1959873118906</v>
      </c>
      <c r="CB350" s="12">
        <f>SQRT((1/[7]Classess!$T$96)^2*(42*("2001/09/30"-"2001/05/01")/("2001/10/31"-"2001/07/01")*SQRT(3)*10^4/10^3)^2+(-CA350/([7]Classess!$T$96)^2)^2*([7]Classess!$U$96)^2)</f>
        <v>951.52416117583982</v>
      </c>
      <c r="CC350" s="13">
        <v>3</v>
      </c>
      <c r="CD350" s="19">
        <f t="shared" si="1321"/>
        <v>0.56430223315425276</v>
      </c>
      <c r="CE350" s="12">
        <f>-311*("2001/09/30"-"2001/05/01")/("2001/10/31"-"2001/07/01")*10^4/10^3/'[6]classess-1'!$T$93</f>
        <v>-4019.3433355883844</v>
      </c>
      <c r="CF350" s="12">
        <f>SQRT((1/[7]Classess!$T$93)*(7*("2001/09/30"-"2001/05/01")/("2001/10/31"-"2001/07/01")*SQRT(3)*10^4/10^3)^2+(-CE350/([7]Classess!$T$93)^2)^2*([7]Classess!$U$93)^2)</f>
        <v>183.63556153089817</v>
      </c>
      <c r="CG350" s="13">
        <v>3</v>
      </c>
      <c r="CH350" s="19">
        <f t="shared" si="1322"/>
        <v>4.5687951040394532E-2</v>
      </c>
      <c r="CI350" s="75">
        <f t="shared" si="1323"/>
        <v>-2333.1473482764941</v>
      </c>
      <c r="CJ350" s="12">
        <f t="shared" si="1324"/>
        <v>685.24457267465971</v>
      </c>
      <c r="CK350" s="72">
        <f t="shared" si="1325"/>
        <v>313040.0829200513</v>
      </c>
      <c r="CL350" s="72">
        <f t="shared" si="1326"/>
        <v>313040.0829200513</v>
      </c>
      <c r="CM350" s="12" t="s">
        <v>581</v>
      </c>
      <c r="CN350" s="12">
        <f>171*("2001/09/30"-"2001/05/01")/("2001/10/31"-"2001/07/01")*10^4/10^3/'[6]classess-1'!$I$96</f>
        <v>2652.4797917890141</v>
      </c>
      <c r="CO350" s="12">
        <f>SQRT((1/[7]Classess!$I$96)^2*(44*("2001/09/30"-"2001/05/01")/("2001/10/31"-"2001/07/01")*SQRT(3)*10^4/10^3)^2+(-CN350/([7]Classess!$I$96)^2)^2*([7]Classess!$J$96)^2)</f>
        <v>1183.1159884255349</v>
      </c>
      <c r="CP350" s="13">
        <v>3</v>
      </c>
      <c r="CQ350" s="19">
        <f t="shared" si="1327"/>
        <v>0.44604147111241904</v>
      </c>
      <c r="CR350" s="12">
        <f>241*("2001/09/30"-"2001/05/01")/("2001/10/31"-"2001/07/01")*10^4/10^3/'[6]classess-1'!$I$93</f>
        <v>3491.7303920170334</v>
      </c>
      <c r="CS350" s="12">
        <f>SQRT((1/[7]Classess!$I$93)^2*(3*("2001/09/30"-"2001/05/01")/("2001/10/31"-"2001/07/01")*SQRT(3)*10^4/10^3)^2+(-CR350/([7]Classess!$I$93)^2)^2*([7]Classess!$J$93)^2)</f>
        <v>187.13801568192349</v>
      </c>
      <c r="CT350" s="13">
        <v>3</v>
      </c>
      <c r="CU350" s="19">
        <f t="shared" si="1328"/>
        <v>5.3594634943685132E-2</v>
      </c>
      <c r="CV350" s="75">
        <f t="shared" si="1329"/>
        <v>839.25060022801927</v>
      </c>
      <c r="CW350" s="12">
        <f t="shared" si="1330"/>
        <v>846.98998783382854</v>
      </c>
      <c r="CX350" s="72">
        <f t="shared" si="1331"/>
        <v>478261.35966049932</v>
      </c>
      <c r="CY350" s="72">
        <f t="shared" si="1332"/>
        <v>478261.35966049938</v>
      </c>
      <c r="CZ350" s="12" t="s">
        <v>581</v>
      </c>
      <c r="DA350" s="12">
        <f t="shared" si="1339"/>
        <v>966.28380447712357</v>
      </c>
      <c r="DB350" s="12">
        <f>SQRT((1/[7]Classess!$I$37)^2*(82*SQRT(3)*10^4/10^3)^2+(-DA350/([7]Classess!$I$37)^2)^2*([7]Classess!$J$37)^2)</f>
        <v>2670.8132341684627</v>
      </c>
      <c r="DC350" s="13">
        <v>3</v>
      </c>
      <c r="DD350" s="19">
        <f t="shared" si="1333"/>
        <v>2.7640049660293085</v>
      </c>
      <c r="DE350" s="12">
        <f t="shared" si="1340"/>
        <v>-527.61294357135102</v>
      </c>
      <c r="DF350" s="12">
        <f>SQRT((1/[7]Classess!$I$38)^2*(7*SQRT(3)*10^4/10^3)^2+(-DE350/([7]Classess!$I$38)^2)^2*([7]Classess!$J$38)^2)</f>
        <v>119.07629993106522</v>
      </c>
      <c r="DG350" s="13">
        <v>3</v>
      </c>
      <c r="DH350" s="19">
        <f t="shared" si="1334"/>
        <v>0.22568873903102435</v>
      </c>
      <c r="DI350" s="19">
        <f t="shared" si="1335"/>
        <v>-1493.8967480484746</v>
      </c>
      <c r="DJ350" s="12">
        <f t="shared" si="1336"/>
        <v>1890.4262081624181</v>
      </c>
      <c r="DK350" s="72">
        <f t="shared" si="1337"/>
        <v>2382474.1656715586</v>
      </c>
      <c r="DL350" s="72">
        <f t="shared" si="1338"/>
        <v>2382474.1656715586</v>
      </c>
      <c r="DN350" s="19" t="s">
        <v>37</v>
      </c>
      <c r="DO350" s="12" t="s">
        <v>37</v>
      </c>
      <c r="DP350" s="13" t="s">
        <v>37</v>
      </c>
      <c r="DR350" s="19" t="s">
        <v>37</v>
      </c>
      <c r="DS350" s="12" t="s">
        <v>37</v>
      </c>
      <c r="DT350" s="13" t="s">
        <v>37</v>
      </c>
      <c r="EA350" s="19" t="s">
        <v>37</v>
      </c>
      <c r="EB350" s="19" t="s">
        <v>37</v>
      </c>
      <c r="EC350" s="72" t="s">
        <v>37</v>
      </c>
      <c r="EE350" s="19" t="s">
        <v>37</v>
      </c>
      <c r="EF350" s="19" t="s">
        <v>37</v>
      </c>
      <c r="EG350" s="12" t="s">
        <v>37</v>
      </c>
      <c r="EM350" s="12" t="s">
        <v>39</v>
      </c>
      <c r="EN350" s="12">
        <f>AVERAGEA(0,20)</f>
        <v>10</v>
      </c>
      <c r="EO350" s="12">
        <f>STDEVA(0,20)</f>
        <v>14.142135623730951</v>
      </c>
      <c r="EP350" s="13">
        <v>4</v>
      </c>
      <c r="EQ350" s="19">
        <f t="shared" si="1341"/>
        <v>1.4142135623730951</v>
      </c>
      <c r="ER350" s="12">
        <f>AVERAGEA(-10,-6)</f>
        <v>-8</v>
      </c>
      <c r="ES350" s="12">
        <f>STDEVA(-10,-6)</f>
        <v>2.8284271247461903</v>
      </c>
      <c r="ET350" s="13">
        <v>4</v>
      </c>
      <c r="EU350" s="19">
        <f t="shared" si="1342"/>
        <v>0.35355339059327379</v>
      </c>
      <c r="EV350" s="19">
        <f t="shared" si="1317"/>
        <v>-18</v>
      </c>
      <c r="EW350" s="12">
        <f t="shared" si="1318"/>
        <v>10.198039027185571</v>
      </c>
      <c r="EX350" s="19">
        <f t="shared" si="1319"/>
        <v>52.000000000000007</v>
      </c>
      <c r="EY350" s="19">
        <f t="shared" si="1320"/>
        <v>52.000000000000007</v>
      </c>
      <c r="FB350" s="12" t="s">
        <v>37</v>
      </c>
      <c r="FC350" s="12" t="s">
        <v>37</v>
      </c>
      <c r="FD350" s="12" t="s">
        <v>37</v>
      </c>
      <c r="FE350" s="12" t="s">
        <v>37</v>
      </c>
      <c r="FF350" s="20" t="s">
        <v>37</v>
      </c>
      <c r="FG350" s="12" t="s">
        <v>37</v>
      </c>
      <c r="FI350" s="12" t="s">
        <v>37</v>
      </c>
      <c r="FJ350" s="12" t="s">
        <v>37</v>
      </c>
      <c r="FK350" s="12" t="s">
        <v>37</v>
      </c>
      <c r="FL350" s="12" t="s">
        <v>37</v>
      </c>
      <c r="FM350" s="12" t="s">
        <v>37</v>
      </c>
      <c r="FN350" s="12" t="s">
        <v>37</v>
      </c>
      <c r="FP350" s="12" t="s">
        <v>37</v>
      </c>
      <c r="FQ350" s="12" t="s">
        <v>37</v>
      </c>
      <c r="FR350" s="12" t="s">
        <v>37</v>
      </c>
      <c r="FS350" s="12" t="s">
        <v>37</v>
      </c>
      <c r="FT350" s="12" t="s">
        <v>37</v>
      </c>
      <c r="FU350" s="12" t="s">
        <v>37</v>
      </c>
      <c r="FW350" s="12" t="s">
        <v>37</v>
      </c>
      <c r="FX350" s="12" t="s">
        <v>37</v>
      </c>
      <c r="FY350" s="12" t="s">
        <v>37</v>
      </c>
      <c r="FZ350" s="12" t="s">
        <v>37</v>
      </c>
      <c r="GA350" s="12" t="s">
        <v>37</v>
      </c>
      <c r="GB350" s="12" t="s">
        <v>37</v>
      </c>
      <c r="IK350" s="12" t="s">
        <v>37</v>
      </c>
      <c r="IL350" s="12" t="s">
        <v>37</v>
      </c>
      <c r="IM350" s="12" t="s">
        <v>37</v>
      </c>
      <c r="IO350" s="12" t="s">
        <v>37</v>
      </c>
      <c r="IP350" s="12" t="s">
        <v>37</v>
      </c>
      <c r="IQ350" s="12" t="s">
        <v>37</v>
      </c>
      <c r="IW350" s="12" t="s">
        <v>37</v>
      </c>
      <c r="IX350" s="12" t="s">
        <v>37</v>
      </c>
      <c r="IY350" s="13" t="s">
        <v>37</v>
      </c>
      <c r="JA350" s="12" t="s">
        <v>37</v>
      </c>
      <c r="JB350" s="12" t="s">
        <v>37</v>
      </c>
      <c r="JC350" s="13" t="s">
        <v>37</v>
      </c>
      <c r="JH350" s="12" t="s">
        <v>37</v>
      </c>
      <c r="JI350" s="12" t="s">
        <v>37</v>
      </c>
      <c r="JJ350" s="13" t="s">
        <v>37</v>
      </c>
      <c r="JL350" s="12" t="s">
        <v>37</v>
      </c>
      <c r="JM350" s="12" t="s">
        <v>37</v>
      </c>
      <c r="JN350" s="12" t="s">
        <v>37</v>
      </c>
      <c r="JS350" s="12" t="s">
        <v>37</v>
      </c>
      <c r="JT350" s="12" t="s">
        <v>37</v>
      </c>
      <c r="JU350" s="13" t="s">
        <v>37</v>
      </c>
      <c r="JW350" s="12" t="s">
        <v>37</v>
      </c>
      <c r="JX350" s="12" t="s">
        <v>37</v>
      </c>
      <c r="JY350" s="12" t="s">
        <v>37</v>
      </c>
      <c r="KE350" s="12" t="s">
        <v>37</v>
      </c>
      <c r="KF350" s="12" t="s">
        <v>37</v>
      </c>
      <c r="KG350" s="13" t="s">
        <v>37</v>
      </c>
      <c r="KH350" s="12" t="s">
        <v>37</v>
      </c>
      <c r="KI350" s="12" t="s">
        <v>37</v>
      </c>
      <c r="KJ350" s="12" t="s">
        <v>37</v>
      </c>
      <c r="KM350" s="12" t="s">
        <v>37</v>
      </c>
      <c r="KN350" s="12" t="s">
        <v>37</v>
      </c>
      <c r="KO350" s="11" t="s">
        <v>37</v>
      </c>
      <c r="KQ350" s="12" t="s">
        <v>37</v>
      </c>
      <c r="KR350" s="12" t="s">
        <v>37</v>
      </c>
      <c r="KS350" s="12" t="s">
        <v>37</v>
      </c>
      <c r="KX350" s="12" t="s">
        <v>37</v>
      </c>
      <c r="KY350" s="12" t="s">
        <v>37</v>
      </c>
      <c r="KZ350" s="12" t="s">
        <v>37</v>
      </c>
      <c r="LB350" s="12" t="s">
        <v>37</v>
      </c>
      <c r="LC350" s="12" t="s">
        <v>37</v>
      </c>
      <c r="LD350" s="12" t="s">
        <v>37</v>
      </c>
      <c r="LI350" s="12" t="s">
        <v>37</v>
      </c>
      <c r="LJ350" s="12" t="s">
        <v>37</v>
      </c>
      <c r="LK350" s="12" t="s">
        <v>37</v>
      </c>
      <c r="LM350" s="12" t="s">
        <v>37</v>
      </c>
      <c r="LN350" s="12" t="s">
        <v>37</v>
      </c>
      <c r="LO350" s="12" t="s">
        <v>37</v>
      </c>
      <c r="LU350" s="12" t="s">
        <v>37</v>
      </c>
      <c r="LV350" s="12" t="s">
        <v>37</v>
      </c>
      <c r="LW350" s="12" t="s">
        <v>37</v>
      </c>
      <c r="LY350" s="12" t="s">
        <v>37</v>
      </c>
      <c r="LZ350" s="12" t="s">
        <v>37</v>
      </c>
      <c r="MA350" s="12" t="s">
        <v>37</v>
      </c>
      <c r="MF350" s="12" t="s">
        <v>37</v>
      </c>
      <c r="MG350" s="12" t="s">
        <v>37</v>
      </c>
      <c r="MH350" s="12" t="s">
        <v>37</v>
      </c>
      <c r="MJ350" s="12" t="s">
        <v>37</v>
      </c>
      <c r="MK350" s="12" t="s">
        <v>37</v>
      </c>
      <c r="ML350" s="12" t="s">
        <v>37</v>
      </c>
      <c r="MQ350" s="12" t="s">
        <v>37</v>
      </c>
      <c r="MR350" s="12" t="s">
        <v>37</v>
      </c>
      <c r="MS350" s="12" t="s">
        <v>37</v>
      </c>
      <c r="MU350" s="12" t="s">
        <v>37</v>
      </c>
      <c r="MV350" s="12" t="s">
        <v>37</v>
      </c>
      <c r="MW350" s="12" t="s">
        <v>37</v>
      </c>
      <c r="NC350" s="12" t="s">
        <v>37</v>
      </c>
      <c r="ND350" s="12" t="s">
        <v>37</v>
      </c>
      <c r="NE350" s="12" t="s">
        <v>37</v>
      </c>
      <c r="NG350" s="12" t="s">
        <v>37</v>
      </c>
      <c r="NH350" s="12" t="s">
        <v>37</v>
      </c>
      <c r="NI350" s="12" t="s">
        <v>37</v>
      </c>
      <c r="NO350" s="12" t="s">
        <v>37</v>
      </c>
      <c r="NP350" s="12" t="s">
        <v>37</v>
      </c>
      <c r="NQ350" s="12" t="s">
        <v>37</v>
      </c>
      <c r="NS350" s="12" t="s">
        <v>37</v>
      </c>
      <c r="NT350" s="12" t="s">
        <v>37</v>
      </c>
      <c r="NU350" s="12" t="s">
        <v>37</v>
      </c>
      <c r="OA350" s="12" t="s">
        <v>37</v>
      </c>
      <c r="OB350" s="12" t="s">
        <v>37</v>
      </c>
      <c r="OC350" s="12" t="s">
        <v>37</v>
      </c>
      <c r="OD350" s="12"/>
      <c r="OE350" s="12" t="s">
        <v>37</v>
      </c>
      <c r="OF350" s="12" t="s">
        <v>37</v>
      </c>
      <c r="OG350" s="12" t="s">
        <v>37</v>
      </c>
      <c r="OH350" s="12"/>
      <c r="OI350" s="12"/>
      <c r="OJ350" s="12"/>
      <c r="OM350" s="12" t="s">
        <v>37</v>
      </c>
      <c r="ON350" s="12" t="s">
        <v>37</v>
      </c>
      <c r="OO350" s="12" t="s">
        <v>37</v>
      </c>
      <c r="OP350" s="12" t="s">
        <v>37</v>
      </c>
      <c r="OQ350" s="12" t="s">
        <v>37</v>
      </c>
      <c r="OR350" s="12" t="s">
        <v>37</v>
      </c>
      <c r="OS350" s="12"/>
      <c r="OT350" s="12"/>
      <c r="OW350" s="12" t="s">
        <v>37</v>
      </c>
      <c r="OX350" s="12" t="s">
        <v>37</v>
      </c>
      <c r="OY350" s="13" t="s">
        <v>37</v>
      </c>
      <c r="OZ350" s="12" t="s">
        <v>37</v>
      </c>
      <c r="PA350" s="12" t="s">
        <v>37</v>
      </c>
      <c r="PB350" s="13" t="s">
        <v>37</v>
      </c>
      <c r="PG350" s="12" t="s">
        <v>37</v>
      </c>
      <c r="PH350" s="12" t="s">
        <v>37</v>
      </c>
      <c r="PI350" s="12" t="s">
        <v>37</v>
      </c>
      <c r="PJ350" s="12" t="s">
        <v>37</v>
      </c>
      <c r="PK350" s="12" t="s">
        <v>37</v>
      </c>
      <c r="PL350" s="12" t="s">
        <v>37</v>
      </c>
      <c r="PM350" s="12"/>
      <c r="PN350" s="12"/>
      <c r="PQ350" s="12" t="s">
        <v>37</v>
      </c>
      <c r="PR350" s="12" t="s">
        <v>37</v>
      </c>
      <c r="PS350" s="12" t="s">
        <v>37</v>
      </c>
      <c r="PT350" s="12" t="s">
        <v>37</v>
      </c>
      <c r="PU350" s="12" t="s">
        <v>37</v>
      </c>
      <c r="PV350" s="12" t="s">
        <v>37</v>
      </c>
      <c r="PW350" s="12"/>
      <c r="PX350" s="12"/>
      <c r="PZ350" s="12" t="s">
        <v>37</v>
      </c>
      <c r="QA350" s="12" t="s">
        <v>37</v>
      </c>
      <c r="QB350" s="12" t="s">
        <v>37</v>
      </c>
      <c r="QD350" s="12" t="s">
        <v>37</v>
      </c>
      <c r="QE350" s="12" t="s">
        <v>37</v>
      </c>
      <c r="QF350" s="12" t="s">
        <v>37</v>
      </c>
      <c r="QK350" s="12" t="s">
        <v>37</v>
      </c>
      <c r="QL350" s="12" t="s">
        <v>37</v>
      </c>
      <c r="QM350" s="12" t="s">
        <v>37</v>
      </c>
      <c r="QN350" s="12" t="s">
        <v>37</v>
      </c>
      <c r="QO350" s="12" t="s">
        <v>37</v>
      </c>
      <c r="QP350" s="12" t="s">
        <v>37</v>
      </c>
      <c r="QQ350" s="12"/>
      <c r="QR350" s="12"/>
      <c r="QU350" s="12" t="s">
        <v>37</v>
      </c>
      <c r="QV350" s="12" t="s">
        <v>37</v>
      </c>
      <c r="QW350" s="12" t="s">
        <v>37</v>
      </c>
      <c r="QX350" s="12" t="s">
        <v>37</v>
      </c>
      <c r="QY350" s="12" t="s">
        <v>37</v>
      </c>
      <c r="QZ350" s="12" t="s">
        <v>37</v>
      </c>
      <c r="RC350" s="12" t="s">
        <v>37</v>
      </c>
      <c r="RD350" s="12" t="s">
        <v>37</v>
      </c>
      <c r="RE350" s="13" t="s">
        <v>37</v>
      </c>
      <c r="RF350" s="12" t="s">
        <v>37</v>
      </c>
      <c r="RG350" s="12" t="s">
        <v>37</v>
      </c>
      <c r="RH350" s="13" t="s">
        <v>37</v>
      </c>
      <c r="RK350" s="12" t="s">
        <v>37</v>
      </c>
      <c r="RL350" s="12" t="s">
        <v>37</v>
      </c>
      <c r="RM350" s="11" t="s">
        <v>37</v>
      </c>
      <c r="RN350" s="12" t="s">
        <v>37</v>
      </c>
      <c r="RO350" s="12" t="s">
        <v>37</v>
      </c>
      <c r="RP350" s="11" t="s">
        <v>37</v>
      </c>
      <c r="RS350" s="12" t="s">
        <v>37</v>
      </c>
      <c r="RT350" s="12" t="s">
        <v>37</v>
      </c>
      <c r="RU350" s="12" t="s">
        <v>37</v>
      </c>
      <c r="RV350" s="12" t="s">
        <v>37</v>
      </c>
      <c r="RW350" s="12" t="s">
        <v>37</v>
      </c>
      <c r="RX350" s="12" t="s">
        <v>37</v>
      </c>
      <c r="SA350" s="12" t="s">
        <v>37</v>
      </c>
      <c r="SB350" s="12" t="s">
        <v>37</v>
      </c>
      <c r="SC350" s="12" t="s">
        <v>37</v>
      </c>
      <c r="SD350" s="12" t="s">
        <v>37</v>
      </c>
      <c r="SE350" s="12" t="s">
        <v>37</v>
      </c>
      <c r="SF350" s="12" t="s">
        <v>37</v>
      </c>
      <c r="SI350" s="12" t="s">
        <v>37</v>
      </c>
      <c r="SJ350" s="12" t="s">
        <v>37</v>
      </c>
      <c r="SK350" s="13" t="s">
        <v>37</v>
      </c>
      <c r="SM350" s="12" t="s">
        <v>37</v>
      </c>
      <c r="SN350" s="12" t="s">
        <v>37</v>
      </c>
      <c r="SO350" s="13" t="s">
        <v>37</v>
      </c>
      <c r="SU350" s="12" t="s">
        <v>37</v>
      </c>
      <c r="SV350" s="12" t="s">
        <v>37</v>
      </c>
      <c r="SW350" s="12" t="s">
        <v>37</v>
      </c>
      <c r="SX350" s="12" t="s">
        <v>37</v>
      </c>
      <c r="SY350" s="12" t="s">
        <v>37</v>
      </c>
      <c r="SZ350" s="12" t="s">
        <v>37</v>
      </c>
      <c r="TA350" s="12"/>
      <c r="TB350" s="12"/>
      <c r="TE350" s="12" t="s">
        <v>37</v>
      </c>
      <c r="TF350" s="12" t="s">
        <v>37</v>
      </c>
      <c r="TG350" s="12" t="s">
        <v>37</v>
      </c>
      <c r="TH350" s="12" t="s">
        <v>37</v>
      </c>
      <c r="TI350" s="12" t="s">
        <v>37</v>
      </c>
      <c r="TJ350" s="12" t="s">
        <v>37</v>
      </c>
      <c r="TK350" s="12"/>
      <c r="TL350" s="12"/>
      <c r="TO350" s="12" t="s">
        <v>37</v>
      </c>
      <c r="TP350" s="12" t="s">
        <v>37</v>
      </c>
      <c r="TQ350" s="12" t="s">
        <v>37</v>
      </c>
      <c r="TR350" s="12" t="s">
        <v>37</v>
      </c>
      <c r="TS350" s="12" t="s">
        <v>37</v>
      </c>
      <c r="TT350" s="12" t="s">
        <v>37</v>
      </c>
      <c r="TU350" s="12"/>
      <c r="TV350" s="12"/>
      <c r="TY350" s="12" t="s">
        <v>37</v>
      </c>
      <c r="TZ350" s="12" t="s">
        <v>37</v>
      </c>
      <c r="UA350" s="12" t="s">
        <v>37</v>
      </c>
      <c r="UB350" s="12" t="s">
        <v>37</v>
      </c>
      <c r="UC350" s="12" t="s">
        <v>37</v>
      </c>
      <c r="UD350" s="12" t="s">
        <v>37</v>
      </c>
      <c r="UE350" s="12"/>
      <c r="UF350" s="12"/>
      <c r="UI350" s="12" t="s">
        <v>37</v>
      </c>
      <c r="UJ350" s="12" t="s">
        <v>37</v>
      </c>
      <c r="UK350" s="12" t="s">
        <v>37</v>
      </c>
      <c r="UL350" s="12" t="s">
        <v>37</v>
      </c>
      <c r="UM350" s="12" t="s">
        <v>37</v>
      </c>
      <c r="UN350" s="12" t="s">
        <v>37</v>
      </c>
      <c r="UO350" s="12"/>
      <c r="UP350" s="12"/>
      <c r="UR350" s="12" t="s">
        <v>37</v>
      </c>
      <c r="US350" s="12" t="s">
        <v>37</v>
      </c>
      <c r="UT350" s="12" t="s">
        <v>37</v>
      </c>
      <c r="UU350" s="12" t="s">
        <v>37</v>
      </c>
      <c r="UV350" s="12" t="s">
        <v>37</v>
      </c>
      <c r="UW350" s="12" t="s">
        <v>37</v>
      </c>
      <c r="UX350" s="12"/>
      <c r="UY350" s="12"/>
      <c r="VB350" s="12" t="s">
        <v>37</v>
      </c>
      <c r="VC350" s="12" t="s">
        <v>37</v>
      </c>
      <c r="VD350" s="12" t="s">
        <v>37</v>
      </c>
      <c r="VE350" s="12" t="s">
        <v>37</v>
      </c>
      <c r="VF350" s="12" t="s">
        <v>37</v>
      </c>
      <c r="VG350" s="12" t="s">
        <v>37</v>
      </c>
      <c r="VI350" s="12" t="s">
        <v>37</v>
      </c>
      <c r="VJ350" s="12" t="s">
        <v>37</v>
      </c>
      <c r="VK350" s="12" t="s">
        <v>37</v>
      </c>
      <c r="VL350" s="12" t="s">
        <v>37</v>
      </c>
      <c r="VM350" s="12" t="s">
        <v>37</v>
      </c>
      <c r="VN350" s="12" t="s">
        <v>37</v>
      </c>
      <c r="VQ350" s="12" t="s">
        <v>37</v>
      </c>
      <c r="VR350" s="12" t="s">
        <v>37</v>
      </c>
      <c r="VS350" s="12" t="s">
        <v>37</v>
      </c>
      <c r="VT350" s="12" t="s">
        <v>37</v>
      </c>
      <c r="VU350" s="12" t="s">
        <v>37</v>
      </c>
      <c r="VV350" s="12" t="s">
        <v>37</v>
      </c>
      <c r="VW350" s="12"/>
      <c r="VX350" s="12"/>
      <c r="WA350" s="12" t="s">
        <v>37</v>
      </c>
      <c r="WB350" s="12" t="s">
        <v>37</v>
      </c>
      <c r="WC350" s="12" t="s">
        <v>37</v>
      </c>
      <c r="WD350" s="12" t="s">
        <v>37</v>
      </c>
      <c r="WE350" s="12" t="s">
        <v>37</v>
      </c>
      <c r="WF350" s="12" t="s">
        <v>37</v>
      </c>
    </row>
    <row r="351" spans="1:604" ht="18" customHeight="1" x14ac:dyDescent="0.3">
      <c r="A351" s="11">
        <v>75</v>
      </c>
      <c r="B351" s="16" t="s">
        <v>443</v>
      </c>
      <c r="C351" s="12" t="s">
        <v>26</v>
      </c>
      <c r="D351" s="12" t="s">
        <v>973</v>
      </c>
      <c r="E351" s="40">
        <v>1.2</v>
      </c>
      <c r="F351" s="14">
        <v>0</v>
      </c>
      <c r="G351" s="14">
        <v>0</v>
      </c>
      <c r="H351" s="12" t="s">
        <v>91</v>
      </c>
      <c r="I351" s="29">
        <v>46.667000000000002</v>
      </c>
      <c r="J351" s="29">
        <v>-71.167000000000002</v>
      </c>
      <c r="K351" s="12" t="s">
        <v>673</v>
      </c>
      <c r="L351" s="12" t="s">
        <v>674</v>
      </c>
      <c r="M351" s="13" t="s">
        <v>37</v>
      </c>
      <c r="N351" s="14" t="s">
        <v>37</v>
      </c>
      <c r="O351" s="14" t="s">
        <v>37</v>
      </c>
      <c r="P351" s="14" t="s">
        <v>16</v>
      </c>
      <c r="Q351" s="75">
        <v>8</v>
      </c>
      <c r="R351" s="11" t="s">
        <v>1000</v>
      </c>
      <c r="S351" s="12" t="s">
        <v>85</v>
      </c>
      <c r="T351" s="12" t="s">
        <v>141</v>
      </c>
      <c r="U351" s="12" t="s">
        <v>163</v>
      </c>
      <c r="V351" s="12" t="s">
        <v>275</v>
      </c>
      <c r="W351" s="23" t="s">
        <v>160</v>
      </c>
      <c r="X351" s="12" t="s">
        <v>281</v>
      </c>
      <c r="Y351" s="12" t="s">
        <v>37</v>
      </c>
      <c r="Z351" s="12" t="s">
        <v>37</v>
      </c>
      <c r="AB351" s="12" t="s">
        <v>37</v>
      </c>
      <c r="AE351" s="12" t="s">
        <v>37</v>
      </c>
      <c r="AH351" s="12" t="s">
        <v>37</v>
      </c>
      <c r="AK351" s="12" t="s">
        <v>37</v>
      </c>
      <c r="AL351" s="32" t="s">
        <v>445</v>
      </c>
      <c r="AM351" s="12" t="s">
        <v>317</v>
      </c>
      <c r="AN351" s="32" t="s">
        <v>880</v>
      </c>
      <c r="AO351" s="12" t="s">
        <v>847</v>
      </c>
      <c r="AP351" s="12" t="s">
        <v>167</v>
      </c>
      <c r="AQ351" s="12" t="s">
        <v>975</v>
      </c>
      <c r="AT351" s="12" t="s">
        <v>326</v>
      </c>
      <c r="AU351" s="12" t="s">
        <v>326</v>
      </c>
      <c r="AV351" s="13" t="s">
        <v>326</v>
      </c>
      <c r="AX351" s="12" t="s">
        <v>326</v>
      </c>
      <c r="AY351" s="12" t="s">
        <v>326</v>
      </c>
      <c r="AZ351" s="13" t="s">
        <v>326</v>
      </c>
      <c r="BE351" s="12" t="s">
        <v>326</v>
      </c>
      <c r="BF351" s="12" t="s">
        <v>326</v>
      </c>
      <c r="BG351" s="12" t="s">
        <v>326</v>
      </c>
      <c r="BI351" s="12" t="s">
        <v>326</v>
      </c>
      <c r="BJ351" s="12" t="s">
        <v>326</v>
      </c>
      <c r="BK351" s="12" t="s">
        <v>326</v>
      </c>
      <c r="BP351" s="12" t="s">
        <v>37</v>
      </c>
      <c r="BQ351" s="12" t="s">
        <v>37</v>
      </c>
      <c r="BR351" s="13" t="s">
        <v>37</v>
      </c>
      <c r="BT351" s="12" t="s">
        <v>37</v>
      </c>
      <c r="BU351" s="12" t="s">
        <v>37</v>
      </c>
      <c r="BV351" s="12" t="s">
        <v>37</v>
      </c>
      <c r="BZ351" s="12" t="s">
        <v>581</v>
      </c>
      <c r="CA351" s="12">
        <f>-753*10^4/10^3/'[6]classess-1'!$T$92</f>
        <v>-7900.0449087308316</v>
      </c>
      <c r="CB351" s="12">
        <f>SQRT((1/[7]Classess!$T$92)^2*(97*SQRT(3)*10^4/10^3)^2+(-CA351/([7]Classess!$T$92)^2)^2*([7]Classess!$U$92)^2)</f>
        <v>1770.2016517990935</v>
      </c>
      <c r="CC351" s="13">
        <v>3</v>
      </c>
      <c r="CD351" s="19">
        <f t="shared" si="1321"/>
        <v>0.22407488466840655</v>
      </c>
      <c r="CE351" s="12">
        <f>-361*10^4/10^3/'[6]classess-1'!$T$93</f>
        <v>-3744.7097475457695</v>
      </c>
      <c r="CF351" s="12">
        <f>SQRT((1/[7]Classess!$T$93)^2*(113*SQRT(3)*10^4/10^3)^2+(-CE351/([7]Classess!$T$93)^2)^2*([7]Classess!$U$93)^2)</f>
        <v>2032.4000980341211</v>
      </c>
      <c r="CG351" s="13">
        <v>3</v>
      </c>
      <c r="CH351" s="19">
        <f t="shared" si="1322"/>
        <v>0.54273901985758122</v>
      </c>
      <c r="CI351" s="75">
        <f t="shared" si="1323"/>
        <v>4155.3351611850621</v>
      </c>
      <c r="CJ351" s="12">
        <f t="shared" si="1324"/>
        <v>1905.8153171964675</v>
      </c>
      <c r="CK351" s="72">
        <f t="shared" si="1325"/>
        <v>2421421.3488404481</v>
      </c>
      <c r="CL351" s="72">
        <f t="shared" si="1326"/>
        <v>2421421.3488404481</v>
      </c>
      <c r="CM351" s="12" t="s">
        <v>581</v>
      </c>
      <c r="CN351" s="12">
        <f>993*10^4/10^3/'[6]classess-1'!$I$92</f>
        <v>12362.931550325944</v>
      </c>
      <c r="CO351" s="12">
        <f>SQRT((1/[7]Classess!$I$92)^2*(105*SQRT(3)*10^4/10^3)^2+(-CN351/([7]Classess!$I$92)^2)^2*([7]Classess!$J$92)^2)</f>
        <v>2275.2743302978161</v>
      </c>
      <c r="CP351" s="13">
        <v>3</v>
      </c>
      <c r="CQ351" s="19">
        <f t="shared" si="1327"/>
        <v>0.18404003298374885</v>
      </c>
      <c r="CR351" s="12">
        <f>1297*10^4/10^3/'[6]classess-1'!$I$93</f>
        <v>15082.727310832692</v>
      </c>
      <c r="CS351" s="12">
        <f>SQRT((1/[7]Classess!$I$93)^2*(138*SQRT(3)*10^4/10^3)^2+(-CR351/([7]Classess!$I$93)^2)^2*([7]Classess!$J$93)^2)</f>
        <v>2876.4150226571255</v>
      </c>
      <c r="CT351" s="13">
        <v>3</v>
      </c>
      <c r="CU351" s="19">
        <f t="shared" si="1328"/>
        <v>0.19070921083292619</v>
      </c>
      <c r="CV351" s="75">
        <f t="shared" si="1329"/>
        <v>2719.7957605067477</v>
      </c>
      <c r="CW351" s="12">
        <f t="shared" si="1330"/>
        <v>2593.3218717197224</v>
      </c>
      <c r="CX351" s="72">
        <f t="shared" si="1331"/>
        <v>4483545.5535599217</v>
      </c>
      <c r="CY351" s="72">
        <f t="shared" si="1332"/>
        <v>4483545.5535599217</v>
      </c>
      <c r="CZ351" s="12" t="s">
        <v>581</v>
      </c>
      <c r="DA351" s="12">
        <f t="shared" si="1339"/>
        <v>4462.8866415951125</v>
      </c>
      <c r="DB351" s="12">
        <f>SQRT((1/[7]Classess!$I$37)^2*(25*SQRT(3)*10^4/10^3)^2+(-DA351/([7]Classess!$I$37)^2)^2*([7]Classess!$J$37)^2)</f>
        <v>2118.4369604304802</v>
      </c>
      <c r="DC351" s="13">
        <v>3</v>
      </c>
      <c r="DD351" s="19">
        <f t="shared" si="1333"/>
        <v>0.47467863975888808</v>
      </c>
      <c r="DE351" s="12">
        <f t="shared" si="1340"/>
        <v>11338.017563286921</v>
      </c>
      <c r="DF351" s="12">
        <f>SQRT((1/[7]Classess!$I$38)^2*(25*SQRT(3)*10^4/10^3)^2+(-DE351/([7]Classess!$I$38)^2)^2*([7]Classess!$J$38)^2)</f>
        <v>1981.8390153148923</v>
      </c>
      <c r="DG351" s="13">
        <v>3</v>
      </c>
      <c r="DH351" s="19">
        <f t="shared" si="1334"/>
        <v>0.1747959027451314</v>
      </c>
      <c r="DI351" s="19">
        <f t="shared" si="1335"/>
        <v>6875.1309216918089</v>
      </c>
      <c r="DJ351" s="12">
        <f t="shared" si="1336"/>
        <v>2051.2753396292555</v>
      </c>
      <c r="DK351" s="72">
        <f t="shared" si="1337"/>
        <v>2805153.6793140778</v>
      </c>
      <c r="DL351" s="72">
        <f t="shared" si="1338"/>
        <v>2805153.6793140778</v>
      </c>
      <c r="DN351" s="19" t="s">
        <v>37</v>
      </c>
      <c r="DO351" s="12" t="s">
        <v>37</v>
      </c>
      <c r="DP351" s="13" t="s">
        <v>37</v>
      </c>
      <c r="DR351" s="19" t="s">
        <v>37</v>
      </c>
      <c r="DS351" s="12" t="s">
        <v>37</v>
      </c>
      <c r="DT351" s="13" t="s">
        <v>37</v>
      </c>
      <c r="EA351" s="19" t="s">
        <v>37</v>
      </c>
      <c r="EB351" s="19" t="s">
        <v>37</v>
      </c>
      <c r="EC351" s="72" t="s">
        <v>37</v>
      </c>
      <c r="EE351" s="19" t="s">
        <v>37</v>
      </c>
      <c r="EF351" s="19" t="s">
        <v>37</v>
      </c>
      <c r="EG351" s="12" t="s">
        <v>37</v>
      </c>
      <c r="EM351" s="12" t="s">
        <v>39</v>
      </c>
      <c r="EN351" s="12">
        <f>AVERAGEA(-21,-14)</f>
        <v>-17.5</v>
      </c>
      <c r="EO351" s="12">
        <f>STDEVA(-21,-14)</f>
        <v>4.9497474683058327</v>
      </c>
      <c r="EP351" s="13">
        <v>4</v>
      </c>
      <c r="EQ351" s="19">
        <f t="shared" si="1341"/>
        <v>0.28284271247461901</v>
      </c>
      <c r="ER351" s="12">
        <f>AVERAGEA(-42,-26)</f>
        <v>-34</v>
      </c>
      <c r="ES351" s="12">
        <f>STDEVA(-42,-26)</f>
        <v>11.313708498984761</v>
      </c>
      <c r="ET351" s="13">
        <v>4</v>
      </c>
      <c r="EU351" s="19">
        <f t="shared" si="1342"/>
        <v>0.33275613232308121</v>
      </c>
      <c r="EV351" s="19">
        <f t="shared" si="1317"/>
        <v>-16.5</v>
      </c>
      <c r="EW351" s="12">
        <f t="shared" si="1318"/>
        <v>8.7321245982864912</v>
      </c>
      <c r="EX351" s="19">
        <f t="shared" si="1319"/>
        <v>38.125000000000007</v>
      </c>
      <c r="EY351" s="19">
        <f t="shared" si="1320"/>
        <v>38.125000000000007</v>
      </c>
      <c r="FB351" s="12" t="s">
        <v>37</v>
      </c>
      <c r="FC351" s="12" t="s">
        <v>37</v>
      </c>
      <c r="FD351" s="12" t="s">
        <v>37</v>
      </c>
      <c r="FE351" s="12" t="s">
        <v>37</v>
      </c>
      <c r="FF351" s="20" t="s">
        <v>37</v>
      </c>
      <c r="FG351" s="12" t="s">
        <v>37</v>
      </c>
      <c r="FI351" s="12" t="s">
        <v>37</v>
      </c>
      <c r="FJ351" s="12" t="s">
        <v>37</v>
      </c>
      <c r="FK351" s="12" t="s">
        <v>37</v>
      </c>
      <c r="FL351" s="12" t="s">
        <v>37</v>
      </c>
      <c r="FM351" s="12" t="s">
        <v>37</v>
      </c>
      <c r="FN351" s="12" t="s">
        <v>37</v>
      </c>
      <c r="FP351" s="12" t="s">
        <v>37</v>
      </c>
      <c r="FQ351" s="12" t="s">
        <v>37</v>
      </c>
      <c r="FR351" s="12" t="s">
        <v>37</v>
      </c>
      <c r="FS351" s="12" t="s">
        <v>37</v>
      </c>
      <c r="FT351" s="12" t="s">
        <v>37</v>
      </c>
      <c r="FU351" s="12" t="s">
        <v>37</v>
      </c>
      <c r="FW351" s="12" t="s">
        <v>37</v>
      </c>
      <c r="FX351" s="12" t="s">
        <v>37</v>
      </c>
      <c r="FY351" s="12" t="s">
        <v>37</v>
      </c>
      <c r="FZ351" s="12" t="s">
        <v>37</v>
      </c>
      <c r="GA351" s="12" t="s">
        <v>37</v>
      </c>
      <c r="GB351" s="12" t="s">
        <v>37</v>
      </c>
      <c r="IK351" s="12" t="s">
        <v>37</v>
      </c>
      <c r="IL351" s="12" t="s">
        <v>37</v>
      </c>
      <c r="IM351" s="12" t="s">
        <v>37</v>
      </c>
      <c r="IO351" s="12" t="s">
        <v>37</v>
      </c>
      <c r="IP351" s="12" t="s">
        <v>37</v>
      </c>
      <c r="IQ351" s="12" t="s">
        <v>37</v>
      </c>
      <c r="IW351" s="12" t="s">
        <v>37</v>
      </c>
      <c r="IX351" s="12" t="s">
        <v>37</v>
      </c>
      <c r="IY351" s="13" t="s">
        <v>37</v>
      </c>
      <c r="JA351" s="12" t="s">
        <v>37</v>
      </c>
      <c r="JB351" s="12" t="s">
        <v>37</v>
      </c>
      <c r="JC351" s="13" t="s">
        <v>37</v>
      </c>
      <c r="JH351" s="12" t="s">
        <v>37</v>
      </c>
      <c r="JI351" s="12" t="s">
        <v>37</v>
      </c>
      <c r="JJ351" s="13" t="s">
        <v>37</v>
      </c>
      <c r="JL351" s="12" t="s">
        <v>37</v>
      </c>
      <c r="JM351" s="12" t="s">
        <v>37</v>
      </c>
      <c r="JN351" s="12" t="s">
        <v>37</v>
      </c>
      <c r="JS351" s="12" t="s">
        <v>37</v>
      </c>
      <c r="JT351" s="12" t="s">
        <v>37</v>
      </c>
      <c r="JU351" s="13" t="s">
        <v>37</v>
      </c>
      <c r="JW351" s="12" t="s">
        <v>37</v>
      </c>
      <c r="JX351" s="12" t="s">
        <v>37</v>
      </c>
      <c r="JY351" s="12" t="s">
        <v>37</v>
      </c>
      <c r="KE351" s="12" t="s">
        <v>37</v>
      </c>
      <c r="KF351" s="12" t="s">
        <v>37</v>
      </c>
      <c r="KG351" s="13" t="s">
        <v>37</v>
      </c>
      <c r="KH351" s="12" t="s">
        <v>37</v>
      </c>
      <c r="KI351" s="12" t="s">
        <v>37</v>
      </c>
      <c r="KJ351" s="12" t="s">
        <v>37</v>
      </c>
      <c r="KM351" s="12" t="s">
        <v>37</v>
      </c>
      <c r="KN351" s="12" t="s">
        <v>37</v>
      </c>
      <c r="KO351" s="11" t="s">
        <v>37</v>
      </c>
      <c r="KQ351" s="12" t="s">
        <v>37</v>
      </c>
      <c r="KR351" s="12" t="s">
        <v>37</v>
      </c>
      <c r="KS351" s="12" t="s">
        <v>37</v>
      </c>
      <c r="KX351" s="12" t="s">
        <v>37</v>
      </c>
      <c r="KY351" s="12" t="s">
        <v>37</v>
      </c>
      <c r="KZ351" s="12" t="s">
        <v>37</v>
      </c>
      <c r="LB351" s="12" t="s">
        <v>37</v>
      </c>
      <c r="LC351" s="12" t="s">
        <v>37</v>
      </c>
      <c r="LD351" s="12" t="s">
        <v>37</v>
      </c>
      <c r="LI351" s="12" t="s">
        <v>37</v>
      </c>
      <c r="LJ351" s="12" t="s">
        <v>37</v>
      </c>
      <c r="LK351" s="12" t="s">
        <v>37</v>
      </c>
      <c r="LM351" s="12" t="s">
        <v>37</v>
      </c>
      <c r="LN351" s="12" t="s">
        <v>37</v>
      </c>
      <c r="LO351" s="12" t="s">
        <v>37</v>
      </c>
      <c r="LU351" s="12" t="s">
        <v>37</v>
      </c>
      <c r="LV351" s="12" t="s">
        <v>37</v>
      </c>
      <c r="LW351" s="12" t="s">
        <v>37</v>
      </c>
      <c r="LY351" s="12" t="s">
        <v>37</v>
      </c>
      <c r="LZ351" s="12" t="s">
        <v>37</v>
      </c>
      <c r="MA351" s="12" t="s">
        <v>37</v>
      </c>
      <c r="MF351" s="12" t="s">
        <v>37</v>
      </c>
      <c r="MG351" s="12" t="s">
        <v>37</v>
      </c>
      <c r="MH351" s="12" t="s">
        <v>37</v>
      </c>
      <c r="MJ351" s="12" t="s">
        <v>37</v>
      </c>
      <c r="MK351" s="12" t="s">
        <v>37</v>
      </c>
      <c r="ML351" s="12" t="s">
        <v>37</v>
      </c>
      <c r="MQ351" s="12" t="s">
        <v>37</v>
      </c>
      <c r="MR351" s="12" t="s">
        <v>37</v>
      </c>
      <c r="MS351" s="12" t="s">
        <v>37</v>
      </c>
      <c r="MU351" s="12" t="s">
        <v>37</v>
      </c>
      <c r="MV351" s="12" t="s">
        <v>37</v>
      </c>
      <c r="MW351" s="12" t="s">
        <v>37</v>
      </c>
      <c r="NC351" s="12" t="s">
        <v>37</v>
      </c>
      <c r="ND351" s="12" t="s">
        <v>37</v>
      </c>
      <c r="NE351" s="12" t="s">
        <v>37</v>
      </c>
      <c r="NG351" s="12" t="s">
        <v>37</v>
      </c>
      <c r="NH351" s="12" t="s">
        <v>37</v>
      </c>
      <c r="NI351" s="12" t="s">
        <v>37</v>
      </c>
      <c r="NO351" s="12" t="s">
        <v>37</v>
      </c>
      <c r="NP351" s="12" t="s">
        <v>37</v>
      </c>
      <c r="NQ351" s="12" t="s">
        <v>37</v>
      </c>
      <c r="NS351" s="12" t="s">
        <v>37</v>
      </c>
      <c r="NT351" s="12" t="s">
        <v>37</v>
      </c>
      <c r="NU351" s="12" t="s">
        <v>37</v>
      </c>
      <c r="OA351" s="12" t="s">
        <v>37</v>
      </c>
      <c r="OB351" s="12" t="s">
        <v>37</v>
      </c>
      <c r="OC351" s="12" t="s">
        <v>37</v>
      </c>
      <c r="OD351" s="12"/>
      <c r="OE351" s="12" t="s">
        <v>37</v>
      </c>
      <c r="OF351" s="12" t="s">
        <v>37</v>
      </c>
      <c r="OG351" s="12" t="s">
        <v>37</v>
      </c>
      <c r="OH351" s="12"/>
      <c r="OI351" s="12"/>
      <c r="OJ351" s="12"/>
      <c r="OM351" s="12" t="s">
        <v>37</v>
      </c>
      <c r="ON351" s="12" t="s">
        <v>37</v>
      </c>
      <c r="OO351" s="12" t="s">
        <v>37</v>
      </c>
      <c r="OP351" s="12" t="s">
        <v>37</v>
      </c>
      <c r="OQ351" s="12" t="s">
        <v>37</v>
      </c>
      <c r="OR351" s="12" t="s">
        <v>37</v>
      </c>
      <c r="OS351" s="12"/>
      <c r="OT351" s="12"/>
      <c r="OW351" s="12" t="s">
        <v>37</v>
      </c>
      <c r="OX351" s="12" t="s">
        <v>37</v>
      </c>
      <c r="OY351" s="13" t="s">
        <v>37</v>
      </c>
      <c r="OZ351" s="12" t="s">
        <v>37</v>
      </c>
      <c r="PA351" s="12" t="s">
        <v>37</v>
      </c>
      <c r="PB351" s="13" t="s">
        <v>37</v>
      </c>
      <c r="PG351" s="12" t="s">
        <v>37</v>
      </c>
      <c r="PH351" s="12" t="s">
        <v>37</v>
      </c>
      <c r="PI351" s="12" t="s">
        <v>37</v>
      </c>
      <c r="PJ351" s="12" t="s">
        <v>37</v>
      </c>
      <c r="PK351" s="12" t="s">
        <v>37</v>
      </c>
      <c r="PL351" s="12" t="s">
        <v>37</v>
      </c>
      <c r="PM351" s="12"/>
      <c r="PN351" s="12"/>
      <c r="PQ351" s="12" t="s">
        <v>37</v>
      </c>
      <c r="PR351" s="12" t="s">
        <v>37</v>
      </c>
      <c r="PS351" s="12" t="s">
        <v>37</v>
      </c>
      <c r="PT351" s="12" t="s">
        <v>37</v>
      </c>
      <c r="PU351" s="12" t="s">
        <v>37</v>
      </c>
      <c r="PV351" s="12" t="s">
        <v>37</v>
      </c>
      <c r="PW351" s="12"/>
      <c r="PX351" s="12"/>
      <c r="PZ351" s="12" t="s">
        <v>37</v>
      </c>
      <c r="QA351" s="12" t="s">
        <v>37</v>
      </c>
      <c r="QB351" s="12" t="s">
        <v>37</v>
      </c>
      <c r="QD351" s="12" t="s">
        <v>37</v>
      </c>
      <c r="QE351" s="12" t="s">
        <v>37</v>
      </c>
      <c r="QF351" s="12" t="s">
        <v>37</v>
      </c>
      <c r="QK351" s="12" t="s">
        <v>37</v>
      </c>
      <c r="QL351" s="12" t="s">
        <v>37</v>
      </c>
      <c r="QM351" s="12" t="s">
        <v>37</v>
      </c>
      <c r="QN351" s="12" t="s">
        <v>37</v>
      </c>
      <c r="QO351" s="12" t="s">
        <v>37</v>
      </c>
      <c r="QP351" s="12" t="s">
        <v>37</v>
      </c>
      <c r="QQ351" s="12"/>
      <c r="QR351" s="12"/>
      <c r="QU351" s="12" t="s">
        <v>37</v>
      </c>
      <c r="QV351" s="12" t="s">
        <v>37</v>
      </c>
      <c r="QW351" s="12" t="s">
        <v>37</v>
      </c>
      <c r="QX351" s="12" t="s">
        <v>37</v>
      </c>
      <c r="QY351" s="12" t="s">
        <v>37</v>
      </c>
      <c r="QZ351" s="12" t="s">
        <v>37</v>
      </c>
      <c r="RC351" s="12" t="s">
        <v>37</v>
      </c>
      <c r="RD351" s="12" t="s">
        <v>37</v>
      </c>
      <c r="RE351" s="13" t="s">
        <v>37</v>
      </c>
      <c r="RF351" s="12" t="s">
        <v>37</v>
      </c>
      <c r="RG351" s="12" t="s">
        <v>37</v>
      </c>
      <c r="RH351" s="13" t="s">
        <v>37</v>
      </c>
      <c r="RK351" s="12" t="s">
        <v>37</v>
      </c>
      <c r="RL351" s="12" t="s">
        <v>37</v>
      </c>
      <c r="RM351" s="11" t="s">
        <v>37</v>
      </c>
      <c r="RN351" s="12" t="s">
        <v>37</v>
      </c>
      <c r="RO351" s="12" t="s">
        <v>37</v>
      </c>
      <c r="RP351" s="11" t="s">
        <v>37</v>
      </c>
      <c r="RS351" s="12" t="s">
        <v>37</v>
      </c>
      <c r="RT351" s="12" t="s">
        <v>37</v>
      </c>
      <c r="RU351" s="12" t="s">
        <v>37</v>
      </c>
      <c r="RV351" s="12" t="s">
        <v>37</v>
      </c>
      <c r="RW351" s="12" t="s">
        <v>37</v>
      </c>
      <c r="RX351" s="12" t="s">
        <v>37</v>
      </c>
      <c r="SA351" s="12" t="s">
        <v>37</v>
      </c>
      <c r="SB351" s="12" t="s">
        <v>37</v>
      </c>
      <c r="SC351" s="12" t="s">
        <v>37</v>
      </c>
      <c r="SD351" s="12" t="s">
        <v>37</v>
      </c>
      <c r="SE351" s="12" t="s">
        <v>37</v>
      </c>
      <c r="SF351" s="12" t="s">
        <v>37</v>
      </c>
      <c r="SI351" s="12" t="s">
        <v>37</v>
      </c>
      <c r="SJ351" s="12" t="s">
        <v>37</v>
      </c>
      <c r="SK351" s="13" t="s">
        <v>37</v>
      </c>
      <c r="SM351" s="12" t="s">
        <v>37</v>
      </c>
      <c r="SN351" s="12" t="s">
        <v>37</v>
      </c>
      <c r="SO351" s="13" t="s">
        <v>37</v>
      </c>
      <c r="SU351" s="12" t="s">
        <v>37</v>
      </c>
      <c r="SV351" s="12" t="s">
        <v>37</v>
      </c>
      <c r="SW351" s="12" t="s">
        <v>37</v>
      </c>
      <c r="SX351" s="12" t="s">
        <v>37</v>
      </c>
      <c r="SY351" s="12" t="s">
        <v>37</v>
      </c>
      <c r="SZ351" s="12" t="s">
        <v>37</v>
      </c>
      <c r="TA351" s="12"/>
      <c r="TB351" s="12"/>
      <c r="TE351" s="12" t="s">
        <v>37</v>
      </c>
      <c r="TF351" s="12" t="s">
        <v>37</v>
      </c>
      <c r="TG351" s="12" t="s">
        <v>37</v>
      </c>
      <c r="TH351" s="12" t="s">
        <v>37</v>
      </c>
      <c r="TI351" s="12" t="s">
        <v>37</v>
      </c>
      <c r="TJ351" s="12" t="s">
        <v>37</v>
      </c>
      <c r="TK351" s="12"/>
      <c r="TL351" s="12"/>
      <c r="TO351" s="12" t="s">
        <v>37</v>
      </c>
      <c r="TP351" s="12" t="s">
        <v>37</v>
      </c>
      <c r="TQ351" s="12" t="s">
        <v>37</v>
      </c>
      <c r="TR351" s="12" t="s">
        <v>37</v>
      </c>
      <c r="TS351" s="12" t="s">
        <v>37</v>
      </c>
      <c r="TT351" s="12" t="s">
        <v>37</v>
      </c>
      <c r="TU351" s="12"/>
      <c r="TV351" s="12"/>
      <c r="TY351" s="12" t="s">
        <v>37</v>
      </c>
      <c r="TZ351" s="12" t="s">
        <v>37</v>
      </c>
      <c r="UA351" s="12" t="s">
        <v>37</v>
      </c>
      <c r="UB351" s="12" t="s">
        <v>37</v>
      </c>
      <c r="UC351" s="12" t="s">
        <v>37</v>
      </c>
      <c r="UD351" s="12" t="s">
        <v>37</v>
      </c>
      <c r="UE351" s="12"/>
      <c r="UF351" s="12"/>
      <c r="UI351" s="12" t="s">
        <v>37</v>
      </c>
      <c r="UJ351" s="12" t="s">
        <v>37</v>
      </c>
      <c r="UK351" s="12" t="s">
        <v>37</v>
      </c>
      <c r="UL351" s="12" t="s">
        <v>37</v>
      </c>
      <c r="UM351" s="12" t="s">
        <v>37</v>
      </c>
      <c r="UN351" s="12" t="s">
        <v>37</v>
      </c>
      <c r="UO351" s="12"/>
      <c r="UP351" s="12"/>
      <c r="UR351" s="12" t="s">
        <v>37</v>
      </c>
      <c r="US351" s="12" t="s">
        <v>37</v>
      </c>
      <c r="UT351" s="12" t="s">
        <v>37</v>
      </c>
      <c r="UU351" s="12" t="s">
        <v>37</v>
      </c>
      <c r="UV351" s="12" t="s">
        <v>37</v>
      </c>
      <c r="UW351" s="12" t="s">
        <v>37</v>
      </c>
      <c r="UX351" s="12"/>
      <c r="UY351" s="12"/>
      <c r="VB351" s="12" t="s">
        <v>37</v>
      </c>
      <c r="VC351" s="12" t="s">
        <v>37</v>
      </c>
      <c r="VD351" s="12" t="s">
        <v>37</v>
      </c>
      <c r="VE351" s="12" t="s">
        <v>37</v>
      </c>
      <c r="VF351" s="12" t="s">
        <v>37</v>
      </c>
      <c r="VG351" s="12" t="s">
        <v>37</v>
      </c>
      <c r="VI351" s="12" t="s">
        <v>37</v>
      </c>
      <c r="VJ351" s="12" t="s">
        <v>37</v>
      </c>
      <c r="VK351" s="12" t="s">
        <v>37</v>
      </c>
      <c r="VL351" s="12" t="s">
        <v>37</v>
      </c>
      <c r="VM351" s="12" t="s">
        <v>37</v>
      </c>
      <c r="VN351" s="12" t="s">
        <v>37</v>
      </c>
      <c r="VQ351" s="12" t="s">
        <v>37</v>
      </c>
      <c r="VR351" s="12" t="s">
        <v>37</v>
      </c>
      <c r="VS351" s="12" t="s">
        <v>37</v>
      </c>
      <c r="VT351" s="12" t="s">
        <v>37</v>
      </c>
      <c r="VU351" s="12" t="s">
        <v>37</v>
      </c>
      <c r="VV351" s="12" t="s">
        <v>37</v>
      </c>
      <c r="VW351" s="12"/>
      <c r="VX351" s="12"/>
      <c r="WA351" s="12" t="s">
        <v>37</v>
      </c>
      <c r="WB351" s="12" t="s">
        <v>37</v>
      </c>
      <c r="WC351" s="12" t="s">
        <v>37</v>
      </c>
      <c r="WD351" s="12" t="s">
        <v>37</v>
      </c>
      <c r="WE351" s="12" t="s">
        <v>37</v>
      </c>
      <c r="WF351" s="12" t="s">
        <v>37</v>
      </c>
    </row>
    <row r="352" spans="1:604" ht="18" customHeight="1" x14ac:dyDescent="0.3">
      <c r="A352" s="11">
        <v>75</v>
      </c>
      <c r="B352" s="16" t="s">
        <v>443</v>
      </c>
      <c r="C352" s="12" t="s">
        <v>26</v>
      </c>
      <c r="D352" s="12" t="s">
        <v>973</v>
      </c>
      <c r="E352" s="40">
        <v>1.2</v>
      </c>
      <c r="F352" s="14">
        <v>0</v>
      </c>
      <c r="G352" s="14">
        <v>0</v>
      </c>
      <c r="H352" s="12" t="s">
        <v>91</v>
      </c>
      <c r="I352" s="29">
        <v>46.667000000000002</v>
      </c>
      <c r="J352" s="29">
        <v>-71.167000000000002</v>
      </c>
      <c r="K352" s="12" t="s">
        <v>673</v>
      </c>
      <c r="L352" s="12" t="s">
        <v>674</v>
      </c>
      <c r="M352" s="13" t="s">
        <v>37</v>
      </c>
      <c r="N352" s="14" t="s">
        <v>37</v>
      </c>
      <c r="O352" s="14" t="s">
        <v>37</v>
      </c>
      <c r="P352" s="14" t="s">
        <v>16</v>
      </c>
      <c r="Q352" s="75">
        <v>8</v>
      </c>
      <c r="R352" s="11" t="s">
        <v>1000</v>
      </c>
      <c r="S352" s="12" t="s">
        <v>85</v>
      </c>
      <c r="T352" s="12" t="s">
        <v>141</v>
      </c>
      <c r="U352" s="12" t="s">
        <v>164</v>
      </c>
      <c r="V352" s="12" t="s">
        <v>275</v>
      </c>
      <c r="W352" s="23" t="s">
        <v>155</v>
      </c>
      <c r="X352" s="12" t="s">
        <v>281</v>
      </c>
      <c r="Y352" s="12" t="s">
        <v>37</v>
      </c>
      <c r="Z352" s="12" t="s">
        <v>37</v>
      </c>
      <c r="AB352" s="12" t="s">
        <v>37</v>
      </c>
      <c r="AE352" s="12" t="s">
        <v>37</v>
      </c>
      <c r="AH352" s="12" t="s">
        <v>37</v>
      </c>
      <c r="AK352" s="12" t="s">
        <v>37</v>
      </c>
      <c r="AL352" s="32" t="s">
        <v>445</v>
      </c>
      <c r="AM352" s="12" t="s">
        <v>317</v>
      </c>
      <c r="AN352" s="32" t="s">
        <v>880</v>
      </c>
      <c r="AO352" s="12" t="s">
        <v>847</v>
      </c>
      <c r="AP352" s="12" t="s">
        <v>167</v>
      </c>
      <c r="AQ352" s="12" t="s">
        <v>975</v>
      </c>
      <c r="AT352" s="12" t="s">
        <v>326</v>
      </c>
      <c r="AU352" s="12" t="s">
        <v>326</v>
      </c>
      <c r="AV352" s="13" t="s">
        <v>326</v>
      </c>
      <c r="AX352" s="12" t="s">
        <v>326</v>
      </c>
      <c r="AY352" s="12" t="s">
        <v>326</v>
      </c>
      <c r="AZ352" s="13" t="s">
        <v>326</v>
      </c>
      <c r="BE352" s="12" t="s">
        <v>326</v>
      </c>
      <c r="BF352" s="12" t="s">
        <v>326</v>
      </c>
      <c r="BG352" s="12" t="s">
        <v>326</v>
      </c>
      <c r="BI352" s="12" t="s">
        <v>326</v>
      </c>
      <c r="BJ352" s="12" t="s">
        <v>326</v>
      </c>
      <c r="BK352" s="12" t="s">
        <v>326</v>
      </c>
      <c r="BP352" s="12" t="s">
        <v>37</v>
      </c>
      <c r="BQ352" s="12" t="s">
        <v>37</v>
      </c>
      <c r="BR352" s="13" t="s">
        <v>37</v>
      </c>
      <c r="BT352" s="12" t="s">
        <v>37</v>
      </c>
      <c r="BU352" s="12" t="s">
        <v>37</v>
      </c>
      <c r="BV352" s="12" t="s">
        <v>37</v>
      </c>
      <c r="BZ352" s="12" t="s">
        <v>581</v>
      </c>
      <c r="CA352" s="12">
        <f>-958*10^4/10^3/'[6]classess-1'!$T$94</f>
        <v>-10050.787546565918</v>
      </c>
      <c r="CB352" s="12">
        <f>SQRT((1/[7]Classess!$T$94)^2*(88*SQRT(3)*10^4/10^3)^2+(-CA352/([7]Classess!$T$94)^2)^2*([7]Classess!$U$94)^2)</f>
        <v>1612.547694762013</v>
      </c>
      <c r="CC352" s="13">
        <v>3</v>
      </c>
      <c r="CD352" s="19">
        <f t="shared" si="1321"/>
        <v>0.16043993441220203</v>
      </c>
      <c r="CE352" s="12">
        <f>-1215*10^4/10^3/'[6]classess-1'!$T$93</f>
        <v>-12603.385992432437</v>
      </c>
      <c r="CF352" s="12">
        <f>SQRT((1/[7]Classess!$T$93)^2*(151*SQRT(3)*10^4/10^3)^2+(-CE352/([7]Classess!$T$93)^2)^2*([7]Classess!$U$93)^2)</f>
        <v>2731.1470412581525</v>
      </c>
      <c r="CG352" s="13">
        <v>3</v>
      </c>
      <c r="CH352" s="19">
        <f t="shared" si="1322"/>
        <v>0.21669946813483609</v>
      </c>
      <c r="CI352" s="75">
        <f t="shared" si="1323"/>
        <v>-2552.5984458665189</v>
      </c>
      <c r="CJ352" s="12">
        <f t="shared" si="1324"/>
        <v>2242.7075409931899</v>
      </c>
      <c r="CK352" s="72">
        <f t="shared" si="1325"/>
        <v>3353158.0762851471</v>
      </c>
      <c r="CL352" s="72">
        <f t="shared" si="1326"/>
        <v>3353158.0762851476</v>
      </c>
      <c r="CM352" s="12" t="s">
        <v>581</v>
      </c>
      <c r="CN352" s="12">
        <f>802*10^4/10^3/'[6]classess-1'!$I$94</f>
        <v>9984.9658644122937</v>
      </c>
      <c r="CO352" s="12">
        <f>SQRT((1/[7]Classess!$I$94)^2*(13*SQRT(3)*10^4/10^3)^2+(-CN352/([7]Classess!$I$94)^2)^2*([7]Classess!$J$94)^2)</f>
        <v>333.56620847738458</v>
      </c>
      <c r="CP352" s="13">
        <v>3</v>
      </c>
      <c r="CQ352" s="19">
        <f t="shared" si="1327"/>
        <v>3.3406845151695265E-2</v>
      </c>
      <c r="CR352" s="12">
        <f>1325*10^4/10^3/'[6]classess-1'!$I$93</f>
        <v>15408.337460950899</v>
      </c>
      <c r="CS352" s="12">
        <f>SQRT((1/[7]Classess!$I$93)^2*(156*SQRT(3)*10^4/10^3)^2+(-CR352/([7]Classess!$I$93)^2)^2*([7]Classess!$J$93)^2)</f>
        <v>3231.8122751183146</v>
      </c>
      <c r="CT352" s="13">
        <v>3</v>
      </c>
      <c r="CU352" s="19">
        <f t="shared" si="1328"/>
        <v>0.2097443856813653</v>
      </c>
      <c r="CV352" s="75">
        <f t="shared" si="1329"/>
        <v>5423.3715965386054</v>
      </c>
      <c r="CW352" s="12">
        <f t="shared" si="1330"/>
        <v>2297.3764381401879</v>
      </c>
      <c r="CX352" s="72">
        <f t="shared" si="1331"/>
        <v>3518625.6656811312</v>
      </c>
      <c r="CY352" s="72">
        <f t="shared" si="1332"/>
        <v>3518625.6656811312</v>
      </c>
      <c r="CZ352" s="12" t="s">
        <v>581</v>
      </c>
      <c r="DA352" s="12">
        <f t="shared" si="1339"/>
        <v>-65.821682153624351</v>
      </c>
      <c r="DB352" s="12">
        <f>SQRT((1/[7]Classess!$I$37)^2*(76*SQRT(3)*10^4/10^3)^2+(-DA352/([7]Classess!$I$37)^2)^2*([7]Classess!$J$37)^2)</f>
        <v>2444.1125484173954</v>
      </c>
      <c r="DC352" s="13">
        <v>3</v>
      </c>
      <c r="DD352" s="19">
        <f t="shared" si="1333"/>
        <v>37.132331907181666</v>
      </c>
      <c r="DE352" s="12">
        <f t="shared" si="1340"/>
        <v>2804.9514685184622</v>
      </c>
      <c r="DF352" s="12">
        <f>SQRT((1/[7]Classess!$I$38)^2*(19*SQRT(3)*10^4/10^3)^2+(-DE352/([7]Classess!$I$38)^2)^2*([7]Classess!$J$38)^2)</f>
        <v>528.03532028319501</v>
      </c>
      <c r="DG352" s="13">
        <v>3</v>
      </c>
      <c r="DH352" s="19">
        <f t="shared" si="1334"/>
        <v>0.18825114309806443</v>
      </c>
      <c r="DI352" s="19">
        <f t="shared" si="1335"/>
        <v>2870.7731506720866</v>
      </c>
      <c r="DJ352" s="12">
        <f t="shared" si="1336"/>
        <v>1768.1215242168666</v>
      </c>
      <c r="DK352" s="72">
        <f t="shared" si="1337"/>
        <v>2084169.149599317</v>
      </c>
      <c r="DL352" s="72">
        <f t="shared" si="1338"/>
        <v>2084169.1495993172</v>
      </c>
      <c r="DN352" s="19" t="s">
        <v>37</v>
      </c>
      <c r="DO352" s="12" t="s">
        <v>37</v>
      </c>
      <c r="DP352" s="13" t="s">
        <v>37</v>
      </c>
      <c r="DR352" s="19" t="s">
        <v>37</v>
      </c>
      <c r="DS352" s="12" t="s">
        <v>37</v>
      </c>
      <c r="DT352" s="13" t="s">
        <v>37</v>
      </c>
      <c r="EA352" s="19" t="s">
        <v>37</v>
      </c>
      <c r="EB352" s="19" t="s">
        <v>37</v>
      </c>
      <c r="EC352" s="72" t="s">
        <v>37</v>
      </c>
      <c r="EE352" s="19" t="s">
        <v>37</v>
      </c>
      <c r="EF352" s="19" t="s">
        <v>37</v>
      </c>
      <c r="EG352" s="12" t="s">
        <v>37</v>
      </c>
      <c r="EM352" s="12" t="s">
        <v>39</v>
      </c>
      <c r="EN352" s="12">
        <f>AVERAGEA(-14,-6)</f>
        <v>-10</v>
      </c>
      <c r="EO352" s="12">
        <f>STDEVA(-14,-6)</f>
        <v>5.6568542494923806</v>
      </c>
      <c r="EP352" s="13">
        <v>4</v>
      </c>
      <c r="EQ352" s="19">
        <f t="shared" si="1341"/>
        <v>0.56568542494923801</v>
      </c>
      <c r="ER352" s="12">
        <f>AVERAGEA(-19,-14)</f>
        <v>-16.5</v>
      </c>
      <c r="ES352" s="12">
        <f>STDEVA(-19,-14)</f>
        <v>3.5355339059327378</v>
      </c>
      <c r="ET352" s="13">
        <v>4</v>
      </c>
      <c r="EU352" s="19">
        <f t="shared" si="1342"/>
        <v>0.21427478217774168</v>
      </c>
      <c r="EV352" s="19">
        <f t="shared" si="1317"/>
        <v>-6.5</v>
      </c>
      <c r="EW352" s="12">
        <f t="shared" si="1318"/>
        <v>4.7169905660283025</v>
      </c>
      <c r="EX352" s="19">
        <f t="shared" si="1319"/>
        <v>11.125000000000002</v>
      </c>
      <c r="EY352" s="19">
        <f t="shared" si="1320"/>
        <v>11.125000000000002</v>
      </c>
      <c r="FB352" s="12" t="s">
        <v>37</v>
      </c>
      <c r="FC352" s="12" t="s">
        <v>37</v>
      </c>
      <c r="FD352" s="12" t="s">
        <v>37</v>
      </c>
      <c r="FE352" s="12" t="s">
        <v>37</v>
      </c>
      <c r="FF352" s="20" t="s">
        <v>37</v>
      </c>
      <c r="FG352" s="12" t="s">
        <v>37</v>
      </c>
      <c r="FI352" s="12" t="s">
        <v>37</v>
      </c>
      <c r="FJ352" s="12" t="s">
        <v>37</v>
      </c>
      <c r="FK352" s="12" t="s">
        <v>37</v>
      </c>
      <c r="FL352" s="12" t="s">
        <v>37</v>
      </c>
      <c r="FM352" s="12" t="s">
        <v>37</v>
      </c>
      <c r="FN352" s="12" t="s">
        <v>37</v>
      </c>
      <c r="FP352" s="12" t="s">
        <v>37</v>
      </c>
      <c r="FQ352" s="12" t="s">
        <v>37</v>
      </c>
      <c r="FR352" s="12" t="s">
        <v>37</v>
      </c>
      <c r="FS352" s="12" t="s">
        <v>37</v>
      </c>
      <c r="FT352" s="12" t="s">
        <v>37</v>
      </c>
      <c r="FU352" s="12" t="s">
        <v>37</v>
      </c>
      <c r="FW352" s="12" t="s">
        <v>37</v>
      </c>
      <c r="FX352" s="12" t="s">
        <v>37</v>
      </c>
      <c r="FY352" s="12" t="s">
        <v>37</v>
      </c>
      <c r="FZ352" s="12" t="s">
        <v>37</v>
      </c>
      <c r="GA352" s="12" t="s">
        <v>37</v>
      </c>
      <c r="GB352" s="12" t="s">
        <v>37</v>
      </c>
      <c r="IK352" s="12" t="s">
        <v>37</v>
      </c>
      <c r="IL352" s="12" t="s">
        <v>37</v>
      </c>
      <c r="IM352" s="12" t="s">
        <v>37</v>
      </c>
      <c r="IO352" s="12" t="s">
        <v>37</v>
      </c>
      <c r="IP352" s="12" t="s">
        <v>37</v>
      </c>
      <c r="IQ352" s="12" t="s">
        <v>37</v>
      </c>
      <c r="IW352" s="12" t="s">
        <v>37</v>
      </c>
      <c r="IX352" s="12" t="s">
        <v>37</v>
      </c>
      <c r="IY352" s="13" t="s">
        <v>37</v>
      </c>
      <c r="JA352" s="12" t="s">
        <v>37</v>
      </c>
      <c r="JB352" s="12" t="s">
        <v>37</v>
      </c>
      <c r="JC352" s="13" t="s">
        <v>37</v>
      </c>
      <c r="JH352" s="12" t="s">
        <v>37</v>
      </c>
      <c r="JI352" s="12" t="s">
        <v>37</v>
      </c>
      <c r="JJ352" s="13" t="s">
        <v>37</v>
      </c>
      <c r="JL352" s="12" t="s">
        <v>37</v>
      </c>
      <c r="JM352" s="12" t="s">
        <v>37</v>
      </c>
      <c r="JN352" s="12" t="s">
        <v>37</v>
      </c>
      <c r="JS352" s="12" t="s">
        <v>37</v>
      </c>
      <c r="JT352" s="12" t="s">
        <v>37</v>
      </c>
      <c r="JU352" s="13" t="s">
        <v>37</v>
      </c>
      <c r="JW352" s="12" t="s">
        <v>37</v>
      </c>
      <c r="JX352" s="12" t="s">
        <v>37</v>
      </c>
      <c r="JY352" s="12" t="s">
        <v>37</v>
      </c>
      <c r="KE352" s="12" t="s">
        <v>37</v>
      </c>
      <c r="KF352" s="12" t="s">
        <v>37</v>
      </c>
      <c r="KG352" s="13" t="s">
        <v>37</v>
      </c>
      <c r="KH352" s="12" t="s">
        <v>37</v>
      </c>
      <c r="KI352" s="12" t="s">
        <v>37</v>
      </c>
      <c r="KJ352" s="12" t="s">
        <v>37</v>
      </c>
      <c r="KM352" s="12" t="s">
        <v>37</v>
      </c>
      <c r="KN352" s="12" t="s">
        <v>37</v>
      </c>
      <c r="KO352" s="11" t="s">
        <v>37</v>
      </c>
      <c r="KQ352" s="12" t="s">
        <v>37</v>
      </c>
      <c r="KR352" s="12" t="s">
        <v>37</v>
      </c>
      <c r="KS352" s="12" t="s">
        <v>37</v>
      </c>
      <c r="KX352" s="12" t="s">
        <v>37</v>
      </c>
      <c r="KY352" s="12" t="s">
        <v>37</v>
      </c>
      <c r="KZ352" s="12" t="s">
        <v>37</v>
      </c>
      <c r="LB352" s="12" t="s">
        <v>37</v>
      </c>
      <c r="LC352" s="12" t="s">
        <v>37</v>
      </c>
      <c r="LD352" s="12" t="s">
        <v>37</v>
      </c>
      <c r="LI352" s="12" t="s">
        <v>37</v>
      </c>
      <c r="LJ352" s="12" t="s">
        <v>37</v>
      </c>
      <c r="LK352" s="12" t="s">
        <v>37</v>
      </c>
      <c r="LM352" s="12" t="s">
        <v>37</v>
      </c>
      <c r="LN352" s="12" t="s">
        <v>37</v>
      </c>
      <c r="LO352" s="12" t="s">
        <v>37</v>
      </c>
      <c r="LU352" s="12" t="s">
        <v>37</v>
      </c>
      <c r="LV352" s="12" t="s">
        <v>37</v>
      </c>
      <c r="LW352" s="12" t="s">
        <v>37</v>
      </c>
      <c r="LY352" s="12" t="s">
        <v>37</v>
      </c>
      <c r="LZ352" s="12" t="s">
        <v>37</v>
      </c>
      <c r="MA352" s="12" t="s">
        <v>37</v>
      </c>
      <c r="MF352" s="12" t="s">
        <v>37</v>
      </c>
      <c r="MG352" s="12" t="s">
        <v>37</v>
      </c>
      <c r="MH352" s="12" t="s">
        <v>37</v>
      </c>
      <c r="MJ352" s="12" t="s">
        <v>37</v>
      </c>
      <c r="MK352" s="12" t="s">
        <v>37</v>
      </c>
      <c r="ML352" s="12" t="s">
        <v>37</v>
      </c>
      <c r="MQ352" s="12" t="s">
        <v>37</v>
      </c>
      <c r="MR352" s="12" t="s">
        <v>37</v>
      </c>
      <c r="MS352" s="12" t="s">
        <v>37</v>
      </c>
      <c r="MU352" s="12" t="s">
        <v>37</v>
      </c>
      <c r="MV352" s="12" t="s">
        <v>37</v>
      </c>
      <c r="MW352" s="12" t="s">
        <v>37</v>
      </c>
      <c r="NC352" s="12" t="s">
        <v>37</v>
      </c>
      <c r="ND352" s="12" t="s">
        <v>37</v>
      </c>
      <c r="NE352" s="12" t="s">
        <v>37</v>
      </c>
      <c r="NG352" s="12" t="s">
        <v>37</v>
      </c>
      <c r="NH352" s="12" t="s">
        <v>37</v>
      </c>
      <c r="NI352" s="12" t="s">
        <v>37</v>
      </c>
      <c r="NO352" s="12" t="s">
        <v>37</v>
      </c>
      <c r="NP352" s="12" t="s">
        <v>37</v>
      </c>
      <c r="NQ352" s="12" t="s">
        <v>37</v>
      </c>
      <c r="NS352" s="12" t="s">
        <v>37</v>
      </c>
      <c r="NT352" s="12" t="s">
        <v>37</v>
      </c>
      <c r="NU352" s="12" t="s">
        <v>37</v>
      </c>
      <c r="OA352" s="12" t="s">
        <v>37</v>
      </c>
      <c r="OB352" s="12" t="s">
        <v>37</v>
      </c>
      <c r="OC352" s="12" t="s">
        <v>37</v>
      </c>
      <c r="OD352" s="12"/>
      <c r="OE352" s="12" t="s">
        <v>37</v>
      </c>
      <c r="OF352" s="12" t="s">
        <v>37</v>
      </c>
      <c r="OG352" s="12" t="s">
        <v>37</v>
      </c>
      <c r="OH352" s="12"/>
      <c r="OI352" s="12"/>
      <c r="OJ352" s="12"/>
      <c r="OM352" s="12" t="s">
        <v>37</v>
      </c>
      <c r="ON352" s="12" t="s">
        <v>37</v>
      </c>
      <c r="OO352" s="12" t="s">
        <v>37</v>
      </c>
      <c r="OP352" s="12" t="s">
        <v>37</v>
      </c>
      <c r="OQ352" s="12" t="s">
        <v>37</v>
      </c>
      <c r="OR352" s="12" t="s">
        <v>37</v>
      </c>
      <c r="OS352" s="12"/>
      <c r="OT352" s="12"/>
      <c r="OW352" s="12" t="s">
        <v>37</v>
      </c>
      <c r="OX352" s="12" t="s">
        <v>37</v>
      </c>
      <c r="OY352" s="13" t="s">
        <v>37</v>
      </c>
      <c r="OZ352" s="12" t="s">
        <v>37</v>
      </c>
      <c r="PA352" s="12" t="s">
        <v>37</v>
      </c>
      <c r="PB352" s="13" t="s">
        <v>37</v>
      </c>
      <c r="PG352" s="12" t="s">
        <v>37</v>
      </c>
      <c r="PH352" s="12" t="s">
        <v>37</v>
      </c>
      <c r="PI352" s="12" t="s">
        <v>37</v>
      </c>
      <c r="PJ352" s="12" t="s">
        <v>37</v>
      </c>
      <c r="PK352" s="12" t="s">
        <v>37</v>
      </c>
      <c r="PL352" s="12" t="s">
        <v>37</v>
      </c>
      <c r="PM352" s="12"/>
      <c r="PN352" s="12"/>
      <c r="PQ352" s="12" t="s">
        <v>37</v>
      </c>
      <c r="PR352" s="12" t="s">
        <v>37</v>
      </c>
      <c r="PS352" s="12" t="s">
        <v>37</v>
      </c>
      <c r="PT352" s="12" t="s">
        <v>37</v>
      </c>
      <c r="PU352" s="12" t="s">
        <v>37</v>
      </c>
      <c r="PV352" s="12" t="s">
        <v>37</v>
      </c>
      <c r="PW352" s="12"/>
      <c r="PX352" s="12"/>
      <c r="PZ352" s="12" t="s">
        <v>37</v>
      </c>
      <c r="QA352" s="12" t="s">
        <v>37</v>
      </c>
      <c r="QB352" s="12" t="s">
        <v>37</v>
      </c>
      <c r="QD352" s="12" t="s">
        <v>37</v>
      </c>
      <c r="QE352" s="12" t="s">
        <v>37</v>
      </c>
      <c r="QF352" s="12" t="s">
        <v>37</v>
      </c>
      <c r="QK352" s="12" t="s">
        <v>37</v>
      </c>
      <c r="QL352" s="12" t="s">
        <v>37</v>
      </c>
      <c r="QM352" s="12" t="s">
        <v>37</v>
      </c>
      <c r="QN352" s="12" t="s">
        <v>37</v>
      </c>
      <c r="QO352" s="12" t="s">
        <v>37</v>
      </c>
      <c r="QP352" s="12" t="s">
        <v>37</v>
      </c>
      <c r="QQ352" s="12"/>
      <c r="QR352" s="12"/>
      <c r="QU352" s="12" t="s">
        <v>37</v>
      </c>
      <c r="QV352" s="12" t="s">
        <v>37</v>
      </c>
      <c r="QW352" s="12" t="s">
        <v>37</v>
      </c>
      <c r="QX352" s="12" t="s">
        <v>37</v>
      </c>
      <c r="QY352" s="12" t="s">
        <v>37</v>
      </c>
      <c r="QZ352" s="12" t="s">
        <v>37</v>
      </c>
      <c r="RC352" s="12" t="s">
        <v>37</v>
      </c>
      <c r="RD352" s="12" t="s">
        <v>37</v>
      </c>
      <c r="RE352" s="13" t="s">
        <v>37</v>
      </c>
      <c r="RF352" s="12" t="s">
        <v>37</v>
      </c>
      <c r="RG352" s="12" t="s">
        <v>37</v>
      </c>
      <c r="RH352" s="13" t="s">
        <v>37</v>
      </c>
      <c r="RK352" s="12" t="s">
        <v>37</v>
      </c>
      <c r="RL352" s="12" t="s">
        <v>37</v>
      </c>
      <c r="RM352" s="11" t="s">
        <v>37</v>
      </c>
      <c r="RN352" s="12" t="s">
        <v>37</v>
      </c>
      <c r="RO352" s="12" t="s">
        <v>37</v>
      </c>
      <c r="RP352" s="11" t="s">
        <v>37</v>
      </c>
      <c r="RS352" s="12" t="s">
        <v>37</v>
      </c>
      <c r="RT352" s="12" t="s">
        <v>37</v>
      </c>
      <c r="RU352" s="12" t="s">
        <v>37</v>
      </c>
      <c r="RV352" s="12" t="s">
        <v>37</v>
      </c>
      <c r="RW352" s="12" t="s">
        <v>37</v>
      </c>
      <c r="RX352" s="12" t="s">
        <v>37</v>
      </c>
      <c r="SA352" s="12" t="s">
        <v>37</v>
      </c>
      <c r="SB352" s="12" t="s">
        <v>37</v>
      </c>
      <c r="SC352" s="12" t="s">
        <v>37</v>
      </c>
      <c r="SD352" s="12" t="s">
        <v>37</v>
      </c>
      <c r="SE352" s="12" t="s">
        <v>37</v>
      </c>
      <c r="SF352" s="12" t="s">
        <v>37</v>
      </c>
      <c r="SI352" s="12" t="s">
        <v>37</v>
      </c>
      <c r="SJ352" s="12" t="s">
        <v>37</v>
      </c>
      <c r="SK352" s="13" t="s">
        <v>37</v>
      </c>
      <c r="SM352" s="12" t="s">
        <v>37</v>
      </c>
      <c r="SN352" s="12" t="s">
        <v>37</v>
      </c>
      <c r="SO352" s="13" t="s">
        <v>37</v>
      </c>
      <c r="SU352" s="12" t="s">
        <v>37</v>
      </c>
      <c r="SV352" s="12" t="s">
        <v>37</v>
      </c>
      <c r="SW352" s="12" t="s">
        <v>37</v>
      </c>
      <c r="SX352" s="12" t="s">
        <v>37</v>
      </c>
      <c r="SY352" s="12" t="s">
        <v>37</v>
      </c>
      <c r="SZ352" s="12" t="s">
        <v>37</v>
      </c>
      <c r="TA352" s="12"/>
      <c r="TB352" s="12"/>
      <c r="TE352" s="12" t="s">
        <v>37</v>
      </c>
      <c r="TF352" s="12" t="s">
        <v>37</v>
      </c>
      <c r="TG352" s="12" t="s">
        <v>37</v>
      </c>
      <c r="TH352" s="12" t="s">
        <v>37</v>
      </c>
      <c r="TI352" s="12" t="s">
        <v>37</v>
      </c>
      <c r="TJ352" s="12" t="s">
        <v>37</v>
      </c>
      <c r="TK352" s="12"/>
      <c r="TL352" s="12"/>
      <c r="TO352" s="12" t="s">
        <v>37</v>
      </c>
      <c r="TP352" s="12" t="s">
        <v>37</v>
      </c>
      <c r="TQ352" s="12" t="s">
        <v>37</v>
      </c>
      <c r="TR352" s="12" t="s">
        <v>37</v>
      </c>
      <c r="TS352" s="12" t="s">
        <v>37</v>
      </c>
      <c r="TT352" s="12" t="s">
        <v>37</v>
      </c>
      <c r="TU352" s="12"/>
      <c r="TV352" s="12"/>
      <c r="TY352" s="12" t="s">
        <v>37</v>
      </c>
      <c r="TZ352" s="12" t="s">
        <v>37</v>
      </c>
      <c r="UA352" s="12" t="s">
        <v>37</v>
      </c>
      <c r="UB352" s="12" t="s">
        <v>37</v>
      </c>
      <c r="UC352" s="12" t="s">
        <v>37</v>
      </c>
      <c r="UD352" s="12" t="s">
        <v>37</v>
      </c>
      <c r="UE352" s="12"/>
      <c r="UF352" s="12"/>
      <c r="UI352" s="12" t="s">
        <v>37</v>
      </c>
      <c r="UJ352" s="12" t="s">
        <v>37</v>
      </c>
      <c r="UK352" s="12" t="s">
        <v>37</v>
      </c>
      <c r="UL352" s="12" t="s">
        <v>37</v>
      </c>
      <c r="UM352" s="12" t="s">
        <v>37</v>
      </c>
      <c r="UN352" s="12" t="s">
        <v>37</v>
      </c>
      <c r="UO352" s="12"/>
      <c r="UP352" s="12"/>
      <c r="UR352" s="12" t="s">
        <v>37</v>
      </c>
      <c r="US352" s="12" t="s">
        <v>37</v>
      </c>
      <c r="UT352" s="12" t="s">
        <v>37</v>
      </c>
      <c r="UU352" s="12" t="s">
        <v>37</v>
      </c>
      <c r="UV352" s="12" t="s">
        <v>37</v>
      </c>
      <c r="UW352" s="12" t="s">
        <v>37</v>
      </c>
      <c r="UX352" s="12"/>
      <c r="UY352" s="12"/>
      <c r="VB352" s="12" t="s">
        <v>37</v>
      </c>
      <c r="VC352" s="12" t="s">
        <v>37</v>
      </c>
      <c r="VD352" s="12" t="s">
        <v>37</v>
      </c>
      <c r="VE352" s="12" t="s">
        <v>37</v>
      </c>
      <c r="VF352" s="12" t="s">
        <v>37</v>
      </c>
      <c r="VG352" s="12" t="s">
        <v>37</v>
      </c>
      <c r="VI352" s="12" t="s">
        <v>37</v>
      </c>
      <c r="VJ352" s="12" t="s">
        <v>37</v>
      </c>
      <c r="VK352" s="12" t="s">
        <v>37</v>
      </c>
      <c r="VL352" s="12" t="s">
        <v>37</v>
      </c>
      <c r="VM352" s="12" t="s">
        <v>37</v>
      </c>
      <c r="VN352" s="12" t="s">
        <v>37</v>
      </c>
      <c r="VQ352" s="12" t="s">
        <v>37</v>
      </c>
      <c r="VR352" s="12" t="s">
        <v>37</v>
      </c>
      <c r="VS352" s="12" t="s">
        <v>37</v>
      </c>
      <c r="VT352" s="12" t="s">
        <v>37</v>
      </c>
      <c r="VU352" s="12" t="s">
        <v>37</v>
      </c>
      <c r="VV352" s="12" t="s">
        <v>37</v>
      </c>
      <c r="VW352" s="12"/>
      <c r="VX352" s="12"/>
      <c r="WA352" s="12" t="s">
        <v>37</v>
      </c>
      <c r="WB352" s="12" t="s">
        <v>37</v>
      </c>
      <c r="WC352" s="12" t="s">
        <v>37</v>
      </c>
      <c r="WD352" s="12" t="s">
        <v>37</v>
      </c>
      <c r="WE352" s="12" t="s">
        <v>37</v>
      </c>
      <c r="WF352" s="12" t="s">
        <v>37</v>
      </c>
    </row>
    <row r="353" spans="1:604" ht="18" customHeight="1" x14ac:dyDescent="0.3">
      <c r="A353" s="11">
        <v>75</v>
      </c>
      <c r="B353" s="16" t="s">
        <v>443</v>
      </c>
      <c r="C353" s="12" t="s">
        <v>26</v>
      </c>
      <c r="D353" s="12" t="s">
        <v>973</v>
      </c>
      <c r="E353" s="40">
        <v>1.2</v>
      </c>
      <c r="F353" s="14">
        <v>0</v>
      </c>
      <c r="G353" s="14">
        <v>0</v>
      </c>
      <c r="H353" s="12" t="s">
        <v>91</v>
      </c>
      <c r="I353" s="29">
        <v>46.667000000000002</v>
      </c>
      <c r="J353" s="29">
        <v>-71.167000000000002</v>
      </c>
      <c r="K353" s="12" t="s">
        <v>673</v>
      </c>
      <c r="L353" s="12" t="s">
        <v>674</v>
      </c>
      <c r="M353" s="13" t="s">
        <v>37</v>
      </c>
      <c r="N353" s="14" t="s">
        <v>37</v>
      </c>
      <c r="O353" s="14" t="s">
        <v>37</v>
      </c>
      <c r="P353" s="14" t="s">
        <v>16</v>
      </c>
      <c r="Q353" s="75">
        <v>8</v>
      </c>
      <c r="R353" s="11" t="s">
        <v>1000</v>
      </c>
      <c r="S353" s="12" t="s">
        <v>85</v>
      </c>
      <c r="T353" s="12" t="s">
        <v>141</v>
      </c>
      <c r="U353" s="12" t="s">
        <v>863</v>
      </c>
      <c r="V353" s="12" t="s">
        <v>275</v>
      </c>
      <c r="W353" s="23" t="s">
        <v>284</v>
      </c>
      <c r="X353" s="12" t="s">
        <v>281</v>
      </c>
      <c r="Y353" s="12" t="s">
        <v>37</v>
      </c>
      <c r="Z353" s="12" t="s">
        <v>37</v>
      </c>
      <c r="AB353" s="12" t="s">
        <v>37</v>
      </c>
      <c r="AE353" s="12" t="s">
        <v>37</v>
      </c>
      <c r="AH353" s="12" t="s">
        <v>37</v>
      </c>
      <c r="AK353" s="12" t="s">
        <v>37</v>
      </c>
      <c r="AL353" s="32" t="s">
        <v>445</v>
      </c>
      <c r="AM353" s="12" t="s">
        <v>317</v>
      </c>
      <c r="AN353" s="32" t="s">
        <v>880</v>
      </c>
      <c r="AO353" s="12" t="s">
        <v>847</v>
      </c>
      <c r="AP353" s="12" t="s">
        <v>167</v>
      </c>
      <c r="AQ353" s="12" t="s">
        <v>975</v>
      </c>
      <c r="AT353" s="12" t="s">
        <v>326</v>
      </c>
      <c r="AU353" s="12" t="s">
        <v>326</v>
      </c>
      <c r="AV353" s="13" t="s">
        <v>326</v>
      </c>
      <c r="AX353" s="12" t="s">
        <v>326</v>
      </c>
      <c r="AY353" s="12" t="s">
        <v>326</v>
      </c>
      <c r="AZ353" s="13" t="s">
        <v>326</v>
      </c>
      <c r="BE353" s="12" t="s">
        <v>326</v>
      </c>
      <c r="BF353" s="12" t="s">
        <v>326</v>
      </c>
      <c r="BG353" s="12" t="s">
        <v>326</v>
      </c>
      <c r="BI353" s="12" t="s">
        <v>326</v>
      </c>
      <c r="BJ353" s="12" t="s">
        <v>326</v>
      </c>
      <c r="BK353" s="12" t="s">
        <v>326</v>
      </c>
      <c r="BP353" s="12" t="s">
        <v>37</v>
      </c>
      <c r="BQ353" s="12" t="s">
        <v>37</v>
      </c>
      <c r="BR353" s="13" t="s">
        <v>37</v>
      </c>
      <c r="BT353" s="12" t="s">
        <v>37</v>
      </c>
      <c r="BU353" s="12" t="s">
        <v>37</v>
      </c>
      <c r="BV353" s="12" t="s">
        <v>37</v>
      </c>
      <c r="BZ353" s="12" t="s">
        <v>581</v>
      </c>
      <c r="CA353" s="12">
        <f>-326*10^4/10^3/'[6]classess-1'!$T$96</f>
        <v>-3420.20536553287</v>
      </c>
      <c r="CB353" s="12">
        <f>SQRT((1/[7]Classess!$T$96)^2*(142*SQRT(3)*10^4/10^3)^2+(-CA353/([7]Classess!$T$96)^2)^2*([7]Classess!$U$96)^2)</f>
        <v>2581.3476538531618</v>
      </c>
      <c r="CC353" s="13">
        <v>3</v>
      </c>
      <c r="CD353" s="19">
        <f t="shared" si="1321"/>
        <v>0.75473469513459646</v>
      </c>
      <c r="CE353" s="12">
        <f>-698*10^4/10^3/'[6]classess-1'!$T$93</f>
        <v>-7240.463722401516</v>
      </c>
      <c r="CF353" s="12">
        <f>SQRT((1/[7]Classess!$T$93)^2*(79*SQRT(3)*10^4/10^3)^2+(-CE353/([7]Classess!$T$93)^2)^2*([7]Classess!$U$93)^2)</f>
        <v>1430.8247194500545</v>
      </c>
      <c r="CG353" s="13">
        <v>3</v>
      </c>
      <c r="CH353" s="19">
        <f t="shared" si="1322"/>
        <v>0.19761506642498292</v>
      </c>
      <c r="CI353" s="75">
        <f t="shared" si="1323"/>
        <v>-3820.2583568686459</v>
      </c>
      <c r="CJ353" s="12">
        <f t="shared" si="1324"/>
        <v>2086.9373598460675</v>
      </c>
      <c r="CK353" s="72">
        <f t="shared" si="1325"/>
        <v>2903538.3626141832</v>
      </c>
      <c r="CL353" s="72">
        <f t="shared" si="1326"/>
        <v>2903538.3626141832</v>
      </c>
      <c r="CM353" s="12" t="s">
        <v>581</v>
      </c>
      <c r="CN353" s="12">
        <f>245*10^4/10^3/'[6]classess-1'!$I$96</f>
        <v>3050.2701206745783</v>
      </c>
      <c r="CO353" s="12">
        <f>SQRT((1/[7]Classess!$I$96)^2*(156*SQRT(3)*10^4/10^3)^2+(-CN353/([7]Classess!$I$96)^2)^2*([7]Classess!$J$96)^2)</f>
        <v>3364.4645178084379</v>
      </c>
      <c r="CP353" s="13">
        <v>3</v>
      </c>
      <c r="CQ353" s="19">
        <f t="shared" si="1327"/>
        <v>1.1030054338480602</v>
      </c>
      <c r="CR353" s="12">
        <f>668*10^4/10^3/'[6]classess-1'!$I$93</f>
        <v>7768.1278671058117</v>
      </c>
      <c r="CS353" s="12">
        <f>SQRT((1/[7]Classess!$I$93)^2*(25*SQRT(3)*10^4/10^3)^2+(-CR353/([7]Classess!$I$93)^2)^2*([7]Classess!$J$93)^2)</f>
        <v>631.5369644231871</v>
      </c>
      <c r="CT353" s="13">
        <v>3</v>
      </c>
      <c r="CU353" s="19">
        <f t="shared" si="1328"/>
        <v>8.1298476959607541E-2</v>
      </c>
      <c r="CV353" s="75">
        <f t="shared" si="1329"/>
        <v>4717.857746431233</v>
      </c>
      <c r="CW353" s="12">
        <f t="shared" si="1330"/>
        <v>2420.5846844331659</v>
      </c>
      <c r="CX353" s="72">
        <f t="shared" si="1331"/>
        <v>3906153.4763416057</v>
      </c>
      <c r="CY353" s="72">
        <f t="shared" si="1332"/>
        <v>3906153.4763416061</v>
      </c>
      <c r="CZ353" s="12" t="s">
        <v>581</v>
      </c>
      <c r="DA353" s="12">
        <f t="shared" si="1339"/>
        <v>-369.93524485829175</v>
      </c>
      <c r="DB353" s="12">
        <f>SQRT((1/[7]Classess!$I$37)^2+(23*SQRT(3)*10^4/10^3)^2+(-DA353/([7]Classess!$I$37)^2)^2*([7]Classess!$J$37)^2)</f>
        <v>430.23040896760483</v>
      </c>
      <c r="DC353" s="13">
        <v>3</v>
      </c>
      <c r="DD353" s="19">
        <f t="shared" si="1333"/>
        <v>1.1629884282380551</v>
      </c>
      <c r="DE353" s="12">
        <f t="shared" si="1340"/>
        <v>527.66414470429572</v>
      </c>
      <c r="DF353" s="12">
        <f>SQRT((1/[7]Classess!$I$38)^2*(59*SQRT(3)*10^4/10^3)^2+(-DE353/([7]Classess!$I$38)^2)^2*([7]Classess!$J$38)^2)</f>
        <v>650.28157743771067</v>
      </c>
      <c r="DG353" s="13">
        <v>3</v>
      </c>
      <c r="DH353" s="19">
        <f t="shared" si="1334"/>
        <v>1.2323777993331915</v>
      </c>
      <c r="DI353" s="19">
        <f t="shared" si="1335"/>
        <v>897.59938956258748</v>
      </c>
      <c r="DJ353" s="12">
        <f t="shared" si="1336"/>
        <v>551.34577841646251</v>
      </c>
      <c r="DK353" s="72">
        <f t="shared" si="1337"/>
        <v>202654.77825176995</v>
      </c>
      <c r="DL353" s="72">
        <f t="shared" si="1338"/>
        <v>202654.77825176992</v>
      </c>
      <c r="DN353" s="19" t="s">
        <v>37</v>
      </c>
      <c r="DO353" s="12" t="s">
        <v>37</v>
      </c>
      <c r="DP353" s="13" t="s">
        <v>37</v>
      </c>
      <c r="DR353" s="19" t="s">
        <v>37</v>
      </c>
      <c r="DS353" s="12" t="s">
        <v>37</v>
      </c>
      <c r="DT353" s="13" t="s">
        <v>37</v>
      </c>
      <c r="EA353" s="19" t="s">
        <v>37</v>
      </c>
      <c r="EB353" s="19" t="s">
        <v>37</v>
      </c>
      <c r="EC353" s="72" t="s">
        <v>37</v>
      </c>
      <c r="EE353" s="19" t="s">
        <v>37</v>
      </c>
      <c r="EF353" s="19" t="s">
        <v>37</v>
      </c>
      <c r="EG353" s="12" t="s">
        <v>37</v>
      </c>
      <c r="EM353" s="12" t="s">
        <v>39</v>
      </c>
      <c r="EN353" s="12">
        <f>AVERAGEA(0,20)</f>
        <v>10</v>
      </c>
      <c r="EO353" s="12">
        <f>STDEVA(0,20)</f>
        <v>14.142135623730951</v>
      </c>
      <c r="EP353" s="13">
        <v>4</v>
      </c>
      <c r="EQ353" s="19">
        <f t="shared" si="1341"/>
        <v>1.4142135623730951</v>
      </c>
      <c r="ER353" s="12">
        <f>AVERAGEA(-10,-6)</f>
        <v>-8</v>
      </c>
      <c r="ES353" s="12">
        <f>STDEVA(-10,-6)</f>
        <v>2.8284271247461903</v>
      </c>
      <c r="ET353" s="13">
        <v>4</v>
      </c>
      <c r="EU353" s="19">
        <f t="shared" si="1342"/>
        <v>0.35355339059327379</v>
      </c>
      <c r="EV353" s="19">
        <f t="shared" si="1317"/>
        <v>-18</v>
      </c>
      <c r="EW353" s="12">
        <f t="shared" si="1318"/>
        <v>10.198039027185571</v>
      </c>
      <c r="EX353" s="19">
        <f t="shared" si="1319"/>
        <v>52.000000000000007</v>
      </c>
      <c r="EY353" s="19">
        <f t="shared" si="1320"/>
        <v>52.000000000000007</v>
      </c>
      <c r="FB353" s="12" t="s">
        <v>37</v>
      </c>
      <c r="FC353" s="12" t="s">
        <v>37</v>
      </c>
      <c r="FD353" s="12" t="s">
        <v>37</v>
      </c>
      <c r="FE353" s="12" t="s">
        <v>37</v>
      </c>
      <c r="FF353" s="20" t="s">
        <v>37</v>
      </c>
      <c r="FG353" s="12" t="s">
        <v>37</v>
      </c>
      <c r="FI353" s="12" t="s">
        <v>37</v>
      </c>
      <c r="FJ353" s="12" t="s">
        <v>37</v>
      </c>
      <c r="FK353" s="12" t="s">
        <v>37</v>
      </c>
      <c r="FL353" s="12" t="s">
        <v>37</v>
      </c>
      <c r="FM353" s="12" t="s">
        <v>37</v>
      </c>
      <c r="FN353" s="12" t="s">
        <v>37</v>
      </c>
      <c r="FP353" s="12" t="s">
        <v>37</v>
      </c>
      <c r="FQ353" s="12" t="s">
        <v>37</v>
      </c>
      <c r="FR353" s="12" t="s">
        <v>37</v>
      </c>
      <c r="FS353" s="12" t="s">
        <v>37</v>
      </c>
      <c r="FT353" s="12" t="s">
        <v>37</v>
      </c>
      <c r="FU353" s="12" t="s">
        <v>37</v>
      </c>
      <c r="FW353" s="12" t="s">
        <v>37</v>
      </c>
      <c r="FX353" s="12" t="s">
        <v>37</v>
      </c>
      <c r="FY353" s="12" t="s">
        <v>37</v>
      </c>
      <c r="FZ353" s="12" t="s">
        <v>37</v>
      </c>
      <c r="GA353" s="12" t="s">
        <v>37</v>
      </c>
      <c r="GB353" s="12" t="s">
        <v>37</v>
      </c>
      <c r="IK353" s="12" t="s">
        <v>37</v>
      </c>
      <c r="IL353" s="12" t="s">
        <v>37</v>
      </c>
      <c r="IM353" s="12" t="s">
        <v>37</v>
      </c>
      <c r="IO353" s="12" t="s">
        <v>37</v>
      </c>
      <c r="IP353" s="12" t="s">
        <v>37</v>
      </c>
      <c r="IQ353" s="12" t="s">
        <v>37</v>
      </c>
      <c r="IW353" s="12" t="s">
        <v>37</v>
      </c>
      <c r="IX353" s="12" t="s">
        <v>37</v>
      </c>
      <c r="IY353" s="13" t="s">
        <v>37</v>
      </c>
      <c r="JA353" s="12" t="s">
        <v>37</v>
      </c>
      <c r="JB353" s="12" t="s">
        <v>37</v>
      </c>
      <c r="JC353" s="13" t="s">
        <v>37</v>
      </c>
      <c r="JH353" s="12" t="s">
        <v>37</v>
      </c>
      <c r="JI353" s="12" t="s">
        <v>37</v>
      </c>
      <c r="JJ353" s="13" t="s">
        <v>37</v>
      </c>
      <c r="JL353" s="12" t="s">
        <v>37</v>
      </c>
      <c r="JM353" s="12" t="s">
        <v>37</v>
      </c>
      <c r="JN353" s="12" t="s">
        <v>37</v>
      </c>
      <c r="JS353" s="12" t="s">
        <v>37</v>
      </c>
      <c r="JT353" s="12" t="s">
        <v>37</v>
      </c>
      <c r="JU353" s="13" t="s">
        <v>37</v>
      </c>
      <c r="JW353" s="12" t="s">
        <v>37</v>
      </c>
      <c r="JX353" s="12" t="s">
        <v>37</v>
      </c>
      <c r="JY353" s="12" t="s">
        <v>37</v>
      </c>
      <c r="KE353" s="12" t="s">
        <v>37</v>
      </c>
      <c r="KF353" s="12" t="s">
        <v>37</v>
      </c>
      <c r="KG353" s="13" t="s">
        <v>37</v>
      </c>
      <c r="KH353" s="12" t="s">
        <v>37</v>
      </c>
      <c r="KI353" s="12" t="s">
        <v>37</v>
      </c>
      <c r="KJ353" s="12" t="s">
        <v>37</v>
      </c>
      <c r="KM353" s="12" t="s">
        <v>37</v>
      </c>
      <c r="KN353" s="12" t="s">
        <v>37</v>
      </c>
      <c r="KO353" s="11" t="s">
        <v>37</v>
      </c>
      <c r="KQ353" s="12" t="s">
        <v>37</v>
      </c>
      <c r="KR353" s="12" t="s">
        <v>37</v>
      </c>
      <c r="KS353" s="12" t="s">
        <v>37</v>
      </c>
      <c r="KX353" s="12" t="s">
        <v>37</v>
      </c>
      <c r="KY353" s="12" t="s">
        <v>37</v>
      </c>
      <c r="KZ353" s="12" t="s">
        <v>37</v>
      </c>
      <c r="LB353" s="12" t="s">
        <v>37</v>
      </c>
      <c r="LC353" s="12" t="s">
        <v>37</v>
      </c>
      <c r="LD353" s="12" t="s">
        <v>37</v>
      </c>
      <c r="LI353" s="12" t="s">
        <v>37</v>
      </c>
      <c r="LJ353" s="12" t="s">
        <v>37</v>
      </c>
      <c r="LK353" s="12" t="s">
        <v>37</v>
      </c>
      <c r="LM353" s="12" t="s">
        <v>37</v>
      </c>
      <c r="LN353" s="12" t="s">
        <v>37</v>
      </c>
      <c r="LO353" s="12" t="s">
        <v>37</v>
      </c>
      <c r="LU353" s="12" t="s">
        <v>37</v>
      </c>
      <c r="LV353" s="12" t="s">
        <v>37</v>
      </c>
      <c r="LW353" s="12" t="s">
        <v>37</v>
      </c>
      <c r="LY353" s="12" t="s">
        <v>37</v>
      </c>
      <c r="LZ353" s="12" t="s">
        <v>37</v>
      </c>
      <c r="MA353" s="12" t="s">
        <v>37</v>
      </c>
      <c r="MF353" s="12" t="s">
        <v>37</v>
      </c>
      <c r="MG353" s="12" t="s">
        <v>37</v>
      </c>
      <c r="MH353" s="12" t="s">
        <v>37</v>
      </c>
      <c r="MJ353" s="12" t="s">
        <v>37</v>
      </c>
      <c r="MK353" s="12" t="s">
        <v>37</v>
      </c>
      <c r="ML353" s="12" t="s">
        <v>37</v>
      </c>
      <c r="MQ353" s="12" t="s">
        <v>37</v>
      </c>
      <c r="MR353" s="12" t="s">
        <v>37</v>
      </c>
      <c r="MS353" s="12" t="s">
        <v>37</v>
      </c>
      <c r="MU353" s="12" t="s">
        <v>37</v>
      </c>
      <c r="MV353" s="12" t="s">
        <v>37</v>
      </c>
      <c r="MW353" s="12" t="s">
        <v>37</v>
      </c>
      <c r="NC353" s="12" t="s">
        <v>37</v>
      </c>
      <c r="ND353" s="12" t="s">
        <v>37</v>
      </c>
      <c r="NE353" s="12" t="s">
        <v>37</v>
      </c>
      <c r="NG353" s="12" t="s">
        <v>37</v>
      </c>
      <c r="NH353" s="12" t="s">
        <v>37</v>
      </c>
      <c r="NI353" s="12" t="s">
        <v>37</v>
      </c>
      <c r="NO353" s="12" t="s">
        <v>37</v>
      </c>
      <c r="NP353" s="12" t="s">
        <v>37</v>
      </c>
      <c r="NQ353" s="12" t="s">
        <v>37</v>
      </c>
      <c r="NS353" s="12" t="s">
        <v>37</v>
      </c>
      <c r="NT353" s="12" t="s">
        <v>37</v>
      </c>
      <c r="NU353" s="12" t="s">
        <v>37</v>
      </c>
      <c r="OA353" s="12" t="s">
        <v>37</v>
      </c>
      <c r="OB353" s="12" t="s">
        <v>37</v>
      </c>
      <c r="OC353" s="12" t="s">
        <v>37</v>
      </c>
      <c r="OD353" s="12"/>
      <c r="OE353" s="12" t="s">
        <v>37</v>
      </c>
      <c r="OF353" s="12" t="s">
        <v>37</v>
      </c>
      <c r="OG353" s="12" t="s">
        <v>37</v>
      </c>
      <c r="OH353" s="12"/>
      <c r="OI353" s="12"/>
      <c r="OJ353" s="12"/>
      <c r="OM353" s="12" t="s">
        <v>37</v>
      </c>
      <c r="ON353" s="12" t="s">
        <v>37</v>
      </c>
      <c r="OO353" s="12" t="s">
        <v>37</v>
      </c>
      <c r="OP353" s="12" t="s">
        <v>37</v>
      </c>
      <c r="OQ353" s="12" t="s">
        <v>37</v>
      </c>
      <c r="OR353" s="12" t="s">
        <v>37</v>
      </c>
      <c r="OS353" s="12"/>
      <c r="OT353" s="12"/>
      <c r="OW353" s="12" t="s">
        <v>37</v>
      </c>
      <c r="OX353" s="12" t="s">
        <v>37</v>
      </c>
      <c r="OY353" s="13" t="s">
        <v>37</v>
      </c>
      <c r="OZ353" s="12" t="s">
        <v>37</v>
      </c>
      <c r="PA353" s="12" t="s">
        <v>37</v>
      </c>
      <c r="PB353" s="13" t="s">
        <v>37</v>
      </c>
      <c r="PG353" s="12" t="s">
        <v>37</v>
      </c>
      <c r="PH353" s="12" t="s">
        <v>37</v>
      </c>
      <c r="PI353" s="12" t="s">
        <v>37</v>
      </c>
      <c r="PJ353" s="12" t="s">
        <v>37</v>
      </c>
      <c r="PK353" s="12" t="s">
        <v>37</v>
      </c>
      <c r="PL353" s="12" t="s">
        <v>37</v>
      </c>
      <c r="PM353" s="12"/>
      <c r="PN353" s="12"/>
      <c r="PQ353" s="12" t="s">
        <v>37</v>
      </c>
      <c r="PR353" s="12" t="s">
        <v>37</v>
      </c>
      <c r="PS353" s="12" t="s">
        <v>37</v>
      </c>
      <c r="PT353" s="12" t="s">
        <v>37</v>
      </c>
      <c r="PU353" s="12" t="s">
        <v>37</v>
      </c>
      <c r="PV353" s="12" t="s">
        <v>37</v>
      </c>
      <c r="PW353" s="12"/>
      <c r="PX353" s="12"/>
      <c r="PZ353" s="12" t="s">
        <v>37</v>
      </c>
      <c r="QA353" s="12" t="s">
        <v>37</v>
      </c>
      <c r="QB353" s="12" t="s">
        <v>37</v>
      </c>
      <c r="QD353" s="12" t="s">
        <v>37</v>
      </c>
      <c r="QE353" s="12" t="s">
        <v>37</v>
      </c>
      <c r="QF353" s="12" t="s">
        <v>37</v>
      </c>
      <c r="QK353" s="12" t="s">
        <v>37</v>
      </c>
      <c r="QL353" s="12" t="s">
        <v>37</v>
      </c>
      <c r="QM353" s="12" t="s">
        <v>37</v>
      </c>
      <c r="QN353" s="12" t="s">
        <v>37</v>
      </c>
      <c r="QO353" s="12" t="s">
        <v>37</v>
      </c>
      <c r="QP353" s="12" t="s">
        <v>37</v>
      </c>
      <c r="QQ353" s="12"/>
      <c r="QR353" s="12"/>
      <c r="QU353" s="12" t="s">
        <v>37</v>
      </c>
      <c r="QV353" s="12" t="s">
        <v>37</v>
      </c>
      <c r="QW353" s="12" t="s">
        <v>37</v>
      </c>
      <c r="QX353" s="12" t="s">
        <v>37</v>
      </c>
      <c r="QY353" s="12" t="s">
        <v>37</v>
      </c>
      <c r="QZ353" s="12" t="s">
        <v>37</v>
      </c>
      <c r="RC353" s="12" t="s">
        <v>37</v>
      </c>
      <c r="RD353" s="12" t="s">
        <v>37</v>
      </c>
      <c r="RE353" s="13" t="s">
        <v>37</v>
      </c>
      <c r="RF353" s="12" t="s">
        <v>37</v>
      </c>
      <c r="RG353" s="12" t="s">
        <v>37</v>
      </c>
      <c r="RH353" s="13" t="s">
        <v>37</v>
      </c>
      <c r="RK353" s="12" t="s">
        <v>37</v>
      </c>
      <c r="RL353" s="12" t="s">
        <v>37</v>
      </c>
      <c r="RM353" s="11" t="s">
        <v>37</v>
      </c>
      <c r="RN353" s="12" t="s">
        <v>37</v>
      </c>
      <c r="RO353" s="12" t="s">
        <v>37</v>
      </c>
      <c r="RP353" s="11" t="s">
        <v>37</v>
      </c>
      <c r="RS353" s="12" t="s">
        <v>37</v>
      </c>
      <c r="RT353" s="12" t="s">
        <v>37</v>
      </c>
      <c r="RU353" s="12" t="s">
        <v>37</v>
      </c>
      <c r="RV353" s="12" t="s">
        <v>37</v>
      </c>
      <c r="RW353" s="12" t="s">
        <v>37</v>
      </c>
      <c r="RX353" s="12" t="s">
        <v>37</v>
      </c>
      <c r="SA353" s="12" t="s">
        <v>37</v>
      </c>
      <c r="SB353" s="12" t="s">
        <v>37</v>
      </c>
      <c r="SC353" s="12" t="s">
        <v>37</v>
      </c>
      <c r="SD353" s="12" t="s">
        <v>37</v>
      </c>
      <c r="SE353" s="12" t="s">
        <v>37</v>
      </c>
      <c r="SF353" s="12" t="s">
        <v>37</v>
      </c>
      <c r="SI353" s="12" t="s">
        <v>37</v>
      </c>
      <c r="SJ353" s="12" t="s">
        <v>37</v>
      </c>
      <c r="SK353" s="13" t="s">
        <v>37</v>
      </c>
      <c r="SM353" s="12" t="s">
        <v>37</v>
      </c>
      <c r="SN353" s="12" t="s">
        <v>37</v>
      </c>
      <c r="SO353" s="13" t="s">
        <v>37</v>
      </c>
      <c r="SU353" s="12" t="s">
        <v>37</v>
      </c>
      <c r="SV353" s="12" t="s">
        <v>37</v>
      </c>
      <c r="SW353" s="12" t="s">
        <v>37</v>
      </c>
      <c r="SX353" s="12" t="s">
        <v>37</v>
      </c>
      <c r="SY353" s="12" t="s">
        <v>37</v>
      </c>
      <c r="SZ353" s="12" t="s">
        <v>37</v>
      </c>
      <c r="TA353" s="12"/>
      <c r="TB353" s="12"/>
      <c r="TE353" s="12" t="s">
        <v>37</v>
      </c>
      <c r="TF353" s="12" t="s">
        <v>37</v>
      </c>
      <c r="TG353" s="12" t="s">
        <v>37</v>
      </c>
      <c r="TH353" s="12" t="s">
        <v>37</v>
      </c>
      <c r="TI353" s="12" t="s">
        <v>37</v>
      </c>
      <c r="TJ353" s="12" t="s">
        <v>37</v>
      </c>
      <c r="TK353" s="12"/>
      <c r="TL353" s="12"/>
      <c r="TO353" s="12" t="s">
        <v>37</v>
      </c>
      <c r="TP353" s="12" t="s">
        <v>37</v>
      </c>
      <c r="TQ353" s="12" t="s">
        <v>37</v>
      </c>
      <c r="TR353" s="12" t="s">
        <v>37</v>
      </c>
      <c r="TS353" s="12" t="s">
        <v>37</v>
      </c>
      <c r="TT353" s="12" t="s">
        <v>37</v>
      </c>
      <c r="TU353" s="12"/>
      <c r="TV353" s="12"/>
      <c r="TY353" s="12" t="s">
        <v>37</v>
      </c>
      <c r="TZ353" s="12" t="s">
        <v>37</v>
      </c>
      <c r="UA353" s="12" t="s">
        <v>37</v>
      </c>
      <c r="UB353" s="12" t="s">
        <v>37</v>
      </c>
      <c r="UC353" s="12" t="s">
        <v>37</v>
      </c>
      <c r="UD353" s="12" t="s">
        <v>37</v>
      </c>
      <c r="UE353" s="12"/>
      <c r="UF353" s="12"/>
      <c r="UI353" s="12" t="s">
        <v>37</v>
      </c>
      <c r="UJ353" s="12" t="s">
        <v>37</v>
      </c>
      <c r="UK353" s="12" t="s">
        <v>37</v>
      </c>
      <c r="UL353" s="12" t="s">
        <v>37</v>
      </c>
      <c r="UM353" s="12" t="s">
        <v>37</v>
      </c>
      <c r="UN353" s="12" t="s">
        <v>37</v>
      </c>
      <c r="UO353" s="12"/>
      <c r="UP353" s="12"/>
      <c r="UR353" s="12" t="s">
        <v>37</v>
      </c>
      <c r="US353" s="12" t="s">
        <v>37</v>
      </c>
      <c r="UT353" s="12" t="s">
        <v>37</v>
      </c>
      <c r="UU353" s="12" t="s">
        <v>37</v>
      </c>
      <c r="UV353" s="12" t="s">
        <v>37</v>
      </c>
      <c r="UW353" s="12" t="s">
        <v>37</v>
      </c>
      <c r="UX353" s="12"/>
      <c r="UY353" s="12"/>
      <c r="VB353" s="12" t="s">
        <v>37</v>
      </c>
      <c r="VC353" s="12" t="s">
        <v>37</v>
      </c>
      <c r="VD353" s="12" t="s">
        <v>37</v>
      </c>
      <c r="VE353" s="12" t="s">
        <v>37</v>
      </c>
      <c r="VF353" s="12" t="s">
        <v>37</v>
      </c>
      <c r="VG353" s="12" t="s">
        <v>37</v>
      </c>
      <c r="VI353" s="12" t="s">
        <v>37</v>
      </c>
      <c r="VJ353" s="12" t="s">
        <v>37</v>
      </c>
      <c r="VK353" s="12" t="s">
        <v>37</v>
      </c>
      <c r="VL353" s="12" t="s">
        <v>37</v>
      </c>
      <c r="VM353" s="12" t="s">
        <v>37</v>
      </c>
      <c r="VN353" s="12" t="s">
        <v>37</v>
      </c>
      <c r="VQ353" s="12" t="s">
        <v>37</v>
      </c>
      <c r="VR353" s="12" t="s">
        <v>37</v>
      </c>
      <c r="VS353" s="12" t="s">
        <v>37</v>
      </c>
      <c r="VT353" s="12" t="s">
        <v>37</v>
      </c>
      <c r="VU353" s="12" t="s">
        <v>37</v>
      </c>
      <c r="VV353" s="12" t="s">
        <v>37</v>
      </c>
      <c r="VW353" s="12"/>
      <c r="VX353" s="12"/>
      <c r="WA353" s="12" t="s">
        <v>37</v>
      </c>
      <c r="WB353" s="12" t="s">
        <v>37</v>
      </c>
      <c r="WC353" s="12" t="s">
        <v>37</v>
      </c>
      <c r="WD353" s="12" t="s">
        <v>37</v>
      </c>
      <c r="WE353" s="12" t="s">
        <v>37</v>
      </c>
      <c r="WF353" s="12" t="s">
        <v>37</v>
      </c>
    </row>
    <row r="354" spans="1:604" ht="18" customHeight="1" x14ac:dyDescent="0.3">
      <c r="A354" s="11">
        <v>76</v>
      </c>
      <c r="B354" s="16" t="s">
        <v>938</v>
      </c>
      <c r="C354" s="12" t="s">
        <v>26</v>
      </c>
      <c r="D354" s="12" t="s">
        <v>54</v>
      </c>
      <c r="E354" s="40" t="s">
        <v>37</v>
      </c>
      <c r="F354" s="14">
        <v>0</v>
      </c>
      <c r="G354" s="14">
        <v>0</v>
      </c>
      <c r="H354" s="12" t="s">
        <v>145</v>
      </c>
      <c r="I354" s="29">
        <v>48.975999999999999</v>
      </c>
      <c r="J354" s="29">
        <v>13.459</v>
      </c>
      <c r="K354" s="12" t="s">
        <v>785</v>
      </c>
      <c r="L354" s="12" t="s">
        <v>786</v>
      </c>
      <c r="M354" s="13">
        <v>1200</v>
      </c>
      <c r="N354" s="14">
        <v>3.2</v>
      </c>
      <c r="O354" s="14">
        <v>1300</v>
      </c>
      <c r="P354" s="14" t="s">
        <v>16</v>
      </c>
      <c r="Q354" s="75">
        <v>50</v>
      </c>
      <c r="R354" s="11" t="s">
        <v>1000</v>
      </c>
      <c r="S354" s="12" t="s">
        <v>93</v>
      </c>
      <c r="T354" s="12" t="s">
        <v>141</v>
      </c>
      <c r="U354" s="12" t="s">
        <v>164</v>
      </c>
      <c r="V354" s="12" t="s">
        <v>275</v>
      </c>
      <c r="W354" s="23" t="s">
        <v>446</v>
      </c>
      <c r="X354" s="12" t="s">
        <v>280</v>
      </c>
      <c r="Y354" s="12" t="s">
        <v>37</v>
      </c>
      <c r="Z354" s="12" t="s">
        <v>37</v>
      </c>
      <c r="AB354" s="12" t="s">
        <v>37</v>
      </c>
      <c r="AE354" s="12" t="s">
        <v>37</v>
      </c>
      <c r="AH354" s="12" t="s">
        <v>37</v>
      </c>
      <c r="AK354" s="12" t="s">
        <v>37</v>
      </c>
      <c r="AL354" s="32" t="s">
        <v>447</v>
      </c>
      <c r="AM354" s="12" t="s">
        <v>317</v>
      </c>
      <c r="AN354" s="32" t="s">
        <v>880</v>
      </c>
      <c r="AO354" s="12" t="s">
        <v>37</v>
      </c>
      <c r="AP354" s="12" t="s">
        <v>167</v>
      </c>
      <c r="AQ354" s="12" t="s">
        <v>975</v>
      </c>
      <c r="AT354" s="12" t="s">
        <v>326</v>
      </c>
      <c r="AU354" s="12" t="s">
        <v>326</v>
      </c>
      <c r="AV354" s="13" t="s">
        <v>326</v>
      </c>
      <c r="AX354" s="12" t="s">
        <v>326</v>
      </c>
      <c r="AY354" s="12" t="s">
        <v>326</v>
      </c>
      <c r="AZ354" s="13" t="s">
        <v>326</v>
      </c>
      <c r="BE354" s="12" t="s">
        <v>326</v>
      </c>
      <c r="BF354" s="12" t="s">
        <v>326</v>
      </c>
      <c r="BG354" s="12" t="s">
        <v>326</v>
      </c>
      <c r="BI354" s="12" t="s">
        <v>326</v>
      </c>
      <c r="BJ354" s="12" t="s">
        <v>326</v>
      </c>
      <c r="BK354" s="12" t="s">
        <v>326</v>
      </c>
      <c r="BP354" s="12" t="s">
        <v>37</v>
      </c>
      <c r="BQ354" s="12" t="s">
        <v>37</v>
      </c>
      <c r="BR354" s="13" t="s">
        <v>37</v>
      </c>
      <c r="BT354" s="12" t="s">
        <v>37</v>
      </c>
      <c r="BU354" s="12" t="s">
        <v>37</v>
      </c>
      <c r="BV354" s="12" t="s">
        <v>37</v>
      </c>
      <c r="BZ354" s="12" t="s">
        <v>581</v>
      </c>
      <c r="CA354" s="12">
        <f>-462.6*10^4/10^3/'[6]classess-1'!$T$50</f>
        <v>-5163.6593652646679</v>
      </c>
      <c r="CB354" s="50">
        <f t="shared" ref="CB354:CB359" si="1346">ABS(CA354)*CD$474</f>
        <v>1258.9541681504393</v>
      </c>
      <c r="CC354" s="13">
        <v>3</v>
      </c>
      <c r="CE354" s="12">
        <f>-1047.1*10^4/10^3/'[6]classess-1'!$T$51</f>
        <v>-11281.753283847371</v>
      </c>
      <c r="CF354" s="50">
        <f t="shared" ref="CF354:CF359" si="1347">ABS(CE354)*CH$474</f>
        <v>4199.848101278134</v>
      </c>
      <c r="CG354" s="13">
        <v>3</v>
      </c>
      <c r="CI354" s="75">
        <f>CE354-CA354</f>
        <v>-6118.0939185827028</v>
      </c>
      <c r="CJ354" s="12">
        <f t="shared" si="1324"/>
        <v>3100.2975398591107</v>
      </c>
      <c r="CK354" s="72">
        <f t="shared" si="1325"/>
        <v>6407896.5571043026</v>
      </c>
      <c r="CL354" s="72">
        <f t="shared" si="1326"/>
        <v>6407896.5571043035</v>
      </c>
      <c r="CM354" s="12" t="s">
        <v>581</v>
      </c>
      <c r="CN354" s="12">
        <f>245.2*10^4/10^3/'[6]classess-1'!$I$50</f>
        <v>3223.0754152425534</v>
      </c>
      <c r="CO354" s="50">
        <f t="shared" ref="CO354:CO359" si="1348">ABS(CN354)*CQ$474</f>
        <v>927.04451000195218</v>
      </c>
      <c r="CP354" s="13">
        <v>3</v>
      </c>
      <c r="CR354" s="12">
        <f>808.1*10^4/10^3/'[6]classess-1'!$I$51</f>
        <v>10128.851360772116</v>
      </c>
      <c r="CS354" s="50">
        <f t="shared" ref="CS354:CS359" si="1349">ABS(CR354)*CU$474</f>
        <v>2657.7211591793016</v>
      </c>
      <c r="CT354" s="13">
        <v>3</v>
      </c>
      <c r="CV354" s="75">
        <f t="shared" si="1329"/>
        <v>6905.7759455295627</v>
      </c>
      <c r="CW354" s="12">
        <f t="shared" si="1330"/>
        <v>1990.3383234357582</v>
      </c>
      <c r="CX354" s="72">
        <f t="shared" si="1331"/>
        <v>2640964.4278247096</v>
      </c>
      <c r="CY354" s="72">
        <f t="shared" si="1332"/>
        <v>2640964.42782471</v>
      </c>
      <c r="CZ354" s="12" t="s">
        <v>581</v>
      </c>
      <c r="DA354" s="12">
        <f>CA354+CN354</f>
        <v>-1940.5839500221145</v>
      </c>
      <c r="DB354" s="50">
        <f t="shared" ref="DB354:DB359" si="1350">ABS(DA354)*DD$474</f>
        <v>5821.085373365031</v>
      </c>
      <c r="DC354" s="13">
        <v>3</v>
      </c>
      <c r="DE354" s="12">
        <f>CE354+CR354</f>
        <v>-1152.9019230752547</v>
      </c>
      <c r="DF354" s="50">
        <f t="shared" ref="DF354:DF359" si="1351">ABS(DE354)*DH$474</f>
        <v>1098.8801605135104</v>
      </c>
      <c r="DG354" s="13">
        <v>3</v>
      </c>
      <c r="DI354" s="19">
        <f t="shared" si="1335"/>
        <v>787.68202694685988</v>
      </c>
      <c r="DJ354" s="12">
        <f t="shared" si="1336"/>
        <v>4188.828746271116</v>
      </c>
      <c r="DK354" s="72">
        <f t="shared" si="1337"/>
        <v>11697524.177058168</v>
      </c>
      <c r="DL354" s="72">
        <f t="shared" si="1338"/>
        <v>11697524.177058166</v>
      </c>
      <c r="DM354" s="12" t="s">
        <v>47</v>
      </c>
      <c r="DN354" s="19">
        <f>9.4*10^4/10^3/'[1]classes-1'!$I$32</f>
        <v>129.83859113829968</v>
      </c>
      <c r="DO354" s="50">
        <f t="shared" ref="DO354:DO359" si="1352">ABS(DN354)*DQ$474</f>
        <v>144.75435619379368</v>
      </c>
      <c r="DP354" s="13">
        <v>3</v>
      </c>
      <c r="DR354" s="19">
        <f>1.1*10^4/10^3/'[1]classes-1'!$I$38</f>
        <v>3.2289849407087479</v>
      </c>
      <c r="DS354" s="50">
        <f t="shared" ref="DS354:DS359" si="1353">ABS(DR354)*DU$474</f>
        <v>12.067415135534878</v>
      </c>
      <c r="DT354" s="13">
        <v>3</v>
      </c>
      <c r="DV354" s="19">
        <f t="shared" ref="DV354:DV363" si="1354">DR354-DN354</f>
        <v>-126.60960619759094</v>
      </c>
      <c r="DW354" s="12">
        <f t="shared" ref="DW354:DW363" si="1355">SQRT(((DP354-1)*DO354^2+(DT354-1)*DS354^2)/(DP354+DT354-2))</f>
        <v>102.71184485037018</v>
      </c>
      <c r="DX354" s="72">
        <f t="shared" si="1251"/>
        <v>7033.1487150443436</v>
      </c>
      <c r="DY354" s="72">
        <f t="shared" si="1252"/>
        <v>7033.1487150443436</v>
      </c>
      <c r="EA354" s="19" t="s">
        <v>37</v>
      </c>
      <c r="EB354" s="19" t="s">
        <v>37</v>
      </c>
      <c r="EC354" s="72" t="s">
        <v>37</v>
      </c>
      <c r="EE354" s="19" t="s">
        <v>37</v>
      </c>
      <c r="EF354" s="19" t="s">
        <v>37</v>
      </c>
      <c r="EG354" s="12" t="s">
        <v>37</v>
      </c>
      <c r="EM354" s="12" t="s">
        <v>39</v>
      </c>
      <c r="EN354" s="12">
        <v>-2.9</v>
      </c>
      <c r="EO354" s="12">
        <v>2.4</v>
      </c>
      <c r="EP354" s="13">
        <v>3</v>
      </c>
      <c r="EQ354" s="19">
        <f t="shared" si="1341"/>
        <v>0.82758620689655171</v>
      </c>
      <c r="ER354" s="12">
        <v>-24.2</v>
      </c>
      <c r="ES354" s="12">
        <v>10.3</v>
      </c>
      <c r="ET354" s="13">
        <v>2</v>
      </c>
      <c r="EU354" s="19">
        <f t="shared" si="1342"/>
        <v>0.42561983471074383</v>
      </c>
      <c r="EV354" s="19">
        <f t="shared" si="1317"/>
        <v>-21.3</v>
      </c>
      <c r="EW354" s="12">
        <f t="shared" si="1318"/>
        <v>6.2612565299094189</v>
      </c>
      <c r="EX354" s="19">
        <f t="shared" si="1319"/>
        <v>32.669444444444451</v>
      </c>
      <c r="EY354" s="19">
        <f t="shared" si="1320"/>
        <v>54.965000000000011</v>
      </c>
      <c r="FB354" s="12" t="s">
        <v>37</v>
      </c>
      <c r="FC354" s="12" t="s">
        <v>37</v>
      </c>
      <c r="FD354" s="12" t="s">
        <v>37</v>
      </c>
      <c r="FE354" s="12" t="s">
        <v>37</v>
      </c>
      <c r="FF354" s="20" t="s">
        <v>37</v>
      </c>
      <c r="FG354" s="12" t="s">
        <v>37</v>
      </c>
      <c r="FI354" s="12" t="s">
        <v>37</v>
      </c>
      <c r="FJ354" s="12" t="s">
        <v>37</v>
      </c>
      <c r="FK354" s="12" t="s">
        <v>37</v>
      </c>
      <c r="FL354" s="12" t="s">
        <v>37</v>
      </c>
      <c r="FM354" s="12" t="s">
        <v>37</v>
      </c>
      <c r="FN354" s="12" t="s">
        <v>37</v>
      </c>
      <c r="FP354" s="12" t="s">
        <v>37</v>
      </c>
      <c r="FQ354" s="12" t="s">
        <v>37</v>
      </c>
      <c r="FR354" s="12" t="s">
        <v>37</v>
      </c>
      <c r="FS354" s="12" t="s">
        <v>37</v>
      </c>
      <c r="FT354" s="12" t="s">
        <v>37</v>
      </c>
      <c r="FU354" s="12" t="s">
        <v>37</v>
      </c>
      <c r="FW354" s="12" t="s">
        <v>37</v>
      </c>
      <c r="FX354" s="12" t="s">
        <v>37</v>
      </c>
      <c r="FY354" s="12" t="s">
        <v>37</v>
      </c>
      <c r="FZ354" s="12" t="s">
        <v>37</v>
      </c>
      <c r="GA354" s="12" t="s">
        <v>37</v>
      </c>
      <c r="GB354" s="12" t="s">
        <v>37</v>
      </c>
      <c r="IK354" s="12" t="s">
        <v>37</v>
      </c>
      <c r="IL354" s="12" t="s">
        <v>37</v>
      </c>
      <c r="IM354" s="12" t="s">
        <v>37</v>
      </c>
      <c r="IO354" s="12" t="s">
        <v>37</v>
      </c>
      <c r="IP354" s="12" t="s">
        <v>37</v>
      </c>
      <c r="IQ354" s="12" t="s">
        <v>37</v>
      </c>
      <c r="IW354" s="12" t="s">
        <v>37</v>
      </c>
      <c r="IX354" s="12" t="s">
        <v>37</v>
      </c>
      <c r="IY354" s="13" t="s">
        <v>37</v>
      </c>
      <c r="JA354" s="12" t="s">
        <v>37</v>
      </c>
      <c r="JB354" s="12" t="s">
        <v>37</v>
      </c>
      <c r="JC354" s="13" t="s">
        <v>37</v>
      </c>
      <c r="JH354" s="12" t="s">
        <v>37</v>
      </c>
      <c r="JI354" s="12" t="s">
        <v>37</v>
      </c>
      <c r="JJ354" s="13" t="s">
        <v>37</v>
      </c>
      <c r="JL354" s="12" t="s">
        <v>37</v>
      </c>
      <c r="JM354" s="12" t="s">
        <v>37</v>
      </c>
      <c r="JN354" s="12" t="s">
        <v>37</v>
      </c>
      <c r="JS354" s="12" t="s">
        <v>37</v>
      </c>
      <c r="JT354" s="12" t="s">
        <v>37</v>
      </c>
      <c r="JU354" s="13" t="s">
        <v>37</v>
      </c>
      <c r="JW354" s="12" t="s">
        <v>37</v>
      </c>
      <c r="JX354" s="12" t="s">
        <v>37</v>
      </c>
      <c r="JY354" s="12" t="s">
        <v>37</v>
      </c>
      <c r="KE354" s="12" t="s">
        <v>37</v>
      </c>
      <c r="KF354" s="12" t="s">
        <v>37</v>
      </c>
      <c r="KG354" s="13" t="s">
        <v>37</v>
      </c>
      <c r="KH354" s="12" t="s">
        <v>37</v>
      </c>
      <c r="KI354" s="12" t="s">
        <v>37</v>
      </c>
      <c r="KJ354" s="12" t="s">
        <v>37</v>
      </c>
      <c r="KM354" s="12" t="s">
        <v>37</v>
      </c>
      <c r="KN354" s="12" t="s">
        <v>37</v>
      </c>
      <c r="KO354" s="11" t="s">
        <v>37</v>
      </c>
      <c r="KQ354" s="12" t="s">
        <v>37</v>
      </c>
      <c r="KR354" s="12" t="s">
        <v>37</v>
      </c>
      <c r="KS354" s="12" t="s">
        <v>37</v>
      </c>
      <c r="KX354" s="12" t="s">
        <v>37</v>
      </c>
      <c r="KY354" s="12" t="s">
        <v>37</v>
      </c>
      <c r="KZ354" s="12" t="s">
        <v>37</v>
      </c>
      <c r="LB354" s="12" t="s">
        <v>37</v>
      </c>
      <c r="LC354" s="12" t="s">
        <v>37</v>
      </c>
      <c r="LD354" s="12" t="s">
        <v>37</v>
      </c>
      <c r="LI354" s="12" t="s">
        <v>37</v>
      </c>
      <c r="LJ354" s="12" t="s">
        <v>37</v>
      </c>
      <c r="LK354" s="12" t="s">
        <v>37</v>
      </c>
      <c r="LM354" s="12" t="s">
        <v>37</v>
      </c>
      <c r="LN354" s="12" t="s">
        <v>37</v>
      </c>
      <c r="LO354" s="12" t="s">
        <v>37</v>
      </c>
      <c r="LU354" s="12" t="s">
        <v>37</v>
      </c>
      <c r="LV354" s="12" t="s">
        <v>37</v>
      </c>
      <c r="LW354" s="12" t="s">
        <v>37</v>
      </c>
      <c r="LY354" s="12" t="s">
        <v>37</v>
      </c>
      <c r="LZ354" s="12" t="s">
        <v>37</v>
      </c>
      <c r="MA354" s="12" t="s">
        <v>37</v>
      </c>
      <c r="MF354" s="12" t="s">
        <v>37</v>
      </c>
      <c r="MG354" s="12" t="s">
        <v>37</v>
      </c>
      <c r="MH354" s="12" t="s">
        <v>37</v>
      </c>
      <c r="MJ354" s="12" t="s">
        <v>37</v>
      </c>
      <c r="MK354" s="12" t="s">
        <v>37</v>
      </c>
      <c r="ML354" s="12" t="s">
        <v>37</v>
      </c>
      <c r="MQ354" s="12" t="s">
        <v>37</v>
      </c>
      <c r="MR354" s="12" t="s">
        <v>37</v>
      </c>
      <c r="MS354" s="12" t="s">
        <v>37</v>
      </c>
      <c r="MU354" s="12" t="s">
        <v>37</v>
      </c>
      <c r="MV354" s="12" t="s">
        <v>37</v>
      </c>
      <c r="MW354" s="12" t="s">
        <v>37</v>
      </c>
      <c r="NC354" s="12" t="s">
        <v>37</v>
      </c>
      <c r="ND354" s="12" t="s">
        <v>37</v>
      </c>
      <c r="NE354" s="12" t="s">
        <v>37</v>
      </c>
      <c r="NG354" s="12" t="s">
        <v>37</v>
      </c>
      <c r="NH354" s="12" t="s">
        <v>37</v>
      </c>
      <c r="NI354" s="12" t="s">
        <v>37</v>
      </c>
      <c r="NO354" s="12" t="s">
        <v>37</v>
      </c>
      <c r="NP354" s="12" t="s">
        <v>37</v>
      </c>
      <c r="NQ354" s="12" t="s">
        <v>37</v>
      </c>
      <c r="NS354" s="12" t="s">
        <v>37</v>
      </c>
      <c r="NT354" s="12" t="s">
        <v>37</v>
      </c>
      <c r="NU354" s="12" t="s">
        <v>37</v>
      </c>
      <c r="OA354" s="12" t="s">
        <v>37</v>
      </c>
      <c r="OB354" s="12" t="s">
        <v>37</v>
      </c>
      <c r="OC354" s="12" t="s">
        <v>37</v>
      </c>
      <c r="OD354" s="12"/>
      <c r="OE354" s="12" t="s">
        <v>37</v>
      </c>
      <c r="OF354" s="12" t="s">
        <v>37</v>
      </c>
      <c r="OG354" s="12" t="s">
        <v>37</v>
      </c>
      <c r="OH354" s="12"/>
      <c r="OI354" s="12"/>
      <c r="OJ354" s="12"/>
      <c r="OM354" s="12" t="s">
        <v>37</v>
      </c>
      <c r="ON354" s="12" t="s">
        <v>37</v>
      </c>
      <c r="OO354" s="12" t="s">
        <v>37</v>
      </c>
      <c r="OP354" s="12" t="s">
        <v>37</v>
      </c>
      <c r="OQ354" s="12" t="s">
        <v>37</v>
      </c>
      <c r="OR354" s="12" t="s">
        <v>37</v>
      </c>
      <c r="OS354" s="12"/>
      <c r="OT354" s="12"/>
      <c r="OW354" s="12" t="s">
        <v>37</v>
      </c>
      <c r="OX354" s="12" t="s">
        <v>37</v>
      </c>
      <c r="OY354" s="13" t="s">
        <v>37</v>
      </c>
      <c r="OZ354" s="12" t="s">
        <v>37</v>
      </c>
      <c r="PA354" s="12" t="s">
        <v>37</v>
      </c>
      <c r="PB354" s="13" t="s">
        <v>37</v>
      </c>
      <c r="PG354" s="12" t="s">
        <v>37</v>
      </c>
      <c r="PH354" s="12" t="s">
        <v>37</v>
      </c>
      <c r="PI354" s="12" t="s">
        <v>37</v>
      </c>
      <c r="PJ354" s="12" t="s">
        <v>37</v>
      </c>
      <c r="PK354" s="12" t="s">
        <v>37</v>
      </c>
      <c r="PL354" s="12" t="s">
        <v>37</v>
      </c>
      <c r="PM354" s="12"/>
      <c r="PN354" s="12"/>
      <c r="PQ354" s="12" t="s">
        <v>37</v>
      </c>
      <c r="PR354" s="12" t="s">
        <v>37</v>
      </c>
      <c r="PS354" s="12" t="s">
        <v>37</v>
      </c>
      <c r="PT354" s="12" t="s">
        <v>37</v>
      </c>
      <c r="PU354" s="12" t="s">
        <v>37</v>
      </c>
      <c r="PV354" s="12" t="s">
        <v>37</v>
      </c>
      <c r="PW354" s="12"/>
      <c r="PX354" s="12"/>
      <c r="PZ354" s="12" t="s">
        <v>37</v>
      </c>
      <c r="QA354" s="12" t="s">
        <v>37</v>
      </c>
      <c r="QB354" s="12" t="s">
        <v>37</v>
      </c>
      <c r="QD354" s="12" t="s">
        <v>37</v>
      </c>
      <c r="QE354" s="12" t="s">
        <v>37</v>
      </c>
      <c r="QF354" s="12" t="s">
        <v>37</v>
      </c>
      <c r="QK354" s="12" t="s">
        <v>37</v>
      </c>
      <c r="QL354" s="12" t="s">
        <v>37</v>
      </c>
      <c r="QM354" s="12" t="s">
        <v>37</v>
      </c>
      <c r="QN354" s="12" t="s">
        <v>37</v>
      </c>
      <c r="QO354" s="12" t="s">
        <v>37</v>
      </c>
      <c r="QP354" s="12" t="s">
        <v>37</v>
      </c>
      <c r="QQ354" s="12"/>
      <c r="QR354" s="12"/>
      <c r="QU354" s="12" t="s">
        <v>37</v>
      </c>
      <c r="QV354" s="12" t="s">
        <v>37</v>
      </c>
      <c r="QW354" s="12" t="s">
        <v>37</v>
      </c>
      <c r="QX354" s="12" t="s">
        <v>37</v>
      </c>
      <c r="QY354" s="12" t="s">
        <v>37</v>
      </c>
      <c r="QZ354" s="12" t="s">
        <v>37</v>
      </c>
      <c r="RC354" s="12" t="s">
        <v>37</v>
      </c>
      <c r="RD354" s="12" t="s">
        <v>37</v>
      </c>
      <c r="RE354" s="13" t="s">
        <v>37</v>
      </c>
      <c r="RF354" s="12" t="s">
        <v>37</v>
      </c>
      <c r="RG354" s="12" t="s">
        <v>37</v>
      </c>
      <c r="RH354" s="13" t="s">
        <v>37</v>
      </c>
      <c r="RK354" s="12" t="s">
        <v>37</v>
      </c>
      <c r="RL354" s="12" t="s">
        <v>37</v>
      </c>
      <c r="RM354" s="11" t="s">
        <v>37</v>
      </c>
      <c r="RN354" s="12" t="s">
        <v>37</v>
      </c>
      <c r="RO354" s="12" t="s">
        <v>37</v>
      </c>
      <c r="RP354" s="11" t="s">
        <v>37</v>
      </c>
      <c r="RS354" s="12" t="s">
        <v>37</v>
      </c>
      <c r="RT354" s="12" t="s">
        <v>37</v>
      </c>
      <c r="RU354" s="12" t="s">
        <v>37</v>
      </c>
      <c r="RV354" s="12" t="s">
        <v>37</v>
      </c>
      <c r="RW354" s="12" t="s">
        <v>37</v>
      </c>
      <c r="RX354" s="12" t="s">
        <v>37</v>
      </c>
      <c r="SA354" s="12" t="s">
        <v>37</v>
      </c>
      <c r="SB354" s="12" t="s">
        <v>37</v>
      </c>
      <c r="SC354" s="12" t="s">
        <v>37</v>
      </c>
      <c r="SD354" s="12" t="s">
        <v>37</v>
      </c>
      <c r="SE354" s="12" t="s">
        <v>37</v>
      </c>
      <c r="SF354" s="12" t="s">
        <v>37</v>
      </c>
      <c r="SI354" s="12" t="s">
        <v>37</v>
      </c>
      <c r="SJ354" s="12" t="s">
        <v>37</v>
      </c>
      <c r="SK354" s="13" t="s">
        <v>37</v>
      </c>
      <c r="SM354" s="12" t="s">
        <v>37</v>
      </c>
      <c r="SN354" s="12" t="s">
        <v>37</v>
      </c>
      <c r="SO354" s="13" t="s">
        <v>37</v>
      </c>
      <c r="SU354" s="12" t="s">
        <v>37</v>
      </c>
      <c r="SV354" s="12" t="s">
        <v>37</v>
      </c>
      <c r="SW354" s="12" t="s">
        <v>37</v>
      </c>
      <c r="SX354" s="12" t="s">
        <v>37</v>
      </c>
      <c r="SY354" s="12" t="s">
        <v>37</v>
      </c>
      <c r="SZ354" s="12" t="s">
        <v>37</v>
      </c>
      <c r="TA354" s="12"/>
      <c r="TB354" s="12"/>
      <c r="TE354" s="12" t="s">
        <v>37</v>
      </c>
      <c r="TF354" s="12" t="s">
        <v>37</v>
      </c>
      <c r="TG354" s="12" t="s">
        <v>37</v>
      </c>
      <c r="TH354" s="12" t="s">
        <v>37</v>
      </c>
      <c r="TI354" s="12" t="s">
        <v>37</v>
      </c>
      <c r="TJ354" s="12" t="s">
        <v>37</v>
      </c>
      <c r="TK354" s="12"/>
      <c r="TL354" s="12"/>
      <c r="TO354" s="12" t="s">
        <v>37</v>
      </c>
      <c r="TP354" s="12" t="s">
        <v>37</v>
      </c>
      <c r="TQ354" s="12" t="s">
        <v>37</v>
      </c>
      <c r="TR354" s="12" t="s">
        <v>37</v>
      </c>
      <c r="TS354" s="12" t="s">
        <v>37</v>
      </c>
      <c r="TT354" s="12" t="s">
        <v>37</v>
      </c>
      <c r="TU354" s="12"/>
      <c r="TV354" s="12"/>
      <c r="TY354" s="12" t="s">
        <v>37</v>
      </c>
      <c r="TZ354" s="12" t="s">
        <v>37</v>
      </c>
      <c r="UA354" s="12" t="s">
        <v>37</v>
      </c>
      <c r="UB354" s="12" t="s">
        <v>37</v>
      </c>
      <c r="UC354" s="12" t="s">
        <v>37</v>
      </c>
      <c r="UD354" s="12" t="s">
        <v>37</v>
      </c>
      <c r="UE354" s="12"/>
      <c r="UF354" s="12"/>
      <c r="UI354" s="12" t="s">
        <v>37</v>
      </c>
      <c r="UJ354" s="12" t="s">
        <v>37</v>
      </c>
      <c r="UK354" s="12" t="s">
        <v>37</v>
      </c>
      <c r="UL354" s="12" t="s">
        <v>37</v>
      </c>
      <c r="UM354" s="12" t="s">
        <v>37</v>
      </c>
      <c r="UN354" s="12" t="s">
        <v>37</v>
      </c>
      <c r="UO354" s="12"/>
      <c r="UP354" s="12"/>
      <c r="UR354" s="12" t="s">
        <v>37</v>
      </c>
      <c r="US354" s="12" t="s">
        <v>37</v>
      </c>
      <c r="UT354" s="12" t="s">
        <v>37</v>
      </c>
      <c r="UU354" s="12" t="s">
        <v>37</v>
      </c>
      <c r="UV354" s="12" t="s">
        <v>37</v>
      </c>
      <c r="UW354" s="12" t="s">
        <v>37</v>
      </c>
      <c r="UX354" s="12"/>
      <c r="UY354" s="12"/>
      <c r="VB354" s="12" t="s">
        <v>37</v>
      </c>
      <c r="VC354" s="12" t="s">
        <v>37</v>
      </c>
      <c r="VD354" s="12" t="s">
        <v>37</v>
      </c>
      <c r="VE354" s="12" t="s">
        <v>37</v>
      </c>
      <c r="VF354" s="12" t="s">
        <v>37</v>
      </c>
      <c r="VG354" s="12" t="s">
        <v>37</v>
      </c>
      <c r="VI354" s="12" t="s">
        <v>37</v>
      </c>
      <c r="VJ354" s="12" t="s">
        <v>37</v>
      </c>
      <c r="VK354" s="12" t="s">
        <v>37</v>
      </c>
      <c r="VL354" s="12" t="s">
        <v>37</v>
      </c>
      <c r="VM354" s="12" t="s">
        <v>37</v>
      </c>
      <c r="VN354" s="12" t="s">
        <v>37</v>
      </c>
      <c r="VQ354" s="12" t="s">
        <v>37</v>
      </c>
      <c r="VR354" s="12" t="s">
        <v>37</v>
      </c>
      <c r="VS354" s="12" t="s">
        <v>37</v>
      </c>
      <c r="VT354" s="12" t="s">
        <v>37</v>
      </c>
      <c r="VU354" s="12" t="s">
        <v>37</v>
      </c>
      <c r="VV354" s="12" t="s">
        <v>37</v>
      </c>
      <c r="VW354" s="12"/>
      <c r="VX354" s="12"/>
      <c r="WA354" s="12" t="s">
        <v>37</v>
      </c>
      <c r="WB354" s="12" t="s">
        <v>37</v>
      </c>
      <c r="WC354" s="12" t="s">
        <v>37</v>
      </c>
      <c r="WD354" s="12" t="s">
        <v>37</v>
      </c>
      <c r="WE354" s="12" t="s">
        <v>37</v>
      </c>
      <c r="WF354" s="12" t="s">
        <v>37</v>
      </c>
    </row>
    <row r="355" spans="1:604" ht="18" customHeight="1" x14ac:dyDescent="0.3">
      <c r="A355" s="11">
        <v>76</v>
      </c>
      <c r="B355" s="16" t="s">
        <v>938</v>
      </c>
      <c r="C355" s="12" t="s">
        <v>26</v>
      </c>
      <c r="D355" s="12" t="s">
        <v>54</v>
      </c>
      <c r="E355" s="40" t="s">
        <v>37</v>
      </c>
      <c r="F355" s="14">
        <v>0</v>
      </c>
      <c r="G355" s="14">
        <v>0</v>
      </c>
      <c r="H355" s="12" t="s">
        <v>145</v>
      </c>
      <c r="I355" s="29">
        <v>48.975999999999999</v>
      </c>
      <c r="J355" s="29">
        <v>13.459</v>
      </c>
      <c r="K355" s="12" t="s">
        <v>785</v>
      </c>
      <c r="L355" s="12" t="s">
        <v>786</v>
      </c>
      <c r="M355" s="13">
        <v>1200</v>
      </c>
      <c r="N355" s="14">
        <v>3.2</v>
      </c>
      <c r="O355" s="14">
        <v>1300</v>
      </c>
      <c r="P355" s="14" t="s">
        <v>16</v>
      </c>
      <c r="Q355" s="75">
        <v>50</v>
      </c>
      <c r="R355" s="11" t="s">
        <v>1000</v>
      </c>
      <c r="S355" s="12" t="s">
        <v>93</v>
      </c>
      <c r="T355" s="12" t="s">
        <v>141</v>
      </c>
      <c r="U355" s="12" t="s">
        <v>163</v>
      </c>
      <c r="V355" s="12" t="s">
        <v>275</v>
      </c>
      <c r="W355" s="23" t="s">
        <v>448</v>
      </c>
      <c r="X355" s="12" t="s">
        <v>282</v>
      </c>
      <c r="Y355" s="12" t="s">
        <v>37</v>
      </c>
      <c r="Z355" s="12" t="s">
        <v>37</v>
      </c>
      <c r="AB355" s="12" t="s">
        <v>37</v>
      </c>
      <c r="AE355" s="12" t="s">
        <v>37</v>
      </c>
      <c r="AH355" s="12" t="s">
        <v>37</v>
      </c>
      <c r="AK355" s="12" t="s">
        <v>37</v>
      </c>
      <c r="AL355" s="32" t="s">
        <v>447</v>
      </c>
      <c r="AM355" s="12" t="s">
        <v>317</v>
      </c>
      <c r="AN355" s="32" t="s">
        <v>880</v>
      </c>
      <c r="AO355" s="12" t="s">
        <v>37</v>
      </c>
      <c r="AP355" s="12" t="s">
        <v>167</v>
      </c>
      <c r="AQ355" s="12" t="s">
        <v>975</v>
      </c>
      <c r="AT355" s="12" t="s">
        <v>326</v>
      </c>
      <c r="AU355" s="12" t="s">
        <v>326</v>
      </c>
      <c r="AV355" s="13" t="s">
        <v>326</v>
      </c>
      <c r="AX355" s="12" t="s">
        <v>326</v>
      </c>
      <c r="AY355" s="12" t="s">
        <v>326</v>
      </c>
      <c r="AZ355" s="13" t="s">
        <v>326</v>
      </c>
      <c r="BE355" s="12" t="s">
        <v>326</v>
      </c>
      <c r="BF355" s="12" t="s">
        <v>326</v>
      </c>
      <c r="BG355" s="12" t="s">
        <v>326</v>
      </c>
      <c r="BI355" s="12" t="s">
        <v>326</v>
      </c>
      <c r="BJ355" s="12" t="s">
        <v>326</v>
      </c>
      <c r="BK355" s="12" t="s">
        <v>326</v>
      </c>
      <c r="BP355" s="12" t="s">
        <v>37</v>
      </c>
      <c r="BQ355" s="12" t="s">
        <v>37</v>
      </c>
      <c r="BR355" s="13" t="s">
        <v>37</v>
      </c>
      <c r="BT355" s="12" t="s">
        <v>37</v>
      </c>
      <c r="BU355" s="12" t="s">
        <v>37</v>
      </c>
      <c r="BV355" s="12" t="s">
        <v>37</v>
      </c>
      <c r="BZ355" s="12" t="s">
        <v>581</v>
      </c>
      <c r="CA355" s="12">
        <f>-567*10^4/10^3/'[6]classess-1'!$T$52</f>
        <v>-6328.9988329119469</v>
      </c>
      <c r="CB355" s="50">
        <f t="shared" si="1346"/>
        <v>1543.0761204956746</v>
      </c>
      <c r="CC355" s="13">
        <v>3</v>
      </c>
      <c r="CE355" s="12">
        <f>-604.1*10^4/10^3/'[6]classess-1'!$T$53</f>
        <v>-6508.7452571599624</v>
      </c>
      <c r="CF355" s="50">
        <f t="shared" si="1347"/>
        <v>2423.0047158648849</v>
      </c>
      <c r="CG355" s="13">
        <v>3</v>
      </c>
      <c r="CI355" s="75">
        <f t="shared" si="1323"/>
        <v>-179.7464242480155</v>
      </c>
      <c r="CJ355" s="12">
        <f t="shared" si="1324"/>
        <v>2031.2601712665285</v>
      </c>
      <c r="CK355" s="72">
        <f t="shared" si="1325"/>
        <v>2750678.5889158174</v>
      </c>
      <c r="CL355" s="72">
        <f t="shared" si="1326"/>
        <v>2750678.5889158179</v>
      </c>
      <c r="CM355" s="12" t="s">
        <v>581</v>
      </c>
      <c r="CN355" s="12">
        <f>388.9*10^4/10^3/'[6]classess-1'!$I$52</f>
        <v>5111.9658604723854</v>
      </c>
      <c r="CO355" s="50">
        <f t="shared" si="1348"/>
        <v>1470.3409867037487</v>
      </c>
      <c r="CP355" s="13">
        <v>3</v>
      </c>
      <c r="CR355" s="12">
        <f>444.1*10^4/10^3/'[6]classess-1'!$I$53</f>
        <v>5566.4186230898367</v>
      </c>
      <c r="CS355" s="50">
        <f t="shared" si="1349"/>
        <v>1460.579095151006</v>
      </c>
      <c r="CT355" s="13">
        <v>3</v>
      </c>
      <c r="CV355" s="75">
        <f t="shared" si="1329"/>
        <v>454.4527626174513</v>
      </c>
      <c r="CW355" s="12">
        <f t="shared" si="1330"/>
        <v>1465.4681692846632</v>
      </c>
      <c r="CX355" s="72">
        <f t="shared" si="1331"/>
        <v>1431731.3034576946</v>
      </c>
      <c r="CY355" s="72">
        <f t="shared" si="1332"/>
        <v>1431731.3034576951</v>
      </c>
      <c r="CZ355" s="12" t="s">
        <v>581</v>
      </c>
      <c r="DA355" s="12">
        <f t="shared" ref="DA355:DA358" si="1356">CA355+CN355</f>
        <v>-1217.0329724395615</v>
      </c>
      <c r="DB355" s="50">
        <f t="shared" si="1350"/>
        <v>3650.6809379157057</v>
      </c>
      <c r="DC355" s="13">
        <v>3</v>
      </c>
      <c r="DE355" s="12">
        <f t="shared" ref="DE355:DE359" si="1357">CE355+CR355</f>
        <v>-942.32663407012569</v>
      </c>
      <c r="DF355" s="50">
        <f t="shared" si="1351"/>
        <v>898.17184114068311</v>
      </c>
      <c r="DG355" s="13">
        <v>3</v>
      </c>
      <c r="DI355" s="19">
        <f t="shared" si="1335"/>
        <v>274.7063383694358</v>
      </c>
      <c r="DJ355" s="12">
        <f t="shared" si="1336"/>
        <v>2658.4002677060448</v>
      </c>
      <c r="DK355" s="72">
        <f t="shared" si="1337"/>
        <v>4711394.655559713</v>
      </c>
      <c r="DL355" s="72">
        <f t="shared" si="1338"/>
        <v>4711394.655559714</v>
      </c>
      <c r="DM355" s="12" t="s">
        <v>47</v>
      </c>
      <c r="DN355" s="19">
        <f>7.6*10^4/10^3/'[1]classes-1'!$I$36</f>
        <v>104.97588219692315</v>
      </c>
      <c r="DO355" s="50">
        <f t="shared" si="1352"/>
        <v>117.03543692264172</v>
      </c>
      <c r="DP355" s="13">
        <v>3</v>
      </c>
      <c r="DR355" s="19">
        <f>5.7*10^4/10^3/'[1]classes-1'!$I$39</f>
        <v>16.732012874581695</v>
      </c>
      <c r="DS355" s="50">
        <f t="shared" si="1353"/>
        <v>62.531151156862556</v>
      </c>
      <c r="DT355" s="13">
        <v>3</v>
      </c>
      <c r="DV355" s="19">
        <f t="shared" si="1354"/>
        <v>-88.243869322341453</v>
      </c>
      <c r="DW355" s="12">
        <f t="shared" si="1355"/>
        <v>93.828136400218568</v>
      </c>
      <c r="DX355" s="72">
        <f t="shared" ref="DX355:DX417" si="1358">(((DP355+DT355)/(DP355*DT355))*(((DP355-1)*DO355^2)+(DT355-1)*DS355^2)/(DP355+DT355-2))</f>
        <v>5869.1461202253467</v>
      </c>
      <c r="DY355" s="72">
        <f t="shared" ref="DY355:DY417" si="1359">(DO355^2/DP355)+(DS355^2/DT355)</f>
        <v>5869.1461202253486</v>
      </c>
      <c r="EA355" s="19" t="s">
        <v>37</v>
      </c>
      <c r="EB355" s="19" t="s">
        <v>37</v>
      </c>
      <c r="EC355" s="72" t="s">
        <v>37</v>
      </c>
      <c r="EE355" s="19" t="s">
        <v>37</v>
      </c>
      <c r="EF355" s="19" t="s">
        <v>37</v>
      </c>
      <c r="EG355" s="12" t="s">
        <v>37</v>
      </c>
      <c r="EM355" s="12" t="s">
        <v>39</v>
      </c>
      <c r="EN355" s="12">
        <v>-10.6</v>
      </c>
      <c r="EO355" s="12">
        <v>7.7</v>
      </c>
      <c r="EP355" s="13">
        <v>3</v>
      </c>
      <c r="EQ355" s="19">
        <f t="shared" si="1341"/>
        <v>0.7264150943396227</v>
      </c>
      <c r="ER355" s="12">
        <v>-13.2</v>
      </c>
      <c r="ES355" s="12">
        <v>6.5</v>
      </c>
      <c r="ET355" s="13">
        <v>3</v>
      </c>
      <c r="EU355" s="19">
        <f t="shared" si="1342"/>
        <v>0.49242424242424243</v>
      </c>
      <c r="EV355" s="19">
        <f t="shared" si="1317"/>
        <v>-2.5999999999999996</v>
      </c>
      <c r="EW355" s="12">
        <f t="shared" si="1318"/>
        <v>7.1253070109294239</v>
      </c>
      <c r="EX355" s="19">
        <f t="shared" si="1319"/>
        <v>33.846666666666664</v>
      </c>
      <c r="EY355" s="19">
        <f t="shared" si="1320"/>
        <v>33.846666666666671</v>
      </c>
      <c r="FB355" s="12" t="s">
        <v>37</v>
      </c>
      <c r="FC355" s="12" t="s">
        <v>37</v>
      </c>
      <c r="FD355" s="12" t="s">
        <v>37</v>
      </c>
      <c r="FE355" s="12" t="s">
        <v>37</v>
      </c>
      <c r="FF355" s="20" t="s">
        <v>37</v>
      </c>
      <c r="FG355" s="12" t="s">
        <v>37</v>
      </c>
      <c r="FI355" s="12" t="s">
        <v>37</v>
      </c>
      <c r="FJ355" s="12" t="s">
        <v>37</v>
      </c>
      <c r="FK355" s="12" t="s">
        <v>37</v>
      </c>
      <c r="FL355" s="12" t="s">
        <v>37</v>
      </c>
      <c r="FM355" s="12" t="s">
        <v>37</v>
      </c>
      <c r="FN355" s="12" t="s">
        <v>37</v>
      </c>
      <c r="FP355" s="12" t="s">
        <v>37</v>
      </c>
      <c r="FQ355" s="12" t="s">
        <v>37</v>
      </c>
      <c r="FR355" s="12" t="s">
        <v>37</v>
      </c>
      <c r="FS355" s="12" t="s">
        <v>37</v>
      </c>
      <c r="FT355" s="12" t="s">
        <v>37</v>
      </c>
      <c r="FU355" s="12" t="s">
        <v>37</v>
      </c>
      <c r="FW355" s="12" t="s">
        <v>37</v>
      </c>
      <c r="FX355" s="12" t="s">
        <v>37</v>
      </c>
      <c r="FY355" s="12" t="s">
        <v>37</v>
      </c>
      <c r="FZ355" s="12" t="s">
        <v>37</v>
      </c>
      <c r="GA355" s="12" t="s">
        <v>37</v>
      </c>
      <c r="GB355" s="12" t="s">
        <v>37</v>
      </c>
      <c r="IK355" s="12" t="s">
        <v>37</v>
      </c>
      <c r="IL355" s="12" t="s">
        <v>37</v>
      </c>
      <c r="IM355" s="12" t="s">
        <v>37</v>
      </c>
      <c r="IO355" s="12" t="s">
        <v>37</v>
      </c>
      <c r="IP355" s="12" t="s">
        <v>37</v>
      </c>
      <c r="IQ355" s="12" t="s">
        <v>37</v>
      </c>
      <c r="IW355" s="12" t="s">
        <v>37</v>
      </c>
      <c r="IX355" s="12" t="s">
        <v>37</v>
      </c>
      <c r="IY355" s="13" t="s">
        <v>37</v>
      </c>
      <c r="JA355" s="12" t="s">
        <v>37</v>
      </c>
      <c r="JB355" s="12" t="s">
        <v>37</v>
      </c>
      <c r="JC355" s="13" t="s">
        <v>37</v>
      </c>
      <c r="JH355" s="12" t="s">
        <v>37</v>
      </c>
      <c r="JI355" s="12" t="s">
        <v>37</v>
      </c>
      <c r="JJ355" s="13" t="s">
        <v>37</v>
      </c>
      <c r="JL355" s="12" t="s">
        <v>37</v>
      </c>
      <c r="JM355" s="12" t="s">
        <v>37</v>
      </c>
      <c r="JN355" s="12" t="s">
        <v>37</v>
      </c>
      <c r="JS355" s="12" t="s">
        <v>37</v>
      </c>
      <c r="JT355" s="12" t="s">
        <v>37</v>
      </c>
      <c r="JU355" s="13" t="s">
        <v>37</v>
      </c>
      <c r="JW355" s="12" t="s">
        <v>37</v>
      </c>
      <c r="JX355" s="12" t="s">
        <v>37</v>
      </c>
      <c r="JY355" s="12" t="s">
        <v>37</v>
      </c>
      <c r="KE355" s="12" t="s">
        <v>37</v>
      </c>
      <c r="KF355" s="12" t="s">
        <v>37</v>
      </c>
      <c r="KG355" s="13" t="s">
        <v>37</v>
      </c>
      <c r="KH355" s="12" t="s">
        <v>37</v>
      </c>
      <c r="KI355" s="12" t="s">
        <v>37</v>
      </c>
      <c r="KJ355" s="12" t="s">
        <v>37</v>
      </c>
      <c r="KM355" s="12" t="s">
        <v>37</v>
      </c>
      <c r="KN355" s="12" t="s">
        <v>37</v>
      </c>
      <c r="KO355" s="11" t="s">
        <v>37</v>
      </c>
      <c r="KQ355" s="12" t="s">
        <v>37</v>
      </c>
      <c r="KR355" s="12" t="s">
        <v>37</v>
      </c>
      <c r="KS355" s="12" t="s">
        <v>37</v>
      </c>
      <c r="KX355" s="12" t="s">
        <v>37</v>
      </c>
      <c r="KY355" s="12" t="s">
        <v>37</v>
      </c>
      <c r="KZ355" s="12" t="s">
        <v>37</v>
      </c>
      <c r="LB355" s="12" t="s">
        <v>37</v>
      </c>
      <c r="LC355" s="12" t="s">
        <v>37</v>
      </c>
      <c r="LD355" s="12" t="s">
        <v>37</v>
      </c>
      <c r="LI355" s="12" t="s">
        <v>37</v>
      </c>
      <c r="LJ355" s="12" t="s">
        <v>37</v>
      </c>
      <c r="LK355" s="12" t="s">
        <v>37</v>
      </c>
      <c r="LM355" s="12" t="s">
        <v>37</v>
      </c>
      <c r="LN355" s="12" t="s">
        <v>37</v>
      </c>
      <c r="LO355" s="12" t="s">
        <v>37</v>
      </c>
      <c r="LU355" s="12" t="s">
        <v>37</v>
      </c>
      <c r="LV355" s="12" t="s">
        <v>37</v>
      </c>
      <c r="LW355" s="12" t="s">
        <v>37</v>
      </c>
      <c r="LY355" s="12" t="s">
        <v>37</v>
      </c>
      <c r="LZ355" s="12" t="s">
        <v>37</v>
      </c>
      <c r="MA355" s="12" t="s">
        <v>37</v>
      </c>
      <c r="MF355" s="12" t="s">
        <v>37</v>
      </c>
      <c r="MG355" s="12" t="s">
        <v>37</v>
      </c>
      <c r="MH355" s="12" t="s">
        <v>37</v>
      </c>
      <c r="MJ355" s="12" t="s">
        <v>37</v>
      </c>
      <c r="MK355" s="12" t="s">
        <v>37</v>
      </c>
      <c r="ML355" s="12" t="s">
        <v>37</v>
      </c>
      <c r="MQ355" s="12" t="s">
        <v>37</v>
      </c>
      <c r="MR355" s="12" t="s">
        <v>37</v>
      </c>
      <c r="MS355" s="12" t="s">
        <v>37</v>
      </c>
      <c r="MU355" s="12" t="s">
        <v>37</v>
      </c>
      <c r="MV355" s="12" t="s">
        <v>37</v>
      </c>
      <c r="MW355" s="12" t="s">
        <v>37</v>
      </c>
      <c r="NC355" s="12" t="s">
        <v>37</v>
      </c>
      <c r="ND355" s="12" t="s">
        <v>37</v>
      </c>
      <c r="NE355" s="12" t="s">
        <v>37</v>
      </c>
      <c r="NG355" s="12" t="s">
        <v>37</v>
      </c>
      <c r="NH355" s="12" t="s">
        <v>37</v>
      </c>
      <c r="NI355" s="12" t="s">
        <v>37</v>
      </c>
      <c r="NO355" s="12" t="s">
        <v>37</v>
      </c>
      <c r="NP355" s="12" t="s">
        <v>37</v>
      </c>
      <c r="NQ355" s="12" t="s">
        <v>37</v>
      </c>
      <c r="NS355" s="12" t="s">
        <v>37</v>
      </c>
      <c r="NT355" s="12" t="s">
        <v>37</v>
      </c>
      <c r="NU355" s="12" t="s">
        <v>37</v>
      </c>
      <c r="OA355" s="12" t="s">
        <v>37</v>
      </c>
      <c r="OB355" s="12" t="s">
        <v>37</v>
      </c>
      <c r="OC355" s="12" t="s">
        <v>37</v>
      </c>
      <c r="OD355" s="12"/>
      <c r="OE355" s="12" t="s">
        <v>37</v>
      </c>
      <c r="OF355" s="12" t="s">
        <v>37</v>
      </c>
      <c r="OG355" s="12" t="s">
        <v>37</v>
      </c>
      <c r="OH355" s="12"/>
      <c r="OI355" s="12"/>
      <c r="OJ355" s="12"/>
      <c r="OM355" s="12" t="s">
        <v>37</v>
      </c>
      <c r="ON355" s="12" t="s">
        <v>37</v>
      </c>
      <c r="OO355" s="12" t="s">
        <v>37</v>
      </c>
      <c r="OP355" s="12" t="s">
        <v>37</v>
      </c>
      <c r="OQ355" s="12" t="s">
        <v>37</v>
      </c>
      <c r="OR355" s="12" t="s">
        <v>37</v>
      </c>
      <c r="OS355" s="12"/>
      <c r="OT355" s="12"/>
      <c r="OW355" s="12" t="s">
        <v>37</v>
      </c>
      <c r="OX355" s="12" t="s">
        <v>37</v>
      </c>
      <c r="OY355" s="13" t="s">
        <v>37</v>
      </c>
      <c r="OZ355" s="12" t="s">
        <v>37</v>
      </c>
      <c r="PA355" s="12" t="s">
        <v>37</v>
      </c>
      <c r="PB355" s="13" t="s">
        <v>37</v>
      </c>
      <c r="PG355" s="12" t="s">
        <v>37</v>
      </c>
      <c r="PH355" s="12" t="s">
        <v>37</v>
      </c>
      <c r="PI355" s="12" t="s">
        <v>37</v>
      </c>
      <c r="PJ355" s="12" t="s">
        <v>37</v>
      </c>
      <c r="PK355" s="12" t="s">
        <v>37</v>
      </c>
      <c r="PL355" s="12" t="s">
        <v>37</v>
      </c>
      <c r="PM355" s="12"/>
      <c r="PN355" s="12"/>
      <c r="PQ355" s="12" t="s">
        <v>37</v>
      </c>
      <c r="PR355" s="12" t="s">
        <v>37</v>
      </c>
      <c r="PS355" s="12" t="s">
        <v>37</v>
      </c>
      <c r="PT355" s="12" t="s">
        <v>37</v>
      </c>
      <c r="PU355" s="12" t="s">
        <v>37</v>
      </c>
      <c r="PV355" s="12" t="s">
        <v>37</v>
      </c>
      <c r="PW355" s="12"/>
      <c r="PX355" s="12"/>
      <c r="PZ355" s="12" t="s">
        <v>37</v>
      </c>
      <c r="QA355" s="12" t="s">
        <v>37</v>
      </c>
      <c r="QB355" s="12" t="s">
        <v>37</v>
      </c>
      <c r="QD355" s="12" t="s">
        <v>37</v>
      </c>
      <c r="QE355" s="12" t="s">
        <v>37</v>
      </c>
      <c r="QF355" s="12" t="s">
        <v>37</v>
      </c>
      <c r="QK355" s="12" t="s">
        <v>37</v>
      </c>
      <c r="QL355" s="12" t="s">
        <v>37</v>
      </c>
      <c r="QM355" s="12" t="s">
        <v>37</v>
      </c>
      <c r="QN355" s="12" t="s">
        <v>37</v>
      </c>
      <c r="QO355" s="12" t="s">
        <v>37</v>
      </c>
      <c r="QP355" s="12" t="s">
        <v>37</v>
      </c>
      <c r="QQ355" s="12"/>
      <c r="QR355" s="12"/>
      <c r="QU355" s="12" t="s">
        <v>37</v>
      </c>
      <c r="QV355" s="12" t="s">
        <v>37</v>
      </c>
      <c r="QW355" s="12" t="s">
        <v>37</v>
      </c>
      <c r="QX355" s="12" t="s">
        <v>37</v>
      </c>
      <c r="QY355" s="12" t="s">
        <v>37</v>
      </c>
      <c r="QZ355" s="12" t="s">
        <v>37</v>
      </c>
      <c r="RC355" s="12" t="s">
        <v>37</v>
      </c>
      <c r="RD355" s="12" t="s">
        <v>37</v>
      </c>
      <c r="RE355" s="13" t="s">
        <v>37</v>
      </c>
      <c r="RF355" s="12" t="s">
        <v>37</v>
      </c>
      <c r="RG355" s="12" t="s">
        <v>37</v>
      </c>
      <c r="RH355" s="13" t="s">
        <v>37</v>
      </c>
      <c r="RK355" s="12" t="s">
        <v>37</v>
      </c>
      <c r="RL355" s="12" t="s">
        <v>37</v>
      </c>
      <c r="RM355" s="11" t="s">
        <v>37</v>
      </c>
      <c r="RN355" s="12" t="s">
        <v>37</v>
      </c>
      <c r="RO355" s="12" t="s">
        <v>37</v>
      </c>
      <c r="RP355" s="11" t="s">
        <v>37</v>
      </c>
      <c r="RS355" s="12" t="s">
        <v>37</v>
      </c>
      <c r="RT355" s="12" t="s">
        <v>37</v>
      </c>
      <c r="RU355" s="12" t="s">
        <v>37</v>
      </c>
      <c r="RV355" s="12" t="s">
        <v>37</v>
      </c>
      <c r="RW355" s="12" t="s">
        <v>37</v>
      </c>
      <c r="RX355" s="12" t="s">
        <v>37</v>
      </c>
      <c r="SA355" s="12" t="s">
        <v>37</v>
      </c>
      <c r="SB355" s="12" t="s">
        <v>37</v>
      </c>
      <c r="SC355" s="12" t="s">
        <v>37</v>
      </c>
      <c r="SD355" s="12" t="s">
        <v>37</v>
      </c>
      <c r="SE355" s="12" t="s">
        <v>37</v>
      </c>
      <c r="SF355" s="12" t="s">
        <v>37</v>
      </c>
      <c r="SI355" s="12" t="s">
        <v>37</v>
      </c>
      <c r="SJ355" s="12" t="s">
        <v>37</v>
      </c>
      <c r="SK355" s="13" t="s">
        <v>37</v>
      </c>
      <c r="SM355" s="12" t="s">
        <v>37</v>
      </c>
      <c r="SN355" s="12" t="s">
        <v>37</v>
      </c>
      <c r="SO355" s="13" t="s">
        <v>37</v>
      </c>
      <c r="SU355" s="12" t="s">
        <v>37</v>
      </c>
      <c r="SV355" s="12" t="s">
        <v>37</v>
      </c>
      <c r="SW355" s="12" t="s">
        <v>37</v>
      </c>
      <c r="SX355" s="12" t="s">
        <v>37</v>
      </c>
      <c r="SY355" s="12" t="s">
        <v>37</v>
      </c>
      <c r="SZ355" s="12" t="s">
        <v>37</v>
      </c>
      <c r="TA355" s="12"/>
      <c r="TB355" s="12"/>
      <c r="TE355" s="12" t="s">
        <v>37</v>
      </c>
      <c r="TF355" s="12" t="s">
        <v>37</v>
      </c>
      <c r="TG355" s="12" t="s">
        <v>37</v>
      </c>
      <c r="TH355" s="12" t="s">
        <v>37</v>
      </c>
      <c r="TI355" s="12" t="s">
        <v>37</v>
      </c>
      <c r="TJ355" s="12" t="s">
        <v>37</v>
      </c>
      <c r="TK355" s="12"/>
      <c r="TL355" s="12"/>
      <c r="TO355" s="12" t="s">
        <v>37</v>
      </c>
      <c r="TP355" s="12" t="s">
        <v>37</v>
      </c>
      <c r="TQ355" s="12" t="s">
        <v>37</v>
      </c>
      <c r="TR355" s="12" t="s">
        <v>37</v>
      </c>
      <c r="TS355" s="12" t="s">
        <v>37</v>
      </c>
      <c r="TT355" s="12" t="s">
        <v>37</v>
      </c>
      <c r="TU355" s="12"/>
      <c r="TV355" s="12"/>
      <c r="TY355" s="12" t="s">
        <v>37</v>
      </c>
      <c r="TZ355" s="12" t="s">
        <v>37</v>
      </c>
      <c r="UA355" s="12" t="s">
        <v>37</v>
      </c>
      <c r="UB355" s="12" t="s">
        <v>37</v>
      </c>
      <c r="UC355" s="12" t="s">
        <v>37</v>
      </c>
      <c r="UD355" s="12" t="s">
        <v>37</v>
      </c>
      <c r="UE355" s="12"/>
      <c r="UF355" s="12"/>
      <c r="UI355" s="12" t="s">
        <v>37</v>
      </c>
      <c r="UJ355" s="12" t="s">
        <v>37</v>
      </c>
      <c r="UK355" s="12" t="s">
        <v>37</v>
      </c>
      <c r="UL355" s="12" t="s">
        <v>37</v>
      </c>
      <c r="UM355" s="12" t="s">
        <v>37</v>
      </c>
      <c r="UN355" s="12" t="s">
        <v>37</v>
      </c>
      <c r="UO355" s="12"/>
      <c r="UP355" s="12"/>
      <c r="UR355" s="12" t="s">
        <v>37</v>
      </c>
      <c r="US355" s="12" t="s">
        <v>37</v>
      </c>
      <c r="UT355" s="12" t="s">
        <v>37</v>
      </c>
      <c r="UU355" s="12" t="s">
        <v>37</v>
      </c>
      <c r="UV355" s="12" t="s">
        <v>37</v>
      </c>
      <c r="UW355" s="12" t="s">
        <v>37</v>
      </c>
      <c r="UX355" s="12"/>
      <c r="UY355" s="12"/>
      <c r="VB355" s="12" t="s">
        <v>37</v>
      </c>
      <c r="VC355" s="12" t="s">
        <v>37</v>
      </c>
      <c r="VD355" s="12" t="s">
        <v>37</v>
      </c>
      <c r="VE355" s="12" t="s">
        <v>37</v>
      </c>
      <c r="VF355" s="12" t="s">
        <v>37</v>
      </c>
      <c r="VG355" s="12" t="s">
        <v>37</v>
      </c>
      <c r="VI355" s="12" t="s">
        <v>37</v>
      </c>
      <c r="VJ355" s="12" t="s">
        <v>37</v>
      </c>
      <c r="VK355" s="12" t="s">
        <v>37</v>
      </c>
      <c r="VL355" s="12" t="s">
        <v>37</v>
      </c>
      <c r="VM355" s="12" t="s">
        <v>37</v>
      </c>
      <c r="VN355" s="12" t="s">
        <v>37</v>
      </c>
      <c r="VQ355" s="12" t="s">
        <v>37</v>
      </c>
      <c r="VR355" s="12" t="s">
        <v>37</v>
      </c>
      <c r="VS355" s="12" t="s">
        <v>37</v>
      </c>
      <c r="VT355" s="12" t="s">
        <v>37</v>
      </c>
      <c r="VU355" s="12" t="s">
        <v>37</v>
      </c>
      <c r="VV355" s="12" t="s">
        <v>37</v>
      </c>
      <c r="VW355" s="12"/>
      <c r="VX355" s="12"/>
      <c r="WA355" s="12" t="s">
        <v>37</v>
      </c>
      <c r="WB355" s="12" t="s">
        <v>37</v>
      </c>
      <c r="WC355" s="12" t="s">
        <v>37</v>
      </c>
      <c r="WD355" s="12" t="s">
        <v>37</v>
      </c>
      <c r="WE355" s="12" t="s">
        <v>37</v>
      </c>
      <c r="WF355" s="12" t="s">
        <v>37</v>
      </c>
    </row>
    <row r="356" spans="1:604" ht="18" customHeight="1" x14ac:dyDescent="0.3">
      <c r="A356" s="11">
        <v>76</v>
      </c>
      <c r="B356" s="16" t="s">
        <v>938</v>
      </c>
      <c r="C356" s="12" t="s">
        <v>26</v>
      </c>
      <c r="D356" s="12" t="s">
        <v>54</v>
      </c>
      <c r="E356" s="40" t="s">
        <v>37</v>
      </c>
      <c r="F356" s="14">
        <v>0</v>
      </c>
      <c r="G356" s="14">
        <v>0</v>
      </c>
      <c r="H356" s="12" t="s">
        <v>145</v>
      </c>
      <c r="I356" s="29">
        <v>48.975999999999999</v>
      </c>
      <c r="J356" s="29">
        <v>13.459</v>
      </c>
      <c r="K356" s="12" t="s">
        <v>785</v>
      </c>
      <c r="L356" s="12" t="s">
        <v>786</v>
      </c>
      <c r="M356" s="13">
        <v>1200</v>
      </c>
      <c r="N356" s="14">
        <v>3.2</v>
      </c>
      <c r="O356" s="14">
        <v>1300</v>
      </c>
      <c r="P356" s="14" t="s">
        <v>16</v>
      </c>
      <c r="Q356" s="75">
        <v>50</v>
      </c>
      <c r="R356" s="11" t="s">
        <v>999</v>
      </c>
      <c r="S356" s="12" t="s">
        <v>93</v>
      </c>
      <c r="T356" s="12" t="s">
        <v>141</v>
      </c>
      <c r="U356" s="12" t="s">
        <v>163</v>
      </c>
      <c r="V356" s="12" t="s">
        <v>275</v>
      </c>
      <c r="W356" s="23" t="s">
        <v>448</v>
      </c>
      <c r="X356" s="12" t="s">
        <v>282</v>
      </c>
      <c r="Y356" s="12" t="s">
        <v>37</v>
      </c>
      <c r="Z356" s="12" t="s">
        <v>37</v>
      </c>
      <c r="AB356" s="12" t="s">
        <v>37</v>
      </c>
      <c r="AE356" s="12" t="s">
        <v>37</v>
      </c>
      <c r="AH356" s="12" t="s">
        <v>37</v>
      </c>
      <c r="AK356" s="12" t="s">
        <v>37</v>
      </c>
      <c r="AL356" s="32" t="s">
        <v>447</v>
      </c>
      <c r="AM356" s="12" t="s">
        <v>317</v>
      </c>
      <c r="AN356" s="32" t="s">
        <v>880</v>
      </c>
      <c r="AO356" s="12" t="s">
        <v>37</v>
      </c>
      <c r="AP356" s="12" t="s">
        <v>167</v>
      </c>
      <c r="AQ356" s="12" t="s">
        <v>975</v>
      </c>
      <c r="AT356" s="12" t="s">
        <v>326</v>
      </c>
      <c r="AU356" s="12" t="s">
        <v>326</v>
      </c>
      <c r="AV356" s="13" t="s">
        <v>326</v>
      </c>
      <c r="AX356" s="12" t="s">
        <v>326</v>
      </c>
      <c r="AY356" s="12" t="s">
        <v>326</v>
      </c>
      <c r="AZ356" s="13" t="s">
        <v>326</v>
      </c>
      <c r="BE356" s="12" t="s">
        <v>326</v>
      </c>
      <c r="BF356" s="12" t="s">
        <v>326</v>
      </c>
      <c r="BG356" s="12" t="s">
        <v>326</v>
      </c>
      <c r="BI356" s="12" t="s">
        <v>326</v>
      </c>
      <c r="BJ356" s="12" t="s">
        <v>326</v>
      </c>
      <c r="BK356" s="12" t="s">
        <v>326</v>
      </c>
      <c r="BP356" s="12" t="s">
        <v>37</v>
      </c>
      <c r="BQ356" s="12" t="s">
        <v>37</v>
      </c>
      <c r="BR356" s="13" t="s">
        <v>37</v>
      </c>
      <c r="BT356" s="12" t="s">
        <v>37</v>
      </c>
      <c r="BU356" s="12" t="s">
        <v>37</v>
      </c>
      <c r="BV356" s="12" t="s">
        <v>37</v>
      </c>
      <c r="BZ356" s="12" t="s">
        <v>581</v>
      </c>
      <c r="CA356" s="12">
        <f>-567*10^4/10^3/'[6]classess-1'!$T$52</f>
        <v>-6328.9988329119469</v>
      </c>
      <c r="CB356" s="50">
        <f t="shared" si="1346"/>
        <v>1543.0761204956746</v>
      </c>
      <c r="CC356" s="13">
        <v>3</v>
      </c>
      <c r="CE356" s="12">
        <f>-415.4*10^4/10^3/'[6]classess-1'!$T$53</f>
        <v>-4475.6377749118492</v>
      </c>
      <c r="CF356" s="50">
        <f t="shared" si="1347"/>
        <v>1666.1416304755389</v>
      </c>
      <c r="CG356" s="13">
        <v>3</v>
      </c>
      <c r="CI356" s="75">
        <f t="shared" si="1323"/>
        <v>1853.3610580000977</v>
      </c>
      <c r="CJ356" s="12">
        <f t="shared" si="1324"/>
        <v>1605.7882560362168</v>
      </c>
      <c r="CK356" s="72">
        <f t="shared" si="1325"/>
        <v>1719037.2821492229</v>
      </c>
      <c r="CL356" s="72">
        <f t="shared" si="1326"/>
        <v>1719037.2821492227</v>
      </c>
      <c r="CM356" s="12" t="s">
        <v>581</v>
      </c>
      <c r="CN356" s="12">
        <f>388.9*10^4/10^3/'[6]classess-1'!$I$52</f>
        <v>5111.9658604723854</v>
      </c>
      <c r="CO356" s="50">
        <f t="shared" si="1348"/>
        <v>1470.3409867037487</v>
      </c>
      <c r="CP356" s="13">
        <v>3</v>
      </c>
      <c r="CR356" s="12">
        <f>442.6*10^4/10^3/'[6]classess-1'!$I$53</f>
        <v>5547.6173892807064</v>
      </c>
      <c r="CS356" s="50">
        <f t="shared" si="1349"/>
        <v>1455.6458174146255</v>
      </c>
      <c r="CT356" s="13">
        <v>3</v>
      </c>
      <c r="CV356" s="75">
        <f t="shared" si="1329"/>
        <v>435.65152880832102</v>
      </c>
      <c r="CW356" s="12">
        <f t="shared" si="1330"/>
        <v>1463.0118528121441</v>
      </c>
      <c r="CX356" s="72">
        <f t="shared" si="1331"/>
        <v>1426935.787645882</v>
      </c>
      <c r="CY356" s="72">
        <f t="shared" si="1332"/>
        <v>1426935.787645882</v>
      </c>
      <c r="CZ356" s="12" t="s">
        <v>581</v>
      </c>
      <c r="DA356" s="12">
        <f t="shared" si="1356"/>
        <v>-1217.0329724395615</v>
      </c>
      <c r="DB356" s="50">
        <f t="shared" si="1350"/>
        <v>3650.6809379157057</v>
      </c>
      <c r="DC356" s="13">
        <v>3</v>
      </c>
      <c r="DE356" s="12">
        <f t="shared" si="1357"/>
        <v>1071.9796143688573</v>
      </c>
      <c r="DF356" s="50">
        <f t="shared" si="1351"/>
        <v>1021.7496450719074</v>
      </c>
      <c r="DG356" s="13">
        <v>3</v>
      </c>
      <c r="DI356" s="19">
        <f t="shared" si="1335"/>
        <v>2289.0125868084187</v>
      </c>
      <c r="DJ356" s="12">
        <f t="shared" si="1336"/>
        <v>2680.6196716119266</v>
      </c>
      <c r="DK356" s="72">
        <f t="shared" si="1337"/>
        <v>4790481.2158885542</v>
      </c>
      <c r="DL356" s="72">
        <f t="shared" si="1338"/>
        <v>4790481.2158885552</v>
      </c>
      <c r="DM356" s="12" t="s">
        <v>47</v>
      </c>
      <c r="DN356" s="19">
        <f>7.6*10^4/10^3/'[1]classes-1'!$I$36</f>
        <v>104.97588219692315</v>
      </c>
      <c r="DO356" s="50">
        <f t="shared" si="1352"/>
        <v>117.03543692264172</v>
      </c>
      <c r="DP356" s="13">
        <v>3</v>
      </c>
      <c r="DR356" s="19">
        <f>0*10^4/10^3/'[1]classes-1'!$I$39</f>
        <v>0</v>
      </c>
      <c r="DS356" s="50">
        <f t="shared" si="1353"/>
        <v>0</v>
      </c>
      <c r="DT356" s="13">
        <v>3</v>
      </c>
      <c r="DV356" s="19">
        <f t="shared" si="1354"/>
        <v>-104.97588219692315</v>
      </c>
      <c r="DW356" s="12">
        <f t="shared" si="1355"/>
        <v>82.756551087130404</v>
      </c>
      <c r="DX356" s="72">
        <f t="shared" si="1358"/>
        <v>4565.7644985578827</v>
      </c>
      <c r="DY356" s="72">
        <f t="shared" si="1359"/>
        <v>4565.7644985578836</v>
      </c>
      <c r="EA356" s="19" t="s">
        <v>37</v>
      </c>
      <c r="EB356" s="19" t="s">
        <v>37</v>
      </c>
      <c r="EC356" s="72" t="s">
        <v>37</v>
      </c>
      <c r="EE356" s="19" t="s">
        <v>37</v>
      </c>
      <c r="EF356" s="19" t="s">
        <v>37</v>
      </c>
      <c r="EG356" s="12" t="s">
        <v>37</v>
      </c>
      <c r="EM356" s="12" t="s">
        <v>39</v>
      </c>
      <c r="EN356" s="12">
        <v>-10.6</v>
      </c>
      <c r="EO356" s="12">
        <v>7.7</v>
      </c>
      <c r="EP356" s="13">
        <v>3</v>
      </c>
      <c r="EQ356" s="19">
        <f t="shared" si="1341"/>
        <v>0.7264150943396227</v>
      </c>
      <c r="ER356" s="12">
        <v>-53.1</v>
      </c>
      <c r="ES356" s="12">
        <v>10.3</v>
      </c>
      <c r="ET356" s="13">
        <v>1</v>
      </c>
      <c r="EU356" s="19">
        <f t="shared" si="1342"/>
        <v>0.19397363465160075</v>
      </c>
      <c r="EV356" s="19">
        <f t="shared" si="1317"/>
        <v>-42.5</v>
      </c>
      <c r="EW356" s="12">
        <f t="shared" si="1318"/>
        <v>7.7</v>
      </c>
      <c r="EX356" s="19">
        <f t="shared" si="1319"/>
        <v>79.053333333333342</v>
      </c>
      <c r="EY356" s="19">
        <f t="shared" si="1320"/>
        <v>125.85333333333335</v>
      </c>
      <c r="FB356" s="12" t="s">
        <v>37</v>
      </c>
      <c r="FC356" s="12" t="s">
        <v>37</v>
      </c>
      <c r="FD356" s="12" t="s">
        <v>37</v>
      </c>
      <c r="FE356" s="12" t="s">
        <v>37</v>
      </c>
      <c r="FF356" s="20" t="s">
        <v>37</v>
      </c>
      <c r="FG356" s="12" t="s">
        <v>37</v>
      </c>
      <c r="FI356" s="12" t="s">
        <v>37</v>
      </c>
      <c r="FJ356" s="12" t="s">
        <v>37</v>
      </c>
      <c r="FK356" s="12" t="s">
        <v>37</v>
      </c>
      <c r="FL356" s="12" t="s">
        <v>37</v>
      </c>
      <c r="FM356" s="12" t="s">
        <v>37</v>
      </c>
      <c r="FN356" s="12" t="s">
        <v>37</v>
      </c>
      <c r="FP356" s="12" t="s">
        <v>37</v>
      </c>
      <c r="FQ356" s="12" t="s">
        <v>37</v>
      </c>
      <c r="FR356" s="12" t="s">
        <v>37</v>
      </c>
      <c r="FS356" s="12" t="s">
        <v>37</v>
      </c>
      <c r="FT356" s="12" t="s">
        <v>37</v>
      </c>
      <c r="FU356" s="12" t="s">
        <v>37</v>
      </c>
      <c r="FW356" s="12" t="s">
        <v>37</v>
      </c>
      <c r="FX356" s="12" t="s">
        <v>37</v>
      </c>
      <c r="FY356" s="12" t="s">
        <v>37</v>
      </c>
      <c r="FZ356" s="12" t="s">
        <v>37</v>
      </c>
      <c r="GA356" s="12" t="s">
        <v>37</v>
      </c>
      <c r="GB356" s="12" t="s">
        <v>37</v>
      </c>
      <c r="IK356" s="12" t="s">
        <v>37</v>
      </c>
      <c r="IL356" s="12" t="s">
        <v>37</v>
      </c>
      <c r="IM356" s="12" t="s">
        <v>37</v>
      </c>
      <c r="IO356" s="12" t="s">
        <v>37</v>
      </c>
      <c r="IP356" s="12" t="s">
        <v>37</v>
      </c>
      <c r="IQ356" s="12" t="s">
        <v>37</v>
      </c>
      <c r="IW356" s="12" t="s">
        <v>37</v>
      </c>
      <c r="IX356" s="12" t="s">
        <v>37</v>
      </c>
      <c r="IY356" s="13" t="s">
        <v>37</v>
      </c>
      <c r="JA356" s="12" t="s">
        <v>37</v>
      </c>
      <c r="JB356" s="12" t="s">
        <v>37</v>
      </c>
      <c r="JC356" s="13" t="s">
        <v>37</v>
      </c>
      <c r="JH356" s="12" t="s">
        <v>37</v>
      </c>
      <c r="JI356" s="12" t="s">
        <v>37</v>
      </c>
      <c r="JJ356" s="13" t="s">
        <v>37</v>
      </c>
      <c r="JL356" s="12" t="s">
        <v>37</v>
      </c>
      <c r="JM356" s="12" t="s">
        <v>37</v>
      </c>
      <c r="JN356" s="12" t="s">
        <v>37</v>
      </c>
      <c r="JS356" s="12" t="s">
        <v>37</v>
      </c>
      <c r="JT356" s="12" t="s">
        <v>37</v>
      </c>
      <c r="JU356" s="13" t="s">
        <v>37</v>
      </c>
      <c r="JW356" s="12" t="s">
        <v>37</v>
      </c>
      <c r="JX356" s="12" t="s">
        <v>37</v>
      </c>
      <c r="JY356" s="12" t="s">
        <v>37</v>
      </c>
      <c r="KE356" s="12" t="s">
        <v>37</v>
      </c>
      <c r="KF356" s="12" t="s">
        <v>37</v>
      </c>
      <c r="KG356" s="13" t="s">
        <v>37</v>
      </c>
      <c r="KH356" s="12" t="s">
        <v>37</v>
      </c>
      <c r="KI356" s="12" t="s">
        <v>37</v>
      </c>
      <c r="KJ356" s="12" t="s">
        <v>37</v>
      </c>
      <c r="KM356" s="12" t="s">
        <v>37</v>
      </c>
      <c r="KN356" s="12" t="s">
        <v>37</v>
      </c>
      <c r="KO356" s="11" t="s">
        <v>37</v>
      </c>
      <c r="KQ356" s="12" t="s">
        <v>37</v>
      </c>
      <c r="KR356" s="12" t="s">
        <v>37</v>
      </c>
      <c r="KS356" s="12" t="s">
        <v>37</v>
      </c>
      <c r="KX356" s="12" t="s">
        <v>37</v>
      </c>
      <c r="KY356" s="12" t="s">
        <v>37</v>
      </c>
      <c r="KZ356" s="12" t="s">
        <v>37</v>
      </c>
      <c r="LB356" s="12" t="s">
        <v>37</v>
      </c>
      <c r="LC356" s="12" t="s">
        <v>37</v>
      </c>
      <c r="LD356" s="12" t="s">
        <v>37</v>
      </c>
      <c r="LI356" s="12" t="s">
        <v>37</v>
      </c>
      <c r="LJ356" s="12" t="s">
        <v>37</v>
      </c>
      <c r="LK356" s="12" t="s">
        <v>37</v>
      </c>
      <c r="LM356" s="12" t="s">
        <v>37</v>
      </c>
      <c r="LN356" s="12" t="s">
        <v>37</v>
      </c>
      <c r="LO356" s="12" t="s">
        <v>37</v>
      </c>
      <c r="LU356" s="12" t="s">
        <v>37</v>
      </c>
      <c r="LV356" s="12" t="s">
        <v>37</v>
      </c>
      <c r="LW356" s="12" t="s">
        <v>37</v>
      </c>
      <c r="LY356" s="12" t="s">
        <v>37</v>
      </c>
      <c r="LZ356" s="12" t="s">
        <v>37</v>
      </c>
      <c r="MA356" s="12" t="s">
        <v>37</v>
      </c>
      <c r="MF356" s="12" t="s">
        <v>37</v>
      </c>
      <c r="MG356" s="12" t="s">
        <v>37</v>
      </c>
      <c r="MH356" s="12" t="s">
        <v>37</v>
      </c>
      <c r="MJ356" s="12" t="s">
        <v>37</v>
      </c>
      <c r="MK356" s="12" t="s">
        <v>37</v>
      </c>
      <c r="ML356" s="12" t="s">
        <v>37</v>
      </c>
      <c r="MQ356" s="12" t="s">
        <v>37</v>
      </c>
      <c r="MR356" s="12" t="s">
        <v>37</v>
      </c>
      <c r="MS356" s="12" t="s">
        <v>37</v>
      </c>
      <c r="MU356" s="12" t="s">
        <v>37</v>
      </c>
      <c r="MV356" s="12" t="s">
        <v>37</v>
      </c>
      <c r="MW356" s="12" t="s">
        <v>37</v>
      </c>
      <c r="NC356" s="12" t="s">
        <v>37</v>
      </c>
      <c r="ND356" s="12" t="s">
        <v>37</v>
      </c>
      <c r="NE356" s="12" t="s">
        <v>37</v>
      </c>
      <c r="NG356" s="12" t="s">
        <v>37</v>
      </c>
      <c r="NH356" s="12" t="s">
        <v>37</v>
      </c>
      <c r="NI356" s="12" t="s">
        <v>37</v>
      </c>
      <c r="NO356" s="12" t="s">
        <v>37</v>
      </c>
      <c r="NP356" s="12" t="s">
        <v>37</v>
      </c>
      <c r="NQ356" s="12" t="s">
        <v>37</v>
      </c>
      <c r="NS356" s="12" t="s">
        <v>37</v>
      </c>
      <c r="NT356" s="12" t="s">
        <v>37</v>
      </c>
      <c r="NU356" s="12" t="s">
        <v>37</v>
      </c>
      <c r="OA356" s="12" t="s">
        <v>37</v>
      </c>
      <c r="OB356" s="12" t="s">
        <v>37</v>
      </c>
      <c r="OC356" s="12" t="s">
        <v>37</v>
      </c>
      <c r="OD356" s="12"/>
      <c r="OE356" s="12" t="s">
        <v>37</v>
      </c>
      <c r="OF356" s="12" t="s">
        <v>37</v>
      </c>
      <c r="OG356" s="12" t="s">
        <v>37</v>
      </c>
      <c r="OH356" s="12"/>
      <c r="OI356" s="12"/>
      <c r="OJ356" s="12"/>
      <c r="OM356" s="12" t="s">
        <v>37</v>
      </c>
      <c r="ON356" s="12" t="s">
        <v>37</v>
      </c>
      <c r="OO356" s="12" t="s">
        <v>37</v>
      </c>
      <c r="OP356" s="12" t="s">
        <v>37</v>
      </c>
      <c r="OQ356" s="12" t="s">
        <v>37</v>
      </c>
      <c r="OR356" s="12" t="s">
        <v>37</v>
      </c>
      <c r="OS356" s="12"/>
      <c r="OT356" s="12"/>
      <c r="OW356" s="12" t="s">
        <v>37</v>
      </c>
      <c r="OX356" s="12" t="s">
        <v>37</v>
      </c>
      <c r="OY356" s="13" t="s">
        <v>37</v>
      </c>
      <c r="OZ356" s="12" t="s">
        <v>37</v>
      </c>
      <c r="PA356" s="12" t="s">
        <v>37</v>
      </c>
      <c r="PB356" s="13" t="s">
        <v>37</v>
      </c>
      <c r="PG356" s="12" t="s">
        <v>37</v>
      </c>
      <c r="PH356" s="12" t="s">
        <v>37</v>
      </c>
      <c r="PI356" s="12" t="s">
        <v>37</v>
      </c>
      <c r="PJ356" s="12" t="s">
        <v>37</v>
      </c>
      <c r="PK356" s="12" t="s">
        <v>37</v>
      </c>
      <c r="PL356" s="12" t="s">
        <v>37</v>
      </c>
      <c r="PM356" s="12"/>
      <c r="PN356" s="12"/>
      <c r="PQ356" s="12" t="s">
        <v>37</v>
      </c>
      <c r="PR356" s="12" t="s">
        <v>37</v>
      </c>
      <c r="PS356" s="12" t="s">
        <v>37</v>
      </c>
      <c r="PT356" s="12" t="s">
        <v>37</v>
      </c>
      <c r="PU356" s="12" t="s">
        <v>37</v>
      </c>
      <c r="PV356" s="12" t="s">
        <v>37</v>
      </c>
      <c r="PW356" s="12"/>
      <c r="PX356" s="12"/>
      <c r="PZ356" s="12" t="s">
        <v>37</v>
      </c>
      <c r="QA356" s="12" t="s">
        <v>37</v>
      </c>
      <c r="QB356" s="12" t="s">
        <v>37</v>
      </c>
      <c r="QD356" s="12" t="s">
        <v>37</v>
      </c>
      <c r="QE356" s="12" t="s">
        <v>37</v>
      </c>
      <c r="QF356" s="12" t="s">
        <v>37</v>
      </c>
      <c r="QK356" s="12" t="s">
        <v>37</v>
      </c>
      <c r="QL356" s="12" t="s">
        <v>37</v>
      </c>
      <c r="QM356" s="12" t="s">
        <v>37</v>
      </c>
      <c r="QN356" s="12" t="s">
        <v>37</v>
      </c>
      <c r="QO356" s="12" t="s">
        <v>37</v>
      </c>
      <c r="QP356" s="12" t="s">
        <v>37</v>
      </c>
      <c r="QQ356" s="12"/>
      <c r="QR356" s="12"/>
      <c r="QU356" s="12" t="s">
        <v>37</v>
      </c>
      <c r="QV356" s="12" t="s">
        <v>37</v>
      </c>
      <c r="QW356" s="12" t="s">
        <v>37</v>
      </c>
      <c r="QX356" s="12" t="s">
        <v>37</v>
      </c>
      <c r="QY356" s="12" t="s">
        <v>37</v>
      </c>
      <c r="QZ356" s="12" t="s">
        <v>37</v>
      </c>
      <c r="RC356" s="12" t="s">
        <v>37</v>
      </c>
      <c r="RD356" s="12" t="s">
        <v>37</v>
      </c>
      <c r="RE356" s="13" t="s">
        <v>37</v>
      </c>
      <c r="RF356" s="12" t="s">
        <v>37</v>
      </c>
      <c r="RG356" s="12" t="s">
        <v>37</v>
      </c>
      <c r="RH356" s="13" t="s">
        <v>37</v>
      </c>
      <c r="RK356" s="12" t="s">
        <v>37</v>
      </c>
      <c r="RL356" s="12" t="s">
        <v>37</v>
      </c>
      <c r="RM356" s="11" t="s">
        <v>37</v>
      </c>
      <c r="RN356" s="12" t="s">
        <v>37</v>
      </c>
      <c r="RO356" s="12" t="s">
        <v>37</v>
      </c>
      <c r="RP356" s="11" t="s">
        <v>37</v>
      </c>
      <c r="RS356" s="12" t="s">
        <v>37</v>
      </c>
      <c r="RT356" s="12" t="s">
        <v>37</v>
      </c>
      <c r="RU356" s="12" t="s">
        <v>37</v>
      </c>
      <c r="RV356" s="12" t="s">
        <v>37</v>
      </c>
      <c r="RW356" s="12" t="s">
        <v>37</v>
      </c>
      <c r="RX356" s="12" t="s">
        <v>37</v>
      </c>
      <c r="SA356" s="12" t="s">
        <v>37</v>
      </c>
      <c r="SB356" s="12" t="s">
        <v>37</v>
      </c>
      <c r="SC356" s="12" t="s">
        <v>37</v>
      </c>
      <c r="SD356" s="12" t="s">
        <v>37</v>
      </c>
      <c r="SE356" s="12" t="s">
        <v>37</v>
      </c>
      <c r="SF356" s="12" t="s">
        <v>37</v>
      </c>
      <c r="SI356" s="12" t="s">
        <v>37</v>
      </c>
      <c r="SJ356" s="12" t="s">
        <v>37</v>
      </c>
      <c r="SK356" s="13" t="s">
        <v>37</v>
      </c>
      <c r="SM356" s="12" t="s">
        <v>37</v>
      </c>
      <c r="SN356" s="12" t="s">
        <v>37</v>
      </c>
      <c r="SO356" s="13" t="s">
        <v>37</v>
      </c>
      <c r="SU356" s="12" t="s">
        <v>37</v>
      </c>
      <c r="SV356" s="12" t="s">
        <v>37</v>
      </c>
      <c r="SW356" s="12" t="s">
        <v>37</v>
      </c>
      <c r="SX356" s="12" t="s">
        <v>37</v>
      </c>
      <c r="SY356" s="12" t="s">
        <v>37</v>
      </c>
      <c r="SZ356" s="12" t="s">
        <v>37</v>
      </c>
      <c r="TA356" s="12"/>
      <c r="TB356" s="12"/>
      <c r="TE356" s="12" t="s">
        <v>37</v>
      </c>
      <c r="TF356" s="12" t="s">
        <v>37</v>
      </c>
      <c r="TG356" s="12" t="s">
        <v>37</v>
      </c>
      <c r="TH356" s="12" t="s">
        <v>37</v>
      </c>
      <c r="TI356" s="12" t="s">
        <v>37</v>
      </c>
      <c r="TJ356" s="12" t="s">
        <v>37</v>
      </c>
      <c r="TK356" s="12"/>
      <c r="TL356" s="12"/>
      <c r="TO356" s="12" t="s">
        <v>37</v>
      </c>
      <c r="TP356" s="12" t="s">
        <v>37</v>
      </c>
      <c r="TQ356" s="12" t="s">
        <v>37</v>
      </c>
      <c r="TR356" s="12" t="s">
        <v>37</v>
      </c>
      <c r="TS356" s="12" t="s">
        <v>37</v>
      </c>
      <c r="TT356" s="12" t="s">
        <v>37</v>
      </c>
      <c r="TU356" s="12"/>
      <c r="TV356" s="12"/>
      <c r="TY356" s="12" t="s">
        <v>37</v>
      </c>
      <c r="TZ356" s="12" t="s">
        <v>37</v>
      </c>
      <c r="UA356" s="12" t="s">
        <v>37</v>
      </c>
      <c r="UB356" s="12" t="s">
        <v>37</v>
      </c>
      <c r="UC356" s="12" t="s">
        <v>37</v>
      </c>
      <c r="UD356" s="12" t="s">
        <v>37</v>
      </c>
      <c r="UE356" s="12"/>
      <c r="UF356" s="12"/>
      <c r="UI356" s="12" t="s">
        <v>37</v>
      </c>
      <c r="UJ356" s="12" t="s">
        <v>37</v>
      </c>
      <c r="UK356" s="12" t="s">
        <v>37</v>
      </c>
      <c r="UL356" s="12" t="s">
        <v>37</v>
      </c>
      <c r="UM356" s="12" t="s">
        <v>37</v>
      </c>
      <c r="UN356" s="12" t="s">
        <v>37</v>
      </c>
      <c r="UO356" s="12"/>
      <c r="UP356" s="12"/>
      <c r="UR356" s="12" t="s">
        <v>37</v>
      </c>
      <c r="US356" s="12" t="s">
        <v>37</v>
      </c>
      <c r="UT356" s="12" t="s">
        <v>37</v>
      </c>
      <c r="UU356" s="12" t="s">
        <v>37</v>
      </c>
      <c r="UV356" s="12" t="s">
        <v>37</v>
      </c>
      <c r="UW356" s="12" t="s">
        <v>37</v>
      </c>
      <c r="UX356" s="12"/>
      <c r="UY356" s="12"/>
      <c r="VB356" s="12" t="s">
        <v>37</v>
      </c>
      <c r="VC356" s="12" t="s">
        <v>37</v>
      </c>
      <c r="VD356" s="12" t="s">
        <v>37</v>
      </c>
      <c r="VE356" s="12" t="s">
        <v>37</v>
      </c>
      <c r="VF356" s="12" t="s">
        <v>37</v>
      </c>
      <c r="VG356" s="12" t="s">
        <v>37</v>
      </c>
      <c r="VI356" s="12" t="s">
        <v>37</v>
      </c>
      <c r="VJ356" s="12" t="s">
        <v>37</v>
      </c>
      <c r="VK356" s="12" t="s">
        <v>37</v>
      </c>
      <c r="VL356" s="12" t="s">
        <v>37</v>
      </c>
      <c r="VM356" s="12" t="s">
        <v>37</v>
      </c>
      <c r="VN356" s="12" t="s">
        <v>37</v>
      </c>
      <c r="VQ356" s="12" t="s">
        <v>37</v>
      </c>
      <c r="VR356" s="12" t="s">
        <v>37</v>
      </c>
      <c r="VS356" s="12" t="s">
        <v>37</v>
      </c>
      <c r="VT356" s="12" t="s">
        <v>37</v>
      </c>
      <c r="VU356" s="12" t="s">
        <v>37</v>
      </c>
      <c r="VV356" s="12" t="s">
        <v>37</v>
      </c>
      <c r="VW356" s="12"/>
      <c r="VX356" s="12"/>
      <c r="WA356" s="12" t="s">
        <v>37</v>
      </c>
      <c r="WB356" s="12" t="s">
        <v>37</v>
      </c>
      <c r="WC356" s="12" t="s">
        <v>37</v>
      </c>
      <c r="WD356" s="12" t="s">
        <v>37</v>
      </c>
      <c r="WE356" s="12" t="s">
        <v>37</v>
      </c>
      <c r="WF356" s="12" t="s">
        <v>37</v>
      </c>
    </row>
    <row r="357" spans="1:604" ht="18" customHeight="1" x14ac:dyDescent="0.3">
      <c r="A357" s="11">
        <v>76</v>
      </c>
      <c r="B357" s="16" t="s">
        <v>938</v>
      </c>
      <c r="C357" s="12" t="s">
        <v>26</v>
      </c>
      <c r="D357" s="12" t="s">
        <v>54</v>
      </c>
      <c r="E357" s="40" t="s">
        <v>37</v>
      </c>
      <c r="F357" s="14">
        <v>0</v>
      </c>
      <c r="G357" s="14">
        <v>0</v>
      </c>
      <c r="H357" s="12" t="s">
        <v>145</v>
      </c>
      <c r="I357" s="29">
        <v>48.975999999999999</v>
      </c>
      <c r="J357" s="29">
        <v>13.459</v>
      </c>
      <c r="K357" s="12" t="s">
        <v>785</v>
      </c>
      <c r="L357" s="12" t="s">
        <v>786</v>
      </c>
      <c r="M357" s="13">
        <v>1200</v>
      </c>
      <c r="N357" s="14">
        <v>3.2</v>
      </c>
      <c r="O357" s="14">
        <v>1300</v>
      </c>
      <c r="P357" s="14" t="s">
        <v>16</v>
      </c>
      <c r="Q357" s="75">
        <v>50</v>
      </c>
      <c r="R357" s="11" t="s">
        <v>1000</v>
      </c>
      <c r="S357" s="12" t="s">
        <v>93</v>
      </c>
      <c r="T357" s="12" t="s">
        <v>141</v>
      </c>
      <c r="U357" s="12" t="s">
        <v>164</v>
      </c>
      <c r="V357" s="12" t="s">
        <v>275</v>
      </c>
      <c r="W357" s="23" t="s">
        <v>446</v>
      </c>
      <c r="X357" s="12" t="s">
        <v>280</v>
      </c>
      <c r="Y357" s="12" t="s">
        <v>37</v>
      </c>
      <c r="Z357" s="12" t="s">
        <v>37</v>
      </c>
      <c r="AB357" s="12" t="s">
        <v>37</v>
      </c>
      <c r="AE357" s="12" t="s">
        <v>37</v>
      </c>
      <c r="AH357" s="12" t="s">
        <v>37</v>
      </c>
      <c r="AK357" s="12" t="s">
        <v>37</v>
      </c>
      <c r="AL357" s="32" t="s">
        <v>449</v>
      </c>
      <c r="AM357" s="12" t="s">
        <v>317</v>
      </c>
      <c r="AN357" s="32" t="s">
        <v>880</v>
      </c>
      <c r="AO357" s="12" t="s">
        <v>37</v>
      </c>
      <c r="AP357" s="12" t="s">
        <v>167</v>
      </c>
      <c r="AQ357" s="12" t="s">
        <v>975</v>
      </c>
      <c r="AT357" s="12" t="s">
        <v>326</v>
      </c>
      <c r="AU357" s="12" t="s">
        <v>326</v>
      </c>
      <c r="AV357" s="13" t="s">
        <v>326</v>
      </c>
      <c r="AX357" s="12" t="s">
        <v>326</v>
      </c>
      <c r="AY357" s="12" t="s">
        <v>326</v>
      </c>
      <c r="AZ357" s="13" t="s">
        <v>326</v>
      </c>
      <c r="BE357" s="12" t="s">
        <v>326</v>
      </c>
      <c r="BF357" s="12" t="s">
        <v>326</v>
      </c>
      <c r="BG357" s="12" t="s">
        <v>326</v>
      </c>
      <c r="BI357" s="12" t="s">
        <v>326</v>
      </c>
      <c r="BJ357" s="12" t="s">
        <v>326</v>
      </c>
      <c r="BK357" s="12" t="s">
        <v>326</v>
      </c>
      <c r="BP357" s="12" t="s">
        <v>37</v>
      </c>
      <c r="BQ357" s="12" t="s">
        <v>37</v>
      </c>
      <c r="BR357" s="13" t="s">
        <v>37</v>
      </c>
      <c r="BT357" s="12" t="s">
        <v>37</v>
      </c>
      <c r="BU357" s="12" t="s">
        <v>37</v>
      </c>
      <c r="BV357" s="12" t="s">
        <v>37</v>
      </c>
      <c r="BZ357" s="12" t="s">
        <v>581</v>
      </c>
      <c r="CA357" s="12">
        <f>-542.3*10^4/10^3/'[6]classess-1'!$T$50</f>
        <v>-6053.2911236122554</v>
      </c>
      <c r="CB357" s="50">
        <f t="shared" si="1346"/>
        <v>1475.8556969044168</v>
      </c>
      <c r="CC357" s="13">
        <v>3</v>
      </c>
      <c r="CE357" s="12">
        <f>-1101.3*10^4/10^3/'[6]classess-1'!$T$51</f>
        <v>-11865.719502913866</v>
      </c>
      <c r="CF357" s="50">
        <f t="shared" si="1347"/>
        <v>4417.2406780036381</v>
      </c>
      <c r="CG357" s="13">
        <v>3</v>
      </c>
      <c r="CI357" s="75">
        <f t="shared" si="1323"/>
        <v>-5812.4283793016102</v>
      </c>
      <c r="CJ357" s="12">
        <f t="shared" si="1324"/>
        <v>3293.1873045345646</v>
      </c>
      <c r="CK357" s="72">
        <f t="shared" si="1325"/>
        <v>7230055.0818317542</v>
      </c>
      <c r="CL357" s="72">
        <f t="shared" si="1326"/>
        <v>7230055.0818317542</v>
      </c>
      <c r="CM357" s="12" t="s">
        <v>581</v>
      </c>
      <c r="CN357" s="12">
        <f>311.2*10^4/10^3/'[6]classess-1'!$I$50</f>
        <v>4090.62426273851</v>
      </c>
      <c r="CO357" s="50">
        <f t="shared" si="1348"/>
        <v>1176.575250867078</v>
      </c>
      <c r="CP357" s="13">
        <v>3</v>
      </c>
      <c r="CR357" s="12">
        <f>778*10^4/10^3/'[6]classess-1'!$I$51</f>
        <v>9751.573269002236</v>
      </c>
      <c r="CS357" s="50">
        <f t="shared" si="1349"/>
        <v>2558.7267192692693</v>
      </c>
      <c r="CT357" s="13">
        <v>3</v>
      </c>
      <c r="CV357" s="75">
        <f t="shared" si="1329"/>
        <v>5660.949006263726</v>
      </c>
      <c r="CW357" s="12">
        <f t="shared" si="1330"/>
        <v>1991.4080125448181</v>
      </c>
      <c r="CX357" s="72">
        <f t="shared" si="1331"/>
        <v>2643803.9149518018</v>
      </c>
      <c r="CY357" s="72">
        <f t="shared" si="1332"/>
        <v>2643803.9149518022</v>
      </c>
      <c r="CZ357" s="12" t="s">
        <v>581</v>
      </c>
      <c r="DA357" s="12">
        <f t="shared" si="1356"/>
        <v>-1962.6668608737455</v>
      </c>
      <c r="DB357" s="50">
        <f t="shared" si="1350"/>
        <v>5887.3265217360085</v>
      </c>
      <c r="DC357" s="13">
        <v>3</v>
      </c>
      <c r="DE357" s="12">
        <f t="shared" si="1357"/>
        <v>-2114.1462339116297</v>
      </c>
      <c r="DF357" s="50">
        <f t="shared" si="1351"/>
        <v>2015.0832489488362</v>
      </c>
      <c r="DG357" s="13">
        <v>3</v>
      </c>
      <c r="DI357" s="19">
        <f t="shared" si="1335"/>
        <v>-151.47937303788422</v>
      </c>
      <c r="DJ357" s="12">
        <f t="shared" si="1336"/>
        <v>4400.066708229002</v>
      </c>
      <c r="DK357" s="72">
        <f t="shared" si="1337"/>
        <v>12907058.024576802</v>
      </c>
      <c r="DL357" s="72">
        <f t="shared" si="1338"/>
        <v>12907058.024576802</v>
      </c>
      <c r="DM357" s="12" t="s">
        <v>47</v>
      </c>
      <c r="DN357" s="19">
        <f>8.2*10^4/10^3/'[1]classes-1'!$I$36</f>
        <v>113.26345184404866</v>
      </c>
      <c r="DO357" s="50">
        <f t="shared" si="1352"/>
        <v>126.27507667969238</v>
      </c>
      <c r="DP357" s="13">
        <v>3</v>
      </c>
      <c r="DR357" s="19">
        <f>1.8*10^4/10^3/'[1]classes-1'!$I$38</f>
        <v>5.2837935393415876</v>
      </c>
      <c r="DS357" s="50">
        <f t="shared" si="1353"/>
        <v>19.746679312693438</v>
      </c>
      <c r="DT357" s="13">
        <v>3</v>
      </c>
      <c r="DV357" s="19">
        <f t="shared" si="1354"/>
        <v>-107.97965830470707</v>
      </c>
      <c r="DW357" s="12">
        <f t="shared" si="1355"/>
        <v>90.375124714548932</v>
      </c>
      <c r="DX357" s="72">
        <f t="shared" si="1358"/>
        <v>5445.1087781135147</v>
      </c>
      <c r="DY357" s="72">
        <f t="shared" si="1359"/>
        <v>5445.1087781135147</v>
      </c>
      <c r="EA357" s="19" t="s">
        <v>37</v>
      </c>
      <c r="EB357" s="19" t="s">
        <v>37</v>
      </c>
      <c r="EC357" s="72" t="s">
        <v>37</v>
      </c>
      <c r="EE357" s="19" t="s">
        <v>37</v>
      </c>
      <c r="EF357" s="19" t="s">
        <v>37</v>
      </c>
      <c r="EG357" s="12" t="s">
        <v>37</v>
      </c>
      <c r="EM357" s="12" t="s">
        <v>39</v>
      </c>
      <c r="EN357" s="12">
        <v>-3.9</v>
      </c>
      <c r="EO357" s="12">
        <v>3.3</v>
      </c>
      <c r="EP357" s="13">
        <v>3</v>
      </c>
      <c r="EQ357" s="19">
        <f t="shared" si="1341"/>
        <v>0.84615384615384615</v>
      </c>
      <c r="ER357" s="12">
        <v>-25.6</v>
      </c>
      <c r="ES357" s="12">
        <v>10.3</v>
      </c>
      <c r="ET357" s="13">
        <v>2</v>
      </c>
      <c r="EU357" s="19">
        <f t="shared" si="1342"/>
        <v>0.40234375</v>
      </c>
      <c r="EV357" s="19">
        <f t="shared" si="1317"/>
        <v>-21.700000000000003</v>
      </c>
      <c r="EW357" s="12">
        <f t="shared" si="1318"/>
        <v>6.5286547874223935</v>
      </c>
      <c r="EX357" s="19">
        <f t="shared" si="1319"/>
        <v>35.519444444444453</v>
      </c>
      <c r="EY357" s="19">
        <f t="shared" si="1320"/>
        <v>56.675000000000011</v>
      </c>
      <c r="FB357" s="12" t="s">
        <v>37</v>
      </c>
      <c r="FC357" s="12" t="s">
        <v>37</v>
      </c>
      <c r="FD357" s="12" t="s">
        <v>37</v>
      </c>
      <c r="FE357" s="12" t="s">
        <v>37</v>
      </c>
      <c r="FF357" s="20" t="s">
        <v>37</v>
      </c>
      <c r="FG357" s="12" t="s">
        <v>37</v>
      </c>
      <c r="FI357" s="12" t="s">
        <v>37</v>
      </c>
      <c r="FJ357" s="12" t="s">
        <v>37</v>
      </c>
      <c r="FK357" s="12" t="s">
        <v>37</v>
      </c>
      <c r="FL357" s="12" t="s">
        <v>37</v>
      </c>
      <c r="FM357" s="12" t="s">
        <v>37</v>
      </c>
      <c r="FN357" s="12" t="s">
        <v>37</v>
      </c>
      <c r="FP357" s="12" t="s">
        <v>37</v>
      </c>
      <c r="FQ357" s="12" t="s">
        <v>37</v>
      </c>
      <c r="FR357" s="12" t="s">
        <v>37</v>
      </c>
      <c r="FS357" s="12" t="s">
        <v>37</v>
      </c>
      <c r="FT357" s="12" t="s">
        <v>37</v>
      </c>
      <c r="FU357" s="12" t="s">
        <v>37</v>
      </c>
      <c r="FW357" s="12" t="s">
        <v>37</v>
      </c>
      <c r="FX357" s="12" t="s">
        <v>37</v>
      </c>
      <c r="FY357" s="12" t="s">
        <v>37</v>
      </c>
      <c r="FZ357" s="12" t="s">
        <v>37</v>
      </c>
      <c r="GA357" s="12" t="s">
        <v>37</v>
      </c>
      <c r="GB357" s="12" t="s">
        <v>37</v>
      </c>
      <c r="IK357" s="12" t="s">
        <v>37</v>
      </c>
      <c r="IL357" s="12" t="s">
        <v>37</v>
      </c>
      <c r="IM357" s="12" t="s">
        <v>37</v>
      </c>
      <c r="IO357" s="12" t="s">
        <v>37</v>
      </c>
      <c r="IP357" s="12" t="s">
        <v>37</v>
      </c>
      <c r="IQ357" s="12" t="s">
        <v>37</v>
      </c>
      <c r="IW357" s="12" t="s">
        <v>37</v>
      </c>
      <c r="IX357" s="12" t="s">
        <v>37</v>
      </c>
      <c r="IY357" s="13" t="s">
        <v>37</v>
      </c>
      <c r="JA357" s="12" t="s">
        <v>37</v>
      </c>
      <c r="JB357" s="12" t="s">
        <v>37</v>
      </c>
      <c r="JC357" s="13" t="s">
        <v>37</v>
      </c>
      <c r="JH357" s="12" t="s">
        <v>37</v>
      </c>
      <c r="JI357" s="12" t="s">
        <v>37</v>
      </c>
      <c r="JJ357" s="13" t="s">
        <v>37</v>
      </c>
      <c r="JL357" s="12" t="s">
        <v>37</v>
      </c>
      <c r="JM357" s="12" t="s">
        <v>37</v>
      </c>
      <c r="JN357" s="12" t="s">
        <v>37</v>
      </c>
      <c r="JS357" s="12" t="s">
        <v>37</v>
      </c>
      <c r="JT357" s="12" t="s">
        <v>37</v>
      </c>
      <c r="JU357" s="13" t="s">
        <v>37</v>
      </c>
      <c r="JW357" s="12" t="s">
        <v>37</v>
      </c>
      <c r="JX357" s="12" t="s">
        <v>37</v>
      </c>
      <c r="JY357" s="12" t="s">
        <v>37</v>
      </c>
      <c r="KE357" s="12" t="s">
        <v>37</v>
      </c>
      <c r="KF357" s="12" t="s">
        <v>37</v>
      </c>
      <c r="KG357" s="13" t="s">
        <v>37</v>
      </c>
      <c r="KH357" s="12" t="s">
        <v>37</v>
      </c>
      <c r="KI357" s="12" t="s">
        <v>37</v>
      </c>
      <c r="KJ357" s="12" t="s">
        <v>37</v>
      </c>
      <c r="KM357" s="12" t="s">
        <v>37</v>
      </c>
      <c r="KN357" s="12" t="s">
        <v>37</v>
      </c>
      <c r="KO357" s="11" t="s">
        <v>37</v>
      </c>
      <c r="KQ357" s="12" t="s">
        <v>37</v>
      </c>
      <c r="KR357" s="12" t="s">
        <v>37</v>
      </c>
      <c r="KS357" s="12" t="s">
        <v>37</v>
      </c>
      <c r="KX357" s="12" t="s">
        <v>37</v>
      </c>
      <c r="KY357" s="12" t="s">
        <v>37</v>
      </c>
      <c r="KZ357" s="12" t="s">
        <v>37</v>
      </c>
      <c r="LB357" s="12" t="s">
        <v>37</v>
      </c>
      <c r="LC357" s="12" t="s">
        <v>37</v>
      </c>
      <c r="LD357" s="12" t="s">
        <v>37</v>
      </c>
      <c r="LI357" s="12" t="s">
        <v>37</v>
      </c>
      <c r="LJ357" s="12" t="s">
        <v>37</v>
      </c>
      <c r="LK357" s="12" t="s">
        <v>37</v>
      </c>
      <c r="LM357" s="12" t="s">
        <v>37</v>
      </c>
      <c r="LN357" s="12" t="s">
        <v>37</v>
      </c>
      <c r="LO357" s="12" t="s">
        <v>37</v>
      </c>
      <c r="LU357" s="12" t="s">
        <v>37</v>
      </c>
      <c r="LV357" s="12" t="s">
        <v>37</v>
      </c>
      <c r="LW357" s="12" t="s">
        <v>37</v>
      </c>
      <c r="LY357" s="12" t="s">
        <v>37</v>
      </c>
      <c r="LZ357" s="12" t="s">
        <v>37</v>
      </c>
      <c r="MA357" s="12" t="s">
        <v>37</v>
      </c>
      <c r="MF357" s="12" t="s">
        <v>37</v>
      </c>
      <c r="MG357" s="12" t="s">
        <v>37</v>
      </c>
      <c r="MH357" s="12" t="s">
        <v>37</v>
      </c>
      <c r="MJ357" s="12" t="s">
        <v>37</v>
      </c>
      <c r="MK357" s="12" t="s">
        <v>37</v>
      </c>
      <c r="ML357" s="12" t="s">
        <v>37</v>
      </c>
      <c r="MQ357" s="12" t="s">
        <v>37</v>
      </c>
      <c r="MR357" s="12" t="s">
        <v>37</v>
      </c>
      <c r="MS357" s="12" t="s">
        <v>37</v>
      </c>
      <c r="MU357" s="12" t="s">
        <v>37</v>
      </c>
      <c r="MV357" s="12" t="s">
        <v>37</v>
      </c>
      <c r="MW357" s="12" t="s">
        <v>37</v>
      </c>
      <c r="NC357" s="12" t="s">
        <v>37</v>
      </c>
      <c r="ND357" s="12" t="s">
        <v>37</v>
      </c>
      <c r="NE357" s="12" t="s">
        <v>37</v>
      </c>
      <c r="NG357" s="12" t="s">
        <v>37</v>
      </c>
      <c r="NH357" s="12" t="s">
        <v>37</v>
      </c>
      <c r="NI357" s="12" t="s">
        <v>37</v>
      </c>
      <c r="NO357" s="12" t="s">
        <v>37</v>
      </c>
      <c r="NP357" s="12" t="s">
        <v>37</v>
      </c>
      <c r="NQ357" s="12" t="s">
        <v>37</v>
      </c>
      <c r="NS357" s="12" t="s">
        <v>37</v>
      </c>
      <c r="NT357" s="12" t="s">
        <v>37</v>
      </c>
      <c r="NU357" s="12" t="s">
        <v>37</v>
      </c>
      <c r="OA357" s="12" t="s">
        <v>37</v>
      </c>
      <c r="OB357" s="12" t="s">
        <v>37</v>
      </c>
      <c r="OC357" s="12" t="s">
        <v>37</v>
      </c>
      <c r="OD357" s="12"/>
      <c r="OE357" s="12" t="s">
        <v>37</v>
      </c>
      <c r="OF357" s="12" t="s">
        <v>37</v>
      </c>
      <c r="OG357" s="12" t="s">
        <v>37</v>
      </c>
      <c r="OH357" s="12"/>
      <c r="OI357" s="12"/>
      <c r="OJ357" s="12"/>
      <c r="OM357" s="12" t="s">
        <v>37</v>
      </c>
      <c r="ON357" s="12" t="s">
        <v>37</v>
      </c>
      <c r="OO357" s="12" t="s">
        <v>37</v>
      </c>
      <c r="OP357" s="12" t="s">
        <v>37</v>
      </c>
      <c r="OQ357" s="12" t="s">
        <v>37</v>
      </c>
      <c r="OR357" s="12" t="s">
        <v>37</v>
      </c>
      <c r="OS357" s="12"/>
      <c r="OT357" s="12"/>
      <c r="OW357" s="12" t="s">
        <v>37</v>
      </c>
      <c r="OX357" s="12" t="s">
        <v>37</v>
      </c>
      <c r="OY357" s="13" t="s">
        <v>37</v>
      </c>
      <c r="OZ357" s="12" t="s">
        <v>37</v>
      </c>
      <c r="PA357" s="12" t="s">
        <v>37</v>
      </c>
      <c r="PB357" s="13" t="s">
        <v>37</v>
      </c>
      <c r="PG357" s="12" t="s">
        <v>37</v>
      </c>
      <c r="PH357" s="12" t="s">
        <v>37</v>
      </c>
      <c r="PI357" s="12" t="s">
        <v>37</v>
      </c>
      <c r="PJ357" s="12" t="s">
        <v>37</v>
      </c>
      <c r="PK357" s="12" t="s">
        <v>37</v>
      </c>
      <c r="PL357" s="12" t="s">
        <v>37</v>
      </c>
      <c r="PM357" s="12"/>
      <c r="PN357" s="12"/>
      <c r="PQ357" s="12" t="s">
        <v>37</v>
      </c>
      <c r="PR357" s="12" t="s">
        <v>37</v>
      </c>
      <c r="PS357" s="12" t="s">
        <v>37</v>
      </c>
      <c r="PT357" s="12" t="s">
        <v>37</v>
      </c>
      <c r="PU357" s="12" t="s">
        <v>37</v>
      </c>
      <c r="PV357" s="12" t="s">
        <v>37</v>
      </c>
      <c r="PW357" s="12"/>
      <c r="PX357" s="12"/>
      <c r="PZ357" s="12" t="s">
        <v>37</v>
      </c>
      <c r="QA357" s="12" t="s">
        <v>37</v>
      </c>
      <c r="QB357" s="12" t="s">
        <v>37</v>
      </c>
      <c r="QD357" s="12" t="s">
        <v>37</v>
      </c>
      <c r="QE357" s="12" t="s">
        <v>37</v>
      </c>
      <c r="QF357" s="12" t="s">
        <v>37</v>
      </c>
      <c r="QK357" s="12" t="s">
        <v>37</v>
      </c>
      <c r="QL357" s="12" t="s">
        <v>37</v>
      </c>
      <c r="QM357" s="12" t="s">
        <v>37</v>
      </c>
      <c r="QN357" s="12" t="s">
        <v>37</v>
      </c>
      <c r="QO357" s="12" t="s">
        <v>37</v>
      </c>
      <c r="QP357" s="12" t="s">
        <v>37</v>
      </c>
      <c r="QQ357" s="12"/>
      <c r="QR357" s="12"/>
      <c r="QU357" s="12" t="s">
        <v>37</v>
      </c>
      <c r="QV357" s="12" t="s">
        <v>37</v>
      </c>
      <c r="QW357" s="12" t="s">
        <v>37</v>
      </c>
      <c r="QX357" s="12" t="s">
        <v>37</v>
      </c>
      <c r="QY357" s="12" t="s">
        <v>37</v>
      </c>
      <c r="QZ357" s="12" t="s">
        <v>37</v>
      </c>
      <c r="RC357" s="12" t="s">
        <v>37</v>
      </c>
      <c r="RD357" s="12" t="s">
        <v>37</v>
      </c>
      <c r="RE357" s="13" t="s">
        <v>37</v>
      </c>
      <c r="RF357" s="12" t="s">
        <v>37</v>
      </c>
      <c r="RG357" s="12" t="s">
        <v>37</v>
      </c>
      <c r="RH357" s="13" t="s">
        <v>37</v>
      </c>
      <c r="RK357" s="12" t="s">
        <v>37</v>
      </c>
      <c r="RL357" s="12" t="s">
        <v>37</v>
      </c>
      <c r="RM357" s="11" t="s">
        <v>37</v>
      </c>
      <c r="RN357" s="12" t="s">
        <v>37</v>
      </c>
      <c r="RO357" s="12" t="s">
        <v>37</v>
      </c>
      <c r="RP357" s="11" t="s">
        <v>37</v>
      </c>
      <c r="RS357" s="12" t="s">
        <v>37</v>
      </c>
      <c r="RT357" s="12" t="s">
        <v>37</v>
      </c>
      <c r="RU357" s="12" t="s">
        <v>37</v>
      </c>
      <c r="RV357" s="12" t="s">
        <v>37</v>
      </c>
      <c r="RW357" s="12" t="s">
        <v>37</v>
      </c>
      <c r="RX357" s="12" t="s">
        <v>37</v>
      </c>
      <c r="SA357" s="12" t="s">
        <v>37</v>
      </c>
      <c r="SB357" s="12" t="s">
        <v>37</v>
      </c>
      <c r="SC357" s="12" t="s">
        <v>37</v>
      </c>
      <c r="SD357" s="12" t="s">
        <v>37</v>
      </c>
      <c r="SE357" s="12" t="s">
        <v>37</v>
      </c>
      <c r="SF357" s="12" t="s">
        <v>37</v>
      </c>
      <c r="SI357" s="12" t="s">
        <v>37</v>
      </c>
      <c r="SJ357" s="12" t="s">
        <v>37</v>
      </c>
      <c r="SK357" s="13" t="s">
        <v>37</v>
      </c>
      <c r="SM357" s="12" t="s">
        <v>37</v>
      </c>
      <c r="SN357" s="12" t="s">
        <v>37</v>
      </c>
      <c r="SO357" s="13" t="s">
        <v>37</v>
      </c>
      <c r="SU357" s="12" t="s">
        <v>37</v>
      </c>
      <c r="SV357" s="12" t="s">
        <v>37</v>
      </c>
      <c r="SW357" s="12" t="s">
        <v>37</v>
      </c>
      <c r="SX357" s="12" t="s">
        <v>37</v>
      </c>
      <c r="SY357" s="12" t="s">
        <v>37</v>
      </c>
      <c r="SZ357" s="12" t="s">
        <v>37</v>
      </c>
      <c r="TA357" s="12"/>
      <c r="TB357" s="12"/>
      <c r="TE357" s="12" t="s">
        <v>37</v>
      </c>
      <c r="TF357" s="12" t="s">
        <v>37</v>
      </c>
      <c r="TG357" s="12" t="s">
        <v>37</v>
      </c>
      <c r="TH357" s="12" t="s">
        <v>37</v>
      </c>
      <c r="TI357" s="12" t="s">
        <v>37</v>
      </c>
      <c r="TJ357" s="12" t="s">
        <v>37</v>
      </c>
      <c r="TK357" s="12"/>
      <c r="TL357" s="12"/>
      <c r="TO357" s="12" t="s">
        <v>37</v>
      </c>
      <c r="TP357" s="12" t="s">
        <v>37</v>
      </c>
      <c r="TQ357" s="12" t="s">
        <v>37</v>
      </c>
      <c r="TR357" s="12" t="s">
        <v>37</v>
      </c>
      <c r="TS357" s="12" t="s">
        <v>37</v>
      </c>
      <c r="TT357" s="12" t="s">
        <v>37</v>
      </c>
      <c r="TU357" s="12"/>
      <c r="TV357" s="12"/>
      <c r="TY357" s="12" t="s">
        <v>37</v>
      </c>
      <c r="TZ357" s="12" t="s">
        <v>37</v>
      </c>
      <c r="UA357" s="12" t="s">
        <v>37</v>
      </c>
      <c r="UB357" s="12" t="s">
        <v>37</v>
      </c>
      <c r="UC357" s="12" t="s">
        <v>37</v>
      </c>
      <c r="UD357" s="12" t="s">
        <v>37</v>
      </c>
      <c r="UE357" s="12"/>
      <c r="UF357" s="12"/>
      <c r="UI357" s="12" t="s">
        <v>37</v>
      </c>
      <c r="UJ357" s="12" t="s">
        <v>37</v>
      </c>
      <c r="UK357" s="12" t="s">
        <v>37</v>
      </c>
      <c r="UL357" s="12" t="s">
        <v>37</v>
      </c>
      <c r="UM357" s="12" t="s">
        <v>37</v>
      </c>
      <c r="UN357" s="12" t="s">
        <v>37</v>
      </c>
      <c r="UO357" s="12"/>
      <c r="UP357" s="12"/>
      <c r="UR357" s="12" t="s">
        <v>37</v>
      </c>
      <c r="US357" s="12" t="s">
        <v>37</v>
      </c>
      <c r="UT357" s="12" t="s">
        <v>37</v>
      </c>
      <c r="UU357" s="12" t="s">
        <v>37</v>
      </c>
      <c r="UV357" s="12" t="s">
        <v>37</v>
      </c>
      <c r="UW357" s="12" t="s">
        <v>37</v>
      </c>
      <c r="UX357" s="12"/>
      <c r="UY357" s="12"/>
      <c r="VB357" s="12" t="s">
        <v>37</v>
      </c>
      <c r="VC357" s="12" t="s">
        <v>37</v>
      </c>
      <c r="VD357" s="12" t="s">
        <v>37</v>
      </c>
      <c r="VE357" s="12" t="s">
        <v>37</v>
      </c>
      <c r="VF357" s="12" t="s">
        <v>37</v>
      </c>
      <c r="VG357" s="12" t="s">
        <v>37</v>
      </c>
      <c r="VI357" s="12" t="s">
        <v>37</v>
      </c>
      <c r="VJ357" s="12" t="s">
        <v>37</v>
      </c>
      <c r="VK357" s="12" t="s">
        <v>37</v>
      </c>
      <c r="VL357" s="12" t="s">
        <v>37</v>
      </c>
      <c r="VM357" s="12" t="s">
        <v>37</v>
      </c>
      <c r="VN357" s="12" t="s">
        <v>37</v>
      </c>
      <c r="VQ357" s="12" t="s">
        <v>37</v>
      </c>
      <c r="VR357" s="12" t="s">
        <v>37</v>
      </c>
      <c r="VS357" s="12" t="s">
        <v>37</v>
      </c>
      <c r="VT357" s="12" t="s">
        <v>37</v>
      </c>
      <c r="VU357" s="12" t="s">
        <v>37</v>
      </c>
      <c r="VV357" s="12" t="s">
        <v>37</v>
      </c>
      <c r="VW357" s="12"/>
      <c r="VX357" s="12"/>
      <c r="WA357" s="12" t="s">
        <v>37</v>
      </c>
      <c r="WB357" s="12" t="s">
        <v>37</v>
      </c>
      <c r="WC357" s="12" t="s">
        <v>37</v>
      </c>
      <c r="WD357" s="12" t="s">
        <v>37</v>
      </c>
      <c r="WE357" s="12" t="s">
        <v>37</v>
      </c>
      <c r="WF357" s="12" t="s">
        <v>37</v>
      </c>
    </row>
    <row r="358" spans="1:604" ht="18" customHeight="1" x14ac:dyDescent="0.3">
      <c r="A358" s="11">
        <v>76</v>
      </c>
      <c r="B358" s="16" t="s">
        <v>938</v>
      </c>
      <c r="C358" s="12" t="s">
        <v>26</v>
      </c>
      <c r="D358" s="12" t="s">
        <v>54</v>
      </c>
      <c r="E358" s="40" t="s">
        <v>37</v>
      </c>
      <c r="F358" s="14">
        <v>0</v>
      </c>
      <c r="G358" s="14">
        <v>0</v>
      </c>
      <c r="H358" s="12" t="s">
        <v>145</v>
      </c>
      <c r="I358" s="29">
        <v>48.975999999999999</v>
      </c>
      <c r="J358" s="29">
        <v>13.459</v>
      </c>
      <c r="K358" s="12" t="s">
        <v>785</v>
      </c>
      <c r="L358" s="12" t="s">
        <v>786</v>
      </c>
      <c r="M358" s="13">
        <v>1200</v>
      </c>
      <c r="N358" s="14">
        <v>3.2</v>
      </c>
      <c r="O358" s="14">
        <v>1300</v>
      </c>
      <c r="P358" s="14" t="s">
        <v>16</v>
      </c>
      <c r="Q358" s="75">
        <v>50</v>
      </c>
      <c r="R358" s="11" t="s">
        <v>1000</v>
      </c>
      <c r="S358" s="12" t="s">
        <v>93</v>
      </c>
      <c r="T358" s="12" t="s">
        <v>141</v>
      </c>
      <c r="U358" s="12" t="s">
        <v>163</v>
      </c>
      <c r="V358" s="12" t="s">
        <v>275</v>
      </c>
      <c r="W358" s="23" t="s">
        <v>448</v>
      </c>
      <c r="X358" s="12" t="s">
        <v>282</v>
      </c>
      <c r="Y358" s="12" t="s">
        <v>37</v>
      </c>
      <c r="Z358" s="12" t="s">
        <v>37</v>
      </c>
      <c r="AB358" s="12" t="s">
        <v>37</v>
      </c>
      <c r="AE358" s="12" t="s">
        <v>37</v>
      </c>
      <c r="AH358" s="12" t="s">
        <v>37</v>
      </c>
      <c r="AK358" s="12" t="s">
        <v>37</v>
      </c>
      <c r="AL358" s="32" t="s">
        <v>449</v>
      </c>
      <c r="AM358" s="12" t="s">
        <v>317</v>
      </c>
      <c r="AN358" s="32" t="s">
        <v>880</v>
      </c>
      <c r="AO358" s="12" t="s">
        <v>37</v>
      </c>
      <c r="AP358" s="12" t="s">
        <v>167</v>
      </c>
      <c r="AQ358" s="12" t="s">
        <v>975</v>
      </c>
      <c r="AT358" s="12" t="s">
        <v>326</v>
      </c>
      <c r="AU358" s="12" t="s">
        <v>326</v>
      </c>
      <c r="AV358" s="13" t="s">
        <v>326</v>
      </c>
      <c r="AX358" s="12" t="s">
        <v>326</v>
      </c>
      <c r="AY358" s="12" t="s">
        <v>326</v>
      </c>
      <c r="AZ358" s="13" t="s">
        <v>326</v>
      </c>
      <c r="BE358" s="12" t="s">
        <v>326</v>
      </c>
      <c r="BF358" s="12" t="s">
        <v>326</v>
      </c>
      <c r="BG358" s="12" t="s">
        <v>326</v>
      </c>
      <c r="BI358" s="12" t="s">
        <v>326</v>
      </c>
      <c r="BJ358" s="12" t="s">
        <v>326</v>
      </c>
      <c r="BK358" s="12" t="s">
        <v>326</v>
      </c>
      <c r="BP358" s="12" t="s">
        <v>37</v>
      </c>
      <c r="BQ358" s="12" t="s">
        <v>37</v>
      </c>
      <c r="BR358" s="13" t="s">
        <v>37</v>
      </c>
      <c r="BT358" s="12" t="s">
        <v>37</v>
      </c>
      <c r="BU358" s="12" t="s">
        <v>37</v>
      </c>
      <c r="BV358" s="12" t="s">
        <v>37</v>
      </c>
      <c r="BZ358" s="12" t="s">
        <v>581</v>
      </c>
      <c r="CA358" s="12">
        <f>-756.1*10^4/10^3/'[6]classess-1'!$T$52</f>
        <v>-8439.7813360929867</v>
      </c>
      <c r="CB358" s="50">
        <f t="shared" si="1346"/>
        <v>2057.7069747914984</v>
      </c>
      <c r="CC358" s="13">
        <v>3</v>
      </c>
      <c r="CE358" s="12">
        <f>-751.1*10^4/10^3/'[6]classess-1'!$T$53</f>
        <v>-8092.5650763993508</v>
      </c>
      <c r="CF358" s="50">
        <f t="shared" si="1347"/>
        <v>3012.6118889026902</v>
      </c>
      <c r="CG358" s="13">
        <v>3</v>
      </c>
      <c r="CI358" s="75">
        <f t="shared" si="1323"/>
        <v>347.21625969363595</v>
      </c>
      <c r="CJ358" s="12">
        <f t="shared" si="1324"/>
        <v>2579.7275425191142</v>
      </c>
      <c r="CK358" s="72">
        <f t="shared" si="1325"/>
        <v>4436662.7957544718</v>
      </c>
      <c r="CL358" s="72">
        <f t="shared" si="1326"/>
        <v>4436662.7957544718</v>
      </c>
      <c r="CM358" s="12" t="s">
        <v>581</v>
      </c>
      <c r="CN358" s="12">
        <f>413.6*10^4/10^3/'[6]classess-1'!$I$52</f>
        <v>5436.6394443079935</v>
      </c>
      <c r="CO358" s="50">
        <f t="shared" si="1348"/>
        <v>1563.7259760881216</v>
      </c>
      <c r="CP358" s="13">
        <v>3</v>
      </c>
      <c r="CR358" s="12">
        <f>579.1*10^4/10^3/'[6]classess-1'!$I$53</f>
        <v>7258.5296659115611</v>
      </c>
      <c r="CS358" s="50">
        <f t="shared" si="1349"/>
        <v>1904.5740914252362</v>
      </c>
      <c r="CT358" s="13">
        <v>3</v>
      </c>
      <c r="CV358" s="75">
        <f t="shared" si="1329"/>
        <v>1821.8902216035676</v>
      </c>
      <c r="CW358" s="12">
        <f t="shared" si="1330"/>
        <v>1742.5041460526015</v>
      </c>
      <c r="CX358" s="72">
        <f t="shared" si="1331"/>
        <v>2024213.7993403375</v>
      </c>
      <c r="CY358" s="72">
        <f t="shared" si="1332"/>
        <v>2024213.7993403375</v>
      </c>
      <c r="CZ358" s="12" t="s">
        <v>581</v>
      </c>
      <c r="DA358" s="12">
        <f t="shared" si="1356"/>
        <v>-3003.1418917849933</v>
      </c>
      <c r="DB358" s="50">
        <f t="shared" si="1350"/>
        <v>9008.3942723581713</v>
      </c>
      <c r="DC358" s="13">
        <v>3</v>
      </c>
      <c r="DE358" s="12">
        <f t="shared" si="1357"/>
        <v>-834.0354104877897</v>
      </c>
      <c r="DF358" s="50">
        <f t="shared" si="1351"/>
        <v>794.95484169727581</v>
      </c>
      <c r="DG358" s="13">
        <v>3</v>
      </c>
      <c r="DI358" s="19">
        <f t="shared" si="1335"/>
        <v>2169.1064812972036</v>
      </c>
      <c r="DJ358" s="12">
        <f t="shared" si="1336"/>
        <v>6394.6509117618552</v>
      </c>
      <c r="DK358" s="72">
        <f t="shared" si="1337"/>
        <v>27261040.188864484</v>
      </c>
      <c r="DL358" s="72">
        <f t="shared" si="1338"/>
        <v>27261040.188864484</v>
      </c>
      <c r="DM358" s="12" t="s">
        <v>47</v>
      </c>
      <c r="DN358" s="19">
        <f>7.9*10^4/10^3/'[1]classes-1'!$I$36</f>
        <v>109.11966702048591</v>
      </c>
      <c r="DO358" s="50">
        <f t="shared" si="1352"/>
        <v>121.65525680116704</v>
      </c>
      <c r="DP358" s="13">
        <v>3</v>
      </c>
      <c r="DR358" s="19">
        <f>1.2*10^4/10^3/'[1]classes-1'!$I$39</f>
        <v>3.5225290262277253</v>
      </c>
      <c r="DS358" s="50">
        <f t="shared" si="1353"/>
        <v>13.164452875128958</v>
      </c>
      <c r="DT358" s="13">
        <v>3</v>
      </c>
      <c r="DV358" s="19">
        <f t="shared" si="1354"/>
        <v>-105.59713799425818</v>
      </c>
      <c r="DW358" s="12">
        <f t="shared" si="1355"/>
        <v>86.525442289708607</v>
      </c>
      <c r="DX358" s="72">
        <f t="shared" si="1358"/>
        <v>4991.1014422864628</v>
      </c>
      <c r="DY358" s="72">
        <f t="shared" si="1359"/>
        <v>4991.1014422864637</v>
      </c>
      <c r="EA358" s="19" t="s">
        <v>37</v>
      </c>
      <c r="EB358" s="19" t="s">
        <v>37</v>
      </c>
      <c r="EC358" s="72" t="s">
        <v>37</v>
      </c>
      <c r="EE358" s="19" t="s">
        <v>37</v>
      </c>
      <c r="EF358" s="19" t="s">
        <v>37</v>
      </c>
      <c r="EG358" s="12" t="s">
        <v>37</v>
      </c>
      <c r="EM358" s="12" t="s">
        <v>39</v>
      </c>
      <c r="EN358" s="12">
        <v>-10.199999999999999</v>
      </c>
      <c r="EO358" s="12">
        <v>4.7</v>
      </c>
      <c r="EP358" s="13">
        <v>3</v>
      </c>
      <c r="EQ358" s="19">
        <f t="shared" si="1341"/>
        <v>0.46078431372549022</v>
      </c>
      <c r="ER358" s="12">
        <v>-16.899999999999999</v>
      </c>
      <c r="ES358" s="12">
        <v>10.3</v>
      </c>
      <c r="ET358" s="13">
        <v>3</v>
      </c>
      <c r="EU358" s="19">
        <f t="shared" si="1342"/>
        <v>0.60946745562130189</v>
      </c>
      <c r="EV358" s="19">
        <f t="shared" si="1317"/>
        <v>-6.6999999999999993</v>
      </c>
      <c r="EW358" s="12">
        <f t="shared" si="1318"/>
        <v>8.0056230238501733</v>
      </c>
      <c r="EX358" s="19">
        <f t="shared" si="1319"/>
        <v>42.726666666666667</v>
      </c>
      <c r="EY358" s="19">
        <f t="shared" si="1320"/>
        <v>42.726666666666674</v>
      </c>
      <c r="FB358" s="12" t="s">
        <v>37</v>
      </c>
      <c r="FC358" s="12" t="s">
        <v>37</v>
      </c>
      <c r="FD358" s="12" t="s">
        <v>37</v>
      </c>
      <c r="FE358" s="12" t="s">
        <v>37</v>
      </c>
      <c r="FF358" s="20" t="s">
        <v>37</v>
      </c>
      <c r="FG358" s="12" t="s">
        <v>37</v>
      </c>
      <c r="FI358" s="12" t="s">
        <v>37</v>
      </c>
      <c r="FJ358" s="12" t="s">
        <v>37</v>
      </c>
      <c r="FK358" s="12" t="s">
        <v>37</v>
      </c>
      <c r="FL358" s="12" t="s">
        <v>37</v>
      </c>
      <c r="FM358" s="12" t="s">
        <v>37</v>
      </c>
      <c r="FN358" s="12" t="s">
        <v>37</v>
      </c>
      <c r="FP358" s="12" t="s">
        <v>37</v>
      </c>
      <c r="FQ358" s="12" t="s">
        <v>37</v>
      </c>
      <c r="FR358" s="12" t="s">
        <v>37</v>
      </c>
      <c r="FS358" s="12" t="s">
        <v>37</v>
      </c>
      <c r="FT358" s="12" t="s">
        <v>37</v>
      </c>
      <c r="FU358" s="12" t="s">
        <v>37</v>
      </c>
      <c r="FW358" s="12" t="s">
        <v>37</v>
      </c>
      <c r="FX358" s="12" t="s">
        <v>37</v>
      </c>
      <c r="FY358" s="12" t="s">
        <v>37</v>
      </c>
      <c r="FZ358" s="12" t="s">
        <v>37</v>
      </c>
      <c r="GA358" s="12" t="s">
        <v>37</v>
      </c>
      <c r="GB358" s="12" t="s">
        <v>37</v>
      </c>
      <c r="IK358" s="12" t="s">
        <v>37</v>
      </c>
      <c r="IL358" s="12" t="s">
        <v>37</v>
      </c>
      <c r="IM358" s="12" t="s">
        <v>37</v>
      </c>
      <c r="IO358" s="12" t="s">
        <v>37</v>
      </c>
      <c r="IP358" s="12" t="s">
        <v>37</v>
      </c>
      <c r="IQ358" s="12" t="s">
        <v>37</v>
      </c>
      <c r="IW358" s="12" t="s">
        <v>37</v>
      </c>
      <c r="IX358" s="12" t="s">
        <v>37</v>
      </c>
      <c r="IY358" s="13" t="s">
        <v>37</v>
      </c>
      <c r="JA358" s="12" t="s">
        <v>37</v>
      </c>
      <c r="JB358" s="12" t="s">
        <v>37</v>
      </c>
      <c r="JC358" s="13" t="s">
        <v>37</v>
      </c>
      <c r="JH358" s="12" t="s">
        <v>37</v>
      </c>
      <c r="JI358" s="12" t="s">
        <v>37</v>
      </c>
      <c r="JJ358" s="13" t="s">
        <v>37</v>
      </c>
      <c r="JL358" s="12" t="s">
        <v>37</v>
      </c>
      <c r="JM358" s="12" t="s">
        <v>37</v>
      </c>
      <c r="JN358" s="12" t="s">
        <v>37</v>
      </c>
      <c r="JS358" s="12" t="s">
        <v>37</v>
      </c>
      <c r="JT358" s="12" t="s">
        <v>37</v>
      </c>
      <c r="JU358" s="13" t="s">
        <v>37</v>
      </c>
      <c r="JW358" s="12" t="s">
        <v>37</v>
      </c>
      <c r="JX358" s="12" t="s">
        <v>37</v>
      </c>
      <c r="JY358" s="12" t="s">
        <v>37</v>
      </c>
      <c r="KE358" s="12" t="s">
        <v>37</v>
      </c>
      <c r="KF358" s="12" t="s">
        <v>37</v>
      </c>
      <c r="KG358" s="13" t="s">
        <v>37</v>
      </c>
      <c r="KH358" s="12" t="s">
        <v>37</v>
      </c>
      <c r="KI358" s="12" t="s">
        <v>37</v>
      </c>
      <c r="KJ358" s="12" t="s">
        <v>37</v>
      </c>
      <c r="KM358" s="12" t="s">
        <v>37</v>
      </c>
      <c r="KN358" s="12" t="s">
        <v>37</v>
      </c>
      <c r="KO358" s="11" t="s">
        <v>37</v>
      </c>
      <c r="KQ358" s="12" t="s">
        <v>37</v>
      </c>
      <c r="KR358" s="12" t="s">
        <v>37</v>
      </c>
      <c r="KS358" s="12" t="s">
        <v>37</v>
      </c>
      <c r="KX358" s="12" t="s">
        <v>37</v>
      </c>
      <c r="KY358" s="12" t="s">
        <v>37</v>
      </c>
      <c r="KZ358" s="12" t="s">
        <v>37</v>
      </c>
      <c r="LB358" s="12" t="s">
        <v>37</v>
      </c>
      <c r="LC358" s="12" t="s">
        <v>37</v>
      </c>
      <c r="LD358" s="12" t="s">
        <v>37</v>
      </c>
      <c r="LI358" s="12" t="s">
        <v>37</v>
      </c>
      <c r="LJ358" s="12" t="s">
        <v>37</v>
      </c>
      <c r="LK358" s="12" t="s">
        <v>37</v>
      </c>
      <c r="LM358" s="12" t="s">
        <v>37</v>
      </c>
      <c r="LN358" s="12" t="s">
        <v>37</v>
      </c>
      <c r="LO358" s="12" t="s">
        <v>37</v>
      </c>
      <c r="LU358" s="12" t="s">
        <v>37</v>
      </c>
      <c r="LV358" s="12" t="s">
        <v>37</v>
      </c>
      <c r="LW358" s="12" t="s">
        <v>37</v>
      </c>
      <c r="LY358" s="12" t="s">
        <v>37</v>
      </c>
      <c r="LZ358" s="12" t="s">
        <v>37</v>
      </c>
      <c r="MA358" s="12" t="s">
        <v>37</v>
      </c>
      <c r="MF358" s="12" t="s">
        <v>37</v>
      </c>
      <c r="MG358" s="12" t="s">
        <v>37</v>
      </c>
      <c r="MH358" s="12" t="s">
        <v>37</v>
      </c>
      <c r="MJ358" s="12" t="s">
        <v>37</v>
      </c>
      <c r="MK358" s="12" t="s">
        <v>37</v>
      </c>
      <c r="ML358" s="12" t="s">
        <v>37</v>
      </c>
      <c r="MQ358" s="12" t="s">
        <v>37</v>
      </c>
      <c r="MR358" s="12" t="s">
        <v>37</v>
      </c>
      <c r="MS358" s="12" t="s">
        <v>37</v>
      </c>
      <c r="MU358" s="12" t="s">
        <v>37</v>
      </c>
      <c r="MV358" s="12" t="s">
        <v>37</v>
      </c>
      <c r="MW358" s="12" t="s">
        <v>37</v>
      </c>
      <c r="NC358" s="12" t="s">
        <v>37</v>
      </c>
      <c r="ND358" s="12" t="s">
        <v>37</v>
      </c>
      <c r="NE358" s="12" t="s">
        <v>37</v>
      </c>
      <c r="NG358" s="12" t="s">
        <v>37</v>
      </c>
      <c r="NH358" s="12" t="s">
        <v>37</v>
      </c>
      <c r="NI358" s="12" t="s">
        <v>37</v>
      </c>
      <c r="NO358" s="12" t="s">
        <v>37</v>
      </c>
      <c r="NP358" s="12" t="s">
        <v>37</v>
      </c>
      <c r="NQ358" s="12" t="s">
        <v>37</v>
      </c>
      <c r="NS358" s="12" t="s">
        <v>37</v>
      </c>
      <c r="NT358" s="12" t="s">
        <v>37</v>
      </c>
      <c r="NU358" s="12" t="s">
        <v>37</v>
      </c>
      <c r="OA358" s="12" t="s">
        <v>37</v>
      </c>
      <c r="OB358" s="12" t="s">
        <v>37</v>
      </c>
      <c r="OC358" s="12" t="s">
        <v>37</v>
      </c>
      <c r="OD358" s="12"/>
      <c r="OE358" s="12" t="s">
        <v>37</v>
      </c>
      <c r="OF358" s="12" t="s">
        <v>37</v>
      </c>
      <c r="OG358" s="12" t="s">
        <v>37</v>
      </c>
      <c r="OH358" s="12"/>
      <c r="OI358" s="12"/>
      <c r="OJ358" s="12"/>
      <c r="OM358" s="12" t="s">
        <v>37</v>
      </c>
      <c r="ON358" s="12" t="s">
        <v>37</v>
      </c>
      <c r="OO358" s="12" t="s">
        <v>37</v>
      </c>
      <c r="OP358" s="12" t="s">
        <v>37</v>
      </c>
      <c r="OQ358" s="12" t="s">
        <v>37</v>
      </c>
      <c r="OR358" s="12" t="s">
        <v>37</v>
      </c>
      <c r="OS358" s="12"/>
      <c r="OT358" s="12"/>
      <c r="OW358" s="12" t="s">
        <v>37</v>
      </c>
      <c r="OX358" s="12" t="s">
        <v>37</v>
      </c>
      <c r="OY358" s="13" t="s">
        <v>37</v>
      </c>
      <c r="OZ358" s="12" t="s">
        <v>37</v>
      </c>
      <c r="PA358" s="12" t="s">
        <v>37</v>
      </c>
      <c r="PB358" s="13" t="s">
        <v>37</v>
      </c>
      <c r="PG358" s="12" t="s">
        <v>37</v>
      </c>
      <c r="PH358" s="12" t="s">
        <v>37</v>
      </c>
      <c r="PI358" s="12" t="s">
        <v>37</v>
      </c>
      <c r="PJ358" s="12" t="s">
        <v>37</v>
      </c>
      <c r="PK358" s="12" t="s">
        <v>37</v>
      </c>
      <c r="PL358" s="12" t="s">
        <v>37</v>
      </c>
      <c r="PM358" s="12"/>
      <c r="PN358" s="12"/>
      <c r="PQ358" s="12" t="s">
        <v>37</v>
      </c>
      <c r="PR358" s="12" t="s">
        <v>37</v>
      </c>
      <c r="PS358" s="12" t="s">
        <v>37</v>
      </c>
      <c r="PT358" s="12" t="s">
        <v>37</v>
      </c>
      <c r="PU358" s="12" t="s">
        <v>37</v>
      </c>
      <c r="PV358" s="12" t="s">
        <v>37</v>
      </c>
      <c r="PW358" s="12"/>
      <c r="PX358" s="12"/>
      <c r="PZ358" s="12" t="s">
        <v>37</v>
      </c>
      <c r="QA358" s="12" t="s">
        <v>37</v>
      </c>
      <c r="QB358" s="12" t="s">
        <v>37</v>
      </c>
      <c r="QD358" s="12" t="s">
        <v>37</v>
      </c>
      <c r="QE358" s="12" t="s">
        <v>37</v>
      </c>
      <c r="QF358" s="12" t="s">
        <v>37</v>
      </c>
      <c r="QK358" s="12" t="s">
        <v>37</v>
      </c>
      <c r="QL358" s="12" t="s">
        <v>37</v>
      </c>
      <c r="QM358" s="12" t="s">
        <v>37</v>
      </c>
      <c r="QN358" s="12" t="s">
        <v>37</v>
      </c>
      <c r="QO358" s="12" t="s">
        <v>37</v>
      </c>
      <c r="QP358" s="12" t="s">
        <v>37</v>
      </c>
      <c r="QQ358" s="12"/>
      <c r="QR358" s="12"/>
      <c r="QU358" s="12" t="s">
        <v>37</v>
      </c>
      <c r="QV358" s="12" t="s">
        <v>37</v>
      </c>
      <c r="QW358" s="12" t="s">
        <v>37</v>
      </c>
      <c r="QX358" s="12" t="s">
        <v>37</v>
      </c>
      <c r="QY358" s="12" t="s">
        <v>37</v>
      </c>
      <c r="QZ358" s="12" t="s">
        <v>37</v>
      </c>
      <c r="RC358" s="12" t="s">
        <v>37</v>
      </c>
      <c r="RD358" s="12" t="s">
        <v>37</v>
      </c>
      <c r="RE358" s="13" t="s">
        <v>37</v>
      </c>
      <c r="RF358" s="12" t="s">
        <v>37</v>
      </c>
      <c r="RG358" s="12" t="s">
        <v>37</v>
      </c>
      <c r="RH358" s="13" t="s">
        <v>37</v>
      </c>
      <c r="RK358" s="12" t="s">
        <v>37</v>
      </c>
      <c r="RL358" s="12" t="s">
        <v>37</v>
      </c>
      <c r="RM358" s="11" t="s">
        <v>37</v>
      </c>
      <c r="RN358" s="12" t="s">
        <v>37</v>
      </c>
      <c r="RO358" s="12" t="s">
        <v>37</v>
      </c>
      <c r="RP358" s="11" t="s">
        <v>37</v>
      </c>
      <c r="RS358" s="12" t="s">
        <v>37</v>
      </c>
      <c r="RT358" s="12" t="s">
        <v>37</v>
      </c>
      <c r="RU358" s="12" t="s">
        <v>37</v>
      </c>
      <c r="RV358" s="12" t="s">
        <v>37</v>
      </c>
      <c r="RW358" s="12" t="s">
        <v>37</v>
      </c>
      <c r="RX358" s="12" t="s">
        <v>37</v>
      </c>
      <c r="SA358" s="12" t="s">
        <v>37</v>
      </c>
      <c r="SB358" s="12" t="s">
        <v>37</v>
      </c>
      <c r="SC358" s="12" t="s">
        <v>37</v>
      </c>
      <c r="SD358" s="12" t="s">
        <v>37</v>
      </c>
      <c r="SE358" s="12" t="s">
        <v>37</v>
      </c>
      <c r="SF358" s="12" t="s">
        <v>37</v>
      </c>
      <c r="SI358" s="12" t="s">
        <v>37</v>
      </c>
      <c r="SJ358" s="12" t="s">
        <v>37</v>
      </c>
      <c r="SK358" s="13" t="s">
        <v>37</v>
      </c>
      <c r="SM358" s="12" t="s">
        <v>37</v>
      </c>
      <c r="SN358" s="12" t="s">
        <v>37</v>
      </c>
      <c r="SO358" s="13" t="s">
        <v>37</v>
      </c>
      <c r="SU358" s="12" t="s">
        <v>37</v>
      </c>
      <c r="SV358" s="12" t="s">
        <v>37</v>
      </c>
      <c r="SW358" s="12" t="s">
        <v>37</v>
      </c>
      <c r="SX358" s="12" t="s">
        <v>37</v>
      </c>
      <c r="SY358" s="12" t="s">
        <v>37</v>
      </c>
      <c r="SZ358" s="12" t="s">
        <v>37</v>
      </c>
      <c r="TA358" s="12"/>
      <c r="TB358" s="12"/>
      <c r="TE358" s="12" t="s">
        <v>37</v>
      </c>
      <c r="TF358" s="12" t="s">
        <v>37</v>
      </c>
      <c r="TG358" s="12" t="s">
        <v>37</v>
      </c>
      <c r="TH358" s="12" t="s">
        <v>37</v>
      </c>
      <c r="TI358" s="12" t="s">
        <v>37</v>
      </c>
      <c r="TJ358" s="12" t="s">
        <v>37</v>
      </c>
      <c r="TK358" s="12"/>
      <c r="TL358" s="12"/>
      <c r="TO358" s="12" t="s">
        <v>37</v>
      </c>
      <c r="TP358" s="12" t="s">
        <v>37</v>
      </c>
      <c r="TQ358" s="12" t="s">
        <v>37</v>
      </c>
      <c r="TR358" s="12" t="s">
        <v>37</v>
      </c>
      <c r="TS358" s="12" t="s">
        <v>37</v>
      </c>
      <c r="TT358" s="12" t="s">
        <v>37</v>
      </c>
      <c r="TU358" s="12"/>
      <c r="TV358" s="12"/>
      <c r="TY358" s="12" t="s">
        <v>37</v>
      </c>
      <c r="TZ358" s="12" t="s">
        <v>37</v>
      </c>
      <c r="UA358" s="12" t="s">
        <v>37</v>
      </c>
      <c r="UB358" s="12" t="s">
        <v>37</v>
      </c>
      <c r="UC358" s="12" t="s">
        <v>37</v>
      </c>
      <c r="UD358" s="12" t="s">
        <v>37</v>
      </c>
      <c r="UE358" s="12"/>
      <c r="UF358" s="12"/>
      <c r="UI358" s="12" t="s">
        <v>37</v>
      </c>
      <c r="UJ358" s="12" t="s">
        <v>37</v>
      </c>
      <c r="UK358" s="12" t="s">
        <v>37</v>
      </c>
      <c r="UL358" s="12" t="s">
        <v>37</v>
      </c>
      <c r="UM358" s="12" t="s">
        <v>37</v>
      </c>
      <c r="UN358" s="12" t="s">
        <v>37</v>
      </c>
      <c r="UO358" s="12"/>
      <c r="UP358" s="12"/>
      <c r="UR358" s="12" t="s">
        <v>37</v>
      </c>
      <c r="US358" s="12" t="s">
        <v>37</v>
      </c>
      <c r="UT358" s="12" t="s">
        <v>37</v>
      </c>
      <c r="UU358" s="12" t="s">
        <v>37</v>
      </c>
      <c r="UV358" s="12" t="s">
        <v>37</v>
      </c>
      <c r="UW358" s="12" t="s">
        <v>37</v>
      </c>
      <c r="UX358" s="12"/>
      <c r="UY358" s="12"/>
      <c r="VB358" s="12" t="s">
        <v>37</v>
      </c>
      <c r="VC358" s="12" t="s">
        <v>37</v>
      </c>
      <c r="VD358" s="12" t="s">
        <v>37</v>
      </c>
      <c r="VE358" s="12" t="s">
        <v>37</v>
      </c>
      <c r="VF358" s="12" t="s">
        <v>37</v>
      </c>
      <c r="VG358" s="12" t="s">
        <v>37</v>
      </c>
      <c r="VI358" s="12" t="s">
        <v>37</v>
      </c>
      <c r="VJ358" s="12" t="s">
        <v>37</v>
      </c>
      <c r="VK358" s="12" t="s">
        <v>37</v>
      </c>
      <c r="VL358" s="12" t="s">
        <v>37</v>
      </c>
      <c r="VM358" s="12" t="s">
        <v>37</v>
      </c>
      <c r="VN358" s="12" t="s">
        <v>37</v>
      </c>
      <c r="VQ358" s="12" t="s">
        <v>37</v>
      </c>
      <c r="VR358" s="12" t="s">
        <v>37</v>
      </c>
      <c r="VS358" s="12" t="s">
        <v>37</v>
      </c>
      <c r="VT358" s="12" t="s">
        <v>37</v>
      </c>
      <c r="VU358" s="12" t="s">
        <v>37</v>
      </c>
      <c r="VV358" s="12" t="s">
        <v>37</v>
      </c>
      <c r="VW358" s="12"/>
      <c r="VX358" s="12"/>
      <c r="WA358" s="12" t="s">
        <v>37</v>
      </c>
      <c r="WB358" s="12" t="s">
        <v>37</v>
      </c>
      <c r="WC358" s="12" t="s">
        <v>37</v>
      </c>
      <c r="WD358" s="12" t="s">
        <v>37</v>
      </c>
      <c r="WE358" s="12" t="s">
        <v>37</v>
      </c>
      <c r="WF358" s="12" t="s">
        <v>37</v>
      </c>
    </row>
    <row r="359" spans="1:604" ht="18" customHeight="1" x14ac:dyDescent="0.3">
      <c r="A359" s="11">
        <v>76</v>
      </c>
      <c r="B359" s="16" t="s">
        <v>938</v>
      </c>
      <c r="C359" s="12" t="s">
        <v>26</v>
      </c>
      <c r="D359" s="12" t="s">
        <v>54</v>
      </c>
      <c r="E359" s="40" t="s">
        <v>37</v>
      </c>
      <c r="F359" s="14">
        <v>0</v>
      </c>
      <c r="G359" s="14">
        <v>0</v>
      </c>
      <c r="H359" s="12" t="s">
        <v>145</v>
      </c>
      <c r="I359" s="29">
        <v>48.975999999999999</v>
      </c>
      <c r="J359" s="29">
        <v>13.459</v>
      </c>
      <c r="K359" s="12" t="s">
        <v>785</v>
      </c>
      <c r="L359" s="12" t="s">
        <v>786</v>
      </c>
      <c r="M359" s="13">
        <v>1200</v>
      </c>
      <c r="N359" s="14">
        <v>3.2</v>
      </c>
      <c r="O359" s="14">
        <v>1300</v>
      </c>
      <c r="P359" s="14" t="s">
        <v>16</v>
      </c>
      <c r="Q359" s="75">
        <v>50</v>
      </c>
      <c r="R359" s="11" t="s">
        <v>999</v>
      </c>
      <c r="S359" s="12" t="s">
        <v>93</v>
      </c>
      <c r="T359" s="12" t="s">
        <v>141</v>
      </c>
      <c r="U359" s="12" t="s">
        <v>163</v>
      </c>
      <c r="V359" s="12" t="s">
        <v>275</v>
      </c>
      <c r="W359" s="23" t="s">
        <v>448</v>
      </c>
      <c r="X359" s="12" t="s">
        <v>282</v>
      </c>
      <c r="Y359" s="12" t="s">
        <v>37</v>
      </c>
      <c r="Z359" s="12" t="s">
        <v>37</v>
      </c>
      <c r="AB359" s="12" t="s">
        <v>37</v>
      </c>
      <c r="AE359" s="12" t="s">
        <v>37</v>
      </c>
      <c r="AH359" s="12" t="s">
        <v>37</v>
      </c>
      <c r="AK359" s="12" t="s">
        <v>37</v>
      </c>
      <c r="AL359" s="32" t="s">
        <v>449</v>
      </c>
      <c r="AM359" s="12" t="s">
        <v>317</v>
      </c>
      <c r="AN359" s="32" t="s">
        <v>880</v>
      </c>
      <c r="AO359" s="12" t="s">
        <v>37</v>
      </c>
      <c r="AP359" s="12" t="s">
        <v>167</v>
      </c>
      <c r="AQ359" s="12" t="s">
        <v>975</v>
      </c>
      <c r="AT359" s="12" t="s">
        <v>326</v>
      </c>
      <c r="AU359" s="12" t="s">
        <v>326</v>
      </c>
      <c r="AV359" s="13" t="s">
        <v>326</v>
      </c>
      <c r="AX359" s="12" t="s">
        <v>326</v>
      </c>
      <c r="AY359" s="12" t="s">
        <v>326</v>
      </c>
      <c r="AZ359" s="13" t="s">
        <v>326</v>
      </c>
      <c r="BE359" s="12" t="s">
        <v>326</v>
      </c>
      <c r="BF359" s="12" t="s">
        <v>326</v>
      </c>
      <c r="BG359" s="12" t="s">
        <v>326</v>
      </c>
      <c r="BI359" s="12" t="s">
        <v>326</v>
      </c>
      <c r="BJ359" s="12" t="s">
        <v>326</v>
      </c>
      <c r="BK359" s="12" t="s">
        <v>326</v>
      </c>
      <c r="BP359" s="12" t="s">
        <v>37</v>
      </c>
      <c r="BQ359" s="12" t="s">
        <v>37</v>
      </c>
      <c r="BR359" s="13" t="s">
        <v>37</v>
      </c>
      <c r="BT359" s="12" t="s">
        <v>37</v>
      </c>
      <c r="BU359" s="12" t="s">
        <v>37</v>
      </c>
      <c r="BV359" s="12" t="s">
        <v>37</v>
      </c>
      <c r="BZ359" s="12" t="s">
        <v>581</v>
      </c>
      <c r="CA359" s="12">
        <f>-756.1*10^4/10^3/'[6]classess-1'!$T$52</f>
        <v>-8439.7813360929867</v>
      </c>
      <c r="CB359" s="50">
        <f t="shared" si="1346"/>
        <v>2057.7069747914984</v>
      </c>
      <c r="CC359" s="13">
        <v>3</v>
      </c>
      <c r="CE359" s="12">
        <f>-596.4*10^4/10^3/'[6]classess-1'!$T$53</f>
        <v>-6425.7832666283757</v>
      </c>
      <c r="CF359" s="50">
        <f t="shared" si="1347"/>
        <v>2392.1205306105239</v>
      </c>
      <c r="CG359" s="13">
        <v>3</v>
      </c>
      <c r="CI359" s="75">
        <f t="shared" si="1323"/>
        <v>2013.998069464611</v>
      </c>
      <c r="CJ359" s="12">
        <f t="shared" si="1324"/>
        <v>2231.1878705158329</v>
      </c>
      <c r="CK359" s="72">
        <f t="shared" si="1325"/>
        <v>3318799.5423579849</v>
      </c>
      <c r="CL359" s="72">
        <f t="shared" si="1326"/>
        <v>3318799.5423579849</v>
      </c>
      <c r="CM359" s="12" t="s">
        <v>581</v>
      </c>
      <c r="CN359" s="12">
        <f>413.6*10^4/10^3/'[6]classess-1'!$I$52</f>
        <v>5436.6394443079935</v>
      </c>
      <c r="CO359" s="50">
        <f t="shared" si="1348"/>
        <v>1563.7259760881216</v>
      </c>
      <c r="CP359" s="13">
        <v>3</v>
      </c>
      <c r="CR359" s="12">
        <f>612.6*10^4/10^3/'[6]classess-1'!$I$53</f>
        <v>7678.4238876488043</v>
      </c>
      <c r="CS359" s="50">
        <f t="shared" si="1349"/>
        <v>2014.7506275377307</v>
      </c>
      <c r="CT359" s="13">
        <v>3</v>
      </c>
      <c r="CV359" s="75">
        <f t="shared" si="1329"/>
        <v>2241.7844433408109</v>
      </c>
      <c r="CW359" s="12">
        <f t="shared" si="1330"/>
        <v>1803.3938864619161</v>
      </c>
      <c r="CX359" s="72">
        <f t="shared" si="1331"/>
        <v>2168153.0064854757</v>
      </c>
      <c r="CY359" s="72">
        <f t="shared" si="1332"/>
        <v>2168153.0064854762</v>
      </c>
      <c r="CZ359" s="12" t="s">
        <v>581</v>
      </c>
      <c r="DA359" s="12">
        <f>CA359+CN359</f>
        <v>-3003.1418917849933</v>
      </c>
      <c r="DB359" s="50">
        <f t="shared" si="1350"/>
        <v>9008.3942723581713</v>
      </c>
      <c r="DC359" s="13">
        <v>3</v>
      </c>
      <c r="DE359" s="12">
        <f t="shared" si="1357"/>
        <v>1252.6406210204286</v>
      </c>
      <c r="DF359" s="50">
        <f t="shared" si="1351"/>
        <v>1193.9453817727929</v>
      </c>
      <c r="DG359" s="13">
        <v>3</v>
      </c>
      <c r="DI359" s="19">
        <f t="shared" si="1335"/>
        <v>4255.7825128054219</v>
      </c>
      <c r="DJ359" s="12">
        <f t="shared" si="1336"/>
        <v>6425.6000864087428</v>
      </c>
      <c r="DK359" s="72">
        <f t="shared" si="1337"/>
        <v>27525557.646970693</v>
      </c>
      <c r="DL359" s="72">
        <f t="shared" si="1338"/>
        <v>27525557.646970697</v>
      </c>
      <c r="DM359" s="12" t="s">
        <v>47</v>
      </c>
      <c r="DN359" s="19">
        <f>7.9*10^4/10^3/'[1]classes-1'!$I$36</f>
        <v>109.11966702048591</v>
      </c>
      <c r="DO359" s="50">
        <f t="shared" si="1352"/>
        <v>121.65525680116704</v>
      </c>
      <c r="DP359" s="13">
        <v>3</v>
      </c>
      <c r="DR359" s="19">
        <f>0.3*10^4/10^3/'[1]classes-1'!$I$39</f>
        <v>0.88063225655693134</v>
      </c>
      <c r="DS359" s="50">
        <f t="shared" si="1353"/>
        <v>3.2911132187822396</v>
      </c>
      <c r="DT359" s="13">
        <v>3</v>
      </c>
      <c r="DV359" s="19">
        <f t="shared" si="1354"/>
        <v>-108.23903476392897</v>
      </c>
      <c r="DW359" s="12">
        <f t="shared" si="1355"/>
        <v>86.054729485301223</v>
      </c>
      <c r="DX359" s="72">
        <f t="shared" si="1358"/>
        <v>4936.9443111922474</v>
      </c>
      <c r="DY359" s="72">
        <f t="shared" si="1359"/>
        <v>4936.9443111922474</v>
      </c>
      <c r="EA359" s="19" t="s">
        <v>37</v>
      </c>
      <c r="EB359" s="19" t="s">
        <v>37</v>
      </c>
      <c r="EC359" s="72" t="s">
        <v>37</v>
      </c>
      <c r="EE359" s="19" t="s">
        <v>37</v>
      </c>
      <c r="EF359" s="19" t="s">
        <v>37</v>
      </c>
      <c r="EG359" s="12" t="s">
        <v>37</v>
      </c>
      <c r="EM359" s="12" t="s">
        <v>39</v>
      </c>
      <c r="EN359" s="12">
        <v>-10.199999999999999</v>
      </c>
      <c r="EO359" s="12">
        <v>4.7</v>
      </c>
      <c r="EP359" s="13">
        <v>3</v>
      </c>
      <c r="EQ359" s="19">
        <f t="shared" si="1341"/>
        <v>0.46078431372549022</v>
      </c>
      <c r="ER359" s="12">
        <v>-57.1</v>
      </c>
      <c r="ES359" s="12">
        <v>7.4</v>
      </c>
      <c r="ET359" s="13">
        <v>1</v>
      </c>
      <c r="EU359" s="19">
        <f t="shared" si="1342"/>
        <v>0.12959719789842383</v>
      </c>
      <c r="EV359" s="19">
        <f t="shared" si="1317"/>
        <v>-46.900000000000006</v>
      </c>
      <c r="EW359" s="12">
        <f t="shared" si="1318"/>
        <v>4.7</v>
      </c>
      <c r="EX359" s="19">
        <f t="shared" si="1319"/>
        <v>29.453333333333337</v>
      </c>
      <c r="EY359" s="19">
        <f t="shared" si="1320"/>
        <v>62.123333333333342</v>
      </c>
      <c r="FB359" s="12" t="s">
        <v>37</v>
      </c>
      <c r="FC359" s="12" t="s">
        <v>37</v>
      </c>
      <c r="FD359" s="12" t="s">
        <v>37</v>
      </c>
      <c r="FE359" s="12" t="s">
        <v>37</v>
      </c>
      <c r="FF359" s="20" t="s">
        <v>37</v>
      </c>
      <c r="FG359" s="12" t="s">
        <v>37</v>
      </c>
      <c r="FI359" s="12" t="s">
        <v>37</v>
      </c>
      <c r="FJ359" s="12" t="s">
        <v>37</v>
      </c>
      <c r="FK359" s="12" t="s">
        <v>37</v>
      </c>
      <c r="FL359" s="12" t="s">
        <v>37</v>
      </c>
      <c r="FM359" s="12" t="s">
        <v>37</v>
      </c>
      <c r="FN359" s="12" t="s">
        <v>37</v>
      </c>
      <c r="FP359" s="12" t="s">
        <v>37</v>
      </c>
      <c r="FQ359" s="12" t="s">
        <v>37</v>
      </c>
      <c r="FR359" s="12" t="s">
        <v>37</v>
      </c>
      <c r="FS359" s="12" t="s">
        <v>37</v>
      </c>
      <c r="FT359" s="12" t="s">
        <v>37</v>
      </c>
      <c r="FU359" s="12" t="s">
        <v>37</v>
      </c>
      <c r="FW359" s="12" t="s">
        <v>37</v>
      </c>
      <c r="FX359" s="12" t="s">
        <v>37</v>
      </c>
      <c r="FY359" s="12" t="s">
        <v>37</v>
      </c>
      <c r="FZ359" s="12" t="s">
        <v>37</v>
      </c>
      <c r="GA359" s="12" t="s">
        <v>37</v>
      </c>
      <c r="GB359" s="12" t="s">
        <v>37</v>
      </c>
      <c r="IK359" s="12" t="s">
        <v>37</v>
      </c>
      <c r="IL359" s="12" t="s">
        <v>37</v>
      </c>
      <c r="IM359" s="12" t="s">
        <v>37</v>
      </c>
      <c r="IO359" s="12" t="s">
        <v>37</v>
      </c>
      <c r="IP359" s="12" t="s">
        <v>37</v>
      </c>
      <c r="IQ359" s="12" t="s">
        <v>37</v>
      </c>
      <c r="IW359" s="12" t="s">
        <v>37</v>
      </c>
      <c r="IX359" s="12" t="s">
        <v>37</v>
      </c>
      <c r="IY359" s="13" t="s">
        <v>37</v>
      </c>
      <c r="JA359" s="12" t="s">
        <v>37</v>
      </c>
      <c r="JB359" s="12" t="s">
        <v>37</v>
      </c>
      <c r="JC359" s="13" t="s">
        <v>37</v>
      </c>
      <c r="JH359" s="12" t="s">
        <v>37</v>
      </c>
      <c r="JI359" s="12" t="s">
        <v>37</v>
      </c>
      <c r="JJ359" s="13" t="s">
        <v>37</v>
      </c>
      <c r="JL359" s="12" t="s">
        <v>37</v>
      </c>
      <c r="JM359" s="12" t="s">
        <v>37</v>
      </c>
      <c r="JN359" s="12" t="s">
        <v>37</v>
      </c>
      <c r="JS359" s="12" t="s">
        <v>37</v>
      </c>
      <c r="JT359" s="12" t="s">
        <v>37</v>
      </c>
      <c r="JU359" s="13" t="s">
        <v>37</v>
      </c>
      <c r="JW359" s="12" t="s">
        <v>37</v>
      </c>
      <c r="JX359" s="12" t="s">
        <v>37</v>
      </c>
      <c r="JY359" s="12" t="s">
        <v>37</v>
      </c>
      <c r="KE359" s="12" t="s">
        <v>37</v>
      </c>
      <c r="KF359" s="12" t="s">
        <v>37</v>
      </c>
      <c r="KG359" s="13" t="s">
        <v>37</v>
      </c>
      <c r="KH359" s="12" t="s">
        <v>37</v>
      </c>
      <c r="KI359" s="12" t="s">
        <v>37</v>
      </c>
      <c r="KJ359" s="12" t="s">
        <v>37</v>
      </c>
      <c r="KM359" s="12" t="s">
        <v>37</v>
      </c>
      <c r="KN359" s="12" t="s">
        <v>37</v>
      </c>
      <c r="KO359" s="11" t="s">
        <v>37</v>
      </c>
      <c r="KQ359" s="12" t="s">
        <v>37</v>
      </c>
      <c r="KR359" s="12" t="s">
        <v>37</v>
      </c>
      <c r="KS359" s="12" t="s">
        <v>37</v>
      </c>
      <c r="KX359" s="12" t="s">
        <v>37</v>
      </c>
      <c r="KY359" s="12" t="s">
        <v>37</v>
      </c>
      <c r="KZ359" s="12" t="s">
        <v>37</v>
      </c>
      <c r="LB359" s="12" t="s">
        <v>37</v>
      </c>
      <c r="LC359" s="12" t="s">
        <v>37</v>
      </c>
      <c r="LD359" s="12" t="s">
        <v>37</v>
      </c>
      <c r="LI359" s="12" t="s">
        <v>37</v>
      </c>
      <c r="LJ359" s="12" t="s">
        <v>37</v>
      </c>
      <c r="LK359" s="12" t="s">
        <v>37</v>
      </c>
      <c r="LM359" s="12" t="s">
        <v>37</v>
      </c>
      <c r="LN359" s="12" t="s">
        <v>37</v>
      </c>
      <c r="LO359" s="12" t="s">
        <v>37</v>
      </c>
      <c r="LU359" s="12" t="s">
        <v>37</v>
      </c>
      <c r="LV359" s="12" t="s">
        <v>37</v>
      </c>
      <c r="LW359" s="12" t="s">
        <v>37</v>
      </c>
      <c r="LY359" s="12" t="s">
        <v>37</v>
      </c>
      <c r="LZ359" s="12" t="s">
        <v>37</v>
      </c>
      <c r="MA359" s="12" t="s">
        <v>37</v>
      </c>
      <c r="MF359" s="12" t="s">
        <v>37</v>
      </c>
      <c r="MG359" s="12" t="s">
        <v>37</v>
      </c>
      <c r="MH359" s="12" t="s">
        <v>37</v>
      </c>
      <c r="MJ359" s="12" t="s">
        <v>37</v>
      </c>
      <c r="MK359" s="12" t="s">
        <v>37</v>
      </c>
      <c r="ML359" s="12" t="s">
        <v>37</v>
      </c>
      <c r="MQ359" s="12" t="s">
        <v>37</v>
      </c>
      <c r="MR359" s="12" t="s">
        <v>37</v>
      </c>
      <c r="MS359" s="12" t="s">
        <v>37</v>
      </c>
      <c r="MU359" s="12" t="s">
        <v>37</v>
      </c>
      <c r="MV359" s="12" t="s">
        <v>37</v>
      </c>
      <c r="MW359" s="12" t="s">
        <v>37</v>
      </c>
      <c r="NC359" s="12" t="s">
        <v>37</v>
      </c>
      <c r="ND359" s="12" t="s">
        <v>37</v>
      </c>
      <c r="NE359" s="12" t="s">
        <v>37</v>
      </c>
      <c r="NG359" s="12" t="s">
        <v>37</v>
      </c>
      <c r="NH359" s="12" t="s">
        <v>37</v>
      </c>
      <c r="NI359" s="12" t="s">
        <v>37</v>
      </c>
      <c r="NO359" s="12" t="s">
        <v>37</v>
      </c>
      <c r="NP359" s="12" t="s">
        <v>37</v>
      </c>
      <c r="NQ359" s="12" t="s">
        <v>37</v>
      </c>
      <c r="NS359" s="12" t="s">
        <v>37</v>
      </c>
      <c r="NT359" s="12" t="s">
        <v>37</v>
      </c>
      <c r="NU359" s="12" t="s">
        <v>37</v>
      </c>
      <c r="OA359" s="12" t="s">
        <v>37</v>
      </c>
      <c r="OB359" s="12" t="s">
        <v>37</v>
      </c>
      <c r="OC359" s="12" t="s">
        <v>37</v>
      </c>
      <c r="OD359" s="12"/>
      <c r="OE359" s="12" t="s">
        <v>37</v>
      </c>
      <c r="OF359" s="12" t="s">
        <v>37</v>
      </c>
      <c r="OG359" s="12" t="s">
        <v>37</v>
      </c>
      <c r="OH359" s="12"/>
      <c r="OI359" s="12"/>
      <c r="OJ359" s="12"/>
      <c r="OM359" s="12" t="s">
        <v>37</v>
      </c>
      <c r="ON359" s="12" t="s">
        <v>37</v>
      </c>
      <c r="OO359" s="12" t="s">
        <v>37</v>
      </c>
      <c r="OP359" s="12" t="s">
        <v>37</v>
      </c>
      <c r="OQ359" s="12" t="s">
        <v>37</v>
      </c>
      <c r="OR359" s="12" t="s">
        <v>37</v>
      </c>
      <c r="OS359" s="12"/>
      <c r="OT359" s="12"/>
      <c r="OW359" s="12" t="s">
        <v>37</v>
      </c>
      <c r="OX359" s="12" t="s">
        <v>37</v>
      </c>
      <c r="OY359" s="13" t="s">
        <v>37</v>
      </c>
      <c r="OZ359" s="12" t="s">
        <v>37</v>
      </c>
      <c r="PA359" s="12" t="s">
        <v>37</v>
      </c>
      <c r="PB359" s="13" t="s">
        <v>37</v>
      </c>
      <c r="PG359" s="12" t="s">
        <v>37</v>
      </c>
      <c r="PH359" s="12" t="s">
        <v>37</v>
      </c>
      <c r="PI359" s="12" t="s">
        <v>37</v>
      </c>
      <c r="PJ359" s="12" t="s">
        <v>37</v>
      </c>
      <c r="PK359" s="12" t="s">
        <v>37</v>
      </c>
      <c r="PL359" s="12" t="s">
        <v>37</v>
      </c>
      <c r="PM359" s="12"/>
      <c r="PN359" s="12"/>
      <c r="PQ359" s="12" t="s">
        <v>37</v>
      </c>
      <c r="PR359" s="12" t="s">
        <v>37</v>
      </c>
      <c r="PS359" s="12" t="s">
        <v>37</v>
      </c>
      <c r="PT359" s="12" t="s">
        <v>37</v>
      </c>
      <c r="PU359" s="12" t="s">
        <v>37</v>
      </c>
      <c r="PV359" s="12" t="s">
        <v>37</v>
      </c>
      <c r="PW359" s="12"/>
      <c r="PX359" s="12"/>
      <c r="PZ359" s="12" t="s">
        <v>37</v>
      </c>
      <c r="QA359" s="12" t="s">
        <v>37</v>
      </c>
      <c r="QB359" s="12" t="s">
        <v>37</v>
      </c>
      <c r="QD359" s="12" t="s">
        <v>37</v>
      </c>
      <c r="QE359" s="12" t="s">
        <v>37</v>
      </c>
      <c r="QF359" s="12" t="s">
        <v>37</v>
      </c>
      <c r="QK359" s="12" t="s">
        <v>37</v>
      </c>
      <c r="QL359" s="12" t="s">
        <v>37</v>
      </c>
      <c r="QM359" s="12" t="s">
        <v>37</v>
      </c>
      <c r="QN359" s="12" t="s">
        <v>37</v>
      </c>
      <c r="QO359" s="12" t="s">
        <v>37</v>
      </c>
      <c r="QP359" s="12" t="s">
        <v>37</v>
      </c>
      <c r="QQ359" s="12"/>
      <c r="QR359" s="12"/>
      <c r="QU359" s="12" t="s">
        <v>37</v>
      </c>
      <c r="QV359" s="12" t="s">
        <v>37</v>
      </c>
      <c r="QW359" s="12" t="s">
        <v>37</v>
      </c>
      <c r="QX359" s="12" t="s">
        <v>37</v>
      </c>
      <c r="QY359" s="12" t="s">
        <v>37</v>
      </c>
      <c r="QZ359" s="12" t="s">
        <v>37</v>
      </c>
      <c r="RC359" s="12" t="s">
        <v>37</v>
      </c>
      <c r="RD359" s="12" t="s">
        <v>37</v>
      </c>
      <c r="RE359" s="13" t="s">
        <v>37</v>
      </c>
      <c r="RF359" s="12" t="s">
        <v>37</v>
      </c>
      <c r="RG359" s="12" t="s">
        <v>37</v>
      </c>
      <c r="RH359" s="13" t="s">
        <v>37</v>
      </c>
      <c r="RK359" s="12" t="s">
        <v>37</v>
      </c>
      <c r="RL359" s="12" t="s">
        <v>37</v>
      </c>
      <c r="RM359" s="11" t="s">
        <v>37</v>
      </c>
      <c r="RN359" s="12" t="s">
        <v>37</v>
      </c>
      <c r="RO359" s="12" t="s">
        <v>37</v>
      </c>
      <c r="RP359" s="11" t="s">
        <v>37</v>
      </c>
      <c r="RS359" s="12" t="s">
        <v>37</v>
      </c>
      <c r="RT359" s="12" t="s">
        <v>37</v>
      </c>
      <c r="RU359" s="12" t="s">
        <v>37</v>
      </c>
      <c r="RV359" s="12" t="s">
        <v>37</v>
      </c>
      <c r="RW359" s="12" t="s">
        <v>37</v>
      </c>
      <c r="RX359" s="12" t="s">
        <v>37</v>
      </c>
      <c r="SA359" s="12" t="s">
        <v>37</v>
      </c>
      <c r="SB359" s="12" t="s">
        <v>37</v>
      </c>
      <c r="SC359" s="12" t="s">
        <v>37</v>
      </c>
      <c r="SD359" s="12" t="s">
        <v>37</v>
      </c>
      <c r="SE359" s="12" t="s">
        <v>37</v>
      </c>
      <c r="SF359" s="12" t="s">
        <v>37</v>
      </c>
      <c r="SI359" s="12" t="s">
        <v>37</v>
      </c>
      <c r="SJ359" s="12" t="s">
        <v>37</v>
      </c>
      <c r="SK359" s="13" t="s">
        <v>37</v>
      </c>
      <c r="SM359" s="12" t="s">
        <v>37</v>
      </c>
      <c r="SN359" s="12" t="s">
        <v>37</v>
      </c>
      <c r="SO359" s="13" t="s">
        <v>37</v>
      </c>
      <c r="SU359" s="12" t="s">
        <v>37</v>
      </c>
      <c r="SV359" s="12" t="s">
        <v>37</v>
      </c>
      <c r="SW359" s="12" t="s">
        <v>37</v>
      </c>
      <c r="SX359" s="12" t="s">
        <v>37</v>
      </c>
      <c r="SY359" s="12" t="s">
        <v>37</v>
      </c>
      <c r="SZ359" s="12" t="s">
        <v>37</v>
      </c>
      <c r="TA359" s="12"/>
      <c r="TB359" s="12"/>
      <c r="TE359" s="12" t="s">
        <v>37</v>
      </c>
      <c r="TF359" s="12" t="s">
        <v>37</v>
      </c>
      <c r="TG359" s="12" t="s">
        <v>37</v>
      </c>
      <c r="TH359" s="12" t="s">
        <v>37</v>
      </c>
      <c r="TI359" s="12" t="s">
        <v>37</v>
      </c>
      <c r="TJ359" s="12" t="s">
        <v>37</v>
      </c>
      <c r="TK359" s="12"/>
      <c r="TL359" s="12"/>
      <c r="TO359" s="12" t="s">
        <v>37</v>
      </c>
      <c r="TP359" s="12" t="s">
        <v>37</v>
      </c>
      <c r="TQ359" s="12" t="s">
        <v>37</v>
      </c>
      <c r="TR359" s="12" t="s">
        <v>37</v>
      </c>
      <c r="TS359" s="12" t="s">
        <v>37</v>
      </c>
      <c r="TT359" s="12" t="s">
        <v>37</v>
      </c>
      <c r="TU359" s="12"/>
      <c r="TV359" s="12"/>
      <c r="TY359" s="12" t="s">
        <v>37</v>
      </c>
      <c r="TZ359" s="12" t="s">
        <v>37</v>
      </c>
      <c r="UA359" s="12" t="s">
        <v>37</v>
      </c>
      <c r="UB359" s="12" t="s">
        <v>37</v>
      </c>
      <c r="UC359" s="12" t="s">
        <v>37</v>
      </c>
      <c r="UD359" s="12" t="s">
        <v>37</v>
      </c>
      <c r="UE359" s="12"/>
      <c r="UF359" s="12"/>
      <c r="UI359" s="12" t="s">
        <v>37</v>
      </c>
      <c r="UJ359" s="12" t="s">
        <v>37</v>
      </c>
      <c r="UK359" s="12" t="s">
        <v>37</v>
      </c>
      <c r="UL359" s="12" t="s">
        <v>37</v>
      </c>
      <c r="UM359" s="12" t="s">
        <v>37</v>
      </c>
      <c r="UN359" s="12" t="s">
        <v>37</v>
      </c>
      <c r="UO359" s="12"/>
      <c r="UP359" s="12"/>
      <c r="UR359" s="12" t="s">
        <v>37</v>
      </c>
      <c r="US359" s="12" t="s">
        <v>37</v>
      </c>
      <c r="UT359" s="12" t="s">
        <v>37</v>
      </c>
      <c r="UU359" s="12" t="s">
        <v>37</v>
      </c>
      <c r="UV359" s="12" t="s">
        <v>37</v>
      </c>
      <c r="UW359" s="12" t="s">
        <v>37</v>
      </c>
      <c r="UX359" s="12"/>
      <c r="UY359" s="12"/>
      <c r="VB359" s="12" t="s">
        <v>37</v>
      </c>
      <c r="VC359" s="12" t="s">
        <v>37</v>
      </c>
      <c r="VD359" s="12" t="s">
        <v>37</v>
      </c>
      <c r="VE359" s="12" t="s">
        <v>37</v>
      </c>
      <c r="VF359" s="12" t="s">
        <v>37</v>
      </c>
      <c r="VG359" s="12" t="s">
        <v>37</v>
      </c>
      <c r="VI359" s="12" t="s">
        <v>37</v>
      </c>
      <c r="VJ359" s="12" t="s">
        <v>37</v>
      </c>
      <c r="VK359" s="12" t="s">
        <v>37</v>
      </c>
      <c r="VL359" s="12" t="s">
        <v>37</v>
      </c>
      <c r="VM359" s="12" t="s">
        <v>37</v>
      </c>
      <c r="VN359" s="12" t="s">
        <v>37</v>
      </c>
      <c r="VQ359" s="12" t="s">
        <v>37</v>
      </c>
      <c r="VR359" s="12" t="s">
        <v>37</v>
      </c>
      <c r="VS359" s="12" t="s">
        <v>37</v>
      </c>
      <c r="VT359" s="12" t="s">
        <v>37</v>
      </c>
      <c r="VU359" s="12" t="s">
        <v>37</v>
      </c>
      <c r="VV359" s="12" t="s">
        <v>37</v>
      </c>
      <c r="VW359" s="12"/>
      <c r="VX359" s="12"/>
      <c r="WA359" s="12" t="s">
        <v>37</v>
      </c>
      <c r="WB359" s="12" t="s">
        <v>37</v>
      </c>
      <c r="WC359" s="12" t="s">
        <v>37</v>
      </c>
      <c r="WD359" s="12" t="s">
        <v>37</v>
      </c>
      <c r="WE359" s="12" t="s">
        <v>37</v>
      </c>
      <c r="WF359" s="12" t="s">
        <v>37</v>
      </c>
    </row>
    <row r="360" spans="1:604" ht="18" customHeight="1" x14ac:dyDescent="0.3">
      <c r="A360" s="11">
        <v>77</v>
      </c>
      <c r="B360" s="16" t="s">
        <v>450</v>
      </c>
      <c r="C360" s="12" t="s">
        <v>26</v>
      </c>
      <c r="D360" s="12" t="s">
        <v>973</v>
      </c>
      <c r="E360" s="40">
        <v>2</v>
      </c>
      <c r="F360" s="14">
        <v>0</v>
      </c>
      <c r="G360" s="14">
        <v>0</v>
      </c>
      <c r="H360" s="12" t="s">
        <v>131</v>
      </c>
      <c r="I360" s="29">
        <v>52.466999999999999</v>
      </c>
      <c r="J360" s="29">
        <v>-3.75</v>
      </c>
      <c r="K360" s="12" t="s">
        <v>671</v>
      </c>
      <c r="L360" s="12" t="s">
        <v>672</v>
      </c>
      <c r="M360" s="13" t="s">
        <v>37</v>
      </c>
      <c r="N360" s="13" t="s">
        <v>37</v>
      </c>
      <c r="O360" s="13" t="s">
        <v>37</v>
      </c>
      <c r="P360" s="14" t="s">
        <v>16</v>
      </c>
      <c r="Q360" s="75">
        <f>1/12</f>
        <v>8.3333333333333329E-2</v>
      </c>
      <c r="R360" s="11" t="s">
        <v>1000</v>
      </c>
      <c r="S360" s="12" t="s">
        <v>93</v>
      </c>
      <c r="T360" s="12" t="s">
        <v>141</v>
      </c>
      <c r="U360" s="12" t="s">
        <v>158</v>
      </c>
      <c r="V360" s="12" t="s">
        <v>275</v>
      </c>
      <c r="W360" s="23" t="s">
        <v>451</v>
      </c>
      <c r="X360" s="12" t="s">
        <v>281</v>
      </c>
      <c r="Y360" s="12" t="s">
        <v>37</v>
      </c>
      <c r="Z360" s="12" t="s">
        <v>37</v>
      </c>
      <c r="AB360" s="12" t="s">
        <v>37</v>
      </c>
      <c r="AE360" s="12" t="s">
        <v>37</v>
      </c>
      <c r="AH360" s="12" t="s">
        <v>37</v>
      </c>
      <c r="AK360" s="12" t="s">
        <v>37</v>
      </c>
      <c r="AL360" s="32" t="s">
        <v>452</v>
      </c>
      <c r="AM360" s="12" t="s">
        <v>344</v>
      </c>
      <c r="AO360" s="12" t="s">
        <v>37</v>
      </c>
      <c r="AP360" s="12" t="s">
        <v>167</v>
      </c>
      <c r="AQ360" s="12" t="s">
        <v>975</v>
      </c>
      <c r="AT360" s="12" t="s">
        <v>326</v>
      </c>
      <c r="AU360" s="12" t="s">
        <v>326</v>
      </c>
      <c r="AV360" s="13" t="s">
        <v>326</v>
      </c>
      <c r="AX360" s="12" t="s">
        <v>326</v>
      </c>
      <c r="AY360" s="12" t="s">
        <v>326</v>
      </c>
      <c r="AZ360" s="13" t="s">
        <v>326</v>
      </c>
      <c r="BE360" s="12" t="s">
        <v>326</v>
      </c>
      <c r="BF360" s="12" t="s">
        <v>326</v>
      </c>
      <c r="BG360" s="12" t="s">
        <v>326</v>
      </c>
      <c r="BI360" s="12" t="s">
        <v>326</v>
      </c>
      <c r="BJ360" s="12" t="s">
        <v>326</v>
      </c>
      <c r="BK360" s="12" t="s">
        <v>326</v>
      </c>
      <c r="BP360" s="12" t="s">
        <v>37</v>
      </c>
      <c r="BQ360" s="12" t="s">
        <v>37</v>
      </c>
      <c r="BR360" s="13" t="s">
        <v>37</v>
      </c>
      <c r="BT360" s="12" t="s">
        <v>37</v>
      </c>
      <c r="BU360" s="12" t="s">
        <v>37</v>
      </c>
      <c r="BV360" s="12" t="s">
        <v>37</v>
      </c>
      <c r="CA360" s="12" t="s">
        <v>37</v>
      </c>
      <c r="CB360" s="12" t="s">
        <v>37</v>
      </c>
      <c r="CC360" s="13" t="s">
        <v>37</v>
      </c>
      <c r="CE360" s="12" t="s">
        <v>37</v>
      </c>
      <c r="CF360" s="12" t="s">
        <v>37</v>
      </c>
      <c r="CG360" s="12" t="s">
        <v>37</v>
      </c>
      <c r="CN360" s="12" t="s">
        <v>37</v>
      </c>
      <c r="CO360" s="12" t="s">
        <v>37</v>
      </c>
      <c r="CP360" s="13" t="s">
        <v>37</v>
      </c>
      <c r="CR360" s="12" t="s">
        <v>37</v>
      </c>
      <c r="CS360" s="12" t="s">
        <v>37</v>
      </c>
      <c r="CT360" s="13" t="s">
        <v>37</v>
      </c>
      <c r="CX360" s="72"/>
      <c r="CY360" s="72"/>
      <c r="DA360" s="12" t="s">
        <v>37</v>
      </c>
      <c r="DB360" s="12" t="s">
        <v>37</v>
      </c>
      <c r="DC360" s="13" t="s">
        <v>37</v>
      </c>
      <c r="DE360" s="12" t="s">
        <v>37</v>
      </c>
      <c r="DF360" s="12" t="s">
        <v>37</v>
      </c>
      <c r="DG360" s="12" t="s">
        <v>37</v>
      </c>
      <c r="DM360" s="12" t="s">
        <v>47</v>
      </c>
      <c r="DN360" s="19">
        <f>0.898821218074657*365*10^4*24/10^6</f>
        <v>78.736738703339938</v>
      </c>
      <c r="DO360" s="12">
        <f>0.31503484514482*365*10^4*24/10^6</f>
        <v>27.597052434686233</v>
      </c>
      <c r="DP360" s="13">
        <v>8</v>
      </c>
      <c r="DQ360" s="19">
        <f t="shared" ref="DQ360:DQ363" si="1360">DO360/ABS(DN360)</f>
        <v>0.35049778399718751</v>
      </c>
      <c r="DR360" s="19">
        <f>1.42927308447937*365*10^4*24/10^6</f>
        <v>125.2043222003928</v>
      </c>
      <c r="DS360" s="12">
        <f>2.12447714607393*365*10^4*24/10^6</f>
        <v>186.10419799607629</v>
      </c>
      <c r="DT360" s="13">
        <v>8</v>
      </c>
      <c r="DU360" s="19">
        <f t="shared" ref="DU360:DU363" si="1361">DS360/ABS(DR360)</f>
        <v>1.4864039413768133</v>
      </c>
      <c r="DV360" s="19">
        <f t="shared" si="1354"/>
        <v>46.467583497052857</v>
      </c>
      <c r="DW360" s="12">
        <f t="shared" si="1355"/>
        <v>133.03452524597816</v>
      </c>
      <c r="DX360" s="72">
        <f t="shared" si="1358"/>
        <v>4424.5462268556994</v>
      </c>
      <c r="DY360" s="72">
        <f t="shared" si="1359"/>
        <v>4424.5462268556994</v>
      </c>
      <c r="EA360" s="19" t="s">
        <v>37</v>
      </c>
      <c r="EB360" s="19" t="s">
        <v>37</v>
      </c>
      <c r="EC360" s="72" t="s">
        <v>37</v>
      </c>
      <c r="EE360" s="19" t="s">
        <v>37</v>
      </c>
      <c r="EF360" s="19" t="s">
        <v>37</v>
      </c>
      <c r="EG360" s="12" t="s">
        <v>37</v>
      </c>
      <c r="EM360" s="12" t="s">
        <v>39</v>
      </c>
      <c r="EN360" s="12">
        <v>0</v>
      </c>
      <c r="EO360" s="50">
        <f>ABS(EN360)*EQ$474</f>
        <v>0</v>
      </c>
      <c r="EP360" s="13">
        <v>8</v>
      </c>
      <c r="ER360" s="12">
        <v>-20</v>
      </c>
      <c r="ES360" s="50">
        <f>ABS(ER360)*EU$474</f>
        <v>4.5362810701838834</v>
      </c>
      <c r="ET360" s="13">
        <v>8</v>
      </c>
      <c r="EV360" s="19">
        <f t="shared" si="1317"/>
        <v>-20</v>
      </c>
      <c r="EW360" s="12">
        <f t="shared" si="1318"/>
        <v>3.2076351060951933</v>
      </c>
      <c r="EX360" s="19">
        <f t="shared" si="1319"/>
        <v>2.5722307434635803</v>
      </c>
      <c r="EY360" s="19">
        <f t="shared" si="1320"/>
        <v>2.5722307434635798</v>
      </c>
      <c r="FB360" s="12" t="s">
        <v>37</v>
      </c>
      <c r="FC360" s="12" t="s">
        <v>37</v>
      </c>
      <c r="FD360" s="12" t="s">
        <v>37</v>
      </c>
      <c r="FE360" s="12" t="s">
        <v>37</v>
      </c>
      <c r="FF360" s="20" t="s">
        <v>37</v>
      </c>
      <c r="FG360" s="12" t="s">
        <v>37</v>
      </c>
      <c r="FI360" s="12" t="s">
        <v>37</v>
      </c>
      <c r="FJ360" s="12" t="s">
        <v>37</v>
      </c>
      <c r="FK360" s="12" t="s">
        <v>37</v>
      </c>
      <c r="FL360" s="12" t="s">
        <v>37</v>
      </c>
      <c r="FM360" s="12" t="s">
        <v>37</v>
      </c>
      <c r="FN360" s="12" t="s">
        <v>37</v>
      </c>
      <c r="FP360" s="12" t="s">
        <v>37</v>
      </c>
      <c r="FQ360" s="12" t="s">
        <v>37</v>
      </c>
      <c r="FR360" s="12" t="s">
        <v>37</v>
      </c>
      <c r="FS360" s="12" t="s">
        <v>37</v>
      </c>
      <c r="FT360" s="12" t="s">
        <v>37</v>
      </c>
      <c r="FU360" s="12" t="s">
        <v>37</v>
      </c>
      <c r="FW360" s="12" t="s">
        <v>37</v>
      </c>
      <c r="FX360" s="12" t="s">
        <v>37</v>
      </c>
      <c r="FY360" s="12" t="s">
        <v>37</v>
      </c>
      <c r="FZ360" s="12" t="s">
        <v>37</v>
      </c>
      <c r="GA360" s="12" t="s">
        <v>37</v>
      </c>
      <c r="GB360" s="12" t="s">
        <v>37</v>
      </c>
      <c r="IK360" s="12" t="s">
        <v>37</v>
      </c>
      <c r="IL360" s="12" t="s">
        <v>37</v>
      </c>
      <c r="IM360" s="12" t="s">
        <v>37</v>
      </c>
      <c r="IO360" s="12" t="s">
        <v>37</v>
      </c>
      <c r="IP360" s="12" t="s">
        <v>37</v>
      </c>
      <c r="IQ360" s="12" t="s">
        <v>37</v>
      </c>
      <c r="IW360" s="12" t="s">
        <v>37</v>
      </c>
      <c r="IX360" s="12" t="s">
        <v>37</v>
      </c>
      <c r="IY360" s="13" t="s">
        <v>37</v>
      </c>
      <c r="JA360" s="12" t="s">
        <v>37</v>
      </c>
      <c r="JB360" s="12" t="s">
        <v>37</v>
      </c>
      <c r="JC360" s="13" t="s">
        <v>37</v>
      </c>
      <c r="JH360" s="12" t="s">
        <v>37</v>
      </c>
      <c r="JI360" s="12" t="s">
        <v>37</v>
      </c>
      <c r="JJ360" s="13" t="s">
        <v>37</v>
      </c>
      <c r="JL360" s="12" t="s">
        <v>37</v>
      </c>
      <c r="JM360" s="12" t="s">
        <v>37</v>
      </c>
      <c r="JN360" s="12" t="s">
        <v>37</v>
      </c>
      <c r="JS360" s="12" t="s">
        <v>37</v>
      </c>
      <c r="JT360" s="12" t="s">
        <v>37</v>
      </c>
      <c r="JU360" s="13" t="s">
        <v>37</v>
      </c>
      <c r="JW360" s="12" t="s">
        <v>37</v>
      </c>
      <c r="JX360" s="12" t="s">
        <v>37</v>
      </c>
      <c r="JY360" s="12" t="s">
        <v>37</v>
      </c>
      <c r="KE360" s="12" t="s">
        <v>37</v>
      </c>
      <c r="KF360" s="12" t="s">
        <v>37</v>
      </c>
      <c r="KG360" s="13" t="s">
        <v>37</v>
      </c>
      <c r="KH360" s="12" t="s">
        <v>37</v>
      </c>
      <c r="KI360" s="12" t="s">
        <v>37</v>
      </c>
      <c r="KJ360" s="12" t="s">
        <v>37</v>
      </c>
      <c r="KM360" s="12" t="s">
        <v>37</v>
      </c>
      <c r="KN360" s="12" t="s">
        <v>37</v>
      </c>
      <c r="KO360" s="11" t="s">
        <v>37</v>
      </c>
      <c r="KQ360" s="12" t="s">
        <v>37</v>
      </c>
      <c r="KR360" s="12" t="s">
        <v>37</v>
      </c>
      <c r="KS360" s="12" t="s">
        <v>37</v>
      </c>
      <c r="KX360" s="12" t="s">
        <v>37</v>
      </c>
      <c r="KY360" s="12" t="s">
        <v>37</v>
      </c>
      <c r="KZ360" s="12" t="s">
        <v>37</v>
      </c>
      <c r="LB360" s="12" t="s">
        <v>37</v>
      </c>
      <c r="LC360" s="12" t="s">
        <v>37</v>
      </c>
      <c r="LD360" s="12" t="s">
        <v>37</v>
      </c>
      <c r="LI360" s="12" t="s">
        <v>37</v>
      </c>
      <c r="LJ360" s="12" t="s">
        <v>37</v>
      </c>
      <c r="LK360" s="12" t="s">
        <v>37</v>
      </c>
      <c r="LM360" s="12" t="s">
        <v>37</v>
      </c>
      <c r="LN360" s="12" t="s">
        <v>37</v>
      </c>
      <c r="LO360" s="12" t="s">
        <v>37</v>
      </c>
      <c r="LU360" s="12" t="s">
        <v>37</v>
      </c>
      <c r="LV360" s="12" t="s">
        <v>37</v>
      </c>
      <c r="LW360" s="12" t="s">
        <v>37</v>
      </c>
      <c r="LY360" s="12" t="s">
        <v>37</v>
      </c>
      <c r="LZ360" s="12" t="s">
        <v>37</v>
      </c>
      <c r="MA360" s="12" t="s">
        <v>37</v>
      </c>
      <c r="MF360" s="12" t="s">
        <v>37</v>
      </c>
      <c r="MG360" s="12" t="s">
        <v>37</v>
      </c>
      <c r="MH360" s="12" t="s">
        <v>37</v>
      </c>
      <c r="MJ360" s="12" t="s">
        <v>37</v>
      </c>
      <c r="MK360" s="12" t="s">
        <v>37</v>
      </c>
      <c r="ML360" s="12" t="s">
        <v>37</v>
      </c>
      <c r="MQ360" s="12" t="s">
        <v>37</v>
      </c>
      <c r="MR360" s="12" t="s">
        <v>37</v>
      </c>
      <c r="MS360" s="12" t="s">
        <v>37</v>
      </c>
      <c r="MU360" s="12" t="s">
        <v>37</v>
      </c>
      <c r="MV360" s="12" t="s">
        <v>37</v>
      </c>
      <c r="MW360" s="12" t="s">
        <v>37</v>
      </c>
      <c r="NC360" s="12" t="s">
        <v>37</v>
      </c>
      <c r="ND360" s="12" t="s">
        <v>37</v>
      </c>
      <c r="NE360" s="12" t="s">
        <v>37</v>
      </c>
      <c r="NG360" s="12" t="s">
        <v>37</v>
      </c>
      <c r="NH360" s="12" t="s">
        <v>37</v>
      </c>
      <c r="NI360" s="12" t="s">
        <v>37</v>
      </c>
      <c r="NO360" s="12" t="s">
        <v>37</v>
      </c>
      <c r="NP360" s="12" t="s">
        <v>37</v>
      </c>
      <c r="NQ360" s="12" t="s">
        <v>37</v>
      </c>
      <c r="NS360" s="12" t="s">
        <v>37</v>
      </c>
      <c r="NT360" s="12" t="s">
        <v>37</v>
      </c>
      <c r="NU360" s="12" t="s">
        <v>37</v>
      </c>
      <c r="OA360" s="12" t="s">
        <v>37</v>
      </c>
      <c r="OB360" s="12" t="s">
        <v>37</v>
      </c>
      <c r="OC360" s="12" t="s">
        <v>37</v>
      </c>
      <c r="OD360" s="12"/>
      <c r="OE360" s="12" t="s">
        <v>37</v>
      </c>
      <c r="OF360" s="12" t="s">
        <v>37</v>
      </c>
      <c r="OG360" s="12" t="s">
        <v>37</v>
      </c>
      <c r="OH360" s="12"/>
      <c r="OI360" s="12"/>
      <c r="OJ360" s="12"/>
      <c r="OM360" s="12" t="s">
        <v>37</v>
      </c>
      <c r="ON360" s="12" t="s">
        <v>37</v>
      </c>
      <c r="OO360" s="12" t="s">
        <v>37</v>
      </c>
      <c r="OP360" s="12" t="s">
        <v>37</v>
      </c>
      <c r="OQ360" s="12" t="s">
        <v>37</v>
      </c>
      <c r="OR360" s="12" t="s">
        <v>37</v>
      </c>
      <c r="OS360" s="12"/>
      <c r="OT360" s="12"/>
      <c r="OW360" s="12" t="s">
        <v>37</v>
      </c>
      <c r="OX360" s="12" t="s">
        <v>37</v>
      </c>
      <c r="OY360" s="13" t="s">
        <v>37</v>
      </c>
      <c r="OZ360" s="12" t="s">
        <v>37</v>
      </c>
      <c r="PA360" s="12" t="s">
        <v>37</v>
      </c>
      <c r="PB360" s="13" t="s">
        <v>37</v>
      </c>
      <c r="PG360" s="12" t="s">
        <v>37</v>
      </c>
      <c r="PH360" s="12" t="s">
        <v>37</v>
      </c>
      <c r="PI360" s="12" t="s">
        <v>37</v>
      </c>
      <c r="PJ360" s="12" t="s">
        <v>37</v>
      </c>
      <c r="PK360" s="12" t="s">
        <v>37</v>
      </c>
      <c r="PL360" s="12" t="s">
        <v>37</v>
      </c>
      <c r="PM360" s="12"/>
      <c r="PN360" s="12"/>
      <c r="PQ360" s="12" t="s">
        <v>37</v>
      </c>
      <c r="PR360" s="12" t="s">
        <v>37</v>
      </c>
      <c r="PS360" s="12" t="s">
        <v>37</v>
      </c>
      <c r="PT360" s="12" t="s">
        <v>37</v>
      </c>
      <c r="PU360" s="12" t="s">
        <v>37</v>
      </c>
      <c r="PV360" s="12" t="s">
        <v>37</v>
      </c>
      <c r="PW360" s="12"/>
      <c r="PX360" s="12"/>
      <c r="PZ360" s="12" t="s">
        <v>37</v>
      </c>
      <c r="QA360" s="12" t="s">
        <v>37</v>
      </c>
      <c r="QB360" s="12" t="s">
        <v>37</v>
      </c>
      <c r="QD360" s="12" t="s">
        <v>37</v>
      </c>
      <c r="QE360" s="12" t="s">
        <v>37</v>
      </c>
      <c r="QF360" s="12" t="s">
        <v>37</v>
      </c>
      <c r="QK360" s="12" t="s">
        <v>37</v>
      </c>
      <c r="QL360" s="12" t="s">
        <v>37</v>
      </c>
      <c r="QM360" s="12" t="s">
        <v>37</v>
      </c>
      <c r="QN360" s="12" t="s">
        <v>37</v>
      </c>
      <c r="QO360" s="12" t="s">
        <v>37</v>
      </c>
      <c r="QP360" s="12" t="s">
        <v>37</v>
      </c>
      <c r="QQ360" s="12"/>
      <c r="QR360" s="12"/>
      <c r="QU360" s="12" t="s">
        <v>37</v>
      </c>
      <c r="QV360" s="12" t="s">
        <v>37</v>
      </c>
      <c r="QW360" s="12" t="s">
        <v>37</v>
      </c>
      <c r="QX360" s="12" t="s">
        <v>37</v>
      </c>
      <c r="QY360" s="12" t="s">
        <v>37</v>
      </c>
      <c r="QZ360" s="12" t="s">
        <v>37</v>
      </c>
      <c r="RC360" s="12" t="s">
        <v>37</v>
      </c>
      <c r="RD360" s="12" t="s">
        <v>37</v>
      </c>
      <c r="RE360" s="13" t="s">
        <v>37</v>
      </c>
      <c r="RF360" s="12" t="s">
        <v>37</v>
      </c>
      <c r="RG360" s="12" t="s">
        <v>37</v>
      </c>
      <c r="RH360" s="13" t="s">
        <v>37</v>
      </c>
      <c r="RK360" s="12" t="s">
        <v>37</v>
      </c>
      <c r="RL360" s="12" t="s">
        <v>37</v>
      </c>
      <c r="RM360" s="11" t="s">
        <v>37</v>
      </c>
      <c r="RN360" s="12" t="s">
        <v>37</v>
      </c>
      <c r="RO360" s="12" t="s">
        <v>37</v>
      </c>
      <c r="RP360" s="11" t="s">
        <v>37</v>
      </c>
      <c r="RS360" s="12" t="s">
        <v>37</v>
      </c>
      <c r="RT360" s="12" t="s">
        <v>37</v>
      </c>
      <c r="RU360" s="12" t="s">
        <v>37</v>
      </c>
      <c r="RV360" s="12" t="s">
        <v>37</v>
      </c>
      <c r="RW360" s="12" t="s">
        <v>37</v>
      </c>
      <c r="RX360" s="12" t="s">
        <v>37</v>
      </c>
      <c r="SA360" s="12" t="s">
        <v>37</v>
      </c>
      <c r="SB360" s="12" t="s">
        <v>37</v>
      </c>
      <c r="SC360" s="12" t="s">
        <v>37</v>
      </c>
      <c r="SD360" s="12" t="s">
        <v>37</v>
      </c>
      <c r="SE360" s="12" t="s">
        <v>37</v>
      </c>
      <c r="SF360" s="12" t="s">
        <v>37</v>
      </c>
      <c r="SI360" s="12" t="s">
        <v>37</v>
      </c>
      <c r="SJ360" s="12" t="s">
        <v>37</v>
      </c>
      <c r="SK360" s="13" t="s">
        <v>37</v>
      </c>
      <c r="SM360" s="12" t="s">
        <v>37</v>
      </c>
      <c r="SN360" s="12" t="s">
        <v>37</v>
      </c>
      <c r="SO360" s="13" t="s">
        <v>37</v>
      </c>
      <c r="SU360" s="12" t="s">
        <v>37</v>
      </c>
      <c r="SV360" s="12" t="s">
        <v>37</v>
      </c>
      <c r="SW360" s="12" t="s">
        <v>37</v>
      </c>
      <c r="SX360" s="12" t="s">
        <v>37</v>
      </c>
      <c r="SY360" s="12" t="s">
        <v>37</v>
      </c>
      <c r="SZ360" s="12" t="s">
        <v>37</v>
      </c>
      <c r="TA360" s="12"/>
      <c r="TB360" s="12"/>
      <c r="TE360" s="12" t="s">
        <v>37</v>
      </c>
      <c r="TF360" s="12" t="s">
        <v>37</v>
      </c>
      <c r="TG360" s="12" t="s">
        <v>37</v>
      </c>
      <c r="TH360" s="12" t="s">
        <v>37</v>
      </c>
      <c r="TI360" s="12" t="s">
        <v>37</v>
      </c>
      <c r="TJ360" s="12" t="s">
        <v>37</v>
      </c>
      <c r="TK360" s="12"/>
      <c r="TL360" s="12"/>
      <c r="TO360" s="12" t="s">
        <v>37</v>
      </c>
      <c r="TP360" s="12" t="s">
        <v>37</v>
      </c>
      <c r="TQ360" s="12" t="s">
        <v>37</v>
      </c>
      <c r="TR360" s="12" t="s">
        <v>37</v>
      </c>
      <c r="TS360" s="12" t="s">
        <v>37</v>
      </c>
      <c r="TT360" s="12" t="s">
        <v>37</v>
      </c>
      <c r="TU360" s="12"/>
      <c r="TV360" s="12"/>
      <c r="TY360" s="12" t="s">
        <v>37</v>
      </c>
      <c r="TZ360" s="12" t="s">
        <v>37</v>
      </c>
      <c r="UA360" s="12" t="s">
        <v>37</v>
      </c>
      <c r="UB360" s="12" t="s">
        <v>37</v>
      </c>
      <c r="UC360" s="12" t="s">
        <v>37</v>
      </c>
      <c r="UD360" s="12" t="s">
        <v>37</v>
      </c>
      <c r="UE360" s="12"/>
      <c r="UF360" s="12"/>
      <c r="UI360" s="12" t="s">
        <v>37</v>
      </c>
      <c r="UJ360" s="12" t="s">
        <v>37</v>
      </c>
      <c r="UK360" s="12" t="s">
        <v>37</v>
      </c>
      <c r="UL360" s="12" t="s">
        <v>37</v>
      </c>
      <c r="UM360" s="12" t="s">
        <v>37</v>
      </c>
      <c r="UN360" s="12" t="s">
        <v>37</v>
      </c>
      <c r="UO360" s="12"/>
      <c r="UP360" s="12"/>
      <c r="UR360" s="12" t="s">
        <v>37</v>
      </c>
      <c r="US360" s="12" t="s">
        <v>37</v>
      </c>
      <c r="UT360" s="12" t="s">
        <v>37</v>
      </c>
      <c r="UU360" s="12" t="s">
        <v>37</v>
      </c>
      <c r="UV360" s="12" t="s">
        <v>37</v>
      </c>
      <c r="UW360" s="12" t="s">
        <v>37</v>
      </c>
      <c r="UX360" s="12"/>
      <c r="UY360" s="12"/>
      <c r="VB360" s="12" t="s">
        <v>37</v>
      </c>
      <c r="VC360" s="12" t="s">
        <v>37</v>
      </c>
      <c r="VD360" s="12" t="s">
        <v>37</v>
      </c>
      <c r="VE360" s="12" t="s">
        <v>37</v>
      </c>
      <c r="VF360" s="12" t="s">
        <v>37</v>
      </c>
      <c r="VG360" s="12" t="s">
        <v>37</v>
      </c>
      <c r="VI360" s="12" t="s">
        <v>37</v>
      </c>
      <c r="VJ360" s="12" t="s">
        <v>37</v>
      </c>
      <c r="VK360" s="12" t="s">
        <v>37</v>
      </c>
      <c r="VL360" s="12" t="s">
        <v>37</v>
      </c>
      <c r="VM360" s="12" t="s">
        <v>37</v>
      </c>
      <c r="VN360" s="12" t="s">
        <v>37</v>
      </c>
      <c r="VQ360" s="12" t="s">
        <v>37</v>
      </c>
      <c r="VR360" s="12" t="s">
        <v>37</v>
      </c>
      <c r="VS360" s="12" t="s">
        <v>37</v>
      </c>
      <c r="VT360" s="12" t="s">
        <v>37</v>
      </c>
      <c r="VU360" s="12" t="s">
        <v>37</v>
      </c>
      <c r="VV360" s="12" t="s">
        <v>37</v>
      </c>
      <c r="VW360" s="12"/>
      <c r="VX360" s="12"/>
      <c r="WA360" s="12" t="s">
        <v>37</v>
      </c>
      <c r="WB360" s="12" t="s">
        <v>37</v>
      </c>
      <c r="WC360" s="12" t="s">
        <v>37</v>
      </c>
      <c r="WD360" s="12" t="s">
        <v>37</v>
      </c>
      <c r="WE360" s="12" t="s">
        <v>37</v>
      </c>
      <c r="WF360" s="12" t="s">
        <v>37</v>
      </c>
    </row>
    <row r="361" spans="1:604" ht="18" customHeight="1" x14ac:dyDescent="0.3">
      <c r="A361" s="11">
        <v>78</v>
      </c>
      <c r="B361" s="16" t="s">
        <v>562</v>
      </c>
      <c r="C361" s="12" t="s">
        <v>26</v>
      </c>
      <c r="D361" s="12" t="s">
        <v>54</v>
      </c>
      <c r="E361" s="40" t="s">
        <v>37</v>
      </c>
      <c r="F361" s="14">
        <v>0</v>
      </c>
      <c r="G361" s="14">
        <v>0</v>
      </c>
      <c r="H361" s="12" t="s">
        <v>91</v>
      </c>
      <c r="I361" s="29">
        <v>49.05</v>
      </c>
      <c r="J361" s="29">
        <v>-80.667000000000002</v>
      </c>
      <c r="K361" s="12" t="s">
        <v>778</v>
      </c>
      <c r="L361" s="12" t="s">
        <v>779</v>
      </c>
      <c r="M361" s="13" t="s">
        <v>37</v>
      </c>
      <c r="N361" s="14">
        <v>0.6</v>
      </c>
      <c r="O361" s="14">
        <v>885</v>
      </c>
      <c r="P361" s="14" t="s">
        <v>84</v>
      </c>
      <c r="Q361" s="75">
        <v>7</v>
      </c>
      <c r="R361" s="11" t="s">
        <v>1000</v>
      </c>
      <c r="S361" s="12" t="s">
        <v>85</v>
      </c>
      <c r="T361" s="12" t="s">
        <v>138</v>
      </c>
      <c r="U361" s="12" t="s">
        <v>158</v>
      </c>
      <c r="V361" s="12" t="s">
        <v>275</v>
      </c>
      <c r="W361" s="23" t="s">
        <v>49</v>
      </c>
      <c r="X361" s="12" t="s">
        <v>49</v>
      </c>
      <c r="Y361" s="12" t="s">
        <v>37</v>
      </c>
      <c r="Z361" s="12" t="s">
        <v>37</v>
      </c>
      <c r="AA361" s="32" t="s">
        <v>345</v>
      </c>
      <c r="AB361" s="12">
        <v>6.3</v>
      </c>
      <c r="AE361" s="12" t="s">
        <v>37</v>
      </c>
      <c r="AH361" s="12" t="s">
        <v>37</v>
      </c>
      <c r="AK361" s="12" t="s">
        <v>37</v>
      </c>
      <c r="AL361" s="32" t="s">
        <v>453</v>
      </c>
      <c r="AM361" s="12" t="s">
        <v>317</v>
      </c>
      <c r="AN361" s="32" t="s">
        <v>879</v>
      </c>
      <c r="AO361" s="12" t="s">
        <v>37</v>
      </c>
      <c r="AP361" s="12" t="s">
        <v>108</v>
      </c>
      <c r="AQ361" s="12" t="s">
        <v>975</v>
      </c>
      <c r="AT361" s="12" t="s">
        <v>326</v>
      </c>
      <c r="AU361" s="12" t="s">
        <v>326</v>
      </c>
      <c r="AV361" s="13" t="s">
        <v>326</v>
      </c>
      <c r="AX361" s="12" t="s">
        <v>326</v>
      </c>
      <c r="AY361" s="12" t="s">
        <v>326</v>
      </c>
      <c r="AZ361" s="13" t="s">
        <v>326</v>
      </c>
      <c r="BE361" s="12" t="s">
        <v>326</v>
      </c>
      <c r="BF361" s="12" t="s">
        <v>326</v>
      </c>
      <c r="BG361" s="12" t="s">
        <v>326</v>
      </c>
      <c r="BI361" s="12" t="s">
        <v>326</v>
      </c>
      <c r="BJ361" s="12" t="s">
        <v>326</v>
      </c>
      <c r="BK361" s="12" t="s">
        <v>326</v>
      </c>
      <c r="BP361" s="12" t="s">
        <v>37</v>
      </c>
      <c r="BQ361" s="12" t="s">
        <v>37</v>
      </c>
      <c r="BR361" s="13" t="s">
        <v>37</v>
      </c>
      <c r="BT361" s="12" t="s">
        <v>37</v>
      </c>
      <c r="BU361" s="12" t="s">
        <v>37</v>
      </c>
      <c r="BV361" s="12" t="s">
        <v>37</v>
      </c>
      <c r="CA361" s="12" t="s">
        <v>37</v>
      </c>
      <c r="CB361" s="12" t="s">
        <v>37</v>
      </c>
      <c r="CC361" s="13" t="s">
        <v>37</v>
      </c>
      <c r="CE361" s="12" t="s">
        <v>37</v>
      </c>
      <c r="CF361" s="12" t="s">
        <v>37</v>
      </c>
      <c r="CG361" s="12" t="s">
        <v>37</v>
      </c>
      <c r="CN361" s="12" t="s">
        <v>37</v>
      </c>
      <c r="CO361" s="12" t="s">
        <v>37</v>
      </c>
      <c r="CP361" s="13" t="s">
        <v>37</v>
      </c>
      <c r="CR361" s="12" t="s">
        <v>37</v>
      </c>
      <c r="CS361" s="12" t="s">
        <v>37</v>
      </c>
      <c r="CT361" s="13" t="s">
        <v>37</v>
      </c>
      <c r="CX361" s="72"/>
      <c r="CY361" s="72"/>
      <c r="DA361" s="12" t="s">
        <v>37</v>
      </c>
      <c r="DB361" s="12" t="s">
        <v>37</v>
      </c>
      <c r="DC361" s="13" t="s">
        <v>37</v>
      </c>
      <c r="DE361" s="12" t="s">
        <v>37</v>
      </c>
      <c r="DF361" s="12" t="s">
        <v>37</v>
      </c>
      <c r="DG361" s="12" t="s">
        <v>37</v>
      </c>
      <c r="DM361" s="12" t="s">
        <v>47</v>
      </c>
      <c r="DN361" s="19">
        <f>64.7761194029851*10^4/10^6*("1991/10/31"-"1991/5/1")/'[1]classes-1'!$I$73</f>
        <v>193.62208240634681</v>
      </c>
      <c r="DO361" s="12">
        <f>SQRT((1/[2]Classes!$I$73)^2*(205.373134328358*10^4/10^6*("1991/10/31"-"1991/5/1"))^2+(-DN361/([2]Classes!$I$73)^2)^2*([2]Classes!$J$73)^2)</f>
        <v>614.14718799845184</v>
      </c>
      <c r="DP361" s="13">
        <v>8</v>
      </c>
      <c r="DQ361" s="19">
        <f t="shared" si="1360"/>
        <v>3.171886080171197</v>
      </c>
      <c r="DR361" s="19">
        <f>-9.25373134328358*10^4/10^6*("1991/10/31"-"1991/5/1")/'[1]classes-1'!$I$74</f>
        <v>-17.39938687312296</v>
      </c>
      <c r="DS361" s="12">
        <f>SQRT((1/[2]Classes!$I$74)^2*(9.55*10^4/10^6*("1991/10/31"-"1991/5/1"))^2+(-DR361/([2]Classes!$I$74)^2)^2*([2]Classes!$J$74)^2)</f>
        <v>20.727267101856409</v>
      </c>
      <c r="DT361" s="13">
        <v>8</v>
      </c>
      <c r="DU361" s="19">
        <f t="shared" si="1361"/>
        <v>1.1912642240212536</v>
      </c>
      <c r="DV361" s="19">
        <f t="shared" si="1354"/>
        <v>-211.02146927946976</v>
      </c>
      <c r="DW361" s="12">
        <f t="shared" si="1355"/>
        <v>434.51489510022407</v>
      </c>
      <c r="DX361" s="72">
        <f t="shared" si="1358"/>
        <v>47200.798515989685</v>
      </c>
      <c r="DY361" s="72">
        <f t="shared" si="1359"/>
        <v>47200.798515989678</v>
      </c>
      <c r="EA361" s="19" t="s">
        <v>37</v>
      </c>
      <c r="EB361" s="19" t="s">
        <v>37</v>
      </c>
      <c r="EC361" s="72" t="s">
        <v>37</v>
      </c>
      <c r="EE361" s="19" t="s">
        <v>37</v>
      </c>
      <c r="EF361" s="19" t="s">
        <v>37</v>
      </c>
      <c r="EG361" s="12" t="s">
        <v>37</v>
      </c>
      <c r="EM361" s="12" t="s">
        <v>39</v>
      </c>
      <c r="EN361" s="12">
        <v>-22.8355929225071</v>
      </c>
      <c r="EO361" s="50">
        <f>ABS(EN361)*EQ$474</f>
        <v>9.3054218792721652</v>
      </c>
      <c r="EP361" s="13">
        <v>8</v>
      </c>
      <c r="ER361" s="12">
        <v>-45.187277814574003</v>
      </c>
      <c r="ES361" s="50">
        <f>ABS(ER361)*EU$474</f>
        <v>10.249109648169611</v>
      </c>
      <c r="ET361" s="13">
        <v>8</v>
      </c>
      <c r="EV361" s="19">
        <f t="shared" si="1317"/>
        <v>-22.351684892066903</v>
      </c>
      <c r="EW361" s="12">
        <f t="shared" si="1318"/>
        <v>9.788644567340274</v>
      </c>
      <c r="EX361" s="19">
        <f t="shared" si="1319"/>
        <v>23.954390616430064</v>
      </c>
      <c r="EY361" s="19">
        <f t="shared" si="1320"/>
        <v>23.954390616430068</v>
      </c>
      <c r="FB361" s="12" t="s">
        <v>37</v>
      </c>
      <c r="FC361" s="12" t="s">
        <v>37</v>
      </c>
      <c r="FD361" s="12" t="s">
        <v>37</v>
      </c>
      <c r="FE361" s="12" t="s">
        <v>37</v>
      </c>
      <c r="FF361" s="20" t="s">
        <v>37</v>
      </c>
      <c r="FG361" s="12" t="s">
        <v>37</v>
      </c>
      <c r="FI361" s="12" t="s">
        <v>37</v>
      </c>
      <c r="FJ361" s="12" t="s">
        <v>37</v>
      </c>
      <c r="FK361" s="12" t="s">
        <v>37</v>
      </c>
      <c r="FL361" s="12" t="s">
        <v>37</v>
      </c>
      <c r="FM361" s="12" t="s">
        <v>37</v>
      </c>
      <c r="FN361" s="12" t="s">
        <v>37</v>
      </c>
      <c r="FP361" s="12" t="s">
        <v>37</v>
      </c>
      <c r="FQ361" s="12" t="s">
        <v>37</v>
      </c>
      <c r="FR361" s="12" t="s">
        <v>37</v>
      </c>
      <c r="FS361" s="12" t="s">
        <v>37</v>
      </c>
      <c r="FT361" s="12" t="s">
        <v>37</v>
      </c>
      <c r="FU361" s="12" t="s">
        <v>37</v>
      </c>
      <c r="FW361" s="12" t="s">
        <v>37</v>
      </c>
      <c r="FX361" s="12" t="s">
        <v>37</v>
      </c>
      <c r="FY361" s="12" t="s">
        <v>37</v>
      </c>
      <c r="FZ361" s="12" t="s">
        <v>37</v>
      </c>
      <c r="GA361" s="12" t="s">
        <v>37</v>
      </c>
      <c r="GB361" s="12" t="s">
        <v>37</v>
      </c>
      <c r="GO361" s="12" t="s">
        <v>660</v>
      </c>
      <c r="GP361" s="12" t="s">
        <v>372</v>
      </c>
      <c r="GQ361" s="12">
        <v>15.390428893905201</v>
      </c>
      <c r="GR361" s="50">
        <f>ABS(GQ361)*GT$474</f>
        <v>1.4702408625982213</v>
      </c>
      <c r="GS361" s="13">
        <v>8</v>
      </c>
      <c r="GU361" s="12">
        <v>12.590338600451499</v>
      </c>
      <c r="GV361" s="50">
        <f>ABS(GU361)*GX$474</f>
        <v>1.3400675745522421</v>
      </c>
      <c r="GW361" s="13">
        <v>8</v>
      </c>
      <c r="GY361" s="19">
        <f t="shared" ref="GY361:GY363" si="1362">LN(GU361/GQ361)</f>
        <v>-0.20081607372131483</v>
      </c>
      <c r="GZ361" s="19">
        <f t="shared" ref="GZ361:GZ363" si="1363">GV361^2/(GW361*GU361^2)+GR361^2/(GS361*GQ361^2)</f>
        <v>2.5568196584360241E-3</v>
      </c>
      <c r="IK361" s="12" t="s">
        <v>37</v>
      </c>
      <c r="IL361" s="12" t="s">
        <v>37</v>
      </c>
      <c r="IM361" s="12" t="s">
        <v>37</v>
      </c>
      <c r="IO361" s="12" t="s">
        <v>37</v>
      </c>
      <c r="IP361" s="12" t="s">
        <v>37</v>
      </c>
      <c r="IQ361" s="12" t="s">
        <v>37</v>
      </c>
      <c r="IV361" s="32" t="s">
        <v>345</v>
      </c>
      <c r="IW361" s="12">
        <v>6.3</v>
      </c>
      <c r="IX361" s="12">
        <v>0.3</v>
      </c>
      <c r="IY361" s="13">
        <v>3</v>
      </c>
      <c r="IZ361" s="19">
        <f t="shared" ref="IZ361:IZ363" si="1364">IX361/IW361</f>
        <v>4.7619047619047616E-2</v>
      </c>
      <c r="JH361" s="12" t="s">
        <v>37</v>
      </c>
      <c r="JI361" s="12" t="s">
        <v>37</v>
      </c>
      <c r="JJ361" s="13" t="s">
        <v>37</v>
      </c>
      <c r="JL361" s="12" t="s">
        <v>37</v>
      </c>
      <c r="JM361" s="12" t="s">
        <v>37</v>
      </c>
      <c r="JN361" s="12" t="s">
        <v>37</v>
      </c>
      <c r="JS361" s="12" t="s">
        <v>37</v>
      </c>
      <c r="JT361" s="12" t="s">
        <v>37</v>
      </c>
      <c r="JU361" s="13" t="s">
        <v>37</v>
      </c>
      <c r="JW361" s="12" t="s">
        <v>37</v>
      </c>
      <c r="JX361" s="12" t="s">
        <v>37</v>
      </c>
      <c r="JY361" s="12" t="s">
        <v>37</v>
      </c>
      <c r="KE361" s="12" t="s">
        <v>37</v>
      </c>
      <c r="KF361" s="12" t="s">
        <v>37</v>
      </c>
      <c r="KG361" s="13" t="s">
        <v>37</v>
      </c>
      <c r="KH361" s="12" t="s">
        <v>37</v>
      </c>
      <c r="KI361" s="12" t="s">
        <v>37</v>
      </c>
      <c r="KJ361" s="12" t="s">
        <v>37</v>
      </c>
      <c r="KM361" s="12" t="s">
        <v>37</v>
      </c>
      <c r="KN361" s="12" t="s">
        <v>37</v>
      </c>
      <c r="KO361" s="11" t="s">
        <v>37</v>
      </c>
      <c r="KQ361" s="12" t="s">
        <v>37</v>
      </c>
      <c r="KR361" s="12" t="s">
        <v>37</v>
      </c>
      <c r="KS361" s="12" t="s">
        <v>37</v>
      </c>
      <c r="KX361" s="12" t="s">
        <v>37</v>
      </c>
      <c r="KY361" s="12" t="s">
        <v>37</v>
      </c>
      <c r="KZ361" s="12" t="s">
        <v>37</v>
      </c>
      <c r="LB361" s="12" t="s">
        <v>37</v>
      </c>
      <c r="LC361" s="12" t="s">
        <v>37</v>
      </c>
      <c r="LD361" s="12" t="s">
        <v>37</v>
      </c>
      <c r="LI361" s="12" t="s">
        <v>37</v>
      </c>
      <c r="LJ361" s="12" t="s">
        <v>37</v>
      </c>
      <c r="LK361" s="12" t="s">
        <v>37</v>
      </c>
      <c r="LM361" s="12" t="s">
        <v>37</v>
      </c>
      <c r="LN361" s="12" t="s">
        <v>37</v>
      </c>
      <c r="LO361" s="12" t="s">
        <v>37</v>
      </c>
      <c r="LU361" s="12" t="s">
        <v>37</v>
      </c>
      <c r="LV361" s="12" t="s">
        <v>37</v>
      </c>
      <c r="LW361" s="12" t="s">
        <v>37</v>
      </c>
      <c r="LY361" s="12" t="s">
        <v>37</v>
      </c>
      <c r="LZ361" s="12" t="s">
        <v>37</v>
      </c>
      <c r="MA361" s="12" t="s">
        <v>37</v>
      </c>
      <c r="MF361" s="12" t="s">
        <v>37</v>
      </c>
      <c r="MG361" s="12" t="s">
        <v>37</v>
      </c>
      <c r="MH361" s="12" t="s">
        <v>37</v>
      </c>
      <c r="MJ361" s="12" t="s">
        <v>37</v>
      </c>
      <c r="MK361" s="12" t="s">
        <v>37</v>
      </c>
      <c r="ML361" s="12" t="s">
        <v>37</v>
      </c>
      <c r="MQ361" s="12" t="s">
        <v>37</v>
      </c>
      <c r="MR361" s="12" t="s">
        <v>37</v>
      </c>
      <c r="MS361" s="12" t="s">
        <v>37</v>
      </c>
      <c r="MU361" s="12" t="s">
        <v>37</v>
      </c>
      <c r="MV361" s="12" t="s">
        <v>37</v>
      </c>
      <c r="MW361" s="12" t="s">
        <v>37</v>
      </c>
      <c r="NC361" s="12" t="s">
        <v>37</v>
      </c>
      <c r="ND361" s="12" t="s">
        <v>37</v>
      </c>
      <c r="NE361" s="12" t="s">
        <v>37</v>
      </c>
      <c r="NG361" s="12" t="s">
        <v>37</v>
      </c>
      <c r="NH361" s="12" t="s">
        <v>37</v>
      </c>
      <c r="NI361" s="12" t="s">
        <v>37</v>
      </c>
      <c r="NO361" s="12" t="s">
        <v>37</v>
      </c>
      <c r="NP361" s="12" t="s">
        <v>37</v>
      </c>
      <c r="NQ361" s="12" t="s">
        <v>37</v>
      </c>
      <c r="NS361" s="12" t="s">
        <v>37</v>
      </c>
      <c r="NT361" s="12" t="s">
        <v>37</v>
      </c>
      <c r="NU361" s="12" t="s">
        <v>37</v>
      </c>
      <c r="OA361" s="12" t="s">
        <v>37</v>
      </c>
      <c r="OB361" s="12" t="s">
        <v>37</v>
      </c>
      <c r="OC361" s="12" t="s">
        <v>37</v>
      </c>
      <c r="OD361" s="12"/>
      <c r="OE361" s="12" t="s">
        <v>37</v>
      </c>
      <c r="OF361" s="12" t="s">
        <v>37</v>
      </c>
      <c r="OG361" s="12" t="s">
        <v>37</v>
      </c>
      <c r="OH361" s="12"/>
      <c r="OI361" s="12"/>
      <c r="OJ361" s="12"/>
      <c r="OM361" s="12" t="s">
        <v>37</v>
      </c>
      <c r="ON361" s="12" t="s">
        <v>37</v>
      </c>
      <c r="OO361" s="12" t="s">
        <v>37</v>
      </c>
      <c r="OP361" s="12" t="s">
        <v>37</v>
      </c>
      <c r="OQ361" s="12" t="s">
        <v>37</v>
      </c>
      <c r="OR361" s="12" t="s">
        <v>37</v>
      </c>
      <c r="OS361" s="12"/>
      <c r="OT361" s="12"/>
      <c r="OW361" s="12" t="s">
        <v>37</v>
      </c>
      <c r="OX361" s="12" t="s">
        <v>37</v>
      </c>
      <c r="OY361" s="13" t="s">
        <v>37</v>
      </c>
      <c r="OZ361" s="12" t="s">
        <v>37</v>
      </c>
      <c r="PA361" s="12" t="s">
        <v>37</v>
      </c>
      <c r="PB361" s="13" t="s">
        <v>37</v>
      </c>
      <c r="PG361" s="12" t="s">
        <v>37</v>
      </c>
      <c r="PH361" s="12" t="s">
        <v>37</v>
      </c>
      <c r="PI361" s="12" t="s">
        <v>37</v>
      </c>
      <c r="PJ361" s="12" t="s">
        <v>37</v>
      </c>
      <c r="PK361" s="12" t="s">
        <v>37</v>
      </c>
      <c r="PL361" s="12" t="s">
        <v>37</v>
      </c>
      <c r="PM361" s="12"/>
      <c r="PN361" s="12"/>
      <c r="PQ361" s="12" t="s">
        <v>37</v>
      </c>
      <c r="PR361" s="12" t="s">
        <v>37</v>
      </c>
      <c r="PS361" s="12" t="s">
        <v>37</v>
      </c>
      <c r="PT361" s="12" t="s">
        <v>37</v>
      </c>
      <c r="PU361" s="12" t="s">
        <v>37</v>
      </c>
      <c r="PV361" s="12" t="s">
        <v>37</v>
      </c>
      <c r="PW361" s="12"/>
      <c r="PX361" s="12"/>
      <c r="PZ361" s="12" t="s">
        <v>37</v>
      </c>
      <c r="QA361" s="12" t="s">
        <v>37</v>
      </c>
      <c r="QB361" s="12" t="s">
        <v>37</v>
      </c>
      <c r="QD361" s="12" t="s">
        <v>37</v>
      </c>
      <c r="QE361" s="12" t="s">
        <v>37</v>
      </c>
      <c r="QF361" s="12" t="s">
        <v>37</v>
      </c>
      <c r="QK361" s="12" t="s">
        <v>37</v>
      </c>
      <c r="QL361" s="12" t="s">
        <v>37</v>
      </c>
      <c r="QM361" s="12" t="s">
        <v>37</v>
      </c>
      <c r="QN361" s="12" t="s">
        <v>37</v>
      </c>
      <c r="QO361" s="12" t="s">
        <v>37</v>
      </c>
      <c r="QP361" s="12" t="s">
        <v>37</v>
      </c>
      <c r="QQ361" s="12"/>
      <c r="QR361" s="12"/>
      <c r="QU361" s="12" t="s">
        <v>37</v>
      </c>
      <c r="QV361" s="12" t="s">
        <v>37</v>
      </c>
      <c r="QW361" s="12" t="s">
        <v>37</v>
      </c>
      <c r="QX361" s="12" t="s">
        <v>37</v>
      </c>
      <c r="QY361" s="12" t="s">
        <v>37</v>
      </c>
      <c r="QZ361" s="12" t="s">
        <v>37</v>
      </c>
      <c r="RC361" s="12" t="s">
        <v>37</v>
      </c>
      <c r="RD361" s="12" t="s">
        <v>37</v>
      </c>
      <c r="RE361" s="13" t="s">
        <v>37</v>
      </c>
      <c r="RF361" s="12" t="s">
        <v>37</v>
      </c>
      <c r="RG361" s="12" t="s">
        <v>37</v>
      </c>
      <c r="RH361" s="13" t="s">
        <v>37</v>
      </c>
      <c r="RK361" s="12" t="s">
        <v>37</v>
      </c>
      <c r="RL361" s="12" t="s">
        <v>37</v>
      </c>
      <c r="RM361" s="11" t="s">
        <v>37</v>
      </c>
      <c r="RN361" s="12" t="s">
        <v>37</v>
      </c>
      <c r="RO361" s="12" t="s">
        <v>37</v>
      </c>
      <c r="RP361" s="11" t="s">
        <v>37</v>
      </c>
      <c r="RS361" s="12" t="s">
        <v>37</v>
      </c>
      <c r="RT361" s="12" t="s">
        <v>37</v>
      </c>
      <c r="RU361" s="12" t="s">
        <v>37</v>
      </c>
      <c r="RV361" s="12" t="s">
        <v>37</v>
      </c>
      <c r="RW361" s="12" t="s">
        <v>37</v>
      </c>
      <c r="RX361" s="12" t="s">
        <v>37</v>
      </c>
      <c r="SA361" s="12" t="s">
        <v>37</v>
      </c>
      <c r="SB361" s="12" t="s">
        <v>37</v>
      </c>
      <c r="SC361" s="12" t="s">
        <v>37</v>
      </c>
      <c r="SD361" s="12" t="s">
        <v>37</v>
      </c>
      <c r="SE361" s="12" t="s">
        <v>37</v>
      </c>
      <c r="SF361" s="12" t="s">
        <v>37</v>
      </c>
      <c r="SI361" s="12" t="s">
        <v>37</v>
      </c>
      <c r="SJ361" s="12" t="s">
        <v>37</v>
      </c>
      <c r="SK361" s="13" t="s">
        <v>37</v>
      </c>
      <c r="SM361" s="12" t="s">
        <v>37</v>
      </c>
      <c r="SN361" s="12" t="s">
        <v>37</v>
      </c>
      <c r="SO361" s="13" t="s">
        <v>37</v>
      </c>
      <c r="SU361" s="12" t="s">
        <v>37</v>
      </c>
      <c r="SV361" s="12" t="s">
        <v>37</v>
      </c>
      <c r="SW361" s="12" t="s">
        <v>37</v>
      </c>
      <c r="SX361" s="12" t="s">
        <v>37</v>
      </c>
      <c r="SY361" s="12" t="s">
        <v>37</v>
      </c>
      <c r="SZ361" s="12" t="s">
        <v>37</v>
      </c>
      <c r="TA361" s="12"/>
      <c r="TB361" s="12"/>
      <c r="TE361" s="12" t="s">
        <v>37</v>
      </c>
      <c r="TF361" s="12" t="s">
        <v>37</v>
      </c>
      <c r="TG361" s="12" t="s">
        <v>37</v>
      </c>
      <c r="TH361" s="12" t="s">
        <v>37</v>
      </c>
      <c r="TI361" s="12" t="s">
        <v>37</v>
      </c>
      <c r="TJ361" s="12" t="s">
        <v>37</v>
      </c>
      <c r="TK361" s="12"/>
      <c r="TL361" s="12"/>
      <c r="TO361" s="12" t="s">
        <v>37</v>
      </c>
      <c r="TP361" s="12" t="s">
        <v>37</v>
      </c>
      <c r="TQ361" s="12" t="s">
        <v>37</v>
      </c>
      <c r="TR361" s="12" t="s">
        <v>37</v>
      </c>
      <c r="TS361" s="12" t="s">
        <v>37</v>
      </c>
      <c r="TT361" s="12" t="s">
        <v>37</v>
      </c>
      <c r="TU361" s="12"/>
      <c r="TV361" s="12"/>
      <c r="TY361" s="12" t="s">
        <v>37</v>
      </c>
      <c r="TZ361" s="12" t="s">
        <v>37</v>
      </c>
      <c r="UA361" s="12" t="s">
        <v>37</v>
      </c>
      <c r="UB361" s="12" t="s">
        <v>37</v>
      </c>
      <c r="UC361" s="12" t="s">
        <v>37</v>
      </c>
      <c r="UD361" s="12" t="s">
        <v>37</v>
      </c>
      <c r="UE361" s="12"/>
      <c r="UF361" s="12"/>
      <c r="UI361" s="12" t="s">
        <v>37</v>
      </c>
      <c r="UJ361" s="12" t="s">
        <v>37</v>
      </c>
      <c r="UK361" s="12" t="s">
        <v>37</v>
      </c>
      <c r="UL361" s="12" t="s">
        <v>37</v>
      </c>
      <c r="UM361" s="12" t="s">
        <v>37</v>
      </c>
      <c r="UN361" s="12" t="s">
        <v>37</v>
      </c>
      <c r="UO361" s="12"/>
      <c r="UP361" s="12"/>
      <c r="UR361" s="12" t="s">
        <v>37</v>
      </c>
      <c r="US361" s="12" t="s">
        <v>37</v>
      </c>
      <c r="UT361" s="12" t="s">
        <v>37</v>
      </c>
      <c r="UU361" s="12" t="s">
        <v>37</v>
      </c>
      <c r="UV361" s="12" t="s">
        <v>37</v>
      </c>
      <c r="UW361" s="12" t="s">
        <v>37</v>
      </c>
      <c r="UX361" s="12"/>
      <c r="UY361" s="12"/>
      <c r="VB361" s="12" t="s">
        <v>37</v>
      </c>
      <c r="VC361" s="12" t="s">
        <v>37</v>
      </c>
      <c r="VD361" s="12" t="s">
        <v>37</v>
      </c>
      <c r="VE361" s="12" t="s">
        <v>37</v>
      </c>
      <c r="VF361" s="12" t="s">
        <v>37</v>
      </c>
      <c r="VG361" s="12" t="s">
        <v>37</v>
      </c>
      <c r="VI361" s="12" t="s">
        <v>37</v>
      </c>
      <c r="VJ361" s="12" t="s">
        <v>37</v>
      </c>
      <c r="VK361" s="12" t="s">
        <v>37</v>
      </c>
      <c r="VL361" s="12" t="s">
        <v>37</v>
      </c>
      <c r="VM361" s="12" t="s">
        <v>37</v>
      </c>
      <c r="VN361" s="12" t="s">
        <v>37</v>
      </c>
      <c r="VQ361" s="12" t="s">
        <v>37</v>
      </c>
      <c r="VR361" s="12" t="s">
        <v>37</v>
      </c>
      <c r="VS361" s="12" t="s">
        <v>37</v>
      </c>
      <c r="VT361" s="12" t="s">
        <v>37</v>
      </c>
      <c r="VU361" s="12" t="s">
        <v>37</v>
      </c>
      <c r="VV361" s="12" t="s">
        <v>37</v>
      </c>
      <c r="VW361" s="12"/>
      <c r="VX361" s="12"/>
      <c r="WA361" s="12" t="s">
        <v>37</v>
      </c>
      <c r="WB361" s="12" t="s">
        <v>37</v>
      </c>
      <c r="WC361" s="12" t="s">
        <v>37</v>
      </c>
      <c r="WD361" s="12" t="s">
        <v>37</v>
      </c>
      <c r="WE361" s="12" t="s">
        <v>37</v>
      </c>
      <c r="WF361" s="12" t="s">
        <v>37</v>
      </c>
    </row>
    <row r="362" spans="1:604" ht="18" customHeight="1" x14ac:dyDescent="0.3">
      <c r="A362" s="11">
        <v>78</v>
      </c>
      <c r="B362" s="16" t="s">
        <v>562</v>
      </c>
      <c r="C362" s="12" t="s">
        <v>26</v>
      </c>
      <c r="D362" s="12" t="s">
        <v>54</v>
      </c>
      <c r="E362" s="40" t="s">
        <v>37</v>
      </c>
      <c r="F362" s="14">
        <v>0</v>
      </c>
      <c r="G362" s="14">
        <v>0</v>
      </c>
      <c r="H362" s="12" t="s">
        <v>91</v>
      </c>
      <c r="I362" s="29">
        <v>49.05</v>
      </c>
      <c r="J362" s="29">
        <v>-80.667000000000002</v>
      </c>
      <c r="K362" s="12" t="s">
        <v>778</v>
      </c>
      <c r="L362" s="12" t="s">
        <v>779</v>
      </c>
      <c r="M362" s="13" t="s">
        <v>37</v>
      </c>
      <c r="N362" s="14">
        <v>0.6</v>
      </c>
      <c r="O362" s="14">
        <v>885</v>
      </c>
      <c r="P362" s="14" t="s">
        <v>84</v>
      </c>
      <c r="Q362" s="75">
        <v>7</v>
      </c>
      <c r="R362" s="11" t="s">
        <v>999</v>
      </c>
      <c r="S362" s="12" t="s">
        <v>93</v>
      </c>
      <c r="T362" s="12" t="s">
        <v>141</v>
      </c>
      <c r="U362" s="12" t="s">
        <v>158</v>
      </c>
      <c r="V362" s="12" t="s">
        <v>275</v>
      </c>
      <c r="W362" s="23" t="s">
        <v>49</v>
      </c>
      <c r="X362" s="12" t="s">
        <v>49</v>
      </c>
      <c r="Y362" s="12" t="s">
        <v>37</v>
      </c>
      <c r="Z362" s="12" t="s">
        <v>37</v>
      </c>
      <c r="AA362" s="32" t="s">
        <v>345</v>
      </c>
      <c r="AB362" s="12">
        <v>4.5999999999999996</v>
      </c>
      <c r="AE362" s="12" t="s">
        <v>37</v>
      </c>
      <c r="AH362" s="12" t="s">
        <v>37</v>
      </c>
      <c r="AK362" s="12" t="s">
        <v>37</v>
      </c>
      <c r="AL362" s="32" t="s">
        <v>453</v>
      </c>
      <c r="AM362" s="12" t="s">
        <v>317</v>
      </c>
      <c r="AN362" s="32" t="s">
        <v>879</v>
      </c>
      <c r="AO362" s="12" t="s">
        <v>37</v>
      </c>
      <c r="AP362" s="12" t="s">
        <v>108</v>
      </c>
      <c r="AQ362" s="12" t="s">
        <v>975</v>
      </c>
      <c r="AT362" s="12" t="s">
        <v>326</v>
      </c>
      <c r="AU362" s="12" t="s">
        <v>326</v>
      </c>
      <c r="AV362" s="13" t="s">
        <v>326</v>
      </c>
      <c r="AX362" s="12" t="s">
        <v>326</v>
      </c>
      <c r="AY362" s="12" t="s">
        <v>326</v>
      </c>
      <c r="AZ362" s="13" t="s">
        <v>326</v>
      </c>
      <c r="BE362" s="12" t="s">
        <v>326</v>
      </c>
      <c r="BF362" s="12" t="s">
        <v>326</v>
      </c>
      <c r="BG362" s="12" t="s">
        <v>326</v>
      </c>
      <c r="BI362" s="12" t="s">
        <v>326</v>
      </c>
      <c r="BJ362" s="12" t="s">
        <v>326</v>
      </c>
      <c r="BK362" s="12" t="s">
        <v>326</v>
      </c>
      <c r="BP362" s="12" t="s">
        <v>37</v>
      </c>
      <c r="BQ362" s="12" t="s">
        <v>37</v>
      </c>
      <c r="BR362" s="13" t="s">
        <v>37</v>
      </c>
      <c r="BT362" s="12" t="s">
        <v>37</v>
      </c>
      <c r="BU362" s="12" t="s">
        <v>37</v>
      </c>
      <c r="BV362" s="12" t="s">
        <v>37</v>
      </c>
      <c r="CA362" s="12" t="s">
        <v>37</v>
      </c>
      <c r="CB362" s="12" t="s">
        <v>37</v>
      </c>
      <c r="CC362" s="13" t="s">
        <v>37</v>
      </c>
      <c r="CE362" s="12" t="s">
        <v>37</v>
      </c>
      <c r="CF362" s="12" t="s">
        <v>37</v>
      </c>
      <c r="CG362" s="12" t="s">
        <v>37</v>
      </c>
      <c r="CN362" s="12" t="s">
        <v>37</v>
      </c>
      <c r="CO362" s="12" t="s">
        <v>37</v>
      </c>
      <c r="CP362" s="13" t="s">
        <v>37</v>
      </c>
      <c r="CR362" s="12" t="s">
        <v>37</v>
      </c>
      <c r="CS362" s="12" t="s">
        <v>37</v>
      </c>
      <c r="CT362" s="13" t="s">
        <v>37</v>
      </c>
      <c r="CX362" s="72"/>
      <c r="CY362" s="72"/>
      <c r="DA362" s="12" t="s">
        <v>37</v>
      </c>
      <c r="DB362" s="12" t="s">
        <v>37</v>
      </c>
      <c r="DC362" s="13" t="s">
        <v>37</v>
      </c>
      <c r="DE362" s="12" t="s">
        <v>37</v>
      </c>
      <c r="DF362" s="12" t="s">
        <v>37</v>
      </c>
      <c r="DG362" s="12" t="s">
        <v>37</v>
      </c>
      <c r="DM362" s="12" t="s">
        <v>47</v>
      </c>
      <c r="DN362" s="19">
        <f>5.07462686567163*10^4/10^6*("1991/10/31"-"1991/5/1")/'[1]classes-1'!$I$75</f>
        <v>13.000958989688872</v>
      </c>
      <c r="DO362" s="12">
        <f>SQRT((1/[2]Classes!$I$75)^2*(19.1044776119403*10^4/10^6*("1991/10/31"-"1991/5/1"))^2+(-DN362/([2]Classes!$I$75)^2)^2*([2]Classes!$J$75)^2)</f>
        <v>49.021154863031335</v>
      </c>
      <c r="DP362" s="13">
        <v>8</v>
      </c>
      <c r="DQ362" s="19">
        <f t="shared" si="1360"/>
        <v>3.7705799165977116</v>
      </c>
      <c r="DR362" s="19">
        <f>-9.25373134328358*10^4/10^6*("1991/10/31"-"1991/5/1")/'[1]classes-1'!$I$76</f>
        <v>-4.3235288751980265</v>
      </c>
      <c r="DS362" s="12">
        <f>SQRT((1/[2]Classes!$I$76)^2*(19.1*10^4/10^6*("1991/10/31"-"1991/5/1"))^2+(-DR362/([2]Classes!$I$76)^2)^2*([2]Classes!$J$76)^2)</f>
        <v>9.6228681188427743</v>
      </c>
      <c r="DT362" s="13">
        <v>8</v>
      </c>
      <c r="DU362" s="19">
        <f t="shared" si="1361"/>
        <v>2.2256976642493287</v>
      </c>
      <c r="DV362" s="19">
        <f t="shared" si="1354"/>
        <v>-17.324487864886898</v>
      </c>
      <c r="DW362" s="12">
        <f t="shared" si="1355"/>
        <v>35.324730819483548</v>
      </c>
      <c r="DX362" s="72">
        <f t="shared" si="1358"/>
        <v>311.95915186724267</v>
      </c>
      <c r="DY362" s="72">
        <f t="shared" si="1359"/>
        <v>311.95915186724267</v>
      </c>
      <c r="EA362" s="19" t="s">
        <v>37</v>
      </c>
      <c r="EB362" s="19" t="s">
        <v>37</v>
      </c>
      <c r="EC362" s="72" t="s">
        <v>37</v>
      </c>
      <c r="EE362" s="19" t="s">
        <v>37</v>
      </c>
      <c r="EF362" s="19" t="s">
        <v>37</v>
      </c>
      <c r="EG362" s="12" t="s">
        <v>37</v>
      </c>
      <c r="EM362" s="12" t="s">
        <v>39</v>
      </c>
      <c r="EN362" s="12">
        <v>-45.647936632378602</v>
      </c>
      <c r="EO362" s="50">
        <f>ABS(EN362)*EQ$474</f>
        <v>18.60136978812152</v>
      </c>
      <c r="EP362" s="13">
        <v>8</v>
      </c>
      <c r="ER362" s="12">
        <v>-90.991470783038906</v>
      </c>
      <c r="ES362" s="50">
        <f>ABS(ER362)*EU$474</f>
        <v>20.638144323064466</v>
      </c>
      <c r="ET362" s="13">
        <v>8</v>
      </c>
      <c r="EV362" s="19">
        <f t="shared" si="1317"/>
        <v>-45.343534150660304</v>
      </c>
      <c r="EW362" s="12">
        <f t="shared" si="1318"/>
        <v>19.646169589694551</v>
      </c>
      <c r="EX362" s="19">
        <f t="shared" si="1319"/>
        <v>96.49299488675976</v>
      </c>
      <c r="EY362" s="19">
        <f t="shared" si="1320"/>
        <v>96.49299488675976</v>
      </c>
      <c r="FB362" s="12" t="s">
        <v>37</v>
      </c>
      <c r="FC362" s="12" t="s">
        <v>37</v>
      </c>
      <c r="FD362" s="12" t="s">
        <v>37</v>
      </c>
      <c r="FE362" s="12" t="s">
        <v>37</v>
      </c>
      <c r="FF362" s="20" t="s">
        <v>37</v>
      </c>
      <c r="FG362" s="12" t="s">
        <v>37</v>
      </c>
      <c r="FI362" s="12" t="s">
        <v>37</v>
      </c>
      <c r="FJ362" s="12" t="s">
        <v>37</v>
      </c>
      <c r="FK362" s="12" t="s">
        <v>37</v>
      </c>
      <c r="FL362" s="12" t="s">
        <v>37</v>
      </c>
      <c r="FM362" s="12" t="s">
        <v>37</v>
      </c>
      <c r="FN362" s="12" t="s">
        <v>37</v>
      </c>
      <c r="FP362" s="12" t="s">
        <v>37</v>
      </c>
      <c r="FQ362" s="12" t="s">
        <v>37</v>
      </c>
      <c r="FR362" s="12" t="s">
        <v>37</v>
      </c>
      <c r="FS362" s="12" t="s">
        <v>37</v>
      </c>
      <c r="FT362" s="12" t="s">
        <v>37</v>
      </c>
      <c r="FU362" s="12" t="s">
        <v>37</v>
      </c>
      <c r="FW362" s="12" t="s">
        <v>37</v>
      </c>
      <c r="FX362" s="12" t="s">
        <v>37</v>
      </c>
      <c r="FY362" s="12" t="s">
        <v>37</v>
      </c>
      <c r="FZ362" s="12" t="s">
        <v>37</v>
      </c>
      <c r="GA362" s="12" t="s">
        <v>37</v>
      </c>
      <c r="GB362" s="12" t="s">
        <v>37</v>
      </c>
      <c r="GO362" s="12" t="s">
        <v>660</v>
      </c>
      <c r="GP362" s="12" t="s">
        <v>372</v>
      </c>
      <c r="GQ362" s="12">
        <v>12.8585101580135</v>
      </c>
      <c r="GR362" s="50">
        <f>ABS(GQ362)*GT$474</f>
        <v>1.228367786029174</v>
      </c>
      <c r="GS362" s="13">
        <v>8</v>
      </c>
      <c r="GU362" s="12">
        <v>11.018690744921001</v>
      </c>
      <c r="GV362" s="50">
        <f>ABS(GU362)*GX$474</f>
        <v>1.1727873768826209</v>
      </c>
      <c r="GW362" s="13">
        <v>8</v>
      </c>
      <c r="GY362" s="19">
        <f t="shared" si="1362"/>
        <v>-0.15441287175324497</v>
      </c>
      <c r="GZ362" s="19">
        <f t="shared" si="1363"/>
        <v>2.5568196584360237E-3</v>
      </c>
      <c r="IK362" s="12" t="s">
        <v>37</v>
      </c>
      <c r="IL362" s="12" t="s">
        <v>37</v>
      </c>
      <c r="IM362" s="12" t="s">
        <v>37</v>
      </c>
      <c r="IO362" s="12" t="s">
        <v>37</v>
      </c>
      <c r="IP362" s="12" t="s">
        <v>37</v>
      </c>
      <c r="IQ362" s="12" t="s">
        <v>37</v>
      </c>
      <c r="IV362" s="32" t="s">
        <v>345</v>
      </c>
      <c r="IW362" s="12">
        <v>4.5999999999999996</v>
      </c>
      <c r="IX362" s="12">
        <v>0.2</v>
      </c>
      <c r="IY362" s="13">
        <v>3</v>
      </c>
      <c r="IZ362" s="19">
        <f t="shared" si="1364"/>
        <v>4.3478260869565223E-2</v>
      </c>
      <c r="JH362" s="12" t="s">
        <v>37</v>
      </c>
      <c r="JI362" s="12" t="s">
        <v>37</v>
      </c>
      <c r="JJ362" s="13" t="s">
        <v>37</v>
      </c>
      <c r="JL362" s="12" t="s">
        <v>37</v>
      </c>
      <c r="JM362" s="12" t="s">
        <v>37</v>
      </c>
      <c r="JN362" s="12" t="s">
        <v>37</v>
      </c>
      <c r="JS362" s="12" t="s">
        <v>37</v>
      </c>
      <c r="JT362" s="12" t="s">
        <v>37</v>
      </c>
      <c r="JU362" s="13" t="s">
        <v>37</v>
      </c>
      <c r="JW362" s="12" t="s">
        <v>37</v>
      </c>
      <c r="JX362" s="12" t="s">
        <v>37</v>
      </c>
      <c r="JY362" s="12" t="s">
        <v>37</v>
      </c>
      <c r="KE362" s="12" t="s">
        <v>37</v>
      </c>
      <c r="KF362" s="12" t="s">
        <v>37</v>
      </c>
      <c r="KG362" s="13" t="s">
        <v>37</v>
      </c>
      <c r="KH362" s="12" t="s">
        <v>37</v>
      </c>
      <c r="KI362" s="12" t="s">
        <v>37</v>
      </c>
      <c r="KJ362" s="12" t="s">
        <v>37</v>
      </c>
      <c r="KM362" s="12" t="s">
        <v>37</v>
      </c>
      <c r="KN362" s="12" t="s">
        <v>37</v>
      </c>
      <c r="KO362" s="11" t="s">
        <v>37</v>
      </c>
      <c r="KQ362" s="12" t="s">
        <v>37</v>
      </c>
      <c r="KR362" s="12" t="s">
        <v>37</v>
      </c>
      <c r="KS362" s="12" t="s">
        <v>37</v>
      </c>
      <c r="KX362" s="12" t="s">
        <v>37</v>
      </c>
      <c r="KY362" s="12" t="s">
        <v>37</v>
      </c>
      <c r="KZ362" s="12" t="s">
        <v>37</v>
      </c>
      <c r="LB362" s="12" t="s">
        <v>37</v>
      </c>
      <c r="LC362" s="12" t="s">
        <v>37</v>
      </c>
      <c r="LD362" s="12" t="s">
        <v>37</v>
      </c>
      <c r="LI362" s="12" t="s">
        <v>37</v>
      </c>
      <c r="LJ362" s="12" t="s">
        <v>37</v>
      </c>
      <c r="LK362" s="12" t="s">
        <v>37</v>
      </c>
      <c r="LM362" s="12" t="s">
        <v>37</v>
      </c>
      <c r="LN362" s="12" t="s">
        <v>37</v>
      </c>
      <c r="LO362" s="12" t="s">
        <v>37</v>
      </c>
      <c r="LU362" s="12" t="s">
        <v>37</v>
      </c>
      <c r="LV362" s="12" t="s">
        <v>37</v>
      </c>
      <c r="LW362" s="12" t="s">
        <v>37</v>
      </c>
      <c r="LY362" s="12" t="s">
        <v>37</v>
      </c>
      <c r="LZ362" s="12" t="s">
        <v>37</v>
      </c>
      <c r="MA362" s="12" t="s">
        <v>37</v>
      </c>
      <c r="MF362" s="12" t="s">
        <v>37</v>
      </c>
      <c r="MG362" s="12" t="s">
        <v>37</v>
      </c>
      <c r="MH362" s="12" t="s">
        <v>37</v>
      </c>
      <c r="MJ362" s="12" t="s">
        <v>37</v>
      </c>
      <c r="MK362" s="12" t="s">
        <v>37</v>
      </c>
      <c r="ML362" s="12" t="s">
        <v>37</v>
      </c>
      <c r="MQ362" s="12" t="s">
        <v>37</v>
      </c>
      <c r="MR362" s="12" t="s">
        <v>37</v>
      </c>
      <c r="MS362" s="12" t="s">
        <v>37</v>
      </c>
      <c r="MU362" s="12" t="s">
        <v>37</v>
      </c>
      <c r="MV362" s="12" t="s">
        <v>37</v>
      </c>
      <c r="MW362" s="12" t="s">
        <v>37</v>
      </c>
      <c r="NC362" s="12" t="s">
        <v>37</v>
      </c>
      <c r="ND362" s="12" t="s">
        <v>37</v>
      </c>
      <c r="NE362" s="12" t="s">
        <v>37</v>
      </c>
      <c r="NG362" s="12" t="s">
        <v>37</v>
      </c>
      <c r="NH362" s="12" t="s">
        <v>37</v>
      </c>
      <c r="NI362" s="12" t="s">
        <v>37</v>
      </c>
      <c r="NO362" s="12" t="s">
        <v>37</v>
      </c>
      <c r="NP362" s="12" t="s">
        <v>37</v>
      </c>
      <c r="NQ362" s="12" t="s">
        <v>37</v>
      </c>
      <c r="NS362" s="12" t="s">
        <v>37</v>
      </c>
      <c r="NT362" s="12" t="s">
        <v>37</v>
      </c>
      <c r="NU362" s="12" t="s">
        <v>37</v>
      </c>
      <c r="OA362" s="12" t="s">
        <v>37</v>
      </c>
      <c r="OB362" s="12" t="s">
        <v>37</v>
      </c>
      <c r="OC362" s="12" t="s">
        <v>37</v>
      </c>
      <c r="OD362" s="12"/>
      <c r="OE362" s="12" t="s">
        <v>37</v>
      </c>
      <c r="OF362" s="12" t="s">
        <v>37</v>
      </c>
      <c r="OG362" s="12" t="s">
        <v>37</v>
      </c>
      <c r="OH362" s="12"/>
      <c r="OI362" s="12"/>
      <c r="OJ362" s="12"/>
      <c r="OM362" s="12" t="s">
        <v>37</v>
      </c>
      <c r="ON362" s="12" t="s">
        <v>37</v>
      </c>
      <c r="OO362" s="12" t="s">
        <v>37</v>
      </c>
      <c r="OP362" s="12" t="s">
        <v>37</v>
      </c>
      <c r="OQ362" s="12" t="s">
        <v>37</v>
      </c>
      <c r="OR362" s="12" t="s">
        <v>37</v>
      </c>
      <c r="OS362" s="12"/>
      <c r="OT362" s="12"/>
      <c r="OW362" s="12" t="s">
        <v>37</v>
      </c>
      <c r="OX362" s="12" t="s">
        <v>37</v>
      </c>
      <c r="OY362" s="13" t="s">
        <v>37</v>
      </c>
      <c r="OZ362" s="12" t="s">
        <v>37</v>
      </c>
      <c r="PA362" s="12" t="s">
        <v>37</v>
      </c>
      <c r="PB362" s="13" t="s">
        <v>37</v>
      </c>
      <c r="PG362" s="12" t="s">
        <v>37</v>
      </c>
      <c r="PH362" s="12" t="s">
        <v>37</v>
      </c>
      <c r="PI362" s="12" t="s">
        <v>37</v>
      </c>
      <c r="PJ362" s="12" t="s">
        <v>37</v>
      </c>
      <c r="PK362" s="12" t="s">
        <v>37</v>
      </c>
      <c r="PL362" s="12" t="s">
        <v>37</v>
      </c>
      <c r="PM362" s="12"/>
      <c r="PN362" s="12"/>
      <c r="PQ362" s="12" t="s">
        <v>37</v>
      </c>
      <c r="PR362" s="12" t="s">
        <v>37</v>
      </c>
      <c r="PS362" s="12" t="s">
        <v>37</v>
      </c>
      <c r="PT362" s="12" t="s">
        <v>37</v>
      </c>
      <c r="PU362" s="12" t="s">
        <v>37</v>
      </c>
      <c r="PV362" s="12" t="s">
        <v>37</v>
      </c>
      <c r="PW362" s="12"/>
      <c r="PX362" s="12"/>
      <c r="PZ362" s="12" t="s">
        <v>37</v>
      </c>
      <c r="QA362" s="12" t="s">
        <v>37</v>
      </c>
      <c r="QB362" s="12" t="s">
        <v>37</v>
      </c>
      <c r="QD362" s="12" t="s">
        <v>37</v>
      </c>
      <c r="QE362" s="12" t="s">
        <v>37</v>
      </c>
      <c r="QF362" s="12" t="s">
        <v>37</v>
      </c>
      <c r="QK362" s="12" t="s">
        <v>37</v>
      </c>
      <c r="QL362" s="12" t="s">
        <v>37</v>
      </c>
      <c r="QM362" s="12" t="s">
        <v>37</v>
      </c>
      <c r="QN362" s="12" t="s">
        <v>37</v>
      </c>
      <c r="QO362" s="12" t="s">
        <v>37</v>
      </c>
      <c r="QP362" s="12" t="s">
        <v>37</v>
      </c>
      <c r="QQ362" s="12"/>
      <c r="QR362" s="12"/>
      <c r="QU362" s="12" t="s">
        <v>37</v>
      </c>
      <c r="QV362" s="12" t="s">
        <v>37</v>
      </c>
      <c r="QW362" s="12" t="s">
        <v>37</v>
      </c>
      <c r="QX362" s="12" t="s">
        <v>37</v>
      </c>
      <c r="QY362" s="12" t="s">
        <v>37</v>
      </c>
      <c r="QZ362" s="12" t="s">
        <v>37</v>
      </c>
      <c r="RC362" s="12" t="s">
        <v>37</v>
      </c>
      <c r="RD362" s="12" t="s">
        <v>37</v>
      </c>
      <c r="RE362" s="13" t="s">
        <v>37</v>
      </c>
      <c r="RF362" s="12" t="s">
        <v>37</v>
      </c>
      <c r="RG362" s="12" t="s">
        <v>37</v>
      </c>
      <c r="RH362" s="13" t="s">
        <v>37</v>
      </c>
      <c r="RK362" s="12" t="s">
        <v>37</v>
      </c>
      <c r="RL362" s="12" t="s">
        <v>37</v>
      </c>
      <c r="RM362" s="11" t="s">
        <v>37</v>
      </c>
      <c r="RN362" s="12" t="s">
        <v>37</v>
      </c>
      <c r="RO362" s="12" t="s">
        <v>37</v>
      </c>
      <c r="RP362" s="11" t="s">
        <v>37</v>
      </c>
      <c r="RS362" s="12" t="s">
        <v>37</v>
      </c>
      <c r="RT362" s="12" t="s">
        <v>37</v>
      </c>
      <c r="RU362" s="12" t="s">
        <v>37</v>
      </c>
      <c r="RV362" s="12" t="s">
        <v>37</v>
      </c>
      <c r="RW362" s="12" t="s">
        <v>37</v>
      </c>
      <c r="RX362" s="12" t="s">
        <v>37</v>
      </c>
      <c r="SA362" s="12" t="s">
        <v>37</v>
      </c>
      <c r="SB362" s="12" t="s">
        <v>37</v>
      </c>
      <c r="SC362" s="12" t="s">
        <v>37</v>
      </c>
      <c r="SD362" s="12" t="s">
        <v>37</v>
      </c>
      <c r="SE362" s="12" t="s">
        <v>37</v>
      </c>
      <c r="SF362" s="12" t="s">
        <v>37</v>
      </c>
      <c r="SI362" s="12" t="s">
        <v>37</v>
      </c>
      <c r="SJ362" s="12" t="s">
        <v>37</v>
      </c>
      <c r="SK362" s="13" t="s">
        <v>37</v>
      </c>
      <c r="SM362" s="12" t="s">
        <v>37</v>
      </c>
      <c r="SN362" s="12" t="s">
        <v>37</v>
      </c>
      <c r="SO362" s="13" t="s">
        <v>37</v>
      </c>
      <c r="SU362" s="12" t="s">
        <v>37</v>
      </c>
      <c r="SV362" s="12" t="s">
        <v>37</v>
      </c>
      <c r="SW362" s="12" t="s">
        <v>37</v>
      </c>
      <c r="SX362" s="12" t="s">
        <v>37</v>
      </c>
      <c r="SY362" s="12" t="s">
        <v>37</v>
      </c>
      <c r="SZ362" s="12" t="s">
        <v>37</v>
      </c>
      <c r="TA362" s="12"/>
      <c r="TB362" s="12"/>
      <c r="TE362" s="12" t="s">
        <v>37</v>
      </c>
      <c r="TF362" s="12" t="s">
        <v>37</v>
      </c>
      <c r="TG362" s="12" t="s">
        <v>37</v>
      </c>
      <c r="TH362" s="12" t="s">
        <v>37</v>
      </c>
      <c r="TI362" s="12" t="s">
        <v>37</v>
      </c>
      <c r="TJ362" s="12" t="s">
        <v>37</v>
      </c>
      <c r="TK362" s="12"/>
      <c r="TL362" s="12"/>
      <c r="TO362" s="12" t="s">
        <v>37</v>
      </c>
      <c r="TP362" s="12" t="s">
        <v>37</v>
      </c>
      <c r="TQ362" s="12" t="s">
        <v>37</v>
      </c>
      <c r="TR362" s="12" t="s">
        <v>37</v>
      </c>
      <c r="TS362" s="12" t="s">
        <v>37</v>
      </c>
      <c r="TT362" s="12" t="s">
        <v>37</v>
      </c>
      <c r="TU362" s="12"/>
      <c r="TV362" s="12"/>
      <c r="TY362" s="12" t="s">
        <v>37</v>
      </c>
      <c r="TZ362" s="12" t="s">
        <v>37</v>
      </c>
      <c r="UA362" s="12" t="s">
        <v>37</v>
      </c>
      <c r="UB362" s="12" t="s">
        <v>37</v>
      </c>
      <c r="UC362" s="12" t="s">
        <v>37</v>
      </c>
      <c r="UD362" s="12" t="s">
        <v>37</v>
      </c>
      <c r="UE362" s="12"/>
      <c r="UF362" s="12"/>
      <c r="UI362" s="12" t="s">
        <v>37</v>
      </c>
      <c r="UJ362" s="12" t="s">
        <v>37</v>
      </c>
      <c r="UK362" s="12" t="s">
        <v>37</v>
      </c>
      <c r="UL362" s="12" t="s">
        <v>37</v>
      </c>
      <c r="UM362" s="12" t="s">
        <v>37</v>
      </c>
      <c r="UN362" s="12" t="s">
        <v>37</v>
      </c>
      <c r="UO362" s="12"/>
      <c r="UP362" s="12"/>
      <c r="UR362" s="12" t="s">
        <v>37</v>
      </c>
      <c r="US362" s="12" t="s">
        <v>37</v>
      </c>
      <c r="UT362" s="12" t="s">
        <v>37</v>
      </c>
      <c r="UU362" s="12" t="s">
        <v>37</v>
      </c>
      <c r="UV362" s="12" t="s">
        <v>37</v>
      </c>
      <c r="UW362" s="12" t="s">
        <v>37</v>
      </c>
      <c r="UX362" s="12"/>
      <c r="UY362" s="12"/>
      <c r="VB362" s="12" t="s">
        <v>37</v>
      </c>
      <c r="VC362" s="12" t="s">
        <v>37</v>
      </c>
      <c r="VD362" s="12" t="s">
        <v>37</v>
      </c>
      <c r="VE362" s="12" t="s">
        <v>37</v>
      </c>
      <c r="VF362" s="12" t="s">
        <v>37</v>
      </c>
      <c r="VG362" s="12" t="s">
        <v>37</v>
      </c>
      <c r="VI362" s="12" t="s">
        <v>37</v>
      </c>
      <c r="VJ362" s="12" t="s">
        <v>37</v>
      </c>
      <c r="VK362" s="12" t="s">
        <v>37</v>
      </c>
      <c r="VL362" s="12" t="s">
        <v>37</v>
      </c>
      <c r="VM362" s="12" t="s">
        <v>37</v>
      </c>
      <c r="VN362" s="12" t="s">
        <v>37</v>
      </c>
      <c r="VQ362" s="12" t="s">
        <v>37</v>
      </c>
      <c r="VR362" s="12" t="s">
        <v>37</v>
      </c>
      <c r="VS362" s="12" t="s">
        <v>37</v>
      </c>
      <c r="VT362" s="12" t="s">
        <v>37</v>
      </c>
      <c r="VU362" s="12" t="s">
        <v>37</v>
      </c>
      <c r="VV362" s="12" t="s">
        <v>37</v>
      </c>
      <c r="VW362" s="12"/>
      <c r="VX362" s="12"/>
      <c r="WA362" s="12" t="s">
        <v>37</v>
      </c>
      <c r="WB362" s="12" t="s">
        <v>37</v>
      </c>
      <c r="WC362" s="12" t="s">
        <v>37</v>
      </c>
      <c r="WD362" s="12" t="s">
        <v>37</v>
      </c>
      <c r="WE362" s="12" t="s">
        <v>37</v>
      </c>
      <c r="WF362" s="12" t="s">
        <v>37</v>
      </c>
    </row>
    <row r="363" spans="1:604" ht="18" customHeight="1" x14ac:dyDescent="0.3">
      <c r="A363" s="11">
        <v>78</v>
      </c>
      <c r="B363" s="16" t="s">
        <v>562</v>
      </c>
      <c r="C363" s="12" t="s">
        <v>26</v>
      </c>
      <c r="D363" s="12" t="s">
        <v>54</v>
      </c>
      <c r="E363" s="40" t="s">
        <v>37</v>
      </c>
      <c r="F363" s="14">
        <v>0</v>
      </c>
      <c r="G363" s="14">
        <v>0</v>
      </c>
      <c r="H363" s="12" t="s">
        <v>91</v>
      </c>
      <c r="I363" s="29">
        <v>49.05</v>
      </c>
      <c r="J363" s="29">
        <v>-80.667000000000002</v>
      </c>
      <c r="K363" s="12" t="s">
        <v>778</v>
      </c>
      <c r="L363" s="12" t="s">
        <v>779</v>
      </c>
      <c r="M363" s="13" t="s">
        <v>37</v>
      </c>
      <c r="N363" s="14">
        <v>0.6</v>
      </c>
      <c r="O363" s="14">
        <v>885</v>
      </c>
      <c r="P363" s="14" t="s">
        <v>84</v>
      </c>
      <c r="Q363" s="75">
        <v>7</v>
      </c>
      <c r="R363" s="11" t="s">
        <v>1000</v>
      </c>
      <c r="S363" s="12" t="s">
        <v>93</v>
      </c>
      <c r="T363" s="12" t="s">
        <v>141</v>
      </c>
      <c r="U363" s="12" t="s">
        <v>158</v>
      </c>
      <c r="V363" s="12" t="s">
        <v>275</v>
      </c>
      <c r="W363" s="23" t="s">
        <v>49</v>
      </c>
      <c r="X363" s="12" t="s">
        <v>49</v>
      </c>
      <c r="Y363" s="12" t="s">
        <v>37</v>
      </c>
      <c r="Z363" s="12" t="s">
        <v>37</v>
      </c>
      <c r="AA363" s="32" t="s">
        <v>345</v>
      </c>
      <c r="AB363" s="12">
        <v>4.5</v>
      </c>
      <c r="AE363" s="12" t="s">
        <v>37</v>
      </c>
      <c r="AH363" s="12" t="s">
        <v>37</v>
      </c>
      <c r="AK363" s="12" t="s">
        <v>37</v>
      </c>
      <c r="AL363" s="32" t="s">
        <v>453</v>
      </c>
      <c r="AM363" s="12" t="s">
        <v>317</v>
      </c>
      <c r="AN363" s="32" t="s">
        <v>879</v>
      </c>
      <c r="AO363" s="12" t="s">
        <v>37</v>
      </c>
      <c r="AP363" s="12" t="s">
        <v>108</v>
      </c>
      <c r="AQ363" s="12" t="s">
        <v>975</v>
      </c>
      <c r="AT363" s="12" t="s">
        <v>326</v>
      </c>
      <c r="AU363" s="12" t="s">
        <v>326</v>
      </c>
      <c r="AV363" s="13" t="s">
        <v>326</v>
      </c>
      <c r="AX363" s="12" t="s">
        <v>326</v>
      </c>
      <c r="AY363" s="12" t="s">
        <v>326</v>
      </c>
      <c r="AZ363" s="13" t="s">
        <v>326</v>
      </c>
      <c r="BE363" s="12" t="s">
        <v>326</v>
      </c>
      <c r="BF363" s="12" t="s">
        <v>326</v>
      </c>
      <c r="BG363" s="12" t="s">
        <v>326</v>
      </c>
      <c r="BI363" s="12" t="s">
        <v>326</v>
      </c>
      <c r="BJ363" s="12" t="s">
        <v>326</v>
      </c>
      <c r="BK363" s="12" t="s">
        <v>326</v>
      </c>
      <c r="BP363" s="12" t="s">
        <v>37</v>
      </c>
      <c r="BQ363" s="12" t="s">
        <v>37</v>
      </c>
      <c r="BR363" s="13" t="s">
        <v>37</v>
      </c>
      <c r="BT363" s="12" t="s">
        <v>37</v>
      </c>
      <c r="BU363" s="12" t="s">
        <v>37</v>
      </c>
      <c r="BV363" s="12" t="s">
        <v>37</v>
      </c>
      <c r="CA363" s="12" t="s">
        <v>37</v>
      </c>
      <c r="CB363" s="12" t="s">
        <v>37</v>
      </c>
      <c r="CC363" s="13" t="s">
        <v>37</v>
      </c>
      <c r="CE363" s="12" t="s">
        <v>37</v>
      </c>
      <c r="CF363" s="12" t="s">
        <v>37</v>
      </c>
      <c r="CG363" s="12" t="s">
        <v>37</v>
      </c>
      <c r="CN363" s="12" t="s">
        <v>37</v>
      </c>
      <c r="CO363" s="12" t="s">
        <v>37</v>
      </c>
      <c r="CP363" s="13" t="s">
        <v>37</v>
      </c>
      <c r="CR363" s="12" t="s">
        <v>37</v>
      </c>
      <c r="CS363" s="12" t="s">
        <v>37</v>
      </c>
      <c r="CT363" s="13" t="s">
        <v>37</v>
      </c>
      <c r="CX363" s="72"/>
      <c r="CY363" s="72"/>
      <c r="DA363" s="12" t="s">
        <v>37</v>
      </c>
      <c r="DB363" s="12" t="s">
        <v>37</v>
      </c>
      <c r="DC363" s="13" t="s">
        <v>37</v>
      </c>
      <c r="DE363" s="12" t="s">
        <v>37</v>
      </c>
      <c r="DF363" s="12" t="s">
        <v>37</v>
      </c>
      <c r="DG363" s="12" t="s">
        <v>37</v>
      </c>
      <c r="DM363" s="12" t="s">
        <v>47</v>
      </c>
      <c r="DN363" s="19">
        <f>36.1194029850746*10^4/10^6*("1991/10/31"-"1991/5/1")/'[1]classes-1'!$I$75</f>
        <v>92.536237514844473</v>
      </c>
      <c r="DO363" s="12">
        <f>SQRT((1/[2]Classes!$I$75)^2*(133.731343283583*10^4/10^6*("1991/10/31"-"1991/5/1"))^2+(-DN363/([2]Classes!$I$75)^2)^2*([2]Classes!$J$75)^2)</f>
        <v>343.16618940866766</v>
      </c>
      <c r="DP363" s="13">
        <v>8</v>
      </c>
      <c r="DQ363" s="19">
        <f t="shared" si="1360"/>
        <v>3.7084519386647599</v>
      </c>
      <c r="DR363" s="19">
        <f>-9.25373134328358*10^4/10^6*("1991/10/31"-"1991/5/1")/'[1]classes-1'!$I$76</f>
        <v>-4.3235288751980265</v>
      </c>
      <c r="DS363" s="12">
        <f>SQRT((1/[2]Classes!$I$76)^2*(4.78*10^4/10^6*("1991/10/31"-"1991/5/1"))^2+(-DR363/([2]Classes!$I$76)^2)^2*([2]Classes!$J$76)^2)</f>
        <v>4.2368888087214085</v>
      </c>
      <c r="DT363" s="13">
        <v>8</v>
      </c>
      <c r="DU363" s="19">
        <f t="shared" si="1361"/>
        <v>0.97996079846404405</v>
      </c>
      <c r="DV363" s="19">
        <f t="shared" si="1354"/>
        <v>-96.859766390042495</v>
      </c>
      <c r="DW363" s="12">
        <f t="shared" si="1355"/>
        <v>242.67363348749183</v>
      </c>
      <c r="DX363" s="72">
        <f t="shared" si="1358"/>
        <v>14722.623097505379</v>
      </c>
      <c r="DY363" s="72">
        <f t="shared" si="1359"/>
        <v>14722.62309750538</v>
      </c>
      <c r="EA363" s="19" t="s">
        <v>37</v>
      </c>
      <c r="EB363" s="19" t="s">
        <v>37</v>
      </c>
      <c r="EC363" s="72" t="s">
        <v>37</v>
      </c>
      <c r="EE363" s="19" t="s">
        <v>37</v>
      </c>
      <c r="EF363" s="19" t="s">
        <v>37</v>
      </c>
      <c r="EG363" s="12" t="s">
        <v>37</v>
      </c>
      <c r="EM363" s="12" t="s">
        <v>39</v>
      </c>
      <c r="EN363" s="12">
        <v>-18.912423460077601</v>
      </c>
      <c r="EO363" s="50">
        <f>ABS(EN363)*EQ$474</f>
        <v>7.7067444516410974</v>
      </c>
      <c r="EP363" s="13">
        <v>8</v>
      </c>
      <c r="ER363" s="12">
        <v>-40.3060245198091</v>
      </c>
      <c r="ES363" s="50">
        <f>ABS(ER363)*EU$474</f>
        <v>9.1419728021788735</v>
      </c>
      <c r="ET363" s="13">
        <v>8</v>
      </c>
      <c r="EV363" s="19">
        <f t="shared" si="1317"/>
        <v>-21.393601059731498</v>
      </c>
      <c r="EW363" s="12">
        <f t="shared" si="1318"/>
        <v>8.4548677328116462</v>
      </c>
      <c r="EX363" s="19">
        <f t="shared" si="1319"/>
        <v>17.871197094834887</v>
      </c>
      <c r="EY363" s="19">
        <f t="shared" si="1320"/>
        <v>17.871197094834884</v>
      </c>
      <c r="FB363" s="12" t="s">
        <v>37</v>
      </c>
      <c r="FC363" s="12" t="s">
        <v>37</v>
      </c>
      <c r="FD363" s="12" t="s">
        <v>37</v>
      </c>
      <c r="FE363" s="12" t="s">
        <v>37</v>
      </c>
      <c r="FF363" s="20" t="s">
        <v>37</v>
      </c>
      <c r="FG363" s="12" t="s">
        <v>37</v>
      </c>
      <c r="FI363" s="12" t="s">
        <v>37</v>
      </c>
      <c r="FJ363" s="12" t="s">
        <v>37</v>
      </c>
      <c r="FK363" s="12" t="s">
        <v>37</v>
      </c>
      <c r="FL363" s="12" t="s">
        <v>37</v>
      </c>
      <c r="FM363" s="12" t="s">
        <v>37</v>
      </c>
      <c r="FN363" s="12" t="s">
        <v>37</v>
      </c>
      <c r="FP363" s="12" t="s">
        <v>37</v>
      </c>
      <c r="FQ363" s="12" t="s">
        <v>37</v>
      </c>
      <c r="FR363" s="12" t="s">
        <v>37</v>
      </c>
      <c r="FS363" s="12" t="s">
        <v>37</v>
      </c>
      <c r="FT363" s="12" t="s">
        <v>37</v>
      </c>
      <c r="FU363" s="12" t="s">
        <v>37</v>
      </c>
      <c r="FW363" s="12" t="s">
        <v>37</v>
      </c>
      <c r="FX363" s="12" t="s">
        <v>37</v>
      </c>
      <c r="FY363" s="12" t="s">
        <v>37</v>
      </c>
      <c r="FZ363" s="12" t="s">
        <v>37</v>
      </c>
      <c r="GA363" s="12" t="s">
        <v>37</v>
      </c>
      <c r="GB363" s="12" t="s">
        <v>37</v>
      </c>
      <c r="GO363" s="12" t="s">
        <v>660</v>
      </c>
      <c r="GP363" s="12" t="s">
        <v>372</v>
      </c>
      <c r="GQ363" s="12">
        <v>13.807133182844201</v>
      </c>
      <c r="GR363" s="50">
        <f>ABS(GQ363)*GT$474</f>
        <v>1.3189893238642854</v>
      </c>
      <c r="GS363" s="13">
        <v>8</v>
      </c>
      <c r="GU363" s="12">
        <v>11.1273137697517</v>
      </c>
      <c r="GV363" s="50">
        <f>ABS(GU363)*GX$474</f>
        <v>1.1843487969559605</v>
      </c>
      <c r="GW363" s="13">
        <v>8</v>
      </c>
      <c r="GY363" s="19">
        <f t="shared" si="1362"/>
        <v>-0.21578257019418362</v>
      </c>
      <c r="GZ363" s="19">
        <f t="shared" si="1363"/>
        <v>2.5568196584360237E-3</v>
      </c>
      <c r="IK363" s="12" t="s">
        <v>37</v>
      </c>
      <c r="IL363" s="12" t="s">
        <v>37</v>
      </c>
      <c r="IM363" s="12" t="s">
        <v>37</v>
      </c>
      <c r="IO363" s="12" t="s">
        <v>37</v>
      </c>
      <c r="IP363" s="12" t="s">
        <v>37</v>
      </c>
      <c r="IQ363" s="12" t="s">
        <v>37</v>
      </c>
      <c r="IV363" s="32" t="s">
        <v>345</v>
      </c>
      <c r="IW363" s="12">
        <v>4.5</v>
      </c>
      <c r="IX363" s="12">
        <v>0.2</v>
      </c>
      <c r="IY363" s="13">
        <v>3</v>
      </c>
      <c r="IZ363" s="19">
        <f t="shared" si="1364"/>
        <v>4.4444444444444446E-2</v>
      </c>
      <c r="JH363" s="12" t="s">
        <v>37</v>
      </c>
      <c r="JI363" s="12" t="s">
        <v>37</v>
      </c>
      <c r="JJ363" s="13" t="s">
        <v>37</v>
      </c>
      <c r="JL363" s="12" t="s">
        <v>37</v>
      </c>
      <c r="JM363" s="12" t="s">
        <v>37</v>
      </c>
      <c r="JN363" s="12" t="s">
        <v>37</v>
      </c>
      <c r="JS363" s="12" t="s">
        <v>37</v>
      </c>
      <c r="JT363" s="12" t="s">
        <v>37</v>
      </c>
      <c r="JU363" s="13" t="s">
        <v>37</v>
      </c>
      <c r="JW363" s="12" t="s">
        <v>37</v>
      </c>
      <c r="JX363" s="12" t="s">
        <v>37</v>
      </c>
      <c r="JY363" s="12" t="s">
        <v>37</v>
      </c>
      <c r="KE363" s="12" t="s">
        <v>37</v>
      </c>
      <c r="KF363" s="12" t="s">
        <v>37</v>
      </c>
      <c r="KG363" s="13" t="s">
        <v>37</v>
      </c>
      <c r="KH363" s="12" t="s">
        <v>37</v>
      </c>
      <c r="KI363" s="12" t="s">
        <v>37</v>
      </c>
      <c r="KJ363" s="12" t="s">
        <v>37</v>
      </c>
      <c r="KM363" s="12" t="s">
        <v>37</v>
      </c>
      <c r="KN363" s="12" t="s">
        <v>37</v>
      </c>
      <c r="KO363" s="11" t="s">
        <v>37</v>
      </c>
      <c r="KQ363" s="12" t="s">
        <v>37</v>
      </c>
      <c r="KR363" s="12" t="s">
        <v>37</v>
      </c>
      <c r="KS363" s="12" t="s">
        <v>37</v>
      </c>
      <c r="KX363" s="12" t="s">
        <v>37</v>
      </c>
      <c r="KY363" s="12" t="s">
        <v>37</v>
      </c>
      <c r="KZ363" s="12" t="s">
        <v>37</v>
      </c>
      <c r="LB363" s="12" t="s">
        <v>37</v>
      </c>
      <c r="LC363" s="12" t="s">
        <v>37</v>
      </c>
      <c r="LD363" s="12" t="s">
        <v>37</v>
      </c>
      <c r="LI363" s="12" t="s">
        <v>37</v>
      </c>
      <c r="LJ363" s="12" t="s">
        <v>37</v>
      </c>
      <c r="LK363" s="12" t="s">
        <v>37</v>
      </c>
      <c r="LM363" s="12" t="s">
        <v>37</v>
      </c>
      <c r="LN363" s="12" t="s">
        <v>37</v>
      </c>
      <c r="LO363" s="12" t="s">
        <v>37</v>
      </c>
      <c r="LU363" s="12" t="s">
        <v>37</v>
      </c>
      <c r="LV363" s="12" t="s">
        <v>37</v>
      </c>
      <c r="LW363" s="12" t="s">
        <v>37</v>
      </c>
      <c r="LY363" s="12" t="s">
        <v>37</v>
      </c>
      <c r="LZ363" s="12" t="s">
        <v>37</v>
      </c>
      <c r="MA363" s="12" t="s">
        <v>37</v>
      </c>
      <c r="MF363" s="12" t="s">
        <v>37</v>
      </c>
      <c r="MG363" s="12" t="s">
        <v>37</v>
      </c>
      <c r="MH363" s="12" t="s">
        <v>37</v>
      </c>
      <c r="MJ363" s="12" t="s">
        <v>37</v>
      </c>
      <c r="MK363" s="12" t="s">
        <v>37</v>
      </c>
      <c r="ML363" s="12" t="s">
        <v>37</v>
      </c>
      <c r="MQ363" s="12" t="s">
        <v>37</v>
      </c>
      <c r="MR363" s="12" t="s">
        <v>37</v>
      </c>
      <c r="MS363" s="12" t="s">
        <v>37</v>
      </c>
      <c r="MU363" s="12" t="s">
        <v>37</v>
      </c>
      <c r="MV363" s="12" t="s">
        <v>37</v>
      </c>
      <c r="MW363" s="12" t="s">
        <v>37</v>
      </c>
      <c r="NC363" s="12" t="s">
        <v>37</v>
      </c>
      <c r="ND363" s="12" t="s">
        <v>37</v>
      </c>
      <c r="NE363" s="12" t="s">
        <v>37</v>
      </c>
      <c r="NG363" s="12" t="s">
        <v>37</v>
      </c>
      <c r="NH363" s="12" t="s">
        <v>37</v>
      </c>
      <c r="NI363" s="12" t="s">
        <v>37</v>
      </c>
      <c r="NO363" s="12" t="s">
        <v>37</v>
      </c>
      <c r="NP363" s="12" t="s">
        <v>37</v>
      </c>
      <c r="NQ363" s="12" t="s">
        <v>37</v>
      </c>
      <c r="NS363" s="12" t="s">
        <v>37</v>
      </c>
      <c r="NT363" s="12" t="s">
        <v>37</v>
      </c>
      <c r="NU363" s="12" t="s">
        <v>37</v>
      </c>
      <c r="OA363" s="12" t="s">
        <v>37</v>
      </c>
      <c r="OB363" s="12" t="s">
        <v>37</v>
      </c>
      <c r="OC363" s="12" t="s">
        <v>37</v>
      </c>
      <c r="OD363" s="12"/>
      <c r="OE363" s="12" t="s">
        <v>37</v>
      </c>
      <c r="OF363" s="12" t="s">
        <v>37</v>
      </c>
      <c r="OG363" s="12" t="s">
        <v>37</v>
      </c>
      <c r="OH363" s="12"/>
      <c r="OI363" s="12"/>
      <c r="OJ363" s="12"/>
      <c r="OM363" s="12" t="s">
        <v>37</v>
      </c>
      <c r="ON363" s="12" t="s">
        <v>37</v>
      </c>
      <c r="OO363" s="12" t="s">
        <v>37</v>
      </c>
      <c r="OP363" s="12" t="s">
        <v>37</v>
      </c>
      <c r="OQ363" s="12" t="s">
        <v>37</v>
      </c>
      <c r="OR363" s="12" t="s">
        <v>37</v>
      </c>
      <c r="OS363" s="12"/>
      <c r="OT363" s="12"/>
      <c r="OW363" s="12" t="s">
        <v>37</v>
      </c>
      <c r="OX363" s="12" t="s">
        <v>37</v>
      </c>
      <c r="OY363" s="13" t="s">
        <v>37</v>
      </c>
      <c r="OZ363" s="12" t="s">
        <v>37</v>
      </c>
      <c r="PA363" s="12" t="s">
        <v>37</v>
      </c>
      <c r="PB363" s="13" t="s">
        <v>37</v>
      </c>
      <c r="PG363" s="12" t="s">
        <v>37</v>
      </c>
      <c r="PH363" s="12" t="s">
        <v>37</v>
      </c>
      <c r="PI363" s="12" t="s">
        <v>37</v>
      </c>
      <c r="PJ363" s="12" t="s">
        <v>37</v>
      </c>
      <c r="PK363" s="12" t="s">
        <v>37</v>
      </c>
      <c r="PL363" s="12" t="s">
        <v>37</v>
      </c>
      <c r="PM363" s="12"/>
      <c r="PN363" s="12"/>
      <c r="PQ363" s="12" t="s">
        <v>37</v>
      </c>
      <c r="PR363" s="12" t="s">
        <v>37</v>
      </c>
      <c r="PS363" s="12" t="s">
        <v>37</v>
      </c>
      <c r="PT363" s="12" t="s">
        <v>37</v>
      </c>
      <c r="PU363" s="12" t="s">
        <v>37</v>
      </c>
      <c r="PV363" s="12" t="s">
        <v>37</v>
      </c>
      <c r="PW363" s="12"/>
      <c r="PX363" s="12"/>
      <c r="PZ363" s="12" t="s">
        <v>37</v>
      </c>
      <c r="QA363" s="12" t="s">
        <v>37</v>
      </c>
      <c r="QB363" s="12" t="s">
        <v>37</v>
      </c>
      <c r="QD363" s="12" t="s">
        <v>37</v>
      </c>
      <c r="QE363" s="12" t="s">
        <v>37</v>
      </c>
      <c r="QF363" s="12" t="s">
        <v>37</v>
      </c>
      <c r="QK363" s="12" t="s">
        <v>37</v>
      </c>
      <c r="QL363" s="12" t="s">
        <v>37</v>
      </c>
      <c r="QM363" s="12" t="s">
        <v>37</v>
      </c>
      <c r="QN363" s="12" t="s">
        <v>37</v>
      </c>
      <c r="QO363" s="12" t="s">
        <v>37</v>
      </c>
      <c r="QP363" s="12" t="s">
        <v>37</v>
      </c>
      <c r="QQ363" s="12"/>
      <c r="QR363" s="12"/>
      <c r="QU363" s="12" t="s">
        <v>37</v>
      </c>
      <c r="QV363" s="12" t="s">
        <v>37</v>
      </c>
      <c r="QW363" s="12" t="s">
        <v>37</v>
      </c>
      <c r="QX363" s="12" t="s">
        <v>37</v>
      </c>
      <c r="QY363" s="12" t="s">
        <v>37</v>
      </c>
      <c r="QZ363" s="12" t="s">
        <v>37</v>
      </c>
      <c r="RC363" s="12" t="s">
        <v>37</v>
      </c>
      <c r="RD363" s="12" t="s">
        <v>37</v>
      </c>
      <c r="RE363" s="13" t="s">
        <v>37</v>
      </c>
      <c r="RF363" s="12" t="s">
        <v>37</v>
      </c>
      <c r="RG363" s="12" t="s">
        <v>37</v>
      </c>
      <c r="RH363" s="13" t="s">
        <v>37</v>
      </c>
      <c r="RK363" s="12" t="s">
        <v>37</v>
      </c>
      <c r="RL363" s="12" t="s">
        <v>37</v>
      </c>
      <c r="RM363" s="11" t="s">
        <v>37</v>
      </c>
      <c r="RN363" s="12" t="s">
        <v>37</v>
      </c>
      <c r="RO363" s="12" t="s">
        <v>37</v>
      </c>
      <c r="RP363" s="11" t="s">
        <v>37</v>
      </c>
      <c r="RS363" s="12" t="s">
        <v>37</v>
      </c>
      <c r="RT363" s="12" t="s">
        <v>37</v>
      </c>
      <c r="RU363" s="12" t="s">
        <v>37</v>
      </c>
      <c r="RV363" s="12" t="s">
        <v>37</v>
      </c>
      <c r="RW363" s="12" t="s">
        <v>37</v>
      </c>
      <c r="RX363" s="12" t="s">
        <v>37</v>
      </c>
      <c r="SA363" s="12" t="s">
        <v>37</v>
      </c>
      <c r="SB363" s="12" t="s">
        <v>37</v>
      </c>
      <c r="SC363" s="12" t="s">
        <v>37</v>
      </c>
      <c r="SD363" s="12" t="s">
        <v>37</v>
      </c>
      <c r="SE363" s="12" t="s">
        <v>37</v>
      </c>
      <c r="SF363" s="12" t="s">
        <v>37</v>
      </c>
      <c r="SI363" s="12" t="s">
        <v>37</v>
      </c>
      <c r="SJ363" s="12" t="s">
        <v>37</v>
      </c>
      <c r="SK363" s="13" t="s">
        <v>37</v>
      </c>
      <c r="SM363" s="12" t="s">
        <v>37</v>
      </c>
      <c r="SN363" s="12" t="s">
        <v>37</v>
      </c>
      <c r="SO363" s="13" t="s">
        <v>37</v>
      </c>
      <c r="SU363" s="12" t="s">
        <v>37</v>
      </c>
      <c r="SV363" s="12" t="s">
        <v>37</v>
      </c>
      <c r="SW363" s="12" t="s">
        <v>37</v>
      </c>
      <c r="SX363" s="12" t="s">
        <v>37</v>
      </c>
      <c r="SY363" s="12" t="s">
        <v>37</v>
      </c>
      <c r="SZ363" s="12" t="s">
        <v>37</v>
      </c>
      <c r="TA363" s="12"/>
      <c r="TB363" s="12"/>
      <c r="TE363" s="12" t="s">
        <v>37</v>
      </c>
      <c r="TF363" s="12" t="s">
        <v>37</v>
      </c>
      <c r="TG363" s="12" t="s">
        <v>37</v>
      </c>
      <c r="TH363" s="12" t="s">
        <v>37</v>
      </c>
      <c r="TI363" s="12" t="s">
        <v>37</v>
      </c>
      <c r="TJ363" s="12" t="s">
        <v>37</v>
      </c>
      <c r="TK363" s="12"/>
      <c r="TL363" s="12"/>
      <c r="TO363" s="12" t="s">
        <v>37</v>
      </c>
      <c r="TP363" s="12" t="s">
        <v>37</v>
      </c>
      <c r="TQ363" s="12" t="s">
        <v>37</v>
      </c>
      <c r="TR363" s="12" t="s">
        <v>37</v>
      </c>
      <c r="TS363" s="12" t="s">
        <v>37</v>
      </c>
      <c r="TT363" s="12" t="s">
        <v>37</v>
      </c>
      <c r="TU363" s="12"/>
      <c r="TV363" s="12"/>
      <c r="TY363" s="12" t="s">
        <v>37</v>
      </c>
      <c r="TZ363" s="12" t="s">
        <v>37</v>
      </c>
      <c r="UA363" s="12" t="s">
        <v>37</v>
      </c>
      <c r="UB363" s="12" t="s">
        <v>37</v>
      </c>
      <c r="UC363" s="12" t="s">
        <v>37</v>
      </c>
      <c r="UD363" s="12" t="s">
        <v>37</v>
      </c>
      <c r="UE363" s="12"/>
      <c r="UF363" s="12"/>
      <c r="UI363" s="12" t="s">
        <v>37</v>
      </c>
      <c r="UJ363" s="12" t="s">
        <v>37</v>
      </c>
      <c r="UK363" s="12" t="s">
        <v>37</v>
      </c>
      <c r="UL363" s="12" t="s">
        <v>37</v>
      </c>
      <c r="UM363" s="12" t="s">
        <v>37</v>
      </c>
      <c r="UN363" s="12" t="s">
        <v>37</v>
      </c>
      <c r="UO363" s="12"/>
      <c r="UP363" s="12"/>
      <c r="UR363" s="12" t="s">
        <v>37</v>
      </c>
      <c r="US363" s="12" t="s">
        <v>37</v>
      </c>
      <c r="UT363" s="12" t="s">
        <v>37</v>
      </c>
      <c r="UU363" s="12" t="s">
        <v>37</v>
      </c>
      <c r="UV363" s="12" t="s">
        <v>37</v>
      </c>
      <c r="UW363" s="12" t="s">
        <v>37</v>
      </c>
      <c r="UX363" s="12"/>
      <c r="UY363" s="12"/>
      <c r="VB363" s="12" t="s">
        <v>37</v>
      </c>
      <c r="VC363" s="12" t="s">
        <v>37</v>
      </c>
      <c r="VD363" s="12" t="s">
        <v>37</v>
      </c>
      <c r="VE363" s="12" t="s">
        <v>37</v>
      </c>
      <c r="VF363" s="12" t="s">
        <v>37</v>
      </c>
      <c r="VG363" s="12" t="s">
        <v>37</v>
      </c>
      <c r="VI363" s="12" t="s">
        <v>37</v>
      </c>
      <c r="VJ363" s="12" t="s">
        <v>37</v>
      </c>
      <c r="VK363" s="12" t="s">
        <v>37</v>
      </c>
      <c r="VL363" s="12" t="s">
        <v>37</v>
      </c>
      <c r="VM363" s="12" t="s">
        <v>37</v>
      </c>
      <c r="VN363" s="12" t="s">
        <v>37</v>
      </c>
      <c r="VQ363" s="12" t="s">
        <v>37</v>
      </c>
      <c r="VR363" s="12" t="s">
        <v>37</v>
      </c>
      <c r="VS363" s="12" t="s">
        <v>37</v>
      </c>
      <c r="VT363" s="12" t="s">
        <v>37</v>
      </c>
      <c r="VU363" s="12" t="s">
        <v>37</v>
      </c>
      <c r="VV363" s="12" t="s">
        <v>37</v>
      </c>
      <c r="VW363" s="12"/>
      <c r="VX363" s="12"/>
      <c r="WA363" s="12" t="s">
        <v>37</v>
      </c>
      <c r="WB363" s="12" t="s">
        <v>37</v>
      </c>
      <c r="WC363" s="12" t="s">
        <v>37</v>
      </c>
      <c r="WD363" s="12" t="s">
        <v>37</v>
      </c>
      <c r="WE363" s="12" t="s">
        <v>37</v>
      </c>
      <c r="WF363" s="12" t="s">
        <v>37</v>
      </c>
    </row>
    <row r="364" spans="1:604" ht="18" customHeight="1" x14ac:dyDescent="0.3">
      <c r="A364" s="11">
        <v>79</v>
      </c>
      <c r="B364" s="16" t="s">
        <v>454</v>
      </c>
      <c r="C364" s="12" t="s">
        <v>31</v>
      </c>
      <c r="D364" s="12" t="s">
        <v>1039</v>
      </c>
      <c r="E364" s="40">
        <f>AVERAGEA(0.3,10)</f>
        <v>5.15</v>
      </c>
      <c r="F364" s="14">
        <v>0</v>
      </c>
      <c r="G364" s="14">
        <v>0</v>
      </c>
      <c r="H364" s="12" t="s">
        <v>79</v>
      </c>
      <c r="I364" s="29">
        <v>32.799999999999997</v>
      </c>
      <c r="J364" s="29">
        <v>102.55</v>
      </c>
      <c r="K364" s="12" t="s">
        <v>690</v>
      </c>
      <c r="L364" s="12" t="s">
        <v>691</v>
      </c>
      <c r="M364" s="13">
        <v>3500</v>
      </c>
      <c r="N364" s="14">
        <v>0.9</v>
      </c>
      <c r="O364" s="14">
        <v>744</v>
      </c>
      <c r="P364" s="14" t="s">
        <v>16</v>
      </c>
      <c r="Q364" s="75">
        <f>4/12</f>
        <v>0.33333333333333331</v>
      </c>
      <c r="R364" s="11" t="s">
        <v>37</v>
      </c>
      <c r="S364" s="12" t="s">
        <v>85</v>
      </c>
      <c r="T364" s="12" t="s">
        <v>138</v>
      </c>
      <c r="U364" s="12" t="s">
        <v>158</v>
      </c>
      <c r="V364" s="12" t="s">
        <v>275</v>
      </c>
      <c r="W364" s="23" t="s">
        <v>353</v>
      </c>
      <c r="X364" s="12" t="s">
        <v>280</v>
      </c>
      <c r="Y364" s="12" t="s">
        <v>37</v>
      </c>
      <c r="Z364" s="12" t="s">
        <v>37</v>
      </c>
      <c r="AA364" s="32" t="s">
        <v>345</v>
      </c>
      <c r="AB364" s="12">
        <v>6.7</v>
      </c>
      <c r="AC364" s="12" t="s">
        <v>42</v>
      </c>
      <c r="AD364" s="32" t="s">
        <v>345</v>
      </c>
      <c r="AE364" s="12">
        <v>350</v>
      </c>
      <c r="AF364" s="12" t="s">
        <v>42</v>
      </c>
      <c r="AG364" s="32" t="s">
        <v>345</v>
      </c>
      <c r="AH364" s="12">
        <v>15</v>
      </c>
      <c r="AJ364" s="12" t="str">
        <f>AD364</f>
        <v>0-10</v>
      </c>
      <c r="AK364" s="19">
        <f>AE364/AH364</f>
        <v>23.333333333333332</v>
      </c>
      <c r="AL364" s="32" t="s">
        <v>455</v>
      </c>
      <c r="AM364" s="12" t="s">
        <v>344</v>
      </c>
      <c r="AO364" s="12" t="s">
        <v>37</v>
      </c>
      <c r="AP364" s="12" t="s">
        <v>238</v>
      </c>
      <c r="AQ364" s="12" t="s">
        <v>975</v>
      </c>
      <c r="AR364" s="12" t="s">
        <v>42</v>
      </c>
      <c r="AS364" s="32" t="s">
        <v>345</v>
      </c>
      <c r="AT364" s="12">
        <v>350</v>
      </c>
      <c r="AU364" s="50">
        <f t="shared" ref="AU364:AU387" si="1365">AT364*AW$474</f>
        <v>29.93450076866338</v>
      </c>
      <c r="AV364" s="13">
        <v>6</v>
      </c>
      <c r="AX364" s="12" t="s">
        <v>326</v>
      </c>
      <c r="AY364" s="12" t="s">
        <v>326</v>
      </c>
      <c r="AZ364" s="13" t="s">
        <v>326</v>
      </c>
      <c r="BE364" s="12" t="s">
        <v>326</v>
      </c>
      <c r="BF364" s="12" t="s">
        <v>326</v>
      </c>
      <c r="BG364" s="12" t="s">
        <v>326</v>
      </c>
      <c r="BI364" s="12" t="s">
        <v>326</v>
      </c>
      <c r="BJ364" s="12" t="s">
        <v>326</v>
      </c>
      <c r="BK364" s="12" t="s">
        <v>326</v>
      </c>
      <c r="BP364" s="12" t="s">
        <v>37</v>
      </c>
      <c r="BQ364" s="12" t="s">
        <v>37</v>
      </c>
      <c r="BR364" s="13" t="s">
        <v>37</v>
      </c>
      <c r="BT364" s="12" t="s">
        <v>37</v>
      </c>
      <c r="BU364" s="12" t="s">
        <v>37</v>
      </c>
      <c r="BV364" s="12" t="s">
        <v>37</v>
      </c>
      <c r="CA364" s="12" t="s">
        <v>37</v>
      </c>
      <c r="CB364" s="12" t="s">
        <v>37</v>
      </c>
      <c r="CC364" s="13" t="s">
        <v>37</v>
      </c>
      <c r="CE364" s="12" t="s">
        <v>37</v>
      </c>
      <c r="CF364" s="12" t="s">
        <v>37</v>
      </c>
      <c r="CG364" s="12" t="s">
        <v>37</v>
      </c>
      <c r="CN364" s="12" t="s">
        <v>37</v>
      </c>
      <c r="CO364" s="12" t="s">
        <v>37</v>
      </c>
      <c r="CP364" s="13" t="s">
        <v>37</v>
      </c>
      <c r="CR364" s="12" t="s">
        <v>37</v>
      </c>
      <c r="CS364" s="12" t="s">
        <v>37</v>
      </c>
      <c r="CT364" s="13" t="s">
        <v>37</v>
      </c>
      <c r="CX364" s="72"/>
      <c r="CY364" s="72"/>
      <c r="DA364" s="12" t="s">
        <v>37</v>
      </c>
      <c r="DB364" s="12" t="s">
        <v>37</v>
      </c>
      <c r="DC364" s="13" t="s">
        <v>37</v>
      </c>
      <c r="DE364" s="12" t="s">
        <v>37</v>
      </c>
      <c r="DF364" s="12" t="s">
        <v>37</v>
      </c>
      <c r="DG364" s="12" t="s">
        <v>37</v>
      </c>
      <c r="DN364" s="19" t="s">
        <v>37</v>
      </c>
      <c r="DO364" s="12" t="s">
        <v>37</v>
      </c>
      <c r="DP364" s="13" t="s">
        <v>37</v>
      </c>
      <c r="DR364" s="19" t="s">
        <v>37</v>
      </c>
      <c r="DS364" s="12" t="s">
        <v>37</v>
      </c>
      <c r="DT364" s="13" t="s">
        <v>37</v>
      </c>
      <c r="EA364" s="19" t="s">
        <v>37</v>
      </c>
      <c r="EB364" s="19" t="s">
        <v>37</v>
      </c>
      <c r="EC364" s="72" t="s">
        <v>37</v>
      </c>
      <c r="EE364" s="19" t="s">
        <v>37</v>
      </c>
      <c r="EF364" s="19" t="s">
        <v>37</v>
      </c>
      <c r="EG364" s="12" t="s">
        <v>37</v>
      </c>
      <c r="EN364" s="12" t="s">
        <v>37</v>
      </c>
      <c r="EO364" s="12" t="s">
        <v>37</v>
      </c>
      <c r="EP364" s="13" t="s">
        <v>37</v>
      </c>
      <c r="ER364" s="12" t="s">
        <v>37</v>
      </c>
      <c r="ES364" s="12" t="s">
        <v>37</v>
      </c>
      <c r="ET364" s="13" t="s">
        <v>37</v>
      </c>
      <c r="FB364" s="12" t="s">
        <v>37</v>
      </c>
      <c r="FC364" s="12" t="s">
        <v>37</v>
      </c>
      <c r="FD364" s="12" t="s">
        <v>37</v>
      </c>
      <c r="FE364" s="12" t="s">
        <v>37</v>
      </c>
      <c r="FF364" s="20" t="s">
        <v>37</v>
      </c>
      <c r="FG364" s="12" t="s">
        <v>37</v>
      </c>
      <c r="FI364" s="12" t="s">
        <v>37</v>
      </c>
      <c r="FJ364" s="12" t="s">
        <v>37</v>
      </c>
      <c r="FK364" s="12" t="s">
        <v>37</v>
      </c>
      <c r="FL364" s="12" t="s">
        <v>37</v>
      </c>
      <c r="FM364" s="12" t="s">
        <v>37</v>
      </c>
      <c r="FN364" s="12" t="s">
        <v>37</v>
      </c>
      <c r="FP364" s="12" t="s">
        <v>37</v>
      </c>
      <c r="FQ364" s="12" t="s">
        <v>37</v>
      </c>
      <c r="FR364" s="12" t="s">
        <v>37</v>
      </c>
      <c r="FS364" s="12" t="s">
        <v>37</v>
      </c>
      <c r="FT364" s="12" t="s">
        <v>37</v>
      </c>
      <c r="FU364" s="12" t="s">
        <v>37</v>
      </c>
      <c r="FW364" s="12" t="s">
        <v>37</v>
      </c>
      <c r="FX364" s="12" t="s">
        <v>37</v>
      </c>
      <c r="FY364" s="12" t="s">
        <v>37</v>
      </c>
      <c r="FZ364" s="12" t="s">
        <v>37</v>
      </c>
      <c r="GA364" s="12" t="s">
        <v>37</v>
      </c>
      <c r="GB364" s="12" t="s">
        <v>37</v>
      </c>
      <c r="IK364" s="12" t="s">
        <v>37</v>
      </c>
      <c r="IL364" s="12" t="s">
        <v>37</v>
      </c>
      <c r="IM364" s="12" t="s">
        <v>37</v>
      </c>
      <c r="IO364" s="12" t="s">
        <v>37</v>
      </c>
      <c r="IP364" s="12" t="s">
        <v>37</v>
      </c>
      <c r="IQ364" s="12" t="s">
        <v>37</v>
      </c>
      <c r="IV364" s="32" t="s">
        <v>345</v>
      </c>
      <c r="IW364" s="12">
        <v>6.7</v>
      </c>
      <c r="IX364" s="50">
        <f t="shared" ref="IX364:IX387" si="1366">ABS(IW364)*IZ$474</f>
        <v>0.24530537560775503</v>
      </c>
      <c r="IY364" s="13">
        <v>6</v>
      </c>
      <c r="JH364" s="12" t="s">
        <v>37</v>
      </c>
      <c r="JI364" s="12" t="s">
        <v>37</v>
      </c>
      <c r="JJ364" s="13" t="s">
        <v>37</v>
      </c>
      <c r="JL364" s="12" t="s">
        <v>37</v>
      </c>
      <c r="JM364" s="12" t="s">
        <v>37</v>
      </c>
      <c r="JN364" s="12" t="s">
        <v>37</v>
      </c>
      <c r="JS364" s="12" t="s">
        <v>37</v>
      </c>
      <c r="JT364" s="12" t="s">
        <v>37</v>
      </c>
      <c r="JU364" s="13" t="s">
        <v>37</v>
      </c>
      <c r="JW364" s="12" t="s">
        <v>37</v>
      </c>
      <c r="JX364" s="12" t="s">
        <v>37</v>
      </c>
      <c r="JY364" s="12" t="s">
        <v>37</v>
      </c>
      <c r="KE364" s="12" t="s">
        <v>37</v>
      </c>
      <c r="KF364" s="12" t="s">
        <v>37</v>
      </c>
      <c r="KG364" s="13" t="s">
        <v>37</v>
      </c>
      <c r="KH364" s="12" t="s">
        <v>37</v>
      </c>
      <c r="KI364" s="12" t="s">
        <v>37</v>
      </c>
      <c r="KJ364" s="12" t="s">
        <v>37</v>
      </c>
      <c r="KK364" s="12" t="s">
        <v>42</v>
      </c>
      <c r="KL364" s="32" t="s">
        <v>345</v>
      </c>
      <c r="KM364" s="12">
        <v>15</v>
      </c>
      <c r="KN364" s="50">
        <f t="shared" ref="KN364:KN387" si="1367">ABS(KM364)*KP$474</f>
        <v>1.7893956207728923</v>
      </c>
      <c r="KO364" s="11">
        <v>6</v>
      </c>
      <c r="KS364" s="12"/>
      <c r="KX364" s="12" t="s">
        <v>37</v>
      </c>
      <c r="KY364" s="12" t="s">
        <v>37</v>
      </c>
      <c r="KZ364" s="12" t="s">
        <v>37</v>
      </c>
      <c r="LB364" s="12" t="s">
        <v>37</v>
      </c>
      <c r="LC364" s="12" t="s">
        <v>37</v>
      </c>
      <c r="LD364" s="12" t="s">
        <v>37</v>
      </c>
      <c r="LI364" s="12" t="s">
        <v>37</v>
      </c>
      <c r="LJ364" s="12" t="s">
        <v>37</v>
      </c>
      <c r="LK364" s="12" t="s">
        <v>37</v>
      </c>
      <c r="LM364" s="12" t="s">
        <v>37</v>
      </c>
      <c r="LN364" s="12" t="s">
        <v>37</v>
      </c>
      <c r="LO364" s="12" t="s">
        <v>37</v>
      </c>
      <c r="LT364" s="12" t="str">
        <f t="shared" ref="LT364:LT387" si="1368">KL364</f>
        <v>0-10</v>
      </c>
      <c r="LU364" s="12">
        <f t="shared" ref="LU364:LU387" si="1369">AT364/KM364</f>
        <v>23.333333333333332</v>
      </c>
      <c r="LV364" s="12">
        <f t="shared" ref="LV364:LV387" si="1370">SQRT((1/KM364)^2*AU364^2+AT364^2*(-1/KM364^2)^2*KN364^2)</f>
        <v>3.4249742755356465</v>
      </c>
      <c r="LW364" s="13">
        <f t="shared" ref="LW364:LW387" si="1371">KO364</f>
        <v>6</v>
      </c>
      <c r="MF364" s="12" t="s">
        <v>37</v>
      </c>
      <c r="MG364" s="12" t="s">
        <v>37</v>
      </c>
      <c r="MH364" s="12" t="s">
        <v>37</v>
      </c>
      <c r="MJ364" s="12" t="s">
        <v>37</v>
      </c>
      <c r="MK364" s="12" t="s">
        <v>37</v>
      </c>
      <c r="ML364" s="12" t="s">
        <v>37</v>
      </c>
      <c r="MQ364" s="12" t="s">
        <v>37</v>
      </c>
      <c r="MR364" s="12" t="s">
        <v>37</v>
      </c>
      <c r="MS364" s="12" t="s">
        <v>37</v>
      </c>
      <c r="MU364" s="12" t="s">
        <v>37</v>
      </c>
      <c r="MV364" s="12" t="s">
        <v>37</v>
      </c>
      <c r="MW364" s="12" t="s">
        <v>37</v>
      </c>
      <c r="NC364" s="12" t="s">
        <v>37</v>
      </c>
      <c r="ND364" s="12" t="s">
        <v>37</v>
      </c>
      <c r="NE364" s="12" t="s">
        <v>37</v>
      </c>
      <c r="NG364" s="12" t="s">
        <v>37</v>
      </c>
      <c r="NH364" s="12" t="s">
        <v>37</v>
      </c>
      <c r="NI364" s="12" t="s">
        <v>37</v>
      </c>
      <c r="NO364" s="12" t="s">
        <v>37</v>
      </c>
      <c r="NP364" s="12" t="s">
        <v>37</v>
      </c>
      <c r="NQ364" s="12" t="s">
        <v>37</v>
      </c>
      <c r="NS364" s="12" t="s">
        <v>37</v>
      </c>
      <c r="NT364" s="12" t="s">
        <v>37</v>
      </c>
      <c r="NU364" s="12" t="s">
        <v>37</v>
      </c>
      <c r="OA364" s="12" t="s">
        <v>37</v>
      </c>
      <c r="OB364" s="12" t="s">
        <v>37</v>
      </c>
      <c r="OC364" s="12" t="s">
        <v>37</v>
      </c>
      <c r="OD364" s="12"/>
      <c r="OE364" s="12" t="s">
        <v>37</v>
      </c>
      <c r="OF364" s="12" t="s">
        <v>37</v>
      </c>
      <c r="OG364" s="12" t="s">
        <v>37</v>
      </c>
      <c r="OH364" s="12"/>
      <c r="OI364" s="12"/>
      <c r="OJ364" s="12"/>
      <c r="OM364" s="12" t="s">
        <v>37</v>
      </c>
      <c r="ON364" s="12" t="s">
        <v>37</v>
      </c>
      <c r="OO364" s="12" t="s">
        <v>37</v>
      </c>
      <c r="OP364" s="12" t="s">
        <v>37</v>
      </c>
      <c r="OQ364" s="12" t="s">
        <v>37</v>
      </c>
      <c r="OR364" s="12" t="s">
        <v>37</v>
      </c>
      <c r="OS364" s="12"/>
      <c r="OT364" s="12"/>
      <c r="OW364" s="12" t="s">
        <v>37</v>
      </c>
      <c r="OX364" s="12" t="s">
        <v>37</v>
      </c>
      <c r="OY364" s="13" t="s">
        <v>37</v>
      </c>
      <c r="OZ364" s="12" t="s">
        <v>37</v>
      </c>
      <c r="PA364" s="12" t="s">
        <v>37</v>
      </c>
      <c r="PB364" s="13" t="s">
        <v>37</v>
      </c>
      <c r="PG364" s="12" t="s">
        <v>37</v>
      </c>
      <c r="PH364" s="12" t="s">
        <v>37</v>
      </c>
      <c r="PI364" s="12" t="s">
        <v>37</v>
      </c>
      <c r="PJ364" s="12" t="s">
        <v>37</v>
      </c>
      <c r="PK364" s="12" t="s">
        <v>37</v>
      </c>
      <c r="PL364" s="12" t="s">
        <v>37</v>
      </c>
      <c r="PM364" s="12"/>
      <c r="PN364" s="12"/>
      <c r="PQ364" s="12" t="s">
        <v>37</v>
      </c>
      <c r="PR364" s="12" t="s">
        <v>37</v>
      </c>
      <c r="PS364" s="12" t="s">
        <v>37</v>
      </c>
      <c r="PT364" s="12" t="s">
        <v>37</v>
      </c>
      <c r="PU364" s="12" t="s">
        <v>37</v>
      </c>
      <c r="PV364" s="12" t="s">
        <v>37</v>
      </c>
      <c r="PW364" s="12"/>
      <c r="PX364" s="12"/>
      <c r="PZ364" s="12" t="s">
        <v>37</v>
      </c>
      <c r="QA364" s="12" t="s">
        <v>37</v>
      </c>
      <c r="QB364" s="12" t="s">
        <v>37</v>
      </c>
      <c r="QD364" s="12" t="s">
        <v>37</v>
      </c>
      <c r="QE364" s="12" t="s">
        <v>37</v>
      </c>
      <c r="QF364" s="12" t="s">
        <v>37</v>
      </c>
      <c r="QK364" s="12" t="s">
        <v>37</v>
      </c>
      <c r="QL364" s="12" t="s">
        <v>37</v>
      </c>
      <c r="QM364" s="12" t="s">
        <v>37</v>
      </c>
      <c r="QN364" s="12" t="s">
        <v>37</v>
      </c>
      <c r="QO364" s="12" t="s">
        <v>37</v>
      </c>
      <c r="QP364" s="12" t="s">
        <v>37</v>
      </c>
      <c r="QQ364" s="12"/>
      <c r="QR364" s="12"/>
      <c r="QU364" s="12" t="s">
        <v>37</v>
      </c>
      <c r="QV364" s="12" t="s">
        <v>37</v>
      </c>
      <c r="QW364" s="12" t="s">
        <v>37</v>
      </c>
      <c r="QX364" s="12" t="s">
        <v>37</v>
      </c>
      <c r="QY364" s="12" t="s">
        <v>37</v>
      </c>
      <c r="QZ364" s="12" t="s">
        <v>37</v>
      </c>
      <c r="RC364" s="12" t="s">
        <v>37</v>
      </c>
      <c r="RD364" s="12" t="s">
        <v>37</v>
      </c>
      <c r="RE364" s="13" t="s">
        <v>37</v>
      </c>
      <c r="RF364" s="12" t="s">
        <v>37</v>
      </c>
      <c r="RG364" s="12" t="s">
        <v>37</v>
      </c>
      <c r="RH364" s="13" t="s">
        <v>37</v>
      </c>
      <c r="RK364" s="12" t="s">
        <v>37</v>
      </c>
      <c r="RL364" s="12" t="s">
        <v>37</v>
      </c>
      <c r="RM364" s="11" t="s">
        <v>37</v>
      </c>
      <c r="RN364" s="12" t="s">
        <v>37</v>
      </c>
      <c r="RO364" s="12" t="s">
        <v>37</v>
      </c>
      <c r="RP364" s="11" t="s">
        <v>37</v>
      </c>
      <c r="RS364" s="12" t="s">
        <v>37</v>
      </c>
      <c r="RT364" s="12" t="s">
        <v>37</v>
      </c>
      <c r="RU364" s="12" t="s">
        <v>37</v>
      </c>
      <c r="RV364" s="12" t="s">
        <v>37</v>
      </c>
      <c r="RW364" s="12" t="s">
        <v>37</v>
      </c>
      <c r="RX364" s="12" t="s">
        <v>37</v>
      </c>
      <c r="SA364" s="12" t="s">
        <v>37</v>
      </c>
      <c r="SB364" s="12" t="s">
        <v>37</v>
      </c>
      <c r="SC364" s="12" t="s">
        <v>37</v>
      </c>
      <c r="SD364" s="12" t="s">
        <v>37</v>
      </c>
      <c r="SE364" s="12" t="s">
        <v>37</v>
      </c>
      <c r="SF364" s="12" t="s">
        <v>37</v>
      </c>
      <c r="SI364" s="12" t="s">
        <v>37</v>
      </c>
      <c r="SJ364" s="12" t="s">
        <v>37</v>
      </c>
      <c r="SK364" s="13" t="s">
        <v>37</v>
      </c>
      <c r="SM364" s="12" t="s">
        <v>37</v>
      </c>
      <c r="SN364" s="12" t="s">
        <v>37</v>
      </c>
      <c r="SO364" s="13" t="s">
        <v>37</v>
      </c>
      <c r="SU364" s="12" t="s">
        <v>37</v>
      </c>
      <c r="SV364" s="12" t="s">
        <v>37</v>
      </c>
      <c r="SW364" s="12" t="s">
        <v>37</v>
      </c>
      <c r="SX364" s="12" t="s">
        <v>37</v>
      </c>
      <c r="SY364" s="12" t="s">
        <v>37</v>
      </c>
      <c r="SZ364" s="12" t="s">
        <v>37</v>
      </c>
      <c r="TA364" s="12"/>
      <c r="TB364" s="12"/>
      <c r="TE364" s="12" t="s">
        <v>37</v>
      </c>
      <c r="TF364" s="12" t="s">
        <v>37</v>
      </c>
      <c r="TG364" s="12" t="s">
        <v>37</v>
      </c>
      <c r="TH364" s="12" t="s">
        <v>37</v>
      </c>
      <c r="TI364" s="12" t="s">
        <v>37</v>
      </c>
      <c r="TJ364" s="12" t="s">
        <v>37</v>
      </c>
      <c r="TK364" s="12"/>
      <c r="TL364" s="12"/>
      <c r="TO364" s="12" t="s">
        <v>37</v>
      </c>
      <c r="TP364" s="12" t="s">
        <v>37</v>
      </c>
      <c r="TQ364" s="12" t="s">
        <v>37</v>
      </c>
      <c r="TR364" s="12" t="s">
        <v>37</v>
      </c>
      <c r="TS364" s="12" t="s">
        <v>37</v>
      </c>
      <c r="TT364" s="12" t="s">
        <v>37</v>
      </c>
      <c r="TU364" s="12"/>
      <c r="TV364" s="12"/>
      <c r="TY364" s="12" t="s">
        <v>37</v>
      </c>
      <c r="TZ364" s="12" t="s">
        <v>37</v>
      </c>
      <c r="UA364" s="12" t="s">
        <v>37</v>
      </c>
      <c r="UB364" s="12" t="s">
        <v>37</v>
      </c>
      <c r="UC364" s="12" t="s">
        <v>37</v>
      </c>
      <c r="UD364" s="12" t="s">
        <v>37</v>
      </c>
      <c r="UE364" s="12"/>
      <c r="UF364" s="12"/>
      <c r="UI364" s="12" t="s">
        <v>37</v>
      </c>
      <c r="UJ364" s="12" t="s">
        <v>37</v>
      </c>
      <c r="UK364" s="12" t="s">
        <v>37</v>
      </c>
      <c r="UL364" s="12" t="s">
        <v>37</v>
      </c>
      <c r="UM364" s="12" t="s">
        <v>37</v>
      </c>
      <c r="UN364" s="12" t="s">
        <v>37</v>
      </c>
      <c r="UO364" s="12"/>
      <c r="UP364" s="12"/>
      <c r="UR364" s="12" t="s">
        <v>37</v>
      </c>
      <c r="US364" s="12" t="s">
        <v>37</v>
      </c>
      <c r="UT364" s="12" t="s">
        <v>37</v>
      </c>
      <c r="UU364" s="12" t="s">
        <v>37</v>
      </c>
      <c r="UV364" s="12" t="s">
        <v>37</v>
      </c>
      <c r="UW364" s="12" t="s">
        <v>37</v>
      </c>
      <c r="UX364" s="12"/>
      <c r="UY364" s="12"/>
      <c r="VB364" s="12" t="s">
        <v>37</v>
      </c>
      <c r="VC364" s="12" t="s">
        <v>37</v>
      </c>
      <c r="VD364" s="12" t="s">
        <v>37</v>
      </c>
      <c r="VE364" s="12" t="s">
        <v>37</v>
      </c>
      <c r="VF364" s="12" t="s">
        <v>37</v>
      </c>
      <c r="VG364" s="12" t="s">
        <v>37</v>
      </c>
      <c r="VI364" s="12" t="s">
        <v>37</v>
      </c>
      <c r="VJ364" s="12" t="s">
        <v>37</v>
      </c>
      <c r="VK364" s="12" t="s">
        <v>37</v>
      </c>
      <c r="VL364" s="12" t="s">
        <v>37</v>
      </c>
      <c r="VM364" s="12" t="s">
        <v>37</v>
      </c>
      <c r="VN364" s="12" t="s">
        <v>37</v>
      </c>
      <c r="VQ364" s="12" t="s">
        <v>37</v>
      </c>
      <c r="VR364" s="12" t="s">
        <v>37</v>
      </c>
      <c r="VS364" s="12" t="s">
        <v>37</v>
      </c>
      <c r="VT364" s="12" t="s">
        <v>37</v>
      </c>
      <c r="VU364" s="12" t="s">
        <v>37</v>
      </c>
      <c r="VV364" s="12" t="s">
        <v>37</v>
      </c>
      <c r="VW364" s="12"/>
      <c r="VX364" s="12"/>
      <c r="WA364" s="12" t="s">
        <v>37</v>
      </c>
      <c r="WB364" s="12" t="s">
        <v>37</v>
      </c>
      <c r="WC364" s="12" t="s">
        <v>37</v>
      </c>
      <c r="WD364" s="12" t="s">
        <v>37</v>
      </c>
      <c r="WE364" s="12" t="s">
        <v>37</v>
      </c>
      <c r="WF364" s="12" t="s">
        <v>37</v>
      </c>
    </row>
    <row r="365" spans="1:604" ht="18" customHeight="1" x14ac:dyDescent="0.3">
      <c r="A365" s="11">
        <v>79</v>
      </c>
      <c r="B365" s="16" t="s">
        <v>454</v>
      </c>
      <c r="C365" s="12" t="s">
        <v>32</v>
      </c>
      <c r="D365" s="12" t="s">
        <v>1039</v>
      </c>
      <c r="E365" s="40">
        <f t="shared" ref="E365:E387" si="1372">AVERAGEA(0.3,10)</f>
        <v>5.15</v>
      </c>
      <c r="F365" s="14">
        <v>0</v>
      </c>
      <c r="G365" s="14">
        <v>0</v>
      </c>
      <c r="H365" s="12" t="s">
        <v>79</v>
      </c>
      <c r="I365" s="29">
        <v>32.799999999999997</v>
      </c>
      <c r="J365" s="29">
        <v>102.55</v>
      </c>
      <c r="K365" s="12" t="s">
        <v>690</v>
      </c>
      <c r="L365" s="12" t="s">
        <v>691</v>
      </c>
      <c r="M365" s="13">
        <v>3500</v>
      </c>
      <c r="N365" s="14">
        <v>0.9</v>
      </c>
      <c r="O365" s="14">
        <v>744</v>
      </c>
      <c r="P365" s="14" t="s">
        <v>16</v>
      </c>
      <c r="Q365" s="75">
        <f>4/12</f>
        <v>0.33333333333333331</v>
      </c>
      <c r="R365" s="11" t="s">
        <v>37</v>
      </c>
      <c r="S365" s="12" t="s">
        <v>85</v>
      </c>
      <c r="T365" s="12" t="s">
        <v>138</v>
      </c>
      <c r="U365" s="12" t="s">
        <v>158</v>
      </c>
      <c r="V365" s="12" t="s">
        <v>275</v>
      </c>
      <c r="W365" s="23" t="s">
        <v>353</v>
      </c>
      <c r="X365" s="12" t="s">
        <v>280</v>
      </c>
      <c r="Y365" s="12" t="s">
        <v>37</v>
      </c>
      <c r="Z365" s="12" t="s">
        <v>37</v>
      </c>
      <c r="AA365" s="32" t="s">
        <v>345</v>
      </c>
      <c r="AB365" s="12">
        <v>6.7</v>
      </c>
      <c r="AC365" s="12" t="s">
        <v>42</v>
      </c>
      <c r="AD365" s="32" t="s">
        <v>345</v>
      </c>
      <c r="AE365" s="12">
        <v>350</v>
      </c>
      <c r="AF365" s="12" t="s">
        <v>42</v>
      </c>
      <c r="AG365" s="32" t="s">
        <v>345</v>
      </c>
      <c r="AH365" s="12">
        <v>15</v>
      </c>
      <c r="AJ365" s="12" t="str">
        <f t="shared" ref="AJ365:AJ387" si="1373">AD365</f>
        <v>0-10</v>
      </c>
      <c r="AK365" s="19">
        <f t="shared" ref="AK365:AK387" si="1374">AE365/AH365</f>
        <v>23.333333333333332</v>
      </c>
      <c r="AL365" s="32" t="s">
        <v>455</v>
      </c>
      <c r="AM365" s="12" t="s">
        <v>344</v>
      </c>
      <c r="AO365" s="12" t="s">
        <v>37</v>
      </c>
      <c r="AP365" s="12" t="s">
        <v>238</v>
      </c>
      <c r="AQ365" s="12" t="s">
        <v>975</v>
      </c>
      <c r="AR365" s="12" t="s">
        <v>42</v>
      </c>
      <c r="AS365" s="32" t="s">
        <v>345</v>
      </c>
      <c r="AT365" s="12">
        <v>350</v>
      </c>
      <c r="AU365" s="50">
        <f t="shared" si="1365"/>
        <v>29.93450076866338</v>
      </c>
      <c r="AV365" s="13">
        <v>6</v>
      </c>
      <c r="AX365" s="12" t="s">
        <v>326</v>
      </c>
      <c r="AY365" s="12" t="s">
        <v>326</v>
      </c>
      <c r="AZ365" s="13" t="s">
        <v>326</v>
      </c>
      <c r="BE365" s="12" t="s">
        <v>326</v>
      </c>
      <c r="BF365" s="12" t="s">
        <v>326</v>
      </c>
      <c r="BG365" s="12" t="s">
        <v>326</v>
      </c>
      <c r="BI365" s="12" t="s">
        <v>326</v>
      </c>
      <c r="BJ365" s="12" t="s">
        <v>326</v>
      </c>
      <c r="BK365" s="12" t="s">
        <v>326</v>
      </c>
      <c r="BP365" s="12" t="s">
        <v>37</v>
      </c>
      <c r="BQ365" s="12" t="s">
        <v>37</v>
      </c>
      <c r="BR365" s="13" t="s">
        <v>37</v>
      </c>
      <c r="BT365" s="12" t="s">
        <v>37</v>
      </c>
      <c r="BU365" s="12" t="s">
        <v>37</v>
      </c>
      <c r="BV365" s="12" t="s">
        <v>37</v>
      </c>
      <c r="CA365" s="12" t="s">
        <v>37</v>
      </c>
      <c r="CB365" s="12" t="s">
        <v>37</v>
      </c>
      <c r="CC365" s="13" t="s">
        <v>37</v>
      </c>
      <c r="CE365" s="12" t="s">
        <v>37</v>
      </c>
      <c r="CF365" s="12" t="s">
        <v>37</v>
      </c>
      <c r="CG365" s="12" t="s">
        <v>37</v>
      </c>
      <c r="CN365" s="12" t="s">
        <v>37</v>
      </c>
      <c r="CO365" s="12" t="s">
        <v>37</v>
      </c>
      <c r="CP365" s="13" t="s">
        <v>37</v>
      </c>
      <c r="CR365" s="12" t="s">
        <v>37</v>
      </c>
      <c r="CS365" s="12" t="s">
        <v>37</v>
      </c>
      <c r="CT365" s="13" t="s">
        <v>37</v>
      </c>
      <c r="CX365" s="72"/>
      <c r="CY365" s="72"/>
      <c r="DA365" s="12" t="s">
        <v>37</v>
      </c>
      <c r="DB365" s="12" t="s">
        <v>37</v>
      </c>
      <c r="DC365" s="13" t="s">
        <v>37</v>
      </c>
      <c r="DE365" s="12" t="s">
        <v>37</v>
      </c>
      <c r="DF365" s="12" t="s">
        <v>37</v>
      </c>
      <c r="DG365" s="12" t="s">
        <v>37</v>
      </c>
      <c r="DN365" s="19" t="s">
        <v>37</v>
      </c>
      <c r="DO365" s="12" t="s">
        <v>37</v>
      </c>
      <c r="DP365" s="13" t="s">
        <v>37</v>
      </c>
      <c r="DR365" s="19" t="s">
        <v>37</v>
      </c>
      <c r="DS365" s="12" t="s">
        <v>37</v>
      </c>
      <c r="DT365" s="13" t="s">
        <v>37</v>
      </c>
      <c r="EA365" s="19" t="s">
        <v>37</v>
      </c>
      <c r="EB365" s="19" t="s">
        <v>37</v>
      </c>
      <c r="EC365" s="72" t="s">
        <v>37</v>
      </c>
      <c r="EE365" s="19" t="s">
        <v>37</v>
      </c>
      <c r="EF365" s="19" t="s">
        <v>37</v>
      </c>
      <c r="EG365" s="12" t="s">
        <v>37</v>
      </c>
      <c r="EN365" s="12" t="s">
        <v>37</v>
      </c>
      <c r="EO365" s="12" t="s">
        <v>37</v>
      </c>
      <c r="EP365" s="13" t="s">
        <v>37</v>
      </c>
      <c r="ER365" s="12" t="s">
        <v>37</v>
      </c>
      <c r="ES365" s="12" t="s">
        <v>37</v>
      </c>
      <c r="ET365" s="13" t="s">
        <v>37</v>
      </c>
      <c r="FB365" s="12" t="s">
        <v>37</v>
      </c>
      <c r="FC365" s="12" t="s">
        <v>37</v>
      </c>
      <c r="FD365" s="12" t="s">
        <v>37</v>
      </c>
      <c r="FE365" s="12" t="s">
        <v>37</v>
      </c>
      <c r="FF365" s="20" t="s">
        <v>37</v>
      </c>
      <c r="FG365" s="12" t="s">
        <v>37</v>
      </c>
      <c r="FI365" s="12" t="s">
        <v>37</v>
      </c>
      <c r="FJ365" s="12" t="s">
        <v>37</v>
      </c>
      <c r="FK365" s="12" t="s">
        <v>37</v>
      </c>
      <c r="FL365" s="12" t="s">
        <v>37</v>
      </c>
      <c r="FM365" s="12" t="s">
        <v>37</v>
      </c>
      <c r="FN365" s="12" t="s">
        <v>37</v>
      </c>
      <c r="FP365" s="12" t="s">
        <v>37</v>
      </c>
      <c r="FQ365" s="12" t="s">
        <v>37</v>
      </c>
      <c r="FR365" s="12" t="s">
        <v>37</v>
      </c>
      <c r="FS365" s="12" t="s">
        <v>37</v>
      </c>
      <c r="FT365" s="12" t="s">
        <v>37</v>
      </c>
      <c r="FU365" s="12" t="s">
        <v>37</v>
      </c>
      <c r="FW365" s="12" t="s">
        <v>37</v>
      </c>
      <c r="FX365" s="12" t="s">
        <v>37</v>
      </c>
      <c r="FY365" s="12" t="s">
        <v>37</v>
      </c>
      <c r="FZ365" s="12" t="s">
        <v>37</v>
      </c>
      <c r="GA365" s="12" t="s">
        <v>37</v>
      </c>
      <c r="GB365" s="12" t="s">
        <v>37</v>
      </c>
      <c r="IK365" s="12" t="s">
        <v>37</v>
      </c>
      <c r="IL365" s="12" t="s">
        <v>37</v>
      </c>
      <c r="IM365" s="12" t="s">
        <v>37</v>
      </c>
      <c r="IO365" s="12" t="s">
        <v>37</v>
      </c>
      <c r="IP365" s="12" t="s">
        <v>37</v>
      </c>
      <c r="IQ365" s="12" t="s">
        <v>37</v>
      </c>
      <c r="IV365" s="32" t="s">
        <v>345</v>
      </c>
      <c r="IW365" s="12">
        <v>6.7</v>
      </c>
      <c r="IX365" s="50">
        <f t="shared" si="1366"/>
        <v>0.24530537560775503</v>
      </c>
      <c r="IY365" s="13">
        <v>6</v>
      </c>
      <c r="JH365" s="12" t="s">
        <v>37</v>
      </c>
      <c r="JI365" s="12" t="s">
        <v>37</v>
      </c>
      <c r="JJ365" s="13" t="s">
        <v>37</v>
      </c>
      <c r="JL365" s="12" t="s">
        <v>37</v>
      </c>
      <c r="JM365" s="12" t="s">
        <v>37</v>
      </c>
      <c r="JN365" s="12" t="s">
        <v>37</v>
      </c>
      <c r="JS365" s="12" t="s">
        <v>37</v>
      </c>
      <c r="JT365" s="12" t="s">
        <v>37</v>
      </c>
      <c r="JU365" s="13" t="s">
        <v>37</v>
      </c>
      <c r="JW365" s="12" t="s">
        <v>37</v>
      </c>
      <c r="JX365" s="12" t="s">
        <v>37</v>
      </c>
      <c r="JY365" s="12" t="s">
        <v>37</v>
      </c>
      <c r="KE365" s="12" t="s">
        <v>37</v>
      </c>
      <c r="KF365" s="12" t="s">
        <v>37</v>
      </c>
      <c r="KG365" s="13" t="s">
        <v>37</v>
      </c>
      <c r="KH365" s="12" t="s">
        <v>37</v>
      </c>
      <c r="KI365" s="12" t="s">
        <v>37</v>
      </c>
      <c r="KJ365" s="12" t="s">
        <v>37</v>
      </c>
      <c r="KK365" s="12" t="s">
        <v>42</v>
      </c>
      <c r="KL365" s="32" t="s">
        <v>345</v>
      </c>
      <c r="KM365" s="12">
        <v>15</v>
      </c>
      <c r="KN365" s="50">
        <f t="shared" si="1367"/>
        <v>1.7893956207728923</v>
      </c>
      <c r="KO365" s="11">
        <v>6</v>
      </c>
      <c r="KS365" s="12"/>
      <c r="KX365" s="12" t="s">
        <v>37</v>
      </c>
      <c r="KY365" s="12" t="s">
        <v>37</v>
      </c>
      <c r="KZ365" s="12" t="s">
        <v>37</v>
      </c>
      <c r="LB365" s="12" t="s">
        <v>37</v>
      </c>
      <c r="LC365" s="12" t="s">
        <v>37</v>
      </c>
      <c r="LD365" s="12" t="s">
        <v>37</v>
      </c>
      <c r="LI365" s="12" t="s">
        <v>37</v>
      </c>
      <c r="LJ365" s="12" t="s">
        <v>37</v>
      </c>
      <c r="LK365" s="12" t="s">
        <v>37</v>
      </c>
      <c r="LM365" s="12" t="s">
        <v>37</v>
      </c>
      <c r="LN365" s="12" t="s">
        <v>37</v>
      </c>
      <c r="LO365" s="12" t="s">
        <v>37</v>
      </c>
      <c r="LT365" s="12" t="str">
        <f t="shared" si="1368"/>
        <v>0-10</v>
      </c>
      <c r="LU365" s="12">
        <f t="shared" si="1369"/>
        <v>23.333333333333332</v>
      </c>
      <c r="LV365" s="12">
        <f t="shared" si="1370"/>
        <v>3.4249742755356465</v>
      </c>
      <c r="LW365" s="13">
        <f t="shared" si="1371"/>
        <v>6</v>
      </c>
      <c r="MF365" s="12" t="s">
        <v>37</v>
      </c>
      <c r="MG365" s="12" t="s">
        <v>37</v>
      </c>
      <c r="MH365" s="12" t="s">
        <v>37</v>
      </c>
      <c r="MJ365" s="12" t="s">
        <v>37</v>
      </c>
      <c r="MK365" s="12" t="s">
        <v>37</v>
      </c>
      <c r="ML365" s="12" t="s">
        <v>37</v>
      </c>
      <c r="MQ365" s="12" t="s">
        <v>37</v>
      </c>
      <c r="MR365" s="12" t="s">
        <v>37</v>
      </c>
      <c r="MS365" s="12" t="s">
        <v>37</v>
      </c>
      <c r="MU365" s="12" t="s">
        <v>37</v>
      </c>
      <c r="MV365" s="12" t="s">
        <v>37</v>
      </c>
      <c r="MW365" s="12" t="s">
        <v>37</v>
      </c>
      <c r="NC365" s="12" t="s">
        <v>37</v>
      </c>
      <c r="ND365" s="12" t="s">
        <v>37</v>
      </c>
      <c r="NE365" s="12" t="s">
        <v>37</v>
      </c>
      <c r="NG365" s="12" t="s">
        <v>37</v>
      </c>
      <c r="NH365" s="12" t="s">
        <v>37</v>
      </c>
      <c r="NI365" s="12" t="s">
        <v>37</v>
      </c>
      <c r="NO365" s="12" t="s">
        <v>37</v>
      </c>
      <c r="NP365" s="12" t="s">
        <v>37</v>
      </c>
      <c r="NQ365" s="12" t="s">
        <v>37</v>
      </c>
      <c r="NS365" s="12" t="s">
        <v>37</v>
      </c>
      <c r="NT365" s="12" t="s">
        <v>37</v>
      </c>
      <c r="NU365" s="12" t="s">
        <v>37</v>
      </c>
      <c r="OA365" s="12" t="s">
        <v>37</v>
      </c>
      <c r="OB365" s="12" t="s">
        <v>37</v>
      </c>
      <c r="OC365" s="12" t="s">
        <v>37</v>
      </c>
      <c r="OD365" s="12"/>
      <c r="OE365" s="12" t="s">
        <v>37</v>
      </c>
      <c r="OF365" s="12" t="s">
        <v>37</v>
      </c>
      <c r="OG365" s="12" t="s">
        <v>37</v>
      </c>
      <c r="OH365" s="12"/>
      <c r="OI365" s="12"/>
      <c r="OJ365" s="12"/>
      <c r="OM365" s="12" t="s">
        <v>37</v>
      </c>
      <c r="ON365" s="12" t="s">
        <v>37</v>
      </c>
      <c r="OO365" s="12" t="s">
        <v>37</v>
      </c>
      <c r="OP365" s="12" t="s">
        <v>37</v>
      </c>
      <c r="OQ365" s="12" t="s">
        <v>37</v>
      </c>
      <c r="OR365" s="12" t="s">
        <v>37</v>
      </c>
      <c r="OS365" s="12"/>
      <c r="OT365" s="12"/>
      <c r="OW365" s="12" t="s">
        <v>37</v>
      </c>
      <c r="OX365" s="12" t="s">
        <v>37</v>
      </c>
      <c r="OY365" s="13" t="s">
        <v>37</v>
      </c>
      <c r="OZ365" s="12" t="s">
        <v>37</v>
      </c>
      <c r="PA365" s="12" t="s">
        <v>37</v>
      </c>
      <c r="PB365" s="13" t="s">
        <v>37</v>
      </c>
      <c r="PG365" s="12" t="s">
        <v>37</v>
      </c>
      <c r="PH365" s="12" t="s">
        <v>37</v>
      </c>
      <c r="PI365" s="12" t="s">
        <v>37</v>
      </c>
      <c r="PJ365" s="12" t="s">
        <v>37</v>
      </c>
      <c r="PK365" s="12" t="s">
        <v>37</v>
      </c>
      <c r="PL365" s="12" t="s">
        <v>37</v>
      </c>
      <c r="PM365" s="12"/>
      <c r="PN365" s="12"/>
      <c r="PQ365" s="12" t="s">
        <v>37</v>
      </c>
      <c r="PR365" s="12" t="s">
        <v>37</v>
      </c>
      <c r="PS365" s="12" t="s">
        <v>37</v>
      </c>
      <c r="PT365" s="12" t="s">
        <v>37</v>
      </c>
      <c r="PU365" s="12" t="s">
        <v>37</v>
      </c>
      <c r="PV365" s="12" t="s">
        <v>37</v>
      </c>
      <c r="PW365" s="12"/>
      <c r="PX365" s="12"/>
      <c r="PZ365" s="12" t="s">
        <v>37</v>
      </c>
      <c r="QA365" s="12" t="s">
        <v>37</v>
      </c>
      <c r="QB365" s="12" t="s">
        <v>37</v>
      </c>
      <c r="QD365" s="12" t="s">
        <v>37</v>
      </c>
      <c r="QE365" s="12" t="s">
        <v>37</v>
      </c>
      <c r="QF365" s="12" t="s">
        <v>37</v>
      </c>
      <c r="QK365" s="12" t="s">
        <v>37</v>
      </c>
      <c r="QL365" s="12" t="s">
        <v>37</v>
      </c>
      <c r="QM365" s="12" t="s">
        <v>37</v>
      </c>
      <c r="QN365" s="12" t="s">
        <v>37</v>
      </c>
      <c r="QO365" s="12" t="s">
        <v>37</v>
      </c>
      <c r="QP365" s="12" t="s">
        <v>37</v>
      </c>
      <c r="QQ365" s="12"/>
      <c r="QR365" s="12"/>
      <c r="QU365" s="12" t="s">
        <v>37</v>
      </c>
      <c r="QV365" s="12" t="s">
        <v>37</v>
      </c>
      <c r="QW365" s="12" t="s">
        <v>37</v>
      </c>
      <c r="QX365" s="12" t="s">
        <v>37</v>
      </c>
      <c r="QY365" s="12" t="s">
        <v>37</v>
      </c>
      <c r="QZ365" s="12" t="s">
        <v>37</v>
      </c>
      <c r="RC365" s="12" t="s">
        <v>37</v>
      </c>
      <c r="RD365" s="12" t="s">
        <v>37</v>
      </c>
      <c r="RE365" s="13" t="s">
        <v>37</v>
      </c>
      <c r="RF365" s="12" t="s">
        <v>37</v>
      </c>
      <c r="RG365" s="12" t="s">
        <v>37</v>
      </c>
      <c r="RH365" s="13" t="s">
        <v>37</v>
      </c>
      <c r="RK365" s="12" t="s">
        <v>37</v>
      </c>
      <c r="RL365" s="12" t="s">
        <v>37</v>
      </c>
      <c r="RM365" s="11" t="s">
        <v>37</v>
      </c>
      <c r="RN365" s="12" t="s">
        <v>37</v>
      </c>
      <c r="RO365" s="12" t="s">
        <v>37</v>
      </c>
      <c r="RP365" s="11" t="s">
        <v>37</v>
      </c>
      <c r="RS365" s="12" t="s">
        <v>37</v>
      </c>
      <c r="RT365" s="12" t="s">
        <v>37</v>
      </c>
      <c r="RU365" s="12" t="s">
        <v>37</v>
      </c>
      <c r="RV365" s="12" t="s">
        <v>37</v>
      </c>
      <c r="RW365" s="12" t="s">
        <v>37</v>
      </c>
      <c r="RX365" s="12" t="s">
        <v>37</v>
      </c>
      <c r="SA365" s="12" t="s">
        <v>37</v>
      </c>
      <c r="SB365" s="12" t="s">
        <v>37</v>
      </c>
      <c r="SC365" s="12" t="s">
        <v>37</v>
      </c>
      <c r="SD365" s="12" t="s">
        <v>37</v>
      </c>
      <c r="SE365" s="12" t="s">
        <v>37</v>
      </c>
      <c r="SF365" s="12" t="s">
        <v>37</v>
      </c>
      <c r="SI365" s="12" t="s">
        <v>37</v>
      </c>
      <c r="SJ365" s="12" t="s">
        <v>37</v>
      </c>
      <c r="SK365" s="13" t="s">
        <v>37</v>
      </c>
      <c r="SM365" s="12" t="s">
        <v>37</v>
      </c>
      <c r="SN365" s="12" t="s">
        <v>37</v>
      </c>
      <c r="SO365" s="13" t="s">
        <v>37</v>
      </c>
      <c r="SU365" s="12" t="s">
        <v>37</v>
      </c>
      <c r="SV365" s="12" t="s">
        <v>37</v>
      </c>
      <c r="SW365" s="12" t="s">
        <v>37</v>
      </c>
      <c r="SX365" s="12" t="s">
        <v>37</v>
      </c>
      <c r="SY365" s="12" t="s">
        <v>37</v>
      </c>
      <c r="SZ365" s="12" t="s">
        <v>37</v>
      </c>
      <c r="TA365" s="12"/>
      <c r="TB365" s="12"/>
      <c r="TE365" s="12" t="s">
        <v>37</v>
      </c>
      <c r="TF365" s="12" t="s">
        <v>37</v>
      </c>
      <c r="TG365" s="12" t="s">
        <v>37</v>
      </c>
      <c r="TH365" s="12" t="s">
        <v>37</v>
      </c>
      <c r="TI365" s="12" t="s">
        <v>37</v>
      </c>
      <c r="TJ365" s="12" t="s">
        <v>37</v>
      </c>
      <c r="TK365" s="12"/>
      <c r="TL365" s="12"/>
      <c r="TO365" s="12" t="s">
        <v>37</v>
      </c>
      <c r="TP365" s="12" t="s">
        <v>37</v>
      </c>
      <c r="TQ365" s="12" t="s">
        <v>37</v>
      </c>
      <c r="TR365" s="12" t="s">
        <v>37</v>
      </c>
      <c r="TS365" s="12" t="s">
        <v>37</v>
      </c>
      <c r="TT365" s="12" t="s">
        <v>37</v>
      </c>
      <c r="TU365" s="12"/>
      <c r="TV365" s="12"/>
      <c r="TY365" s="12" t="s">
        <v>37</v>
      </c>
      <c r="TZ365" s="12" t="s">
        <v>37</v>
      </c>
      <c r="UA365" s="12" t="s">
        <v>37</v>
      </c>
      <c r="UB365" s="12" t="s">
        <v>37</v>
      </c>
      <c r="UC365" s="12" t="s">
        <v>37</v>
      </c>
      <c r="UD365" s="12" t="s">
        <v>37</v>
      </c>
      <c r="UE365" s="12"/>
      <c r="UF365" s="12"/>
      <c r="UI365" s="12" t="s">
        <v>37</v>
      </c>
      <c r="UJ365" s="12" t="s">
        <v>37</v>
      </c>
      <c r="UK365" s="12" t="s">
        <v>37</v>
      </c>
      <c r="UL365" s="12" t="s">
        <v>37</v>
      </c>
      <c r="UM365" s="12" t="s">
        <v>37</v>
      </c>
      <c r="UN365" s="12" t="s">
        <v>37</v>
      </c>
      <c r="UO365" s="12"/>
      <c r="UP365" s="12"/>
      <c r="UR365" s="12" t="s">
        <v>37</v>
      </c>
      <c r="US365" s="12" t="s">
        <v>37</v>
      </c>
      <c r="UT365" s="12" t="s">
        <v>37</v>
      </c>
      <c r="UU365" s="12" t="s">
        <v>37</v>
      </c>
      <c r="UV365" s="12" t="s">
        <v>37</v>
      </c>
      <c r="UW365" s="12" t="s">
        <v>37</v>
      </c>
      <c r="UX365" s="12"/>
      <c r="UY365" s="12"/>
      <c r="VB365" s="12" t="s">
        <v>37</v>
      </c>
      <c r="VC365" s="12" t="s">
        <v>37</v>
      </c>
      <c r="VD365" s="12" t="s">
        <v>37</v>
      </c>
      <c r="VE365" s="12" t="s">
        <v>37</v>
      </c>
      <c r="VF365" s="12" t="s">
        <v>37</v>
      </c>
      <c r="VG365" s="12" t="s">
        <v>37</v>
      </c>
      <c r="VI365" s="12" t="s">
        <v>37</v>
      </c>
      <c r="VJ365" s="12" t="s">
        <v>37</v>
      </c>
      <c r="VK365" s="12" t="s">
        <v>37</v>
      </c>
      <c r="VL365" s="12" t="s">
        <v>37</v>
      </c>
      <c r="VM365" s="12" t="s">
        <v>37</v>
      </c>
      <c r="VN365" s="12" t="s">
        <v>37</v>
      </c>
      <c r="VQ365" s="12" t="s">
        <v>37</v>
      </c>
      <c r="VR365" s="12" t="s">
        <v>37</v>
      </c>
      <c r="VS365" s="12" t="s">
        <v>37</v>
      </c>
      <c r="VT365" s="12" t="s">
        <v>37</v>
      </c>
      <c r="VU365" s="12" t="s">
        <v>37</v>
      </c>
      <c r="VV365" s="12" t="s">
        <v>37</v>
      </c>
      <c r="VW365" s="12"/>
      <c r="VX365" s="12"/>
      <c r="WA365" s="12" t="s">
        <v>37</v>
      </c>
      <c r="WB365" s="12" t="s">
        <v>37</v>
      </c>
      <c r="WC365" s="12" t="s">
        <v>37</v>
      </c>
      <c r="WD365" s="12" t="s">
        <v>37</v>
      </c>
      <c r="WE365" s="12" t="s">
        <v>37</v>
      </c>
      <c r="WF365" s="12" t="s">
        <v>37</v>
      </c>
    </row>
    <row r="366" spans="1:604" ht="18" customHeight="1" x14ac:dyDescent="0.3">
      <c r="A366" s="11">
        <v>79</v>
      </c>
      <c r="B366" s="16" t="s">
        <v>454</v>
      </c>
      <c r="C366" s="12" t="s">
        <v>31</v>
      </c>
      <c r="D366" s="12" t="s">
        <v>1039</v>
      </c>
      <c r="E366" s="40">
        <f t="shared" si="1372"/>
        <v>5.15</v>
      </c>
      <c r="F366" s="14">
        <v>0</v>
      </c>
      <c r="G366" s="14">
        <v>0</v>
      </c>
      <c r="H366" s="12" t="s">
        <v>79</v>
      </c>
      <c r="I366" s="29">
        <v>32.799999999999997</v>
      </c>
      <c r="J366" s="29">
        <v>102.55</v>
      </c>
      <c r="K366" s="12" t="s">
        <v>690</v>
      </c>
      <c r="L366" s="12" t="s">
        <v>691</v>
      </c>
      <c r="M366" s="13">
        <v>3500</v>
      </c>
      <c r="N366" s="14">
        <v>0.9</v>
      </c>
      <c r="O366" s="14">
        <v>744</v>
      </c>
      <c r="P366" s="14" t="s">
        <v>16</v>
      </c>
      <c r="Q366" s="75">
        <v>1.5</v>
      </c>
      <c r="R366" s="11" t="s">
        <v>37</v>
      </c>
      <c r="S366" s="12" t="s">
        <v>85</v>
      </c>
      <c r="T366" s="12" t="s">
        <v>138</v>
      </c>
      <c r="U366" s="12" t="s">
        <v>158</v>
      </c>
      <c r="V366" s="12" t="s">
        <v>275</v>
      </c>
      <c r="W366" s="23" t="s">
        <v>353</v>
      </c>
      <c r="X366" s="12" t="s">
        <v>280</v>
      </c>
      <c r="Y366" s="12" t="s">
        <v>37</v>
      </c>
      <c r="Z366" s="12" t="s">
        <v>37</v>
      </c>
      <c r="AA366" s="32" t="s">
        <v>345</v>
      </c>
      <c r="AB366" s="12">
        <v>6.7</v>
      </c>
      <c r="AC366" s="12" t="s">
        <v>42</v>
      </c>
      <c r="AD366" s="32" t="s">
        <v>345</v>
      </c>
      <c r="AE366" s="12">
        <v>350</v>
      </c>
      <c r="AF366" s="12" t="s">
        <v>42</v>
      </c>
      <c r="AG366" s="32" t="s">
        <v>345</v>
      </c>
      <c r="AH366" s="12">
        <v>15</v>
      </c>
      <c r="AJ366" s="12" t="str">
        <f t="shared" si="1373"/>
        <v>0-10</v>
      </c>
      <c r="AK366" s="19">
        <f t="shared" si="1374"/>
        <v>23.333333333333332</v>
      </c>
      <c r="AL366" s="32" t="s">
        <v>456</v>
      </c>
      <c r="AM366" s="12" t="s">
        <v>344</v>
      </c>
      <c r="AO366" s="12" t="s">
        <v>37</v>
      </c>
      <c r="AP366" s="12" t="s">
        <v>238</v>
      </c>
      <c r="AQ366" s="12" t="s">
        <v>975</v>
      </c>
      <c r="AR366" s="12" t="s">
        <v>42</v>
      </c>
      <c r="AS366" s="32" t="s">
        <v>345</v>
      </c>
      <c r="AT366" s="12">
        <v>350</v>
      </c>
      <c r="AU366" s="50">
        <f t="shared" si="1365"/>
        <v>29.93450076866338</v>
      </c>
      <c r="AV366" s="13">
        <v>6</v>
      </c>
      <c r="AX366" s="12" t="s">
        <v>326</v>
      </c>
      <c r="AY366" s="12" t="s">
        <v>326</v>
      </c>
      <c r="AZ366" s="13" t="s">
        <v>326</v>
      </c>
      <c r="BE366" s="12" t="s">
        <v>326</v>
      </c>
      <c r="BF366" s="12" t="s">
        <v>326</v>
      </c>
      <c r="BG366" s="12" t="s">
        <v>326</v>
      </c>
      <c r="BI366" s="12" t="s">
        <v>326</v>
      </c>
      <c r="BJ366" s="12" t="s">
        <v>326</v>
      </c>
      <c r="BK366" s="12" t="s">
        <v>326</v>
      </c>
      <c r="BP366" s="12" t="s">
        <v>37</v>
      </c>
      <c r="BQ366" s="12" t="s">
        <v>37</v>
      </c>
      <c r="BR366" s="13" t="s">
        <v>37</v>
      </c>
      <c r="BT366" s="12" t="s">
        <v>37</v>
      </c>
      <c r="BU366" s="12" t="s">
        <v>37</v>
      </c>
      <c r="BV366" s="12" t="s">
        <v>37</v>
      </c>
      <c r="CA366" s="12" t="s">
        <v>37</v>
      </c>
      <c r="CB366" s="12" t="s">
        <v>37</v>
      </c>
      <c r="CC366" s="13" t="s">
        <v>37</v>
      </c>
      <c r="CE366" s="12" t="s">
        <v>37</v>
      </c>
      <c r="CF366" s="12" t="s">
        <v>37</v>
      </c>
      <c r="CG366" s="12" t="s">
        <v>37</v>
      </c>
      <c r="CN366" s="12" t="s">
        <v>37</v>
      </c>
      <c r="CO366" s="12" t="s">
        <v>37</v>
      </c>
      <c r="CP366" s="13" t="s">
        <v>37</v>
      </c>
      <c r="CR366" s="12" t="s">
        <v>37</v>
      </c>
      <c r="CS366" s="12" t="s">
        <v>37</v>
      </c>
      <c r="CT366" s="13" t="s">
        <v>37</v>
      </c>
      <c r="CX366" s="72"/>
      <c r="CY366" s="72"/>
      <c r="DA366" s="12" t="s">
        <v>37</v>
      </c>
      <c r="DB366" s="12" t="s">
        <v>37</v>
      </c>
      <c r="DC366" s="13" t="s">
        <v>37</v>
      </c>
      <c r="DE366" s="12" t="s">
        <v>37</v>
      </c>
      <c r="DF366" s="12" t="s">
        <v>37</v>
      </c>
      <c r="DG366" s="12" t="s">
        <v>37</v>
      </c>
      <c r="DN366" s="19" t="s">
        <v>37</v>
      </c>
      <c r="DO366" s="12" t="s">
        <v>37</v>
      </c>
      <c r="DP366" s="13" t="s">
        <v>37</v>
      </c>
      <c r="DR366" s="19" t="s">
        <v>37</v>
      </c>
      <c r="DS366" s="12" t="s">
        <v>37</v>
      </c>
      <c r="DT366" s="13" t="s">
        <v>37</v>
      </c>
      <c r="EA366" s="19" t="s">
        <v>37</v>
      </c>
      <c r="EB366" s="19" t="s">
        <v>37</v>
      </c>
      <c r="EC366" s="72" t="s">
        <v>37</v>
      </c>
      <c r="EE366" s="19" t="s">
        <v>37</v>
      </c>
      <c r="EF366" s="19" t="s">
        <v>37</v>
      </c>
      <c r="EG366" s="12" t="s">
        <v>37</v>
      </c>
      <c r="EN366" s="12" t="s">
        <v>37</v>
      </c>
      <c r="EO366" s="12" t="s">
        <v>37</v>
      </c>
      <c r="EP366" s="13" t="s">
        <v>37</v>
      </c>
      <c r="ER366" s="12" t="s">
        <v>37</v>
      </c>
      <c r="ES366" s="12" t="s">
        <v>37</v>
      </c>
      <c r="ET366" s="13" t="s">
        <v>37</v>
      </c>
      <c r="FB366" s="12" t="s">
        <v>37</v>
      </c>
      <c r="FC366" s="12" t="s">
        <v>37</v>
      </c>
      <c r="FD366" s="12" t="s">
        <v>37</v>
      </c>
      <c r="FE366" s="12" t="s">
        <v>37</v>
      </c>
      <c r="FF366" s="20" t="s">
        <v>37</v>
      </c>
      <c r="FG366" s="12" t="s">
        <v>37</v>
      </c>
      <c r="FI366" s="12" t="s">
        <v>37</v>
      </c>
      <c r="FJ366" s="12" t="s">
        <v>37</v>
      </c>
      <c r="FK366" s="12" t="s">
        <v>37</v>
      </c>
      <c r="FL366" s="12" t="s">
        <v>37</v>
      </c>
      <c r="FM366" s="12" t="s">
        <v>37</v>
      </c>
      <c r="FN366" s="12" t="s">
        <v>37</v>
      </c>
      <c r="FP366" s="12" t="s">
        <v>37</v>
      </c>
      <c r="FQ366" s="12" t="s">
        <v>37</v>
      </c>
      <c r="FR366" s="12" t="s">
        <v>37</v>
      </c>
      <c r="FS366" s="12" t="s">
        <v>37</v>
      </c>
      <c r="FT366" s="12" t="s">
        <v>37</v>
      </c>
      <c r="FU366" s="12" t="s">
        <v>37</v>
      </c>
      <c r="FW366" s="12" t="s">
        <v>37</v>
      </c>
      <c r="FX366" s="12" t="s">
        <v>37</v>
      </c>
      <c r="FY366" s="12" t="s">
        <v>37</v>
      </c>
      <c r="FZ366" s="12" t="s">
        <v>37</v>
      </c>
      <c r="GA366" s="12" t="s">
        <v>37</v>
      </c>
      <c r="GB366" s="12" t="s">
        <v>37</v>
      </c>
      <c r="IK366" s="12" t="s">
        <v>37</v>
      </c>
      <c r="IL366" s="12" t="s">
        <v>37</v>
      </c>
      <c r="IM366" s="12" t="s">
        <v>37</v>
      </c>
      <c r="IO366" s="12" t="s">
        <v>37</v>
      </c>
      <c r="IP366" s="12" t="s">
        <v>37</v>
      </c>
      <c r="IQ366" s="12" t="s">
        <v>37</v>
      </c>
      <c r="IV366" s="32" t="s">
        <v>345</v>
      </c>
      <c r="IW366" s="12">
        <v>6.7</v>
      </c>
      <c r="IX366" s="50">
        <f t="shared" si="1366"/>
        <v>0.24530537560775503</v>
      </c>
      <c r="IY366" s="13">
        <v>6</v>
      </c>
      <c r="JH366" s="12" t="s">
        <v>37</v>
      </c>
      <c r="JI366" s="12" t="s">
        <v>37</v>
      </c>
      <c r="JJ366" s="13" t="s">
        <v>37</v>
      </c>
      <c r="JL366" s="12" t="s">
        <v>37</v>
      </c>
      <c r="JM366" s="12" t="s">
        <v>37</v>
      </c>
      <c r="JN366" s="12" t="s">
        <v>37</v>
      </c>
      <c r="JS366" s="12" t="s">
        <v>37</v>
      </c>
      <c r="JT366" s="12" t="s">
        <v>37</v>
      </c>
      <c r="JU366" s="13" t="s">
        <v>37</v>
      </c>
      <c r="JW366" s="12" t="s">
        <v>37</v>
      </c>
      <c r="JX366" s="12" t="s">
        <v>37</v>
      </c>
      <c r="JY366" s="12" t="s">
        <v>37</v>
      </c>
      <c r="KE366" s="12" t="s">
        <v>37</v>
      </c>
      <c r="KF366" s="12" t="s">
        <v>37</v>
      </c>
      <c r="KG366" s="13" t="s">
        <v>37</v>
      </c>
      <c r="KH366" s="12" t="s">
        <v>37</v>
      </c>
      <c r="KI366" s="12" t="s">
        <v>37</v>
      </c>
      <c r="KJ366" s="12" t="s">
        <v>37</v>
      </c>
      <c r="KK366" s="12" t="s">
        <v>42</v>
      </c>
      <c r="KL366" s="32" t="s">
        <v>345</v>
      </c>
      <c r="KM366" s="12">
        <v>15</v>
      </c>
      <c r="KN366" s="50">
        <f t="shared" si="1367"/>
        <v>1.7893956207728923</v>
      </c>
      <c r="KO366" s="11">
        <v>6</v>
      </c>
      <c r="KS366" s="12"/>
      <c r="KX366" s="12" t="s">
        <v>37</v>
      </c>
      <c r="KY366" s="12" t="s">
        <v>37</v>
      </c>
      <c r="KZ366" s="12" t="s">
        <v>37</v>
      </c>
      <c r="LB366" s="12" t="s">
        <v>37</v>
      </c>
      <c r="LC366" s="12" t="s">
        <v>37</v>
      </c>
      <c r="LD366" s="12" t="s">
        <v>37</v>
      </c>
      <c r="LI366" s="12" t="s">
        <v>37</v>
      </c>
      <c r="LJ366" s="12" t="s">
        <v>37</v>
      </c>
      <c r="LK366" s="12" t="s">
        <v>37</v>
      </c>
      <c r="LM366" s="12" t="s">
        <v>37</v>
      </c>
      <c r="LN366" s="12" t="s">
        <v>37</v>
      </c>
      <c r="LO366" s="12" t="s">
        <v>37</v>
      </c>
      <c r="LT366" s="12" t="str">
        <f t="shared" si="1368"/>
        <v>0-10</v>
      </c>
      <c r="LU366" s="12">
        <f t="shared" si="1369"/>
        <v>23.333333333333332</v>
      </c>
      <c r="LV366" s="12">
        <f t="shared" si="1370"/>
        <v>3.4249742755356465</v>
      </c>
      <c r="LW366" s="13">
        <f t="shared" si="1371"/>
        <v>6</v>
      </c>
      <c r="MF366" s="12" t="s">
        <v>37</v>
      </c>
      <c r="MG366" s="12" t="s">
        <v>37</v>
      </c>
      <c r="MH366" s="12" t="s">
        <v>37</v>
      </c>
      <c r="MJ366" s="12" t="s">
        <v>37</v>
      </c>
      <c r="MK366" s="12" t="s">
        <v>37</v>
      </c>
      <c r="ML366" s="12" t="s">
        <v>37</v>
      </c>
      <c r="MQ366" s="12" t="s">
        <v>37</v>
      </c>
      <c r="MR366" s="12" t="s">
        <v>37</v>
      </c>
      <c r="MS366" s="12" t="s">
        <v>37</v>
      </c>
      <c r="MU366" s="12" t="s">
        <v>37</v>
      </c>
      <c r="MV366" s="12" t="s">
        <v>37</v>
      </c>
      <c r="MW366" s="12" t="s">
        <v>37</v>
      </c>
      <c r="NC366" s="12" t="s">
        <v>37</v>
      </c>
      <c r="ND366" s="12" t="s">
        <v>37</v>
      </c>
      <c r="NE366" s="12" t="s">
        <v>37</v>
      </c>
      <c r="NG366" s="12" t="s">
        <v>37</v>
      </c>
      <c r="NH366" s="12" t="s">
        <v>37</v>
      </c>
      <c r="NI366" s="12" t="s">
        <v>37</v>
      </c>
      <c r="NO366" s="12" t="s">
        <v>37</v>
      </c>
      <c r="NP366" s="12" t="s">
        <v>37</v>
      </c>
      <c r="NQ366" s="12" t="s">
        <v>37</v>
      </c>
      <c r="NS366" s="12" t="s">
        <v>37</v>
      </c>
      <c r="NT366" s="12" t="s">
        <v>37</v>
      </c>
      <c r="NU366" s="12" t="s">
        <v>37</v>
      </c>
      <c r="OA366" s="12" t="s">
        <v>37</v>
      </c>
      <c r="OB366" s="12" t="s">
        <v>37</v>
      </c>
      <c r="OC366" s="12" t="s">
        <v>37</v>
      </c>
      <c r="OD366" s="12"/>
      <c r="OE366" s="12" t="s">
        <v>37</v>
      </c>
      <c r="OF366" s="12" t="s">
        <v>37</v>
      </c>
      <c r="OG366" s="12" t="s">
        <v>37</v>
      </c>
      <c r="OH366" s="12"/>
      <c r="OI366" s="12"/>
      <c r="OJ366" s="12"/>
      <c r="OM366" s="12" t="s">
        <v>37</v>
      </c>
      <c r="ON366" s="12" t="s">
        <v>37</v>
      </c>
      <c r="OO366" s="12" t="s">
        <v>37</v>
      </c>
      <c r="OP366" s="12" t="s">
        <v>37</v>
      </c>
      <c r="OQ366" s="12" t="s">
        <v>37</v>
      </c>
      <c r="OR366" s="12" t="s">
        <v>37</v>
      </c>
      <c r="OS366" s="12"/>
      <c r="OT366" s="12"/>
      <c r="OW366" s="12" t="s">
        <v>37</v>
      </c>
      <c r="OX366" s="12" t="s">
        <v>37</v>
      </c>
      <c r="OY366" s="13" t="s">
        <v>37</v>
      </c>
      <c r="OZ366" s="12" t="s">
        <v>37</v>
      </c>
      <c r="PA366" s="12" t="s">
        <v>37</v>
      </c>
      <c r="PB366" s="13" t="s">
        <v>37</v>
      </c>
      <c r="PG366" s="12" t="s">
        <v>37</v>
      </c>
      <c r="PH366" s="12" t="s">
        <v>37</v>
      </c>
      <c r="PI366" s="12" t="s">
        <v>37</v>
      </c>
      <c r="PJ366" s="12" t="s">
        <v>37</v>
      </c>
      <c r="PK366" s="12" t="s">
        <v>37</v>
      </c>
      <c r="PL366" s="12" t="s">
        <v>37</v>
      </c>
      <c r="PM366" s="12"/>
      <c r="PN366" s="12"/>
      <c r="PQ366" s="12" t="s">
        <v>37</v>
      </c>
      <c r="PR366" s="12" t="s">
        <v>37</v>
      </c>
      <c r="PS366" s="12" t="s">
        <v>37</v>
      </c>
      <c r="PT366" s="12" t="s">
        <v>37</v>
      </c>
      <c r="PU366" s="12" t="s">
        <v>37</v>
      </c>
      <c r="PV366" s="12" t="s">
        <v>37</v>
      </c>
      <c r="PW366" s="12"/>
      <c r="PX366" s="12"/>
      <c r="PZ366" s="12" t="s">
        <v>37</v>
      </c>
      <c r="QA366" s="12" t="s">
        <v>37</v>
      </c>
      <c r="QB366" s="12" t="s">
        <v>37</v>
      </c>
      <c r="QD366" s="12" t="s">
        <v>37</v>
      </c>
      <c r="QE366" s="12" t="s">
        <v>37</v>
      </c>
      <c r="QF366" s="12" t="s">
        <v>37</v>
      </c>
      <c r="QK366" s="12" t="s">
        <v>37</v>
      </c>
      <c r="QL366" s="12" t="s">
        <v>37</v>
      </c>
      <c r="QM366" s="12" t="s">
        <v>37</v>
      </c>
      <c r="QN366" s="12" t="s">
        <v>37</v>
      </c>
      <c r="QO366" s="12" t="s">
        <v>37</v>
      </c>
      <c r="QP366" s="12" t="s">
        <v>37</v>
      </c>
      <c r="QQ366" s="12"/>
      <c r="QR366" s="12"/>
      <c r="QU366" s="12" t="s">
        <v>37</v>
      </c>
      <c r="QV366" s="12" t="s">
        <v>37</v>
      </c>
      <c r="QW366" s="12" t="s">
        <v>37</v>
      </c>
      <c r="QX366" s="12" t="s">
        <v>37</v>
      </c>
      <c r="QY366" s="12" t="s">
        <v>37</v>
      </c>
      <c r="QZ366" s="12" t="s">
        <v>37</v>
      </c>
      <c r="RC366" s="12" t="s">
        <v>37</v>
      </c>
      <c r="RD366" s="12" t="s">
        <v>37</v>
      </c>
      <c r="RE366" s="13" t="s">
        <v>37</v>
      </c>
      <c r="RF366" s="12" t="s">
        <v>37</v>
      </c>
      <c r="RG366" s="12" t="s">
        <v>37</v>
      </c>
      <c r="RH366" s="13" t="s">
        <v>37</v>
      </c>
      <c r="RK366" s="12" t="s">
        <v>37</v>
      </c>
      <c r="RL366" s="12" t="s">
        <v>37</v>
      </c>
      <c r="RM366" s="11" t="s">
        <v>37</v>
      </c>
      <c r="RN366" s="12" t="s">
        <v>37</v>
      </c>
      <c r="RO366" s="12" t="s">
        <v>37</v>
      </c>
      <c r="RP366" s="11" t="s">
        <v>37</v>
      </c>
      <c r="RS366" s="12" t="s">
        <v>37</v>
      </c>
      <c r="RT366" s="12" t="s">
        <v>37</v>
      </c>
      <c r="RU366" s="12" t="s">
        <v>37</v>
      </c>
      <c r="RV366" s="12" t="s">
        <v>37</v>
      </c>
      <c r="RW366" s="12" t="s">
        <v>37</v>
      </c>
      <c r="RX366" s="12" t="s">
        <v>37</v>
      </c>
      <c r="SA366" s="12" t="s">
        <v>37</v>
      </c>
      <c r="SB366" s="12" t="s">
        <v>37</v>
      </c>
      <c r="SC366" s="12" t="s">
        <v>37</v>
      </c>
      <c r="SD366" s="12" t="s">
        <v>37</v>
      </c>
      <c r="SE366" s="12" t="s">
        <v>37</v>
      </c>
      <c r="SF366" s="12" t="s">
        <v>37</v>
      </c>
      <c r="SI366" s="12" t="s">
        <v>37</v>
      </c>
      <c r="SJ366" s="12" t="s">
        <v>37</v>
      </c>
      <c r="SK366" s="13" t="s">
        <v>37</v>
      </c>
      <c r="SM366" s="12" t="s">
        <v>37</v>
      </c>
      <c r="SN366" s="12" t="s">
        <v>37</v>
      </c>
      <c r="SO366" s="13" t="s">
        <v>37</v>
      </c>
      <c r="SU366" s="12" t="s">
        <v>37</v>
      </c>
      <c r="SV366" s="12" t="s">
        <v>37</v>
      </c>
      <c r="SW366" s="12" t="s">
        <v>37</v>
      </c>
      <c r="SX366" s="12" t="s">
        <v>37</v>
      </c>
      <c r="SY366" s="12" t="s">
        <v>37</v>
      </c>
      <c r="SZ366" s="12" t="s">
        <v>37</v>
      </c>
      <c r="TA366" s="12"/>
      <c r="TB366" s="12"/>
      <c r="TE366" s="12" t="s">
        <v>37</v>
      </c>
      <c r="TF366" s="12" t="s">
        <v>37</v>
      </c>
      <c r="TG366" s="12" t="s">
        <v>37</v>
      </c>
      <c r="TH366" s="12" t="s">
        <v>37</v>
      </c>
      <c r="TI366" s="12" t="s">
        <v>37</v>
      </c>
      <c r="TJ366" s="12" t="s">
        <v>37</v>
      </c>
      <c r="TK366" s="12"/>
      <c r="TL366" s="12"/>
      <c r="TO366" s="12" t="s">
        <v>37</v>
      </c>
      <c r="TP366" s="12" t="s">
        <v>37</v>
      </c>
      <c r="TQ366" s="12" t="s">
        <v>37</v>
      </c>
      <c r="TR366" s="12" t="s">
        <v>37</v>
      </c>
      <c r="TS366" s="12" t="s">
        <v>37</v>
      </c>
      <c r="TT366" s="12" t="s">
        <v>37</v>
      </c>
      <c r="TU366" s="12"/>
      <c r="TV366" s="12"/>
      <c r="TY366" s="12" t="s">
        <v>37</v>
      </c>
      <c r="TZ366" s="12" t="s">
        <v>37</v>
      </c>
      <c r="UA366" s="12" t="s">
        <v>37</v>
      </c>
      <c r="UB366" s="12" t="s">
        <v>37</v>
      </c>
      <c r="UC366" s="12" t="s">
        <v>37</v>
      </c>
      <c r="UD366" s="12" t="s">
        <v>37</v>
      </c>
      <c r="UE366" s="12"/>
      <c r="UF366" s="12"/>
      <c r="UI366" s="12" t="s">
        <v>37</v>
      </c>
      <c r="UJ366" s="12" t="s">
        <v>37</v>
      </c>
      <c r="UK366" s="12" t="s">
        <v>37</v>
      </c>
      <c r="UL366" s="12" t="s">
        <v>37</v>
      </c>
      <c r="UM366" s="12" t="s">
        <v>37</v>
      </c>
      <c r="UN366" s="12" t="s">
        <v>37</v>
      </c>
      <c r="UO366" s="12"/>
      <c r="UP366" s="12"/>
      <c r="UR366" s="12" t="s">
        <v>37</v>
      </c>
      <c r="US366" s="12" t="s">
        <v>37</v>
      </c>
      <c r="UT366" s="12" t="s">
        <v>37</v>
      </c>
      <c r="UU366" s="12" t="s">
        <v>37</v>
      </c>
      <c r="UV366" s="12" t="s">
        <v>37</v>
      </c>
      <c r="UW366" s="12" t="s">
        <v>37</v>
      </c>
      <c r="UX366" s="12"/>
      <c r="UY366" s="12"/>
      <c r="VB366" s="12" t="s">
        <v>37</v>
      </c>
      <c r="VC366" s="12" t="s">
        <v>37</v>
      </c>
      <c r="VD366" s="12" t="s">
        <v>37</v>
      </c>
      <c r="VE366" s="12" t="s">
        <v>37</v>
      </c>
      <c r="VF366" s="12" t="s">
        <v>37</v>
      </c>
      <c r="VG366" s="12" t="s">
        <v>37</v>
      </c>
      <c r="VI366" s="12" t="s">
        <v>37</v>
      </c>
      <c r="VJ366" s="12" t="s">
        <v>37</v>
      </c>
      <c r="VK366" s="12" t="s">
        <v>37</v>
      </c>
      <c r="VL366" s="12" t="s">
        <v>37</v>
      </c>
      <c r="VM366" s="12" t="s">
        <v>37</v>
      </c>
      <c r="VN366" s="12" t="s">
        <v>37</v>
      </c>
      <c r="VQ366" s="12" t="s">
        <v>37</v>
      </c>
      <c r="VR366" s="12" t="s">
        <v>37</v>
      </c>
      <c r="VS366" s="12" t="s">
        <v>37</v>
      </c>
      <c r="VT366" s="12" t="s">
        <v>37</v>
      </c>
      <c r="VU366" s="12" t="s">
        <v>37</v>
      </c>
      <c r="VV366" s="12" t="s">
        <v>37</v>
      </c>
      <c r="VW366" s="12"/>
      <c r="VX366" s="12"/>
      <c r="WA366" s="12" t="s">
        <v>37</v>
      </c>
      <c r="WB366" s="12" t="s">
        <v>37</v>
      </c>
      <c r="WC366" s="12" t="s">
        <v>37</v>
      </c>
      <c r="WD366" s="12" t="s">
        <v>37</v>
      </c>
      <c r="WE366" s="12" t="s">
        <v>37</v>
      </c>
      <c r="WF366" s="12" t="s">
        <v>37</v>
      </c>
    </row>
    <row r="367" spans="1:604" ht="18" customHeight="1" x14ac:dyDescent="0.3">
      <c r="A367" s="11">
        <v>79</v>
      </c>
      <c r="B367" s="16" t="s">
        <v>454</v>
      </c>
      <c r="C367" s="12" t="s">
        <v>32</v>
      </c>
      <c r="D367" s="12" t="s">
        <v>1039</v>
      </c>
      <c r="E367" s="40">
        <f t="shared" si="1372"/>
        <v>5.15</v>
      </c>
      <c r="F367" s="14">
        <v>0</v>
      </c>
      <c r="G367" s="14">
        <v>0</v>
      </c>
      <c r="H367" s="12" t="s">
        <v>79</v>
      </c>
      <c r="I367" s="29">
        <v>32.799999999999997</v>
      </c>
      <c r="J367" s="29">
        <v>102.55</v>
      </c>
      <c r="K367" s="12" t="s">
        <v>690</v>
      </c>
      <c r="L367" s="12" t="s">
        <v>691</v>
      </c>
      <c r="M367" s="13">
        <v>3500</v>
      </c>
      <c r="N367" s="14">
        <v>0.9</v>
      </c>
      <c r="O367" s="14">
        <v>744</v>
      </c>
      <c r="P367" s="14" t="s">
        <v>16</v>
      </c>
      <c r="Q367" s="75">
        <v>1.5</v>
      </c>
      <c r="R367" s="11" t="s">
        <v>37</v>
      </c>
      <c r="S367" s="12" t="s">
        <v>85</v>
      </c>
      <c r="T367" s="12" t="s">
        <v>138</v>
      </c>
      <c r="U367" s="12" t="s">
        <v>158</v>
      </c>
      <c r="V367" s="12" t="s">
        <v>275</v>
      </c>
      <c r="W367" s="23" t="s">
        <v>353</v>
      </c>
      <c r="X367" s="12" t="s">
        <v>280</v>
      </c>
      <c r="Y367" s="12" t="s">
        <v>37</v>
      </c>
      <c r="Z367" s="12" t="s">
        <v>37</v>
      </c>
      <c r="AA367" s="32" t="s">
        <v>345</v>
      </c>
      <c r="AB367" s="12">
        <v>6.7</v>
      </c>
      <c r="AC367" s="12" t="s">
        <v>42</v>
      </c>
      <c r="AD367" s="32" t="s">
        <v>345</v>
      </c>
      <c r="AE367" s="12">
        <v>350</v>
      </c>
      <c r="AF367" s="12" t="s">
        <v>42</v>
      </c>
      <c r="AG367" s="32" t="s">
        <v>345</v>
      </c>
      <c r="AH367" s="12">
        <v>15</v>
      </c>
      <c r="AJ367" s="12" t="str">
        <f t="shared" si="1373"/>
        <v>0-10</v>
      </c>
      <c r="AK367" s="19">
        <f t="shared" si="1374"/>
        <v>23.333333333333332</v>
      </c>
      <c r="AL367" s="32" t="s">
        <v>456</v>
      </c>
      <c r="AM367" s="12" t="s">
        <v>344</v>
      </c>
      <c r="AO367" s="12" t="s">
        <v>37</v>
      </c>
      <c r="AP367" s="12" t="s">
        <v>238</v>
      </c>
      <c r="AQ367" s="12" t="s">
        <v>975</v>
      </c>
      <c r="AR367" s="12" t="s">
        <v>42</v>
      </c>
      <c r="AS367" s="32" t="s">
        <v>345</v>
      </c>
      <c r="AT367" s="12">
        <v>350</v>
      </c>
      <c r="AU367" s="50">
        <f t="shared" si="1365"/>
        <v>29.93450076866338</v>
      </c>
      <c r="AV367" s="13">
        <v>6</v>
      </c>
      <c r="AX367" s="12" t="s">
        <v>326</v>
      </c>
      <c r="AY367" s="12" t="s">
        <v>326</v>
      </c>
      <c r="AZ367" s="13" t="s">
        <v>326</v>
      </c>
      <c r="BE367" s="12" t="s">
        <v>326</v>
      </c>
      <c r="BF367" s="12" t="s">
        <v>326</v>
      </c>
      <c r="BG367" s="12" t="s">
        <v>326</v>
      </c>
      <c r="BI367" s="12" t="s">
        <v>326</v>
      </c>
      <c r="BJ367" s="12" t="s">
        <v>326</v>
      </c>
      <c r="BK367" s="12" t="s">
        <v>326</v>
      </c>
      <c r="BP367" s="12" t="s">
        <v>37</v>
      </c>
      <c r="BQ367" s="12" t="s">
        <v>37</v>
      </c>
      <c r="BR367" s="13" t="s">
        <v>37</v>
      </c>
      <c r="BT367" s="12" t="s">
        <v>37</v>
      </c>
      <c r="BU367" s="12" t="s">
        <v>37</v>
      </c>
      <c r="BV367" s="12" t="s">
        <v>37</v>
      </c>
      <c r="CA367" s="12" t="s">
        <v>37</v>
      </c>
      <c r="CB367" s="12" t="s">
        <v>37</v>
      </c>
      <c r="CC367" s="13" t="s">
        <v>37</v>
      </c>
      <c r="CE367" s="12" t="s">
        <v>37</v>
      </c>
      <c r="CF367" s="12" t="s">
        <v>37</v>
      </c>
      <c r="CG367" s="12" t="s">
        <v>37</v>
      </c>
      <c r="CN367" s="12" t="s">
        <v>37</v>
      </c>
      <c r="CO367" s="12" t="s">
        <v>37</v>
      </c>
      <c r="CP367" s="13" t="s">
        <v>37</v>
      </c>
      <c r="CR367" s="12" t="s">
        <v>37</v>
      </c>
      <c r="CS367" s="12" t="s">
        <v>37</v>
      </c>
      <c r="CT367" s="13" t="s">
        <v>37</v>
      </c>
      <c r="CX367" s="72"/>
      <c r="CY367" s="72"/>
      <c r="DA367" s="12" t="s">
        <v>37</v>
      </c>
      <c r="DB367" s="12" t="s">
        <v>37</v>
      </c>
      <c r="DC367" s="13" t="s">
        <v>37</v>
      </c>
      <c r="DE367" s="12" t="s">
        <v>37</v>
      </c>
      <c r="DF367" s="12" t="s">
        <v>37</v>
      </c>
      <c r="DG367" s="12" t="s">
        <v>37</v>
      </c>
      <c r="DN367" s="19" t="s">
        <v>37</v>
      </c>
      <c r="DO367" s="12" t="s">
        <v>37</v>
      </c>
      <c r="DP367" s="13" t="s">
        <v>37</v>
      </c>
      <c r="DR367" s="19" t="s">
        <v>37</v>
      </c>
      <c r="DS367" s="12" t="s">
        <v>37</v>
      </c>
      <c r="DT367" s="13" t="s">
        <v>37</v>
      </c>
      <c r="EA367" s="19" t="s">
        <v>37</v>
      </c>
      <c r="EB367" s="19" t="s">
        <v>37</v>
      </c>
      <c r="EC367" s="72" t="s">
        <v>37</v>
      </c>
      <c r="EE367" s="19" t="s">
        <v>37</v>
      </c>
      <c r="EF367" s="19" t="s">
        <v>37</v>
      </c>
      <c r="EG367" s="12" t="s">
        <v>37</v>
      </c>
      <c r="EN367" s="12" t="s">
        <v>37</v>
      </c>
      <c r="EO367" s="12" t="s">
        <v>37</v>
      </c>
      <c r="EP367" s="13" t="s">
        <v>37</v>
      </c>
      <c r="ER367" s="12" t="s">
        <v>37</v>
      </c>
      <c r="ES367" s="12" t="s">
        <v>37</v>
      </c>
      <c r="ET367" s="13" t="s">
        <v>37</v>
      </c>
      <c r="FB367" s="12" t="s">
        <v>37</v>
      </c>
      <c r="FC367" s="12" t="s">
        <v>37</v>
      </c>
      <c r="FD367" s="12" t="s">
        <v>37</v>
      </c>
      <c r="FE367" s="12" t="s">
        <v>37</v>
      </c>
      <c r="FF367" s="20" t="s">
        <v>37</v>
      </c>
      <c r="FG367" s="12" t="s">
        <v>37</v>
      </c>
      <c r="FI367" s="12" t="s">
        <v>37</v>
      </c>
      <c r="FJ367" s="12" t="s">
        <v>37</v>
      </c>
      <c r="FK367" s="12" t="s">
        <v>37</v>
      </c>
      <c r="FL367" s="12" t="s">
        <v>37</v>
      </c>
      <c r="FM367" s="12" t="s">
        <v>37</v>
      </c>
      <c r="FN367" s="12" t="s">
        <v>37</v>
      </c>
      <c r="FP367" s="12" t="s">
        <v>37</v>
      </c>
      <c r="FQ367" s="12" t="s">
        <v>37</v>
      </c>
      <c r="FR367" s="12" t="s">
        <v>37</v>
      </c>
      <c r="FS367" s="12" t="s">
        <v>37</v>
      </c>
      <c r="FT367" s="12" t="s">
        <v>37</v>
      </c>
      <c r="FU367" s="12" t="s">
        <v>37</v>
      </c>
      <c r="FW367" s="12" t="s">
        <v>37</v>
      </c>
      <c r="FX367" s="12" t="s">
        <v>37</v>
      </c>
      <c r="FY367" s="12" t="s">
        <v>37</v>
      </c>
      <c r="FZ367" s="12" t="s">
        <v>37</v>
      </c>
      <c r="GA367" s="12" t="s">
        <v>37</v>
      </c>
      <c r="GB367" s="12" t="s">
        <v>37</v>
      </c>
      <c r="IK367" s="12" t="s">
        <v>37</v>
      </c>
      <c r="IL367" s="12" t="s">
        <v>37</v>
      </c>
      <c r="IM367" s="12" t="s">
        <v>37</v>
      </c>
      <c r="IO367" s="12" t="s">
        <v>37</v>
      </c>
      <c r="IP367" s="12" t="s">
        <v>37</v>
      </c>
      <c r="IQ367" s="12" t="s">
        <v>37</v>
      </c>
      <c r="IV367" s="32" t="s">
        <v>345</v>
      </c>
      <c r="IW367" s="12">
        <v>6.7</v>
      </c>
      <c r="IX367" s="50">
        <f t="shared" si="1366"/>
        <v>0.24530537560775503</v>
      </c>
      <c r="IY367" s="13">
        <v>6</v>
      </c>
      <c r="JH367" s="12" t="s">
        <v>37</v>
      </c>
      <c r="JI367" s="12" t="s">
        <v>37</v>
      </c>
      <c r="JJ367" s="13" t="s">
        <v>37</v>
      </c>
      <c r="JL367" s="12" t="s">
        <v>37</v>
      </c>
      <c r="JM367" s="12" t="s">
        <v>37</v>
      </c>
      <c r="JN367" s="12" t="s">
        <v>37</v>
      </c>
      <c r="JS367" s="12" t="s">
        <v>37</v>
      </c>
      <c r="JT367" s="12" t="s">
        <v>37</v>
      </c>
      <c r="JU367" s="13" t="s">
        <v>37</v>
      </c>
      <c r="JW367" s="12" t="s">
        <v>37</v>
      </c>
      <c r="JX367" s="12" t="s">
        <v>37</v>
      </c>
      <c r="JY367" s="12" t="s">
        <v>37</v>
      </c>
      <c r="KE367" s="12" t="s">
        <v>37</v>
      </c>
      <c r="KF367" s="12" t="s">
        <v>37</v>
      </c>
      <c r="KG367" s="13" t="s">
        <v>37</v>
      </c>
      <c r="KH367" s="12" t="s">
        <v>37</v>
      </c>
      <c r="KI367" s="12" t="s">
        <v>37</v>
      </c>
      <c r="KJ367" s="12" t="s">
        <v>37</v>
      </c>
      <c r="KK367" s="12" t="s">
        <v>42</v>
      </c>
      <c r="KL367" s="32" t="s">
        <v>345</v>
      </c>
      <c r="KM367" s="12">
        <v>15</v>
      </c>
      <c r="KN367" s="50">
        <f t="shared" si="1367"/>
        <v>1.7893956207728923</v>
      </c>
      <c r="KO367" s="11">
        <v>6</v>
      </c>
      <c r="KS367" s="12"/>
      <c r="KX367" s="12" t="s">
        <v>37</v>
      </c>
      <c r="KY367" s="12" t="s">
        <v>37</v>
      </c>
      <c r="KZ367" s="12" t="s">
        <v>37</v>
      </c>
      <c r="LB367" s="12" t="s">
        <v>37</v>
      </c>
      <c r="LC367" s="12" t="s">
        <v>37</v>
      </c>
      <c r="LD367" s="12" t="s">
        <v>37</v>
      </c>
      <c r="LI367" s="12" t="s">
        <v>37</v>
      </c>
      <c r="LJ367" s="12" t="s">
        <v>37</v>
      </c>
      <c r="LK367" s="12" t="s">
        <v>37</v>
      </c>
      <c r="LM367" s="12" t="s">
        <v>37</v>
      </c>
      <c r="LN367" s="12" t="s">
        <v>37</v>
      </c>
      <c r="LO367" s="12" t="s">
        <v>37</v>
      </c>
      <c r="LT367" s="12" t="str">
        <f t="shared" si="1368"/>
        <v>0-10</v>
      </c>
      <c r="LU367" s="12">
        <f t="shared" si="1369"/>
        <v>23.333333333333332</v>
      </c>
      <c r="LV367" s="12">
        <f t="shared" si="1370"/>
        <v>3.4249742755356465</v>
      </c>
      <c r="LW367" s="13">
        <f t="shared" si="1371"/>
        <v>6</v>
      </c>
      <c r="MF367" s="12" t="s">
        <v>37</v>
      </c>
      <c r="MG367" s="12" t="s">
        <v>37</v>
      </c>
      <c r="MH367" s="12" t="s">
        <v>37</v>
      </c>
      <c r="MJ367" s="12" t="s">
        <v>37</v>
      </c>
      <c r="MK367" s="12" t="s">
        <v>37</v>
      </c>
      <c r="ML367" s="12" t="s">
        <v>37</v>
      </c>
      <c r="MQ367" s="12" t="s">
        <v>37</v>
      </c>
      <c r="MR367" s="12" t="s">
        <v>37</v>
      </c>
      <c r="MS367" s="12" t="s">
        <v>37</v>
      </c>
      <c r="MU367" s="12" t="s">
        <v>37</v>
      </c>
      <c r="MV367" s="12" t="s">
        <v>37</v>
      </c>
      <c r="MW367" s="12" t="s">
        <v>37</v>
      </c>
      <c r="NC367" s="12" t="s">
        <v>37</v>
      </c>
      <c r="ND367" s="12" t="s">
        <v>37</v>
      </c>
      <c r="NE367" s="12" t="s">
        <v>37</v>
      </c>
      <c r="NG367" s="12" t="s">
        <v>37</v>
      </c>
      <c r="NH367" s="12" t="s">
        <v>37</v>
      </c>
      <c r="NI367" s="12" t="s">
        <v>37</v>
      </c>
      <c r="NO367" s="12" t="s">
        <v>37</v>
      </c>
      <c r="NP367" s="12" t="s">
        <v>37</v>
      </c>
      <c r="NQ367" s="12" t="s">
        <v>37</v>
      </c>
      <c r="NS367" s="12" t="s">
        <v>37</v>
      </c>
      <c r="NT367" s="12" t="s">
        <v>37</v>
      </c>
      <c r="NU367" s="12" t="s">
        <v>37</v>
      </c>
      <c r="OA367" s="12" t="s">
        <v>37</v>
      </c>
      <c r="OB367" s="12" t="s">
        <v>37</v>
      </c>
      <c r="OC367" s="12" t="s">
        <v>37</v>
      </c>
      <c r="OD367" s="12"/>
      <c r="OE367" s="12" t="s">
        <v>37</v>
      </c>
      <c r="OF367" s="12" t="s">
        <v>37</v>
      </c>
      <c r="OG367" s="12" t="s">
        <v>37</v>
      </c>
      <c r="OH367" s="12"/>
      <c r="OI367" s="12"/>
      <c r="OJ367" s="12"/>
      <c r="OM367" s="12" t="s">
        <v>37</v>
      </c>
      <c r="ON367" s="12" t="s">
        <v>37</v>
      </c>
      <c r="OO367" s="12" t="s">
        <v>37</v>
      </c>
      <c r="OP367" s="12" t="s">
        <v>37</v>
      </c>
      <c r="OQ367" s="12" t="s">
        <v>37</v>
      </c>
      <c r="OR367" s="12" t="s">
        <v>37</v>
      </c>
      <c r="OS367" s="12"/>
      <c r="OT367" s="12"/>
      <c r="OW367" s="12" t="s">
        <v>37</v>
      </c>
      <c r="OX367" s="12" t="s">
        <v>37</v>
      </c>
      <c r="OY367" s="13" t="s">
        <v>37</v>
      </c>
      <c r="OZ367" s="12" t="s">
        <v>37</v>
      </c>
      <c r="PA367" s="12" t="s">
        <v>37</v>
      </c>
      <c r="PB367" s="13" t="s">
        <v>37</v>
      </c>
      <c r="PG367" s="12" t="s">
        <v>37</v>
      </c>
      <c r="PH367" s="12" t="s">
        <v>37</v>
      </c>
      <c r="PI367" s="12" t="s">
        <v>37</v>
      </c>
      <c r="PJ367" s="12" t="s">
        <v>37</v>
      </c>
      <c r="PK367" s="12" t="s">
        <v>37</v>
      </c>
      <c r="PL367" s="12" t="s">
        <v>37</v>
      </c>
      <c r="PM367" s="12"/>
      <c r="PN367" s="12"/>
      <c r="PQ367" s="12" t="s">
        <v>37</v>
      </c>
      <c r="PR367" s="12" t="s">
        <v>37</v>
      </c>
      <c r="PS367" s="12" t="s">
        <v>37</v>
      </c>
      <c r="PT367" s="12" t="s">
        <v>37</v>
      </c>
      <c r="PU367" s="12" t="s">
        <v>37</v>
      </c>
      <c r="PV367" s="12" t="s">
        <v>37</v>
      </c>
      <c r="PW367" s="12"/>
      <c r="PX367" s="12"/>
      <c r="PZ367" s="12" t="s">
        <v>37</v>
      </c>
      <c r="QA367" s="12" t="s">
        <v>37</v>
      </c>
      <c r="QB367" s="12" t="s">
        <v>37</v>
      </c>
      <c r="QD367" s="12" t="s">
        <v>37</v>
      </c>
      <c r="QE367" s="12" t="s">
        <v>37</v>
      </c>
      <c r="QF367" s="12" t="s">
        <v>37</v>
      </c>
      <c r="QK367" s="12" t="s">
        <v>37</v>
      </c>
      <c r="QL367" s="12" t="s">
        <v>37</v>
      </c>
      <c r="QM367" s="12" t="s">
        <v>37</v>
      </c>
      <c r="QN367" s="12" t="s">
        <v>37</v>
      </c>
      <c r="QO367" s="12" t="s">
        <v>37</v>
      </c>
      <c r="QP367" s="12" t="s">
        <v>37</v>
      </c>
      <c r="QQ367" s="12"/>
      <c r="QR367" s="12"/>
      <c r="QU367" s="12" t="s">
        <v>37</v>
      </c>
      <c r="QV367" s="12" t="s">
        <v>37</v>
      </c>
      <c r="QW367" s="12" t="s">
        <v>37</v>
      </c>
      <c r="QX367" s="12" t="s">
        <v>37</v>
      </c>
      <c r="QY367" s="12" t="s">
        <v>37</v>
      </c>
      <c r="QZ367" s="12" t="s">
        <v>37</v>
      </c>
      <c r="RC367" s="12" t="s">
        <v>37</v>
      </c>
      <c r="RD367" s="12" t="s">
        <v>37</v>
      </c>
      <c r="RE367" s="13" t="s">
        <v>37</v>
      </c>
      <c r="RF367" s="12" t="s">
        <v>37</v>
      </c>
      <c r="RG367" s="12" t="s">
        <v>37</v>
      </c>
      <c r="RH367" s="13" t="s">
        <v>37</v>
      </c>
      <c r="RK367" s="12" t="s">
        <v>37</v>
      </c>
      <c r="RL367" s="12" t="s">
        <v>37</v>
      </c>
      <c r="RM367" s="11" t="s">
        <v>37</v>
      </c>
      <c r="RN367" s="12" t="s">
        <v>37</v>
      </c>
      <c r="RO367" s="12" t="s">
        <v>37</v>
      </c>
      <c r="RP367" s="11" t="s">
        <v>37</v>
      </c>
      <c r="RS367" s="12" t="s">
        <v>37</v>
      </c>
      <c r="RT367" s="12" t="s">
        <v>37</v>
      </c>
      <c r="RU367" s="12" t="s">
        <v>37</v>
      </c>
      <c r="RV367" s="12" t="s">
        <v>37</v>
      </c>
      <c r="RW367" s="12" t="s">
        <v>37</v>
      </c>
      <c r="RX367" s="12" t="s">
        <v>37</v>
      </c>
      <c r="SA367" s="12" t="s">
        <v>37</v>
      </c>
      <c r="SB367" s="12" t="s">
        <v>37</v>
      </c>
      <c r="SC367" s="12" t="s">
        <v>37</v>
      </c>
      <c r="SD367" s="12" t="s">
        <v>37</v>
      </c>
      <c r="SE367" s="12" t="s">
        <v>37</v>
      </c>
      <c r="SF367" s="12" t="s">
        <v>37</v>
      </c>
      <c r="SI367" s="12" t="s">
        <v>37</v>
      </c>
      <c r="SJ367" s="12" t="s">
        <v>37</v>
      </c>
      <c r="SK367" s="13" t="s">
        <v>37</v>
      </c>
      <c r="SM367" s="12" t="s">
        <v>37</v>
      </c>
      <c r="SN367" s="12" t="s">
        <v>37</v>
      </c>
      <c r="SO367" s="13" t="s">
        <v>37</v>
      </c>
      <c r="SU367" s="12" t="s">
        <v>37</v>
      </c>
      <c r="SV367" s="12" t="s">
        <v>37</v>
      </c>
      <c r="SW367" s="12" t="s">
        <v>37</v>
      </c>
      <c r="SX367" s="12" t="s">
        <v>37</v>
      </c>
      <c r="SY367" s="12" t="s">
        <v>37</v>
      </c>
      <c r="SZ367" s="12" t="s">
        <v>37</v>
      </c>
      <c r="TA367" s="12"/>
      <c r="TB367" s="12"/>
      <c r="TE367" s="12" t="s">
        <v>37</v>
      </c>
      <c r="TF367" s="12" t="s">
        <v>37</v>
      </c>
      <c r="TG367" s="12" t="s">
        <v>37</v>
      </c>
      <c r="TH367" s="12" t="s">
        <v>37</v>
      </c>
      <c r="TI367" s="12" t="s">
        <v>37</v>
      </c>
      <c r="TJ367" s="12" t="s">
        <v>37</v>
      </c>
      <c r="TK367" s="12"/>
      <c r="TL367" s="12"/>
      <c r="TO367" s="12" t="s">
        <v>37</v>
      </c>
      <c r="TP367" s="12" t="s">
        <v>37</v>
      </c>
      <c r="TQ367" s="12" t="s">
        <v>37</v>
      </c>
      <c r="TR367" s="12" t="s">
        <v>37</v>
      </c>
      <c r="TS367" s="12" t="s">
        <v>37</v>
      </c>
      <c r="TT367" s="12" t="s">
        <v>37</v>
      </c>
      <c r="TU367" s="12"/>
      <c r="TV367" s="12"/>
      <c r="TY367" s="12" t="s">
        <v>37</v>
      </c>
      <c r="TZ367" s="12" t="s">
        <v>37</v>
      </c>
      <c r="UA367" s="12" t="s">
        <v>37</v>
      </c>
      <c r="UB367" s="12" t="s">
        <v>37</v>
      </c>
      <c r="UC367" s="12" t="s">
        <v>37</v>
      </c>
      <c r="UD367" s="12" t="s">
        <v>37</v>
      </c>
      <c r="UE367" s="12"/>
      <c r="UF367" s="12"/>
      <c r="UI367" s="12" t="s">
        <v>37</v>
      </c>
      <c r="UJ367" s="12" t="s">
        <v>37</v>
      </c>
      <c r="UK367" s="12" t="s">
        <v>37</v>
      </c>
      <c r="UL367" s="12" t="s">
        <v>37</v>
      </c>
      <c r="UM367" s="12" t="s">
        <v>37</v>
      </c>
      <c r="UN367" s="12" t="s">
        <v>37</v>
      </c>
      <c r="UO367" s="12"/>
      <c r="UP367" s="12"/>
      <c r="UR367" s="12" t="s">
        <v>37</v>
      </c>
      <c r="US367" s="12" t="s">
        <v>37</v>
      </c>
      <c r="UT367" s="12" t="s">
        <v>37</v>
      </c>
      <c r="UU367" s="12" t="s">
        <v>37</v>
      </c>
      <c r="UV367" s="12" t="s">
        <v>37</v>
      </c>
      <c r="UW367" s="12" t="s">
        <v>37</v>
      </c>
      <c r="UX367" s="12"/>
      <c r="UY367" s="12"/>
      <c r="VB367" s="12" t="s">
        <v>37</v>
      </c>
      <c r="VC367" s="12" t="s">
        <v>37</v>
      </c>
      <c r="VD367" s="12" t="s">
        <v>37</v>
      </c>
      <c r="VE367" s="12" t="s">
        <v>37</v>
      </c>
      <c r="VF367" s="12" t="s">
        <v>37</v>
      </c>
      <c r="VG367" s="12" t="s">
        <v>37</v>
      </c>
      <c r="VI367" s="12" t="s">
        <v>37</v>
      </c>
      <c r="VJ367" s="12" t="s">
        <v>37</v>
      </c>
      <c r="VK367" s="12" t="s">
        <v>37</v>
      </c>
      <c r="VL367" s="12" t="s">
        <v>37</v>
      </c>
      <c r="VM367" s="12" t="s">
        <v>37</v>
      </c>
      <c r="VN367" s="12" t="s">
        <v>37</v>
      </c>
      <c r="VQ367" s="12" t="s">
        <v>37</v>
      </c>
      <c r="VR367" s="12" t="s">
        <v>37</v>
      </c>
      <c r="VS367" s="12" t="s">
        <v>37</v>
      </c>
      <c r="VT367" s="12" t="s">
        <v>37</v>
      </c>
      <c r="VU367" s="12" t="s">
        <v>37</v>
      </c>
      <c r="VV367" s="12" t="s">
        <v>37</v>
      </c>
      <c r="VW367" s="12"/>
      <c r="VX367" s="12"/>
      <c r="WA367" s="12" t="s">
        <v>37</v>
      </c>
      <c r="WB367" s="12" t="s">
        <v>37</v>
      </c>
      <c r="WC367" s="12" t="s">
        <v>37</v>
      </c>
      <c r="WD367" s="12" t="s">
        <v>37</v>
      </c>
      <c r="WE367" s="12" t="s">
        <v>37</v>
      </c>
      <c r="WF367" s="12" t="s">
        <v>37</v>
      </c>
    </row>
    <row r="368" spans="1:604" ht="18" customHeight="1" x14ac:dyDescent="0.3">
      <c r="A368" s="11">
        <v>79</v>
      </c>
      <c r="B368" s="16" t="s">
        <v>454</v>
      </c>
      <c r="C368" s="12" t="s">
        <v>31</v>
      </c>
      <c r="D368" s="12" t="s">
        <v>1039</v>
      </c>
      <c r="E368" s="40">
        <f t="shared" si="1372"/>
        <v>5.15</v>
      </c>
      <c r="F368" s="14">
        <v>0</v>
      </c>
      <c r="G368" s="14">
        <v>0</v>
      </c>
      <c r="H368" s="12" t="s">
        <v>79</v>
      </c>
      <c r="I368" s="29">
        <v>32.799999999999997</v>
      </c>
      <c r="J368" s="29">
        <v>102.55</v>
      </c>
      <c r="K368" s="12" t="s">
        <v>690</v>
      </c>
      <c r="L368" s="12" t="s">
        <v>691</v>
      </c>
      <c r="M368" s="13">
        <v>3500</v>
      </c>
      <c r="N368" s="14">
        <v>0.9</v>
      </c>
      <c r="O368" s="14">
        <v>744</v>
      </c>
      <c r="P368" s="14" t="s">
        <v>16</v>
      </c>
      <c r="Q368" s="75">
        <v>2.5</v>
      </c>
      <c r="R368" s="11" t="s">
        <v>37</v>
      </c>
      <c r="S368" s="12" t="s">
        <v>85</v>
      </c>
      <c r="T368" s="12" t="s">
        <v>138</v>
      </c>
      <c r="U368" s="12" t="s">
        <v>158</v>
      </c>
      <c r="V368" s="12" t="s">
        <v>275</v>
      </c>
      <c r="W368" s="23" t="s">
        <v>353</v>
      </c>
      <c r="X368" s="12" t="s">
        <v>280</v>
      </c>
      <c r="Y368" s="12" t="s">
        <v>37</v>
      </c>
      <c r="Z368" s="12" t="s">
        <v>37</v>
      </c>
      <c r="AA368" s="32" t="s">
        <v>345</v>
      </c>
      <c r="AB368" s="12">
        <v>6.7</v>
      </c>
      <c r="AC368" s="12" t="s">
        <v>42</v>
      </c>
      <c r="AD368" s="32" t="s">
        <v>345</v>
      </c>
      <c r="AE368" s="12">
        <v>350</v>
      </c>
      <c r="AF368" s="12" t="s">
        <v>42</v>
      </c>
      <c r="AG368" s="32" t="s">
        <v>345</v>
      </c>
      <c r="AH368" s="12">
        <v>15</v>
      </c>
      <c r="AJ368" s="12" t="str">
        <f t="shared" si="1373"/>
        <v>0-10</v>
      </c>
      <c r="AK368" s="19">
        <f t="shared" si="1374"/>
        <v>23.333333333333332</v>
      </c>
      <c r="AL368" s="32" t="s">
        <v>457</v>
      </c>
      <c r="AM368" s="12" t="s">
        <v>344</v>
      </c>
      <c r="AO368" s="12" t="s">
        <v>37</v>
      </c>
      <c r="AP368" s="12" t="s">
        <v>238</v>
      </c>
      <c r="AQ368" s="12" t="s">
        <v>975</v>
      </c>
      <c r="AR368" s="12" t="s">
        <v>42</v>
      </c>
      <c r="AS368" s="32" t="s">
        <v>345</v>
      </c>
      <c r="AT368" s="12">
        <v>350</v>
      </c>
      <c r="AU368" s="50">
        <f t="shared" si="1365"/>
        <v>29.93450076866338</v>
      </c>
      <c r="AV368" s="13">
        <v>6</v>
      </c>
      <c r="AX368" s="12" t="s">
        <v>326</v>
      </c>
      <c r="AY368" s="12" t="s">
        <v>326</v>
      </c>
      <c r="AZ368" s="13" t="s">
        <v>326</v>
      </c>
      <c r="BE368" s="12" t="s">
        <v>326</v>
      </c>
      <c r="BF368" s="12" t="s">
        <v>326</v>
      </c>
      <c r="BG368" s="12" t="s">
        <v>326</v>
      </c>
      <c r="BI368" s="12" t="s">
        <v>326</v>
      </c>
      <c r="BJ368" s="12" t="s">
        <v>326</v>
      </c>
      <c r="BK368" s="12" t="s">
        <v>326</v>
      </c>
      <c r="BP368" s="12" t="s">
        <v>37</v>
      </c>
      <c r="BQ368" s="12" t="s">
        <v>37</v>
      </c>
      <c r="BR368" s="13" t="s">
        <v>37</v>
      </c>
      <c r="BT368" s="12" t="s">
        <v>37</v>
      </c>
      <c r="BU368" s="12" t="s">
        <v>37</v>
      </c>
      <c r="BV368" s="12" t="s">
        <v>37</v>
      </c>
      <c r="CA368" s="12" t="s">
        <v>37</v>
      </c>
      <c r="CB368" s="12" t="s">
        <v>37</v>
      </c>
      <c r="CC368" s="13" t="s">
        <v>37</v>
      </c>
      <c r="CE368" s="12" t="s">
        <v>37</v>
      </c>
      <c r="CF368" s="12" t="s">
        <v>37</v>
      </c>
      <c r="CG368" s="12" t="s">
        <v>37</v>
      </c>
      <c r="CN368" s="12" t="s">
        <v>37</v>
      </c>
      <c r="CO368" s="12" t="s">
        <v>37</v>
      </c>
      <c r="CP368" s="13" t="s">
        <v>37</v>
      </c>
      <c r="CR368" s="12" t="s">
        <v>37</v>
      </c>
      <c r="CS368" s="12" t="s">
        <v>37</v>
      </c>
      <c r="CT368" s="13" t="s">
        <v>37</v>
      </c>
      <c r="CX368" s="72"/>
      <c r="CY368" s="72"/>
      <c r="DA368" s="12" t="s">
        <v>37</v>
      </c>
      <c r="DB368" s="12" t="s">
        <v>37</v>
      </c>
      <c r="DC368" s="13" t="s">
        <v>37</v>
      </c>
      <c r="DE368" s="12" t="s">
        <v>37</v>
      </c>
      <c r="DF368" s="12" t="s">
        <v>37</v>
      </c>
      <c r="DG368" s="12" t="s">
        <v>37</v>
      </c>
      <c r="DN368" s="19" t="s">
        <v>37</v>
      </c>
      <c r="DO368" s="12" t="s">
        <v>37</v>
      </c>
      <c r="DP368" s="13" t="s">
        <v>37</v>
      </c>
      <c r="DR368" s="19" t="s">
        <v>37</v>
      </c>
      <c r="DS368" s="12" t="s">
        <v>37</v>
      </c>
      <c r="DT368" s="13" t="s">
        <v>37</v>
      </c>
      <c r="EA368" s="19" t="s">
        <v>37</v>
      </c>
      <c r="EB368" s="19" t="s">
        <v>37</v>
      </c>
      <c r="EC368" s="72" t="s">
        <v>37</v>
      </c>
      <c r="EE368" s="19" t="s">
        <v>37</v>
      </c>
      <c r="EF368" s="19" t="s">
        <v>37</v>
      </c>
      <c r="EG368" s="12" t="s">
        <v>37</v>
      </c>
      <c r="EN368" s="12" t="s">
        <v>37</v>
      </c>
      <c r="EO368" s="12" t="s">
        <v>37</v>
      </c>
      <c r="EP368" s="13" t="s">
        <v>37</v>
      </c>
      <c r="ER368" s="12" t="s">
        <v>37</v>
      </c>
      <c r="ES368" s="12" t="s">
        <v>37</v>
      </c>
      <c r="ET368" s="13" t="s">
        <v>37</v>
      </c>
      <c r="FB368" s="12" t="s">
        <v>37</v>
      </c>
      <c r="FC368" s="12" t="s">
        <v>37</v>
      </c>
      <c r="FD368" s="12" t="s">
        <v>37</v>
      </c>
      <c r="FE368" s="12" t="s">
        <v>37</v>
      </c>
      <c r="FF368" s="20" t="s">
        <v>37</v>
      </c>
      <c r="FG368" s="12" t="s">
        <v>37</v>
      </c>
      <c r="FI368" s="12" t="s">
        <v>37</v>
      </c>
      <c r="FJ368" s="12" t="s">
        <v>37</v>
      </c>
      <c r="FK368" s="12" t="s">
        <v>37</v>
      </c>
      <c r="FL368" s="12" t="s">
        <v>37</v>
      </c>
      <c r="FM368" s="12" t="s">
        <v>37</v>
      </c>
      <c r="FN368" s="12" t="s">
        <v>37</v>
      </c>
      <c r="FP368" s="12" t="s">
        <v>37</v>
      </c>
      <c r="FQ368" s="12" t="s">
        <v>37</v>
      </c>
      <c r="FR368" s="12" t="s">
        <v>37</v>
      </c>
      <c r="FS368" s="12" t="s">
        <v>37</v>
      </c>
      <c r="FT368" s="12" t="s">
        <v>37</v>
      </c>
      <c r="FU368" s="12" t="s">
        <v>37</v>
      </c>
      <c r="FW368" s="12" t="s">
        <v>37</v>
      </c>
      <c r="FX368" s="12" t="s">
        <v>37</v>
      </c>
      <c r="FY368" s="12" t="s">
        <v>37</v>
      </c>
      <c r="FZ368" s="12" t="s">
        <v>37</v>
      </c>
      <c r="GA368" s="12" t="s">
        <v>37</v>
      </c>
      <c r="GB368" s="12" t="s">
        <v>37</v>
      </c>
      <c r="IK368" s="12" t="s">
        <v>37</v>
      </c>
      <c r="IL368" s="12" t="s">
        <v>37</v>
      </c>
      <c r="IM368" s="12" t="s">
        <v>37</v>
      </c>
      <c r="IO368" s="12" t="s">
        <v>37</v>
      </c>
      <c r="IP368" s="12" t="s">
        <v>37</v>
      </c>
      <c r="IQ368" s="12" t="s">
        <v>37</v>
      </c>
      <c r="IV368" s="32" t="s">
        <v>345</v>
      </c>
      <c r="IW368" s="12">
        <v>6.7</v>
      </c>
      <c r="IX368" s="50">
        <f t="shared" si="1366"/>
        <v>0.24530537560775503</v>
      </c>
      <c r="IY368" s="13">
        <v>6</v>
      </c>
      <c r="JH368" s="12" t="s">
        <v>37</v>
      </c>
      <c r="JI368" s="12" t="s">
        <v>37</v>
      </c>
      <c r="JJ368" s="13" t="s">
        <v>37</v>
      </c>
      <c r="JL368" s="12" t="s">
        <v>37</v>
      </c>
      <c r="JM368" s="12" t="s">
        <v>37</v>
      </c>
      <c r="JN368" s="12" t="s">
        <v>37</v>
      </c>
      <c r="JS368" s="12" t="s">
        <v>37</v>
      </c>
      <c r="JT368" s="12" t="s">
        <v>37</v>
      </c>
      <c r="JU368" s="13" t="s">
        <v>37</v>
      </c>
      <c r="JW368" s="12" t="s">
        <v>37</v>
      </c>
      <c r="JX368" s="12" t="s">
        <v>37</v>
      </c>
      <c r="JY368" s="12" t="s">
        <v>37</v>
      </c>
      <c r="KE368" s="12" t="s">
        <v>37</v>
      </c>
      <c r="KF368" s="12" t="s">
        <v>37</v>
      </c>
      <c r="KG368" s="13" t="s">
        <v>37</v>
      </c>
      <c r="KH368" s="12" t="s">
        <v>37</v>
      </c>
      <c r="KI368" s="12" t="s">
        <v>37</v>
      </c>
      <c r="KJ368" s="12" t="s">
        <v>37</v>
      </c>
      <c r="KK368" s="12" t="s">
        <v>42</v>
      </c>
      <c r="KL368" s="32" t="s">
        <v>345</v>
      </c>
      <c r="KM368" s="12">
        <v>15</v>
      </c>
      <c r="KN368" s="50">
        <f t="shared" si="1367"/>
        <v>1.7893956207728923</v>
      </c>
      <c r="KO368" s="11">
        <v>6</v>
      </c>
      <c r="KS368" s="12"/>
      <c r="KX368" s="12" t="s">
        <v>37</v>
      </c>
      <c r="KY368" s="12" t="s">
        <v>37</v>
      </c>
      <c r="KZ368" s="12" t="s">
        <v>37</v>
      </c>
      <c r="LB368" s="12" t="s">
        <v>37</v>
      </c>
      <c r="LC368" s="12" t="s">
        <v>37</v>
      </c>
      <c r="LD368" s="12" t="s">
        <v>37</v>
      </c>
      <c r="LI368" s="12" t="s">
        <v>37</v>
      </c>
      <c r="LJ368" s="12" t="s">
        <v>37</v>
      </c>
      <c r="LK368" s="12" t="s">
        <v>37</v>
      </c>
      <c r="LM368" s="12" t="s">
        <v>37</v>
      </c>
      <c r="LN368" s="12" t="s">
        <v>37</v>
      </c>
      <c r="LO368" s="12" t="s">
        <v>37</v>
      </c>
      <c r="LT368" s="12" t="str">
        <f t="shared" si="1368"/>
        <v>0-10</v>
      </c>
      <c r="LU368" s="12">
        <f t="shared" si="1369"/>
        <v>23.333333333333332</v>
      </c>
      <c r="LV368" s="12">
        <f t="shared" si="1370"/>
        <v>3.4249742755356465</v>
      </c>
      <c r="LW368" s="13">
        <f t="shared" si="1371"/>
        <v>6</v>
      </c>
      <c r="MF368" s="12" t="s">
        <v>37</v>
      </c>
      <c r="MG368" s="12" t="s">
        <v>37</v>
      </c>
      <c r="MH368" s="12" t="s">
        <v>37</v>
      </c>
      <c r="MJ368" s="12" t="s">
        <v>37</v>
      </c>
      <c r="MK368" s="12" t="s">
        <v>37</v>
      </c>
      <c r="ML368" s="12" t="s">
        <v>37</v>
      </c>
      <c r="MQ368" s="12" t="s">
        <v>37</v>
      </c>
      <c r="MR368" s="12" t="s">
        <v>37</v>
      </c>
      <c r="MS368" s="12" t="s">
        <v>37</v>
      </c>
      <c r="MU368" s="12" t="s">
        <v>37</v>
      </c>
      <c r="MV368" s="12" t="s">
        <v>37</v>
      </c>
      <c r="MW368" s="12" t="s">
        <v>37</v>
      </c>
      <c r="NC368" s="12" t="s">
        <v>37</v>
      </c>
      <c r="ND368" s="12" t="s">
        <v>37</v>
      </c>
      <c r="NE368" s="12" t="s">
        <v>37</v>
      </c>
      <c r="NG368" s="12" t="s">
        <v>37</v>
      </c>
      <c r="NH368" s="12" t="s">
        <v>37</v>
      </c>
      <c r="NI368" s="12" t="s">
        <v>37</v>
      </c>
      <c r="NO368" s="12" t="s">
        <v>37</v>
      </c>
      <c r="NP368" s="12" t="s">
        <v>37</v>
      </c>
      <c r="NQ368" s="12" t="s">
        <v>37</v>
      </c>
      <c r="NS368" s="12" t="s">
        <v>37</v>
      </c>
      <c r="NT368" s="12" t="s">
        <v>37</v>
      </c>
      <c r="NU368" s="12" t="s">
        <v>37</v>
      </c>
      <c r="OA368" s="12" t="s">
        <v>37</v>
      </c>
      <c r="OB368" s="12" t="s">
        <v>37</v>
      </c>
      <c r="OC368" s="12" t="s">
        <v>37</v>
      </c>
      <c r="OD368" s="12"/>
      <c r="OE368" s="12" t="s">
        <v>37</v>
      </c>
      <c r="OF368" s="12" t="s">
        <v>37</v>
      </c>
      <c r="OG368" s="12" t="s">
        <v>37</v>
      </c>
      <c r="OH368" s="12"/>
      <c r="OI368" s="12"/>
      <c r="OJ368" s="12"/>
      <c r="OM368" s="12" t="s">
        <v>37</v>
      </c>
      <c r="ON368" s="12" t="s">
        <v>37</v>
      </c>
      <c r="OO368" s="12" t="s">
        <v>37</v>
      </c>
      <c r="OP368" s="12" t="s">
        <v>37</v>
      </c>
      <c r="OQ368" s="12" t="s">
        <v>37</v>
      </c>
      <c r="OR368" s="12" t="s">
        <v>37</v>
      </c>
      <c r="OS368" s="12"/>
      <c r="OT368" s="12"/>
      <c r="OW368" s="12" t="s">
        <v>37</v>
      </c>
      <c r="OX368" s="12" t="s">
        <v>37</v>
      </c>
      <c r="OY368" s="13" t="s">
        <v>37</v>
      </c>
      <c r="OZ368" s="12" t="s">
        <v>37</v>
      </c>
      <c r="PA368" s="12" t="s">
        <v>37</v>
      </c>
      <c r="PB368" s="13" t="s">
        <v>37</v>
      </c>
      <c r="PG368" s="12" t="s">
        <v>37</v>
      </c>
      <c r="PH368" s="12" t="s">
        <v>37</v>
      </c>
      <c r="PI368" s="12" t="s">
        <v>37</v>
      </c>
      <c r="PJ368" s="12" t="s">
        <v>37</v>
      </c>
      <c r="PK368" s="12" t="s">
        <v>37</v>
      </c>
      <c r="PL368" s="12" t="s">
        <v>37</v>
      </c>
      <c r="PM368" s="12"/>
      <c r="PN368" s="12"/>
      <c r="PQ368" s="12" t="s">
        <v>37</v>
      </c>
      <c r="PR368" s="12" t="s">
        <v>37</v>
      </c>
      <c r="PS368" s="12" t="s">
        <v>37</v>
      </c>
      <c r="PT368" s="12" t="s">
        <v>37</v>
      </c>
      <c r="PU368" s="12" t="s">
        <v>37</v>
      </c>
      <c r="PV368" s="12" t="s">
        <v>37</v>
      </c>
      <c r="PW368" s="12"/>
      <c r="PX368" s="12"/>
      <c r="PZ368" s="12" t="s">
        <v>37</v>
      </c>
      <c r="QA368" s="12" t="s">
        <v>37</v>
      </c>
      <c r="QB368" s="12" t="s">
        <v>37</v>
      </c>
      <c r="QD368" s="12" t="s">
        <v>37</v>
      </c>
      <c r="QE368" s="12" t="s">
        <v>37</v>
      </c>
      <c r="QF368" s="12" t="s">
        <v>37</v>
      </c>
      <c r="QK368" s="12" t="s">
        <v>37</v>
      </c>
      <c r="QL368" s="12" t="s">
        <v>37</v>
      </c>
      <c r="QM368" s="12" t="s">
        <v>37</v>
      </c>
      <c r="QN368" s="12" t="s">
        <v>37</v>
      </c>
      <c r="QO368" s="12" t="s">
        <v>37</v>
      </c>
      <c r="QP368" s="12" t="s">
        <v>37</v>
      </c>
      <c r="QQ368" s="12"/>
      <c r="QR368" s="12"/>
      <c r="QU368" s="12" t="s">
        <v>37</v>
      </c>
      <c r="QV368" s="12" t="s">
        <v>37</v>
      </c>
      <c r="QW368" s="12" t="s">
        <v>37</v>
      </c>
      <c r="QX368" s="12" t="s">
        <v>37</v>
      </c>
      <c r="QY368" s="12" t="s">
        <v>37</v>
      </c>
      <c r="QZ368" s="12" t="s">
        <v>37</v>
      </c>
      <c r="RC368" s="12" t="s">
        <v>37</v>
      </c>
      <c r="RD368" s="12" t="s">
        <v>37</v>
      </c>
      <c r="RE368" s="13" t="s">
        <v>37</v>
      </c>
      <c r="RF368" s="12" t="s">
        <v>37</v>
      </c>
      <c r="RG368" s="12" t="s">
        <v>37</v>
      </c>
      <c r="RH368" s="13" t="s">
        <v>37</v>
      </c>
      <c r="RK368" s="12" t="s">
        <v>37</v>
      </c>
      <c r="RL368" s="12" t="s">
        <v>37</v>
      </c>
      <c r="RM368" s="11" t="s">
        <v>37</v>
      </c>
      <c r="RN368" s="12" t="s">
        <v>37</v>
      </c>
      <c r="RO368" s="12" t="s">
        <v>37</v>
      </c>
      <c r="RP368" s="11" t="s">
        <v>37</v>
      </c>
      <c r="RS368" s="12" t="s">
        <v>37</v>
      </c>
      <c r="RT368" s="12" t="s">
        <v>37</v>
      </c>
      <c r="RU368" s="12" t="s">
        <v>37</v>
      </c>
      <c r="RV368" s="12" t="s">
        <v>37</v>
      </c>
      <c r="RW368" s="12" t="s">
        <v>37</v>
      </c>
      <c r="RX368" s="12" t="s">
        <v>37</v>
      </c>
      <c r="SA368" s="12" t="s">
        <v>37</v>
      </c>
      <c r="SB368" s="12" t="s">
        <v>37</v>
      </c>
      <c r="SC368" s="12" t="s">
        <v>37</v>
      </c>
      <c r="SD368" s="12" t="s">
        <v>37</v>
      </c>
      <c r="SE368" s="12" t="s">
        <v>37</v>
      </c>
      <c r="SF368" s="12" t="s">
        <v>37</v>
      </c>
      <c r="SI368" s="12" t="s">
        <v>37</v>
      </c>
      <c r="SJ368" s="12" t="s">
        <v>37</v>
      </c>
      <c r="SK368" s="13" t="s">
        <v>37</v>
      </c>
      <c r="SM368" s="12" t="s">
        <v>37</v>
      </c>
      <c r="SN368" s="12" t="s">
        <v>37</v>
      </c>
      <c r="SO368" s="13" t="s">
        <v>37</v>
      </c>
      <c r="SU368" s="12" t="s">
        <v>37</v>
      </c>
      <c r="SV368" s="12" t="s">
        <v>37</v>
      </c>
      <c r="SW368" s="12" t="s">
        <v>37</v>
      </c>
      <c r="SX368" s="12" t="s">
        <v>37</v>
      </c>
      <c r="SY368" s="12" t="s">
        <v>37</v>
      </c>
      <c r="SZ368" s="12" t="s">
        <v>37</v>
      </c>
      <c r="TA368" s="12"/>
      <c r="TB368" s="12"/>
      <c r="TE368" s="12" t="s">
        <v>37</v>
      </c>
      <c r="TF368" s="12" t="s">
        <v>37</v>
      </c>
      <c r="TG368" s="12" t="s">
        <v>37</v>
      </c>
      <c r="TH368" s="12" t="s">
        <v>37</v>
      </c>
      <c r="TI368" s="12" t="s">
        <v>37</v>
      </c>
      <c r="TJ368" s="12" t="s">
        <v>37</v>
      </c>
      <c r="TK368" s="12"/>
      <c r="TL368" s="12"/>
      <c r="TO368" s="12" t="s">
        <v>37</v>
      </c>
      <c r="TP368" s="12" t="s">
        <v>37</v>
      </c>
      <c r="TQ368" s="12" t="s">
        <v>37</v>
      </c>
      <c r="TR368" s="12" t="s">
        <v>37</v>
      </c>
      <c r="TS368" s="12" t="s">
        <v>37</v>
      </c>
      <c r="TT368" s="12" t="s">
        <v>37</v>
      </c>
      <c r="TU368" s="12"/>
      <c r="TV368" s="12"/>
      <c r="TY368" s="12" t="s">
        <v>37</v>
      </c>
      <c r="TZ368" s="12" t="s">
        <v>37</v>
      </c>
      <c r="UA368" s="12" t="s">
        <v>37</v>
      </c>
      <c r="UB368" s="12" t="s">
        <v>37</v>
      </c>
      <c r="UC368" s="12" t="s">
        <v>37</v>
      </c>
      <c r="UD368" s="12" t="s">
        <v>37</v>
      </c>
      <c r="UE368" s="12"/>
      <c r="UF368" s="12"/>
      <c r="UI368" s="12" t="s">
        <v>37</v>
      </c>
      <c r="UJ368" s="12" t="s">
        <v>37</v>
      </c>
      <c r="UK368" s="12" t="s">
        <v>37</v>
      </c>
      <c r="UL368" s="12" t="s">
        <v>37</v>
      </c>
      <c r="UM368" s="12" t="s">
        <v>37</v>
      </c>
      <c r="UN368" s="12" t="s">
        <v>37</v>
      </c>
      <c r="UO368" s="12"/>
      <c r="UP368" s="12"/>
      <c r="UR368" s="12" t="s">
        <v>37</v>
      </c>
      <c r="US368" s="12" t="s">
        <v>37</v>
      </c>
      <c r="UT368" s="12" t="s">
        <v>37</v>
      </c>
      <c r="UU368" s="12" t="s">
        <v>37</v>
      </c>
      <c r="UV368" s="12" t="s">
        <v>37</v>
      </c>
      <c r="UW368" s="12" t="s">
        <v>37</v>
      </c>
      <c r="UX368" s="12"/>
      <c r="UY368" s="12"/>
      <c r="VB368" s="12" t="s">
        <v>37</v>
      </c>
      <c r="VC368" s="12" t="s">
        <v>37</v>
      </c>
      <c r="VD368" s="12" t="s">
        <v>37</v>
      </c>
      <c r="VE368" s="12" t="s">
        <v>37</v>
      </c>
      <c r="VF368" s="12" t="s">
        <v>37</v>
      </c>
      <c r="VG368" s="12" t="s">
        <v>37</v>
      </c>
      <c r="VI368" s="12" t="s">
        <v>37</v>
      </c>
      <c r="VJ368" s="12" t="s">
        <v>37</v>
      </c>
      <c r="VK368" s="12" t="s">
        <v>37</v>
      </c>
      <c r="VL368" s="12" t="s">
        <v>37</v>
      </c>
      <c r="VM368" s="12" t="s">
        <v>37</v>
      </c>
      <c r="VN368" s="12" t="s">
        <v>37</v>
      </c>
      <c r="VQ368" s="12" t="s">
        <v>37</v>
      </c>
      <c r="VR368" s="12" t="s">
        <v>37</v>
      </c>
      <c r="VS368" s="12" t="s">
        <v>37</v>
      </c>
      <c r="VT368" s="12" t="s">
        <v>37</v>
      </c>
      <c r="VU368" s="12" t="s">
        <v>37</v>
      </c>
      <c r="VV368" s="12" t="s">
        <v>37</v>
      </c>
      <c r="VW368" s="12"/>
      <c r="VX368" s="12"/>
      <c r="WA368" s="12" t="s">
        <v>37</v>
      </c>
      <c r="WB368" s="12" t="s">
        <v>37</v>
      </c>
      <c r="WC368" s="12" t="s">
        <v>37</v>
      </c>
      <c r="WD368" s="12" t="s">
        <v>37</v>
      </c>
      <c r="WE368" s="12" t="s">
        <v>37</v>
      </c>
      <c r="WF368" s="12" t="s">
        <v>37</v>
      </c>
    </row>
    <row r="369" spans="1:604" ht="18" customHeight="1" x14ac:dyDescent="0.3">
      <c r="A369" s="11">
        <v>79</v>
      </c>
      <c r="B369" s="16" t="s">
        <v>454</v>
      </c>
      <c r="C369" s="12" t="s">
        <v>32</v>
      </c>
      <c r="D369" s="12" t="s">
        <v>1039</v>
      </c>
      <c r="E369" s="40">
        <f t="shared" si="1372"/>
        <v>5.15</v>
      </c>
      <c r="F369" s="14">
        <v>0</v>
      </c>
      <c r="G369" s="14">
        <v>0</v>
      </c>
      <c r="H369" s="12" t="s">
        <v>79</v>
      </c>
      <c r="I369" s="29">
        <v>32.799999999999997</v>
      </c>
      <c r="J369" s="29">
        <v>102.55</v>
      </c>
      <c r="K369" s="12" t="s">
        <v>690</v>
      </c>
      <c r="L369" s="12" t="s">
        <v>691</v>
      </c>
      <c r="M369" s="13">
        <v>3500</v>
      </c>
      <c r="N369" s="14">
        <v>0.9</v>
      </c>
      <c r="O369" s="14">
        <v>744</v>
      </c>
      <c r="P369" s="14" t="s">
        <v>16</v>
      </c>
      <c r="Q369" s="75">
        <v>2.5</v>
      </c>
      <c r="R369" s="11" t="s">
        <v>37</v>
      </c>
      <c r="S369" s="12" t="s">
        <v>85</v>
      </c>
      <c r="T369" s="12" t="s">
        <v>138</v>
      </c>
      <c r="U369" s="12" t="s">
        <v>158</v>
      </c>
      <c r="V369" s="12" t="s">
        <v>275</v>
      </c>
      <c r="W369" s="23" t="s">
        <v>353</v>
      </c>
      <c r="X369" s="12" t="s">
        <v>280</v>
      </c>
      <c r="Y369" s="12" t="s">
        <v>37</v>
      </c>
      <c r="Z369" s="12" t="s">
        <v>37</v>
      </c>
      <c r="AA369" s="32" t="s">
        <v>345</v>
      </c>
      <c r="AB369" s="12">
        <v>6.7</v>
      </c>
      <c r="AC369" s="12" t="s">
        <v>42</v>
      </c>
      <c r="AD369" s="32" t="s">
        <v>345</v>
      </c>
      <c r="AE369" s="12">
        <v>350</v>
      </c>
      <c r="AF369" s="12" t="s">
        <v>42</v>
      </c>
      <c r="AG369" s="32" t="s">
        <v>345</v>
      </c>
      <c r="AH369" s="12">
        <v>15</v>
      </c>
      <c r="AJ369" s="12" t="str">
        <f t="shared" si="1373"/>
        <v>0-10</v>
      </c>
      <c r="AK369" s="19">
        <f t="shared" si="1374"/>
        <v>23.333333333333332</v>
      </c>
      <c r="AL369" s="32" t="s">
        <v>457</v>
      </c>
      <c r="AM369" s="12" t="s">
        <v>344</v>
      </c>
      <c r="AO369" s="12" t="s">
        <v>37</v>
      </c>
      <c r="AP369" s="12" t="s">
        <v>238</v>
      </c>
      <c r="AQ369" s="12" t="s">
        <v>975</v>
      </c>
      <c r="AR369" s="12" t="s">
        <v>42</v>
      </c>
      <c r="AS369" s="32" t="s">
        <v>345</v>
      </c>
      <c r="AT369" s="12">
        <v>350</v>
      </c>
      <c r="AU369" s="50">
        <f t="shared" si="1365"/>
        <v>29.93450076866338</v>
      </c>
      <c r="AV369" s="13">
        <v>6</v>
      </c>
      <c r="AX369" s="12" t="s">
        <v>326</v>
      </c>
      <c r="AY369" s="12" t="s">
        <v>326</v>
      </c>
      <c r="AZ369" s="13" t="s">
        <v>326</v>
      </c>
      <c r="BE369" s="12" t="s">
        <v>326</v>
      </c>
      <c r="BF369" s="12" t="s">
        <v>326</v>
      </c>
      <c r="BG369" s="12" t="s">
        <v>326</v>
      </c>
      <c r="BI369" s="12" t="s">
        <v>326</v>
      </c>
      <c r="BJ369" s="12" t="s">
        <v>326</v>
      </c>
      <c r="BK369" s="12" t="s">
        <v>326</v>
      </c>
      <c r="BP369" s="12" t="s">
        <v>37</v>
      </c>
      <c r="BQ369" s="12" t="s">
        <v>37</v>
      </c>
      <c r="BR369" s="13" t="s">
        <v>37</v>
      </c>
      <c r="BT369" s="12" t="s">
        <v>37</v>
      </c>
      <c r="BU369" s="12" t="s">
        <v>37</v>
      </c>
      <c r="BV369" s="12" t="s">
        <v>37</v>
      </c>
      <c r="CA369" s="12" t="s">
        <v>37</v>
      </c>
      <c r="CB369" s="12" t="s">
        <v>37</v>
      </c>
      <c r="CC369" s="13" t="s">
        <v>37</v>
      </c>
      <c r="CE369" s="12" t="s">
        <v>37</v>
      </c>
      <c r="CF369" s="12" t="s">
        <v>37</v>
      </c>
      <c r="CG369" s="12" t="s">
        <v>37</v>
      </c>
      <c r="CN369" s="12" t="s">
        <v>37</v>
      </c>
      <c r="CO369" s="12" t="s">
        <v>37</v>
      </c>
      <c r="CP369" s="13" t="s">
        <v>37</v>
      </c>
      <c r="CR369" s="12" t="s">
        <v>37</v>
      </c>
      <c r="CS369" s="12" t="s">
        <v>37</v>
      </c>
      <c r="CT369" s="13" t="s">
        <v>37</v>
      </c>
      <c r="CX369" s="72"/>
      <c r="CY369" s="72"/>
      <c r="DA369" s="12" t="s">
        <v>37</v>
      </c>
      <c r="DB369" s="12" t="s">
        <v>37</v>
      </c>
      <c r="DC369" s="13" t="s">
        <v>37</v>
      </c>
      <c r="DE369" s="12" t="s">
        <v>37</v>
      </c>
      <c r="DF369" s="12" t="s">
        <v>37</v>
      </c>
      <c r="DG369" s="12" t="s">
        <v>37</v>
      </c>
      <c r="DN369" s="19" t="s">
        <v>37</v>
      </c>
      <c r="DO369" s="12" t="s">
        <v>37</v>
      </c>
      <c r="DP369" s="13" t="s">
        <v>37</v>
      </c>
      <c r="DR369" s="19" t="s">
        <v>37</v>
      </c>
      <c r="DS369" s="12" t="s">
        <v>37</v>
      </c>
      <c r="DT369" s="13" t="s">
        <v>37</v>
      </c>
      <c r="EA369" s="19" t="s">
        <v>37</v>
      </c>
      <c r="EB369" s="19" t="s">
        <v>37</v>
      </c>
      <c r="EC369" s="72" t="s">
        <v>37</v>
      </c>
      <c r="EE369" s="19" t="s">
        <v>37</v>
      </c>
      <c r="EF369" s="19" t="s">
        <v>37</v>
      </c>
      <c r="EG369" s="12" t="s">
        <v>37</v>
      </c>
      <c r="EN369" s="12" t="s">
        <v>37</v>
      </c>
      <c r="EO369" s="12" t="s">
        <v>37</v>
      </c>
      <c r="EP369" s="13" t="s">
        <v>37</v>
      </c>
      <c r="ER369" s="12" t="s">
        <v>37</v>
      </c>
      <c r="ES369" s="12" t="s">
        <v>37</v>
      </c>
      <c r="ET369" s="13" t="s">
        <v>37</v>
      </c>
      <c r="FB369" s="12" t="s">
        <v>37</v>
      </c>
      <c r="FC369" s="12" t="s">
        <v>37</v>
      </c>
      <c r="FD369" s="12" t="s">
        <v>37</v>
      </c>
      <c r="FE369" s="12" t="s">
        <v>37</v>
      </c>
      <c r="FF369" s="20" t="s">
        <v>37</v>
      </c>
      <c r="FG369" s="12" t="s">
        <v>37</v>
      </c>
      <c r="FI369" s="12" t="s">
        <v>37</v>
      </c>
      <c r="FJ369" s="12" t="s">
        <v>37</v>
      </c>
      <c r="FK369" s="12" t="s">
        <v>37</v>
      </c>
      <c r="FL369" s="12" t="s">
        <v>37</v>
      </c>
      <c r="FM369" s="12" t="s">
        <v>37</v>
      </c>
      <c r="FN369" s="12" t="s">
        <v>37</v>
      </c>
      <c r="FP369" s="12" t="s">
        <v>37</v>
      </c>
      <c r="FQ369" s="12" t="s">
        <v>37</v>
      </c>
      <c r="FR369" s="12" t="s">
        <v>37</v>
      </c>
      <c r="FS369" s="12" t="s">
        <v>37</v>
      </c>
      <c r="FT369" s="12" t="s">
        <v>37</v>
      </c>
      <c r="FU369" s="12" t="s">
        <v>37</v>
      </c>
      <c r="FW369" s="12" t="s">
        <v>37</v>
      </c>
      <c r="FX369" s="12" t="s">
        <v>37</v>
      </c>
      <c r="FY369" s="12" t="s">
        <v>37</v>
      </c>
      <c r="FZ369" s="12" t="s">
        <v>37</v>
      </c>
      <c r="GA369" s="12" t="s">
        <v>37</v>
      </c>
      <c r="GB369" s="12" t="s">
        <v>37</v>
      </c>
      <c r="IK369" s="12" t="s">
        <v>37</v>
      </c>
      <c r="IL369" s="12" t="s">
        <v>37</v>
      </c>
      <c r="IM369" s="12" t="s">
        <v>37</v>
      </c>
      <c r="IO369" s="12" t="s">
        <v>37</v>
      </c>
      <c r="IP369" s="12" t="s">
        <v>37</v>
      </c>
      <c r="IQ369" s="12" t="s">
        <v>37</v>
      </c>
      <c r="IV369" s="32" t="s">
        <v>345</v>
      </c>
      <c r="IW369" s="12">
        <v>6.7</v>
      </c>
      <c r="IX369" s="50">
        <f t="shared" si="1366"/>
        <v>0.24530537560775503</v>
      </c>
      <c r="IY369" s="13">
        <v>6</v>
      </c>
      <c r="JH369" s="12" t="s">
        <v>37</v>
      </c>
      <c r="JI369" s="12" t="s">
        <v>37</v>
      </c>
      <c r="JJ369" s="13" t="s">
        <v>37</v>
      </c>
      <c r="JL369" s="12" t="s">
        <v>37</v>
      </c>
      <c r="JM369" s="12" t="s">
        <v>37</v>
      </c>
      <c r="JN369" s="12" t="s">
        <v>37</v>
      </c>
      <c r="JS369" s="12" t="s">
        <v>37</v>
      </c>
      <c r="JT369" s="12" t="s">
        <v>37</v>
      </c>
      <c r="JU369" s="13" t="s">
        <v>37</v>
      </c>
      <c r="JW369" s="12" t="s">
        <v>37</v>
      </c>
      <c r="JX369" s="12" t="s">
        <v>37</v>
      </c>
      <c r="JY369" s="12" t="s">
        <v>37</v>
      </c>
      <c r="KE369" s="12" t="s">
        <v>37</v>
      </c>
      <c r="KF369" s="12" t="s">
        <v>37</v>
      </c>
      <c r="KG369" s="13" t="s">
        <v>37</v>
      </c>
      <c r="KH369" s="12" t="s">
        <v>37</v>
      </c>
      <c r="KI369" s="12" t="s">
        <v>37</v>
      </c>
      <c r="KJ369" s="12" t="s">
        <v>37</v>
      </c>
      <c r="KK369" s="12" t="s">
        <v>42</v>
      </c>
      <c r="KL369" s="32" t="s">
        <v>345</v>
      </c>
      <c r="KM369" s="12">
        <v>15</v>
      </c>
      <c r="KN369" s="50">
        <f t="shared" si="1367"/>
        <v>1.7893956207728923</v>
      </c>
      <c r="KO369" s="11">
        <v>6</v>
      </c>
      <c r="KS369" s="12"/>
      <c r="KX369" s="12" t="s">
        <v>37</v>
      </c>
      <c r="KY369" s="12" t="s">
        <v>37</v>
      </c>
      <c r="KZ369" s="12" t="s">
        <v>37</v>
      </c>
      <c r="LB369" s="12" t="s">
        <v>37</v>
      </c>
      <c r="LC369" s="12" t="s">
        <v>37</v>
      </c>
      <c r="LD369" s="12" t="s">
        <v>37</v>
      </c>
      <c r="LI369" s="12" t="s">
        <v>37</v>
      </c>
      <c r="LJ369" s="12" t="s">
        <v>37</v>
      </c>
      <c r="LK369" s="12" t="s">
        <v>37</v>
      </c>
      <c r="LM369" s="12" t="s">
        <v>37</v>
      </c>
      <c r="LN369" s="12" t="s">
        <v>37</v>
      </c>
      <c r="LO369" s="12" t="s">
        <v>37</v>
      </c>
      <c r="LT369" s="12" t="str">
        <f t="shared" si="1368"/>
        <v>0-10</v>
      </c>
      <c r="LU369" s="12">
        <f t="shared" si="1369"/>
        <v>23.333333333333332</v>
      </c>
      <c r="LV369" s="12">
        <f t="shared" si="1370"/>
        <v>3.4249742755356465</v>
      </c>
      <c r="LW369" s="13">
        <f t="shared" si="1371"/>
        <v>6</v>
      </c>
      <c r="MF369" s="12" t="s">
        <v>37</v>
      </c>
      <c r="MG369" s="12" t="s">
        <v>37</v>
      </c>
      <c r="MH369" s="12" t="s">
        <v>37</v>
      </c>
      <c r="MJ369" s="12" t="s">
        <v>37</v>
      </c>
      <c r="MK369" s="12" t="s">
        <v>37</v>
      </c>
      <c r="ML369" s="12" t="s">
        <v>37</v>
      </c>
      <c r="MQ369" s="12" t="s">
        <v>37</v>
      </c>
      <c r="MR369" s="12" t="s">
        <v>37</v>
      </c>
      <c r="MS369" s="12" t="s">
        <v>37</v>
      </c>
      <c r="MU369" s="12" t="s">
        <v>37</v>
      </c>
      <c r="MV369" s="12" t="s">
        <v>37</v>
      </c>
      <c r="MW369" s="12" t="s">
        <v>37</v>
      </c>
      <c r="NC369" s="12" t="s">
        <v>37</v>
      </c>
      <c r="ND369" s="12" t="s">
        <v>37</v>
      </c>
      <c r="NE369" s="12" t="s">
        <v>37</v>
      </c>
      <c r="NG369" s="12" t="s">
        <v>37</v>
      </c>
      <c r="NH369" s="12" t="s">
        <v>37</v>
      </c>
      <c r="NI369" s="12" t="s">
        <v>37</v>
      </c>
      <c r="NO369" s="12" t="s">
        <v>37</v>
      </c>
      <c r="NP369" s="12" t="s">
        <v>37</v>
      </c>
      <c r="NQ369" s="12" t="s">
        <v>37</v>
      </c>
      <c r="NS369" s="12" t="s">
        <v>37</v>
      </c>
      <c r="NT369" s="12" t="s">
        <v>37</v>
      </c>
      <c r="NU369" s="12" t="s">
        <v>37</v>
      </c>
      <c r="OA369" s="12" t="s">
        <v>37</v>
      </c>
      <c r="OB369" s="12" t="s">
        <v>37</v>
      </c>
      <c r="OC369" s="12" t="s">
        <v>37</v>
      </c>
      <c r="OD369" s="12"/>
      <c r="OE369" s="12" t="s">
        <v>37</v>
      </c>
      <c r="OF369" s="12" t="s">
        <v>37</v>
      </c>
      <c r="OG369" s="12" t="s">
        <v>37</v>
      </c>
      <c r="OH369" s="12"/>
      <c r="OI369" s="12"/>
      <c r="OJ369" s="12"/>
      <c r="OM369" s="12" t="s">
        <v>37</v>
      </c>
      <c r="ON369" s="12" t="s">
        <v>37</v>
      </c>
      <c r="OO369" s="12" t="s">
        <v>37</v>
      </c>
      <c r="OP369" s="12" t="s">
        <v>37</v>
      </c>
      <c r="OQ369" s="12" t="s">
        <v>37</v>
      </c>
      <c r="OR369" s="12" t="s">
        <v>37</v>
      </c>
      <c r="OS369" s="12"/>
      <c r="OT369" s="12"/>
      <c r="OW369" s="12" t="s">
        <v>37</v>
      </c>
      <c r="OX369" s="12" t="s">
        <v>37</v>
      </c>
      <c r="OY369" s="13" t="s">
        <v>37</v>
      </c>
      <c r="OZ369" s="12" t="s">
        <v>37</v>
      </c>
      <c r="PA369" s="12" t="s">
        <v>37</v>
      </c>
      <c r="PB369" s="13" t="s">
        <v>37</v>
      </c>
      <c r="PG369" s="12" t="s">
        <v>37</v>
      </c>
      <c r="PH369" s="12" t="s">
        <v>37</v>
      </c>
      <c r="PI369" s="12" t="s">
        <v>37</v>
      </c>
      <c r="PJ369" s="12" t="s">
        <v>37</v>
      </c>
      <c r="PK369" s="12" t="s">
        <v>37</v>
      </c>
      <c r="PL369" s="12" t="s">
        <v>37</v>
      </c>
      <c r="PM369" s="12"/>
      <c r="PN369" s="12"/>
      <c r="PQ369" s="12" t="s">
        <v>37</v>
      </c>
      <c r="PR369" s="12" t="s">
        <v>37</v>
      </c>
      <c r="PS369" s="12" t="s">
        <v>37</v>
      </c>
      <c r="PT369" s="12" t="s">
        <v>37</v>
      </c>
      <c r="PU369" s="12" t="s">
        <v>37</v>
      </c>
      <c r="PV369" s="12" t="s">
        <v>37</v>
      </c>
      <c r="PW369" s="12"/>
      <c r="PX369" s="12"/>
      <c r="PZ369" s="12" t="s">
        <v>37</v>
      </c>
      <c r="QA369" s="12" t="s">
        <v>37</v>
      </c>
      <c r="QB369" s="12" t="s">
        <v>37</v>
      </c>
      <c r="QD369" s="12" t="s">
        <v>37</v>
      </c>
      <c r="QE369" s="12" t="s">
        <v>37</v>
      </c>
      <c r="QF369" s="12" t="s">
        <v>37</v>
      </c>
      <c r="QK369" s="12" t="s">
        <v>37</v>
      </c>
      <c r="QL369" s="12" t="s">
        <v>37</v>
      </c>
      <c r="QM369" s="12" t="s">
        <v>37</v>
      </c>
      <c r="QN369" s="12" t="s">
        <v>37</v>
      </c>
      <c r="QO369" s="12" t="s">
        <v>37</v>
      </c>
      <c r="QP369" s="12" t="s">
        <v>37</v>
      </c>
      <c r="QQ369" s="12"/>
      <c r="QR369" s="12"/>
      <c r="QU369" s="12" t="s">
        <v>37</v>
      </c>
      <c r="QV369" s="12" t="s">
        <v>37</v>
      </c>
      <c r="QW369" s="12" t="s">
        <v>37</v>
      </c>
      <c r="QX369" s="12" t="s">
        <v>37</v>
      </c>
      <c r="QY369" s="12" t="s">
        <v>37</v>
      </c>
      <c r="QZ369" s="12" t="s">
        <v>37</v>
      </c>
      <c r="RC369" s="12" t="s">
        <v>37</v>
      </c>
      <c r="RD369" s="12" t="s">
        <v>37</v>
      </c>
      <c r="RE369" s="13" t="s">
        <v>37</v>
      </c>
      <c r="RF369" s="12" t="s">
        <v>37</v>
      </c>
      <c r="RG369" s="12" t="s">
        <v>37</v>
      </c>
      <c r="RH369" s="13" t="s">
        <v>37</v>
      </c>
      <c r="RK369" s="12" t="s">
        <v>37</v>
      </c>
      <c r="RL369" s="12" t="s">
        <v>37</v>
      </c>
      <c r="RM369" s="11" t="s">
        <v>37</v>
      </c>
      <c r="RN369" s="12" t="s">
        <v>37</v>
      </c>
      <c r="RO369" s="12" t="s">
        <v>37</v>
      </c>
      <c r="RP369" s="11" t="s">
        <v>37</v>
      </c>
      <c r="RS369" s="12" t="s">
        <v>37</v>
      </c>
      <c r="RT369" s="12" t="s">
        <v>37</v>
      </c>
      <c r="RU369" s="12" t="s">
        <v>37</v>
      </c>
      <c r="RV369" s="12" t="s">
        <v>37</v>
      </c>
      <c r="RW369" s="12" t="s">
        <v>37</v>
      </c>
      <c r="RX369" s="12" t="s">
        <v>37</v>
      </c>
      <c r="SA369" s="12" t="s">
        <v>37</v>
      </c>
      <c r="SB369" s="12" t="s">
        <v>37</v>
      </c>
      <c r="SC369" s="12" t="s">
        <v>37</v>
      </c>
      <c r="SD369" s="12" t="s">
        <v>37</v>
      </c>
      <c r="SE369" s="12" t="s">
        <v>37</v>
      </c>
      <c r="SF369" s="12" t="s">
        <v>37</v>
      </c>
      <c r="SI369" s="12" t="s">
        <v>37</v>
      </c>
      <c r="SJ369" s="12" t="s">
        <v>37</v>
      </c>
      <c r="SK369" s="13" t="s">
        <v>37</v>
      </c>
      <c r="SM369" s="12" t="s">
        <v>37</v>
      </c>
      <c r="SN369" s="12" t="s">
        <v>37</v>
      </c>
      <c r="SO369" s="13" t="s">
        <v>37</v>
      </c>
      <c r="SU369" s="12" t="s">
        <v>37</v>
      </c>
      <c r="SV369" s="12" t="s">
        <v>37</v>
      </c>
      <c r="SW369" s="12" t="s">
        <v>37</v>
      </c>
      <c r="SX369" s="12" t="s">
        <v>37</v>
      </c>
      <c r="SY369" s="12" t="s">
        <v>37</v>
      </c>
      <c r="SZ369" s="12" t="s">
        <v>37</v>
      </c>
      <c r="TA369" s="12"/>
      <c r="TB369" s="12"/>
      <c r="TE369" s="12" t="s">
        <v>37</v>
      </c>
      <c r="TF369" s="12" t="s">
        <v>37</v>
      </c>
      <c r="TG369" s="12" t="s">
        <v>37</v>
      </c>
      <c r="TH369" s="12" t="s">
        <v>37</v>
      </c>
      <c r="TI369" s="12" t="s">
        <v>37</v>
      </c>
      <c r="TJ369" s="12" t="s">
        <v>37</v>
      </c>
      <c r="TK369" s="12"/>
      <c r="TL369" s="12"/>
      <c r="TO369" s="12" t="s">
        <v>37</v>
      </c>
      <c r="TP369" s="12" t="s">
        <v>37</v>
      </c>
      <c r="TQ369" s="12" t="s">
        <v>37</v>
      </c>
      <c r="TR369" s="12" t="s">
        <v>37</v>
      </c>
      <c r="TS369" s="12" t="s">
        <v>37</v>
      </c>
      <c r="TT369" s="12" t="s">
        <v>37</v>
      </c>
      <c r="TU369" s="12"/>
      <c r="TV369" s="12"/>
      <c r="TY369" s="12" t="s">
        <v>37</v>
      </c>
      <c r="TZ369" s="12" t="s">
        <v>37</v>
      </c>
      <c r="UA369" s="12" t="s">
        <v>37</v>
      </c>
      <c r="UB369" s="12" t="s">
        <v>37</v>
      </c>
      <c r="UC369" s="12" t="s">
        <v>37</v>
      </c>
      <c r="UD369" s="12" t="s">
        <v>37</v>
      </c>
      <c r="UE369" s="12"/>
      <c r="UF369" s="12"/>
      <c r="UI369" s="12" t="s">
        <v>37</v>
      </c>
      <c r="UJ369" s="12" t="s">
        <v>37</v>
      </c>
      <c r="UK369" s="12" t="s">
        <v>37</v>
      </c>
      <c r="UL369" s="12" t="s">
        <v>37</v>
      </c>
      <c r="UM369" s="12" t="s">
        <v>37</v>
      </c>
      <c r="UN369" s="12" t="s">
        <v>37</v>
      </c>
      <c r="UO369" s="12"/>
      <c r="UP369" s="12"/>
      <c r="UR369" s="12" t="s">
        <v>37</v>
      </c>
      <c r="US369" s="12" t="s">
        <v>37</v>
      </c>
      <c r="UT369" s="12" t="s">
        <v>37</v>
      </c>
      <c r="UU369" s="12" t="s">
        <v>37</v>
      </c>
      <c r="UV369" s="12" t="s">
        <v>37</v>
      </c>
      <c r="UW369" s="12" t="s">
        <v>37</v>
      </c>
      <c r="UX369" s="12"/>
      <c r="UY369" s="12"/>
      <c r="VB369" s="12" t="s">
        <v>37</v>
      </c>
      <c r="VC369" s="12" t="s">
        <v>37</v>
      </c>
      <c r="VD369" s="12" t="s">
        <v>37</v>
      </c>
      <c r="VE369" s="12" t="s">
        <v>37</v>
      </c>
      <c r="VF369" s="12" t="s">
        <v>37</v>
      </c>
      <c r="VG369" s="12" t="s">
        <v>37</v>
      </c>
      <c r="VI369" s="12" t="s">
        <v>37</v>
      </c>
      <c r="VJ369" s="12" t="s">
        <v>37</v>
      </c>
      <c r="VK369" s="12" t="s">
        <v>37</v>
      </c>
      <c r="VL369" s="12" t="s">
        <v>37</v>
      </c>
      <c r="VM369" s="12" t="s">
        <v>37</v>
      </c>
      <c r="VN369" s="12" t="s">
        <v>37</v>
      </c>
      <c r="VQ369" s="12" t="s">
        <v>37</v>
      </c>
      <c r="VR369" s="12" t="s">
        <v>37</v>
      </c>
      <c r="VS369" s="12" t="s">
        <v>37</v>
      </c>
      <c r="VT369" s="12" t="s">
        <v>37</v>
      </c>
      <c r="VU369" s="12" t="s">
        <v>37</v>
      </c>
      <c r="VV369" s="12" t="s">
        <v>37</v>
      </c>
      <c r="VW369" s="12"/>
      <c r="VX369" s="12"/>
      <c r="WA369" s="12" t="s">
        <v>37</v>
      </c>
      <c r="WB369" s="12" t="s">
        <v>37</v>
      </c>
      <c r="WC369" s="12" t="s">
        <v>37</v>
      </c>
      <c r="WD369" s="12" t="s">
        <v>37</v>
      </c>
      <c r="WE369" s="12" t="s">
        <v>37</v>
      </c>
      <c r="WF369" s="12" t="s">
        <v>37</v>
      </c>
    </row>
    <row r="370" spans="1:604" ht="18" customHeight="1" x14ac:dyDescent="0.3">
      <c r="A370" s="11">
        <v>79</v>
      </c>
      <c r="B370" s="16" t="s">
        <v>454</v>
      </c>
      <c r="C370" s="12" t="s">
        <v>31</v>
      </c>
      <c r="D370" s="12" t="s">
        <v>1039</v>
      </c>
      <c r="E370" s="40">
        <f t="shared" si="1372"/>
        <v>5.15</v>
      </c>
      <c r="F370" s="14">
        <v>0</v>
      </c>
      <c r="G370" s="14">
        <v>0</v>
      </c>
      <c r="H370" s="12" t="s">
        <v>79</v>
      </c>
      <c r="I370" s="29">
        <v>32.799999999999997</v>
      </c>
      <c r="J370" s="29">
        <v>102.55</v>
      </c>
      <c r="K370" s="12" t="s">
        <v>690</v>
      </c>
      <c r="L370" s="12" t="s">
        <v>691</v>
      </c>
      <c r="M370" s="13">
        <v>3500</v>
      </c>
      <c r="N370" s="14">
        <v>0.9</v>
      </c>
      <c r="O370" s="14">
        <v>744</v>
      </c>
      <c r="P370" s="14" t="s">
        <v>16</v>
      </c>
      <c r="Q370" s="75">
        <v>3.5</v>
      </c>
      <c r="R370" s="11" t="s">
        <v>37</v>
      </c>
      <c r="S370" s="12" t="s">
        <v>85</v>
      </c>
      <c r="T370" s="12" t="s">
        <v>138</v>
      </c>
      <c r="U370" s="12" t="s">
        <v>158</v>
      </c>
      <c r="V370" s="12" t="s">
        <v>275</v>
      </c>
      <c r="W370" s="23" t="s">
        <v>353</v>
      </c>
      <c r="X370" s="12" t="s">
        <v>280</v>
      </c>
      <c r="Y370" s="12" t="s">
        <v>37</v>
      </c>
      <c r="Z370" s="12" t="s">
        <v>37</v>
      </c>
      <c r="AA370" s="32" t="s">
        <v>345</v>
      </c>
      <c r="AB370" s="12">
        <v>6.7</v>
      </c>
      <c r="AC370" s="12" t="s">
        <v>42</v>
      </c>
      <c r="AD370" s="32" t="s">
        <v>345</v>
      </c>
      <c r="AE370" s="12">
        <v>350</v>
      </c>
      <c r="AF370" s="12" t="s">
        <v>42</v>
      </c>
      <c r="AG370" s="32" t="s">
        <v>345</v>
      </c>
      <c r="AH370" s="12">
        <v>15</v>
      </c>
      <c r="AJ370" s="12" t="str">
        <f t="shared" si="1373"/>
        <v>0-10</v>
      </c>
      <c r="AK370" s="19">
        <f t="shared" si="1374"/>
        <v>23.333333333333332</v>
      </c>
      <c r="AL370" s="32" t="s">
        <v>458</v>
      </c>
      <c r="AM370" s="12" t="s">
        <v>344</v>
      </c>
      <c r="AO370" s="12" t="s">
        <v>37</v>
      </c>
      <c r="AP370" s="12" t="s">
        <v>238</v>
      </c>
      <c r="AQ370" s="12" t="s">
        <v>975</v>
      </c>
      <c r="AR370" s="12" t="s">
        <v>42</v>
      </c>
      <c r="AS370" s="32" t="s">
        <v>345</v>
      </c>
      <c r="AT370" s="12">
        <v>350</v>
      </c>
      <c r="AU370" s="50">
        <f t="shared" si="1365"/>
        <v>29.93450076866338</v>
      </c>
      <c r="AV370" s="13">
        <v>6</v>
      </c>
      <c r="AX370" s="12" t="s">
        <v>326</v>
      </c>
      <c r="AY370" s="12" t="s">
        <v>326</v>
      </c>
      <c r="AZ370" s="13" t="s">
        <v>326</v>
      </c>
      <c r="BE370" s="12" t="s">
        <v>326</v>
      </c>
      <c r="BF370" s="12" t="s">
        <v>326</v>
      </c>
      <c r="BG370" s="12" t="s">
        <v>326</v>
      </c>
      <c r="BI370" s="12" t="s">
        <v>326</v>
      </c>
      <c r="BJ370" s="12" t="s">
        <v>326</v>
      </c>
      <c r="BK370" s="12" t="s">
        <v>326</v>
      </c>
      <c r="BP370" s="12" t="s">
        <v>37</v>
      </c>
      <c r="BQ370" s="12" t="s">
        <v>37</v>
      </c>
      <c r="BR370" s="13" t="s">
        <v>37</v>
      </c>
      <c r="BT370" s="12" t="s">
        <v>37</v>
      </c>
      <c r="BU370" s="12" t="s">
        <v>37</v>
      </c>
      <c r="BV370" s="12" t="s">
        <v>37</v>
      </c>
      <c r="CA370" s="12" t="s">
        <v>37</v>
      </c>
      <c r="CB370" s="12" t="s">
        <v>37</v>
      </c>
      <c r="CC370" s="13" t="s">
        <v>37</v>
      </c>
      <c r="CE370" s="12" t="s">
        <v>37</v>
      </c>
      <c r="CF370" s="12" t="s">
        <v>37</v>
      </c>
      <c r="CG370" s="12" t="s">
        <v>37</v>
      </c>
      <c r="CN370" s="12" t="s">
        <v>37</v>
      </c>
      <c r="CO370" s="12" t="s">
        <v>37</v>
      </c>
      <c r="CP370" s="13" t="s">
        <v>37</v>
      </c>
      <c r="CR370" s="12" t="s">
        <v>37</v>
      </c>
      <c r="CS370" s="12" t="s">
        <v>37</v>
      </c>
      <c r="CT370" s="13" t="s">
        <v>37</v>
      </c>
      <c r="CX370" s="72"/>
      <c r="CY370" s="72"/>
      <c r="DA370" s="12" t="s">
        <v>37</v>
      </c>
      <c r="DB370" s="12" t="s">
        <v>37</v>
      </c>
      <c r="DC370" s="13" t="s">
        <v>37</v>
      </c>
      <c r="DE370" s="12" t="s">
        <v>37</v>
      </c>
      <c r="DF370" s="12" t="s">
        <v>37</v>
      </c>
      <c r="DG370" s="12" t="s">
        <v>37</v>
      </c>
      <c r="DN370" s="19" t="s">
        <v>37</v>
      </c>
      <c r="DO370" s="12" t="s">
        <v>37</v>
      </c>
      <c r="DP370" s="13" t="s">
        <v>37</v>
      </c>
      <c r="DR370" s="19" t="s">
        <v>37</v>
      </c>
      <c r="DS370" s="12" t="s">
        <v>37</v>
      </c>
      <c r="DT370" s="13" t="s">
        <v>37</v>
      </c>
      <c r="EA370" s="19" t="s">
        <v>37</v>
      </c>
      <c r="EB370" s="19" t="s">
        <v>37</v>
      </c>
      <c r="EC370" s="72" t="s">
        <v>37</v>
      </c>
      <c r="EE370" s="19" t="s">
        <v>37</v>
      </c>
      <c r="EF370" s="19" t="s">
        <v>37</v>
      </c>
      <c r="EG370" s="12" t="s">
        <v>37</v>
      </c>
      <c r="EN370" s="12" t="s">
        <v>37</v>
      </c>
      <c r="EO370" s="12" t="s">
        <v>37</v>
      </c>
      <c r="EP370" s="13" t="s">
        <v>37</v>
      </c>
      <c r="ER370" s="12" t="s">
        <v>37</v>
      </c>
      <c r="ES370" s="12" t="s">
        <v>37</v>
      </c>
      <c r="ET370" s="13" t="s">
        <v>37</v>
      </c>
      <c r="FB370" s="12" t="s">
        <v>37</v>
      </c>
      <c r="FC370" s="12" t="s">
        <v>37</v>
      </c>
      <c r="FD370" s="12" t="s">
        <v>37</v>
      </c>
      <c r="FE370" s="12" t="s">
        <v>37</v>
      </c>
      <c r="FF370" s="20" t="s">
        <v>37</v>
      </c>
      <c r="FG370" s="12" t="s">
        <v>37</v>
      </c>
      <c r="FI370" s="12" t="s">
        <v>37</v>
      </c>
      <c r="FJ370" s="12" t="s">
        <v>37</v>
      </c>
      <c r="FK370" s="12" t="s">
        <v>37</v>
      </c>
      <c r="FL370" s="12" t="s">
        <v>37</v>
      </c>
      <c r="FM370" s="12" t="s">
        <v>37</v>
      </c>
      <c r="FN370" s="12" t="s">
        <v>37</v>
      </c>
      <c r="FP370" s="12" t="s">
        <v>37</v>
      </c>
      <c r="FQ370" s="12" t="s">
        <v>37</v>
      </c>
      <c r="FR370" s="12" t="s">
        <v>37</v>
      </c>
      <c r="FS370" s="12" t="s">
        <v>37</v>
      </c>
      <c r="FT370" s="12" t="s">
        <v>37</v>
      </c>
      <c r="FU370" s="12" t="s">
        <v>37</v>
      </c>
      <c r="FW370" s="12" t="s">
        <v>37</v>
      </c>
      <c r="FX370" s="12" t="s">
        <v>37</v>
      </c>
      <c r="FY370" s="12" t="s">
        <v>37</v>
      </c>
      <c r="FZ370" s="12" t="s">
        <v>37</v>
      </c>
      <c r="GA370" s="12" t="s">
        <v>37</v>
      </c>
      <c r="GB370" s="12" t="s">
        <v>37</v>
      </c>
      <c r="IK370" s="12" t="s">
        <v>37</v>
      </c>
      <c r="IL370" s="12" t="s">
        <v>37</v>
      </c>
      <c r="IM370" s="12" t="s">
        <v>37</v>
      </c>
      <c r="IO370" s="12" t="s">
        <v>37</v>
      </c>
      <c r="IP370" s="12" t="s">
        <v>37</v>
      </c>
      <c r="IQ370" s="12" t="s">
        <v>37</v>
      </c>
      <c r="IV370" s="32" t="s">
        <v>345</v>
      </c>
      <c r="IW370" s="12">
        <v>6.7</v>
      </c>
      <c r="IX370" s="50">
        <f t="shared" si="1366"/>
        <v>0.24530537560775503</v>
      </c>
      <c r="IY370" s="13">
        <v>6</v>
      </c>
      <c r="JH370" s="12" t="s">
        <v>37</v>
      </c>
      <c r="JI370" s="12" t="s">
        <v>37</v>
      </c>
      <c r="JJ370" s="13" t="s">
        <v>37</v>
      </c>
      <c r="JL370" s="12" t="s">
        <v>37</v>
      </c>
      <c r="JM370" s="12" t="s">
        <v>37</v>
      </c>
      <c r="JN370" s="12" t="s">
        <v>37</v>
      </c>
      <c r="JS370" s="12" t="s">
        <v>37</v>
      </c>
      <c r="JT370" s="12" t="s">
        <v>37</v>
      </c>
      <c r="JU370" s="13" t="s">
        <v>37</v>
      </c>
      <c r="JW370" s="12" t="s">
        <v>37</v>
      </c>
      <c r="JX370" s="12" t="s">
        <v>37</v>
      </c>
      <c r="JY370" s="12" t="s">
        <v>37</v>
      </c>
      <c r="KE370" s="12" t="s">
        <v>37</v>
      </c>
      <c r="KF370" s="12" t="s">
        <v>37</v>
      </c>
      <c r="KG370" s="13" t="s">
        <v>37</v>
      </c>
      <c r="KH370" s="12" t="s">
        <v>37</v>
      </c>
      <c r="KI370" s="12" t="s">
        <v>37</v>
      </c>
      <c r="KJ370" s="12" t="s">
        <v>37</v>
      </c>
      <c r="KK370" s="12" t="s">
        <v>42</v>
      </c>
      <c r="KL370" s="32" t="s">
        <v>345</v>
      </c>
      <c r="KM370" s="12">
        <v>15</v>
      </c>
      <c r="KN370" s="50">
        <f t="shared" si="1367"/>
        <v>1.7893956207728923</v>
      </c>
      <c r="KO370" s="11">
        <v>6</v>
      </c>
      <c r="KS370" s="12"/>
      <c r="KX370" s="12" t="s">
        <v>37</v>
      </c>
      <c r="KY370" s="12" t="s">
        <v>37</v>
      </c>
      <c r="KZ370" s="12" t="s">
        <v>37</v>
      </c>
      <c r="LB370" s="12" t="s">
        <v>37</v>
      </c>
      <c r="LC370" s="12" t="s">
        <v>37</v>
      </c>
      <c r="LD370" s="12" t="s">
        <v>37</v>
      </c>
      <c r="LI370" s="12" t="s">
        <v>37</v>
      </c>
      <c r="LJ370" s="12" t="s">
        <v>37</v>
      </c>
      <c r="LK370" s="12" t="s">
        <v>37</v>
      </c>
      <c r="LM370" s="12" t="s">
        <v>37</v>
      </c>
      <c r="LN370" s="12" t="s">
        <v>37</v>
      </c>
      <c r="LO370" s="12" t="s">
        <v>37</v>
      </c>
      <c r="LT370" s="12" t="str">
        <f t="shared" si="1368"/>
        <v>0-10</v>
      </c>
      <c r="LU370" s="12">
        <f t="shared" si="1369"/>
        <v>23.333333333333332</v>
      </c>
      <c r="LV370" s="12">
        <f t="shared" si="1370"/>
        <v>3.4249742755356465</v>
      </c>
      <c r="LW370" s="13">
        <f t="shared" si="1371"/>
        <v>6</v>
      </c>
      <c r="MF370" s="12" t="s">
        <v>37</v>
      </c>
      <c r="MG370" s="12" t="s">
        <v>37</v>
      </c>
      <c r="MH370" s="12" t="s">
        <v>37</v>
      </c>
      <c r="MJ370" s="12" t="s">
        <v>37</v>
      </c>
      <c r="MK370" s="12" t="s">
        <v>37</v>
      </c>
      <c r="ML370" s="12" t="s">
        <v>37</v>
      </c>
      <c r="MQ370" s="12" t="s">
        <v>37</v>
      </c>
      <c r="MR370" s="12" t="s">
        <v>37</v>
      </c>
      <c r="MS370" s="12" t="s">
        <v>37</v>
      </c>
      <c r="MU370" s="12" t="s">
        <v>37</v>
      </c>
      <c r="MV370" s="12" t="s">
        <v>37</v>
      </c>
      <c r="MW370" s="12" t="s">
        <v>37</v>
      </c>
      <c r="NC370" s="12" t="s">
        <v>37</v>
      </c>
      <c r="ND370" s="12" t="s">
        <v>37</v>
      </c>
      <c r="NE370" s="12" t="s">
        <v>37</v>
      </c>
      <c r="NG370" s="12" t="s">
        <v>37</v>
      </c>
      <c r="NH370" s="12" t="s">
        <v>37</v>
      </c>
      <c r="NI370" s="12" t="s">
        <v>37</v>
      </c>
      <c r="NO370" s="12" t="s">
        <v>37</v>
      </c>
      <c r="NP370" s="12" t="s">
        <v>37</v>
      </c>
      <c r="NQ370" s="12" t="s">
        <v>37</v>
      </c>
      <c r="NS370" s="12" t="s">
        <v>37</v>
      </c>
      <c r="NT370" s="12" t="s">
        <v>37</v>
      </c>
      <c r="NU370" s="12" t="s">
        <v>37</v>
      </c>
      <c r="OA370" s="12" t="s">
        <v>37</v>
      </c>
      <c r="OB370" s="12" t="s">
        <v>37</v>
      </c>
      <c r="OC370" s="12" t="s">
        <v>37</v>
      </c>
      <c r="OD370" s="12"/>
      <c r="OE370" s="12" t="s">
        <v>37</v>
      </c>
      <c r="OF370" s="12" t="s">
        <v>37</v>
      </c>
      <c r="OG370" s="12" t="s">
        <v>37</v>
      </c>
      <c r="OH370" s="12"/>
      <c r="OI370" s="12"/>
      <c r="OJ370" s="12"/>
      <c r="OM370" s="12" t="s">
        <v>37</v>
      </c>
      <c r="ON370" s="12" t="s">
        <v>37</v>
      </c>
      <c r="OO370" s="12" t="s">
        <v>37</v>
      </c>
      <c r="OP370" s="12" t="s">
        <v>37</v>
      </c>
      <c r="OQ370" s="12" t="s">
        <v>37</v>
      </c>
      <c r="OR370" s="12" t="s">
        <v>37</v>
      </c>
      <c r="OS370" s="12"/>
      <c r="OT370" s="12"/>
      <c r="OW370" s="12" t="s">
        <v>37</v>
      </c>
      <c r="OX370" s="12" t="s">
        <v>37</v>
      </c>
      <c r="OY370" s="13" t="s">
        <v>37</v>
      </c>
      <c r="OZ370" s="12" t="s">
        <v>37</v>
      </c>
      <c r="PA370" s="12" t="s">
        <v>37</v>
      </c>
      <c r="PB370" s="13" t="s">
        <v>37</v>
      </c>
      <c r="PG370" s="12" t="s">
        <v>37</v>
      </c>
      <c r="PH370" s="12" t="s">
        <v>37</v>
      </c>
      <c r="PI370" s="12" t="s">
        <v>37</v>
      </c>
      <c r="PJ370" s="12" t="s">
        <v>37</v>
      </c>
      <c r="PK370" s="12" t="s">
        <v>37</v>
      </c>
      <c r="PL370" s="12" t="s">
        <v>37</v>
      </c>
      <c r="PM370" s="12"/>
      <c r="PN370" s="12"/>
      <c r="PQ370" s="12" t="s">
        <v>37</v>
      </c>
      <c r="PR370" s="12" t="s">
        <v>37</v>
      </c>
      <c r="PS370" s="12" t="s">
        <v>37</v>
      </c>
      <c r="PT370" s="12" t="s">
        <v>37</v>
      </c>
      <c r="PU370" s="12" t="s">
        <v>37</v>
      </c>
      <c r="PV370" s="12" t="s">
        <v>37</v>
      </c>
      <c r="PW370" s="12"/>
      <c r="PX370" s="12"/>
      <c r="PZ370" s="12" t="s">
        <v>37</v>
      </c>
      <c r="QA370" s="12" t="s">
        <v>37</v>
      </c>
      <c r="QB370" s="12" t="s">
        <v>37</v>
      </c>
      <c r="QD370" s="12" t="s">
        <v>37</v>
      </c>
      <c r="QE370" s="12" t="s">
        <v>37</v>
      </c>
      <c r="QF370" s="12" t="s">
        <v>37</v>
      </c>
      <c r="QK370" s="12" t="s">
        <v>37</v>
      </c>
      <c r="QL370" s="12" t="s">
        <v>37</v>
      </c>
      <c r="QM370" s="12" t="s">
        <v>37</v>
      </c>
      <c r="QN370" s="12" t="s">
        <v>37</v>
      </c>
      <c r="QO370" s="12" t="s">
        <v>37</v>
      </c>
      <c r="QP370" s="12" t="s">
        <v>37</v>
      </c>
      <c r="QQ370" s="12"/>
      <c r="QR370" s="12"/>
      <c r="QU370" s="12" t="s">
        <v>37</v>
      </c>
      <c r="QV370" s="12" t="s">
        <v>37</v>
      </c>
      <c r="QW370" s="12" t="s">
        <v>37</v>
      </c>
      <c r="QX370" s="12" t="s">
        <v>37</v>
      </c>
      <c r="QY370" s="12" t="s">
        <v>37</v>
      </c>
      <c r="QZ370" s="12" t="s">
        <v>37</v>
      </c>
      <c r="RC370" s="12" t="s">
        <v>37</v>
      </c>
      <c r="RD370" s="12" t="s">
        <v>37</v>
      </c>
      <c r="RE370" s="13" t="s">
        <v>37</v>
      </c>
      <c r="RF370" s="12" t="s">
        <v>37</v>
      </c>
      <c r="RG370" s="12" t="s">
        <v>37</v>
      </c>
      <c r="RH370" s="13" t="s">
        <v>37</v>
      </c>
      <c r="RK370" s="12" t="s">
        <v>37</v>
      </c>
      <c r="RL370" s="12" t="s">
        <v>37</v>
      </c>
      <c r="RM370" s="11" t="s">
        <v>37</v>
      </c>
      <c r="RN370" s="12" t="s">
        <v>37</v>
      </c>
      <c r="RO370" s="12" t="s">
        <v>37</v>
      </c>
      <c r="RP370" s="11" t="s">
        <v>37</v>
      </c>
      <c r="RS370" s="12" t="s">
        <v>37</v>
      </c>
      <c r="RT370" s="12" t="s">
        <v>37</v>
      </c>
      <c r="RU370" s="12" t="s">
        <v>37</v>
      </c>
      <c r="RV370" s="12" t="s">
        <v>37</v>
      </c>
      <c r="RW370" s="12" t="s">
        <v>37</v>
      </c>
      <c r="RX370" s="12" t="s">
        <v>37</v>
      </c>
      <c r="SA370" s="12" t="s">
        <v>37</v>
      </c>
      <c r="SB370" s="12" t="s">
        <v>37</v>
      </c>
      <c r="SC370" s="12" t="s">
        <v>37</v>
      </c>
      <c r="SD370" s="12" t="s">
        <v>37</v>
      </c>
      <c r="SE370" s="12" t="s">
        <v>37</v>
      </c>
      <c r="SF370" s="12" t="s">
        <v>37</v>
      </c>
      <c r="SI370" s="12" t="s">
        <v>37</v>
      </c>
      <c r="SJ370" s="12" t="s">
        <v>37</v>
      </c>
      <c r="SK370" s="13" t="s">
        <v>37</v>
      </c>
      <c r="SM370" s="12" t="s">
        <v>37</v>
      </c>
      <c r="SN370" s="12" t="s">
        <v>37</v>
      </c>
      <c r="SO370" s="13" t="s">
        <v>37</v>
      </c>
      <c r="SU370" s="12" t="s">
        <v>37</v>
      </c>
      <c r="SV370" s="12" t="s">
        <v>37</v>
      </c>
      <c r="SW370" s="12" t="s">
        <v>37</v>
      </c>
      <c r="SX370" s="12" t="s">
        <v>37</v>
      </c>
      <c r="SY370" s="12" t="s">
        <v>37</v>
      </c>
      <c r="SZ370" s="12" t="s">
        <v>37</v>
      </c>
      <c r="TA370" s="12"/>
      <c r="TB370" s="12"/>
      <c r="TE370" s="12" t="s">
        <v>37</v>
      </c>
      <c r="TF370" s="12" t="s">
        <v>37</v>
      </c>
      <c r="TG370" s="12" t="s">
        <v>37</v>
      </c>
      <c r="TH370" s="12" t="s">
        <v>37</v>
      </c>
      <c r="TI370" s="12" t="s">
        <v>37</v>
      </c>
      <c r="TJ370" s="12" t="s">
        <v>37</v>
      </c>
      <c r="TK370" s="12"/>
      <c r="TL370" s="12"/>
      <c r="TO370" s="12" t="s">
        <v>37</v>
      </c>
      <c r="TP370" s="12" t="s">
        <v>37</v>
      </c>
      <c r="TQ370" s="12" t="s">
        <v>37</v>
      </c>
      <c r="TR370" s="12" t="s">
        <v>37</v>
      </c>
      <c r="TS370" s="12" t="s">
        <v>37</v>
      </c>
      <c r="TT370" s="12" t="s">
        <v>37</v>
      </c>
      <c r="TU370" s="12"/>
      <c r="TV370" s="12"/>
      <c r="TY370" s="12" t="s">
        <v>37</v>
      </c>
      <c r="TZ370" s="12" t="s">
        <v>37</v>
      </c>
      <c r="UA370" s="12" t="s">
        <v>37</v>
      </c>
      <c r="UB370" s="12" t="s">
        <v>37</v>
      </c>
      <c r="UC370" s="12" t="s">
        <v>37</v>
      </c>
      <c r="UD370" s="12" t="s">
        <v>37</v>
      </c>
      <c r="UE370" s="12"/>
      <c r="UF370" s="12"/>
      <c r="UI370" s="12" t="s">
        <v>37</v>
      </c>
      <c r="UJ370" s="12" t="s">
        <v>37</v>
      </c>
      <c r="UK370" s="12" t="s">
        <v>37</v>
      </c>
      <c r="UL370" s="12" t="s">
        <v>37</v>
      </c>
      <c r="UM370" s="12" t="s">
        <v>37</v>
      </c>
      <c r="UN370" s="12" t="s">
        <v>37</v>
      </c>
      <c r="UO370" s="12"/>
      <c r="UP370" s="12"/>
      <c r="UR370" s="12" t="s">
        <v>37</v>
      </c>
      <c r="US370" s="12" t="s">
        <v>37</v>
      </c>
      <c r="UT370" s="12" t="s">
        <v>37</v>
      </c>
      <c r="UU370" s="12" t="s">
        <v>37</v>
      </c>
      <c r="UV370" s="12" t="s">
        <v>37</v>
      </c>
      <c r="UW370" s="12" t="s">
        <v>37</v>
      </c>
      <c r="UX370" s="12"/>
      <c r="UY370" s="12"/>
      <c r="VB370" s="12" t="s">
        <v>37</v>
      </c>
      <c r="VC370" s="12" t="s">
        <v>37</v>
      </c>
      <c r="VD370" s="12" t="s">
        <v>37</v>
      </c>
      <c r="VE370" s="12" t="s">
        <v>37</v>
      </c>
      <c r="VF370" s="12" t="s">
        <v>37</v>
      </c>
      <c r="VG370" s="12" t="s">
        <v>37</v>
      </c>
      <c r="VI370" s="12" t="s">
        <v>37</v>
      </c>
      <c r="VJ370" s="12" t="s">
        <v>37</v>
      </c>
      <c r="VK370" s="12" t="s">
        <v>37</v>
      </c>
      <c r="VL370" s="12" t="s">
        <v>37</v>
      </c>
      <c r="VM370" s="12" t="s">
        <v>37</v>
      </c>
      <c r="VN370" s="12" t="s">
        <v>37</v>
      </c>
      <c r="VQ370" s="12" t="s">
        <v>37</v>
      </c>
      <c r="VR370" s="12" t="s">
        <v>37</v>
      </c>
      <c r="VS370" s="12" t="s">
        <v>37</v>
      </c>
      <c r="VT370" s="12" t="s">
        <v>37</v>
      </c>
      <c r="VU370" s="12" t="s">
        <v>37</v>
      </c>
      <c r="VV370" s="12" t="s">
        <v>37</v>
      </c>
      <c r="VW370" s="12"/>
      <c r="VX370" s="12"/>
      <c r="WA370" s="12" t="s">
        <v>37</v>
      </c>
      <c r="WB370" s="12" t="s">
        <v>37</v>
      </c>
      <c r="WC370" s="12" t="s">
        <v>37</v>
      </c>
      <c r="WD370" s="12" t="s">
        <v>37</v>
      </c>
      <c r="WE370" s="12" t="s">
        <v>37</v>
      </c>
      <c r="WF370" s="12" t="s">
        <v>37</v>
      </c>
    </row>
    <row r="371" spans="1:604" ht="18" customHeight="1" x14ac:dyDescent="0.3">
      <c r="A371" s="11">
        <v>79</v>
      </c>
      <c r="B371" s="16" t="s">
        <v>454</v>
      </c>
      <c r="C371" s="12" t="s">
        <v>32</v>
      </c>
      <c r="D371" s="12" t="s">
        <v>1039</v>
      </c>
      <c r="E371" s="40">
        <f t="shared" si="1372"/>
        <v>5.15</v>
      </c>
      <c r="F371" s="14">
        <v>0</v>
      </c>
      <c r="G371" s="14">
        <v>0</v>
      </c>
      <c r="H371" s="12" t="s">
        <v>79</v>
      </c>
      <c r="I371" s="29">
        <v>32.799999999999997</v>
      </c>
      <c r="J371" s="29">
        <v>102.55</v>
      </c>
      <c r="K371" s="12" t="s">
        <v>690</v>
      </c>
      <c r="L371" s="12" t="s">
        <v>691</v>
      </c>
      <c r="M371" s="13">
        <v>3500</v>
      </c>
      <c r="N371" s="14">
        <v>0.9</v>
      </c>
      <c r="O371" s="14">
        <v>744</v>
      </c>
      <c r="P371" s="14" t="s">
        <v>16</v>
      </c>
      <c r="Q371" s="75">
        <v>3.5</v>
      </c>
      <c r="R371" s="11" t="s">
        <v>37</v>
      </c>
      <c r="S371" s="12" t="s">
        <v>85</v>
      </c>
      <c r="T371" s="12" t="s">
        <v>138</v>
      </c>
      <c r="U371" s="12" t="s">
        <v>158</v>
      </c>
      <c r="V371" s="12" t="s">
        <v>275</v>
      </c>
      <c r="W371" s="23" t="s">
        <v>353</v>
      </c>
      <c r="X371" s="12" t="s">
        <v>280</v>
      </c>
      <c r="Y371" s="12" t="s">
        <v>37</v>
      </c>
      <c r="Z371" s="12" t="s">
        <v>37</v>
      </c>
      <c r="AA371" s="32" t="s">
        <v>345</v>
      </c>
      <c r="AB371" s="12">
        <v>6.7</v>
      </c>
      <c r="AC371" s="12" t="s">
        <v>42</v>
      </c>
      <c r="AD371" s="32" t="s">
        <v>345</v>
      </c>
      <c r="AE371" s="12">
        <v>350</v>
      </c>
      <c r="AF371" s="12" t="s">
        <v>42</v>
      </c>
      <c r="AG371" s="32" t="s">
        <v>345</v>
      </c>
      <c r="AH371" s="12">
        <v>15</v>
      </c>
      <c r="AJ371" s="12" t="str">
        <f t="shared" si="1373"/>
        <v>0-10</v>
      </c>
      <c r="AK371" s="19">
        <f t="shared" si="1374"/>
        <v>23.333333333333332</v>
      </c>
      <c r="AL371" s="32" t="s">
        <v>458</v>
      </c>
      <c r="AM371" s="12" t="s">
        <v>344</v>
      </c>
      <c r="AO371" s="12" t="s">
        <v>37</v>
      </c>
      <c r="AP371" s="12" t="s">
        <v>238</v>
      </c>
      <c r="AQ371" s="12" t="s">
        <v>975</v>
      </c>
      <c r="AR371" s="12" t="s">
        <v>42</v>
      </c>
      <c r="AS371" s="32" t="s">
        <v>345</v>
      </c>
      <c r="AT371" s="12">
        <v>350</v>
      </c>
      <c r="AU371" s="50">
        <f t="shared" si="1365"/>
        <v>29.93450076866338</v>
      </c>
      <c r="AV371" s="13">
        <v>6</v>
      </c>
      <c r="AX371" s="12" t="s">
        <v>326</v>
      </c>
      <c r="AY371" s="12" t="s">
        <v>326</v>
      </c>
      <c r="AZ371" s="13" t="s">
        <v>326</v>
      </c>
      <c r="BE371" s="12" t="s">
        <v>326</v>
      </c>
      <c r="BF371" s="12" t="s">
        <v>326</v>
      </c>
      <c r="BG371" s="12" t="s">
        <v>326</v>
      </c>
      <c r="BI371" s="12" t="s">
        <v>326</v>
      </c>
      <c r="BJ371" s="12" t="s">
        <v>326</v>
      </c>
      <c r="BK371" s="12" t="s">
        <v>326</v>
      </c>
      <c r="BP371" s="12" t="s">
        <v>37</v>
      </c>
      <c r="BQ371" s="12" t="s">
        <v>37</v>
      </c>
      <c r="BR371" s="13" t="s">
        <v>37</v>
      </c>
      <c r="BT371" s="12" t="s">
        <v>37</v>
      </c>
      <c r="BU371" s="12" t="s">
        <v>37</v>
      </c>
      <c r="BV371" s="12" t="s">
        <v>37</v>
      </c>
      <c r="CA371" s="12" t="s">
        <v>37</v>
      </c>
      <c r="CB371" s="12" t="s">
        <v>37</v>
      </c>
      <c r="CC371" s="13" t="s">
        <v>37</v>
      </c>
      <c r="CE371" s="12" t="s">
        <v>37</v>
      </c>
      <c r="CF371" s="12" t="s">
        <v>37</v>
      </c>
      <c r="CG371" s="12" t="s">
        <v>37</v>
      </c>
      <c r="CN371" s="12" t="s">
        <v>37</v>
      </c>
      <c r="CO371" s="12" t="s">
        <v>37</v>
      </c>
      <c r="CP371" s="13" t="s">
        <v>37</v>
      </c>
      <c r="CR371" s="12" t="s">
        <v>37</v>
      </c>
      <c r="CS371" s="12" t="s">
        <v>37</v>
      </c>
      <c r="CT371" s="13" t="s">
        <v>37</v>
      </c>
      <c r="CX371" s="72"/>
      <c r="CY371" s="72"/>
      <c r="DA371" s="12" t="s">
        <v>37</v>
      </c>
      <c r="DB371" s="12" t="s">
        <v>37</v>
      </c>
      <c r="DC371" s="13" t="s">
        <v>37</v>
      </c>
      <c r="DE371" s="12" t="s">
        <v>37</v>
      </c>
      <c r="DF371" s="12" t="s">
        <v>37</v>
      </c>
      <c r="DG371" s="12" t="s">
        <v>37</v>
      </c>
      <c r="DN371" s="19" t="s">
        <v>37</v>
      </c>
      <c r="DO371" s="12" t="s">
        <v>37</v>
      </c>
      <c r="DP371" s="13" t="s">
        <v>37</v>
      </c>
      <c r="DR371" s="19" t="s">
        <v>37</v>
      </c>
      <c r="DS371" s="12" t="s">
        <v>37</v>
      </c>
      <c r="DT371" s="13" t="s">
        <v>37</v>
      </c>
      <c r="EA371" s="19" t="s">
        <v>37</v>
      </c>
      <c r="EB371" s="19" t="s">
        <v>37</v>
      </c>
      <c r="EC371" s="72" t="s">
        <v>37</v>
      </c>
      <c r="EE371" s="19" t="s">
        <v>37</v>
      </c>
      <c r="EF371" s="19" t="s">
        <v>37</v>
      </c>
      <c r="EG371" s="12" t="s">
        <v>37</v>
      </c>
      <c r="EN371" s="12" t="s">
        <v>37</v>
      </c>
      <c r="EO371" s="12" t="s">
        <v>37</v>
      </c>
      <c r="EP371" s="13" t="s">
        <v>37</v>
      </c>
      <c r="ER371" s="12" t="s">
        <v>37</v>
      </c>
      <c r="ES371" s="12" t="s">
        <v>37</v>
      </c>
      <c r="ET371" s="13" t="s">
        <v>37</v>
      </c>
      <c r="FB371" s="12" t="s">
        <v>37</v>
      </c>
      <c r="FC371" s="12" t="s">
        <v>37</v>
      </c>
      <c r="FD371" s="12" t="s">
        <v>37</v>
      </c>
      <c r="FE371" s="12" t="s">
        <v>37</v>
      </c>
      <c r="FF371" s="20" t="s">
        <v>37</v>
      </c>
      <c r="FG371" s="12" t="s">
        <v>37</v>
      </c>
      <c r="FI371" s="12" t="s">
        <v>37</v>
      </c>
      <c r="FJ371" s="12" t="s">
        <v>37</v>
      </c>
      <c r="FK371" s="12" t="s">
        <v>37</v>
      </c>
      <c r="FL371" s="12" t="s">
        <v>37</v>
      </c>
      <c r="FM371" s="12" t="s">
        <v>37</v>
      </c>
      <c r="FN371" s="12" t="s">
        <v>37</v>
      </c>
      <c r="FP371" s="12" t="s">
        <v>37</v>
      </c>
      <c r="FQ371" s="12" t="s">
        <v>37</v>
      </c>
      <c r="FR371" s="12" t="s">
        <v>37</v>
      </c>
      <c r="FS371" s="12" t="s">
        <v>37</v>
      </c>
      <c r="FT371" s="12" t="s">
        <v>37</v>
      </c>
      <c r="FU371" s="12" t="s">
        <v>37</v>
      </c>
      <c r="FW371" s="12" t="s">
        <v>37</v>
      </c>
      <c r="FX371" s="12" t="s">
        <v>37</v>
      </c>
      <c r="FY371" s="12" t="s">
        <v>37</v>
      </c>
      <c r="FZ371" s="12" t="s">
        <v>37</v>
      </c>
      <c r="GA371" s="12" t="s">
        <v>37</v>
      </c>
      <c r="GB371" s="12" t="s">
        <v>37</v>
      </c>
      <c r="IK371" s="12" t="s">
        <v>37</v>
      </c>
      <c r="IL371" s="12" t="s">
        <v>37</v>
      </c>
      <c r="IM371" s="12" t="s">
        <v>37</v>
      </c>
      <c r="IO371" s="12" t="s">
        <v>37</v>
      </c>
      <c r="IP371" s="12" t="s">
        <v>37</v>
      </c>
      <c r="IQ371" s="12" t="s">
        <v>37</v>
      </c>
      <c r="IV371" s="32" t="s">
        <v>345</v>
      </c>
      <c r="IW371" s="12">
        <v>6.7</v>
      </c>
      <c r="IX371" s="50">
        <f t="shared" si="1366"/>
        <v>0.24530537560775503</v>
      </c>
      <c r="IY371" s="13">
        <v>6</v>
      </c>
      <c r="JH371" s="12" t="s">
        <v>37</v>
      </c>
      <c r="JI371" s="12" t="s">
        <v>37</v>
      </c>
      <c r="JJ371" s="13" t="s">
        <v>37</v>
      </c>
      <c r="JL371" s="12" t="s">
        <v>37</v>
      </c>
      <c r="JM371" s="12" t="s">
        <v>37</v>
      </c>
      <c r="JN371" s="12" t="s">
        <v>37</v>
      </c>
      <c r="JS371" s="12" t="s">
        <v>37</v>
      </c>
      <c r="JT371" s="12" t="s">
        <v>37</v>
      </c>
      <c r="JU371" s="13" t="s">
        <v>37</v>
      </c>
      <c r="JW371" s="12" t="s">
        <v>37</v>
      </c>
      <c r="JX371" s="12" t="s">
        <v>37</v>
      </c>
      <c r="JY371" s="12" t="s">
        <v>37</v>
      </c>
      <c r="KE371" s="12" t="s">
        <v>37</v>
      </c>
      <c r="KF371" s="12" t="s">
        <v>37</v>
      </c>
      <c r="KG371" s="13" t="s">
        <v>37</v>
      </c>
      <c r="KH371" s="12" t="s">
        <v>37</v>
      </c>
      <c r="KI371" s="12" t="s">
        <v>37</v>
      </c>
      <c r="KJ371" s="12" t="s">
        <v>37</v>
      </c>
      <c r="KK371" s="12" t="s">
        <v>42</v>
      </c>
      <c r="KL371" s="32" t="s">
        <v>345</v>
      </c>
      <c r="KM371" s="12">
        <v>15</v>
      </c>
      <c r="KN371" s="50">
        <f t="shared" si="1367"/>
        <v>1.7893956207728923</v>
      </c>
      <c r="KO371" s="11">
        <v>6</v>
      </c>
      <c r="KS371" s="12"/>
      <c r="KX371" s="12" t="s">
        <v>37</v>
      </c>
      <c r="KY371" s="12" t="s">
        <v>37</v>
      </c>
      <c r="KZ371" s="12" t="s">
        <v>37</v>
      </c>
      <c r="LB371" s="12" t="s">
        <v>37</v>
      </c>
      <c r="LC371" s="12" t="s">
        <v>37</v>
      </c>
      <c r="LD371" s="12" t="s">
        <v>37</v>
      </c>
      <c r="LI371" s="12" t="s">
        <v>37</v>
      </c>
      <c r="LJ371" s="12" t="s">
        <v>37</v>
      </c>
      <c r="LK371" s="12" t="s">
        <v>37</v>
      </c>
      <c r="LM371" s="12" t="s">
        <v>37</v>
      </c>
      <c r="LN371" s="12" t="s">
        <v>37</v>
      </c>
      <c r="LO371" s="12" t="s">
        <v>37</v>
      </c>
      <c r="LT371" s="12" t="str">
        <f t="shared" si="1368"/>
        <v>0-10</v>
      </c>
      <c r="LU371" s="12">
        <f t="shared" si="1369"/>
        <v>23.333333333333332</v>
      </c>
      <c r="LV371" s="12">
        <f t="shared" si="1370"/>
        <v>3.4249742755356465</v>
      </c>
      <c r="LW371" s="13">
        <f t="shared" si="1371"/>
        <v>6</v>
      </c>
      <c r="MF371" s="12" t="s">
        <v>37</v>
      </c>
      <c r="MG371" s="12" t="s">
        <v>37</v>
      </c>
      <c r="MH371" s="12" t="s">
        <v>37</v>
      </c>
      <c r="MJ371" s="12" t="s">
        <v>37</v>
      </c>
      <c r="MK371" s="12" t="s">
        <v>37</v>
      </c>
      <c r="ML371" s="12" t="s">
        <v>37</v>
      </c>
      <c r="MQ371" s="12" t="s">
        <v>37</v>
      </c>
      <c r="MR371" s="12" t="s">
        <v>37</v>
      </c>
      <c r="MS371" s="12" t="s">
        <v>37</v>
      </c>
      <c r="MU371" s="12" t="s">
        <v>37</v>
      </c>
      <c r="MV371" s="12" t="s">
        <v>37</v>
      </c>
      <c r="MW371" s="12" t="s">
        <v>37</v>
      </c>
      <c r="NC371" s="12" t="s">
        <v>37</v>
      </c>
      <c r="ND371" s="12" t="s">
        <v>37</v>
      </c>
      <c r="NE371" s="12" t="s">
        <v>37</v>
      </c>
      <c r="NG371" s="12" t="s">
        <v>37</v>
      </c>
      <c r="NH371" s="12" t="s">
        <v>37</v>
      </c>
      <c r="NI371" s="12" t="s">
        <v>37</v>
      </c>
      <c r="NO371" s="12" t="s">
        <v>37</v>
      </c>
      <c r="NP371" s="12" t="s">
        <v>37</v>
      </c>
      <c r="NQ371" s="12" t="s">
        <v>37</v>
      </c>
      <c r="NS371" s="12" t="s">
        <v>37</v>
      </c>
      <c r="NT371" s="12" t="s">
        <v>37</v>
      </c>
      <c r="NU371" s="12" t="s">
        <v>37</v>
      </c>
      <c r="OA371" s="12" t="s">
        <v>37</v>
      </c>
      <c r="OB371" s="12" t="s">
        <v>37</v>
      </c>
      <c r="OC371" s="12" t="s">
        <v>37</v>
      </c>
      <c r="OD371" s="12"/>
      <c r="OE371" s="12" t="s">
        <v>37</v>
      </c>
      <c r="OF371" s="12" t="s">
        <v>37</v>
      </c>
      <c r="OG371" s="12" t="s">
        <v>37</v>
      </c>
      <c r="OH371" s="12"/>
      <c r="OI371" s="12"/>
      <c r="OJ371" s="12"/>
      <c r="OM371" s="12" t="s">
        <v>37</v>
      </c>
      <c r="ON371" s="12" t="s">
        <v>37</v>
      </c>
      <c r="OO371" s="12" t="s">
        <v>37</v>
      </c>
      <c r="OP371" s="12" t="s">
        <v>37</v>
      </c>
      <c r="OQ371" s="12" t="s">
        <v>37</v>
      </c>
      <c r="OR371" s="12" t="s">
        <v>37</v>
      </c>
      <c r="OS371" s="12"/>
      <c r="OT371" s="12"/>
      <c r="OW371" s="12" t="s">
        <v>37</v>
      </c>
      <c r="OX371" s="12" t="s">
        <v>37</v>
      </c>
      <c r="OY371" s="13" t="s">
        <v>37</v>
      </c>
      <c r="OZ371" s="12" t="s">
        <v>37</v>
      </c>
      <c r="PA371" s="12" t="s">
        <v>37</v>
      </c>
      <c r="PB371" s="13" t="s">
        <v>37</v>
      </c>
      <c r="PG371" s="12" t="s">
        <v>37</v>
      </c>
      <c r="PH371" s="12" t="s">
        <v>37</v>
      </c>
      <c r="PI371" s="12" t="s">
        <v>37</v>
      </c>
      <c r="PJ371" s="12" t="s">
        <v>37</v>
      </c>
      <c r="PK371" s="12" t="s">
        <v>37</v>
      </c>
      <c r="PL371" s="12" t="s">
        <v>37</v>
      </c>
      <c r="PM371" s="12"/>
      <c r="PN371" s="12"/>
      <c r="PQ371" s="12" t="s">
        <v>37</v>
      </c>
      <c r="PR371" s="12" t="s">
        <v>37</v>
      </c>
      <c r="PS371" s="12" t="s">
        <v>37</v>
      </c>
      <c r="PT371" s="12" t="s">
        <v>37</v>
      </c>
      <c r="PU371" s="12" t="s">
        <v>37</v>
      </c>
      <c r="PV371" s="12" t="s">
        <v>37</v>
      </c>
      <c r="PW371" s="12"/>
      <c r="PX371" s="12"/>
      <c r="PZ371" s="12" t="s">
        <v>37</v>
      </c>
      <c r="QA371" s="12" t="s">
        <v>37</v>
      </c>
      <c r="QB371" s="12" t="s">
        <v>37</v>
      </c>
      <c r="QD371" s="12" t="s">
        <v>37</v>
      </c>
      <c r="QE371" s="12" t="s">
        <v>37</v>
      </c>
      <c r="QF371" s="12" t="s">
        <v>37</v>
      </c>
      <c r="QK371" s="12" t="s">
        <v>37</v>
      </c>
      <c r="QL371" s="12" t="s">
        <v>37</v>
      </c>
      <c r="QM371" s="12" t="s">
        <v>37</v>
      </c>
      <c r="QN371" s="12" t="s">
        <v>37</v>
      </c>
      <c r="QO371" s="12" t="s">
        <v>37</v>
      </c>
      <c r="QP371" s="12" t="s">
        <v>37</v>
      </c>
      <c r="QQ371" s="12"/>
      <c r="QR371" s="12"/>
      <c r="QU371" s="12" t="s">
        <v>37</v>
      </c>
      <c r="QV371" s="12" t="s">
        <v>37</v>
      </c>
      <c r="QW371" s="12" t="s">
        <v>37</v>
      </c>
      <c r="QX371" s="12" t="s">
        <v>37</v>
      </c>
      <c r="QY371" s="12" t="s">
        <v>37</v>
      </c>
      <c r="QZ371" s="12" t="s">
        <v>37</v>
      </c>
      <c r="RC371" s="12" t="s">
        <v>37</v>
      </c>
      <c r="RD371" s="12" t="s">
        <v>37</v>
      </c>
      <c r="RE371" s="13" t="s">
        <v>37</v>
      </c>
      <c r="RF371" s="12" t="s">
        <v>37</v>
      </c>
      <c r="RG371" s="12" t="s">
        <v>37</v>
      </c>
      <c r="RH371" s="13" t="s">
        <v>37</v>
      </c>
      <c r="RK371" s="12" t="s">
        <v>37</v>
      </c>
      <c r="RL371" s="12" t="s">
        <v>37</v>
      </c>
      <c r="RM371" s="11" t="s">
        <v>37</v>
      </c>
      <c r="RN371" s="12" t="s">
        <v>37</v>
      </c>
      <c r="RO371" s="12" t="s">
        <v>37</v>
      </c>
      <c r="RP371" s="11" t="s">
        <v>37</v>
      </c>
      <c r="RS371" s="12" t="s">
        <v>37</v>
      </c>
      <c r="RT371" s="12" t="s">
        <v>37</v>
      </c>
      <c r="RU371" s="12" t="s">
        <v>37</v>
      </c>
      <c r="RV371" s="12" t="s">
        <v>37</v>
      </c>
      <c r="RW371" s="12" t="s">
        <v>37</v>
      </c>
      <c r="RX371" s="12" t="s">
        <v>37</v>
      </c>
      <c r="SA371" s="12" t="s">
        <v>37</v>
      </c>
      <c r="SB371" s="12" t="s">
        <v>37</v>
      </c>
      <c r="SC371" s="12" t="s">
        <v>37</v>
      </c>
      <c r="SD371" s="12" t="s">
        <v>37</v>
      </c>
      <c r="SE371" s="12" t="s">
        <v>37</v>
      </c>
      <c r="SF371" s="12" t="s">
        <v>37</v>
      </c>
      <c r="SI371" s="12" t="s">
        <v>37</v>
      </c>
      <c r="SJ371" s="12" t="s">
        <v>37</v>
      </c>
      <c r="SK371" s="13" t="s">
        <v>37</v>
      </c>
      <c r="SM371" s="12" t="s">
        <v>37</v>
      </c>
      <c r="SN371" s="12" t="s">
        <v>37</v>
      </c>
      <c r="SO371" s="13" t="s">
        <v>37</v>
      </c>
      <c r="SU371" s="12" t="s">
        <v>37</v>
      </c>
      <c r="SV371" s="12" t="s">
        <v>37</v>
      </c>
      <c r="SW371" s="12" t="s">
        <v>37</v>
      </c>
      <c r="SX371" s="12" t="s">
        <v>37</v>
      </c>
      <c r="SY371" s="12" t="s">
        <v>37</v>
      </c>
      <c r="SZ371" s="12" t="s">
        <v>37</v>
      </c>
      <c r="TA371" s="12"/>
      <c r="TB371" s="12"/>
      <c r="TE371" s="12" t="s">
        <v>37</v>
      </c>
      <c r="TF371" s="12" t="s">
        <v>37</v>
      </c>
      <c r="TG371" s="12" t="s">
        <v>37</v>
      </c>
      <c r="TH371" s="12" t="s">
        <v>37</v>
      </c>
      <c r="TI371" s="12" t="s">
        <v>37</v>
      </c>
      <c r="TJ371" s="12" t="s">
        <v>37</v>
      </c>
      <c r="TK371" s="12"/>
      <c r="TL371" s="12"/>
      <c r="TO371" s="12" t="s">
        <v>37</v>
      </c>
      <c r="TP371" s="12" t="s">
        <v>37</v>
      </c>
      <c r="TQ371" s="12" t="s">
        <v>37</v>
      </c>
      <c r="TR371" s="12" t="s">
        <v>37</v>
      </c>
      <c r="TS371" s="12" t="s">
        <v>37</v>
      </c>
      <c r="TT371" s="12" t="s">
        <v>37</v>
      </c>
      <c r="TU371" s="12"/>
      <c r="TV371" s="12"/>
      <c r="TY371" s="12" t="s">
        <v>37</v>
      </c>
      <c r="TZ371" s="12" t="s">
        <v>37</v>
      </c>
      <c r="UA371" s="12" t="s">
        <v>37</v>
      </c>
      <c r="UB371" s="12" t="s">
        <v>37</v>
      </c>
      <c r="UC371" s="12" t="s">
        <v>37</v>
      </c>
      <c r="UD371" s="12" t="s">
        <v>37</v>
      </c>
      <c r="UE371" s="12"/>
      <c r="UF371" s="12"/>
      <c r="UI371" s="12" t="s">
        <v>37</v>
      </c>
      <c r="UJ371" s="12" t="s">
        <v>37</v>
      </c>
      <c r="UK371" s="12" t="s">
        <v>37</v>
      </c>
      <c r="UL371" s="12" t="s">
        <v>37</v>
      </c>
      <c r="UM371" s="12" t="s">
        <v>37</v>
      </c>
      <c r="UN371" s="12" t="s">
        <v>37</v>
      </c>
      <c r="UO371" s="12"/>
      <c r="UP371" s="12"/>
      <c r="UR371" s="12" t="s">
        <v>37</v>
      </c>
      <c r="US371" s="12" t="s">
        <v>37</v>
      </c>
      <c r="UT371" s="12" t="s">
        <v>37</v>
      </c>
      <c r="UU371" s="12" t="s">
        <v>37</v>
      </c>
      <c r="UV371" s="12" t="s">
        <v>37</v>
      </c>
      <c r="UW371" s="12" t="s">
        <v>37</v>
      </c>
      <c r="UX371" s="12"/>
      <c r="UY371" s="12"/>
      <c r="VB371" s="12" t="s">
        <v>37</v>
      </c>
      <c r="VC371" s="12" t="s">
        <v>37</v>
      </c>
      <c r="VD371" s="12" t="s">
        <v>37</v>
      </c>
      <c r="VE371" s="12" t="s">
        <v>37</v>
      </c>
      <c r="VF371" s="12" t="s">
        <v>37</v>
      </c>
      <c r="VG371" s="12" t="s">
        <v>37</v>
      </c>
      <c r="VI371" s="12" t="s">
        <v>37</v>
      </c>
      <c r="VJ371" s="12" t="s">
        <v>37</v>
      </c>
      <c r="VK371" s="12" t="s">
        <v>37</v>
      </c>
      <c r="VL371" s="12" t="s">
        <v>37</v>
      </c>
      <c r="VM371" s="12" t="s">
        <v>37</v>
      </c>
      <c r="VN371" s="12" t="s">
        <v>37</v>
      </c>
      <c r="VQ371" s="12" t="s">
        <v>37</v>
      </c>
      <c r="VR371" s="12" t="s">
        <v>37</v>
      </c>
      <c r="VS371" s="12" t="s">
        <v>37</v>
      </c>
      <c r="VT371" s="12" t="s">
        <v>37</v>
      </c>
      <c r="VU371" s="12" t="s">
        <v>37</v>
      </c>
      <c r="VV371" s="12" t="s">
        <v>37</v>
      </c>
      <c r="VW371" s="12"/>
      <c r="VX371" s="12"/>
      <c r="WA371" s="12" t="s">
        <v>37</v>
      </c>
      <c r="WB371" s="12" t="s">
        <v>37</v>
      </c>
      <c r="WC371" s="12" t="s">
        <v>37</v>
      </c>
      <c r="WD371" s="12" t="s">
        <v>37</v>
      </c>
      <c r="WE371" s="12" t="s">
        <v>37</v>
      </c>
      <c r="WF371" s="12" t="s">
        <v>37</v>
      </c>
    </row>
    <row r="372" spans="1:604" ht="18" customHeight="1" x14ac:dyDescent="0.3">
      <c r="A372" s="11">
        <v>79</v>
      </c>
      <c r="B372" s="16" t="s">
        <v>454</v>
      </c>
      <c r="C372" s="12" t="s">
        <v>31</v>
      </c>
      <c r="D372" s="12" t="s">
        <v>1039</v>
      </c>
      <c r="E372" s="40">
        <f t="shared" si="1372"/>
        <v>5.15</v>
      </c>
      <c r="F372" s="14">
        <v>0</v>
      </c>
      <c r="G372" s="14">
        <v>0</v>
      </c>
      <c r="H372" s="12" t="s">
        <v>79</v>
      </c>
      <c r="I372" s="29">
        <v>32.799999999999997</v>
      </c>
      <c r="J372" s="29">
        <v>102.55</v>
      </c>
      <c r="K372" s="12" t="s">
        <v>690</v>
      </c>
      <c r="L372" s="12" t="s">
        <v>691</v>
      </c>
      <c r="M372" s="13">
        <v>3500</v>
      </c>
      <c r="N372" s="14">
        <v>0.9</v>
      </c>
      <c r="O372" s="14">
        <v>744</v>
      </c>
      <c r="P372" s="14" t="s">
        <v>16</v>
      </c>
      <c r="Q372" s="75">
        <f>4/12</f>
        <v>0.33333333333333331</v>
      </c>
      <c r="R372" s="11" t="s">
        <v>1000</v>
      </c>
      <c r="S372" s="12" t="s">
        <v>85</v>
      </c>
      <c r="T372" s="12" t="s">
        <v>138</v>
      </c>
      <c r="U372" s="12" t="s">
        <v>158</v>
      </c>
      <c r="V372" s="12" t="s">
        <v>275</v>
      </c>
      <c r="W372" s="23" t="s">
        <v>353</v>
      </c>
      <c r="X372" s="12" t="s">
        <v>280</v>
      </c>
      <c r="Y372" s="12" t="s">
        <v>37</v>
      </c>
      <c r="Z372" s="12" t="s">
        <v>37</v>
      </c>
      <c r="AA372" s="32" t="s">
        <v>345</v>
      </c>
      <c r="AB372" s="12">
        <v>6.7</v>
      </c>
      <c r="AC372" s="12" t="s">
        <v>42</v>
      </c>
      <c r="AD372" s="32" t="s">
        <v>345</v>
      </c>
      <c r="AE372" s="12">
        <v>350</v>
      </c>
      <c r="AF372" s="12" t="s">
        <v>42</v>
      </c>
      <c r="AG372" s="32" t="s">
        <v>345</v>
      </c>
      <c r="AH372" s="12">
        <v>15</v>
      </c>
      <c r="AJ372" s="12" t="str">
        <f t="shared" si="1373"/>
        <v>0-10</v>
      </c>
      <c r="AK372" s="19">
        <f t="shared" si="1374"/>
        <v>23.333333333333332</v>
      </c>
      <c r="AL372" s="32" t="s">
        <v>646</v>
      </c>
      <c r="AM372" s="12" t="s">
        <v>317</v>
      </c>
      <c r="AN372" s="32" t="s">
        <v>880</v>
      </c>
      <c r="AO372" s="12" t="s">
        <v>37</v>
      </c>
      <c r="AP372" s="12" t="s">
        <v>238</v>
      </c>
      <c r="AQ372" s="12" t="s">
        <v>975</v>
      </c>
      <c r="AR372" s="12" t="s">
        <v>42</v>
      </c>
      <c r="AS372" s="32" t="s">
        <v>345</v>
      </c>
      <c r="AT372" s="12">
        <v>350</v>
      </c>
      <c r="AU372" s="50">
        <f t="shared" si="1365"/>
        <v>29.93450076866338</v>
      </c>
      <c r="AV372" s="13">
        <v>6</v>
      </c>
      <c r="AX372" s="12" t="s">
        <v>326</v>
      </c>
      <c r="AY372" s="12" t="s">
        <v>326</v>
      </c>
      <c r="AZ372" s="13" t="s">
        <v>326</v>
      </c>
      <c r="BE372" s="12" t="s">
        <v>326</v>
      </c>
      <c r="BF372" s="12" t="s">
        <v>326</v>
      </c>
      <c r="BG372" s="12" t="s">
        <v>326</v>
      </c>
      <c r="BI372" s="12" t="s">
        <v>326</v>
      </c>
      <c r="BJ372" s="12" t="s">
        <v>326</v>
      </c>
      <c r="BK372" s="12" t="s">
        <v>326</v>
      </c>
      <c r="BP372" s="12" t="s">
        <v>37</v>
      </c>
      <c r="BQ372" s="12" t="s">
        <v>37</v>
      </c>
      <c r="BR372" s="13" t="s">
        <v>37</v>
      </c>
      <c r="BT372" s="12" t="s">
        <v>37</v>
      </c>
      <c r="BU372" s="12" t="s">
        <v>37</v>
      </c>
      <c r="BV372" s="12" t="s">
        <v>37</v>
      </c>
      <c r="CA372" s="12" t="s">
        <v>37</v>
      </c>
      <c r="CB372" s="12" t="s">
        <v>37</v>
      </c>
      <c r="CC372" s="13" t="s">
        <v>37</v>
      </c>
      <c r="CE372" s="12" t="s">
        <v>37</v>
      </c>
      <c r="CF372" s="12" t="s">
        <v>37</v>
      </c>
      <c r="CG372" s="12" t="s">
        <v>37</v>
      </c>
      <c r="CN372" s="12" t="s">
        <v>37</v>
      </c>
      <c r="CO372" s="12" t="s">
        <v>37</v>
      </c>
      <c r="CP372" s="13" t="s">
        <v>37</v>
      </c>
      <c r="CR372" s="12" t="s">
        <v>37</v>
      </c>
      <c r="CS372" s="12" t="s">
        <v>37</v>
      </c>
      <c r="CT372" s="13" t="s">
        <v>37</v>
      </c>
      <c r="CX372" s="72"/>
      <c r="CY372" s="72"/>
      <c r="DA372" s="12" t="s">
        <v>37</v>
      </c>
      <c r="DB372" s="12" t="s">
        <v>37</v>
      </c>
      <c r="DC372" s="13" t="s">
        <v>37</v>
      </c>
      <c r="DE372" s="12" t="s">
        <v>37</v>
      </c>
      <c r="DF372" s="12" t="s">
        <v>37</v>
      </c>
      <c r="DG372" s="12" t="s">
        <v>37</v>
      </c>
      <c r="DN372" s="19" t="s">
        <v>37</v>
      </c>
      <c r="DO372" s="12" t="s">
        <v>37</v>
      </c>
      <c r="DP372" s="13" t="s">
        <v>37</v>
      </c>
      <c r="DR372" s="19" t="s">
        <v>37</v>
      </c>
      <c r="DS372" s="12" t="s">
        <v>37</v>
      </c>
      <c r="DT372" s="13" t="s">
        <v>37</v>
      </c>
      <c r="EA372" s="19" t="s">
        <v>37</v>
      </c>
      <c r="EB372" s="19" t="s">
        <v>37</v>
      </c>
      <c r="EC372" s="72" t="s">
        <v>37</v>
      </c>
      <c r="EE372" s="19" t="s">
        <v>37</v>
      </c>
      <c r="EF372" s="19" t="s">
        <v>37</v>
      </c>
      <c r="EG372" s="12" t="s">
        <v>37</v>
      </c>
      <c r="EM372" s="12" t="s">
        <v>39</v>
      </c>
      <c r="EN372" s="12">
        <v>-40.51870340955886</v>
      </c>
      <c r="EO372" s="12">
        <v>20.370209301600063</v>
      </c>
      <c r="EP372" s="13">
        <v>6</v>
      </c>
      <c r="EQ372" s="19">
        <f t="shared" si="1341"/>
        <v>0.5027359611115908</v>
      </c>
      <c r="ER372" s="12">
        <v>-50.351292976661703</v>
      </c>
      <c r="ES372" s="12">
        <v>17.957460020005087</v>
      </c>
      <c r="ET372" s="13">
        <v>6</v>
      </c>
      <c r="EU372" s="19">
        <f t="shared" si="1342"/>
        <v>0.356643473452182</v>
      </c>
      <c r="EV372" s="19">
        <f t="shared" ref="EV372:EV379" si="1375">ER372-EN372</f>
        <v>-9.8325895671028434</v>
      </c>
      <c r="EW372" s="12">
        <f t="shared" ref="EW372:EW379" si="1376">SQRT(((EP372-1)*EO372^2+(ET372-1)*ES372^2)/(EP372+ET372-2))</f>
        <v>19.201768113393552</v>
      </c>
      <c r="EX372" s="19">
        <f t="shared" ref="EX372:EX379" si="1377">(((EP372+ET372)/(EP372*ET372))*(((EP372-1)*EO372^2)+(ET372-1)*ES372^2)/(EP372+ET372-2))</f>
        <v>122.90263289351246</v>
      </c>
      <c r="EY372" s="19">
        <f t="shared" ref="EY372:EY379" si="1378">(EO372^2/EP372)+(ES372^2/ET372)</f>
        <v>122.90263289351248</v>
      </c>
      <c r="FB372" s="12" t="s">
        <v>37</v>
      </c>
      <c r="FC372" s="12" t="s">
        <v>37</v>
      </c>
      <c r="FD372" s="12" t="s">
        <v>37</v>
      </c>
      <c r="FE372" s="12" t="s">
        <v>37</v>
      </c>
      <c r="FF372" s="20" t="s">
        <v>37</v>
      </c>
      <c r="FG372" s="12" t="s">
        <v>37</v>
      </c>
      <c r="FI372" s="12" t="s">
        <v>37</v>
      </c>
      <c r="FJ372" s="12" t="s">
        <v>37</v>
      </c>
      <c r="FK372" s="12" t="s">
        <v>37</v>
      </c>
      <c r="FL372" s="12" t="s">
        <v>37</v>
      </c>
      <c r="FM372" s="12" t="s">
        <v>37</v>
      </c>
      <c r="FN372" s="12" t="s">
        <v>37</v>
      </c>
      <c r="FP372" s="12" t="s">
        <v>37</v>
      </c>
      <c r="FQ372" s="12" t="s">
        <v>37</v>
      </c>
      <c r="FR372" s="12" t="s">
        <v>37</v>
      </c>
      <c r="FS372" s="12" t="s">
        <v>37</v>
      </c>
      <c r="FT372" s="12" t="s">
        <v>37</v>
      </c>
      <c r="FU372" s="12" t="s">
        <v>37</v>
      </c>
      <c r="FW372" s="12" t="s">
        <v>37</v>
      </c>
      <c r="FX372" s="12" t="s">
        <v>37</v>
      </c>
      <c r="FY372" s="12" t="s">
        <v>37</v>
      </c>
      <c r="FZ372" s="12" t="s">
        <v>37</v>
      </c>
      <c r="GA372" s="12" t="s">
        <v>37</v>
      </c>
      <c r="GB372" s="12" t="s">
        <v>37</v>
      </c>
      <c r="IK372" s="12" t="s">
        <v>37</v>
      </c>
      <c r="IL372" s="12" t="s">
        <v>37</v>
      </c>
      <c r="IM372" s="12" t="s">
        <v>37</v>
      </c>
      <c r="IO372" s="12" t="s">
        <v>37</v>
      </c>
      <c r="IP372" s="12" t="s">
        <v>37</v>
      </c>
      <c r="IQ372" s="12" t="s">
        <v>37</v>
      </c>
      <c r="IV372" s="32" t="s">
        <v>345</v>
      </c>
      <c r="IW372" s="12">
        <v>6.7</v>
      </c>
      <c r="IX372" s="50">
        <f t="shared" si="1366"/>
        <v>0.24530537560775503</v>
      </c>
      <c r="IY372" s="13">
        <v>6</v>
      </c>
      <c r="JH372" s="12" t="s">
        <v>37</v>
      </c>
      <c r="JI372" s="12" t="s">
        <v>37</v>
      </c>
      <c r="JJ372" s="13" t="s">
        <v>37</v>
      </c>
      <c r="JL372" s="12" t="s">
        <v>37</v>
      </c>
      <c r="JM372" s="12" t="s">
        <v>37</v>
      </c>
      <c r="JN372" s="12" t="s">
        <v>37</v>
      </c>
      <c r="JS372" s="12" t="s">
        <v>37</v>
      </c>
      <c r="JT372" s="12" t="s">
        <v>37</v>
      </c>
      <c r="JU372" s="13" t="s">
        <v>37</v>
      </c>
      <c r="JW372" s="12" t="s">
        <v>37</v>
      </c>
      <c r="JX372" s="12" t="s">
        <v>37</v>
      </c>
      <c r="JY372" s="12" t="s">
        <v>37</v>
      </c>
      <c r="KE372" s="12" t="s">
        <v>37</v>
      </c>
      <c r="KF372" s="12" t="s">
        <v>37</v>
      </c>
      <c r="KG372" s="13" t="s">
        <v>37</v>
      </c>
      <c r="KH372" s="12" t="s">
        <v>37</v>
      </c>
      <c r="KI372" s="12" t="s">
        <v>37</v>
      </c>
      <c r="KJ372" s="12" t="s">
        <v>37</v>
      </c>
      <c r="KK372" s="12" t="s">
        <v>42</v>
      </c>
      <c r="KL372" s="32" t="s">
        <v>345</v>
      </c>
      <c r="KM372" s="12">
        <v>15</v>
      </c>
      <c r="KN372" s="50">
        <f t="shared" si="1367"/>
        <v>1.7893956207728923</v>
      </c>
      <c r="KO372" s="11">
        <v>6</v>
      </c>
      <c r="KS372" s="12"/>
      <c r="KX372" s="12" t="s">
        <v>37</v>
      </c>
      <c r="KY372" s="12" t="s">
        <v>37</v>
      </c>
      <c r="KZ372" s="12" t="s">
        <v>37</v>
      </c>
      <c r="LB372" s="12" t="s">
        <v>37</v>
      </c>
      <c r="LC372" s="12" t="s">
        <v>37</v>
      </c>
      <c r="LD372" s="12" t="s">
        <v>37</v>
      </c>
      <c r="LI372" s="12" t="s">
        <v>37</v>
      </c>
      <c r="LJ372" s="12" t="s">
        <v>37</v>
      </c>
      <c r="LK372" s="12" t="s">
        <v>37</v>
      </c>
      <c r="LM372" s="12" t="s">
        <v>37</v>
      </c>
      <c r="LN372" s="12" t="s">
        <v>37</v>
      </c>
      <c r="LO372" s="12" t="s">
        <v>37</v>
      </c>
      <c r="LT372" s="12" t="str">
        <f t="shared" si="1368"/>
        <v>0-10</v>
      </c>
      <c r="LU372" s="12">
        <f t="shared" si="1369"/>
        <v>23.333333333333332</v>
      </c>
      <c r="LV372" s="12">
        <f t="shared" si="1370"/>
        <v>3.4249742755356465</v>
      </c>
      <c r="LW372" s="13">
        <f t="shared" si="1371"/>
        <v>6</v>
      </c>
      <c r="MF372" s="12" t="s">
        <v>37</v>
      </c>
      <c r="MG372" s="12" t="s">
        <v>37</v>
      </c>
      <c r="MH372" s="12" t="s">
        <v>37</v>
      </c>
      <c r="MJ372" s="12" t="s">
        <v>37</v>
      </c>
      <c r="MK372" s="12" t="s">
        <v>37</v>
      </c>
      <c r="ML372" s="12" t="s">
        <v>37</v>
      </c>
      <c r="MQ372" s="12" t="s">
        <v>37</v>
      </c>
      <c r="MR372" s="12" t="s">
        <v>37</v>
      </c>
      <c r="MS372" s="12" t="s">
        <v>37</v>
      </c>
      <c r="MU372" s="12" t="s">
        <v>37</v>
      </c>
      <c r="MV372" s="12" t="s">
        <v>37</v>
      </c>
      <c r="MW372" s="12" t="s">
        <v>37</v>
      </c>
      <c r="NC372" s="12" t="s">
        <v>37</v>
      </c>
      <c r="ND372" s="12" t="s">
        <v>37</v>
      </c>
      <c r="NE372" s="12" t="s">
        <v>37</v>
      </c>
      <c r="NG372" s="12" t="s">
        <v>37</v>
      </c>
      <c r="NH372" s="12" t="s">
        <v>37</v>
      </c>
      <c r="NI372" s="12" t="s">
        <v>37</v>
      </c>
      <c r="NO372" s="12" t="s">
        <v>37</v>
      </c>
      <c r="NP372" s="12" t="s">
        <v>37</v>
      </c>
      <c r="NQ372" s="12" t="s">
        <v>37</v>
      </c>
      <c r="NS372" s="12" t="s">
        <v>37</v>
      </c>
      <c r="NT372" s="12" t="s">
        <v>37</v>
      </c>
      <c r="NU372" s="12" t="s">
        <v>37</v>
      </c>
      <c r="OA372" s="12" t="s">
        <v>37</v>
      </c>
      <c r="OB372" s="12" t="s">
        <v>37</v>
      </c>
      <c r="OC372" s="12" t="s">
        <v>37</v>
      </c>
      <c r="OD372" s="12"/>
      <c r="OE372" s="12" t="s">
        <v>37</v>
      </c>
      <c r="OF372" s="12" t="s">
        <v>37</v>
      </c>
      <c r="OG372" s="12" t="s">
        <v>37</v>
      </c>
      <c r="OH372" s="12"/>
      <c r="OI372" s="12"/>
      <c r="OJ372" s="12"/>
      <c r="OM372" s="12" t="s">
        <v>37</v>
      </c>
      <c r="ON372" s="12" t="s">
        <v>37</v>
      </c>
      <c r="OO372" s="12" t="s">
        <v>37</v>
      </c>
      <c r="OP372" s="12" t="s">
        <v>37</v>
      </c>
      <c r="OQ372" s="12" t="s">
        <v>37</v>
      </c>
      <c r="OR372" s="12" t="s">
        <v>37</v>
      </c>
      <c r="OS372" s="12"/>
      <c r="OT372" s="12"/>
      <c r="OW372" s="12" t="s">
        <v>37</v>
      </c>
      <c r="OX372" s="12" t="s">
        <v>37</v>
      </c>
      <c r="OY372" s="13" t="s">
        <v>37</v>
      </c>
      <c r="OZ372" s="12" t="s">
        <v>37</v>
      </c>
      <c r="PA372" s="12" t="s">
        <v>37</v>
      </c>
      <c r="PB372" s="13" t="s">
        <v>37</v>
      </c>
      <c r="PG372" s="12" t="s">
        <v>37</v>
      </c>
      <c r="PH372" s="12" t="s">
        <v>37</v>
      </c>
      <c r="PI372" s="12" t="s">
        <v>37</v>
      </c>
      <c r="PJ372" s="12" t="s">
        <v>37</v>
      </c>
      <c r="PK372" s="12" t="s">
        <v>37</v>
      </c>
      <c r="PL372" s="12" t="s">
        <v>37</v>
      </c>
      <c r="PM372" s="12"/>
      <c r="PN372" s="12"/>
      <c r="PQ372" s="12" t="s">
        <v>37</v>
      </c>
      <c r="PR372" s="12" t="s">
        <v>37</v>
      </c>
      <c r="PS372" s="12" t="s">
        <v>37</v>
      </c>
      <c r="PT372" s="12" t="s">
        <v>37</v>
      </c>
      <c r="PU372" s="12" t="s">
        <v>37</v>
      </c>
      <c r="PV372" s="12" t="s">
        <v>37</v>
      </c>
      <c r="PW372" s="12"/>
      <c r="PX372" s="12"/>
      <c r="PZ372" s="12" t="s">
        <v>37</v>
      </c>
      <c r="QA372" s="12" t="s">
        <v>37</v>
      </c>
      <c r="QB372" s="12" t="s">
        <v>37</v>
      </c>
      <c r="QD372" s="12" t="s">
        <v>37</v>
      </c>
      <c r="QE372" s="12" t="s">
        <v>37</v>
      </c>
      <c r="QF372" s="12" t="s">
        <v>37</v>
      </c>
      <c r="QK372" s="12" t="s">
        <v>37</v>
      </c>
      <c r="QL372" s="12" t="s">
        <v>37</v>
      </c>
      <c r="QM372" s="12" t="s">
        <v>37</v>
      </c>
      <c r="QN372" s="12" t="s">
        <v>37</v>
      </c>
      <c r="QO372" s="12" t="s">
        <v>37</v>
      </c>
      <c r="QP372" s="12" t="s">
        <v>37</v>
      </c>
      <c r="QQ372" s="12"/>
      <c r="QR372" s="12"/>
      <c r="QU372" s="12" t="s">
        <v>37</v>
      </c>
      <c r="QV372" s="12" t="s">
        <v>37</v>
      </c>
      <c r="QW372" s="12" t="s">
        <v>37</v>
      </c>
      <c r="QX372" s="12" t="s">
        <v>37</v>
      </c>
      <c r="QY372" s="12" t="s">
        <v>37</v>
      </c>
      <c r="QZ372" s="12" t="s">
        <v>37</v>
      </c>
      <c r="RC372" s="12" t="s">
        <v>37</v>
      </c>
      <c r="RD372" s="12" t="s">
        <v>37</v>
      </c>
      <c r="RE372" s="13" t="s">
        <v>37</v>
      </c>
      <c r="RF372" s="12" t="s">
        <v>37</v>
      </c>
      <c r="RG372" s="12" t="s">
        <v>37</v>
      </c>
      <c r="RH372" s="13" t="s">
        <v>37</v>
      </c>
      <c r="RK372" s="12" t="s">
        <v>37</v>
      </c>
      <c r="RL372" s="12" t="s">
        <v>37</v>
      </c>
      <c r="RM372" s="11" t="s">
        <v>37</v>
      </c>
      <c r="RN372" s="12" t="s">
        <v>37</v>
      </c>
      <c r="RO372" s="12" t="s">
        <v>37</v>
      </c>
      <c r="RP372" s="11" t="s">
        <v>37</v>
      </c>
      <c r="RS372" s="12" t="s">
        <v>37</v>
      </c>
      <c r="RT372" s="12" t="s">
        <v>37</v>
      </c>
      <c r="RU372" s="12" t="s">
        <v>37</v>
      </c>
      <c r="RV372" s="12" t="s">
        <v>37</v>
      </c>
      <c r="RW372" s="12" t="s">
        <v>37</v>
      </c>
      <c r="RX372" s="12" t="s">
        <v>37</v>
      </c>
      <c r="SA372" s="12" t="s">
        <v>37</v>
      </c>
      <c r="SB372" s="12" t="s">
        <v>37</v>
      </c>
      <c r="SC372" s="12" t="s">
        <v>37</v>
      </c>
      <c r="SD372" s="12" t="s">
        <v>37</v>
      </c>
      <c r="SE372" s="12" t="s">
        <v>37</v>
      </c>
      <c r="SF372" s="12" t="s">
        <v>37</v>
      </c>
      <c r="SI372" s="12" t="s">
        <v>37</v>
      </c>
      <c r="SJ372" s="12" t="s">
        <v>37</v>
      </c>
      <c r="SK372" s="13" t="s">
        <v>37</v>
      </c>
      <c r="SM372" s="12" t="s">
        <v>37</v>
      </c>
      <c r="SN372" s="12" t="s">
        <v>37</v>
      </c>
      <c r="SO372" s="13" t="s">
        <v>37</v>
      </c>
      <c r="SU372" s="12" t="s">
        <v>37</v>
      </c>
      <c r="SV372" s="12" t="s">
        <v>37</v>
      </c>
      <c r="SW372" s="12" t="s">
        <v>37</v>
      </c>
      <c r="SX372" s="12" t="s">
        <v>37</v>
      </c>
      <c r="SY372" s="12" t="s">
        <v>37</v>
      </c>
      <c r="SZ372" s="12" t="s">
        <v>37</v>
      </c>
      <c r="TA372" s="12"/>
      <c r="TB372" s="12"/>
      <c r="TE372" s="12" t="s">
        <v>37</v>
      </c>
      <c r="TF372" s="12" t="s">
        <v>37</v>
      </c>
      <c r="TG372" s="12" t="s">
        <v>37</v>
      </c>
      <c r="TH372" s="12" t="s">
        <v>37</v>
      </c>
      <c r="TI372" s="12" t="s">
        <v>37</v>
      </c>
      <c r="TJ372" s="12" t="s">
        <v>37</v>
      </c>
      <c r="TK372" s="12"/>
      <c r="TL372" s="12"/>
      <c r="TO372" s="12" t="s">
        <v>37</v>
      </c>
      <c r="TP372" s="12" t="s">
        <v>37</v>
      </c>
      <c r="TQ372" s="12" t="s">
        <v>37</v>
      </c>
      <c r="TR372" s="12" t="s">
        <v>37</v>
      </c>
      <c r="TS372" s="12" t="s">
        <v>37</v>
      </c>
      <c r="TT372" s="12" t="s">
        <v>37</v>
      </c>
      <c r="TU372" s="12"/>
      <c r="TV372" s="12"/>
      <c r="TY372" s="12" t="s">
        <v>37</v>
      </c>
      <c r="TZ372" s="12" t="s">
        <v>37</v>
      </c>
      <c r="UA372" s="12" t="s">
        <v>37</v>
      </c>
      <c r="UB372" s="12" t="s">
        <v>37</v>
      </c>
      <c r="UC372" s="12" t="s">
        <v>37</v>
      </c>
      <c r="UD372" s="12" t="s">
        <v>37</v>
      </c>
      <c r="UE372" s="12"/>
      <c r="UF372" s="12"/>
      <c r="UI372" s="12" t="s">
        <v>37</v>
      </c>
      <c r="UJ372" s="12" t="s">
        <v>37</v>
      </c>
      <c r="UK372" s="12" t="s">
        <v>37</v>
      </c>
      <c r="UL372" s="12" t="s">
        <v>37</v>
      </c>
      <c r="UM372" s="12" t="s">
        <v>37</v>
      </c>
      <c r="UN372" s="12" t="s">
        <v>37</v>
      </c>
      <c r="UO372" s="12"/>
      <c r="UP372" s="12"/>
      <c r="UR372" s="12" t="s">
        <v>37</v>
      </c>
      <c r="US372" s="12" t="s">
        <v>37</v>
      </c>
      <c r="UT372" s="12" t="s">
        <v>37</v>
      </c>
      <c r="UU372" s="12" t="s">
        <v>37</v>
      </c>
      <c r="UV372" s="12" t="s">
        <v>37</v>
      </c>
      <c r="UW372" s="12" t="s">
        <v>37</v>
      </c>
      <c r="UX372" s="12"/>
      <c r="UY372" s="12"/>
      <c r="VB372" s="12" t="s">
        <v>37</v>
      </c>
      <c r="VC372" s="12" t="s">
        <v>37</v>
      </c>
      <c r="VD372" s="12" t="s">
        <v>37</v>
      </c>
      <c r="VE372" s="12" t="s">
        <v>37</v>
      </c>
      <c r="VF372" s="12" t="s">
        <v>37</v>
      </c>
      <c r="VG372" s="12" t="s">
        <v>37</v>
      </c>
      <c r="VI372" s="12" t="s">
        <v>37</v>
      </c>
      <c r="VJ372" s="12" t="s">
        <v>37</v>
      </c>
      <c r="VK372" s="12" t="s">
        <v>37</v>
      </c>
      <c r="VL372" s="12" t="s">
        <v>37</v>
      </c>
      <c r="VM372" s="12" t="s">
        <v>37</v>
      </c>
      <c r="VN372" s="12" t="s">
        <v>37</v>
      </c>
      <c r="VQ372" s="12" t="s">
        <v>37</v>
      </c>
      <c r="VR372" s="12" t="s">
        <v>37</v>
      </c>
      <c r="VS372" s="12" t="s">
        <v>37</v>
      </c>
      <c r="VT372" s="12" t="s">
        <v>37</v>
      </c>
      <c r="VU372" s="12" t="s">
        <v>37</v>
      </c>
      <c r="VV372" s="12" t="s">
        <v>37</v>
      </c>
      <c r="VW372" s="12"/>
      <c r="VX372" s="12"/>
      <c r="WA372" s="12" t="s">
        <v>37</v>
      </c>
      <c r="WB372" s="12" t="s">
        <v>37</v>
      </c>
      <c r="WC372" s="12" t="s">
        <v>37</v>
      </c>
      <c r="WD372" s="12" t="s">
        <v>37</v>
      </c>
      <c r="WE372" s="12" t="s">
        <v>37</v>
      </c>
      <c r="WF372" s="12" t="s">
        <v>37</v>
      </c>
    </row>
    <row r="373" spans="1:604" ht="18" customHeight="1" x14ac:dyDescent="0.3">
      <c r="A373" s="11">
        <v>79</v>
      </c>
      <c r="B373" s="16" t="s">
        <v>454</v>
      </c>
      <c r="C373" s="12" t="s">
        <v>32</v>
      </c>
      <c r="D373" s="12" t="s">
        <v>1039</v>
      </c>
      <c r="E373" s="40">
        <f t="shared" si="1372"/>
        <v>5.15</v>
      </c>
      <c r="F373" s="14">
        <v>0</v>
      </c>
      <c r="G373" s="14">
        <v>0</v>
      </c>
      <c r="H373" s="12" t="s">
        <v>79</v>
      </c>
      <c r="I373" s="29">
        <v>32.799999999999997</v>
      </c>
      <c r="J373" s="29">
        <v>102.55</v>
      </c>
      <c r="K373" s="12" t="s">
        <v>690</v>
      </c>
      <c r="L373" s="12" t="s">
        <v>691</v>
      </c>
      <c r="M373" s="13">
        <v>3500</v>
      </c>
      <c r="N373" s="14">
        <v>0.9</v>
      </c>
      <c r="O373" s="14">
        <v>744</v>
      </c>
      <c r="P373" s="14" t="s">
        <v>16</v>
      </c>
      <c r="Q373" s="75">
        <f>4/12</f>
        <v>0.33333333333333331</v>
      </c>
      <c r="R373" s="11" t="s">
        <v>1000</v>
      </c>
      <c r="S373" s="12" t="s">
        <v>85</v>
      </c>
      <c r="T373" s="12" t="s">
        <v>138</v>
      </c>
      <c r="U373" s="12" t="s">
        <v>158</v>
      </c>
      <c r="V373" s="12" t="s">
        <v>275</v>
      </c>
      <c r="W373" s="23" t="s">
        <v>353</v>
      </c>
      <c r="X373" s="12" t="s">
        <v>280</v>
      </c>
      <c r="Y373" s="12" t="s">
        <v>37</v>
      </c>
      <c r="Z373" s="12" t="s">
        <v>37</v>
      </c>
      <c r="AA373" s="32" t="s">
        <v>345</v>
      </c>
      <c r="AB373" s="12">
        <v>6.7</v>
      </c>
      <c r="AC373" s="12" t="s">
        <v>42</v>
      </c>
      <c r="AD373" s="32" t="s">
        <v>345</v>
      </c>
      <c r="AE373" s="12">
        <v>350</v>
      </c>
      <c r="AF373" s="12" t="s">
        <v>42</v>
      </c>
      <c r="AG373" s="32" t="s">
        <v>345</v>
      </c>
      <c r="AH373" s="12">
        <v>15</v>
      </c>
      <c r="AJ373" s="12" t="str">
        <f t="shared" si="1373"/>
        <v>0-10</v>
      </c>
      <c r="AK373" s="19">
        <f t="shared" si="1374"/>
        <v>23.333333333333332</v>
      </c>
      <c r="AL373" s="32" t="s">
        <v>646</v>
      </c>
      <c r="AM373" s="12" t="s">
        <v>317</v>
      </c>
      <c r="AN373" s="32" t="s">
        <v>880</v>
      </c>
      <c r="AO373" s="12" t="s">
        <v>37</v>
      </c>
      <c r="AP373" s="12" t="s">
        <v>238</v>
      </c>
      <c r="AQ373" s="12" t="s">
        <v>975</v>
      </c>
      <c r="AR373" s="12" t="s">
        <v>42</v>
      </c>
      <c r="AS373" s="32" t="s">
        <v>345</v>
      </c>
      <c r="AT373" s="12">
        <v>350</v>
      </c>
      <c r="AU373" s="50">
        <f t="shared" si="1365"/>
        <v>29.93450076866338</v>
      </c>
      <c r="AV373" s="13">
        <v>6</v>
      </c>
      <c r="AX373" s="12" t="s">
        <v>326</v>
      </c>
      <c r="AY373" s="12" t="s">
        <v>326</v>
      </c>
      <c r="AZ373" s="13" t="s">
        <v>326</v>
      </c>
      <c r="BE373" s="12" t="s">
        <v>326</v>
      </c>
      <c r="BF373" s="12" t="s">
        <v>326</v>
      </c>
      <c r="BG373" s="12" t="s">
        <v>326</v>
      </c>
      <c r="BI373" s="12" t="s">
        <v>326</v>
      </c>
      <c r="BJ373" s="12" t="s">
        <v>326</v>
      </c>
      <c r="BK373" s="12" t="s">
        <v>326</v>
      </c>
      <c r="BP373" s="12" t="s">
        <v>37</v>
      </c>
      <c r="BQ373" s="12" t="s">
        <v>37</v>
      </c>
      <c r="BR373" s="13" t="s">
        <v>37</v>
      </c>
      <c r="BT373" s="12" t="s">
        <v>37</v>
      </c>
      <c r="BU373" s="12" t="s">
        <v>37</v>
      </c>
      <c r="BV373" s="12" t="s">
        <v>37</v>
      </c>
      <c r="CA373" s="12" t="s">
        <v>37</v>
      </c>
      <c r="CB373" s="12" t="s">
        <v>37</v>
      </c>
      <c r="CC373" s="13" t="s">
        <v>37</v>
      </c>
      <c r="CE373" s="12" t="s">
        <v>37</v>
      </c>
      <c r="CF373" s="12" t="s">
        <v>37</v>
      </c>
      <c r="CG373" s="12" t="s">
        <v>37</v>
      </c>
      <c r="CN373" s="12" t="s">
        <v>37</v>
      </c>
      <c r="CO373" s="12" t="s">
        <v>37</v>
      </c>
      <c r="CP373" s="13" t="s">
        <v>37</v>
      </c>
      <c r="CR373" s="12" t="s">
        <v>37</v>
      </c>
      <c r="CS373" s="12" t="s">
        <v>37</v>
      </c>
      <c r="CT373" s="13" t="s">
        <v>37</v>
      </c>
      <c r="CX373" s="72"/>
      <c r="CY373" s="72"/>
      <c r="DA373" s="12" t="s">
        <v>37</v>
      </c>
      <c r="DB373" s="12" t="s">
        <v>37</v>
      </c>
      <c r="DC373" s="13" t="s">
        <v>37</v>
      </c>
      <c r="DE373" s="12" t="s">
        <v>37</v>
      </c>
      <c r="DF373" s="12" t="s">
        <v>37</v>
      </c>
      <c r="DG373" s="12" t="s">
        <v>37</v>
      </c>
      <c r="DN373" s="19" t="s">
        <v>37</v>
      </c>
      <c r="DO373" s="12" t="s">
        <v>37</v>
      </c>
      <c r="DP373" s="13" t="s">
        <v>37</v>
      </c>
      <c r="DR373" s="19" t="s">
        <v>37</v>
      </c>
      <c r="DS373" s="12" t="s">
        <v>37</v>
      </c>
      <c r="DT373" s="13" t="s">
        <v>37</v>
      </c>
      <c r="EA373" s="19" t="s">
        <v>37</v>
      </c>
      <c r="EB373" s="19" t="s">
        <v>37</v>
      </c>
      <c r="EC373" s="72" t="s">
        <v>37</v>
      </c>
      <c r="EE373" s="19" t="s">
        <v>37</v>
      </c>
      <c r="EF373" s="19" t="s">
        <v>37</v>
      </c>
      <c r="EG373" s="12" t="s">
        <v>37</v>
      </c>
      <c r="EM373" s="12" t="s">
        <v>39</v>
      </c>
      <c r="EN373" s="12">
        <v>-40.51870340955886</v>
      </c>
      <c r="EO373" s="12">
        <v>20.370209301600063</v>
      </c>
      <c r="EP373" s="13">
        <v>6</v>
      </c>
      <c r="EQ373" s="19">
        <f t="shared" si="1341"/>
        <v>0.5027359611115908</v>
      </c>
      <c r="ER373" s="12">
        <v>-50.44953735219223</v>
      </c>
      <c r="ES373" s="12">
        <v>14.661286194047287</v>
      </c>
      <c r="ET373" s="13">
        <v>6</v>
      </c>
      <c r="EU373" s="19">
        <f t="shared" si="1342"/>
        <v>0.29061289683779817</v>
      </c>
      <c r="EV373" s="19">
        <f t="shared" si="1375"/>
        <v>-9.9308339426333703</v>
      </c>
      <c r="EW373" s="12">
        <f t="shared" si="1376"/>
        <v>17.746812951270368</v>
      </c>
      <c r="EX373" s="19">
        <f t="shared" si="1377"/>
        <v>104.98312330912589</v>
      </c>
      <c r="EY373" s="19">
        <f t="shared" si="1378"/>
        <v>104.98312330912589</v>
      </c>
      <c r="FB373" s="12" t="s">
        <v>37</v>
      </c>
      <c r="FC373" s="12" t="s">
        <v>37</v>
      </c>
      <c r="FD373" s="12" t="s">
        <v>37</v>
      </c>
      <c r="FE373" s="12" t="s">
        <v>37</v>
      </c>
      <c r="FF373" s="20" t="s">
        <v>37</v>
      </c>
      <c r="FG373" s="12" t="s">
        <v>37</v>
      </c>
      <c r="FI373" s="12" t="s">
        <v>37</v>
      </c>
      <c r="FJ373" s="12" t="s">
        <v>37</v>
      </c>
      <c r="FK373" s="12" t="s">
        <v>37</v>
      </c>
      <c r="FL373" s="12" t="s">
        <v>37</v>
      </c>
      <c r="FM373" s="12" t="s">
        <v>37</v>
      </c>
      <c r="FN373" s="12" t="s">
        <v>37</v>
      </c>
      <c r="FP373" s="12" t="s">
        <v>37</v>
      </c>
      <c r="FQ373" s="12" t="s">
        <v>37</v>
      </c>
      <c r="FR373" s="12" t="s">
        <v>37</v>
      </c>
      <c r="FS373" s="12" t="s">
        <v>37</v>
      </c>
      <c r="FT373" s="12" t="s">
        <v>37</v>
      </c>
      <c r="FU373" s="12" t="s">
        <v>37</v>
      </c>
      <c r="FW373" s="12" t="s">
        <v>37</v>
      </c>
      <c r="FX373" s="12" t="s">
        <v>37</v>
      </c>
      <c r="FY373" s="12" t="s">
        <v>37</v>
      </c>
      <c r="FZ373" s="12" t="s">
        <v>37</v>
      </c>
      <c r="GA373" s="12" t="s">
        <v>37</v>
      </c>
      <c r="GB373" s="12" t="s">
        <v>37</v>
      </c>
      <c r="IK373" s="12" t="s">
        <v>37</v>
      </c>
      <c r="IL373" s="12" t="s">
        <v>37</v>
      </c>
      <c r="IM373" s="12" t="s">
        <v>37</v>
      </c>
      <c r="IO373" s="12" t="s">
        <v>37</v>
      </c>
      <c r="IP373" s="12" t="s">
        <v>37</v>
      </c>
      <c r="IQ373" s="12" t="s">
        <v>37</v>
      </c>
      <c r="IV373" s="32" t="s">
        <v>345</v>
      </c>
      <c r="IW373" s="12">
        <v>6.7</v>
      </c>
      <c r="IX373" s="50">
        <f t="shared" si="1366"/>
        <v>0.24530537560775503</v>
      </c>
      <c r="IY373" s="13">
        <v>6</v>
      </c>
      <c r="JH373" s="12" t="s">
        <v>37</v>
      </c>
      <c r="JI373" s="12" t="s">
        <v>37</v>
      </c>
      <c r="JJ373" s="13" t="s">
        <v>37</v>
      </c>
      <c r="JL373" s="12" t="s">
        <v>37</v>
      </c>
      <c r="JM373" s="12" t="s">
        <v>37</v>
      </c>
      <c r="JN373" s="12" t="s">
        <v>37</v>
      </c>
      <c r="JS373" s="12" t="s">
        <v>37</v>
      </c>
      <c r="JT373" s="12" t="s">
        <v>37</v>
      </c>
      <c r="JU373" s="13" t="s">
        <v>37</v>
      </c>
      <c r="JW373" s="12" t="s">
        <v>37</v>
      </c>
      <c r="JX373" s="12" t="s">
        <v>37</v>
      </c>
      <c r="JY373" s="12" t="s">
        <v>37</v>
      </c>
      <c r="KE373" s="12" t="s">
        <v>37</v>
      </c>
      <c r="KF373" s="12" t="s">
        <v>37</v>
      </c>
      <c r="KG373" s="13" t="s">
        <v>37</v>
      </c>
      <c r="KH373" s="12" t="s">
        <v>37</v>
      </c>
      <c r="KI373" s="12" t="s">
        <v>37</v>
      </c>
      <c r="KJ373" s="12" t="s">
        <v>37</v>
      </c>
      <c r="KK373" s="12" t="s">
        <v>42</v>
      </c>
      <c r="KL373" s="32" t="s">
        <v>345</v>
      </c>
      <c r="KM373" s="12">
        <v>15</v>
      </c>
      <c r="KN373" s="50">
        <f t="shared" si="1367"/>
        <v>1.7893956207728923</v>
      </c>
      <c r="KO373" s="11">
        <v>6</v>
      </c>
      <c r="KS373" s="12"/>
      <c r="KX373" s="12" t="s">
        <v>37</v>
      </c>
      <c r="KY373" s="12" t="s">
        <v>37</v>
      </c>
      <c r="KZ373" s="12" t="s">
        <v>37</v>
      </c>
      <c r="LB373" s="12" t="s">
        <v>37</v>
      </c>
      <c r="LC373" s="12" t="s">
        <v>37</v>
      </c>
      <c r="LD373" s="12" t="s">
        <v>37</v>
      </c>
      <c r="LI373" s="12" t="s">
        <v>37</v>
      </c>
      <c r="LJ373" s="12" t="s">
        <v>37</v>
      </c>
      <c r="LK373" s="12" t="s">
        <v>37</v>
      </c>
      <c r="LM373" s="12" t="s">
        <v>37</v>
      </c>
      <c r="LN373" s="12" t="s">
        <v>37</v>
      </c>
      <c r="LO373" s="12" t="s">
        <v>37</v>
      </c>
      <c r="LT373" s="12" t="str">
        <f t="shared" si="1368"/>
        <v>0-10</v>
      </c>
      <c r="LU373" s="12">
        <f t="shared" si="1369"/>
        <v>23.333333333333332</v>
      </c>
      <c r="LV373" s="12">
        <f t="shared" si="1370"/>
        <v>3.4249742755356465</v>
      </c>
      <c r="LW373" s="13">
        <f t="shared" si="1371"/>
        <v>6</v>
      </c>
      <c r="MF373" s="12" t="s">
        <v>37</v>
      </c>
      <c r="MG373" s="12" t="s">
        <v>37</v>
      </c>
      <c r="MH373" s="12" t="s">
        <v>37</v>
      </c>
      <c r="MJ373" s="12" t="s">
        <v>37</v>
      </c>
      <c r="MK373" s="12" t="s">
        <v>37</v>
      </c>
      <c r="ML373" s="12" t="s">
        <v>37</v>
      </c>
      <c r="MQ373" s="12" t="s">
        <v>37</v>
      </c>
      <c r="MR373" s="12" t="s">
        <v>37</v>
      </c>
      <c r="MS373" s="12" t="s">
        <v>37</v>
      </c>
      <c r="MU373" s="12" t="s">
        <v>37</v>
      </c>
      <c r="MV373" s="12" t="s">
        <v>37</v>
      </c>
      <c r="MW373" s="12" t="s">
        <v>37</v>
      </c>
      <c r="NC373" s="12" t="s">
        <v>37</v>
      </c>
      <c r="ND373" s="12" t="s">
        <v>37</v>
      </c>
      <c r="NE373" s="12" t="s">
        <v>37</v>
      </c>
      <c r="NG373" s="12" t="s">
        <v>37</v>
      </c>
      <c r="NH373" s="12" t="s">
        <v>37</v>
      </c>
      <c r="NI373" s="12" t="s">
        <v>37</v>
      </c>
      <c r="NO373" s="12" t="s">
        <v>37</v>
      </c>
      <c r="NP373" s="12" t="s">
        <v>37</v>
      </c>
      <c r="NQ373" s="12" t="s">
        <v>37</v>
      </c>
      <c r="NS373" s="12" t="s">
        <v>37</v>
      </c>
      <c r="NT373" s="12" t="s">
        <v>37</v>
      </c>
      <c r="NU373" s="12" t="s">
        <v>37</v>
      </c>
      <c r="OA373" s="12" t="s">
        <v>37</v>
      </c>
      <c r="OB373" s="12" t="s">
        <v>37</v>
      </c>
      <c r="OC373" s="12" t="s">
        <v>37</v>
      </c>
      <c r="OD373" s="12"/>
      <c r="OE373" s="12" t="s">
        <v>37</v>
      </c>
      <c r="OF373" s="12" t="s">
        <v>37</v>
      </c>
      <c r="OG373" s="12" t="s">
        <v>37</v>
      </c>
      <c r="OH373" s="12"/>
      <c r="OI373" s="12"/>
      <c r="OJ373" s="12"/>
      <c r="OM373" s="12" t="s">
        <v>37</v>
      </c>
      <c r="ON373" s="12" t="s">
        <v>37</v>
      </c>
      <c r="OO373" s="12" t="s">
        <v>37</v>
      </c>
      <c r="OP373" s="12" t="s">
        <v>37</v>
      </c>
      <c r="OQ373" s="12" t="s">
        <v>37</v>
      </c>
      <c r="OR373" s="12" t="s">
        <v>37</v>
      </c>
      <c r="OS373" s="12"/>
      <c r="OT373" s="12"/>
      <c r="OW373" s="12" t="s">
        <v>37</v>
      </c>
      <c r="OX373" s="12" t="s">
        <v>37</v>
      </c>
      <c r="OY373" s="13" t="s">
        <v>37</v>
      </c>
      <c r="OZ373" s="12" t="s">
        <v>37</v>
      </c>
      <c r="PA373" s="12" t="s">
        <v>37</v>
      </c>
      <c r="PB373" s="13" t="s">
        <v>37</v>
      </c>
      <c r="PG373" s="12" t="s">
        <v>37</v>
      </c>
      <c r="PH373" s="12" t="s">
        <v>37</v>
      </c>
      <c r="PI373" s="12" t="s">
        <v>37</v>
      </c>
      <c r="PJ373" s="12" t="s">
        <v>37</v>
      </c>
      <c r="PK373" s="12" t="s">
        <v>37</v>
      </c>
      <c r="PL373" s="12" t="s">
        <v>37</v>
      </c>
      <c r="PM373" s="12"/>
      <c r="PN373" s="12"/>
      <c r="PQ373" s="12" t="s">
        <v>37</v>
      </c>
      <c r="PR373" s="12" t="s">
        <v>37</v>
      </c>
      <c r="PS373" s="12" t="s">
        <v>37</v>
      </c>
      <c r="PT373" s="12" t="s">
        <v>37</v>
      </c>
      <c r="PU373" s="12" t="s">
        <v>37</v>
      </c>
      <c r="PV373" s="12" t="s">
        <v>37</v>
      </c>
      <c r="PW373" s="12"/>
      <c r="PX373" s="12"/>
      <c r="PZ373" s="12" t="s">
        <v>37</v>
      </c>
      <c r="QA373" s="12" t="s">
        <v>37</v>
      </c>
      <c r="QB373" s="12" t="s">
        <v>37</v>
      </c>
      <c r="QD373" s="12" t="s">
        <v>37</v>
      </c>
      <c r="QE373" s="12" t="s">
        <v>37</v>
      </c>
      <c r="QF373" s="12" t="s">
        <v>37</v>
      </c>
      <c r="QK373" s="12" t="s">
        <v>37</v>
      </c>
      <c r="QL373" s="12" t="s">
        <v>37</v>
      </c>
      <c r="QM373" s="12" t="s">
        <v>37</v>
      </c>
      <c r="QN373" s="12" t="s">
        <v>37</v>
      </c>
      <c r="QO373" s="12" t="s">
        <v>37</v>
      </c>
      <c r="QP373" s="12" t="s">
        <v>37</v>
      </c>
      <c r="QQ373" s="12"/>
      <c r="QR373" s="12"/>
      <c r="QU373" s="12" t="s">
        <v>37</v>
      </c>
      <c r="QV373" s="12" t="s">
        <v>37</v>
      </c>
      <c r="QW373" s="12" t="s">
        <v>37</v>
      </c>
      <c r="QX373" s="12" t="s">
        <v>37</v>
      </c>
      <c r="QY373" s="12" t="s">
        <v>37</v>
      </c>
      <c r="QZ373" s="12" t="s">
        <v>37</v>
      </c>
      <c r="RC373" s="12" t="s">
        <v>37</v>
      </c>
      <c r="RD373" s="12" t="s">
        <v>37</v>
      </c>
      <c r="RE373" s="13" t="s">
        <v>37</v>
      </c>
      <c r="RF373" s="12" t="s">
        <v>37</v>
      </c>
      <c r="RG373" s="12" t="s">
        <v>37</v>
      </c>
      <c r="RH373" s="13" t="s">
        <v>37</v>
      </c>
      <c r="RK373" s="12" t="s">
        <v>37</v>
      </c>
      <c r="RL373" s="12" t="s">
        <v>37</v>
      </c>
      <c r="RM373" s="11" t="s">
        <v>37</v>
      </c>
      <c r="RN373" s="12" t="s">
        <v>37</v>
      </c>
      <c r="RO373" s="12" t="s">
        <v>37</v>
      </c>
      <c r="RP373" s="11" t="s">
        <v>37</v>
      </c>
      <c r="RS373" s="12" t="s">
        <v>37</v>
      </c>
      <c r="RT373" s="12" t="s">
        <v>37</v>
      </c>
      <c r="RU373" s="12" t="s">
        <v>37</v>
      </c>
      <c r="RV373" s="12" t="s">
        <v>37</v>
      </c>
      <c r="RW373" s="12" t="s">
        <v>37</v>
      </c>
      <c r="RX373" s="12" t="s">
        <v>37</v>
      </c>
      <c r="SA373" s="12" t="s">
        <v>37</v>
      </c>
      <c r="SB373" s="12" t="s">
        <v>37</v>
      </c>
      <c r="SC373" s="12" t="s">
        <v>37</v>
      </c>
      <c r="SD373" s="12" t="s">
        <v>37</v>
      </c>
      <c r="SE373" s="12" t="s">
        <v>37</v>
      </c>
      <c r="SF373" s="12" t="s">
        <v>37</v>
      </c>
      <c r="SI373" s="12" t="s">
        <v>37</v>
      </c>
      <c r="SJ373" s="12" t="s">
        <v>37</v>
      </c>
      <c r="SK373" s="13" t="s">
        <v>37</v>
      </c>
      <c r="SM373" s="12" t="s">
        <v>37</v>
      </c>
      <c r="SN373" s="12" t="s">
        <v>37</v>
      </c>
      <c r="SO373" s="13" t="s">
        <v>37</v>
      </c>
      <c r="SU373" s="12" t="s">
        <v>37</v>
      </c>
      <c r="SV373" s="12" t="s">
        <v>37</v>
      </c>
      <c r="SW373" s="12" t="s">
        <v>37</v>
      </c>
      <c r="SX373" s="12" t="s">
        <v>37</v>
      </c>
      <c r="SY373" s="12" t="s">
        <v>37</v>
      </c>
      <c r="SZ373" s="12" t="s">
        <v>37</v>
      </c>
      <c r="TA373" s="12"/>
      <c r="TB373" s="12"/>
      <c r="TE373" s="12" t="s">
        <v>37</v>
      </c>
      <c r="TF373" s="12" t="s">
        <v>37</v>
      </c>
      <c r="TG373" s="12" t="s">
        <v>37</v>
      </c>
      <c r="TH373" s="12" t="s">
        <v>37</v>
      </c>
      <c r="TI373" s="12" t="s">
        <v>37</v>
      </c>
      <c r="TJ373" s="12" t="s">
        <v>37</v>
      </c>
      <c r="TK373" s="12"/>
      <c r="TL373" s="12"/>
      <c r="TO373" s="12" t="s">
        <v>37</v>
      </c>
      <c r="TP373" s="12" t="s">
        <v>37</v>
      </c>
      <c r="TQ373" s="12" t="s">
        <v>37</v>
      </c>
      <c r="TR373" s="12" t="s">
        <v>37</v>
      </c>
      <c r="TS373" s="12" t="s">
        <v>37</v>
      </c>
      <c r="TT373" s="12" t="s">
        <v>37</v>
      </c>
      <c r="TU373" s="12"/>
      <c r="TV373" s="12"/>
      <c r="TY373" s="12" t="s">
        <v>37</v>
      </c>
      <c r="TZ373" s="12" t="s">
        <v>37</v>
      </c>
      <c r="UA373" s="12" t="s">
        <v>37</v>
      </c>
      <c r="UB373" s="12" t="s">
        <v>37</v>
      </c>
      <c r="UC373" s="12" t="s">
        <v>37</v>
      </c>
      <c r="UD373" s="12" t="s">
        <v>37</v>
      </c>
      <c r="UE373" s="12"/>
      <c r="UF373" s="12"/>
      <c r="UI373" s="12" t="s">
        <v>37</v>
      </c>
      <c r="UJ373" s="12" t="s">
        <v>37</v>
      </c>
      <c r="UK373" s="12" t="s">
        <v>37</v>
      </c>
      <c r="UL373" s="12" t="s">
        <v>37</v>
      </c>
      <c r="UM373" s="12" t="s">
        <v>37</v>
      </c>
      <c r="UN373" s="12" t="s">
        <v>37</v>
      </c>
      <c r="UO373" s="12"/>
      <c r="UP373" s="12"/>
      <c r="UR373" s="12" t="s">
        <v>37</v>
      </c>
      <c r="US373" s="12" t="s">
        <v>37</v>
      </c>
      <c r="UT373" s="12" t="s">
        <v>37</v>
      </c>
      <c r="UU373" s="12" t="s">
        <v>37</v>
      </c>
      <c r="UV373" s="12" t="s">
        <v>37</v>
      </c>
      <c r="UW373" s="12" t="s">
        <v>37</v>
      </c>
      <c r="UX373" s="12"/>
      <c r="UY373" s="12"/>
      <c r="VB373" s="12" t="s">
        <v>37</v>
      </c>
      <c r="VC373" s="12" t="s">
        <v>37</v>
      </c>
      <c r="VD373" s="12" t="s">
        <v>37</v>
      </c>
      <c r="VE373" s="12" t="s">
        <v>37</v>
      </c>
      <c r="VF373" s="12" t="s">
        <v>37</v>
      </c>
      <c r="VG373" s="12" t="s">
        <v>37</v>
      </c>
      <c r="VI373" s="12" t="s">
        <v>37</v>
      </c>
      <c r="VJ373" s="12" t="s">
        <v>37</v>
      </c>
      <c r="VK373" s="12" t="s">
        <v>37</v>
      </c>
      <c r="VL373" s="12" t="s">
        <v>37</v>
      </c>
      <c r="VM373" s="12" t="s">
        <v>37</v>
      </c>
      <c r="VN373" s="12" t="s">
        <v>37</v>
      </c>
      <c r="VQ373" s="12" t="s">
        <v>37</v>
      </c>
      <c r="VR373" s="12" t="s">
        <v>37</v>
      </c>
      <c r="VS373" s="12" t="s">
        <v>37</v>
      </c>
      <c r="VT373" s="12" t="s">
        <v>37</v>
      </c>
      <c r="VU373" s="12" t="s">
        <v>37</v>
      </c>
      <c r="VV373" s="12" t="s">
        <v>37</v>
      </c>
      <c r="VW373" s="12"/>
      <c r="VX373" s="12"/>
      <c r="WA373" s="12" t="s">
        <v>37</v>
      </c>
      <c r="WB373" s="12" t="s">
        <v>37</v>
      </c>
      <c r="WC373" s="12" t="s">
        <v>37</v>
      </c>
      <c r="WD373" s="12" t="s">
        <v>37</v>
      </c>
      <c r="WE373" s="12" t="s">
        <v>37</v>
      </c>
      <c r="WF373" s="12" t="s">
        <v>37</v>
      </c>
    </row>
    <row r="374" spans="1:604" ht="18" customHeight="1" x14ac:dyDescent="0.3">
      <c r="A374" s="11">
        <v>79</v>
      </c>
      <c r="B374" s="16" t="s">
        <v>454</v>
      </c>
      <c r="C374" s="12" t="s">
        <v>31</v>
      </c>
      <c r="D374" s="12" t="s">
        <v>1039</v>
      </c>
      <c r="E374" s="40">
        <f t="shared" si="1372"/>
        <v>5.15</v>
      </c>
      <c r="F374" s="14">
        <v>0</v>
      </c>
      <c r="G374" s="14">
        <v>0</v>
      </c>
      <c r="H374" s="12" t="s">
        <v>79</v>
      </c>
      <c r="I374" s="29">
        <v>32.799999999999997</v>
      </c>
      <c r="J374" s="29">
        <v>102.55</v>
      </c>
      <c r="K374" s="12" t="s">
        <v>690</v>
      </c>
      <c r="L374" s="12" t="s">
        <v>691</v>
      </c>
      <c r="M374" s="13">
        <v>3500</v>
      </c>
      <c r="N374" s="14">
        <v>0.9</v>
      </c>
      <c r="O374" s="14">
        <v>744</v>
      </c>
      <c r="P374" s="14" t="s">
        <v>16</v>
      </c>
      <c r="Q374" s="75">
        <v>1.5</v>
      </c>
      <c r="R374" s="11" t="s">
        <v>1000</v>
      </c>
      <c r="S374" s="12" t="s">
        <v>85</v>
      </c>
      <c r="T374" s="12" t="s">
        <v>138</v>
      </c>
      <c r="U374" s="12" t="s">
        <v>158</v>
      </c>
      <c r="V374" s="12" t="s">
        <v>275</v>
      </c>
      <c r="W374" s="23" t="s">
        <v>353</v>
      </c>
      <c r="X374" s="12" t="s">
        <v>280</v>
      </c>
      <c r="Y374" s="12" t="s">
        <v>37</v>
      </c>
      <c r="Z374" s="12" t="s">
        <v>37</v>
      </c>
      <c r="AA374" s="32" t="s">
        <v>345</v>
      </c>
      <c r="AB374" s="12">
        <v>6.7</v>
      </c>
      <c r="AC374" s="12" t="s">
        <v>42</v>
      </c>
      <c r="AD374" s="32" t="s">
        <v>345</v>
      </c>
      <c r="AE374" s="12">
        <v>350</v>
      </c>
      <c r="AF374" s="12" t="s">
        <v>42</v>
      </c>
      <c r="AG374" s="32" t="s">
        <v>345</v>
      </c>
      <c r="AH374" s="12">
        <v>15</v>
      </c>
      <c r="AJ374" s="12" t="str">
        <f t="shared" si="1373"/>
        <v>0-10</v>
      </c>
      <c r="AK374" s="19">
        <f t="shared" si="1374"/>
        <v>23.333333333333332</v>
      </c>
      <c r="AL374" s="32" t="s">
        <v>646</v>
      </c>
      <c r="AM374" s="12" t="s">
        <v>317</v>
      </c>
      <c r="AN374" s="32" t="s">
        <v>880</v>
      </c>
      <c r="AO374" s="12" t="s">
        <v>37</v>
      </c>
      <c r="AP374" s="12" t="s">
        <v>238</v>
      </c>
      <c r="AQ374" s="12" t="s">
        <v>975</v>
      </c>
      <c r="AR374" s="12" t="s">
        <v>42</v>
      </c>
      <c r="AS374" s="32" t="s">
        <v>345</v>
      </c>
      <c r="AT374" s="12">
        <v>350</v>
      </c>
      <c r="AU374" s="50">
        <f t="shared" si="1365"/>
        <v>29.93450076866338</v>
      </c>
      <c r="AV374" s="13">
        <v>6</v>
      </c>
      <c r="AX374" s="12" t="s">
        <v>326</v>
      </c>
      <c r="AY374" s="12" t="s">
        <v>326</v>
      </c>
      <c r="AZ374" s="13" t="s">
        <v>326</v>
      </c>
      <c r="BE374" s="12" t="s">
        <v>326</v>
      </c>
      <c r="BF374" s="12" t="s">
        <v>326</v>
      </c>
      <c r="BG374" s="12" t="s">
        <v>326</v>
      </c>
      <c r="BI374" s="12" t="s">
        <v>326</v>
      </c>
      <c r="BJ374" s="12" t="s">
        <v>326</v>
      </c>
      <c r="BK374" s="12" t="s">
        <v>326</v>
      </c>
      <c r="BP374" s="12" t="s">
        <v>37</v>
      </c>
      <c r="BQ374" s="12" t="s">
        <v>37</v>
      </c>
      <c r="BR374" s="13" t="s">
        <v>37</v>
      </c>
      <c r="BT374" s="12" t="s">
        <v>37</v>
      </c>
      <c r="BU374" s="12" t="s">
        <v>37</v>
      </c>
      <c r="BV374" s="12" t="s">
        <v>37</v>
      </c>
      <c r="CA374" s="12" t="s">
        <v>37</v>
      </c>
      <c r="CB374" s="12" t="s">
        <v>37</v>
      </c>
      <c r="CC374" s="13" t="s">
        <v>37</v>
      </c>
      <c r="CE374" s="12" t="s">
        <v>37</v>
      </c>
      <c r="CF374" s="12" t="s">
        <v>37</v>
      </c>
      <c r="CG374" s="12" t="s">
        <v>37</v>
      </c>
      <c r="CN374" s="12" t="s">
        <v>37</v>
      </c>
      <c r="CO374" s="12" t="s">
        <v>37</v>
      </c>
      <c r="CP374" s="13" t="s">
        <v>37</v>
      </c>
      <c r="CR374" s="12" t="s">
        <v>37</v>
      </c>
      <c r="CS374" s="12" t="s">
        <v>37</v>
      </c>
      <c r="CT374" s="13" t="s">
        <v>37</v>
      </c>
      <c r="CX374" s="72"/>
      <c r="CY374" s="72"/>
      <c r="DA374" s="12" t="s">
        <v>37</v>
      </c>
      <c r="DB374" s="12" t="s">
        <v>37</v>
      </c>
      <c r="DC374" s="13" t="s">
        <v>37</v>
      </c>
      <c r="DE374" s="12" t="s">
        <v>37</v>
      </c>
      <c r="DF374" s="12" t="s">
        <v>37</v>
      </c>
      <c r="DG374" s="12" t="s">
        <v>37</v>
      </c>
      <c r="DN374" s="19" t="s">
        <v>37</v>
      </c>
      <c r="DO374" s="12" t="s">
        <v>37</v>
      </c>
      <c r="DP374" s="13" t="s">
        <v>37</v>
      </c>
      <c r="DR374" s="19" t="s">
        <v>37</v>
      </c>
      <c r="DS374" s="12" t="s">
        <v>37</v>
      </c>
      <c r="DT374" s="13" t="s">
        <v>37</v>
      </c>
      <c r="EA374" s="19" t="s">
        <v>37</v>
      </c>
      <c r="EB374" s="19" t="s">
        <v>37</v>
      </c>
      <c r="EC374" s="72" t="s">
        <v>37</v>
      </c>
      <c r="EE374" s="19" t="s">
        <v>37</v>
      </c>
      <c r="EF374" s="19" t="s">
        <v>37</v>
      </c>
      <c r="EG374" s="12" t="s">
        <v>37</v>
      </c>
      <c r="EM374" s="12" t="s">
        <v>39</v>
      </c>
      <c r="EN374" s="12">
        <v>-18.43977174360656</v>
      </c>
      <c r="EO374" s="12">
        <v>7.4660723000216542</v>
      </c>
      <c r="EP374" s="13">
        <v>6</v>
      </c>
      <c r="EQ374" s="19">
        <f t="shared" si="1341"/>
        <v>0.40488962682579255</v>
      </c>
      <c r="ER374" s="12">
        <v>-32.926909210095033</v>
      </c>
      <c r="ES374" s="12">
        <v>5.9181798677139321</v>
      </c>
      <c r="ET374" s="13">
        <v>6</v>
      </c>
      <c r="EU374" s="19">
        <f t="shared" si="1342"/>
        <v>0.17973687812457911</v>
      </c>
      <c r="EV374" s="19">
        <f t="shared" si="1375"/>
        <v>-14.487137466488473</v>
      </c>
      <c r="EW374" s="12">
        <f t="shared" si="1376"/>
        <v>6.7367309778469382</v>
      </c>
      <c r="EX374" s="19">
        <f t="shared" si="1377"/>
        <v>15.127848089294186</v>
      </c>
      <c r="EY374" s="19">
        <f t="shared" si="1378"/>
        <v>15.127848089294186</v>
      </c>
      <c r="FB374" s="12" t="s">
        <v>37</v>
      </c>
      <c r="FC374" s="12" t="s">
        <v>37</v>
      </c>
      <c r="FD374" s="12" t="s">
        <v>37</v>
      </c>
      <c r="FE374" s="12" t="s">
        <v>37</v>
      </c>
      <c r="FF374" s="20" t="s">
        <v>37</v>
      </c>
      <c r="FG374" s="12" t="s">
        <v>37</v>
      </c>
      <c r="FI374" s="12" t="s">
        <v>37</v>
      </c>
      <c r="FJ374" s="12" t="s">
        <v>37</v>
      </c>
      <c r="FK374" s="12" t="s">
        <v>37</v>
      </c>
      <c r="FL374" s="12" t="s">
        <v>37</v>
      </c>
      <c r="FM374" s="12" t="s">
        <v>37</v>
      </c>
      <c r="FN374" s="12" t="s">
        <v>37</v>
      </c>
      <c r="FP374" s="12" t="s">
        <v>37</v>
      </c>
      <c r="FQ374" s="12" t="s">
        <v>37</v>
      </c>
      <c r="FR374" s="12" t="s">
        <v>37</v>
      </c>
      <c r="FS374" s="12" t="s">
        <v>37</v>
      </c>
      <c r="FT374" s="12" t="s">
        <v>37</v>
      </c>
      <c r="FU374" s="12" t="s">
        <v>37</v>
      </c>
      <c r="FW374" s="12" t="s">
        <v>37</v>
      </c>
      <c r="FX374" s="12" t="s">
        <v>37</v>
      </c>
      <c r="FY374" s="12" t="s">
        <v>37</v>
      </c>
      <c r="FZ374" s="12" t="s">
        <v>37</v>
      </c>
      <c r="GA374" s="12" t="s">
        <v>37</v>
      </c>
      <c r="GB374" s="12" t="s">
        <v>37</v>
      </c>
      <c r="IK374" s="12" t="s">
        <v>37</v>
      </c>
      <c r="IL374" s="12" t="s">
        <v>37</v>
      </c>
      <c r="IM374" s="12" t="s">
        <v>37</v>
      </c>
      <c r="IO374" s="12" t="s">
        <v>37</v>
      </c>
      <c r="IP374" s="12" t="s">
        <v>37</v>
      </c>
      <c r="IQ374" s="12" t="s">
        <v>37</v>
      </c>
      <c r="IV374" s="32" t="s">
        <v>345</v>
      </c>
      <c r="IW374" s="12">
        <v>6.7</v>
      </c>
      <c r="IX374" s="50">
        <f t="shared" si="1366"/>
        <v>0.24530537560775503</v>
      </c>
      <c r="IY374" s="13">
        <v>6</v>
      </c>
      <c r="JH374" s="12" t="s">
        <v>37</v>
      </c>
      <c r="JI374" s="12" t="s">
        <v>37</v>
      </c>
      <c r="JJ374" s="13" t="s">
        <v>37</v>
      </c>
      <c r="JL374" s="12" t="s">
        <v>37</v>
      </c>
      <c r="JM374" s="12" t="s">
        <v>37</v>
      </c>
      <c r="JN374" s="12" t="s">
        <v>37</v>
      </c>
      <c r="JS374" s="12" t="s">
        <v>37</v>
      </c>
      <c r="JT374" s="12" t="s">
        <v>37</v>
      </c>
      <c r="JU374" s="13" t="s">
        <v>37</v>
      </c>
      <c r="JW374" s="12" t="s">
        <v>37</v>
      </c>
      <c r="JX374" s="12" t="s">
        <v>37</v>
      </c>
      <c r="JY374" s="12" t="s">
        <v>37</v>
      </c>
      <c r="KE374" s="12" t="s">
        <v>37</v>
      </c>
      <c r="KF374" s="12" t="s">
        <v>37</v>
      </c>
      <c r="KG374" s="13" t="s">
        <v>37</v>
      </c>
      <c r="KH374" s="12" t="s">
        <v>37</v>
      </c>
      <c r="KI374" s="12" t="s">
        <v>37</v>
      </c>
      <c r="KJ374" s="12" t="s">
        <v>37</v>
      </c>
      <c r="KK374" s="12" t="s">
        <v>42</v>
      </c>
      <c r="KL374" s="32" t="s">
        <v>345</v>
      </c>
      <c r="KM374" s="12">
        <v>15</v>
      </c>
      <c r="KN374" s="50">
        <f t="shared" si="1367"/>
        <v>1.7893956207728923</v>
      </c>
      <c r="KO374" s="11">
        <v>6</v>
      </c>
      <c r="KS374" s="12"/>
      <c r="KX374" s="12" t="s">
        <v>37</v>
      </c>
      <c r="KY374" s="12" t="s">
        <v>37</v>
      </c>
      <c r="KZ374" s="12" t="s">
        <v>37</v>
      </c>
      <c r="LB374" s="12" t="s">
        <v>37</v>
      </c>
      <c r="LC374" s="12" t="s">
        <v>37</v>
      </c>
      <c r="LD374" s="12" t="s">
        <v>37</v>
      </c>
      <c r="LI374" s="12" t="s">
        <v>37</v>
      </c>
      <c r="LJ374" s="12" t="s">
        <v>37</v>
      </c>
      <c r="LK374" s="12" t="s">
        <v>37</v>
      </c>
      <c r="LM374" s="12" t="s">
        <v>37</v>
      </c>
      <c r="LN374" s="12" t="s">
        <v>37</v>
      </c>
      <c r="LO374" s="12" t="s">
        <v>37</v>
      </c>
      <c r="LT374" s="12" t="str">
        <f t="shared" si="1368"/>
        <v>0-10</v>
      </c>
      <c r="LU374" s="12">
        <f t="shared" si="1369"/>
        <v>23.333333333333332</v>
      </c>
      <c r="LV374" s="12">
        <f t="shared" si="1370"/>
        <v>3.4249742755356465</v>
      </c>
      <c r="LW374" s="13">
        <f t="shared" si="1371"/>
        <v>6</v>
      </c>
      <c r="MF374" s="12" t="s">
        <v>37</v>
      </c>
      <c r="MG374" s="12" t="s">
        <v>37</v>
      </c>
      <c r="MH374" s="12" t="s">
        <v>37</v>
      </c>
      <c r="MJ374" s="12" t="s">
        <v>37</v>
      </c>
      <c r="MK374" s="12" t="s">
        <v>37</v>
      </c>
      <c r="ML374" s="12" t="s">
        <v>37</v>
      </c>
      <c r="MQ374" s="12" t="s">
        <v>37</v>
      </c>
      <c r="MR374" s="12" t="s">
        <v>37</v>
      </c>
      <c r="MS374" s="12" t="s">
        <v>37</v>
      </c>
      <c r="MU374" s="12" t="s">
        <v>37</v>
      </c>
      <c r="MV374" s="12" t="s">
        <v>37</v>
      </c>
      <c r="MW374" s="12" t="s">
        <v>37</v>
      </c>
      <c r="NC374" s="12" t="s">
        <v>37</v>
      </c>
      <c r="ND374" s="12" t="s">
        <v>37</v>
      </c>
      <c r="NE374" s="12" t="s">
        <v>37</v>
      </c>
      <c r="NG374" s="12" t="s">
        <v>37</v>
      </c>
      <c r="NH374" s="12" t="s">
        <v>37</v>
      </c>
      <c r="NI374" s="12" t="s">
        <v>37</v>
      </c>
      <c r="NO374" s="12" t="s">
        <v>37</v>
      </c>
      <c r="NP374" s="12" t="s">
        <v>37</v>
      </c>
      <c r="NQ374" s="12" t="s">
        <v>37</v>
      </c>
      <c r="NS374" s="12" t="s">
        <v>37</v>
      </c>
      <c r="NT374" s="12" t="s">
        <v>37</v>
      </c>
      <c r="NU374" s="12" t="s">
        <v>37</v>
      </c>
      <c r="OA374" s="12" t="s">
        <v>37</v>
      </c>
      <c r="OB374" s="12" t="s">
        <v>37</v>
      </c>
      <c r="OC374" s="12" t="s">
        <v>37</v>
      </c>
      <c r="OD374" s="12"/>
      <c r="OE374" s="12" t="s">
        <v>37</v>
      </c>
      <c r="OF374" s="12" t="s">
        <v>37</v>
      </c>
      <c r="OG374" s="12" t="s">
        <v>37</v>
      </c>
      <c r="OH374" s="12"/>
      <c r="OI374" s="12"/>
      <c r="OJ374" s="12"/>
      <c r="OM374" s="12" t="s">
        <v>37</v>
      </c>
      <c r="ON374" s="12" t="s">
        <v>37</v>
      </c>
      <c r="OO374" s="12" t="s">
        <v>37</v>
      </c>
      <c r="OP374" s="12" t="s">
        <v>37</v>
      </c>
      <c r="OQ374" s="12" t="s">
        <v>37</v>
      </c>
      <c r="OR374" s="12" t="s">
        <v>37</v>
      </c>
      <c r="OS374" s="12"/>
      <c r="OT374" s="12"/>
      <c r="OW374" s="12" t="s">
        <v>37</v>
      </c>
      <c r="OX374" s="12" t="s">
        <v>37</v>
      </c>
      <c r="OY374" s="13" t="s">
        <v>37</v>
      </c>
      <c r="OZ374" s="12" t="s">
        <v>37</v>
      </c>
      <c r="PA374" s="12" t="s">
        <v>37</v>
      </c>
      <c r="PB374" s="13" t="s">
        <v>37</v>
      </c>
      <c r="PG374" s="12" t="s">
        <v>37</v>
      </c>
      <c r="PH374" s="12" t="s">
        <v>37</v>
      </c>
      <c r="PI374" s="12" t="s">
        <v>37</v>
      </c>
      <c r="PJ374" s="12" t="s">
        <v>37</v>
      </c>
      <c r="PK374" s="12" t="s">
        <v>37</v>
      </c>
      <c r="PL374" s="12" t="s">
        <v>37</v>
      </c>
      <c r="PM374" s="12"/>
      <c r="PN374" s="12"/>
      <c r="PQ374" s="12" t="s">
        <v>37</v>
      </c>
      <c r="PR374" s="12" t="s">
        <v>37</v>
      </c>
      <c r="PS374" s="12" t="s">
        <v>37</v>
      </c>
      <c r="PT374" s="12" t="s">
        <v>37</v>
      </c>
      <c r="PU374" s="12" t="s">
        <v>37</v>
      </c>
      <c r="PV374" s="12" t="s">
        <v>37</v>
      </c>
      <c r="PW374" s="12"/>
      <c r="PX374" s="12"/>
      <c r="PZ374" s="12" t="s">
        <v>37</v>
      </c>
      <c r="QA374" s="12" t="s">
        <v>37</v>
      </c>
      <c r="QB374" s="12" t="s">
        <v>37</v>
      </c>
      <c r="QD374" s="12" t="s">
        <v>37</v>
      </c>
      <c r="QE374" s="12" t="s">
        <v>37</v>
      </c>
      <c r="QF374" s="12" t="s">
        <v>37</v>
      </c>
      <c r="QK374" s="12" t="s">
        <v>37</v>
      </c>
      <c r="QL374" s="12" t="s">
        <v>37</v>
      </c>
      <c r="QM374" s="12" t="s">
        <v>37</v>
      </c>
      <c r="QN374" s="12" t="s">
        <v>37</v>
      </c>
      <c r="QO374" s="12" t="s">
        <v>37</v>
      </c>
      <c r="QP374" s="12" t="s">
        <v>37</v>
      </c>
      <c r="QQ374" s="12"/>
      <c r="QR374" s="12"/>
      <c r="QU374" s="12" t="s">
        <v>37</v>
      </c>
      <c r="QV374" s="12" t="s">
        <v>37</v>
      </c>
      <c r="QW374" s="12" t="s">
        <v>37</v>
      </c>
      <c r="QX374" s="12" t="s">
        <v>37</v>
      </c>
      <c r="QY374" s="12" t="s">
        <v>37</v>
      </c>
      <c r="QZ374" s="12" t="s">
        <v>37</v>
      </c>
      <c r="RC374" s="12" t="s">
        <v>37</v>
      </c>
      <c r="RD374" s="12" t="s">
        <v>37</v>
      </c>
      <c r="RE374" s="13" t="s">
        <v>37</v>
      </c>
      <c r="RF374" s="12" t="s">
        <v>37</v>
      </c>
      <c r="RG374" s="12" t="s">
        <v>37</v>
      </c>
      <c r="RH374" s="13" t="s">
        <v>37</v>
      </c>
      <c r="RK374" s="12" t="s">
        <v>37</v>
      </c>
      <c r="RL374" s="12" t="s">
        <v>37</v>
      </c>
      <c r="RM374" s="11" t="s">
        <v>37</v>
      </c>
      <c r="RN374" s="12" t="s">
        <v>37</v>
      </c>
      <c r="RO374" s="12" t="s">
        <v>37</v>
      </c>
      <c r="RP374" s="11" t="s">
        <v>37</v>
      </c>
      <c r="RS374" s="12" t="s">
        <v>37</v>
      </c>
      <c r="RT374" s="12" t="s">
        <v>37</v>
      </c>
      <c r="RU374" s="12" t="s">
        <v>37</v>
      </c>
      <c r="RV374" s="12" t="s">
        <v>37</v>
      </c>
      <c r="RW374" s="12" t="s">
        <v>37</v>
      </c>
      <c r="RX374" s="12" t="s">
        <v>37</v>
      </c>
      <c r="SA374" s="12" t="s">
        <v>37</v>
      </c>
      <c r="SB374" s="12" t="s">
        <v>37</v>
      </c>
      <c r="SC374" s="12" t="s">
        <v>37</v>
      </c>
      <c r="SD374" s="12" t="s">
        <v>37</v>
      </c>
      <c r="SE374" s="12" t="s">
        <v>37</v>
      </c>
      <c r="SF374" s="12" t="s">
        <v>37</v>
      </c>
      <c r="SI374" s="12" t="s">
        <v>37</v>
      </c>
      <c r="SJ374" s="12" t="s">
        <v>37</v>
      </c>
      <c r="SK374" s="13" t="s">
        <v>37</v>
      </c>
      <c r="SM374" s="12" t="s">
        <v>37</v>
      </c>
      <c r="SN374" s="12" t="s">
        <v>37</v>
      </c>
      <c r="SO374" s="13" t="s">
        <v>37</v>
      </c>
      <c r="SU374" s="12" t="s">
        <v>37</v>
      </c>
      <c r="SV374" s="12" t="s">
        <v>37</v>
      </c>
      <c r="SW374" s="12" t="s">
        <v>37</v>
      </c>
      <c r="SX374" s="12" t="s">
        <v>37</v>
      </c>
      <c r="SY374" s="12" t="s">
        <v>37</v>
      </c>
      <c r="SZ374" s="12" t="s">
        <v>37</v>
      </c>
      <c r="TA374" s="12"/>
      <c r="TB374" s="12"/>
      <c r="TE374" s="12" t="s">
        <v>37</v>
      </c>
      <c r="TF374" s="12" t="s">
        <v>37</v>
      </c>
      <c r="TG374" s="12" t="s">
        <v>37</v>
      </c>
      <c r="TH374" s="12" t="s">
        <v>37</v>
      </c>
      <c r="TI374" s="12" t="s">
        <v>37</v>
      </c>
      <c r="TJ374" s="12" t="s">
        <v>37</v>
      </c>
      <c r="TK374" s="12"/>
      <c r="TL374" s="12"/>
      <c r="TO374" s="12" t="s">
        <v>37</v>
      </c>
      <c r="TP374" s="12" t="s">
        <v>37</v>
      </c>
      <c r="TQ374" s="12" t="s">
        <v>37</v>
      </c>
      <c r="TR374" s="12" t="s">
        <v>37</v>
      </c>
      <c r="TS374" s="12" t="s">
        <v>37</v>
      </c>
      <c r="TT374" s="12" t="s">
        <v>37</v>
      </c>
      <c r="TU374" s="12"/>
      <c r="TV374" s="12"/>
      <c r="TY374" s="12" t="s">
        <v>37</v>
      </c>
      <c r="TZ374" s="12" t="s">
        <v>37</v>
      </c>
      <c r="UA374" s="12" t="s">
        <v>37</v>
      </c>
      <c r="UB374" s="12" t="s">
        <v>37</v>
      </c>
      <c r="UC374" s="12" t="s">
        <v>37</v>
      </c>
      <c r="UD374" s="12" t="s">
        <v>37</v>
      </c>
      <c r="UE374" s="12"/>
      <c r="UF374" s="12"/>
      <c r="UI374" s="12" t="s">
        <v>37</v>
      </c>
      <c r="UJ374" s="12" t="s">
        <v>37</v>
      </c>
      <c r="UK374" s="12" t="s">
        <v>37</v>
      </c>
      <c r="UL374" s="12" t="s">
        <v>37</v>
      </c>
      <c r="UM374" s="12" t="s">
        <v>37</v>
      </c>
      <c r="UN374" s="12" t="s">
        <v>37</v>
      </c>
      <c r="UO374" s="12"/>
      <c r="UP374" s="12"/>
      <c r="UR374" s="12" t="s">
        <v>37</v>
      </c>
      <c r="US374" s="12" t="s">
        <v>37</v>
      </c>
      <c r="UT374" s="12" t="s">
        <v>37</v>
      </c>
      <c r="UU374" s="12" t="s">
        <v>37</v>
      </c>
      <c r="UV374" s="12" t="s">
        <v>37</v>
      </c>
      <c r="UW374" s="12" t="s">
        <v>37</v>
      </c>
      <c r="UX374" s="12"/>
      <c r="UY374" s="12"/>
      <c r="VB374" s="12" t="s">
        <v>37</v>
      </c>
      <c r="VC374" s="12" t="s">
        <v>37</v>
      </c>
      <c r="VD374" s="12" t="s">
        <v>37</v>
      </c>
      <c r="VE374" s="12" t="s">
        <v>37</v>
      </c>
      <c r="VF374" s="12" t="s">
        <v>37</v>
      </c>
      <c r="VG374" s="12" t="s">
        <v>37</v>
      </c>
      <c r="VI374" s="12" t="s">
        <v>37</v>
      </c>
      <c r="VJ374" s="12" t="s">
        <v>37</v>
      </c>
      <c r="VK374" s="12" t="s">
        <v>37</v>
      </c>
      <c r="VL374" s="12" t="s">
        <v>37</v>
      </c>
      <c r="VM374" s="12" t="s">
        <v>37</v>
      </c>
      <c r="VN374" s="12" t="s">
        <v>37</v>
      </c>
      <c r="VQ374" s="12" t="s">
        <v>37</v>
      </c>
      <c r="VR374" s="12" t="s">
        <v>37</v>
      </c>
      <c r="VS374" s="12" t="s">
        <v>37</v>
      </c>
      <c r="VT374" s="12" t="s">
        <v>37</v>
      </c>
      <c r="VU374" s="12" t="s">
        <v>37</v>
      </c>
      <c r="VV374" s="12" t="s">
        <v>37</v>
      </c>
      <c r="VW374" s="12"/>
      <c r="VX374" s="12"/>
      <c r="WA374" s="12" t="s">
        <v>37</v>
      </c>
      <c r="WB374" s="12" t="s">
        <v>37</v>
      </c>
      <c r="WC374" s="12" t="s">
        <v>37</v>
      </c>
      <c r="WD374" s="12" t="s">
        <v>37</v>
      </c>
      <c r="WE374" s="12" t="s">
        <v>37</v>
      </c>
      <c r="WF374" s="12" t="s">
        <v>37</v>
      </c>
    </row>
    <row r="375" spans="1:604" ht="18" customHeight="1" x14ac:dyDescent="0.3">
      <c r="A375" s="11">
        <v>79</v>
      </c>
      <c r="B375" s="16" t="s">
        <v>454</v>
      </c>
      <c r="C375" s="12" t="s">
        <v>32</v>
      </c>
      <c r="D375" s="12" t="s">
        <v>1039</v>
      </c>
      <c r="E375" s="40">
        <f t="shared" si="1372"/>
        <v>5.15</v>
      </c>
      <c r="F375" s="14">
        <v>0</v>
      </c>
      <c r="G375" s="14">
        <v>0</v>
      </c>
      <c r="H375" s="12" t="s">
        <v>79</v>
      </c>
      <c r="I375" s="29">
        <v>32.799999999999997</v>
      </c>
      <c r="J375" s="29">
        <v>102.55</v>
      </c>
      <c r="K375" s="12" t="s">
        <v>690</v>
      </c>
      <c r="L375" s="12" t="s">
        <v>691</v>
      </c>
      <c r="M375" s="13">
        <v>3500</v>
      </c>
      <c r="N375" s="14">
        <v>0.9</v>
      </c>
      <c r="O375" s="14">
        <v>744</v>
      </c>
      <c r="P375" s="14" t="s">
        <v>16</v>
      </c>
      <c r="Q375" s="75">
        <v>1.5</v>
      </c>
      <c r="R375" s="11" t="s">
        <v>1000</v>
      </c>
      <c r="S375" s="12" t="s">
        <v>85</v>
      </c>
      <c r="T375" s="12" t="s">
        <v>138</v>
      </c>
      <c r="U375" s="12" t="s">
        <v>158</v>
      </c>
      <c r="V375" s="12" t="s">
        <v>275</v>
      </c>
      <c r="W375" s="23" t="s">
        <v>353</v>
      </c>
      <c r="X375" s="12" t="s">
        <v>280</v>
      </c>
      <c r="Y375" s="12" t="s">
        <v>37</v>
      </c>
      <c r="Z375" s="12" t="s">
        <v>37</v>
      </c>
      <c r="AA375" s="32" t="s">
        <v>345</v>
      </c>
      <c r="AB375" s="12">
        <v>6.7</v>
      </c>
      <c r="AC375" s="12" t="s">
        <v>42</v>
      </c>
      <c r="AD375" s="32" t="s">
        <v>345</v>
      </c>
      <c r="AE375" s="12">
        <v>350</v>
      </c>
      <c r="AF375" s="12" t="s">
        <v>42</v>
      </c>
      <c r="AG375" s="32" t="s">
        <v>345</v>
      </c>
      <c r="AH375" s="12">
        <v>15</v>
      </c>
      <c r="AJ375" s="12" t="str">
        <f t="shared" si="1373"/>
        <v>0-10</v>
      </c>
      <c r="AK375" s="19">
        <f t="shared" si="1374"/>
        <v>23.333333333333332</v>
      </c>
      <c r="AL375" s="32" t="s">
        <v>646</v>
      </c>
      <c r="AM375" s="12" t="s">
        <v>317</v>
      </c>
      <c r="AN375" s="32" t="s">
        <v>880</v>
      </c>
      <c r="AO375" s="12" t="s">
        <v>37</v>
      </c>
      <c r="AP375" s="12" t="s">
        <v>238</v>
      </c>
      <c r="AQ375" s="12" t="s">
        <v>975</v>
      </c>
      <c r="AR375" s="12" t="s">
        <v>42</v>
      </c>
      <c r="AS375" s="32" t="s">
        <v>345</v>
      </c>
      <c r="AT375" s="12">
        <v>350</v>
      </c>
      <c r="AU375" s="50">
        <f t="shared" si="1365"/>
        <v>29.93450076866338</v>
      </c>
      <c r="AV375" s="13">
        <v>6</v>
      </c>
      <c r="AX375" s="12" t="s">
        <v>326</v>
      </c>
      <c r="AY375" s="12" t="s">
        <v>326</v>
      </c>
      <c r="AZ375" s="13" t="s">
        <v>326</v>
      </c>
      <c r="BE375" s="12" t="s">
        <v>326</v>
      </c>
      <c r="BF375" s="12" t="s">
        <v>326</v>
      </c>
      <c r="BG375" s="12" t="s">
        <v>326</v>
      </c>
      <c r="BI375" s="12" t="s">
        <v>326</v>
      </c>
      <c r="BJ375" s="12" t="s">
        <v>326</v>
      </c>
      <c r="BK375" s="12" t="s">
        <v>326</v>
      </c>
      <c r="BP375" s="12" t="s">
        <v>37</v>
      </c>
      <c r="BQ375" s="12" t="s">
        <v>37</v>
      </c>
      <c r="BR375" s="13" t="s">
        <v>37</v>
      </c>
      <c r="BT375" s="12" t="s">
        <v>37</v>
      </c>
      <c r="BU375" s="12" t="s">
        <v>37</v>
      </c>
      <c r="BV375" s="12" t="s">
        <v>37</v>
      </c>
      <c r="CA375" s="12" t="s">
        <v>37</v>
      </c>
      <c r="CB375" s="12" t="s">
        <v>37</v>
      </c>
      <c r="CC375" s="13" t="s">
        <v>37</v>
      </c>
      <c r="CE375" s="12" t="s">
        <v>37</v>
      </c>
      <c r="CF375" s="12" t="s">
        <v>37</v>
      </c>
      <c r="CG375" s="12" t="s">
        <v>37</v>
      </c>
      <c r="CN375" s="12" t="s">
        <v>37</v>
      </c>
      <c r="CO375" s="12" t="s">
        <v>37</v>
      </c>
      <c r="CP375" s="13" t="s">
        <v>37</v>
      </c>
      <c r="CR375" s="12" t="s">
        <v>37</v>
      </c>
      <c r="CS375" s="12" t="s">
        <v>37</v>
      </c>
      <c r="CT375" s="13" t="s">
        <v>37</v>
      </c>
      <c r="CX375" s="72"/>
      <c r="CY375" s="72"/>
      <c r="DA375" s="12" t="s">
        <v>37</v>
      </c>
      <c r="DB375" s="12" t="s">
        <v>37</v>
      </c>
      <c r="DC375" s="13" t="s">
        <v>37</v>
      </c>
      <c r="DE375" s="12" t="s">
        <v>37</v>
      </c>
      <c r="DF375" s="12" t="s">
        <v>37</v>
      </c>
      <c r="DG375" s="12" t="s">
        <v>37</v>
      </c>
      <c r="DN375" s="19" t="s">
        <v>37</v>
      </c>
      <c r="DO375" s="12" t="s">
        <v>37</v>
      </c>
      <c r="DP375" s="13" t="s">
        <v>37</v>
      </c>
      <c r="DR375" s="19" t="s">
        <v>37</v>
      </c>
      <c r="DS375" s="12" t="s">
        <v>37</v>
      </c>
      <c r="DT375" s="13" t="s">
        <v>37</v>
      </c>
      <c r="EA375" s="19" t="s">
        <v>37</v>
      </c>
      <c r="EB375" s="19" t="s">
        <v>37</v>
      </c>
      <c r="EC375" s="72" t="s">
        <v>37</v>
      </c>
      <c r="EE375" s="19" t="s">
        <v>37</v>
      </c>
      <c r="EF375" s="19" t="s">
        <v>37</v>
      </c>
      <c r="EG375" s="12" t="s">
        <v>37</v>
      </c>
      <c r="EM375" s="12" t="s">
        <v>39</v>
      </c>
      <c r="EN375" s="12">
        <v>-18.43977174360656</v>
      </c>
      <c r="EO375" s="12">
        <v>7.4660723000216542</v>
      </c>
      <c r="EP375" s="13">
        <v>6</v>
      </c>
      <c r="EQ375" s="19">
        <f t="shared" si="1341"/>
        <v>0.40488962682579255</v>
      </c>
      <c r="ER375" s="12">
        <v>-40.367064742679283</v>
      </c>
      <c r="ES375" s="12">
        <v>4.0843551355325198</v>
      </c>
      <c r="ET375" s="13">
        <v>6</v>
      </c>
      <c r="EU375" s="19">
        <f t="shared" si="1342"/>
        <v>0.10118038459244756</v>
      </c>
      <c r="EV375" s="19">
        <f t="shared" si="1375"/>
        <v>-21.927292999072723</v>
      </c>
      <c r="EW375" s="12">
        <f t="shared" si="1376"/>
        <v>6.017648729458271</v>
      </c>
      <c r="EX375" s="19">
        <f t="shared" si="1377"/>
        <v>12.070698743716914</v>
      </c>
      <c r="EY375" s="19">
        <f t="shared" si="1378"/>
        <v>12.070698743716916</v>
      </c>
      <c r="FB375" s="12" t="s">
        <v>37</v>
      </c>
      <c r="FC375" s="12" t="s">
        <v>37</v>
      </c>
      <c r="FD375" s="12" t="s">
        <v>37</v>
      </c>
      <c r="FE375" s="12" t="s">
        <v>37</v>
      </c>
      <c r="FF375" s="20" t="s">
        <v>37</v>
      </c>
      <c r="FG375" s="12" t="s">
        <v>37</v>
      </c>
      <c r="FI375" s="12" t="s">
        <v>37</v>
      </c>
      <c r="FJ375" s="12" t="s">
        <v>37</v>
      </c>
      <c r="FK375" s="12" t="s">
        <v>37</v>
      </c>
      <c r="FL375" s="12" t="s">
        <v>37</v>
      </c>
      <c r="FM375" s="12" t="s">
        <v>37</v>
      </c>
      <c r="FN375" s="12" t="s">
        <v>37</v>
      </c>
      <c r="FP375" s="12" t="s">
        <v>37</v>
      </c>
      <c r="FQ375" s="12" t="s">
        <v>37</v>
      </c>
      <c r="FR375" s="12" t="s">
        <v>37</v>
      </c>
      <c r="FS375" s="12" t="s">
        <v>37</v>
      </c>
      <c r="FT375" s="12" t="s">
        <v>37</v>
      </c>
      <c r="FU375" s="12" t="s">
        <v>37</v>
      </c>
      <c r="FW375" s="12" t="s">
        <v>37</v>
      </c>
      <c r="FX375" s="12" t="s">
        <v>37</v>
      </c>
      <c r="FY375" s="12" t="s">
        <v>37</v>
      </c>
      <c r="FZ375" s="12" t="s">
        <v>37</v>
      </c>
      <c r="GA375" s="12" t="s">
        <v>37</v>
      </c>
      <c r="GB375" s="12" t="s">
        <v>37</v>
      </c>
      <c r="IK375" s="12" t="s">
        <v>37</v>
      </c>
      <c r="IL375" s="12" t="s">
        <v>37</v>
      </c>
      <c r="IM375" s="12" t="s">
        <v>37</v>
      </c>
      <c r="IO375" s="12" t="s">
        <v>37</v>
      </c>
      <c r="IP375" s="12" t="s">
        <v>37</v>
      </c>
      <c r="IQ375" s="12" t="s">
        <v>37</v>
      </c>
      <c r="IV375" s="32" t="s">
        <v>345</v>
      </c>
      <c r="IW375" s="12">
        <v>6.7</v>
      </c>
      <c r="IX375" s="50">
        <f t="shared" si="1366"/>
        <v>0.24530537560775503</v>
      </c>
      <c r="IY375" s="13">
        <v>6</v>
      </c>
      <c r="JH375" s="12" t="s">
        <v>37</v>
      </c>
      <c r="JI375" s="12" t="s">
        <v>37</v>
      </c>
      <c r="JJ375" s="13" t="s">
        <v>37</v>
      </c>
      <c r="JL375" s="12" t="s">
        <v>37</v>
      </c>
      <c r="JM375" s="12" t="s">
        <v>37</v>
      </c>
      <c r="JN375" s="12" t="s">
        <v>37</v>
      </c>
      <c r="JS375" s="12" t="s">
        <v>37</v>
      </c>
      <c r="JT375" s="12" t="s">
        <v>37</v>
      </c>
      <c r="JU375" s="13" t="s">
        <v>37</v>
      </c>
      <c r="JW375" s="12" t="s">
        <v>37</v>
      </c>
      <c r="JX375" s="12" t="s">
        <v>37</v>
      </c>
      <c r="JY375" s="12" t="s">
        <v>37</v>
      </c>
      <c r="KE375" s="12" t="s">
        <v>37</v>
      </c>
      <c r="KF375" s="12" t="s">
        <v>37</v>
      </c>
      <c r="KG375" s="13" t="s">
        <v>37</v>
      </c>
      <c r="KH375" s="12" t="s">
        <v>37</v>
      </c>
      <c r="KI375" s="12" t="s">
        <v>37</v>
      </c>
      <c r="KJ375" s="12" t="s">
        <v>37</v>
      </c>
      <c r="KK375" s="12" t="s">
        <v>42</v>
      </c>
      <c r="KL375" s="32" t="s">
        <v>345</v>
      </c>
      <c r="KM375" s="12">
        <v>15</v>
      </c>
      <c r="KN375" s="50">
        <f t="shared" si="1367"/>
        <v>1.7893956207728923</v>
      </c>
      <c r="KO375" s="11">
        <v>6</v>
      </c>
      <c r="KS375" s="12"/>
      <c r="KX375" s="12" t="s">
        <v>37</v>
      </c>
      <c r="KY375" s="12" t="s">
        <v>37</v>
      </c>
      <c r="KZ375" s="12" t="s">
        <v>37</v>
      </c>
      <c r="LB375" s="12" t="s">
        <v>37</v>
      </c>
      <c r="LC375" s="12" t="s">
        <v>37</v>
      </c>
      <c r="LD375" s="12" t="s">
        <v>37</v>
      </c>
      <c r="LI375" s="12" t="s">
        <v>37</v>
      </c>
      <c r="LJ375" s="12" t="s">
        <v>37</v>
      </c>
      <c r="LK375" s="12" t="s">
        <v>37</v>
      </c>
      <c r="LM375" s="12" t="s">
        <v>37</v>
      </c>
      <c r="LN375" s="12" t="s">
        <v>37</v>
      </c>
      <c r="LO375" s="12" t="s">
        <v>37</v>
      </c>
      <c r="LT375" s="12" t="str">
        <f t="shared" si="1368"/>
        <v>0-10</v>
      </c>
      <c r="LU375" s="12">
        <f t="shared" si="1369"/>
        <v>23.333333333333332</v>
      </c>
      <c r="LV375" s="12">
        <f t="shared" si="1370"/>
        <v>3.4249742755356465</v>
      </c>
      <c r="LW375" s="13">
        <f t="shared" si="1371"/>
        <v>6</v>
      </c>
      <c r="MF375" s="12" t="s">
        <v>37</v>
      </c>
      <c r="MG375" s="12" t="s">
        <v>37</v>
      </c>
      <c r="MH375" s="12" t="s">
        <v>37</v>
      </c>
      <c r="MJ375" s="12" t="s">
        <v>37</v>
      </c>
      <c r="MK375" s="12" t="s">
        <v>37</v>
      </c>
      <c r="ML375" s="12" t="s">
        <v>37</v>
      </c>
      <c r="MQ375" s="12" t="s">
        <v>37</v>
      </c>
      <c r="MR375" s="12" t="s">
        <v>37</v>
      </c>
      <c r="MS375" s="12" t="s">
        <v>37</v>
      </c>
      <c r="MU375" s="12" t="s">
        <v>37</v>
      </c>
      <c r="MV375" s="12" t="s">
        <v>37</v>
      </c>
      <c r="MW375" s="12" t="s">
        <v>37</v>
      </c>
      <c r="NC375" s="12" t="s">
        <v>37</v>
      </c>
      <c r="ND375" s="12" t="s">
        <v>37</v>
      </c>
      <c r="NE375" s="12" t="s">
        <v>37</v>
      </c>
      <c r="NG375" s="12" t="s">
        <v>37</v>
      </c>
      <c r="NH375" s="12" t="s">
        <v>37</v>
      </c>
      <c r="NI375" s="12" t="s">
        <v>37</v>
      </c>
      <c r="NO375" s="12" t="s">
        <v>37</v>
      </c>
      <c r="NP375" s="12" t="s">
        <v>37</v>
      </c>
      <c r="NQ375" s="12" t="s">
        <v>37</v>
      </c>
      <c r="NS375" s="12" t="s">
        <v>37</v>
      </c>
      <c r="NT375" s="12" t="s">
        <v>37</v>
      </c>
      <c r="NU375" s="12" t="s">
        <v>37</v>
      </c>
      <c r="OA375" s="12" t="s">
        <v>37</v>
      </c>
      <c r="OB375" s="12" t="s">
        <v>37</v>
      </c>
      <c r="OC375" s="12" t="s">
        <v>37</v>
      </c>
      <c r="OD375" s="12"/>
      <c r="OE375" s="12" t="s">
        <v>37</v>
      </c>
      <c r="OF375" s="12" t="s">
        <v>37</v>
      </c>
      <c r="OG375" s="12" t="s">
        <v>37</v>
      </c>
      <c r="OH375" s="12"/>
      <c r="OI375" s="12"/>
      <c r="OJ375" s="12"/>
      <c r="OM375" s="12" t="s">
        <v>37</v>
      </c>
      <c r="ON375" s="12" t="s">
        <v>37</v>
      </c>
      <c r="OO375" s="12" t="s">
        <v>37</v>
      </c>
      <c r="OP375" s="12" t="s">
        <v>37</v>
      </c>
      <c r="OQ375" s="12" t="s">
        <v>37</v>
      </c>
      <c r="OR375" s="12" t="s">
        <v>37</v>
      </c>
      <c r="OS375" s="12"/>
      <c r="OT375" s="12"/>
      <c r="OW375" s="12" t="s">
        <v>37</v>
      </c>
      <c r="OX375" s="12" t="s">
        <v>37</v>
      </c>
      <c r="OY375" s="13" t="s">
        <v>37</v>
      </c>
      <c r="OZ375" s="12" t="s">
        <v>37</v>
      </c>
      <c r="PA375" s="12" t="s">
        <v>37</v>
      </c>
      <c r="PB375" s="13" t="s">
        <v>37</v>
      </c>
      <c r="PG375" s="12" t="s">
        <v>37</v>
      </c>
      <c r="PH375" s="12" t="s">
        <v>37</v>
      </c>
      <c r="PI375" s="12" t="s">
        <v>37</v>
      </c>
      <c r="PJ375" s="12" t="s">
        <v>37</v>
      </c>
      <c r="PK375" s="12" t="s">
        <v>37</v>
      </c>
      <c r="PL375" s="12" t="s">
        <v>37</v>
      </c>
      <c r="PM375" s="12"/>
      <c r="PN375" s="12"/>
      <c r="PQ375" s="12" t="s">
        <v>37</v>
      </c>
      <c r="PR375" s="12" t="s">
        <v>37</v>
      </c>
      <c r="PS375" s="12" t="s">
        <v>37</v>
      </c>
      <c r="PT375" s="12" t="s">
        <v>37</v>
      </c>
      <c r="PU375" s="12" t="s">
        <v>37</v>
      </c>
      <c r="PV375" s="12" t="s">
        <v>37</v>
      </c>
      <c r="PW375" s="12"/>
      <c r="PX375" s="12"/>
      <c r="PZ375" s="12" t="s">
        <v>37</v>
      </c>
      <c r="QA375" s="12" t="s">
        <v>37</v>
      </c>
      <c r="QB375" s="12" t="s">
        <v>37</v>
      </c>
      <c r="QD375" s="12" t="s">
        <v>37</v>
      </c>
      <c r="QE375" s="12" t="s">
        <v>37</v>
      </c>
      <c r="QF375" s="12" t="s">
        <v>37</v>
      </c>
      <c r="QK375" s="12" t="s">
        <v>37</v>
      </c>
      <c r="QL375" s="12" t="s">
        <v>37</v>
      </c>
      <c r="QM375" s="12" t="s">
        <v>37</v>
      </c>
      <c r="QN375" s="12" t="s">
        <v>37</v>
      </c>
      <c r="QO375" s="12" t="s">
        <v>37</v>
      </c>
      <c r="QP375" s="12" t="s">
        <v>37</v>
      </c>
      <c r="QQ375" s="12"/>
      <c r="QR375" s="12"/>
      <c r="QU375" s="12" t="s">
        <v>37</v>
      </c>
      <c r="QV375" s="12" t="s">
        <v>37</v>
      </c>
      <c r="QW375" s="12" t="s">
        <v>37</v>
      </c>
      <c r="QX375" s="12" t="s">
        <v>37</v>
      </c>
      <c r="QY375" s="12" t="s">
        <v>37</v>
      </c>
      <c r="QZ375" s="12" t="s">
        <v>37</v>
      </c>
      <c r="RC375" s="12" t="s">
        <v>37</v>
      </c>
      <c r="RD375" s="12" t="s">
        <v>37</v>
      </c>
      <c r="RE375" s="13" t="s">
        <v>37</v>
      </c>
      <c r="RF375" s="12" t="s">
        <v>37</v>
      </c>
      <c r="RG375" s="12" t="s">
        <v>37</v>
      </c>
      <c r="RH375" s="13" t="s">
        <v>37</v>
      </c>
      <c r="RK375" s="12" t="s">
        <v>37</v>
      </c>
      <c r="RL375" s="12" t="s">
        <v>37</v>
      </c>
      <c r="RM375" s="11" t="s">
        <v>37</v>
      </c>
      <c r="RN375" s="12" t="s">
        <v>37</v>
      </c>
      <c r="RO375" s="12" t="s">
        <v>37</v>
      </c>
      <c r="RP375" s="11" t="s">
        <v>37</v>
      </c>
      <c r="RS375" s="12" t="s">
        <v>37</v>
      </c>
      <c r="RT375" s="12" t="s">
        <v>37</v>
      </c>
      <c r="RU375" s="12" t="s">
        <v>37</v>
      </c>
      <c r="RV375" s="12" t="s">
        <v>37</v>
      </c>
      <c r="RW375" s="12" t="s">
        <v>37</v>
      </c>
      <c r="RX375" s="12" t="s">
        <v>37</v>
      </c>
      <c r="SA375" s="12" t="s">
        <v>37</v>
      </c>
      <c r="SB375" s="12" t="s">
        <v>37</v>
      </c>
      <c r="SC375" s="12" t="s">
        <v>37</v>
      </c>
      <c r="SD375" s="12" t="s">
        <v>37</v>
      </c>
      <c r="SE375" s="12" t="s">
        <v>37</v>
      </c>
      <c r="SF375" s="12" t="s">
        <v>37</v>
      </c>
      <c r="SI375" s="12" t="s">
        <v>37</v>
      </c>
      <c r="SJ375" s="12" t="s">
        <v>37</v>
      </c>
      <c r="SK375" s="13" t="s">
        <v>37</v>
      </c>
      <c r="SM375" s="12" t="s">
        <v>37</v>
      </c>
      <c r="SN375" s="12" t="s">
        <v>37</v>
      </c>
      <c r="SO375" s="13" t="s">
        <v>37</v>
      </c>
      <c r="SU375" s="12" t="s">
        <v>37</v>
      </c>
      <c r="SV375" s="12" t="s">
        <v>37</v>
      </c>
      <c r="SW375" s="12" t="s">
        <v>37</v>
      </c>
      <c r="SX375" s="12" t="s">
        <v>37</v>
      </c>
      <c r="SY375" s="12" t="s">
        <v>37</v>
      </c>
      <c r="SZ375" s="12" t="s">
        <v>37</v>
      </c>
      <c r="TA375" s="12"/>
      <c r="TB375" s="12"/>
      <c r="TE375" s="12" t="s">
        <v>37</v>
      </c>
      <c r="TF375" s="12" t="s">
        <v>37</v>
      </c>
      <c r="TG375" s="12" t="s">
        <v>37</v>
      </c>
      <c r="TH375" s="12" t="s">
        <v>37</v>
      </c>
      <c r="TI375" s="12" t="s">
        <v>37</v>
      </c>
      <c r="TJ375" s="12" t="s">
        <v>37</v>
      </c>
      <c r="TK375" s="12"/>
      <c r="TL375" s="12"/>
      <c r="TO375" s="12" t="s">
        <v>37</v>
      </c>
      <c r="TP375" s="12" t="s">
        <v>37</v>
      </c>
      <c r="TQ375" s="12" t="s">
        <v>37</v>
      </c>
      <c r="TR375" s="12" t="s">
        <v>37</v>
      </c>
      <c r="TS375" s="12" t="s">
        <v>37</v>
      </c>
      <c r="TT375" s="12" t="s">
        <v>37</v>
      </c>
      <c r="TU375" s="12"/>
      <c r="TV375" s="12"/>
      <c r="TY375" s="12" t="s">
        <v>37</v>
      </c>
      <c r="TZ375" s="12" t="s">
        <v>37</v>
      </c>
      <c r="UA375" s="12" t="s">
        <v>37</v>
      </c>
      <c r="UB375" s="12" t="s">
        <v>37</v>
      </c>
      <c r="UC375" s="12" t="s">
        <v>37</v>
      </c>
      <c r="UD375" s="12" t="s">
        <v>37</v>
      </c>
      <c r="UE375" s="12"/>
      <c r="UF375" s="12"/>
      <c r="UI375" s="12" t="s">
        <v>37</v>
      </c>
      <c r="UJ375" s="12" t="s">
        <v>37</v>
      </c>
      <c r="UK375" s="12" t="s">
        <v>37</v>
      </c>
      <c r="UL375" s="12" t="s">
        <v>37</v>
      </c>
      <c r="UM375" s="12" t="s">
        <v>37</v>
      </c>
      <c r="UN375" s="12" t="s">
        <v>37</v>
      </c>
      <c r="UO375" s="12"/>
      <c r="UP375" s="12"/>
      <c r="UR375" s="12" t="s">
        <v>37</v>
      </c>
      <c r="US375" s="12" t="s">
        <v>37</v>
      </c>
      <c r="UT375" s="12" t="s">
        <v>37</v>
      </c>
      <c r="UU375" s="12" t="s">
        <v>37</v>
      </c>
      <c r="UV375" s="12" t="s">
        <v>37</v>
      </c>
      <c r="UW375" s="12" t="s">
        <v>37</v>
      </c>
      <c r="UX375" s="12"/>
      <c r="UY375" s="12"/>
      <c r="VB375" s="12" t="s">
        <v>37</v>
      </c>
      <c r="VC375" s="12" t="s">
        <v>37</v>
      </c>
      <c r="VD375" s="12" t="s">
        <v>37</v>
      </c>
      <c r="VE375" s="12" t="s">
        <v>37</v>
      </c>
      <c r="VF375" s="12" t="s">
        <v>37</v>
      </c>
      <c r="VG375" s="12" t="s">
        <v>37</v>
      </c>
      <c r="VI375" s="12" t="s">
        <v>37</v>
      </c>
      <c r="VJ375" s="12" t="s">
        <v>37</v>
      </c>
      <c r="VK375" s="12" t="s">
        <v>37</v>
      </c>
      <c r="VL375" s="12" t="s">
        <v>37</v>
      </c>
      <c r="VM375" s="12" t="s">
        <v>37</v>
      </c>
      <c r="VN375" s="12" t="s">
        <v>37</v>
      </c>
      <c r="VQ375" s="12" t="s">
        <v>37</v>
      </c>
      <c r="VR375" s="12" t="s">
        <v>37</v>
      </c>
      <c r="VS375" s="12" t="s">
        <v>37</v>
      </c>
      <c r="VT375" s="12" t="s">
        <v>37</v>
      </c>
      <c r="VU375" s="12" t="s">
        <v>37</v>
      </c>
      <c r="VV375" s="12" t="s">
        <v>37</v>
      </c>
      <c r="VW375" s="12"/>
      <c r="VX375" s="12"/>
      <c r="WA375" s="12" t="s">
        <v>37</v>
      </c>
      <c r="WB375" s="12" t="s">
        <v>37</v>
      </c>
      <c r="WC375" s="12" t="s">
        <v>37</v>
      </c>
      <c r="WD375" s="12" t="s">
        <v>37</v>
      </c>
      <c r="WE375" s="12" t="s">
        <v>37</v>
      </c>
      <c r="WF375" s="12" t="s">
        <v>37</v>
      </c>
    </row>
    <row r="376" spans="1:604" ht="18" customHeight="1" x14ac:dyDescent="0.3">
      <c r="A376" s="11">
        <v>79</v>
      </c>
      <c r="B376" s="16" t="s">
        <v>454</v>
      </c>
      <c r="C376" s="12" t="s">
        <v>31</v>
      </c>
      <c r="D376" s="12" t="s">
        <v>1039</v>
      </c>
      <c r="E376" s="40">
        <f t="shared" si="1372"/>
        <v>5.15</v>
      </c>
      <c r="F376" s="14">
        <v>0</v>
      </c>
      <c r="G376" s="14">
        <v>0</v>
      </c>
      <c r="H376" s="12" t="s">
        <v>79</v>
      </c>
      <c r="I376" s="29">
        <v>32.799999999999997</v>
      </c>
      <c r="J376" s="29">
        <v>102.55</v>
      </c>
      <c r="K376" s="12" t="s">
        <v>690</v>
      </c>
      <c r="L376" s="12" t="s">
        <v>691</v>
      </c>
      <c r="M376" s="13">
        <v>3500</v>
      </c>
      <c r="N376" s="14">
        <v>0.9</v>
      </c>
      <c r="O376" s="14">
        <v>744</v>
      </c>
      <c r="P376" s="14" t="s">
        <v>16</v>
      </c>
      <c r="Q376" s="75">
        <v>2.5</v>
      </c>
      <c r="R376" s="11" t="s">
        <v>1000</v>
      </c>
      <c r="S376" s="12" t="s">
        <v>85</v>
      </c>
      <c r="T376" s="12" t="s">
        <v>138</v>
      </c>
      <c r="U376" s="12" t="s">
        <v>158</v>
      </c>
      <c r="V376" s="12" t="s">
        <v>275</v>
      </c>
      <c r="W376" s="23" t="s">
        <v>353</v>
      </c>
      <c r="X376" s="12" t="s">
        <v>280</v>
      </c>
      <c r="Y376" s="12" t="s">
        <v>37</v>
      </c>
      <c r="Z376" s="12" t="s">
        <v>37</v>
      </c>
      <c r="AA376" s="32" t="s">
        <v>345</v>
      </c>
      <c r="AB376" s="12">
        <v>6.7</v>
      </c>
      <c r="AC376" s="12" t="s">
        <v>42</v>
      </c>
      <c r="AD376" s="32" t="s">
        <v>345</v>
      </c>
      <c r="AE376" s="12">
        <v>350</v>
      </c>
      <c r="AF376" s="12" t="s">
        <v>42</v>
      </c>
      <c r="AG376" s="32" t="s">
        <v>345</v>
      </c>
      <c r="AH376" s="12">
        <v>15</v>
      </c>
      <c r="AJ376" s="12" t="str">
        <f t="shared" si="1373"/>
        <v>0-10</v>
      </c>
      <c r="AK376" s="19">
        <f t="shared" si="1374"/>
        <v>23.333333333333332</v>
      </c>
      <c r="AL376" s="32" t="s">
        <v>646</v>
      </c>
      <c r="AM376" s="12" t="s">
        <v>317</v>
      </c>
      <c r="AN376" s="32" t="s">
        <v>880</v>
      </c>
      <c r="AO376" s="12" t="s">
        <v>37</v>
      </c>
      <c r="AP376" s="12" t="s">
        <v>238</v>
      </c>
      <c r="AQ376" s="12" t="s">
        <v>975</v>
      </c>
      <c r="AR376" s="12" t="s">
        <v>42</v>
      </c>
      <c r="AS376" s="32" t="s">
        <v>345</v>
      </c>
      <c r="AT376" s="12">
        <v>350</v>
      </c>
      <c r="AU376" s="50">
        <f t="shared" si="1365"/>
        <v>29.93450076866338</v>
      </c>
      <c r="AV376" s="13">
        <v>6</v>
      </c>
      <c r="AX376" s="12" t="s">
        <v>326</v>
      </c>
      <c r="AY376" s="12" t="s">
        <v>326</v>
      </c>
      <c r="AZ376" s="13" t="s">
        <v>326</v>
      </c>
      <c r="BE376" s="12" t="s">
        <v>326</v>
      </c>
      <c r="BF376" s="12" t="s">
        <v>326</v>
      </c>
      <c r="BG376" s="12" t="s">
        <v>326</v>
      </c>
      <c r="BI376" s="12" t="s">
        <v>326</v>
      </c>
      <c r="BJ376" s="12" t="s">
        <v>326</v>
      </c>
      <c r="BK376" s="12" t="s">
        <v>326</v>
      </c>
      <c r="BP376" s="12" t="s">
        <v>37</v>
      </c>
      <c r="BQ376" s="12" t="s">
        <v>37</v>
      </c>
      <c r="BR376" s="13" t="s">
        <v>37</v>
      </c>
      <c r="BT376" s="12" t="s">
        <v>37</v>
      </c>
      <c r="BU376" s="12" t="s">
        <v>37</v>
      </c>
      <c r="BV376" s="12" t="s">
        <v>37</v>
      </c>
      <c r="CA376" s="12" t="s">
        <v>37</v>
      </c>
      <c r="CB376" s="12" t="s">
        <v>37</v>
      </c>
      <c r="CC376" s="13" t="s">
        <v>37</v>
      </c>
      <c r="CE376" s="12" t="s">
        <v>37</v>
      </c>
      <c r="CF376" s="12" t="s">
        <v>37</v>
      </c>
      <c r="CG376" s="12" t="s">
        <v>37</v>
      </c>
      <c r="CN376" s="12" t="s">
        <v>37</v>
      </c>
      <c r="CO376" s="12" t="s">
        <v>37</v>
      </c>
      <c r="CP376" s="13" t="s">
        <v>37</v>
      </c>
      <c r="CR376" s="12" t="s">
        <v>37</v>
      </c>
      <c r="CS376" s="12" t="s">
        <v>37</v>
      </c>
      <c r="CT376" s="13" t="s">
        <v>37</v>
      </c>
      <c r="CX376" s="72"/>
      <c r="CY376" s="72"/>
      <c r="DA376" s="12" t="s">
        <v>37</v>
      </c>
      <c r="DB376" s="12" t="s">
        <v>37</v>
      </c>
      <c r="DC376" s="13" t="s">
        <v>37</v>
      </c>
      <c r="DE376" s="12" t="s">
        <v>37</v>
      </c>
      <c r="DF376" s="12" t="s">
        <v>37</v>
      </c>
      <c r="DG376" s="12" t="s">
        <v>37</v>
      </c>
      <c r="DN376" s="19" t="s">
        <v>37</v>
      </c>
      <c r="DO376" s="12" t="s">
        <v>37</v>
      </c>
      <c r="DP376" s="13" t="s">
        <v>37</v>
      </c>
      <c r="DR376" s="19" t="s">
        <v>37</v>
      </c>
      <c r="DS376" s="12" t="s">
        <v>37</v>
      </c>
      <c r="DT376" s="13" t="s">
        <v>37</v>
      </c>
      <c r="EA376" s="19" t="s">
        <v>37</v>
      </c>
      <c r="EB376" s="19" t="s">
        <v>37</v>
      </c>
      <c r="EC376" s="72" t="s">
        <v>37</v>
      </c>
      <c r="EE376" s="19" t="s">
        <v>37</v>
      </c>
      <c r="EF376" s="19" t="s">
        <v>37</v>
      </c>
      <c r="EG376" s="12" t="s">
        <v>37</v>
      </c>
      <c r="EM376" s="12" t="s">
        <v>39</v>
      </c>
      <c r="EN376" s="12">
        <v>-25.327560341085523</v>
      </c>
      <c r="EO376" s="12">
        <v>3.7216854561993782</v>
      </c>
      <c r="EP376" s="13">
        <v>6</v>
      </c>
      <c r="EQ376" s="19">
        <f t="shared" si="1341"/>
        <v>0.14694212178668406</v>
      </c>
      <c r="ER376" s="12">
        <v>-38.138726825441289</v>
      </c>
      <c r="ES376" s="12">
        <v>2.9417033415847209</v>
      </c>
      <c r="ET376" s="13">
        <v>6</v>
      </c>
      <c r="EU376" s="19">
        <f t="shared" si="1342"/>
        <v>7.7131660819427045E-2</v>
      </c>
      <c r="EV376" s="19">
        <f t="shared" si="1375"/>
        <v>-12.811166484355766</v>
      </c>
      <c r="EW376" s="12">
        <f t="shared" si="1376"/>
        <v>3.354441919662396</v>
      </c>
      <c r="EX376" s="19">
        <f t="shared" si="1377"/>
        <v>3.7507601974627804</v>
      </c>
      <c r="EY376" s="19">
        <f t="shared" si="1378"/>
        <v>3.7507601974627809</v>
      </c>
      <c r="FB376" s="12" t="s">
        <v>37</v>
      </c>
      <c r="FC376" s="12" t="s">
        <v>37</v>
      </c>
      <c r="FD376" s="12" t="s">
        <v>37</v>
      </c>
      <c r="FE376" s="12" t="s">
        <v>37</v>
      </c>
      <c r="FF376" s="20" t="s">
        <v>37</v>
      </c>
      <c r="FG376" s="12" t="s">
        <v>37</v>
      </c>
      <c r="FI376" s="12" t="s">
        <v>37</v>
      </c>
      <c r="FJ376" s="12" t="s">
        <v>37</v>
      </c>
      <c r="FK376" s="12" t="s">
        <v>37</v>
      </c>
      <c r="FL376" s="12" t="s">
        <v>37</v>
      </c>
      <c r="FM376" s="12" t="s">
        <v>37</v>
      </c>
      <c r="FN376" s="12" t="s">
        <v>37</v>
      </c>
      <c r="FP376" s="12" t="s">
        <v>37</v>
      </c>
      <c r="FQ376" s="12" t="s">
        <v>37</v>
      </c>
      <c r="FR376" s="12" t="s">
        <v>37</v>
      </c>
      <c r="FS376" s="12" t="s">
        <v>37</v>
      </c>
      <c r="FT376" s="12" t="s">
        <v>37</v>
      </c>
      <c r="FU376" s="12" t="s">
        <v>37</v>
      </c>
      <c r="FW376" s="12" t="s">
        <v>37</v>
      </c>
      <c r="FX376" s="12" t="s">
        <v>37</v>
      </c>
      <c r="FY376" s="12" t="s">
        <v>37</v>
      </c>
      <c r="FZ376" s="12" t="s">
        <v>37</v>
      </c>
      <c r="GA376" s="12" t="s">
        <v>37</v>
      </c>
      <c r="GB376" s="12" t="s">
        <v>37</v>
      </c>
      <c r="IK376" s="12" t="s">
        <v>37</v>
      </c>
      <c r="IL376" s="12" t="s">
        <v>37</v>
      </c>
      <c r="IM376" s="12" t="s">
        <v>37</v>
      </c>
      <c r="IO376" s="12" t="s">
        <v>37</v>
      </c>
      <c r="IP376" s="12" t="s">
        <v>37</v>
      </c>
      <c r="IQ376" s="12" t="s">
        <v>37</v>
      </c>
      <c r="IV376" s="32" t="s">
        <v>345</v>
      </c>
      <c r="IW376" s="12">
        <v>6.7</v>
      </c>
      <c r="IX376" s="50">
        <f t="shared" si="1366"/>
        <v>0.24530537560775503</v>
      </c>
      <c r="IY376" s="13">
        <v>6</v>
      </c>
      <c r="JH376" s="12" t="s">
        <v>37</v>
      </c>
      <c r="JI376" s="12" t="s">
        <v>37</v>
      </c>
      <c r="JJ376" s="13" t="s">
        <v>37</v>
      </c>
      <c r="JL376" s="12" t="s">
        <v>37</v>
      </c>
      <c r="JM376" s="12" t="s">
        <v>37</v>
      </c>
      <c r="JN376" s="12" t="s">
        <v>37</v>
      </c>
      <c r="JS376" s="12" t="s">
        <v>37</v>
      </c>
      <c r="JT376" s="12" t="s">
        <v>37</v>
      </c>
      <c r="JU376" s="13" t="s">
        <v>37</v>
      </c>
      <c r="JW376" s="12" t="s">
        <v>37</v>
      </c>
      <c r="JX376" s="12" t="s">
        <v>37</v>
      </c>
      <c r="JY376" s="12" t="s">
        <v>37</v>
      </c>
      <c r="KE376" s="12" t="s">
        <v>37</v>
      </c>
      <c r="KF376" s="12" t="s">
        <v>37</v>
      </c>
      <c r="KG376" s="13" t="s">
        <v>37</v>
      </c>
      <c r="KH376" s="12" t="s">
        <v>37</v>
      </c>
      <c r="KI376" s="12" t="s">
        <v>37</v>
      </c>
      <c r="KJ376" s="12" t="s">
        <v>37</v>
      </c>
      <c r="KK376" s="12" t="s">
        <v>42</v>
      </c>
      <c r="KL376" s="32" t="s">
        <v>345</v>
      </c>
      <c r="KM376" s="12">
        <v>15</v>
      </c>
      <c r="KN376" s="50">
        <f t="shared" si="1367"/>
        <v>1.7893956207728923</v>
      </c>
      <c r="KO376" s="11">
        <v>6</v>
      </c>
      <c r="KS376" s="12"/>
      <c r="KX376" s="12" t="s">
        <v>37</v>
      </c>
      <c r="KY376" s="12" t="s">
        <v>37</v>
      </c>
      <c r="KZ376" s="12" t="s">
        <v>37</v>
      </c>
      <c r="LB376" s="12" t="s">
        <v>37</v>
      </c>
      <c r="LC376" s="12" t="s">
        <v>37</v>
      </c>
      <c r="LD376" s="12" t="s">
        <v>37</v>
      </c>
      <c r="LI376" s="12" t="s">
        <v>37</v>
      </c>
      <c r="LJ376" s="12" t="s">
        <v>37</v>
      </c>
      <c r="LK376" s="12" t="s">
        <v>37</v>
      </c>
      <c r="LM376" s="12" t="s">
        <v>37</v>
      </c>
      <c r="LN376" s="12" t="s">
        <v>37</v>
      </c>
      <c r="LO376" s="12" t="s">
        <v>37</v>
      </c>
      <c r="LT376" s="12" t="str">
        <f t="shared" si="1368"/>
        <v>0-10</v>
      </c>
      <c r="LU376" s="12">
        <f t="shared" si="1369"/>
        <v>23.333333333333332</v>
      </c>
      <c r="LV376" s="12">
        <f t="shared" si="1370"/>
        <v>3.4249742755356465</v>
      </c>
      <c r="LW376" s="13">
        <f t="shared" si="1371"/>
        <v>6</v>
      </c>
      <c r="MF376" s="12" t="s">
        <v>37</v>
      </c>
      <c r="MG376" s="12" t="s">
        <v>37</v>
      </c>
      <c r="MH376" s="12" t="s">
        <v>37</v>
      </c>
      <c r="MJ376" s="12" t="s">
        <v>37</v>
      </c>
      <c r="MK376" s="12" t="s">
        <v>37</v>
      </c>
      <c r="ML376" s="12" t="s">
        <v>37</v>
      </c>
      <c r="MQ376" s="12" t="s">
        <v>37</v>
      </c>
      <c r="MR376" s="12" t="s">
        <v>37</v>
      </c>
      <c r="MS376" s="12" t="s">
        <v>37</v>
      </c>
      <c r="MU376" s="12" t="s">
        <v>37</v>
      </c>
      <c r="MV376" s="12" t="s">
        <v>37</v>
      </c>
      <c r="MW376" s="12" t="s">
        <v>37</v>
      </c>
      <c r="NC376" s="12" t="s">
        <v>37</v>
      </c>
      <c r="ND376" s="12" t="s">
        <v>37</v>
      </c>
      <c r="NE376" s="12" t="s">
        <v>37</v>
      </c>
      <c r="NG376" s="12" t="s">
        <v>37</v>
      </c>
      <c r="NH376" s="12" t="s">
        <v>37</v>
      </c>
      <c r="NI376" s="12" t="s">
        <v>37</v>
      </c>
      <c r="NO376" s="12" t="s">
        <v>37</v>
      </c>
      <c r="NP376" s="12" t="s">
        <v>37</v>
      </c>
      <c r="NQ376" s="12" t="s">
        <v>37</v>
      </c>
      <c r="NS376" s="12" t="s">
        <v>37</v>
      </c>
      <c r="NT376" s="12" t="s">
        <v>37</v>
      </c>
      <c r="NU376" s="12" t="s">
        <v>37</v>
      </c>
      <c r="OA376" s="12" t="s">
        <v>37</v>
      </c>
      <c r="OB376" s="12" t="s">
        <v>37</v>
      </c>
      <c r="OC376" s="12" t="s">
        <v>37</v>
      </c>
      <c r="OD376" s="12"/>
      <c r="OE376" s="12" t="s">
        <v>37</v>
      </c>
      <c r="OF376" s="12" t="s">
        <v>37</v>
      </c>
      <c r="OG376" s="12" t="s">
        <v>37</v>
      </c>
      <c r="OH376" s="12"/>
      <c r="OI376" s="12"/>
      <c r="OJ376" s="12"/>
      <c r="OM376" s="12" t="s">
        <v>37</v>
      </c>
      <c r="ON376" s="12" t="s">
        <v>37</v>
      </c>
      <c r="OO376" s="12" t="s">
        <v>37</v>
      </c>
      <c r="OP376" s="12" t="s">
        <v>37</v>
      </c>
      <c r="OQ376" s="12" t="s">
        <v>37</v>
      </c>
      <c r="OR376" s="12" t="s">
        <v>37</v>
      </c>
      <c r="OS376" s="12"/>
      <c r="OT376" s="12"/>
      <c r="OW376" s="12" t="s">
        <v>37</v>
      </c>
      <c r="OX376" s="12" t="s">
        <v>37</v>
      </c>
      <c r="OY376" s="13" t="s">
        <v>37</v>
      </c>
      <c r="OZ376" s="12" t="s">
        <v>37</v>
      </c>
      <c r="PA376" s="12" t="s">
        <v>37</v>
      </c>
      <c r="PB376" s="13" t="s">
        <v>37</v>
      </c>
      <c r="PG376" s="12" t="s">
        <v>37</v>
      </c>
      <c r="PH376" s="12" t="s">
        <v>37</v>
      </c>
      <c r="PI376" s="12" t="s">
        <v>37</v>
      </c>
      <c r="PJ376" s="12" t="s">
        <v>37</v>
      </c>
      <c r="PK376" s="12" t="s">
        <v>37</v>
      </c>
      <c r="PL376" s="12" t="s">
        <v>37</v>
      </c>
      <c r="PM376" s="12"/>
      <c r="PN376" s="12"/>
      <c r="PQ376" s="12" t="s">
        <v>37</v>
      </c>
      <c r="PR376" s="12" t="s">
        <v>37</v>
      </c>
      <c r="PS376" s="12" t="s">
        <v>37</v>
      </c>
      <c r="PT376" s="12" t="s">
        <v>37</v>
      </c>
      <c r="PU376" s="12" t="s">
        <v>37</v>
      </c>
      <c r="PV376" s="12" t="s">
        <v>37</v>
      </c>
      <c r="PW376" s="12"/>
      <c r="PX376" s="12"/>
      <c r="PZ376" s="12" t="s">
        <v>37</v>
      </c>
      <c r="QA376" s="12" t="s">
        <v>37</v>
      </c>
      <c r="QB376" s="12" t="s">
        <v>37</v>
      </c>
      <c r="QD376" s="12" t="s">
        <v>37</v>
      </c>
      <c r="QE376" s="12" t="s">
        <v>37</v>
      </c>
      <c r="QF376" s="12" t="s">
        <v>37</v>
      </c>
      <c r="QK376" s="12" t="s">
        <v>37</v>
      </c>
      <c r="QL376" s="12" t="s">
        <v>37</v>
      </c>
      <c r="QM376" s="12" t="s">
        <v>37</v>
      </c>
      <c r="QN376" s="12" t="s">
        <v>37</v>
      </c>
      <c r="QO376" s="12" t="s">
        <v>37</v>
      </c>
      <c r="QP376" s="12" t="s">
        <v>37</v>
      </c>
      <c r="QQ376" s="12"/>
      <c r="QR376" s="12"/>
      <c r="QU376" s="12" t="s">
        <v>37</v>
      </c>
      <c r="QV376" s="12" t="s">
        <v>37</v>
      </c>
      <c r="QW376" s="12" t="s">
        <v>37</v>
      </c>
      <c r="QX376" s="12" t="s">
        <v>37</v>
      </c>
      <c r="QY376" s="12" t="s">
        <v>37</v>
      </c>
      <c r="QZ376" s="12" t="s">
        <v>37</v>
      </c>
      <c r="RC376" s="12" t="s">
        <v>37</v>
      </c>
      <c r="RD376" s="12" t="s">
        <v>37</v>
      </c>
      <c r="RE376" s="13" t="s">
        <v>37</v>
      </c>
      <c r="RF376" s="12" t="s">
        <v>37</v>
      </c>
      <c r="RG376" s="12" t="s">
        <v>37</v>
      </c>
      <c r="RH376" s="13" t="s">
        <v>37</v>
      </c>
      <c r="RK376" s="12" t="s">
        <v>37</v>
      </c>
      <c r="RL376" s="12" t="s">
        <v>37</v>
      </c>
      <c r="RM376" s="11" t="s">
        <v>37</v>
      </c>
      <c r="RN376" s="12" t="s">
        <v>37</v>
      </c>
      <c r="RO376" s="12" t="s">
        <v>37</v>
      </c>
      <c r="RP376" s="11" t="s">
        <v>37</v>
      </c>
      <c r="RS376" s="12" t="s">
        <v>37</v>
      </c>
      <c r="RT376" s="12" t="s">
        <v>37</v>
      </c>
      <c r="RU376" s="12" t="s">
        <v>37</v>
      </c>
      <c r="RV376" s="12" t="s">
        <v>37</v>
      </c>
      <c r="RW376" s="12" t="s">
        <v>37</v>
      </c>
      <c r="RX376" s="12" t="s">
        <v>37</v>
      </c>
      <c r="SA376" s="12" t="s">
        <v>37</v>
      </c>
      <c r="SB376" s="12" t="s">
        <v>37</v>
      </c>
      <c r="SC376" s="12" t="s">
        <v>37</v>
      </c>
      <c r="SD376" s="12" t="s">
        <v>37</v>
      </c>
      <c r="SE376" s="12" t="s">
        <v>37</v>
      </c>
      <c r="SF376" s="12" t="s">
        <v>37</v>
      </c>
      <c r="SI376" s="12" t="s">
        <v>37</v>
      </c>
      <c r="SJ376" s="12" t="s">
        <v>37</v>
      </c>
      <c r="SK376" s="13" t="s">
        <v>37</v>
      </c>
      <c r="SM376" s="12" t="s">
        <v>37</v>
      </c>
      <c r="SN376" s="12" t="s">
        <v>37</v>
      </c>
      <c r="SO376" s="13" t="s">
        <v>37</v>
      </c>
      <c r="SU376" s="12" t="s">
        <v>37</v>
      </c>
      <c r="SV376" s="12" t="s">
        <v>37</v>
      </c>
      <c r="SW376" s="12" t="s">
        <v>37</v>
      </c>
      <c r="SX376" s="12" t="s">
        <v>37</v>
      </c>
      <c r="SY376" s="12" t="s">
        <v>37</v>
      </c>
      <c r="SZ376" s="12" t="s">
        <v>37</v>
      </c>
      <c r="TA376" s="12"/>
      <c r="TB376" s="12"/>
      <c r="TE376" s="12" t="s">
        <v>37</v>
      </c>
      <c r="TF376" s="12" t="s">
        <v>37</v>
      </c>
      <c r="TG376" s="12" t="s">
        <v>37</v>
      </c>
      <c r="TH376" s="12" t="s">
        <v>37</v>
      </c>
      <c r="TI376" s="12" t="s">
        <v>37</v>
      </c>
      <c r="TJ376" s="12" t="s">
        <v>37</v>
      </c>
      <c r="TK376" s="12"/>
      <c r="TL376" s="12"/>
      <c r="TO376" s="12" t="s">
        <v>37</v>
      </c>
      <c r="TP376" s="12" t="s">
        <v>37</v>
      </c>
      <c r="TQ376" s="12" t="s">
        <v>37</v>
      </c>
      <c r="TR376" s="12" t="s">
        <v>37</v>
      </c>
      <c r="TS376" s="12" t="s">
        <v>37</v>
      </c>
      <c r="TT376" s="12" t="s">
        <v>37</v>
      </c>
      <c r="TU376" s="12"/>
      <c r="TV376" s="12"/>
      <c r="TY376" s="12" t="s">
        <v>37</v>
      </c>
      <c r="TZ376" s="12" t="s">
        <v>37</v>
      </c>
      <c r="UA376" s="12" t="s">
        <v>37</v>
      </c>
      <c r="UB376" s="12" t="s">
        <v>37</v>
      </c>
      <c r="UC376" s="12" t="s">
        <v>37</v>
      </c>
      <c r="UD376" s="12" t="s">
        <v>37</v>
      </c>
      <c r="UE376" s="12"/>
      <c r="UF376" s="12"/>
      <c r="UI376" s="12" t="s">
        <v>37</v>
      </c>
      <c r="UJ376" s="12" t="s">
        <v>37</v>
      </c>
      <c r="UK376" s="12" t="s">
        <v>37</v>
      </c>
      <c r="UL376" s="12" t="s">
        <v>37</v>
      </c>
      <c r="UM376" s="12" t="s">
        <v>37</v>
      </c>
      <c r="UN376" s="12" t="s">
        <v>37</v>
      </c>
      <c r="UO376" s="12"/>
      <c r="UP376" s="12"/>
      <c r="UR376" s="12" t="s">
        <v>37</v>
      </c>
      <c r="US376" s="12" t="s">
        <v>37</v>
      </c>
      <c r="UT376" s="12" t="s">
        <v>37</v>
      </c>
      <c r="UU376" s="12" t="s">
        <v>37</v>
      </c>
      <c r="UV376" s="12" t="s">
        <v>37</v>
      </c>
      <c r="UW376" s="12" t="s">
        <v>37</v>
      </c>
      <c r="UX376" s="12"/>
      <c r="UY376" s="12"/>
      <c r="VB376" s="12" t="s">
        <v>37</v>
      </c>
      <c r="VC376" s="12" t="s">
        <v>37</v>
      </c>
      <c r="VD376" s="12" t="s">
        <v>37</v>
      </c>
      <c r="VE376" s="12" t="s">
        <v>37</v>
      </c>
      <c r="VF376" s="12" t="s">
        <v>37</v>
      </c>
      <c r="VG376" s="12" t="s">
        <v>37</v>
      </c>
      <c r="VI376" s="12" t="s">
        <v>37</v>
      </c>
      <c r="VJ376" s="12" t="s">
        <v>37</v>
      </c>
      <c r="VK376" s="12" t="s">
        <v>37</v>
      </c>
      <c r="VL376" s="12" t="s">
        <v>37</v>
      </c>
      <c r="VM376" s="12" t="s">
        <v>37</v>
      </c>
      <c r="VN376" s="12" t="s">
        <v>37</v>
      </c>
      <c r="VQ376" s="12" t="s">
        <v>37</v>
      </c>
      <c r="VR376" s="12" t="s">
        <v>37</v>
      </c>
      <c r="VS376" s="12" t="s">
        <v>37</v>
      </c>
      <c r="VT376" s="12" t="s">
        <v>37</v>
      </c>
      <c r="VU376" s="12" t="s">
        <v>37</v>
      </c>
      <c r="VV376" s="12" t="s">
        <v>37</v>
      </c>
      <c r="VW376" s="12"/>
      <c r="VX376" s="12"/>
      <c r="WA376" s="12" t="s">
        <v>37</v>
      </c>
      <c r="WB376" s="12" t="s">
        <v>37</v>
      </c>
      <c r="WC376" s="12" t="s">
        <v>37</v>
      </c>
      <c r="WD376" s="12" t="s">
        <v>37</v>
      </c>
      <c r="WE376" s="12" t="s">
        <v>37</v>
      </c>
      <c r="WF376" s="12" t="s">
        <v>37</v>
      </c>
    </row>
    <row r="377" spans="1:604" ht="18" customHeight="1" x14ac:dyDescent="0.3">
      <c r="A377" s="11">
        <v>79</v>
      </c>
      <c r="B377" s="16" t="s">
        <v>454</v>
      </c>
      <c r="C377" s="12" t="s">
        <v>32</v>
      </c>
      <c r="D377" s="12" t="s">
        <v>1039</v>
      </c>
      <c r="E377" s="40">
        <f t="shared" si="1372"/>
        <v>5.15</v>
      </c>
      <c r="F377" s="14">
        <v>0</v>
      </c>
      <c r="G377" s="14">
        <v>0</v>
      </c>
      <c r="H377" s="12" t="s">
        <v>79</v>
      </c>
      <c r="I377" s="29">
        <v>32.799999999999997</v>
      </c>
      <c r="J377" s="29">
        <v>102.55</v>
      </c>
      <c r="K377" s="12" t="s">
        <v>690</v>
      </c>
      <c r="L377" s="12" t="s">
        <v>691</v>
      </c>
      <c r="M377" s="13">
        <v>3500</v>
      </c>
      <c r="N377" s="14">
        <v>0.9</v>
      </c>
      <c r="O377" s="14">
        <v>744</v>
      </c>
      <c r="P377" s="14" t="s">
        <v>16</v>
      </c>
      <c r="Q377" s="75">
        <v>2.5</v>
      </c>
      <c r="R377" s="11" t="s">
        <v>1000</v>
      </c>
      <c r="S377" s="12" t="s">
        <v>85</v>
      </c>
      <c r="T377" s="12" t="s">
        <v>138</v>
      </c>
      <c r="U377" s="12" t="s">
        <v>158</v>
      </c>
      <c r="V377" s="12" t="s">
        <v>275</v>
      </c>
      <c r="W377" s="23" t="s">
        <v>353</v>
      </c>
      <c r="X377" s="12" t="s">
        <v>280</v>
      </c>
      <c r="Y377" s="12" t="s">
        <v>37</v>
      </c>
      <c r="Z377" s="12" t="s">
        <v>37</v>
      </c>
      <c r="AA377" s="32" t="s">
        <v>345</v>
      </c>
      <c r="AB377" s="12">
        <v>6.7</v>
      </c>
      <c r="AC377" s="12" t="s">
        <v>42</v>
      </c>
      <c r="AD377" s="32" t="s">
        <v>345</v>
      </c>
      <c r="AE377" s="12">
        <v>350</v>
      </c>
      <c r="AF377" s="12" t="s">
        <v>42</v>
      </c>
      <c r="AG377" s="32" t="s">
        <v>345</v>
      </c>
      <c r="AH377" s="12">
        <v>15</v>
      </c>
      <c r="AJ377" s="12" t="str">
        <f t="shared" si="1373"/>
        <v>0-10</v>
      </c>
      <c r="AK377" s="19">
        <f t="shared" si="1374"/>
        <v>23.333333333333332</v>
      </c>
      <c r="AL377" s="32" t="s">
        <v>646</v>
      </c>
      <c r="AM377" s="12" t="s">
        <v>317</v>
      </c>
      <c r="AN377" s="32" t="s">
        <v>880</v>
      </c>
      <c r="AO377" s="12" t="s">
        <v>37</v>
      </c>
      <c r="AP377" s="12" t="s">
        <v>238</v>
      </c>
      <c r="AQ377" s="12" t="s">
        <v>975</v>
      </c>
      <c r="AR377" s="12" t="s">
        <v>42</v>
      </c>
      <c r="AS377" s="32" t="s">
        <v>345</v>
      </c>
      <c r="AT377" s="12">
        <v>350</v>
      </c>
      <c r="AU377" s="50">
        <f t="shared" si="1365"/>
        <v>29.93450076866338</v>
      </c>
      <c r="AV377" s="13">
        <v>6</v>
      </c>
      <c r="AX377" s="12" t="s">
        <v>326</v>
      </c>
      <c r="AY377" s="12" t="s">
        <v>326</v>
      </c>
      <c r="AZ377" s="13" t="s">
        <v>326</v>
      </c>
      <c r="BE377" s="12" t="s">
        <v>326</v>
      </c>
      <c r="BF377" s="12" t="s">
        <v>326</v>
      </c>
      <c r="BG377" s="12" t="s">
        <v>326</v>
      </c>
      <c r="BI377" s="12" t="s">
        <v>326</v>
      </c>
      <c r="BJ377" s="12" t="s">
        <v>326</v>
      </c>
      <c r="BK377" s="12" t="s">
        <v>326</v>
      </c>
      <c r="BP377" s="12" t="s">
        <v>37</v>
      </c>
      <c r="BQ377" s="12" t="s">
        <v>37</v>
      </c>
      <c r="BR377" s="13" t="s">
        <v>37</v>
      </c>
      <c r="BT377" s="12" t="s">
        <v>37</v>
      </c>
      <c r="BU377" s="12" t="s">
        <v>37</v>
      </c>
      <c r="BV377" s="12" t="s">
        <v>37</v>
      </c>
      <c r="CA377" s="12" t="s">
        <v>37</v>
      </c>
      <c r="CB377" s="12" t="s">
        <v>37</v>
      </c>
      <c r="CC377" s="13" t="s">
        <v>37</v>
      </c>
      <c r="CE377" s="12" t="s">
        <v>37</v>
      </c>
      <c r="CF377" s="12" t="s">
        <v>37</v>
      </c>
      <c r="CG377" s="12" t="s">
        <v>37</v>
      </c>
      <c r="CN377" s="12" t="s">
        <v>37</v>
      </c>
      <c r="CO377" s="12" t="s">
        <v>37</v>
      </c>
      <c r="CP377" s="13" t="s">
        <v>37</v>
      </c>
      <c r="CR377" s="12" t="s">
        <v>37</v>
      </c>
      <c r="CS377" s="12" t="s">
        <v>37</v>
      </c>
      <c r="CT377" s="13" t="s">
        <v>37</v>
      </c>
      <c r="CX377" s="72"/>
      <c r="CY377" s="72"/>
      <c r="DA377" s="12" t="s">
        <v>37</v>
      </c>
      <c r="DB377" s="12" t="s">
        <v>37</v>
      </c>
      <c r="DC377" s="13" t="s">
        <v>37</v>
      </c>
      <c r="DE377" s="12" t="s">
        <v>37</v>
      </c>
      <c r="DF377" s="12" t="s">
        <v>37</v>
      </c>
      <c r="DG377" s="12" t="s">
        <v>37</v>
      </c>
      <c r="DN377" s="19" t="s">
        <v>37</v>
      </c>
      <c r="DO377" s="12" t="s">
        <v>37</v>
      </c>
      <c r="DP377" s="13" t="s">
        <v>37</v>
      </c>
      <c r="DR377" s="19" t="s">
        <v>37</v>
      </c>
      <c r="DS377" s="12" t="s">
        <v>37</v>
      </c>
      <c r="DT377" s="13" t="s">
        <v>37</v>
      </c>
      <c r="EA377" s="19" t="s">
        <v>37</v>
      </c>
      <c r="EB377" s="19" t="s">
        <v>37</v>
      </c>
      <c r="EC377" s="72" t="s">
        <v>37</v>
      </c>
      <c r="EE377" s="19" t="s">
        <v>37</v>
      </c>
      <c r="EF377" s="19" t="s">
        <v>37</v>
      </c>
      <c r="EG377" s="12" t="s">
        <v>37</v>
      </c>
      <c r="EM377" s="12" t="s">
        <v>39</v>
      </c>
      <c r="EN377" s="12">
        <v>-25.327560341085523</v>
      </c>
      <c r="EO377" s="12">
        <v>3.7216854561993782</v>
      </c>
      <c r="EP377" s="13">
        <v>6</v>
      </c>
      <c r="EQ377" s="19">
        <f t="shared" si="1341"/>
        <v>0.14694212178668406</v>
      </c>
      <c r="ER377" s="12">
        <v>-44.870926010354054</v>
      </c>
      <c r="ES377" s="12">
        <v>2.2702362142729355</v>
      </c>
      <c r="ET377" s="13">
        <v>6</v>
      </c>
      <c r="EU377" s="19">
        <f t="shared" si="1342"/>
        <v>5.0594815309785983E-2</v>
      </c>
      <c r="EV377" s="19">
        <f t="shared" si="1375"/>
        <v>-19.543365669268532</v>
      </c>
      <c r="EW377" s="12">
        <f t="shared" si="1376"/>
        <v>3.082605643240981</v>
      </c>
      <c r="EX377" s="19">
        <f t="shared" si="1377"/>
        <v>3.1674858505803805</v>
      </c>
      <c r="EY377" s="19">
        <f t="shared" si="1378"/>
        <v>3.1674858505803805</v>
      </c>
      <c r="FB377" s="12" t="s">
        <v>37</v>
      </c>
      <c r="FC377" s="12" t="s">
        <v>37</v>
      </c>
      <c r="FD377" s="12" t="s">
        <v>37</v>
      </c>
      <c r="FE377" s="12" t="s">
        <v>37</v>
      </c>
      <c r="FF377" s="20" t="s">
        <v>37</v>
      </c>
      <c r="FG377" s="12" t="s">
        <v>37</v>
      </c>
      <c r="FI377" s="12" t="s">
        <v>37</v>
      </c>
      <c r="FJ377" s="12" t="s">
        <v>37</v>
      </c>
      <c r="FK377" s="12" t="s">
        <v>37</v>
      </c>
      <c r="FL377" s="12" t="s">
        <v>37</v>
      </c>
      <c r="FM377" s="12" t="s">
        <v>37</v>
      </c>
      <c r="FN377" s="12" t="s">
        <v>37</v>
      </c>
      <c r="FP377" s="12" t="s">
        <v>37</v>
      </c>
      <c r="FQ377" s="12" t="s">
        <v>37</v>
      </c>
      <c r="FR377" s="12" t="s">
        <v>37</v>
      </c>
      <c r="FS377" s="12" t="s">
        <v>37</v>
      </c>
      <c r="FT377" s="12" t="s">
        <v>37</v>
      </c>
      <c r="FU377" s="12" t="s">
        <v>37</v>
      </c>
      <c r="FW377" s="12" t="s">
        <v>37</v>
      </c>
      <c r="FX377" s="12" t="s">
        <v>37</v>
      </c>
      <c r="FY377" s="12" t="s">
        <v>37</v>
      </c>
      <c r="FZ377" s="12" t="s">
        <v>37</v>
      </c>
      <c r="GA377" s="12" t="s">
        <v>37</v>
      </c>
      <c r="GB377" s="12" t="s">
        <v>37</v>
      </c>
      <c r="IK377" s="12" t="s">
        <v>37</v>
      </c>
      <c r="IL377" s="12" t="s">
        <v>37</v>
      </c>
      <c r="IM377" s="12" t="s">
        <v>37</v>
      </c>
      <c r="IO377" s="12" t="s">
        <v>37</v>
      </c>
      <c r="IP377" s="12" t="s">
        <v>37</v>
      </c>
      <c r="IQ377" s="12" t="s">
        <v>37</v>
      </c>
      <c r="IV377" s="32" t="s">
        <v>345</v>
      </c>
      <c r="IW377" s="12">
        <v>6.7</v>
      </c>
      <c r="IX377" s="50">
        <f t="shared" si="1366"/>
        <v>0.24530537560775503</v>
      </c>
      <c r="IY377" s="13">
        <v>6</v>
      </c>
      <c r="JH377" s="12" t="s">
        <v>37</v>
      </c>
      <c r="JI377" s="12" t="s">
        <v>37</v>
      </c>
      <c r="JJ377" s="13" t="s">
        <v>37</v>
      </c>
      <c r="JL377" s="12" t="s">
        <v>37</v>
      </c>
      <c r="JM377" s="12" t="s">
        <v>37</v>
      </c>
      <c r="JN377" s="12" t="s">
        <v>37</v>
      </c>
      <c r="JS377" s="12" t="s">
        <v>37</v>
      </c>
      <c r="JT377" s="12" t="s">
        <v>37</v>
      </c>
      <c r="JU377" s="13" t="s">
        <v>37</v>
      </c>
      <c r="JW377" s="12" t="s">
        <v>37</v>
      </c>
      <c r="JX377" s="12" t="s">
        <v>37</v>
      </c>
      <c r="JY377" s="12" t="s">
        <v>37</v>
      </c>
      <c r="KE377" s="12" t="s">
        <v>37</v>
      </c>
      <c r="KF377" s="12" t="s">
        <v>37</v>
      </c>
      <c r="KG377" s="13" t="s">
        <v>37</v>
      </c>
      <c r="KH377" s="12" t="s">
        <v>37</v>
      </c>
      <c r="KI377" s="12" t="s">
        <v>37</v>
      </c>
      <c r="KJ377" s="12" t="s">
        <v>37</v>
      </c>
      <c r="KK377" s="12" t="s">
        <v>42</v>
      </c>
      <c r="KL377" s="32" t="s">
        <v>345</v>
      </c>
      <c r="KM377" s="12">
        <v>15</v>
      </c>
      <c r="KN377" s="50">
        <f t="shared" si="1367"/>
        <v>1.7893956207728923</v>
      </c>
      <c r="KO377" s="11">
        <v>6</v>
      </c>
      <c r="KS377" s="12"/>
      <c r="KX377" s="12" t="s">
        <v>37</v>
      </c>
      <c r="KY377" s="12" t="s">
        <v>37</v>
      </c>
      <c r="KZ377" s="12" t="s">
        <v>37</v>
      </c>
      <c r="LB377" s="12" t="s">
        <v>37</v>
      </c>
      <c r="LC377" s="12" t="s">
        <v>37</v>
      </c>
      <c r="LD377" s="12" t="s">
        <v>37</v>
      </c>
      <c r="LI377" s="12" t="s">
        <v>37</v>
      </c>
      <c r="LJ377" s="12" t="s">
        <v>37</v>
      </c>
      <c r="LK377" s="12" t="s">
        <v>37</v>
      </c>
      <c r="LM377" s="12" t="s">
        <v>37</v>
      </c>
      <c r="LN377" s="12" t="s">
        <v>37</v>
      </c>
      <c r="LO377" s="12" t="s">
        <v>37</v>
      </c>
      <c r="LT377" s="12" t="str">
        <f t="shared" si="1368"/>
        <v>0-10</v>
      </c>
      <c r="LU377" s="12">
        <f t="shared" si="1369"/>
        <v>23.333333333333332</v>
      </c>
      <c r="LV377" s="12">
        <f t="shared" si="1370"/>
        <v>3.4249742755356465</v>
      </c>
      <c r="LW377" s="13">
        <f t="shared" si="1371"/>
        <v>6</v>
      </c>
      <c r="MF377" s="12" t="s">
        <v>37</v>
      </c>
      <c r="MG377" s="12" t="s">
        <v>37</v>
      </c>
      <c r="MH377" s="12" t="s">
        <v>37</v>
      </c>
      <c r="MJ377" s="12" t="s">
        <v>37</v>
      </c>
      <c r="MK377" s="12" t="s">
        <v>37</v>
      </c>
      <c r="ML377" s="12" t="s">
        <v>37</v>
      </c>
      <c r="MQ377" s="12" t="s">
        <v>37</v>
      </c>
      <c r="MR377" s="12" t="s">
        <v>37</v>
      </c>
      <c r="MS377" s="12" t="s">
        <v>37</v>
      </c>
      <c r="MU377" s="12" t="s">
        <v>37</v>
      </c>
      <c r="MV377" s="12" t="s">
        <v>37</v>
      </c>
      <c r="MW377" s="12" t="s">
        <v>37</v>
      </c>
      <c r="NC377" s="12" t="s">
        <v>37</v>
      </c>
      <c r="ND377" s="12" t="s">
        <v>37</v>
      </c>
      <c r="NE377" s="12" t="s">
        <v>37</v>
      </c>
      <c r="NG377" s="12" t="s">
        <v>37</v>
      </c>
      <c r="NH377" s="12" t="s">
        <v>37</v>
      </c>
      <c r="NI377" s="12" t="s">
        <v>37</v>
      </c>
      <c r="NO377" s="12" t="s">
        <v>37</v>
      </c>
      <c r="NP377" s="12" t="s">
        <v>37</v>
      </c>
      <c r="NQ377" s="12" t="s">
        <v>37</v>
      </c>
      <c r="NS377" s="12" t="s">
        <v>37</v>
      </c>
      <c r="NT377" s="12" t="s">
        <v>37</v>
      </c>
      <c r="NU377" s="12" t="s">
        <v>37</v>
      </c>
      <c r="OA377" s="12" t="s">
        <v>37</v>
      </c>
      <c r="OB377" s="12" t="s">
        <v>37</v>
      </c>
      <c r="OC377" s="12" t="s">
        <v>37</v>
      </c>
      <c r="OD377" s="12"/>
      <c r="OE377" s="12" t="s">
        <v>37</v>
      </c>
      <c r="OF377" s="12" t="s">
        <v>37</v>
      </c>
      <c r="OG377" s="12" t="s">
        <v>37</v>
      </c>
      <c r="OH377" s="12"/>
      <c r="OI377" s="12"/>
      <c r="OJ377" s="12"/>
      <c r="OM377" s="12" t="s">
        <v>37</v>
      </c>
      <c r="ON377" s="12" t="s">
        <v>37</v>
      </c>
      <c r="OO377" s="12" t="s">
        <v>37</v>
      </c>
      <c r="OP377" s="12" t="s">
        <v>37</v>
      </c>
      <c r="OQ377" s="12" t="s">
        <v>37</v>
      </c>
      <c r="OR377" s="12" t="s">
        <v>37</v>
      </c>
      <c r="OS377" s="12"/>
      <c r="OT377" s="12"/>
      <c r="OW377" s="12" t="s">
        <v>37</v>
      </c>
      <c r="OX377" s="12" t="s">
        <v>37</v>
      </c>
      <c r="OY377" s="13" t="s">
        <v>37</v>
      </c>
      <c r="OZ377" s="12" t="s">
        <v>37</v>
      </c>
      <c r="PA377" s="12" t="s">
        <v>37</v>
      </c>
      <c r="PB377" s="13" t="s">
        <v>37</v>
      </c>
      <c r="PG377" s="12" t="s">
        <v>37</v>
      </c>
      <c r="PH377" s="12" t="s">
        <v>37</v>
      </c>
      <c r="PI377" s="12" t="s">
        <v>37</v>
      </c>
      <c r="PJ377" s="12" t="s">
        <v>37</v>
      </c>
      <c r="PK377" s="12" t="s">
        <v>37</v>
      </c>
      <c r="PL377" s="12" t="s">
        <v>37</v>
      </c>
      <c r="PM377" s="12"/>
      <c r="PN377" s="12"/>
      <c r="PQ377" s="12" t="s">
        <v>37</v>
      </c>
      <c r="PR377" s="12" t="s">
        <v>37</v>
      </c>
      <c r="PS377" s="12" t="s">
        <v>37</v>
      </c>
      <c r="PT377" s="12" t="s">
        <v>37</v>
      </c>
      <c r="PU377" s="12" t="s">
        <v>37</v>
      </c>
      <c r="PV377" s="12" t="s">
        <v>37</v>
      </c>
      <c r="PW377" s="12"/>
      <c r="PX377" s="12"/>
      <c r="PZ377" s="12" t="s">
        <v>37</v>
      </c>
      <c r="QA377" s="12" t="s">
        <v>37</v>
      </c>
      <c r="QB377" s="12" t="s">
        <v>37</v>
      </c>
      <c r="QD377" s="12" t="s">
        <v>37</v>
      </c>
      <c r="QE377" s="12" t="s">
        <v>37</v>
      </c>
      <c r="QF377" s="12" t="s">
        <v>37</v>
      </c>
      <c r="QK377" s="12" t="s">
        <v>37</v>
      </c>
      <c r="QL377" s="12" t="s">
        <v>37</v>
      </c>
      <c r="QM377" s="12" t="s">
        <v>37</v>
      </c>
      <c r="QN377" s="12" t="s">
        <v>37</v>
      </c>
      <c r="QO377" s="12" t="s">
        <v>37</v>
      </c>
      <c r="QP377" s="12" t="s">
        <v>37</v>
      </c>
      <c r="QQ377" s="12"/>
      <c r="QR377" s="12"/>
      <c r="QU377" s="12" t="s">
        <v>37</v>
      </c>
      <c r="QV377" s="12" t="s">
        <v>37</v>
      </c>
      <c r="QW377" s="12" t="s">
        <v>37</v>
      </c>
      <c r="QX377" s="12" t="s">
        <v>37</v>
      </c>
      <c r="QY377" s="12" t="s">
        <v>37</v>
      </c>
      <c r="QZ377" s="12" t="s">
        <v>37</v>
      </c>
      <c r="RC377" s="12" t="s">
        <v>37</v>
      </c>
      <c r="RD377" s="12" t="s">
        <v>37</v>
      </c>
      <c r="RE377" s="13" t="s">
        <v>37</v>
      </c>
      <c r="RF377" s="12" t="s">
        <v>37</v>
      </c>
      <c r="RG377" s="12" t="s">
        <v>37</v>
      </c>
      <c r="RH377" s="13" t="s">
        <v>37</v>
      </c>
      <c r="RK377" s="12" t="s">
        <v>37</v>
      </c>
      <c r="RL377" s="12" t="s">
        <v>37</v>
      </c>
      <c r="RM377" s="11" t="s">
        <v>37</v>
      </c>
      <c r="RN377" s="12" t="s">
        <v>37</v>
      </c>
      <c r="RO377" s="12" t="s">
        <v>37</v>
      </c>
      <c r="RP377" s="11" t="s">
        <v>37</v>
      </c>
      <c r="RS377" s="12" t="s">
        <v>37</v>
      </c>
      <c r="RT377" s="12" t="s">
        <v>37</v>
      </c>
      <c r="RU377" s="12" t="s">
        <v>37</v>
      </c>
      <c r="RV377" s="12" t="s">
        <v>37</v>
      </c>
      <c r="RW377" s="12" t="s">
        <v>37</v>
      </c>
      <c r="RX377" s="12" t="s">
        <v>37</v>
      </c>
      <c r="SA377" s="12" t="s">
        <v>37</v>
      </c>
      <c r="SB377" s="12" t="s">
        <v>37</v>
      </c>
      <c r="SC377" s="12" t="s">
        <v>37</v>
      </c>
      <c r="SD377" s="12" t="s">
        <v>37</v>
      </c>
      <c r="SE377" s="12" t="s">
        <v>37</v>
      </c>
      <c r="SF377" s="12" t="s">
        <v>37</v>
      </c>
      <c r="SI377" s="12" t="s">
        <v>37</v>
      </c>
      <c r="SJ377" s="12" t="s">
        <v>37</v>
      </c>
      <c r="SK377" s="13" t="s">
        <v>37</v>
      </c>
      <c r="SM377" s="12" t="s">
        <v>37</v>
      </c>
      <c r="SN377" s="12" t="s">
        <v>37</v>
      </c>
      <c r="SO377" s="13" t="s">
        <v>37</v>
      </c>
      <c r="SU377" s="12" t="s">
        <v>37</v>
      </c>
      <c r="SV377" s="12" t="s">
        <v>37</v>
      </c>
      <c r="SW377" s="12" t="s">
        <v>37</v>
      </c>
      <c r="SX377" s="12" t="s">
        <v>37</v>
      </c>
      <c r="SY377" s="12" t="s">
        <v>37</v>
      </c>
      <c r="SZ377" s="12" t="s">
        <v>37</v>
      </c>
      <c r="TA377" s="12"/>
      <c r="TB377" s="12"/>
      <c r="TE377" s="12" t="s">
        <v>37</v>
      </c>
      <c r="TF377" s="12" t="s">
        <v>37</v>
      </c>
      <c r="TG377" s="12" t="s">
        <v>37</v>
      </c>
      <c r="TH377" s="12" t="s">
        <v>37</v>
      </c>
      <c r="TI377" s="12" t="s">
        <v>37</v>
      </c>
      <c r="TJ377" s="12" t="s">
        <v>37</v>
      </c>
      <c r="TK377" s="12"/>
      <c r="TL377" s="12"/>
      <c r="TO377" s="12" t="s">
        <v>37</v>
      </c>
      <c r="TP377" s="12" t="s">
        <v>37</v>
      </c>
      <c r="TQ377" s="12" t="s">
        <v>37</v>
      </c>
      <c r="TR377" s="12" t="s">
        <v>37</v>
      </c>
      <c r="TS377" s="12" t="s">
        <v>37</v>
      </c>
      <c r="TT377" s="12" t="s">
        <v>37</v>
      </c>
      <c r="TU377" s="12"/>
      <c r="TV377" s="12"/>
      <c r="TY377" s="12" t="s">
        <v>37</v>
      </c>
      <c r="TZ377" s="12" t="s">
        <v>37</v>
      </c>
      <c r="UA377" s="12" t="s">
        <v>37</v>
      </c>
      <c r="UB377" s="12" t="s">
        <v>37</v>
      </c>
      <c r="UC377" s="12" t="s">
        <v>37</v>
      </c>
      <c r="UD377" s="12" t="s">
        <v>37</v>
      </c>
      <c r="UE377" s="12"/>
      <c r="UF377" s="12"/>
      <c r="UI377" s="12" t="s">
        <v>37</v>
      </c>
      <c r="UJ377" s="12" t="s">
        <v>37</v>
      </c>
      <c r="UK377" s="12" t="s">
        <v>37</v>
      </c>
      <c r="UL377" s="12" t="s">
        <v>37</v>
      </c>
      <c r="UM377" s="12" t="s">
        <v>37</v>
      </c>
      <c r="UN377" s="12" t="s">
        <v>37</v>
      </c>
      <c r="UO377" s="12"/>
      <c r="UP377" s="12"/>
      <c r="UR377" s="12" t="s">
        <v>37</v>
      </c>
      <c r="US377" s="12" t="s">
        <v>37</v>
      </c>
      <c r="UT377" s="12" t="s">
        <v>37</v>
      </c>
      <c r="UU377" s="12" t="s">
        <v>37</v>
      </c>
      <c r="UV377" s="12" t="s">
        <v>37</v>
      </c>
      <c r="UW377" s="12" t="s">
        <v>37</v>
      </c>
      <c r="UX377" s="12"/>
      <c r="UY377" s="12"/>
      <c r="VB377" s="12" t="s">
        <v>37</v>
      </c>
      <c r="VC377" s="12" t="s">
        <v>37</v>
      </c>
      <c r="VD377" s="12" t="s">
        <v>37</v>
      </c>
      <c r="VE377" s="12" t="s">
        <v>37</v>
      </c>
      <c r="VF377" s="12" t="s">
        <v>37</v>
      </c>
      <c r="VG377" s="12" t="s">
        <v>37</v>
      </c>
      <c r="VI377" s="12" t="s">
        <v>37</v>
      </c>
      <c r="VJ377" s="12" t="s">
        <v>37</v>
      </c>
      <c r="VK377" s="12" t="s">
        <v>37</v>
      </c>
      <c r="VL377" s="12" t="s">
        <v>37</v>
      </c>
      <c r="VM377" s="12" t="s">
        <v>37</v>
      </c>
      <c r="VN377" s="12" t="s">
        <v>37</v>
      </c>
      <c r="VQ377" s="12" t="s">
        <v>37</v>
      </c>
      <c r="VR377" s="12" t="s">
        <v>37</v>
      </c>
      <c r="VS377" s="12" t="s">
        <v>37</v>
      </c>
      <c r="VT377" s="12" t="s">
        <v>37</v>
      </c>
      <c r="VU377" s="12" t="s">
        <v>37</v>
      </c>
      <c r="VV377" s="12" t="s">
        <v>37</v>
      </c>
      <c r="VW377" s="12"/>
      <c r="VX377" s="12"/>
      <c r="WA377" s="12" t="s">
        <v>37</v>
      </c>
      <c r="WB377" s="12" t="s">
        <v>37</v>
      </c>
      <c r="WC377" s="12" t="s">
        <v>37</v>
      </c>
      <c r="WD377" s="12" t="s">
        <v>37</v>
      </c>
      <c r="WE377" s="12" t="s">
        <v>37</v>
      </c>
      <c r="WF377" s="12" t="s">
        <v>37</v>
      </c>
    </row>
    <row r="378" spans="1:604" ht="18" customHeight="1" x14ac:dyDescent="0.3">
      <c r="A378" s="11">
        <v>79</v>
      </c>
      <c r="B378" s="16" t="s">
        <v>454</v>
      </c>
      <c r="C378" s="12" t="s">
        <v>31</v>
      </c>
      <c r="D378" s="12" t="s">
        <v>1039</v>
      </c>
      <c r="E378" s="40">
        <f t="shared" si="1372"/>
        <v>5.15</v>
      </c>
      <c r="F378" s="14">
        <v>0</v>
      </c>
      <c r="G378" s="14">
        <v>0</v>
      </c>
      <c r="H378" s="12" t="s">
        <v>79</v>
      </c>
      <c r="I378" s="29">
        <v>32.799999999999997</v>
      </c>
      <c r="J378" s="29">
        <v>102.55</v>
      </c>
      <c r="K378" s="12" t="s">
        <v>690</v>
      </c>
      <c r="L378" s="12" t="s">
        <v>691</v>
      </c>
      <c r="M378" s="13">
        <v>3500</v>
      </c>
      <c r="N378" s="14">
        <v>0.9</v>
      </c>
      <c r="O378" s="14">
        <v>744</v>
      </c>
      <c r="P378" s="14" t="s">
        <v>16</v>
      </c>
      <c r="Q378" s="75">
        <v>3.5</v>
      </c>
      <c r="R378" s="11" t="s">
        <v>1000</v>
      </c>
      <c r="S378" s="12" t="s">
        <v>85</v>
      </c>
      <c r="T378" s="12" t="s">
        <v>138</v>
      </c>
      <c r="U378" s="12" t="s">
        <v>158</v>
      </c>
      <c r="V378" s="12" t="s">
        <v>275</v>
      </c>
      <c r="W378" s="23" t="s">
        <v>353</v>
      </c>
      <c r="X378" s="12" t="s">
        <v>280</v>
      </c>
      <c r="Y378" s="12" t="s">
        <v>37</v>
      </c>
      <c r="Z378" s="12" t="s">
        <v>37</v>
      </c>
      <c r="AA378" s="32" t="s">
        <v>345</v>
      </c>
      <c r="AB378" s="12">
        <v>6.7</v>
      </c>
      <c r="AC378" s="12" t="s">
        <v>42</v>
      </c>
      <c r="AD378" s="32" t="s">
        <v>345</v>
      </c>
      <c r="AE378" s="12">
        <v>350</v>
      </c>
      <c r="AF378" s="12" t="s">
        <v>42</v>
      </c>
      <c r="AG378" s="32" t="s">
        <v>345</v>
      </c>
      <c r="AH378" s="12">
        <v>15</v>
      </c>
      <c r="AJ378" s="12" t="str">
        <f t="shared" si="1373"/>
        <v>0-10</v>
      </c>
      <c r="AK378" s="19">
        <f t="shared" si="1374"/>
        <v>23.333333333333332</v>
      </c>
      <c r="AL378" s="32" t="s">
        <v>646</v>
      </c>
      <c r="AM378" s="12" t="s">
        <v>317</v>
      </c>
      <c r="AN378" s="32" t="s">
        <v>880</v>
      </c>
      <c r="AO378" s="12" t="s">
        <v>37</v>
      </c>
      <c r="AP378" s="12" t="s">
        <v>238</v>
      </c>
      <c r="AQ378" s="12" t="s">
        <v>975</v>
      </c>
      <c r="AR378" s="12" t="s">
        <v>42</v>
      </c>
      <c r="AS378" s="32" t="s">
        <v>345</v>
      </c>
      <c r="AT378" s="12">
        <v>350</v>
      </c>
      <c r="AU378" s="50">
        <f t="shared" si="1365"/>
        <v>29.93450076866338</v>
      </c>
      <c r="AV378" s="13">
        <v>6</v>
      </c>
      <c r="AX378" s="12" t="s">
        <v>326</v>
      </c>
      <c r="AY378" s="12" t="s">
        <v>326</v>
      </c>
      <c r="AZ378" s="13" t="s">
        <v>326</v>
      </c>
      <c r="BE378" s="12" t="s">
        <v>326</v>
      </c>
      <c r="BF378" s="12" t="s">
        <v>326</v>
      </c>
      <c r="BG378" s="12" t="s">
        <v>326</v>
      </c>
      <c r="BI378" s="12" t="s">
        <v>326</v>
      </c>
      <c r="BJ378" s="12" t="s">
        <v>326</v>
      </c>
      <c r="BK378" s="12" t="s">
        <v>326</v>
      </c>
      <c r="BP378" s="12" t="s">
        <v>37</v>
      </c>
      <c r="BQ378" s="12" t="s">
        <v>37</v>
      </c>
      <c r="BR378" s="13" t="s">
        <v>37</v>
      </c>
      <c r="BT378" s="12" t="s">
        <v>37</v>
      </c>
      <c r="BU378" s="12" t="s">
        <v>37</v>
      </c>
      <c r="BV378" s="12" t="s">
        <v>37</v>
      </c>
      <c r="CA378" s="12" t="s">
        <v>37</v>
      </c>
      <c r="CB378" s="12" t="s">
        <v>37</v>
      </c>
      <c r="CC378" s="13" t="s">
        <v>37</v>
      </c>
      <c r="CE378" s="12" t="s">
        <v>37</v>
      </c>
      <c r="CF378" s="12" t="s">
        <v>37</v>
      </c>
      <c r="CG378" s="12" t="s">
        <v>37</v>
      </c>
      <c r="CN378" s="12" t="s">
        <v>37</v>
      </c>
      <c r="CO378" s="12" t="s">
        <v>37</v>
      </c>
      <c r="CP378" s="13" t="s">
        <v>37</v>
      </c>
      <c r="CR378" s="12" t="s">
        <v>37</v>
      </c>
      <c r="CS378" s="12" t="s">
        <v>37</v>
      </c>
      <c r="CT378" s="13" t="s">
        <v>37</v>
      </c>
      <c r="CX378" s="72"/>
      <c r="CY378" s="72"/>
      <c r="DA378" s="12" t="s">
        <v>37</v>
      </c>
      <c r="DB378" s="12" t="s">
        <v>37</v>
      </c>
      <c r="DC378" s="13" t="s">
        <v>37</v>
      </c>
      <c r="DE378" s="12" t="s">
        <v>37</v>
      </c>
      <c r="DF378" s="12" t="s">
        <v>37</v>
      </c>
      <c r="DG378" s="12" t="s">
        <v>37</v>
      </c>
      <c r="DN378" s="19" t="s">
        <v>37</v>
      </c>
      <c r="DO378" s="12" t="s">
        <v>37</v>
      </c>
      <c r="DP378" s="13" t="s">
        <v>37</v>
      </c>
      <c r="DR378" s="19" t="s">
        <v>37</v>
      </c>
      <c r="DS378" s="12" t="s">
        <v>37</v>
      </c>
      <c r="DT378" s="13" t="s">
        <v>37</v>
      </c>
      <c r="EA378" s="19" t="s">
        <v>37</v>
      </c>
      <c r="EB378" s="19" t="s">
        <v>37</v>
      </c>
      <c r="EC378" s="72" t="s">
        <v>37</v>
      </c>
      <c r="EE378" s="19" t="s">
        <v>37</v>
      </c>
      <c r="EF378" s="19" t="s">
        <v>37</v>
      </c>
      <c r="EG378" s="12" t="s">
        <v>37</v>
      </c>
      <c r="EM378" s="12" t="s">
        <v>39</v>
      </c>
      <c r="EN378" s="12">
        <v>-48.76169720736587</v>
      </c>
      <c r="EO378" s="12">
        <v>3.8844664928993486</v>
      </c>
      <c r="EP378" s="13">
        <v>6</v>
      </c>
      <c r="EQ378" s="19">
        <f t="shared" si="1341"/>
        <v>7.9662249580446653E-2</v>
      </c>
      <c r="ER378" s="12">
        <v>-60.453706185710573</v>
      </c>
      <c r="ES378" s="12">
        <v>3.5711359265362042</v>
      </c>
      <c r="ET378" s="13">
        <v>6</v>
      </c>
      <c r="EU378" s="19">
        <f t="shared" si="1342"/>
        <v>5.9072241420002676E-2</v>
      </c>
      <c r="EV378" s="19">
        <f t="shared" si="1375"/>
        <v>-11.692008978344703</v>
      </c>
      <c r="EW378" s="12">
        <f t="shared" si="1376"/>
        <v>3.7310917799121048</v>
      </c>
      <c r="EX378" s="19">
        <f t="shared" si="1377"/>
        <v>4.6403486233758926</v>
      </c>
      <c r="EY378" s="19">
        <f t="shared" si="1378"/>
        <v>4.6403486233758935</v>
      </c>
      <c r="FB378" s="12" t="s">
        <v>37</v>
      </c>
      <c r="FC378" s="12" t="s">
        <v>37</v>
      </c>
      <c r="FD378" s="12" t="s">
        <v>37</v>
      </c>
      <c r="FE378" s="12" t="s">
        <v>37</v>
      </c>
      <c r="FF378" s="20" t="s">
        <v>37</v>
      </c>
      <c r="FG378" s="12" t="s">
        <v>37</v>
      </c>
      <c r="FI378" s="12" t="s">
        <v>37</v>
      </c>
      <c r="FJ378" s="12" t="s">
        <v>37</v>
      </c>
      <c r="FK378" s="12" t="s">
        <v>37</v>
      </c>
      <c r="FL378" s="12" t="s">
        <v>37</v>
      </c>
      <c r="FM378" s="12" t="s">
        <v>37</v>
      </c>
      <c r="FN378" s="12" t="s">
        <v>37</v>
      </c>
      <c r="FP378" s="12" t="s">
        <v>37</v>
      </c>
      <c r="FQ378" s="12" t="s">
        <v>37</v>
      </c>
      <c r="FR378" s="12" t="s">
        <v>37</v>
      </c>
      <c r="FS378" s="12" t="s">
        <v>37</v>
      </c>
      <c r="FT378" s="12" t="s">
        <v>37</v>
      </c>
      <c r="FU378" s="12" t="s">
        <v>37</v>
      </c>
      <c r="FW378" s="12" t="s">
        <v>37</v>
      </c>
      <c r="FX378" s="12" t="s">
        <v>37</v>
      </c>
      <c r="FY378" s="12" t="s">
        <v>37</v>
      </c>
      <c r="FZ378" s="12" t="s">
        <v>37</v>
      </c>
      <c r="GA378" s="12" t="s">
        <v>37</v>
      </c>
      <c r="GB378" s="12" t="s">
        <v>37</v>
      </c>
      <c r="IK378" s="12" t="s">
        <v>37</v>
      </c>
      <c r="IL378" s="12" t="s">
        <v>37</v>
      </c>
      <c r="IM378" s="12" t="s">
        <v>37</v>
      </c>
      <c r="IO378" s="12" t="s">
        <v>37</v>
      </c>
      <c r="IP378" s="12" t="s">
        <v>37</v>
      </c>
      <c r="IQ378" s="12" t="s">
        <v>37</v>
      </c>
      <c r="IV378" s="32" t="s">
        <v>345</v>
      </c>
      <c r="IW378" s="12">
        <v>6.7</v>
      </c>
      <c r="IX378" s="50">
        <f t="shared" si="1366"/>
        <v>0.24530537560775503</v>
      </c>
      <c r="IY378" s="13">
        <v>6</v>
      </c>
      <c r="JH378" s="12" t="s">
        <v>37</v>
      </c>
      <c r="JI378" s="12" t="s">
        <v>37</v>
      </c>
      <c r="JJ378" s="13" t="s">
        <v>37</v>
      </c>
      <c r="JL378" s="12" t="s">
        <v>37</v>
      </c>
      <c r="JM378" s="12" t="s">
        <v>37</v>
      </c>
      <c r="JN378" s="12" t="s">
        <v>37</v>
      </c>
      <c r="JS378" s="12" t="s">
        <v>37</v>
      </c>
      <c r="JT378" s="12" t="s">
        <v>37</v>
      </c>
      <c r="JU378" s="13" t="s">
        <v>37</v>
      </c>
      <c r="JW378" s="12" t="s">
        <v>37</v>
      </c>
      <c r="JX378" s="12" t="s">
        <v>37</v>
      </c>
      <c r="JY378" s="12" t="s">
        <v>37</v>
      </c>
      <c r="KE378" s="12" t="s">
        <v>37</v>
      </c>
      <c r="KF378" s="12" t="s">
        <v>37</v>
      </c>
      <c r="KG378" s="13" t="s">
        <v>37</v>
      </c>
      <c r="KH378" s="12" t="s">
        <v>37</v>
      </c>
      <c r="KI378" s="12" t="s">
        <v>37</v>
      </c>
      <c r="KJ378" s="12" t="s">
        <v>37</v>
      </c>
      <c r="KK378" s="12" t="s">
        <v>42</v>
      </c>
      <c r="KL378" s="32" t="s">
        <v>345</v>
      </c>
      <c r="KM378" s="12">
        <v>15</v>
      </c>
      <c r="KN378" s="50">
        <f t="shared" si="1367"/>
        <v>1.7893956207728923</v>
      </c>
      <c r="KO378" s="11">
        <v>6</v>
      </c>
      <c r="KS378" s="12"/>
      <c r="KX378" s="12" t="s">
        <v>37</v>
      </c>
      <c r="KY378" s="12" t="s">
        <v>37</v>
      </c>
      <c r="KZ378" s="12" t="s">
        <v>37</v>
      </c>
      <c r="LB378" s="12" t="s">
        <v>37</v>
      </c>
      <c r="LC378" s="12" t="s">
        <v>37</v>
      </c>
      <c r="LD378" s="12" t="s">
        <v>37</v>
      </c>
      <c r="LI378" s="12" t="s">
        <v>37</v>
      </c>
      <c r="LJ378" s="12" t="s">
        <v>37</v>
      </c>
      <c r="LK378" s="12" t="s">
        <v>37</v>
      </c>
      <c r="LM378" s="12" t="s">
        <v>37</v>
      </c>
      <c r="LN378" s="12" t="s">
        <v>37</v>
      </c>
      <c r="LO378" s="12" t="s">
        <v>37</v>
      </c>
      <c r="LT378" s="12" t="str">
        <f t="shared" si="1368"/>
        <v>0-10</v>
      </c>
      <c r="LU378" s="12">
        <f t="shared" si="1369"/>
        <v>23.333333333333332</v>
      </c>
      <c r="LV378" s="12">
        <f t="shared" si="1370"/>
        <v>3.4249742755356465</v>
      </c>
      <c r="LW378" s="13">
        <f t="shared" si="1371"/>
        <v>6</v>
      </c>
      <c r="MF378" s="12" t="s">
        <v>37</v>
      </c>
      <c r="MG378" s="12" t="s">
        <v>37</v>
      </c>
      <c r="MH378" s="12" t="s">
        <v>37</v>
      </c>
      <c r="MJ378" s="12" t="s">
        <v>37</v>
      </c>
      <c r="MK378" s="12" t="s">
        <v>37</v>
      </c>
      <c r="ML378" s="12" t="s">
        <v>37</v>
      </c>
      <c r="MQ378" s="12" t="s">
        <v>37</v>
      </c>
      <c r="MR378" s="12" t="s">
        <v>37</v>
      </c>
      <c r="MS378" s="12" t="s">
        <v>37</v>
      </c>
      <c r="MU378" s="12" t="s">
        <v>37</v>
      </c>
      <c r="MV378" s="12" t="s">
        <v>37</v>
      </c>
      <c r="MW378" s="12" t="s">
        <v>37</v>
      </c>
      <c r="NC378" s="12" t="s">
        <v>37</v>
      </c>
      <c r="ND378" s="12" t="s">
        <v>37</v>
      </c>
      <c r="NE378" s="12" t="s">
        <v>37</v>
      </c>
      <c r="NG378" s="12" t="s">
        <v>37</v>
      </c>
      <c r="NH378" s="12" t="s">
        <v>37</v>
      </c>
      <c r="NI378" s="12" t="s">
        <v>37</v>
      </c>
      <c r="NO378" s="12" t="s">
        <v>37</v>
      </c>
      <c r="NP378" s="12" t="s">
        <v>37</v>
      </c>
      <c r="NQ378" s="12" t="s">
        <v>37</v>
      </c>
      <c r="NS378" s="12" t="s">
        <v>37</v>
      </c>
      <c r="NT378" s="12" t="s">
        <v>37</v>
      </c>
      <c r="NU378" s="12" t="s">
        <v>37</v>
      </c>
      <c r="OA378" s="12" t="s">
        <v>37</v>
      </c>
      <c r="OB378" s="12" t="s">
        <v>37</v>
      </c>
      <c r="OC378" s="12" t="s">
        <v>37</v>
      </c>
      <c r="OD378" s="12"/>
      <c r="OE378" s="12" t="s">
        <v>37</v>
      </c>
      <c r="OF378" s="12" t="s">
        <v>37</v>
      </c>
      <c r="OG378" s="12" t="s">
        <v>37</v>
      </c>
      <c r="OH378" s="12"/>
      <c r="OI378" s="12"/>
      <c r="OJ378" s="12"/>
      <c r="OM378" s="12" t="s">
        <v>37</v>
      </c>
      <c r="ON378" s="12" t="s">
        <v>37</v>
      </c>
      <c r="OO378" s="12" t="s">
        <v>37</v>
      </c>
      <c r="OP378" s="12" t="s">
        <v>37</v>
      </c>
      <c r="OQ378" s="12" t="s">
        <v>37</v>
      </c>
      <c r="OR378" s="12" t="s">
        <v>37</v>
      </c>
      <c r="OS378" s="12"/>
      <c r="OT378" s="12"/>
      <c r="OW378" s="12" t="s">
        <v>37</v>
      </c>
      <c r="OX378" s="12" t="s">
        <v>37</v>
      </c>
      <c r="OY378" s="13" t="s">
        <v>37</v>
      </c>
      <c r="OZ378" s="12" t="s">
        <v>37</v>
      </c>
      <c r="PA378" s="12" t="s">
        <v>37</v>
      </c>
      <c r="PB378" s="13" t="s">
        <v>37</v>
      </c>
      <c r="PG378" s="12" t="s">
        <v>37</v>
      </c>
      <c r="PH378" s="12" t="s">
        <v>37</v>
      </c>
      <c r="PI378" s="12" t="s">
        <v>37</v>
      </c>
      <c r="PJ378" s="12" t="s">
        <v>37</v>
      </c>
      <c r="PK378" s="12" t="s">
        <v>37</v>
      </c>
      <c r="PL378" s="12" t="s">
        <v>37</v>
      </c>
      <c r="PM378" s="12"/>
      <c r="PN378" s="12"/>
      <c r="PQ378" s="12" t="s">
        <v>37</v>
      </c>
      <c r="PR378" s="12" t="s">
        <v>37</v>
      </c>
      <c r="PS378" s="12" t="s">
        <v>37</v>
      </c>
      <c r="PT378" s="12" t="s">
        <v>37</v>
      </c>
      <c r="PU378" s="12" t="s">
        <v>37</v>
      </c>
      <c r="PV378" s="12" t="s">
        <v>37</v>
      </c>
      <c r="PW378" s="12"/>
      <c r="PX378" s="12"/>
      <c r="PZ378" s="12" t="s">
        <v>37</v>
      </c>
      <c r="QA378" s="12" t="s">
        <v>37</v>
      </c>
      <c r="QB378" s="12" t="s">
        <v>37</v>
      </c>
      <c r="QD378" s="12" t="s">
        <v>37</v>
      </c>
      <c r="QE378" s="12" t="s">
        <v>37</v>
      </c>
      <c r="QF378" s="12" t="s">
        <v>37</v>
      </c>
      <c r="QK378" s="12" t="s">
        <v>37</v>
      </c>
      <c r="QL378" s="12" t="s">
        <v>37</v>
      </c>
      <c r="QM378" s="12" t="s">
        <v>37</v>
      </c>
      <c r="QN378" s="12" t="s">
        <v>37</v>
      </c>
      <c r="QO378" s="12" t="s">
        <v>37</v>
      </c>
      <c r="QP378" s="12" t="s">
        <v>37</v>
      </c>
      <c r="QQ378" s="12"/>
      <c r="QR378" s="12"/>
      <c r="QU378" s="12" t="s">
        <v>37</v>
      </c>
      <c r="QV378" s="12" t="s">
        <v>37</v>
      </c>
      <c r="QW378" s="12" t="s">
        <v>37</v>
      </c>
      <c r="QX378" s="12" t="s">
        <v>37</v>
      </c>
      <c r="QY378" s="12" t="s">
        <v>37</v>
      </c>
      <c r="QZ378" s="12" t="s">
        <v>37</v>
      </c>
      <c r="RC378" s="12" t="s">
        <v>37</v>
      </c>
      <c r="RD378" s="12" t="s">
        <v>37</v>
      </c>
      <c r="RE378" s="13" t="s">
        <v>37</v>
      </c>
      <c r="RF378" s="12" t="s">
        <v>37</v>
      </c>
      <c r="RG378" s="12" t="s">
        <v>37</v>
      </c>
      <c r="RH378" s="13" t="s">
        <v>37</v>
      </c>
      <c r="RK378" s="12" t="s">
        <v>37</v>
      </c>
      <c r="RL378" s="12" t="s">
        <v>37</v>
      </c>
      <c r="RM378" s="11" t="s">
        <v>37</v>
      </c>
      <c r="RN378" s="12" t="s">
        <v>37</v>
      </c>
      <c r="RO378" s="12" t="s">
        <v>37</v>
      </c>
      <c r="RP378" s="11" t="s">
        <v>37</v>
      </c>
      <c r="RS378" s="12" t="s">
        <v>37</v>
      </c>
      <c r="RT378" s="12" t="s">
        <v>37</v>
      </c>
      <c r="RU378" s="12" t="s">
        <v>37</v>
      </c>
      <c r="RV378" s="12" t="s">
        <v>37</v>
      </c>
      <c r="RW378" s="12" t="s">
        <v>37</v>
      </c>
      <c r="RX378" s="12" t="s">
        <v>37</v>
      </c>
      <c r="SA378" s="12" t="s">
        <v>37</v>
      </c>
      <c r="SB378" s="12" t="s">
        <v>37</v>
      </c>
      <c r="SC378" s="12" t="s">
        <v>37</v>
      </c>
      <c r="SD378" s="12" t="s">
        <v>37</v>
      </c>
      <c r="SE378" s="12" t="s">
        <v>37</v>
      </c>
      <c r="SF378" s="12" t="s">
        <v>37</v>
      </c>
      <c r="SI378" s="12" t="s">
        <v>37</v>
      </c>
      <c r="SJ378" s="12" t="s">
        <v>37</v>
      </c>
      <c r="SK378" s="13" t="s">
        <v>37</v>
      </c>
      <c r="SM378" s="12" t="s">
        <v>37</v>
      </c>
      <c r="SN378" s="12" t="s">
        <v>37</v>
      </c>
      <c r="SO378" s="13" t="s">
        <v>37</v>
      </c>
      <c r="SU378" s="12" t="s">
        <v>37</v>
      </c>
      <c r="SV378" s="12" t="s">
        <v>37</v>
      </c>
      <c r="SW378" s="12" t="s">
        <v>37</v>
      </c>
      <c r="SX378" s="12" t="s">
        <v>37</v>
      </c>
      <c r="SY378" s="12" t="s">
        <v>37</v>
      </c>
      <c r="SZ378" s="12" t="s">
        <v>37</v>
      </c>
      <c r="TA378" s="12"/>
      <c r="TB378" s="12"/>
      <c r="TE378" s="12" t="s">
        <v>37</v>
      </c>
      <c r="TF378" s="12" t="s">
        <v>37</v>
      </c>
      <c r="TG378" s="12" t="s">
        <v>37</v>
      </c>
      <c r="TH378" s="12" t="s">
        <v>37</v>
      </c>
      <c r="TI378" s="12" t="s">
        <v>37</v>
      </c>
      <c r="TJ378" s="12" t="s">
        <v>37</v>
      </c>
      <c r="TK378" s="12"/>
      <c r="TL378" s="12"/>
      <c r="TO378" s="12" t="s">
        <v>37</v>
      </c>
      <c r="TP378" s="12" t="s">
        <v>37</v>
      </c>
      <c r="TQ378" s="12" t="s">
        <v>37</v>
      </c>
      <c r="TR378" s="12" t="s">
        <v>37</v>
      </c>
      <c r="TS378" s="12" t="s">
        <v>37</v>
      </c>
      <c r="TT378" s="12" t="s">
        <v>37</v>
      </c>
      <c r="TU378" s="12"/>
      <c r="TV378" s="12"/>
      <c r="TY378" s="12" t="s">
        <v>37</v>
      </c>
      <c r="TZ378" s="12" t="s">
        <v>37</v>
      </c>
      <c r="UA378" s="12" t="s">
        <v>37</v>
      </c>
      <c r="UB378" s="12" t="s">
        <v>37</v>
      </c>
      <c r="UC378" s="12" t="s">
        <v>37</v>
      </c>
      <c r="UD378" s="12" t="s">
        <v>37</v>
      </c>
      <c r="UE378" s="12"/>
      <c r="UF378" s="12"/>
      <c r="UI378" s="12" t="s">
        <v>37</v>
      </c>
      <c r="UJ378" s="12" t="s">
        <v>37</v>
      </c>
      <c r="UK378" s="12" t="s">
        <v>37</v>
      </c>
      <c r="UL378" s="12" t="s">
        <v>37</v>
      </c>
      <c r="UM378" s="12" t="s">
        <v>37</v>
      </c>
      <c r="UN378" s="12" t="s">
        <v>37</v>
      </c>
      <c r="UO378" s="12"/>
      <c r="UP378" s="12"/>
      <c r="UR378" s="12" t="s">
        <v>37</v>
      </c>
      <c r="US378" s="12" t="s">
        <v>37</v>
      </c>
      <c r="UT378" s="12" t="s">
        <v>37</v>
      </c>
      <c r="UU378" s="12" t="s">
        <v>37</v>
      </c>
      <c r="UV378" s="12" t="s">
        <v>37</v>
      </c>
      <c r="UW378" s="12" t="s">
        <v>37</v>
      </c>
      <c r="UX378" s="12"/>
      <c r="UY378" s="12"/>
      <c r="VB378" s="12" t="s">
        <v>37</v>
      </c>
      <c r="VC378" s="12" t="s">
        <v>37</v>
      </c>
      <c r="VD378" s="12" t="s">
        <v>37</v>
      </c>
      <c r="VE378" s="12" t="s">
        <v>37</v>
      </c>
      <c r="VF378" s="12" t="s">
        <v>37</v>
      </c>
      <c r="VG378" s="12" t="s">
        <v>37</v>
      </c>
      <c r="VI378" s="12" t="s">
        <v>37</v>
      </c>
      <c r="VJ378" s="12" t="s">
        <v>37</v>
      </c>
      <c r="VK378" s="12" t="s">
        <v>37</v>
      </c>
      <c r="VL378" s="12" t="s">
        <v>37</v>
      </c>
      <c r="VM378" s="12" t="s">
        <v>37</v>
      </c>
      <c r="VN378" s="12" t="s">
        <v>37</v>
      </c>
      <c r="VQ378" s="12" t="s">
        <v>37</v>
      </c>
      <c r="VR378" s="12" t="s">
        <v>37</v>
      </c>
      <c r="VS378" s="12" t="s">
        <v>37</v>
      </c>
      <c r="VT378" s="12" t="s">
        <v>37</v>
      </c>
      <c r="VU378" s="12" t="s">
        <v>37</v>
      </c>
      <c r="VV378" s="12" t="s">
        <v>37</v>
      </c>
      <c r="VW378" s="12"/>
      <c r="VX378" s="12"/>
      <c r="WA378" s="12" t="s">
        <v>37</v>
      </c>
      <c r="WB378" s="12" t="s">
        <v>37</v>
      </c>
      <c r="WC378" s="12" t="s">
        <v>37</v>
      </c>
      <c r="WD378" s="12" t="s">
        <v>37</v>
      </c>
      <c r="WE378" s="12" t="s">
        <v>37</v>
      </c>
      <c r="WF378" s="12" t="s">
        <v>37</v>
      </c>
    </row>
    <row r="379" spans="1:604" ht="18" customHeight="1" x14ac:dyDescent="0.3">
      <c r="A379" s="11">
        <v>79</v>
      </c>
      <c r="B379" s="16" t="s">
        <v>454</v>
      </c>
      <c r="C379" s="12" t="s">
        <v>32</v>
      </c>
      <c r="D379" s="12" t="s">
        <v>1039</v>
      </c>
      <c r="E379" s="40">
        <f t="shared" si="1372"/>
        <v>5.15</v>
      </c>
      <c r="F379" s="14">
        <v>0</v>
      </c>
      <c r="G379" s="14">
        <v>0</v>
      </c>
      <c r="H379" s="12" t="s">
        <v>79</v>
      </c>
      <c r="I379" s="29">
        <v>32.799999999999997</v>
      </c>
      <c r="J379" s="29">
        <v>102.55</v>
      </c>
      <c r="K379" s="12" t="s">
        <v>690</v>
      </c>
      <c r="L379" s="12" t="s">
        <v>691</v>
      </c>
      <c r="M379" s="13">
        <v>3500</v>
      </c>
      <c r="N379" s="14">
        <v>0.9</v>
      </c>
      <c r="O379" s="14">
        <v>744</v>
      </c>
      <c r="P379" s="14" t="s">
        <v>16</v>
      </c>
      <c r="Q379" s="75">
        <v>3.5</v>
      </c>
      <c r="R379" s="11" t="s">
        <v>1000</v>
      </c>
      <c r="S379" s="12" t="s">
        <v>85</v>
      </c>
      <c r="T379" s="12" t="s">
        <v>138</v>
      </c>
      <c r="U379" s="12" t="s">
        <v>158</v>
      </c>
      <c r="V379" s="12" t="s">
        <v>275</v>
      </c>
      <c r="W379" s="23" t="s">
        <v>353</v>
      </c>
      <c r="X379" s="12" t="s">
        <v>280</v>
      </c>
      <c r="Y379" s="12" t="s">
        <v>37</v>
      </c>
      <c r="Z379" s="12" t="s">
        <v>37</v>
      </c>
      <c r="AA379" s="32" t="s">
        <v>345</v>
      </c>
      <c r="AB379" s="12">
        <v>6.7</v>
      </c>
      <c r="AC379" s="12" t="s">
        <v>42</v>
      </c>
      <c r="AD379" s="32" t="s">
        <v>345</v>
      </c>
      <c r="AE379" s="12">
        <v>350</v>
      </c>
      <c r="AF379" s="12" t="s">
        <v>42</v>
      </c>
      <c r="AG379" s="32" t="s">
        <v>345</v>
      </c>
      <c r="AH379" s="12">
        <v>15</v>
      </c>
      <c r="AJ379" s="12" t="str">
        <f t="shared" si="1373"/>
        <v>0-10</v>
      </c>
      <c r="AK379" s="19">
        <f t="shared" si="1374"/>
        <v>23.333333333333332</v>
      </c>
      <c r="AL379" s="32" t="s">
        <v>646</v>
      </c>
      <c r="AM379" s="12" t="s">
        <v>317</v>
      </c>
      <c r="AN379" s="32" t="s">
        <v>880</v>
      </c>
      <c r="AO379" s="12" t="s">
        <v>37</v>
      </c>
      <c r="AP379" s="12" t="s">
        <v>238</v>
      </c>
      <c r="AQ379" s="12" t="s">
        <v>975</v>
      </c>
      <c r="AR379" s="12" t="s">
        <v>42</v>
      </c>
      <c r="AS379" s="32" t="s">
        <v>345</v>
      </c>
      <c r="AT379" s="12">
        <v>350</v>
      </c>
      <c r="AU379" s="50">
        <f t="shared" si="1365"/>
        <v>29.93450076866338</v>
      </c>
      <c r="AV379" s="13">
        <v>6</v>
      </c>
      <c r="AX379" s="12" t="s">
        <v>326</v>
      </c>
      <c r="AY379" s="12" t="s">
        <v>326</v>
      </c>
      <c r="AZ379" s="13" t="s">
        <v>326</v>
      </c>
      <c r="BE379" s="12" t="s">
        <v>326</v>
      </c>
      <c r="BF379" s="12" t="s">
        <v>326</v>
      </c>
      <c r="BG379" s="12" t="s">
        <v>326</v>
      </c>
      <c r="BI379" s="12" t="s">
        <v>326</v>
      </c>
      <c r="BJ379" s="12" t="s">
        <v>326</v>
      </c>
      <c r="BK379" s="12" t="s">
        <v>326</v>
      </c>
      <c r="BP379" s="12" t="s">
        <v>37</v>
      </c>
      <c r="BQ379" s="12" t="s">
        <v>37</v>
      </c>
      <c r="BR379" s="13" t="s">
        <v>37</v>
      </c>
      <c r="BT379" s="12" t="s">
        <v>37</v>
      </c>
      <c r="BU379" s="12" t="s">
        <v>37</v>
      </c>
      <c r="BV379" s="12" t="s">
        <v>37</v>
      </c>
      <c r="CA379" s="12" t="s">
        <v>37</v>
      </c>
      <c r="CB379" s="12" t="s">
        <v>37</v>
      </c>
      <c r="CC379" s="13" t="s">
        <v>37</v>
      </c>
      <c r="CE379" s="12" t="s">
        <v>37</v>
      </c>
      <c r="CF379" s="12" t="s">
        <v>37</v>
      </c>
      <c r="CG379" s="12" t="s">
        <v>37</v>
      </c>
      <c r="CN379" s="12" t="s">
        <v>37</v>
      </c>
      <c r="CO379" s="12" t="s">
        <v>37</v>
      </c>
      <c r="CP379" s="13" t="s">
        <v>37</v>
      </c>
      <c r="CR379" s="12" t="s">
        <v>37</v>
      </c>
      <c r="CS379" s="12" t="s">
        <v>37</v>
      </c>
      <c r="CT379" s="13" t="s">
        <v>37</v>
      </c>
      <c r="CX379" s="72"/>
      <c r="CY379" s="72"/>
      <c r="DA379" s="12" t="s">
        <v>37</v>
      </c>
      <c r="DB379" s="12" t="s">
        <v>37</v>
      </c>
      <c r="DC379" s="13" t="s">
        <v>37</v>
      </c>
      <c r="DE379" s="12" t="s">
        <v>37</v>
      </c>
      <c r="DF379" s="12" t="s">
        <v>37</v>
      </c>
      <c r="DG379" s="12" t="s">
        <v>37</v>
      </c>
      <c r="DN379" s="19" t="s">
        <v>37</v>
      </c>
      <c r="DO379" s="12" t="s">
        <v>37</v>
      </c>
      <c r="DP379" s="13" t="s">
        <v>37</v>
      </c>
      <c r="DR379" s="19" t="s">
        <v>37</v>
      </c>
      <c r="DS379" s="12" t="s">
        <v>37</v>
      </c>
      <c r="DT379" s="13" t="s">
        <v>37</v>
      </c>
      <c r="EA379" s="19" t="s">
        <v>37</v>
      </c>
      <c r="EB379" s="19" t="s">
        <v>37</v>
      </c>
      <c r="EC379" s="72" t="s">
        <v>37</v>
      </c>
      <c r="EE379" s="19" t="s">
        <v>37</v>
      </c>
      <c r="EF379" s="19" t="s">
        <v>37</v>
      </c>
      <c r="EG379" s="12" t="s">
        <v>37</v>
      </c>
      <c r="EM379" s="12" t="s">
        <v>39</v>
      </c>
      <c r="EN379" s="12">
        <v>-48.76169720736587</v>
      </c>
      <c r="EO379" s="12">
        <v>3.8844664928993486</v>
      </c>
      <c r="EP379" s="13">
        <v>6</v>
      </c>
      <c r="EQ379" s="19">
        <f t="shared" si="1341"/>
        <v>7.9662249580446653E-2</v>
      </c>
      <c r="ER379" s="12">
        <v>-64.194692039592596</v>
      </c>
      <c r="ES379" s="12">
        <v>3.0503400500711311</v>
      </c>
      <c r="ET379" s="13">
        <v>6</v>
      </c>
      <c r="EU379" s="19">
        <f t="shared" si="1342"/>
        <v>4.7517013528000245E-2</v>
      </c>
      <c r="EV379" s="19">
        <f t="shared" si="1375"/>
        <v>-15.432994832226726</v>
      </c>
      <c r="EW379" s="12">
        <f t="shared" si="1376"/>
        <v>3.4923956215988561</v>
      </c>
      <c r="EX379" s="19">
        <f t="shared" si="1377"/>
        <v>4.0656090592542862</v>
      </c>
      <c r="EY379" s="19">
        <f t="shared" si="1378"/>
        <v>4.0656090592542862</v>
      </c>
      <c r="FB379" s="12" t="s">
        <v>37</v>
      </c>
      <c r="FC379" s="12" t="s">
        <v>37</v>
      </c>
      <c r="FD379" s="12" t="s">
        <v>37</v>
      </c>
      <c r="FE379" s="12" t="s">
        <v>37</v>
      </c>
      <c r="FF379" s="20" t="s">
        <v>37</v>
      </c>
      <c r="FG379" s="12" t="s">
        <v>37</v>
      </c>
      <c r="FI379" s="12" t="s">
        <v>37</v>
      </c>
      <c r="FJ379" s="12" t="s">
        <v>37</v>
      </c>
      <c r="FK379" s="12" t="s">
        <v>37</v>
      </c>
      <c r="FL379" s="12" t="s">
        <v>37</v>
      </c>
      <c r="FM379" s="12" t="s">
        <v>37</v>
      </c>
      <c r="FN379" s="12" t="s">
        <v>37</v>
      </c>
      <c r="FP379" s="12" t="s">
        <v>37</v>
      </c>
      <c r="FQ379" s="12" t="s">
        <v>37</v>
      </c>
      <c r="FR379" s="12" t="s">
        <v>37</v>
      </c>
      <c r="FS379" s="12" t="s">
        <v>37</v>
      </c>
      <c r="FT379" s="12" t="s">
        <v>37</v>
      </c>
      <c r="FU379" s="12" t="s">
        <v>37</v>
      </c>
      <c r="FW379" s="12" t="s">
        <v>37</v>
      </c>
      <c r="FX379" s="12" t="s">
        <v>37</v>
      </c>
      <c r="FY379" s="12" t="s">
        <v>37</v>
      </c>
      <c r="FZ379" s="12" t="s">
        <v>37</v>
      </c>
      <c r="GA379" s="12" t="s">
        <v>37</v>
      </c>
      <c r="GB379" s="12" t="s">
        <v>37</v>
      </c>
      <c r="IK379" s="12" t="s">
        <v>37</v>
      </c>
      <c r="IL379" s="12" t="s">
        <v>37</v>
      </c>
      <c r="IM379" s="12" t="s">
        <v>37</v>
      </c>
      <c r="IO379" s="12" t="s">
        <v>37</v>
      </c>
      <c r="IP379" s="12" t="s">
        <v>37</v>
      </c>
      <c r="IQ379" s="12" t="s">
        <v>37</v>
      </c>
      <c r="IV379" s="32" t="s">
        <v>345</v>
      </c>
      <c r="IW379" s="12">
        <v>6.7</v>
      </c>
      <c r="IX379" s="50">
        <f t="shared" si="1366"/>
        <v>0.24530537560775503</v>
      </c>
      <c r="IY379" s="13">
        <v>6</v>
      </c>
      <c r="JH379" s="12" t="s">
        <v>37</v>
      </c>
      <c r="JI379" s="12" t="s">
        <v>37</v>
      </c>
      <c r="JJ379" s="13" t="s">
        <v>37</v>
      </c>
      <c r="JL379" s="12" t="s">
        <v>37</v>
      </c>
      <c r="JM379" s="12" t="s">
        <v>37</v>
      </c>
      <c r="JN379" s="12" t="s">
        <v>37</v>
      </c>
      <c r="JS379" s="12" t="s">
        <v>37</v>
      </c>
      <c r="JT379" s="12" t="s">
        <v>37</v>
      </c>
      <c r="JU379" s="13" t="s">
        <v>37</v>
      </c>
      <c r="JW379" s="12" t="s">
        <v>37</v>
      </c>
      <c r="JX379" s="12" t="s">
        <v>37</v>
      </c>
      <c r="JY379" s="12" t="s">
        <v>37</v>
      </c>
      <c r="KE379" s="12" t="s">
        <v>37</v>
      </c>
      <c r="KF379" s="12" t="s">
        <v>37</v>
      </c>
      <c r="KG379" s="13" t="s">
        <v>37</v>
      </c>
      <c r="KH379" s="12" t="s">
        <v>37</v>
      </c>
      <c r="KI379" s="12" t="s">
        <v>37</v>
      </c>
      <c r="KJ379" s="12" t="s">
        <v>37</v>
      </c>
      <c r="KK379" s="12" t="s">
        <v>42</v>
      </c>
      <c r="KL379" s="32" t="s">
        <v>345</v>
      </c>
      <c r="KM379" s="12">
        <v>15</v>
      </c>
      <c r="KN379" s="50">
        <f t="shared" si="1367"/>
        <v>1.7893956207728923</v>
      </c>
      <c r="KO379" s="11">
        <v>6</v>
      </c>
      <c r="KS379" s="12"/>
      <c r="KX379" s="12" t="s">
        <v>37</v>
      </c>
      <c r="KY379" s="12" t="s">
        <v>37</v>
      </c>
      <c r="KZ379" s="12" t="s">
        <v>37</v>
      </c>
      <c r="LB379" s="12" t="s">
        <v>37</v>
      </c>
      <c r="LC379" s="12" t="s">
        <v>37</v>
      </c>
      <c r="LD379" s="12" t="s">
        <v>37</v>
      </c>
      <c r="LI379" s="12" t="s">
        <v>37</v>
      </c>
      <c r="LJ379" s="12" t="s">
        <v>37</v>
      </c>
      <c r="LK379" s="12" t="s">
        <v>37</v>
      </c>
      <c r="LM379" s="12" t="s">
        <v>37</v>
      </c>
      <c r="LN379" s="12" t="s">
        <v>37</v>
      </c>
      <c r="LO379" s="12" t="s">
        <v>37</v>
      </c>
      <c r="LT379" s="12" t="str">
        <f t="shared" si="1368"/>
        <v>0-10</v>
      </c>
      <c r="LU379" s="12">
        <f t="shared" si="1369"/>
        <v>23.333333333333332</v>
      </c>
      <c r="LV379" s="12">
        <f t="shared" si="1370"/>
        <v>3.4249742755356465</v>
      </c>
      <c r="LW379" s="13">
        <f t="shared" si="1371"/>
        <v>6</v>
      </c>
      <c r="MF379" s="12" t="s">
        <v>37</v>
      </c>
      <c r="MG379" s="12" t="s">
        <v>37</v>
      </c>
      <c r="MH379" s="12" t="s">
        <v>37</v>
      </c>
      <c r="MJ379" s="12" t="s">
        <v>37</v>
      </c>
      <c r="MK379" s="12" t="s">
        <v>37</v>
      </c>
      <c r="ML379" s="12" t="s">
        <v>37</v>
      </c>
      <c r="MQ379" s="12" t="s">
        <v>37</v>
      </c>
      <c r="MR379" s="12" t="s">
        <v>37</v>
      </c>
      <c r="MS379" s="12" t="s">
        <v>37</v>
      </c>
      <c r="MU379" s="12" t="s">
        <v>37</v>
      </c>
      <c r="MV379" s="12" t="s">
        <v>37</v>
      </c>
      <c r="MW379" s="12" t="s">
        <v>37</v>
      </c>
      <c r="NC379" s="12" t="s">
        <v>37</v>
      </c>
      <c r="ND379" s="12" t="s">
        <v>37</v>
      </c>
      <c r="NE379" s="12" t="s">
        <v>37</v>
      </c>
      <c r="NG379" s="12" t="s">
        <v>37</v>
      </c>
      <c r="NH379" s="12" t="s">
        <v>37</v>
      </c>
      <c r="NI379" s="12" t="s">
        <v>37</v>
      </c>
      <c r="NO379" s="12" t="s">
        <v>37</v>
      </c>
      <c r="NP379" s="12" t="s">
        <v>37</v>
      </c>
      <c r="NQ379" s="12" t="s">
        <v>37</v>
      </c>
      <c r="NS379" s="12" t="s">
        <v>37</v>
      </c>
      <c r="NT379" s="12" t="s">
        <v>37</v>
      </c>
      <c r="NU379" s="12" t="s">
        <v>37</v>
      </c>
      <c r="OA379" s="12" t="s">
        <v>37</v>
      </c>
      <c r="OB379" s="12" t="s">
        <v>37</v>
      </c>
      <c r="OC379" s="12" t="s">
        <v>37</v>
      </c>
      <c r="OD379" s="12"/>
      <c r="OE379" s="12" t="s">
        <v>37</v>
      </c>
      <c r="OF379" s="12" t="s">
        <v>37</v>
      </c>
      <c r="OG379" s="12" t="s">
        <v>37</v>
      </c>
      <c r="OH379" s="12"/>
      <c r="OI379" s="12"/>
      <c r="OJ379" s="12"/>
      <c r="OM379" s="12" t="s">
        <v>37</v>
      </c>
      <c r="ON379" s="12" t="s">
        <v>37</v>
      </c>
      <c r="OO379" s="12" t="s">
        <v>37</v>
      </c>
      <c r="OP379" s="12" t="s">
        <v>37</v>
      </c>
      <c r="OQ379" s="12" t="s">
        <v>37</v>
      </c>
      <c r="OR379" s="12" t="s">
        <v>37</v>
      </c>
      <c r="OS379" s="12"/>
      <c r="OT379" s="12"/>
      <c r="OW379" s="12" t="s">
        <v>37</v>
      </c>
      <c r="OX379" s="12" t="s">
        <v>37</v>
      </c>
      <c r="OY379" s="13" t="s">
        <v>37</v>
      </c>
      <c r="OZ379" s="12" t="s">
        <v>37</v>
      </c>
      <c r="PA379" s="12" t="s">
        <v>37</v>
      </c>
      <c r="PB379" s="13" t="s">
        <v>37</v>
      </c>
      <c r="PG379" s="12" t="s">
        <v>37</v>
      </c>
      <c r="PH379" s="12" t="s">
        <v>37</v>
      </c>
      <c r="PI379" s="12" t="s">
        <v>37</v>
      </c>
      <c r="PJ379" s="12" t="s">
        <v>37</v>
      </c>
      <c r="PK379" s="12" t="s">
        <v>37</v>
      </c>
      <c r="PL379" s="12" t="s">
        <v>37</v>
      </c>
      <c r="PM379" s="12"/>
      <c r="PN379" s="12"/>
      <c r="PQ379" s="12" t="s">
        <v>37</v>
      </c>
      <c r="PR379" s="12" t="s">
        <v>37</v>
      </c>
      <c r="PS379" s="12" t="s">
        <v>37</v>
      </c>
      <c r="PT379" s="12" t="s">
        <v>37</v>
      </c>
      <c r="PU379" s="12" t="s">
        <v>37</v>
      </c>
      <c r="PV379" s="12" t="s">
        <v>37</v>
      </c>
      <c r="PW379" s="12"/>
      <c r="PX379" s="12"/>
      <c r="PZ379" s="12" t="s">
        <v>37</v>
      </c>
      <c r="QA379" s="12" t="s">
        <v>37</v>
      </c>
      <c r="QB379" s="12" t="s">
        <v>37</v>
      </c>
      <c r="QD379" s="12" t="s">
        <v>37</v>
      </c>
      <c r="QE379" s="12" t="s">
        <v>37</v>
      </c>
      <c r="QF379" s="12" t="s">
        <v>37</v>
      </c>
      <c r="QK379" s="12" t="s">
        <v>37</v>
      </c>
      <c r="QL379" s="12" t="s">
        <v>37</v>
      </c>
      <c r="QM379" s="12" t="s">
        <v>37</v>
      </c>
      <c r="QN379" s="12" t="s">
        <v>37</v>
      </c>
      <c r="QO379" s="12" t="s">
        <v>37</v>
      </c>
      <c r="QP379" s="12" t="s">
        <v>37</v>
      </c>
      <c r="QQ379" s="12"/>
      <c r="QR379" s="12"/>
      <c r="QU379" s="12" t="s">
        <v>37</v>
      </c>
      <c r="QV379" s="12" t="s">
        <v>37</v>
      </c>
      <c r="QW379" s="12" t="s">
        <v>37</v>
      </c>
      <c r="QX379" s="12" t="s">
        <v>37</v>
      </c>
      <c r="QY379" s="12" t="s">
        <v>37</v>
      </c>
      <c r="QZ379" s="12" t="s">
        <v>37</v>
      </c>
      <c r="RC379" s="12" t="s">
        <v>37</v>
      </c>
      <c r="RD379" s="12" t="s">
        <v>37</v>
      </c>
      <c r="RE379" s="13" t="s">
        <v>37</v>
      </c>
      <c r="RF379" s="12" t="s">
        <v>37</v>
      </c>
      <c r="RG379" s="12" t="s">
        <v>37</v>
      </c>
      <c r="RH379" s="13" t="s">
        <v>37</v>
      </c>
      <c r="RK379" s="12" t="s">
        <v>37</v>
      </c>
      <c r="RL379" s="12" t="s">
        <v>37</v>
      </c>
      <c r="RM379" s="11" t="s">
        <v>37</v>
      </c>
      <c r="RN379" s="12" t="s">
        <v>37</v>
      </c>
      <c r="RO379" s="12" t="s">
        <v>37</v>
      </c>
      <c r="RP379" s="11" t="s">
        <v>37</v>
      </c>
      <c r="RS379" s="12" t="s">
        <v>37</v>
      </c>
      <c r="RT379" s="12" t="s">
        <v>37</v>
      </c>
      <c r="RU379" s="12" t="s">
        <v>37</v>
      </c>
      <c r="RV379" s="12" t="s">
        <v>37</v>
      </c>
      <c r="RW379" s="12" t="s">
        <v>37</v>
      </c>
      <c r="RX379" s="12" t="s">
        <v>37</v>
      </c>
      <c r="SA379" s="12" t="s">
        <v>37</v>
      </c>
      <c r="SB379" s="12" t="s">
        <v>37</v>
      </c>
      <c r="SC379" s="12" t="s">
        <v>37</v>
      </c>
      <c r="SD379" s="12" t="s">
        <v>37</v>
      </c>
      <c r="SE379" s="12" t="s">
        <v>37</v>
      </c>
      <c r="SF379" s="12" t="s">
        <v>37</v>
      </c>
      <c r="SI379" s="12" t="s">
        <v>37</v>
      </c>
      <c r="SJ379" s="12" t="s">
        <v>37</v>
      </c>
      <c r="SK379" s="13" t="s">
        <v>37</v>
      </c>
      <c r="SM379" s="12" t="s">
        <v>37</v>
      </c>
      <c r="SN379" s="12" t="s">
        <v>37</v>
      </c>
      <c r="SO379" s="13" t="s">
        <v>37</v>
      </c>
      <c r="SU379" s="12" t="s">
        <v>37</v>
      </c>
      <c r="SV379" s="12" t="s">
        <v>37</v>
      </c>
      <c r="SW379" s="12" t="s">
        <v>37</v>
      </c>
      <c r="SX379" s="12" t="s">
        <v>37</v>
      </c>
      <c r="SY379" s="12" t="s">
        <v>37</v>
      </c>
      <c r="SZ379" s="12" t="s">
        <v>37</v>
      </c>
      <c r="TA379" s="12"/>
      <c r="TB379" s="12"/>
      <c r="TE379" s="12" t="s">
        <v>37</v>
      </c>
      <c r="TF379" s="12" t="s">
        <v>37</v>
      </c>
      <c r="TG379" s="12" t="s">
        <v>37</v>
      </c>
      <c r="TH379" s="12" t="s">
        <v>37</v>
      </c>
      <c r="TI379" s="12" t="s">
        <v>37</v>
      </c>
      <c r="TJ379" s="12" t="s">
        <v>37</v>
      </c>
      <c r="TK379" s="12"/>
      <c r="TL379" s="12"/>
      <c r="TO379" s="12" t="s">
        <v>37</v>
      </c>
      <c r="TP379" s="12" t="s">
        <v>37</v>
      </c>
      <c r="TQ379" s="12" t="s">
        <v>37</v>
      </c>
      <c r="TR379" s="12" t="s">
        <v>37</v>
      </c>
      <c r="TS379" s="12" t="s">
        <v>37</v>
      </c>
      <c r="TT379" s="12" t="s">
        <v>37</v>
      </c>
      <c r="TU379" s="12"/>
      <c r="TV379" s="12"/>
      <c r="TY379" s="12" t="s">
        <v>37</v>
      </c>
      <c r="TZ379" s="12" t="s">
        <v>37</v>
      </c>
      <c r="UA379" s="12" t="s">
        <v>37</v>
      </c>
      <c r="UB379" s="12" t="s">
        <v>37</v>
      </c>
      <c r="UC379" s="12" t="s">
        <v>37</v>
      </c>
      <c r="UD379" s="12" t="s">
        <v>37</v>
      </c>
      <c r="UE379" s="12"/>
      <c r="UF379" s="12"/>
      <c r="UI379" s="12" t="s">
        <v>37</v>
      </c>
      <c r="UJ379" s="12" t="s">
        <v>37</v>
      </c>
      <c r="UK379" s="12" t="s">
        <v>37</v>
      </c>
      <c r="UL379" s="12" t="s">
        <v>37</v>
      </c>
      <c r="UM379" s="12" t="s">
        <v>37</v>
      </c>
      <c r="UN379" s="12" t="s">
        <v>37</v>
      </c>
      <c r="UO379" s="12"/>
      <c r="UP379" s="12"/>
      <c r="UR379" s="12" t="s">
        <v>37</v>
      </c>
      <c r="US379" s="12" t="s">
        <v>37</v>
      </c>
      <c r="UT379" s="12" t="s">
        <v>37</v>
      </c>
      <c r="UU379" s="12" t="s">
        <v>37</v>
      </c>
      <c r="UV379" s="12" t="s">
        <v>37</v>
      </c>
      <c r="UW379" s="12" t="s">
        <v>37</v>
      </c>
      <c r="UX379" s="12"/>
      <c r="UY379" s="12"/>
      <c r="VB379" s="12" t="s">
        <v>37</v>
      </c>
      <c r="VC379" s="12" t="s">
        <v>37</v>
      </c>
      <c r="VD379" s="12" t="s">
        <v>37</v>
      </c>
      <c r="VE379" s="12" t="s">
        <v>37</v>
      </c>
      <c r="VF379" s="12" t="s">
        <v>37</v>
      </c>
      <c r="VG379" s="12" t="s">
        <v>37</v>
      </c>
      <c r="VI379" s="12" t="s">
        <v>37</v>
      </c>
      <c r="VJ379" s="12" t="s">
        <v>37</v>
      </c>
      <c r="VK379" s="12" t="s">
        <v>37</v>
      </c>
      <c r="VL379" s="12" t="s">
        <v>37</v>
      </c>
      <c r="VM379" s="12" t="s">
        <v>37</v>
      </c>
      <c r="VN379" s="12" t="s">
        <v>37</v>
      </c>
      <c r="VQ379" s="12" t="s">
        <v>37</v>
      </c>
      <c r="VR379" s="12" t="s">
        <v>37</v>
      </c>
      <c r="VS379" s="12" t="s">
        <v>37</v>
      </c>
      <c r="VT379" s="12" t="s">
        <v>37</v>
      </c>
      <c r="VU379" s="12" t="s">
        <v>37</v>
      </c>
      <c r="VV379" s="12" t="s">
        <v>37</v>
      </c>
      <c r="VW379" s="12"/>
      <c r="VX379" s="12"/>
      <c r="WA379" s="12" t="s">
        <v>37</v>
      </c>
      <c r="WB379" s="12" t="s">
        <v>37</v>
      </c>
      <c r="WC379" s="12" t="s">
        <v>37</v>
      </c>
      <c r="WD379" s="12" t="s">
        <v>37</v>
      </c>
      <c r="WE379" s="12" t="s">
        <v>37</v>
      </c>
      <c r="WF379" s="12" t="s">
        <v>37</v>
      </c>
    </row>
    <row r="380" spans="1:604" ht="18" customHeight="1" x14ac:dyDescent="0.3">
      <c r="A380" s="11">
        <v>79</v>
      </c>
      <c r="B380" s="16" t="s">
        <v>454</v>
      </c>
      <c r="C380" s="12" t="s">
        <v>31</v>
      </c>
      <c r="D380" s="12" t="s">
        <v>1039</v>
      </c>
      <c r="E380" s="40">
        <f t="shared" si="1372"/>
        <v>5.15</v>
      </c>
      <c r="F380" s="14">
        <v>0</v>
      </c>
      <c r="G380" s="14">
        <v>0</v>
      </c>
      <c r="H380" s="12" t="s">
        <v>79</v>
      </c>
      <c r="I380" s="29">
        <v>32.799999999999997</v>
      </c>
      <c r="J380" s="29">
        <v>102.55</v>
      </c>
      <c r="K380" s="12" t="s">
        <v>690</v>
      </c>
      <c r="L380" s="12" t="s">
        <v>691</v>
      </c>
      <c r="M380" s="13">
        <v>3500</v>
      </c>
      <c r="N380" s="14">
        <v>0.9</v>
      </c>
      <c r="O380" s="14">
        <v>744</v>
      </c>
      <c r="P380" s="14" t="s">
        <v>16</v>
      </c>
      <c r="Q380" s="75">
        <f>4/12</f>
        <v>0.33333333333333331</v>
      </c>
      <c r="R380" s="11" t="s">
        <v>37</v>
      </c>
      <c r="S380" s="12" t="s">
        <v>85</v>
      </c>
      <c r="T380" s="12" t="s">
        <v>138</v>
      </c>
      <c r="U380" s="12" t="s">
        <v>158</v>
      </c>
      <c r="V380" s="12" t="s">
        <v>275</v>
      </c>
      <c r="W380" s="23" t="s">
        <v>353</v>
      </c>
      <c r="X380" s="12" t="s">
        <v>280</v>
      </c>
      <c r="Y380" s="12" t="s">
        <v>37</v>
      </c>
      <c r="Z380" s="12" t="s">
        <v>37</v>
      </c>
      <c r="AA380" s="32" t="s">
        <v>345</v>
      </c>
      <c r="AB380" s="12">
        <v>6.7</v>
      </c>
      <c r="AC380" s="12" t="s">
        <v>42</v>
      </c>
      <c r="AD380" s="32" t="s">
        <v>345</v>
      </c>
      <c r="AE380" s="12">
        <v>350</v>
      </c>
      <c r="AF380" s="12" t="s">
        <v>42</v>
      </c>
      <c r="AG380" s="32" t="s">
        <v>345</v>
      </c>
      <c r="AH380" s="12">
        <v>15</v>
      </c>
      <c r="AJ380" s="12" t="str">
        <f t="shared" si="1373"/>
        <v>0-10</v>
      </c>
      <c r="AK380" s="19">
        <f t="shared" si="1374"/>
        <v>23.333333333333332</v>
      </c>
      <c r="AL380" s="32" t="s">
        <v>647</v>
      </c>
      <c r="AM380" s="12" t="s">
        <v>321</v>
      </c>
      <c r="AN380" s="32" t="s">
        <v>896</v>
      </c>
      <c r="AO380" s="12" t="s">
        <v>37</v>
      </c>
      <c r="AP380" s="12" t="s">
        <v>238</v>
      </c>
      <c r="AQ380" s="12" t="s">
        <v>975</v>
      </c>
      <c r="AR380" s="12" t="s">
        <v>42</v>
      </c>
      <c r="AS380" s="32" t="s">
        <v>345</v>
      </c>
      <c r="AT380" s="12">
        <v>350</v>
      </c>
      <c r="AU380" s="50">
        <f t="shared" si="1365"/>
        <v>29.93450076866338</v>
      </c>
      <c r="AV380" s="13">
        <v>6</v>
      </c>
      <c r="AX380" s="12" t="s">
        <v>326</v>
      </c>
      <c r="AY380" s="12" t="s">
        <v>326</v>
      </c>
      <c r="AZ380" s="13" t="s">
        <v>326</v>
      </c>
      <c r="BE380" s="12" t="s">
        <v>326</v>
      </c>
      <c r="BF380" s="12" t="s">
        <v>326</v>
      </c>
      <c r="BG380" s="12" t="s">
        <v>326</v>
      </c>
      <c r="BI380" s="12" t="s">
        <v>326</v>
      </c>
      <c r="BJ380" s="12" t="s">
        <v>326</v>
      </c>
      <c r="BK380" s="12" t="s">
        <v>326</v>
      </c>
      <c r="BP380" s="12" t="s">
        <v>37</v>
      </c>
      <c r="BQ380" s="12" t="s">
        <v>37</v>
      </c>
      <c r="BR380" s="13" t="s">
        <v>37</v>
      </c>
      <c r="BT380" s="12" t="s">
        <v>37</v>
      </c>
      <c r="BU380" s="12" t="s">
        <v>37</v>
      </c>
      <c r="BV380" s="12" t="s">
        <v>37</v>
      </c>
      <c r="CA380" s="12" t="s">
        <v>37</v>
      </c>
      <c r="CB380" s="12" t="s">
        <v>37</v>
      </c>
      <c r="CC380" s="13" t="s">
        <v>37</v>
      </c>
      <c r="CE380" s="12" t="s">
        <v>37</v>
      </c>
      <c r="CF380" s="12" t="s">
        <v>37</v>
      </c>
      <c r="CG380" s="12" t="s">
        <v>37</v>
      </c>
      <c r="CN380" s="12" t="s">
        <v>37</v>
      </c>
      <c r="CO380" s="12" t="s">
        <v>37</v>
      </c>
      <c r="CP380" s="13" t="s">
        <v>37</v>
      </c>
      <c r="CR380" s="12" t="s">
        <v>37</v>
      </c>
      <c r="CS380" s="12" t="s">
        <v>37</v>
      </c>
      <c r="CT380" s="13" t="s">
        <v>37</v>
      </c>
      <c r="CX380" s="72"/>
      <c r="CY380" s="72"/>
      <c r="DA380" s="12" t="s">
        <v>37</v>
      </c>
      <c r="DB380" s="12" t="s">
        <v>37</v>
      </c>
      <c r="DC380" s="13" t="s">
        <v>37</v>
      </c>
      <c r="DE380" s="12" t="s">
        <v>37</v>
      </c>
      <c r="DF380" s="12" t="s">
        <v>37</v>
      </c>
      <c r="DG380" s="12" t="s">
        <v>37</v>
      </c>
      <c r="DN380" s="19" t="s">
        <v>37</v>
      </c>
      <c r="DO380" s="12" t="s">
        <v>37</v>
      </c>
      <c r="DP380" s="13" t="s">
        <v>37</v>
      </c>
      <c r="DR380" s="19" t="s">
        <v>37</v>
      </c>
      <c r="DS380" s="12" t="s">
        <v>37</v>
      </c>
      <c r="DT380" s="13" t="s">
        <v>37</v>
      </c>
      <c r="EA380" s="19" t="s">
        <v>37</v>
      </c>
      <c r="EB380" s="19" t="s">
        <v>37</v>
      </c>
      <c r="EC380" s="72" t="s">
        <v>37</v>
      </c>
      <c r="EE380" s="19" t="s">
        <v>37</v>
      </c>
      <c r="EF380" s="19" t="s">
        <v>37</v>
      </c>
      <c r="EG380" s="12" t="s">
        <v>37</v>
      </c>
      <c r="EN380" s="12" t="s">
        <v>37</v>
      </c>
      <c r="EO380" s="12" t="s">
        <v>37</v>
      </c>
      <c r="EP380" s="13" t="s">
        <v>37</v>
      </c>
      <c r="ER380" s="12" t="s">
        <v>37</v>
      </c>
      <c r="ES380" s="12" t="s">
        <v>37</v>
      </c>
      <c r="ET380" s="13" t="s">
        <v>37</v>
      </c>
      <c r="FB380" s="12" t="s">
        <v>37</v>
      </c>
      <c r="FC380" s="12" t="s">
        <v>37</v>
      </c>
      <c r="FD380" s="12" t="s">
        <v>37</v>
      </c>
      <c r="FE380" s="12" t="s">
        <v>37</v>
      </c>
      <c r="FF380" s="20" t="s">
        <v>37</v>
      </c>
      <c r="FG380" s="12" t="s">
        <v>37</v>
      </c>
      <c r="FI380" s="12" t="s">
        <v>37</v>
      </c>
      <c r="FJ380" s="12" t="s">
        <v>37</v>
      </c>
      <c r="FK380" s="12" t="s">
        <v>37</v>
      </c>
      <c r="FL380" s="12" t="s">
        <v>37</v>
      </c>
      <c r="FM380" s="12" t="s">
        <v>37</v>
      </c>
      <c r="FN380" s="12" t="s">
        <v>37</v>
      </c>
      <c r="FP380" s="12" t="s">
        <v>37</v>
      </c>
      <c r="FQ380" s="12" t="s">
        <v>37</v>
      </c>
      <c r="FR380" s="12" t="s">
        <v>37</v>
      </c>
      <c r="FS380" s="12" t="s">
        <v>37</v>
      </c>
      <c r="FT380" s="12" t="s">
        <v>37</v>
      </c>
      <c r="FU380" s="12" t="s">
        <v>37</v>
      </c>
      <c r="FW380" s="12" t="s">
        <v>37</v>
      </c>
      <c r="FX380" s="12" t="s">
        <v>37</v>
      </c>
      <c r="FY380" s="12" t="s">
        <v>37</v>
      </c>
      <c r="FZ380" s="12" t="s">
        <v>37</v>
      </c>
      <c r="GA380" s="12" t="s">
        <v>37</v>
      </c>
      <c r="GB380" s="12" t="s">
        <v>37</v>
      </c>
      <c r="IK380" s="12" t="s">
        <v>37</v>
      </c>
      <c r="IL380" s="12" t="s">
        <v>37</v>
      </c>
      <c r="IM380" s="12" t="s">
        <v>37</v>
      </c>
      <c r="IO380" s="12" t="s">
        <v>37</v>
      </c>
      <c r="IP380" s="12" t="s">
        <v>37</v>
      </c>
      <c r="IQ380" s="12" t="s">
        <v>37</v>
      </c>
      <c r="IV380" s="32" t="s">
        <v>345</v>
      </c>
      <c r="IW380" s="12">
        <v>6.7</v>
      </c>
      <c r="IX380" s="50">
        <f t="shared" si="1366"/>
        <v>0.24530537560775503</v>
      </c>
      <c r="IY380" s="13">
        <v>6</v>
      </c>
      <c r="JH380" s="12" t="s">
        <v>37</v>
      </c>
      <c r="JI380" s="12" t="s">
        <v>37</v>
      </c>
      <c r="JJ380" s="13" t="s">
        <v>37</v>
      </c>
      <c r="JL380" s="12" t="s">
        <v>37</v>
      </c>
      <c r="JM380" s="12" t="s">
        <v>37</v>
      </c>
      <c r="JN380" s="12" t="s">
        <v>37</v>
      </c>
      <c r="JS380" s="12" t="s">
        <v>37</v>
      </c>
      <c r="JT380" s="12" t="s">
        <v>37</v>
      </c>
      <c r="JU380" s="13" t="s">
        <v>37</v>
      </c>
      <c r="JW380" s="12" t="s">
        <v>37</v>
      </c>
      <c r="JX380" s="12" t="s">
        <v>37</v>
      </c>
      <c r="JY380" s="12" t="s">
        <v>37</v>
      </c>
      <c r="KE380" s="12" t="s">
        <v>37</v>
      </c>
      <c r="KF380" s="12" t="s">
        <v>37</v>
      </c>
      <c r="KG380" s="13" t="s">
        <v>37</v>
      </c>
      <c r="KH380" s="12" t="s">
        <v>37</v>
      </c>
      <c r="KI380" s="12" t="s">
        <v>37</v>
      </c>
      <c r="KJ380" s="12" t="s">
        <v>37</v>
      </c>
      <c r="KK380" s="12" t="s">
        <v>42</v>
      </c>
      <c r="KL380" s="32" t="s">
        <v>345</v>
      </c>
      <c r="KM380" s="12">
        <v>15</v>
      </c>
      <c r="KN380" s="50">
        <f t="shared" si="1367"/>
        <v>1.7893956207728923</v>
      </c>
      <c r="KO380" s="11">
        <v>6</v>
      </c>
      <c r="KS380" s="12"/>
      <c r="KX380" s="12" t="s">
        <v>37</v>
      </c>
      <c r="KY380" s="12" t="s">
        <v>37</v>
      </c>
      <c r="KZ380" s="12" t="s">
        <v>37</v>
      </c>
      <c r="LB380" s="12" t="s">
        <v>37</v>
      </c>
      <c r="LC380" s="12" t="s">
        <v>37</v>
      </c>
      <c r="LD380" s="12" t="s">
        <v>37</v>
      </c>
      <c r="LI380" s="12" t="s">
        <v>37</v>
      </c>
      <c r="LJ380" s="12" t="s">
        <v>37</v>
      </c>
      <c r="LK380" s="12" t="s">
        <v>37</v>
      </c>
      <c r="LM380" s="12" t="s">
        <v>37</v>
      </c>
      <c r="LN380" s="12" t="s">
        <v>37</v>
      </c>
      <c r="LO380" s="12" t="s">
        <v>37</v>
      </c>
      <c r="LT380" s="12" t="str">
        <f t="shared" si="1368"/>
        <v>0-10</v>
      </c>
      <c r="LU380" s="12">
        <f t="shared" si="1369"/>
        <v>23.333333333333332</v>
      </c>
      <c r="LV380" s="12">
        <f t="shared" si="1370"/>
        <v>3.4249742755356465</v>
      </c>
      <c r="LW380" s="13">
        <f t="shared" si="1371"/>
        <v>6</v>
      </c>
      <c r="MF380" s="12" t="s">
        <v>37</v>
      </c>
      <c r="MG380" s="12" t="s">
        <v>37</v>
      </c>
      <c r="MH380" s="12" t="s">
        <v>37</v>
      </c>
      <c r="MJ380" s="12" t="s">
        <v>37</v>
      </c>
      <c r="MK380" s="12" t="s">
        <v>37</v>
      </c>
      <c r="ML380" s="12" t="s">
        <v>37</v>
      </c>
      <c r="MQ380" s="12" t="s">
        <v>37</v>
      </c>
      <c r="MR380" s="12" t="s">
        <v>37</v>
      </c>
      <c r="MS380" s="12" t="s">
        <v>37</v>
      </c>
      <c r="MU380" s="12" t="s">
        <v>37</v>
      </c>
      <c r="MV380" s="12" t="s">
        <v>37</v>
      </c>
      <c r="MW380" s="12" t="s">
        <v>37</v>
      </c>
      <c r="NC380" s="12" t="s">
        <v>37</v>
      </c>
      <c r="ND380" s="12" t="s">
        <v>37</v>
      </c>
      <c r="NE380" s="12" t="s">
        <v>37</v>
      </c>
      <c r="NG380" s="12" t="s">
        <v>37</v>
      </c>
      <c r="NH380" s="12" t="s">
        <v>37</v>
      </c>
      <c r="NI380" s="12" t="s">
        <v>37</v>
      </c>
      <c r="NO380" s="12" t="s">
        <v>37</v>
      </c>
      <c r="NP380" s="12" t="s">
        <v>37</v>
      </c>
      <c r="NQ380" s="12" t="s">
        <v>37</v>
      </c>
      <c r="NS380" s="12" t="s">
        <v>37</v>
      </c>
      <c r="NT380" s="12" t="s">
        <v>37</v>
      </c>
      <c r="NU380" s="12" t="s">
        <v>37</v>
      </c>
      <c r="OA380" s="12" t="s">
        <v>37</v>
      </c>
      <c r="OB380" s="12" t="s">
        <v>37</v>
      </c>
      <c r="OC380" s="12" t="s">
        <v>37</v>
      </c>
      <c r="OD380" s="12"/>
      <c r="OE380" s="12" t="s">
        <v>37</v>
      </c>
      <c r="OF380" s="12" t="s">
        <v>37</v>
      </c>
      <c r="OG380" s="12" t="s">
        <v>37</v>
      </c>
      <c r="OH380" s="12"/>
      <c r="OI380" s="12"/>
      <c r="OJ380" s="12"/>
      <c r="OM380" s="12" t="s">
        <v>37</v>
      </c>
      <c r="ON380" s="12" t="s">
        <v>37</v>
      </c>
      <c r="OO380" s="12" t="s">
        <v>37</v>
      </c>
      <c r="OP380" s="12" t="s">
        <v>37</v>
      </c>
      <c r="OQ380" s="12" t="s">
        <v>37</v>
      </c>
      <c r="OR380" s="12" t="s">
        <v>37</v>
      </c>
      <c r="OS380" s="12"/>
      <c r="OT380" s="12"/>
      <c r="OW380" s="12" t="s">
        <v>37</v>
      </c>
      <c r="OX380" s="12" t="s">
        <v>37</v>
      </c>
      <c r="OY380" s="13" t="s">
        <v>37</v>
      </c>
      <c r="OZ380" s="12" t="s">
        <v>37</v>
      </c>
      <c r="PA380" s="12" t="s">
        <v>37</v>
      </c>
      <c r="PB380" s="13" t="s">
        <v>37</v>
      </c>
      <c r="PG380" s="12" t="s">
        <v>37</v>
      </c>
      <c r="PH380" s="12" t="s">
        <v>37</v>
      </c>
      <c r="PI380" s="12" t="s">
        <v>37</v>
      </c>
      <c r="PJ380" s="12" t="s">
        <v>37</v>
      </c>
      <c r="PK380" s="12" t="s">
        <v>37</v>
      </c>
      <c r="PL380" s="12" t="s">
        <v>37</v>
      </c>
      <c r="PM380" s="12"/>
      <c r="PN380" s="12"/>
      <c r="PQ380" s="12" t="s">
        <v>37</v>
      </c>
      <c r="PR380" s="12" t="s">
        <v>37</v>
      </c>
      <c r="PS380" s="12" t="s">
        <v>37</v>
      </c>
      <c r="PT380" s="12" t="s">
        <v>37</v>
      </c>
      <c r="PU380" s="12" t="s">
        <v>37</v>
      </c>
      <c r="PV380" s="12" t="s">
        <v>37</v>
      </c>
      <c r="PW380" s="12"/>
      <c r="PX380" s="12"/>
      <c r="PZ380" s="12" t="s">
        <v>37</v>
      </c>
      <c r="QA380" s="12" t="s">
        <v>37</v>
      </c>
      <c r="QB380" s="12" t="s">
        <v>37</v>
      </c>
      <c r="QD380" s="12" t="s">
        <v>37</v>
      </c>
      <c r="QE380" s="12" t="s">
        <v>37</v>
      </c>
      <c r="QF380" s="12" t="s">
        <v>37</v>
      </c>
      <c r="QK380" s="12" t="s">
        <v>37</v>
      </c>
      <c r="QL380" s="12" t="s">
        <v>37</v>
      </c>
      <c r="QM380" s="12" t="s">
        <v>37</v>
      </c>
      <c r="QN380" s="12" t="s">
        <v>37</v>
      </c>
      <c r="QO380" s="12" t="s">
        <v>37</v>
      </c>
      <c r="QP380" s="12" t="s">
        <v>37</v>
      </c>
      <c r="QQ380" s="12"/>
      <c r="QR380" s="12"/>
      <c r="QU380" s="12" t="s">
        <v>37</v>
      </c>
      <c r="QV380" s="12" t="s">
        <v>37</v>
      </c>
      <c r="QW380" s="12" t="s">
        <v>37</v>
      </c>
      <c r="QX380" s="12" t="s">
        <v>37</v>
      </c>
      <c r="QY380" s="12" t="s">
        <v>37</v>
      </c>
      <c r="QZ380" s="12" t="s">
        <v>37</v>
      </c>
      <c r="RC380" s="12" t="s">
        <v>37</v>
      </c>
      <c r="RD380" s="12" t="s">
        <v>37</v>
      </c>
      <c r="RE380" s="13" t="s">
        <v>37</v>
      </c>
      <c r="RF380" s="12" t="s">
        <v>37</v>
      </c>
      <c r="RG380" s="12" t="s">
        <v>37</v>
      </c>
      <c r="RH380" s="13" t="s">
        <v>37</v>
      </c>
      <c r="RK380" s="12" t="s">
        <v>37</v>
      </c>
      <c r="RL380" s="12" t="s">
        <v>37</v>
      </c>
      <c r="RM380" s="11" t="s">
        <v>37</v>
      </c>
      <c r="RN380" s="12" t="s">
        <v>37</v>
      </c>
      <c r="RO380" s="12" t="s">
        <v>37</v>
      </c>
      <c r="RP380" s="11" t="s">
        <v>37</v>
      </c>
      <c r="RS380" s="12" t="s">
        <v>37</v>
      </c>
      <c r="RT380" s="12" t="s">
        <v>37</v>
      </c>
      <c r="RU380" s="12" t="s">
        <v>37</v>
      </c>
      <c r="RV380" s="12" t="s">
        <v>37</v>
      </c>
      <c r="RW380" s="12" t="s">
        <v>37</v>
      </c>
      <c r="RX380" s="12" t="s">
        <v>37</v>
      </c>
      <c r="SA380" s="12" t="s">
        <v>37</v>
      </c>
      <c r="SB380" s="12" t="s">
        <v>37</v>
      </c>
      <c r="SC380" s="12" t="s">
        <v>37</v>
      </c>
      <c r="SD380" s="12" t="s">
        <v>37</v>
      </c>
      <c r="SE380" s="12" t="s">
        <v>37</v>
      </c>
      <c r="SF380" s="12" t="s">
        <v>37</v>
      </c>
      <c r="SI380" s="12" t="s">
        <v>37</v>
      </c>
      <c r="SJ380" s="12" t="s">
        <v>37</v>
      </c>
      <c r="SK380" s="13" t="s">
        <v>37</v>
      </c>
      <c r="SM380" s="12" t="s">
        <v>37</v>
      </c>
      <c r="SN380" s="12" t="s">
        <v>37</v>
      </c>
      <c r="SO380" s="13" t="s">
        <v>37</v>
      </c>
      <c r="SU380" s="12" t="s">
        <v>37</v>
      </c>
      <c r="SV380" s="12" t="s">
        <v>37</v>
      </c>
      <c r="SW380" s="12" t="s">
        <v>37</v>
      </c>
      <c r="SX380" s="12" t="s">
        <v>37</v>
      </c>
      <c r="SY380" s="12" t="s">
        <v>37</v>
      </c>
      <c r="SZ380" s="12" t="s">
        <v>37</v>
      </c>
      <c r="TA380" s="12"/>
      <c r="TB380" s="12"/>
      <c r="TE380" s="12" t="s">
        <v>37</v>
      </c>
      <c r="TF380" s="12" t="s">
        <v>37</v>
      </c>
      <c r="TG380" s="12" t="s">
        <v>37</v>
      </c>
      <c r="TH380" s="12" t="s">
        <v>37</v>
      </c>
      <c r="TI380" s="12" t="s">
        <v>37</v>
      </c>
      <c r="TJ380" s="12" t="s">
        <v>37</v>
      </c>
      <c r="TK380" s="12"/>
      <c r="TL380" s="12"/>
      <c r="TO380" s="12" t="s">
        <v>37</v>
      </c>
      <c r="TP380" s="12" t="s">
        <v>37</v>
      </c>
      <c r="TQ380" s="12" t="s">
        <v>37</v>
      </c>
      <c r="TR380" s="12" t="s">
        <v>37</v>
      </c>
      <c r="TS380" s="12" t="s">
        <v>37</v>
      </c>
      <c r="TT380" s="12" t="s">
        <v>37</v>
      </c>
      <c r="TU380" s="12"/>
      <c r="TV380" s="12"/>
      <c r="TY380" s="12" t="s">
        <v>37</v>
      </c>
      <c r="TZ380" s="12" t="s">
        <v>37</v>
      </c>
      <c r="UA380" s="12" t="s">
        <v>37</v>
      </c>
      <c r="UB380" s="12" t="s">
        <v>37</v>
      </c>
      <c r="UC380" s="12" t="s">
        <v>37</v>
      </c>
      <c r="UD380" s="12" t="s">
        <v>37</v>
      </c>
      <c r="UE380" s="12"/>
      <c r="UF380" s="12"/>
      <c r="UI380" s="12" t="s">
        <v>37</v>
      </c>
      <c r="UJ380" s="12" t="s">
        <v>37</v>
      </c>
      <c r="UK380" s="12" t="s">
        <v>37</v>
      </c>
      <c r="UL380" s="12" t="s">
        <v>37</v>
      </c>
      <c r="UM380" s="12" t="s">
        <v>37</v>
      </c>
      <c r="UN380" s="12" t="s">
        <v>37</v>
      </c>
      <c r="UO380" s="12"/>
      <c r="UP380" s="12"/>
      <c r="UR380" s="12" t="s">
        <v>37</v>
      </c>
      <c r="US380" s="12" t="s">
        <v>37</v>
      </c>
      <c r="UT380" s="12" t="s">
        <v>37</v>
      </c>
      <c r="UU380" s="12" t="s">
        <v>37</v>
      </c>
      <c r="UV380" s="12" t="s">
        <v>37</v>
      </c>
      <c r="UW380" s="12" t="s">
        <v>37</v>
      </c>
      <c r="UX380" s="12"/>
      <c r="UY380" s="12"/>
      <c r="VB380" s="12" t="s">
        <v>37</v>
      </c>
      <c r="VC380" s="12" t="s">
        <v>37</v>
      </c>
      <c r="VD380" s="12" t="s">
        <v>37</v>
      </c>
      <c r="VE380" s="12" t="s">
        <v>37</v>
      </c>
      <c r="VF380" s="12" t="s">
        <v>37</v>
      </c>
      <c r="VG380" s="12" t="s">
        <v>37</v>
      </c>
      <c r="VI380" s="12" t="s">
        <v>37</v>
      </c>
      <c r="VJ380" s="12" t="s">
        <v>37</v>
      </c>
      <c r="VK380" s="12" t="s">
        <v>37</v>
      </c>
      <c r="VL380" s="12" t="s">
        <v>37</v>
      </c>
      <c r="VM380" s="12" t="s">
        <v>37</v>
      </c>
      <c r="VN380" s="12" t="s">
        <v>37</v>
      </c>
      <c r="VQ380" s="12" t="s">
        <v>37</v>
      </c>
      <c r="VR380" s="12" t="s">
        <v>37</v>
      </c>
      <c r="VS380" s="12" t="s">
        <v>37</v>
      </c>
      <c r="VT380" s="12" t="s">
        <v>37</v>
      </c>
      <c r="VU380" s="12" t="s">
        <v>37</v>
      </c>
      <c r="VV380" s="12" t="s">
        <v>37</v>
      </c>
      <c r="VW380" s="12"/>
      <c r="VX380" s="12"/>
      <c r="WA380" s="12" t="s">
        <v>37</v>
      </c>
      <c r="WB380" s="12" t="s">
        <v>37</v>
      </c>
      <c r="WC380" s="12" t="s">
        <v>37</v>
      </c>
      <c r="WD380" s="12" t="s">
        <v>37</v>
      </c>
      <c r="WE380" s="12" t="s">
        <v>37</v>
      </c>
      <c r="WF380" s="12" t="s">
        <v>37</v>
      </c>
    </row>
    <row r="381" spans="1:604" ht="18" customHeight="1" x14ac:dyDescent="0.3">
      <c r="A381" s="11">
        <v>79</v>
      </c>
      <c r="B381" s="16" t="s">
        <v>454</v>
      </c>
      <c r="C381" s="12" t="s">
        <v>32</v>
      </c>
      <c r="D381" s="12" t="s">
        <v>1039</v>
      </c>
      <c r="E381" s="40">
        <f t="shared" si="1372"/>
        <v>5.15</v>
      </c>
      <c r="F381" s="14">
        <v>0</v>
      </c>
      <c r="G381" s="14">
        <v>0</v>
      </c>
      <c r="H381" s="12" t="s">
        <v>79</v>
      </c>
      <c r="I381" s="29">
        <v>32.799999999999997</v>
      </c>
      <c r="J381" s="29">
        <v>102.55</v>
      </c>
      <c r="K381" s="12" t="s">
        <v>690</v>
      </c>
      <c r="L381" s="12" t="s">
        <v>691</v>
      </c>
      <c r="M381" s="13">
        <v>3500</v>
      </c>
      <c r="N381" s="14">
        <v>0.9</v>
      </c>
      <c r="O381" s="14">
        <v>744</v>
      </c>
      <c r="P381" s="14" t="s">
        <v>16</v>
      </c>
      <c r="Q381" s="75">
        <f>4/12</f>
        <v>0.33333333333333331</v>
      </c>
      <c r="R381" s="11" t="s">
        <v>37</v>
      </c>
      <c r="S381" s="12" t="s">
        <v>85</v>
      </c>
      <c r="T381" s="12" t="s">
        <v>138</v>
      </c>
      <c r="U381" s="12" t="s">
        <v>158</v>
      </c>
      <c r="V381" s="12" t="s">
        <v>275</v>
      </c>
      <c r="W381" s="23" t="s">
        <v>353</v>
      </c>
      <c r="X381" s="12" t="s">
        <v>280</v>
      </c>
      <c r="Y381" s="12" t="s">
        <v>37</v>
      </c>
      <c r="Z381" s="12" t="s">
        <v>37</v>
      </c>
      <c r="AA381" s="32" t="s">
        <v>345</v>
      </c>
      <c r="AB381" s="12">
        <v>6.7</v>
      </c>
      <c r="AC381" s="12" t="s">
        <v>42</v>
      </c>
      <c r="AD381" s="32" t="s">
        <v>345</v>
      </c>
      <c r="AE381" s="12">
        <v>350</v>
      </c>
      <c r="AF381" s="12" t="s">
        <v>42</v>
      </c>
      <c r="AG381" s="32" t="s">
        <v>345</v>
      </c>
      <c r="AH381" s="12">
        <v>15</v>
      </c>
      <c r="AJ381" s="12" t="str">
        <f t="shared" si="1373"/>
        <v>0-10</v>
      </c>
      <c r="AK381" s="19">
        <f t="shared" si="1374"/>
        <v>23.333333333333332</v>
      </c>
      <c r="AL381" s="32" t="s">
        <v>647</v>
      </c>
      <c r="AM381" s="12" t="s">
        <v>321</v>
      </c>
      <c r="AN381" s="32" t="s">
        <v>896</v>
      </c>
      <c r="AO381" s="12" t="s">
        <v>37</v>
      </c>
      <c r="AP381" s="12" t="s">
        <v>238</v>
      </c>
      <c r="AQ381" s="12" t="s">
        <v>975</v>
      </c>
      <c r="AR381" s="12" t="s">
        <v>42</v>
      </c>
      <c r="AS381" s="32" t="s">
        <v>345</v>
      </c>
      <c r="AT381" s="12">
        <v>350</v>
      </c>
      <c r="AU381" s="50">
        <f t="shared" si="1365"/>
        <v>29.93450076866338</v>
      </c>
      <c r="AV381" s="13">
        <v>6</v>
      </c>
      <c r="AX381" s="12" t="s">
        <v>326</v>
      </c>
      <c r="AY381" s="12" t="s">
        <v>326</v>
      </c>
      <c r="AZ381" s="13" t="s">
        <v>326</v>
      </c>
      <c r="BE381" s="12" t="s">
        <v>326</v>
      </c>
      <c r="BF381" s="12" t="s">
        <v>326</v>
      </c>
      <c r="BG381" s="12" t="s">
        <v>326</v>
      </c>
      <c r="BI381" s="12" t="s">
        <v>326</v>
      </c>
      <c r="BJ381" s="12" t="s">
        <v>326</v>
      </c>
      <c r="BK381" s="12" t="s">
        <v>326</v>
      </c>
      <c r="BP381" s="12" t="s">
        <v>37</v>
      </c>
      <c r="BQ381" s="12" t="s">
        <v>37</v>
      </c>
      <c r="BR381" s="13" t="s">
        <v>37</v>
      </c>
      <c r="BT381" s="12" t="s">
        <v>37</v>
      </c>
      <c r="BU381" s="12" t="s">
        <v>37</v>
      </c>
      <c r="BV381" s="12" t="s">
        <v>37</v>
      </c>
      <c r="CA381" s="12" t="s">
        <v>37</v>
      </c>
      <c r="CB381" s="12" t="s">
        <v>37</v>
      </c>
      <c r="CC381" s="13" t="s">
        <v>37</v>
      </c>
      <c r="CE381" s="12" t="s">
        <v>37</v>
      </c>
      <c r="CF381" s="12" t="s">
        <v>37</v>
      </c>
      <c r="CG381" s="12" t="s">
        <v>37</v>
      </c>
      <c r="CN381" s="12" t="s">
        <v>37</v>
      </c>
      <c r="CO381" s="12" t="s">
        <v>37</v>
      </c>
      <c r="CP381" s="13" t="s">
        <v>37</v>
      </c>
      <c r="CR381" s="12" t="s">
        <v>37</v>
      </c>
      <c r="CS381" s="12" t="s">
        <v>37</v>
      </c>
      <c r="CT381" s="13" t="s">
        <v>37</v>
      </c>
      <c r="CX381" s="72"/>
      <c r="CY381" s="72"/>
      <c r="DA381" s="12" t="s">
        <v>37</v>
      </c>
      <c r="DB381" s="12" t="s">
        <v>37</v>
      </c>
      <c r="DC381" s="13" t="s">
        <v>37</v>
      </c>
      <c r="DE381" s="12" t="s">
        <v>37</v>
      </c>
      <c r="DF381" s="12" t="s">
        <v>37</v>
      </c>
      <c r="DG381" s="12" t="s">
        <v>37</v>
      </c>
      <c r="DN381" s="19" t="s">
        <v>37</v>
      </c>
      <c r="DO381" s="12" t="s">
        <v>37</v>
      </c>
      <c r="DP381" s="13" t="s">
        <v>37</v>
      </c>
      <c r="DR381" s="19" t="s">
        <v>37</v>
      </c>
      <c r="DS381" s="12" t="s">
        <v>37</v>
      </c>
      <c r="DT381" s="13" t="s">
        <v>37</v>
      </c>
      <c r="EA381" s="19" t="s">
        <v>37</v>
      </c>
      <c r="EB381" s="19" t="s">
        <v>37</v>
      </c>
      <c r="EC381" s="72" t="s">
        <v>37</v>
      </c>
      <c r="EE381" s="19" t="s">
        <v>37</v>
      </c>
      <c r="EF381" s="19" t="s">
        <v>37</v>
      </c>
      <c r="EG381" s="12" t="s">
        <v>37</v>
      </c>
      <c r="EN381" s="12" t="s">
        <v>37</v>
      </c>
      <c r="EO381" s="12" t="s">
        <v>37</v>
      </c>
      <c r="EP381" s="13" t="s">
        <v>37</v>
      </c>
      <c r="ER381" s="12" t="s">
        <v>37</v>
      </c>
      <c r="ES381" s="12" t="s">
        <v>37</v>
      </c>
      <c r="ET381" s="13" t="s">
        <v>37</v>
      </c>
      <c r="FB381" s="12" t="s">
        <v>37</v>
      </c>
      <c r="FC381" s="12" t="s">
        <v>37</v>
      </c>
      <c r="FD381" s="12" t="s">
        <v>37</v>
      </c>
      <c r="FE381" s="12" t="s">
        <v>37</v>
      </c>
      <c r="FF381" s="20" t="s">
        <v>37</v>
      </c>
      <c r="FG381" s="12" t="s">
        <v>37</v>
      </c>
      <c r="FI381" s="12" t="s">
        <v>37</v>
      </c>
      <c r="FJ381" s="12" t="s">
        <v>37</v>
      </c>
      <c r="FK381" s="12" t="s">
        <v>37</v>
      </c>
      <c r="FL381" s="12" t="s">
        <v>37</v>
      </c>
      <c r="FM381" s="12" t="s">
        <v>37</v>
      </c>
      <c r="FN381" s="12" t="s">
        <v>37</v>
      </c>
      <c r="FP381" s="12" t="s">
        <v>37</v>
      </c>
      <c r="FQ381" s="12" t="s">
        <v>37</v>
      </c>
      <c r="FR381" s="12" t="s">
        <v>37</v>
      </c>
      <c r="FS381" s="12" t="s">
        <v>37</v>
      </c>
      <c r="FT381" s="12" t="s">
        <v>37</v>
      </c>
      <c r="FU381" s="12" t="s">
        <v>37</v>
      </c>
      <c r="FW381" s="12" t="s">
        <v>37</v>
      </c>
      <c r="FX381" s="12" t="s">
        <v>37</v>
      </c>
      <c r="FY381" s="12" t="s">
        <v>37</v>
      </c>
      <c r="FZ381" s="12" t="s">
        <v>37</v>
      </c>
      <c r="GA381" s="12" t="s">
        <v>37</v>
      </c>
      <c r="GB381" s="12" t="s">
        <v>37</v>
      </c>
      <c r="IK381" s="12" t="s">
        <v>37</v>
      </c>
      <c r="IL381" s="12" t="s">
        <v>37</v>
      </c>
      <c r="IM381" s="12" t="s">
        <v>37</v>
      </c>
      <c r="IO381" s="12" t="s">
        <v>37</v>
      </c>
      <c r="IP381" s="12" t="s">
        <v>37</v>
      </c>
      <c r="IQ381" s="12" t="s">
        <v>37</v>
      </c>
      <c r="IV381" s="32" t="s">
        <v>345</v>
      </c>
      <c r="IW381" s="12">
        <v>6.7</v>
      </c>
      <c r="IX381" s="50">
        <f t="shared" si="1366"/>
        <v>0.24530537560775503</v>
      </c>
      <c r="IY381" s="13">
        <v>6</v>
      </c>
      <c r="JH381" s="12" t="s">
        <v>37</v>
      </c>
      <c r="JI381" s="12" t="s">
        <v>37</v>
      </c>
      <c r="JJ381" s="13" t="s">
        <v>37</v>
      </c>
      <c r="JL381" s="12" t="s">
        <v>37</v>
      </c>
      <c r="JM381" s="12" t="s">
        <v>37</v>
      </c>
      <c r="JN381" s="12" t="s">
        <v>37</v>
      </c>
      <c r="JS381" s="12" t="s">
        <v>37</v>
      </c>
      <c r="JT381" s="12" t="s">
        <v>37</v>
      </c>
      <c r="JU381" s="13" t="s">
        <v>37</v>
      </c>
      <c r="JW381" s="12" t="s">
        <v>37</v>
      </c>
      <c r="JX381" s="12" t="s">
        <v>37</v>
      </c>
      <c r="JY381" s="12" t="s">
        <v>37</v>
      </c>
      <c r="KE381" s="12" t="s">
        <v>37</v>
      </c>
      <c r="KF381" s="12" t="s">
        <v>37</v>
      </c>
      <c r="KG381" s="13" t="s">
        <v>37</v>
      </c>
      <c r="KH381" s="12" t="s">
        <v>37</v>
      </c>
      <c r="KI381" s="12" t="s">
        <v>37</v>
      </c>
      <c r="KJ381" s="12" t="s">
        <v>37</v>
      </c>
      <c r="KK381" s="12" t="s">
        <v>42</v>
      </c>
      <c r="KL381" s="32" t="s">
        <v>345</v>
      </c>
      <c r="KM381" s="12">
        <v>15</v>
      </c>
      <c r="KN381" s="50">
        <f t="shared" si="1367"/>
        <v>1.7893956207728923</v>
      </c>
      <c r="KO381" s="11">
        <v>6</v>
      </c>
      <c r="KS381" s="12"/>
      <c r="KX381" s="12" t="s">
        <v>37</v>
      </c>
      <c r="KY381" s="12" t="s">
        <v>37</v>
      </c>
      <c r="KZ381" s="12" t="s">
        <v>37</v>
      </c>
      <c r="LB381" s="12" t="s">
        <v>37</v>
      </c>
      <c r="LC381" s="12" t="s">
        <v>37</v>
      </c>
      <c r="LD381" s="12" t="s">
        <v>37</v>
      </c>
      <c r="LI381" s="12" t="s">
        <v>37</v>
      </c>
      <c r="LJ381" s="12" t="s">
        <v>37</v>
      </c>
      <c r="LK381" s="12" t="s">
        <v>37</v>
      </c>
      <c r="LM381" s="12" t="s">
        <v>37</v>
      </c>
      <c r="LN381" s="12" t="s">
        <v>37</v>
      </c>
      <c r="LO381" s="12" t="s">
        <v>37</v>
      </c>
      <c r="LT381" s="12" t="str">
        <f t="shared" si="1368"/>
        <v>0-10</v>
      </c>
      <c r="LU381" s="12">
        <f t="shared" si="1369"/>
        <v>23.333333333333332</v>
      </c>
      <c r="LV381" s="12">
        <f t="shared" si="1370"/>
        <v>3.4249742755356465</v>
      </c>
      <c r="LW381" s="13">
        <f t="shared" si="1371"/>
        <v>6</v>
      </c>
      <c r="MF381" s="12" t="s">
        <v>37</v>
      </c>
      <c r="MG381" s="12" t="s">
        <v>37</v>
      </c>
      <c r="MH381" s="12" t="s">
        <v>37</v>
      </c>
      <c r="MJ381" s="12" t="s">
        <v>37</v>
      </c>
      <c r="MK381" s="12" t="s">
        <v>37</v>
      </c>
      <c r="ML381" s="12" t="s">
        <v>37</v>
      </c>
      <c r="MQ381" s="12" t="s">
        <v>37</v>
      </c>
      <c r="MR381" s="12" t="s">
        <v>37</v>
      </c>
      <c r="MS381" s="12" t="s">
        <v>37</v>
      </c>
      <c r="MU381" s="12" t="s">
        <v>37</v>
      </c>
      <c r="MV381" s="12" t="s">
        <v>37</v>
      </c>
      <c r="MW381" s="12" t="s">
        <v>37</v>
      </c>
      <c r="NC381" s="12" t="s">
        <v>37</v>
      </c>
      <c r="ND381" s="12" t="s">
        <v>37</v>
      </c>
      <c r="NE381" s="12" t="s">
        <v>37</v>
      </c>
      <c r="NG381" s="12" t="s">
        <v>37</v>
      </c>
      <c r="NH381" s="12" t="s">
        <v>37</v>
      </c>
      <c r="NI381" s="12" t="s">
        <v>37</v>
      </c>
      <c r="NO381" s="12" t="s">
        <v>37</v>
      </c>
      <c r="NP381" s="12" t="s">
        <v>37</v>
      </c>
      <c r="NQ381" s="12" t="s">
        <v>37</v>
      </c>
      <c r="NS381" s="12" t="s">
        <v>37</v>
      </c>
      <c r="NT381" s="12" t="s">
        <v>37</v>
      </c>
      <c r="NU381" s="12" t="s">
        <v>37</v>
      </c>
      <c r="OA381" s="12" t="s">
        <v>37</v>
      </c>
      <c r="OB381" s="12" t="s">
        <v>37</v>
      </c>
      <c r="OC381" s="12" t="s">
        <v>37</v>
      </c>
      <c r="OD381" s="12"/>
      <c r="OE381" s="12" t="s">
        <v>37</v>
      </c>
      <c r="OF381" s="12" t="s">
        <v>37</v>
      </c>
      <c r="OG381" s="12" t="s">
        <v>37</v>
      </c>
      <c r="OH381" s="12"/>
      <c r="OI381" s="12"/>
      <c r="OJ381" s="12"/>
      <c r="OM381" s="12" t="s">
        <v>37</v>
      </c>
      <c r="ON381" s="12" t="s">
        <v>37</v>
      </c>
      <c r="OO381" s="12" t="s">
        <v>37</v>
      </c>
      <c r="OP381" s="12" t="s">
        <v>37</v>
      </c>
      <c r="OQ381" s="12" t="s">
        <v>37</v>
      </c>
      <c r="OR381" s="12" t="s">
        <v>37</v>
      </c>
      <c r="OS381" s="12"/>
      <c r="OT381" s="12"/>
      <c r="OW381" s="12" t="s">
        <v>37</v>
      </c>
      <c r="OX381" s="12" t="s">
        <v>37</v>
      </c>
      <c r="OY381" s="13" t="s">
        <v>37</v>
      </c>
      <c r="OZ381" s="12" t="s">
        <v>37</v>
      </c>
      <c r="PA381" s="12" t="s">
        <v>37</v>
      </c>
      <c r="PB381" s="13" t="s">
        <v>37</v>
      </c>
      <c r="PG381" s="12" t="s">
        <v>37</v>
      </c>
      <c r="PH381" s="12" t="s">
        <v>37</v>
      </c>
      <c r="PI381" s="12" t="s">
        <v>37</v>
      </c>
      <c r="PJ381" s="12" t="s">
        <v>37</v>
      </c>
      <c r="PK381" s="12" t="s">
        <v>37</v>
      </c>
      <c r="PL381" s="12" t="s">
        <v>37</v>
      </c>
      <c r="PM381" s="12"/>
      <c r="PN381" s="12"/>
      <c r="PQ381" s="12" t="s">
        <v>37</v>
      </c>
      <c r="PR381" s="12" t="s">
        <v>37</v>
      </c>
      <c r="PS381" s="12" t="s">
        <v>37</v>
      </c>
      <c r="PT381" s="12" t="s">
        <v>37</v>
      </c>
      <c r="PU381" s="12" t="s">
        <v>37</v>
      </c>
      <c r="PV381" s="12" t="s">
        <v>37</v>
      </c>
      <c r="PW381" s="12"/>
      <c r="PX381" s="12"/>
      <c r="PZ381" s="12" t="s">
        <v>37</v>
      </c>
      <c r="QA381" s="12" t="s">
        <v>37</v>
      </c>
      <c r="QB381" s="12" t="s">
        <v>37</v>
      </c>
      <c r="QD381" s="12" t="s">
        <v>37</v>
      </c>
      <c r="QE381" s="12" t="s">
        <v>37</v>
      </c>
      <c r="QF381" s="12" t="s">
        <v>37</v>
      </c>
      <c r="QK381" s="12" t="s">
        <v>37</v>
      </c>
      <c r="QL381" s="12" t="s">
        <v>37</v>
      </c>
      <c r="QM381" s="12" t="s">
        <v>37</v>
      </c>
      <c r="QN381" s="12" t="s">
        <v>37</v>
      </c>
      <c r="QO381" s="12" t="s">
        <v>37</v>
      </c>
      <c r="QP381" s="12" t="s">
        <v>37</v>
      </c>
      <c r="QQ381" s="12"/>
      <c r="QR381" s="12"/>
      <c r="QU381" s="12" t="s">
        <v>37</v>
      </c>
      <c r="QV381" s="12" t="s">
        <v>37</v>
      </c>
      <c r="QW381" s="12" t="s">
        <v>37</v>
      </c>
      <c r="QX381" s="12" t="s">
        <v>37</v>
      </c>
      <c r="QY381" s="12" t="s">
        <v>37</v>
      </c>
      <c r="QZ381" s="12" t="s">
        <v>37</v>
      </c>
      <c r="RC381" s="12" t="s">
        <v>37</v>
      </c>
      <c r="RD381" s="12" t="s">
        <v>37</v>
      </c>
      <c r="RE381" s="13" t="s">
        <v>37</v>
      </c>
      <c r="RF381" s="12" t="s">
        <v>37</v>
      </c>
      <c r="RG381" s="12" t="s">
        <v>37</v>
      </c>
      <c r="RH381" s="13" t="s">
        <v>37</v>
      </c>
      <c r="RK381" s="12" t="s">
        <v>37</v>
      </c>
      <c r="RL381" s="12" t="s">
        <v>37</v>
      </c>
      <c r="RM381" s="11" t="s">
        <v>37</v>
      </c>
      <c r="RN381" s="12" t="s">
        <v>37</v>
      </c>
      <c r="RO381" s="12" t="s">
        <v>37</v>
      </c>
      <c r="RP381" s="11" t="s">
        <v>37</v>
      </c>
      <c r="RS381" s="12" t="s">
        <v>37</v>
      </c>
      <c r="RT381" s="12" t="s">
        <v>37</v>
      </c>
      <c r="RU381" s="12" t="s">
        <v>37</v>
      </c>
      <c r="RV381" s="12" t="s">
        <v>37</v>
      </c>
      <c r="RW381" s="12" t="s">
        <v>37</v>
      </c>
      <c r="RX381" s="12" t="s">
        <v>37</v>
      </c>
      <c r="SA381" s="12" t="s">
        <v>37</v>
      </c>
      <c r="SB381" s="12" t="s">
        <v>37</v>
      </c>
      <c r="SC381" s="12" t="s">
        <v>37</v>
      </c>
      <c r="SD381" s="12" t="s">
        <v>37</v>
      </c>
      <c r="SE381" s="12" t="s">
        <v>37</v>
      </c>
      <c r="SF381" s="12" t="s">
        <v>37</v>
      </c>
      <c r="SI381" s="12" t="s">
        <v>37</v>
      </c>
      <c r="SJ381" s="12" t="s">
        <v>37</v>
      </c>
      <c r="SK381" s="13" t="s">
        <v>37</v>
      </c>
      <c r="SM381" s="12" t="s">
        <v>37</v>
      </c>
      <c r="SN381" s="12" t="s">
        <v>37</v>
      </c>
      <c r="SO381" s="13" t="s">
        <v>37</v>
      </c>
      <c r="SU381" s="12" t="s">
        <v>37</v>
      </c>
      <c r="SV381" s="12" t="s">
        <v>37</v>
      </c>
      <c r="SW381" s="12" t="s">
        <v>37</v>
      </c>
      <c r="SX381" s="12" t="s">
        <v>37</v>
      </c>
      <c r="SY381" s="12" t="s">
        <v>37</v>
      </c>
      <c r="SZ381" s="12" t="s">
        <v>37</v>
      </c>
      <c r="TA381" s="12"/>
      <c r="TB381" s="12"/>
      <c r="TE381" s="12" t="s">
        <v>37</v>
      </c>
      <c r="TF381" s="12" t="s">
        <v>37</v>
      </c>
      <c r="TG381" s="12" t="s">
        <v>37</v>
      </c>
      <c r="TH381" s="12" t="s">
        <v>37</v>
      </c>
      <c r="TI381" s="12" t="s">
        <v>37</v>
      </c>
      <c r="TJ381" s="12" t="s">
        <v>37</v>
      </c>
      <c r="TK381" s="12"/>
      <c r="TL381" s="12"/>
      <c r="TO381" s="12" t="s">
        <v>37</v>
      </c>
      <c r="TP381" s="12" t="s">
        <v>37</v>
      </c>
      <c r="TQ381" s="12" t="s">
        <v>37</v>
      </c>
      <c r="TR381" s="12" t="s">
        <v>37</v>
      </c>
      <c r="TS381" s="12" t="s">
        <v>37</v>
      </c>
      <c r="TT381" s="12" t="s">
        <v>37</v>
      </c>
      <c r="TU381" s="12"/>
      <c r="TV381" s="12"/>
      <c r="TY381" s="12" t="s">
        <v>37</v>
      </c>
      <c r="TZ381" s="12" t="s">
        <v>37</v>
      </c>
      <c r="UA381" s="12" t="s">
        <v>37</v>
      </c>
      <c r="UB381" s="12" t="s">
        <v>37</v>
      </c>
      <c r="UC381" s="12" t="s">
        <v>37</v>
      </c>
      <c r="UD381" s="12" t="s">
        <v>37</v>
      </c>
      <c r="UE381" s="12"/>
      <c r="UF381" s="12"/>
      <c r="UI381" s="12" t="s">
        <v>37</v>
      </c>
      <c r="UJ381" s="12" t="s">
        <v>37</v>
      </c>
      <c r="UK381" s="12" t="s">
        <v>37</v>
      </c>
      <c r="UL381" s="12" t="s">
        <v>37</v>
      </c>
      <c r="UM381" s="12" t="s">
        <v>37</v>
      </c>
      <c r="UN381" s="12" t="s">
        <v>37</v>
      </c>
      <c r="UO381" s="12"/>
      <c r="UP381" s="12"/>
      <c r="UR381" s="12" t="s">
        <v>37</v>
      </c>
      <c r="US381" s="12" t="s">
        <v>37</v>
      </c>
      <c r="UT381" s="12" t="s">
        <v>37</v>
      </c>
      <c r="UU381" s="12" t="s">
        <v>37</v>
      </c>
      <c r="UV381" s="12" t="s">
        <v>37</v>
      </c>
      <c r="UW381" s="12" t="s">
        <v>37</v>
      </c>
      <c r="UX381" s="12"/>
      <c r="UY381" s="12"/>
      <c r="VB381" s="12" t="s">
        <v>37</v>
      </c>
      <c r="VC381" s="12" t="s">
        <v>37</v>
      </c>
      <c r="VD381" s="12" t="s">
        <v>37</v>
      </c>
      <c r="VE381" s="12" t="s">
        <v>37</v>
      </c>
      <c r="VF381" s="12" t="s">
        <v>37</v>
      </c>
      <c r="VG381" s="12" t="s">
        <v>37</v>
      </c>
      <c r="VI381" s="12" t="s">
        <v>37</v>
      </c>
      <c r="VJ381" s="12" t="s">
        <v>37</v>
      </c>
      <c r="VK381" s="12" t="s">
        <v>37</v>
      </c>
      <c r="VL381" s="12" t="s">
        <v>37</v>
      </c>
      <c r="VM381" s="12" t="s">
        <v>37</v>
      </c>
      <c r="VN381" s="12" t="s">
        <v>37</v>
      </c>
      <c r="VQ381" s="12" t="s">
        <v>37</v>
      </c>
      <c r="VR381" s="12" t="s">
        <v>37</v>
      </c>
      <c r="VS381" s="12" t="s">
        <v>37</v>
      </c>
      <c r="VT381" s="12" t="s">
        <v>37</v>
      </c>
      <c r="VU381" s="12" t="s">
        <v>37</v>
      </c>
      <c r="VV381" s="12" t="s">
        <v>37</v>
      </c>
      <c r="VW381" s="12"/>
      <c r="VX381" s="12"/>
      <c r="WA381" s="12" t="s">
        <v>37</v>
      </c>
      <c r="WB381" s="12" t="s">
        <v>37</v>
      </c>
      <c r="WC381" s="12" t="s">
        <v>37</v>
      </c>
      <c r="WD381" s="12" t="s">
        <v>37</v>
      </c>
      <c r="WE381" s="12" t="s">
        <v>37</v>
      </c>
      <c r="WF381" s="12" t="s">
        <v>37</v>
      </c>
    </row>
    <row r="382" spans="1:604" ht="18" customHeight="1" x14ac:dyDescent="0.3">
      <c r="A382" s="11">
        <v>79</v>
      </c>
      <c r="B382" s="16" t="s">
        <v>454</v>
      </c>
      <c r="C382" s="12" t="s">
        <v>31</v>
      </c>
      <c r="D382" s="12" t="s">
        <v>1039</v>
      </c>
      <c r="E382" s="40">
        <f t="shared" si="1372"/>
        <v>5.15</v>
      </c>
      <c r="F382" s="14">
        <v>0</v>
      </c>
      <c r="G382" s="14">
        <v>0</v>
      </c>
      <c r="H382" s="12" t="s">
        <v>79</v>
      </c>
      <c r="I382" s="29">
        <v>32.799999999999997</v>
      </c>
      <c r="J382" s="29">
        <v>102.55</v>
      </c>
      <c r="K382" s="12" t="s">
        <v>690</v>
      </c>
      <c r="L382" s="12" t="s">
        <v>691</v>
      </c>
      <c r="M382" s="13">
        <v>3500</v>
      </c>
      <c r="N382" s="14">
        <v>0.9</v>
      </c>
      <c r="O382" s="14">
        <v>744</v>
      </c>
      <c r="P382" s="14" t="s">
        <v>16</v>
      </c>
      <c r="Q382" s="75">
        <v>1.5</v>
      </c>
      <c r="R382" s="11" t="s">
        <v>37</v>
      </c>
      <c r="S382" s="12" t="s">
        <v>85</v>
      </c>
      <c r="T382" s="12" t="s">
        <v>138</v>
      </c>
      <c r="U382" s="12" t="s">
        <v>158</v>
      </c>
      <c r="V382" s="12" t="s">
        <v>275</v>
      </c>
      <c r="W382" s="23" t="s">
        <v>353</v>
      </c>
      <c r="X382" s="12" t="s">
        <v>280</v>
      </c>
      <c r="Y382" s="12" t="s">
        <v>37</v>
      </c>
      <c r="Z382" s="12" t="s">
        <v>37</v>
      </c>
      <c r="AA382" s="32" t="s">
        <v>345</v>
      </c>
      <c r="AB382" s="12">
        <v>6.7</v>
      </c>
      <c r="AC382" s="12" t="s">
        <v>42</v>
      </c>
      <c r="AD382" s="32" t="s">
        <v>345</v>
      </c>
      <c r="AE382" s="12">
        <v>350</v>
      </c>
      <c r="AF382" s="12" t="s">
        <v>42</v>
      </c>
      <c r="AG382" s="32" t="s">
        <v>345</v>
      </c>
      <c r="AH382" s="12">
        <v>15</v>
      </c>
      <c r="AJ382" s="12" t="str">
        <f t="shared" si="1373"/>
        <v>0-10</v>
      </c>
      <c r="AK382" s="19">
        <f t="shared" si="1374"/>
        <v>23.333333333333332</v>
      </c>
      <c r="AL382" s="32" t="s">
        <v>647</v>
      </c>
      <c r="AM382" s="12" t="s">
        <v>321</v>
      </c>
      <c r="AN382" s="32" t="s">
        <v>896</v>
      </c>
      <c r="AO382" s="12" t="s">
        <v>37</v>
      </c>
      <c r="AP382" s="12" t="s">
        <v>238</v>
      </c>
      <c r="AQ382" s="12" t="s">
        <v>975</v>
      </c>
      <c r="AR382" s="12" t="s">
        <v>42</v>
      </c>
      <c r="AS382" s="32" t="s">
        <v>345</v>
      </c>
      <c r="AT382" s="12">
        <v>350</v>
      </c>
      <c r="AU382" s="50">
        <f t="shared" si="1365"/>
        <v>29.93450076866338</v>
      </c>
      <c r="AV382" s="13">
        <v>6</v>
      </c>
      <c r="AX382" s="12" t="s">
        <v>326</v>
      </c>
      <c r="AY382" s="12" t="s">
        <v>326</v>
      </c>
      <c r="AZ382" s="13" t="s">
        <v>326</v>
      </c>
      <c r="BE382" s="12" t="s">
        <v>326</v>
      </c>
      <c r="BF382" s="12" t="s">
        <v>326</v>
      </c>
      <c r="BG382" s="12" t="s">
        <v>326</v>
      </c>
      <c r="BI382" s="12" t="s">
        <v>326</v>
      </c>
      <c r="BJ382" s="12" t="s">
        <v>326</v>
      </c>
      <c r="BK382" s="12" t="s">
        <v>326</v>
      </c>
      <c r="BP382" s="12" t="s">
        <v>37</v>
      </c>
      <c r="BQ382" s="12" t="s">
        <v>37</v>
      </c>
      <c r="BR382" s="13" t="s">
        <v>37</v>
      </c>
      <c r="BT382" s="12" t="s">
        <v>37</v>
      </c>
      <c r="BU382" s="12" t="s">
        <v>37</v>
      </c>
      <c r="BV382" s="12" t="s">
        <v>37</v>
      </c>
      <c r="CA382" s="12" t="s">
        <v>37</v>
      </c>
      <c r="CB382" s="12" t="s">
        <v>37</v>
      </c>
      <c r="CC382" s="13" t="s">
        <v>37</v>
      </c>
      <c r="CE382" s="12" t="s">
        <v>37</v>
      </c>
      <c r="CF382" s="12" t="s">
        <v>37</v>
      </c>
      <c r="CG382" s="12" t="s">
        <v>37</v>
      </c>
      <c r="CN382" s="12" t="s">
        <v>37</v>
      </c>
      <c r="CO382" s="12" t="s">
        <v>37</v>
      </c>
      <c r="CP382" s="13" t="s">
        <v>37</v>
      </c>
      <c r="CR382" s="12" t="s">
        <v>37</v>
      </c>
      <c r="CS382" s="12" t="s">
        <v>37</v>
      </c>
      <c r="CT382" s="13" t="s">
        <v>37</v>
      </c>
      <c r="CX382" s="72"/>
      <c r="CY382" s="72"/>
      <c r="DA382" s="12" t="s">
        <v>37</v>
      </c>
      <c r="DB382" s="12" t="s">
        <v>37</v>
      </c>
      <c r="DC382" s="13" t="s">
        <v>37</v>
      </c>
      <c r="DE382" s="12" t="s">
        <v>37</v>
      </c>
      <c r="DF382" s="12" t="s">
        <v>37</v>
      </c>
      <c r="DG382" s="12" t="s">
        <v>37</v>
      </c>
      <c r="DN382" s="19" t="s">
        <v>37</v>
      </c>
      <c r="DO382" s="12" t="s">
        <v>37</v>
      </c>
      <c r="DP382" s="13" t="s">
        <v>37</v>
      </c>
      <c r="DR382" s="19" t="s">
        <v>37</v>
      </c>
      <c r="DS382" s="12" t="s">
        <v>37</v>
      </c>
      <c r="DT382" s="13" t="s">
        <v>37</v>
      </c>
      <c r="EA382" s="19" t="s">
        <v>37</v>
      </c>
      <c r="EB382" s="19" t="s">
        <v>37</v>
      </c>
      <c r="EC382" s="72" t="s">
        <v>37</v>
      </c>
      <c r="EE382" s="19" t="s">
        <v>37</v>
      </c>
      <c r="EF382" s="19" t="s">
        <v>37</v>
      </c>
      <c r="EG382" s="12" t="s">
        <v>37</v>
      </c>
      <c r="EN382" s="12" t="s">
        <v>37</v>
      </c>
      <c r="EO382" s="12" t="s">
        <v>37</v>
      </c>
      <c r="EP382" s="13" t="s">
        <v>37</v>
      </c>
      <c r="ER382" s="12" t="s">
        <v>37</v>
      </c>
      <c r="ES382" s="12" t="s">
        <v>37</v>
      </c>
      <c r="ET382" s="13" t="s">
        <v>37</v>
      </c>
      <c r="FB382" s="12" t="s">
        <v>37</v>
      </c>
      <c r="FC382" s="12" t="s">
        <v>37</v>
      </c>
      <c r="FD382" s="12" t="s">
        <v>37</v>
      </c>
      <c r="FE382" s="12" t="s">
        <v>37</v>
      </c>
      <c r="FF382" s="20" t="s">
        <v>37</v>
      </c>
      <c r="FG382" s="12" t="s">
        <v>37</v>
      </c>
      <c r="FI382" s="12" t="s">
        <v>37</v>
      </c>
      <c r="FJ382" s="12" t="s">
        <v>37</v>
      </c>
      <c r="FK382" s="12" t="s">
        <v>37</v>
      </c>
      <c r="FL382" s="12" t="s">
        <v>37</v>
      </c>
      <c r="FM382" s="12" t="s">
        <v>37</v>
      </c>
      <c r="FN382" s="12" t="s">
        <v>37</v>
      </c>
      <c r="FP382" s="12" t="s">
        <v>37</v>
      </c>
      <c r="FQ382" s="12" t="s">
        <v>37</v>
      </c>
      <c r="FR382" s="12" t="s">
        <v>37</v>
      </c>
      <c r="FS382" s="12" t="s">
        <v>37</v>
      </c>
      <c r="FT382" s="12" t="s">
        <v>37</v>
      </c>
      <c r="FU382" s="12" t="s">
        <v>37</v>
      </c>
      <c r="FW382" s="12" t="s">
        <v>37</v>
      </c>
      <c r="FX382" s="12" t="s">
        <v>37</v>
      </c>
      <c r="FY382" s="12" t="s">
        <v>37</v>
      </c>
      <c r="FZ382" s="12" t="s">
        <v>37</v>
      </c>
      <c r="GA382" s="12" t="s">
        <v>37</v>
      </c>
      <c r="GB382" s="12" t="s">
        <v>37</v>
      </c>
      <c r="IK382" s="12" t="s">
        <v>37</v>
      </c>
      <c r="IL382" s="12" t="s">
        <v>37</v>
      </c>
      <c r="IM382" s="12" t="s">
        <v>37</v>
      </c>
      <c r="IO382" s="12" t="s">
        <v>37</v>
      </c>
      <c r="IP382" s="12" t="s">
        <v>37</v>
      </c>
      <c r="IQ382" s="12" t="s">
        <v>37</v>
      </c>
      <c r="IV382" s="32" t="s">
        <v>345</v>
      </c>
      <c r="IW382" s="12">
        <v>6.7</v>
      </c>
      <c r="IX382" s="50">
        <f t="shared" si="1366"/>
        <v>0.24530537560775503</v>
      </c>
      <c r="IY382" s="13">
        <v>6</v>
      </c>
      <c r="JH382" s="12" t="s">
        <v>37</v>
      </c>
      <c r="JI382" s="12" t="s">
        <v>37</v>
      </c>
      <c r="JJ382" s="13" t="s">
        <v>37</v>
      </c>
      <c r="JL382" s="12" t="s">
        <v>37</v>
      </c>
      <c r="JM382" s="12" t="s">
        <v>37</v>
      </c>
      <c r="JN382" s="12" t="s">
        <v>37</v>
      </c>
      <c r="JS382" s="12" t="s">
        <v>37</v>
      </c>
      <c r="JT382" s="12" t="s">
        <v>37</v>
      </c>
      <c r="JU382" s="13" t="s">
        <v>37</v>
      </c>
      <c r="JW382" s="12" t="s">
        <v>37</v>
      </c>
      <c r="JX382" s="12" t="s">
        <v>37</v>
      </c>
      <c r="JY382" s="12" t="s">
        <v>37</v>
      </c>
      <c r="KE382" s="12" t="s">
        <v>37</v>
      </c>
      <c r="KF382" s="12" t="s">
        <v>37</v>
      </c>
      <c r="KG382" s="13" t="s">
        <v>37</v>
      </c>
      <c r="KH382" s="12" t="s">
        <v>37</v>
      </c>
      <c r="KI382" s="12" t="s">
        <v>37</v>
      </c>
      <c r="KJ382" s="12" t="s">
        <v>37</v>
      </c>
      <c r="KK382" s="12" t="s">
        <v>42</v>
      </c>
      <c r="KL382" s="32" t="s">
        <v>345</v>
      </c>
      <c r="KM382" s="12">
        <v>15</v>
      </c>
      <c r="KN382" s="50">
        <f t="shared" si="1367"/>
        <v>1.7893956207728923</v>
      </c>
      <c r="KO382" s="11">
        <v>6</v>
      </c>
      <c r="KS382" s="12"/>
      <c r="KX382" s="12" t="s">
        <v>37</v>
      </c>
      <c r="KY382" s="12" t="s">
        <v>37</v>
      </c>
      <c r="KZ382" s="12" t="s">
        <v>37</v>
      </c>
      <c r="LB382" s="12" t="s">
        <v>37</v>
      </c>
      <c r="LC382" s="12" t="s">
        <v>37</v>
      </c>
      <c r="LD382" s="12" t="s">
        <v>37</v>
      </c>
      <c r="LI382" s="12" t="s">
        <v>37</v>
      </c>
      <c r="LJ382" s="12" t="s">
        <v>37</v>
      </c>
      <c r="LK382" s="12" t="s">
        <v>37</v>
      </c>
      <c r="LM382" s="12" t="s">
        <v>37</v>
      </c>
      <c r="LN382" s="12" t="s">
        <v>37</v>
      </c>
      <c r="LO382" s="12" t="s">
        <v>37</v>
      </c>
      <c r="LT382" s="12" t="str">
        <f t="shared" si="1368"/>
        <v>0-10</v>
      </c>
      <c r="LU382" s="12">
        <f t="shared" si="1369"/>
        <v>23.333333333333332</v>
      </c>
      <c r="LV382" s="12">
        <f t="shared" si="1370"/>
        <v>3.4249742755356465</v>
      </c>
      <c r="LW382" s="13">
        <f t="shared" si="1371"/>
        <v>6</v>
      </c>
      <c r="MF382" s="12" t="s">
        <v>37</v>
      </c>
      <c r="MG382" s="12" t="s">
        <v>37</v>
      </c>
      <c r="MH382" s="12" t="s">
        <v>37</v>
      </c>
      <c r="MJ382" s="12" t="s">
        <v>37</v>
      </c>
      <c r="MK382" s="12" t="s">
        <v>37</v>
      </c>
      <c r="ML382" s="12" t="s">
        <v>37</v>
      </c>
      <c r="MQ382" s="12" t="s">
        <v>37</v>
      </c>
      <c r="MR382" s="12" t="s">
        <v>37</v>
      </c>
      <c r="MS382" s="12" t="s">
        <v>37</v>
      </c>
      <c r="MU382" s="12" t="s">
        <v>37</v>
      </c>
      <c r="MV382" s="12" t="s">
        <v>37</v>
      </c>
      <c r="MW382" s="12" t="s">
        <v>37</v>
      </c>
      <c r="NC382" s="12" t="s">
        <v>37</v>
      </c>
      <c r="ND382" s="12" t="s">
        <v>37</v>
      </c>
      <c r="NE382" s="12" t="s">
        <v>37</v>
      </c>
      <c r="NG382" s="12" t="s">
        <v>37</v>
      </c>
      <c r="NH382" s="12" t="s">
        <v>37</v>
      </c>
      <c r="NI382" s="12" t="s">
        <v>37</v>
      </c>
      <c r="NO382" s="12" t="s">
        <v>37</v>
      </c>
      <c r="NP382" s="12" t="s">
        <v>37</v>
      </c>
      <c r="NQ382" s="12" t="s">
        <v>37</v>
      </c>
      <c r="NS382" s="12" t="s">
        <v>37</v>
      </c>
      <c r="NT382" s="12" t="s">
        <v>37</v>
      </c>
      <c r="NU382" s="12" t="s">
        <v>37</v>
      </c>
      <c r="OA382" s="12" t="s">
        <v>37</v>
      </c>
      <c r="OB382" s="12" t="s">
        <v>37</v>
      </c>
      <c r="OC382" s="12" t="s">
        <v>37</v>
      </c>
      <c r="OD382" s="12"/>
      <c r="OE382" s="12" t="s">
        <v>37</v>
      </c>
      <c r="OF382" s="12" t="s">
        <v>37</v>
      </c>
      <c r="OG382" s="12" t="s">
        <v>37</v>
      </c>
      <c r="OH382" s="12"/>
      <c r="OI382" s="12"/>
      <c r="OJ382" s="12"/>
      <c r="OM382" s="12" t="s">
        <v>37</v>
      </c>
      <c r="ON382" s="12" t="s">
        <v>37</v>
      </c>
      <c r="OO382" s="12" t="s">
        <v>37</v>
      </c>
      <c r="OP382" s="12" t="s">
        <v>37</v>
      </c>
      <c r="OQ382" s="12" t="s">
        <v>37</v>
      </c>
      <c r="OR382" s="12" t="s">
        <v>37</v>
      </c>
      <c r="OS382" s="12"/>
      <c r="OT382" s="12"/>
      <c r="OW382" s="12" t="s">
        <v>37</v>
      </c>
      <c r="OX382" s="12" t="s">
        <v>37</v>
      </c>
      <c r="OY382" s="13" t="s">
        <v>37</v>
      </c>
      <c r="OZ382" s="12" t="s">
        <v>37</v>
      </c>
      <c r="PA382" s="12" t="s">
        <v>37</v>
      </c>
      <c r="PB382" s="13" t="s">
        <v>37</v>
      </c>
      <c r="PG382" s="12" t="s">
        <v>37</v>
      </c>
      <c r="PH382" s="12" t="s">
        <v>37</v>
      </c>
      <c r="PI382" s="12" t="s">
        <v>37</v>
      </c>
      <c r="PJ382" s="12" t="s">
        <v>37</v>
      </c>
      <c r="PK382" s="12" t="s">
        <v>37</v>
      </c>
      <c r="PL382" s="12" t="s">
        <v>37</v>
      </c>
      <c r="PM382" s="12"/>
      <c r="PN382" s="12"/>
      <c r="PQ382" s="12" t="s">
        <v>37</v>
      </c>
      <c r="PR382" s="12" t="s">
        <v>37</v>
      </c>
      <c r="PS382" s="12" t="s">
        <v>37</v>
      </c>
      <c r="PT382" s="12" t="s">
        <v>37</v>
      </c>
      <c r="PU382" s="12" t="s">
        <v>37</v>
      </c>
      <c r="PV382" s="12" t="s">
        <v>37</v>
      </c>
      <c r="PW382" s="12"/>
      <c r="PX382" s="12"/>
      <c r="PZ382" s="12" t="s">
        <v>37</v>
      </c>
      <c r="QA382" s="12" t="s">
        <v>37</v>
      </c>
      <c r="QB382" s="12" t="s">
        <v>37</v>
      </c>
      <c r="QD382" s="12" t="s">
        <v>37</v>
      </c>
      <c r="QE382" s="12" t="s">
        <v>37</v>
      </c>
      <c r="QF382" s="12" t="s">
        <v>37</v>
      </c>
      <c r="QK382" s="12" t="s">
        <v>37</v>
      </c>
      <c r="QL382" s="12" t="s">
        <v>37</v>
      </c>
      <c r="QM382" s="12" t="s">
        <v>37</v>
      </c>
      <c r="QN382" s="12" t="s">
        <v>37</v>
      </c>
      <c r="QO382" s="12" t="s">
        <v>37</v>
      </c>
      <c r="QP382" s="12" t="s">
        <v>37</v>
      </c>
      <c r="QQ382" s="12"/>
      <c r="QR382" s="12"/>
      <c r="QU382" s="12" t="s">
        <v>37</v>
      </c>
      <c r="QV382" s="12" t="s">
        <v>37</v>
      </c>
      <c r="QW382" s="12" t="s">
        <v>37</v>
      </c>
      <c r="QX382" s="12" t="s">
        <v>37</v>
      </c>
      <c r="QY382" s="12" t="s">
        <v>37</v>
      </c>
      <c r="QZ382" s="12" t="s">
        <v>37</v>
      </c>
      <c r="RC382" s="12" t="s">
        <v>37</v>
      </c>
      <c r="RD382" s="12" t="s">
        <v>37</v>
      </c>
      <c r="RE382" s="13" t="s">
        <v>37</v>
      </c>
      <c r="RF382" s="12" t="s">
        <v>37</v>
      </c>
      <c r="RG382" s="12" t="s">
        <v>37</v>
      </c>
      <c r="RH382" s="13" t="s">
        <v>37</v>
      </c>
      <c r="RK382" s="12" t="s">
        <v>37</v>
      </c>
      <c r="RL382" s="12" t="s">
        <v>37</v>
      </c>
      <c r="RM382" s="11" t="s">
        <v>37</v>
      </c>
      <c r="RN382" s="12" t="s">
        <v>37</v>
      </c>
      <c r="RO382" s="12" t="s">
        <v>37</v>
      </c>
      <c r="RP382" s="11" t="s">
        <v>37</v>
      </c>
      <c r="RS382" s="12" t="s">
        <v>37</v>
      </c>
      <c r="RT382" s="12" t="s">
        <v>37</v>
      </c>
      <c r="RU382" s="12" t="s">
        <v>37</v>
      </c>
      <c r="RV382" s="12" t="s">
        <v>37</v>
      </c>
      <c r="RW382" s="12" t="s">
        <v>37</v>
      </c>
      <c r="RX382" s="12" t="s">
        <v>37</v>
      </c>
      <c r="SA382" s="12" t="s">
        <v>37</v>
      </c>
      <c r="SB382" s="12" t="s">
        <v>37</v>
      </c>
      <c r="SC382" s="12" t="s">
        <v>37</v>
      </c>
      <c r="SD382" s="12" t="s">
        <v>37</v>
      </c>
      <c r="SE382" s="12" t="s">
        <v>37</v>
      </c>
      <c r="SF382" s="12" t="s">
        <v>37</v>
      </c>
      <c r="SI382" s="12" t="s">
        <v>37</v>
      </c>
      <c r="SJ382" s="12" t="s">
        <v>37</v>
      </c>
      <c r="SK382" s="13" t="s">
        <v>37</v>
      </c>
      <c r="SM382" s="12" t="s">
        <v>37</v>
      </c>
      <c r="SN382" s="12" t="s">
        <v>37</v>
      </c>
      <c r="SO382" s="13" t="s">
        <v>37</v>
      </c>
      <c r="SU382" s="12" t="s">
        <v>37</v>
      </c>
      <c r="SV382" s="12" t="s">
        <v>37</v>
      </c>
      <c r="SW382" s="12" t="s">
        <v>37</v>
      </c>
      <c r="SX382" s="12" t="s">
        <v>37</v>
      </c>
      <c r="SY382" s="12" t="s">
        <v>37</v>
      </c>
      <c r="SZ382" s="12" t="s">
        <v>37</v>
      </c>
      <c r="TA382" s="12"/>
      <c r="TB382" s="12"/>
      <c r="TE382" s="12" t="s">
        <v>37</v>
      </c>
      <c r="TF382" s="12" t="s">
        <v>37</v>
      </c>
      <c r="TG382" s="12" t="s">
        <v>37</v>
      </c>
      <c r="TH382" s="12" t="s">
        <v>37</v>
      </c>
      <c r="TI382" s="12" t="s">
        <v>37</v>
      </c>
      <c r="TJ382" s="12" t="s">
        <v>37</v>
      </c>
      <c r="TK382" s="12"/>
      <c r="TL382" s="12"/>
      <c r="TO382" s="12" t="s">
        <v>37</v>
      </c>
      <c r="TP382" s="12" t="s">
        <v>37</v>
      </c>
      <c r="TQ382" s="12" t="s">
        <v>37</v>
      </c>
      <c r="TR382" s="12" t="s">
        <v>37</v>
      </c>
      <c r="TS382" s="12" t="s">
        <v>37</v>
      </c>
      <c r="TT382" s="12" t="s">
        <v>37</v>
      </c>
      <c r="TU382" s="12"/>
      <c r="TV382" s="12"/>
      <c r="TY382" s="12" t="s">
        <v>37</v>
      </c>
      <c r="TZ382" s="12" t="s">
        <v>37</v>
      </c>
      <c r="UA382" s="12" t="s">
        <v>37</v>
      </c>
      <c r="UB382" s="12" t="s">
        <v>37</v>
      </c>
      <c r="UC382" s="12" t="s">
        <v>37</v>
      </c>
      <c r="UD382" s="12" t="s">
        <v>37</v>
      </c>
      <c r="UE382" s="12"/>
      <c r="UF382" s="12"/>
      <c r="UI382" s="12" t="s">
        <v>37</v>
      </c>
      <c r="UJ382" s="12" t="s">
        <v>37</v>
      </c>
      <c r="UK382" s="12" t="s">
        <v>37</v>
      </c>
      <c r="UL382" s="12" t="s">
        <v>37</v>
      </c>
      <c r="UM382" s="12" t="s">
        <v>37</v>
      </c>
      <c r="UN382" s="12" t="s">
        <v>37</v>
      </c>
      <c r="UO382" s="12"/>
      <c r="UP382" s="12"/>
      <c r="UR382" s="12" t="s">
        <v>37</v>
      </c>
      <c r="US382" s="12" t="s">
        <v>37</v>
      </c>
      <c r="UT382" s="12" t="s">
        <v>37</v>
      </c>
      <c r="UU382" s="12" t="s">
        <v>37</v>
      </c>
      <c r="UV382" s="12" t="s">
        <v>37</v>
      </c>
      <c r="UW382" s="12" t="s">
        <v>37</v>
      </c>
      <c r="UX382" s="12"/>
      <c r="UY382" s="12"/>
      <c r="VB382" s="12" t="s">
        <v>37</v>
      </c>
      <c r="VC382" s="12" t="s">
        <v>37</v>
      </c>
      <c r="VD382" s="12" t="s">
        <v>37</v>
      </c>
      <c r="VE382" s="12" t="s">
        <v>37</v>
      </c>
      <c r="VF382" s="12" t="s">
        <v>37</v>
      </c>
      <c r="VG382" s="12" t="s">
        <v>37</v>
      </c>
      <c r="VI382" s="12" t="s">
        <v>37</v>
      </c>
      <c r="VJ382" s="12" t="s">
        <v>37</v>
      </c>
      <c r="VK382" s="12" t="s">
        <v>37</v>
      </c>
      <c r="VL382" s="12" t="s">
        <v>37</v>
      </c>
      <c r="VM382" s="12" t="s">
        <v>37</v>
      </c>
      <c r="VN382" s="12" t="s">
        <v>37</v>
      </c>
      <c r="VQ382" s="12" t="s">
        <v>37</v>
      </c>
      <c r="VR382" s="12" t="s">
        <v>37</v>
      </c>
      <c r="VS382" s="12" t="s">
        <v>37</v>
      </c>
      <c r="VT382" s="12" t="s">
        <v>37</v>
      </c>
      <c r="VU382" s="12" t="s">
        <v>37</v>
      </c>
      <c r="VV382" s="12" t="s">
        <v>37</v>
      </c>
      <c r="VW382" s="12"/>
      <c r="VX382" s="12"/>
      <c r="WA382" s="12" t="s">
        <v>37</v>
      </c>
      <c r="WB382" s="12" t="s">
        <v>37</v>
      </c>
      <c r="WC382" s="12" t="s">
        <v>37</v>
      </c>
      <c r="WD382" s="12" t="s">
        <v>37</v>
      </c>
      <c r="WE382" s="12" t="s">
        <v>37</v>
      </c>
      <c r="WF382" s="12" t="s">
        <v>37</v>
      </c>
    </row>
    <row r="383" spans="1:604" ht="18" customHeight="1" x14ac:dyDescent="0.3">
      <c r="A383" s="11">
        <v>79</v>
      </c>
      <c r="B383" s="16" t="s">
        <v>454</v>
      </c>
      <c r="C383" s="12" t="s">
        <v>32</v>
      </c>
      <c r="D383" s="12" t="s">
        <v>1039</v>
      </c>
      <c r="E383" s="40">
        <f t="shared" si="1372"/>
        <v>5.15</v>
      </c>
      <c r="F383" s="14">
        <v>0</v>
      </c>
      <c r="G383" s="14">
        <v>0</v>
      </c>
      <c r="H383" s="12" t="s">
        <v>79</v>
      </c>
      <c r="I383" s="29">
        <v>32.799999999999997</v>
      </c>
      <c r="J383" s="29">
        <v>102.55</v>
      </c>
      <c r="K383" s="12" t="s">
        <v>690</v>
      </c>
      <c r="L383" s="12" t="s">
        <v>691</v>
      </c>
      <c r="M383" s="13">
        <v>3500</v>
      </c>
      <c r="N383" s="14">
        <v>0.9</v>
      </c>
      <c r="O383" s="14">
        <v>744</v>
      </c>
      <c r="P383" s="14" t="s">
        <v>16</v>
      </c>
      <c r="Q383" s="75">
        <v>1.5</v>
      </c>
      <c r="R383" s="11" t="s">
        <v>37</v>
      </c>
      <c r="S383" s="12" t="s">
        <v>85</v>
      </c>
      <c r="T383" s="12" t="s">
        <v>138</v>
      </c>
      <c r="U383" s="12" t="s">
        <v>158</v>
      </c>
      <c r="V383" s="12" t="s">
        <v>275</v>
      </c>
      <c r="W383" s="23" t="s">
        <v>353</v>
      </c>
      <c r="X383" s="12" t="s">
        <v>280</v>
      </c>
      <c r="Y383" s="12" t="s">
        <v>37</v>
      </c>
      <c r="Z383" s="12" t="s">
        <v>37</v>
      </c>
      <c r="AA383" s="32" t="s">
        <v>345</v>
      </c>
      <c r="AB383" s="12">
        <v>6.7</v>
      </c>
      <c r="AC383" s="12" t="s">
        <v>42</v>
      </c>
      <c r="AD383" s="32" t="s">
        <v>345</v>
      </c>
      <c r="AE383" s="12">
        <v>350</v>
      </c>
      <c r="AF383" s="12" t="s">
        <v>42</v>
      </c>
      <c r="AG383" s="32" t="s">
        <v>345</v>
      </c>
      <c r="AH383" s="12">
        <v>15</v>
      </c>
      <c r="AJ383" s="12" t="str">
        <f t="shared" si="1373"/>
        <v>0-10</v>
      </c>
      <c r="AK383" s="19">
        <f t="shared" si="1374"/>
        <v>23.333333333333332</v>
      </c>
      <c r="AL383" s="32" t="s">
        <v>647</v>
      </c>
      <c r="AM383" s="12" t="s">
        <v>321</v>
      </c>
      <c r="AN383" s="32" t="s">
        <v>896</v>
      </c>
      <c r="AO383" s="12" t="s">
        <v>37</v>
      </c>
      <c r="AP383" s="12" t="s">
        <v>238</v>
      </c>
      <c r="AQ383" s="12" t="s">
        <v>975</v>
      </c>
      <c r="AR383" s="12" t="s">
        <v>42</v>
      </c>
      <c r="AS383" s="32" t="s">
        <v>345</v>
      </c>
      <c r="AT383" s="12">
        <v>350</v>
      </c>
      <c r="AU383" s="50">
        <f t="shared" si="1365"/>
        <v>29.93450076866338</v>
      </c>
      <c r="AV383" s="13">
        <v>6</v>
      </c>
      <c r="AX383" s="12" t="s">
        <v>326</v>
      </c>
      <c r="AY383" s="12" t="s">
        <v>326</v>
      </c>
      <c r="AZ383" s="13" t="s">
        <v>326</v>
      </c>
      <c r="BE383" s="12" t="s">
        <v>326</v>
      </c>
      <c r="BF383" s="12" t="s">
        <v>326</v>
      </c>
      <c r="BG383" s="12" t="s">
        <v>326</v>
      </c>
      <c r="BI383" s="12" t="s">
        <v>326</v>
      </c>
      <c r="BJ383" s="12" t="s">
        <v>326</v>
      </c>
      <c r="BK383" s="12" t="s">
        <v>326</v>
      </c>
      <c r="BP383" s="12" t="s">
        <v>37</v>
      </c>
      <c r="BQ383" s="12" t="s">
        <v>37</v>
      </c>
      <c r="BR383" s="13" t="s">
        <v>37</v>
      </c>
      <c r="BT383" s="12" t="s">
        <v>37</v>
      </c>
      <c r="BU383" s="12" t="s">
        <v>37</v>
      </c>
      <c r="BV383" s="12" t="s">
        <v>37</v>
      </c>
      <c r="CA383" s="12" t="s">
        <v>37</v>
      </c>
      <c r="CB383" s="12" t="s">
        <v>37</v>
      </c>
      <c r="CC383" s="13" t="s">
        <v>37</v>
      </c>
      <c r="CE383" s="12" t="s">
        <v>37</v>
      </c>
      <c r="CF383" s="12" t="s">
        <v>37</v>
      </c>
      <c r="CG383" s="12" t="s">
        <v>37</v>
      </c>
      <c r="CN383" s="12" t="s">
        <v>37</v>
      </c>
      <c r="CO383" s="12" t="s">
        <v>37</v>
      </c>
      <c r="CP383" s="13" t="s">
        <v>37</v>
      </c>
      <c r="CR383" s="12" t="s">
        <v>37</v>
      </c>
      <c r="CS383" s="12" t="s">
        <v>37</v>
      </c>
      <c r="CT383" s="13" t="s">
        <v>37</v>
      </c>
      <c r="CX383" s="72"/>
      <c r="CY383" s="72"/>
      <c r="DA383" s="12" t="s">
        <v>37</v>
      </c>
      <c r="DB383" s="12" t="s">
        <v>37</v>
      </c>
      <c r="DC383" s="13" t="s">
        <v>37</v>
      </c>
      <c r="DE383" s="12" t="s">
        <v>37</v>
      </c>
      <c r="DF383" s="12" t="s">
        <v>37</v>
      </c>
      <c r="DG383" s="12" t="s">
        <v>37</v>
      </c>
      <c r="DN383" s="19" t="s">
        <v>37</v>
      </c>
      <c r="DO383" s="12" t="s">
        <v>37</v>
      </c>
      <c r="DP383" s="13" t="s">
        <v>37</v>
      </c>
      <c r="DR383" s="19" t="s">
        <v>37</v>
      </c>
      <c r="DS383" s="12" t="s">
        <v>37</v>
      </c>
      <c r="DT383" s="13" t="s">
        <v>37</v>
      </c>
      <c r="EA383" s="19" t="s">
        <v>37</v>
      </c>
      <c r="EB383" s="19" t="s">
        <v>37</v>
      </c>
      <c r="EC383" s="72" t="s">
        <v>37</v>
      </c>
      <c r="EE383" s="19" t="s">
        <v>37</v>
      </c>
      <c r="EF383" s="19" t="s">
        <v>37</v>
      </c>
      <c r="EG383" s="12" t="s">
        <v>37</v>
      </c>
      <c r="EN383" s="12" t="s">
        <v>37</v>
      </c>
      <c r="EO383" s="12" t="s">
        <v>37</v>
      </c>
      <c r="EP383" s="13" t="s">
        <v>37</v>
      </c>
      <c r="ER383" s="12" t="s">
        <v>37</v>
      </c>
      <c r="ES383" s="12" t="s">
        <v>37</v>
      </c>
      <c r="ET383" s="13" t="s">
        <v>37</v>
      </c>
      <c r="FB383" s="12" t="s">
        <v>37</v>
      </c>
      <c r="FC383" s="12" t="s">
        <v>37</v>
      </c>
      <c r="FD383" s="12" t="s">
        <v>37</v>
      </c>
      <c r="FE383" s="12" t="s">
        <v>37</v>
      </c>
      <c r="FF383" s="20" t="s">
        <v>37</v>
      </c>
      <c r="FG383" s="12" t="s">
        <v>37</v>
      </c>
      <c r="FI383" s="12" t="s">
        <v>37</v>
      </c>
      <c r="FJ383" s="12" t="s">
        <v>37</v>
      </c>
      <c r="FK383" s="12" t="s">
        <v>37</v>
      </c>
      <c r="FL383" s="12" t="s">
        <v>37</v>
      </c>
      <c r="FM383" s="12" t="s">
        <v>37</v>
      </c>
      <c r="FN383" s="12" t="s">
        <v>37</v>
      </c>
      <c r="FP383" s="12" t="s">
        <v>37</v>
      </c>
      <c r="FQ383" s="12" t="s">
        <v>37</v>
      </c>
      <c r="FR383" s="12" t="s">
        <v>37</v>
      </c>
      <c r="FS383" s="12" t="s">
        <v>37</v>
      </c>
      <c r="FT383" s="12" t="s">
        <v>37</v>
      </c>
      <c r="FU383" s="12" t="s">
        <v>37</v>
      </c>
      <c r="FW383" s="12" t="s">
        <v>37</v>
      </c>
      <c r="FX383" s="12" t="s">
        <v>37</v>
      </c>
      <c r="FY383" s="12" t="s">
        <v>37</v>
      </c>
      <c r="FZ383" s="12" t="s">
        <v>37</v>
      </c>
      <c r="GA383" s="12" t="s">
        <v>37</v>
      </c>
      <c r="GB383" s="12" t="s">
        <v>37</v>
      </c>
      <c r="IK383" s="12" t="s">
        <v>37</v>
      </c>
      <c r="IL383" s="12" t="s">
        <v>37</v>
      </c>
      <c r="IM383" s="12" t="s">
        <v>37</v>
      </c>
      <c r="IO383" s="12" t="s">
        <v>37</v>
      </c>
      <c r="IP383" s="12" t="s">
        <v>37</v>
      </c>
      <c r="IQ383" s="12" t="s">
        <v>37</v>
      </c>
      <c r="IV383" s="32" t="s">
        <v>345</v>
      </c>
      <c r="IW383" s="12">
        <v>6.7</v>
      </c>
      <c r="IX383" s="50">
        <f t="shared" si="1366"/>
        <v>0.24530537560775503</v>
      </c>
      <c r="IY383" s="13">
        <v>6</v>
      </c>
      <c r="JH383" s="12" t="s">
        <v>37</v>
      </c>
      <c r="JI383" s="12" t="s">
        <v>37</v>
      </c>
      <c r="JJ383" s="13" t="s">
        <v>37</v>
      </c>
      <c r="JL383" s="12" t="s">
        <v>37</v>
      </c>
      <c r="JM383" s="12" t="s">
        <v>37</v>
      </c>
      <c r="JN383" s="12" t="s">
        <v>37</v>
      </c>
      <c r="JS383" s="12" t="s">
        <v>37</v>
      </c>
      <c r="JT383" s="12" t="s">
        <v>37</v>
      </c>
      <c r="JU383" s="13" t="s">
        <v>37</v>
      </c>
      <c r="JW383" s="12" t="s">
        <v>37</v>
      </c>
      <c r="JX383" s="12" t="s">
        <v>37</v>
      </c>
      <c r="JY383" s="12" t="s">
        <v>37</v>
      </c>
      <c r="KE383" s="12" t="s">
        <v>37</v>
      </c>
      <c r="KF383" s="12" t="s">
        <v>37</v>
      </c>
      <c r="KG383" s="13" t="s">
        <v>37</v>
      </c>
      <c r="KH383" s="12" t="s">
        <v>37</v>
      </c>
      <c r="KI383" s="12" t="s">
        <v>37</v>
      </c>
      <c r="KJ383" s="12" t="s">
        <v>37</v>
      </c>
      <c r="KK383" s="12" t="s">
        <v>42</v>
      </c>
      <c r="KL383" s="32" t="s">
        <v>345</v>
      </c>
      <c r="KM383" s="12">
        <v>15</v>
      </c>
      <c r="KN383" s="50">
        <f t="shared" si="1367"/>
        <v>1.7893956207728923</v>
      </c>
      <c r="KO383" s="11">
        <v>6</v>
      </c>
      <c r="KS383" s="12"/>
      <c r="KX383" s="12" t="s">
        <v>37</v>
      </c>
      <c r="KY383" s="12" t="s">
        <v>37</v>
      </c>
      <c r="KZ383" s="12" t="s">
        <v>37</v>
      </c>
      <c r="LB383" s="12" t="s">
        <v>37</v>
      </c>
      <c r="LC383" s="12" t="s">
        <v>37</v>
      </c>
      <c r="LD383" s="12" t="s">
        <v>37</v>
      </c>
      <c r="LI383" s="12" t="s">
        <v>37</v>
      </c>
      <c r="LJ383" s="12" t="s">
        <v>37</v>
      </c>
      <c r="LK383" s="12" t="s">
        <v>37</v>
      </c>
      <c r="LM383" s="12" t="s">
        <v>37</v>
      </c>
      <c r="LN383" s="12" t="s">
        <v>37</v>
      </c>
      <c r="LO383" s="12" t="s">
        <v>37</v>
      </c>
      <c r="LT383" s="12" t="str">
        <f t="shared" si="1368"/>
        <v>0-10</v>
      </c>
      <c r="LU383" s="12">
        <f t="shared" si="1369"/>
        <v>23.333333333333332</v>
      </c>
      <c r="LV383" s="12">
        <f t="shared" si="1370"/>
        <v>3.4249742755356465</v>
      </c>
      <c r="LW383" s="13">
        <f t="shared" si="1371"/>
        <v>6</v>
      </c>
      <c r="MF383" s="12" t="s">
        <v>37</v>
      </c>
      <c r="MG383" s="12" t="s">
        <v>37</v>
      </c>
      <c r="MH383" s="12" t="s">
        <v>37</v>
      </c>
      <c r="MJ383" s="12" t="s">
        <v>37</v>
      </c>
      <c r="MK383" s="12" t="s">
        <v>37</v>
      </c>
      <c r="ML383" s="12" t="s">
        <v>37</v>
      </c>
      <c r="MQ383" s="12" t="s">
        <v>37</v>
      </c>
      <c r="MR383" s="12" t="s">
        <v>37</v>
      </c>
      <c r="MS383" s="12" t="s">
        <v>37</v>
      </c>
      <c r="MU383" s="12" t="s">
        <v>37</v>
      </c>
      <c r="MV383" s="12" t="s">
        <v>37</v>
      </c>
      <c r="MW383" s="12" t="s">
        <v>37</v>
      </c>
      <c r="NC383" s="12" t="s">
        <v>37</v>
      </c>
      <c r="ND383" s="12" t="s">
        <v>37</v>
      </c>
      <c r="NE383" s="12" t="s">
        <v>37</v>
      </c>
      <c r="NG383" s="12" t="s">
        <v>37</v>
      </c>
      <c r="NH383" s="12" t="s">
        <v>37</v>
      </c>
      <c r="NI383" s="12" t="s">
        <v>37</v>
      </c>
      <c r="NO383" s="12" t="s">
        <v>37</v>
      </c>
      <c r="NP383" s="12" t="s">
        <v>37</v>
      </c>
      <c r="NQ383" s="12" t="s">
        <v>37</v>
      </c>
      <c r="NS383" s="12" t="s">
        <v>37</v>
      </c>
      <c r="NT383" s="12" t="s">
        <v>37</v>
      </c>
      <c r="NU383" s="12" t="s">
        <v>37</v>
      </c>
      <c r="OA383" s="12" t="s">
        <v>37</v>
      </c>
      <c r="OB383" s="12" t="s">
        <v>37</v>
      </c>
      <c r="OC383" s="12" t="s">
        <v>37</v>
      </c>
      <c r="OD383" s="12"/>
      <c r="OE383" s="12" t="s">
        <v>37</v>
      </c>
      <c r="OF383" s="12" t="s">
        <v>37</v>
      </c>
      <c r="OG383" s="12" t="s">
        <v>37</v>
      </c>
      <c r="OH383" s="12"/>
      <c r="OI383" s="12"/>
      <c r="OJ383" s="12"/>
      <c r="OM383" s="12" t="s">
        <v>37</v>
      </c>
      <c r="ON383" s="12" t="s">
        <v>37</v>
      </c>
      <c r="OO383" s="12" t="s">
        <v>37</v>
      </c>
      <c r="OP383" s="12" t="s">
        <v>37</v>
      </c>
      <c r="OQ383" s="12" t="s">
        <v>37</v>
      </c>
      <c r="OR383" s="12" t="s">
        <v>37</v>
      </c>
      <c r="OS383" s="12"/>
      <c r="OT383" s="12"/>
      <c r="OW383" s="12" t="s">
        <v>37</v>
      </c>
      <c r="OX383" s="12" t="s">
        <v>37</v>
      </c>
      <c r="OY383" s="13" t="s">
        <v>37</v>
      </c>
      <c r="OZ383" s="12" t="s">
        <v>37</v>
      </c>
      <c r="PA383" s="12" t="s">
        <v>37</v>
      </c>
      <c r="PB383" s="13" t="s">
        <v>37</v>
      </c>
      <c r="PG383" s="12" t="s">
        <v>37</v>
      </c>
      <c r="PH383" s="12" t="s">
        <v>37</v>
      </c>
      <c r="PI383" s="12" t="s">
        <v>37</v>
      </c>
      <c r="PJ383" s="12" t="s">
        <v>37</v>
      </c>
      <c r="PK383" s="12" t="s">
        <v>37</v>
      </c>
      <c r="PL383" s="12" t="s">
        <v>37</v>
      </c>
      <c r="PM383" s="12"/>
      <c r="PN383" s="12"/>
      <c r="PQ383" s="12" t="s">
        <v>37</v>
      </c>
      <c r="PR383" s="12" t="s">
        <v>37</v>
      </c>
      <c r="PS383" s="12" t="s">
        <v>37</v>
      </c>
      <c r="PT383" s="12" t="s">
        <v>37</v>
      </c>
      <c r="PU383" s="12" t="s">
        <v>37</v>
      </c>
      <c r="PV383" s="12" t="s">
        <v>37</v>
      </c>
      <c r="PW383" s="12"/>
      <c r="PX383" s="12"/>
      <c r="PZ383" s="12" t="s">
        <v>37</v>
      </c>
      <c r="QA383" s="12" t="s">
        <v>37</v>
      </c>
      <c r="QB383" s="12" t="s">
        <v>37</v>
      </c>
      <c r="QD383" s="12" t="s">
        <v>37</v>
      </c>
      <c r="QE383" s="12" t="s">
        <v>37</v>
      </c>
      <c r="QF383" s="12" t="s">
        <v>37</v>
      </c>
      <c r="QK383" s="12" t="s">
        <v>37</v>
      </c>
      <c r="QL383" s="12" t="s">
        <v>37</v>
      </c>
      <c r="QM383" s="12" t="s">
        <v>37</v>
      </c>
      <c r="QN383" s="12" t="s">
        <v>37</v>
      </c>
      <c r="QO383" s="12" t="s">
        <v>37</v>
      </c>
      <c r="QP383" s="12" t="s">
        <v>37</v>
      </c>
      <c r="QQ383" s="12"/>
      <c r="QR383" s="12"/>
      <c r="QU383" s="12" t="s">
        <v>37</v>
      </c>
      <c r="QV383" s="12" t="s">
        <v>37</v>
      </c>
      <c r="QW383" s="12" t="s">
        <v>37</v>
      </c>
      <c r="QX383" s="12" t="s">
        <v>37</v>
      </c>
      <c r="QY383" s="12" t="s">
        <v>37</v>
      </c>
      <c r="QZ383" s="12" t="s">
        <v>37</v>
      </c>
      <c r="RC383" s="12" t="s">
        <v>37</v>
      </c>
      <c r="RD383" s="12" t="s">
        <v>37</v>
      </c>
      <c r="RE383" s="13" t="s">
        <v>37</v>
      </c>
      <c r="RF383" s="12" t="s">
        <v>37</v>
      </c>
      <c r="RG383" s="12" t="s">
        <v>37</v>
      </c>
      <c r="RH383" s="13" t="s">
        <v>37</v>
      </c>
      <c r="RK383" s="12" t="s">
        <v>37</v>
      </c>
      <c r="RL383" s="12" t="s">
        <v>37</v>
      </c>
      <c r="RM383" s="11" t="s">
        <v>37</v>
      </c>
      <c r="RN383" s="12" t="s">
        <v>37</v>
      </c>
      <c r="RO383" s="12" t="s">
        <v>37</v>
      </c>
      <c r="RP383" s="11" t="s">
        <v>37</v>
      </c>
      <c r="RS383" s="12" t="s">
        <v>37</v>
      </c>
      <c r="RT383" s="12" t="s">
        <v>37</v>
      </c>
      <c r="RU383" s="12" t="s">
        <v>37</v>
      </c>
      <c r="RV383" s="12" t="s">
        <v>37</v>
      </c>
      <c r="RW383" s="12" t="s">
        <v>37</v>
      </c>
      <c r="RX383" s="12" t="s">
        <v>37</v>
      </c>
      <c r="SA383" s="12" t="s">
        <v>37</v>
      </c>
      <c r="SB383" s="12" t="s">
        <v>37</v>
      </c>
      <c r="SC383" s="12" t="s">
        <v>37</v>
      </c>
      <c r="SD383" s="12" t="s">
        <v>37</v>
      </c>
      <c r="SE383" s="12" t="s">
        <v>37</v>
      </c>
      <c r="SF383" s="12" t="s">
        <v>37</v>
      </c>
      <c r="SI383" s="12" t="s">
        <v>37</v>
      </c>
      <c r="SJ383" s="12" t="s">
        <v>37</v>
      </c>
      <c r="SK383" s="13" t="s">
        <v>37</v>
      </c>
      <c r="SM383" s="12" t="s">
        <v>37</v>
      </c>
      <c r="SN383" s="12" t="s">
        <v>37</v>
      </c>
      <c r="SO383" s="13" t="s">
        <v>37</v>
      </c>
      <c r="SU383" s="12" t="s">
        <v>37</v>
      </c>
      <c r="SV383" s="12" t="s">
        <v>37</v>
      </c>
      <c r="SW383" s="12" t="s">
        <v>37</v>
      </c>
      <c r="SX383" s="12" t="s">
        <v>37</v>
      </c>
      <c r="SY383" s="12" t="s">
        <v>37</v>
      </c>
      <c r="SZ383" s="12" t="s">
        <v>37</v>
      </c>
      <c r="TA383" s="12"/>
      <c r="TB383" s="12"/>
      <c r="TE383" s="12" t="s">
        <v>37</v>
      </c>
      <c r="TF383" s="12" t="s">
        <v>37</v>
      </c>
      <c r="TG383" s="12" t="s">
        <v>37</v>
      </c>
      <c r="TH383" s="12" t="s">
        <v>37</v>
      </c>
      <c r="TI383" s="12" t="s">
        <v>37</v>
      </c>
      <c r="TJ383" s="12" t="s">
        <v>37</v>
      </c>
      <c r="TK383" s="12"/>
      <c r="TL383" s="12"/>
      <c r="TO383" s="12" t="s">
        <v>37</v>
      </c>
      <c r="TP383" s="12" t="s">
        <v>37</v>
      </c>
      <c r="TQ383" s="12" t="s">
        <v>37</v>
      </c>
      <c r="TR383" s="12" t="s">
        <v>37</v>
      </c>
      <c r="TS383" s="12" t="s">
        <v>37</v>
      </c>
      <c r="TT383" s="12" t="s">
        <v>37</v>
      </c>
      <c r="TU383" s="12"/>
      <c r="TV383" s="12"/>
      <c r="TY383" s="12" t="s">
        <v>37</v>
      </c>
      <c r="TZ383" s="12" t="s">
        <v>37</v>
      </c>
      <c r="UA383" s="12" t="s">
        <v>37</v>
      </c>
      <c r="UB383" s="12" t="s">
        <v>37</v>
      </c>
      <c r="UC383" s="12" t="s">
        <v>37</v>
      </c>
      <c r="UD383" s="12" t="s">
        <v>37</v>
      </c>
      <c r="UE383" s="12"/>
      <c r="UF383" s="12"/>
      <c r="UI383" s="12" t="s">
        <v>37</v>
      </c>
      <c r="UJ383" s="12" t="s">
        <v>37</v>
      </c>
      <c r="UK383" s="12" t="s">
        <v>37</v>
      </c>
      <c r="UL383" s="12" t="s">
        <v>37</v>
      </c>
      <c r="UM383" s="12" t="s">
        <v>37</v>
      </c>
      <c r="UN383" s="12" t="s">
        <v>37</v>
      </c>
      <c r="UO383" s="12"/>
      <c r="UP383" s="12"/>
      <c r="UR383" s="12" t="s">
        <v>37</v>
      </c>
      <c r="US383" s="12" t="s">
        <v>37</v>
      </c>
      <c r="UT383" s="12" t="s">
        <v>37</v>
      </c>
      <c r="UU383" s="12" t="s">
        <v>37</v>
      </c>
      <c r="UV383" s="12" t="s">
        <v>37</v>
      </c>
      <c r="UW383" s="12" t="s">
        <v>37</v>
      </c>
      <c r="UX383" s="12"/>
      <c r="UY383" s="12"/>
      <c r="VB383" s="12" t="s">
        <v>37</v>
      </c>
      <c r="VC383" s="12" t="s">
        <v>37</v>
      </c>
      <c r="VD383" s="12" t="s">
        <v>37</v>
      </c>
      <c r="VE383" s="12" t="s">
        <v>37</v>
      </c>
      <c r="VF383" s="12" t="s">
        <v>37</v>
      </c>
      <c r="VG383" s="12" t="s">
        <v>37</v>
      </c>
      <c r="VI383" s="12" t="s">
        <v>37</v>
      </c>
      <c r="VJ383" s="12" t="s">
        <v>37</v>
      </c>
      <c r="VK383" s="12" t="s">
        <v>37</v>
      </c>
      <c r="VL383" s="12" t="s">
        <v>37</v>
      </c>
      <c r="VM383" s="12" t="s">
        <v>37</v>
      </c>
      <c r="VN383" s="12" t="s">
        <v>37</v>
      </c>
      <c r="VQ383" s="12" t="s">
        <v>37</v>
      </c>
      <c r="VR383" s="12" t="s">
        <v>37</v>
      </c>
      <c r="VS383" s="12" t="s">
        <v>37</v>
      </c>
      <c r="VT383" s="12" t="s">
        <v>37</v>
      </c>
      <c r="VU383" s="12" t="s">
        <v>37</v>
      </c>
      <c r="VV383" s="12" t="s">
        <v>37</v>
      </c>
      <c r="VW383" s="12"/>
      <c r="VX383" s="12"/>
      <c r="WA383" s="12" t="s">
        <v>37</v>
      </c>
      <c r="WB383" s="12" t="s">
        <v>37</v>
      </c>
      <c r="WC383" s="12" t="s">
        <v>37</v>
      </c>
      <c r="WD383" s="12" t="s">
        <v>37</v>
      </c>
      <c r="WE383" s="12" t="s">
        <v>37</v>
      </c>
      <c r="WF383" s="12" t="s">
        <v>37</v>
      </c>
    </row>
    <row r="384" spans="1:604" ht="18" customHeight="1" x14ac:dyDescent="0.3">
      <c r="A384" s="11">
        <v>79</v>
      </c>
      <c r="B384" s="16" t="s">
        <v>454</v>
      </c>
      <c r="C384" s="12" t="s">
        <v>31</v>
      </c>
      <c r="D384" s="12" t="s">
        <v>1039</v>
      </c>
      <c r="E384" s="40">
        <f t="shared" si="1372"/>
        <v>5.15</v>
      </c>
      <c r="F384" s="14">
        <v>0</v>
      </c>
      <c r="G384" s="14">
        <v>0</v>
      </c>
      <c r="H384" s="12" t="s">
        <v>79</v>
      </c>
      <c r="I384" s="29">
        <v>32.799999999999997</v>
      </c>
      <c r="J384" s="29">
        <v>102.55</v>
      </c>
      <c r="K384" s="12" t="s">
        <v>690</v>
      </c>
      <c r="L384" s="12" t="s">
        <v>691</v>
      </c>
      <c r="M384" s="13">
        <v>3500</v>
      </c>
      <c r="N384" s="14">
        <v>0.9</v>
      </c>
      <c r="O384" s="14">
        <v>744</v>
      </c>
      <c r="P384" s="14" t="s">
        <v>16</v>
      </c>
      <c r="Q384" s="75">
        <v>2.5</v>
      </c>
      <c r="R384" s="11" t="s">
        <v>37</v>
      </c>
      <c r="S384" s="12" t="s">
        <v>85</v>
      </c>
      <c r="T384" s="12" t="s">
        <v>138</v>
      </c>
      <c r="U384" s="12" t="s">
        <v>158</v>
      </c>
      <c r="V384" s="12" t="s">
        <v>275</v>
      </c>
      <c r="W384" s="23" t="s">
        <v>353</v>
      </c>
      <c r="X384" s="12" t="s">
        <v>280</v>
      </c>
      <c r="Y384" s="12" t="s">
        <v>37</v>
      </c>
      <c r="Z384" s="12" t="s">
        <v>37</v>
      </c>
      <c r="AA384" s="32" t="s">
        <v>345</v>
      </c>
      <c r="AB384" s="12">
        <v>6.7</v>
      </c>
      <c r="AC384" s="12" t="s">
        <v>42</v>
      </c>
      <c r="AD384" s="32" t="s">
        <v>345</v>
      </c>
      <c r="AE384" s="12">
        <v>350</v>
      </c>
      <c r="AF384" s="12" t="s">
        <v>42</v>
      </c>
      <c r="AG384" s="32" t="s">
        <v>345</v>
      </c>
      <c r="AH384" s="12">
        <v>15</v>
      </c>
      <c r="AJ384" s="12" t="str">
        <f t="shared" si="1373"/>
        <v>0-10</v>
      </c>
      <c r="AK384" s="19">
        <f t="shared" si="1374"/>
        <v>23.333333333333332</v>
      </c>
      <c r="AL384" s="32" t="s">
        <v>647</v>
      </c>
      <c r="AM384" s="12" t="s">
        <v>321</v>
      </c>
      <c r="AN384" s="32" t="s">
        <v>896</v>
      </c>
      <c r="AO384" s="12" t="s">
        <v>37</v>
      </c>
      <c r="AP384" s="12" t="s">
        <v>238</v>
      </c>
      <c r="AQ384" s="12" t="s">
        <v>975</v>
      </c>
      <c r="AR384" s="12" t="s">
        <v>42</v>
      </c>
      <c r="AS384" s="32" t="s">
        <v>345</v>
      </c>
      <c r="AT384" s="12">
        <v>350</v>
      </c>
      <c r="AU384" s="50">
        <f t="shared" si="1365"/>
        <v>29.93450076866338</v>
      </c>
      <c r="AV384" s="13">
        <v>6</v>
      </c>
      <c r="AX384" s="12" t="s">
        <v>326</v>
      </c>
      <c r="AY384" s="12" t="s">
        <v>326</v>
      </c>
      <c r="AZ384" s="13" t="s">
        <v>326</v>
      </c>
      <c r="BE384" s="12" t="s">
        <v>326</v>
      </c>
      <c r="BF384" s="12" t="s">
        <v>326</v>
      </c>
      <c r="BG384" s="12" t="s">
        <v>326</v>
      </c>
      <c r="BI384" s="12" t="s">
        <v>326</v>
      </c>
      <c r="BJ384" s="12" t="s">
        <v>326</v>
      </c>
      <c r="BK384" s="12" t="s">
        <v>326</v>
      </c>
      <c r="BP384" s="12" t="s">
        <v>37</v>
      </c>
      <c r="BQ384" s="12" t="s">
        <v>37</v>
      </c>
      <c r="BR384" s="13" t="s">
        <v>37</v>
      </c>
      <c r="BT384" s="12" t="s">
        <v>37</v>
      </c>
      <c r="BU384" s="12" t="s">
        <v>37</v>
      </c>
      <c r="BV384" s="12" t="s">
        <v>37</v>
      </c>
      <c r="CA384" s="12" t="s">
        <v>37</v>
      </c>
      <c r="CB384" s="12" t="s">
        <v>37</v>
      </c>
      <c r="CC384" s="13" t="s">
        <v>37</v>
      </c>
      <c r="CE384" s="12" t="s">
        <v>37</v>
      </c>
      <c r="CF384" s="12" t="s">
        <v>37</v>
      </c>
      <c r="CG384" s="12" t="s">
        <v>37</v>
      </c>
      <c r="CN384" s="12" t="s">
        <v>37</v>
      </c>
      <c r="CO384" s="12" t="s">
        <v>37</v>
      </c>
      <c r="CP384" s="13" t="s">
        <v>37</v>
      </c>
      <c r="CR384" s="12" t="s">
        <v>37</v>
      </c>
      <c r="CS384" s="12" t="s">
        <v>37</v>
      </c>
      <c r="CT384" s="13" t="s">
        <v>37</v>
      </c>
      <c r="CX384" s="72"/>
      <c r="CY384" s="72"/>
      <c r="DA384" s="12" t="s">
        <v>37</v>
      </c>
      <c r="DB384" s="12" t="s">
        <v>37</v>
      </c>
      <c r="DC384" s="13" t="s">
        <v>37</v>
      </c>
      <c r="DE384" s="12" t="s">
        <v>37</v>
      </c>
      <c r="DF384" s="12" t="s">
        <v>37</v>
      </c>
      <c r="DG384" s="12" t="s">
        <v>37</v>
      </c>
      <c r="DN384" s="19" t="s">
        <v>37</v>
      </c>
      <c r="DO384" s="12" t="s">
        <v>37</v>
      </c>
      <c r="DP384" s="13" t="s">
        <v>37</v>
      </c>
      <c r="DR384" s="19" t="s">
        <v>37</v>
      </c>
      <c r="DS384" s="12" t="s">
        <v>37</v>
      </c>
      <c r="DT384" s="13" t="s">
        <v>37</v>
      </c>
      <c r="EA384" s="19" t="s">
        <v>37</v>
      </c>
      <c r="EB384" s="19" t="s">
        <v>37</v>
      </c>
      <c r="EC384" s="72" t="s">
        <v>37</v>
      </c>
      <c r="EE384" s="19" t="s">
        <v>37</v>
      </c>
      <c r="EF384" s="19" t="s">
        <v>37</v>
      </c>
      <c r="EG384" s="12" t="s">
        <v>37</v>
      </c>
      <c r="EN384" s="12" t="s">
        <v>37</v>
      </c>
      <c r="EO384" s="12" t="s">
        <v>37</v>
      </c>
      <c r="EP384" s="13" t="s">
        <v>37</v>
      </c>
      <c r="ER384" s="12" t="s">
        <v>37</v>
      </c>
      <c r="ES384" s="12" t="s">
        <v>37</v>
      </c>
      <c r="ET384" s="13" t="s">
        <v>37</v>
      </c>
      <c r="FB384" s="12" t="s">
        <v>37</v>
      </c>
      <c r="FC384" s="12" t="s">
        <v>37</v>
      </c>
      <c r="FD384" s="12" t="s">
        <v>37</v>
      </c>
      <c r="FE384" s="12" t="s">
        <v>37</v>
      </c>
      <c r="FF384" s="20" t="s">
        <v>37</v>
      </c>
      <c r="FG384" s="12" t="s">
        <v>37</v>
      </c>
      <c r="FI384" s="12" t="s">
        <v>37</v>
      </c>
      <c r="FJ384" s="12" t="s">
        <v>37</v>
      </c>
      <c r="FK384" s="12" t="s">
        <v>37</v>
      </c>
      <c r="FL384" s="12" t="s">
        <v>37</v>
      </c>
      <c r="FM384" s="12" t="s">
        <v>37</v>
      </c>
      <c r="FN384" s="12" t="s">
        <v>37</v>
      </c>
      <c r="FP384" s="12" t="s">
        <v>37</v>
      </c>
      <c r="FQ384" s="12" t="s">
        <v>37</v>
      </c>
      <c r="FR384" s="12" t="s">
        <v>37</v>
      </c>
      <c r="FS384" s="12" t="s">
        <v>37</v>
      </c>
      <c r="FT384" s="12" t="s">
        <v>37</v>
      </c>
      <c r="FU384" s="12" t="s">
        <v>37</v>
      </c>
      <c r="FW384" s="12" t="s">
        <v>37</v>
      </c>
      <c r="FX384" s="12" t="s">
        <v>37</v>
      </c>
      <c r="FY384" s="12" t="s">
        <v>37</v>
      </c>
      <c r="FZ384" s="12" t="s">
        <v>37</v>
      </c>
      <c r="GA384" s="12" t="s">
        <v>37</v>
      </c>
      <c r="GB384" s="12" t="s">
        <v>37</v>
      </c>
      <c r="IK384" s="12" t="s">
        <v>37</v>
      </c>
      <c r="IL384" s="12" t="s">
        <v>37</v>
      </c>
      <c r="IM384" s="12" t="s">
        <v>37</v>
      </c>
      <c r="IO384" s="12" t="s">
        <v>37</v>
      </c>
      <c r="IP384" s="12" t="s">
        <v>37</v>
      </c>
      <c r="IQ384" s="12" t="s">
        <v>37</v>
      </c>
      <c r="IV384" s="32" t="s">
        <v>345</v>
      </c>
      <c r="IW384" s="12">
        <v>6.7</v>
      </c>
      <c r="IX384" s="50">
        <f t="shared" si="1366"/>
        <v>0.24530537560775503</v>
      </c>
      <c r="IY384" s="13">
        <v>6</v>
      </c>
      <c r="JH384" s="12" t="s">
        <v>37</v>
      </c>
      <c r="JI384" s="12" t="s">
        <v>37</v>
      </c>
      <c r="JJ384" s="13" t="s">
        <v>37</v>
      </c>
      <c r="JL384" s="12" t="s">
        <v>37</v>
      </c>
      <c r="JM384" s="12" t="s">
        <v>37</v>
      </c>
      <c r="JN384" s="12" t="s">
        <v>37</v>
      </c>
      <c r="JS384" s="12" t="s">
        <v>37</v>
      </c>
      <c r="JT384" s="12" t="s">
        <v>37</v>
      </c>
      <c r="JU384" s="13" t="s">
        <v>37</v>
      </c>
      <c r="JW384" s="12" t="s">
        <v>37</v>
      </c>
      <c r="JX384" s="12" t="s">
        <v>37</v>
      </c>
      <c r="JY384" s="12" t="s">
        <v>37</v>
      </c>
      <c r="KE384" s="12" t="s">
        <v>37</v>
      </c>
      <c r="KF384" s="12" t="s">
        <v>37</v>
      </c>
      <c r="KG384" s="13" t="s">
        <v>37</v>
      </c>
      <c r="KH384" s="12" t="s">
        <v>37</v>
      </c>
      <c r="KI384" s="12" t="s">
        <v>37</v>
      </c>
      <c r="KJ384" s="12" t="s">
        <v>37</v>
      </c>
      <c r="KK384" s="12" t="s">
        <v>42</v>
      </c>
      <c r="KL384" s="32" t="s">
        <v>345</v>
      </c>
      <c r="KM384" s="12">
        <v>15</v>
      </c>
      <c r="KN384" s="50">
        <f t="shared" si="1367"/>
        <v>1.7893956207728923</v>
      </c>
      <c r="KO384" s="11">
        <v>6</v>
      </c>
      <c r="KS384" s="12"/>
      <c r="KX384" s="12" t="s">
        <v>37</v>
      </c>
      <c r="KY384" s="12" t="s">
        <v>37</v>
      </c>
      <c r="KZ384" s="12" t="s">
        <v>37</v>
      </c>
      <c r="LB384" s="12" t="s">
        <v>37</v>
      </c>
      <c r="LC384" s="12" t="s">
        <v>37</v>
      </c>
      <c r="LD384" s="12" t="s">
        <v>37</v>
      </c>
      <c r="LI384" s="12" t="s">
        <v>37</v>
      </c>
      <c r="LJ384" s="12" t="s">
        <v>37</v>
      </c>
      <c r="LK384" s="12" t="s">
        <v>37</v>
      </c>
      <c r="LM384" s="12" t="s">
        <v>37</v>
      </c>
      <c r="LN384" s="12" t="s">
        <v>37</v>
      </c>
      <c r="LO384" s="12" t="s">
        <v>37</v>
      </c>
      <c r="LT384" s="12" t="str">
        <f t="shared" si="1368"/>
        <v>0-10</v>
      </c>
      <c r="LU384" s="12">
        <f t="shared" si="1369"/>
        <v>23.333333333333332</v>
      </c>
      <c r="LV384" s="12">
        <f t="shared" si="1370"/>
        <v>3.4249742755356465</v>
      </c>
      <c r="LW384" s="13">
        <f t="shared" si="1371"/>
        <v>6</v>
      </c>
      <c r="MF384" s="12" t="s">
        <v>37</v>
      </c>
      <c r="MG384" s="12" t="s">
        <v>37</v>
      </c>
      <c r="MH384" s="12" t="s">
        <v>37</v>
      </c>
      <c r="MJ384" s="12" t="s">
        <v>37</v>
      </c>
      <c r="MK384" s="12" t="s">
        <v>37</v>
      </c>
      <c r="ML384" s="12" t="s">
        <v>37</v>
      </c>
      <c r="MQ384" s="12" t="s">
        <v>37</v>
      </c>
      <c r="MR384" s="12" t="s">
        <v>37</v>
      </c>
      <c r="MS384" s="12" t="s">
        <v>37</v>
      </c>
      <c r="MU384" s="12" t="s">
        <v>37</v>
      </c>
      <c r="MV384" s="12" t="s">
        <v>37</v>
      </c>
      <c r="MW384" s="12" t="s">
        <v>37</v>
      </c>
      <c r="NC384" s="12" t="s">
        <v>37</v>
      </c>
      <c r="ND384" s="12" t="s">
        <v>37</v>
      </c>
      <c r="NE384" s="12" t="s">
        <v>37</v>
      </c>
      <c r="NG384" s="12" t="s">
        <v>37</v>
      </c>
      <c r="NH384" s="12" t="s">
        <v>37</v>
      </c>
      <c r="NI384" s="12" t="s">
        <v>37</v>
      </c>
      <c r="NO384" s="12" t="s">
        <v>37</v>
      </c>
      <c r="NP384" s="12" t="s">
        <v>37</v>
      </c>
      <c r="NQ384" s="12" t="s">
        <v>37</v>
      </c>
      <c r="NS384" s="12" t="s">
        <v>37</v>
      </c>
      <c r="NT384" s="12" t="s">
        <v>37</v>
      </c>
      <c r="NU384" s="12" t="s">
        <v>37</v>
      </c>
      <c r="OA384" s="12" t="s">
        <v>37</v>
      </c>
      <c r="OB384" s="12" t="s">
        <v>37</v>
      </c>
      <c r="OC384" s="12" t="s">
        <v>37</v>
      </c>
      <c r="OD384" s="12"/>
      <c r="OE384" s="12" t="s">
        <v>37</v>
      </c>
      <c r="OF384" s="12" t="s">
        <v>37</v>
      </c>
      <c r="OG384" s="12" t="s">
        <v>37</v>
      </c>
      <c r="OH384" s="12"/>
      <c r="OI384" s="12"/>
      <c r="OJ384" s="12"/>
      <c r="OM384" s="12" t="s">
        <v>37</v>
      </c>
      <c r="ON384" s="12" t="s">
        <v>37</v>
      </c>
      <c r="OO384" s="12" t="s">
        <v>37</v>
      </c>
      <c r="OP384" s="12" t="s">
        <v>37</v>
      </c>
      <c r="OQ384" s="12" t="s">
        <v>37</v>
      </c>
      <c r="OR384" s="12" t="s">
        <v>37</v>
      </c>
      <c r="OS384" s="12"/>
      <c r="OT384" s="12"/>
      <c r="OW384" s="12" t="s">
        <v>37</v>
      </c>
      <c r="OX384" s="12" t="s">
        <v>37</v>
      </c>
      <c r="OY384" s="13" t="s">
        <v>37</v>
      </c>
      <c r="OZ384" s="12" t="s">
        <v>37</v>
      </c>
      <c r="PA384" s="12" t="s">
        <v>37</v>
      </c>
      <c r="PB384" s="13" t="s">
        <v>37</v>
      </c>
      <c r="PG384" s="12" t="s">
        <v>37</v>
      </c>
      <c r="PH384" s="12" t="s">
        <v>37</v>
      </c>
      <c r="PI384" s="12" t="s">
        <v>37</v>
      </c>
      <c r="PJ384" s="12" t="s">
        <v>37</v>
      </c>
      <c r="PK384" s="12" t="s">
        <v>37</v>
      </c>
      <c r="PL384" s="12" t="s">
        <v>37</v>
      </c>
      <c r="PM384" s="12"/>
      <c r="PN384" s="12"/>
      <c r="PQ384" s="12" t="s">
        <v>37</v>
      </c>
      <c r="PR384" s="12" t="s">
        <v>37</v>
      </c>
      <c r="PS384" s="12" t="s">
        <v>37</v>
      </c>
      <c r="PT384" s="12" t="s">
        <v>37</v>
      </c>
      <c r="PU384" s="12" t="s">
        <v>37</v>
      </c>
      <c r="PV384" s="12" t="s">
        <v>37</v>
      </c>
      <c r="PW384" s="12"/>
      <c r="PX384" s="12"/>
      <c r="PZ384" s="12" t="s">
        <v>37</v>
      </c>
      <c r="QA384" s="12" t="s">
        <v>37</v>
      </c>
      <c r="QB384" s="12" t="s">
        <v>37</v>
      </c>
      <c r="QD384" s="12" t="s">
        <v>37</v>
      </c>
      <c r="QE384" s="12" t="s">
        <v>37</v>
      </c>
      <c r="QF384" s="12" t="s">
        <v>37</v>
      </c>
      <c r="QK384" s="12" t="s">
        <v>37</v>
      </c>
      <c r="QL384" s="12" t="s">
        <v>37</v>
      </c>
      <c r="QM384" s="12" t="s">
        <v>37</v>
      </c>
      <c r="QN384" s="12" t="s">
        <v>37</v>
      </c>
      <c r="QO384" s="12" t="s">
        <v>37</v>
      </c>
      <c r="QP384" s="12" t="s">
        <v>37</v>
      </c>
      <c r="QQ384" s="12"/>
      <c r="QR384" s="12"/>
      <c r="QU384" s="12" t="s">
        <v>37</v>
      </c>
      <c r="QV384" s="12" t="s">
        <v>37</v>
      </c>
      <c r="QW384" s="12" t="s">
        <v>37</v>
      </c>
      <c r="QX384" s="12" t="s">
        <v>37</v>
      </c>
      <c r="QY384" s="12" t="s">
        <v>37</v>
      </c>
      <c r="QZ384" s="12" t="s">
        <v>37</v>
      </c>
      <c r="RC384" s="12" t="s">
        <v>37</v>
      </c>
      <c r="RD384" s="12" t="s">
        <v>37</v>
      </c>
      <c r="RE384" s="13" t="s">
        <v>37</v>
      </c>
      <c r="RF384" s="12" t="s">
        <v>37</v>
      </c>
      <c r="RG384" s="12" t="s">
        <v>37</v>
      </c>
      <c r="RH384" s="13" t="s">
        <v>37</v>
      </c>
      <c r="RK384" s="12" t="s">
        <v>37</v>
      </c>
      <c r="RL384" s="12" t="s">
        <v>37</v>
      </c>
      <c r="RM384" s="11" t="s">
        <v>37</v>
      </c>
      <c r="RN384" s="12" t="s">
        <v>37</v>
      </c>
      <c r="RO384" s="12" t="s">
        <v>37</v>
      </c>
      <c r="RP384" s="11" t="s">
        <v>37</v>
      </c>
      <c r="RS384" s="12" t="s">
        <v>37</v>
      </c>
      <c r="RT384" s="12" t="s">
        <v>37</v>
      </c>
      <c r="RU384" s="12" t="s">
        <v>37</v>
      </c>
      <c r="RV384" s="12" t="s">
        <v>37</v>
      </c>
      <c r="RW384" s="12" t="s">
        <v>37</v>
      </c>
      <c r="RX384" s="12" t="s">
        <v>37</v>
      </c>
      <c r="SA384" s="12" t="s">
        <v>37</v>
      </c>
      <c r="SB384" s="12" t="s">
        <v>37</v>
      </c>
      <c r="SC384" s="12" t="s">
        <v>37</v>
      </c>
      <c r="SD384" s="12" t="s">
        <v>37</v>
      </c>
      <c r="SE384" s="12" t="s">
        <v>37</v>
      </c>
      <c r="SF384" s="12" t="s">
        <v>37</v>
      </c>
      <c r="SI384" s="12" t="s">
        <v>37</v>
      </c>
      <c r="SJ384" s="12" t="s">
        <v>37</v>
      </c>
      <c r="SK384" s="13" t="s">
        <v>37</v>
      </c>
      <c r="SM384" s="12" t="s">
        <v>37</v>
      </c>
      <c r="SN384" s="12" t="s">
        <v>37</v>
      </c>
      <c r="SO384" s="13" t="s">
        <v>37</v>
      </c>
      <c r="SU384" s="12" t="s">
        <v>37</v>
      </c>
      <c r="SV384" s="12" t="s">
        <v>37</v>
      </c>
      <c r="SW384" s="12" t="s">
        <v>37</v>
      </c>
      <c r="SX384" s="12" t="s">
        <v>37</v>
      </c>
      <c r="SY384" s="12" t="s">
        <v>37</v>
      </c>
      <c r="SZ384" s="12" t="s">
        <v>37</v>
      </c>
      <c r="TA384" s="12"/>
      <c r="TB384" s="12"/>
      <c r="TE384" s="12" t="s">
        <v>37</v>
      </c>
      <c r="TF384" s="12" t="s">
        <v>37</v>
      </c>
      <c r="TG384" s="12" t="s">
        <v>37</v>
      </c>
      <c r="TH384" s="12" t="s">
        <v>37</v>
      </c>
      <c r="TI384" s="12" t="s">
        <v>37</v>
      </c>
      <c r="TJ384" s="12" t="s">
        <v>37</v>
      </c>
      <c r="TK384" s="12"/>
      <c r="TL384" s="12"/>
      <c r="TO384" s="12" t="s">
        <v>37</v>
      </c>
      <c r="TP384" s="12" t="s">
        <v>37</v>
      </c>
      <c r="TQ384" s="12" t="s">
        <v>37</v>
      </c>
      <c r="TR384" s="12" t="s">
        <v>37</v>
      </c>
      <c r="TS384" s="12" t="s">
        <v>37</v>
      </c>
      <c r="TT384" s="12" t="s">
        <v>37</v>
      </c>
      <c r="TU384" s="12"/>
      <c r="TV384" s="12"/>
      <c r="TY384" s="12" t="s">
        <v>37</v>
      </c>
      <c r="TZ384" s="12" t="s">
        <v>37</v>
      </c>
      <c r="UA384" s="12" t="s">
        <v>37</v>
      </c>
      <c r="UB384" s="12" t="s">
        <v>37</v>
      </c>
      <c r="UC384" s="12" t="s">
        <v>37</v>
      </c>
      <c r="UD384" s="12" t="s">
        <v>37</v>
      </c>
      <c r="UE384" s="12"/>
      <c r="UF384" s="12"/>
      <c r="UI384" s="12" t="s">
        <v>37</v>
      </c>
      <c r="UJ384" s="12" t="s">
        <v>37</v>
      </c>
      <c r="UK384" s="12" t="s">
        <v>37</v>
      </c>
      <c r="UL384" s="12" t="s">
        <v>37</v>
      </c>
      <c r="UM384" s="12" t="s">
        <v>37</v>
      </c>
      <c r="UN384" s="12" t="s">
        <v>37</v>
      </c>
      <c r="UO384" s="12"/>
      <c r="UP384" s="12"/>
      <c r="UR384" s="12" t="s">
        <v>37</v>
      </c>
      <c r="US384" s="12" t="s">
        <v>37</v>
      </c>
      <c r="UT384" s="12" t="s">
        <v>37</v>
      </c>
      <c r="UU384" s="12" t="s">
        <v>37</v>
      </c>
      <c r="UV384" s="12" t="s">
        <v>37</v>
      </c>
      <c r="UW384" s="12" t="s">
        <v>37</v>
      </c>
      <c r="UX384" s="12"/>
      <c r="UY384" s="12"/>
      <c r="VB384" s="12" t="s">
        <v>37</v>
      </c>
      <c r="VC384" s="12" t="s">
        <v>37</v>
      </c>
      <c r="VD384" s="12" t="s">
        <v>37</v>
      </c>
      <c r="VE384" s="12" t="s">
        <v>37</v>
      </c>
      <c r="VF384" s="12" t="s">
        <v>37</v>
      </c>
      <c r="VG384" s="12" t="s">
        <v>37</v>
      </c>
      <c r="VI384" s="12" t="s">
        <v>37</v>
      </c>
      <c r="VJ384" s="12" t="s">
        <v>37</v>
      </c>
      <c r="VK384" s="12" t="s">
        <v>37</v>
      </c>
      <c r="VL384" s="12" t="s">
        <v>37</v>
      </c>
      <c r="VM384" s="12" t="s">
        <v>37</v>
      </c>
      <c r="VN384" s="12" t="s">
        <v>37</v>
      </c>
      <c r="VQ384" s="12" t="s">
        <v>37</v>
      </c>
      <c r="VR384" s="12" t="s">
        <v>37</v>
      </c>
      <c r="VS384" s="12" t="s">
        <v>37</v>
      </c>
      <c r="VT384" s="12" t="s">
        <v>37</v>
      </c>
      <c r="VU384" s="12" t="s">
        <v>37</v>
      </c>
      <c r="VV384" s="12" t="s">
        <v>37</v>
      </c>
      <c r="VW384" s="12"/>
      <c r="VX384" s="12"/>
      <c r="WA384" s="12" t="s">
        <v>37</v>
      </c>
      <c r="WB384" s="12" t="s">
        <v>37</v>
      </c>
      <c r="WC384" s="12" t="s">
        <v>37</v>
      </c>
      <c r="WD384" s="12" t="s">
        <v>37</v>
      </c>
      <c r="WE384" s="12" t="s">
        <v>37</v>
      </c>
      <c r="WF384" s="12" t="s">
        <v>37</v>
      </c>
    </row>
    <row r="385" spans="1:606" ht="18" customHeight="1" x14ac:dyDescent="0.3">
      <c r="A385" s="11">
        <v>79</v>
      </c>
      <c r="B385" s="16" t="s">
        <v>454</v>
      </c>
      <c r="C385" s="12" t="s">
        <v>32</v>
      </c>
      <c r="D385" s="12" t="s">
        <v>1039</v>
      </c>
      <c r="E385" s="40">
        <f t="shared" si="1372"/>
        <v>5.15</v>
      </c>
      <c r="F385" s="14">
        <v>0</v>
      </c>
      <c r="G385" s="14">
        <v>0</v>
      </c>
      <c r="H385" s="12" t="s">
        <v>79</v>
      </c>
      <c r="I385" s="29">
        <v>32.799999999999997</v>
      </c>
      <c r="J385" s="29">
        <v>102.55</v>
      </c>
      <c r="K385" s="12" t="s">
        <v>690</v>
      </c>
      <c r="L385" s="12" t="s">
        <v>691</v>
      </c>
      <c r="M385" s="13">
        <v>3500</v>
      </c>
      <c r="N385" s="14">
        <v>0.9</v>
      </c>
      <c r="O385" s="14">
        <v>744</v>
      </c>
      <c r="P385" s="14" t="s">
        <v>16</v>
      </c>
      <c r="Q385" s="75">
        <v>2.5</v>
      </c>
      <c r="R385" s="11" t="s">
        <v>37</v>
      </c>
      <c r="S385" s="12" t="s">
        <v>85</v>
      </c>
      <c r="T385" s="12" t="s">
        <v>138</v>
      </c>
      <c r="U385" s="12" t="s">
        <v>158</v>
      </c>
      <c r="V385" s="12" t="s">
        <v>275</v>
      </c>
      <c r="W385" s="23" t="s">
        <v>353</v>
      </c>
      <c r="X385" s="12" t="s">
        <v>280</v>
      </c>
      <c r="Y385" s="12" t="s">
        <v>37</v>
      </c>
      <c r="Z385" s="12" t="s">
        <v>37</v>
      </c>
      <c r="AA385" s="32" t="s">
        <v>345</v>
      </c>
      <c r="AB385" s="12">
        <v>6.7</v>
      </c>
      <c r="AC385" s="12" t="s">
        <v>42</v>
      </c>
      <c r="AD385" s="32" t="s">
        <v>345</v>
      </c>
      <c r="AE385" s="12">
        <v>350</v>
      </c>
      <c r="AF385" s="12" t="s">
        <v>42</v>
      </c>
      <c r="AG385" s="32" t="s">
        <v>345</v>
      </c>
      <c r="AH385" s="12">
        <v>15</v>
      </c>
      <c r="AJ385" s="12" t="str">
        <f t="shared" si="1373"/>
        <v>0-10</v>
      </c>
      <c r="AK385" s="19">
        <f t="shared" si="1374"/>
        <v>23.333333333333332</v>
      </c>
      <c r="AL385" s="32" t="s">
        <v>647</v>
      </c>
      <c r="AM385" s="12" t="s">
        <v>321</v>
      </c>
      <c r="AN385" s="32" t="s">
        <v>896</v>
      </c>
      <c r="AO385" s="12" t="s">
        <v>37</v>
      </c>
      <c r="AP385" s="12" t="s">
        <v>238</v>
      </c>
      <c r="AQ385" s="12" t="s">
        <v>975</v>
      </c>
      <c r="AR385" s="12" t="s">
        <v>42</v>
      </c>
      <c r="AS385" s="32" t="s">
        <v>345</v>
      </c>
      <c r="AT385" s="12">
        <v>350</v>
      </c>
      <c r="AU385" s="50">
        <f t="shared" si="1365"/>
        <v>29.93450076866338</v>
      </c>
      <c r="AV385" s="13">
        <v>6</v>
      </c>
      <c r="AX385" s="12" t="s">
        <v>326</v>
      </c>
      <c r="AY385" s="12" t="s">
        <v>326</v>
      </c>
      <c r="AZ385" s="13" t="s">
        <v>326</v>
      </c>
      <c r="BE385" s="12" t="s">
        <v>326</v>
      </c>
      <c r="BF385" s="12" t="s">
        <v>326</v>
      </c>
      <c r="BG385" s="12" t="s">
        <v>326</v>
      </c>
      <c r="BI385" s="12" t="s">
        <v>326</v>
      </c>
      <c r="BJ385" s="12" t="s">
        <v>326</v>
      </c>
      <c r="BK385" s="12" t="s">
        <v>326</v>
      </c>
      <c r="BP385" s="12" t="s">
        <v>37</v>
      </c>
      <c r="BQ385" s="12" t="s">
        <v>37</v>
      </c>
      <c r="BR385" s="13" t="s">
        <v>37</v>
      </c>
      <c r="BT385" s="12" t="s">
        <v>37</v>
      </c>
      <c r="BU385" s="12" t="s">
        <v>37</v>
      </c>
      <c r="BV385" s="12" t="s">
        <v>37</v>
      </c>
      <c r="CA385" s="12" t="s">
        <v>37</v>
      </c>
      <c r="CB385" s="12" t="s">
        <v>37</v>
      </c>
      <c r="CC385" s="13" t="s">
        <v>37</v>
      </c>
      <c r="CE385" s="12" t="s">
        <v>37</v>
      </c>
      <c r="CF385" s="12" t="s">
        <v>37</v>
      </c>
      <c r="CG385" s="12" t="s">
        <v>37</v>
      </c>
      <c r="CI385" s="13"/>
      <c r="CJ385" s="13"/>
      <c r="CN385" s="12" t="s">
        <v>37</v>
      </c>
      <c r="CO385" s="12" t="s">
        <v>37</v>
      </c>
      <c r="CP385" s="13" t="s">
        <v>37</v>
      </c>
      <c r="CR385" s="12" t="s">
        <v>37</v>
      </c>
      <c r="CS385" s="12" t="s">
        <v>37</v>
      </c>
      <c r="CT385" s="13" t="s">
        <v>37</v>
      </c>
      <c r="CV385" s="13"/>
      <c r="CW385" s="13"/>
      <c r="CX385" s="72"/>
      <c r="CY385" s="72"/>
      <c r="DA385" s="12" t="s">
        <v>37</v>
      </c>
      <c r="DB385" s="12" t="s">
        <v>37</v>
      </c>
      <c r="DC385" s="13" t="s">
        <v>37</v>
      </c>
      <c r="DE385" s="12" t="s">
        <v>37</v>
      </c>
      <c r="DF385" s="12" t="s">
        <v>37</v>
      </c>
      <c r="DG385" s="12" t="s">
        <v>37</v>
      </c>
      <c r="DN385" s="19" t="s">
        <v>37</v>
      </c>
      <c r="DO385" s="12" t="s">
        <v>37</v>
      </c>
      <c r="DP385" s="13" t="s">
        <v>37</v>
      </c>
      <c r="DR385" s="19" t="s">
        <v>37</v>
      </c>
      <c r="DS385" s="12" t="s">
        <v>37</v>
      </c>
      <c r="DT385" s="13" t="s">
        <v>37</v>
      </c>
      <c r="EA385" s="19" t="s">
        <v>37</v>
      </c>
      <c r="EB385" s="19" t="s">
        <v>37</v>
      </c>
      <c r="EC385" s="72" t="s">
        <v>37</v>
      </c>
      <c r="EE385" s="19" t="s">
        <v>37</v>
      </c>
      <c r="EF385" s="19" t="s">
        <v>37</v>
      </c>
      <c r="EG385" s="12" t="s">
        <v>37</v>
      </c>
      <c r="EN385" s="12" t="s">
        <v>37</v>
      </c>
      <c r="EO385" s="12" t="s">
        <v>37</v>
      </c>
      <c r="EP385" s="13" t="s">
        <v>37</v>
      </c>
      <c r="ER385" s="12" t="s">
        <v>37</v>
      </c>
      <c r="ES385" s="12" t="s">
        <v>37</v>
      </c>
      <c r="ET385" s="13" t="s">
        <v>37</v>
      </c>
      <c r="FB385" s="12" t="s">
        <v>37</v>
      </c>
      <c r="FC385" s="12" t="s">
        <v>37</v>
      </c>
      <c r="FD385" s="12" t="s">
        <v>37</v>
      </c>
      <c r="FE385" s="12" t="s">
        <v>37</v>
      </c>
      <c r="FF385" s="20" t="s">
        <v>37</v>
      </c>
      <c r="FG385" s="12" t="s">
        <v>37</v>
      </c>
      <c r="FI385" s="12" t="s">
        <v>37</v>
      </c>
      <c r="FJ385" s="12" t="s">
        <v>37</v>
      </c>
      <c r="FK385" s="12" t="s">
        <v>37</v>
      </c>
      <c r="FL385" s="12" t="s">
        <v>37</v>
      </c>
      <c r="FM385" s="12" t="s">
        <v>37</v>
      </c>
      <c r="FN385" s="12" t="s">
        <v>37</v>
      </c>
      <c r="FP385" s="12" t="s">
        <v>37</v>
      </c>
      <c r="FQ385" s="12" t="s">
        <v>37</v>
      </c>
      <c r="FR385" s="12" t="s">
        <v>37</v>
      </c>
      <c r="FS385" s="12" t="s">
        <v>37</v>
      </c>
      <c r="FT385" s="12" t="s">
        <v>37</v>
      </c>
      <c r="FU385" s="12" t="s">
        <v>37</v>
      </c>
      <c r="FW385" s="12" t="s">
        <v>37</v>
      </c>
      <c r="FX385" s="12" t="s">
        <v>37</v>
      </c>
      <c r="FY385" s="12" t="s">
        <v>37</v>
      </c>
      <c r="FZ385" s="12" t="s">
        <v>37</v>
      </c>
      <c r="GA385" s="12" t="s">
        <v>37</v>
      </c>
      <c r="GB385" s="12" t="s">
        <v>37</v>
      </c>
      <c r="IK385" s="12" t="s">
        <v>37</v>
      </c>
      <c r="IL385" s="12" t="s">
        <v>37</v>
      </c>
      <c r="IM385" s="12" t="s">
        <v>37</v>
      </c>
      <c r="IO385" s="12" t="s">
        <v>37</v>
      </c>
      <c r="IP385" s="12" t="s">
        <v>37</v>
      </c>
      <c r="IQ385" s="12" t="s">
        <v>37</v>
      </c>
      <c r="IV385" s="32" t="s">
        <v>345</v>
      </c>
      <c r="IW385" s="12">
        <v>6.7</v>
      </c>
      <c r="IX385" s="50">
        <f t="shared" si="1366"/>
        <v>0.24530537560775503</v>
      </c>
      <c r="IY385" s="13">
        <v>6</v>
      </c>
      <c r="JH385" s="12" t="s">
        <v>37</v>
      </c>
      <c r="JI385" s="12" t="s">
        <v>37</v>
      </c>
      <c r="JJ385" s="13" t="s">
        <v>37</v>
      </c>
      <c r="JL385" s="12" t="s">
        <v>37</v>
      </c>
      <c r="JM385" s="12" t="s">
        <v>37</v>
      </c>
      <c r="JN385" s="12" t="s">
        <v>37</v>
      </c>
      <c r="JS385" s="12" t="s">
        <v>37</v>
      </c>
      <c r="JT385" s="12" t="s">
        <v>37</v>
      </c>
      <c r="JU385" s="13" t="s">
        <v>37</v>
      </c>
      <c r="JW385" s="12" t="s">
        <v>37</v>
      </c>
      <c r="JX385" s="12" t="s">
        <v>37</v>
      </c>
      <c r="JY385" s="12" t="s">
        <v>37</v>
      </c>
      <c r="KE385" s="12" t="s">
        <v>37</v>
      </c>
      <c r="KF385" s="12" t="s">
        <v>37</v>
      </c>
      <c r="KG385" s="13" t="s">
        <v>37</v>
      </c>
      <c r="KH385" s="12" t="s">
        <v>37</v>
      </c>
      <c r="KI385" s="12" t="s">
        <v>37</v>
      </c>
      <c r="KJ385" s="12" t="s">
        <v>37</v>
      </c>
      <c r="KK385" s="12" t="s">
        <v>42</v>
      </c>
      <c r="KL385" s="32" t="s">
        <v>345</v>
      </c>
      <c r="KM385" s="12">
        <v>15</v>
      </c>
      <c r="KN385" s="50">
        <f t="shared" si="1367"/>
        <v>1.7893956207728923</v>
      </c>
      <c r="KO385" s="11">
        <v>6</v>
      </c>
      <c r="KS385" s="12"/>
      <c r="KX385" s="12" t="s">
        <v>37</v>
      </c>
      <c r="KY385" s="12" t="s">
        <v>37</v>
      </c>
      <c r="KZ385" s="12" t="s">
        <v>37</v>
      </c>
      <c r="LB385" s="12" t="s">
        <v>37</v>
      </c>
      <c r="LC385" s="12" t="s">
        <v>37</v>
      </c>
      <c r="LD385" s="12" t="s">
        <v>37</v>
      </c>
      <c r="LI385" s="12" t="s">
        <v>37</v>
      </c>
      <c r="LJ385" s="12" t="s">
        <v>37</v>
      </c>
      <c r="LK385" s="12" t="s">
        <v>37</v>
      </c>
      <c r="LM385" s="12" t="s">
        <v>37</v>
      </c>
      <c r="LN385" s="12" t="s">
        <v>37</v>
      </c>
      <c r="LO385" s="12" t="s">
        <v>37</v>
      </c>
      <c r="LT385" s="12" t="str">
        <f t="shared" si="1368"/>
        <v>0-10</v>
      </c>
      <c r="LU385" s="12">
        <f t="shared" si="1369"/>
        <v>23.333333333333332</v>
      </c>
      <c r="LV385" s="12">
        <f t="shared" si="1370"/>
        <v>3.4249742755356465</v>
      </c>
      <c r="LW385" s="13">
        <f t="shared" si="1371"/>
        <v>6</v>
      </c>
      <c r="MF385" s="12" t="s">
        <v>37</v>
      </c>
      <c r="MG385" s="12" t="s">
        <v>37</v>
      </c>
      <c r="MH385" s="12" t="s">
        <v>37</v>
      </c>
      <c r="MJ385" s="12" t="s">
        <v>37</v>
      </c>
      <c r="MK385" s="12" t="s">
        <v>37</v>
      </c>
      <c r="ML385" s="12" t="s">
        <v>37</v>
      </c>
      <c r="MQ385" s="12" t="s">
        <v>37</v>
      </c>
      <c r="MR385" s="12" t="s">
        <v>37</v>
      </c>
      <c r="MS385" s="12" t="s">
        <v>37</v>
      </c>
      <c r="MU385" s="12" t="s">
        <v>37</v>
      </c>
      <c r="MV385" s="12" t="s">
        <v>37</v>
      </c>
      <c r="MW385" s="12" t="s">
        <v>37</v>
      </c>
      <c r="NC385" s="12" t="s">
        <v>37</v>
      </c>
      <c r="ND385" s="12" t="s">
        <v>37</v>
      </c>
      <c r="NE385" s="12" t="s">
        <v>37</v>
      </c>
      <c r="NG385" s="12" t="s">
        <v>37</v>
      </c>
      <c r="NH385" s="12" t="s">
        <v>37</v>
      </c>
      <c r="NI385" s="12" t="s">
        <v>37</v>
      </c>
      <c r="NO385" s="12" t="s">
        <v>37</v>
      </c>
      <c r="NP385" s="12" t="s">
        <v>37</v>
      </c>
      <c r="NQ385" s="12" t="s">
        <v>37</v>
      </c>
      <c r="NS385" s="12" t="s">
        <v>37</v>
      </c>
      <c r="NT385" s="12" t="s">
        <v>37</v>
      </c>
      <c r="NU385" s="12" t="s">
        <v>37</v>
      </c>
      <c r="OA385" s="12" t="s">
        <v>37</v>
      </c>
      <c r="OB385" s="12" t="s">
        <v>37</v>
      </c>
      <c r="OC385" s="12" t="s">
        <v>37</v>
      </c>
      <c r="OD385" s="12"/>
      <c r="OE385" s="12" t="s">
        <v>37</v>
      </c>
      <c r="OF385" s="12" t="s">
        <v>37</v>
      </c>
      <c r="OG385" s="12" t="s">
        <v>37</v>
      </c>
      <c r="OH385" s="12"/>
      <c r="OI385" s="12"/>
      <c r="OJ385" s="12"/>
      <c r="OM385" s="12" t="s">
        <v>37</v>
      </c>
      <c r="ON385" s="12" t="s">
        <v>37</v>
      </c>
      <c r="OO385" s="12" t="s">
        <v>37</v>
      </c>
      <c r="OP385" s="12" t="s">
        <v>37</v>
      </c>
      <c r="OQ385" s="12" t="s">
        <v>37</v>
      </c>
      <c r="OR385" s="12" t="s">
        <v>37</v>
      </c>
      <c r="OS385" s="12"/>
      <c r="OT385" s="12"/>
      <c r="OW385" s="12" t="s">
        <v>37</v>
      </c>
      <c r="OX385" s="12" t="s">
        <v>37</v>
      </c>
      <c r="OY385" s="13" t="s">
        <v>37</v>
      </c>
      <c r="OZ385" s="12" t="s">
        <v>37</v>
      </c>
      <c r="PA385" s="12" t="s">
        <v>37</v>
      </c>
      <c r="PB385" s="13" t="s">
        <v>37</v>
      </c>
      <c r="PG385" s="12" t="s">
        <v>37</v>
      </c>
      <c r="PH385" s="12" t="s">
        <v>37</v>
      </c>
      <c r="PI385" s="12" t="s">
        <v>37</v>
      </c>
      <c r="PJ385" s="12" t="s">
        <v>37</v>
      </c>
      <c r="PK385" s="12" t="s">
        <v>37</v>
      </c>
      <c r="PL385" s="12" t="s">
        <v>37</v>
      </c>
      <c r="PM385" s="12"/>
      <c r="PN385" s="12"/>
      <c r="PQ385" s="12" t="s">
        <v>37</v>
      </c>
      <c r="PR385" s="12" t="s">
        <v>37</v>
      </c>
      <c r="PS385" s="12" t="s">
        <v>37</v>
      </c>
      <c r="PT385" s="12" t="s">
        <v>37</v>
      </c>
      <c r="PU385" s="12" t="s">
        <v>37</v>
      </c>
      <c r="PV385" s="12" t="s">
        <v>37</v>
      </c>
      <c r="PW385" s="12"/>
      <c r="PX385" s="12"/>
      <c r="PZ385" s="12" t="s">
        <v>37</v>
      </c>
      <c r="QA385" s="12" t="s">
        <v>37</v>
      </c>
      <c r="QB385" s="12" t="s">
        <v>37</v>
      </c>
      <c r="QD385" s="12" t="s">
        <v>37</v>
      </c>
      <c r="QE385" s="12" t="s">
        <v>37</v>
      </c>
      <c r="QF385" s="12" t="s">
        <v>37</v>
      </c>
      <c r="QK385" s="12" t="s">
        <v>37</v>
      </c>
      <c r="QL385" s="12" t="s">
        <v>37</v>
      </c>
      <c r="QM385" s="12" t="s">
        <v>37</v>
      </c>
      <c r="QN385" s="12" t="s">
        <v>37</v>
      </c>
      <c r="QO385" s="12" t="s">
        <v>37</v>
      </c>
      <c r="QP385" s="12" t="s">
        <v>37</v>
      </c>
      <c r="QQ385" s="12"/>
      <c r="QR385" s="12"/>
      <c r="QU385" s="12" t="s">
        <v>37</v>
      </c>
      <c r="QV385" s="12" t="s">
        <v>37</v>
      </c>
      <c r="QW385" s="12" t="s">
        <v>37</v>
      </c>
      <c r="QX385" s="12" t="s">
        <v>37</v>
      </c>
      <c r="QY385" s="12" t="s">
        <v>37</v>
      </c>
      <c r="QZ385" s="12" t="s">
        <v>37</v>
      </c>
      <c r="RC385" s="12" t="s">
        <v>37</v>
      </c>
      <c r="RD385" s="12" t="s">
        <v>37</v>
      </c>
      <c r="RE385" s="13" t="s">
        <v>37</v>
      </c>
      <c r="RF385" s="12" t="s">
        <v>37</v>
      </c>
      <c r="RG385" s="12" t="s">
        <v>37</v>
      </c>
      <c r="RH385" s="13" t="s">
        <v>37</v>
      </c>
      <c r="RK385" s="12" t="s">
        <v>37</v>
      </c>
      <c r="RL385" s="12" t="s">
        <v>37</v>
      </c>
      <c r="RM385" s="11" t="s">
        <v>37</v>
      </c>
      <c r="RN385" s="12" t="s">
        <v>37</v>
      </c>
      <c r="RO385" s="12" t="s">
        <v>37</v>
      </c>
      <c r="RP385" s="11" t="s">
        <v>37</v>
      </c>
      <c r="RS385" s="12" t="s">
        <v>37</v>
      </c>
      <c r="RT385" s="12" t="s">
        <v>37</v>
      </c>
      <c r="RU385" s="12" t="s">
        <v>37</v>
      </c>
      <c r="RV385" s="12" t="s">
        <v>37</v>
      </c>
      <c r="RW385" s="12" t="s">
        <v>37</v>
      </c>
      <c r="RX385" s="12" t="s">
        <v>37</v>
      </c>
      <c r="SA385" s="12" t="s">
        <v>37</v>
      </c>
      <c r="SB385" s="12" t="s">
        <v>37</v>
      </c>
      <c r="SC385" s="12" t="s">
        <v>37</v>
      </c>
      <c r="SD385" s="12" t="s">
        <v>37</v>
      </c>
      <c r="SE385" s="12" t="s">
        <v>37</v>
      </c>
      <c r="SF385" s="12" t="s">
        <v>37</v>
      </c>
      <c r="SI385" s="12" t="s">
        <v>37</v>
      </c>
      <c r="SJ385" s="12" t="s">
        <v>37</v>
      </c>
      <c r="SK385" s="13" t="s">
        <v>37</v>
      </c>
      <c r="SM385" s="12" t="s">
        <v>37</v>
      </c>
      <c r="SN385" s="12" t="s">
        <v>37</v>
      </c>
      <c r="SO385" s="13" t="s">
        <v>37</v>
      </c>
      <c r="SU385" s="12" t="s">
        <v>37</v>
      </c>
      <c r="SV385" s="12" t="s">
        <v>37</v>
      </c>
      <c r="SW385" s="12" t="s">
        <v>37</v>
      </c>
      <c r="SX385" s="12" t="s">
        <v>37</v>
      </c>
      <c r="SY385" s="12" t="s">
        <v>37</v>
      </c>
      <c r="SZ385" s="12" t="s">
        <v>37</v>
      </c>
      <c r="TA385" s="12"/>
      <c r="TB385" s="12"/>
      <c r="TE385" s="12" t="s">
        <v>37</v>
      </c>
      <c r="TF385" s="12" t="s">
        <v>37</v>
      </c>
      <c r="TG385" s="12" t="s">
        <v>37</v>
      </c>
      <c r="TH385" s="12" t="s">
        <v>37</v>
      </c>
      <c r="TI385" s="12" t="s">
        <v>37</v>
      </c>
      <c r="TJ385" s="12" t="s">
        <v>37</v>
      </c>
      <c r="TK385" s="12"/>
      <c r="TL385" s="12"/>
      <c r="TO385" s="12" t="s">
        <v>37</v>
      </c>
      <c r="TP385" s="12" t="s">
        <v>37</v>
      </c>
      <c r="TQ385" s="12" t="s">
        <v>37</v>
      </c>
      <c r="TR385" s="12" t="s">
        <v>37</v>
      </c>
      <c r="TS385" s="12" t="s">
        <v>37</v>
      </c>
      <c r="TT385" s="12" t="s">
        <v>37</v>
      </c>
      <c r="TU385" s="12"/>
      <c r="TV385" s="12"/>
      <c r="TY385" s="12" t="s">
        <v>37</v>
      </c>
      <c r="TZ385" s="12" t="s">
        <v>37</v>
      </c>
      <c r="UA385" s="12" t="s">
        <v>37</v>
      </c>
      <c r="UB385" s="12" t="s">
        <v>37</v>
      </c>
      <c r="UC385" s="12" t="s">
        <v>37</v>
      </c>
      <c r="UD385" s="12" t="s">
        <v>37</v>
      </c>
      <c r="UE385" s="12"/>
      <c r="UF385" s="12"/>
      <c r="UI385" s="12" t="s">
        <v>37</v>
      </c>
      <c r="UJ385" s="12" t="s">
        <v>37</v>
      </c>
      <c r="UK385" s="12" t="s">
        <v>37</v>
      </c>
      <c r="UL385" s="12" t="s">
        <v>37</v>
      </c>
      <c r="UM385" s="12" t="s">
        <v>37</v>
      </c>
      <c r="UN385" s="12" t="s">
        <v>37</v>
      </c>
      <c r="UO385" s="12"/>
      <c r="UP385" s="12"/>
      <c r="UR385" s="12" t="s">
        <v>37</v>
      </c>
      <c r="US385" s="12" t="s">
        <v>37</v>
      </c>
      <c r="UT385" s="12" t="s">
        <v>37</v>
      </c>
      <c r="UU385" s="12" t="s">
        <v>37</v>
      </c>
      <c r="UV385" s="12" t="s">
        <v>37</v>
      </c>
      <c r="UW385" s="12" t="s">
        <v>37</v>
      </c>
      <c r="UX385" s="12"/>
      <c r="UY385" s="12"/>
      <c r="VB385" s="12" t="s">
        <v>37</v>
      </c>
      <c r="VC385" s="12" t="s">
        <v>37</v>
      </c>
      <c r="VD385" s="12" t="s">
        <v>37</v>
      </c>
      <c r="VE385" s="12" t="s">
        <v>37</v>
      </c>
      <c r="VF385" s="12" t="s">
        <v>37</v>
      </c>
      <c r="VG385" s="12" t="s">
        <v>37</v>
      </c>
      <c r="VI385" s="12" t="s">
        <v>37</v>
      </c>
      <c r="VJ385" s="12" t="s">
        <v>37</v>
      </c>
      <c r="VK385" s="12" t="s">
        <v>37</v>
      </c>
      <c r="VL385" s="12" t="s">
        <v>37</v>
      </c>
      <c r="VM385" s="12" t="s">
        <v>37</v>
      </c>
      <c r="VN385" s="12" t="s">
        <v>37</v>
      </c>
      <c r="VQ385" s="12" t="s">
        <v>37</v>
      </c>
      <c r="VR385" s="12" t="s">
        <v>37</v>
      </c>
      <c r="VS385" s="12" t="s">
        <v>37</v>
      </c>
      <c r="VT385" s="12" t="s">
        <v>37</v>
      </c>
      <c r="VU385" s="12" t="s">
        <v>37</v>
      </c>
      <c r="VV385" s="12" t="s">
        <v>37</v>
      </c>
      <c r="VW385" s="12"/>
      <c r="VX385" s="12"/>
      <c r="WA385" s="12" t="s">
        <v>37</v>
      </c>
      <c r="WB385" s="12" t="s">
        <v>37</v>
      </c>
      <c r="WC385" s="12" t="s">
        <v>37</v>
      </c>
      <c r="WD385" s="12" t="s">
        <v>37</v>
      </c>
      <c r="WE385" s="12" t="s">
        <v>37</v>
      </c>
      <c r="WF385" s="12" t="s">
        <v>37</v>
      </c>
    </row>
    <row r="386" spans="1:606" ht="18" customHeight="1" x14ac:dyDescent="0.3">
      <c r="A386" s="11">
        <v>79</v>
      </c>
      <c r="B386" s="16" t="s">
        <v>454</v>
      </c>
      <c r="C386" s="12" t="s">
        <v>31</v>
      </c>
      <c r="D386" s="12" t="s">
        <v>1039</v>
      </c>
      <c r="E386" s="40">
        <f t="shared" si="1372"/>
        <v>5.15</v>
      </c>
      <c r="F386" s="14">
        <v>0</v>
      </c>
      <c r="G386" s="14">
        <v>0</v>
      </c>
      <c r="H386" s="12" t="s">
        <v>79</v>
      </c>
      <c r="I386" s="29">
        <v>32.799999999999997</v>
      </c>
      <c r="J386" s="29">
        <v>102.55</v>
      </c>
      <c r="K386" s="12" t="s">
        <v>690</v>
      </c>
      <c r="L386" s="12" t="s">
        <v>691</v>
      </c>
      <c r="M386" s="13">
        <v>3500</v>
      </c>
      <c r="N386" s="14">
        <v>0.9</v>
      </c>
      <c r="O386" s="14">
        <v>744</v>
      </c>
      <c r="P386" s="14" t="s">
        <v>16</v>
      </c>
      <c r="Q386" s="75">
        <v>3.5</v>
      </c>
      <c r="R386" s="11" t="s">
        <v>37</v>
      </c>
      <c r="S386" s="12" t="s">
        <v>85</v>
      </c>
      <c r="T386" s="12" t="s">
        <v>138</v>
      </c>
      <c r="U386" s="12" t="s">
        <v>158</v>
      </c>
      <c r="V386" s="12" t="s">
        <v>275</v>
      </c>
      <c r="W386" s="23" t="s">
        <v>353</v>
      </c>
      <c r="X386" s="12" t="s">
        <v>280</v>
      </c>
      <c r="Y386" s="12" t="s">
        <v>37</v>
      </c>
      <c r="Z386" s="12" t="s">
        <v>37</v>
      </c>
      <c r="AA386" s="32" t="s">
        <v>345</v>
      </c>
      <c r="AB386" s="12">
        <v>6.7</v>
      </c>
      <c r="AC386" s="12" t="s">
        <v>42</v>
      </c>
      <c r="AD386" s="32" t="s">
        <v>345</v>
      </c>
      <c r="AE386" s="12">
        <v>350</v>
      </c>
      <c r="AF386" s="12" t="s">
        <v>42</v>
      </c>
      <c r="AG386" s="32" t="s">
        <v>345</v>
      </c>
      <c r="AH386" s="12">
        <v>15</v>
      </c>
      <c r="AJ386" s="12" t="str">
        <f t="shared" si="1373"/>
        <v>0-10</v>
      </c>
      <c r="AK386" s="19">
        <f t="shared" si="1374"/>
        <v>23.333333333333332</v>
      </c>
      <c r="AL386" s="32" t="s">
        <v>647</v>
      </c>
      <c r="AM386" s="12" t="s">
        <v>321</v>
      </c>
      <c r="AN386" s="32" t="s">
        <v>896</v>
      </c>
      <c r="AO386" s="12" t="s">
        <v>37</v>
      </c>
      <c r="AP386" s="12" t="s">
        <v>238</v>
      </c>
      <c r="AQ386" s="12" t="s">
        <v>975</v>
      </c>
      <c r="AR386" s="12" t="s">
        <v>42</v>
      </c>
      <c r="AS386" s="32" t="s">
        <v>345</v>
      </c>
      <c r="AT386" s="12">
        <v>350</v>
      </c>
      <c r="AU386" s="50">
        <f t="shared" si="1365"/>
        <v>29.93450076866338</v>
      </c>
      <c r="AV386" s="13">
        <v>6</v>
      </c>
      <c r="AX386" s="12" t="s">
        <v>326</v>
      </c>
      <c r="AY386" s="12" t="s">
        <v>326</v>
      </c>
      <c r="AZ386" s="13" t="s">
        <v>326</v>
      </c>
      <c r="BE386" s="12" t="s">
        <v>326</v>
      </c>
      <c r="BF386" s="12" t="s">
        <v>326</v>
      </c>
      <c r="BG386" s="12" t="s">
        <v>326</v>
      </c>
      <c r="BI386" s="12" t="s">
        <v>326</v>
      </c>
      <c r="BJ386" s="12" t="s">
        <v>326</v>
      </c>
      <c r="BK386" s="12" t="s">
        <v>326</v>
      </c>
      <c r="BP386" s="12" t="s">
        <v>37</v>
      </c>
      <c r="BQ386" s="12" t="s">
        <v>37</v>
      </c>
      <c r="BR386" s="13" t="s">
        <v>37</v>
      </c>
      <c r="BT386" s="12" t="s">
        <v>37</v>
      </c>
      <c r="BU386" s="12" t="s">
        <v>37</v>
      </c>
      <c r="BV386" s="12" t="s">
        <v>37</v>
      </c>
      <c r="CA386" s="12" t="s">
        <v>37</v>
      </c>
      <c r="CB386" s="12" t="s">
        <v>37</v>
      </c>
      <c r="CC386" s="13" t="s">
        <v>37</v>
      </c>
      <c r="CE386" s="12" t="s">
        <v>37</v>
      </c>
      <c r="CF386" s="12" t="s">
        <v>37</v>
      </c>
      <c r="CG386" s="12" t="s">
        <v>37</v>
      </c>
      <c r="CI386" s="13"/>
      <c r="CJ386" s="13"/>
      <c r="CN386" s="12" t="s">
        <v>37</v>
      </c>
      <c r="CO386" s="12" t="s">
        <v>37</v>
      </c>
      <c r="CP386" s="13" t="s">
        <v>37</v>
      </c>
      <c r="CR386" s="12" t="s">
        <v>37</v>
      </c>
      <c r="CS386" s="12" t="s">
        <v>37</v>
      </c>
      <c r="CT386" s="13" t="s">
        <v>37</v>
      </c>
      <c r="CV386" s="13"/>
      <c r="CW386" s="13"/>
      <c r="CX386" s="72"/>
      <c r="CY386" s="72"/>
      <c r="DA386" s="12" t="s">
        <v>37</v>
      </c>
      <c r="DB386" s="12" t="s">
        <v>37</v>
      </c>
      <c r="DC386" s="13" t="s">
        <v>37</v>
      </c>
      <c r="DE386" s="12" t="s">
        <v>37</v>
      </c>
      <c r="DF386" s="12" t="s">
        <v>37</v>
      </c>
      <c r="DG386" s="12" t="s">
        <v>37</v>
      </c>
      <c r="DN386" s="19" t="s">
        <v>37</v>
      </c>
      <c r="DO386" s="12" t="s">
        <v>37</v>
      </c>
      <c r="DP386" s="13" t="s">
        <v>37</v>
      </c>
      <c r="DR386" s="19" t="s">
        <v>37</v>
      </c>
      <c r="DS386" s="12" t="s">
        <v>37</v>
      </c>
      <c r="DT386" s="13" t="s">
        <v>37</v>
      </c>
      <c r="EA386" s="19" t="s">
        <v>37</v>
      </c>
      <c r="EB386" s="19" t="s">
        <v>37</v>
      </c>
      <c r="EC386" s="72" t="s">
        <v>37</v>
      </c>
      <c r="EE386" s="19" t="s">
        <v>37</v>
      </c>
      <c r="EF386" s="19" t="s">
        <v>37</v>
      </c>
      <c r="EG386" s="12" t="s">
        <v>37</v>
      </c>
      <c r="EN386" s="12" t="s">
        <v>37</v>
      </c>
      <c r="EO386" s="12" t="s">
        <v>37</v>
      </c>
      <c r="EP386" s="13" t="s">
        <v>37</v>
      </c>
      <c r="ER386" s="12" t="s">
        <v>37</v>
      </c>
      <c r="ES386" s="12" t="s">
        <v>37</v>
      </c>
      <c r="ET386" s="13" t="s">
        <v>37</v>
      </c>
      <c r="FB386" s="12" t="s">
        <v>37</v>
      </c>
      <c r="FC386" s="12" t="s">
        <v>37</v>
      </c>
      <c r="FD386" s="12" t="s">
        <v>37</v>
      </c>
      <c r="FE386" s="12" t="s">
        <v>37</v>
      </c>
      <c r="FF386" s="20" t="s">
        <v>37</v>
      </c>
      <c r="FG386" s="12" t="s">
        <v>37</v>
      </c>
      <c r="FI386" s="12" t="s">
        <v>37</v>
      </c>
      <c r="FJ386" s="12" t="s">
        <v>37</v>
      </c>
      <c r="FK386" s="12" t="s">
        <v>37</v>
      </c>
      <c r="FL386" s="12" t="s">
        <v>37</v>
      </c>
      <c r="FM386" s="12" t="s">
        <v>37</v>
      </c>
      <c r="FN386" s="12" t="s">
        <v>37</v>
      </c>
      <c r="FP386" s="12" t="s">
        <v>37</v>
      </c>
      <c r="FQ386" s="12" t="s">
        <v>37</v>
      </c>
      <c r="FR386" s="12" t="s">
        <v>37</v>
      </c>
      <c r="FS386" s="12" t="s">
        <v>37</v>
      </c>
      <c r="FT386" s="12" t="s">
        <v>37</v>
      </c>
      <c r="FU386" s="12" t="s">
        <v>37</v>
      </c>
      <c r="FW386" s="12" t="s">
        <v>37</v>
      </c>
      <c r="FX386" s="12" t="s">
        <v>37</v>
      </c>
      <c r="FY386" s="12" t="s">
        <v>37</v>
      </c>
      <c r="FZ386" s="12" t="s">
        <v>37</v>
      </c>
      <c r="GA386" s="12" t="s">
        <v>37</v>
      </c>
      <c r="GB386" s="12" t="s">
        <v>37</v>
      </c>
      <c r="IK386" s="12" t="s">
        <v>37</v>
      </c>
      <c r="IL386" s="12" t="s">
        <v>37</v>
      </c>
      <c r="IM386" s="12" t="s">
        <v>37</v>
      </c>
      <c r="IO386" s="12" t="s">
        <v>37</v>
      </c>
      <c r="IP386" s="12" t="s">
        <v>37</v>
      </c>
      <c r="IQ386" s="12" t="s">
        <v>37</v>
      </c>
      <c r="IV386" s="32" t="s">
        <v>345</v>
      </c>
      <c r="IW386" s="12">
        <v>6.7</v>
      </c>
      <c r="IX386" s="50">
        <f t="shared" si="1366"/>
        <v>0.24530537560775503</v>
      </c>
      <c r="IY386" s="13">
        <v>6</v>
      </c>
      <c r="JH386" s="12" t="s">
        <v>37</v>
      </c>
      <c r="JI386" s="12" t="s">
        <v>37</v>
      </c>
      <c r="JJ386" s="13" t="s">
        <v>37</v>
      </c>
      <c r="JL386" s="12" t="s">
        <v>37</v>
      </c>
      <c r="JM386" s="12" t="s">
        <v>37</v>
      </c>
      <c r="JN386" s="12" t="s">
        <v>37</v>
      </c>
      <c r="JS386" s="12" t="s">
        <v>37</v>
      </c>
      <c r="JT386" s="12" t="s">
        <v>37</v>
      </c>
      <c r="JU386" s="13" t="s">
        <v>37</v>
      </c>
      <c r="JW386" s="12" t="s">
        <v>37</v>
      </c>
      <c r="JX386" s="12" t="s">
        <v>37</v>
      </c>
      <c r="JY386" s="12" t="s">
        <v>37</v>
      </c>
      <c r="KE386" s="12" t="s">
        <v>37</v>
      </c>
      <c r="KF386" s="12" t="s">
        <v>37</v>
      </c>
      <c r="KG386" s="13" t="s">
        <v>37</v>
      </c>
      <c r="KH386" s="12" t="s">
        <v>37</v>
      </c>
      <c r="KI386" s="12" t="s">
        <v>37</v>
      </c>
      <c r="KJ386" s="12" t="s">
        <v>37</v>
      </c>
      <c r="KK386" s="12" t="s">
        <v>42</v>
      </c>
      <c r="KL386" s="32" t="s">
        <v>345</v>
      </c>
      <c r="KM386" s="12">
        <v>15</v>
      </c>
      <c r="KN386" s="50">
        <f t="shared" si="1367"/>
        <v>1.7893956207728923</v>
      </c>
      <c r="KO386" s="11">
        <v>6</v>
      </c>
      <c r="KS386" s="12"/>
      <c r="KX386" s="12" t="s">
        <v>37</v>
      </c>
      <c r="KY386" s="12" t="s">
        <v>37</v>
      </c>
      <c r="KZ386" s="12" t="s">
        <v>37</v>
      </c>
      <c r="LB386" s="12" t="s">
        <v>37</v>
      </c>
      <c r="LC386" s="12" t="s">
        <v>37</v>
      </c>
      <c r="LD386" s="12" t="s">
        <v>37</v>
      </c>
      <c r="LI386" s="12" t="s">
        <v>37</v>
      </c>
      <c r="LJ386" s="12" t="s">
        <v>37</v>
      </c>
      <c r="LK386" s="12" t="s">
        <v>37</v>
      </c>
      <c r="LM386" s="12" t="s">
        <v>37</v>
      </c>
      <c r="LN386" s="12" t="s">
        <v>37</v>
      </c>
      <c r="LO386" s="12" t="s">
        <v>37</v>
      </c>
      <c r="LT386" s="12" t="str">
        <f t="shared" si="1368"/>
        <v>0-10</v>
      </c>
      <c r="LU386" s="12">
        <f t="shared" si="1369"/>
        <v>23.333333333333332</v>
      </c>
      <c r="LV386" s="12">
        <f t="shared" si="1370"/>
        <v>3.4249742755356465</v>
      </c>
      <c r="LW386" s="13">
        <f t="shared" si="1371"/>
        <v>6</v>
      </c>
      <c r="MF386" s="12" t="s">
        <v>37</v>
      </c>
      <c r="MG386" s="12" t="s">
        <v>37</v>
      </c>
      <c r="MH386" s="12" t="s">
        <v>37</v>
      </c>
      <c r="MJ386" s="12" t="s">
        <v>37</v>
      </c>
      <c r="MK386" s="12" t="s">
        <v>37</v>
      </c>
      <c r="ML386" s="12" t="s">
        <v>37</v>
      </c>
      <c r="MQ386" s="12" t="s">
        <v>37</v>
      </c>
      <c r="MR386" s="12" t="s">
        <v>37</v>
      </c>
      <c r="MS386" s="12" t="s">
        <v>37</v>
      </c>
      <c r="MU386" s="12" t="s">
        <v>37</v>
      </c>
      <c r="MV386" s="12" t="s">
        <v>37</v>
      </c>
      <c r="MW386" s="12" t="s">
        <v>37</v>
      </c>
      <c r="NC386" s="12" t="s">
        <v>37</v>
      </c>
      <c r="ND386" s="12" t="s">
        <v>37</v>
      </c>
      <c r="NE386" s="12" t="s">
        <v>37</v>
      </c>
      <c r="NG386" s="12" t="s">
        <v>37</v>
      </c>
      <c r="NH386" s="12" t="s">
        <v>37</v>
      </c>
      <c r="NI386" s="12" t="s">
        <v>37</v>
      </c>
      <c r="NO386" s="12" t="s">
        <v>37</v>
      </c>
      <c r="NP386" s="12" t="s">
        <v>37</v>
      </c>
      <c r="NQ386" s="12" t="s">
        <v>37</v>
      </c>
      <c r="NS386" s="12" t="s">
        <v>37</v>
      </c>
      <c r="NT386" s="12" t="s">
        <v>37</v>
      </c>
      <c r="NU386" s="12" t="s">
        <v>37</v>
      </c>
      <c r="OA386" s="12" t="s">
        <v>37</v>
      </c>
      <c r="OB386" s="12" t="s">
        <v>37</v>
      </c>
      <c r="OC386" s="12" t="s">
        <v>37</v>
      </c>
      <c r="OD386" s="12"/>
      <c r="OE386" s="12" t="s">
        <v>37</v>
      </c>
      <c r="OF386" s="12" t="s">
        <v>37</v>
      </c>
      <c r="OG386" s="12" t="s">
        <v>37</v>
      </c>
      <c r="OH386" s="12"/>
      <c r="OI386" s="12"/>
      <c r="OJ386" s="12"/>
      <c r="OM386" s="12" t="s">
        <v>37</v>
      </c>
      <c r="ON386" s="12" t="s">
        <v>37</v>
      </c>
      <c r="OO386" s="12" t="s">
        <v>37</v>
      </c>
      <c r="OP386" s="12" t="s">
        <v>37</v>
      </c>
      <c r="OQ386" s="12" t="s">
        <v>37</v>
      </c>
      <c r="OR386" s="12" t="s">
        <v>37</v>
      </c>
      <c r="OS386" s="12"/>
      <c r="OT386" s="12"/>
      <c r="OW386" s="12" t="s">
        <v>37</v>
      </c>
      <c r="OX386" s="12" t="s">
        <v>37</v>
      </c>
      <c r="OY386" s="13" t="s">
        <v>37</v>
      </c>
      <c r="OZ386" s="12" t="s">
        <v>37</v>
      </c>
      <c r="PA386" s="12" t="s">
        <v>37</v>
      </c>
      <c r="PB386" s="13" t="s">
        <v>37</v>
      </c>
      <c r="PG386" s="12" t="s">
        <v>37</v>
      </c>
      <c r="PH386" s="12" t="s">
        <v>37</v>
      </c>
      <c r="PI386" s="12" t="s">
        <v>37</v>
      </c>
      <c r="PJ386" s="12" t="s">
        <v>37</v>
      </c>
      <c r="PK386" s="12" t="s">
        <v>37</v>
      </c>
      <c r="PL386" s="12" t="s">
        <v>37</v>
      </c>
      <c r="PM386" s="12"/>
      <c r="PN386" s="12"/>
      <c r="PQ386" s="12" t="s">
        <v>37</v>
      </c>
      <c r="PR386" s="12" t="s">
        <v>37</v>
      </c>
      <c r="PS386" s="12" t="s">
        <v>37</v>
      </c>
      <c r="PT386" s="12" t="s">
        <v>37</v>
      </c>
      <c r="PU386" s="12" t="s">
        <v>37</v>
      </c>
      <c r="PV386" s="12" t="s">
        <v>37</v>
      </c>
      <c r="PW386" s="12"/>
      <c r="PX386" s="12"/>
      <c r="PZ386" s="12" t="s">
        <v>37</v>
      </c>
      <c r="QA386" s="12" t="s">
        <v>37</v>
      </c>
      <c r="QB386" s="12" t="s">
        <v>37</v>
      </c>
      <c r="QD386" s="12" t="s">
        <v>37</v>
      </c>
      <c r="QE386" s="12" t="s">
        <v>37</v>
      </c>
      <c r="QF386" s="12" t="s">
        <v>37</v>
      </c>
      <c r="QK386" s="12" t="s">
        <v>37</v>
      </c>
      <c r="QL386" s="12" t="s">
        <v>37</v>
      </c>
      <c r="QM386" s="12" t="s">
        <v>37</v>
      </c>
      <c r="QN386" s="12" t="s">
        <v>37</v>
      </c>
      <c r="QO386" s="12" t="s">
        <v>37</v>
      </c>
      <c r="QP386" s="12" t="s">
        <v>37</v>
      </c>
      <c r="QQ386" s="12"/>
      <c r="QR386" s="12"/>
      <c r="QU386" s="12" t="s">
        <v>37</v>
      </c>
      <c r="QV386" s="12" t="s">
        <v>37</v>
      </c>
      <c r="QW386" s="12" t="s">
        <v>37</v>
      </c>
      <c r="QX386" s="12" t="s">
        <v>37</v>
      </c>
      <c r="QY386" s="12" t="s">
        <v>37</v>
      </c>
      <c r="QZ386" s="12" t="s">
        <v>37</v>
      </c>
      <c r="RC386" s="12" t="s">
        <v>37</v>
      </c>
      <c r="RD386" s="12" t="s">
        <v>37</v>
      </c>
      <c r="RE386" s="13" t="s">
        <v>37</v>
      </c>
      <c r="RF386" s="12" t="s">
        <v>37</v>
      </c>
      <c r="RG386" s="12" t="s">
        <v>37</v>
      </c>
      <c r="RH386" s="13" t="s">
        <v>37</v>
      </c>
      <c r="RK386" s="12" t="s">
        <v>37</v>
      </c>
      <c r="RL386" s="12" t="s">
        <v>37</v>
      </c>
      <c r="RM386" s="11" t="s">
        <v>37</v>
      </c>
      <c r="RN386" s="12" t="s">
        <v>37</v>
      </c>
      <c r="RO386" s="12" t="s">
        <v>37</v>
      </c>
      <c r="RP386" s="11" t="s">
        <v>37</v>
      </c>
      <c r="RS386" s="12" t="s">
        <v>37</v>
      </c>
      <c r="RT386" s="12" t="s">
        <v>37</v>
      </c>
      <c r="RU386" s="12" t="s">
        <v>37</v>
      </c>
      <c r="RV386" s="12" t="s">
        <v>37</v>
      </c>
      <c r="RW386" s="12" t="s">
        <v>37</v>
      </c>
      <c r="RX386" s="12" t="s">
        <v>37</v>
      </c>
      <c r="SA386" s="12" t="s">
        <v>37</v>
      </c>
      <c r="SB386" s="12" t="s">
        <v>37</v>
      </c>
      <c r="SC386" s="12" t="s">
        <v>37</v>
      </c>
      <c r="SD386" s="12" t="s">
        <v>37</v>
      </c>
      <c r="SE386" s="12" t="s">
        <v>37</v>
      </c>
      <c r="SF386" s="12" t="s">
        <v>37</v>
      </c>
      <c r="SI386" s="12" t="s">
        <v>37</v>
      </c>
      <c r="SJ386" s="12" t="s">
        <v>37</v>
      </c>
      <c r="SK386" s="13" t="s">
        <v>37</v>
      </c>
      <c r="SM386" s="12" t="s">
        <v>37</v>
      </c>
      <c r="SN386" s="12" t="s">
        <v>37</v>
      </c>
      <c r="SO386" s="13" t="s">
        <v>37</v>
      </c>
      <c r="SU386" s="12" t="s">
        <v>37</v>
      </c>
      <c r="SV386" s="12" t="s">
        <v>37</v>
      </c>
      <c r="SW386" s="12" t="s">
        <v>37</v>
      </c>
      <c r="SX386" s="12" t="s">
        <v>37</v>
      </c>
      <c r="SY386" s="12" t="s">
        <v>37</v>
      </c>
      <c r="SZ386" s="12" t="s">
        <v>37</v>
      </c>
      <c r="TA386" s="12"/>
      <c r="TB386" s="12"/>
      <c r="TE386" s="12" t="s">
        <v>37</v>
      </c>
      <c r="TF386" s="12" t="s">
        <v>37</v>
      </c>
      <c r="TG386" s="12" t="s">
        <v>37</v>
      </c>
      <c r="TH386" s="12" t="s">
        <v>37</v>
      </c>
      <c r="TI386" s="12" t="s">
        <v>37</v>
      </c>
      <c r="TJ386" s="12" t="s">
        <v>37</v>
      </c>
      <c r="TK386" s="12"/>
      <c r="TL386" s="12"/>
      <c r="TO386" s="12" t="s">
        <v>37</v>
      </c>
      <c r="TP386" s="12" t="s">
        <v>37</v>
      </c>
      <c r="TQ386" s="12" t="s">
        <v>37</v>
      </c>
      <c r="TR386" s="12" t="s">
        <v>37</v>
      </c>
      <c r="TS386" s="12" t="s">
        <v>37</v>
      </c>
      <c r="TT386" s="12" t="s">
        <v>37</v>
      </c>
      <c r="TU386" s="12"/>
      <c r="TV386" s="12"/>
      <c r="TY386" s="12" t="s">
        <v>37</v>
      </c>
      <c r="TZ386" s="12" t="s">
        <v>37</v>
      </c>
      <c r="UA386" s="12" t="s">
        <v>37</v>
      </c>
      <c r="UB386" s="12" t="s">
        <v>37</v>
      </c>
      <c r="UC386" s="12" t="s">
        <v>37</v>
      </c>
      <c r="UD386" s="12" t="s">
        <v>37</v>
      </c>
      <c r="UE386" s="12"/>
      <c r="UF386" s="12"/>
      <c r="UI386" s="12" t="s">
        <v>37</v>
      </c>
      <c r="UJ386" s="12" t="s">
        <v>37</v>
      </c>
      <c r="UK386" s="12" t="s">
        <v>37</v>
      </c>
      <c r="UL386" s="12" t="s">
        <v>37</v>
      </c>
      <c r="UM386" s="12" t="s">
        <v>37</v>
      </c>
      <c r="UN386" s="12" t="s">
        <v>37</v>
      </c>
      <c r="UO386" s="12"/>
      <c r="UP386" s="12"/>
      <c r="UR386" s="12" t="s">
        <v>37</v>
      </c>
      <c r="US386" s="12" t="s">
        <v>37</v>
      </c>
      <c r="UT386" s="12" t="s">
        <v>37</v>
      </c>
      <c r="UU386" s="12" t="s">
        <v>37</v>
      </c>
      <c r="UV386" s="12" t="s">
        <v>37</v>
      </c>
      <c r="UW386" s="12" t="s">
        <v>37</v>
      </c>
      <c r="UX386" s="12"/>
      <c r="UY386" s="12"/>
      <c r="VB386" s="12" t="s">
        <v>37</v>
      </c>
      <c r="VC386" s="12" t="s">
        <v>37</v>
      </c>
      <c r="VD386" s="12" t="s">
        <v>37</v>
      </c>
      <c r="VE386" s="12" t="s">
        <v>37</v>
      </c>
      <c r="VF386" s="12" t="s">
        <v>37</v>
      </c>
      <c r="VG386" s="12" t="s">
        <v>37</v>
      </c>
      <c r="VI386" s="12" t="s">
        <v>37</v>
      </c>
      <c r="VJ386" s="12" t="s">
        <v>37</v>
      </c>
      <c r="VK386" s="12" t="s">
        <v>37</v>
      </c>
      <c r="VL386" s="12" t="s">
        <v>37</v>
      </c>
      <c r="VM386" s="12" t="s">
        <v>37</v>
      </c>
      <c r="VN386" s="12" t="s">
        <v>37</v>
      </c>
      <c r="VQ386" s="12" t="s">
        <v>37</v>
      </c>
      <c r="VR386" s="12" t="s">
        <v>37</v>
      </c>
      <c r="VS386" s="12" t="s">
        <v>37</v>
      </c>
      <c r="VT386" s="12" t="s">
        <v>37</v>
      </c>
      <c r="VU386" s="12" t="s">
        <v>37</v>
      </c>
      <c r="VV386" s="12" t="s">
        <v>37</v>
      </c>
      <c r="VW386" s="12"/>
      <c r="VX386" s="12"/>
      <c r="WA386" s="12" t="s">
        <v>37</v>
      </c>
      <c r="WB386" s="12" t="s">
        <v>37</v>
      </c>
      <c r="WC386" s="12" t="s">
        <v>37</v>
      </c>
      <c r="WD386" s="12" t="s">
        <v>37</v>
      </c>
      <c r="WE386" s="12" t="s">
        <v>37</v>
      </c>
      <c r="WF386" s="12" t="s">
        <v>37</v>
      </c>
    </row>
    <row r="387" spans="1:606" ht="18" customHeight="1" x14ac:dyDescent="0.3">
      <c r="A387" s="11">
        <v>79</v>
      </c>
      <c r="B387" s="16" t="s">
        <v>454</v>
      </c>
      <c r="C387" s="12" t="s">
        <v>32</v>
      </c>
      <c r="D387" s="12" t="s">
        <v>1039</v>
      </c>
      <c r="E387" s="40">
        <f t="shared" si="1372"/>
        <v>5.15</v>
      </c>
      <c r="F387" s="14">
        <v>0</v>
      </c>
      <c r="G387" s="14">
        <v>0</v>
      </c>
      <c r="H387" s="12" t="s">
        <v>79</v>
      </c>
      <c r="I387" s="29">
        <v>32.799999999999997</v>
      </c>
      <c r="J387" s="29">
        <v>102.55</v>
      </c>
      <c r="K387" s="12" t="s">
        <v>690</v>
      </c>
      <c r="L387" s="12" t="s">
        <v>691</v>
      </c>
      <c r="M387" s="13">
        <v>3500</v>
      </c>
      <c r="N387" s="14">
        <v>0.9</v>
      </c>
      <c r="O387" s="14">
        <v>744</v>
      </c>
      <c r="P387" s="14" t="s">
        <v>16</v>
      </c>
      <c r="Q387" s="75">
        <v>3.5</v>
      </c>
      <c r="R387" s="11" t="s">
        <v>37</v>
      </c>
      <c r="S387" s="12" t="s">
        <v>85</v>
      </c>
      <c r="T387" s="12" t="s">
        <v>138</v>
      </c>
      <c r="U387" s="12" t="s">
        <v>158</v>
      </c>
      <c r="V387" s="12" t="s">
        <v>275</v>
      </c>
      <c r="W387" s="23" t="s">
        <v>353</v>
      </c>
      <c r="X387" s="12" t="s">
        <v>280</v>
      </c>
      <c r="Y387" s="12" t="s">
        <v>37</v>
      </c>
      <c r="Z387" s="12" t="s">
        <v>37</v>
      </c>
      <c r="AA387" s="32" t="s">
        <v>345</v>
      </c>
      <c r="AB387" s="12">
        <v>6.7</v>
      </c>
      <c r="AC387" s="12" t="s">
        <v>42</v>
      </c>
      <c r="AD387" s="32" t="s">
        <v>345</v>
      </c>
      <c r="AE387" s="12">
        <v>350</v>
      </c>
      <c r="AF387" s="12" t="s">
        <v>42</v>
      </c>
      <c r="AG387" s="32" t="s">
        <v>345</v>
      </c>
      <c r="AH387" s="12">
        <v>15</v>
      </c>
      <c r="AJ387" s="12" t="str">
        <f t="shared" si="1373"/>
        <v>0-10</v>
      </c>
      <c r="AK387" s="19">
        <f t="shared" si="1374"/>
        <v>23.333333333333332</v>
      </c>
      <c r="AL387" s="32" t="s">
        <v>647</v>
      </c>
      <c r="AM387" s="12" t="s">
        <v>321</v>
      </c>
      <c r="AN387" s="32" t="s">
        <v>896</v>
      </c>
      <c r="AO387" s="12" t="s">
        <v>37</v>
      </c>
      <c r="AP387" s="12" t="s">
        <v>238</v>
      </c>
      <c r="AQ387" s="12" t="s">
        <v>975</v>
      </c>
      <c r="AR387" s="12" t="s">
        <v>42</v>
      </c>
      <c r="AS387" s="32" t="s">
        <v>345</v>
      </c>
      <c r="AT387" s="12">
        <v>350</v>
      </c>
      <c r="AU387" s="50">
        <f t="shared" si="1365"/>
        <v>29.93450076866338</v>
      </c>
      <c r="AV387" s="13">
        <v>6</v>
      </c>
      <c r="AX387" s="12" t="s">
        <v>326</v>
      </c>
      <c r="AY387" s="12" t="s">
        <v>326</v>
      </c>
      <c r="AZ387" s="13" t="s">
        <v>326</v>
      </c>
      <c r="BE387" s="12" t="s">
        <v>326</v>
      </c>
      <c r="BF387" s="12" t="s">
        <v>326</v>
      </c>
      <c r="BG387" s="12" t="s">
        <v>326</v>
      </c>
      <c r="BI387" s="12" t="s">
        <v>326</v>
      </c>
      <c r="BJ387" s="12" t="s">
        <v>326</v>
      </c>
      <c r="BK387" s="12" t="s">
        <v>326</v>
      </c>
      <c r="BP387" s="12" t="s">
        <v>37</v>
      </c>
      <c r="BQ387" s="12" t="s">
        <v>37</v>
      </c>
      <c r="BR387" s="13" t="s">
        <v>37</v>
      </c>
      <c r="BT387" s="12" t="s">
        <v>37</v>
      </c>
      <c r="BU387" s="12" t="s">
        <v>37</v>
      </c>
      <c r="BV387" s="12" t="s">
        <v>37</v>
      </c>
      <c r="CA387" s="12" t="s">
        <v>37</v>
      </c>
      <c r="CB387" s="12" t="s">
        <v>37</v>
      </c>
      <c r="CC387" s="13" t="s">
        <v>37</v>
      </c>
      <c r="CE387" s="12" t="s">
        <v>37</v>
      </c>
      <c r="CF387" s="12" t="s">
        <v>37</v>
      </c>
      <c r="CG387" s="12" t="s">
        <v>37</v>
      </c>
      <c r="CN387" s="12" t="s">
        <v>37</v>
      </c>
      <c r="CO387" s="12" t="s">
        <v>37</v>
      </c>
      <c r="CP387" s="13" t="s">
        <v>37</v>
      </c>
      <c r="CR387" s="12" t="s">
        <v>37</v>
      </c>
      <c r="CS387" s="12" t="s">
        <v>37</v>
      </c>
      <c r="CT387" s="13" t="s">
        <v>37</v>
      </c>
      <c r="CX387" s="72"/>
      <c r="CY387" s="72"/>
      <c r="DA387" s="12" t="s">
        <v>37</v>
      </c>
      <c r="DB387" s="12" t="s">
        <v>37</v>
      </c>
      <c r="DC387" s="13" t="s">
        <v>37</v>
      </c>
      <c r="DE387" s="12" t="s">
        <v>37</v>
      </c>
      <c r="DF387" s="12" t="s">
        <v>37</v>
      </c>
      <c r="DG387" s="12" t="s">
        <v>37</v>
      </c>
      <c r="DN387" s="19" t="s">
        <v>37</v>
      </c>
      <c r="DO387" s="12" t="s">
        <v>37</v>
      </c>
      <c r="DP387" s="13" t="s">
        <v>37</v>
      </c>
      <c r="DR387" s="19" t="s">
        <v>37</v>
      </c>
      <c r="DS387" s="12" t="s">
        <v>37</v>
      </c>
      <c r="DT387" s="13" t="s">
        <v>37</v>
      </c>
      <c r="EA387" s="19" t="s">
        <v>37</v>
      </c>
      <c r="EB387" s="19" t="s">
        <v>37</v>
      </c>
      <c r="EC387" s="72" t="s">
        <v>37</v>
      </c>
      <c r="EE387" s="19" t="s">
        <v>37</v>
      </c>
      <c r="EF387" s="19" t="s">
        <v>37</v>
      </c>
      <c r="EG387" s="12" t="s">
        <v>37</v>
      </c>
      <c r="EN387" s="12" t="s">
        <v>37</v>
      </c>
      <c r="EO387" s="12" t="s">
        <v>37</v>
      </c>
      <c r="EP387" s="13" t="s">
        <v>37</v>
      </c>
      <c r="ER387" s="12" t="s">
        <v>37</v>
      </c>
      <c r="ES387" s="12" t="s">
        <v>37</v>
      </c>
      <c r="ET387" s="13" t="s">
        <v>37</v>
      </c>
      <c r="FB387" s="12" t="s">
        <v>37</v>
      </c>
      <c r="FC387" s="12" t="s">
        <v>37</v>
      </c>
      <c r="FD387" s="12" t="s">
        <v>37</v>
      </c>
      <c r="FE387" s="12" t="s">
        <v>37</v>
      </c>
      <c r="FF387" s="20" t="s">
        <v>37</v>
      </c>
      <c r="FG387" s="12" t="s">
        <v>37</v>
      </c>
      <c r="FI387" s="12" t="s">
        <v>37</v>
      </c>
      <c r="FJ387" s="12" t="s">
        <v>37</v>
      </c>
      <c r="FK387" s="12" t="s">
        <v>37</v>
      </c>
      <c r="FL387" s="12" t="s">
        <v>37</v>
      </c>
      <c r="FM387" s="12" t="s">
        <v>37</v>
      </c>
      <c r="FN387" s="12" t="s">
        <v>37</v>
      </c>
      <c r="FP387" s="12" t="s">
        <v>37</v>
      </c>
      <c r="FQ387" s="12" t="s">
        <v>37</v>
      </c>
      <c r="FR387" s="12" t="s">
        <v>37</v>
      </c>
      <c r="FS387" s="12" t="s">
        <v>37</v>
      </c>
      <c r="FT387" s="12" t="s">
        <v>37</v>
      </c>
      <c r="FU387" s="12" t="s">
        <v>37</v>
      </c>
      <c r="FW387" s="12" t="s">
        <v>37</v>
      </c>
      <c r="FX387" s="12" t="s">
        <v>37</v>
      </c>
      <c r="FY387" s="12" t="s">
        <v>37</v>
      </c>
      <c r="FZ387" s="12" t="s">
        <v>37</v>
      </c>
      <c r="GA387" s="12" t="s">
        <v>37</v>
      </c>
      <c r="GB387" s="12" t="s">
        <v>37</v>
      </c>
      <c r="IK387" s="12" t="s">
        <v>37</v>
      </c>
      <c r="IL387" s="12" t="s">
        <v>37</v>
      </c>
      <c r="IM387" s="12" t="s">
        <v>37</v>
      </c>
      <c r="IO387" s="12" t="s">
        <v>37</v>
      </c>
      <c r="IP387" s="12" t="s">
        <v>37</v>
      </c>
      <c r="IQ387" s="12" t="s">
        <v>37</v>
      </c>
      <c r="IV387" s="32" t="s">
        <v>345</v>
      </c>
      <c r="IW387" s="12">
        <v>6.7</v>
      </c>
      <c r="IX387" s="50">
        <f t="shared" si="1366"/>
        <v>0.24530537560775503</v>
      </c>
      <c r="IY387" s="13">
        <v>6</v>
      </c>
      <c r="JH387" s="12" t="s">
        <v>37</v>
      </c>
      <c r="JI387" s="12" t="s">
        <v>37</v>
      </c>
      <c r="JJ387" s="13" t="s">
        <v>37</v>
      </c>
      <c r="JL387" s="12" t="s">
        <v>37</v>
      </c>
      <c r="JM387" s="12" t="s">
        <v>37</v>
      </c>
      <c r="JN387" s="12" t="s">
        <v>37</v>
      </c>
      <c r="JS387" s="12" t="s">
        <v>37</v>
      </c>
      <c r="JT387" s="12" t="s">
        <v>37</v>
      </c>
      <c r="JU387" s="13" t="s">
        <v>37</v>
      </c>
      <c r="JW387" s="12" t="s">
        <v>37</v>
      </c>
      <c r="JX387" s="12" t="s">
        <v>37</v>
      </c>
      <c r="JY387" s="12" t="s">
        <v>37</v>
      </c>
      <c r="KE387" s="12" t="s">
        <v>37</v>
      </c>
      <c r="KF387" s="12" t="s">
        <v>37</v>
      </c>
      <c r="KG387" s="13" t="s">
        <v>37</v>
      </c>
      <c r="KH387" s="12" t="s">
        <v>37</v>
      </c>
      <c r="KI387" s="12" t="s">
        <v>37</v>
      </c>
      <c r="KJ387" s="12" t="s">
        <v>37</v>
      </c>
      <c r="KK387" s="12" t="s">
        <v>42</v>
      </c>
      <c r="KL387" s="32" t="s">
        <v>345</v>
      </c>
      <c r="KM387" s="12">
        <v>15</v>
      </c>
      <c r="KN387" s="50">
        <f t="shared" si="1367"/>
        <v>1.7893956207728923</v>
      </c>
      <c r="KO387" s="11">
        <v>6</v>
      </c>
      <c r="KS387" s="12"/>
      <c r="KX387" s="12" t="s">
        <v>37</v>
      </c>
      <c r="KY387" s="12" t="s">
        <v>37</v>
      </c>
      <c r="KZ387" s="12" t="s">
        <v>37</v>
      </c>
      <c r="LB387" s="12" t="s">
        <v>37</v>
      </c>
      <c r="LC387" s="12" t="s">
        <v>37</v>
      </c>
      <c r="LD387" s="12" t="s">
        <v>37</v>
      </c>
      <c r="LI387" s="12" t="s">
        <v>37</v>
      </c>
      <c r="LJ387" s="12" t="s">
        <v>37</v>
      </c>
      <c r="LK387" s="12" t="s">
        <v>37</v>
      </c>
      <c r="LM387" s="12" t="s">
        <v>37</v>
      </c>
      <c r="LN387" s="12" t="s">
        <v>37</v>
      </c>
      <c r="LO387" s="12" t="s">
        <v>37</v>
      </c>
      <c r="LT387" s="12" t="str">
        <f t="shared" si="1368"/>
        <v>0-10</v>
      </c>
      <c r="LU387" s="12">
        <f t="shared" si="1369"/>
        <v>23.333333333333332</v>
      </c>
      <c r="LV387" s="12">
        <f t="shared" si="1370"/>
        <v>3.4249742755356465</v>
      </c>
      <c r="LW387" s="13">
        <f t="shared" si="1371"/>
        <v>6</v>
      </c>
      <c r="MF387" s="12" t="s">
        <v>37</v>
      </c>
      <c r="MG387" s="12" t="s">
        <v>37</v>
      </c>
      <c r="MH387" s="12" t="s">
        <v>37</v>
      </c>
      <c r="MJ387" s="12" t="s">
        <v>37</v>
      </c>
      <c r="MK387" s="12" t="s">
        <v>37</v>
      </c>
      <c r="ML387" s="12" t="s">
        <v>37</v>
      </c>
      <c r="MQ387" s="12" t="s">
        <v>37</v>
      </c>
      <c r="MR387" s="12" t="s">
        <v>37</v>
      </c>
      <c r="MS387" s="12" t="s">
        <v>37</v>
      </c>
      <c r="MU387" s="12" t="s">
        <v>37</v>
      </c>
      <c r="MV387" s="12" t="s">
        <v>37</v>
      </c>
      <c r="MW387" s="12" t="s">
        <v>37</v>
      </c>
      <c r="NC387" s="12" t="s">
        <v>37</v>
      </c>
      <c r="ND387" s="12" t="s">
        <v>37</v>
      </c>
      <c r="NE387" s="12" t="s">
        <v>37</v>
      </c>
      <c r="NG387" s="12" t="s">
        <v>37</v>
      </c>
      <c r="NH387" s="12" t="s">
        <v>37</v>
      </c>
      <c r="NI387" s="12" t="s">
        <v>37</v>
      </c>
      <c r="NO387" s="12" t="s">
        <v>37</v>
      </c>
      <c r="NP387" s="12" t="s">
        <v>37</v>
      </c>
      <c r="NQ387" s="12" t="s">
        <v>37</v>
      </c>
      <c r="NS387" s="12" t="s">
        <v>37</v>
      </c>
      <c r="NT387" s="12" t="s">
        <v>37</v>
      </c>
      <c r="NU387" s="12" t="s">
        <v>37</v>
      </c>
      <c r="OA387" s="12" t="s">
        <v>37</v>
      </c>
      <c r="OB387" s="12" t="s">
        <v>37</v>
      </c>
      <c r="OC387" s="12" t="s">
        <v>37</v>
      </c>
      <c r="OD387" s="12"/>
      <c r="OE387" s="12" t="s">
        <v>37</v>
      </c>
      <c r="OF387" s="12" t="s">
        <v>37</v>
      </c>
      <c r="OG387" s="12" t="s">
        <v>37</v>
      </c>
      <c r="OH387" s="12"/>
      <c r="OI387" s="12"/>
      <c r="OJ387" s="12"/>
      <c r="OM387" s="12" t="s">
        <v>37</v>
      </c>
      <c r="ON387" s="12" t="s">
        <v>37</v>
      </c>
      <c r="OO387" s="12" t="s">
        <v>37</v>
      </c>
      <c r="OP387" s="12" t="s">
        <v>37</v>
      </c>
      <c r="OQ387" s="12" t="s">
        <v>37</v>
      </c>
      <c r="OR387" s="12" t="s">
        <v>37</v>
      </c>
      <c r="OS387" s="12"/>
      <c r="OT387" s="12"/>
      <c r="OW387" s="12" t="s">
        <v>37</v>
      </c>
      <c r="OX387" s="12" t="s">
        <v>37</v>
      </c>
      <c r="OY387" s="13" t="s">
        <v>37</v>
      </c>
      <c r="OZ387" s="12" t="s">
        <v>37</v>
      </c>
      <c r="PA387" s="12" t="s">
        <v>37</v>
      </c>
      <c r="PB387" s="13" t="s">
        <v>37</v>
      </c>
      <c r="PG387" s="12" t="s">
        <v>37</v>
      </c>
      <c r="PH387" s="12" t="s">
        <v>37</v>
      </c>
      <c r="PI387" s="12" t="s">
        <v>37</v>
      </c>
      <c r="PJ387" s="12" t="s">
        <v>37</v>
      </c>
      <c r="PK387" s="12" t="s">
        <v>37</v>
      </c>
      <c r="PL387" s="12" t="s">
        <v>37</v>
      </c>
      <c r="PM387" s="12"/>
      <c r="PN387" s="12"/>
      <c r="PQ387" s="12" t="s">
        <v>37</v>
      </c>
      <c r="PR387" s="12" t="s">
        <v>37</v>
      </c>
      <c r="PS387" s="12" t="s">
        <v>37</v>
      </c>
      <c r="PT387" s="12" t="s">
        <v>37</v>
      </c>
      <c r="PU387" s="12" t="s">
        <v>37</v>
      </c>
      <c r="PV387" s="12" t="s">
        <v>37</v>
      </c>
      <c r="PW387" s="12"/>
      <c r="PX387" s="12"/>
      <c r="PZ387" s="12" t="s">
        <v>37</v>
      </c>
      <c r="QA387" s="12" t="s">
        <v>37</v>
      </c>
      <c r="QB387" s="12" t="s">
        <v>37</v>
      </c>
      <c r="QD387" s="12" t="s">
        <v>37</v>
      </c>
      <c r="QE387" s="12" t="s">
        <v>37</v>
      </c>
      <c r="QF387" s="12" t="s">
        <v>37</v>
      </c>
      <c r="QK387" s="12" t="s">
        <v>37</v>
      </c>
      <c r="QL387" s="12" t="s">
        <v>37</v>
      </c>
      <c r="QM387" s="12" t="s">
        <v>37</v>
      </c>
      <c r="QN387" s="12" t="s">
        <v>37</v>
      </c>
      <c r="QO387" s="12" t="s">
        <v>37</v>
      </c>
      <c r="QP387" s="12" t="s">
        <v>37</v>
      </c>
      <c r="QQ387" s="12"/>
      <c r="QR387" s="12"/>
      <c r="QU387" s="12" t="s">
        <v>37</v>
      </c>
      <c r="QV387" s="12" t="s">
        <v>37</v>
      </c>
      <c r="QW387" s="12" t="s">
        <v>37</v>
      </c>
      <c r="QX387" s="12" t="s">
        <v>37</v>
      </c>
      <c r="QY387" s="12" t="s">
        <v>37</v>
      </c>
      <c r="QZ387" s="12" t="s">
        <v>37</v>
      </c>
      <c r="RC387" s="12" t="s">
        <v>37</v>
      </c>
      <c r="RD387" s="12" t="s">
        <v>37</v>
      </c>
      <c r="RE387" s="13" t="s">
        <v>37</v>
      </c>
      <c r="RF387" s="12" t="s">
        <v>37</v>
      </c>
      <c r="RG387" s="12" t="s">
        <v>37</v>
      </c>
      <c r="RH387" s="13" t="s">
        <v>37</v>
      </c>
      <c r="RK387" s="12" t="s">
        <v>37</v>
      </c>
      <c r="RL387" s="12" t="s">
        <v>37</v>
      </c>
      <c r="RM387" s="11" t="s">
        <v>37</v>
      </c>
      <c r="RN387" s="12" t="s">
        <v>37</v>
      </c>
      <c r="RO387" s="12" t="s">
        <v>37</v>
      </c>
      <c r="RP387" s="11" t="s">
        <v>37</v>
      </c>
      <c r="RS387" s="12" t="s">
        <v>37</v>
      </c>
      <c r="RT387" s="12" t="s">
        <v>37</v>
      </c>
      <c r="RU387" s="12" t="s">
        <v>37</v>
      </c>
      <c r="RV387" s="12" t="s">
        <v>37</v>
      </c>
      <c r="RW387" s="12" t="s">
        <v>37</v>
      </c>
      <c r="RX387" s="12" t="s">
        <v>37</v>
      </c>
      <c r="SA387" s="12" t="s">
        <v>37</v>
      </c>
      <c r="SB387" s="12" t="s">
        <v>37</v>
      </c>
      <c r="SC387" s="12" t="s">
        <v>37</v>
      </c>
      <c r="SD387" s="12" t="s">
        <v>37</v>
      </c>
      <c r="SE387" s="12" t="s">
        <v>37</v>
      </c>
      <c r="SF387" s="12" t="s">
        <v>37</v>
      </c>
      <c r="SI387" s="12" t="s">
        <v>37</v>
      </c>
      <c r="SJ387" s="12" t="s">
        <v>37</v>
      </c>
      <c r="SK387" s="13" t="s">
        <v>37</v>
      </c>
      <c r="SM387" s="12" t="s">
        <v>37</v>
      </c>
      <c r="SN387" s="12" t="s">
        <v>37</v>
      </c>
      <c r="SO387" s="13" t="s">
        <v>37</v>
      </c>
      <c r="SU387" s="12" t="s">
        <v>37</v>
      </c>
      <c r="SV387" s="12" t="s">
        <v>37</v>
      </c>
      <c r="SW387" s="12" t="s">
        <v>37</v>
      </c>
      <c r="SX387" s="12" t="s">
        <v>37</v>
      </c>
      <c r="SY387" s="12" t="s">
        <v>37</v>
      </c>
      <c r="SZ387" s="12" t="s">
        <v>37</v>
      </c>
      <c r="TA387" s="12"/>
      <c r="TB387" s="12"/>
      <c r="TE387" s="12" t="s">
        <v>37</v>
      </c>
      <c r="TF387" s="12" t="s">
        <v>37</v>
      </c>
      <c r="TG387" s="12" t="s">
        <v>37</v>
      </c>
      <c r="TH387" s="12" t="s">
        <v>37</v>
      </c>
      <c r="TI387" s="12" t="s">
        <v>37</v>
      </c>
      <c r="TJ387" s="12" t="s">
        <v>37</v>
      </c>
      <c r="TK387" s="12"/>
      <c r="TL387" s="12"/>
      <c r="TO387" s="12" t="s">
        <v>37</v>
      </c>
      <c r="TP387" s="12" t="s">
        <v>37</v>
      </c>
      <c r="TQ387" s="12" t="s">
        <v>37</v>
      </c>
      <c r="TR387" s="12" t="s">
        <v>37</v>
      </c>
      <c r="TS387" s="12" t="s">
        <v>37</v>
      </c>
      <c r="TT387" s="12" t="s">
        <v>37</v>
      </c>
      <c r="TU387" s="12"/>
      <c r="TV387" s="12"/>
      <c r="TY387" s="12" t="s">
        <v>37</v>
      </c>
      <c r="TZ387" s="12" t="s">
        <v>37</v>
      </c>
      <c r="UA387" s="12" t="s">
        <v>37</v>
      </c>
      <c r="UB387" s="12" t="s">
        <v>37</v>
      </c>
      <c r="UC387" s="12" t="s">
        <v>37</v>
      </c>
      <c r="UD387" s="12" t="s">
        <v>37</v>
      </c>
      <c r="UE387" s="12"/>
      <c r="UF387" s="12"/>
      <c r="UI387" s="12" t="s">
        <v>37</v>
      </c>
      <c r="UJ387" s="12" t="s">
        <v>37</v>
      </c>
      <c r="UK387" s="12" t="s">
        <v>37</v>
      </c>
      <c r="UL387" s="12" t="s">
        <v>37</v>
      </c>
      <c r="UM387" s="12" t="s">
        <v>37</v>
      </c>
      <c r="UN387" s="12" t="s">
        <v>37</v>
      </c>
      <c r="UO387" s="12"/>
      <c r="UP387" s="12"/>
      <c r="UR387" s="12" t="s">
        <v>37</v>
      </c>
      <c r="US387" s="12" t="s">
        <v>37</v>
      </c>
      <c r="UT387" s="12" t="s">
        <v>37</v>
      </c>
      <c r="UU387" s="12" t="s">
        <v>37</v>
      </c>
      <c r="UV387" s="12" t="s">
        <v>37</v>
      </c>
      <c r="UW387" s="12" t="s">
        <v>37</v>
      </c>
      <c r="UX387" s="12"/>
      <c r="UY387" s="12"/>
      <c r="VB387" s="12" t="s">
        <v>37</v>
      </c>
      <c r="VC387" s="12" t="s">
        <v>37</v>
      </c>
      <c r="VD387" s="12" t="s">
        <v>37</v>
      </c>
      <c r="VE387" s="12" t="s">
        <v>37</v>
      </c>
      <c r="VF387" s="12" t="s">
        <v>37</v>
      </c>
      <c r="VG387" s="12" t="s">
        <v>37</v>
      </c>
      <c r="VI387" s="12" t="s">
        <v>37</v>
      </c>
      <c r="VJ387" s="12" t="s">
        <v>37</v>
      </c>
      <c r="VK387" s="12" t="s">
        <v>37</v>
      </c>
      <c r="VL387" s="12" t="s">
        <v>37</v>
      </c>
      <c r="VM387" s="12" t="s">
        <v>37</v>
      </c>
      <c r="VN387" s="12" t="s">
        <v>37</v>
      </c>
      <c r="VQ387" s="12" t="s">
        <v>37</v>
      </c>
      <c r="VR387" s="12" t="s">
        <v>37</v>
      </c>
      <c r="VS387" s="12" t="s">
        <v>37</v>
      </c>
      <c r="VT387" s="12" t="s">
        <v>37</v>
      </c>
      <c r="VU387" s="12" t="s">
        <v>37</v>
      </c>
      <c r="VV387" s="12" t="s">
        <v>37</v>
      </c>
      <c r="VW387" s="12"/>
      <c r="VX387" s="12"/>
      <c r="WA387" s="12" t="s">
        <v>37</v>
      </c>
      <c r="WB387" s="12" t="s">
        <v>37</v>
      </c>
      <c r="WC387" s="12" t="s">
        <v>37</v>
      </c>
      <c r="WD387" s="12" t="s">
        <v>37</v>
      </c>
      <c r="WE387" s="12" t="s">
        <v>37</v>
      </c>
      <c r="WF387" s="12" t="s">
        <v>37</v>
      </c>
    </row>
    <row r="388" spans="1:606" ht="18" customHeight="1" x14ac:dyDescent="0.3">
      <c r="A388" s="11">
        <v>80</v>
      </c>
      <c r="B388" s="16" t="s">
        <v>468</v>
      </c>
      <c r="C388" s="12" t="s">
        <v>26</v>
      </c>
      <c r="D388" s="12" t="s">
        <v>54</v>
      </c>
      <c r="E388" s="40">
        <v>1.6</v>
      </c>
      <c r="F388" s="14">
        <v>0</v>
      </c>
      <c r="G388" s="14">
        <v>0</v>
      </c>
      <c r="H388" s="12" t="s">
        <v>91</v>
      </c>
      <c r="I388" s="29">
        <v>45.533000000000001</v>
      </c>
      <c r="J388" s="29">
        <v>-73.132999999999996</v>
      </c>
      <c r="K388" s="12" t="s">
        <v>787</v>
      </c>
      <c r="L388" s="12" t="s">
        <v>788</v>
      </c>
      <c r="M388" s="13" t="s">
        <v>37</v>
      </c>
      <c r="N388" s="14" t="s">
        <v>37</v>
      </c>
      <c r="O388" s="14" t="s">
        <v>37</v>
      </c>
      <c r="P388" s="14" t="s">
        <v>16</v>
      </c>
      <c r="Q388" s="75" t="s">
        <v>326</v>
      </c>
      <c r="R388" s="11" t="s">
        <v>37</v>
      </c>
      <c r="S388" s="12" t="s">
        <v>105</v>
      </c>
      <c r="T388" s="12" t="s">
        <v>37</v>
      </c>
      <c r="U388" s="12" t="s">
        <v>158</v>
      </c>
      <c r="V388" s="12" t="s">
        <v>275</v>
      </c>
      <c r="W388" s="23" t="s">
        <v>469</v>
      </c>
      <c r="X388" s="12" t="s">
        <v>49</v>
      </c>
      <c r="Y388" s="12" t="s">
        <v>37</v>
      </c>
      <c r="Z388" s="12" t="s">
        <v>37</v>
      </c>
      <c r="AA388" s="32" t="s">
        <v>345</v>
      </c>
      <c r="AB388" s="12">
        <v>7.2</v>
      </c>
      <c r="AE388" s="12" t="s">
        <v>37</v>
      </c>
      <c r="AH388" s="12" t="s">
        <v>37</v>
      </c>
      <c r="AK388" s="12" t="s">
        <v>37</v>
      </c>
      <c r="AL388" s="32" t="s">
        <v>470</v>
      </c>
      <c r="AM388" s="12" t="s">
        <v>344</v>
      </c>
      <c r="AO388" s="12" t="s">
        <v>37</v>
      </c>
      <c r="AP388" s="12" t="s">
        <v>167</v>
      </c>
      <c r="AQ388" s="12" t="s">
        <v>975</v>
      </c>
      <c r="AT388" s="12" t="s">
        <v>326</v>
      </c>
      <c r="AU388" s="12" t="s">
        <v>326</v>
      </c>
      <c r="AV388" s="13" t="s">
        <v>326</v>
      </c>
      <c r="AX388" s="12" t="s">
        <v>326</v>
      </c>
      <c r="AY388" s="12" t="s">
        <v>326</v>
      </c>
      <c r="AZ388" s="13" t="s">
        <v>326</v>
      </c>
      <c r="BE388" s="12" t="s">
        <v>326</v>
      </c>
      <c r="BF388" s="12" t="s">
        <v>326</v>
      </c>
      <c r="BG388" s="12" t="s">
        <v>326</v>
      </c>
      <c r="BI388" s="12" t="s">
        <v>326</v>
      </c>
      <c r="BJ388" s="12" t="s">
        <v>326</v>
      </c>
      <c r="BK388" s="12" t="s">
        <v>326</v>
      </c>
      <c r="BP388" s="12" t="s">
        <v>37</v>
      </c>
      <c r="BQ388" s="12" t="s">
        <v>37</v>
      </c>
      <c r="BR388" s="13" t="s">
        <v>37</v>
      </c>
      <c r="BT388" s="12" t="s">
        <v>37</v>
      </c>
      <c r="BU388" s="12" t="s">
        <v>37</v>
      </c>
      <c r="BV388" s="12" t="s">
        <v>37</v>
      </c>
      <c r="CA388" s="12" t="s">
        <v>37</v>
      </c>
      <c r="CB388" s="12" t="s">
        <v>37</v>
      </c>
      <c r="CC388" s="13" t="s">
        <v>37</v>
      </c>
      <c r="CE388" s="12" t="s">
        <v>37</v>
      </c>
      <c r="CF388" s="12" t="s">
        <v>37</v>
      </c>
      <c r="CG388" s="12" t="s">
        <v>37</v>
      </c>
      <c r="CI388" s="12"/>
      <c r="CJ388" s="12"/>
      <c r="CN388" s="12" t="s">
        <v>37</v>
      </c>
      <c r="CO388" s="12" t="s">
        <v>37</v>
      </c>
      <c r="CP388" s="13" t="s">
        <v>37</v>
      </c>
      <c r="CR388" s="12" t="s">
        <v>37</v>
      </c>
      <c r="CS388" s="12" t="s">
        <v>37</v>
      </c>
      <c r="CT388" s="13" t="s">
        <v>37</v>
      </c>
      <c r="CV388" s="12"/>
      <c r="CW388" s="12"/>
      <c r="CX388" s="72"/>
      <c r="CY388" s="72"/>
      <c r="DA388" s="12" t="s">
        <v>37</v>
      </c>
      <c r="DB388" s="12" t="s">
        <v>37</v>
      </c>
      <c r="DC388" s="13" t="s">
        <v>37</v>
      </c>
      <c r="DE388" s="12" t="s">
        <v>37</v>
      </c>
      <c r="DF388" s="12" t="s">
        <v>37</v>
      </c>
      <c r="DG388" s="12" t="s">
        <v>37</v>
      </c>
      <c r="DM388" s="11" t="s">
        <v>47</v>
      </c>
      <c r="DN388" s="19">
        <f>4.2*10^4/10^3</f>
        <v>42</v>
      </c>
      <c r="DO388" s="50">
        <f>ABS(DN388)*DQ$474</f>
        <v>46.824930144716852</v>
      </c>
      <c r="DP388" s="13">
        <v>3</v>
      </c>
      <c r="DR388" s="19">
        <f>0.2*10^4/10^3</f>
        <v>2</v>
      </c>
      <c r="DS388" s="50">
        <f>ABS(DR388)*DU$474</f>
        <v>7.4744325892620198</v>
      </c>
      <c r="DT388" s="13">
        <v>3</v>
      </c>
      <c r="DV388" s="19">
        <f t="shared" ref="DV388:DV392" si="1379">DR388-DN388</f>
        <v>-40</v>
      </c>
      <c r="DW388" s="12">
        <f t="shared" ref="DW388:DW392" si="1380">SQRT(((DP388-1)*DO388^2+(DT388-1)*DS388^2)/(DP388+DT388-2))</f>
        <v>33.52939923104077</v>
      </c>
      <c r="DX388" s="72">
        <f t="shared" si="1358"/>
        <v>749.48040852967836</v>
      </c>
      <c r="DY388" s="72">
        <f t="shared" si="1359"/>
        <v>749.48040852967836</v>
      </c>
      <c r="EA388" s="19" t="s">
        <v>37</v>
      </c>
      <c r="EB388" s="19" t="s">
        <v>37</v>
      </c>
      <c r="EC388" s="72" t="s">
        <v>37</v>
      </c>
      <c r="EE388" s="19" t="s">
        <v>37</v>
      </c>
      <c r="EF388" s="19" t="s">
        <v>37</v>
      </c>
      <c r="EG388" s="12" t="s">
        <v>37</v>
      </c>
      <c r="EN388" s="12" t="s">
        <v>37</v>
      </c>
      <c r="EO388" s="12" t="s">
        <v>37</v>
      </c>
      <c r="EP388" s="13" t="s">
        <v>37</v>
      </c>
      <c r="ER388" s="12" t="s">
        <v>37</v>
      </c>
      <c r="ES388" s="12" t="s">
        <v>37</v>
      </c>
      <c r="ET388" s="13" t="s">
        <v>37</v>
      </c>
      <c r="FB388" s="12" t="s">
        <v>37</v>
      </c>
      <c r="FC388" s="12" t="s">
        <v>37</v>
      </c>
      <c r="FD388" s="12" t="s">
        <v>37</v>
      </c>
      <c r="FE388" s="12" t="s">
        <v>37</v>
      </c>
      <c r="FF388" s="20" t="s">
        <v>37</v>
      </c>
      <c r="FG388" s="12" t="s">
        <v>37</v>
      </c>
      <c r="FI388" s="12" t="s">
        <v>37</v>
      </c>
      <c r="FJ388" s="12" t="s">
        <v>37</v>
      </c>
      <c r="FK388" s="12" t="s">
        <v>37</v>
      </c>
      <c r="FL388" s="12" t="s">
        <v>37</v>
      </c>
      <c r="FM388" s="12" t="s">
        <v>37</v>
      </c>
      <c r="FN388" s="12" t="s">
        <v>37</v>
      </c>
      <c r="FP388" s="12" t="s">
        <v>37</v>
      </c>
      <c r="FQ388" s="12" t="s">
        <v>37</v>
      </c>
      <c r="FR388" s="12" t="s">
        <v>37</v>
      </c>
      <c r="FS388" s="12" t="s">
        <v>37</v>
      </c>
      <c r="FT388" s="12" t="s">
        <v>37</v>
      </c>
      <c r="FU388" s="12" t="s">
        <v>37</v>
      </c>
      <c r="FW388" s="12" t="s">
        <v>37</v>
      </c>
      <c r="FX388" s="12" t="s">
        <v>37</v>
      </c>
      <c r="FY388" s="12" t="s">
        <v>37</v>
      </c>
      <c r="FZ388" s="12" t="s">
        <v>37</v>
      </c>
      <c r="GA388" s="12" t="s">
        <v>37</v>
      </c>
      <c r="GB388" s="12" t="s">
        <v>37</v>
      </c>
      <c r="IK388" s="12" t="s">
        <v>37</v>
      </c>
      <c r="IL388" s="12" t="s">
        <v>37</v>
      </c>
      <c r="IM388" s="12" t="s">
        <v>37</v>
      </c>
      <c r="IO388" s="12" t="s">
        <v>37</v>
      </c>
      <c r="IP388" s="12" t="s">
        <v>37</v>
      </c>
      <c r="IQ388" s="12" t="s">
        <v>37</v>
      </c>
      <c r="IV388" s="32" t="s">
        <v>345</v>
      </c>
      <c r="IW388" s="12">
        <v>7.2</v>
      </c>
      <c r="JH388" s="12" t="s">
        <v>37</v>
      </c>
      <c r="JI388" s="12" t="s">
        <v>37</v>
      </c>
      <c r="JJ388" s="13" t="s">
        <v>37</v>
      </c>
      <c r="JL388" s="12" t="s">
        <v>37</v>
      </c>
      <c r="JM388" s="12" t="s">
        <v>37</v>
      </c>
      <c r="JN388" s="12" t="s">
        <v>37</v>
      </c>
      <c r="JS388" s="12" t="s">
        <v>37</v>
      </c>
      <c r="JT388" s="12" t="s">
        <v>37</v>
      </c>
      <c r="JU388" s="13" t="s">
        <v>37</v>
      </c>
      <c r="JW388" s="12" t="s">
        <v>37</v>
      </c>
      <c r="JX388" s="12" t="s">
        <v>37</v>
      </c>
      <c r="JY388" s="12" t="s">
        <v>37</v>
      </c>
      <c r="KE388" s="12" t="s">
        <v>37</v>
      </c>
      <c r="KF388" s="12" t="s">
        <v>37</v>
      </c>
      <c r="KG388" s="13" t="s">
        <v>37</v>
      </c>
      <c r="KH388" s="12" t="s">
        <v>37</v>
      </c>
      <c r="KI388" s="12" t="s">
        <v>37</v>
      </c>
      <c r="KJ388" s="12" t="s">
        <v>37</v>
      </c>
      <c r="KM388" s="12" t="s">
        <v>37</v>
      </c>
      <c r="KN388" s="12" t="s">
        <v>37</v>
      </c>
      <c r="KO388" s="11" t="s">
        <v>37</v>
      </c>
      <c r="KQ388" s="12" t="s">
        <v>37</v>
      </c>
      <c r="KR388" s="12" t="s">
        <v>37</v>
      </c>
      <c r="KS388" s="12" t="s">
        <v>37</v>
      </c>
      <c r="KX388" s="12" t="s">
        <v>37</v>
      </c>
      <c r="KY388" s="12" t="s">
        <v>37</v>
      </c>
      <c r="KZ388" s="12" t="s">
        <v>37</v>
      </c>
      <c r="LB388" s="12" t="s">
        <v>37</v>
      </c>
      <c r="LC388" s="12" t="s">
        <v>37</v>
      </c>
      <c r="LD388" s="12" t="s">
        <v>37</v>
      </c>
      <c r="LI388" s="12" t="s">
        <v>37</v>
      </c>
      <c r="LJ388" s="12" t="s">
        <v>37</v>
      </c>
      <c r="LK388" s="12" t="s">
        <v>37</v>
      </c>
      <c r="LM388" s="12" t="s">
        <v>37</v>
      </c>
      <c r="LN388" s="12" t="s">
        <v>37</v>
      </c>
      <c r="LO388" s="12" t="s">
        <v>37</v>
      </c>
      <c r="LU388" s="12" t="s">
        <v>37</v>
      </c>
      <c r="LV388" s="12" t="s">
        <v>37</v>
      </c>
      <c r="LW388" s="12" t="s">
        <v>37</v>
      </c>
      <c r="LY388" s="12" t="s">
        <v>37</v>
      </c>
      <c r="LZ388" s="12" t="s">
        <v>37</v>
      </c>
      <c r="MA388" s="12" t="s">
        <v>37</v>
      </c>
      <c r="MF388" s="12" t="s">
        <v>37</v>
      </c>
      <c r="MG388" s="12" t="s">
        <v>37</v>
      </c>
      <c r="MH388" s="12" t="s">
        <v>37</v>
      </c>
      <c r="MJ388" s="12" t="s">
        <v>37</v>
      </c>
      <c r="MK388" s="12" t="s">
        <v>37</v>
      </c>
      <c r="ML388" s="12" t="s">
        <v>37</v>
      </c>
      <c r="MQ388" s="12" t="s">
        <v>37</v>
      </c>
      <c r="MR388" s="12" t="s">
        <v>37</v>
      </c>
      <c r="MS388" s="12" t="s">
        <v>37</v>
      </c>
      <c r="MU388" s="12" t="s">
        <v>37</v>
      </c>
      <c r="MV388" s="12" t="s">
        <v>37</v>
      </c>
      <c r="MW388" s="12" t="s">
        <v>37</v>
      </c>
      <c r="NC388" s="12" t="s">
        <v>37</v>
      </c>
      <c r="ND388" s="12" t="s">
        <v>37</v>
      </c>
      <c r="NE388" s="12" t="s">
        <v>37</v>
      </c>
      <c r="NG388" s="12" t="s">
        <v>37</v>
      </c>
      <c r="NH388" s="12" t="s">
        <v>37</v>
      </c>
      <c r="NI388" s="12" t="s">
        <v>37</v>
      </c>
      <c r="NO388" s="12" t="s">
        <v>37</v>
      </c>
      <c r="NP388" s="12" t="s">
        <v>37</v>
      </c>
      <c r="NQ388" s="12" t="s">
        <v>37</v>
      </c>
      <c r="NS388" s="12" t="s">
        <v>37</v>
      </c>
      <c r="NT388" s="12" t="s">
        <v>37</v>
      </c>
      <c r="NU388" s="12" t="s">
        <v>37</v>
      </c>
      <c r="OA388" s="12" t="s">
        <v>37</v>
      </c>
      <c r="OB388" s="12" t="s">
        <v>37</v>
      </c>
      <c r="OC388" s="12" t="s">
        <v>37</v>
      </c>
      <c r="OD388" s="12"/>
      <c r="OE388" s="12" t="s">
        <v>37</v>
      </c>
      <c r="OF388" s="12" t="s">
        <v>37</v>
      </c>
      <c r="OG388" s="12" t="s">
        <v>37</v>
      </c>
      <c r="OH388" s="12"/>
      <c r="OI388" s="12"/>
      <c r="OJ388" s="12"/>
      <c r="OM388" s="12" t="s">
        <v>37</v>
      </c>
      <c r="ON388" s="12" t="s">
        <v>37</v>
      </c>
      <c r="OO388" s="12" t="s">
        <v>37</v>
      </c>
      <c r="OP388" s="12" t="s">
        <v>37</v>
      </c>
      <c r="OQ388" s="12" t="s">
        <v>37</v>
      </c>
      <c r="OR388" s="12" t="s">
        <v>37</v>
      </c>
      <c r="OS388" s="12"/>
      <c r="OT388" s="12"/>
      <c r="OW388" s="12" t="s">
        <v>37</v>
      </c>
      <c r="OX388" s="12" t="s">
        <v>37</v>
      </c>
      <c r="OY388" s="13" t="s">
        <v>37</v>
      </c>
      <c r="OZ388" s="12" t="s">
        <v>37</v>
      </c>
      <c r="PA388" s="12" t="s">
        <v>37</v>
      </c>
      <c r="PB388" s="13" t="s">
        <v>37</v>
      </c>
      <c r="PG388" s="12" t="s">
        <v>37</v>
      </c>
      <c r="PH388" s="12" t="s">
        <v>37</v>
      </c>
      <c r="PI388" s="12" t="s">
        <v>37</v>
      </c>
      <c r="PJ388" s="12" t="s">
        <v>37</v>
      </c>
      <c r="PK388" s="12" t="s">
        <v>37</v>
      </c>
      <c r="PL388" s="12" t="s">
        <v>37</v>
      </c>
      <c r="PM388" s="12"/>
      <c r="PN388" s="12"/>
      <c r="PQ388" s="12" t="s">
        <v>37</v>
      </c>
      <c r="PR388" s="12" t="s">
        <v>37</v>
      </c>
      <c r="PS388" s="12" t="s">
        <v>37</v>
      </c>
      <c r="PT388" s="12" t="s">
        <v>37</v>
      </c>
      <c r="PU388" s="12" t="s">
        <v>37</v>
      </c>
      <c r="PV388" s="12" t="s">
        <v>37</v>
      </c>
      <c r="PW388" s="12"/>
      <c r="PX388" s="12"/>
      <c r="PZ388" s="12" t="s">
        <v>37</v>
      </c>
      <c r="QA388" s="12" t="s">
        <v>37</v>
      </c>
      <c r="QB388" s="12" t="s">
        <v>37</v>
      </c>
      <c r="QD388" s="12" t="s">
        <v>37</v>
      </c>
      <c r="QE388" s="12" t="s">
        <v>37</v>
      </c>
      <c r="QF388" s="12" t="s">
        <v>37</v>
      </c>
      <c r="QK388" s="12" t="s">
        <v>37</v>
      </c>
      <c r="QL388" s="12" t="s">
        <v>37</v>
      </c>
      <c r="QM388" s="12" t="s">
        <v>37</v>
      </c>
      <c r="QN388" s="12" t="s">
        <v>37</v>
      </c>
      <c r="QO388" s="12" t="s">
        <v>37</v>
      </c>
      <c r="QP388" s="12" t="s">
        <v>37</v>
      </c>
      <c r="QQ388" s="12"/>
      <c r="QR388" s="12"/>
      <c r="QU388" s="12" t="s">
        <v>37</v>
      </c>
      <c r="QV388" s="12" t="s">
        <v>37</v>
      </c>
      <c r="QW388" s="12" t="s">
        <v>37</v>
      </c>
      <c r="QX388" s="12" t="s">
        <v>37</v>
      </c>
      <c r="QY388" s="12" t="s">
        <v>37</v>
      </c>
      <c r="QZ388" s="12" t="s">
        <v>37</v>
      </c>
      <c r="RC388" s="12" t="s">
        <v>37</v>
      </c>
      <c r="RD388" s="12" t="s">
        <v>37</v>
      </c>
      <c r="RE388" s="13" t="s">
        <v>37</v>
      </c>
      <c r="RF388" s="12" t="s">
        <v>37</v>
      </c>
      <c r="RG388" s="12" t="s">
        <v>37</v>
      </c>
      <c r="RH388" s="13" t="s">
        <v>37</v>
      </c>
      <c r="RK388" s="12" t="s">
        <v>37</v>
      </c>
      <c r="RL388" s="12" t="s">
        <v>37</v>
      </c>
      <c r="RM388" s="11" t="s">
        <v>37</v>
      </c>
      <c r="RN388" s="12" t="s">
        <v>37</v>
      </c>
      <c r="RO388" s="12" t="s">
        <v>37</v>
      </c>
      <c r="RP388" s="11" t="s">
        <v>37</v>
      </c>
      <c r="RS388" s="12" t="s">
        <v>37</v>
      </c>
      <c r="RT388" s="12" t="s">
        <v>37</v>
      </c>
      <c r="RU388" s="12" t="s">
        <v>37</v>
      </c>
      <c r="RV388" s="12" t="s">
        <v>37</v>
      </c>
      <c r="RW388" s="12" t="s">
        <v>37</v>
      </c>
      <c r="RX388" s="12" t="s">
        <v>37</v>
      </c>
      <c r="SA388" s="12" t="s">
        <v>37</v>
      </c>
      <c r="SB388" s="12" t="s">
        <v>37</v>
      </c>
      <c r="SC388" s="12" t="s">
        <v>37</v>
      </c>
      <c r="SD388" s="12" t="s">
        <v>37</v>
      </c>
      <c r="SE388" s="12" t="s">
        <v>37</v>
      </c>
      <c r="SF388" s="12" t="s">
        <v>37</v>
      </c>
      <c r="SI388" s="12" t="s">
        <v>37</v>
      </c>
      <c r="SJ388" s="12" t="s">
        <v>37</v>
      </c>
      <c r="SK388" s="13" t="s">
        <v>37</v>
      </c>
      <c r="SM388" s="12" t="s">
        <v>37</v>
      </c>
      <c r="SN388" s="12" t="s">
        <v>37</v>
      </c>
      <c r="SO388" s="13" t="s">
        <v>37</v>
      </c>
      <c r="SU388" s="12" t="s">
        <v>37</v>
      </c>
      <c r="SV388" s="12" t="s">
        <v>37</v>
      </c>
      <c r="SW388" s="12" t="s">
        <v>37</v>
      </c>
      <c r="SX388" s="12" t="s">
        <v>37</v>
      </c>
      <c r="SY388" s="12" t="s">
        <v>37</v>
      </c>
      <c r="SZ388" s="12" t="s">
        <v>37</v>
      </c>
      <c r="TA388" s="12"/>
      <c r="TB388" s="12"/>
      <c r="TE388" s="12" t="s">
        <v>37</v>
      </c>
      <c r="TF388" s="12" t="s">
        <v>37</v>
      </c>
      <c r="TG388" s="12" t="s">
        <v>37</v>
      </c>
      <c r="TH388" s="12" t="s">
        <v>37</v>
      </c>
      <c r="TI388" s="12" t="s">
        <v>37</v>
      </c>
      <c r="TJ388" s="12" t="s">
        <v>37</v>
      </c>
      <c r="TK388" s="12"/>
      <c r="TL388" s="12"/>
      <c r="TO388" s="12" t="s">
        <v>37</v>
      </c>
      <c r="TP388" s="12" t="s">
        <v>37</v>
      </c>
      <c r="TQ388" s="12" t="s">
        <v>37</v>
      </c>
      <c r="TR388" s="12" t="s">
        <v>37</v>
      </c>
      <c r="TS388" s="12" t="s">
        <v>37</v>
      </c>
      <c r="TT388" s="12" t="s">
        <v>37</v>
      </c>
      <c r="TU388" s="12"/>
      <c r="TV388" s="12"/>
      <c r="TY388" s="12" t="s">
        <v>37</v>
      </c>
      <c r="TZ388" s="12" t="s">
        <v>37</v>
      </c>
      <c r="UA388" s="12" t="s">
        <v>37</v>
      </c>
      <c r="UB388" s="12" t="s">
        <v>37</v>
      </c>
      <c r="UC388" s="12" t="s">
        <v>37</v>
      </c>
      <c r="UD388" s="12" t="s">
        <v>37</v>
      </c>
      <c r="UE388" s="12"/>
      <c r="UF388" s="12"/>
      <c r="UI388" s="12" t="s">
        <v>37</v>
      </c>
      <c r="UJ388" s="12" t="s">
        <v>37</v>
      </c>
      <c r="UK388" s="12" t="s">
        <v>37</v>
      </c>
      <c r="UL388" s="12" t="s">
        <v>37</v>
      </c>
      <c r="UM388" s="12" t="s">
        <v>37</v>
      </c>
      <c r="UN388" s="12" t="s">
        <v>37</v>
      </c>
      <c r="UO388" s="12"/>
      <c r="UP388" s="12"/>
      <c r="UR388" s="12" t="s">
        <v>37</v>
      </c>
      <c r="US388" s="12" t="s">
        <v>37</v>
      </c>
      <c r="UT388" s="12" t="s">
        <v>37</v>
      </c>
      <c r="UU388" s="12" t="s">
        <v>37</v>
      </c>
      <c r="UV388" s="12" t="s">
        <v>37</v>
      </c>
      <c r="UW388" s="12" t="s">
        <v>37</v>
      </c>
      <c r="UX388" s="12"/>
      <c r="UY388" s="12"/>
      <c r="VB388" s="12" t="s">
        <v>37</v>
      </c>
      <c r="VC388" s="12" t="s">
        <v>37</v>
      </c>
      <c r="VD388" s="12" t="s">
        <v>37</v>
      </c>
      <c r="VE388" s="12" t="s">
        <v>37</v>
      </c>
      <c r="VF388" s="12" t="s">
        <v>37</v>
      </c>
      <c r="VG388" s="12" t="s">
        <v>37</v>
      </c>
      <c r="VI388" s="12" t="s">
        <v>37</v>
      </c>
      <c r="VJ388" s="12" t="s">
        <v>37</v>
      </c>
      <c r="VK388" s="12" t="s">
        <v>37</v>
      </c>
      <c r="VL388" s="12" t="s">
        <v>37</v>
      </c>
      <c r="VM388" s="12" t="s">
        <v>37</v>
      </c>
      <c r="VN388" s="12" t="s">
        <v>37</v>
      </c>
      <c r="VQ388" s="12" t="s">
        <v>37</v>
      </c>
      <c r="VR388" s="12" t="s">
        <v>37</v>
      </c>
      <c r="VS388" s="12" t="s">
        <v>37</v>
      </c>
      <c r="VT388" s="12" t="s">
        <v>37</v>
      </c>
      <c r="VU388" s="12" t="s">
        <v>37</v>
      </c>
      <c r="VV388" s="12" t="s">
        <v>37</v>
      </c>
      <c r="VW388" s="12"/>
      <c r="VX388" s="12"/>
      <c r="WA388" s="12" t="s">
        <v>37</v>
      </c>
      <c r="WB388" s="12" t="s">
        <v>37</v>
      </c>
      <c r="WC388" s="12" t="s">
        <v>37</v>
      </c>
      <c r="WD388" s="12" t="s">
        <v>37</v>
      </c>
      <c r="WE388" s="12" t="s">
        <v>37</v>
      </c>
      <c r="WF388" s="12" t="s">
        <v>37</v>
      </c>
    </row>
    <row r="389" spans="1:606" ht="18" customHeight="1" x14ac:dyDescent="0.3">
      <c r="A389" s="11">
        <v>81</v>
      </c>
      <c r="B389" s="16" t="s">
        <v>480</v>
      </c>
      <c r="C389" s="12" t="s">
        <v>26</v>
      </c>
      <c r="D389" s="12" t="s">
        <v>54</v>
      </c>
      <c r="E389" s="40">
        <v>2</v>
      </c>
      <c r="F389" s="14">
        <v>0</v>
      </c>
      <c r="G389" s="14">
        <v>0</v>
      </c>
      <c r="H389" s="12" t="s">
        <v>123</v>
      </c>
      <c r="I389" s="29">
        <v>62.817</v>
      </c>
      <c r="J389" s="29">
        <v>30.983000000000001</v>
      </c>
      <c r="K389" s="12" t="s">
        <v>789</v>
      </c>
      <c r="L389" s="12" t="s">
        <v>790</v>
      </c>
      <c r="M389" s="13">
        <v>148</v>
      </c>
      <c r="N389" s="14">
        <v>2</v>
      </c>
      <c r="O389" s="14">
        <v>600</v>
      </c>
      <c r="P389" s="14" t="s">
        <v>84</v>
      </c>
      <c r="Q389" s="75">
        <v>20</v>
      </c>
      <c r="R389" s="11" t="s">
        <v>1000</v>
      </c>
      <c r="S389" s="12" t="s">
        <v>93</v>
      </c>
      <c r="T389" s="12" t="s">
        <v>141</v>
      </c>
      <c r="U389" s="12" t="s">
        <v>158</v>
      </c>
      <c r="V389" s="12" t="s">
        <v>275</v>
      </c>
      <c r="W389" s="23" t="s">
        <v>377</v>
      </c>
      <c r="X389" s="12" t="s">
        <v>281</v>
      </c>
      <c r="Y389" s="12" t="s">
        <v>37</v>
      </c>
      <c r="Z389" s="12" t="s">
        <v>37</v>
      </c>
      <c r="AA389" s="32" t="s">
        <v>372</v>
      </c>
      <c r="AB389" s="12">
        <v>4.3</v>
      </c>
      <c r="AE389" s="12" t="s">
        <v>37</v>
      </c>
      <c r="AF389" s="12" t="s">
        <v>42</v>
      </c>
      <c r="AG389" s="32" t="s">
        <v>372</v>
      </c>
      <c r="AH389" s="12">
        <v>14</v>
      </c>
      <c r="AK389" s="12" t="s">
        <v>37</v>
      </c>
      <c r="AL389" s="32" t="s">
        <v>610</v>
      </c>
      <c r="AM389" s="12" t="s">
        <v>344</v>
      </c>
      <c r="AO389" s="12" t="s">
        <v>37</v>
      </c>
      <c r="AP389" s="12" t="s">
        <v>238</v>
      </c>
      <c r="AQ389" s="12" t="s">
        <v>975</v>
      </c>
      <c r="AT389" s="12" t="s">
        <v>326</v>
      </c>
      <c r="AU389" s="12" t="s">
        <v>326</v>
      </c>
      <c r="AV389" s="13" t="s">
        <v>326</v>
      </c>
      <c r="AX389" s="12" t="s">
        <v>326</v>
      </c>
      <c r="AY389" s="12" t="s">
        <v>326</v>
      </c>
      <c r="AZ389" s="13" t="s">
        <v>326</v>
      </c>
      <c r="BE389" s="12" t="s">
        <v>326</v>
      </c>
      <c r="BF389" s="12" t="s">
        <v>326</v>
      </c>
      <c r="BG389" s="12" t="s">
        <v>326</v>
      </c>
      <c r="BI389" s="12" t="s">
        <v>326</v>
      </c>
      <c r="BJ389" s="12" t="s">
        <v>326</v>
      </c>
      <c r="BK389" s="12" t="s">
        <v>326</v>
      </c>
      <c r="BP389" s="12" t="s">
        <v>37</v>
      </c>
      <c r="BQ389" s="12" t="s">
        <v>37</v>
      </c>
      <c r="BR389" s="13" t="s">
        <v>37</v>
      </c>
      <c r="BT389" s="12" t="s">
        <v>37</v>
      </c>
      <c r="BU389" s="12" t="s">
        <v>37</v>
      </c>
      <c r="BV389" s="12" t="s">
        <v>37</v>
      </c>
      <c r="CA389" s="12" t="s">
        <v>37</v>
      </c>
      <c r="CB389" s="12" t="s">
        <v>37</v>
      </c>
      <c r="CC389" s="13" t="s">
        <v>37</v>
      </c>
      <c r="CE389" s="12" t="s">
        <v>37</v>
      </c>
      <c r="CF389" s="12" t="s">
        <v>37</v>
      </c>
      <c r="CG389" s="12" t="s">
        <v>37</v>
      </c>
      <c r="CI389" s="13"/>
      <c r="CJ389" s="13"/>
      <c r="CN389" s="12" t="s">
        <v>37</v>
      </c>
      <c r="CO389" s="12" t="s">
        <v>37</v>
      </c>
      <c r="CP389" s="13" t="s">
        <v>37</v>
      </c>
      <c r="CR389" s="12" t="s">
        <v>37</v>
      </c>
      <c r="CS389" s="12" t="s">
        <v>37</v>
      </c>
      <c r="CT389" s="13" t="s">
        <v>37</v>
      </c>
      <c r="CV389" s="13"/>
      <c r="CW389" s="13"/>
      <c r="CX389" s="72"/>
      <c r="CY389" s="72"/>
      <c r="DA389" s="12" t="s">
        <v>37</v>
      </c>
      <c r="DB389" s="12" t="s">
        <v>37</v>
      </c>
      <c r="DC389" s="13" t="s">
        <v>37</v>
      </c>
      <c r="DE389" s="12" t="s">
        <v>37</v>
      </c>
      <c r="DF389" s="12" t="s">
        <v>37</v>
      </c>
      <c r="DG389" s="12" t="s">
        <v>37</v>
      </c>
      <c r="DM389" s="11" t="s">
        <v>47</v>
      </c>
      <c r="DN389" s="19">
        <v>68</v>
      </c>
      <c r="DO389" s="50">
        <v>56.982751846655269</v>
      </c>
      <c r="DP389" s="13">
        <v>4</v>
      </c>
      <c r="DR389" s="19">
        <v>15.999999999999998</v>
      </c>
      <c r="DS389" s="50">
        <v>88.274002438097213</v>
      </c>
      <c r="DT389" s="13">
        <v>4</v>
      </c>
      <c r="DV389" s="19">
        <f>DR389-DN389</f>
        <v>-52</v>
      </c>
      <c r="DW389" s="12">
        <f t="shared" si="1380"/>
        <v>74.294459801719697</v>
      </c>
      <c r="DX389" s="72">
        <f t="shared" si="1358"/>
        <v>2759.8333786146723</v>
      </c>
      <c r="DY389" s="72">
        <f t="shared" si="1359"/>
        <v>2759.8333786146718</v>
      </c>
      <c r="EA389" s="19" t="s">
        <v>37</v>
      </c>
      <c r="EB389" s="19" t="s">
        <v>37</v>
      </c>
      <c r="EC389" s="72" t="s">
        <v>37</v>
      </c>
      <c r="EE389" s="19" t="s">
        <v>37</v>
      </c>
      <c r="EF389" s="19" t="s">
        <v>37</v>
      </c>
      <c r="EG389" s="12" t="s">
        <v>37</v>
      </c>
      <c r="EM389" s="12" t="s">
        <v>39</v>
      </c>
      <c r="EN389" s="12">
        <v>-16</v>
      </c>
      <c r="EO389" s="50">
        <f>ABS(EN389)*EQ$474</f>
        <v>6.5199423800206935</v>
      </c>
      <c r="EP389" s="13">
        <v>4</v>
      </c>
      <c r="ER389" s="12">
        <v>-21</v>
      </c>
      <c r="ES389" s="50">
        <f>ABS(ER389)*EU$474</f>
        <v>4.7630951236930779</v>
      </c>
      <c r="ET389" s="13">
        <v>4</v>
      </c>
      <c r="EV389" s="19">
        <f t="shared" ref="EV389:EV391" si="1381">ER389-EN389</f>
        <v>-5</v>
      </c>
      <c r="EW389" s="12">
        <f t="shared" ref="EW389:EW391" si="1382">SQRT(((EP389-1)*EO389^2+(ET389-1)*ES389^2)/(EP389+ET389-2))</f>
        <v>5.7094975171261204</v>
      </c>
      <c r="EX389" s="19">
        <f t="shared" ref="EX389:EX391" si="1383">(((EP389+ET389)/(EP389*ET389))*(((EP389-1)*EO389^2)+(ET389-1)*ES389^2)/(EP389+ET389-2))</f>
        <v>16.299180949034668</v>
      </c>
      <c r="EY389" s="19">
        <f t="shared" ref="EY389:EY391" si="1384">(EO389^2/EP389)+(ES389^2/ET389)</f>
        <v>16.299180949034671</v>
      </c>
      <c r="FB389" s="12" t="s">
        <v>37</v>
      </c>
      <c r="FC389" s="12" t="s">
        <v>37</v>
      </c>
      <c r="FD389" s="12" t="s">
        <v>37</v>
      </c>
      <c r="FE389" s="12" t="s">
        <v>37</v>
      </c>
      <c r="FF389" s="20" t="s">
        <v>37</v>
      </c>
      <c r="FG389" s="12" t="s">
        <v>37</v>
      </c>
      <c r="FI389" s="12" t="s">
        <v>37</v>
      </c>
      <c r="FJ389" s="12" t="s">
        <v>37</v>
      </c>
      <c r="FK389" s="12" t="s">
        <v>37</v>
      </c>
      <c r="FL389" s="12" t="s">
        <v>37</v>
      </c>
      <c r="FM389" s="12" t="s">
        <v>37</v>
      </c>
      <c r="FN389" s="12" t="s">
        <v>37</v>
      </c>
      <c r="FP389" s="12" t="s">
        <v>37</v>
      </c>
      <c r="FQ389" s="12" t="s">
        <v>37</v>
      </c>
      <c r="FR389" s="12" t="s">
        <v>37</v>
      </c>
      <c r="FS389" s="12" t="s">
        <v>37</v>
      </c>
      <c r="FT389" s="12" t="s">
        <v>37</v>
      </c>
      <c r="FU389" s="12" t="s">
        <v>37</v>
      </c>
      <c r="FW389" s="12" t="s">
        <v>37</v>
      </c>
      <c r="FX389" s="12" t="s">
        <v>37</v>
      </c>
      <c r="FY389" s="12" t="s">
        <v>37</v>
      </c>
      <c r="FZ389" s="12" t="s">
        <v>37</v>
      </c>
      <c r="GA389" s="12" t="s">
        <v>37</v>
      </c>
      <c r="GB389" s="12" t="s">
        <v>37</v>
      </c>
      <c r="IK389" s="12" t="s">
        <v>37</v>
      </c>
      <c r="IL389" s="12" t="s">
        <v>37</v>
      </c>
      <c r="IM389" s="12" t="s">
        <v>37</v>
      </c>
      <c r="IO389" s="12" t="s">
        <v>37</v>
      </c>
      <c r="IP389" s="12" t="s">
        <v>37</v>
      </c>
      <c r="IQ389" s="12" t="s">
        <v>37</v>
      </c>
      <c r="IV389" s="32" t="s">
        <v>372</v>
      </c>
      <c r="IW389" s="12">
        <v>4.3</v>
      </c>
      <c r="IX389" s="50">
        <f>ABS(IW389)*IZ$474</f>
        <v>0.15743479330049948</v>
      </c>
      <c r="IY389" s="13">
        <v>3</v>
      </c>
      <c r="JA389" s="12">
        <v>4.3</v>
      </c>
      <c r="JB389" s="50">
        <f>ABS(JA389)*JD$474</f>
        <v>0.12043787777852186</v>
      </c>
      <c r="JC389" s="13">
        <v>3</v>
      </c>
      <c r="JE389" s="19">
        <f t="shared" ref="JE389:JE392" si="1385">LN(JA389/IW389)</f>
        <v>0</v>
      </c>
      <c r="JF389" s="19">
        <f t="shared" ref="JF389:JF395" si="1386">JB389^2/(JC389*JA389^2)+IX389^2/(IY389*IW389^2)</f>
        <v>7.083287641133075E-4</v>
      </c>
      <c r="JH389" s="12" t="s">
        <v>37</v>
      </c>
      <c r="JI389" s="12" t="s">
        <v>37</v>
      </c>
      <c r="JJ389" s="13" t="s">
        <v>37</v>
      </c>
      <c r="JL389" s="12" t="s">
        <v>37</v>
      </c>
      <c r="JM389" s="12" t="s">
        <v>37</v>
      </c>
      <c r="JN389" s="12" t="s">
        <v>37</v>
      </c>
      <c r="JS389" s="12" t="s">
        <v>37</v>
      </c>
      <c r="JT389" s="12" t="s">
        <v>37</v>
      </c>
      <c r="JU389" s="13" t="s">
        <v>37</v>
      </c>
      <c r="JW389" s="12" t="s">
        <v>37</v>
      </c>
      <c r="JX389" s="12" t="s">
        <v>37</v>
      </c>
      <c r="JY389" s="12" t="s">
        <v>37</v>
      </c>
      <c r="KE389" s="12" t="s">
        <v>37</v>
      </c>
      <c r="KF389" s="12" t="s">
        <v>37</v>
      </c>
      <c r="KG389" s="13" t="s">
        <v>37</v>
      </c>
      <c r="KH389" s="12" t="s">
        <v>37</v>
      </c>
      <c r="KI389" s="12" t="s">
        <v>37</v>
      </c>
      <c r="KJ389" s="12" t="s">
        <v>37</v>
      </c>
      <c r="KK389" s="12" t="s">
        <v>42</v>
      </c>
      <c r="KL389" s="32" t="s">
        <v>372</v>
      </c>
      <c r="KM389" s="12">
        <v>14</v>
      </c>
      <c r="KN389" s="50">
        <f>ABS(KM389)*KP$474</f>
        <v>1.6701025793880326</v>
      </c>
      <c r="KO389" s="11">
        <v>3</v>
      </c>
      <c r="KQ389" s="12">
        <v>12</v>
      </c>
      <c r="KR389" s="50">
        <f>ABS(KQ389)*KT$474</f>
        <v>1.2653211620236409</v>
      </c>
      <c r="KS389" s="11">
        <v>3</v>
      </c>
      <c r="KU389" s="19">
        <f t="shared" ref="KU389:KU392" si="1387">LN(KQ389/KM389)</f>
        <v>-0.15415067982725836</v>
      </c>
      <c r="KV389" s="19">
        <f t="shared" ref="KV389:KV392" si="1388">KR389^2/(KS389*KQ389^2)+KN389^2/(KO389*KM389^2)</f>
        <v>8.4497155628593217E-3</v>
      </c>
      <c r="KX389" s="12" t="s">
        <v>37</v>
      </c>
      <c r="KY389" s="12" t="s">
        <v>37</v>
      </c>
      <c r="KZ389" s="12" t="s">
        <v>37</v>
      </c>
      <c r="LB389" s="12" t="s">
        <v>37</v>
      </c>
      <c r="LC389" s="12" t="s">
        <v>37</v>
      </c>
      <c r="LD389" s="12" t="s">
        <v>37</v>
      </c>
      <c r="LI389" s="12" t="s">
        <v>37</v>
      </c>
      <c r="LJ389" s="12" t="s">
        <v>37</v>
      </c>
      <c r="LK389" s="12" t="s">
        <v>37</v>
      </c>
      <c r="LM389" s="12" t="s">
        <v>37</v>
      </c>
      <c r="LN389" s="12" t="s">
        <v>37</v>
      </c>
      <c r="LO389" s="12" t="s">
        <v>37</v>
      </c>
      <c r="LU389" s="12" t="s">
        <v>37</v>
      </c>
      <c r="LV389" s="12" t="s">
        <v>37</v>
      </c>
      <c r="LW389" s="12" t="s">
        <v>37</v>
      </c>
      <c r="LY389" s="12" t="s">
        <v>37</v>
      </c>
      <c r="LZ389" s="12" t="s">
        <v>37</v>
      </c>
      <c r="MA389" s="12" t="s">
        <v>37</v>
      </c>
      <c r="MF389" s="12" t="s">
        <v>37</v>
      </c>
      <c r="MG389" s="12" t="s">
        <v>37</v>
      </c>
      <c r="MH389" s="12" t="s">
        <v>37</v>
      </c>
      <c r="MJ389" s="12" t="s">
        <v>37</v>
      </c>
      <c r="MK389" s="12" t="s">
        <v>37</v>
      </c>
      <c r="ML389" s="12" t="s">
        <v>37</v>
      </c>
      <c r="MQ389" s="12" t="s">
        <v>37</v>
      </c>
      <c r="MR389" s="12" t="s">
        <v>37</v>
      </c>
      <c r="MS389" s="12" t="s">
        <v>37</v>
      </c>
      <c r="MU389" s="12" t="s">
        <v>37</v>
      </c>
      <c r="MV389" s="12" t="s">
        <v>37</v>
      </c>
      <c r="MW389" s="12" t="s">
        <v>37</v>
      </c>
      <c r="NC389" s="12" t="s">
        <v>37</v>
      </c>
      <c r="ND389" s="12" t="s">
        <v>37</v>
      </c>
      <c r="NE389" s="12" t="s">
        <v>37</v>
      </c>
      <c r="NG389" s="12" t="s">
        <v>37</v>
      </c>
      <c r="NH389" s="12" t="s">
        <v>37</v>
      </c>
      <c r="NI389" s="12" t="s">
        <v>37</v>
      </c>
      <c r="NO389" s="12" t="s">
        <v>37</v>
      </c>
      <c r="NP389" s="12" t="s">
        <v>37</v>
      </c>
      <c r="NQ389" s="12" t="s">
        <v>37</v>
      </c>
      <c r="NS389" s="12" t="s">
        <v>37</v>
      </c>
      <c r="NT389" s="12" t="s">
        <v>37</v>
      </c>
      <c r="NU389" s="12" t="s">
        <v>37</v>
      </c>
      <c r="OA389" s="12" t="s">
        <v>37</v>
      </c>
      <c r="OB389" s="12" t="s">
        <v>37</v>
      </c>
      <c r="OC389" s="12" t="s">
        <v>37</v>
      </c>
      <c r="OD389" s="12"/>
      <c r="OE389" s="12" t="s">
        <v>37</v>
      </c>
      <c r="OF389" s="12" t="s">
        <v>37</v>
      </c>
      <c r="OG389" s="12" t="s">
        <v>37</v>
      </c>
      <c r="OH389" s="12"/>
      <c r="OI389" s="12"/>
      <c r="OJ389" s="12"/>
      <c r="OM389" s="12" t="s">
        <v>37</v>
      </c>
      <c r="ON389" s="12" t="s">
        <v>37</v>
      </c>
      <c r="OO389" s="12" t="s">
        <v>37</v>
      </c>
      <c r="OP389" s="12" t="s">
        <v>37</v>
      </c>
      <c r="OQ389" s="12" t="s">
        <v>37</v>
      </c>
      <c r="OR389" s="12" t="s">
        <v>37</v>
      </c>
      <c r="OS389" s="12"/>
      <c r="OT389" s="12"/>
      <c r="OW389" s="12" t="s">
        <v>37</v>
      </c>
      <c r="OX389" s="12" t="s">
        <v>37</v>
      </c>
      <c r="OY389" s="13" t="s">
        <v>37</v>
      </c>
      <c r="OZ389" s="12" t="s">
        <v>37</v>
      </c>
      <c r="PA389" s="12" t="s">
        <v>37</v>
      </c>
      <c r="PB389" s="13" t="s">
        <v>37</v>
      </c>
      <c r="PG389" s="12" t="s">
        <v>37</v>
      </c>
      <c r="PH389" s="12" t="s">
        <v>37</v>
      </c>
      <c r="PI389" s="12" t="s">
        <v>37</v>
      </c>
      <c r="PJ389" s="12" t="s">
        <v>37</v>
      </c>
      <c r="PK389" s="12" t="s">
        <v>37</v>
      </c>
      <c r="PL389" s="12" t="s">
        <v>37</v>
      </c>
      <c r="PM389" s="12"/>
      <c r="PN389" s="12"/>
      <c r="PQ389" s="12" t="s">
        <v>37</v>
      </c>
      <c r="PR389" s="12" t="s">
        <v>37</v>
      </c>
      <c r="PS389" s="12" t="s">
        <v>37</v>
      </c>
      <c r="PT389" s="12" t="s">
        <v>37</v>
      </c>
      <c r="PU389" s="12" t="s">
        <v>37</v>
      </c>
      <c r="PV389" s="12" t="s">
        <v>37</v>
      </c>
      <c r="PW389" s="12"/>
      <c r="PX389" s="12"/>
      <c r="PZ389" s="12" t="s">
        <v>37</v>
      </c>
      <c r="QA389" s="12" t="s">
        <v>37</v>
      </c>
      <c r="QB389" s="12" t="s">
        <v>37</v>
      </c>
      <c r="QD389" s="12" t="s">
        <v>37</v>
      </c>
      <c r="QE389" s="12" t="s">
        <v>37</v>
      </c>
      <c r="QF389" s="12" t="s">
        <v>37</v>
      </c>
      <c r="QK389" s="12" t="s">
        <v>37</v>
      </c>
      <c r="QL389" s="12" t="s">
        <v>37</v>
      </c>
      <c r="QM389" s="12" t="s">
        <v>37</v>
      </c>
      <c r="QN389" s="12" t="s">
        <v>37</v>
      </c>
      <c r="QO389" s="12" t="s">
        <v>37</v>
      </c>
      <c r="QP389" s="12" t="s">
        <v>37</v>
      </c>
      <c r="QQ389" s="12"/>
      <c r="QR389" s="12"/>
      <c r="QU389" s="12" t="s">
        <v>37</v>
      </c>
      <c r="QV389" s="12" t="s">
        <v>37</v>
      </c>
      <c r="QW389" s="12" t="s">
        <v>37</v>
      </c>
      <c r="QX389" s="12" t="s">
        <v>37</v>
      </c>
      <c r="QY389" s="12" t="s">
        <v>37</v>
      </c>
      <c r="QZ389" s="12" t="s">
        <v>37</v>
      </c>
      <c r="RC389" s="12" t="s">
        <v>37</v>
      </c>
      <c r="RD389" s="12" t="s">
        <v>37</v>
      </c>
      <c r="RE389" s="13" t="s">
        <v>37</v>
      </c>
      <c r="RF389" s="12" t="s">
        <v>37</v>
      </c>
      <c r="RG389" s="12" t="s">
        <v>37</v>
      </c>
      <c r="RH389" s="13" t="s">
        <v>37</v>
      </c>
      <c r="RK389" s="12" t="s">
        <v>37</v>
      </c>
      <c r="RL389" s="12" t="s">
        <v>37</v>
      </c>
      <c r="RM389" s="11" t="s">
        <v>37</v>
      </c>
      <c r="RN389" s="12" t="s">
        <v>37</v>
      </c>
      <c r="RO389" s="12" t="s">
        <v>37</v>
      </c>
      <c r="RP389" s="11" t="s">
        <v>37</v>
      </c>
      <c r="RS389" s="12" t="s">
        <v>37</v>
      </c>
      <c r="RT389" s="12" t="s">
        <v>37</v>
      </c>
      <c r="RU389" s="12" t="s">
        <v>37</v>
      </c>
      <c r="RV389" s="12" t="s">
        <v>37</v>
      </c>
      <c r="RW389" s="12" t="s">
        <v>37</v>
      </c>
      <c r="RX389" s="12" t="s">
        <v>37</v>
      </c>
      <c r="SA389" s="12" t="s">
        <v>37</v>
      </c>
      <c r="SB389" s="12" t="s">
        <v>37</v>
      </c>
      <c r="SC389" s="12" t="s">
        <v>37</v>
      </c>
      <c r="SD389" s="12" t="s">
        <v>37</v>
      </c>
      <c r="SE389" s="12" t="s">
        <v>37</v>
      </c>
      <c r="SF389" s="12" t="s">
        <v>37</v>
      </c>
      <c r="SI389" s="12" t="s">
        <v>37</v>
      </c>
      <c r="SJ389" s="12" t="s">
        <v>37</v>
      </c>
      <c r="SK389" s="13" t="s">
        <v>37</v>
      </c>
      <c r="SM389" s="12" t="s">
        <v>37</v>
      </c>
      <c r="SN389" s="12" t="s">
        <v>37</v>
      </c>
      <c r="SO389" s="13" t="s">
        <v>37</v>
      </c>
      <c r="SU389" s="12" t="s">
        <v>37</v>
      </c>
      <c r="SV389" s="12" t="s">
        <v>37</v>
      </c>
      <c r="SW389" s="12" t="s">
        <v>37</v>
      </c>
      <c r="SX389" s="12" t="s">
        <v>37</v>
      </c>
      <c r="SY389" s="12" t="s">
        <v>37</v>
      </c>
      <c r="SZ389" s="12" t="s">
        <v>37</v>
      </c>
      <c r="TA389" s="12"/>
      <c r="TB389" s="12"/>
      <c r="TE389" s="12" t="s">
        <v>37</v>
      </c>
      <c r="TF389" s="12" t="s">
        <v>37</v>
      </c>
      <c r="TG389" s="12" t="s">
        <v>37</v>
      </c>
      <c r="TH389" s="12" t="s">
        <v>37</v>
      </c>
      <c r="TI389" s="12" t="s">
        <v>37</v>
      </c>
      <c r="TJ389" s="12" t="s">
        <v>37</v>
      </c>
      <c r="TK389" s="12"/>
      <c r="TL389" s="12"/>
      <c r="TO389" s="12" t="s">
        <v>37</v>
      </c>
      <c r="TP389" s="12" t="s">
        <v>37</v>
      </c>
      <c r="TQ389" s="12" t="s">
        <v>37</v>
      </c>
      <c r="TR389" s="12" t="s">
        <v>37</v>
      </c>
      <c r="TS389" s="12" t="s">
        <v>37</v>
      </c>
      <c r="TT389" s="12" t="s">
        <v>37</v>
      </c>
      <c r="TU389" s="12"/>
      <c r="TV389" s="12"/>
      <c r="TY389" s="12" t="s">
        <v>37</v>
      </c>
      <c r="TZ389" s="12" t="s">
        <v>37</v>
      </c>
      <c r="UA389" s="12" t="s">
        <v>37</v>
      </c>
      <c r="UB389" s="12" t="s">
        <v>37</v>
      </c>
      <c r="UC389" s="12" t="s">
        <v>37</v>
      </c>
      <c r="UD389" s="12" t="s">
        <v>37</v>
      </c>
      <c r="UE389" s="12"/>
      <c r="UF389" s="12"/>
      <c r="UI389" s="12" t="s">
        <v>37</v>
      </c>
      <c r="UJ389" s="12" t="s">
        <v>37</v>
      </c>
      <c r="UK389" s="12" t="s">
        <v>37</v>
      </c>
      <c r="UL389" s="12" t="s">
        <v>37</v>
      </c>
      <c r="UM389" s="12" t="s">
        <v>37</v>
      </c>
      <c r="UN389" s="12" t="s">
        <v>37</v>
      </c>
      <c r="UO389" s="12"/>
      <c r="UP389" s="12"/>
      <c r="UR389" s="12" t="s">
        <v>37</v>
      </c>
      <c r="US389" s="12" t="s">
        <v>37</v>
      </c>
      <c r="UT389" s="12" t="s">
        <v>37</v>
      </c>
      <c r="UU389" s="12" t="s">
        <v>37</v>
      </c>
      <c r="UV389" s="12" t="s">
        <v>37</v>
      </c>
      <c r="UW389" s="12" t="s">
        <v>37</v>
      </c>
      <c r="UX389" s="12"/>
      <c r="UY389" s="12"/>
      <c r="VB389" s="12" t="s">
        <v>37</v>
      </c>
      <c r="VC389" s="12" t="s">
        <v>37</v>
      </c>
      <c r="VD389" s="12" t="s">
        <v>37</v>
      </c>
      <c r="VE389" s="12" t="s">
        <v>37</v>
      </c>
      <c r="VF389" s="12" t="s">
        <v>37</v>
      </c>
      <c r="VG389" s="12" t="s">
        <v>37</v>
      </c>
      <c r="VI389" s="12" t="s">
        <v>37</v>
      </c>
      <c r="VJ389" s="12" t="s">
        <v>37</v>
      </c>
      <c r="VK389" s="12" t="s">
        <v>37</v>
      </c>
      <c r="VL389" s="12" t="s">
        <v>37</v>
      </c>
      <c r="VM389" s="12" t="s">
        <v>37</v>
      </c>
      <c r="VN389" s="12" t="s">
        <v>37</v>
      </c>
      <c r="VQ389" s="12" t="s">
        <v>37</v>
      </c>
      <c r="VR389" s="12" t="s">
        <v>37</v>
      </c>
      <c r="VS389" s="12" t="s">
        <v>37</v>
      </c>
      <c r="VT389" s="12" t="s">
        <v>37</v>
      </c>
      <c r="VU389" s="12" t="s">
        <v>37</v>
      </c>
      <c r="VV389" s="12" t="s">
        <v>37</v>
      </c>
      <c r="VW389" s="12"/>
      <c r="VX389" s="12"/>
      <c r="WA389" s="12" t="s">
        <v>37</v>
      </c>
      <c r="WB389" s="12" t="s">
        <v>37</v>
      </c>
      <c r="WC389" s="12" t="s">
        <v>37</v>
      </c>
      <c r="WD389" s="12" t="s">
        <v>37</v>
      </c>
      <c r="WE389" s="12" t="s">
        <v>37</v>
      </c>
      <c r="WF389" s="12" t="s">
        <v>37</v>
      </c>
    </row>
    <row r="390" spans="1:606" ht="18" customHeight="1" x14ac:dyDescent="0.3">
      <c r="A390" s="11">
        <v>81</v>
      </c>
      <c r="B390" s="16" t="s">
        <v>480</v>
      </c>
      <c r="C390" s="12" t="s">
        <v>26</v>
      </c>
      <c r="D390" s="12" t="s">
        <v>54</v>
      </c>
      <c r="E390" s="40">
        <v>2.2999999999999998</v>
      </c>
      <c r="F390" s="14">
        <v>0</v>
      </c>
      <c r="G390" s="14">
        <v>0</v>
      </c>
      <c r="H390" s="12" t="s">
        <v>123</v>
      </c>
      <c r="I390" s="29">
        <v>61.8</v>
      </c>
      <c r="J390" s="29">
        <v>24.317</v>
      </c>
      <c r="K390" s="12" t="s">
        <v>665</v>
      </c>
      <c r="L390" s="12" t="s">
        <v>666</v>
      </c>
      <c r="M390" s="13">
        <v>150</v>
      </c>
      <c r="N390" s="14">
        <v>2</v>
      </c>
      <c r="O390" s="14">
        <v>600</v>
      </c>
      <c r="P390" s="14" t="s">
        <v>84</v>
      </c>
      <c r="Q390" s="75">
        <v>30</v>
      </c>
      <c r="R390" s="11" t="s">
        <v>1000</v>
      </c>
      <c r="S390" s="12" t="s">
        <v>93</v>
      </c>
      <c r="T390" s="12" t="s">
        <v>141</v>
      </c>
      <c r="U390" s="12" t="s">
        <v>163</v>
      </c>
      <c r="V390" s="12" t="s">
        <v>275</v>
      </c>
      <c r="W390" s="23" t="s">
        <v>377</v>
      </c>
      <c r="X390" s="12" t="s">
        <v>281</v>
      </c>
      <c r="Y390" s="12" t="s">
        <v>37</v>
      </c>
      <c r="Z390" s="12" t="s">
        <v>37</v>
      </c>
      <c r="AA390" s="32" t="s">
        <v>372</v>
      </c>
      <c r="AB390" s="12">
        <v>3.8</v>
      </c>
      <c r="AE390" s="12" t="s">
        <v>37</v>
      </c>
      <c r="AF390" s="12" t="s">
        <v>42</v>
      </c>
      <c r="AG390" s="32" t="s">
        <v>372</v>
      </c>
      <c r="AH390" s="12">
        <v>5</v>
      </c>
      <c r="AK390" s="12" t="s">
        <v>37</v>
      </c>
      <c r="AL390" s="32" t="s">
        <v>610</v>
      </c>
      <c r="AM390" s="12" t="s">
        <v>344</v>
      </c>
      <c r="AO390" s="12" t="s">
        <v>37</v>
      </c>
      <c r="AP390" s="12" t="s">
        <v>238</v>
      </c>
      <c r="AQ390" s="12" t="s">
        <v>975</v>
      </c>
      <c r="AT390" s="12" t="s">
        <v>326</v>
      </c>
      <c r="AU390" s="12" t="s">
        <v>326</v>
      </c>
      <c r="AV390" s="13" t="s">
        <v>326</v>
      </c>
      <c r="AX390" s="12" t="s">
        <v>326</v>
      </c>
      <c r="AY390" s="12" t="s">
        <v>326</v>
      </c>
      <c r="AZ390" s="13" t="s">
        <v>326</v>
      </c>
      <c r="BE390" s="12" t="s">
        <v>326</v>
      </c>
      <c r="BF390" s="12" t="s">
        <v>326</v>
      </c>
      <c r="BG390" s="12" t="s">
        <v>326</v>
      </c>
      <c r="BI390" s="12" t="s">
        <v>326</v>
      </c>
      <c r="BJ390" s="12" t="s">
        <v>326</v>
      </c>
      <c r="BK390" s="12" t="s">
        <v>326</v>
      </c>
      <c r="BP390" s="12" t="s">
        <v>37</v>
      </c>
      <c r="BQ390" s="12" t="s">
        <v>37</v>
      </c>
      <c r="BR390" s="13" t="s">
        <v>37</v>
      </c>
      <c r="BT390" s="12" t="s">
        <v>37</v>
      </c>
      <c r="BU390" s="12" t="s">
        <v>37</v>
      </c>
      <c r="BV390" s="12" t="s">
        <v>37</v>
      </c>
      <c r="CA390" s="12" t="s">
        <v>37</v>
      </c>
      <c r="CB390" s="12" t="s">
        <v>37</v>
      </c>
      <c r="CC390" s="13" t="s">
        <v>37</v>
      </c>
      <c r="CE390" s="12" t="s">
        <v>37</v>
      </c>
      <c r="CF390" s="12" t="s">
        <v>37</v>
      </c>
      <c r="CG390" s="12" t="s">
        <v>37</v>
      </c>
      <c r="CN390" s="12" t="s">
        <v>37</v>
      </c>
      <c r="CO390" s="12" t="s">
        <v>37</v>
      </c>
      <c r="CP390" s="13" t="s">
        <v>37</v>
      </c>
      <c r="CR390" s="12" t="s">
        <v>37</v>
      </c>
      <c r="CS390" s="12" t="s">
        <v>37</v>
      </c>
      <c r="CT390" s="13" t="s">
        <v>37</v>
      </c>
      <c r="CX390" s="72"/>
      <c r="CY390" s="72"/>
      <c r="DA390" s="12" t="s">
        <v>37</v>
      </c>
      <c r="DB390" s="12" t="s">
        <v>37</v>
      </c>
      <c r="DC390" s="13" t="s">
        <v>37</v>
      </c>
      <c r="DE390" s="12" t="s">
        <v>37</v>
      </c>
      <c r="DF390" s="12" t="s">
        <v>37</v>
      </c>
      <c r="DG390" s="12" t="s">
        <v>37</v>
      </c>
      <c r="DM390" s="11" t="s">
        <v>47</v>
      </c>
      <c r="DN390" s="19">
        <v>67.999999999999986</v>
      </c>
      <c r="DO390" s="50">
        <v>56.982751846655255</v>
      </c>
      <c r="DP390" s="13">
        <v>4</v>
      </c>
      <c r="DR390" s="19">
        <v>40</v>
      </c>
      <c r="DS390" s="50">
        <v>220.68500609524307</v>
      </c>
      <c r="DT390" s="13">
        <v>4</v>
      </c>
      <c r="DV390" s="19">
        <f t="shared" si="1379"/>
        <v>-27.999999999999986</v>
      </c>
      <c r="DW390" s="12">
        <f t="shared" si="1380"/>
        <v>161.16591749385935</v>
      </c>
      <c r="DX390" s="72">
        <f t="shared" si="1358"/>
        <v>12987.226480818739</v>
      </c>
      <c r="DY390" s="72">
        <f t="shared" si="1359"/>
        <v>12987.226480818741</v>
      </c>
      <c r="EA390" s="19" t="s">
        <v>37</v>
      </c>
      <c r="EB390" s="19" t="s">
        <v>37</v>
      </c>
      <c r="EC390" s="72" t="s">
        <v>37</v>
      </c>
      <c r="EE390" s="19" t="s">
        <v>37</v>
      </c>
      <c r="EF390" s="19" t="s">
        <v>37</v>
      </c>
      <c r="EG390" s="12" t="s">
        <v>37</v>
      </c>
      <c r="EM390" s="12" t="s">
        <v>39</v>
      </c>
      <c r="EN390" s="12">
        <v>-15</v>
      </c>
      <c r="EO390" s="50">
        <f>ABS(EN390)*EQ$474</f>
        <v>6.1124459812694001</v>
      </c>
      <c r="EP390" s="13">
        <v>4</v>
      </c>
      <c r="ER390" s="12">
        <v>-20</v>
      </c>
      <c r="ES390" s="50">
        <f>ABS(ER390)*EU$474</f>
        <v>4.5362810701838834</v>
      </c>
      <c r="ET390" s="13">
        <v>4</v>
      </c>
      <c r="EV390" s="19">
        <f t="shared" si="1381"/>
        <v>-5</v>
      </c>
      <c r="EW390" s="12">
        <f t="shared" si="1382"/>
        <v>5.3823713092671834</v>
      </c>
      <c r="EX390" s="19">
        <f t="shared" si="1383"/>
        <v>14.484960455411269</v>
      </c>
      <c r="EY390" s="19">
        <f t="shared" si="1384"/>
        <v>14.484960455411269</v>
      </c>
      <c r="FB390" s="12" t="s">
        <v>37</v>
      </c>
      <c r="FC390" s="12" t="s">
        <v>37</v>
      </c>
      <c r="FD390" s="12" t="s">
        <v>37</v>
      </c>
      <c r="FE390" s="12" t="s">
        <v>37</v>
      </c>
      <c r="FF390" s="20" t="s">
        <v>37</v>
      </c>
      <c r="FG390" s="12" t="s">
        <v>37</v>
      </c>
      <c r="FI390" s="12" t="s">
        <v>37</v>
      </c>
      <c r="FJ390" s="12" t="s">
        <v>37</v>
      </c>
      <c r="FK390" s="12" t="s">
        <v>37</v>
      </c>
      <c r="FL390" s="12" t="s">
        <v>37</v>
      </c>
      <c r="FM390" s="12" t="s">
        <v>37</v>
      </c>
      <c r="FN390" s="12" t="s">
        <v>37</v>
      </c>
      <c r="FP390" s="12" t="s">
        <v>37</v>
      </c>
      <c r="FQ390" s="12" t="s">
        <v>37</v>
      </c>
      <c r="FR390" s="12" t="s">
        <v>37</v>
      </c>
      <c r="FS390" s="12" t="s">
        <v>37</v>
      </c>
      <c r="FT390" s="12" t="s">
        <v>37</v>
      </c>
      <c r="FU390" s="12" t="s">
        <v>37</v>
      </c>
      <c r="FW390" s="12" t="s">
        <v>37</v>
      </c>
      <c r="FX390" s="12" t="s">
        <v>37</v>
      </c>
      <c r="FY390" s="12" t="s">
        <v>37</v>
      </c>
      <c r="FZ390" s="12" t="s">
        <v>37</v>
      </c>
      <c r="GA390" s="12" t="s">
        <v>37</v>
      </c>
      <c r="GB390" s="12" t="s">
        <v>37</v>
      </c>
      <c r="IK390" s="12" t="s">
        <v>37</v>
      </c>
      <c r="IL390" s="12" t="s">
        <v>37</v>
      </c>
      <c r="IM390" s="12" t="s">
        <v>37</v>
      </c>
      <c r="IO390" s="12" t="s">
        <v>37</v>
      </c>
      <c r="IP390" s="12" t="s">
        <v>37</v>
      </c>
      <c r="IQ390" s="12" t="s">
        <v>37</v>
      </c>
      <c r="IV390" s="32" t="s">
        <v>372</v>
      </c>
      <c r="IW390" s="12">
        <v>3.8</v>
      </c>
      <c r="IX390" s="50">
        <f>ABS(IW390)*IZ$474</f>
        <v>0.13912842198648792</v>
      </c>
      <c r="IY390" s="13">
        <v>3</v>
      </c>
      <c r="JA390" s="12">
        <v>3.8</v>
      </c>
      <c r="JB390" s="50">
        <f>ABS(JA390)*JD$474</f>
        <v>0.10643347338567048</v>
      </c>
      <c r="JC390" s="13">
        <v>3</v>
      </c>
      <c r="JE390" s="19">
        <f t="shared" si="1385"/>
        <v>0</v>
      </c>
      <c r="JF390" s="19">
        <f t="shared" si="1386"/>
        <v>7.083287641133075E-4</v>
      </c>
      <c r="JH390" s="12" t="s">
        <v>37</v>
      </c>
      <c r="JI390" s="12" t="s">
        <v>37</v>
      </c>
      <c r="JJ390" s="13" t="s">
        <v>37</v>
      </c>
      <c r="JL390" s="12" t="s">
        <v>37</v>
      </c>
      <c r="JM390" s="12" t="s">
        <v>37</v>
      </c>
      <c r="JN390" s="12" t="s">
        <v>37</v>
      </c>
      <c r="JS390" s="12" t="s">
        <v>37</v>
      </c>
      <c r="JT390" s="12" t="s">
        <v>37</v>
      </c>
      <c r="JU390" s="13" t="s">
        <v>37</v>
      </c>
      <c r="JW390" s="12" t="s">
        <v>37</v>
      </c>
      <c r="JX390" s="12" t="s">
        <v>37</v>
      </c>
      <c r="JY390" s="12" t="s">
        <v>37</v>
      </c>
      <c r="KE390" s="12" t="s">
        <v>37</v>
      </c>
      <c r="KF390" s="12" t="s">
        <v>37</v>
      </c>
      <c r="KG390" s="13" t="s">
        <v>37</v>
      </c>
      <c r="KH390" s="12" t="s">
        <v>37</v>
      </c>
      <c r="KI390" s="12" t="s">
        <v>37</v>
      </c>
      <c r="KJ390" s="12" t="s">
        <v>37</v>
      </c>
      <c r="KK390" s="12" t="s">
        <v>42</v>
      </c>
      <c r="KL390" s="32" t="s">
        <v>372</v>
      </c>
      <c r="KM390" s="12">
        <v>5</v>
      </c>
      <c r="KN390" s="50">
        <f>ABS(KM390)*KP$474</f>
        <v>0.59646520692429739</v>
      </c>
      <c r="KO390" s="11">
        <v>3</v>
      </c>
      <c r="KQ390" s="12">
        <v>5</v>
      </c>
      <c r="KR390" s="50">
        <f>ABS(KQ390)*KT$474</f>
        <v>0.52721715084318377</v>
      </c>
      <c r="KS390" s="11">
        <v>3</v>
      </c>
      <c r="KU390" s="19">
        <f t="shared" si="1387"/>
        <v>0</v>
      </c>
      <c r="KV390" s="19">
        <f t="shared" si="1388"/>
        <v>8.4497155628593234E-3</v>
      </c>
      <c r="KX390" s="12" t="s">
        <v>37</v>
      </c>
      <c r="KY390" s="12" t="s">
        <v>37</v>
      </c>
      <c r="KZ390" s="12" t="s">
        <v>37</v>
      </c>
      <c r="LB390" s="12" t="s">
        <v>37</v>
      </c>
      <c r="LC390" s="12" t="s">
        <v>37</v>
      </c>
      <c r="LD390" s="12" t="s">
        <v>37</v>
      </c>
      <c r="LI390" s="12" t="s">
        <v>37</v>
      </c>
      <c r="LJ390" s="12" t="s">
        <v>37</v>
      </c>
      <c r="LK390" s="12" t="s">
        <v>37</v>
      </c>
      <c r="LM390" s="12" t="s">
        <v>37</v>
      </c>
      <c r="LN390" s="12" t="s">
        <v>37</v>
      </c>
      <c r="LO390" s="12" t="s">
        <v>37</v>
      </c>
      <c r="LU390" s="12" t="s">
        <v>37</v>
      </c>
      <c r="LV390" s="12" t="s">
        <v>37</v>
      </c>
      <c r="LW390" s="12" t="s">
        <v>37</v>
      </c>
      <c r="LY390" s="12" t="s">
        <v>37</v>
      </c>
      <c r="LZ390" s="12" t="s">
        <v>37</v>
      </c>
      <c r="MA390" s="12" t="s">
        <v>37</v>
      </c>
      <c r="MF390" s="12" t="s">
        <v>37</v>
      </c>
      <c r="MG390" s="12" t="s">
        <v>37</v>
      </c>
      <c r="MH390" s="12" t="s">
        <v>37</v>
      </c>
      <c r="MJ390" s="12" t="s">
        <v>37</v>
      </c>
      <c r="MK390" s="12" t="s">
        <v>37</v>
      </c>
      <c r="ML390" s="12" t="s">
        <v>37</v>
      </c>
      <c r="MQ390" s="12" t="s">
        <v>37</v>
      </c>
      <c r="MR390" s="12" t="s">
        <v>37</v>
      </c>
      <c r="MS390" s="12" t="s">
        <v>37</v>
      </c>
      <c r="MU390" s="12" t="s">
        <v>37</v>
      </c>
      <c r="MV390" s="12" t="s">
        <v>37</v>
      </c>
      <c r="MW390" s="12" t="s">
        <v>37</v>
      </c>
      <c r="NC390" s="12" t="s">
        <v>37</v>
      </c>
      <c r="ND390" s="12" t="s">
        <v>37</v>
      </c>
      <c r="NE390" s="12" t="s">
        <v>37</v>
      </c>
      <c r="NG390" s="12" t="s">
        <v>37</v>
      </c>
      <c r="NH390" s="12" t="s">
        <v>37</v>
      </c>
      <c r="NI390" s="12" t="s">
        <v>37</v>
      </c>
      <c r="NO390" s="12" t="s">
        <v>37</v>
      </c>
      <c r="NP390" s="12" t="s">
        <v>37</v>
      </c>
      <c r="NQ390" s="12" t="s">
        <v>37</v>
      </c>
      <c r="NS390" s="12" t="s">
        <v>37</v>
      </c>
      <c r="NT390" s="12" t="s">
        <v>37</v>
      </c>
      <c r="NU390" s="12" t="s">
        <v>37</v>
      </c>
      <c r="OA390" s="12" t="s">
        <v>37</v>
      </c>
      <c r="OB390" s="12" t="s">
        <v>37</v>
      </c>
      <c r="OC390" s="12" t="s">
        <v>37</v>
      </c>
      <c r="OD390" s="12"/>
      <c r="OE390" s="12" t="s">
        <v>37</v>
      </c>
      <c r="OF390" s="12" t="s">
        <v>37</v>
      </c>
      <c r="OG390" s="12" t="s">
        <v>37</v>
      </c>
      <c r="OH390" s="12"/>
      <c r="OI390" s="12"/>
      <c r="OJ390" s="12"/>
      <c r="OM390" s="12" t="s">
        <v>37</v>
      </c>
      <c r="ON390" s="12" t="s">
        <v>37</v>
      </c>
      <c r="OO390" s="12" t="s">
        <v>37</v>
      </c>
      <c r="OP390" s="12" t="s">
        <v>37</v>
      </c>
      <c r="OQ390" s="12" t="s">
        <v>37</v>
      </c>
      <c r="OR390" s="12" t="s">
        <v>37</v>
      </c>
      <c r="OS390" s="12"/>
      <c r="OT390" s="12"/>
      <c r="OW390" s="12" t="s">
        <v>37</v>
      </c>
      <c r="OX390" s="12" t="s">
        <v>37</v>
      </c>
      <c r="OY390" s="13" t="s">
        <v>37</v>
      </c>
      <c r="OZ390" s="12" t="s">
        <v>37</v>
      </c>
      <c r="PA390" s="12" t="s">
        <v>37</v>
      </c>
      <c r="PB390" s="13" t="s">
        <v>37</v>
      </c>
      <c r="PG390" s="12" t="s">
        <v>37</v>
      </c>
      <c r="PH390" s="12" t="s">
        <v>37</v>
      </c>
      <c r="PI390" s="12" t="s">
        <v>37</v>
      </c>
      <c r="PJ390" s="12" t="s">
        <v>37</v>
      </c>
      <c r="PK390" s="12" t="s">
        <v>37</v>
      </c>
      <c r="PL390" s="12" t="s">
        <v>37</v>
      </c>
      <c r="PM390" s="12"/>
      <c r="PN390" s="12"/>
      <c r="PQ390" s="12" t="s">
        <v>37</v>
      </c>
      <c r="PR390" s="12" t="s">
        <v>37</v>
      </c>
      <c r="PS390" s="12" t="s">
        <v>37</v>
      </c>
      <c r="PT390" s="12" t="s">
        <v>37</v>
      </c>
      <c r="PU390" s="12" t="s">
        <v>37</v>
      </c>
      <c r="PV390" s="12" t="s">
        <v>37</v>
      </c>
      <c r="PW390" s="12"/>
      <c r="PX390" s="12"/>
      <c r="PZ390" s="12" t="s">
        <v>37</v>
      </c>
      <c r="QA390" s="12" t="s">
        <v>37</v>
      </c>
      <c r="QB390" s="12" t="s">
        <v>37</v>
      </c>
      <c r="QD390" s="12" t="s">
        <v>37</v>
      </c>
      <c r="QE390" s="12" t="s">
        <v>37</v>
      </c>
      <c r="QF390" s="12" t="s">
        <v>37</v>
      </c>
      <c r="QK390" s="12" t="s">
        <v>37</v>
      </c>
      <c r="QL390" s="12" t="s">
        <v>37</v>
      </c>
      <c r="QM390" s="12" t="s">
        <v>37</v>
      </c>
      <c r="QN390" s="12" t="s">
        <v>37</v>
      </c>
      <c r="QO390" s="12" t="s">
        <v>37</v>
      </c>
      <c r="QP390" s="12" t="s">
        <v>37</v>
      </c>
      <c r="QQ390" s="12"/>
      <c r="QR390" s="12"/>
      <c r="QU390" s="12" t="s">
        <v>37</v>
      </c>
      <c r="QV390" s="12" t="s">
        <v>37</v>
      </c>
      <c r="QW390" s="12" t="s">
        <v>37</v>
      </c>
      <c r="QX390" s="12" t="s">
        <v>37</v>
      </c>
      <c r="QY390" s="12" t="s">
        <v>37</v>
      </c>
      <c r="QZ390" s="12" t="s">
        <v>37</v>
      </c>
      <c r="RC390" s="12" t="s">
        <v>37</v>
      </c>
      <c r="RD390" s="12" t="s">
        <v>37</v>
      </c>
      <c r="RE390" s="13" t="s">
        <v>37</v>
      </c>
      <c r="RF390" s="12" t="s">
        <v>37</v>
      </c>
      <c r="RG390" s="12" t="s">
        <v>37</v>
      </c>
      <c r="RH390" s="13" t="s">
        <v>37</v>
      </c>
      <c r="RK390" s="12" t="s">
        <v>37</v>
      </c>
      <c r="RL390" s="12" t="s">
        <v>37</v>
      </c>
      <c r="RM390" s="11" t="s">
        <v>37</v>
      </c>
      <c r="RN390" s="12" t="s">
        <v>37</v>
      </c>
      <c r="RO390" s="12" t="s">
        <v>37</v>
      </c>
      <c r="RP390" s="11" t="s">
        <v>37</v>
      </c>
      <c r="RS390" s="12" t="s">
        <v>37</v>
      </c>
      <c r="RT390" s="12" t="s">
        <v>37</v>
      </c>
      <c r="RU390" s="12" t="s">
        <v>37</v>
      </c>
      <c r="RV390" s="12" t="s">
        <v>37</v>
      </c>
      <c r="RW390" s="12" t="s">
        <v>37</v>
      </c>
      <c r="RX390" s="12" t="s">
        <v>37</v>
      </c>
      <c r="SA390" s="12" t="s">
        <v>37</v>
      </c>
      <c r="SB390" s="12" t="s">
        <v>37</v>
      </c>
      <c r="SC390" s="12" t="s">
        <v>37</v>
      </c>
      <c r="SD390" s="12" t="s">
        <v>37</v>
      </c>
      <c r="SE390" s="12" t="s">
        <v>37</v>
      </c>
      <c r="SF390" s="12" t="s">
        <v>37</v>
      </c>
      <c r="SI390" s="12" t="s">
        <v>37</v>
      </c>
      <c r="SJ390" s="12" t="s">
        <v>37</v>
      </c>
      <c r="SK390" s="13" t="s">
        <v>37</v>
      </c>
      <c r="SM390" s="12" t="s">
        <v>37</v>
      </c>
      <c r="SN390" s="12" t="s">
        <v>37</v>
      </c>
      <c r="SO390" s="13" t="s">
        <v>37</v>
      </c>
      <c r="SU390" s="12" t="s">
        <v>37</v>
      </c>
      <c r="SV390" s="12" t="s">
        <v>37</v>
      </c>
      <c r="SW390" s="12" t="s">
        <v>37</v>
      </c>
      <c r="SX390" s="12" t="s">
        <v>37</v>
      </c>
      <c r="SY390" s="12" t="s">
        <v>37</v>
      </c>
      <c r="SZ390" s="12" t="s">
        <v>37</v>
      </c>
      <c r="TA390" s="12"/>
      <c r="TB390" s="12"/>
      <c r="TE390" s="12" t="s">
        <v>37</v>
      </c>
      <c r="TF390" s="12" t="s">
        <v>37</v>
      </c>
      <c r="TG390" s="12" t="s">
        <v>37</v>
      </c>
      <c r="TH390" s="12" t="s">
        <v>37</v>
      </c>
      <c r="TI390" s="12" t="s">
        <v>37</v>
      </c>
      <c r="TJ390" s="12" t="s">
        <v>37</v>
      </c>
      <c r="TK390" s="12"/>
      <c r="TL390" s="12"/>
      <c r="TO390" s="12" t="s">
        <v>37</v>
      </c>
      <c r="TP390" s="12" t="s">
        <v>37</v>
      </c>
      <c r="TQ390" s="12" t="s">
        <v>37</v>
      </c>
      <c r="TR390" s="12" t="s">
        <v>37</v>
      </c>
      <c r="TS390" s="12" t="s">
        <v>37</v>
      </c>
      <c r="TT390" s="12" t="s">
        <v>37</v>
      </c>
      <c r="TU390" s="12"/>
      <c r="TV390" s="12"/>
      <c r="TY390" s="12" t="s">
        <v>37</v>
      </c>
      <c r="TZ390" s="12" t="s">
        <v>37</v>
      </c>
      <c r="UA390" s="12" t="s">
        <v>37</v>
      </c>
      <c r="UB390" s="12" t="s">
        <v>37</v>
      </c>
      <c r="UC390" s="12" t="s">
        <v>37</v>
      </c>
      <c r="UD390" s="12" t="s">
        <v>37</v>
      </c>
      <c r="UE390" s="12"/>
      <c r="UF390" s="12"/>
      <c r="UI390" s="12" t="s">
        <v>37</v>
      </c>
      <c r="UJ390" s="12" t="s">
        <v>37</v>
      </c>
      <c r="UK390" s="12" t="s">
        <v>37</v>
      </c>
      <c r="UL390" s="12" t="s">
        <v>37</v>
      </c>
      <c r="UM390" s="12" t="s">
        <v>37</v>
      </c>
      <c r="UN390" s="12" t="s">
        <v>37</v>
      </c>
      <c r="UO390" s="12"/>
      <c r="UP390" s="12"/>
      <c r="UR390" s="12" t="s">
        <v>37</v>
      </c>
      <c r="US390" s="12" t="s">
        <v>37</v>
      </c>
      <c r="UT390" s="12" t="s">
        <v>37</v>
      </c>
      <c r="UU390" s="12" t="s">
        <v>37</v>
      </c>
      <c r="UV390" s="12" t="s">
        <v>37</v>
      </c>
      <c r="UW390" s="12" t="s">
        <v>37</v>
      </c>
      <c r="UX390" s="12"/>
      <c r="UY390" s="12"/>
      <c r="VB390" s="12" t="s">
        <v>37</v>
      </c>
      <c r="VC390" s="12" t="s">
        <v>37</v>
      </c>
      <c r="VD390" s="12" t="s">
        <v>37</v>
      </c>
      <c r="VE390" s="12" t="s">
        <v>37</v>
      </c>
      <c r="VF390" s="12" t="s">
        <v>37</v>
      </c>
      <c r="VG390" s="12" t="s">
        <v>37</v>
      </c>
      <c r="VI390" s="12" t="s">
        <v>37</v>
      </c>
      <c r="VJ390" s="12" t="s">
        <v>37</v>
      </c>
      <c r="VK390" s="12" t="s">
        <v>37</v>
      </c>
      <c r="VL390" s="12" t="s">
        <v>37</v>
      </c>
      <c r="VM390" s="12" t="s">
        <v>37</v>
      </c>
      <c r="VN390" s="12" t="s">
        <v>37</v>
      </c>
      <c r="VQ390" s="12" t="s">
        <v>37</v>
      </c>
      <c r="VR390" s="12" t="s">
        <v>37</v>
      </c>
      <c r="VS390" s="12" t="s">
        <v>37</v>
      </c>
      <c r="VT390" s="12" t="s">
        <v>37</v>
      </c>
      <c r="VU390" s="12" t="s">
        <v>37</v>
      </c>
      <c r="VV390" s="12" t="s">
        <v>37</v>
      </c>
      <c r="VW390" s="12"/>
      <c r="VX390" s="12"/>
      <c r="WA390" s="12" t="s">
        <v>37</v>
      </c>
      <c r="WB390" s="12" t="s">
        <v>37</v>
      </c>
      <c r="WC390" s="12" t="s">
        <v>37</v>
      </c>
      <c r="WD390" s="12" t="s">
        <v>37</v>
      </c>
      <c r="WE390" s="12" t="s">
        <v>37</v>
      </c>
      <c r="WF390" s="12" t="s">
        <v>37</v>
      </c>
    </row>
    <row r="391" spans="1:606" ht="18" customHeight="1" x14ac:dyDescent="0.3">
      <c r="A391" s="11">
        <v>81</v>
      </c>
      <c r="B391" s="16" t="s">
        <v>480</v>
      </c>
      <c r="C391" s="12" t="s">
        <v>26</v>
      </c>
      <c r="D391" s="12" t="s">
        <v>54</v>
      </c>
      <c r="E391" s="40">
        <v>1.6</v>
      </c>
      <c r="F391" s="14">
        <v>0</v>
      </c>
      <c r="G391" s="14">
        <v>0</v>
      </c>
      <c r="H391" s="12" t="s">
        <v>123</v>
      </c>
      <c r="I391" s="29">
        <v>61.8</v>
      </c>
      <c r="J391" s="29">
        <v>24.317</v>
      </c>
      <c r="K391" s="12" t="s">
        <v>665</v>
      </c>
      <c r="L391" s="12" t="s">
        <v>666</v>
      </c>
      <c r="M391" s="13">
        <v>150</v>
      </c>
      <c r="N391" s="14">
        <v>2</v>
      </c>
      <c r="O391" s="14">
        <v>600</v>
      </c>
      <c r="P391" s="14" t="s">
        <v>84</v>
      </c>
      <c r="Q391" s="75">
        <v>20</v>
      </c>
      <c r="R391" s="11" t="s">
        <v>1000</v>
      </c>
      <c r="S391" s="12" t="s">
        <v>85</v>
      </c>
      <c r="T391" s="12" t="s">
        <v>138</v>
      </c>
      <c r="U391" s="12" t="s">
        <v>158</v>
      </c>
      <c r="V391" s="12" t="s">
        <v>275</v>
      </c>
      <c r="W391" s="23" t="s">
        <v>465</v>
      </c>
      <c r="X391" s="12" t="s">
        <v>280</v>
      </c>
      <c r="Y391" s="12" t="s">
        <v>37</v>
      </c>
      <c r="Z391" s="12" t="s">
        <v>37</v>
      </c>
      <c r="AA391" s="32" t="s">
        <v>372</v>
      </c>
      <c r="AB391" s="12">
        <v>5.6</v>
      </c>
      <c r="AE391" s="12" t="s">
        <v>37</v>
      </c>
      <c r="AF391" s="12" t="s">
        <v>42</v>
      </c>
      <c r="AG391" s="32" t="s">
        <v>372</v>
      </c>
      <c r="AH391" s="12">
        <v>19</v>
      </c>
      <c r="AK391" s="12" t="s">
        <v>37</v>
      </c>
      <c r="AL391" s="32" t="s">
        <v>610</v>
      </c>
      <c r="AM391" s="12" t="s">
        <v>344</v>
      </c>
      <c r="AO391" s="12" t="s">
        <v>37</v>
      </c>
      <c r="AP391" s="12" t="s">
        <v>238</v>
      </c>
      <c r="AQ391" s="12" t="s">
        <v>975</v>
      </c>
      <c r="AT391" s="12" t="s">
        <v>326</v>
      </c>
      <c r="AU391" s="12" t="s">
        <v>326</v>
      </c>
      <c r="AV391" s="13" t="s">
        <v>326</v>
      </c>
      <c r="AX391" s="12" t="s">
        <v>326</v>
      </c>
      <c r="AY391" s="12" t="s">
        <v>326</v>
      </c>
      <c r="AZ391" s="13" t="s">
        <v>326</v>
      </c>
      <c r="BE391" s="12" t="s">
        <v>326</v>
      </c>
      <c r="BF391" s="12" t="s">
        <v>326</v>
      </c>
      <c r="BG391" s="12" t="s">
        <v>326</v>
      </c>
      <c r="BI391" s="12" t="s">
        <v>326</v>
      </c>
      <c r="BJ391" s="12" t="s">
        <v>326</v>
      </c>
      <c r="BK391" s="12" t="s">
        <v>326</v>
      </c>
      <c r="BP391" s="12" t="s">
        <v>37</v>
      </c>
      <c r="BQ391" s="12" t="s">
        <v>37</v>
      </c>
      <c r="BR391" s="13" t="s">
        <v>37</v>
      </c>
      <c r="BT391" s="12" t="s">
        <v>37</v>
      </c>
      <c r="BU391" s="12" t="s">
        <v>37</v>
      </c>
      <c r="BV391" s="12" t="s">
        <v>37</v>
      </c>
      <c r="CA391" s="12" t="s">
        <v>37</v>
      </c>
      <c r="CB391" s="12" t="s">
        <v>37</v>
      </c>
      <c r="CC391" s="13" t="s">
        <v>37</v>
      </c>
      <c r="CE391" s="12" t="s">
        <v>37</v>
      </c>
      <c r="CF391" s="12" t="s">
        <v>37</v>
      </c>
      <c r="CG391" s="12" t="s">
        <v>37</v>
      </c>
      <c r="CN391" s="12" t="s">
        <v>37</v>
      </c>
      <c r="CO391" s="12" t="s">
        <v>37</v>
      </c>
      <c r="CP391" s="13" t="s">
        <v>37</v>
      </c>
      <c r="CR391" s="12" t="s">
        <v>37</v>
      </c>
      <c r="CS391" s="12" t="s">
        <v>37</v>
      </c>
      <c r="CT391" s="13" t="s">
        <v>37</v>
      </c>
      <c r="CX391" s="72"/>
      <c r="CY391" s="72"/>
      <c r="DA391" s="12" t="s">
        <v>37</v>
      </c>
      <c r="DB391" s="12" t="s">
        <v>37</v>
      </c>
      <c r="DC391" s="13" t="s">
        <v>37</v>
      </c>
      <c r="DE391" s="12" t="s">
        <v>37</v>
      </c>
      <c r="DF391" s="12" t="s">
        <v>37</v>
      </c>
      <c r="DG391" s="12" t="s">
        <v>37</v>
      </c>
      <c r="DM391" s="11" t="s">
        <v>47</v>
      </c>
      <c r="DN391" s="19">
        <v>441.33333333333337</v>
      </c>
      <c r="DO391" s="50">
        <v>369.82923257339007</v>
      </c>
      <c r="DP391" s="13">
        <v>4</v>
      </c>
      <c r="DR391" s="19">
        <v>0</v>
      </c>
      <c r="DS391" s="50">
        <v>0</v>
      </c>
      <c r="DT391" s="13">
        <v>4</v>
      </c>
      <c r="DV391" s="19">
        <f t="shared" si="1379"/>
        <v>-441.33333333333337</v>
      </c>
      <c r="DW391" s="12">
        <f t="shared" si="1380"/>
        <v>261.50875823366096</v>
      </c>
      <c r="DX391" s="72">
        <f t="shared" si="1358"/>
        <v>34193.415316455663</v>
      </c>
      <c r="DY391" s="72">
        <f t="shared" si="1359"/>
        <v>34193.415316455663</v>
      </c>
      <c r="EA391" s="19" t="s">
        <v>37</v>
      </c>
      <c r="EB391" s="19" t="s">
        <v>37</v>
      </c>
      <c r="EC391" s="72" t="s">
        <v>37</v>
      </c>
      <c r="EE391" s="19" t="s">
        <v>37</v>
      </c>
      <c r="EF391" s="19" t="s">
        <v>37</v>
      </c>
      <c r="EG391" s="12" t="s">
        <v>37</v>
      </c>
      <c r="EM391" s="12" t="s">
        <v>39</v>
      </c>
      <c r="EN391" s="12">
        <v>-2</v>
      </c>
      <c r="EO391" s="50">
        <f>ABS(EN391)*EQ$474</f>
        <v>0.81499279750258669</v>
      </c>
      <c r="EP391" s="13">
        <v>4</v>
      </c>
      <c r="ER391" s="12">
        <v>-30</v>
      </c>
      <c r="ES391" s="50">
        <f>ABS(ER391)*EU$474</f>
        <v>6.8044216052758255</v>
      </c>
      <c r="ET391" s="13">
        <v>4</v>
      </c>
      <c r="EV391" s="19">
        <f t="shared" si="1381"/>
        <v>-28</v>
      </c>
      <c r="EW391" s="12">
        <f t="shared" si="1382"/>
        <v>4.8458418588685666</v>
      </c>
      <c r="EX391" s="19">
        <f t="shared" si="1383"/>
        <v>11.741091660581384</v>
      </c>
      <c r="EY391" s="19">
        <f t="shared" si="1384"/>
        <v>11.741091660581382</v>
      </c>
      <c r="FB391" s="12" t="s">
        <v>37</v>
      </c>
      <c r="FC391" s="12" t="s">
        <v>37</v>
      </c>
      <c r="FD391" s="12" t="s">
        <v>37</v>
      </c>
      <c r="FE391" s="12" t="s">
        <v>37</v>
      </c>
      <c r="FF391" s="20" t="s">
        <v>37</v>
      </c>
      <c r="FG391" s="12" t="s">
        <v>37</v>
      </c>
      <c r="FI391" s="12" t="s">
        <v>37</v>
      </c>
      <c r="FJ391" s="12" t="s">
        <v>37</v>
      </c>
      <c r="FK391" s="12" t="s">
        <v>37</v>
      </c>
      <c r="FL391" s="12" t="s">
        <v>37</v>
      </c>
      <c r="FM391" s="12" t="s">
        <v>37</v>
      </c>
      <c r="FN391" s="12" t="s">
        <v>37</v>
      </c>
      <c r="FP391" s="12" t="s">
        <v>37</v>
      </c>
      <c r="FQ391" s="12" t="s">
        <v>37</v>
      </c>
      <c r="FR391" s="12" t="s">
        <v>37</v>
      </c>
      <c r="FS391" s="12" t="s">
        <v>37</v>
      </c>
      <c r="FT391" s="12" t="s">
        <v>37</v>
      </c>
      <c r="FU391" s="12" t="s">
        <v>37</v>
      </c>
      <c r="FW391" s="12" t="s">
        <v>37</v>
      </c>
      <c r="FX391" s="12" t="s">
        <v>37</v>
      </c>
      <c r="FY391" s="12" t="s">
        <v>37</v>
      </c>
      <c r="FZ391" s="12" t="s">
        <v>37</v>
      </c>
      <c r="GA391" s="12" t="s">
        <v>37</v>
      </c>
      <c r="GB391" s="12" t="s">
        <v>37</v>
      </c>
      <c r="IK391" s="12" t="s">
        <v>37</v>
      </c>
      <c r="IL391" s="12" t="s">
        <v>37</v>
      </c>
      <c r="IM391" s="12" t="s">
        <v>37</v>
      </c>
      <c r="IO391" s="12" t="s">
        <v>37</v>
      </c>
      <c r="IP391" s="12" t="s">
        <v>37</v>
      </c>
      <c r="IQ391" s="12" t="s">
        <v>37</v>
      </c>
      <c r="IV391" s="32" t="s">
        <v>372</v>
      </c>
      <c r="IW391" s="12">
        <v>5.6</v>
      </c>
      <c r="IX391" s="50">
        <f>ABS(IW391)*IZ$474</f>
        <v>0.20503135871692957</v>
      </c>
      <c r="IY391" s="13">
        <v>3</v>
      </c>
      <c r="JA391" s="12">
        <v>4.5</v>
      </c>
      <c r="JB391" s="50">
        <f>ABS(JA391)*JD$474</f>
        <v>0.12603963953566241</v>
      </c>
      <c r="JC391" s="13">
        <v>3</v>
      </c>
      <c r="JE391" s="19">
        <f t="shared" si="1385"/>
        <v>-0.21868920096482944</v>
      </c>
      <c r="JF391" s="19">
        <f t="shared" si="1386"/>
        <v>7.0832876411330761E-4</v>
      </c>
      <c r="JH391" s="12" t="s">
        <v>37</v>
      </c>
      <c r="JI391" s="12" t="s">
        <v>37</v>
      </c>
      <c r="JJ391" s="13" t="s">
        <v>37</v>
      </c>
      <c r="JL391" s="12" t="s">
        <v>37</v>
      </c>
      <c r="JM391" s="12" t="s">
        <v>37</v>
      </c>
      <c r="JN391" s="12" t="s">
        <v>37</v>
      </c>
      <c r="JS391" s="12" t="s">
        <v>37</v>
      </c>
      <c r="JT391" s="12" t="s">
        <v>37</v>
      </c>
      <c r="JU391" s="13" t="s">
        <v>37</v>
      </c>
      <c r="JW391" s="12" t="s">
        <v>37</v>
      </c>
      <c r="JX391" s="12" t="s">
        <v>37</v>
      </c>
      <c r="JY391" s="12" t="s">
        <v>37</v>
      </c>
      <c r="KE391" s="12" t="s">
        <v>37</v>
      </c>
      <c r="KF391" s="12" t="s">
        <v>37</v>
      </c>
      <c r="KG391" s="13" t="s">
        <v>37</v>
      </c>
      <c r="KH391" s="12" t="s">
        <v>37</v>
      </c>
      <c r="KI391" s="12" t="s">
        <v>37</v>
      </c>
      <c r="KJ391" s="12" t="s">
        <v>37</v>
      </c>
      <c r="KK391" s="12" t="s">
        <v>42</v>
      </c>
      <c r="KL391" s="32" t="s">
        <v>372</v>
      </c>
      <c r="KM391" s="12">
        <v>19</v>
      </c>
      <c r="KN391" s="50">
        <f>ABS(KM391)*KP$474</f>
        <v>2.2665677863123301</v>
      </c>
      <c r="KO391" s="11">
        <v>3</v>
      </c>
      <c r="KQ391" s="12">
        <v>21</v>
      </c>
      <c r="KR391" s="50">
        <f>ABS(KQ391)*KT$474</f>
        <v>2.2143120335413715</v>
      </c>
      <c r="KS391" s="11">
        <v>3</v>
      </c>
      <c r="KU391" s="19">
        <f t="shared" si="1387"/>
        <v>0.10008345855698263</v>
      </c>
      <c r="KV391" s="19">
        <f t="shared" si="1388"/>
        <v>8.4497155628593234E-3</v>
      </c>
      <c r="KX391" s="12" t="s">
        <v>37</v>
      </c>
      <c r="KY391" s="12" t="s">
        <v>37</v>
      </c>
      <c r="KZ391" s="12" t="s">
        <v>37</v>
      </c>
      <c r="LB391" s="12" t="s">
        <v>37</v>
      </c>
      <c r="LC391" s="12" t="s">
        <v>37</v>
      </c>
      <c r="LD391" s="12" t="s">
        <v>37</v>
      </c>
      <c r="LI391" s="12" t="s">
        <v>37</v>
      </c>
      <c r="LJ391" s="12" t="s">
        <v>37</v>
      </c>
      <c r="LK391" s="12" t="s">
        <v>37</v>
      </c>
      <c r="LM391" s="12" t="s">
        <v>37</v>
      </c>
      <c r="LN391" s="12" t="s">
        <v>37</v>
      </c>
      <c r="LO391" s="12" t="s">
        <v>37</v>
      </c>
      <c r="LU391" s="12" t="s">
        <v>37</v>
      </c>
      <c r="LV391" s="12" t="s">
        <v>37</v>
      </c>
      <c r="LW391" s="12" t="s">
        <v>37</v>
      </c>
      <c r="LY391" s="12" t="s">
        <v>37</v>
      </c>
      <c r="LZ391" s="12" t="s">
        <v>37</v>
      </c>
      <c r="MA391" s="12" t="s">
        <v>37</v>
      </c>
      <c r="MF391" s="12" t="s">
        <v>37</v>
      </c>
      <c r="MG391" s="12" t="s">
        <v>37</v>
      </c>
      <c r="MH391" s="12" t="s">
        <v>37</v>
      </c>
      <c r="MJ391" s="12" t="s">
        <v>37</v>
      </c>
      <c r="MK391" s="12" t="s">
        <v>37</v>
      </c>
      <c r="ML391" s="12" t="s">
        <v>37</v>
      </c>
      <c r="MQ391" s="12" t="s">
        <v>37</v>
      </c>
      <c r="MR391" s="12" t="s">
        <v>37</v>
      </c>
      <c r="MS391" s="12" t="s">
        <v>37</v>
      </c>
      <c r="MU391" s="12" t="s">
        <v>37</v>
      </c>
      <c r="MV391" s="12" t="s">
        <v>37</v>
      </c>
      <c r="MW391" s="12" t="s">
        <v>37</v>
      </c>
      <c r="NC391" s="12" t="s">
        <v>37</v>
      </c>
      <c r="ND391" s="12" t="s">
        <v>37</v>
      </c>
      <c r="NE391" s="12" t="s">
        <v>37</v>
      </c>
      <c r="NG391" s="12" t="s">
        <v>37</v>
      </c>
      <c r="NH391" s="12" t="s">
        <v>37</v>
      </c>
      <c r="NI391" s="12" t="s">
        <v>37</v>
      </c>
      <c r="NO391" s="12" t="s">
        <v>37</v>
      </c>
      <c r="NP391" s="12" t="s">
        <v>37</v>
      </c>
      <c r="NQ391" s="12" t="s">
        <v>37</v>
      </c>
      <c r="NS391" s="12" t="s">
        <v>37</v>
      </c>
      <c r="NT391" s="12" t="s">
        <v>37</v>
      </c>
      <c r="NU391" s="12" t="s">
        <v>37</v>
      </c>
      <c r="OA391" s="12" t="s">
        <v>37</v>
      </c>
      <c r="OB391" s="12" t="s">
        <v>37</v>
      </c>
      <c r="OC391" s="12" t="s">
        <v>37</v>
      </c>
      <c r="OD391" s="12"/>
      <c r="OE391" s="12" t="s">
        <v>37</v>
      </c>
      <c r="OF391" s="12" t="s">
        <v>37</v>
      </c>
      <c r="OG391" s="12" t="s">
        <v>37</v>
      </c>
      <c r="OH391" s="12"/>
      <c r="OI391" s="12"/>
      <c r="OJ391" s="12"/>
      <c r="OM391" s="12" t="s">
        <v>37</v>
      </c>
      <c r="ON391" s="12" t="s">
        <v>37</v>
      </c>
      <c r="OO391" s="12" t="s">
        <v>37</v>
      </c>
      <c r="OP391" s="12" t="s">
        <v>37</v>
      </c>
      <c r="OQ391" s="12" t="s">
        <v>37</v>
      </c>
      <c r="OR391" s="12" t="s">
        <v>37</v>
      </c>
      <c r="OS391" s="12"/>
      <c r="OT391" s="12"/>
      <c r="OW391" s="12" t="s">
        <v>37</v>
      </c>
      <c r="OX391" s="12" t="s">
        <v>37</v>
      </c>
      <c r="OY391" s="13" t="s">
        <v>37</v>
      </c>
      <c r="OZ391" s="12" t="s">
        <v>37</v>
      </c>
      <c r="PA391" s="12" t="s">
        <v>37</v>
      </c>
      <c r="PB391" s="13" t="s">
        <v>37</v>
      </c>
      <c r="PG391" s="12" t="s">
        <v>37</v>
      </c>
      <c r="PH391" s="12" t="s">
        <v>37</v>
      </c>
      <c r="PI391" s="12" t="s">
        <v>37</v>
      </c>
      <c r="PJ391" s="12" t="s">
        <v>37</v>
      </c>
      <c r="PK391" s="12" t="s">
        <v>37</v>
      </c>
      <c r="PL391" s="12" t="s">
        <v>37</v>
      </c>
      <c r="PM391" s="12"/>
      <c r="PN391" s="12"/>
      <c r="PQ391" s="12" t="s">
        <v>37</v>
      </c>
      <c r="PR391" s="12" t="s">
        <v>37</v>
      </c>
      <c r="PS391" s="12" t="s">
        <v>37</v>
      </c>
      <c r="PT391" s="12" t="s">
        <v>37</v>
      </c>
      <c r="PU391" s="12" t="s">
        <v>37</v>
      </c>
      <c r="PV391" s="12" t="s">
        <v>37</v>
      </c>
      <c r="PW391" s="12"/>
      <c r="PX391" s="12"/>
      <c r="PZ391" s="12" t="s">
        <v>37</v>
      </c>
      <c r="QA391" s="12" t="s">
        <v>37</v>
      </c>
      <c r="QB391" s="12" t="s">
        <v>37</v>
      </c>
      <c r="QD391" s="12" t="s">
        <v>37</v>
      </c>
      <c r="QE391" s="12" t="s">
        <v>37</v>
      </c>
      <c r="QF391" s="12" t="s">
        <v>37</v>
      </c>
      <c r="QK391" s="12" t="s">
        <v>37</v>
      </c>
      <c r="QL391" s="12" t="s">
        <v>37</v>
      </c>
      <c r="QM391" s="12" t="s">
        <v>37</v>
      </c>
      <c r="QN391" s="12" t="s">
        <v>37</v>
      </c>
      <c r="QO391" s="12" t="s">
        <v>37</v>
      </c>
      <c r="QP391" s="12" t="s">
        <v>37</v>
      </c>
      <c r="QQ391" s="12"/>
      <c r="QR391" s="12"/>
      <c r="QU391" s="12" t="s">
        <v>37</v>
      </c>
      <c r="QV391" s="12" t="s">
        <v>37</v>
      </c>
      <c r="QW391" s="12" t="s">
        <v>37</v>
      </c>
      <c r="QX391" s="12" t="s">
        <v>37</v>
      </c>
      <c r="QY391" s="12" t="s">
        <v>37</v>
      </c>
      <c r="QZ391" s="12" t="s">
        <v>37</v>
      </c>
      <c r="RC391" s="12" t="s">
        <v>37</v>
      </c>
      <c r="RD391" s="12" t="s">
        <v>37</v>
      </c>
      <c r="RE391" s="13" t="s">
        <v>37</v>
      </c>
      <c r="RF391" s="12" t="s">
        <v>37</v>
      </c>
      <c r="RG391" s="12" t="s">
        <v>37</v>
      </c>
      <c r="RH391" s="13" t="s">
        <v>37</v>
      </c>
      <c r="RK391" s="12" t="s">
        <v>37</v>
      </c>
      <c r="RL391" s="12" t="s">
        <v>37</v>
      </c>
      <c r="RM391" s="11" t="s">
        <v>37</v>
      </c>
      <c r="RN391" s="12" t="s">
        <v>37</v>
      </c>
      <c r="RO391" s="12" t="s">
        <v>37</v>
      </c>
      <c r="RP391" s="11" t="s">
        <v>37</v>
      </c>
      <c r="RS391" s="12" t="s">
        <v>37</v>
      </c>
      <c r="RT391" s="12" t="s">
        <v>37</v>
      </c>
      <c r="RU391" s="12" t="s">
        <v>37</v>
      </c>
      <c r="RV391" s="12" t="s">
        <v>37</v>
      </c>
      <c r="RW391" s="12" t="s">
        <v>37</v>
      </c>
      <c r="RX391" s="12" t="s">
        <v>37</v>
      </c>
      <c r="SA391" s="12" t="s">
        <v>37</v>
      </c>
      <c r="SB391" s="12" t="s">
        <v>37</v>
      </c>
      <c r="SC391" s="12" t="s">
        <v>37</v>
      </c>
      <c r="SD391" s="12" t="s">
        <v>37</v>
      </c>
      <c r="SE391" s="12" t="s">
        <v>37</v>
      </c>
      <c r="SF391" s="12" t="s">
        <v>37</v>
      </c>
      <c r="SI391" s="12" t="s">
        <v>37</v>
      </c>
      <c r="SJ391" s="12" t="s">
        <v>37</v>
      </c>
      <c r="SK391" s="13" t="s">
        <v>37</v>
      </c>
      <c r="SM391" s="12" t="s">
        <v>37</v>
      </c>
      <c r="SN391" s="12" t="s">
        <v>37</v>
      </c>
      <c r="SO391" s="13" t="s">
        <v>37</v>
      </c>
      <c r="SU391" s="12" t="s">
        <v>37</v>
      </c>
      <c r="SV391" s="12" t="s">
        <v>37</v>
      </c>
      <c r="SW391" s="12" t="s">
        <v>37</v>
      </c>
      <c r="SX391" s="12" t="s">
        <v>37</v>
      </c>
      <c r="SY391" s="12" t="s">
        <v>37</v>
      </c>
      <c r="SZ391" s="12" t="s">
        <v>37</v>
      </c>
      <c r="TA391" s="12"/>
      <c r="TB391" s="12"/>
      <c r="TE391" s="12" t="s">
        <v>37</v>
      </c>
      <c r="TF391" s="12" t="s">
        <v>37</v>
      </c>
      <c r="TG391" s="12" t="s">
        <v>37</v>
      </c>
      <c r="TH391" s="12" t="s">
        <v>37</v>
      </c>
      <c r="TI391" s="12" t="s">
        <v>37</v>
      </c>
      <c r="TJ391" s="12" t="s">
        <v>37</v>
      </c>
      <c r="TK391" s="12"/>
      <c r="TL391" s="12"/>
      <c r="TO391" s="12" t="s">
        <v>37</v>
      </c>
      <c r="TP391" s="12" t="s">
        <v>37</v>
      </c>
      <c r="TQ391" s="12" t="s">
        <v>37</v>
      </c>
      <c r="TR391" s="12" t="s">
        <v>37</v>
      </c>
      <c r="TS391" s="12" t="s">
        <v>37</v>
      </c>
      <c r="TT391" s="12" t="s">
        <v>37</v>
      </c>
      <c r="TU391" s="12"/>
      <c r="TV391" s="12"/>
      <c r="TY391" s="12" t="s">
        <v>37</v>
      </c>
      <c r="TZ391" s="12" t="s">
        <v>37</v>
      </c>
      <c r="UA391" s="12" t="s">
        <v>37</v>
      </c>
      <c r="UB391" s="12" t="s">
        <v>37</v>
      </c>
      <c r="UC391" s="12" t="s">
        <v>37</v>
      </c>
      <c r="UD391" s="12" t="s">
        <v>37</v>
      </c>
      <c r="UE391" s="12"/>
      <c r="UF391" s="12"/>
      <c r="UI391" s="12" t="s">
        <v>37</v>
      </c>
      <c r="UJ391" s="12" t="s">
        <v>37</v>
      </c>
      <c r="UK391" s="12" t="s">
        <v>37</v>
      </c>
      <c r="UL391" s="12" t="s">
        <v>37</v>
      </c>
      <c r="UM391" s="12" t="s">
        <v>37</v>
      </c>
      <c r="UN391" s="12" t="s">
        <v>37</v>
      </c>
      <c r="UO391" s="12"/>
      <c r="UP391" s="12"/>
      <c r="UR391" s="12" t="s">
        <v>37</v>
      </c>
      <c r="US391" s="12" t="s">
        <v>37</v>
      </c>
      <c r="UT391" s="12" t="s">
        <v>37</v>
      </c>
      <c r="UU391" s="12" t="s">
        <v>37</v>
      </c>
      <c r="UV391" s="12" t="s">
        <v>37</v>
      </c>
      <c r="UW391" s="12" t="s">
        <v>37</v>
      </c>
      <c r="UX391" s="12"/>
      <c r="UY391" s="12"/>
      <c r="VB391" s="12" t="s">
        <v>37</v>
      </c>
      <c r="VC391" s="12" t="s">
        <v>37</v>
      </c>
      <c r="VD391" s="12" t="s">
        <v>37</v>
      </c>
      <c r="VE391" s="12" t="s">
        <v>37</v>
      </c>
      <c r="VF391" s="12" t="s">
        <v>37</v>
      </c>
      <c r="VG391" s="12" t="s">
        <v>37</v>
      </c>
      <c r="VI391" s="12" t="s">
        <v>37</v>
      </c>
      <c r="VJ391" s="12" t="s">
        <v>37</v>
      </c>
      <c r="VK391" s="12" t="s">
        <v>37</v>
      </c>
      <c r="VL391" s="12" t="s">
        <v>37</v>
      </c>
      <c r="VM391" s="12" t="s">
        <v>37</v>
      </c>
      <c r="VN391" s="12" t="s">
        <v>37</v>
      </c>
      <c r="VQ391" s="12" t="s">
        <v>37</v>
      </c>
      <c r="VR391" s="12" t="s">
        <v>37</v>
      </c>
      <c r="VS391" s="12" t="s">
        <v>37</v>
      </c>
      <c r="VT391" s="12" t="s">
        <v>37</v>
      </c>
      <c r="VU391" s="12" t="s">
        <v>37</v>
      </c>
      <c r="VV391" s="12" t="s">
        <v>37</v>
      </c>
      <c r="VW391" s="12"/>
      <c r="VX391" s="12"/>
      <c r="WA391" s="12" t="s">
        <v>37</v>
      </c>
      <c r="WB391" s="12" t="s">
        <v>37</v>
      </c>
      <c r="WC391" s="12" t="s">
        <v>37</v>
      </c>
      <c r="WD391" s="12" t="s">
        <v>37</v>
      </c>
      <c r="WE391" s="12" t="s">
        <v>37</v>
      </c>
      <c r="WF391" s="12" t="s">
        <v>37</v>
      </c>
    </row>
    <row r="392" spans="1:606" ht="18" customHeight="1" x14ac:dyDescent="0.3">
      <c r="A392" s="11">
        <v>82</v>
      </c>
      <c r="B392" s="16" t="s">
        <v>575</v>
      </c>
      <c r="C392" s="12" t="s">
        <v>26</v>
      </c>
      <c r="D392" s="12" t="s">
        <v>54</v>
      </c>
      <c r="E392" s="40">
        <f>AVERAGEA(3.85,4.85)</f>
        <v>4.3499999999999996</v>
      </c>
      <c r="F392" s="14">
        <v>0</v>
      </c>
      <c r="G392" s="14">
        <v>0</v>
      </c>
      <c r="H392" s="12" t="s">
        <v>88</v>
      </c>
      <c r="I392" s="29">
        <v>-2.35</v>
      </c>
      <c r="J392" s="29">
        <v>114.033</v>
      </c>
      <c r="K392" s="12" t="s">
        <v>740</v>
      </c>
      <c r="L392" s="12" t="s">
        <v>741</v>
      </c>
      <c r="M392" s="13" t="s">
        <v>37</v>
      </c>
      <c r="N392" s="14" t="s">
        <v>37</v>
      </c>
      <c r="O392" s="14" t="s">
        <v>37</v>
      </c>
      <c r="P392" s="14" t="s">
        <v>89</v>
      </c>
      <c r="Q392" s="75" t="s">
        <v>326</v>
      </c>
      <c r="R392" s="11" t="s">
        <v>37</v>
      </c>
      <c r="S392" s="12" t="s">
        <v>105</v>
      </c>
      <c r="T392" s="12" t="s">
        <v>37</v>
      </c>
      <c r="U392" s="12" t="s">
        <v>158</v>
      </c>
      <c r="V392" s="12" t="s">
        <v>37</v>
      </c>
      <c r="W392" s="23" t="s">
        <v>644</v>
      </c>
      <c r="X392" s="12" t="s">
        <v>49</v>
      </c>
      <c r="Y392" s="12" t="s">
        <v>350</v>
      </c>
      <c r="Z392" s="12" t="s">
        <v>37</v>
      </c>
      <c r="AA392" s="32" t="s">
        <v>345</v>
      </c>
      <c r="AB392" s="12">
        <v>3.6</v>
      </c>
      <c r="AC392" s="12" t="s">
        <v>42</v>
      </c>
      <c r="AD392" s="32" t="s">
        <v>345</v>
      </c>
      <c r="AE392" s="12">
        <v>540</v>
      </c>
      <c r="AF392" s="12" t="s">
        <v>42</v>
      </c>
      <c r="AG392" s="32" t="s">
        <v>345</v>
      </c>
      <c r="AH392" s="12">
        <v>13.3</v>
      </c>
      <c r="AJ392" s="12" t="str">
        <f>AD392</f>
        <v>0-10</v>
      </c>
      <c r="AK392" s="19">
        <f>AE392/AH392</f>
        <v>40.601503759398497</v>
      </c>
      <c r="AL392" s="32" t="s">
        <v>645</v>
      </c>
      <c r="AM392" s="13" t="s">
        <v>344</v>
      </c>
      <c r="AO392" s="13" t="s">
        <v>37</v>
      </c>
      <c r="AP392" s="12" t="s">
        <v>238</v>
      </c>
      <c r="AQ392" s="12" t="s">
        <v>975</v>
      </c>
      <c r="AR392" s="12" t="s">
        <v>42</v>
      </c>
      <c r="AS392" s="32" t="s">
        <v>345</v>
      </c>
      <c r="AT392" s="12">
        <v>540</v>
      </c>
      <c r="AU392" s="12">
        <f>10*SQRT(3)</f>
        <v>17.320508075688771</v>
      </c>
      <c r="AV392" s="13">
        <v>3</v>
      </c>
      <c r="AW392" s="19">
        <f>AU392/AT392</f>
        <v>3.2075014954979206E-2</v>
      </c>
      <c r="AX392" s="12">
        <v>494</v>
      </c>
      <c r="AY392" s="12">
        <f>1*SQRT(3)</f>
        <v>1.7320508075688772</v>
      </c>
      <c r="AZ392" s="13">
        <v>3</v>
      </c>
      <c r="BA392" s="19">
        <f>AY392/AX392</f>
        <v>3.506175723823638E-3</v>
      </c>
      <c r="BB392" s="52">
        <f t="shared" ref="BB392" si="1389">LN(AX392/AT392)</f>
        <v>-8.9033622370397511E-2</v>
      </c>
      <c r="BC392" s="19">
        <f>AY392^2/(AZ392*AX392^2)+AU392^2/(AV392*AT392^2)</f>
        <v>3.4703328418948998E-4</v>
      </c>
      <c r="BE392" s="12" t="s">
        <v>326</v>
      </c>
      <c r="BF392" s="12" t="s">
        <v>326</v>
      </c>
      <c r="BG392" s="12" t="s">
        <v>326</v>
      </c>
      <c r="BI392" s="12" t="s">
        <v>326</v>
      </c>
      <c r="BJ392" s="12" t="s">
        <v>326</v>
      </c>
      <c r="BK392" s="12" t="s">
        <v>326</v>
      </c>
      <c r="BP392" s="12" t="s">
        <v>37</v>
      </c>
      <c r="BQ392" s="12" t="s">
        <v>37</v>
      </c>
      <c r="BR392" s="13" t="s">
        <v>37</v>
      </c>
      <c r="BT392" s="12" t="s">
        <v>37</v>
      </c>
      <c r="BU392" s="12" t="s">
        <v>37</v>
      </c>
      <c r="BV392" s="12" t="s">
        <v>37</v>
      </c>
      <c r="CA392" s="12" t="s">
        <v>37</v>
      </c>
      <c r="CB392" s="12" t="s">
        <v>37</v>
      </c>
      <c r="CC392" s="13" t="s">
        <v>37</v>
      </c>
      <c r="CE392" s="12" t="s">
        <v>37</v>
      </c>
      <c r="CF392" s="12" t="s">
        <v>37</v>
      </c>
      <c r="CG392" s="13" t="s">
        <v>37</v>
      </c>
      <c r="CN392" s="12" t="s">
        <v>37</v>
      </c>
      <c r="CO392" s="12" t="s">
        <v>37</v>
      </c>
      <c r="CP392" s="13" t="s">
        <v>37</v>
      </c>
      <c r="CR392" s="12" t="s">
        <v>37</v>
      </c>
      <c r="CS392" s="12" t="s">
        <v>37</v>
      </c>
      <c r="CT392" s="13" t="s">
        <v>37</v>
      </c>
      <c r="CX392" s="72"/>
      <c r="CY392" s="72"/>
      <c r="DA392" s="12" t="s">
        <v>37</v>
      </c>
      <c r="DB392" s="12" t="s">
        <v>37</v>
      </c>
      <c r="DC392" s="13" t="s">
        <v>37</v>
      </c>
      <c r="DE392" s="12" t="s">
        <v>37</v>
      </c>
      <c r="DF392" s="12" t="s">
        <v>37</v>
      </c>
      <c r="DG392" s="13" t="s">
        <v>37</v>
      </c>
      <c r="DM392" s="11" t="s">
        <v>47</v>
      </c>
      <c r="DN392" s="19">
        <f>0.11*16/12*10^4/10^6*365*24</f>
        <v>12.847999999999999</v>
      </c>
      <c r="DO392" s="12">
        <f>0.07*16/12*10^4/10^6*365*24</f>
        <v>8.1760000000000002</v>
      </c>
      <c r="DP392" s="13">
        <v>2</v>
      </c>
      <c r="DQ392" s="19">
        <f>DO392/ABS(DN392)</f>
        <v>0.63636363636363646</v>
      </c>
      <c r="DR392" s="19">
        <f>-0.03*16/12*10^4/10^6*365*24</f>
        <v>-3.5040000000000004</v>
      </c>
      <c r="DS392" s="12">
        <f>0.01*16/12*10^4/10^6*365*24</f>
        <v>1.1680000000000001</v>
      </c>
      <c r="DT392" s="13">
        <v>2</v>
      </c>
      <c r="DU392" s="19">
        <f>DS392/ABS(DR392)</f>
        <v>0.33333333333333331</v>
      </c>
      <c r="DV392" s="19">
        <f t="shared" si="1379"/>
        <v>-16.352</v>
      </c>
      <c r="DW392" s="12">
        <f t="shared" si="1380"/>
        <v>5.84</v>
      </c>
      <c r="DX392" s="72">
        <f t="shared" si="1358"/>
        <v>34.105600000000003</v>
      </c>
      <c r="DY392" s="72">
        <f t="shared" si="1359"/>
        <v>34.105600000000003</v>
      </c>
      <c r="EA392" s="19" t="s">
        <v>37</v>
      </c>
      <c r="EB392" s="19" t="s">
        <v>37</v>
      </c>
      <c r="EC392" s="72" t="s">
        <v>37</v>
      </c>
      <c r="EE392" s="19" t="s">
        <v>37</v>
      </c>
      <c r="EF392" s="19" t="s">
        <v>37</v>
      </c>
      <c r="EG392" s="12" t="s">
        <v>37</v>
      </c>
      <c r="EN392" s="12" t="s">
        <v>37</v>
      </c>
      <c r="EO392" s="12" t="s">
        <v>37</v>
      </c>
      <c r="EP392" s="13" t="s">
        <v>37</v>
      </c>
      <c r="ER392" s="12" t="s">
        <v>37</v>
      </c>
      <c r="ES392" s="12" t="s">
        <v>37</v>
      </c>
      <c r="ET392" s="13" t="s">
        <v>37</v>
      </c>
      <c r="EX392" s="12"/>
      <c r="EY392" s="12"/>
      <c r="FB392" s="12" t="s">
        <v>37</v>
      </c>
      <c r="FC392" s="12" t="s">
        <v>37</v>
      </c>
      <c r="FD392" s="12" t="s">
        <v>37</v>
      </c>
      <c r="FE392" s="12" t="s">
        <v>37</v>
      </c>
      <c r="FF392" s="12" t="s">
        <v>37</v>
      </c>
      <c r="FG392" s="12" t="s">
        <v>37</v>
      </c>
      <c r="FH392" s="12"/>
      <c r="FI392" s="12" t="s">
        <v>37</v>
      </c>
      <c r="FJ392" s="12" t="s">
        <v>37</v>
      </c>
      <c r="FK392" s="12" t="s">
        <v>37</v>
      </c>
      <c r="FL392" s="12" t="s">
        <v>37</v>
      </c>
      <c r="FM392" s="12" t="s">
        <v>37</v>
      </c>
      <c r="FN392" s="12" t="s">
        <v>37</v>
      </c>
      <c r="FO392" s="12"/>
      <c r="FP392" s="12" t="s">
        <v>37</v>
      </c>
      <c r="FQ392" s="12" t="s">
        <v>37</v>
      </c>
      <c r="FR392" s="12" t="s">
        <v>37</v>
      </c>
      <c r="FS392" s="12" t="s">
        <v>37</v>
      </c>
      <c r="FT392" s="12" t="s">
        <v>37</v>
      </c>
      <c r="FU392" s="12" t="s">
        <v>37</v>
      </c>
      <c r="FV392" s="12"/>
      <c r="FW392" s="12" t="s">
        <v>37</v>
      </c>
      <c r="FX392" s="12" t="s">
        <v>37</v>
      </c>
      <c r="FY392" s="12" t="s">
        <v>37</v>
      </c>
      <c r="FZ392" s="12" t="s">
        <v>37</v>
      </c>
      <c r="GA392" s="12" t="s">
        <v>37</v>
      </c>
      <c r="GB392" s="12" t="s">
        <v>37</v>
      </c>
      <c r="GC392" s="12" t="s">
        <v>90</v>
      </c>
      <c r="GD392" s="12" t="s">
        <v>345</v>
      </c>
      <c r="GE392" s="12">
        <v>90.01</v>
      </c>
      <c r="GF392" s="12">
        <v>7.49</v>
      </c>
      <c r="GG392" s="13">
        <v>2</v>
      </c>
      <c r="GH392" s="19">
        <f>GF392/GE392</f>
        <v>8.3212976335962668E-2</v>
      </c>
      <c r="GI392" s="12">
        <v>55.16</v>
      </c>
      <c r="GJ392" s="12">
        <v>1.99</v>
      </c>
      <c r="GK392" s="13">
        <v>2</v>
      </c>
      <c r="GL392" s="19">
        <f>GJ392/GI392</f>
        <v>3.607686729514141E-2</v>
      </c>
      <c r="GM392" s="19">
        <f>LN(GI392/GE392)</f>
        <v>-0.48968272234389298</v>
      </c>
      <c r="GN392" s="19">
        <f>GJ392^2/(GK392*GI392^2)+GF392^2/(GG392*GE392^2)</f>
        <v>4.112969892260363E-3</v>
      </c>
      <c r="IK392" s="12" t="s">
        <v>37</v>
      </c>
      <c r="IL392" s="12" t="s">
        <v>37</v>
      </c>
      <c r="IM392" s="12" t="s">
        <v>37</v>
      </c>
      <c r="IO392" s="12" t="s">
        <v>37</v>
      </c>
      <c r="IP392" s="12" t="s">
        <v>37</v>
      </c>
      <c r="IQ392" s="12" t="s">
        <v>37</v>
      </c>
      <c r="IV392" s="32" t="s">
        <v>345</v>
      </c>
      <c r="IW392" s="12">
        <v>3.6</v>
      </c>
      <c r="IX392" s="12">
        <f>0.2*SQRT(3)</f>
        <v>0.34641016151377546</v>
      </c>
      <c r="IY392" s="13">
        <v>3</v>
      </c>
      <c r="IZ392" s="19">
        <f t="shared" ref="IZ392" si="1390">IX392/IW392</f>
        <v>9.6225044864937631E-2</v>
      </c>
      <c r="JA392" s="12">
        <v>3.8</v>
      </c>
      <c r="JB392" s="12">
        <f>0.01*SQRT(3)</f>
        <v>1.7320508075688773E-2</v>
      </c>
      <c r="JC392" s="13">
        <v>3</v>
      </c>
      <c r="JD392" s="19">
        <f>JB392/JA392</f>
        <v>4.55802844097073E-3</v>
      </c>
      <c r="JE392" s="19">
        <f t="shared" si="1385"/>
        <v>5.4067221270275793E-2</v>
      </c>
      <c r="JF392" s="19">
        <f t="shared" si="1386"/>
        <v>3.0933449608426524E-3</v>
      </c>
      <c r="JH392" s="12" t="s">
        <v>37</v>
      </c>
      <c r="JI392" s="12" t="s">
        <v>37</v>
      </c>
      <c r="JJ392" s="13" t="s">
        <v>37</v>
      </c>
      <c r="JL392" s="12" t="s">
        <v>37</v>
      </c>
      <c r="JM392" s="12" t="s">
        <v>37</v>
      </c>
      <c r="JN392" s="12" t="s">
        <v>37</v>
      </c>
      <c r="JS392" s="12" t="s">
        <v>37</v>
      </c>
      <c r="JT392" s="12" t="s">
        <v>37</v>
      </c>
      <c r="JU392" s="13" t="s">
        <v>37</v>
      </c>
      <c r="JW392" s="12" t="s">
        <v>37</v>
      </c>
      <c r="JX392" s="12" t="s">
        <v>37</v>
      </c>
      <c r="JY392" s="12" t="s">
        <v>37</v>
      </c>
      <c r="KE392" s="11" t="s">
        <v>37</v>
      </c>
      <c r="KF392" s="11" t="s">
        <v>37</v>
      </c>
      <c r="KG392" s="13" t="s">
        <v>37</v>
      </c>
      <c r="KH392" s="11" t="s">
        <v>37</v>
      </c>
      <c r="KI392" s="11" t="s">
        <v>37</v>
      </c>
      <c r="KJ392" s="11" t="s">
        <v>37</v>
      </c>
      <c r="KK392" s="12" t="s">
        <v>42</v>
      </c>
      <c r="KL392" s="32" t="s">
        <v>345</v>
      </c>
      <c r="KM392" s="12">
        <v>13.3</v>
      </c>
      <c r="KN392" s="12">
        <f>0.28*SQRT(3)</f>
        <v>0.48497422611928565</v>
      </c>
      <c r="KO392" s="11">
        <v>3</v>
      </c>
      <c r="KP392" s="19">
        <f t="shared" ref="KP392" si="1391">KN392/KM392</f>
        <v>3.6464227527765833E-2</v>
      </c>
      <c r="KQ392" s="12">
        <v>18.2</v>
      </c>
      <c r="KR392" s="12">
        <f>0.04*SQRT(3)</f>
        <v>6.9282032302755092E-2</v>
      </c>
      <c r="KS392" s="13">
        <v>3</v>
      </c>
      <c r="KT392" s="19">
        <f t="shared" ref="KT392" si="1392">KR392/KQ392</f>
        <v>3.8067050715799504E-3</v>
      </c>
      <c r="KU392" s="19">
        <f t="shared" si="1387"/>
        <v>0.31365755885504143</v>
      </c>
      <c r="KV392" s="19">
        <f t="shared" si="1388"/>
        <v>4.4804363089955609E-4</v>
      </c>
      <c r="KX392" s="12" t="s">
        <v>37</v>
      </c>
      <c r="KY392" s="12" t="s">
        <v>37</v>
      </c>
      <c r="KZ392" s="13" t="s">
        <v>37</v>
      </c>
      <c r="LB392" s="12" t="s">
        <v>37</v>
      </c>
      <c r="LC392" s="12" t="s">
        <v>37</v>
      </c>
      <c r="LD392" s="13" t="s">
        <v>37</v>
      </c>
      <c r="LI392" s="12" t="s">
        <v>37</v>
      </c>
      <c r="LJ392" s="12" t="s">
        <v>37</v>
      </c>
      <c r="LK392" s="12" t="s">
        <v>37</v>
      </c>
      <c r="LM392" s="12" t="s">
        <v>37</v>
      </c>
      <c r="LN392" s="12" t="s">
        <v>37</v>
      </c>
      <c r="LO392" s="12" t="s">
        <v>37</v>
      </c>
      <c r="LT392" s="12" t="str">
        <f t="shared" ref="LT392" si="1393">KL392</f>
        <v>0-10</v>
      </c>
      <c r="LU392" s="12">
        <f>AT392/KM392</f>
        <v>40.601503759398497</v>
      </c>
      <c r="LV392" s="12">
        <f>SQRT((1/KM392)^2*AU392^2+AT392^2*(-1/KM392^2)^2*KN392^2)</f>
        <v>1.9717648980585496</v>
      </c>
      <c r="LW392" s="13">
        <f t="shared" ref="LW392" si="1394">KO392</f>
        <v>3</v>
      </c>
      <c r="LX392" s="19">
        <f t="shared" ref="LX392" si="1395">LV392/LU392</f>
        <v>4.8563839155886496E-2</v>
      </c>
      <c r="LY392" s="12">
        <f>AX392/KQ392</f>
        <v>27.142857142857142</v>
      </c>
      <c r="LZ392" s="12">
        <f>SQRT((1/KQ392)^2*AY392^2+AX392^2*(-1/KQ392^2)^2*KR392^2)</f>
        <v>0.14047384887502831</v>
      </c>
      <c r="MA392" s="13">
        <f t="shared" ref="MA392" si="1396">KS392</f>
        <v>3</v>
      </c>
      <c r="MB392" s="19">
        <f t="shared" ref="MB392" si="1397">LZ392/LY392</f>
        <v>5.1753523269747271E-3</v>
      </c>
      <c r="MC392" s="19">
        <f>LN(LY392/LU392)</f>
        <v>-0.40269118122543918</v>
      </c>
      <c r="MD392" s="19">
        <f t="shared" ref="MD392" si="1398">LZ392^2/(MA392*LY392^2)+LV392^2/(LW392*LU392^2)</f>
        <v>7.950769150890458E-4</v>
      </c>
      <c r="MF392" s="12" t="s">
        <v>37</v>
      </c>
      <c r="MG392" s="12" t="s">
        <v>37</v>
      </c>
      <c r="MH392" s="12" t="s">
        <v>37</v>
      </c>
      <c r="MJ392" s="12" t="s">
        <v>37</v>
      </c>
      <c r="MK392" s="12" t="s">
        <v>37</v>
      </c>
      <c r="ML392" s="12" t="s">
        <v>37</v>
      </c>
      <c r="MQ392" s="12" t="s">
        <v>37</v>
      </c>
      <c r="MR392" s="12" t="s">
        <v>37</v>
      </c>
      <c r="MS392" s="12" t="s">
        <v>37</v>
      </c>
      <c r="MU392" s="12" t="s">
        <v>37</v>
      </c>
      <c r="MV392" s="12" t="s">
        <v>37</v>
      </c>
      <c r="MW392" s="12" t="s">
        <v>37</v>
      </c>
      <c r="NA392" s="12" t="s">
        <v>45</v>
      </c>
      <c r="NB392" s="12" t="s">
        <v>345</v>
      </c>
      <c r="NC392" s="12">
        <v>53</v>
      </c>
      <c r="ND392" s="12">
        <f>13*SQRT(3)</f>
        <v>22.516660498395403</v>
      </c>
      <c r="NE392" s="13">
        <v>3</v>
      </c>
      <c r="NF392" s="19">
        <f t="shared" ref="NF392" si="1399">ND392/NC392</f>
        <v>0.42484265091312079</v>
      </c>
      <c r="NG392" s="12">
        <v>173</v>
      </c>
      <c r="NH392" s="12">
        <f>3.6*SQRT(3)</f>
        <v>6.2353829072479581</v>
      </c>
      <c r="NI392" s="13">
        <v>3</v>
      </c>
      <c r="NJ392" s="19">
        <f t="shared" ref="NJ392" si="1400">NH392/NG392</f>
        <v>3.6042675764439064E-2</v>
      </c>
      <c r="NK392" s="19">
        <f t="shared" ref="NK392" si="1401">LN(NG392/NC392)</f>
        <v>1.1829996809456571</v>
      </c>
      <c r="NL392" s="19">
        <f t="shared" ref="NL392:NL395" si="1402">NH392^2/(NI392*NG392^2)+ND392^2/(NE392*NC392^2)</f>
        <v>6.0596784170382771E-2</v>
      </c>
      <c r="NM392" s="12" t="s">
        <v>45</v>
      </c>
      <c r="NN392" s="12" t="s">
        <v>345</v>
      </c>
      <c r="NO392" s="12">
        <v>0.03</v>
      </c>
      <c r="NP392" s="12">
        <f>0.05*SQRT(3)</f>
        <v>8.6602540378443865E-2</v>
      </c>
      <c r="NQ392" s="13">
        <v>3</v>
      </c>
      <c r="NR392" s="19">
        <f>NP392/NO392</f>
        <v>2.8867513459481291</v>
      </c>
      <c r="NS392" s="12">
        <v>0.03</v>
      </c>
      <c r="NT392" s="12">
        <f>0.02*SQRT(3)</f>
        <v>3.4641016151377546E-2</v>
      </c>
      <c r="NU392" s="13">
        <v>3</v>
      </c>
      <c r="NV392" s="19">
        <f>NT392/NS392</f>
        <v>1.1547005383792517</v>
      </c>
      <c r="NW392" s="19">
        <f t="shared" ref="NW392" si="1403">LN(NS392/NO392)</f>
        <v>0</v>
      </c>
      <c r="NX392" s="19">
        <f t="shared" ref="NX392" si="1404">NT392^2/(NU392*NS392^2)+NP392^2/(NQ392*NO392^2)</f>
        <v>3.2222222222222223</v>
      </c>
      <c r="NY392" s="12" t="s">
        <v>264</v>
      </c>
      <c r="NZ392" s="12" t="s">
        <v>345</v>
      </c>
      <c r="OA392" s="12">
        <v>1841.5492957746465</v>
      </c>
      <c r="OB392" s="12">
        <v>64.543319647269968</v>
      </c>
      <c r="OC392" s="13">
        <v>3</v>
      </c>
      <c r="OD392" s="19">
        <f>OB392/OA392</f>
        <v>3.5048380076146628E-2</v>
      </c>
      <c r="OE392" s="12">
        <v>2186.6197183098598</v>
      </c>
      <c r="OF392" s="12">
        <v>131.93657743095031</v>
      </c>
      <c r="OG392" s="13">
        <v>3</v>
      </c>
      <c r="OH392" s="19">
        <f>OF392/OE392</f>
        <v>6.0338144912060993E-2</v>
      </c>
      <c r="OI392" s="19">
        <f t="shared" ref="OI392" si="1405">LN(OE392/OA392)</f>
        <v>0.17174961786855689</v>
      </c>
      <c r="OJ392" s="19">
        <f t="shared" ref="OJ392" si="1406">OF392^2/(OG392*OE392^2)+OB392^2/(OC392*OA392^2)</f>
        <v>1.6230268924636347E-3</v>
      </c>
      <c r="OM392" s="12" t="s">
        <v>37</v>
      </c>
      <c r="ON392" s="12" t="s">
        <v>37</v>
      </c>
      <c r="OO392" s="12" t="s">
        <v>37</v>
      </c>
      <c r="OP392" s="12" t="s">
        <v>37</v>
      </c>
      <c r="OQ392" s="12" t="s">
        <v>37</v>
      </c>
      <c r="OR392" s="12" t="s">
        <v>37</v>
      </c>
      <c r="OS392" s="12"/>
      <c r="OT392" s="12"/>
      <c r="OU392" s="12" t="s">
        <v>45</v>
      </c>
      <c r="OV392" s="12" t="s">
        <v>345</v>
      </c>
      <c r="OW392" s="12">
        <v>580</v>
      </c>
      <c r="OX392" s="12">
        <f>23*SQRT(3)</f>
        <v>39.837168574084174</v>
      </c>
      <c r="OY392" s="13">
        <v>3</v>
      </c>
      <c r="OZ392" s="12">
        <v>562</v>
      </c>
      <c r="PA392" s="12">
        <f>16*SQRT(3)</f>
        <v>27.712812921102035</v>
      </c>
      <c r="PB392" s="13">
        <v>3</v>
      </c>
      <c r="PC392" s="19">
        <f>LN(OZ392/OW392)</f>
        <v>-3.1526253646773895E-2</v>
      </c>
      <c r="PD392" s="19">
        <f>PA392^2/(PB392*OZ392^2)+OX392^2/(OY392*OW392^2)</f>
        <v>2.383059414888076E-3</v>
      </c>
      <c r="PG392" s="12" t="s">
        <v>37</v>
      </c>
      <c r="PH392" s="12" t="s">
        <v>37</v>
      </c>
      <c r="PI392" s="12" t="s">
        <v>37</v>
      </c>
      <c r="PJ392" s="12" t="s">
        <v>37</v>
      </c>
      <c r="PK392" s="12" t="s">
        <v>37</v>
      </c>
      <c r="PL392" s="12" t="s">
        <v>37</v>
      </c>
      <c r="PM392" s="12"/>
      <c r="PN392" s="12"/>
      <c r="PQ392" s="12" t="s">
        <v>37</v>
      </c>
      <c r="PR392" s="12" t="s">
        <v>37</v>
      </c>
      <c r="PS392" s="12" t="s">
        <v>37</v>
      </c>
      <c r="PT392" s="12" t="s">
        <v>37</v>
      </c>
      <c r="PU392" s="12" t="s">
        <v>37</v>
      </c>
      <c r="PV392" s="12" t="s">
        <v>37</v>
      </c>
      <c r="PW392" s="12"/>
      <c r="PX392" s="12"/>
      <c r="PZ392" s="12" t="s">
        <v>37</v>
      </c>
      <c r="QA392" s="12" t="s">
        <v>37</v>
      </c>
      <c r="QB392" s="11" t="s">
        <v>37</v>
      </c>
      <c r="QD392" s="12" t="s">
        <v>37</v>
      </c>
      <c r="QE392" s="12" t="s">
        <v>37</v>
      </c>
      <c r="QF392" s="12" t="s">
        <v>37</v>
      </c>
      <c r="QK392" s="12" t="s">
        <v>37</v>
      </c>
      <c r="QL392" s="12" t="s">
        <v>37</v>
      </c>
      <c r="QM392" s="12" t="s">
        <v>37</v>
      </c>
      <c r="QN392" s="12" t="s">
        <v>37</v>
      </c>
      <c r="QO392" s="12" t="s">
        <v>37</v>
      </c>
      <c r="QP392" s="12" t="s">
        <v>37</v>
      </c>
      <c r="QQ392" s="12"/>
      <c r="QR392" s="12"/>
      <c r="QU392" s="12" t="s">
        <v>37</v>
      </c>
      <c r="QV392" s="12" t="s">
        <v>37</v>
      </c>
      <c r="QW392" s="12" t="s">
        <v>37</v>
      </c>
      <c r="QX392" s="12" t="s">
        <v>37</v>
      </c>
      <c r="QY392" s="12" t="s">
        <v>37</v>
      </c>
      <c r="QZ392" s="12" t="s">
        <v>37</v>
      </c>
      <c r="RC392" s="12" t="s">
        <v>37</v>
      </c>
      <c r="RD392" s="12" t="s">
        <v>37</v>
      </c>
      <c r="RE392" s="13" t="s">
        <v>37</v>
      </c>
      <c r="RF392" s="12" t="s">
        <v>37</v>
      </c>
      <c r="RG392" s="12" t="s">
        <v>37</v>
      </c>
      <c r="RH392" s="13" t="s">
        <v>37</v>
      </c>
      <c r="RK392" s="12" t="s">
        <v>37</v>
      </c>
      <c r="RL392" s="12" t="s">
        <v>37</v>
      </c>
      <c r="RM392" s="11" t="s">
        <v>37</v>
      </c>
      <c r="RN392" s="12" t="s">
        <v>37</v>
      </c>
      <c r="RO392" s="12" t="s">
        <v>37</v>
      </c>
      <c r="RP392" s="11" t="s">
        <v>37</v>
      </c>
      <c r="RS392" s="12" t="s">
        <v>37</v>
      </c>
      <c r="RT392" s="12" t="s">
        <v>37</v>
      </c>
      <c r="RU392" s="12" t="s">
        <v>37</v>
      </c>
      <c r="RV392" s="12" t="s">
        <v>37</v>
      </c>
      <c r="RW392" s="12" t="s">
        <v>37</v>
      </c>
      <c r="RX392" s="12" t="s">
        <v>37</v>
      </c>
      <c r="SA392" s="12" t="s">
        <v>37</v>
      </c>
      <c r="SB392" s="12" t="s">
        <v>37</v>
      </c>
      <c r="SC392" s="12" t="s">
        <v>37</v>
      </c>
      <c r="SD392" s="12" t="s">
        <v>37</v>
      </c>
      <c r="SE392" s="12" t="s">
        <v>37</v>
      </c>
      <c r="SF392" s="12" t="s">
        <v>37</v>
      </c>
      <c r="SI392" s="12" t="s">
        <v>37</v>
      </c>
      <c r="SJ392" s="12" t="s">
        <v>37</v>
      </c>
      <c r="SK392" s="13" t="s">
        <v>37</v>
      </c>
      <c r="SM392" s="12" t="s">
        <v>37</v>
      </c>
      <c r="SN392" s="12" t="s">
        <v>37</v>
      </c>
      <c r="SO392" s="13" t="s">
        <v>37</v>
      </c>
      <c r="SU392" s="12" t="s">
        <v>37</v>
      </c>
      <c r="SV392" s="12" t="s">
        <v>37</v>
      </c>
      <c r="SW392" s="11" t="s">
        <v>37</v>
      </c>
      <c r="SX392" s="12" t="s">
        <v>37</v>
      </c>
      <c r="SY392" s="12" t="s">
        <v>37</v>
      </c>
      <c r="SZ392" s="11" t="s">
        <v>37</v>
      </c>
      <c r="TE392" s="12" t="s">
        <v>37</v>
      </c>
      <c r="TF392" s="12" t="s">
        <v>37</v>
      </c>
      <c r="TG392" s="11" t="s">
        <v>37</v>
      </c>
      <c r="TH392" s="12" t="s">
        <v>37</v>
      </c>
      <c r="TI392" s="12" t="s">
        <v>37</v>
      </c>
      <c r="TJ392" s="11" t="s">
        <v>37</v>
      </c>
      <c r="TO392" s="12" t="s">
        <v>37</v>
      </c>
      <c r="TP392" s="12" t="s">
        <v>37</v>
      </c>
      <c r="TQ392" s="11" t="s">
        <v>37</v>
      </c>
      <c r="TR392" s="12" t="s">
        <v>37</v>
      </c>
      <c r="TS392" s="12" t="s">
        <v>37</v>
      </c>
      <c r="TT392" s="11" t="s">
        <v>37</v>
      </c>
      <c r="TY392" s="12" t="s">
        <v>37</v>
      </c>
      <c r="TZ392" s="12" t="s">
        <v>37</v>
      </c>
      <c r="UA392" s="12" t="s">
        <v>37</v>
      </c>
      <c r="UB392" s="12" t="s">
        <v>37</v>
      </c>
      <c r="UC392" s="12" t="s">
        <v>37</v>
      </c>
      <c r="UD392" s="12" t="s">
        <v>37</v>
      </c>
      <c r="UE392" s="12"/>
      <c r="UF392" s="12"/>
      <c r="UI392" s="12" t="s">
        <v>37</v>
      </c>
      <c r="UJ392" s="12" t="s">
        <v>37</v>
      </c>
      <c r="UK392" s="12" t="s">
        <v>37</v>
      </c>
      <c r="UL392" s="12" t="s">
        <v>37</v>
      </c>
      <c r="UM392" s="12" t="s">
        <v>37</v>
      </c>
      <c r="UN392" s="12" t="s">
        <v>37</v>
      </c>
      <c r="UO392" s="12"/>
      <c r="UP392" s="12"/>
      <c r="UR392" s="12" t="s">
        <v>37</v>
      </c>
      <c r="US392" s="12" t="s">
        <v>37</v>
      </c>
      <c r="UT392" s="12" t="s">
        <v>37</v>
      </c>
      <c r="UU392" s="12" t="s">
        <v>37</v>
      </c>
      <c r="UV392" s="12" t="s">
        <v>37</v>
      </c>
      <c r="UW392" s="12" t="s">
        <v>37</v>
      </c>
      <c r="UX392" s="12"/>
      <c r="UY392" s="12"/>
      <c r="VB392" s="12" t="s">
        <v>37</v>
      </c>
      <c r="VC392" s="12" t="s">
        <v>37</v>
      </c>
      <c r="VD392" s="12" t="s">
        <v>37</v>
      </c>
      <c r="VE392" s="12" t="s">
        <v>37</v>
      </c>
      <c r="VF392" s="12" t="s">
        <v>37</v>
      </c>
      <c r="VG392" s="12" t="s">
        <v>37</v>
      </c>
      <c r="VI392" s="12" t="s">
        <v>37</v>
      </c>
      <c r="VJ392" s="12" t="s">
        <v>37</v>
      </c>
      <c r="VK392" s="12" t="s">
        <v>37</v>
      </c>
      <c r="VL392" s="12" t="s">
        <v>37</v>
      </c>
      <c r="VM392" s="12" t="s">
        <v>37</v>
      </c>
      <c r="VN392" s="12" t="s">
        <v>37</v>
      </c>
      <c r="VQ392" s="13" t="s">
        <v>37</v>
      </c>
      <c r="VR392" s="13" t="s">
        <v>37</v>
      </c>
      <c r="VS392" s="13" t="s">
        <v>37</v>
      </c>
      <c r="VT392" s="13" t="s">
        <v>37</v>
      </c>
      <c r="VU392" s="13" t="s">
        <v>37</v>
      </c>
      <c r="VV392" s="13" t="s">
        <v>37</v>
      </c>
      <c r="VY392" s="12" t="s">
        <v>577</v>
      </c>
      <c r="VZ392" s="12" t="s">
        <v>345</v>
      </c>
      <c r="WA392" s="12">
        <v>13700</v>
      </c>
      <c r="WB392" s="12">
        <v>7700</v>
      </c>
      <c r="WC392" s="13">
        <v>2</v>
      </c>
      <c r="WD392" s="12">
        <v>36100</v>
      </c>
      <c r="WE392" s="12">
        <v>14600</v>
      </c>
      <c r="WF392" s="13">
        <v>2</v>
      </c>
      <c r="WG392" s="19">
        <f>LN(WD392/WA392)</f>
        <v>0.9688970325047559</v>
      </c>
      <c r="WH392" s="19">
        <f>WE392^2/(WF392*WD392^2)+WB392^2/(WC392*WA392^2)</f>
        <v>0.23972928918461511</v>
      </c>
    </row>
    <row r="393" spans="1:606" ht="18" customHeight="1" x14ac:dyDescent="0.3">
      <c r="A393" s="11">
        <v>83</v>
      </c>
      <c r="B393" s="16" t="s">
        <v>578</v>
      </c>
      <c r="C393" s="12" t="s">
        <v>26</v>
      </c>
      <c r="D393" s="12" t="s">
        <v>973</v>
      </c>
      <c r="E393" s="40">
        <v>2</v>
      </c>
      <c r="F393" s="14">
        <v>0</v>
      </c>
      <c r="G393" s="14">
        <v>0</v>
      </c>
      <c r="H393" s="12" t="s">
        <v>131</v>
      </c>
      <c r="I393" s="29">
        <v>52.466999999999999</v>
      </c>
      <c r="J393" s="29">
        <v>-3.75</v>
      </c>
      <c r="K393" s="12" t="s">
        <v>671</v>
      </c>
      <c r="L393" s="12" t="s">
        <v>672</v>
      </c>
      <c r="M393" s="13" t="s">
        <v>37</v>
      </c>
      <c r="N393" s="13" t="s">
        <v>37</v>
      </c>
      <c r="O393" s="13" t="s">
        <v>37</v>
      </c>
      <c r="P393" s="14" t="s">
        <v>16</v>
      </c>
      <c r="Q393" s="75">
        <f>1/12</f>
        <v>8.3333333333333329E-2</v>
      </c>
      <c r="R393" s="11" t="s">
        <v>37</v>
      </c>
      <c r="S393" s="12" t="s">
        <v>93</v>
      </c>
      <c r="T393" s="12" t="s">
        <v>141</v>
      </c>
      <c r="U393" s="12" t="s">
        <v>158</v>
      </c>
      <c r="V393" s="12" t="s">
        <v>275</v>
      </c>
      <c r="W393" s="23" t="s">
        <v>451</v>
      </c>
      <c r="X393" s="12" t="s">
        <v>281</v>
      </c>
      <c r="Y393" s="12" t="s">
        <v>37</v>
      </c>
      <c r="Z393" s="12" t="s">
        <v>37</v>
      </c>
      <c r="AA393" s="32" t="s">
        <v>330</v>
      </c>
      <c r="AB393" s="12">
        <v>4.7</v>
      </c>
      <c r="AE393" s="12" t="s">
        <v>37</v>
      </c>
      <c r="AH393" s="12" t="s">
        <v>37</v>
      </c>
      <c r="AK393" s="12" t="s">
        <v>37</v>
      </c>
      <c r="AL393" s="32" t="s">
        <v>579</v>
      </c>
      <c r="AM393" s="12" t="s">
        <v>317</v>
      </c>
      <c r="AN393" s="32" t="s">
        <v>880</v>
      </c>
      <c r="AO393" s="12" t="s">
        <v>37</v>
      </c>
      <c r="AP393" s="12" t="s">
        <v>167</v>
      </c>
      <c r="AQ393" s="12" t="s">
        <v>975</v>
      </c>
      <c r="AT393" s="12" t="s">
        <v>326</v>
      </c>
      <c r="AU393" s="12" t="s">
        <v>326</v>
      </c>
      <c r="AV393" s="13" t="s">
        <v>326</v>
      </c>
      <c r="AX393" s="12" t="s">
        <v>326</v>
      </c>
      <c r="AY393" s="12" t="s">
        <v>326</v>
      </c>
      <c r="AZ393" s="13" t="s">
        <v>326</v>
      </c>
      <c r="BE393" s="12" t="s">
        <v>326</v>
      </c>
      <c r="BF393" s="12" t="s">
        <v>326</v>
      </c>
      <c r="BG393" s="12" t="s">
        <v>326</v>
      </c>
      <c r="BI393" s="12" t="s">
        <v>326</v>
      </c>
      <c r="BJ393" s="12" t="s">
        <v>326</v>
      </c>
      <c r="BK393" s="12" t="s">
        <v>326</v>
      </c>
      <c r="BP393" s="12" t="s">
        <v>37</v>
      </c>
      <c r="BQ393" s="12" t="s">
        <v>37</v>
      </c>
      <c r="BR393" s="13" t="s">
        <v>37</v>
      </c>
      <c r="BT393" s="12" t="s">
        <v>37</v>
      </c>
      <c r="BU393" s="12" t="s">
        <v>37</v>
      </c>
      <c r="BV393" s="12" t="s">
        <v>37</v>
      </c>
      <c r="CA393" s="12" t="s">
        <v>37</v>
      </c>
      <c r="CB393" s="12" t="s">
        <v>37</v>
      </c>
      <c r="CC393" s="13" t="s">
        <v>37</v>
      </c>
      <c r="CE393" s="12" t="s">
        <v>37</v>
      </c>
      <c r="CF393" s="12" t="s">
        <v>37</v>
      </c>
      <c r="CG393" s="13" t="s">
        <v>37</v>
      </c>
      <c r="CN393" s="12" t="s">
        <v>37</v>
      </c>
      <c r="CO393" s="12" t="s">
        <v>37</v>
      </c>
      <c r="CP393" s="13" t="s">
        <v>37</v>
      </c>
      <c r="CR393" s="12" t="s">
        <v>37</v>
      </c>
      <c r="CS393" s="12" t="s">
        <v>37</v>
      </c>
      <c r="CT393" s="13" t="s">
        <v>37</v>
      </c>
      <c r="CX393" s="72"/>
      <c r="CY393" s="72"/>
      <c r="DA393" s="12" t="s">
        <v>37</v>
      </c>
      <c r="DB393" s="12" t="s">
        <v>37</v>
      </c>
      <c r="DC393" s="13" t="s">
        <v>37</v>
      </c>
      <c r="DE393" s="12" t="s">
        <v>37</v>
      </c>
      <c r="DF393" s="12" t="s">
        <v>37</v>
      </c>
      <c r="DG393" s="13" t="s">
        <v>37</v>
      </c>
      <c r="DN393" s="19" t="s">
        <v>37</v>
      </c>
      <c r="DO393" s="12" t="s">
        <v>37</v>
      </c>
      <c r="DP393" s="13" t="s">
        <v>37</v>
      </c>
      <c r="DR393" s="19" t="s">
        <v>37</v>
      </c>
      <c r="DS393" s="12" t="s">
        <v>37</v>
      </c>
      <c r="DT393" s="13" t="s">
        <v>37</v>
      </c>
      <c r="DZ393" s="11" t="s">
        <v>47</v>
      </c>
      <c r="EA393" s="19">
        <f>4.1*10^4/10^6/'[3]classess-1'!$I$20</f>
        <v>5.8770295611265379E-2</v>
      </c>
      <c r="EB393" s="50">
        <f>ABS(EA393)*ED$474</f>
        <v>0.33792784700702894</v>
      </c>
      <c r="EC393" s="72">
        <v>3</v>
      </c>
      <c r="EE393" s="19">
        <f>5.2*10^4/10^6/'[3]classess-1'!$I$21</f>
        <v>6.9833384230864909E-2</v>
      </c>
      <c r="EF393" s="50">
        <f>ABS(EE393)*EH$474</f>
        <v>0.10427097615025936</v>
      </c>
      <c r="EG393" s="13">
        <v>3</v>
      </c>
      <c r="EI393" s="19">
        <f>EE393-EA393</f>
        <v>1.106308861959953E-2</v>
      </c>
      <c r="EJ393" s="12">
        <f>SQRT(((EC393-1)*EB393^2+(EG393-1)*EF393^2)/(EC393+EG393-2))</f>
        <v>0.25006765709516887</v>
      </c>
      <c r="EK393" s="19">
        <f>(((EC393+EG393)/(EC393*EG393))*(((EC393-1)*EB393^2)+(EG393-1)*EF393^2)/(EC393+EG393-2))</f>
        <v>4.1689222083377969E-2</v>
      </c>
      <c r="EL393" s="19">
        <f>(EB393^2/EC393)+(EF393^2/EG393)</f>
        <v>4.1689222083377969E-2</v>
      </c>
      <c r="EN393" s="12" t="s">
        <v>37</v>
      </c>
      <c r="EO393" s="12" t="s">
        <v>37</v>
      </c>
      <c r="EP393" s="13" t="s">
        <v>37</v>
      </c>
      <c r="ER393" s="12" t="s">
        <v>37</v>
      </c>
      <c r="ES393" s="12" t="s">
        <v>37</v>
      </c>
      <c r="ET393" s="13" t="s">
        <v>37</v>
      </c>
      <c r="FB393" s="12" t="s">
        <v>37</v>
      </c>
      <c r="FC393" s="12" t="s">
        <v>37</v>
      </c>
      <c r="FD393" s="12" t="s">
        <v>37</v>
      </c>
      <c r="FE393" s="12" t="s">
        <v>37</v>
      </c>
      <c r="FF393" s="12" t="s">
        <v>37</v>
      </c>
      <c r="FG393" s="12" t="s">
        <v>37</v>
      </c>
      <c r="FI393" s="12" t="s">
        <v>37</v>
      </c>
      <c r="FJ393" s="12" t="s">
        <v>37</v>
      </c>
      <c r="FK393" s="12" t="s">
        <v>37</v>
      </c>
      <c r="FL393" s="12" t="s">
        <v>37</v>
      </c>
      <c r="FM393" s="12" t="s">
        <v>37</v>
      </c>
      <c r="FN393" s="12" t="s">
        <v>37</v>
      </c>
      <c r="FO393" s="12"/>
      <c r="FP393" s="12" t="s">
        <v>37</v>
      </c>
      <c r="FQ393" s="12" t="s">
        <v>37</v>
      </c>
      <c r="FR393" s="12" t="s">
        <v>37</v>
      </c>
      <c r="FS393" s="12" t="s">
        <v>37</v>
      </c>
      <c r="FT393" s="12" t="s">
        <v>37</v>
      </c>
      <c r="FU393" s="12" t="s">
        <v>37</v>
      </c>
      <c r="FW393" s="12" t="s">
        <v>37</v>
      </c>
      <c r="FX393" s="12" t="s">
        <v>37</v>
      </c>
      <c r="FY393" s="12" t="s">
        <v>37</v>
      </c>
      <c r="FZ393" s="12" t="s">
        <v>37</v>
      </c>
      <c r="GA393" s="12" t="s">
        <v>37</v>
      </c>
      <c r="GB393" s="12" t="s">
        <v>37</v>
      </c>
      <c r="IK393" s="12" t="s">
        <v>37</v>
      </c>
      <c r="IL393" s="12" t="s">
        <v>37</v>
      </c>
      <c r="IM393" s="12" t="s">
        <v>37</v>
      </c>
      <c r="IO393" s="12" t="s">
        <v>37</v>
      </c>
      <c r="IP393" s="12" t="s">
        <v>37</v>
      </c>
      <c r="IQ393" s="12" t="s">
        <v>37</v>
      </c>
      <c r="IV393" s="32" t="s">
        <v>330</v>
      </c>
      <c r="IW393" s="12">
        <v>4.7</v>
      </c>
      <c r="IX393" s="50">
        <f>ABS(IW393)*IZ$474</f>
        <v>0.17207989035170876</v>
      </c>
      <c r="IY393" s="13">
        <v>3</v>
      </c>
      <c r="JC393" s="12"/>
      <c r="JH393" s="12" t="s">
        <v>37</v>
      </c>
      <c r="JI393" s="12" t="s">
        <v>37</v>
      </c>
      <c r="JJ393" s="13" t="s">
        <v>37</v>
      </c>
      <c r="JL393" s="12" t="s">
        <v>37</v>
      </c>
      <c r="JM393" s="12" t="s">
        <v>37</v>
      </c>
      <c r="JN393" s="12" t="s">
        <v>37</v>
      </c>
      <c r="JS393" s="12" t="s">
        <v>37</v>
      </c>
      <c r="JT393" s="12" t="s">
        <v>37</v>
      </c>
      <c r="JU393" s="13" t="s">
        <v>37</v>
      </c>
      <c r="JW393" s="12" t="s">
        <v>37</v>
      </c>
      <c r="JX393" s="12" t="s">
        <v>37</v>
      </c>
      <c r="JY393" s="12" t="s">
        <v>37</v>
      </c>
      <c r="KE393" s="11" t="s">
        <v>37</v>
      </c>
      <c r="KF393" s="11" t="s">
        <v>37</v>
      </c>
      <c r="KG393" s="13" t="s">
        <v>37</v>
      </c>
      <c r="KH393" s="11" t="s">
        <v>37</v>
      </c>
      <c r="KI393" s="11" t="s">
        <v>37</v>
      </c>
      <c r="KJ393" s="11" t="s">
        <v>37</v>
      </c>
      <c r="KM393" s="12" t="s">
        <v>37</v>
      </c>
      <c r="KN393" s="12" t="s">
        <v>37</v>
      </c>
      <c r="KO393" s="12" t="s">
        <v>37</v>
      </c>
      <c r="KQ393" s="12" t="s">
        <v>37</v>
      </c>
      <c r="KR393" s="12" t="s">
        <v>37</v>
      </c>
      <c r="KS393" s="12" t="s">
        <v>37</v>
      </c>
      <c r="KX393" s="12" t="s">
        <v>37</v>
      </c>
      <c r="KY393" s="12" t="s">
        <v>37</v>
      </c>
      <c r="KZ393" s="13" t="s">
        <v>37</v>
      </c>
      <c r="LB393" s="12" t="s">
        <v>37</v>
      </c>
      <c r="LC393" s="12" t="s">
        <v>37</v>
      </c>
      <c r="LD393" s="13" t="s">
        <v>37</v>
      </c>
      <c r="LI393" s="12" t="s">
        <v>37</v>
      </c>
      <c r="LJ393" s="12" t="s">
        <v>37</v>
      </c>
      <c r="LK393" s="12" t="s">
        <v>37</v>
      </c>
      <c r="LM393" s="12" t="s">
        <v>37</v>
      </c>
      <c r="LN393" s="12" t="s">
        <v>37</v>
      </c>
      <c r="LO393" s="12" t="s">
        <v>37</v>
      </c>
      <c r="LU393" s="12" t="s">
        <v>37</v>
      </c>
      <c r="LV393" s="12" t="s">
        <v>37</v>
      </c>
      <c r="LW393" s="12" t="s">
        <v>37</v>
      </c>
      <c r="LY393" s="12" t="s">
        <v>37</v>
      </c>
      <c r="LZ393" s="12" t="s">
        <v>37</v>
      </c>
      <c r="MA393" s="12" t="s">
        <v>37</v>
      </c>
      <c r="MF393" s="12" t="s">
        <v>37</v>
      </c>
      <c r="MG393" s="12" t="s">
        <v>37</v>
      </c>
      <c r="MH393" s="12" t="s">
        <v>37</v>
      </c>
      <c r="MJ393" s="12" t="s">
        <v>37</v>
      </c>
      <c r="MK393" s="12" t="s">
        <v>37</v>
      </c>
      <c r="ML393" s="12" t="s">
        <v>37</v>
      </c>
      <c r="MQ393" s="12" t="s">
        <v>37</v>
      </c>
      <c r="MR393" s="12" t="s">
        <v>37</v>
      </c>
      <c r="MS393" s="12" t="s">
        <v>37</v>
      </c>
      <c r="MU393" s="12" t="s">
        <v>37</v>
      </c>
      <c r="MV393" s="12" t="s">
        <v>37</v>
      </c>
      <c r="MW393" s="12" t="s">
        <v>37</v>
      </c>
      <c r="NC393" s="12" t="s">
        <v>37</v>
      </c>
      <c r="ND393" s="12" t="s">
        <v>37</v>
      </c>
      <c r="NE393" s="12" t="s">
        <v>37</v>
      </c>
      <c r="NG393" s="12" t="s">
        <v>37</v>
      </c>
      <c r="NH393" s="12" t="s">
        <v>37</v>
      </c>
      <c r="NI393" s="12" t="s">
        <v>37</v>
      </c>
      <c r="NO393" s="12" t="s">
        <v>37</v>
      </c>
      <c r="NP393" s="12" t="s">
        <v>37</v>
      </c>
      <c r="NQ393" s="12" t="s">
        <v>37</v>
      </c>
      <c r="NS393" s="12" t="s">
        <v>37</v>
      </c>
      <c r="NT393" s="12" t="s">
        <v>37</v>
      </c>
      <c r="NU393" s="12" t="s">
        <v>37</v>
      </c>
      <c r="OA393" s="12" t="s">
        <v>37</v>
      </c>
      <c r="OB393" s="12" t="s">
        <v>37</v>
      </c>
      <c r="OC393" s="12" t="s">
        <v>37</v>
      </c>
      <c r="OD393" s="12"/>
      <c r="OE393" s="12" t="s">
        <v>37</v>
      </c>
      <c r="OF393" s="12" t="s">
        <v>37</v>
      </c>
      <c r="OG393" s="12" t="s">
        <v>37</v>
      </c>
      <c r="OH393" s="12"/>
      <c r="OI393" s="12"/>
      <c r="OJ393" s="12"/>
      <c r="OM393" s="12" t="s">
        <v>37</v>
      </c>
      <c r="ON393" s="12" t="s">
        <v>37</v>
      </c>
      <c r="OO393" s="12" t="s">
        <v>37</v>
      </c>
      <c r="OP393" s="12" t="s">
        <v>37</v>
      </c>
      <c r="OQ393" s="12" t="s">
        <v>37</v>
      </c>
      <c r="OR393" s="12" t="s">
        <v>37</v>
      </c>
      <c r="OS393" s="12"/>
      <c r="OT393" s="12"/>
      <c r="OW393" s="12" t="s">
        <v>37</v>
      </c>
      <c r="OX393" s="12" t="s">
        <v>37</v>
      </c>
      <c r="OY393" s="12" t="s">
        <v>37</v>
      </c>
      <c r="OZ393" s="12" t="s">
        <v>37</v>
      </c>
      <c r="PA393" s="12" t="s">
        <v>37</v>
      </c>
      <c r="PB393" s="12" t="s">
        <v>37</v>
      </c>
      <c r="PC393" s="12"/>
      <c r="PD393" s="12"/>
      <c r="PG393" s="12" t="s">
        <v>37</v>
      </c>
      <c r="PH393" s="12" t="s">
        <v>37</v>
      </c>
      <c r="PI393" s="12" t="s">
        <v>37</v>
      </c>
      <c r="PJ393" s="12" t="s">
        <v>37</v>
      </c>
      <c r="PK393" s="12" t="s">
        <v>37</v>
      </c>
      <c r="PL393" s="12" t="s">
        <v>37</v>
      </c>
      <c r="PM393" s="12"/>
      <c r="PN393" s="12"/>
      <c r="PQ393" s="12" t="s">
        <v>37</v>
      </c>
      <c r="PR393" s="12" t="s">
        <v>37</v>
      </c>
      <c r="PS393" s="12" t="s">
        <v>37</v>
      </c>
      <c r="PT393" s="12" t="s">
        <v>37</v>
      </c>
      <c r="PU393" s="12" t="s">
        <v>37</v>
      </c>
      <c r="PV393" s="12" t="s">
        <v>37</v>
      </c>
      <c r="PW393" s="12"/>
      <c r="PX393" s="12"/>
      <c r="PZ393" s="12" t="s">
        <v>37</v>
      </c>
      <c r="QA393" s="12" t="s">
        <v>37</v>
      </c>
      <c r="QB393" s="11" t="s">
        <v>37</v>
      </c>
      <c r="QD393" s="12" t="s">
        <v>37</v>
      </c>
      <c r="QE393" s="12" t="s">
        <v>37</v>
      </c>
      <c r="QF393" s="12" t="s">
        <v>37</v>
      </c>
      <c r="QK393" s="12" t="s">
        <v>37</v>
      </c>
      <c r="QL393" s="12" t="s">
        <v>37</v>
      </c>
      <c r="QM393" s="12" t="s">
        <v>37</v>
      </c>
      <c r="QN393" s="12" t="s">
        <v>37</v>
      </c>
      <c r="QO393" s="12" t="s">
        <v>37</v>
      </c>
      <c r="QP393" s="12" t="s">
        <v>37</v>
      </c>
      <c r="QQ393" s="12"/>
      <c r="QR393" s="12"/>
      <c r="QU393" s="12" t="s">
        <v>37</v>
      </c>
      <c r="QV393" s="12" t="s">
        <v>37</v>
      </c>
      <c r="QW393" s="12" t="s">
        <v>37</v>
      </c>
      <c r="QX393" s="12" t="s">
        <v>37</v>
      </c>
      <c r="QY393" s="12" t="s">
        <v>37</v>
      </c>
      <c r="QZ393" s="12" t="s">
        <v>37</v>
      </c>
      <c r="RC393" s="12" t="s">
        <v>37</v>
      </c>
      <c r="RD393" s="12" t="s">
        <v>37</v>
      </c>
      <c r="RE393" s="13" t="s">
        <v>37</v>
      </c>
      <c r="RF393" s="12" t="s">
        <v>37</v>
      </c>
      <c r="RG393" s="12" t="s">
        <v>37</v>
      </c>
      <c r="RH393" s="13" t="s">
        <v>37</v>
      </c>
      <c r="RK393" s="12" t="s">
        <v>37</v>
      </c>
      <c r="RL393" s="12" t="s">
        <v>37</v>
      </c>
      <c r="RM393" s="11" t="s">
        <v>37</v>
      </c>
      <c r="RN393" s="12" t="s">
        <v>37</v>
      </c>
      <c r="RO393" s="12" t="s">
        <v>37</v>
      </c>
      <c r="RP393" s="11" t="s">
        <v>37</v>
      </c>
      <c r="RS393" s="12" t="s">
        <v>37</v>
      </c>
      <c r="RT393" s="12" t="s">
        <v>37</v>
      </c>
      <c r="RU393" s="12" t="s">
        <v>37</v>
      </c>
      <c r="RV393" s="12" t="s">
        <v>37</v>
      </c>
      <c r="RW393" s="12" t="s">
        <v>37</v>
      </c>
      <c r="RX393" s="12" t="s">
        <v>37</v>
      </c>
      <c r="SA393" s="12" t="s">
        <v>37</v>
      </c>
      <c r="SB393" s="12" t="s">
        <v>37</v>
      </c>
      <c r="SC393" s="12" t="s">
        <v>37</v>
      </c>
      <c r="SD393" s="12" t="s">
        <v>37</v>
      </c>
      <c r="SE393" s="12" t="s">
        <v>37</v>
      </c>
      <c r="SF393" s="12" t="s">
        <v>37</v>
      </c>
      <c r="SI393" s="12" t="s">
        <v>37</v>
      </c>
      <c r="SJ393" s="12" t="s">
        <v>37</v>
      </c>
      <c r="SK393" s="13" t="s">
        <v>37</v>
      </c>
      <c r="SM393" s="12" t="s">
        <v>37</v>
      </c>
      <c r="SN393" s="12" t="s">
        <v>37</v>
      </c>
      <c r="SO393" s="13" t="s">
        <v>37</v>
      </c>
      <c r="SU393" s="12" t="s">
        <v>37</v>
      </c>
      <c r="SV393" s="12" t="s">
        <v>37</v>
      </c>
      <c r="SW393" s="11" t="s">
        <v>37</v>
      </c>
      <c r="SX393" s="12" t="s">
        <v>37</v>
      </c>
      <c r="SY393" s="12" t="s">
        <v>37</v>
      </c>
      <c r="SZ393" s="11" t="s">
        <v>37</v>
      </c>
      <c r="TE393" s="12" t="s">
        <v>37</v>
      </c>
      <c r="TF393" s="12" t="s">
        <v>37</v>
      </c>
      <c r="TG393" s="11" t="s">
        <v>37</v>
      </c>
      <c r="TH393" s="12" t="s">
        <v>37</v>
      </c>
      <c r="TI393" s="12" t="s">
        <v>37</v>
      </c>
      <c r="TJ393" s="11" t="s">
        <v>37</v>
      </c>
      <c r="TO393" s="12" t="s">
        <v>37</v>
      </c>
      <c r="TP393" s="12" t="s">
        <v>37</v>
      </c>
      <c r="TQ393" s="11" t="s">
        <v>37</v>
      </c>
      <c r="TR393" s="12" t="s">
        <v>37</v>
      </c>
      <c r="TS393" s="12" t="s">
        <v>37</v>
      </c>
      <c r="TT393" s="11" t="s">
        <v>37</v>
      </c>
      <c r="TY393" s="12" t="s">
        <v>37</v>
      </c>
      <c r="TZ393" s="12" t="s">
        <v>37</v>
      </c>
      <c r="UA393" s="12" t="s">
        <v>37</v>
      </c>
      <c r="UB393" s="12" t="s">
        <v>37</v>
      </c>
      <c r="UC393" s="12" t="s">
        <v>37</v>
      </c>
      <c r="UD393" s="12" t="s">
        <v>37</v>
      </c>
      <c r="UE393" s="12"/>
      <c r="UF393" s="12"/>
      <c r="UI393" s="12" t="s">
        <v>37</v>
      </c>
      <c r="UJ393" s="12" t="s">
        <v>37</v>
      </c>
      <c r="UK393" s="12" t="s">
        <v>37</v>
      </c>
      <c r="UL393" s="12" t="s">
        <v>37</v>
      </c>
      <c r="UM393" s="12" t="s">
        <v>37</v>
      </c>
      <c r="UN393" s="12" t="s">
        <v>37</v>
      </c>
      <c r="UO393" s="12"/>
      <c r="UP393" s="12"/>
      <c r="UR393" s="12" t="s">
        <v>37</v>
      </c>
      <c r="US393" s="12" t="s">
        <v>37</v>
      </c>
      <c r="UT393" s="12" t="s">
        <v>37</v>
      </c>
      <c r="UU393" s="12" t="s">
        <v>37</v>
      </c>
      <c r="UV393" s="12" t="s">
        <v>37</v>
      </c>
      <c r="UW393" s="12" t="s">
        <v>37</v>
      </c>
      <c r="UX393" s="12"/>
      <c r="UY393" s="12"/>
      <c r="VB393" s="12" t="s">
        <v>37</v>
      </c>
      <c r="VC393" s="12" t="s">
        <v>37</v>
      </c>
      <c r="VD393" s="12" t="s">
        <v>37</v>
      </c>
      <c r="VE393" s="12" t="s">
        <v>37</v>
      </c>
      <c r="VF393" s="12" t="s">
        <v>37</v>
      </c>
      <c r="VG393" s="12" t="s">
        <v>37</v>
      </c>
      <c r="VI393" s="12" t="s">
        <v>37</v>
      </c>
      <c r="VJ393" s="12" t="s">
        <v>37</v>
      </c>
      <c r="VK393" s="12" t="s">
        <v>37</v>
      </c>
      <c r="VL393" s="12" t="s">
        <v>37</v>
      </c>
      <c r="VM393" s="12" t="s">
        <v>37</v>
      </c>
      <c r="VN393" s="12" t="s">
        <v>37</v>
      </c>
      <c r="VQ393" s="13" t="s">
        <v>37</v>
      </c>
      <c r="VR393" s="13" t="s">
        <v>37</v>
      </c>
      <c r="VS393" s="13" t="s">
        <v>37</v>
      </c>
      <c r="VT393" s="13" t="s">
        <v>37</v>
      </c>
      <c r="VU393" s="13" t="s">
        <v>37</v>
      </c>
      <c r="VV393" s="13" t="s">
        <v>37</v>
      </c>
      <c r="WA393" s="13" t="s">
        <v>37</v>
      </c>
      <c r="WB393" s="13" t="s">
        <v>37</v>
      </c>
      <c r="WC393" s="13" t="s">
        <v>37</v>
      </c>
      <c r="WD393" s="13" t="s">
        <v>37</v>
      </c>
      <c r="WE393" s="13" t="s">
        <v>37</v>
      </c>
      <c r="WF393" s="13" t="s">
        <v>37</v>
      </c>
    </row>
    <row r="394" spans="1:606" ht="18" customHeight="1" x14ac:dyDescent="0.3">
      <c r="A394" s="11">
        <v>84</v>
      </c>
      <c r="B394" s="16" t="s">
        <v>582</v>
      </c>
      <c r="C394" s="16" t="s">
        <v>26</v>
      </c>
      <c r="D394" s="12" t="s">
        <v>1039</v>
      </c>
      <c r="E394" s="80">
        <v>0.5</v>
      </c>
      <c r="F394" s="14">
        <v>0</v>
      </c>
      <c r="G394" s="14">
        <v>0</v>
      </c>
      <c r="H394" s="56" t="s">
        <v>584</v>
      </c>
      <c r="I394" s="29">
        <v>34.729999999999997</v>
      </c>
      <c r="J394" s="29">
        <v>92.891999999999996</v>
      </c>
      <c r="K394" s="56" t="s">
        <v>585</v>
      </c>
      <c r="L394" s="56" t="s">
        <v>617</v>
      </c>
      <c r="M394" s="14">
        <v>4778</v>
      </c>
      <c r="N394" s="14">
        <v>-5.5</v>
      </c>
      <c r="O394" s="14">
        <v>269.7</v>
      </c>
      <c r="P394" s="56" t="s">
        <v>586</v>
      </c>
      <c r="Q394" s="75" t="s">
        <v>326</v>
      </c>
      <c r="R394" s="16" t="s">
        <v>583</v>
      </c>
      <c r="S394" s="56" t="s">
        <v>587</v>
      </c>
      <c r="T394" s="16" t="s">
        <v>138</v>
      </c>
      <c r="U394" s="16" t="s">
        <v>158</v>
      </c>
      <c r="V394" s="16" t="s">
        <v>275</v>
      </c>
      <c r="W394" s="57" t="s">
        <v>588</v>
      </c>
      <c r="X394" s="16" t="s">
        <v>283</v>
      </c>
      <c r="Y394" s="12" t="s">
        <v>37</v>
      </c>
      <c r="Z394" s="12" t="s">
        <v>37</v>
      </c>
      <c r="AA394" s="32" t="s">
        <v>345</v>
      </c>
      <c r="AB394" s="12">
        <v>6.1771217712177098</v>
      </c>
      <c r="AC394" s="12" t="s">
        <v>42</v>
      </c>
      <c r="AD394" s="32" t="s">
        <v>345</v>
      </c>
      <c r="AE394" s="12">
        <v>82.029520295203014</v>
      </c>
      <c r="AF394" s="12" t="s">
        <v>42</v>
      </c>
      <c r="AG394" s="32" t="s">
        <v>345</v>
      </c>
      <c r="AH394" s="12">
        <v>9.2492492492492495</v>
      </c>
      <c r="AJ394" s="12" t="str">
        <f t="shared" ref="AJ394:AJ395" si="1407">AD394</f>
        <v>0-10</v>
      </c>
      <c r="AK394" s="19">
        <f t="shared" ref="AK394:AK395" si="1408">AE394/AH394</f>
        <v>8.8687760578904555</v>
      </c>
      <c r="AL394" s="56">
        <v>2006</v>
      </c>
      <c r="AM394" s="16" t="s">
        <v>344</v>
      </c>
      <c r="AN394" s="56"/>
      <c r="AO394" s="16" t="s">
        <v>583</v>
      </c>
      <c r="AP394" s="56" t="s">
        <v>589</v>
      </c>
      <c r="AQ394" s="12" t="s">
        <v>975</v>
      </c>
      <c r="AR394" s="12" t="s">
        <v>42</v>
      </c>
      <c r="AS394" s="32" t="s">
        <v>345</v>
      </c>
      <c r="AT394" s="12">
        <v>82.029520295203014</v>
      </c>
      <c r="AU394" s="12">
        <v>6.6420664206641788</v>
      </c>
      <c r="AV394" s="13">
        <v>4</v>
      </c>
      <c r="AW394" s="19">
        <f t="shared" ref="AW394:AW395" si="1409">AU394/AT394</f>
        <v>8.0971659919027938E-2</v>
      </c>
      <c r="AX394" s="12">
        <v>71.4022140221402</v>
      </c>
      <c r="AY394" s="12">
        <v>6.6420664206641966</v>
      </c>
      <c r="AZ394" s="13">
        <v>4</v>
      </c>
      <c r="BA394" s="19">
        <f t="shared" ref="BA394:BA395" si="1410">AY394/AX394</f>
        <v>9.3023255813953376E-2</v>
      </c>
      <c r="BB394" s="52">
        <f t="shared" ref="BB394:BB395" si="1411">LN(AX394/AT394)</f>
        <v>-0.13875030850031542</v>
      </c>
      <c r="BC394" s="19">
        <f>AY394^2/(AZ394*AX394^2)+AU394^2/(AV394*AT394^2)</f>
        <v>3.8024339580677319E-3</v>
      </c>
      <c r="BE394" s="12" t="s">
        <v>326</v>
      </c>
      <c r="BF394" s="12" t="s">
        <v>326</v>
      </c>
      <c r="BG394" s="12" t="s">
        <v>326</v>
      </c>
      <c r="BI394" s="12" t="s">
        <v>326</v>
      </c>
      <c r="BJ394" s="12" t="s">
        <v>326</v>
      </c>
      <c r="BK394" s="12" t="s">
        <v>326</v>
      </c>
      <c r="BP394" s="12" t="s">
        <v>37</v>
      </c>
      <c r="BQ394" s="12" t="s">
        <v>37</v>
      </c>
      <c r="BR394" s="13" t="s">
        <v>37</v>
      </c>
      <c r="BT394" s="12" t="s">
        <v>37</v>
      </c>
      <c r="BU394" s="12" t="s">
        <v>37</v>
      </c>
      <c r="BV394" s="12" t="s">
        <v>37</v>
      </c>
      <c r="CA394" s="12" t="s">
        <v>37</v>
      </c>
      <c r="CB394" s="12" t="s">
        <v>37</v>
      </c>
      <c r="CC394" s="13" t="s">
        <v>37</v>
      </c>
      <c r="CE394" s="12" t="s">
        <v>37</v>
      </c>
      <c r="CF394" s="12" t="s">
        <v>37</v>
      </c>
      <c r="CG394" s="12" t="s">
        <v>37</v>
      </c>
      <c r="CN394" s="12" t="s">
        <v>37</v>
      </c>
      <c r="CO394" s="12" t="s">
        <v>37</v>
      </c>
      <c r="CP394" s="13" t="s">
        <v>37</v>
      </c>
      <c r="CR394" s="12" t="s">
        <v>37</v>
      </c>
      <c r="CS394" s="12" t="s">
        <v>37</v>
      </c>
      <c r="CT394" s="13" t="s">
        <v>37</v>
      </c>
      <c r="CX394" s="72"/>
      <c r="CY394" s="72"/>
      <c r="DA394" s="12" t="s">
        <v>37</v>
      </c>
      <c r="DB394" s="12" t="s">
        <v>37</v>
      </c>
      <c r="DC394" s="13" t="s">
        <v>37</v>
      </c>
      <c r="DE394" s="12" t="s">
        <v>37</v>
      </c>
      <c r="DF394" s="12" t="s">
        <v>37</v>
      </c>
      <c r="DG394" s="12" t="s">
        <v>37</v>
      </c>
      <c r="DM394" s="16" t="s">
        <v>47</v>
      </c>
      <c r="DN394" s="19">
        <v>3.0991760299625515</v>
      </c>
      <c r="DO394" s="12">
        <v>0.97725273241836819</v>
      </c>
      <c r="DP394" s="13">
        <v>4</v>
      </c>
      <c r="DQ394" s="19">
        <f t="shared" ref="DQ394:DQ395" si="1412">DO394/ABS(DN394)</f>
        <v>0.31532662971395553</v>
      </c>
      <c r="DR394" s="19">
        <v>1.5322846441947573</v>
      </c>
      <c r="DS394" s="12">
        <v>0.41650576982959864</v>
      </c>
      <c r="DT394" s="13">
        <v>4</v>
      </c>
      <c r="DU394" s="19">
        <f t="shared" ref="DU394:DU395" si="1413">DS394/ABS(DR394)</f>
        <v>0.27182010301257037</v>
      </c>
      <c r="DV394" s="19">
        <f t="shared" ref="DV394:DV395" si="1414">DR394-DN394</f>
        <v>-1.5668913857677942</v>
      </c>
      <c r="DW394" s="12">
        <f t="shared" ref="DW394:DW395" si="1415">SQRT(((DP394-1)*DO394^2+(DT394-1)*DS394^2)/(DP394+DT394-2))</f>
        <v>0.75116574712925821</v>
      </c>
      <c r="DX394" s="72">
        <f t="shared" si="1358"/>
        <v>0.28212498983012835</v>
      </c>
      <c r="DY394" s="72">
        <f t="shared" si="1359"/>
        <v>0.28212498983012835</v>
      </c>
      <c r="EA394" s="19" t="s">
        <v>37</v>
      </c>
      <c r="EB394" s="19" t="s">
        <v>37</v>
      </c>
      <c r="EC394" s="72" t="s">
        <v>37</v>
      </c>
      <c r="EE394" s="19" t="s">
        <v>37</v>
      </c>
      <c r="EF394" s="19" t="s">
        <v>37</v>
      </c>
      <c r="EG394" s="12" t="s">
        <v>37</v>
      </c>
      <c r="EN394" s="12" t="s">
        <v>37</v>
      </c>
      <c r="EO394" s="12" t="s">
        <v>37</v>
      </c>
      <c r="EP394" s="13" t="s">
        <v>37</v>
      </c>
      <c r="ER394" s="12" t="s">
        <v>37</v>
      </c>
      <c r="ES394" s="12" t="s">
        <v>37</v>
      </c>
      <c r="ET394" s="13" t="s">
        <v>37</v>
      </c>
      <c r="FB394" s="12" t="s">
        <v>37</v>
      </c>
      <c r="FC394" s="12" t="s">
        <v>37</v>
      </c>
      <c r="FD394" s="12" t="s">
        <v>37</v>
      </c>
      <c r="FE394" s="12" t="s">
        <v>37</v>
      </c>
      <c r="FF394" s="12" t="s">
        <v>37</v>
      </c>
      <c r="FG394" s="12" t="s">
        <v>37</v>
      </c>
      <c r="FI394" s="12" t="s">
        <v>37</v>
      </c>
      <c r="FJ394" s="12" t="s">
        <v>37</v>
      </c>
      <c r="FK394" s="12" t="s">
        <v>37</v>
      </c>
      <c r="FL394" s="12" t="s">
        <v>37</v>
      </c>
      <c r="FM394" s="12" t="s">
        <v>37</v>
      </c>
      <c r="FN394" s="12" t="s">
        <v>37</v>
      </c>
      <c r="FO394" s="12"/>
      <c r="FP394" s="12" t="s">
        <v>37</v>
      </c>
      <c r="FQ394" s="12" t="s">
        <v>37</v>
      </c>
      <c r="FR394" s="12" t="s">
        <v>37</v>
      </c>
      <c r="FS394" s="12" t="s">
        <v>37</v>
      </c>
      <c r="FT394" s="12" t="s">
        <v>37</v>
      </c>
      <c r="FU394" s="12" t="s">
        <v>37</v>
      </c>
      <c r="FW394" s="12" t="s">
        <v>37</v>
      </c>
      <c r="FX394" s="12" t="s">
        <v>37</v>
      </c>
      <c r="FY394" s="12" t="s">
        <v>37</v>
      </c>
      <c r="FZ394" s="12" t="s">
        <v>37</v>
      </c>
      <c r="GA394" s="12" t="s">
        <v>37</v>
      </c>
      <c r="GB394" s="12" t="s">
        <v>37</v>
      </c>
      <c r="GC394" s="12" t="s">
        <v>101</v>
      </c>
      <c r="GD394" s="12" t="s">
        <v>345</v>
      </c>
      <c r="GE394" s="12">
        <v>30.947580645161295</v>
      </c>
      <c r="GF394" s="12">
        <v>3.794288575589297</v>
      </c>
      <c r="GG394" s="13">
        <v>4</v>
      </c>
      <c r="GH394" s="19">
        <f t="shared" ref="GH394:GH395" si="1416">GF394/GE394</f>
        <v>0.12260372205161504</v>
      </c>
      <c r="GI394" s="12">
        <v>25.950460829493093</v>
      </c>
      <c r="GJ394" s="12">
        <v>3.6875665686265799</v>
      </c>
      <c r="GK394" s="13">
        <v>4</v>
      </c>
      <c r="GL394" s="19">
        <f t="shared" ref="GL394:GL395" si="1417">GJ394/GI394</f>
        <v>0.14210023447582112</v>
      </c>
      <c r="GM394" s="19">
        <f t="shared" ref="GM394:GM395" si="1418">LN(GI394/GE394)</f>
        <v>-0.17610545847422726</v>
      </c>
      <c r="GN394" s="19">
        <f t="shared" ref="GN394:GN395" si="1419">GJ394^2/(GK394*GI394^2)+GF394^2/(GG394*GE394^2)</f>
        <v>8.8060373247482553E-3</v>
      </c>
      <c r="HA394" s="17" t="s">
        <v>63</v>
      </c>
      <c r="HB394" s="34" t="s">
        <v>345</v>
      </c>
      <c r="HC394" s="12">
        <v>0.83443708609271505</v>
      </c>
      <c r="HD394" s="12">
        <v>0.21324503311258391</v>
      </c>
      <c r="HE394" s="13">
        <v>4</v>
      </c>
      <c r="HF394" s="19">
        <f t="shared" ref="HF394:HF395" si="1420">HD394/HC394</f>
        <v>0.25555555555555698</v>
      </c>
      <c r="HG394" s="12">
        <v>0.89470198675496704</v>
      </c>
      <c r="HH394" s="12">
        <v>0.26887417218542575</v>
      </c>
      <c r="HI394" s="13">
        <v>4</v>
      </c>
      <c r="HJ394" s="19">
        <f t="shared" ref="HJ394:HJ395" si="1421">HH394/HG394</f>
        <v>0.30051813471502059</v>
      </c>
      <c r="HK394" s="19">
        <f t="shared" ref="HK394:HK395" si="1422">LN(HG394/HC394)</f>
        <v>6.9733338014675558E-2</v>
      </c>
      <c r="HL394" s="19">
        <f t="shared" ref="HL394:HL395" si="1423">HH394^2/(HI394*HG394^2)+HD394^2/(HE394*HC394^2)</f>
        <v>3.8904947816976163E-2</v>
      </c>
      <c r="IK394" s="12" t="s">
        <v>37</v>
      </c>
      <c r="IL394" s="12" t="s">
        <v>37</v>
      </c>
      <c r="IM394" s="12" t="s">
        <v>37</v>
      </c>
      <c r="IO394" s="12" t="s">
        <v>37</v>
      </c>
      <c r="IP394" s="12" t="s">
        <v>37</v>
      </c>
      <c r="IQ394" s="12" t="s">
        <v>37</v>
      </c>
      <c r="IV394" s="32" t="s">
        <v>345</v>
      </c>
      <c r="IW394" s="12">
        <v>6.1771217712177098</v>
      </c>
      <c r="IX394" s="12">
        <v>0.26568265682658065</v>
      </c>
      <c r="IY394" s="13">
        <v>4</v>
      </c>
      <c r="IZ394" s="19">
        <f t="shared" ref="IZ394:IZ395" si="1424">IX394/IW394</f>
        <v>4.3010752688174066E-2</v>
      </c>
      <c r="JA394" s="12">
        <v>6.7084870848708498</v>
      </c>
      <c r="JB394" s="12">
        <v>0.46494464944650105</v>
      </c>
      <c r="JC394" s="13">
        <v>4</v>
      </c>
      <c r="JD394" s="19">
        <f t="shared" ref="JD394:JD395" si="1425">JB394/JA394</f>
        <v>6.9306930693070271E-2</v>
      </c>
      <c r="JE394" s="19">
        <f t="shared" ref="JE394:JE395" si="1426">LN(JA394/IW394)</f>
        <v>8.2521023688004055E-2</v>
      </c>
      <c r="JF394" s="19">
        <f t="shared" si="1386"/>
        <v>1.6633438722243299E-3</v>
      </c>
      <c r="JH394" s="12" t="s">
        <v>37</v>
      </c>
      <c r="JI394" s="12" t="s">
        <v>37</v>
      </c>
      <c r="JJ394" s="13" t="s">
        <v>37</v>
      </c>
      <c r="JL394" s="12" t="s">
        <v>37</v>
      </c>
      <c r="JM394" s="12" t="s">
        <v>37</v>
      </c>
      <c r="JN394" s="12" t="s">
        <v>37</v>
      </c>
      <c r="JS394" s="12" t="s">
        <v>37</v>
      </c>
      <c r="JT394" s="12" t="s">
        <v>37</v>
      </c>
      <c r="JU394" s="13" t="s">
        <v>37</v>
      </c>
      <c r="JW394" s="12" t="s">
        <v>37</v>
      </c>
      <c r="JX394" s="12" t="s">
        <v>37</v>
      </c>
      <c r="JY394" s="12" t="s">
        <v>37</v>
      </c>
      <c r="KE394" s="11" t="s">
        <v>37</v>
      </c>
      <c r="KF394" s="11" t="s">
        <v>37</v>
      </c>
      <c r="KG394" s="13" t="s">
        <v>37</v>
      </c>
      <c r="KH394" s="11" t="s">
        <v>37</v>
      </c>
      <c r="KI394" s="11" t="s">
        <v>37</v>
      </c>
      <c r="KJ394" s="11" t="s">
        <v>37</v>
      </c>
      <c r="KK394" s="12" t="s">
        <v>42</v>
      </c>
      <c r="KL394" s="32" t="s">
        <v>345</v>
      </c>
      <c r="KM394" s="12">
        <v>9.2492492492492495</v>
      </c>
      <c r="KN394" s="12">
        <v>0.72072072072072046</v>
      </c>
      <c r="KO394" s="11">
        <v>4</v>
      </c>
      <c r="KP394" s="19">
        <f t="shared" ref="KP394:KP395" si="1427">KN394/KM394</f>
        <v>7.7922077922077893E-2</v>
      </c>
      <c r="KQ394" s="12">
        <v>7.7777777777777803</v>
      </c>
      <c r="KR394" s="12">
        <v>0.66066066066066043</v>
      </c>
      <c r="KS394" s="13">
        <v>4</v>
      </c>
      <c r="KT394" s="19">
        <f t="shared" ref="KT394:KT395" si="1428">KR394/KQ394</f>
        <v>8.4942084942084883E-2</v>
      </c>
      <c r="KU394" s="19">
        <f t="shared" ref="KU394:KU395" si="1429">LN(KQ394/KM394)</f>
        <v>-0.17327172127403642</v>
      </c>
      <c r="KV394" s="19">
        <f t="shared" ref="KV394:KV395" si="1430">KR394^2/(KS394*KQ394^2)+KN394^2/(KO394*KM394^2)</f>
        <v>3.3217520055006857E-3</v>
      </c>
      <c r="KX394" s="12" t="s">
        <v>37</v>
      </c>
      <c r="KY394" s="12" t="s">
        <v>37</v>
      </c>
      <c r="KZ394" s="13" t="s">
        <v>37</v>
      </c>
      <c r="LB394" s="12" t="s">
        <v>37</v>
      </c>
      <c r="LC394" s="12" t="s">
        <v>37</v>
      </c>
      <c r="LD394" s="13" t="s">
        <v>37</v>
      </c>
      <c r="LI394" s="12" t="s">
        <v>37</v>
      </c>
      <c r="LJ394" s="12" t="s">
        <v>37</v>
      </c>
      <c r="LK394" s="12" t="s">
        <v>37</v>
      </c>
      <c r="LM394" s="12" t="s">
        <v>37</v>
      </c>
      <c r="LN394" s="12" t="s">
        <v>37</v>
      </c>
      <c r="LO394" s="12" t="s">
        <v>37</v>
      </c>
      <c r="LT394" s="12" t="str">
        <f t="shared" ref="LT394:LT395" si="1431">KL394</f>
        <v>0-10</v>
      </c>
      <c r="LU394" s="12">
        <f>AT394/KM394</f>
        <v>8.8687760578904555</v>
      </c>
      <c r="LV394" s="12">
        <f>SQRT((1/KM394)^2*AU394^2+AT394^2*(-1/KM394^2)^2*KN394^2)</f>
        <v>0.99663341764980806</v>
      </c>
      <c r="LW394" s="13">
        <f t="shared" ref="LW394:LW395" si="1432">KO394</f>
        <v>4</v>
      </c>
      <c r="LX394" s="19">
        <f t="shared" ref="LX394:LX395" si="1433">LV394/LU394</f>
        <v>0.1123755308674317</v>
      </c>
      <c r="LY394" s="12">
        <f>AX394/KQ394</f>
        <v>9.1802846599894519</v>
      </c>
      <c r="LZ394" s="12">
        <f>SQRT((1/KQ394)^2*AY394^2+AX394^2*(-1/KQ394^2)^2*KR394^2)</f>
        <v>1.1564420260705788</v>
      </c>
      <c r="MA394" s="13">
        <f t="shared" ref="MA394:MA395" si="1434">KS394</f>
        <v>4</v>
      </c>
      <c r="MB394" s="19">
        <f t="shared" ref="MB394:MB395" si="1435">LZ394/LY394</f>
        <v>0.12597017074107891</v>
      </c>
      <c r="MC394" s="19">
        <f t="shared" ref="MC394:MC395" si="1436">LN(LY394/LU394)</f>
        <v>3.4521412773721054E-2</v>
      </c>
      <c r="MD394" s="19">
        <f t="shared" ref="MD394:MD395" si="1437">LZ394^2/(MA394*LY394^2)+LV394^2/(LW394*LU394^2)</f>
        <v>7.1241859635684159E-3</v>
      </c>
      <c r="MF394" s="12" t="s">
        <v>37</v>
      </c>
      <c r="MG394" s="12" t="s">
        <v>37</v>
      </c>
      <c r="MH394" s="12" t="s">
        <v>37</v>
      </c>
      <c r="MJ394" s="12" t="s">
        <v>37</v>
      </c>
      <c r="MK394" s="12" t="s">
        <v>37</v>
      </c>
      <c r="ML394" s="12" t="s">
        <v>37</v>
      </c>
      <c r="MQ394" s="12" t="s">
        <v>37</v>
      </c>
      <c r="MR394" s="12" t="s">
        <v>37</v>
      </c>
      <c r="MS394" s="12" t="s">
        <v>37</v>
      </c>
      <c r="MU394" s="12" t="s">
        <v>37</v>
      </c>
      <c r="MV394" s="12" t="s">
        <v>37</v>
      </c>
      <c r="MW394" s="12" t="s">
        <v>37</v>
      </c>
      <c r="NA394" s="12" t="s">
        <v>42</v>
      </c>
      <c r="NB394" s="12" t="s">
        <v>345</v>
      </c>
      <c r="NC394" s="12">
        <v>2.79279279279279</v>
      </c>
      <c r="ND394" s="12">
        <v>0.24024024024024015</v>
      </c>
      <c r="NE394" s="13">
        <v>4</v>
      </c>
      <c r="NF394" s="19">
        <f t="shared" ref="NF394:NF395" si="1438">ND394/NC394</f>
        <v>8.6021505376344135E-2</v>
      </c>
      <c r="NG394" s="12">
        <v>2.7027027027027</v>
      </c>
      <c r="NH394" s="12">
        <v>0.30030030030030019</v>
      </c>
      <c r="NI394" s="13">
        <v>4</v>
      </c>
      <c r="NJ394" s="19">
        <f t="shared" ref="NJ394:NJ395" si="1439">NH394/NG394</f>
        <v>0.11111111111111119</v>
      </c>
      <c r="NK394" s="19">
        <f t="shared" ref="NK394:NK395" si="1440">LN(NG394/NC394)</f>
        <v>-3.2789822822990838E-2</v>
      </c>
      <c r="NL394" s="19">
        <f t="shared" si="1402"/>
        <v>4.9363445998895248E-3</v>
      </c>
      <c r="NM394" s="12" t="s">
        <v>42</v>
      </c>
      <c r="NN394" s="12" t="s">
        <v>345</v>
      </c>
      <c r="NO394" s="12">
        <v>3.1531531531531498</v>
      </c>
      <c r="NP394" s="12">
        <v>0.48048048048048031</v>
      </c>
      <c r="NQ394" s="13">
        <v>4</v>
      </c>
      <c r="NR394" s="19">
        <f t="shared" ref="NR394:NR395" si="1441">NP394/NO394</f>
        <v>0.15238095238095248</v>
      </c>
      <c r="NS394" s="12">
        <v>2.6726726726726699</v>
      </c>
      <c r="NT394" s="12">
        <v>0.48048048048048031</v>
      </c>
      <c r="NU394" s="13">
        <v>4</v>
      </c>
      <c r="NV394" s="19">
        <f t="shared" ref="NV394:NV395" si="1442">NT394/NS394</f>
        <v>0.17977528089887651</v>
      </c>
      <c r="NW394" s="19">
        <f t="shared" ref="NW394:NW395" si="1443">LN(NS394/NO394)</f>
        <v>-0.16532398042538354</v>
      </c>
      <c r="NX394" s="19">
        <f t="shared" ref="NX394:NX395" si="1444">NT394^2/(NU394*NS394^2)+NP394^2/(NQ394*NO394^2)</f>
        <v>1.3884776567699018E-2</v>
      </c>
      <c r="OA394" s="12" t="s">
        <v>37</v>
      </c>
      <c r="OB394" s="12" t="s">
        <v>37</v>
      </c>
      <c r="OC394" s="12" t="s">
        <v>37</v>
      </c>
      <c r="OD394" s="12"/>
      <c r="OE394" s="12" t="s">
        <v>37</v>
      </c>
      <c r="OF394" s="12" t="s">
        <v>37</v>
      </c>
      <c r="OG394" s="12" t="s">
        <v>37</v>
      </c>
      <c r="OH394" s="12"/>
      <c r="OI394" s="12"/>
      <c r="OJ394" s="12"/>
      <c r="OM394" s="12" t="s">
        <v>37</v>
      </c>
      <c r="ON394" s="12" t="s">
        <v>37</v>
      </c>
      <c r="OO394" s="12" t="s">
        <v>37</v>
      </c>
      <c r="OP394" s="12" t="s">
        <v>37</v>
      </c>
      <c r="OQ394" s="12" t="s">
        <v>37</v>
      </c>
      <c r="OR394" s="12" t="s">
        <v>37</v>
      </c>
      <c r="OS394" s="12"/>
      <c r="OT394" s="12"/>
      <c r="OW394" s="12" t="s">
        <v>37</v>
      </c>
      <c r="OX394" s="12" t="s">
        <v>37</v>
      </c>
      <c r="OY394" s="12" t="s">
        <v>37</v>
      </c>
      <c r="OZ394" s="12" t="s">
        <v>37</v>
      </c>
      <c r="PA394" s="12" t="s">
        <v>37</v>
      </c>
      <c r="PB394" s="12" t="s">
        <v>37</v>
      </c>
      <c r="PC394" s="12"/>
      <c r="PD394" s="12"/>
      <c r="PG394" s="12" t="s">
        <v>37</v>
      </c>
      <c r="PH394" s="12" t="s">
        <v>37</v>
      </c>
      <c r="PI394" s="12" t="s">
        <v>37</v>
      </c>
      <c r="PJ394" s="12" t="s">
        <v>37</v>
      </c>
      <c r="PK394" s="12" t="s">
        <v>37</v>
      </c>
      <c r="PL394" s="12" t="s">
        <v>37</v>
      </c>
      <c r="PM394" s="12"/>
      <c r="PN394" s="12"/>
      <c r="PQ394" s="12" t="s">
        <v>37</v>
      </c>
      <c r="PR394" s="12" t="s">
        <v>37</v>
      </c>
      <c r="PS394" s="12" t="s">
        <v>37</v>
      </c>
      <c r="PT394" s="12" t="s">
        <v>37</v>
      </c>
      <c r="PU394" s="12" t="s">
        <v>37</v>
      </c>
      <c r="PV394" s="12" t="s">
        <v>37</v>
      </c>
      <c r="PW394" s="12"/>
      <c r="PX394" s="12"/>
      <c r="PZ394" s="12" t="s">
        <v>37</v>
      </c>
      <c r="QA394" s="12" t="s">
        <v>37</v>
      </c>
      <c r="QB394" s="11" t="s">
        <v>37</v>
      </c>
      <c r="QD394" s="12" t="s">
        <v>37</v>
      </c>
      <c r="QE394" s="12" t="s">
        <v>37</v>
      </c>
      <c r="QF394" s="12" t="s">
        <v>37</v>
      </c>
      <c r="QK394" s="12" t="s">
        <v>37</v>
      </c>
      <c r="QL394" s="12" t="s">
        <v>37</v>
      </c>
      <c r="QM394" s="12" t="s">
        <v>37</v>
      </c>
      <c r="QN394" s="12" t="s">
        <v>37</v>
      </c>
      <c r="QO394" s="12" t="s">
        <v>37</v>
      </c>
      <c r="QP394" s="12" t="s">
        <v>37</v>
      </c>
      <c r="QQ394" s="12"/>
      <c r="QR394" s="12"/>
      <c r="QU394" s="12" t="s">
        <v>37</v>
      </c>
      <c r="QV394" s="12" t="s">
        <v>37</v>
      </c>
      <c r="QW394" s="12" t="s">
        <v>37</v>
      </c>
      <c r="QX394" s="12" t="s">
        <v>37</v>
      </c>
      <c r="QY394" s="12" t="s">
        <v>37</v>
      </c>
      <c r="QZ394" s="12" t="s">
        <v>37</v>
      </c>
      <c r="RC394" s="12" t="s">
        <v>37</v>
      </c>
      <c r="RD394" s="12" t="s">
        <v>37</v>
      </c>
      <c r="RE394" s="13" t="s">
        <v>37</v>
      </c>
      <c r="RF394" s="12" t="s">
        <v>37</v>
      </c>
      <c r="RG394" s="12" t="s">
        <v>37</v>
      </c>
      <c r="RH394" s="13" t="s">
        <v>37</v>
      </c>
      <c r="RK394" s="12" t="s">
        <v>37</v>
      </c>
      <c r="RL394" s="12" t="s">
        <v>37</v>
      </c>
      <c r="RM394" s="11" t="s">
        <v>37</v>
      </c>
      <c r="RN394" s="12" t="s">
        <v>37</v>
      </c>
      <c r="RO394" s="12" t="s">
        <v>37</v>
      </c>
      <c r="RP394" s="11" t="s">
        <v>37</v>
      </c>
      <c r="RS394" s="12" t="s">
        <v>37</v>
      </c>
      <c r="RT394" s="12" t="s">
        <v>37</v>
      </c>
      <c r="RU394" s="12" t="s">
        <v>37</v>
      </c>
      <c r="RV394" s="12" t="s">
        <v>37</v>
      </c>
      <c r="RW394" s="12" t="s">
        <v>37</v>
      </c>
      <c r="RX394" s="12" t="s">
        <v>37</v>
      </c>
      <c r="SA394" s="12" t="s">
        <v>37</v>
      </c>
      <c r="SB394" s="12" t="s">
        <v>37</v>
      </c>
      <c r="SC394" s="12" t="s">
        <v>37</v>
      </c>
      <c r="SD394" s="12" t="s">
        <v>37</v>
      </c>
      <c r="SE394" s="12" t="s">
        <v>37</v>
      </c>
      <c r="SF394" s="12" t="s">
        <v>37</v>
      </c>
      <c r="SG394" s="12" t="s">
        <v>42</v>
      </c>
      <c r="SH394" s="12" t="s">
        <v>345</v>
      </c>
      <c r="SI394" s="12">
        <v>3.7837837837837802</v>
      </c>
      <c r="SJ394" s="12">
        <v>0.96096096096095973</v>
      </c>
      <c r="SK394" s="13">
        <v>4</v>
      </c>
      <c r="SL394" s="19">
        <f>SJ394/SI394</f>
        <v>0.2539682539682539</v>
      </c>
      <c r="SM394" s="12">
        <v>3.2132132132132099</v>
      </c>
      <c r="SN394" s="12">
        <v>0.72072072072072046</v>
      </c>
      <c r="SO394" s="13">
        <v>4</v>
      </c>
      <c r="SP394" s="19">
        <f>SN394/SM394</f>
        <v>0.22429906542056091</v>
      </c>
      <c r="SQ394" s="19">
        <f t="shared" ref="SQ394:SQ395" si="1445">LN(SM394/SI394)</f>
        <v>-0.16345307248957197</v>
      </c>
      <c r="SR394" s="19">
        <f t="shared" ref="SR394:SR395" si="1446">SN394^2/(SO394*SM394^2)+SJ394^2/(SK394*SI394^2)</f>
        <v>2.8702486193055137E-2</v>
      </c>
      <c r="SU394" s="12" t="s">
        <v>37</v>
      </c>
      <c r="SV394" s="12" t="s">
        <v>37</v>
      </c>
      <c r="SW394" s="11" t="s">
        <v>37</v>
      </c>
      <c r="SX394" s="12" t="s">
        <v>37</v>
      </c>
      <c r="SY394" s="12" t="s">
        <v>37</v>
      </c>
      <c r="SZ394" s="11" t="s">
        <v>37</v>
      </c>
      <c r="TE394" s="12" t="s">
        <v>37</v>
      </c>
      <c r="TF394" s="12" t="s">
        <v>37</v>
      </c>
      <c r="TG394" s="11" t="s">
        <v>37</v>
      </c>
      <c r="TH394" s="12" t="s">
        <v>37</v>
      </c>
      <c r="TI394" s="12" t="s">
        <v>37</v>
      </c>
      <c r="TJ394" s="11" t="s">
        <v>37</v>
      </c>
      <c r="TO394" s="12" t="s">
        <v>37</v>
      </c>
      <c r="TP394" s="12" t="s">
        <v>37</v>
      </c>
      <c r="TQ394" s="11" t="s">
        <v>37</v>
      </c>
      <c r="TR394" s="12" t="s">
        <v>37</v>
      </c>
      <c r="TS394" s="12" t="s">
        <v>37</v>
      </c>
      <c r="TT394" s="11" t="s">
        <v>37</v>
      </c>
      <c r="TY394" s="12" t="s">
        <v>37</v>
      </c>
      <c r="TZ394" s="12" t="s">
        <v>37</v>
      </c>
      <c r="UA394" s="12" t="s">
        <v>37</v>
      </c>
      <c r="UB394" s="12" t="s">
        <v>37</v>
      </c>
      <c r="UC394" s="12" t="s">
        <v>37</v>
      </c>
      <c r="UD394" s="12" t="s">
        <v>37</v>
      </c>
      <c r="UE394" s="12"/>
      <c r="UF394" s="12"/>
      <c r="UI394" s="12" t="s">
        <v>37</v>
      </c>
      <c r="UJ394" s="12" t="s">
        <v>37</v>
      </c>
      <c r="UK394" s="12" t="s">
        <v>37</v>
      </c>
      <c r="UL394" s="12" t="s">
        <v>37</v>
      </c>
      <c r="UM394" s="12" t="s">
        <v>37</v>
      </c>
      <c r="UN394" s="12" t="s">
        <v>37</v>
      </c>
      <c r="UO394" s="12"/>
      <c r="UP394" s="12"/>
      <c r="UR394" s="12" t="s">
        <v>37</v>
      </c>
      <c r="US394" s="12" t="s">
        <v>37</v>
      </c>
      <c r="UT394" s="12" t="s">
        <v>37</v>
      </c>
      <c r="UU394" s="12" t="s">
        <v>37</v>
      </c>
      <c r="UV394" s="12" t="s">
        <v>37</v>
      </c>
      <c r="UW394" s="12" t="s">
        <v>37</v>
      </c>
      <c r="UX394" s="12"/>
      <c r="UY394" s="12"/>
      <c r="VB394" s="12" t="s">
        <v>37</v>
      </c>
      <c r="VC394" s="12" t="s">
        <v>37</v>
      </c>
      <c r="VD394" s="12" t="s">
        <v>37</v>
      </c>
      <c r="VE394" s="12" t="s">
        <v>37</v>
      </c>
      <c r="VF394" s="12" t="s">
        <v>37</v>
      </c>
      <c r="VG394" s="12" t="s">
        <v>37</v>
      </c>
      <c r="VI394" s="12" t="s">
        <v>37</v>
      </c>
      <c r="VJ394" s="12" t="s">
        <v>37</v>
      </c>
      <c r="VK394" s="12" t="s">
        <v>37</v>
      </c>
      <c r="VL394" s="12" t="s">
        <v>37</v>
      </c>
      <c r="VM394" s="12" t="s">
        <v>37</v>
      </c>
      <c r="VN394" s="12" t="s">
        <v>37</v>
      </c>
      <c r="VQ394" s="13" t="s">
        <v>37</v>
      </c>
      <c r="VR394" s="13" t="s">
        <v>37</v>
      </c>
      <c r="VS394" s="13" t="s">
        <v>37</v>
      </c>
      <c r="VT394" s="13" t="s">
        <v>37</v>
      </c>
      <c r="VU394" s="13" t="s">
        <v>37</v>
      </c>
      <c r="VV394" s="13" t="s">
        <v>37</v>
      </c>
      <c r="WA394" s="13" t="s">
        <v>37</v>
      </c>
      <c r="WB394" s="13" t="s">
        <v>37</v>
      </c>
      <c r="WC394" s="13" t="s">
        <v>37</v>
      </c>
      <c r="WD394" s="13" t="s">
        <v>37</v>
      </c>
      <c r="WE394" s="13" t="s">
        <v>37</v>
      </c>
      <c r="WF394" s="13" t="s">
        <v>37</v>
      </c>
    </row>
    <row r="395" spans="1:606" ht="18" customHeight="1" x14ac:dyDescent="0.3">
      <c r="A395" s="11">
        <v>84</v>
      </c>
      <c r="B395" s="16" t="s">
        <v>582</v>
      </c>
      <c r="C395" s="16" t="s">
        <v>26</v>
      </c>
      <c r="D395" s="12" t="s">
        <v>1039</v>
      </c>
      <c r="E395" s="80">
        <v>0.5</v>
      </c>
      <c r="F395" s="14">
        <v>0</v>
      </c>
      <c r="G395" s="14">
        <v>0</v>
      </c>
      <c r="H395" s="56" t="s">
        <v>584</v>
      </c>
      <c r="I395" s="29">
        <v>34.729999999999997</v>
      </c>
      <c r="J395" s="29">
        <v>92.891999999999996</v>
      </c>
      <c r="K395" s="56" t="s">
        <v>585</v>
      </c>
      <c r="L395" s="56" t="s">
        <v>617</v>
      </c>
      <c r="M395" s="14">
        <v>4778</v>
      </c>
      <c r="N395" s="14">
        <v>-5.5</v>
      </c>
      <c r="O395" s="14">
        <v>269.7</v>
      </c>
      <c r="P395" s="56" t="s">
        <v>586</v>
      </c>
      <c r="Q395" s="75" t="s">
        <v>326</v>
      </c>
      <c r="R395" s="16" t="s">
        <v>583</v>
      </c>
      <c r="S395" s="56" t="s">
        <v>587</v>
      </c>
      <c r="T395" s="16" t="s">
        <v>138</v>
      </c>
      <c r="U395" s="16" t="s">
        <v>158</v>
      </c>
      <c r="V395" s="16" t="s">
        <v>275</v>
      </c>
      <c r="W395" s="57" t="s">
        <v>588</v>
      </c>
      <c r="X395" s="16" t="s">
        <v>283</v>
      </c>
      <c r="Y395" s="12" t="s">
        <v>37</v>
      </c>
      <c r="Z395" s="12" t="s">
        <v>37</v>
      </c>
      <c r="AA395" s="32" t="s">
        <v>345</v>
      </c>
      <c r="AB395" s="12">
        <v>6.1771217712177098</v>
      </c>
      <c r="AC395" s="12" t="s">
        <v>42</v>
      </c>
      <c r="AD395" s="32" t="s">
        <v>345</v>
      </c>
      <c r="AE395" s="12">
        <v>82.029520295203014</v>
      </c>
      <c r="AF395" s="12" t="s">
        <v>42</v>
      </c>
      <c r="AG395" s="32" t="s">
        <v>345</v>
      </c>
      <c r="AH395" s="12">
        <v>9.2492492492492495</v>
      </c>
      <c r="AJ395" s="12" t="str">
        <f t="shared" si="1407"/>
        <v>0-10</v>
      </c>
      <c r="AK395" s="19">
        <f t="shared" si="1408"/>
        <v>8.8687760578904555</v>
      </c>
      <c r="AL395" s="56">
        <v>2006</v>
      </c>
      <c r="AM395" s="16" t="s">
        <v>344</v>
      </c>
      <c r="AN395" s="56"/>
      <c r="AO395" s="16" t="s">
        <v>583</v>
      </c>
      <c r="AP395" s="56" t="s">
        <v>589</v>
      </c>
      <c r="AQ395" s="12" t="s">
        <v>975</v>
      </c>
      <c r="AR395" s="12" t="s">
        <v>42</v>
      </c>
      <c r="AS395" s="32" t="s">
        <v>345</v>
      </c>
      <c r="AT395" s="12">
        <v>82.029520295203014</v>
      </c>
      <c r="AU395" s="12">
        <v>6.6420664206641788</v>
      </c>
      <c r="AV395" s="13">
        <v>4</v>
      </c>
      <c r="AW395" s="19">
        <f t="shared" si="1409"/>
        <v>8.0971659919027938E-2</v>
      </c>
      <c r="AX395" s="12">
        <v>63.763837638376401</v>
      </c>
      <c r="AY395" s="12">
        <v>3.3210332103320006</v>
      </c>
      <c r="AZ395" s="13">
        <v>4</v>
      </c>
      <c r="BA395" s="19">
        <f t="shared" si="1410"/>
        <v>5.2083333333331705E-2</v>
      </c>
      <c r="BB395" s="52">
        <f t="shared" si="1411"/>
        <v>-0.25189296460019606</v>
      </c>
      <c r="BC395" s="19">
        <f t="shared" ref="BC395" si="1447">AY395^2/(AZ395*AX395^2)+AU395^2/(AV395*AT395^2)</f>
        <v>2.3172708302884142E-3</v>
      </c>
      <c r="BE395" s="12" t="s">
        <v>326</v>
      </c>
      <c r="BF395" s="12" t="s">
        <v>326</v>
      </c>
      <c r="BG395" s="12" t="s">
        <v>326</v>
      </c>
      <c r="BI395" s="12" t="s">
        <v>326</v>
      </c>
      <c r="BJ395" s="12" t="s">
        <v>326</v>
      </c>
      <c r="BK395" s="12" t="s">
        <v>326</v>
      </c>
      <c r="BP395" s="12" t="s">
        <v>37</v>
      </c>
      <c r="BQ395" s="12" t="s">
        <v>37</v>
      </c>
      <c r="BR395" s="13" t="s">
        <v>37</v>
      </c>
      <c r="BT395" s="12" t="s">
        <v>37</v>
      </c>
      <c r="BU395" s="12" t="s">
        <v>37</v>
      </c>
      <c r="BV395" s="12" t="s">
        <v>37</v>
      </c>
      <c r="CA395" s="12" t="s">
        <v>37</v>
      </c>
      <c r="CB395" s="12" t="s">
        <v>37</v>
      </c>
      <c r="CC395" s="13" t="s">
        <v>37</v>
      </c>
      <c r="CE395" s="12" t="s">
        <v>37</v>
      </c>
      <c r="CF395" s="12" t="s">
        <v>37</v>
      </c>
      <c r="CG395" s="12" t="s">
        <v>37</v>
      </c>
      <c r="CN395" s="12" t="s">
        <v>37</v>
      </c>
      <c r="CO395" s="12" t="s">
        <v>37</v>
      </c>
      <c r="CP395" s="13" t="s">
        <v>37</v>
      </c>
      <c r="CR395" s="12" t="s">
        <v>37</v>
      </c>
      <c r="CS395" s="12" t="s">
        <v>37</v>
      </c>
      <c r="CT395" s="13" t="s">
        <v>37</v>
      </c>
      <c r="CX395" s="72"/>
      <c r="CY395" s="72"/>
      <c r="DA395" s="12" t="s">
        <v>37</v>
      </c>
      <c r="DB395" s="12" t="s">
        <v>37</v>
      </c>
      <c r="DC395" s="13" t="s">
        <v>37</v>
      </c>
      <c r="DE395" s="12" t="s">
        <v>37</v>
      </c>
      <c r="DF395" s="12" t="s">
        <v>37</v>
      </c>
      <c r="DG395" s="12" t="s">
        <v>37</v>
      </c>
      <c r="DM395" s="16" t="s">
        <v>47</v>
      </c>
      <c r="DN395" s="19">
        <v>3.0991760299625515</v>
      </c>
      <c r="DO395" s="12">
        <v>0.97725273241836819</v>
      </c>
      <c r="DP395" s="13">
        <v>4</v>
      </c>
      <c r="DQ395" s="19">
        <f t="shared" si="1412"/>
        <v>0.31532662971395553</v>
      </c>
      <c r="DR395" s="19">
        <v>0.58179775280898871</v>
      </c>
      <c r="DS395" s="12">
        <v>0.21030694588731111</v>
      </c>
      <c r="DT395" s="13">
        <v>4</v>
      </c>
      <c r="DU395" s="19">
        <f t="shared" si="1413"/>
        <v>0.36147775558073947</v>
      </c>
      <c r="DV395" s="19">
        <f t="shared" si="1414"/>
        <v>-2.5173782771535627</v>
      </c>
      <c r="DW395" s="12">
        <f t="shared" si="1415"/>
        <v>0.70684224354081127</v>
      </c>
      <c r="DX395" s="72">
        <f t="shared" si="1358"/>
        <v>0.24981297862690377</v>
      </c>
      <c r="DY395" s="72">
        <f t="shared" si="1359"/>
        <v>0.24981297862690377</v>
      </c>
      <c r="EA395" s="19" t="s">
        <v>37</v>
      </c>
      <c r="EB395" s="19" t="s">
        <v>37</v>
      </c>
      <c r="EC395" s="72" t="s">
        <v>37</v>
      </c>
      <c r="EE395" s="19" t="s">
        <v>37</v>
      </c>
      <c r="EF395" s="19" t="s">
        <v>37</v>
      </c>
      <c r="EG395" s="12" t="s">
        <v>37</v>
      </c>
      <c r="EN395" s="12" t="s">
        <v>37</v>
      </c>
      <c r="EO395" s="12" t="s">
        <v>37</v>
      </c>
      <c r="EP395" s="13" t="s">
        <v>37</v>
      </c>
      <c r="ER395" s="12" t="s">
        <v>37</v>
      </c>
      <c r="ES395" s="12" t="s">
        <v>37</v>
      </c>
      <c r="ET395" s="13" t="s">
        <v>37</v>
      </c>
      <c r="FB395" s="12" t="s">
        <v>37</v>
      </c>
      <c r="FC395" s="12" t="s">
        <v>37</v>
      </c>
      <c r="FD395" s="12" t="s">
        <v>37</v>
      </c>
      <c r="FE395" s="12" t="s">
        <v>37</v>
      </c>
      <c r="FF395" s="12" t="s">
        <v>37</v>
      </c>
      <c r="FG395" s="12" t="s">
        <v>37</v>
      </c>
      <c r="FI395" s="12" t="s">
        <v>37</v>
      </c>
      <c r="FJ395" s="12" t="s">
        <v>37</v>
      </c>
      <c r="FK395" s="12" t="s">
        <v>37</v>
      </c>
      <c r="FL395" s="12" t="s">
        <v>37</v>
      </c>
      <c r="FM395" s="12" t="s">
        <v>37</v>
      </c>
      <c r="FN395" s="12" t="s">
        <v>37</v>
      </c>
      <c r="FO395" s="12"/>
      <c r="FP395" s="12" t="s">
        <v>37</v>
      </c>
      <c r="FQ395" s="12" t="s">
        <v>37</v>
      </c>
      <c r="FR395" s="12" t="s">
        <v>37</v>
      </c>
      <c r="FS395" s="12" t="s">
        <v>37</v>
      </c>
      <c r="FT395" s="12" t="s">
        <v>37</v>
      </c>
      <c r="FU395" s="12" t="s">
        <v>37</v>
      </c>
      <c r="FW395" s="12" t="s">
        <v>37</v>
      </c>
      <c r="FX395" s="12" t="s">
        <v>37</v>
      </c>
      <c r="FY395" s="12" t="s">
        <v>37</v>
      </c>
      <c r="FZ395" s="12" t="s">
        <v>37</v>
      </c>
      <c r="GA395" s="12" t="s">
        <v>37</v>
      </c>
      <c r="GB395" s="12" t="s">
        <v>37</v>
      </c>
      <c r="GC395" s="12" t="s">
        <v>101</v>
      </c>
      <c r="GD395" s="12" t="s">
        <v>345</v>
      </c>
      <c r="GE395" s="12">
        <v>30.947580645161295</v>
      </c>
      <c r="GF395" s="12">
        <v>3.794288575589297</v>
      </c>
      <c r="GG395" s="13">
        <v>4</v>
      </c>
      <c r="GH395" s="19">
        <f t="shared" si="1416"/>
        <v>0.12260372205161504</v>
      </c>
      <c r="GI395" s="12">
        <v>21.117511520737345</v>
      </c>
      <c r="GJ395" s="12">
        <v>3.3693227459059032</v>
      </c>
      <c r="GK395" s="13">
        <v>4</v>
      </c>
      <c r="GL395" s="19">
        <f t="shared" si="1417"/>
        <v>0.15955112621092862</v>
      </c>
      <c r="GM395" s="19">
        <f t="shared" si="1418"/>
        <v>-0.38219220011701449</v>
      </c>
      <c r="GN395" s="19">
        <f t="shared" si="1419"/>
        <v>1.0122058634021337E-2</v>
      </c>
      <c r="HA395" s="17" t="s">
        <v>63</v>
      </c>
      <c r="HB395" s="34" t="s">
        <v>345</v>
      </c>
      <c r="HC395" s="12">
        <v>0.83443708609271505</v>
      </c>
      <c r="HD395" s="12">
        <v>0.21324503311258391</v>
      </c>
      <c r="HE395" s="13">
        <v>4</v>
      </c>
      <c r="HF395" s="19">
        <f t="shared" si="1420"/>
        <v>0.25555555555555698</v>
      </c>
      <c r="HG395" s="12">
        <v>1.18675496688742</v>
      </c>
      <c r="HH395" s="12">
        <v>0.23178807947020008</v>
      </c>
      <c r="HI395" s="13">
        <v>4</v>
      </c>
      <c r="HJ395" s="19">
        <f t="shared" si="1421"/>
        <v>0.19531250000000072</v>
      </c>
      <c r="HK395" s="19">
        <f t="shared" si="1422"/>
        <v>0.35222059358935465</v>
      </c>
      <c r="HL395" s="19">
        <f t="shared" si="1423"/>
        <v>2.586390365788991E-2</v>
      </c>
      <c r="IK395" s="12" t="s">
        <v>37</v>
      </c>
      <c r="IL395" s="12" t="s">
        <v>37</v>
      </c>
      <c r="IM395" s="12" t="s">
        <v>37</v>
      </c>
      <c r="IO395" s="12" t="s">
        <v>37</v>
      </c>
      <c r="IP395" s="12" t="s">
        <v>37</v>
      </c>
      <c r="IQ395" s="12" t="s">
        <v>37</v>
      </c>
      <c r="IV395" s="32" t="s">
        <v>345</v>
      </c>
      <c r="IW395" s="12">
        <v>6.1771217712177098</v>
      </c>
      <c r="IX395" s="12">
        <v>0.26568265682658065</v>
      </c>
      <c r="IY395" s="13">
        <v>4</v>
      </c>
      <c r="IZ395" s="19">
        <f t="shared" si="1424"/>
        <v>4.3010752688174066E-2</v>
      </c>
      <c r="JA395" s="12">
        <v>7.1402214022140198</v>
      </c>
      <c r="JB395" s="12">
        <v>0.26568265682658065</v>
      </c>
      <c r="JC395" s="13">
        <v>4</v>
      </c>
      <c r="JD395" s="19">
        <f t="shared" si="1425"/>
        <v>3.7209302325583143E-2</v>
      </c>
      <c r="JE395" s="19">
        <f t="shared" si="1426"/>
        <v>0.14489135441446163</v>
      </c>
      <c r="JF395" s="19">
        <f t="shared" si="1386"/>
        <v>8.0861425658997998E-4</v>
      </c>
      <c r="JH395" s="12" t="s">
        <v>37</v>
      </c>
      <c r="JI395" s="12" t="s">
        <v>37</v>
      </c>
      <c r="JJ395" s="13" t="s">
        <v>37</v>
      </c>
      <c r="JL395" s="12" t="s">
        <v>37</v>
      </c>
      <c r="JM395" s="12" t="s">
        <v>37</v>
      </c>
      <c r="JN395" s="12" t="s">
        <v>37</v>
      </c>
      <c r="JS395" s="12" t="s">
        <v>37</v>
      </c>
      <c r="JT395" s="12" t="s">
        <v>37</v>
      </c>
      <c r="JU395" s="13" t="s">
        <v>37</v>
      </c>
      <c r="JW395" s="12" t="s">
        <v>37</v>
      </c>
      <c r="JX395" s="12" t="s">
        <v>37</v>
      </c>
      <c r="JY395" s="12" t="s">
        <v>37</v>
      </c>
      <c r="KE395" s="11" t="s">
        <v>37</v>
      </c>
      <c r="KF395" s="11" t="s">
        <v>37</v>
      </c>
      <c r="KG395" s="13" t="s">
        <v>37</v>
      </c>
      <c r="KH395" s="11" t="s">
        <v>37</v>
      </c>
      <c r="KI395" s="11" t="s">
        <v>37</v>
      </c>
      <c r="KJ395" s="11" t="s">
        <v>37</v>
      </c>
      <c r="KK395" s="12" t="s">
        <v>42</v>
      </c>
      <c r="KL395" s="32" t="s">
        <v>345</v>
      </c>
      <c r="KM395" s="12">
        <v>9.2492492492492495</v>
      </c>
      <c r="KN395" s="12">
        <v>0.72072072072072046</v>
      </c>
      <c r="KO395" s="11">
        <v>4</v>
      </c>
      <c r="KP395" s="19">
        <f t="shared" si="1427"/>
        <v>7.7922077922077893E-2</v>
      </c>
      <c r="KQ395" s="12">
        <v>6.8168168168168197</v>
      </c>
      <c r="KR395" s="12">
        <v>0.66066066066066043</v>
      </c>
      <c r="KS395" s="13">
        <v>4</v>
      </c>
      <c r="KT395" s="19">
        <f t="shared" si="1428"/>
        <v>9.6916299559471286E-2</v>
      </c>
      <c r="KU395" s="19">
        <f t="shared" si="1429"/>
        <v>-0.30514976549217132</v>
      </c>
      <c r="KV395" s="19">
        <f t="shared" si="1430"/>
        <v>3.8661548369988887E-3</v>
      </c>
      <c r="KX395" s="12" t="s">
        <v>37</v>
      </c>
      <c r="KY395" s="12" t="s">
        <v>37</v>
      </c>
      <c r="KZ395" s="13" t="s">
        <v>37</v>
      </c>
      <c r="LB395" s="12" t="s">
        <v>37</v>
      </c>
      <c r="LC395" s="12" t="s">
        <v>37</v>
      </c>
      <c r="LD395" s="13" t="s">
        <v>37</v>
      </c>
      <c r="LI395" s="12" t="s">
        <v>37</v>
      </c>
      <c r="LJ395" s="12" t="s">
        <v>37</v>
      </c>
      <c r="LK395" s="12" t="s">
        <v>37</v>
      </c>
      <c r="LM395" s="12" t="s">
        <v>37</v>
      </c>
      <c r="LN395" s="12" t="s">
        <v>37</v>
      </c>
      <c r="LO395" s="12" t="s">
        <v>37</v>
      </c>
      <c r="LT395" s="12" t="str">
        <f t="shared" si="1431"/>
        <v>0-10</v>
      </c>
      <c r="LU395" s="12">
        <f>AT395/KM395</f>
        <v>8.8687760578904555</v>
      </c>
      <c r="LV395" s="12">
        <f>SQRT((1/KM395)^2*AU395^2+AT395^2*(-1/KM395^2)^2*KN395^2)</f>
        <v>0.99663341764980806</v>
      </c>
      <c r="LW395" s="13">
        <f t="shared" si="1432"/>
        <v>4</v>
      </c>
      <c r="LX395" s="19">
        <f t="shared" si="1433"/>
        <v>0.1123755308674317</v>
      </c>
      <c r="LY395" s="12">
        <f>AX395/KQ395</f>
        <v>9.3539021733829664</v>
      </c>
      <c r="LZ395" s="12">
        <f>SQRT((1/KQ395)^2*AY395^2+AX395^2*(-1/KQ395^2)^2*KR395^2)</f>
        <v>1.0291606256784718</v>
      </c>
      <c r="MA395" s="13">
        <f t="shared" si="1434"/>
        <v>4</v>
      </c>
      <c r="MB395" s="19">
        <f t="shared" si="1435"/>
        <v>0.11002473690680707</v>
      </c>
      <c r="MC395" s="19">
        <f t="shared" si="1436"/>
        <v>5.3256800891975334E-2</v>
      </c>
      <c r="MD395" s="19">
        <f t="shared" si="1437"/>
        <v>6.183425667287302E-3</v>
      </c>
      <c r="MF395" s="12" t="s">
        <v>37</v>
      </c>
      <c r="MG395" s="12" t="s">
        <v>37</v>
      </c>
      <c r="MH395" s="12" t="s">
        <v>37</v>
      </c>
      <c r="MJ395" s="12" t="s">
        <v>37</v>
      </c>
      <c r="MK395" s="12" t="s">
        <v>37</v>
      </c>
      <c r="ML395" s="12" t="s">
        <v>37</v>
      </c>
      <c r="MQ395" s="12" t="s">
        <v>37</v>
      </c>
      <c r="MR395" s="12" t="s">
        <v>37</v>
      </c>
      <c r="MS395" s="12" t="s">
        <v>37</v>
      </c>
      <c r="MU395" s="12" t="s">
        <v>37</v>
      </c>
      <c r="MV395" s="12" t="s">
        <v>37</v>
      </c>
      <c r="MW395" s="12" t="s">
        <v>37</v>
      </c>
      <c r="NA395" s="12" t="s">
        <v>42</v>
      </c>
      <c r="NB395" s="12" t="s">
        <v>345</v>
      </c>
      <c r="NC395" s="12">
        <v>2.79279279279279</v>
      </c>
      <c r="ND395" s="12">
        <v>0.24024024024024015</v>
      </c>
      <c r="NE395" s="13">
        <v>4</v>
      </c>
      <c r="NF395" s="19">
        <f t="shared" si="1438"/>
        <v>8.6021505376344135E-2</v>
      </c>
      <c r="NG395" s="12">
        <v>2.2522522522522501</v>
      </c>
      <c r="NH395" s="12">
        <v>0.42042042042041938</v>
      </c>
      <c r="NI395" s="13">
        <v>4</v>
      </c>
      <c r="NJ395" s="19">
        <f t="shared" si="1439"/>
        <v>0.18666666666666637</v>
      </c>
      <c r="NK395" s="19">
        <f t="shared" si="1440"/>
        <v>-0.21511137961694543</v>
      </c>
      <c r="NL395" s="19">
        <f t="shared" si="1402"/>
        <v>1.0561035957914185E-2</v>
      </c>
      <c r="NM395" s="12" t="s">
        <v>42</v>
      </c>
      <c r="NN395" s="12" t="s">
        <v>345</v>
      </c>
      <c r="NO395" s="12">
        <v>3.1531531531531498</v>
      </c>
      <c r="NP395" s="12">
        <v>0.48048048048048031</v>
      </c>
      <c r="NQ395" s="13">
        <v>4</v>
      </c>
      <c r="NR395" s="19">
        <f t="shared" si="1441"/>
        <v>0.15238095238095248</v>
      </c>
      <c r="NS395" s="12">
        <v>2.1021021021021</v>
      </c>
      <c r="NT395" s="12">
        <v>0.54054054054054035</v>
      </c>
      <c r="NU395" s="13">
        <v>4</v>
      </c>
      <c r="NV395" s="19">
        <f t="shared" si="1442"/>
        <v>0.25714285714285728</v>
      </c>
      <c r="NW395" s="19">
        <f t="shared" si="1443"/>
        <v>-0.40546510810816427</v>
      </c>
      <c r="NX395" s="19">
        <f t="shared" si="1444"/>
        <v>2.2335600907029508E-2</v>
      </c>
      <c r="OA395" s="12" t="s">
        <v>37</v>
      </c>
      <c r="OB395" s="12" t="s">
        <v>37</v>
      </c>
      <c r="OC395" s="12" t="s">
        <v>37</v>
      </c>
      <c r="OD395" s="12"/>
      <c r="OE395" s="12" t="s">
        <v>37</v>
      </c>
      <c r="OF395" s="12" t="s">
        <v>37</v>
      </c>
      <c r="OG395" s="12" t="s">
        <v>37</v>
      </c>
      <c r="OH395" s="12"/>
      <c r="OI395" s="12"/>
      <c r="OJ395" s="12"/>
      <c r="OM395" s="12" t="s">
        <v>37</v>
      </c>
      <c r="ON395" s="12" t="s">
        <v>37</v>
      </c>
      <c r="OO395" s="12" t="s">
        <v>37</v>
      </c>
      <c r="OP395" s="12" t="s">
        <v>37</v>
      </c>
      <c r="OQ395" s="12" t="s">
        <v>37</v>
      </c>
      <c r="OR395" s="12" t="s">
        <v>37</v>
      </c>
      <c r="OS395" s="12"/>
      <c r="OT395" s="12"/>
      <c r="OW395" s="12" t="s">
        <v>37</v>
      </c>
      <c r="OX395" s="12" t="s">
        <v>37</v>
      </c>
      <c r="OY395" s="12" t="s">
        <v>37</v>
      </c>
      <c r="OZ395" s="12" t="s">
        <v>37</v>
      </c>
      <c r="PA395" s="12" t="s">
        <v>37</v>
      </c>
      <c r="PB395" s="12" t="s">
        <v>37</v>
      </c>
      <c r="PC395" s="12"/>
      <c r="PD395" s="12"/>
      <c r="PG395" s="12" t="s">
        <v>37</v>
      </c>
      <c r="PH395" s="12" t="s">
        <v>37</v>
      </c>
      <c r="PI395" s="12" t="s">
        <v>37</v>
      </c>
      <c r="PJ395" s="12" t="s">
        <v>37</v>
      </c>
      <c r="PK395" s="12" t="s">
        <v>37</v>
      </c>
      <c r="PL395" s="12" t="s">
        <v>37</v>
      </c>
      <c r="PM395" s="12"/>
      <c r="PN395" s="12"/>
      <c r="PQ395" s="12" t="s">
        <v>37</v>
      </c>
      <c r="PR395" s="12" t="s">
        <v>37</v>
      </c>
      <c r="PS395" s="12" t="s">
        <v>37</v>
      </c>
      <c r="PT395" s="12" t="s">
        <v>37</v>
      </c>
      <c r="PU395" s="12" t="s">
        <v>37</v>
      </c>
      <c r="PV395" s="12" t="s">
        <v>37</v>
      </c>
      <c r="PW395" s="12"/>
      <c r="PX395" s="12"/>
      <c r="PZ395" s="12" t="s">
        <v>37</v>
      </c>
      <c r="QA395" s="12" t="s">
        <v>37</v>
      </c>
      <c r="QB395" s="11" t="s">
        <v>37</v>
      </c>
      <c r="QD395" s="12" t="s">
        <v>37</v>
      </c>
      <c r="QE395" s="12" t="s">
        <v>37</v>
      </c>
      <c r="QF395" s="12" t="s">
        <v>37</v>
      </c>
      <c r="QK395" s="12" t="s">
        <v>37</v>
      </c>
      <c r="QL395" s="12" t="s">
        <v>37</v>
      </c>
      <c r="QM395" s="12" t="s">
        <v>37</v>
      </c>
      <c r="QN395" s="12" t="s">
        <v>37</v>
      </c>
      <c r="QO395" s="12" t="s">
        <v>37</v>
      </c>
      <c r="QP395" s="12" t="s">
        <v>37</v>
      </c>
      <c r="QQ395" s="12"/>
      <c r="QR395" s="12"/>
      <c r="QU395" s="12" t="s">
        <v>37</v>
      </c>
      <c r="QV395" s="12" t="s">
        <v>37</v>
      </c>
      <c r="QW395" s="12" t="s">
        <v>37</v>
      </c>
      <c r="QX395" s="12" t="s">
        <v>37</v>
      </c>
      <c r="QY395" s="12" t="s">
        <v>37</v>
      </c>
      <c r="QZ395" s="12" t="s">
        <v>37</v>
      </c>
      <c r="RC395" s="12" t="s">
        <v>37</v>
      </c>
      <c r="RD395" s="12" t="s">
        <v>37</v>
      </c>
      <c r="RE395" s="13" t="s">
        <v>37</v>
      </c>
      <c r="RF395" s="12" t="s">
        <v>37</v>
      </c>
      <c r="RG395" s="12" t="s">
        <v>37</v>
      </c>
      <c r="RH395" s="13" t="s">
        <v>37</v>
      </c>
      <c r="RK395" s="12" t="s">
        <v>37</v>
      </c>
      <c r="RL395" s="12" t="s">
        <v>37</v>
      </c>
      <c r="RM395" s="11" t="s">
        <v>37</v>
      </c>
      <c r="RN395" s="12" t="s">
        <v>37</v>
      </c>
      <c r="RO395" s="12" t="s">
        <v>37</v>
      </c>
      <c r="RP395" s="11" t="s">
        <v>37</v>
      </c>
      <c r="RS395" s="12" t="s">
        <v>37</v>
      </c>
      <c r="RT395" s="12" t="s">
        <v>37</v>
      </c>
      <c r="RU395" s="12" t="s">
        <v>37</v>
      </c>
      <c r="RV395" s="12" t="s">
        <v>37</v>
      </c>
      <c r="RW395" s="12" t="s">
        <v>37</v>
      </c>
      <c r="RX395" s="12" t="s">
        <v>37</v>
      </c>
      <c r="SA395" s="12" t="s">
        <v>37</v>
      </c>
      <c r="SB395" s="12" t="s">
        <v>37</v>
      </c>
      <c r="SC395" s="12" t="s">
        <v>37</v>
      </c>
      <c r="SD395" s="12" t="s">
        <v>37</v>
      </c>
      <c r="SE395" s="12" t="s">
        <v>37</v>
      </c>
      <c r="SF395" s="12" t="s">
        <v>37</v>
      </c>
      <c r="SG395" s="12" t="s">
        <v>42</v>
      </c>
      <c r="SH395" s="12" t="s">
        <v>345</v>
      </c>
      <c r="SI395" s="12">
        <v>3.7837837837837802</v>
      </c>
      <c r="SJ395" s="12">
        <v>0.96096096096095973</v>
      </c>
      <c r="SK395" s="13">
        <v>4</v>
      </c>
      <c r="SL395" s="19">
        <f>SJ395/SI395</f>
        <v>0.2539682539682539</v>
      </c>
      <c r="SM395" s="12">
        <v>2.5825825825825799</v>
      </c>
      <c r="SN395" s="12">
        <v>0.60060060060060039</v>
      </c>
      <c r="SO395" s="13">
        <v>4</v>
      </c>
      <c r="SP395" s="19">
        <f>SN395/SM395</f>
        <v>0.23255813953488388</v>
      </c>
      <c r="SQ395" s="19">
        <f t="shared" si="1445"/>
        <v>-0.38193461069797041</v>
      </c>
      <c r="SR395" s="19">
        <f t="shared" si="1446"/>
        <v>2.9645790571902503E-2</v>
      </c>
      <c r="SU395" s="12" t="s">
        <v>37</v>
      </c>
      <c r="SV395" s="12" t="s">
        <v>37</v>
      </c>
      <c r="SW395" s="11" t="s">
        <v>37</v>
      </c>
      <c r="SX395" s="12" t="s">
        <v>37</v>
      </c>
      <c r="SY395" s="12" t="s">
        <v>37</v>
      </c>
      <c r="SZ395" s="11" t="s">
        <v>37</v>
      </c>
      <c r="TE395" s="12" t="s">
        <v>37</v>
      </c>
      <c r="TF395" s="12" t="s">
        <v>37</v>
      </c>
      <c r="TG395" s="11" t="s">
        <v>37</v>
      </c>
      <c r="TH395" s="12" t="s">
        <v>37</v>
      </c>
      <c r="TI395" s="12" t="s">
        <v>37</v>
      </c>
      <c r="TJ395" s="11" t="s">
        <v>37</v>
      </c>
      <c r="TO395" s="12" t="s">
        <v>37</v>
      </c>
      <c r="TP395" s="12" t="s">
        <v>37</v>
      </c>
      <c r="TQ395" s="11" t="s">
        <v>37</v>
      </c>
      <c r="TR395" s="12" t="s">
        <v>37</v>
      </c>
      <c r="TS395" s="12" t="s">
        <v>37</v>
      </c>
      <c r="TT395" s="11" t="s">
        <v>37</v>
      </c>
      <c r="TY395" s="12" t="s">
        <v>37</v>
      </c>
      <c r="TZ395" s="12" t="s">
        <v>37</v>
      </c>
      <c r="UA395" s="12" t="s">
        <v>37</v>
      </c>
      <c r="UB395" s="12" t="s">
        <v>37</v>
      </c>
      <c r="UC395" s="12" t="s">
        <v>37</v>
      </c>
      <c r="UD395" s="12" t="s">
        <v>37</v>
      </c>
      <c r="UE395" s="12"/>
      <c r="UF395" s="12"/>
      <c r="UI395" s="12" t="s">
        <v>37</v>
      </c>
      <c r="UJ395" s="12" t="s">
        <v>37</v>
      </c>
      <c r="UK395" s="12" t="s">
        <v>37</v>
      </c>
      <c r="UL395" s="12" t="s">
        <v>37</v>
      </c>
      <c r="UM395" s="12" t="s">
        <v>37</v>
      </c>
      <c r="UN395" s="12" t="s">
        <v>37</v>
      </c>
      <c r="UO395" s="12"/>
      <c r="UP395" s="12"/>
      <c r="UR395" s="12" t="s">
        <v>37</v>
      </c>
      <c r="US395" s="12" t="s">
        <v>37</v>
      </c>
      <c r="UT395" s="12" t="s">
        <v>37</v>
      </c>
      <c r="UU395" s="12" t="s">
        <v>37</v>
      </c>
      <c r="UV395" s="12" t="s">
        <v>37</v>
      </c>
      <c r="UW395" s="12" t="s">
        <v>37</v>
      </c>
      <c r="UX395" s="12"/>
      <c r="UY395" s="12"/>
      <c r="VB395" s="12" t="s">
        <v>37</v>
      </c>
      <c r="VC395" s="12" t="s">
        <v>37</v>
      </c>
      <c r="VD395" s="12" t="s">
        <v>37</v>
      </c>
      <c r="VE395" s="12" t="s">
        <v>37</v>
      </c>
      <c r="VF395" s="12" t="s">
        <v>37</v>
      </c>
      <c r="VG395" s="12" t="s">
        <v>37</v>
      </c>
      <c r="VI395" s="12" t="s">
        <v>37</v>
      </c>
      <c r="VJ395" s="12" t="s">
        <v>37</v>
      </c>
      <c r="VK395" s="12" t="s">
        <v>37</v>
      </c>
      <c r="VL395" s="12" t="s">
        <v>37</v>
      </c>
      <c r="VM395" s="12" t="s">
        <v>37</v>
      </c>
      <c r="VN395" s="12" t="s">
        <v>37</v>
      </c>
      <c r="VQ395" s="13" t="s">
        <v>37</v>
      </c>
      <c r="VR395" s="13" t="s">
        <v>37</v>
      </c>
      <c r="VS395" s="13" t="s">
        <v>37</v>
      </c>
      <c r="VT395" s="13" t="s">
        <v>37</v>
      </c>
      <c r="VU395" s="13" t="s">
        <v>37</v>
      </c>
      <c r="VV395" s="13" t="s">
        <v>37</v>
      </c>
      <c r="WA395" s="13" t="s">
        <v>37</v>
      </c>
      <c r="WB395" s="13" t="s">
        <v>37</v>
      </c>
      <c r="WC395" s="13" t="s">
        <v>37</v>
      </c>
      <c r="WD395" s="13" t="s">
        <v>37</v>
      </c>
      <c r="WE395" s="13" t="s">
        <v>37</v>
      </c>
      <c r="WF395" s="13" t="s">
        <v>37</v>
      </c>
    </row>
    <row r="396" spans="1:606" ht="18" customHeight="1" x14ac:dyDescent="0.3">
      <c r="A396" s="11">
        <v>85</v>
      </c>
      <c r="B396" s="16" t="s">
        <v>590</v>
      </c>
      <c r="C396" s="12" t="s">
        <v>26</v>
      </c>
      <c r="D396" s="12" t="s">
        <v>973</v>
      </c>
      <c r="E396" s="40">
        <v>0.2</v>
      </c>
      <c r="F396" s="14">
        <v>0</v>
      </c>
      <c r="G396" s="14">
        <v>0</v>
      </c>
      <c r="H396" s="12" t="s">
        <v>313</v>
      </c>
      <c r="I396" s="29">
        <v>68.75</v>
      </c>
      <c r="J396" s="29">
        <v>161.33000000000001</v>
      </c>
      <c r="K396" s="12" t="s">
        <v>591</v>
      </c>
      <c r="L396" s="12" t="s">
        <v>592</v>
      </c>
      <c r="M396" s="13" t="s">
        <v>37</v>
      </c>
      <c r="N396" s="14">
        <v>-10.199999999999999</v>
      </c>
      <c r="O396" s="14">
        <v>160</v>
      </c>
      <c r="P396" s="14" t="s">
        <v>84</v>
      </c>
      <c r="Q396" s="75">
        <v>13</v>
      </c>
      <c r="R396" s="11" t="s">
        <v>37</v>
      </c>
      <c r="S396" s="12" t="s">
        <v>85</v>
      </c>
      <c r="T396" s="16" t="s">
        <v>138</v>
      </c>
      <c r="U396" s="16" t="s">
        <v>158</v>
      </c>
      <c r="V396" s="12" t="s">
        <v>275</v>
      </c>
      <c r="W396" s="23" t="s">
        <v>593</v>
      </c>
      <c r="X396" s="12" t="s">
        <v>280</v>
      </c>
      <c r="Y396" s="12" t="s">
        <v>37</v>
      </c>
      <c r="Z396" s="12" t="s">
        <v>37</v>
      </c>
      <c r="AB396" s="12" t="s">
        <v>37</v>
      </c>
      <c r="AE396" s="12" t="s">
        <v>37</v>
      </c>
      <c r="AH396" s="12" t="s">
        <v>37</v>
      </c>
      <c r="AK396" s="12" t="s">
        <v>37</v>
      </c>
      <c r="AL396" s="32" t="s">
        <v>598</v>
      </c>
      <c r="AM396" s="16" t="s">
        <v>344</v>
      </c>
      <c r="AO396" s="16" t="s">
        <v>583</v>
      </c>
      <c r="AP396" s="56" t="s">
        <v>597</v>
      </c>
      <c r="AQ396" s="12" t="s">
        <v>849</v>
      </c>
      <c r="AT396" s="12" t="s">
        <v>326</v>
      </c>
      <c r="AU396" s="12" t="s">
        <v>326</v>
      </c>
      <c r="AV396" s="13" t="s">
        <v>326</v>
      </c>
      <c r="AX396" s="12" t="s">
        <v>326</v>
      </c>
      <c r="AY396" s="12" t="s">
        <v>326</v>
      </c>
      <c r="AZ396" s="13" t="s">
        <v>326</v>
      </c>
      <c r="BD396" s="12"/>
      <c r="BE396" s="12" t="s">
        <v>326</v>
      </c>
      <c r="BF396" s="12" t="s">
        <v>326</v>
      </c>
      <c r="BG396" s="12" t="s">
        <v>326</v>
      </c>
      <c r="BI396" s="12" t="s">
        <v>326</v>
      </c>
      <c r="BJ396" s="12" t="s">
        <v>326</v>
      </c>
      <c r="BK396" s="12" t="s">
        <v>326</v>
      </c>
      <c r="BP396" s="12" t="s">
        <v>37</v>
      </c>
      <c r="BQ396" s="12" t="s">
        <v>37</v>
      </c>
      <c r="BR396" s="13" t="s">
        <v>37</v>
      </c>
      <c r="BT396" s="12" t="s">
        <v>37</v>
      </c>
      <c r="BU396" s="12" t="s">
        <v>37</v>
      </c>
      <c r="BV396" s="12" t="s">
        <v>37</v>
      </c>
      <c r="CA396" s="12" t="s">
        <v>37</v>
      </c>
      <c r="CB396" s="12" t="s">
        <v>37</v>
      </c>
      <c r="CC396" s="13" t="s">
        <v>37</v>
      </c>
      <c r="CE396" s="12" t="s">
        <v>37</v>
      </c>
      <c r="CF396" s="12" t="s">
        <v>37</v>
      </c>
      <c r="CG396" s="12" t="s">
        <v>37</v>
      </c>
      <c r="CI396" s="52"/>
      <c r="CJ396" s="52"/>
      <c r="CK396" s="73"/>
      <c r="CL396" s="73"/>
      <c r="CN396" s="12" t="s">
        <v>37</v>
      </c>
      <c r="CO396" s="12" t="s">
        <v>37</v>
      </c>
      <c r="CP396" s="13" t="s">
        <v>37</v>
      </c>
      <c r="CR396" s="12" t="s">
        <v>37</v>
      </c>
      <c r="CS396" s="12" t="s">
        <v>37</v>
      </c>
      <c r="CT396" s="13" t="s">
        <v>37</v>
      </c>
      <c r="CV396" s="52"/>
      <c r="CW396" s="52"/>
      <c r="CX396" s="73"/>
      <c r="CY396" s="73"/>
      <c r="CZ396" s="12" t="s">
        <v>47</v>
      </c>
      <c r="DA396" s="12">
        <v>-1484.6994535519118</v>
      </c>
      <c r="DB396" s="50">
        <f t="shared" ref="DB396:DB403" si="1448">ABS(DA396)*DD$474</f>
        <v>4453.588453524826</v>
      </c>
      <c r="DC396" s="13">
        <v>1</v>
      </c>
      <c r="DE396" s="12">
        <v>390.71038251366002</v>
      </c>
      <c r="DF396" s="50">
        <f t="shared" ref="DF396:DF403" si="1449">ABS(DE396)*DH$474</f>
        <v>372.40278575099637</v>
      </c>
      <c r="DG396" s="13">
        <v>1</v>
      </c>
      <c r="DI396" s="19">
        <f t="shared" ref="DI396:DI403" si="1450">DE396-DA396</f>
        <v>1875.4098360655719</v>
      </c>
      <c r="DJ396" s="12" t="e">
        <f t="shared" ref="DJ396:DJ408" si="1451">SQRT(((DC396-1)*DB396^2+(DG396-1)*DF396^2)/(DC396+DG396-2))</f>
        <v>#DIV/0!</v>
      </c>
      <c r="DK396" s="72" t="e">
        <f t="shared" ref="DK396:DK408" si="1452">(((DC396+DG396)/(DC396*DG396))*(((DC396-1)*DB396^2)+(DG396-1)*DF396^2)/(DC396+DG396-2))</f>
        <v>#DIV/0!</v>
      </c>
      <c r="DL396" s="72">
        <f t="shared" ref="DL396:DL408" si="1453">(DB396^2/DC396)+(DF396^2/DG396)</f>
        <v>19973133.948204752</v>
      </c>
      <c r="DM396" s="12"/>
      <c r="DN396" s="19" t="s">
        <v>326</v>
      </c>
      <c r="DO396" s="19" t="s">
        <v>326</v>
      </c>
      <c r="DP396" s="19" t="s">
        <v>326</v>
      </c>
      <c r="DR396" s="19" t="s">
        <v>326</v>
      </c>
      <c r="DS396" s="19" t="s">
        <v>326</v>
      </c>
      <c r="DT396" s="19" t="s">
        <v>326</v>
      </c>
      <c r="EA396" s="19" t="s">
        <v>37</v>
      </c>
      <c r="EB396" s="19" t="s">
        <v>37</v>
      </c>
      <c r="EC396" s="72" t="s">
        <v>37</v>
      </c>
      <c r="EE396" s="19" t="s">
        <v>37</v>
      </c>
      <c r="EF396" s="19" t="s">
        <v>37</v>
      </c>
      <c r="EG396" s="12" t="s">
        <v>37</v>
      </c>
      <c r="EN396" s="12" t="s">
        <v>37</v>
      </c>
      <c r="EO396" s="12" t="s">
        <v>37</v>
      </c>
      <c r="EP396" s="13" t="s">
        <v>37</v>
      </c>
      <c r="ER396" s="12" t="s">
        <v>37</v>
      </c>
      <c r="ES396" s="12" t="s">
        <v>37</v>
      </c>
      <c r="ET396" s="13" t="s">
        <v>37</v>
      </c>
      <c r="FB396" s="12" t="s">
        <v>37</v>
      </c>
      <c r="FC396" s="12" t="s">
        <v>37</v>
      </c>
      <c r="FD396" s="12" t="s">
        <v>37</v>
      </c>
      <c r="FE396" s="12" t="s">
        <v>37</v>
      </c>
      <c r="FF396" s="12" t="s">
        <v>37</v>
      </c>
      <c r="FG396" s="12" t="s">
        <v>37</v>
      </c>
      <c r="FI396" s="12" t="s">
        <v>37</v>
      </c>
      <c r="FJ396" s="12" t="s">
        <v>37</v>
      </c>
      <c r="FK396" s="12" t="s">
        <v>37</v>
      </c>
      <c r="FL396" s="12" t="s">
        <v>37</v>
      </c>
      <c r="FM396" s="12" t="s">
        <v>37</v>
      </c>
      <c r="FN396" s="12" t="s">
        <v>37</v>
      </c>
      <c r="FO396" s="12"/>
      <c r="FP396" s="12" t="s">
        <v>37</v>
      </c>
      <c r="FQ396" s="12" t="s">
        <v>37</v>
      </c>
      <c r="FR396" s="12" t="s">
        <v>37</v>
      </c>
      <c r="FS396" s="12" t="s">
        <v>37</v>
      </c>
      <c r="FT396" s="12" t="s">
        <v>37</v>
      </c>
      <c r="FU396" s="12" t="s">
        <v>37</v>
      </c>
      <c r="FW396" s="12" t="s">
        <v>37</v>
      </c>
      <c r="FX396" s="12" t="s">
        <v>37</v>
      </c>
      <c r="FY396" s="12" t="s">
        <v>37</v>
      </c>
      <c r="FZ396" s="12" t="s">
        <v>37</v>
      </c>
      <c r="GA396" s="12" t="s">
        <v>37</v>
      </c>
      <c r="GB396" s="12" t="s">
        <v>37</v>
      </c>
      <c r="GG396" s="12"/>
      <c r="GK396" s="12"/>
      <c r="HP396" s="12"/>
      <c r="HT396" s="12"/>
      <c r="IA396" s="12"/>
      <c r="IE396" s="12"/>
      <c r="IK396" s="12" t="s">
        <v>37</v>
      </c>
      <c r="IL396" s="12" t="s">
        <v>37</v>
      </c>
      <c r="IM396" s="12" t="s">
        <v>37</v>
      </c>
      <c r="IO396" s="12" t="s">
        <v>37</v>
      </c>
      <c r="IP396" s="12" t="s">
        <v>37</v>
      </c>
      <c r="IQ396" s="12" t="s">
        <v>37</v>
      </c>
      <c r="IW396" s="12" t="s">
        <v>37</v>
      </c>
      <c r="IX396" s="12" t="s">
        <v>37</v>
      </c>
      <c r="IY396" s="12" t="s">
        <v>37</v>
      </c>
      <c r="JA396" s="12" t="s">
        <v>37</v>
      </c>
      <c r="JB396" s="12" t="s">
        <v>37</v>
      </c>
      <c r="JC396" s="12" t="s">
        <v>37</v>
      </c>
      <c r="JH396" s="12" t="s">
        <v>37</v>
      </c>
      <c r="JI396" s="12" t="s">
        <v>37</v>
      </c>
      <c r="JJ396" s="12" t="s">
        <v>37</v>
      </c>
      <c r="JL396" s="12" t="s">
        <v>37</v>
      </c>
      <c r="JM396" s="12" t="s">
        <v>37</v>
      </c>
      <c r="JN396" s="12" t="s">
        <v>37</v>
      </c>
      <c r="JS396" s="12" t="s">
        <v>37</v>
      </c>
      <c r="JT396" s="12" t="s">
        <v>37</v>
      </c>
      <c r="JU396" s="12" t="s">
        <v>37</v>
      </c>
      <c r="JW396" s="12" t="s">
        <v>37</v>
      </c>
      <c r="JX396" s="12" t="s">
        <v>37</v>
      </c>
      <c r="JY396" s="12" t="s">
        <v>37</v>
      </c>
      <c r="KE396" s="12" t="s">
        <v>37</v>
      </c>
      <c r="KF396" s="12" t="s">
        <v>37</v>
      </c>
      <c r="KG396" s="12" t="s">
        <v>37</v>
      </c>
      <c r="KH396" s="12" t="s">
        <v>37</v>
      </c>
      <c r="KI396" s="12" t="s">
        <v>37</v>
      </c>
      <c r="KJ396" s="12" t="s">
        <v>37</v>
      </c>
      <c r="KM396" s="12" t="s">
        <v>37</v>
      </c>
      <c r="KN396" s="12" t="s">
        <v>37</v>
      </c>
      <c r="KO396" s="12" t="s">
        <v>37</v>
      </c>
      <c r="KQ396" s="12" t="s">
        <v>37</v>
      </c>
      <c r="KR396" s="12" t="s">
        <v>37</v>
      </c>
      <c r="KS396" s="12" t="s">
        <v>37</v>
      </c>
      <c r="KX396" s="12" t="s">
        <v>37</v>
      </c>
      <c r="KY396" s="12" t="s">
        <v>37</v>
      </c>
      <c r="KZ396" s="12" t="s">
        <v>37</v>
      </c>
      <c r="LB396" s="12" t="s">
        <v>37</v>
      </c>
      <c r="LC396" s="12" t="s">
        <v>37</v>
      </c>
      <c r="LD396" s="12" t="s">
        <v>37</v>
      </c>
      <c r="LI396" s="12" t="s">
        <v>37</v>
      </c>
      <c r="LJ396" s="12" t="s">
        <v>37</v>
      </c>
      <c r="LK396" s="12" t="s">
        <v>37</v>
      </c>
      <c r="LM396" s="12" t="s">
        <v>37</v>
      </c>
      <c r="LN396" s="12" t="s">
        <v>37</v>
      </c>
      <c r="LO396" s="12" t="s">
        <v>37</v>
      </c>
      <c r="LU396" s="12" t="s">
        <v>37</v>
      </c>
      <c r="LV396" s="12" t="s">
        <v>37</v>
      </c>
      <c r="LW396" s="12" t="s">
        <v>37</v>
      </c>
      <c r="LY396" s="12" t="s">
        <v>37</v>
      </c>
      <c r="LZ396" s="12" t="s">
        <v>37</v>
      </c>
      <c r="MA396" s="12" t="s">
        <v>37</v>
      </c>
      <c r="MF396" s="12" t="s">
        <v>37</v>
      </c>
      <c r="MG396" s="12" t="s">
        <v>37</v>
      </c>
      <c r="MH396" s="12" t="s">
        <v>37</v>
      </c>
      <c r="MJ396" s="12" t="s">
        <v>37</v>
      </c>
      <c r="MK396" s="12" t="s">
        <v>37</v>
      </c>
      <c r="ML396" s="12" t="s">
        <v>37</v>
      </c>
      <c r="MQ396" s="12" t="s">
        <v>37</v>
      </c>
      <c r="MR396" s="12" t="s">
        <v>37</v>
      </c>
      <c r="MS396" s="12" t="s">
        <v>37</v>
      </c>
      <c r="MU396" s="12" t="s">
        <v>37</v>
      </c>
      <c r="MV396" s="12" t="s">
        <v>37</v>
      </c>
      <c r="MW396" s="12" t="s">
        <v>37</v>
      </c>
      <c r="NC396" s="12" t="s">
        <v>37</v>
      </c>
      <c r="ND396" s="12" t="s">
        <v>37</v>
      </c>
      <c r="NE396" s="12" t="s">
        <v>37</v>
      </c>
      <c r="NG396" s="12" t="s">
        <v>37</v>
      </c>
      <c r="NH396" s="12" t="s">
        <v>37</v>
      </c>
      <c r="NI396" s="12" t="s">
        <v>37</v>
      </c>
      <c r="NO396" s="12" t="s">
        <v>37</v>
      </c>
      <c r="NP396" s="12" t="s">
        <v>37</v>
      </c>
      <c r="NQ396" s="12" t="s">
        <v>37</v>
      </c>
      <c r="NS396" s="12" t="s">
        <v>37</v>
      </c>
      <c r="NT396" s="12" t="s">
        <v>37</v>
      </c>
      <c r="NU396" s="12" t="s">
        <v>37</v>
      </c>
      <c r="OA396" s="12" t="s">
        <v>37</v>
      </c>
      <c r="OB396" s="12" t="s">
        <v>37</v>
      </c>
      <c r="OC396" s="12" t="s">
        <v>37</v>
      </c>
      <c r="OD396" s="12"/>
      <c r="OE396" s="12" t="s">
        <v>37</v>
      </c>
      <c r="OF396" s="12" t="s">
        <v>37</v>
      </c>
      <c r="OG396" s="12" t="s">
        <v>37</v>
      </c>
      <c r="OH396" s="12"/>
      <c r="OI396" s="12"/>
      <c r="OJ396" s="12"/>
      <c r="OM396" s="12" t="s">
        <v>37</v>
      </c>
      <c r="ON396" s="12" t="s">
        <v>37</v>
      </c>
      <c r="OO396" s="12" t="s">
        <v>37</v>
      </c>
      <c r="OP396" s="12" t="s">
        <v>37</v>
      </c>
      <c r="OQ396" s="12" t="s">
        <v>37</v>
      </c>
      <c r="OR396" s="12" t="s">
        <v>37</v>
      </c>
      <c r="OS396" s="12"/>
      <c r="OT396" s="12"/>
      <c r="OW396" s="12" t="s">
        <v>37</v>
      </c>
      <c r="OX396" s="12" t="s">
        <v>37</v>
      </c>
      <c r="OY396" s="12" t="s">
        <v>37</v>
      </c>
      <c r="OZ396" s="12" t="s">
        <v>37</v>
      </c>
      <c r="PA396" s="12" t="s">
        <v>37</v>
      </c>
      <c r="PB396" s="12" t="s">
        <v>37</v>
      </c>
      <c r="PC396" s="12"/>
      <c r="PD396" s="12"/>
      <c r="PG396" s="12" t="s">
        <v>37</v>
      </c>
      <c r="PH396" s="12" t="s">
        <v>37</v>
      </c>
      <c r="PI396" s="12" t="s">
        <v>37</v>
      </c>
      <c r="PJ396" s="12" t="s">
        <v>37</v>
      </c>
      <c r="PK396" s="12" t="s">
        <v>37</v>
      </c>
      <c r="PL396" s="12" t="s">
        <v>37</v>
      </c>
      <c r="PM396" s="12"/>
      <c r="PN396" s="12"/>
      <c r="PQ396" s="12" t="s">
        <v>37</v>
      </c>
      <c r="PR396" s="12" t="s">
        <v>37</v>
      </c>
      <c r="PS396" s="12" t="s">
        <v>37</v>
      </c>
      <c r="PT396" s="12" t="s">
        <v>37</v>
      </c>
      <c r="PU396" s="12" t="s">
        <v>37</v>
      </c>
      <c r="PV396" s="12" t="s">
        <v>37</v>
      </c>
      <c r="PW396" s="12"/>
      <c r="PX396" s="12"/>
      <c r="PZ396" s="12" t="s">
        <v>37</v>
      </c>
      <c r="QA396" s="12" t="s">
        <v>37</v>
      </c>
      <c r="QB396" s="11" t="s">
        <v>37</v>
      </c>
      <c r="QD396" s="12" t="s">
        <v>37</v>
      </c>
      <c r="QE396" s="12" t="s">
        <v>37</v>
      </c>
      <c r="QF396" s="12" t="s">
        <v>37</v>
      </c>
      <c r="QK396" s="12" t="s">
        <v>37</v>
      </c>
      <c r="QL396" s="12" t="s">
        <v>37</v>
      </c>
      <c r="QM396" s="12" t="s">
        <v>37</v>
      </c>
      <c r="QN396" s="12" t="s">
        <v>37</v>
      </c>
      <c r="QO396" s="12" t="s">
        <v>37</v>
      </c>
      <c r="QP396" s="12" t="s">
        <v>37</v>
      </c>
      <c r="QQ396" s="12"/>
      <c r="QR396" s="12"/>
      <c r="QU396" s="12" t="s">
        <v>37</v>
      </c>
      <c r="QV396" s="12" t="s">
        <v>37</v>
      </c>
      <c r="QW396" s="12" t="s">
        <v>37</v>
      </c>
      <c r="QX396" s="12" t="s">
        <v>37</v>
      </c>
      <c r="QY396" s="12" t="s">
        <v>37</v>
      </c>
      <c r="QZ396" s="12" t="s">
        <v>37</v>
      </c>
      <c r="RC396" s="12" t="s">
        <v>37</v>
      </c>
      <c r="RD396" s="12" t="s">
        <v>37</v>
      </c>
      <c r="RE396" s="13" t="s">
        <v>37</v>
      </c>
      <c r="RF396" s="12" t="s">
        <v>37</v>
      </c>
      <c r="RG396" s="12" t="s">
        <v>37</v>
      </c>
      <c r="RH396" s="13" t="s">
        <v>37</v>
      </c>
      <c r="RK396" s="12" t="s">
        <v>37</v>
      </c>
      <c r="RL396" s="12" t="s">
        <v>37</v>
      </c>
      <c r="RM396" s="11" t="s">
        <v>37</v>
      </c>
      <c r="RN396" s="12" t="s">
        <v>37</v>
      </c>
      <c r="RO396" s="12" t="s">
        <v>37</v>
      </c>
      <c r="RP396" s="11" t="s">
        <v>37</v>
      </c>
      <c r="RS396" s="12" t="s">
        <v>37</v>
      </c>
      <c r="RT396" s="12" t="s">
        <v>37</v>
      </c>
      <c r="RU396" s="12" t="s">
        <v>37</v>
      </c>
      <c r="RV396" s="12" t="s">
        <v>37</v>
      </c>
      <c r="RW396" s="12" t="s">
        <v>37</v>
      </c>
      <c r="RX396" s="12" t="s">
        <v>37</v>
      </c>
      <c r="SA396" s="12" t="s">
        <v>37</v>
      </c>
      <c r="SB396" s="12" t="s">
        <v>37</v>
      </c>
      <c r="SC396" s="12" t="s">
        <v>37</v>
      </c>
      <c r="SD396" s="12" t="s">
        <v>37</v>
      </c>
      <c r="SE396" s="12" t="s">
        <v>37</v>
      </c>
      <c r="SF396" s="12" t="s">
        <v>37</v>
      </c>
      <c r="SI396" s="12" t="s">
        <v>37</v>
      </c>
      <c r="SJ396" s="12" t="s">
        <v>37</v>
      </c>
      <c r="SK396" s="13" t="s">
        <v>37</v>
      </c>
      <c r="SM396" s="12" t="s">
        <v>37</v>
      </c>
      <c r="SN396" s="12" t="s">
        <v>37</v>
      </c>
      <c r="SO396" s="13" t="s">
        <v>37</v>
      </c>
      <c r="SU396" s="12" t="s">
        <v>37</v>
      </c>
      <c r="SV396" s="12" t="s">
        <v>37</v>
      </c>
      <c r="SW396" s="11" t="s">
        <v>37</v>
      </c>
      <c r="SX396" s="12" t="s">
        <v>37</v>
      </c>
      <c r="SY396" s="12" t="s">
        <v>37</v>
      </c>
      <c r="SZ396" s="11" t="s">
        <v>37</v>
      </c>
      <c r="TE396" s="12" t="s">
        <v>37</v>
      </c>
      <c r="TF396" s="12" t="s">
        <v>37</v>
      </c>
      <c r="TG396" s="11" t="s">
        <v>37</v>
      </c>
      <c r="TH396" s="12" t="s">
        <v>37</v>
      </c>
      <c r="TI396" s="12" t="s">
        <v>37</v>
      </c>
      <c r="TJ396" s="11" t="s">
        <v>37</v>
      </c>
      <c r="TO396" s="12" t="s">
        <v>37</v>
      </c>
      <c r="TP396" s="12" t="s">
        <v>37</v>
      </c>
      <c r="TQ396" s="11" t="s">
        <v>37</v>
      </c>
      <c r="TR396" s="12" t="s">
        <v>37</v>
      </c>
      <c r="TS396" s="12" t="s">
        <v>37</v>
      </c>
      <c r="TT396" s="11" t="s">
        <v>37</v>
      </c>
      <c r="TY396" s="12" t="s">
        <v>37</v>
      </c>
      <c r="TZ396" s="12" t="s">
        <v>37</v>
      </c>
      <c r="UA396" s="12" t="s">
        <v>37</v>
      </c>
      <c r="UB396" s="12" t="s">
        <v>37</v>
      </c>
      <c r="UC396" s="12" t="s">
        <v>37</v>
      </c>
      <c r="UD396" s="12" t="s">
        <v>37</v>
      </c>
      <c r="UE396" s="12"/>
      <c r="UF396" s="12"/>
      <c r="UI396" s="12" t="s">
        <v>37</v>
      </c>
      <c r="UJ396" s="12" t="s">
        <v>37</v>
      </c>
      <c r="UK396" s="12" t="s">
        <v>37</v>
      </c>
      <c r="UL396" s="12" t="s">
        <v>37</v>
      </c>
      <c r="UM396" s="12" t="s">
        <v>37</v>
      </c>
      <c r="UN396" s="12" t="s">
        <v>37</v>
      </c>
      <c r="UO396" s="12"/>
      <c r="UP396" s="12"/>
      <c r="UR396" s="12" t="s">
        <v>37</v>
      </c>
      <c r="US396" s="12" t="s">
        <v>37</v>
      </c>
      <c r="UT396" s="12" t="s">
        <v>37</v>
      </c>
      <c r="UU396" s="12" t="s">
        <v>37</v>
      </c>
      <c r="UV396" s="12" t="s">
        <v>37</v>
      </c>
      <c r="UW396" s="12" t="s">
        <v>37</v>
      </c>
      <c r="UX396" s="12"/>
      <c r="UY396" s="12"/>
      <c r="VB396" s="12" t="s">
        <v>37</v>
      </c>
      <c r="VC396" s="12" t="s">
        <v>37</v>
      </c>
      <c r="VD396" s="12" t="s">
        <v>37</v>
      </c>
      <c r="VE396" s="12" t="s">
        <v>37</v>
      </c>
      <c r="VF396" s="12" t="s">
        <v>37</v>
      </c>
      <c r="VG396" s="12" t="s">
        <v>37</v>
      </c>
      <c r="VI396" s="12" t="s">
        <v>37</v>
      </c>
      <c r="VJ396" s="12" t="s">
        <v>37</v>
      </c>
      <c r="VK396" s="12" t="s">
        <v>37</v>
      </c>
      <c r="VL396" s="12" t="s">
        <v>37</v>
      </c>
      <c r="VM396" s="12" t="s">
        <v>37</v>
      </c>
      <c r="VN396" s="12" t="s">
        <v>37</v>
      </c>
      <c r="VQ396" s="13" t="s">
        <v>37</v>
      </c>
      <c r="VR396" s="13" t="s">
        <v>37</v>
      </c>
      <c r="VS396" s="13" t="s">
        <v>37</v>
      </c>
      <c r="VT396" s="13" t="s">
        <v>37</v>
      </c>
      <c r="VU396" s="13" t="s">
        <v>37</v>
      </c>
      <c r="VV396" s="13" t="s">
        <v>37</v>
      </c>
      <c r="WA396" s="13" t="s">
        <v>37</v>
      </c>
      <c r="WB396" s="13" t="s">
        <v>37</v>
      </c>
      <c r="WC396" s="13" t="s">
        <v>37</v>
      </c>
      <c r="WD396" s="13" t="s">
        <v>37</v>
      </c>
      <c r="WE396" s="13" t="s">
        <v>37</v>
      </c>
      <c r="WF396" s="13" t="s">
        <v>37</v>
      </c>
    </row>
    <row r="397" spans="1:606" ht="18" customHeight="1" x14ac:dyDescent="0.3">
      <c r="A397" s="11">
        <v>85</v>
      </c>
      <c r="B397" s="16" t="s">
        <v>590</v>
      </c>
      <c r="C397" s="12" t="s">
        <v>26</v>
      </c>
      <c r="D397" s="12" t="s">
        <v>973</v>
      </c>
      <c r="E397" s="40">
        <v>0.2</v>
      </c>
      <c r="F397" s="14">
        <v>0</v>
      </c>
      <c r="G397" s="14">
        <v>0</v>
      </c>
      <c r="H397" s="12" t="s">
        <v>313</v>
      </c>
      <c r="I397" s="29">
        <v>68.75</v>
      </c>
      <c r="J397" s="29">
        <v>161.33000000000001</v>
      </c>
      <c r="K397" s="12" t="s">
        <v>591</v>
      </c>
      <c r="L397" s="12" t="s">
        <v>592</v>
      </c>
      <c r="M397" s="13" t="s">
        <v>37</v>
      </c>
      <c r="N397" s="14">
        <v>-10.199999999999999</v>
      </c>
      <c r="O397" s="14">
        <v>160</v>
      </c>
      <c r="P397" s="14" t="s">
        <v>84</v>
      </c>
      <c r="Q397" s="75">
        <v>14</v>
      </c>
      <c r="R397" s="11" t="s">
        <v>37</v>
      </c>
      <c r="S397" s="12" t="s">
        <v>85</v>
      </c>
      <c r="T397" s="16" t="s">
        <v>138</v>
      </c>
      <c r="U397" s="16" t="s">
        <v>158</v>
      </c>
      <c r="V397" s="12" t="s">
        <v>275</v>
      </c>
      <c r="W397" s="23" t="s">
        <v>593</v>
      </c>
      <c r="X397" s="12" t="s">
        <v>280</v>
      </c>
      <c r="Y397" s="12" t="s">
        <v>37</v>
      </c>
      <c r="Z397" s="12" t="s">
        <v>37</v>
      </c>
      <c r="AB397" s="12" t="s">
        <v>37</v>
      </c>
      <c r="AE397" s="12" t="s">
        <v>37</v>
      </c>
      <c r="AH397" s="12" t="s">
        <v>37</v>
      </c>
      <c r="AK397" s="12" t="s">
        <v>37</v>
      </c>
      <c r="AL397" s="32" t="s">
        <v>594</v>
      </c>
      <c r="AM397" s="16" t="s">
        <v>344</v>
      </c>
      <c r="AO397" s="16" t="s">
        <v>583</v>
      </c>
      <c r="AP397" s="56" t="s">
        <v>597</v>
      </c>
      <c r="AQ397" s="12" t="s">
        <v>849</v>
      </c>
      <c r="AT397" s="12" t="s">
        <v>326</v>
      </c>
      <c r="AU397" s="12" t="s">
        <v>326</v>
      </c>
      <c r="AV397" s="13" t="s">
        <v>326</v>
      </c>
      <c r="AX397" s="12" t="s">
        <v>326</v>
      </c>
      <c r="AY397" s="12" t="s">
        <v>326</v>
      </c>
      <c r="AZ397" s="13" t="s">
        <v>326</v>
      </c>
      <c r="BD397" s="12"/>
      <c r="BE397" s="12" t="s">
        <v>326</v>
      </c>
      <c r="BF397" s="12" t="s">
        <v>326</v>
      </c>
      <c r="BG397" s="12" t="s">
        <v>326</v>
      </c>
      <c r="BI397" s="12" t="s">
        <v>326</v>
      </c>
      <c r="BJ397" s="12" t="s">
        <v>326</v>
      </c>
      <c r="BK397" s="12" t="s">
        <v>326</v>
      </c>
      <c r="BP397" s="12" t="s">
        <v>37</v>
      </c>
      <c r="BQ397" s="12" t="s">
        <v>37</v>
      </c>
      <c r="BR397" s="13" t="s">
        <v>37</v>
      </c>
      <c r="BT397" s="12" t="s">
        <v>37</v>
      </c>
      <c r="BU397" s="12" t="s">
        <v>37</v>
      </c>
      <c r="BV397" s="12" t="s">
        <v>37</v>
      </c>
      <c r="CA397" s="12" t="s">
        <v>37</v>
      </c>
      <c r="CB397" s="12" t="s">
        <v>37</v>
      </c>
      <c r="CC397" s="13" t="s">
        <v>37</v>
      </c>
      <c r="CE397" s="12" t="s">
        <v>37</v>
      </c>
      <c r="CF397" s="12" t="s">
        <v>37</v>
      </c>
      <c r="CG397" s="12" t="s">
        <v>37</v>
      </c>
      <c r="CI397" s="52"/>
      <c r="CJ397" s="52"/>
      <c r="CK397" s="73"/>
      <c r="CL397" s="73"/>
      <c r="CN397" s="12" t="s">
        <v>37</v>
      </c>
      <c r="CO397" s="12" t="s">
        <v>37</v>
      </c>
      <c r="CP397" s="13" t="s">
        <v>37</v>
      </c>
      <c r="CR397" s="12" t="s">
        <v>37</v>
      </c>
      <c r="CS397" s="12" t="s">
        <v>37</v>
      </c>
      <c r="CT397" s="13" t="s">
        <v>37</v>
      </c>
      <c r="CV397" s="52"/>
      <c r="CW397" s="52"/>
      <c r="CX397" s="73"/>
      <c r="CY397" s="73"/>
      <c r="CZ397" s="12" t="s">
        <v>47</v>
      </c>
      <c r="DA397" s="12">
        <v>-1316.3934426229509</v>
      </c>
      <c r="DB397" s="50">
        <f t="shared" si="1448"/>
        <v>3948.7282239754559</v>
      </c>
      <c r="DC397" s="13">
        <v>1</v>
      </c>
      <c r="DE397" s="12">
        <v>54.098360655737935</v>
      </c>
      <c r="DF397" s="50">
        <f t="shared" si="1449"/>
        <v>51.563462642446027</v>
      </c>
      <c r="DG397" s="13">
        <v>1</v>
      </c>
      <c r="DI397" s="19">
        <f t="shared" si="1450"/>
        <v>1370.4918032786888</v>
      </c>
      <c r="DJ397" s="12" t="e">
        <f t="shared" si="1451"/>
        <v>#DIV/0!</v>
      </c>
      <c r="DK397" s="72" t="e">
        <f t="shared" si="1452"/>
        <v>#DIV/0!</v>
      </c>
      <c r="DL397" s="72">
        <f t="shared" si="1453"/>
        <v>15595113.377500037</v>
      </c>
      <c r="DM397" s="12" t="s">
        <v>47</v>
      </c>
      <c r="DN397" s="19">
        <v>94.039460020768402</v>
      </c>
      <c r="DO397" s="50">
        <f>ABS(DN397)*DQ$474</f>
        <v>104.84264634093746</v>
      </c>
      <c r="DP397" s="13">
        <v>1</v>
      </c>
      <c r="DR397" s="19">
        <v>47.85046728971961</v>
      </c>
      <c r="DS397" s="50">
        <f>ABS(DR397)*DU$474</f>
        <v>178.82754606084828</v>
      </c>
      <c r="DT397" s="13">
        <v>1</v>
      </c>
      <c r="DV397" s="19">
        <f t="shared" ref="DV397:DV400" si="1454">DR397-DN397</f>
        <v>-46.188992731048792</v>
      </c>
      <c r="DW397" s="12" t="e">
        <f t="shared" ref="DW397:DW400" si="1455">SQRT(((DP397-1)*DO397^2+(DT397-1)*DS397^2)/(DP397+DT397-2))</f>
        <v>#DIV/0!</v>
      </c>
      <c r="DX397" s="72" t="e">
        <f t="shared" si="1358"/>
        <v>#DIV/0!</v>
      </c>
      <c r="DY397" s="72">
        <f t="shared" si="1359"/>
        <v>42971.271721915698</v>
      </c>
      <c r="EA397" s="19" t="s">
        <v>37</v>
      </c>
      <c r="EB397" s="19" t="s">
        <v>37</v>
      </c>
      <c r="EC397" s="72" t="s">
        <v>37</v>
      </c>
      <c r="EE397" s="19" t="s">
        <v>37</v>
      </c>
      <c r="EF397" s="19" t="s">
        <v>37</v>
      </c>
      <c r="EG397" s="12" t="s">
        <v>37</v>
      </c>
      <c r="EN397" s="12" t="s">
        <v>37</v>
      </c>
      <c r="EO397" s="12" t="s">
        <v>37</v>
      </c>
      <c r="EP397" s="13" t="s">
        <v>37</v>
      </c>
      <c r="ER397" s="12" t="s">
        <v>37</v>
      </c>
      <c r="ES397" s="12" t="s">
        <v>37</v>
      </c>
      <c r="ET397" s="13" t="s">
        <v>37</v>
      </c>
      <c r="FB397" s="12" t="s">
        <v>37</v>
      </c>
      <c r="FC397" s="12" t="s">
        <v>37</v>
      </c>
      <c r="FD397" s="12" t="s">
        <v>37</v>
      </c>
      <c r="FE397" s="12" t="s">
        <v>37</v>
      </c>
      <c r="FF397" s="12" t="s">
        <v>37</v>
      </c>
      <c r="FG397" s="12" t="s">
        <v>37</v>
      </c>
      <c r="FI397" s="12" t="s">
        <v>37</v>
      </c>
      <c r="FJ397" s="12" t="s">
        <v>37</v>
      </c>
      <c r="FK397" s="12" t="s">
        <v>37</v>
      </c>
      <c r="FL397" s="12" t="s">
        <v>37</v>
      </c>
      <c r="FM397" s="12" t="s">
        <v>37</v>
      </c>
      <c r="FN397" s="12" t="s">
        <v>37</v>
      </c>
      <c r="FO397" s="12"/>
      <c r="FP397" s="12" t="s">
        <v>37</v>
      </c>
      <c r="FQ397" s="12" t="s">
        <v>37</v>
      </c>
      <c r="FR397" s="12" t="s">
        <v>37</v>
      </c>
      <c r="FS397" s="12" t="s">
        <v>37</v>
      </c>
      <c r="FT397" s="12" t="s">
        <v>37</v>
      </c>
      <c r="FU397" s="12" t="s">
        <v>37</v>
      </c>
      <c r="FW397" s="12" t="s">
        <v>37</v>
      </c>
      <c r="FX397" s="12" t="s">
        <v>37</v>
      </c>
      <c r="FY397" s="12" t="s">
        <v>37</v>
      </c>
      <c r="FZ397" s="12" t="s">
        <v>37</v>
      </c>
      <c r="GA397" s="12" t="s">
        <v>37</v>
      </c>
      <c r="GB397" s="12" t="s">
        <v>37</v>
      </c>
      <c r="GG397" s="12"/>
      <c r="GK397" s="12"/>
      <c r="GO397" s="12" t="s">
        <v>660</v>
      </c>
      <c r="GP397" s="12" t="s">
        <v>330</v>
      </c>
      <c r="GQ397" s="12">
        <v>2.4</v>
      </c>
      <c r="GR397" s="12">
        <v>1.9</v>
      </c>
      <c r="GS397" s="13">
        <v>3</v>
      </c>
      <c r="GT397" s="19">
        <f t="shared" ref="GT397:GT398" si="1456">GR397/GQ397</f>
        <v>0.79166666666666663</v>
      </c>
      <c r="GU397" s="12">
        <v>3.8</v>
      </c>
      <c r="GV397" s="12">
        <v>2.7</v>
      </c>
      <c r="GW397" s="13">
        <v>3</v>
      </c>
      <c r="GX397" s="19">
        <f t="shared" ref="GX397:GX398" si="1457">GV397/GU397</f>
        <v>0.71052631578947378</v>
      </c>
      <c r="GY397" s="19">
        <f t="shared" ref="GY397:GY398" si="1458">LN(GU397/GQ397)</f>
        <v>0.45953232937844013</v>
      </c>
      <c r="GZ397" s="19">
        <f t="shared" ref="GZ397:GZ398" si="1459">GV397^2/(GW397*GU397^2)+GR397^2/(GS397*GQ397^2)</f>
        <v>0.37719458551349133</v>
      </c>
      <c r="HP397" s="12"/>
      <c r="HT397" s="12"/>
      <c r="IA397" s="12"/>
      <c r="IE397" s="12"/>
      <c r="IK397" s="12" t="s">
        <v>37</v>
      </c>
      <c r="IL397" s="12" t="s">
        <v>37</v>
      </c>
      <c r="IM397" s="12" t="s">
        <v>37</v>
      </c>
      <c r="IO397" s="12" t="s">
        <v>37</v>
      </c>
      <c r="IP397" s="12" t="s">
        <v>37</v>
      </c>
      <c r="IQ397" s="12" t="s">
        <v>37</v>
      </c>
      <c r="IW397" s="12" t="s">
        <v>37</v>
      </c>
      <c r="IX397" s="12" t="s">
        <v>37</v>
      </c>
      <c r="IY397" s="12" t="s">
        <v>37</v>
      </c>
      <c r="JA397" s="12" t="s">
        <v>37</v>
      </c>
      <c r="JB397" s="12" t="s">
        <v>37</v>
      </c>
      <c r="JC397" s="12" t="s">
        <v>37</v>
      </c>
      <c r="JH397" s="12" t="s">
        <v>37</v>
      </c>
      <c r="JI397" s="12" t="s">
        <v>37</v>
      </c>
      <c r="JJ397" s="12" t="s">
        <v>37</v>
      </c>
      <c r="JL397" s="12" t="s">
        <v>37</v>
      </c>
      <c r="JM397" s="12" t="s">
        <v>37</v>
      </c>
      <c r="JN397" s="12" t="s">
        <v>37</v>
      </c>
      <c r="JS397" s="12" t="s">
        <v>37</v>
      </c>
      <c r="JT397" s="12" t="s">
        <v>37</v>
      </c>
      <c r="JU397" s="12" t="s">
        <v>37</v>
      </c>
      <c r="JW397" s="12" t="s">
        <v>37</v>
      </c>
      <c r="JX397" s="12" t="s">
        <v>37</v>
      </c>
      <c r="JY397" s="12" t="s">
        <v>37</v>
      </c>
      <c r="KE397" s="12" t="s">
        <v>37</v>
      </c>
      <c r="KF397" s="12" t="s">
        <v>37</v>
      </c>
      <c r="KG397" s="12" t="s">
        <v>37</v>
      </c>
      <c r="KH397" s="12" t="s">
        <v>37</v>
      </c>
      <c r="KI397" s="12" t="s">
        <v>37</v>
      </c>
      <c r="KJ397" s="12" t="s">
        <v>37</v>
      </c>
      <c r="KM397" s="12" t="s">
        <v>37</v>
      </c>
      <c r="KN397" s="12" t="s">
        <v>37</v>
      </c>
      <c r="KO397" s="12" t="s">
        <v>37</v>
      </c>
      <c r="KQ397" s="12" t="s">
        <v>37</v>
      </c>
      <c r="KR397" s="12" t="s">
        <v>37</v>
      </c>
      <c r="KS397" s="12" t="s">
        <v>37</v>
      </c>
      <c r="KX397" s="12" t="s">
        <v>37</v>
      </c>
      <c r="KY397" s="12" t="s">
        <v>37</v>
      </c>
      <c r="KZ397" s="12" t="s">
        <v>37</v>
      </c>
      <c r="LB397" s="12" t="s">
        <v>37</v>
      </c>
      <c r="LC397" s="12" t="s">
        <v>37</v>
      </c>
      <c r="LD397" s="12" t="s">
        <v>37</v>
      </c>
      <c r="LI397" s="12" t="s">
        <v>37</v>
      </c>
      <c r="LJ397" s="12" t="s">
        <v>37</v>
      </c>
      <c r="LK397" s="12" t="s">
        <v>37</v>
      </c>
      <c r="LM397" s="12" t="s">
        <v>37</v>
      </c>
      <c r="LN397" s="12" t="s">
        <v>37</v>
      </c>
      <c r="LO397" s="12" t="s">
        <v>37</v>
      </c>
      <c r="LU397" s="12" t="s">
        <v>37</v>
      </c>
      <c r="LV397" s="12" t="s">
        <v>37</v>
      </c>
      <c r="LW397" s="12" t="s">
        <v>37</v>
      </c>
      <c r="LY397" s="12" t="s">
        <v>37</v>
      </c>
      <c r="LZ397" s="12" t="s">
        <v>37</v>
      </c>
      <c r="MA397" s="12" t="s">
        <v>37</v>
      </c>
      <c r="MF397" s="12" t="s">
        <v>37</v>
      </c>
      <c r="MG397" s="12" t="s">
        <v>37</v>
      </c>
      <c r="MH397" s="12" t="s">
        <v>37</v>
      </c>
      <c r="MJ397" s="12" t="s">
        <v>37</v>
      </c>
      <c r="MK397" s="12" t="s">
        <v>37</v>
      </c>
      <c r="ML397" s="12" t="s">
        <v>37</v>
      </c>
      <c r="MQ397" s="12" t="s">
        <v>37</v>
      </c>
      <c r="MR397" s="12" t="s">
        <v>37</v>
      </c>
      <c r="MS397" s="12" t="s">
        <v>37</v>
      </c>
      <c r="MU397" s="12" t="s">
        <v>37</v>
      </c>
      <c r="MV397" s="12" t="s">
        <v>37</v>
      </c>
      <c r="MW397" s="12" t="s">
        <v>37</v>
      </c>
      <c r="NC397" s="12" t="s">
        <v>37</v>
      </c>
      <c r="ND397" s="12" t="s">
        <v>37</v>
      </c>
      <c r="NE397" s="12" t="s">
        <v>37</v>
      </c>
      <c r="NG397" s="12" t="s">
        <v>37</v>
      </c>
      <c r="NH397" s="12" t="s">
        <v>37</v>
      </c>
      <c r="NI397" s="12" t="s">
        <v>37</v>
      </c>
      <c r="NO397" s="12" t="s">
        <v>37</v>
      </c>
      <c r="NP397" s="12" t="s">
        <v>37</v>
      </c>
      <c r="NQ397" s="12" t="s">
        <v>37</v>
      </c>
      <c r="NS397" s="12" t="s">
        <v>37</v>
      </c>
      <c r="NT397" s="12" t="s">
        <v>37</v>
      </c>
      <c r="NU397" s="12" t="s">
        <v>37</v>
      </c>
      <c r="OA397" s="12" t="s">
        <v>37</v>
      </c>
      <c r="OB397" s="12" t="s">
        <v>37</v>
      </c>
      <c r="OC397" s="12" t="s">
        <v>37</v>
      </c>
      <c r="OD397" s="12"/>
      <c r="OE397" s="12" t="s">
        <v>37</v>
      </c>
      <c r="OF397" s="12" t="s">
        <v>37</v>
      </c>
      <c r="OG397" s="12" t="s">
        <v>37</v>
      </c>
      <c r="OH397" s="12"/>
      <c r="OI397" s="12"/>
      <c r="OJ397" s="12"/>
      <c r="OM397" s="12" t="s">
        <v>37</v>
      </c>
      <c r="ON397" s="12" t="s">
        <v>37</v>
      </c>
      <c r="OO397" s="12" t="s">
        <v>37</v>
      </c>
      <c r="OP397" s="12" t="s">
        <v>37</v>
      </c>
      <c r="OQ397" s="12" t="s">
        <v>37</v>
      </c>
      <c r="OR397" s="12" t="s">
        <v>37</v>
      </c>
      <c r="OS397" s="12"/>
      <c r="OT397" s="12"/>
      <c r="OW397" s="12" t="s">
        <v>37</v>
      </c>
      <c r="OX397" s="12" t="s">
        <v>37</v>
      </c>
      <c r="OY397" s="12" t="s">
        <v>37</v>
      </c>
      <c r="OZ397" s="12" t="s">
        <v>37</v>
      </c>
      <c r="PA397" s="12" t="s">
        <v>37</v>
      </c>
      <c r="PB397" s="12" t="s">
        <v>37</v>
      </c>
      <c r="PC397" s="12"/>
      <c r="PD397" s="12"/>
      <c r="PG397" s="12" t="s">
        <v>37</v>
      </c>
      <c r="PH397" s="12" t="s">
        <v>37</v>
      </c>
      <c r="PI397" s="12" t="s">
        <v>37</v>
      </c>
      <c r="PJ397" s="12" t="s">
        <v>37</v>
      </c>
      <c r="PK397" s="12" t="s">
        <v>37</v>
      </c>
      <c r="PL397" s="12" t="s">
        <v>37</v>
      </c>
      <c r="PM397" s="12"/>
      <c r="PN397" s="12"/>
      <c r="PQ397" s="12" t="s">
        <v>37</v>
      </c>
      <c r="PR397" s="12" t="s">
        <v>37</v>
      </c>
      <c r="PS397" s="12" t="s">
        <v>37</v>
      </c>
      <c r="PT397" s="12" t="s">
        <v>37</v>
      </c>
      <c r="PU397" s="12" t="s">
        <v>37</v>
      </c>
      <c r="PV397" s="12" t="s">
        <v>37</v>
      </c>
      <c r="PW397" s="12"/>
      <c r="PX397" s="12"/>
      <c r="PZ397" s="12" t="s">
        <v>37</v>
      </c>
      <c r="QA397" s="12" t="s">
        <v>37</v>
      </c>
      <c r="QB397" s="11" t="s">
        <v>37</v>
      </c>
      <c r="QD397" s="12" t="s">
        <v>37</v>
      </c>
      <c r="QE397" s="12" t="s">
        <v>37</v>
      </c>
      <c r="QF397" s="12" t="s">
        <v>37</v>
      </c>
      <c r="QK397" s="12" t="s">
        <v>37</v>
      </c>
      <c r="QL397" s="12" t="s">
        <v>37</v>
      </c>
      <c r="QM397" s="12" t="s">
        <v>37</v>
      </c>
      <c r="QN397" s="12" t="s">
        <v>37</v>
      </c>
      <c r="QO397" s="12" t="s">
        <v>37</v>
      </c>
      <c r="QP397" s="12" t="s">
        <v>37</v>
      </c>
      <c r="QQ397" s="12"/>
      <c r="QR397" s="12"/>
      <c r="QU397" s="12" t="s">
        <v>37</v>
      </c>
      <c r="QV397" s="12" t="s">
        <v>37</v>
      </c>
      <c r="QW397" s="12" t="s">
        <v>37</v>
      </c>
      <c r="QX397" s="12" t="s">
        <v>37</v>
      </c>
      <c r="QY397" s="12" t="s">
        <v>37</v>
      </c>
      <c r="QZ397" s="12" t="s">
        <v>37</v>
      </c>
      <c r="RC397" s="12" t="s">
        <v>37</v>
      </c>
      <c r="RD397" s="12" t="s">
        <v>37</v>
      </c>
      <c r="RE397" s="13" t="s">
        <v>37</v>
      </c>
      <c r="RF397" s="12" t="s">
        <v>37</v>
      </c>
      <c r="RG397" s="12" t="s">
        <v>37</v>
      </c>
      <c r="RH397" s="13" t="s">
        <v>37</v>
      </c>
      <c r="RK397" s="12" t="s">
        <v>37</v>
      </c>
      <c r="RL397" s="12" t="s">
        <v>37</v>
      </c>
      <c r="RM397" s="11" t="s">
        <v>37</v>
      </c>
      <c r="RN397" s="12" t="s">
        <v>37</v>
      </c>
      <c r="RO397" s="12" t="s">
        <v>37</v>
      </c>
      <c r="RP397" s="11" t="s">
        <v>37</v>
      </c>
      <c r="RS397" s="12" t="s">
        <v>37</v>
      </c>
      <c r="RT397" s="12" t="s">
        <v>37</v>
      </c>
      <c r="RU397" s="12" t="s">
        <v>37</v>
      </c>
      <c r="RV397" s="12" t="s">
        <v>37</v>
      </c>
      <c r="RW397" s="12" t="s">
        <v>37</v>
      </c>
      <c r="RX397" s="12" t="s">
        <v>37</v>
      </c>
      <c r="SA397" s="12" t="s">
        <v>37</v>
      </c>
      <c r="SB397" s="12" t="s">
        <v>37</v>
      </c>
      <c r="SC397" s="12" t="s">
        <v>37</v>
      </c>
      <c r="SD397" s="12" t="s">
        <v>37</v>
      </c>
      <c r="SE397" s="12" t="s">
        <v>37</v>
      </c>
      <c r="SF397" s="12" t="s">
        <v>37</v>
      </c>
      <c r="SI397" s="12" t="s">
        <v>37</v>
      </c>
      <c r="SJ397" s="12" t="s">
        <v>37</v>
      </c>
      <c r="SK397" s="13" t="s">
        <v>37</v>
      </c>
      <c r="SM397" s="12" t="s">
        <v>37</v>
      </c>
      <c r="SN397" s="12" t="s">
        <v>37</v>
      </c>
      <c r="SO397" s="13" t="s">
        <v>37</v>
      </c>
      <c r="SU397" s="12" t="s">
        <v>37</v>
      </c>
      <c r="SV397" s="12" t="s">
        <v>37</v>
      </c>
      <c r="SW397" s="11" t="s">
        <v>37</v>
      </c>
      <c r="SX397" s="12" t="s">
        <v>37</v>
      </c>
      <c r="SY397" s="12" t="s">
        <v>37</v>
      </c>
      <c r="SZ397" s="11" t="s">
        <v>37</v>
      </c>
      <c r="TE397" s="12" t="s">
        <v>37</v>
      </c>
      <c r="TF397" s="12" t="s">
        <v>37</v>
      </c>
      <c r="TG397" s="11" t="s">
        <v>37</v>
      </c>
      <c r="TH397" s="12" t="s">
        <v>37</v>
      </c>
      <c r="TI397" s="12" t="s">
        <v>37</v>
      </c>
      <c r="TJ397" s="11" t="s">
        <v>37</v>
      </c>
      <c r="TO397" s="12" t="s">
        <v>37</v>
      </c>
      <c r="TP397" s="12" t="s">
        <v>37</v>
      </c>
      <c r="TQ397" s="11" t="s">
        <v>37</v>
      </c>
      <c r="TR397" s="12" t="s">
        <v>37</v>
      </c>
      <c r="TS397" s="12" t="s">
        <v>37</v>
      </c>
      <c r="TT397" s="11" t="s">
        <v>37</v>
      </c>
      <c r="TY397" s="12" t="s">
        <v>37</v>
      </c>
      <c r="TZ397" s="12" t="s">
        <v>37</v>
      </c>
      <c r="UA397" s="12" t="s">
        <v>37</v>
      </c>
      <c r="UB397" s="12" t="s">
        <v>37</v>
      </c>
      <c r="UC397" s="12" t="s">
        <v>37</v>
      </c>
      <c r="UD397" s="12" t="s">
        <v>37</v>
      </c>
      <c r="UE397" s="12"/>
      <c r="UF397" s="12"/>
      <c r="UI397" s="12" t="s">
        <v>37</v>
      </c>
      <c r="UJ397" s="12" t="s">
        <v>37</v>
      </c>
      <c r="UK397" s="12" t="s">
        <v>37</v>
      </c>
      <c r="UL397" s="12" t="s">
        <v>37</v>
      </c>
      <c r="UM397" s="12" t="s">
        <v>37</v>
      </c>
      <c r="UN397" s="12" t="s">
        <v>37</v>
      </c>
      <c r="UO397" s="12"/>
      <c r="UP397" s="12"/>
      <c r="UR397" s="12" t="s">
        <v>37</v>
      </c>
      <c r="US397" s="12" t="s">
        <v>37</v>
      </c>
      <c r="UT397" s="12" t="s">
        <v>37</v>
      </c>
      <c r="UU397" s="12" t="s">
        <v>37</v>
      </c>
      <c r="UV397" s="12" t="s">
        <v>37</v>
      </c>
      <c r="UW397" s="12" t="s">
        <v>37</v>
      </c>
      <c r="UX397" s="12"/>
      <c r="UY397" s="12"/>
      <c r="VB397" s="12" t="s">
        <v>37</v>
      </c>
      <c r="VC397" s="12" t="s">
        <v>37</v>
      </c>
      <c r="VD397" s="12" t="s">
        <v>37</v>
      </c>
      <c r="VE397" s="12" t="s">
        <v>37</v>
      </c>
      <c r="VF397" s="12" t="s">
        <v>37</v>
      </c>
      <c r="VG397" s="12" t="s">
        <v>37</v>
      </c>
      <c r="VI397" s="12" t="s">
        <v>37</v>
      </c>
      <c r="VJ397" s="12" t="s">
        <v>37</v>
      </c>
      <c r="VK397" s="12" t="s">
        <v>37</v>
      </c>
      <c r="VL397" s="12" t="s">
        <v>37</v>
      </c>
      <c r="VM397" s="12" t="s">
        <v>37</v>
      </c>
      <c r="VN397" s="12" t="s">
        <v>37</v>
      </c>
      <c r="VQ397" s="13" t="s">
        <v>37</v>
      </c>
      <c r="VR397" s="13" t="s">
        <v>37</v>
      </c>
      <c r="VS397" s="13" t="s">
        <v>37</v>
      </c>
      <c r="VT397" s="13" t="s">
        <v>37</v>
      </c>
      <c r="VU397" s="13" t="s">
        <v>37</v>
      </c>
      <c r="VV397" s="13" t="s">
        <v>37</v>
      </c>
      <c r="WA397" s="13" t="s">
        <v>37</v>
      </c>
      <c r="WB397" s="13" t="s">
        <v>37</v>
      </c>
      <c r="WC397" s="13" t="s">
        <v>37</v>
      </c>
      <c r="WD397" s="13" t="s">
        <v>37</v>
      </c>
      <c r="WE397" s="13" t="s">
        <v>37</v>
      </c>
      <c r="WF397" s="13" t="s">
        <v>37</v>
      </c>
    </row>
    <row r="398" spans="1:606" ht="18" customHeight="1" x14ac:dyDescent="0.3">
      <c r="A398" s="11">
        <v>85</v>
      </c>
      <c r="B398" s="16" t="s">
        <v>590</v>
      </c>
      <c r="C398" s="12" t="s">
        <v>26</v>
      </c>
      <c r="D398" s="12" t="s">
        <v>973</v>
      </c>
      <c r="E398" s="40">
        <v>0.2</v>
      </c>
      <c r="F398" s="14">
        <v>0</v>
      </c>
      <c r="G398" s="14">
        <v>0</v>
      </c>
      <c r="H398" s="12" t="s">
        <v>313</v>
      </c>
      <c r="I398" s="29">
        <v>68.75</v>
      </c>
      <c r="J398" s="29">
        <v>161.33000000000001</v>
      </c>
      <c r="K398" s="12" t="s">
        <v>591</v>
      </c>
      <c r="L398" s="12" t="s">
        <v>592</v>
      </c>
      <c r="M398" s="13" t="s">
        <v>37</v>
      </c>
      <c r="N398" s="14">
        <v>-10.199999999999999</v>
      </c>
      <c r="O398" s="14">
        <v>160</v>
      </c>
      <c r="P398" s="14" t="s">
        <v>84</v>
      </c>
      <c r="Q398" s="75">
        <v>15</v>
      </c>
      <c r="R398" s="11" t="s">
        <v>37</v>
      </c>
      <c r="S398" s="12" t="s">
        <v>85</v>
      </c>
      <c r="T398" s="16" t="s">
        <v>138</v>
      </c>
      <c r="U398" s="16" t="s">
        <v>158</v>
      </c>
      <c r="V398" s="12" t="s">
        <v>275</v>
      </c>
      <c r="W398" s="23" t="s">
        <v>593</v>
      </c>
      <c r="X398" s="12" t="s">
        <v>280</v>
      </c>
      <c r="Y398" s="12" t="s">
        <v>37</v>
      </c>
      <c r="Z398" s="12" t="s">
        <v>37</v>
      </c>
      <c r="AB398" s="12" t="s">
        <v>37</v>
      </c>
      <c r="AE398" s="12" t="s">
        <v>37</v>
      </c>
      <c r="AH398" s="12" t="s">
        <v>37</v>
      </c>
      <c r="AK398" s="12" t="s">
        <v>37</v>
      </c>
      <c r="AL398" s="32" t="s">
        <v>595</v>
      </c>
      <c r="AM398" s="16" t="s">
        <v>344</v>
      </c>
      <c r="AO398" s="16" t="s">
        <v>583</v>
      </c>
      <c r="AP398" s="56" t="s">
        <v>597</v>
      </c>
      <c r="AQ398" s="12" t="s">
        <v>849</v>
      </c>
      <c r="AT398" s="12" t="s">
        <v>326</v>
      </c>
      <c r="AU398" s="12" t="s">
        <v>326</v>
      </c>
      <c r="AV398" s="13" t="s">
        <v>326</v>
      </c>
      <c r="AX398" s="12" t="s">
        <v>326</v>
      </c>
      <c r="AY398" s="12" t="s">
        <v>326</v>
      </c>
      <c r="AZ398" s="13" t="s">
        <v>326</v>
      </c>
      <c r="BD398" s="12"/>
      <c r="BE398" s="12" t="s">
        <v>326</v>
      </c>
      <c r="BF398" s="12" t="s">
        <v>326</v>
      </c>
      <c r="BG398" s="12" t="s">
        <v>326</v>
      </c>
      <c r="BI398" s="12" t="s">
        <v>326</v>
      </c>
      <c r="BJ398" s="12" t="s">
        <v>326</v>
      </c>
      <c r="BK398" s="12" t="s">
        <v>326</v>
      </c>
      <c r="BP398" s="12" t="s">
        <v>37</v>
      </c>
      <c r="BQ398" s="12" t="s">
        <v>37</v>
      </c>
      <c r="BR398" s="13" t="s">
        <v>37</v>
      </c>
      <c r="BT398" s="12" t="s">
        <v>37</v>
      </c>
      <c r="BU398" s="12" t="s">
        <v>37</v>
      </c>
      <c r="BV398" s="12" t="s">
        <v>37</v>
      </c>
      <c r="CA398" s="12" t="s">
        <v>37</v>
      </c>
      <c r="CB398" s="12" t="s">
        <v>37</v>
      </c>
      <c r="CC398" s="13" t="s">
        <v>37</v>
      </c>
      <c r="CE398" s="12" t="s">
        <v>37</v>
      </c>
      <c r="CF398" s="12" t="s">
        <v>37</v>
      </c>
      <c r="CG398" s="12" t="s">
        <v>37</v>
      </c>
      <c r="CN398" s="12" t="s">
        <v>37</v>
      </c>
      <c r="CO398" s="12" t="s">
        <v>37</v>
      </c>
      <c r="CP398" s="13" t="s">
        <v>37</v>
      </c>
      <c r="CR398" s="12" t="s">
        <v>37</v>
      </c>
      <c r="CS398" s="12" t="s">
        <v>37</v>
      </c>
      <c r="CT398" s="13" t="s">
        <v>37</v>
      </c>
      <c r="CX398" s="72"/>
      <c r="CY398" s="72"/>
      <c r="CZ398" s="12" t="s">
        <v>47</v>
      </c>
      <c r="DA398" s="12">
        <v>-1484.6994535519118</v>
      </c>
      <c r="DB398" s="50">
        <f t="shared" si="1448"/>
        <v>4453.588453524826</v>
      </c>
      <c r="DC398" s="13">
        <v>1</v>
      </c>
      <c r="DE398" s="12">
        <v>847.54098360655883</v>
      </c>
      <c r="DF398" s="50">
        <f t="shared" si="1449"/>
        <v>807.82758139831913</v>
      </c>
      <c r="DG398" s="13">
        <v>1</v>
      </c>
      <c r="DI398" s="19">
        <f t="shared" si="1450"/>
        <v>2332.2404371584707</v>
      </c>
      <c r="DJ398" s="12" t="e">
        <f t="shared" si="1451"/>
        <v>#DIV/0!</v>
      </c>
      <c r="DK398" s="72" t="e">
        <f t="shared" si="1452"/>
        <v>#DIV/0!</v>
      </c>
      <c r="DL398" s="72">
        <f t="shared" si="1453"/>
        <v>20487035.514637507</v>
      </c>
      <c r="DM398" s="12" t="s">
        <v>47</v>
      </c>
      <c r="DN398" s="19">
        <v>84.070612668743479</v>
      </c>
      <c r="DO398" s="50">
        <f>ABS(DN398)*DQ$474</f>
        <v>93.728584891368115</v>
      </c>
      <c r="DP398" s="13">
        <v>1</v>
      </c>
      <c r="DR398" s="19">
        <v>46.853582554517196</v>
      </c>
      <c r="DS398" s="50">
        <f>ABS(DR398)*DU$474</f>
        <v>175.10197218458089</v>
      </c>
      <c r="DT398" s="13">
        <v>1</v>
      </c>
      <c r="DV398" s="19">
        <f t="shared" si="1454"/>
        <v>-37.217030114226283</v>
      </c>
      <c r="DW398" s="12" t="e">
        <f t="shared" si="1455"/>
        <v>#DIV/0!</v>
      </c>
      <c r="DX398" s="72" t="e">
        <f t="shared" si="1358"/>
        <v>#DIV/0!</v>
      </c>
      <c r="DY398" s="72">
        <f t="shared" si="1359"/>
        <v>39445.748288668139</v>
      </c>
      <c r="EA398" s="19" t="s">
        <v>37</v>
      </c>
      <c r="EB398" s="19" t="s">
        <v>37</v>
      </c>
      <c r="EC398" s="72" t="s">
        <v>37</v>
      </c>
      <c r="EE398" s="19" t="s">
        <v>37</v>
      </c>
      <c r="EF398" s="19" t="s">
        <v>37</v>
      </c>
      <c r="EG398" s="12" t="s">
        <v>37</v>
      </c>
      <c r="EN398" s="12" t="s">
        <v>37</v>
      </c>
      <c r="EO398" s="12" t="s">
        <v>37</v>
      </c>
      <c r="EP398" s="13" t="s">
        <v>37</v>
      </c>
      <c r="ER398" s="12" t="s">
        <v>37</v>
      </c>
      <c r="ES398" s="12" t="s">
        <v>37</v>
      </c>
      <c r="ET398" s="13" t="s">
        <v>37</v>
      </c>
      <c r="FB398" s="12" t="s">
        <v>37</v>
      </c>
      <c r="FC398" s="12" t="s">
        <v>37</v>
      </c>
      <c r="FD398" s="12" t="s">
        <v>37</v>
      </c>
      <c r="FE398" s="12" t="s">
        <v>37</v>
      </c>
      <c r="FF398" s="12" t="s">
        <v>37</v>
      </c>
      <c r="FG398" s="12" t="s">
        <v>37</v>
      </c>
      <c r="FI398" s="12" t="s">
        <v>37</v>
      </c>
      <c r="FJ398" s="12" t="s">
        <v>37</v>
      </c>
      <c r="FK398" s="12" t="s">
        <v>37</v>
      </c>
      <c r="FL398" s="12" t="s">
        <v>37</v>
      </c>
      <c r="FM398" s="12" t="s">
        <v>37</v>
      </c>
      <c r="FN398" s="12" t="s">
        <v>37</v>
      </c>
      <c r="FO398" s="12"/>
      <c r="FP398" s="12" t="s">
        <v>37</v>
      </c>
      <c r="FQ398" s="12" t="s">
        <v>37</v>
      </c>
      <c r="FR398" s="12" t="s">
        <v>37</v>
      </c>
      <c r="FS398" s="12" t="s">
        <v>37</v>
      </c>
      <c r="FT398" s="12" t="s">
        <v>37</v>
      </c>
      <c r="FU398" s="12" t="s">
        <v>37</v>
      </c>
      <c r="FW398" s="12" t="s">
        <v>37</v>
      </c>
      <c r="FX398" s="12" t="s">
        <v>37</v>
      </c>
      <c r="FY398" s="12" t="s">
        <v>37</v>
      </c>
      <c r="FZ398" s="12" t="s">
        <v>37</v>
      </c>
      <c r="GA398" s="12" t="s">
        <v>37</v>
      </c>
      <c r="GB398" s="12" t="s">
        <v>37</v>
      </c>
      <c r="GG398" s="12"/>
      <c r="GK398" s="12"/>
      <c r="GO398" s="12" t="s">
        <v>660</v>
      </c>
      <c r="GP398" s="12" t="s">
        <v>330</v>
      </c>
      <c r="GQ398" s="12">
        <v>2</v>
      </c>
      <c r="GR398" s="12">
        <v>1.6</v>
      </c>
      <c r="GS398" s="13">
        <v>3</v>
      </c>
      <c r="GT398" s="19">
        <f t="shared" si="1456"/>
        <v>0.8</v>
      </c>
      <c r="GU398" s="12">
        <v>3.3</v>
      </c>
      <c r="GV398" s="12">
        <v>2.2000000000000002</v>
      </c>
      <c r="GW398" s="13">
        <v>3</v>
      </c>
      <c r="GX398" s="19">
        <f t="shared" si="1457"/>
        <v>0.66666666666666674</v>
      </c>
      <c r="GY398" s="19">
        <f t="shared" si="1458"/>
        <v>0.50077528791248915</v>
      </c>
      <c r="GZ398" s="19">
        <f t="shared" si="1459"/>
        <v>0.36148148148148157</v>
      </c>
      <c r="HP398" s="12"/>
      <c r="HT398" s="12"/>
      <c r="IA398" s="12"/>
      <c r="IE398" s="12"/>
      <c r="IK398" s="12" t="s">
        <v>37</v>
      </c>
      <c r="IL398" s="12" t="s">
        <v>37</v>
      </c>
      <c r="IM398" s="12" t="s">
        <v>37</v>
      </c>
      <c r="IO398" s="12" t="s">
        <v>37</v>
      </c>
      <c r="IP398" s="12" t="s">
        <v>37</v>
      </c>
      <c r="IQ398" s="12" t="s">
        <v>37</v>
      </c>
      <c r="IW398" s="12" t="s">
        <v>37</v>
      </c>
      <c r="IX398" s="12" t="s">
        <v>37</v>
      </c>
      <c r="IY398" s="12" t="s">
        <v>37</v>
      </c>
      <c r="JA398" s="12" t="s">
        <v>37</v>
      </c>
      <c r="JB398" s="12" t="s">
        <v>37</v>
      </c>
      <c r="JC398" s="12" t="s">
        <v>37</v>
      </c>
      <c r="JH398" s="12" t="s">
        <v>37</v>
      </c>
      <c r="JI398" s="12" t="s">
        <v>37</v>
      </c>
      <c r="JJ398" s="12" t="s">
        <v>37</v>
      </c>
      <c r="JL398" s="12" t="s">
        <v>37</v>
      </c>
      <c r="JM398" s="12" t="s">
        <v>37</v>
      </c>
      <c r="JN398" s="12" t="s">
        <v>37</v>
      </c>
      <c r="JS398" s="12" t="s">
        <v>37</v>
      </c>
      <c r="JT398" s="12" t="s">
        <v>37</v>
      </c>
      <c r="JU398" s="12" t="s">
        <v>37</v>
      </c>
      <c r="JW398" s="12" t="s">
        <v>37</v>
      </c>
      <c r="JX398" s="12" t="s">
        <v>37</v>
      </c>
      <c r="JY398" s="12" t="s">
        <v>37</v>
      </c>
      <c r="KE398" s="12" t="s">
        <v>37</v>
      </c>
      <c r="KF398" s="12" t="s">
        <v>37</v>
      </c>
      <c r="KG398" s="12" t="s">
        <v>37</v>
      </c>
      <c r="KH398" s="12" t="s">
        <v>37</v>
      </c>
      <c r="KI398" s="12" t="s">
        <v>37</v>
      </c>
      <c r="KJ398" s="12" t="s">
        <v>37</v>
      </c>
      <c r="KM398" s="12" t="s">
        <v>37</v>
      </c>
      <c r="KN398" s="12" t="s">
        <v>37</v>
      </c>
      <c r="KO398" s="12" t="s">
        <v>37</v>
      </c>
      <c r="KQ398" s="12" t="s">
        <v>37</v>
      </c>
      <c r="KR398" s="12" t="s">
        <v>37</v>
      </c>
      <c r="KS398" s="12" t="s">
        <v>37</v>
      </c>
      <c r="KX398" s="12" t="s">
        <v>37</v>
      </c>
      <c r="KY398" s="12" t="s">
        <v>37</v>
      </c>
      <c r="KZ398" s="12" t="s">
        <v>37</v>
      </c>
      <c r="LB398" s="12" t="s">
        <v>37</v>
      </c>
      <c r="LC398" s="12" t="s">
        <v>37</v>
      </c>
      <c r="LD398" s="12" t="s">
        <v>37</v>
      </c>
      <c r="LI398" s="12" t="s">
        <v>37</v>
      </c>
      <c r="LJ398" s="12" t="s">
        <v>37</v>
      </c>
      <c r="LK398" s="12" t="s">
        <v>37</v>
      </c>
      <c r="LM398" s="12" t="s">
        <v>37</v>
      </c>
      <c r="LN398" s="12" t="s">
        <v>37</v>
      </c>
      <c r="LO398" s="12" t="s">
        <v>37</v>
      </c>
      <c r="LU398" s="12" t="s">
        <v>37</v>
      </c>
      <c r="LV398" s="12" t="s">
        <v>37</v>
      </c>
      <c r="LW398" s="12" t="s">
        <v>37</v>
      </c>
      <c r="LY398" s="12" t="s">
        <v>37</v>
      </c>
      <c r="LZ398" s="12" t="s">
        <v>37</v>
      </c>
      <c r="MA398" s="12" t="s">
        <v>37</v>
      </c>
      <c r="MF398" s="12" t="s">
        <v>37</v>
      </c>
      <c r="MG398" s="12" t="s">
        <v>37</v>
      </c>
      <c r="MH398" s="12" t="s">
        <v>37</v>
      </c>
      <c r="MJ398" s="12" t="s">
        <v>37</v>
      </c>
      <c r="MK398" s="12" t="s">
        <v>37</v>
      </c>
      <c r="ML398" s="12" t="s">
        <v>37</v>
      </c>
      <c r="MQ398" s="12" t="s">
        <v>37</v>
      </c>
      <c r="MR398" s="12" t="s">
        <v>37</v>
      </c>
      <c r="MS398" s="12" t="s">
        <v>37</v>
      </c>
      <c r="MU398" s="12" t="s">
        <v>37</v>
      </c>
      <c r="MV398" s="12" t="s">
        <v>37</v>
      </c>
      <c r="MW398" s="12" t="s">
        <v>37</v>
      </c>
      <c r="NC398" s="12" t="s">
        <v>37</v>
      </c>
      <c r="ND398" s="12" t="s">
        <v>37</v>
      </c>
      <c r="NE398" s="12" t="s">
        <v>37</v>
      </c>
      <c r="NG398" s="12" t="s">
        <v>37</v>
      </c>
      <c r="NH398" s="12" t="s">
        <v>37</v>
      </c>
      <c r="NI398" s="12" t="s">
        <v>37</v>
      </c>
      <c r="NO398" s="12" t="s">
        <v>37</v>
      </c>
      <c r="NP398" s="12" t="s">
        <v>37</v>
      </c>
      <c r="NQ398" s="12" t="s">
        <v>37</v>
      </c>
      <c r="NS398" s="12" t="s">
        <v>37</v>
      </c>
      <c r="NT398" s="12" t="s">
        <v>37</v>
      </c>
      <c r="NU398" s="12" t="s">
        <v>37</v>
      </c>
      <c r="OA398" s="12" t="s">
        <v>37</v>
      </c>
      <c r="OB398" s="12" t="s">
        <v>37</v>
      </c>
      <c r="OC398" s="12" t="s">
        <v>37</v>
      </c>
      <c r="OD398" s="12"/>
      <c r="OE398" s="12" t="s">
        <v>37</v>
      </c>
      <c r="OF398" s="12" t="s">
        <v>37</v>
      </c>
      <c r="OG398" s="12" t="s">
        <v>37</v>
      </c>
      <c r="OH398" s="12"/>
      <c r="OI398" s="12"/>
      <c r="OJ398" s="12"/>
      <c r="OM398" s="12" t="s">
        <v>37</v>
      </c>
      <c r="ON398" s="12" t="s">
        <v>37</v>
      </c>
      <c r="OO398" s="12" t="s">
        <v>37</v>
      </c>
      <c r="OP398" s="12" t="s">
        <v>37</v>
      </c>
      <c r="OQ398" s="12" t="s">
        <v>37</v>
      </c>
      <c r="OR398" s="12" t="s">
        <v>37</v>
      </c>
      <c r="OS398" s="12"/>
      <c r="OT398" s="12"/>
      <c r="OW398" s="12" t="s">
        <v>37</v>
      </c>
      <c r="OX398" s="12" t="s">
        <v>37</v>
      </c>
      <c r="OY398" s="12" t="s">
        <v>37</v>
      </c>
      <c r="OZ398" s="12" t="s">
        <v>37</v>
      </c>
      <c r="PA398" s="12" t="s">
        <v>37</v>
      </c>
      <c r="PB398" s="12" t="s">
        <v>37</v>
      </c>
      <c r="PC398" s="12"/>
      <c r="PD398" s="12"/>
      <c r="PG398" s="12" t="s">
        <v>37</v>
      </c>
      <c r="PH398" s="12" t="s">
        <v>37</v>
      </c>
      <c r="PI398" s="12" t="s">
        <v>37</v>
      </c>
      <c r="PJ398" s="12" t="s">
        <v>37</v>
      </c>
      <c r="PK398" s="12" t="s">
        <v>37</v>
      </c>
      <c r="PL398" s="12" t="s">
        <v>37</v>
      </c>
      <c r="PM398" s="12"/>
      <c r="PN398" s="12"/>
      <c r="PQ398" s="12" t="s">
        <v>37</v>
      </c>
      <c r="PR398" s="12" t="s">
        <v>37</v>
      </c>
      <c r="PS398" s="12" t="s">
        <v>37</v>
      </c>
      <c r="PT398" s="12" t="s">
        <v>37</v>
      </c>
      <c r="PU398" s="12" t="s">
        <v>37</v>
      </c>
      <c r="PV398" s="12" t="s">
        <v>37</v>
      </c>
      <c r="PW398" s="12"/>
      <c r="PX398" s="12"/>
      <c r="PZ398" s="12" t="s">
        <v>37</v>
      </c>
      <c r="QA398" s="12" t="s">
        <v>37</v>
      </c>
      <c r="QB398" s="11" t="s">
        <v>37</v>
      </c>
      <c r="QD398" s="12" t="s">
        <v>37</v>
      </c>
      <c r="QE398" s="12" t="s">
        <v>37</v>
      </c>
      <c r="QF398" s="12" t="s">
        <v>37</v>
      </c>
      <c r="QK398" s="12" t="s">
        <v>37</v>
      </c>
      <c r="QL398" s="12" t="s">
        <v>37</v>
      </c>
      <c r="QM398" s="12" t="s">
        <v>37</v>
      </c>
      <c r="QN398" s="12" t="s">
        <v>37</v>
      </c>
      <c r="QO398" s="12" t="s">
        <v>37</v>
      </c>
      <c r="QP398" s="12" t="s">
        <v>37</v>
      </c>
      <c r="QQ398" s="12"/>
      <c r="QR398" s="12"/>
      <c r="QU398" s="12" t="s">
        <v>37</v>
      </c>
      <c r="QV398" s="12" t="s">
        <v>37</v>
      </c>
      <c r="QW398" s="12" t="s">
        <v>37</v>
      </c>
      <c r="QX398" s="12" t="s">
        <v>37</v>
      </c>
      <c r="QY398" s="12" t="s">
        <v>37</v>
      </c>
      <c r="QZ398" s="12" t="s">
        <v>37</v>
      </c>
      <c r="RC398" s="12" t="s">
        <v>37</v>
      </c>
      <c r="RD398" s="12" t="s">
        <v>37</v>
      </c>
      <c r="RE398" s="13" t="s">
        <v>37</v>
      </c>
      <c r="RF398" s="12" t="s">
        <v>37</v>
      </c>
      <c r="RG398" s="12" t="s">
        <v>37</v>
      </c>
      <c r="RH398" s="13" t="s">
        <v>37</v>
      </c>
      <c r="RK398" s="12" t="s">
        <v>37</v>
      </c>
      <c r="RL398" s="12" t="s">
        <v>37</v>
      </c>
      <c r="RM398" s="11" t="s">
        <v>37</v>
      </c>
      <c r="RN398" s="12" t="s">
        <v>37</v>
      </c>
      <c r="RO398" s="12" t="s">
        <v>37</v>
      </c>
      <c r="RP398" s="11" t="s">
        <v>37</v>
      </c>
      <c r="RS398" s="12" t="s">
        <v>37</v>
      </c>
      <c r="RT398" s="12" t="s">
        <v>37</v>
      </c>
      <c r="RU398" s="12" t="s">
        <v>37</v>
      </c>
      <c r="RV398" s="12" t="s">
        <v>37</v>
      </c>
      <c r="RW398" s="12" t="s">
        <v>37</v>
      </c>
      <c r="RX398" s="12" t="s">
        <v>37</v>
      </c>
      <c r="SA398" s="12" t="s">
        <v>37</v>
      </c>
      <c r="SB398" s="12" t="s">
        <v>37</v>
      </c>
      <c r="SC398" s="12" t="s">
        <v>37</v>
      </c>
      <c r="SD398" s="12" t="s">
        <v>37</v>
      </c>
      <c r="SE398" s="12" t="s">
        <v>37</v>
      </c>
      <c r="SF398" s="12" t="s">
        <v>37</v>
      </c>
      <c r="SI398" s="12" t="s">
        <v>37</v>
      </c>
      <c r="SJ398" s="12" t="s">
        <v>37</v>
      </c>
      <c r="SK398" s="13" t="s">
        <v>37</v>
      </c>
      <c r="SM398" s="12" t="s">
        <v>37</v>
      </c>
      <c r="SN398" s="12" t="s">
        <v>37</v>
      </c>
      <c r="SO398" s="13" t="s">
        <v>37</v>
      </c>
      <c r="SU398" s="12" t="s">
        <v>37</v>
      </c>
      <c r="SV398" s="12" t="s">
        <v>37</v>
      </c>
      <c r="SW398" s="11" t="s">
        <v>37</v>
      </c>
      <c r="SX398" s="12" t="s">
        <v>37</v>
      </c>
      <c r="SY398" s="12" t="s">
        <v>37</v>
      </c>
      <c r="SZ398" s="11" t="s">
        <v>37</v>
      </c>
      <c r="TE398" s="12" t="s">
        <v>37</v>
      </c>
      <c r="TF398" s="12" t="s">
        <v>37</v>
      </c>
      <c r="TG398" s="11" t="s">
        <v>37</v>
      </c>
      <c r="TH398" s="12" t="s">
        <v>37</v>
      </c>
      <c r="TI398" s="12" t="s">
        <v>37</v>
      </c>
      <c r="TJ398" s="11" t="s">
        <v>37</v>
      </c>
      <c r="TO398" s="12" t="s">
        <v>37</v>
      </c>
      <c r="TP398" s="12" t="s">
        <v>37</v>
      </c>
      <c r="TQ398" s="11" t="s">
        <v>37</v>
      </c>
      <c r="TR398" s="12" t="s">
        <v>37</v>
      </c>
      <c r="TS398" s="12" t="s">
        <v>37</v>
      </c>
      <c r="TT398" s="11" t="s">
        <v>37</v>
      </c>
      <c r="TY398" s="12" t="s">
        <v>37</v>
      </c>
      <c r="TZ398" s="12" t="s">
        <v>37</v>
      </c>
      <c r="UA398" s="12" t="s">
        <v>37</v>
      </c>
      <c r="UB398" s="12" t="s">
        <v>37</v>
      </c>
      <c r="UC398" s="12" t="s">
        <v>37</v>
      </c>
      <c r="UD398" s="12" t="s">
        <v>37</v>
      </c>
      <c r="UE398" s="12"/>
      <c r="UF398" s="12"/>
      <c r="UI398" s="12" t="s">
        <v>37</v>
      </c>
      <c r="UJ398" s="12" t="s">
        <v>37</v>
      </c>
      <c r="UK398" s="12" t="s">
        <v>37</v>
      </c>
      <c r="UL398" s="12" t="s">
        <v>37</v>
      </c>
      <c r="UM398" s="12" t="s">
        <v>37</v>
      </c>
      <c r="UN398" s="12" t="s">
        <v>37</v>
      </c>
      <c r="UO398" s="12"/>
      <c r="UP398" s="12"/>
      <c r="UR398" s="12" t="s">
        <v>37</v>
      </c>
      <c r="US398" s="12" t="s">
        <v>37</v>
      </c>
      <c r="UT398" s="12" t="s">
        <v>37</v>
      </c>
      <c r="UU398" s="12" t="s">
        <v>37</v>
      </c>
      <c r="UV398" s="12" t="s">
        <v>37</v>
      </c>
      <c r="UW398" s="12" t="s">
        <v>37</v>
      </c>
      <c r="UX398" s="12"/>
      <c r="UY398" s="12"/>
      <c r="VB398" s="12" t="s">
        <v>37</v>
      </c>
      <c r="VC398" s="12" t="s">
        <v>37</v>
      </c>
      <c r="VD398" s="12" t="s">
        <v>37</v>
      </c>
      <c r="VE398" s="12" t="s">
        <v>37</v>
      </c>
      <c r="VF398" s="12" t="s">
        <v>37</v>
      </c>
      <c r="VG398" s="12" t="s">
        <v>37</v>
      </c>
      <c r="VI398" s="12" t="s">
        <v>37</v>
      </c>
      <c r="VJ398" s="12" t="s">
        <v>37</v>
      </c>
      <c r="VK398" s="12" t="s">
        <v>37</v>
      </c>
      <c r="VL398" s="12" t="s">
        <v>37</v>
      </c>
      <c r="VM398" s="12" t="s">
        <v>37</v>
      </c>
      <c r="VN398" s="12" t="s">
        <v>37</v>
      </c>
      <c r="VQ398" s="13" t="s">
        <v>37</v>
      </c>
      <c r="VR398" s="13" t="s">
        <v>37</v>
      </c>
      <c r="VS398" s="13" t="s">
        <v>37</v>
      </c>
      <c r="VT398" s="13" t="s">
        <v>37</v>
      </c>
      <c r="VU398" s="13" t="s">
        <v>37</v>
      </c>
      <c r="VV398" s="13" t="s">
        <v>37</v>
      </c>
      <c r="WA398" s="13" t="s">
        <v>37</v>
      </c>
      <c r="WB398" s="13" t="s">
        <v>37</v>
      </c>
      <c r="WC398" s="13" t="s">
        <v>37</v>
      </c>
      <c r="WD398" s="13" t="s">
        <v>37</v>
      </c>
      <c r="WE398" s="13" t="s">
        <v>37</v>
      </c>
      <c r="WF398" s="13" t="s">
        <v>37</v>
      </c>
    </row>
    <row r="399" spans="1:606" ht="18" customHeight="1" x14ac:dyDescent="0.3">
      <c r="A399" s="11">
        <v>85</v>
      </c>
      <c r="B399" s="16" t="s">
        <v>590</v>
      </c>
      <c r="C399" s="12" t="s">
        <v>26</v>
      </c>
      <c r="D399" s="12" t="s">
        <v>973</v>
      </c>
      <c r="E399" s="40">
        <v>0.2</v>
      </c>
      <c r="F399" s="14">
        <v>0</v>
      </c>
      <c r="G399" s="14">
        <v>0</v>
      </c>
      <c r="H399" s="12" t="s">
        <v>313</v>
      </c>
      <c r="I399" s="29">
        <v>68.75</v>
      </c>
      <c r="J399" s="29">
        <v>161.33000000000001</v>
      </c>
      <c r="K399" s="12" t="s">
        <v>591</v>
      </c>
      <c r="L399" s="12" t="s">
        <v>592</v>
      </c>
      <c r="M399" s="13" t="s">
        <v>37</v>
      </c>
      <c r="N399" s="14">
        <v>-10.199999999999999</v>
      </c>
      <c r="O399" s="14">
        <v>160</v>
      </c>
      <c r="P399" s="14" t="s">
        <v>84</v>
      </c>
      <c r="Q399" s="75">
        <v>16</v>
      </c>
      <c r="R399" s="11" t="s">
        <v>37</v>
      </c>
      <c r="S399" s="12" t="s">
        <v>85</v>
      </c>
      <c r="T399" s="16" t="s">
        <v>138</v>
      </c>
      <c r="U399" s="16" t="s">
        <v>158</v>
      </c>
      <c r="V399" s="12" t="s">
        <v>275</v>
      </c>
      <c r="W399" s="23" t="s">
        <v>593</v>
      </c>
      <c r="X399" s="12" t="s">
        <v>280</v>
      </c>
      <c r="Y399" s="12" t="s">
        <v>37</v>
      </c>
      <c r="Z399" s="12" t="s">
        <v>37</v>
      </c>
      <c r="AB399" s="12" t="s">
        <v>37</v>
      </c>
      <c r="AE399" s="12" t="s">
        <v>37</v>
      </c>
      <c r="AH399" s="12" t="s">
        <v>37</v>
      </c>
      <c r="AK399" s="12" t="s">
        <v>37</v>
      </c>
      <c r="AL399" s="32" t="s">
        <v>596</v>
      </c>
      <c r="AM399" s="16" t="s">
        <v>344</v>
      </c>
      <c r="AO399" s="16" t="s">
        <v>583</v>
      </c>
      <c r="AP399" s="56" t="s">
        <v>597</v>
      </c>
      <c r="AQ399" s="12" t="s">
        <v>849</v>
      </c>
      <c r="AT399" s="12" t="s">
        <v>326</v>
      </c>
      <c r="AU399" s="12" t="s">
        <v>326</v>
      </c>
      <c r="AV399" s="13" t="s">
        <v>326</v>
      </c>
      <c r="AX399" s="12" t="s">
        <v>326</v>
      </c>
      <c r="AY399" s="12" t="s">
        <v>326</v>
      </c>
      <c r="AZ399" s="13" t="s">
        <v>326</v>
      </c>
      <c r="BD399" s="12"/>
      <c r="BE399" s="12" t="s">
        <v>326</v>
      </c>
      <c r="BF399" s="12" t="s">
        <v>326</v>
      </c>
      <c r="BG399" s="12" t="s">
        <v>326</v>
      </c>
      <c r="BI399" s="12" t="s">
        <v>326</v>
      </c>
      <c r="BJ399" s="12" t="s">
        <v>326</v>
      </c>
      <c r="BK399" s="12" t="s">
        <v>326</v>
      </c>
      <c r="BP399" s="12" t="s">
        <v>37</v>
      </c>
      <c r="BQ399" s="12" t="s">
        <v>37</v>
      </c>
      <c r="BR399" s="13" t="s">
        <v>37</v>
      </c>
      <c r="BT399" s="12" t="s">
        <v>37</v>
      </c>
      <c r="BU399" s="12" t="s">
        <v>37</v>
      </c>
      <c r="BV399" s="12" t="s">
        <v>37</v>
      </c>
      <c r="CA399" s="12" t="s">
        <v>37</v>
      </c>
      <c r="CB399" s="12" t="s">
        <v>37</v>
      </c>
      <c r="CC399" s="13" t="s">
        <v>37</v>
      </c>
      <c r="CE399" s="12" t="s">
        <v>37</v>
      </c>
      <c r="CF399" s="12" t="s">
        <v>37</v>
      </c>
      <c r="CG399" s="12" t="s">
        <v>37</v>
      </c>
      <c r="CN399" s="12" t="s">
        <v>37</v>
      </c>
      <c r="CO399" s="12" t="s">
        <v>37</v>
      </c>
      <c r="CP399" s="13" t="s">
        <v>37</v>
      </c>
      <c r="CR399" s="12" t="s">
        <v>37</v>
      </c>
      <c r="CS399" s="12" t="s">
        <v>37</v>
      </c>
      <c r="CT399" s="13" t="s">
        <v>37</v>
      </c>
      <c r="CX399" s="72"/>
      <c r="CY399" s="72"/>
      <c r="CZ399" s="12" t="s">
        <v>47</v>
      </c>
      <c r="DA399" s="12">
        <v>-2037.7049180327876</v>
      </c>
      <c r="DB399" s="50">
        <f t="shared" si="1448"/>
        <v>6112.4149220442005</v>
      </c>
      <c r="DC399" s="13">
        <v>1</v>
      </c>
      <c r="DE399" s="12">
        <v>-571.03825136612102</v>
      </c>
      <c r="DF399" s="50">
        <f t="shared" si="1449"/>
        <v>544.28099455915094</v>
      </c>
      <c r="DG399" s="13">
        <v>1</v>
      </c>
      <c r="DI399" s="19">
        <f t="shared" si="1450"/>
        <v>1466.6666666666665</v>
      </c>
      <c r="DJ399" s="12" t="e">
        <f t="shared" si="1451"/>
        <v>#DIV/0!</v>
      </c>
      <c r="DK399" s="72" t="e">
        <f t="shared" si="1452"/>
        <v>#DIV/0!</v>
      </c>
      <c r="DL399" s="72">
        <f t="shared" si="1453"/>
        <v>37657857.980266906</v>
      </c>
      <c r="DM399" s="12" t="s">
        <v>47</v>
      </c>
      <c r="DN399" s="19">
        <v>100.35306334371759</v>
      </c>
      <c r="DO399" s="50">
        <f>ABS(DN399)*DQ$474</f>
        <v>111.88155192566481</v>
      </c>
      <c r="DP399" s="13">
        <v>1</v>
      </c>
      <c r="DR399" s="19">
        <v>50.176531671858797</v>
      </c>
      <c r="DS399" s="50">
        <f>ABS(DR399)*DU$474</f>
        <v>187.52055177213964</v>
      </c>
      <c r="DT399" s="13">
        <v>1</v>
      </c>
      <c r="DV399" s="19">
        <f t="shared" si="1454"/>
        <v>-50.176531671858797</v>
      </c>
      <c r="DW399" s="12" t="e">
        <f t="shared" si="1455"/>
        <v>#DIV/0!</v>
      </c>
      <c r="DX399" s="72" t="e">
        <f t="shared" si="1358"/>
        <v>#DIV/0!</v>
      </c>
      <c r="DY399" s="72">
        <f t="shared" si="1359"/>
        <v>47681.438998222933</v>
      </c>
      <c r="EA399" s="19" t="s">
        <v>37</v>
      </c>
      <c r="EB399" s="19" t="s">
        <v>37</v>
      </c>
      <c r="EC399" s="72" t="s">
        <v>37</v>
      </c>
      <c r="EE399" s="19" t="s">
        <v>37</v>
      </c>
      <c r="EF399" s="19" t="s">
        <v>37</v>
      </c>
      <c r="EG399" s="12" t="s">
        <v>37</v>
      </c>
      <c r="EN399" s="12" t="s">
        <v>37</v>
      </c>
      <c r="EO399" s="12" t="s">
        <v>37</v>
      </c>
      <c r="EP399" s="13" t="s">
        <v>37</v>
      </c>
      <c r="ER399" s="12" t="s">
        <v>37</v>
      </c>
      <c r="ES399" s="12" t="s">
        <v>37</v>
      </c>
      <c r="ET399" s="13" t="s">
        <v>37</v>
      </c>
      <c r="FB399" s="12" t="s">
        <v>37</v>
      </c>
      <c r="FC399" s="12" t="s">
        <v>37</v>
      </c>
      <c r="FD399" s="12" t="s">
        <v>37</v>
      </c>
      <c r="FE399" s="12" t="s">
        <v>37</v>
      </c>
      <c r="FF399" s="12" t="s">
        <v>37</v>
      </c>
      <c r="FG399" s="12" t="s">
        <v>37</v>
      </c>
      <c r="FI399" s="12" t="s">
        <v>37</v>
      </c>
      <c r="FJ399" s="12" t="s">
        <v>37</v>
      </c>
      <c r="FK399" s="12" t="s">
        <v>37</v>
      </c>
      <c r="FL399" s="12" t="s">
        <v>37</v>
      </c>
      <c r="FM399" s="12" t="s">
        <v>37</v>
      </c>
      <c r="FN399" s="12" t="s">
        <v>37</v>
      </c>
      <c r="FO399" s="12"/>
      <c r="FP399" s="12" t="s">
        <v>37</v>
      </c>
      <c r="FQ399" s="12" t="s">
        <v>37</v>
      </c>
      <c r="FR399" s="12" t="s">
        <v>37</v>
      </c>
      <c r="FS399" s="12" t="s">
        <v>37</v>
      </c>
      <c r="FT399" s="12" t="s">
        <v>37</v>
      </c>
      <c r="FU399" s="12" t="s">
        <v>37</v>
      </c>
      <c r="FW399" s="12" t="s">
        <v>37</v>
      </c>
      <c r="FX399" s="12" t="s">
        <v>37</v>
      </c>
      <c r="FY399" s="12" t="s">
        <v>37</v>
      </c>
      <c r="FZ399" s="12" t="s">
        <v>37</v>
      </c>
      <c r="GA399" s="12" t="s">
        <v>37</v>
      </c>
      <c r="GB399" s="12" t="s">
        <v>37</v>
      </c>
      <c r="GG399" s="12"/>
      <c r="GK399" s="12"/>
      <c r="HP399" s="12"/>
      <c r="HT399" s="12"/>
      <c r="IA399" s="12"/>
      <c r="IE399" s="12"/>
      <c r="IK399" s="12" t="s">
        <v>37</v>
      </c>
      <c r="IL399" s="12" t="s">
        <v>37</v>
      </c>
      <c r="IM399" s="12" t="s">
        <v>37</v>
      </c>
      <c r="IO399" s="12" t="s">
        <v>37</v>
      </c>
      <c r="IP399" s="12" t="s">
        <v>37</v>
      </c>
      <c r="IQ399" s="12" t="s">
        <v>37</v>
      </c>
      <c r="IW399" s="12" t="s">
        <v>37</v>
      </c>
      <c r="IX399" s="12" t="s">
        <v>37</v>
      </c>
      <c r="IY399" s="12" t="s">
        <v>37</v>
      </c>
      <c r="JA399" s="12" t="s">
        <v>37</v>
      </c>
      <c r="JB399" s="12" t="s">
        <v>37</v>
      </c>
      <c r="JC399" s="12" t="s">
        <v>37</v>
      </c>
      <c r="JH399" s="12" t="s">
        <v>37</v>
      </c>
      <c r="JI399" s="12" t="s">
        <v>37</v>
      </c>
      <c r="JJ399" s="12" t="s">
        <v>37</v>
      </c>
      <c r="JL399" s="12" t="s">
        <v>37</v>
      </c>
      <c r="JM399" s="12" t="s">
        <v>37</v>
      </c>
      <c r="JN399" s="12" t="s">
        <v>37</v>
      </c>
      <c r="JS399" s="12" t="s">
        <v>37</v>
      </c>
      <c r="JT399" s="12" t="s">
        <v>37</v>
      </c>
      <c r="JU399" s="12" t="s">
        <v>37</v>
      </c>
      <c r="JW399" s="12" t="s">
        <v>37</v>
      </c>
      <c r="JX399" s="12" t="s">
        <v>37</v>
      </c>
      <c r="JY399" s="12" t="s">
        <v>37</v>
      </c>
      <c r="KE399" s="12" t="s">
        <v>37</v>
      </c>
      <c r="KF399" s="12" t="s">
        <v>37</v>
      </c>
      <c r="KG399" s="12" t="s">
        <v>37</v>
      </c>
      <c r="KH399" s="12" t="s">
        <v>37</v>
      </c>
      <c r="KI399" s="12" t="s">
        <v>37</v>
      </c>
      <c r="KJ399" s="12" t="s">
        <v>37</v>
      </c>
      <c r="KM399" s="12" t="s">
        <v>37</v>
      </c>
      <c r="KN399" s="12" t="s">
        <v>37</v>
      </c>
      <c r="KO399" s="12" t="s">
        <v>37</v>
      </c>
      <c r="KQ399" s="12" t="s">
        <v>37</v>
      </c>
      <c r="KR399" s="12" t="s">
        <v>37</v>
      </c>
      <c r="KS399" s="12" t="s">
        <v>37</v>
      </c>
      <c r="KX399" s="12" t="s">
        <v>37</v>
      </c>
      <c r="KY399" s="12" t="s">
        <v>37</v>
      </c>
      <c r="KZ399" s="12" t="s">
        <v>37</v>
      </c>
      <c r="LB399" s="12" t="s">
        <v>37</v>
      </c>
      <c r="LC399" s="12" t="s">
        <v>37</v>
      </c>
      <c r="LD399" s="12" t="s">
        <v>37</v>
      </c>
      <c r="LI399" s="12" t="s">
        <v>37</v>
      </c>
      <c r="LJ399" s="12" t="s">
        <v>37</v>
      </c>
      <c r="LK399" s="12" t="s">
        <v>37</v>
      </c>
      <c r="LM399" s="12" t="s">
        <v>37</v>
      </c>
      <c r="LN399" s="12" t="s">
        <v>37</v>
      </c>
      <c r="LO399" s="12" t="s">
        <v>37</v>
      </c>
      <c r="LU399" s="12" t="s">
        <v>37</v>
      </c>
      <c r="LV399" s="12" t="s">
        <v>37</v>
      </c>
      <c r="LW399" s="12" t="s">
        <v>37</v>
      </c>
      <c r="LY399" s="12" t="s">
        <v>37</v>
      </c>
      <c r="LZ399" s="12" t="s">
        <v>37</v>
      </c>
      <c r="MA399" s="12" t="s">
        <v>37</v>
      </c>
      <c r="MF399" s="12" t="s">
        <v>37</v>
      </c>
      <c r="MG399" s="12" t="s">
        <v>37</v>
      </c>
      <c r="MH399" s="12" t="s">
        <v>37</v>
      </c>
      <c r="MJ399" s="12" t="s">
        <v>37</v>
      </c>
      <c r="MK399" s="12" t="s">
        <v>37</v>
      </c>
      <c r="ML399" s="12" t="s">
        <v>37</v>
      </c>
      <c r="MQ399" s="12" t="s">
        <v>37</v>
      </c>
      <c r="MR399" s="12" t="s">
        <v>37</v>
      </c>
      <c r="MS399" s="12" t="s">
        <v>37</v>
      </c>
      <c r="MU399" s="12" t="s">
        <v>37</v>
      </c>
      <c r="MV399" s="12" t="s">
        <v>37</v>
      </c>
      <c r="MW399" s="12" t="s">
        <v>37</v>
      </c>
      <c r="NC399" s="12" t="s">
        <v>37</v>
      </c>
      <c r="ND399" s="12" t="s">
        <v>37</v>
      </c>
      <c r="NE399" s="12" t="s">
        <v>37</v>
      </c>
      <c r="NG399" s="12" t="s">
        <v>37</v>
      </c>
      <c r="NH399" s="12" t="s">
        <v>37</v>
      </c>
      <c r="NI399" s="12" t="s">
        <v>37</v>
      </c>
      <c r="NO399" s="12" t="s">
        <v>37</v>
      </c>
      <c r="NP399" s="12" t="s">
        <v>37</v>
      </c>
      <c r="NQ399" s="12" t="s">
        <v>37</v>
      </c>
      <c r="NS399" s="12" t="s">
        <v>37</v>
      </c>
      <c r="NT399" s="12" t="s">
        <v>37</v>
      </c>
      <c r="NU399" s="12" t="s">
        <v>37</v>
      </c>
      <c r="OA399" s="12" t="s">
        <v>37</v>
      </c>
      <c r="OB399" s="12" t="s">
        <v>37</v>
      </c>
      <c r="OC399" s="12" t="s">
        <v>37</v>
      </c>
      <c r="OD399" s="12"/>
      <c r="OE399" s="12" t="s">
        <v>37</v>
      </c>
      <c r="OF399" s="12" t="s">
        <v>37</v>
      </c>
      <c r="OG399" s="12" t="s">
        <v>37</v>
      </c>
      <c r="OH399" s="12"/>
      <c r="OI399" s="12"/>
      <c r="OJ399" s="12"/>
      <c r="OM399" s="12" t="s">
        <v>37</v>
      </c>
      <c r="ON399" s="12" t="s">
        <v>37</v>
      </c>
      <c r="OO399" s="12" t="s">
        <v>37</v>
      </c>
      <c r="OP399" s="12" t="s">
        <v>37</v>
      </c>
      <c r="OQ399" s="12" t="s">
        <v>37</v>
      </c>
      <c r="OR399" s="12" t="s">
        <v>37</v>
      </c>
      <c r="OS399" s="12"/>
      <c r="OT399" s="12"/>
      <c r="OW399" s="12" t="s">
        <v>37</v>
      </c>
      <c r="OX399" s="12" t="s">
        <v>37</v>
      </c>
      <c r="OY399" s="12" t="s">
        <v>37</v>
      </c>
      <c r="OZ399" s="12" t="s">
        <v>37</v>
      </c>
      <c r="PA399" s="12" t="s">
        <v>37</v>
      </c>
      <c r="PB399" s="12" t="s">
        <v>37</v>
      </c>
      <c r="PC399" s="12"/>
      <c r="PD399" s="12"/>
      <c r="PG399" s="12" t="s">
        <v>37</v>
      </c>
      <c r="PH399" s="12" t="s">
        <v>37</v>
      </c>
      <c r="PI399" s="12" t="s">
        <v>37</v>
      </c>
      <c r="PJ399" s="12" t="s">
        <v>37</v>
      </c>
      <c r="PK399" s="12" t="s">
        <v>37</v>
      </c>
      <c r="PL399" s="12" t="s">
        <v>37</v>
      </c>
      <c r="PM399" s="12"/>
      <c r="PN399" s="12"/>
      <c r="PQ399" s="12" t="s">
        <v>37</v>
      </c>
      <c r="PR399" s="12" t="s">
        <v>37</v>
      </c>
      <c r="PS399" s="12" t="s">
        <v>37</v>
      </c>
      <c r="PT399" s="12" t="s">
        <v>37</v>
      </c>
      <c r="PU399" s="12" t="s">
        <v>37</v>
      </c>
      <c r="PV399" s="12" t="s">
        <v>37</v>
      </c>
      <c r="PW399" s="12"/>
      <c r="PX399" s="12"/>
      <c r="PZ399" s="12" t="s">
        <v>37</v>
      </c>
      <c r="QA399" s="12" t="s">
        <v>37</v>
      </c>
      <c r="QB399" s="11" t="s">
        <v>37</v>
      </c>
      <c r="QD399" s="12" t="s">
        <v>37</v>
      </c>
      <c r="QE399" s="12" t="s">
        <v>37</v>
      </c>
      <c r="QF399" s="12" t="s">
        <v>37</v>
      </c>
      <c r="QK399" s="12" t="s">
        <v>37</v>
      </c>
      <c r="QL399" s="12" t="s">
        <v>37</v>
      </c>
      <c r="QM399" s="12" t="s">
        <v>37</v>
      </c>
      <c r="QN399" s="12" t="s">
        <v>37</v>
      </c>
      <c r="QO399" s="12" t="s">
        <v>37</v>
      </c>
      <c r="QP399" s="12" t="s">
        <v>37</v>
      </c>
      <c r="QQ399" s="12"/>
      <c r="QR399" s="12"/>
      <c r="QU399" s="12" t="s">
        <v>37</v>
      </c>
      <c r="QV399" s="12" t="s">
        <v>37</v>
      </c>
      <c r="QW399" s="12" t="s">
        <v>37</v>
      </c>
      <c r="QX399" s="12" t="s">
        <v>37</v>
      </c>
      <c r="QY399" s="12" t="s">
        <v>37</v>
      </c>
      <c r="QZ399" s="12" t="s">
        <v>37</v>
      </c>
      <c r="RC399" s="12" t="s">
        <v>37</v>
      </c>
      <c r="RD399" s="12" t="s">
        <v>37</v>
      </c>
      <c r="RE399" s="13" t="s">
        <v>37</v>
      </c>
      <c r="RF399" s="12" t="s">
        <v>37</v>
      </c>
      <c r="RG399" s="12" t="s">
        <v>37</v>
      </c>
      <c r="RH399" s="13" t="s">
        <v>37</v>
      </c>
      <c r="RK399" s="12" t="s">
        <v>37</v>
      </c>
      <c r="RL399" s="12" t="s">
        <v>37</v>
      </c>
      <c r="RM399" s="11" t="s">
        <v>37</v>
      </c>
      <c r="RN399" s="12" t="s">
        <v>37</v>
      </c>
      <c r="RO399" s="12" t="s">
        <v>37</v>
      </c>
      <c r="RP399" s="11" t="s">
        <v>37</v>
      </c>
      <c r="RS399" s="12" t="s">
        <v>37</v>
      </c>
      <c r="RT399" s="12" t="s">
        <v>37</v>
      </c>
      <c r="RU399" s="12" t="s">
        <v>37</v>
      </c>
      <c r="RV399" s="12" t="s">
        <v>37</v>
      </c>
      <c r="RW399" s="12" t="s">
        <v>37</v>
      </c>
      <c r="RX399" s="12" t="s">
        <v>37</v>
      </c>
      <c r="SA399" s="12" t="s">
        <v>37</v>
      </c>
      <c r="SB399" s="12" t="s">
        <v>37</v>
      </c>
      <c r="SC399" s="12" t="s">
        <v>37</v>
      </c>
      <c r="SD399" s="12" t="s">
        <v>37</v>
      </c>
      <c r="SE399" s="12" t="s">
        <v>37</v>
      </c>
      <c r="SF399" s="12" t="s">
        <v>37</v>
      </c>
      <c r="SI399" s="12" t="s">
        <v>37</v>
      </c>
      <c r="SJ399" s="12" t="s">
        <v>37</v>
      </c>
      <c r="SK399" s="13" t="s">
        <v>37</v>
      </c>
      <c r="SM399" s="12" t="s">
        <v>37</v>
      </c>
      <c r="SN399" s="12" t="s">
        <v>37</v>
      </c>
      <c r="SO399" s="13" t="s">
        <v>37</v>
      </c>
      <c r="SU399" s="12" t="s">
        <v>37</v>
      </c>
      <c r="SV399" s="12" t="s">
        <v>37</v>
      </c>
      <c r="SW399" s="11" t="s">
        <v>37</v>
      </c>
      <c r="SX399" s="12" t="s">
        <v>37</v>
      </c>
      <c r="SY399" s="12" t="s">
        <v>37</v>
      </c>
      <c r="SZ399" s="11" t="s">
        <v>37</v>
      </c>
      <c r="TE399" s="12" t="s">
        <v>37</v>
      </c>
      <c r="TF399" s="12" t="s">
        <v>37</v>
      </c>
      <c r="TG399" s="11" t="s">
        <v>37</v>
      </c>
      <c r="TH399" s="12" t="s">
        <v>37</v>
      </c>
      <c r="TI399" s="12" t="s">
        <v>37</v>
      </c>
      <c r="TJ399" s="11" t="s">
        <v>37</v>
      </c>
      <c r="TO399" s="12" t="s">
        <v>37</v>
      </c>
      <c r="TP399" s="12" t="s">
        <v>37</v>
      </c>
      <c r="TQ399" s="11" t="s">
        <v>37</v>
      </c>
      <c r="TR399" s="12" t="s">
        <v>37</v>
      </c>
      <c r="TS399" s="12" t="s">
        <v>37</v>
      </c>
      <c r="TT399" s="11" t="s">
        <v>37</v>
      </c>
      <c r="TY399" s="12" t="s">
        <v>37</v>
      </c>
      <c r="TZ399" s="12" t="s">
        <v>37</v>
      </c>
      <c r="UA399" s="12" t="s">
        <v>37</v>
      </c>
      <c r="UB399" s="12" t="s">
        <v>37</v>
      </c>
      <c r="UC399" s="12" t="s">
        <v>37</v>
      </c>
      <c r="UD399" s="12" t="s">
        <v>37</v>
      </c>
      <c r="UE399" s="12"/>
      <c r="UF399" s="12"/>
      <c r="UI399" s="12" t="s">
        <v>37</v>
      </c>
      <c r="UJ399" s="12" t="s">
        <v>37</v>
      </c>
      <c r="UK399" s="12" t="s">
        <v>37</v>
      </c>
      <c r="UL399" s="12" t="s">
        <v>37</v>
      </c>
      <c r="UM399" s="12" t="s">
        <v>37</v>
      </c>
      <c r="UN399" s="12" t="s">
        <v>37</v>
      </c>
      <c r="UO399" s="12"/>
      <c r="UP399" s="12"/>
      <c r="UR399" s="12" t="s">
        <v>37</v>
      </c>
      <c r="US399" s="12" t="s">
        <v>37</v>
      </c>
      <c r="UT399" s="12" t="s">
        <v>37</v>
      </c>
      <c r="UU399" s="12" t="s">
        <v>37</v>
      </c>
      <c r="UV399" s="12" t="s">
        <v>37</v>
      </c>
      <c r="UW399" s="12" t="s">
        <v>37</v>
      </c>
      <c r="UX399" s="12"/>
      <c r="UY399" s="12"/>
      <c r="VB399" s="12" t="s">
        <v>37</v>
      </c>
      <c r="VC399" s="12" t="s">
        <v>37</v>
      </c>
      <c r="VD399" s="12" t="s">
        <v>37</v>
      </c>
      <c r="VE399" s="12" t="s">
        <v>37</v>
      </c>
      <c r="VF399" s="12" t="s">
        <v>37</v>
      </c>
      <c r="VG399" s="12" t="s">
        <v>37</v>
      </c>
      <c r="VI399" s="12" t="s">
        <v>37</v>
      </c>
      <c r="VJ399" s="12" t="s">
        <v>37</v>
      </c>
      <c r="VK399" s="12" t="s">
        <v>37</v>
      </c>
      <c r="VL399" s="12" t="s">
        <v>37</v>
      </c>
      <c r="VM399" s="12" t="s">
        <v>37</v>
      </c>
      <c r="VN399" s="12" t="s">
        <v>37</v>
      </c>
      <c r="VQ399" s="13" t="s">
        <v>37</v>
      </c>
      <c r="VR399" s="13" t="s">
        <v>37</v>
      </c>
      <c r="VS399" s="13" t="s">
        <v>37</v>
      </c>
      <c r="VT399" s="13" t="s">
        <v>37</v>
      </c>
      <c r="VU399" s="13" t="s">
        <v>37</v>
      </c>
      <c r="VV399" s="13" t="s">
        <v>37</v>
      </c>
      <c r="WA399" s="13" t="s">
        <v>37</v>
      </c>
      <c r="WB399" s="13" t="s">
        <v>37</v>
      </c>
      <c r="WC399" s="13" t="s">
        <v>37</v>
      </c>
      <c r="WD399" s="13" t="s">
        <v>37</v>
      </c>
      <c r="WE399" s="13" t="s">
        <v>37</v>
      </c>
      <c r="WF399" s="13" t="s">
        <v>37</v>
      </c>
    </row>
    <row r="400" spans="1:606" ht="18" customHeight="1" x14ac:dyDescent="0.3">
      <c r="A400" s="11">
        <v>86</v>
      </c>
      <c r="B400" s="16" t="s">
        <v>910</v>
      </c>
      <c r="C400" s="12" t="s">
        <v>26</v>
      </c>
      <c r="D400" s="12" t="s">
        <v>973</v>
      </c>
      <c r="E400" s="40" t="s">
        <v>37</v>
      </c>
      <c r="F400" s="14">
        <v>0</v>
      </c>
      <c r="G400" s="14">
        <v>0</v>
      </c>
      <c r="H400" s="12" t="s">
        <v>313</v>
      </c>
      <c r="I400" s="29">
        <v>69.599999999999994</v>
      </c>
      <c r="J400" s="29">
        <v>161.34100000000001</v>
      </c>
      <c r="K400" s="12" t="s">
        <v>675</v>
      </c>
      <c r="L400" s="12" t="s">
        <v>676</v>
      </c>
      <c r="M400" s="13" t="s">
        <v>37</v>
      </c>
      <c r="N400" s="14">
        <v>-11</v>
      </c>
      <c r="O400" s="14">
        <v>237</v>
      </c>
      <c r="P400" s="14" t="s">
        <v>84</v>
      </c>
      <c r="Q400" s="75">
        <v>1</v>
      </c>
      <c r="R400" s="11" t="s">
        <v>1000</v>
      </c>
      <c r="S400" s="12" t="s">
        <v>85</v>
      </c>
      <c r="T400" s="16" t="s">
        <v>138</v>
      </c>
      <c r="U400" s="12" t="s">
        <v>158</v>
      </c>
      <c r="V400" s="12" t="s">
        <v>274</v>
      </c>
      <c r="W400" s="23" t="s">
        <v>314</v>
      </c>
      <c r="X400" s="12" t="s">
        <v>280</v>
      </c>
      <c r="Y400" s="12" t="s">
        <v>37</v>
      </c>
      <c r="Z400" s="12" t="s">
        <v>37</v>
      </c>
      <c r="AB400" s="12" t="s">
        <v>37</v>
      </c>
      <c r="AE400" s="12" t="s">
        <v>37</v>
      </c>
      <c r="AH400" s="12" t="s">
        <v>37</v>
      </c>
      <c r="AK400" s="12" t="s">
        <v>37</v>
      </c>
      <c r="AL400" s="32" t="s">
        <v>603</v>
      </c>
      <c r="AM400" s="12" t="s">
        <v>317</v>
      </c>
      <c r="AN400" s="32" t="s">
        <v>880</v>
      </c>
      <c r="AO400" s="12" t="s">
        <v>37</v>
      </c>
      <c r="AP400" s="56" t="s">
        <v>597</v>
      </c>
      <c r="AQ400" s="12" t="s">
        <v>849</v>
      </c>
      <c r="AT400" s="12" t="s">
        <v>326</v>
      </c>
      <c r="AU400" s="12" t="s">
        <v>326</v>
      </c>
      <c r="AV400" s="13" t="s">
        <v>326</v>
      </c>
      <c r="AX400" s="12" t="s">
        <v>326</v>
      </c>
      <c r="AY400" s="12" t="s">
        <v>326</v>
      </c>
      <c r="AZ400" s="13" t="s">
        <v>326</v>
      </c>
      <c r="BD400" s="12"/>
      <c r="BE400" s="12" t="s">
        <v>326</v>
      </c>
      <c r="BF400" s="12" t="s">
        <v>326</v>
      </c>
      <c r="BG400" s="12" t="s">
        <v>326</v>
      </c>
      <c r="BI400" s="12" t="s">
        <v>326</v>
      </c>
      <c r="BJ400" s="12" t="s">
        <v>326</v>
      </c>
      <c r="BK400" s="12" t="s">
        <v>326</v>
      </c>
      <c r="BP400" s="12" t="s">
        <v>37</v>
      </c>
      <c r="BQ400" s="12" t="s">
        <v>37</v>
      </c>
      <c r="BR400" s="13" t="s">
        <v>37</v>
      </c>
      <c r="BT400" s="12" t="s">
        <v>37</v>
      </c>
      <c r="BU400" s="12" t="s">
        <v>37</v>
      </c>
      <c r="BV400" s="12" t="s">
        <v>37</v>
      </c>
      <c r="CA400" s="12" t="s">
        <v>37</v>
      </c>
      <c r="CB400" s="12" t="s">
        <v>37</v>
      </c>
      <c r="CC400" s="13" t="s">
        <v>37</v>
      </c>
      <c r="CE400" s="12" t="s">
        <v>37</v>
      </c>
      <c r="CF400" s="12" t="s">
        <v>37</v>
      </c>
      <c r="CG400" s="12" t="s">
        <v>37</v>
      </c>
      <c r="CI400" s="52"/>
      <c r="CJ400" s="52"/>
      <c r="CK400" s="73"/>
      <c r="CL400" s="73"/>
      <c r="CN400" s="12" t="s">
        <v>37</v>
      </c>
      <c r="CO400" s="12" t="s">
        <v>37</v>
      </c>
      <c r="CP400" s="13" t="s">
        <v>37</v>
      </c>
      <c r="CR400" s="12" t="s">
        <v>37</v>
      </c>
      <c r="CS400" s="12" t="s">
        <v>37</v>
      </c>
      <c r="CT400" s="13" t="s">
        <v>37</v>
      </c>
      <c r="CV400" s="52"/>
      <c r="CW400" s="52"/>
      <c r="CX400" s="73"/>
      <c r="CY400" s="73"/>
      <c r="CZ400" s="12" t="s">
        <v>47</v>
      </c>
      <c r="DA400" s="12">
        <f>15*("2005/09/30"-"2005/05/01")/("2005/10/31"-"2005/07/16")*44/12/'[6]classess-1'!$I$39</f>
        <v>30.769259991496654</v>
      </c>
      <c r="DB400" s="50">
        <f t="shared" si="1448"/>
        <v>92.297212539414176</v>
      </c>
      <c r="DC400" s="13">
        <v>1</v>
      </c>
      <c r="DE400" s="12">
        <f>8*("2005/09/30"-"2005/05/01")/("2005/10/31"-"2005/07/16")*44/12/'[6]classess-1'!$I$40</f>
        <v>-12.040273178424011</v>
      </c>
      <c r="DF400" s="50">
        <f t="shared" si="1449"/>
        <v>11.476099621415464</v>
      </c>
      <c r="DG400" s="13">
        <v>1</v>
      </c>
      <c r="DI400" s="19">
        <f t="shared" si="1450"/>
        <v>-42.809533169920662</v>
      </c>
      <c r="DJ400" s="12" t="e">
        <f t="shared" si="1451"/>
        <v>#DIV/0!</v>
      </c>
      <c r="DK400" s="72" t="e">
        <f t="shared" si="1452"/>
        <v>#DIV/0!</v>
      </c>
      <c r="DL400" s="72">
        <f t="shared" si="1453"/>
        <v>8650.476305066446</v>
      </c>
      <c r="DM400" s="12" t="s">
        <v>47</v>
      </c>
      <c r="DN400" s="19">
        <f>20*16/12*("2005/09/30"-"2005/05/01")/("2005/10/31"-"2005/07/16")*10^4/10^3/'[1]classes-1'!$I$94</f>
        <v>507.98367438755889</v>
      </c>
      <c r="DO400" s="12">
        <f>SQRT((1/[2]Classes!$I$94)^2*(11*16/12*("2005/09/30"-"2005/05/01")/("2005/10/31"-"2005/07/16")*10^4/10^3)^2+(-DN400/([2]Classes!$I$94)^2)^2*([2]Classes!$J$94)^2)</f>
        <v>309.25085319324296</v>
      </c>
      <c r="DP400" s="13">
        <v>8</v>
      </c>
      <c r="DQ400" s="19">
        <f>DO400/ABS(DN400)</f>
        <v>0.60878108645142093</v>
      </c>
      <c r="DR400" s="19">
        <f>0.64*16/12*("2005/09/30"-"2005/05/01")/("2005/10/31"-"2005/07/16")*10^4/10^3/'[1]classes-1'!$I$95</f>
        <v>12.765061923408211</v>
      </c>
      <c r="DS400" s="12">
        <f>SQRT((1/[2]Classes!$I$95)^2*(1.15*16/12*("2005/09/30"-"2005/05/01")/("2005/10/31"-"2005/07/16")*10^4/10^3)^2+(-DR400/([2]Classes!$I$95)^2)^2*([2]Classes!$J$95)^2)</f>
        <v>23.812364224373002</v>
      </c>
      <c r="DT400" s="13">
        <v>4</v>
      </c>
      <c r="DU400" s="19">
        <f>DS400/ABS(DR400)</f>
        <v>1.8654327231038776</v>
      </c>
      <c r="DV400" s="19">
        <f t="shared" si="1454"/>
        <v>-495.21861246415068</v>
      </c>
      <c r="DW400" s="12">
        <f t="shared" si="1455"/>
        <v>259.06634622719787</v>
      </c>
      <c r="DX400" s="72">
        <f t="shared" si="1358"/>
        <v>25168.264405316382</v>
      </c>
      <c r="DY400" s="72">
        <f t="shared" si="1359"/>
        <v>12096.268447582139</v>
      </c>
      <c r="EA400" s="19" t="s">
        <v>37</v>
      </c>
      <c r="EB400" s="19" t="s">
        <v>37</v>
      </c>
      <c r="EC400" s="72" t="s">
        <v>37</v>
      </c>
      <c r="EE400" s="19" t="s">
        <v>37</v>
      </c>
      <c r="EF400" s="19" t="s">
        <v>37</v>
      </c>
      <c r="EG400" s="12" t="s">
        <v>37</v>
      </c>
      <c r="EM400" s="12" t="s">
        <v>39</v>
      </c>
      <c r="EN400" s="12">
        <v>8.6888471563287055</v>
      </c>
      <c r="EO400" s="12">
        <v>0.9459684366413168</v>
      </c>
      <c r="EP400" s="13">
        <v>8</v>
      </c>
      <c r="EQ400" s="19">
        <f t="shared" ref="EQ400:EQ419" si="1460">EO400/ABS(EN400)</f>
        <v>0.10887157060327626</v>
      </c>
      <c r="ER400" s="12">
        <v>-10.544207227786568</v>
      </c>
      <c r="ES400" s="12">
        <v>3.1095266572641616</v>
      </c>
      <c r="ET400" s="13">
        <v>8</v>
      </c>
      <c r="EU400" s="19">
        <f t="shared" ref="EU400:EU419" si="1461">ES400/ABS(ER400)</f>
        <v>0.29490378841092929</v>
      </c>
      <c r="EV400" s="19">
        <f t="shared" ref="EV400" si="1462">ER400-EN400</f>
        <v>-19.233054384115274</v>
      </c>
      <c r="EW400" s="12">
        <f>SQRT(((EP400-1)*EO400^2+(ET400-1)*ES400^2)/(EP400+ET400-2))</f>
        <v>2.2982615511901647</v>
      </c>
      <c r="EX400" s="19">
        <f>(((EP400+ET400)/(EP400*ET400))*(((EP400-1)*EO400^2)+(ET400-1)*ES400^2)/(EP400+ET400-2))</f>
        <v>1.3205015394197557</v>
      </c>
      <c r="EY400" s="19">
        <f>(EO400^2/EP400)+(ES400^2/ET400)</f>
        <v>1.3205015394197559</v>
      </c>
      <c r="FB400" s="12" t="s">
        <v>37</v>
      </c>
      <c r="FC400" s="12" t="s">
        <v>37</v>
      </c>
      <c r="FD400" s="12" t="s">
        <v>37</v>
      </c>
      <c r="FE400" s="12" t="s">
        <v>37</v>
      </c>
      <c r="FF400" s="12" t="s">
        <v>37</v>
      </c>
      <c r="FG400" s="12" t="s">
        <v>37</v>
      </c>
      <c r="FI400" s="12" t="s">
        <v>37</v>
      </c>
      <c r="FJ400" s="12" t="s">
        <v>37</v>
      </c>
      <c r="FK400" s="12" t="s">
        <v>37</v>
      </c>
      <c r="FL400" s="12" t="s">
        <v>37</v>
      </c>
      <c r="FM400" s="12" t="s">
        <v>37</v>
      </c>
      <c r="FN400" s="12" t="s">
        <v>37</v>
      </c>
      <c r="FO400" s="12"/>
      <c r="FP400" s="12" t="s">
        <v>37</v>
      </c>
      <c r="FQ400" s="12" t="s">
        <v>37</v>
      </c>
      <c r="FR400" s="12" t="s">
        <v>37</v>
      </c>
      <c r="FS400" s="12" t="s">
        <v>37</v>
      </c>
      <c r="FT400" s="12" t="s">
        <v>37</v>
      </c>
      <c r="FU400" s="12" t="s">
        <v>37</v>
      </c>
      <c r="FW400" s="12" t="s">
        <v>37</v>
      </c>
      <c r="FX400" s="12" t="s">
        <v>37</v>
      </c>
      <c r="FY400" s="12" t="s">
        <v>37</v>
      </c>
      <c r="FZ400" s="12" t="s">
        <v>37</v>
      </c>
      <c r="GA400" s="12" t="s">
        <v>37</v>
      </c>
      <c r="GB400" s="12" t="s">
        <v>37</v>
      </c>
      <c r="GG400" s="12"/>
      <c r="GK400" s="12"/>
      <c r="HP400" s="12"/>
      <c r="HT400" s="12"/>
      <c r="IA400" s="12"/>
      <c r="IE400" s="12"/>
      <c r="IK400" s="12" t="s">
        <v>37</v>
      </c>
      <c r="IL400" s="12" t="s">
        <v>37</v>
      </c>
      <c r="IM400" s="12" t="s">
        <v>37</v>
      </c>
      <c r="IO400" s="12" t="s">
        <v>37</v>
      </c>
      <c r="IP400" s="12" t="s">
        <v>37</v>
      </c>
      <c r="IQ400" s="12" t="s">
        <v>37</v>
      </c>
      <c r="IW400" s="12" t="s">
        <v>37</v>
      </c>
      <c r="IX400" s="12" t="s">
        <v>37</v>
      </c>
      <c r="IY400" s="12" t="s">
        <v>37</v>
      </c>
      <c r="JA400" s="12" t="s">
        <v>37</v>
      </c>
      <c r="JB400" s="12" t="s">
        <v>37</v>
      </c>
      <c r="JC400" s="12" t="s">
        <v>37</v>
      </c>
      <c r="JH400" s="12" t="s">
        <v>37</v>
      </c>
      <c r="JI400" s="12" t="s">
        <v>37</v>
      </c>
      <c r="JJ400" s="12" t="s">
        <v>37</v>
      </c>
      <c r="JL400" s="12" t="s">
        <v>37</v>
      </c>
      <c r="JM400" s="12" t="s">
        <v>37</v>
      </c>
      <c r="JN400" s="12" t="s">
        <v>37</v>
      </c>
      <c r="JS400" s="12" t="s">
        <v>37</v>
      </c>
      <c r="JT400" s="12" t="s">
        <v>37</v>
      </c>
      <c r="JU400" s="12" t="s">
        <v>37</v>
      </c>
      <c r="JW400" s="12" t="s">
        <v>37</v>
      </c>
      <c r="JX400" s="12" t="s">
        <v>37</v>
      </c>
      <c r="JY400" s="12" t="s">
        <v>37</v>
      </c>
      <c r="KE400" s="12" t="s">
        <v>37</v>
      </c>
      <c r="KF400" s="12" t="s">
        <v>37</v>
      </c>
      <c r="KG400" s="12" t="s">
        <v>37</v>
      </c>
      <c r="KH400" s="12" t="s">
        <v>37</v>
      </c>
      <c r="KI400" s="12" t="s">
        <v>37</v>
      </c>
      <c r="KJ400" s="12" t="s">
        <v>37</v>
      </c>
      <c r="KM400" s="12" t="s">
        <v>37</v>
      </c>
      <c r="KN400" s="12" t="s">
        <v>37</v>
      </c>
      <c r="KO400" s="12" t="s">
        <v>37</v>
      </c>
      <c r="KQ400" s="12" t="s">
        <v>37</v>
      </c>
      <c r="KR400" s="12" t="s">
        <v>37</v>
      </c>
      <c r="KS400" s="12" t="s">
        <v>37</v>
      </c>
      <c r="KX400" s="12" t="s">
        <v>37</v>
      </c>
      <c r="KY400" s="12" t="s">
        <v>37</v>
      </c>
      <c r="KZ400" s="12" t="s">
        <v>37</v>
      </c>
      <c r="LB400" s="12" t="s">
        <v>37</v>
      </c>
      <c r="LC400" s="12" t="s">
        <v>37</v>
      </c>
      <c r="LD400" s="12" t="s">
        <v>37</v>
      </c>
      <c r="LI400" s="12" t="s">
        <v>37</v>
      </c>
      <c r="LJ400" s="12" t="s">
        <v>37</v>
      </c>
      <c r="LK400" s="12" t="s">
        <v>37</v>
      </c>
      <c r="LM400" s="12" t="s">
        <v>37</v>
      </c>
      <c r="LN400" s="12" t="s">
        <v>37</v>
      </c>
      <c r="LO400" s="12" t="s">
        <v>37</v>
      </c>
      <c r="LU400" s="12" t="s">
        <v>37</v>
      </c>
      <c r="LV400" s="12" t="s">
        <v>37</v>
      </c>
      <c r="LW400" s="12" t="s">
        <v>37</v>
      </c>
      <c r="LY400" s="12" t="s">
        <v>37</v>
      </c>
      <c r="LZ400" s="12" t="s">
        <v>37</v>
      </c>
      <c r="MA400" s="12" t="s">
        <v>37</v>
      </c>
      <c r="MF400" s="12" t="s">
        <v>37</v>
      </c>
      <c r="MG400" s="12" t="s">
        <v>37</v>
      </c>
      <c r="MH400" s="12" t="s">
        <v>37</v>
      </c>
      <c r="MJ400" s="12" t="s">
        <v>37</v>
      </c>
      <c r="MK400" s="12" t="s">
        <v>37</v>
      </c>
      <c r="ML400" s="12" t="s">
        <v>37</v>
      </c>
      <c r="MQ400" s="12" t="s">
        <v>37</v>
      </c>
      <c r="MR400" s="12" t="s">
        <v>37</v>
      </c>
      <c r="MS400" s="12" t="s">
        <v>37</v>
      </c>
      <c r="MU400" s="12" t="s">
        <v>37</v>
      </c>
      <c r="MV400" s="12" t="s">
        <v>37</v>
      </c>
      <c r="MW400" s="12" t="s">
        <v>37</v>
      </c>
      <c r="NC400" s="12" t="s">
        <v>37</v>
      </c>
      <c r="ND400" s="12" t="s">
        <v>37</v>
      </c>
      <c r="NE400" s="12" t="s">
        <v>37</v>
      </c>
      <c r="NG400" s="12" t="s">
        <v>37</v>
      </c>
      <c r="NH400" s="12" t="s">
        <v>37</v>
      </c>
      <c r="NI400" s="12" t="s">
        <v>37</v>
      </c>
      <c r="NO400" s="12" t="s">
        <v>37</v>
      </c>
      <c r="NP400" s="12" t="s">
        <v>37</v>
      </c>
      <c r="NQ400" s="12" t="s">
        <v>37</v>
      </c>
      <c r="NS400" s="12" t="s">
        <v>37</v>
      </c>
      <c r="NT400" s="12" t="s">
        <v>37</v>
      </c>
      <c r="NU400" s="12" t="s">
        <v>37</v>
      </c>
      <c r="OA400" s="12" t="s">
        <v>37</v>
      </c>
      <c r="OB400" s="12" t="s">
        <v>37</v>
      </c>
      <c r="OC400" s="12" t="s">
        <v>37</v>
      </c>
      <c r="OD400" s="12"/>
      <c r="OE400" s="12" t="s">
        <v>37</v>
      </c>
      <c r="OF400" s="12" t="s">
        <v>37</v>
      </c>
      <c r="OG400" s="12" t="s">
        <v>37</v>
      </c>
      <c r="OH400" s="12"/>
      <c r="OI400" s="12"/>
      <c r="OJ400" s="12"/>
      <c r="OM400" s="12" t="s">
        <v>37</v>
      </c>
      <c r="ON400" s="12" t="s">
        <v>37</v>
      </c>
      <c r="OO400" s="12" t="s">
        <v>37</v>
      </c>
      <c r="OP400" s="12" t="s">
        <v>37</v>
      </c>
      <c r="OQ400" s="12" t="s">
        <v>37</v>
      </c>
      <c r="OR400" s="12" t="s">
        <v>37</v>
      </c>
      <c r="OS400" s="12"/>
      <c r="OT400" s="12"/>
      <c r="OW400" s="12" t="s">
        <v>37</v>
      </c>
      <c r="OX400" s="12" t="s">
        <v>37</v>
      </c>
      <c r="OY400" s="12" t="s">
        <v>37</v>
      </c>
      <c r="OZ400" s="12" t="s">
        <v>37</v>
      </c>
      <c r="PA400" s="12" t="s">
        <v>37</v>
      </c>
      <c r="PB400" s="12" t="s">
        <v>37</v>
      </c>
      <c r="PC400" s="12"/>
      <c r="PD400" s="12"/>
      <c r="PG400" s="12" t="s">
        <v>37</v>
      </c>
      <c r="PH400" s="12" t="s">
        <v>37</v>
      </c>
      <c r="PI400" s="12" t="s">
        <v>37</v>
      </c>
      <c r="PJ400" s="12" t="s">
        <v>37</v>
      </c>
      <c r="PK400" s="12" t="s">
        <v>37</v>
      </c>
      <c r="PL400" s="12" t="s">
        <v>37</v>
      </c>
      <c r="PM400" s="12"/>
      <c r="PN400" s="12"/>
      <c r="PQ400" s="12" t="s">
        <v>37</v>
      </c>
      <c r="PR400" s="12" t="s">
        <v>37</v>
      </c>
      <c r="PS400" s="12" t="s">
        <v>37</v>
      </c>
      <c r="PT400" s="12" t="s">
        <v>37</v>
      </c>
      <c r="PU400" s="12" t="s">
        <v>37</v>
      </c>
      <c r="PV400" s="12" t="s">
        <v>37</v>
      </c>
      <c r="PW400" s="12"/>
      <c r="PX400" s="12"/>
      <c r="PZ400" s="12" t="s">
        <v>37</v>
      </c>
      <c r="QA400" s="12" t="s">
        <v>37</v>
      </c>
      <c r="QB400" s="11" t="s">
        <v>37</v>
      </c>
      <c r="QD400" s="12" t="s">
        <v>37</v>
      </c>
      <c r="QE400" s="12" t="s">
        <v>37</v>
      </c>
      <c r="QF400" s="12" t="s">
        <v>37</v>
      </c>
      <c r="QK400" s="12" t="s">
        <v>37</v>
      </c>
      <c r="QL400" s="12" t="s">
        <v>37</v>
      </c>
      <c r="QM400" s="12" t="s">
        <v>37</v>
      </c>
      <c r="QN400" s="12" t="s">
        <v>37</v>
      </c>
      <c r="QO400" s="12" t="s">
        <v>37</v>
      </c>
      <c r="QP400" s="12" t="s">
        <v>37</v>
      </c>
      <c r="QQ400" s="12"/>
      <c r="QR400" s="12"/>
      <c r="QU400" s="12" t="s">
        <v>37</v>
      </c>
      <c r="QV400" s="12" t="s">
        <v>37</v>
      </c>
      <c r="QW400" s="12" t="s">
        <v>37</v>
      </c>
      <c r="QX400" s="12" t="s">
        <v>37</v>
      </c>
      <c r="QY400" s="12" t="s">
        <v>37</v>
      </c>
      <c r="QZ400" s="12" t="s">
        <v>37</v>
      </c>
      <c r="RC400" s="12" t="s">
        <v>37</v>
      </c>
      <c r="RD400" s="12" t="s">
        <v>37</v>
      </c>
      <c r="RE400" s="13" t="s">
        <v>37</v>
      </c>
      <c r="RF400" s="12" t="s">
        <v>37</v>
      </c>
      <c r="RG400" s="12" t="s">
        <v>37</v>
      </c>
      <c r="RH400" s="13" t="s">
        <v>37</v>
      </c>
      <c r="RK400" s="12" t="s">
        <v>37</v>
      </c>
      <c r="RL400" s="12" t="s">
        <v>37</v>
      </c>
      <c r="RM400" s="11" t="s">
        <v>37</v>
      </c>
      <c r="RN400" s="12" t="s">
        <v>37</v>
      </c>
      <c r="RO400" s="12" t="s">
        <v>37</v>
      </c>
      <c r="RP400" s="11" t="s">
        <v>37</v>
      </c>
      <c r="RS400" s="12" t="s">
        <v>37</v>
      </c>
      <c r="RT400" s="12" t="s">
        <v>37</v>
      </c>
      <c r="RU400" s="12" t="s">
        <v>37</v>
      </c>
      <c r="RV400" s="12" t="s">
        <v>37</v>
      </c>
      <c r="RW400" s="12" t="s">
        <v>37</v>
      </c>
      <c r="RX400" s="12" t="s">
        <v>37</v>
      </c>
      <c r="SA400" s="12" t="s">
        <v>37</v>
      </c>
      <c r="SB400" s="12" t="s">
        <v>37</v>
      </c>
      <c r="SC400" s="12" t="s">
        <v>37</v>
      </c>
      <c r="SD400" s="12" t="s">
        <v>37</v>
      </c>
      <c r="SE400" s="12" t="s">
        <v>37</v>
      </c>
      <c r="SF400" s="12" t="s">
        <v>37</v>
      </c>
      <c r="SI400" s="12" t="s">
        <v>37</v>
      </c>
      <c r="SJ400" s="12" t="s">
        <v>37</v>
      </c>
      <c r="SK400" s="13" t="s">
        <v>37</v>
      </c>
      <c r="SM400" s="12" t="s">
        <v>37</v>
      </c>
      <c r="SN400" s="12" t="s">
        <v>37</v>
      </c>
      <c r="SO400" s="13" t="s">
        <v>37</v>
      </c>
      <c r="SU400" s="12" t="s">
        <v>37</v>
      </c>
      <c r="SV400" s="12" t="s">
        <v>37</v>
      </c>
      <c r="SW400" s="11" t="s">
        <v>37</v>
      </c>
      <c r="SX400" s="12" t="s">
        <v>37</v>
      </c>
      <c r="SY400" s="12" t="s">
        <v>37</v>
      </c>
      <c r="SZ400" s="11" t="s">
        <v>37</v>
      </c>
      <c r="TE400" s="12" t="s">
        <v>37</v>
      </c>
      <c r="TF400" s="12" t="s">
        <v>37</v>
      </c>
      <c r="TG400" s="11" t="s">
        <v>37</v>
      </c>
      <c r="TH400" s="12" t="s">
        <v>37</v>
      </c>
      <c r="TI400" s="12" t="s">
        <v>37</v>
      </c>
      <c r="TJ400" s="11" t="s">
        <v>37</v>
      </c>
      <c r="TO400" s="12" t="s">
        <v>37</v>
      </c>
      <c r="TP400" s="12" t="s">
        <v>37</v>
      </c>
      <c r="TQ400" s="11" t="s">
        <v>37</v>
      </c>
      <c r="TR400" s="12" t="s">
        <v>37</v>
      </c>
      <c r="TS400" s="12" t="s">
        <v>37</v>
      </c>
      <c r="TT400" s="11" t="s">
        <v>37</v>
      </c>
      <c r="TY400" s="12" t="s">
        <v>37</v>
      </c>
      <c r="TZ400" s="12" t="s">
        <v>37</v>
      </c>
      <c r="UA400" s="12" t="s">
        <v>37</v>
      </c>
      <c r="UB400" s="12" t="s">
        <v>37</v>
      </c>
      <c r="UC400" s="12" t="s">
        <v>37</v>
      </c>
      <c r="UD400" s="12" t="s">
        <v>37</v>
      </c>
      <c r="UE400" s="12"/>
      <c r="UF400" s="12"/>
      <c r="UI400" s="12" t="s">
        <v>37</v>
      </c>
      <c r="UJ400" s="12" t="s">
        <v>37</v>
      </c>
      <c r="UK400" s="12" t="s">
        <v>37</v>
      </c>
      <c r="UL400" s="12" t="s">
        <v>37</v>
      </c>
      <c r="UM400" s="12" t="s">
        <v>37</v>
      </c>
      <c r="UN400" s="12" t="s">
        <v>37</v>
      </c>
      <c r="UO400" s="12"/>
      <c r="UP400" s="12"/>
      <c r="UR400" s="12" t="s">
        <v>37</v>
      </c>
      <c r="US400" s="12" t="s">
        <v>37</v>
      </c>
      <c r="UT400" s="12" t="s">
        <v>37</v>
      </c>
      <c r="UU400" s="12" t="s">
        <v>37</v>
      </c>
      <c r="UV400" s="12" t="s">
        <v>37</v>
      </c>
      <c r="UW400" s="12" t="s">
        <v>37</v>
      </c>
      <c r="UX400" s="12"/>
      <c r="UY400" s="12"/>
      <c r="VB400" s="12" t="s">
        <v>37</v>
      </c>
      <c r="VC400" s="12" t="s">
        <v>37</v>
      </c>
      <c r="VD400" s="12" t="s">
        <v>37</v>
      </c>
      <c r="VE400" s="12" t="s">
        <v>37</v>
      </c>
      <c r="VF400" s="12" t="s">
        <v>37</v>
      </c>
      <c r="VG400" s="12" t="s">
        <v>37</v>
      </c>
      <c r="VI400" s="12" t="s">
        <v>37</v>
      </c>
      <c r="VJ400" s="12" t="s">
        <v>37</v>
      </c>
      <c r="VK400" s="12" t="s">
        <v>37</v>
      </c>
      <c r="VL400" s="12" t="s">
        <v>37</v>
      </c>
      <c r="VM400" s="12" t="s">
        <v>37</v>
      </c>
      <c r="VN400" s="12" t="s">
        <v>37</v>
      </c>
      <c r="VQ400" s="13" t="s">
        <v>37</v>
      </c>
      <c r="VR400" s="13" t="s">
        <v>37</v>
      </c>
      <c r="VS400" s="13" t="s">
        <v>37</v>
      </c>
      <c r="VT400" s="13" t="s">
        <v>37</v>
      </c>
      <c r="VU400" s="13" t="s">
        <v>37</v>
      </c>
      <c r="VV400" s="13" t="s">
        <v>37</v>
      </c>
      <c r="WA400" s="13" t="s">
        <v>37</v>
      </c>
      <c r="WB400" s="13" t="s">
        <v>37</v>
      </c>
      <c r="WC400" s="13" t="s">
        <v>37</v>
      </c>
      <c r="WD400" s="13" t="s">
        <v>37</v>
      </c>
      <c r="WE400" s="13" t="s">
        <v>37</v>
      </c>
      <c r="WF400" s="13" t="s">
        <v>37</v>
      </c>
    </row>
    <row r="401" spans="1:606" ht="18" customHeight="1" x14ac:dyDescent="0.3">
      <c r="A401" s="11">
        <v>87</v>
      </c>
      <c r="B401" s="16" t="s">
        <v>604</v>
      </c>
      <c r="C401" s="12" t="s">
        <v>26</v>
      </c>
      <c r="D401" s="12" t="s">
        <v>973</v>
      </c>
      <c r="E401" s="40" t="s">
        <v>37</v>
      </c>
      <c r="F401" s="14">
        <v>0</v>
      </c>
      <c r="G401" s="14">
        <v>0</v>
      </c>
      <c r="H401" s="12" t="s">
        <v>313</v>
      </c>
      <c r="I401" s="29">
        <v>69.599999999999994</v>
      </c>
      <c r="J401" s="29">
        <v>161.34100000000001</v>
      </c>
      <c r="K401" s="12">
        <v>68.61</v>
      </c>
      <c r="L401" s="12">
        <v>161.34</v>
      </c>
      <c r="M401" s="13" t="s">
        <v>37</v>
      </c>
      <c r="N401" s="14">
        <v>-10</v>
      </c>
      <c r="O401" s="14">
        <v>172</v>
      </c>
      <c r="P401" s="14" t="s">
        <v>84</v>
      </c>
      <c r="Q401" s="75">
        <v>10</v>
      </c>
      <c r="R401" s="11" t="s">
        <v>37</v>
      </c>
      <c r="S401" s="12" t="s">
        <v>85</v>
      </c>
      <c r="T401" s="16" t="s">
        <v>138</v>
      </c>
      <c r="U401" s="12" t="s">
        <v>158</v>
      </c>
      <c r="V401" s="12" t="s">
        <v>274</v>
      </c>
      <c r="W401" s="23" t="s">
        <v>314</v>
      </c>
      <c r="X401" s="12" t="s">
        <v>280</v>
      </c>
      <c r="Y401" s="12" t="s">
        <v>37</v>
      </c>
      <c r="Z401" s="12" t="s">
        <v>37</v>
      </c>
      <c r="AB401" s="12" t="s">
        <v>37</v>
      </c>
      <c r="AE401" s="12" t="s">
        <v>37</v>
      </c>
      <c r="AH401" s="12" t="s">
        <v>37</v>
      </c>
      <c r="AK401" s="12" t="s">
        <v>37</v>
      </c>
      <c r="AL401" s="32" t="s">
        <v>459</v>
      </c>
      <c r="AM401" s="12" t="s">
        <v>317</v>
      </c>
      <c r="AN401" s="32" t="s">
        <v>879</v>
      </c>
      <c r="AO401" s="12" t="s">
        <v>37</v>
      </c>
      <c r="AP401" s="56" t="s">
        <v>597</v>
      </c>
      <c r="AQ401" s="12" t="s">
        <v>849</v>
      </c>
      <c r="AT401" s="12" t="s">
        <v>326</v>
      </c>
      <c r="AU401" s="12" t="s">
        <v>326</v>
      </c>
      <c r="AV401" s="13" t="s">
        <v>326</v>
      </c>
      <c r="AX401" s="12" t="s">
        <v>326</v>
      </c>
      <c r="AY401" s="12" t="s">
        <v>326</v>
      </c>
      <c r="AZ401" s="13" t="s">
        <v>326</v>
      </c>
      <c r="BD401" s="12"/>
      <c r="BE401" s="12" t="s">
        <v>326</v>
      </c>
      <c r="BF401" s="12" t="s">
        <v>326</v>
      </c>
      <c r="BG401" s="12" t="s">
        <v>326</v>
      </c>
      <c r="BI401" s="12" t="s">
        <v>326</v>
      </c>
      <c r="BJ401" s="12" t="s">
        <v>326</v>
      </c>
      <c r="BK401" s="12" t="s">
        <v>326</v>
      </c>
      <c r="BP401" s="12" t="s">
        <v>37</v>
      </c>
      <c r="BQ401" s="12" t="s">
        <v>37</v>
      </c>
      <c r="BR401" s="13" t="s">
        <v>37</v>
      </c>
      <c r="BT401" s="12" t="s">
        <v>37</v>
      </c>
      <c r="BU401" s="12" t="s">
        <v>37</v>
      </c>
      <c r="BV401" s="12" t="s">
        <v>37</v>
      </c>
      <c r="BZ401" s="12" t="s">
        <v>47</v>
      </c>
      <c r="CA401" s="12">
        <f>-252.97619047619/'[6]classess-1'!$T$98</f>
        <v>-252.97619047619</v>
      </c>
      <c r="CB401" s="50">
        <f>ABS(CA401)*CD$474</f>
        <v>61.678241517097945</v>
      </c>
      <c r="CC401" s="13">
        <v>1</v>
      </c>
      <c r="CE401" s="12">
        <f>-250/'[6]classess-1'!$T$99</f>
        <v>-259.32892988544108</v>
      </c>
      <c r="CF401" s="50">
        <f>ABS(CE401)*CH$474</f>
        <v>96.540146410153937</v>
      </c>
      <c r="CG401" s="13">
        <v>1</v>
      </c>
      <c r="CI401" s="75">
        <f t="shared" ref="CI401:CI403" si="1463">CE401-CA401</f>
        <v>-6.352739409251086</v>
      </c>
      <c r="CJ401" s="12" t="e">
        <f t="shared" ref="CJ401:CJ408" si="1464">SQRT(((CC401-1)*CB401^2+(CG401-1)*CF401^2)/(CC401+CG401-2))</f>
        <v>#DIV/0!</v>
      </c>
      <c r="CK401" s="72" t="e">
        <f t="shared" ref="CK401:CK408" si="1465">(((CC401+CG401)/(CC401*CG401))*(((CC401-1)*CB401^2)+(CG401-1)*CF401^2)/(CC401+CG401-2))</f>
        <v>#DIV/0!</v>
      </c>
      <c r="CL401" s="72">
        <f t="shared" ref="CL401:CL408" si="1466">(CB401^2/CC401)+(CF401^2/CG401)</f>
        <v>13124.205345535422</v>
      </c>
      <c r="CM401" s="12" t="s">
        <v>47</v>
      </c>
      <c r="CN401" s="12">
        <f>198.224852071006/'[6]classess-1'!$I$98</f>
        <v>243.00271458600855</v>
      </c>
      <c r="CO401" s="50">
        <f>ABS(CN401)*CQ$474</f>
        <v>69.894216997580699</v>
      </c>
      <c r="CP401" s="13">
        <v>1</v>
      </c>
      <c r="CR401" s="12">
        <f>239.644970414201/'[6]classess-1'!$I$99</f>
        <v>278.68155282729083</v>
      </c>
      <c r="CS401" s="50">
        <f>ABS(CR401)*CU$474</f>
        <v>73.123578700198763</v>
      </c>
      <c r="CT401" s="13">
        <v>1</v>
      </c>
      <c r="CV401" s="75">
        <f t="shared" ref="CV401:CV408" si="1467">CR401-CN401</f>
        <v>35.678838241282278</v>
      </c>
      <c r="CW401" s="12" t="e">
        <f t="shared" ref="CW401:CW408" si="1468">SQRT(((CP401-1)*CO401^2+(CT401-1)*CS401^2)/(CP401+CT401-2))</f>
        <v>#DIV/0!</v>
      </c>
      <c r="CX401" s="72" t="e">
        <f t="shared" ref="CX401:CX408" si="1469">(((CP401+CT401)/(CP401*CT401))*(((CP401-1)*CO401^2)+(CT401-1)*CS401^2)/(CP401+CT401-2))</f>
        <v>#DIV/0!</v>
      </c>
      <c r="CY401" s="72">
        <f t="shared" ref="CY401:CY408" si="1470">(CO401^2/CP401)+(CS401^2/CT401)</f>
        <v>10232.259331629062</v>
      </c>
      <c r="CZ401" s="12" t="s">
        <v>47</v>
      </c>
      <c r="DA401" s="12">
        <f>CA401+CN401</f>
        <v>-9.9734758901814473</v>
      </c>
      <c r="DB401" s="50">
        <f t="shared" si="1448"/>
        <v>29.917002366881579</v>
      </c>
      <c r="DC401" s="13">
        <v>1</v>
      </c>
      <c r="DE401" s="12">
        <f>CE401+CR401</f>
        <v>19.352622941849745</v>
      </c>
      <c r="DF401" s="50">
        <f t="shared" si="1449"/>
        <v>18.445813107824229</v>
      </c>
      <c r="DG401" s="13">
        <v>1</v>
      </c>
      <c r="DI401" s="19">
        <f t="shared" si="1450"/>
        <v>29.326098832031192</v>
      </c>
      <c r="DJ401" s="12" t="e">
        <f t="shared" si="1451"/>
        <v>#DIV/0!</v>
      </c>
      <c r="DK401" s="72" t="e">
        <f t="shared" si="1452"/>
        <v>#DIV/0!</v>
      </c>
      <c r="DL401" s="72">
        <f t="shared" si="1453"/>
        <v>1235.2750518287783</v>
      </c>
      <c r="DN401" s="19" t="s">
        <v>37</v>
      </c>
      <c r="DO401" s="12" t="s">
        <v>37</v>
      </c>
      <c r="DP401" s="13" t="s">
        <v>37</v>
      </c>
      <c r="DR401" s="19" t="s">
        <v>37</v>
      </c>
      <c r="DS401" s="12" t="s">
        <v>37</v>
      </c>
      <c r="DT401" s="13" t="s">
        <v>37</v>
      </c>
      <c r="EA401" s="19" t="s">
        <v>37</v>
      </c>
      <c r="EB401" s="19" t="s">
        <v>37</v>
      </c>
      <c r="EC401" s="72" t="s">
        <v>37</v>
      </c>
      <c r="EE401" s="19" t="s">
        <v>37</v>
      </c>
      <c r="EF401" s="19" t="s">
        <v>37</v>
      </c>
      <c r="EG401" s="12" t="s">
        <v>37</v>
      </c>
      <c r="EN401" s="12" t="s">
        <v>37</v>
      </c>
      <c r="EO401" s="12" t="s">
        <v>37</v>
      </c>
      <c r="EP401" s="13" t="s">
        <v>37</v>
      </c>
      <c r="ER401" s="12" t="s">
        <v>37</v>
      </c>
      <c r="ES401" s="12" t="s">
        <v>37</v>
      </c>
      <c r="ET401" s="13" t="s">
        <v>37</v>
      </c>
      <c r="FB401" s="12" t="s">
        <v>37</v>
      </c>
      <c r="FC401" s="12" t="s">
        <v>37</v>
      </c>
      <c r="FD401" s="12" t="s">
        <v>37</v>
      </c>
      <c r="FE401" s="12" t="s">
        <v>37</v>
      </c>
      <c r="FF401" s="12" t="s">
        <v>37</v>
      </c>
      <c r="FG401" s="12" t="s">
        <v>37</v>
      </c>
      <c r="FI401" s="12" t="s">
        <v>37</v>
      </c>
      <c r="FJ401" s="12" t="s">
        <v>37</v>
      </c>
      <c r="FK401" s="12" t="s">
        <v>37</v>
      </c>
      <c r="FL401" s="12" t="s">
        <v>37</v>
      </c>
      <c r="FM401" s="12" t="s">
        <v>37</v>
      </c>
      <c r="FN401" s="12" t="s">
        <v>37</v>
      </c>
      <c r="FP401" s="12" t="s">
        <v>37</v>
      </c>
      <c r="FQ401" s="12" t="s">
        <v>37</v>
      </c>
      <c r="FR401" s="12" t="s">
        <v>37</v>
      </c>
      <c r="FS401" s="12" t="s">
        <v>37</v>
      </c>
      <c r="FT401" s="12" t="s">
        <v>37</v>
      </c>
      <c r="FU401" s="12" t="s">
        <v>37</v>
      </c>
      <c r="FW401" s="12" t="s">
        <v>37</v>
      </c>
      <c r="FX401" s="12" t="s">
        <v>37</v>
      </c>
      <c r="FY401" s="12" t="s">
        <v>37</v>
      </c>
      <c r="FZ401" s="12" t="s">
        <v>37</v>
      </c>
      <c r="GA401" s="12" t="s">
        <v>37</v>
      </c>
      <c r="GB401" s="12" t="s">
        <v>37</v>
      </c>
      <c r="GG401" s="12"/>
      <c r="GK401" s="12"/>
      <c r="HP401" s="12"/>
      <c r="HT401" s="12"/>
      <c r="IA401" s="12"/>
      <c r="IE401" s="12"/>
      <c r="IK401" s="12" t="s">
        <v>37</v>
      </c>
      <c r="IL401" s="12" t="s">
        <v>37</v>
      </c>
      <c r="IM401" s="12" t="s">
        <v>37</v>
      </c>
      <c r="IO401" s="12" t="s">
        <v>37</v>
      </c>
      <c r="IP401" s="12" t="s">
        <v>37</v>
      </c>
      <c r="IQ401" s="12" t="s">
        <v>37</v>
      </c>
      <c r="IW401" s="12" t="s">
        <v>37</v>
      </c>
      <c r="IX401" s="12" t="s">
        <v>37</v>
      </c>
      <c r="IY401" s="12" t="s">
        <v>37</v>
      </c>
      <c r="JA401" s="12" t="s">
        <v>37</v>
      </c>
      <c r="JB401" s="12" t="s">
        <v>37</v>
      </c>
      <c r="JC401" s="12" t="s">
        <v>37</v>
      </c>
      <c r="JH401" s="12" t="s">
        <v>37</v>
      </c>
      <c r="JI401" s="12" t="s">
        <v>37</v>
      </c>
      <c r="JJ401" s="12" t="s">
        <v>37</v>
      </c>
      <c r="JL401" s="12" t="s">
        <v>37</v>
      </c>
      <c r="JM401" s="12" t="s">
        <v>37</v>
      </c>
      <c r="JN401" s="12" t="s">
        <v>37</v>
      </c>
      <c r="JS401" s="12" t="s">
        <v>37</v>
      </c>
      <c r="JT401" s="12" t="s">
        <v>37</v>
      </c>
      <c r="JU401" s="12" t="s">
        <v>37</v>
      </c>
      <c r="JW401" s="12" t="s">
        <v>37</v>
      </c>
      <c r="JX401" s="12" t="s">
        <v>37</v>
      </c>
      <c r="JY401" s="12" t="s">
        <v>37</v>
      </c>
      <c r="KE401" s="12" t="s">
        <v>37</v>
      </c>
      <c r="KF401" s="12" t="s">
        <v>37</v>
      </c>
      <c r="KG401" s="12" t="s">
        <v>37</v>
      </c>
      <c r="KH401" s="12" t="s">
        <v>37</v>
      </c>
      <c r="KI401" s="12" t="s">
        <v>37</v>
      </c>
      <c r="KJ401" s="12" t="s">
        <v>37</v>
      </c>
      <c r="KM401" s="12" t="s">
        <v>37</v>
      </c>
      <c r="KN401" s="12" t="s">
        <v>37</v>
      </c>
      <c r="KO401" s="12" t="s">
        <v>37</v>
      </c>
      <c r="KQ401" s="12" t="s">
        <v>37</v>
      </c>
      <c r="KR401" s="12" t="s">
        <v>37</v>
      </c>
      <c r="KS401" s="12" t="s">
        <v>37</v>
      </c>
      <c r="KX401" s="12" t="s">
        <v>37</v>
      </c>
      <c r="KY401" s="12" t="s">
        <v>37</v>
      </c>
      <c r="KZ401" s="12" t="s">
        <v>37</v>
      </c>
      <c r="LB401" s="12" t="s">
        <v>37</v>
      </c>
      <c r="LC401" s="12" t="s">
        <v>37</v>
      </c>
      <c r="LD401" s="12" t="s">
        <v>37</v>
      </c>
      <c r="LI401" s="12" t="s">
        <v>37</v>
      </c>
      <c r="LJ401" s="12" t="s">
        <v>37</v>
      </c>
      <c r="LK401" s="12" t="s">
        <v>37</v>
      </c>
      <c r="LM401" s="12" t="s">
        <v>37</v>
      </c>
      <c r="LN401" s="12" t="s">
        <v>37</v>
      </c>
      <c r="LO401" s="12" t="s">
        <v>37</v>
      </c>
      <c r="LU401" s="12" t="s">
        <v>37</v>
      </c>
      <c r="LV401" s="12" t="s">
        <v>37</v>
      </c>
      <c r="LW401" s="12" t="s">
        <v>37</v>
      </c>
      <c r="LY401" s="12" t="s">
        <v>37</v>
      </c>
      <c r="LZ401" s="12" t="s">
        <v>37</v>
      </c>
      <c r="MA401" s="12" t="s">
        <v>37</v>
      </c>
      <c r="MF401" s="12" t="s">
        <v>37</v>
      </c>
      <c r="MG401" s="12" t="s">
        <v>37</v>
      </c>
      <c r="MH401" s="12" t="s">
        <v>37</v>
      </c>
      <c r="MJ401" s="12" t="s">
        <v>37</v>
      </c>
      <c r="MK401" s="12" t="s">
        <v>37</v>
      </c>
      <c r="ML401" s="12" t="s">
        <v>37</v>
      </c>
      <c r="MQ401" s="12" t="s">
        <v>37</v>
      </c>
      <c r="MR401" s="12" t="s">
        <v>37</v>
      </c>
      <c r="MS401" s="12" t="s">
        <v>37</v>
      </c>
      <c r="MU401" s="12" t="s">
        <v>37</v>
      </c>
      <c r="MV401" s="12" t="s">
        <v>37</v>
      </c>
      <c r="MW401" s="12" t="s">
        <v>37</v>
      </c>
      <c r="NC401" s="12" t="s">
        <v>37</v>
      </c>
      <c r="ND401" s="12" t="s">
        <v>37</v>
      </c>
      <c r="NE401" s="12" t="s">
        <v>37</v>
      </c>
      <c r="NG401" s="12" t="s">
        <v>37</v>
      </c>
      <c r="NH401" s="12" t="s">
        <v>37</v>
      </c>
      <c r="NI401" s="12" t="s">
        <v>37</v>
      </c>
      <c r="NO401" s="12" t="s">
        <v>37</v>
      </c>
      <c r="NP401" s="12" t="s">
        <v>37</v>
      </c>
      <c r="NQ401" s="12" t="s">
        <v>37</v>
      </c>
      <c r="NS401" s="12" t="s">
        <v>37</v>
      </c>
      <c r="NT401" s="12" t="s">
        <v>37</v>
      </c>
      <c r="NU401" s="12" t="s">
        <v>37</v>
      </c>
      <c r="OA401" s="12" t="s">
        <v>37</v>
      </c>
      <c r="OB401" s="12" t="s">
        <v>37</v>
      </c>
      <c r="OC401" s="12" t="s">
        <v>37</v>
      </c>
      <c r="OD401" s="12"/>
      <c r="OE401" s="12" t="s">
        <v>37</v>
      </c>
      <c r="OF401" s="12" t="s">
        <v>37</v>
      </c>
      <c r="OG401" s="12" t="s">
        <v>37</v>
      </c>
      <c r="OH401" s="12"/>
      <c r="OI401" s="12"/>
      <c r="OJ401" s="12"/>
      <c r="OM401" s="12" t="s">
        <v>37</v>
      </c>
      <c r="ON401" s="12" t="s">
        <v>37</v>
      </c>
      <c r="OO401" s="12" t="s">
        <v>37</v>
      </c>
      <c r="OP401" s="12" t="s">
        <v>37</v>
      </c>
      <c r="OQ401" s="12" t="s">
        <v>37</v>
      </c>
      <c r="OR401" s="12" t="s">
        <v>37</v>
      </c>
      <c r="OS401" s="12"/>
      <c r="OT401" s="12"/>
      <c r="OW401" s="12" t="s">
        <v>37</v>
      </c>
      <c r="OX401" s="12" t="s">
        <v>37</v>
      </c>
      <c r="OY401" s="12" t="s">
        <v>37</v>
      </c>
      <c r="OZ401" s="12" t="s">
        <v>37</v>
      </c>
      <c r="PA401" s="12" t="s">
        <v>37</v>
      </c>
      <c r="PB401" s="12" t="s">
        <v>37</v>
      </c>
      <c r="PC401" s="12"/>
      <c r="PD401" s="12"/>
      <c r="PG401" s="12" t="s">
        <v>37</v>
      </c>
      <c r="PH401" s="12" t="s">
        <v>37</v>
      </c>
      <c r="PI401" s="12" t="s">
        <v>37</v>
      </c>
      <c r="PJ401" s="12" t="s">
        <v>37</v>
      </c>
      <c r="PK401" s="12" t="s">
        <v>37</v>
      </c>
      <c r="PL401" s="12" t="s">
        <v>37</v>
      </c>
      <c r="PM401" s="12"/>
      <c r="PN401" s="12"/>
      <c r="PQ401" s="12" t="s">
        <v>37</v>
      </c>
      <c r="PR401" s="12" t="s">
        <v>37</v>
      </c>
      <c r="PS401" s="12" t="s">
        <v>37</v>
      </c>
      <c r="PT401" s="12" t="s">
        <v>37</v>
      </c>
      <c r="PU401" s="12" t="s">
        <v>37</v>
      </c>
      <c r="PV401" s="12" t="s">
        <v>37</v>
      </c>
      <c r="PW401" s="12"/>
      <c r="PX401" s="12"/>
      <c r="PZ401" s="12" t="s">
        <v>37</v>
      </c>
      <c r="QA401" s="12" t="s">
        <v>37</v>
      </c>
      <c r="QB401" s="11" t="s">
        <v>37</v>
      </c>
      <c r="QD401" s="12" t="s">
        <v>37</v>
      </c>
      <c r="QE401" s="12" t="s">
        <v>37</v>
      </c>
      <c r="QF401" s="12" t="s">
        <v>37</v>
      </c>
      <c r="QK401" s="12" t="s">
        <v>37</v>
      </c>
      <c r="QL401" s="12" t="s">
        <v>37</v>
      </c>
      <c r="QM401" s="12" t="s">
        <v>37</v>
      </c>
      <c r="QN401" s="12" t="s">
        <v>37</v>
      </c>
      <c r="QO401" s="12" t="s">
        <v>37</v>
      </c>
      <c r="QP401" s="12" t="s">
        <v>37</v>
      </c>
      <c r="QQ401" s="12"/>
      <c r="QR401" s="12"/>
      <c r="QU401" s="12" t="s">
        <v>37</v>
      </c>
      <c r="QV401" s="12" t="s">
        <v>37</v>
      </c>
      <c r="QW401" s="12" t="s">
        <v>37</v>
      </c>
      <c r="QX401" s="12" t="s">
        <v>37</v>
      </c>
      <c r="QY401" s="12" t="s">
        <v>37</v>
      </c>
      <c r="QZ401" s="12" t="s">
        <v>37</v>
      </c>
      <c r="RC401" s="12" t="s">
        <v>37</v>
      </c>
      <c r="RD401" s="12" t="s">
        <v>37</v>
      </c>
      <c r="RE401" s="13" t="s">
        <v>37</v>
      </c>
      <c r="RF401" s="12" t="s">
        <v>37</v>
      </c>
      <c r="RG401" s="12" t="s">
        <v>37</v>
      </c>
      <c r="RH401" s="13" t="s">
        <v>37</v>
      </c>
      <c r="RK401" s="12" t="s">
        <v>37</v>
      </c>
      <c r="RL401" s="12" t="s">
        <v>37</v>
      </c>
      <c r="RM401" s="11" t="s">
        <v>37</v>
      </c>
      <c r="RN401" s="12" t="s">
        <v>37</v>
      </c>
      <c r="RO401" s="12" t="s">
        <v>37</v>
      </c>
      <c r="RP401" s="11" t="s">
        <v>37</v>
      </c>
      <c r="RS401" s="12" t="s">
        <v>37</v>
      </c>
      <c r="RT401" s="12" t="s">
        <v>37</v>
      </c>
      <c r="RU401" s="12" t="s">
        <v>37</v>
      </c>
      <c r="RV401" s="12" t="s">
        <v>37</v>
      </c>
      <c r="RW401" s="12" t="s">
        <v>37</v>
      </c>
      <c r="RX401" s="12" t="s">
        <v>37</v>
      </c>
      <c r="SA401" s="12" t="s">
        <v>37</v>
      </c>
      <c r="SB401" s="12" t="s">
        <v>37</v>
      </c>
      <c r="SC401" s="12" t="s">
        <v>37</v>
      </c>
      <c r="SD401" s="12" t="s">
        <v>37</v>
      </c>
      <c r="SE401" s="12" t="s">
        <v>37</v>
      </c>
      <c r="SF401" s="12" t="s">
        <v>37</v>
      </c>
      <c r="SI401" s="12" t="s">
        <v>37</v>
      </c>
      <c r="SJ401" s="12" t="s">
        <v>37</v>
      </c>
      <c r="SK401" s="13" t="s">
        <v>37</v>
      </c>
      <c r="SM401" s="12" t="s">
        <v>37</v>
      </c>
      <c r="SN401" s="12" t="s">
        <v>37</v>
      </c>
      <c r="SO401" s="13" t="s">
        <v>37</v>
      </c>
      <c r="SU401" s="12" t="s">
        <v>37</v>
      </c>
      <c r="SV401" s="12" t="s">
        <v>37</v>
      </c>
      <c r="SW401" s="11" t="s">
        <v>37</v>
      </c>
      <c r="SX401" s="12" t="s">
        <v>37</v>
      </c>
      <c r="SY401" s="12" t="s">
        <v>37</v>
      </c>
      <c r="SZ401" s="11" t="s">
        <v>37</v>
      </c>
      <c r="TE401" s="12" t="s">
        <v>37</v>
      </c>
      <c r="TF401" s="12" t="s">
        <v>37</v>
      </c>
      <c r="TG401" s="11" t="s">
        <v>37</v>
      </c>
      <c r="TH401" s="12" t="s">
        <v>37</v>
      </c>
      <c r="TI401" s="12" t="s">
        <v>37</v>
      </c>
      <c r="TJ401" s="11" t="s">
        <v>37</v>
      </c>
      <c r="TO401" s="12" t="s">
        <v>37</v>
      </c>
      <c r="TP401" s="12" t="s">
        <v>37</v>
      </c>
      <c r="TQ401" s="11" t="s">
        <v>37</v>
      </c>
      <c r="TR401" s="12" t="s">
        <v>37</v>
      </c>
      <c r="TS401" s="12" t="s">
        <v>37</v>
      </c>
      <c r="TT401" s="11" t="s">
        <v>37</v>
      </c>
      <c r="TY401" s="12" t="s">
        <v>37</v>
      </c>
      <c r="TZ401" s="12" t="s">
        <v>37</v>
      </c>
      <c r="UA401" s="12" t="s">
        <v>37</v>
      </c>
      <c r="UB401" s="12" t="s">
        <v>37</v>
      </c>
      <c r="UC401" s="12" t="s">
        <v>37</v>
      </c>
      <c r="UD401" s="12" t="s">
        <v>37</v>
      </c>
      <c r="UE401" s="12"/>
      <c r="UF401" s="12"/>
      <c r="UI401" s="12" t="s">
        <v>37</v>
      </c>
      <c r="UJ401" s="12" t="s">
        <v>37</v>
      </c>
      <c r="UK401" s="12" t="s">
        <v>37</v>
      </c>
      <c r="UL401" s="12" t="s">
        <v>37</v>
      </c>
      <c r="UM401" s="12" t="s">
        <v>37</v>
      </c>
      <c r="UN401" s="12" t="s">
        <v>37</v>
      </c>
      <c r="UO401" s="12"/>
      <c r="UP401" s="12"/>
      <c r="UR401" s="12" t="s">
        <v>37</v>
      </c>
      <c r="US401" s="12" t="s">
        <v>37</v>
      </c>
      <c r="UT401" s="12" t="s">
        <v>37</v>
      </c>
      <c r="UU401" s="12" t="s">
        <v>37</v>
      </c>
      <c r="UV401" s="12" t="s">
        <v>37</v>
      </c>
      <c r="UW401" s="12" t="s">
        <v>37</v>
      </c>
      <c r="UX401" s="12"/>
      <c r="UY401" s="12"/>
      <c r="VB401" s="12" t="s">
        <v>37</v>
      </c>
      <c r="VC401" s="12" t="s">
        <v>37</v>
      </c>
      <c r="VD401" s="12" t="s">
        <v>37</v>
      </c>
      <c r="VE401" s="12" t="s">
        <v>37</v>
      </c>
      <c r="VF401" s="12" t="s">
        <v>37</v>
      </c>
      <c r="VG401" s="12" t="s">
        <v>37</v>
      </c>
      <c r="VI401" s="12" t="s">
        <v>37</v>
      </c>
      <c r="VJ401" s="12" t="s">
        <v>37</v>
      </c>
      <c r="VK401" s="12" t="s">
        <v>37</v>
      </c>
      <c r="VL401" s="12" t="s">
        <v>37</v>
      </c>
      <c r="VM401" s="12" t="s">
        <v>37</v>
      </c>
      <c r="VN401" s="12" t="s">
        <v>37</v>
      </c>
      <c r="VQ401" s="13" t="s">
        <v>37</v>
      </c>
      <c r="VR401" s="13" t="s">
        <v>37</v>
      </c>
      <c r="VS401" s="13" t="s">
        <v>37</v>
      </c>
      <c r="VT401" s="13" t="s">
        <v>37</v>
      </c>
      <c r="VU401" s="13" t="s">
        <v>37</v>
      </c>
      <c r="VV401" s="13" t="s">
        <v>37</v>
      </c>
      <c r="WA401" s="13" t="s">
        <v>37</v>
      </c>
      <c r="WB401" s="13" t="s">
        <v>37</v>
      </c>
      <c r="WC401" s="13" t="s">
        <v>37</v>
      </c>
      <c r="WD401" s="13" t="s">
        <v>37</v>
      </c>
      <c r="WE401" s="13" t="s">
        <v>37</v>
      </c>
      <c r="WF401" s="13" t="s">
        <v>37</v>
      </c>
    </row>
    <row r="402" spans="1:606" ht="18" customHeight="1" x14ac:dyDescent="0.3">
      <c r="A402" s="11">
        <v>87</v>
      </c>
      <c r="B402" s="16" t="s">
        <v>604</v>
      </c>
      <c r="C402" s="12" t="s">
        <v>26</v>
      </c>
      <c r="D402" s="12" t="s">
        <v>973</v>
      </c>
      <c r="E402" s="40" t="s">
        <v>37</v>
      </c>
      <c r="F402" s="14">
        <v>0</v>
      </c>
      <c r="G402" s="14">
        <v>0</v>
      </c>
      <c r="H402" s="12" t="s">
        <v>313</v>
      </c>
      <c r="I402" s="29">
        <v>69.599999999999994</v>
      </c>
      <c r="J402" s="29">
        <v>161.34100000000001</v>
      </c>
      <c r="K402" s="12">
        <v>68.61</v>
      </c>
      <c r="L402" s="12">
        <v>161.34</v>
      </c>
      <c r="M402" s="13" t="s">
        <v>37</v>
      </c>
      <c r="N402" s="14">
        <v>-10</v>
      </c>
      <c r="O402" s="14">
        <v>172</v>
      </c>
      <c r="P402" s="14" t="s">
        <v>84</v>
      </c>
      <c r="Q402" s="75">
        <v>11</v>
      </c>
      <c r="R402" s="11" t="s">
        <v>37</v>
      </c>
      <c r="S402" s="12" t="s">
        <v>85</v>
      </c>
      <c r="T402" s="16" t="s">
        <v>138</v>
      </c>
      <c r="U402" s="12" t="s">
        <v>158</v>
      </c>
      <c r="V402" s="12" t="s">
        <v>274</v>
      </c>
      <c r="W402" s="23" t="s">
        <v>314</v>
      </c>
      <c r="X402" s="12" t="s">
        <v>280</v>
      </c>
      <c r="Y402" s="12" t="s">
        <v>37</v>
      </c>
      <c r="Z402" s="12" t="s">
        <v>37</v>
      </c>
      <c r="AB402" s="12" t="s">
        <v>37</v>
      </c>
      <c r="AE402" s="12" t="s">
        <v>37</v>
      </c>
      <c r="AH402" s="12" t="s">
        <v>37</v>
      </c>
      <c r="AK402" s="12" t="s">
        <v>37</v>
      </c>
      <c r="AL402" s="32" t="s">
        <v>460</v>
      </c>
      <c r="AM402" s="12" t="s">
        <v>317</v>
      </c>
      <c r="AN402" s="32" t="s">
        <v>879</v>
      </c>
      <c r="AO402" s="12" t="s">
        <v>37</v>
      </c>
      <c r="AP402" s="56" t="s">
        <v>597</v>
      </c>
      <c r="AQ402" s="12" t="s">
        <v>849</v>
      </c>
      <c r="AT402" s="12" t="s">
        <v>326</v>
      </c>
      <c r="AU402" s="12" t="s">
        <v>326</v>
      </c>
      <c r="AV402" s="13" t="s">
        <v>326</v>
      </c>
      <c r="AX402" s="12" t="s">
        <v>326</v>
      </c>
      <c r="AY402" s="12" t="s">
        <v>326</v>
      </c>
      <c r="AZ402" s="13" t="s">
        <v>326</v>
      </c>
      <c r="BD402" s="12"/>
      <c r="BE402" s="12" t="s">
        <v>326</v>
      </c>
      <c r="BF402" s="12" t="s">
        <v>326</v>
      </c>
      <c r="BG402" s="12" t="s">
        <v>326</v>
      </c>
      <c r="BI402" s="12" t="s">
        <v>326</v>
      </c>
      <c r="BJ402" s="12" t="s">
        <v>326</v>
      </c>
      <c r="BK402" s="12" t="s">
        <v>326</v>
      </c>
      <c r="BP402" s="12" t="s">
        <v>37</v>
      </c>
      <c r="BQ402" s="12" t="s">
        <v>37</v>
      </c>
      <c r="BR402" s="13" t="s">
        <v>37</v>
      </c>
      <c r="BT402" s="12" t="s">
        <v>37</v>
      </c>
      <c r="BU402" s="12" t="s">
        <v>37</v>
      </c>
      <c r="BV402" s="12" t="s">
        <v>37</v>
      </c>
      <c r="BZ402" s="12" t="s">
        <v>47</v>
      </c>
      <c r="CA402" s="12">
        <f>-270.833333333333/'[6]classess-1'!$T$98</f>
        <v>-270.83333333333297</v>
      </c>
      <c r="CB402" s="50">
        <f>ABS(CA402)*CD$474</f>
        <v>66.031999741834312</v>
      </c>
      <c r="CC402" s="13">
        <v>1</v>
      </c>
      <c r="CE402" s="12">
        <f>-290.178571428571/'[6]classess-1'!$T$99</f>
        <v>-301.00679361702942</v>
      </c>
      <c r="CF402" s="50">
        <f>ABS(CE402)*CH$474</f>
        <v>112.05552708321424</v>
      </c>
      <c r="CG402" s="13">
        <v>1</v>
      </c>
      <c r="CI402" s="75">
        <f t="shared" si="1463"/>
        <v>-30.173460283696443</v>
      </c>
      <c r="CJ402" s="12" t="e">
        <f t="shared" si="1464"/>
        <v>#DIV/0!</v>
      </c>
      <c r="CK402" s="72" t="e">
        <f t="shared" si="1465"/>
        <v>#DIV/0!</v>
      </c>
      <c r="CL402" s="72">
        <f t="shared" si="1466"/>
        <v>16916.666139802568</v>
      </c>
      <c r="CM402" s="12" t="s">
        <v>47</v>
      </c>
      <c r="CN402" s="12">
        <f>205.621301775148/'[6]classess-1'!$I$98</f>
        <v>252.06998005563568</v>
      </c>
      <c r="CO402" s="50">
        <f>ABS(CN402)*CQ$474</f>
        <v>72.502210169132198</v>
      </c>
      <c r="CP402" s="13">
        <v>1</v>
      </c>
      <c r="CR402" s="12">
        <f>252.958579881657/'[6]classess-1'!$I$99</f>
        <v>294.16386131769627</v>
      </c>
      <c r="CS402" s="50">
        <f>ABS(CR402)*CU$474</f>
        <v>77.18599973909879</v>
      </c>
      <c r="CT402" s="13">
        <v>1</v>
      </c>
      <c r="CV402" s="75">
        <f>CR402-CN402</f>
        <v>42.093881262060592</v>
      </c>
      <c r="CW402" s="12" t="e">
        <f t="shared" si="1468"/>
        <v>#DIV/0!</v>
      </c>
      <c r="CX402" s="72" t="e">
        <f t="shared" si="1469"/>
        <v>#DIV/0!</v>
      </c>
      <c r="CY402" s="72">
        <f t="shared" si="1470"/>
        <v>11214.249035133174</v>
      </c>
      <c r="CZ402" s="12" t="s">
        <v>47</v>
      </c>
      <c r="DA402" s="12">
        <f t="shared" ref="DA402:DA408" si="1471">CA402+CN402</f>
        <v>-18.763353277697291</v>
      </c>
      <c r="DB402" s="50">
        <f t="shared" si="1448"/>
        <v>56.283615722391104</v>
      </c>
      <c r="DC402" s="13">
        <v>1</v>
      </c>
      <c r="DE402" s="12">
        <f t="shared" ref="DE402:DE408" si="1472">CE402+CR402</f>
        <v>-6.8429322993331425</v>
      </c>
      <c r="DF402" s="50">
        <f t="shared" si="1449"/>
        <v>6.5222916129904451</v>
      </c>
      <c r="DG402" s="13">
        <v>1</v>
      </c>
      <c r="DI402" s="19">
        <f t="shared" si="1450"/>
        <v>11.920420978364149</v>
      </c>
      <c r="DJ402" s="12" t="e">
        <f t="shared" si="1451"/>
        <v>#DIV/0!</v>
      </c>
      <c r="DK402" s="72" t="e">
        <f t="shared" si="1452"/>
        <v>#DIV/0!</v>
      </c>
      <c r="DL402" s="72">
        <f t="shared" si="1453"/>
        <v>3210.3856866706765</v>
      </c>
      <c r="DN402" s="19" t="s">
        <v>37</v>
      </c>
      <c r="DO402" s="12" t="s">
        <v>37</v>
      </c>
      <c r="DP402" s="13" t="s">
        <v>37</v>
      </c>
      <c r="DR402" s="19" t="s">
        <v>37</v>
      </c>
      <c r="DS402" s="12" t="s">
        <v>37</v>
      </c>
      <c r="DT402" s="13" t="s">
        <v>37</v>
      </c>
      <c r="EA402" s="19" t="s">
        <v>37</v>
      </c>
      <c r="EB402" s="19" t="s">
        <v>37</v>
      </c>
      <c r="EC402" s="72" t="s">
        <v>37</v>
      </c>
      <c r="EE402" s="19" t="s">
        <v>37</v>
      </c>
      <c r="EF402" s="19" t="s">
        <v>37</v>
      </c>
      <c r="EG402" s="12" t="s">
        <v>37</v>
      </c>
      <c r="EN402" s="12" t="s">
        <v>37</v>
      </c>
      <c r="EO402" s="12" t="s">
        <v>37</v>
      </c>
      <c r="EP402" s="13" t="s">
        <v>37</v>
      </c>
      <c r="ER402" s="12" t="s">
        <v>37</v>
      </c>
      <c r="ES402" s="12" t="s">
        <v>37</v>
      </c>
      <c r="ET402" s="13" t="s">
        <v>37</v>
      </c>
      <c r="FB402" s="12" t="s">
        <v>37</v>
      </c>
      <c r="FC402" s="12" t="s">
        <v>37</v>
      </c>
      <c r="FD402" s="12" t="s">
        <v>37</v>
      </c>
      <c r="FE402" s="12" t="s">
        <v>37</v>
      </c>
      <c r="FF402" s="12" t="s">
        <v>37</v>
      </c>
      <c r="FG402" s="12" t="s">
        <v>37</v>
      </c>
      <c r="FI402" s="12" t="s">
        <v>37</v>
      </c>
      <c r="FJ402" s="12" t="s">
        <v>37</v>
      </c>
      <c r="FK402" s="12" t="s">
        <v>37</v>
      </c>
      <c r="FL402" s="12" t="s">
        <v>37</v>
      </c>
      <c r="FM402" s="12" t="s">
        <v>37</v>
      </c>
      <c r="FN402" s="12" t="s">
        <v>37</v>
      </c>
      <c r="FP402" s="12" t="s">
        <v>37</v>
      </c>
      <c r="FQ402" s="12" t="s">
        <v>37</v>
      </c>
      <c r="FR402" s="12" t="s">
        <v>37</v>
      </c>
      <c r="FS402" s="12" t="s">
        <v>37</v>
      </c>
      <c r="FT402" s="12" t="s">
        <v>37</v>
      </c>
      <c r="FU402" s="12" t="s">
        <v>37</v>
      </c>
      <c r="FW402" s="12" t="s">
        <v>37</v>
      </c>
      <c r="FX402" s="12" t="s">
        <v>37</v>
      </c>
      <c r="FY402" s="12" t="s">
        <v>37</v>
      </c>
      <c r="FZ402" s="12" t="s">
        <v>37</v>
      </c>
      <c r="GA402" s="12" t="s">
        <v>37</v>
      </c>
      <c r="GB402" s="12" t="s">
        <v>37</v>
      </c>
      <c r="GG402" s="12"/>
      <c r="GK402" s="12"/>
      <c r="HP402" s="12"/>
      <c r="HT402" s="12"/>
      <c r="IA402" s="12"/>
      <c r="IE402" s="12"/>
      <c r="IK402" s="12" t="s">
        <v>37</v>
      </c>
      <c r="IL402" s="12" t="s">
        <v>37</v>
      </c>
      <c r="IM402" s="12" t="s">
        <v>37</v>
      </c>
      <c r="IO402" s="12" t="s">
        <v>37</v>
      </c>
      <c r="IP402" s="12" t="s">
        <v>37</v>
      </c>
      <c r="IQ402" s="12" t="s">
        <v>37</v>
      </c>
      <c r="IW402" s="12" t="s">
        <v>37</v>
      </c>
      <c r="IX402" s="12" t="s">
        <v>37</v>
      </c>
      <c r="IY402" s="12" t="s">
        <v>37</v>
      </c>
      <c r="JA402" s="12" t="s">
        <v>37</v>
      </c>
      <c r="JB402" s="12" t="s">
        <v>37</v>
      </c>
      <c r="JC402" s="12" t="s">
        <v>37</v>
      </c>
      <c r="JH402" s="12" t="s">
        <v>37</v>
      </c>
      <c r="JI402" s="12" t="s">
        <v>37</v>
      </c>
      <c r="JJ402" s="12" t="s">
        <v>37</v>
      </c>
      <c r="JL402" s="12" t="s">
        <v>37</v>
      </c>
      <c r="JM402" s="12" t="s">
        <v>37</v>
      </c>
      <c r="JN402" s="12" t="s">
        <v>37</v>
      </c>
      <c r="JS402" s="12" t="s">
        <v>37</v>
      </c>
      <c r="JT402" s="12" t="s">
        <v>37</v>
      </c>
      <c r="JU402" s="12" t="s">
        <v>37</v>
      </c>
      <c r="JW402" s="12" t="s">
        <v>37</v>
      </c>
      <c r="JX402" s="12" t="s">
        <v>37</v>
      </c>
      <c r="JY402" s="12" t="s">
        <v>37</v>
      </c>
      <c r="KE402" s="12" t="s">
        <v>37</v>
      </c>
      <c r="KF402" s="12" t="s">
        <v>37</v>
      </c>
      <c r="KG402" s="12" t="s">
        <v>37</v>
      </c>
      <c r="KH402" s="12" t="s">
        <v>37</v>
      </c>
      <c r="KI402" s="12" t="s">
        <v>37</v>
      </c>
      <c r="KJ402" s="12" t="s">
        <v>37</v>
      </c>
      <c r="KM402" s="12" t="s">
        <v>37</v>
      </c>
      <c r="KN402" s="12" t="s">
        <v>37</v>
      </c>
      <c r="KO402" s="12" t="s">
        <v>37</v>
      </c>
      <c r="KQ402" s="12" t="s">
        <v>37</v>
      </c>
      <c r="KR402" s="12" t="s">
        <v>37</v>
      </c>
      <c r="KS402" s="12" t="s">
        <v>37</v>
      </c>
      <c r="KX402" s="12" t="s">
        <v>37</v>
      </c>
      <c r="KY402" s="12" t="s">
        <v>37</v>
      </c>
      <c r="KZ402" s="12" t="s">
        <v>37</v>
      </c>
      <c r="LB402" s="12" t="s">
        <v>37</v>
      </c>
      <c r="LC402" s="12" t="s">
        <v>37</v>
      </c>
      <c r="LD402" s="12" t="s">
        <v>37</v>
      </c>
      <c r="LI402" s="12" t="s">
        <v>37</v>
      </c>
      <c r="LJ402" s="12" t="s">
        <v>37</v>
      </c>
      <c r="LK402" s="12" t="s">
        <v>37</v>
      </c>
      <c r="LM402" s="12" t="s">
        <v>37</v>
      </c>
      <c r="LN402" s="12" t="s">
        <v>37</v>
      </c>
      <c r="LO402" s="12" t="s">
        <v>37</v>
      </c>
      <c r="LU402" s="12" t="s">
        <v>37</v>
      </c>
      <c r="LV402" s="12" t="s">
        <v>37</v>
      </c>
      <c r="LW402" s="12" t="s">
        <v>37</v>
      </c>
      <c r="LY402" s="12" t="s">
        <v>37</v>
      </c>
      <c r="LZ402" s="12" t="s">
        <v>37</v>
      </c>
      <c r="MA402" s="12" t="s">
        <v>37</v>
      </c>
      <c r="MF402" s="12" t="s">
        <v>37</v>
      </c>
      <c r="MG402" s="12" t="s">
        <v>37</v>
      </c>
      <c r="MH402" s="12" t="s">
        <v>37</v>
      </c>
      <c r="MJ402" s="12" t="s">
        <v>37</v>
      </c>
      <c r="MK402" s="12" t="s">
        <v>37</v>
      </c>
      <c r="ML402" s="12" t="s">
        <v>37</v>
      </c>
      <c r="MQ402" s="12" t="s">
        <v>37</v>
      </c>
      <c r="MR402" s="12" t="s">
        <v>37</v>
      </c>
      <c r="MS402" s="12" t="s">
        <v>37</v>
      </c>
      <c r="MU402" s="12" t="s">
        <v>37</v>
      </c>
      <c r="MV402" s="12" t="s">
        <v>37</v>
      </c>
      <c r="MW402" s="12" t="s">
        <v>37</v>
      </c>
      <c r="NC402" s="12" t="s">
        <v>37</v>
      </c>
      <c r="ND402" s="12" t="s">
        <v>37</v>
      </c>
      <c r="NE402" s="12" t="s">
        <v>37</v>
      </c>
      <c r="NG402" s="12" t="s">
        <v>37</v>
      </c>
      <c r="NH402" s="12" t="s">
        <v>37</v>
      </c>
      <c r="NI402" s="12" t="s">
        <v>37</v>
      </c>
      <c r="NO402" s="12" t="s">
        <v>37</v>
      </c>
      <c r="NP402" s="12" t="s">
        <v>37</v>
      </c>
      <c r="NQ402" s="12" t="s">
        <v>37</v>
      </c>
      <c r="NS402" s="12" t="s">
        <v>37</v>
      </c>
      <c r="NT402" s="12" t="s">
        <v>37</v>
      </c>
      <c r="NU402" s="12" t="s">
        <v>37</v>
      </c>
      <c r="OA402" s="12" t="s">
        <v>37</v>
      </c>
      <c r="OB402" s="12" t="s">
        <v>37</v>
      </c>
      <c r="OC402" s="12" t="s">
        <v>37</v>
      </c>
      <c r="OD402" s="12"/>
      <c r="OE402" s="12" t="s">
        <v>37</v>
      </c>
      <c r="OF402" s="12" t="s">
        <v>37</v>
      </c>
      <c r="OG402" s="12" t="s">
        <v>37</v>
      </c>
      <c r="OH402" s="12"/>
      <c r="OI402" s="12"/>
      <c r="OJ402" s="12"/>
      <c r="OM402" s="12" t="s">
        <v>37</v>
      </c>
      <c r="ON402" s="12" t="s">
        <v>37</v>
      </c>
      <c r="OO402" s="12" t="s">
        <v>37</v>
      </c>
      <c r="OP402" s="12" t="s">
        <v>37</v>
      </c>
      <c r="OQ402" s="12" t="s">
        <v>37</v>
      </c>
      <c r="OR402" s="12" t="s">
        <v>37</v>
      </c>
      <c r="OS402" s="12"/>
      <c r="OT402" s="12"/>
      <c r="OW402" s="12" t="s">
        <v>37</v>
      </c>
      <c r="OX402" s="12" t="s">
        <v>37</v>
      </c>
      <c r="OY402" s="12" t="s">
        <v>37</v>
      </c>
      <c r="OZ402" s="12" t="s">
        <v>37</v>
      </c>
      <c r="PA402" s="12" t="s">
        <v>37</v>
      </c>
      <c r="PB402" s="12" t="s">
        <v>37</v>
      </c>
      <c r="PC402" s="12"/>
      <c r="PD402" s="12"/>
      <c r="PG402" s="12" t="s">
        <v>37</v>
      </c>
      <c r="PH402" s="12" t="s">
        <v>37</v>
      </c>
      <c r="PI402" s="12" t="s">
        <v>37</v>
      </c>
      <c r="PJ402" s="12" t="s">
        <v>37</v>
      </c>
      <c r="PK402" s="12" t="s">
        <v>37</v>
      </c>
      <c r="PL402" s="12" t="s">
        <v>37</v>
      </c>
      <c r="PM402" s="12"/>
      <c r="PN402" s="12"/>
      <c r="PQ402" s="12" t="s">
        <v>37</v>
      </c>
      <c r="PR402" s="12" t="s">
        <v>37</v>
      </c>
      <c r="PS402" s="12" t="s">
        <v>37</v>
      </c>
      <c r="PT402" s="12" t="s">
        <v>37</v>
      </c>
      <c r="PU402" s="12" t="s">
        <v>37</v>
      </c>
      <c r="PV402" s="12" t="s">
        <v>37</v>
      </c>
      <c r="PW402" s="12"/>
      <c r="PX402" s="12"/>
      <c r="PZ402" s="12" t="s">
        <v>37</v>
      </c>
      <c r="QA402" s="12" t="s">
        <v>37</v>
      </c>
      <c r="QB402" s="11" t="s">
        <v>37</v>
      </c>
      <c r="QD402" s="12" t="s">
        <v>37</v>
      </c>
      <c r="QE402" s="12" t="s">
        <v>37</v>
      </c>
      <c r="QF402" s="12" t="s">
        <v>37</v>
      </c>
      <c r="QK402" s="12" t="s">
        <v>37</v>
      </c>
      <c r="QL402" s="12" t="s">
        <v>37</v>
      </c>
      <c r="QM402" s="12" t="s">
        <v>37</v>
      </c>
      <c r="QN402" s="12" t="s">
        <v>37</v>
      </c>
      <c r="QO402" s="12" t="s">
        <v>37</v>
      </c>
      <c r="QP402" s="12" t="s">
        <v>37</v>
      </c>
      <c r="QQ402" s="12"/>
      <c r="QR402" s="12"/>
      <c r="QU402" s="12" t="s">
        <v>37</v>
      </c>
      <c r="QV402" s="12" t="s">
        <v>37</v>
      </c>
      <c r="QW402" s="12" t="s">
        <v>37</v>
      </c>
      <c r="QX402" s="12" t="s">
        <v>37</v>
      </c>
      <c r="QY402" s="12" t="s">
        <v>37</v>
      </c>
      <c r="QZ402" s="12" t="s">
        <v>37</v>
      </c>
      <c r="RC402" s="12" t="s">
        <v>37</v>
      </c>
      <c r="RD402" s="12" t="s">
        <v>37</v>
      </c>
      <c r="RE402" s="13" t="s">
        <v>37</v>
      </c>
      <c r="RF402" s="12" t="s">
        <v>37</v>
      </c>
      <c r="RG402" s="12" t="s">
        <v>37</v>
      </c>
      <c r="RH402" s="13" t="s">
        <v>37</v>
      </c>
      <c r="RK402" s="12" t="s">
        <v>37</v>
      </c>
      <c r="RL402" s="12" t="s">
        <v>37</v>
      </c>
      <c r="RM402" s="11" t="s">
        <v>37</v>
      </c>
      <c r="RN402" s="12" t="s">
        <v>37</v>
      </c>
      <c r="RO402" s="12" t="s">
        <v>37</v>
      </c>
      <c r="RP402" s="11" t="s">
        <v>37</v>
      </c>
      <c r="RS402" s="12" t="s">
        <v>37</v>
      </c>
      <c r="RT402" s="12" t="s">
        <v>37</v>
      </c>
      <c r="RU402" s="12" t="s">
        <v>37</v>
      </c>
      <c r="RV402" s="12" t="s">
        <v>37</v>
      </c>
      <c r="RW402" s="12" t="s">
        <v>37</v>
      </c>
      <c r="RX402" s="12" t="s">
        <v>37</v>
      </c>
      <c r="SA402" s="12" t="s">
        <v>37</v>
      </c>
      <c r="SB402" s="12" t="s">
        <v>37</v>
      </c>
      <c r="SC402" s="12" t="s">
        <v>37</v>
      </c>
      <c r="SD402" s="12" t="s">
        <v>37</v>
      </c>
      <c r="SE402" s="12" t="s">
        <v>37</v>
      </c>
      <c r="SF402" s="12" t="s">
        <v>37</v>
      </c>
      <c r="SI402" s="12" t="s">
        <v>37</v>
      </c>
      <c r="SJ402" s="12" t="s">
        <v>37</v>
      </c>
      <c r="SK402" s="13" t="s">
        <v>37</v>
      </c>
      <c r="SM402" s="12" t="s">
        <v>37</v>
      </c>
      <c r="SN402" s="12" t="s">
        <v>37</v>
      </c>
      <c r="SO402" s="13" t="s">
        <v>37</v>
      </c>
      <c r="SU402" s="12" t="s">
        <v>37</v>
      </c>
      <c r="SV402" s="12" t="s">
        <v>37</v>
      </c>
      <c r="SW402" s="11" t="s">
        <v>37</v>
      </c>
      <c r="SX402" s="12" t="s">
        <v>37</v>
      </c>
      <c r="SY402" s="12" t="s">
        <v>37</v>
      </c>
      <c r="SZ402" s="11" t="s">
        <v>37</v>
      </c>
      <c r="TE402" s="12" t="s">
        <v>37</v>
      </c>
      <c r="TF402" s="12" t="s">
        <v>37</v>
      </c>
      <c r="TG402" s="11" t="s">
        <v>37</v>
      </c>
      <c r="TH402" s="12" t="s">
        <v>37</v>
      </c>
      <c r="TI402" s="12" t="s">
        <v>37</v>
      </c>
      <c r="TJ402" s="11" t="s">
        <v>37</v>
      </c>
      <c r="TO402" s="12" t="s">
        <v>37</v>
      </c>
      <c r="TP402" s="12" t="s">
        <v>37</v>
      </c>
      <c r="TQ402" s="11" t="s">
        <v>37</v>
      </c>
      <c r="TR402" s="12" t="s">
        <v>37</v>
      </c>
      <c r="TS402" s="12" t="s">
        <v>37</v>
      </c>
      <c r="TT402" s="11" t="s">
        <v>37</v>
      </c>
      <c r="TY402" s="12" t="s">
        <v>37</v>
      </c>
      <c r="TZ402" s="12" t="s">
        <v>37</v>
      </c>
      <c r="UA402" s="12" t="s">
        <v>37</v>
      </c>
      <c r="UB402" s="12" t="s">
        <v>37</v>
      </c>
      <c r="UC402" s="12" t="s">
        <v>37</v>
      </c>
      <c r="UD402" s="12" t="s">
        <v>37</v>
      </c>
      <c r="UE402" s="12"/>
      <c r="UF402" s="12"/>
      <c r="UI402" s="12" t="s">
        <v>37</v>
      </c>
      <c r="UJ402" s="12" t="s">
        <v>37</v>
      </c>
      <c r="UK402" s="12" t="s">
        <v>37</v>
      </c>
      <c r="UL402" s="12" t="s">
        <v>37</v>
      </c>
      <c r="UM402" s="12" t="s">
        <v>37</v>
      </c>
      <c r="UN402" s="12" t="s">
        <v>37</v>
      </c>
      <c r="UO402" s="12"/>
      <c r="UP402" s="12"/>
      <c r="UR402" s="12" t="s">
        <v>37</v>
      </c>
      <c r="US402" s="12" t="s">
        <v>37</v>
      </c>
      <c r="UT402" s="12" t="s">
        <v>37</v>
      </c>
      <c r="UU402" s="12" t="s">
        <v>37</v>
      </c>
      <c r="UV402" s="12" t="s">
        <v>37</v>
      </c>
      <c r="UW402" s="12" t="s">
        <v>37</v>
      </c>
      <c r="UX402" s="12"/>
      <c r="UY402" s="12"/>
      <c r="VB402" s="12" t="s">
        <v>37</v>
      </c>
      <c r="VC402" s="12" t="s">
        <v>37</v>
      </c>
      <c r="VD402" s="12" t="s">
        <v>37</v>
      </c>
      <c r="VE402" s="12" t="s">
        <v>37</v>
      </c>
      <c r="VF402" s="12" t="s">
        <v>37</v>
      </c>
      <c r="VG402" s="12" t="s">
        <v>37</v>
      </c>
      <c r="VI402" s="12" t="s">
        <v>37</v>
      </c>
      <c r="VJ402" s="12" t="s">
        <v>37</v>
      </c>
      <c r="VK402" s="12" t="s">
        <v>37</v>
      </c>
      <c r="VL402" s="12" t="s">
        <v>37</v>
      </c>
      <c r="VM402" s="12" t="s">
        <v>37</v>
      </c>
      <c r="VN402" s="12" t="s">
        <v>37</v>
      </c>
      <c r="VQ402" s="13" t="s">
        <v>37</v>
      </c>
      <c r="VR402" s="13" t="s">
        <v>37</v>
      </c>
      <c r="VS402" s="13" t="s">
        <v>37</v>
      </c>
      <c r="VT402" s="13" t="s">
        <v>37</v>
      </c>
      <c r="VU402" s="13" t="s">
        <v>37</v>
      </c>
      <c r="VV402" s="13" t="s">
        <v>37</v>
      </c>
      <c r="WA402" s="13" t="s">
        <v>37</v>
      </c>
      <c r="WB402" s="13" t="s">
        <v>37</v>
      </c>
      <c r="WC402" s="13" t="s">
        <v>37</v>
      </c>
      <c r="WD402" s="13" t="s">
        <v>37</v>
      </c>
      <c r="WE402" s="13" t="s">
        <v>37</v>
      </c>
      <c r="WF402" s="13" t="s">
        <v>37</v>
      </c>
    </row>
    <row r="403" spans="1:606" ht="18" customHeight="1" x14ac:dyDescent="0.3">
      <c r="A403" s="11">
        <v>87</v>
      </c>
      <c r="B403" s="16" t="s">
        <v>604</v>
      </c>
      <c r="C403" s="12" t="s">
        <v>26</v>
      </c>
      <c r="D403" s="12" t="s">
        <v>973</v>
      </c>
      <c r="E403" s="40" t="s">
        <v>37</v>
      </c>
      <c r="F403" s="14">
        <v>0</v>
      </c>
      <c r="G403" s="14">
        <v>0</v>
      </c>
      <c r="H403" s="12" t="s">
        <v>313</v>
      </c>
      <c r="I403" s="29">
        <v>69.599999999999994</v>
      </c>
      <c r="J403" s="29">
        <v>161.34100000000001</v>
      </c>
      <c r="K403" s="12">
        <v>68.61</v>
      </c>
      <c r="L403" s="12">
        <v>161.34</v>
      </c>
      <c r="M403" s="13" t="s">
        <v>37</v>
      </c>
      <c r="N403" s="14">
        <v>-10</v>
      </c>
      <c r="O403" s="14">
        <v>172</v>
      </c>
      <c r="P403" s="14" t="s">
        <v>84</v>
      </c>
      <c r="Q403" s="75">
        <v>12</v>
      </c>
      <c r="R403" s="11" t="s">
        <v>37</v>
      </c>
      <c r="S403" s="12" t="s">
        <v>85</v>
      </c>
      <c r="T403" s="16" t="s">
        <v>138</v>
      </c>
      <c r="U403" s="12" t="s">
        <v>158</v>
      </c>
      <c r="V403" s="12" t="s">
        <v>274</v>
      </c>
      <c r="W403" s="23" t="s">
        <v>314</v>
      </c>
      <c r="X403" s="12" t="s">
        <v>280</v>
      </c>
      <c r="Y403" s="12" t="s">
        <v>37</v>
      </c>
      <c r="Z403" s="12" t="s">
        <v>37</v>
      </c>
      <c r="AB403" s="12" t="s">
        <v>37</v>
      </c>
      <c r="AE403" s="12" t="s">
        <v>37</v>
      </c>
      <c r="AH403" s="12" t="s">
        <v>37</v>
      </c>
      <c r="AK403" s="12" t="s">
        <v>37</v>
      </c>
      <c r="AL403" s="32" t="s">
        <v>461</v>
      </c>
      <c r="AM403" s="12" t="s">
        <v>317</v>
      </c>
      <c r="AN403" s="32" t="s">
        <v>879</v>
      </c>
      <c r="AO403" s="12" t="s">
        <v>37</v>
      </c>
      <c r="AP403" s="56" t="s">
        <v>597</v>
      </c>
      <c r="AQ403" s="12" t="s">
        <v>849</v>
      </c>
      <c r="AT403" s="12" t="s">
        <v>326</v>
      </c>
      <c r="AU403" s="12" t="s">
        <v>326</v>
      </c>
      <c r="AV403" s="13" t="s">
        <v>326</v>
      </c>
      <c r="AX403" s="12" t="s">
        <v>326</v>
      </c>
      <c r="AY403" s="12" t="s">
        <v>326</v>
      </c>
      <c r="AZ403" s="13" t="s">
        <v>326</v>
      </c>
      <c r="BD403" s="12"/>
      <c r="BE403" s="12" t="s">
        <v>326</v>
      </c>
      <c r="BF403" s="12" t="s">
        <v>326</v>
      </c>
      <c r="BG403" s="12" t="s">
        <v>326</v>
      </c>
      <c r="BI403" s="12" t="s">
        <v>326</v>
      </c>
      <c r="BJ403" s="12" t="s">
        <v>326</v>
      </c>
      <c r="BK403" s="12" t="s">
        <v>326</v>
      </c>
      <c r="BP403" s="12" t="s">
        <v>37</v>
      </c>
      <c r="BQ403" s="12" t="s">
        <v>37</v>
      </c>
      <c r="BR403" s="13" t="s">
        <v>37</v>
      </c>
      <c r="BT403" s="12" t="s">
        <v>37</v>
      </c>
      <c r="BU403" s="12" t="s">
        <v>37</v>
      </c>
      <c r="BV403" s="12" t="s">
        <v>37</v>
      </c>
      <c r="BZ403" s="12" t="s">
        <v>47</v>
      </c>
      <c r="CA403" s="12">
        <f>-241.071428571429/'[6]classess-1'!$T$98</f>
        <v>-241.07142857142901</v>
      </c>
      <c r="CB403" s="50">
        <f>ABS(CA403)*CD$474</f>
        <v>58.775736033940618</v>
      </c>
      <c r="CC403" s="13">
        <v>1</v>
      </c>
      <c r="CE403" s="12">
        <f>-261.904761904762/'[6]classess-1'!$T$99</f>
        <v>-271.67792654665266</v>
      </c>
      <c r="CF403" s="50">
        <f>ABS(CE403)*CH$474</f>
        <v>101.13729623920892</v>
      </c>
      <c r="CG403" s="13">
        <v>1</v>
      </c>
      <c r="CI403" s="75">
        <f t="shared" si="1463"/>
        <v>-30.606497975223647</v>
      </c>
      <c r="CJ403" s="12" t="e">
        <f t="shared" si="1464"/>
        <v>#DIV/0!</v>
      </c>
      <c r="CK403" s="72" t="e">
        <f t="shared" si="1465"/>
        <v>#DIV/0!</v>
      </c>
      <c r="CL403" s="72">
        <f t="shared" si="1466"/>
        <v>13683.339836908968</v>
      </c>
      <c r="CM403" s="12" t="s">
        <v>47</v>
      </c>
      <c r="CN403" s="12">
        <f>177.514792899408/'[6]classess-1'!$I$98</f>
        <v>217.61437127105197</v>
      </c>
      <c r="CO403" s="50">
        <f>ABS(CN403)*CQ$474</f>
        <v>62.591836117236312</v>
      </c>
      <c r="CP403" s="13">
        <v>1</v>
      </c>
      <c r="CR403" s="12">
        <f>254.437869822485/'[6]classess-1'!$I$99</f>
        <v>295.88411781662973</v>
      </c>
      <c r="CS403" s="50">
        <f>ABS(CR403)*CU$474</f>
        <v>77.637379854532</v>
      </c>
      <c r="CT403" s="13">
        <v>1</v>
      </c>
      <c r="CV403" s="75">
        <f t="shared" si="1467"/>
        <v>78.26974654557776</v>
      </c>
      <c r="CW403" s="12" t="e">
        <f t="shared" si="1468"/>
        <v>#DIV/0!</v>
      </c>
      <c r="CX403" s="72" t="e">
        <f t="shared" si="1469"/>
        <v>#DIV/0!</v>
      </c>
      <c r="CY403" s="72">
        <f t="shared" si="1470"/>
        <v>9945.300699203859</v>
      </c>
      <c r="CZ403" s="12" t="s">
        <v>47</v>
      </c>
      <c r="DA403" s="12">
        <f t="shared" si="1471"/>
        <v>-23.457057300377045</v>
      </c>
      <c r="DB403" s="50">
        <f t="shared" si="1448"/>
        <v>70.363115778554274</v>
      </c>
      <c r="DC403" s="13">
        <v>1</v>
      </c>
      <c r="DE403" s="12">
        <f t="shared" si="1472"/>
        <v>24.206191269977069</v>
      </c>
      <c r="DF403" s="50">
        <f t="shared" si="1449"/>
        <v>23.071956786420301</v>
      </c>
      <c r="DG403" s="13">
        <v>1</v>
      </c>
      <c r="DI403" s="19">
        <f t="shared" si="1450"/>
        <v>47.663248570354114</v>
      </c>
      <c r="DJ403" s="12" t="e">
        <f t="shared" si="1451"/>
        <v>#DIV/0!</v>
      </c>
      <c r="DK403" s="72" t="e">
        <f t="shared" si="1452"/>
        <v>#DIV/0!</v>
      </c>
      <c r="DL403" s="72">
        <f t="shared" si="1453"/>
        <v>5483.2832520206794</v>
      </c>
      <c r="DN403" s="19" t="s">
        <v>37</v>
      </c>
      <c r="DO403" s="12" t="s">
        <v>37</v>
      </c>
      <c r="DP403" s="13" t="s">
        <v>37</v>
      </c>
      <c r="DR403" s="19" t="s">
        <v>37</v>
      </c>
      <c r="DS403" s="12" t="s">
        <v>37</v>
      </c>
      <c r="DT403" s="13" t="s">
        <v>37</v>
      </c>
      <c r="DV403" s="52"/>
      <c r="DW403" s="52"/>
      <c r="EA403" s="19" t="s">
        <v>37</v>
      </c>
      <c r="EB403" s="19" t="s">
        <v>37</v>
      </c>
      <c r="EC403" s="72" t="s">
        <v>37</v>
      </c>
      <c r="EE403" s="19" t="s">
        <v>37</v>
      </c>
      <c r="EF403" s="19" t="s">
        <v>37</v>
      </c>
      <c r="EG403" s="12" t="s">
        <v>37</v>
      </c>
      <c r="EN403" s="12" t="s">
        <v>37</v>
      </c>
      <c r="EO403" s="12" t="s">
        <v>37</v>
      </c>
      <c r="EP403" s="13" t="s">
        <v>37</v>
      </c>
      <c r="ER403" s="12" t="s">
        <v>37</v>
      </c>
      <c r="ES403" s="12" t="s">
        <v>37</v>
      </c>
      <c r="ET403" s="13" t="s">
        <v>37</v>
      </c>
      <c r="FB403" s="12" t="s">
        <v>37</v>
      </c>
      <c r="FC403" s="12" t="s">
        <v>37</v>
      </c>
      <c r="FD403" s="12" t="s">
        <v>37</v>
      </c>
      <c r="FE403" s="12" t="s">
        <v>37</v>
      </c>
      <c r="FF403" s="12" t="s">
        <v>37</v>
      </c>
      <c r="FG403" s="12" t="s">
        <v>37</v>
      </c>
      <c r="FI403" s="12" t="s">
        <v>37</v>
      </c>
      <c r="FJ403" s="12" t="s">
        <v>37</v>
      </c>
      <c r="FK403" s="12" t="s">
        <v>37</v>
      </c>
      <c r="FL403" s="12" t="s">
        <v>37</v>
      </c>
      <c r="FM403" s="12" t="s">
        <v>37</v>
      </c>
      <c r="FN403" s="12" t="s">
        <v>37</v>
      </c>
      <c r="FP403" s="12" t="s">
        <v>37</v>
      </c>
      <c r="FQ403" s="12" t="s">
        <v>37</v>
      </c>
      <c r="FR403" s="12" t="s">
        <v>37</v>
      </c>
      <c r="FS403" s="12" t="s">
        <v>37</v>
      </c>
      <c r="FT403" s="12" t="s">
        <v>37</v>
      </c>
      <c r="FU403" s="12" t="s">
        <v>37</v>
      </c>
      <c r="FW403" s="12" t="s">
        <v>37</v>
      </c>
      <c r="FX403" s="12" t="s">
        <v>37</v>
      </c>
      <c r="FY403" s="12" t="s">
        <v>37</v>
      </c>
      <c r="FZ403" s="12" t="s">
        <v>37</v>
      </c>
      <c r="GA403" s="12" t="s">
        <v>37</v>
      </c>
      <c r="GB403" s="12" t="s">
        <v>37</v>
      </c>
      <c r="GG403" s="12"/>
      <c r="GK403" s="12"/>
      <c r="HP403" s="12"/>
      <c r="HT403" s="12"/>
      <c r="IA403" s="12"/>
      <c r="IE403" s="12"/>
      <c r="IK403" s="12" t="s">
        <v>37</v>
      </c>
      <c r="IL403" s="12" t="s">
        <v>37</v>
      </c>
      <c r="IM403" s="12" t="s">
        <v>37</v>
      </c>
      <c r="IO403" s="12" t="s">
        <v>37</v>
      </c>
      <c r="IP403" s="12" t="s">
        <v>37</v>
      </c>
      <c r="IQ403" s="12" t="s">
        <v>37</v>
      </c>
      <c r="IW403" s="12" t="s">
        <v>37</v>
      </c>
      <c r="IX403" s="12" t="s">
        <v>37</v>
      </c>
      <c r="IY403" s="12" t="s">
        <v>37</v>
      </c>
      <c r="JA403" s="12" t="s">
        <v>37</v>
      </c>
      <c r="JB403" s="12" t="s">
        <v>37</v>
      </c>
      <c r="JC403" s="12" t="s">
        <v>37</v>
      </c>
      <c r="JH403" s="12" t="s">
        <v>37</v>
      </c>
      <c r="JI403" s="12" t="s">
        <v>37</v>
      </c>
      <c r="JJ403" s="12" t="s">
        <v>37</v>
      </c>
      <c r="JL403" s="12" t="s">
        <v>37</v>
      </c>
      <c r="JM403" s="12" t="s">
        <v>37</v>
      </c>
      <c r="JN403" s="12" t="s">
        <v>37</v>
      </c>
      <c r="JS403" s="12" t="s">
        <v>37</v>
      </c>
      <c r="JT403" s="12" t="s">
        <v>37</v>
      </c>
      <c r="JU403" s="12" t="s">
        <v>37</v>
      </c>
      <c r="JW403" s="12" t="s">
        <v>37</v>
      </c>
      <c r="JX403" s="12" t="s">
        <v>37</v>
      </c>
      <c r="JY403" s="12" t="s">
        <v>37</v>
      </c>
      <c r="KE403" s="12" t="s">
        <v>37</v>
      </c>
      <c r="KF403" s="12" t="s">
        <v>37</v>
      </c>
      <c r="KG403" s="12" t="s">
        <v>37</v>
      </c>
      <c r="KH403" s="12" t="s">
        <v>37</v>
      </c>
      <c r="KI403" s="12" t="s">
        <v>37</v>
      </c>
      <c r="KJ403" s="12" t="s">
        <v>37</v>
      </c>
      <c r="KM403" s="12" t="s">
        <v>37</v>
      </c>
      <c r="KN403" s="12" t="s">
        <v>37</v>
      </c>
      <c r="KO403" s="12" t="s">
        <v>37</v>
      </c>
      <c r="KQ403" s="12" t="s">
        <v>37</v>
      </c>
      <c r="KR403" s="12" t="s">
        <v>37</v>
      </c>
      <c r="KS403" s="12" t="s">
        <v>37</v>
      </c>
      <c r="KX403" s="12" t="s">
        <v>37</v>
      </c>
      <c r="KY403" s="12" t="s">
        <v>37</v>
      </c>
      <c r="KZ403" s="12" t="s">
        <v>37</v>
      </c>
      <c r="LB403" s="12" t="s">
        <v>37</v>
      </c>
      <c r="LC403" s="12" t="s">
        <v>37</v>
      </c>
      <c r="LD403" s="12" t="s">
        <v>37</v>
      </c>
      <c r="LI403" s="12" t="s">
        <v>37</v>
      </c>
      <c r="LJ403" s="12" t="s">
        <v>37</v>
      </c>
      <c r="LK403" s="12" t="s">
        <v>37</v>
      </c>
      <c r="LM403" s="12" t="s">
        <v>37</v>
      </c>
      <c r="LN403" s="12" t="s">
        <v>37</v>
      </c>
      <c r="LO403" s="12" t="s">
        <v>37</v>
      </c>
      <c r="LU403" s="12" t="s">
        <v>37</v>
      </c>
      <c r="LV403" s="12" t="s">
        <v>37</v>
      </c>
      <c r="LW403" s="12" t="s">
        <v>37</v>
      </c>
      <c r="LY403" s="12" t="s">
        <v>37</v>
      </c>
      <c r="LZ403" s="12" t="s">
        <v>37</v>
      </c>
      <c r="MA403" s="12" t="s">
        <v>37</v>
      </c>
      <c r="MF403" s="12" t="s">
        <v>37</v>
      </c>
      <c r="MG403" s="12" t="s">
        <v>37</v>
      </c>
      <c r="MH403" s="12" t="s">
        <v>37</v>
      </c>
      <c r="MJ403" s="12" t="s">
        <v>37</v>
      </c>
      <c r="MK403" s="12" t="s">
        <v>37</v>
      </c>
      <c r="ML403" s="12" t="s">
        <v>37</v>
      </c>
      <c r="MQ403" s="12" t="s">
        <v>37</v>
      </c>
      <c r="MR403" s="12" t="s">
        <v>37</v>
      </c>
      <c r="MS403" s="12" t="s">
        <v>37</v>
      </c>
      <c r="MU403" s="12" t="s">
        <v>37</v>
      </c>
      <c r="MV403" s="12" t="s">
        <v>37</v>
      </c>
      <c r="MW403" s="12" t="s">
        <v>37</v>
      </c>
      <c r="NC403" s="12" t="s">
        <v>37</v>
      </c>
      <c r="ND403" s="12" t="s">
        <v>37</v>
      </c>
      <c r="NE403" s="12" t="s">
        <v>37</v>
      </c>
      <c r="NG403" s="12" t="s">
        <v>37</v>
      </c>
      <c r="NH403" s="12" t="s">
        <v>37</v>
      </c>
      <c r="NI403" s="12" t="s">
        <v>37</v>
      </c>
      <c r="NO403" s="12" t="s">
        <v>37</v>
      </c>
      <c r="NP403" s="12" t="s">
        <v>37</v>
      </c>
      <c r="NQ403" s="12" t="s">
        <v>37</v>
      </c>
      <c r="NS403" s="12" t="s">
        <v>37</v>
      </c>
      <c r="NT403" s="12" t="s">
        <v>37</v>
      </c>
      <c r="NU403" s="12" t="s">
        <v>37</v>
      </c>
      <c r="OA403" s="12" t="s">
        <v>37</v>
      </c>
      <c r="OB403" s="12" t="s">
        <v>37</v>
      </c>
      <c r="OC403" s="12" t="s">
        <v>37</v>
      </c>
      <c r="OD403" s="12"/>
      <c r="OE403" s="12" t="s">
        <v>37</v>
      </c>
      <c r="OF403" s="12" t="s">
        <v>37</v>
      </c>
      <c r="OG403" s="12" t="s">
        <v>37</v>
      </c>
      <c r="OH403" s="12"/>
      <c r="OI403" s="12"/>
      <c r="OJ403" s="12"/>
      <c r="OM403" s="12" t="s">
        <v>37</v>
      </c>
      <c r="ON403" s="12" t="s">
        <v>37</v>
      </c>
      <c r="OO403" s="12" t="s">
        <v>37</v>
      </c>
      <c r="OP403" s="12" t="s">
        <v>37</v>
      </c>
      <c r="OQ403" s="12" t="s">
        <v>37</v>
      </c>
      <c r="OR403" s="12" t="s">
        <v>37</v>
      </c>
      <c r="OS403" s="12"/>
      <c r="OT403" s="12"/>
      <c r="OW403" s="12" t="s">
        <v>37</v>
      </c>
      <c r="OX403" s="12" t="s">
        <v>37</v>
      </c>
      <c r="OY403" s="12" t="s">
        <v>37</v>
      </c>
      <c r="OZ403" s="12" t="s">
        <v>37</v>
      </c>
      <c r="PA403" s="12" t="s">
        <v>37</v>
      </c>
      <c r="PB403" s="12" t="s">
        <v>37</v>
      </c>
      <c r="PC403" s="12"/>
      <c r="PD403" s="12"/>
      <c r="PG403" s="12" t="s">
        <v>37</v>
      </c>
      <c r="PH403" s="12" t="s">
        <v>37</v>
      </c>
      <c r="PI403" s="12" t="s">
        <v>37</v>
      </c>
      <c r="PJ403" s="12" t="s">
        <v>37</v>
      </c>
      <c r="PK403" s="12" t="s">
        <v>37</v>
      </c>
      <c r="PL403" s="12" t="s">
        <v>37</v>
      </c>
      <c r="PM403" s="12"/>
      <c r="PN403" s="12"/>
      <c r="PQ403" s="12" t="s">
        <v>37</v>
      </c>
      <c r="PR403" s="12" t="s">
        <v>37</v>
      </c>
      <c r="PS403" s="12" t="s">
        <v>37</v>
      </c>
      <c r="PT403" s="12" t="s">
        <v>37</v>
      </c>
      <c r="PU403" s="12" t="s">
        <v>37</v>
      </c>
      <c r="PV403" s="12" t="s">
        <v>37</v>
      </c>
      <c r="PW403" s="12"/>
      <c r="PX403" s="12"/>
      <c r="PZ403" s="12" t="s">
        <v>37</v>
      </c>
      <c r="QA403" s="12" t="s">
        <v>37</v>
      </c>
      <c r="QB403" s="11" t="s">
        <v>37</v>
      </c>
      <c r="QD403" s="12" t="s">
        <v>37</v>
      </c>
      <c r="QE403" s="12" t="s">
        <v>37</v>
      </c>
      <c r="QF403" s="12" t="s">
        <v>37</v>
      </c>
      <c r="QK403" s="12" t="s">
        <v>37</v>
      </c>
      <c r="QL403" s="12" t="s">
        <v>37</v>
      </c>
      <c r="QM403" s="12" t="s">
        <v>37</v>
      </c>
      <c r="QN403" s="12" t="s">
        <v>37</v>
      </c>
      <c r="QO403" s="12" t="s">
        <v>37</v>
      </c>
      <c r="QP403" s="12" t="s">
        <v>37</v>
      </c>
      <c r="QQ403" s="12"/>
      <c r="QR403" s="12"/>
      <c r="QU403" s="12" t="s">
        <v>37</v>
      </c>
      <c r="QV403" s="12" t="s">
        <v>37</v>
      </c>
      <c r="QW403" s="12" t="s">
        <v>37</v>
      </c>
      <c r="QX403" s="12" t="s">
        <v>37</v>
      </c>
      <c r="QY403" s="12" t="s">
        <v>37</v>
      </c>
      <c r="QZ403" s="12" t="s">
        <v>37</v>
      </c>
      <c r="RC403" s="12" t="s">
        <v>37</v>
      </c>
      <c r="RD403" s="12" t="s">
        <v>37</v>
      </c>
      <c r="RE403" s="13" t="s">
        <v>37</v>
      </c>
      <c r="RF403" s="12" t="s">
        <v>37</v>
      </c>
      <c r="RG403" s="12" t="s">
        <v>37</v>
      </c>
      <c r="RH403" s="13" t="s">
        <v>37</v>
      </c>
      <c r="RK403" s="12" t="s">
        <v>37</v>
      </c>
      <c r="RL403" s="12" t="s">
        <v>37</v>
      </c>
      <c r="RM403" s="11" t="s">
        <v>37</v>
      </c>
      <c r="RN403" s="12" t="s">
        <v>37</v>
      </c>
      <c r="RO403" s="12" t="s">
        <v>37</v>
      </c>
      <c r="RP403" s="11" t="s">
        <v>37</v>
      </c>
      <c r="RS403" s="12" t="s">
        <v>37</v>
      </c>
      <c r="RT403" s="12" t="s">
        <v>37</v>
      </c>
      <c r="RU403" s="12" t="s">
        <v>37</v>
      </c>
      <c r="RV403" s="12" t="s">
        <v>37</v>
      </c>
      <c r="RW403" s="12" t="s">
        <v>37</v>
      </c>
      <c r="RX403" s="12" t="s">
        <v>37</v>
      </c>
      <c r="SA403" s="12" t="s">
        <v>37</v>
      </c>
      <c r="SB403" s="12" t="s">
        <v>37</v>
      </c>
      <c r="SC403" s="12" t="s">
        <v>37</v>
      </c>
      <c r="SD403" s="12" t="s">
        <v>37</v>
      </c>
      <c r="SE403" s="12" t="s">
        <v>37</v>
      </c>
      <c r="SF403" s="12" t="s">
        <v>37</v>
      </c>
      <c r="SI403" s="12" t="s">
        <v>37</v>
      </c>
      <c r="SJ403" s="12" t="s">
        <v>37</v>
      </c>
      <c r="SK403" s="13" t="s">
        <v>37</v>
      </c>
      <c r="SM403" s="12" t="s">
        <v>37</v>
      </c>
      <c r="SN403" s="12" t="s">
        <v>37</v>
      </c>
      <c r="SO403" s="13" t="s">
        <v>37</v>
      </c>
      <c r="SU403" s="12" t="s">
        <v>37</v>
      </c>
      <c r="SV403" s="12" t="s">
        <v>37</v>
      </c>
      <c r="SW403" s="11" t="s">
        <v>37</v>
      </c>
      <c r="SX403" s="12" t="s">
        <v>37</v>
      </c>
      <c r="SY403" s="12" t="s">
        <v>37</v>
      </c>
      <c r="SZ403" s="11" t="s">
        <v>37</v>
      </c>
      <c r="TE403" s="12" t="s">
        <v>37</v>
      </c>
      <c r="TF403" s="12" t="s">
        <v>37</v>
      </c>
      <c r="TG403" s="11" t="s">
        <v>37</v>
      </c>
      <c r="TH403" s="12" t="s">
        <v>37</v>
      </c>
      <c r="TI403" s="12" t="s">
        <v>37</v>
      </c>
      <c r="TJ403" s="11" t="s">
        <v>37</v>
      </c>
      <c r="TO403" s="12" t="s">
        <v>37</v>
      </c>
      <c r="TP403" s="12" t="s">
        <v>37</v>
      </c>
      <c r="TQ403" s="11" t="s">
        <v>37</v>
      </c>
      <c r="TR403" s="12" t="s">
        <v>37</v>
      </c>
      <c r="TS403" s="12" t="s">
        <v>37</v>
      </c>
      <c r="TT403" s="11" t="s">
        <v>37</v>
      </c>
      <c r="TY403" s="12" t="s">
        <v>37</v>
      </c>
      <c r="TZ403" s="12" t="s">
        <v>37</v>
      </c>
      <c r="UA403" s="12" t="s">
        <v>37</v>
      </c>
      <c r="UB403" s="12" t="s">
        <v>37</v>
      </c>
      <c r="UC403" s="12" t="s">
        <v>37</v>
      </c>
      <c r="UD403" s="12" t="s">
        <v>37</v>
      </c>
      <c r="UE403" s="12"/>
      <c r="UF403" s="12"/>
      <c r="UI403" s="12" t="s">
        <v>37</v>
      </c>
      <c r="UJ403" s="12" t="s">
        <v>37</v>
      </c>
      <c r="UK403" s="12" t="s">
        <v>37</v>
      </c>
      <c r="UL403" s="12" t="s">
        <v>37</v>
      </c>
      <c r="UM403" s="12" t="s">
        <v>37</v>
      </c>
      <c r="UN403" s="12" t="s">
        <v>37</v>
      </c>
      <c r="UO403" s="12"/>
      <c r="UP403" s="12"/>
      <c r="UR403" s="12" t="s">
        <v>37</v>
      </c>
      <c r="US403" s="12" t="s">
        <v>37</v>
      </c>
      <c r="UT403" s="12" t="s">
        <v>37</v>
      </c>
      <c r="UU403" s="12" t="s">
        <v>37</v>
      </c>
      <c r="UV403" s="12" t="s">
        <v>37</v>
      </c>
      <c r="UW403" s="12" t="s">
        <v>37</v>
      </c>
      <c r="UX403" s="12"/>
      <c r="UY403" s="12"/>
      <c r="VB403" s="12" t="s">
        <v>37</v>
      </c>
      <c r="VC403" s="12" t="s">
        <v>37</v>
      </c>
      <c r="VD403" s="12" t="s">
        <v>37</v>
      </c>
      <c r="VE403" s="12" t="s">
        <v>37</v>
      </c>
      <c r="VF403" s="12" t="s">
        <v>37</v>
      </c>
      <c r="VG403" s="12" t="s">
        <v>37</v>
      </c>
      <c r="VI403" s="12" t="s">
        <v>37</v>
      </c>
      <c r="VJ403" s="12" t="s">
        <v>37</v>
      </c>
      <c r="VK403" s="12" t="s">
        <v>37</v>
      </c>
      <c r="VL403" s="12" t="s">
        <v>37</v>
      </c>
      <c r="VM403" s="12" t="s">
        <v>37</v>
      </c>
      <c r="VN403" s="12" t="s">
        <v>37</v>
      </c>
      <c r="VQ403" s="13" t="s">
        <v>37</v>
      </c>
      <c r="VR403" s="13" t="s">
        <v>37</v>
      </c>
      <c r="VS403" s="13" t="s">
        <v>37</v>
      </c>
      <c r="VT403" s="13" t="s">
        <v>37</v>
      </c>
      <c r="VU403" s="13" t="s">
        <v>37</v>
      </c>
      <c r="VV403" s="13" t="s">
        <v>37</v>
      </c>
      <c r="WA403" s="13" t="s">
        <v>37</v>
      </c>
      <c r="WB403" s="13" t="s">
        <v>37</v>
      </c>
      <c r="WC403" s="13" t="s">
        <v>37</v>
      </c>
      <c r="WD403" s="13" t="s">
        <v>37</v>
      </c>
      <c r="WE403" s="13" t="s">
        <v>37</v>
      </c>
      <c r="WF403" s="13" t="s">
        <v>37</v>
      </c>
    </row>
    <row r="404" spans="1:606" ht="18" customHeight="1" x14ac:dyDescent="0.3">
      <c r="A404" s="11">
        <v>88</v>
      </c>
      <c r="B404" s="16" t="s">
        <v>605</v>
      </c>
      <c r="C404" s="12" t="s">
        <v>26</v>
      </c>
      <c r="D404" s="12" t="s">
        <v>973</v>
      </c>
      <c r="E404" s="40" t="s">
        <v>37</v>
      </c>
      <c r="F404" s="14">
        <v>0</v>
      </c>
      <c r="G404" s="14">
        <v>0</v>
      </c>
      <c r="H404" s="12" t="s">
        <v>313</v>
      </c>
      <c r="I404" s="29">
        <v>68.613</v>
      </c>
      <c r="J404" s="29">
        <v>162.34100000000001</v>
      </c>
      <c r="K404" s="12" t="s">
        <v>677</v>
      </c>
      <c r="L404" s="12" t="s">
        <v>676</v>
      </c>
      <c r="M404" s="13" t="s">
        <v>37</v>
      </c>
      <c r="N404" s="14">
        <v>-11</v>
      </c>
      <c r="O404" s="14">
        <v>197</v>
      </c>
      <c r="P404" s="14" t="s">
        <v>84</v>
      </c>
      <c r="Q404" s="75">
        <v>10</v>
      </c>
      <c r="R404" s="11" t="s">
        <v>37</v>
      </c>
      <c r="S404" s="12" t="s">
        <v>85</v>
      </c>
      <c r="T404" s="16" t="s">
        <v>138</v>
      </c>
      <c r="U404" s="12" t="s">
        <v>158</v>
      </c>
      <c r="V404" s="12" t="s">
        <v>274</v>
      </c>
      <c r="W404" s="23" t="s">
        <v>593</v>
      </c>
      <c r="X404" s="12" t="s">
        <v>280</v>
      </c>
      <c r="Y404" s="12" t="s">
        <v>37</v>
      </c>
      <c r="Z404" s="12" t="s">
        <v>37</v>
      </c>
      <c r="AB404" s="12" t="s">
        <v>37</v>
      </c>
      <c r="AE404" s="12" t="s">
        <v>37</v>
      </c>
      <c r="AH404" s="12" t="s">
        <v>37</v>
      </c>
      <c r="AK404" s="12" t="s">
        <v>37</v>
      </c>
      <c r="AL404" s="32" t="s">
        <v>607</v>
      </c>
      <c r="AM404" s="12" t="s">
        <v>317</v>
      </c>
      <c r="AN404" s="32" t="s">
        <v>892</v>
      </c>
      <c r="AO404" s="12" t="s">
        <v>37</v>
      </c>
      <c r="AP404" s="12" t="s">
        <v>167</v>
      </c>
      <c r="AQ404" s="12" t="s">
        <v>975</v>
      </c>
      <c r="AT404" s="12" t="s">
        <v>326</v>
      </c>
      <c r="AU404" s="12" t="s">
        <v>326</v>
      </c>
      <c r="AV404" s="13" t="s">
        <v>326</v>
      </c>
      <c r="AX404" s="12" t="s">
        <v>326</v>
      </c>
      <c r="AY404" s="12" t="s">
        <v>326</v>
      </c>
      <c r="AZ404" s="13" t="s">
        <v>326</v>
      </c>
      <c r="BD404" s="12"/>
      <c r="BE404" s="12" t="s">
        <v>326</v>
      </c>
      <c r="BF404" s="12" t="s">
        <v>326</v>
      </c>
      <c r="BG404" s="12" t="s">
        <v>326</v>
      </c>
      <c r="BI404" s="12" t="s">
        <v>326</v>
      </c>
      <c r="BJ404" s="12" t="s">
        <v>326</v>
      </c>
      <c r="BK404" s="12" t="s">
        <v>326</v>
      </c>
      <c r="BP404" s="12" t="s">
        <v>37</v>
      </c>
      <c r="BQ404" s="12" t="s">
        <v>37</v>
      </c>
      <c r="BR404" s="13" t="s">
        <v>37</v>
      </c>
      <c r="BT404" s="12" t="s">
        <v>37</v>
      </c>
      <c r="BU404" s="12" t="s">
        <v>37</v>
      </c>
      <c r="BV404" s="12" t="s">
        <v>37</v>
      </c>
      <c r="BZ404" s="12" t="s">
        <v>47</v>
      </c>
      <c r="CA404" s="12">
        <f>-51*("2013/09/30"-"2013/06/01")/("2013/08/10"-"2013/07/22")*44/12/'[6]classess-1'!$T$98</f>
        <v>-1190.8947368421052</v>
      </c>
      <c r="CB404" s="12">
        <f>SQRT((1/[7]Classess!$T$98)^2*(0.35*("2013/09/30"-"2013/06/01")/("2013/08/10"-"2013/07/22")*44/12)^2+(-CA404/([7]Classess!$T$98)^2)^2*([7]Classess!$U$98)^2)</f>
        <v>8.1728070175438585</v>
      </c>
      <c r="CC404" s="13">
        <v>4</v>
      </c>
      <c r="CD404" s="19">
        <f t="shared" ref="CD404:CD408" si="1473">CB404/ABS(CA404)</f>
        <v>6.8627450980392147E-3</v>
      </c>
      <c r="CE404" s="12">
        <f>-68*("2013/09/30"-"2013/06/01")/("2013/08/10"-"2013/07/22")*44/12/'[6]classess-1'!$T$99</f>
        <v>-1647.1117744611581</v>
      </c>
      <c r="CF404" s="12">
        <f>SQRT((1/[7]Classess!$T$99)^2*(0.4*("2013/09/30"-"2013/06/01")/("2013/08/10"-"2013/07/22")*44/12)^2+(-CE404/([7]Classess!$T$99)^2)^2*([7]Classess!$U$99)^2)</f>
        <v>42.213296514097145</v>
      </c>
      <c r="CG404" s="13">
        <v>4</v>
      </c>
      <c r="CH404" s="19">
        <f t="shared" ref="CH404:CH408" si="1474">CF404/ABS(CE404)</f>
        <v>2.562867752427242E-2</v>
      </c>
      <c r="CI404" s="75">
        <f t="shared" ref="CI404:CI408" si="1475">CE404-CA404</f>
        <v>-456.21703761905292</v>
      </c>
      <c r="CJ404" s="12">
        <f t="shared" si="1464"/>
        <v>30.403594994121175</v>
      </c>
      <c r="CK404" s="72">
        <f t="shared" si="1465"/>
        <v>462.1892942832751</v>
      </c>
      <c r="CL404" s="72">
        <f t="shared" si="1466"/>
        <v>462.1892942832751</v>
      </c>
      <c r="CM404" s="12" t="s">
        <v>47</v>
      </c>
      <c r="CN404" s="12">
        <f>41*("2013/09/30"-"2013/06/01")/("2013/08/10"-"2013/07/22")*44/12/'[6]classess-1'!$I$98</f>
        <v>1173.6539891420518</v>
      </c>
      <c r="CO404" s="12">
        <f>SQRT((1/[7]Classess!$I$98)^2*(2*("2013/09/30"-"2013/06/01")/("2013/08/10"-"2013/07/22")*44/12)^2+(-CN404/([7]Classess!$I$98)^2)^2*([7]Classess!$J$98)^2)</f>
        <v>59.312279426335792</v>
      </c>
      <c r="CP404" s="13">
        <v>4</v>
      </c>
      <c r="CQ404" s="19">
        <f t="shared" ref="CQ404:CQ408" si="1476">CO404/ABS(CN404)</f>
        <v>5.0536427239252536E-2</v>
      </c>
      <c r="CR404" s="12">
        <f>41*("2013/09/30"-"2013/06/01")/("2013/08/10"-"2013/07/22")*44/12/'[6]classess-1'!$I$99</f>
        <v>1113.3378134148315</v>
      </c>
      <c r="CS404" s="12">
        <f>SQRT((1/[7]Classess!$I$99)^2*(2*("2013/09/30"-"2013/06/01")/("2013/08/10"-"2013/07/22")*44/12)^2+(-CR404/([7]Classess!$I$99)^2)^2*([7]Classess!$J$99)^2)</f>
        <v>77.030208091757075</v>
      </c>
      <c r="CT404" s="13">
        <v>4</v>
      </c>
      <c r="CU404" s="19">
        <f t="shared" ref="CU404:CU408" si="1477">CS404/ABS(CR404)</f>
        <v>6.9188531246854798E-2</v>
      </c>
      <c r="CV404" s="75">
        <f t="shared" si="1467"/>
        <v>-60.316175727220298</v>
      </c>
      <c r="CW404" s="12">
        <f t="shared" si="1468"/>
        <v>68.744452319467683</v>
      </c>
      <c r="CX404" s="72">
        <f t="shared" si="1469"/>
        <v>2362.8998623517832</v>
      </c>
      <c r="CY404" s="72">
        <f t="shared" si="1470"/>
        <v>2362.8998623517832</v>
      </c>
      <c r="CZ404" s="12" t="s">
        <v>47</v>
      </c>
      <c r="DA404" s="12">
        <f t="shared" si="1471"/>
        <v>-17.240747700053362</v>
      </c>
      <c r="DB404" s="12">
        <f>SQRT((1/[7]Classess!$I$39)^2*(1*44/12)^2+(-DA404/([7]Classess!$I$39)^2)^2*([7]Classess!$J$39)^2)</f>
        <v>1.8994060532667709</v>
      </c>
      <c r="DC404" s="13">
        <v>4</v>
      </c>
      <c r="DD404" s="19">
        <f t="shared" ref="DD404:DD408" si="1478">DB404/ABS(DA404)</f>
        <v>0.11016958697567926</v>
      </c>
      <c r="DE404" s="12">
        <f t="shared" si="1472"/>
        <v>-533.77396104632658</v>
      </c>
      <c r="DF404" s="12">
        <f>SQRT((1/[7]Classess!$I$40)^2*(2*44/12)^2+(-DE404/([7]Classess!$I$40)^2)^2*([7]Classess!$J$40)^2)</f>
        <v>650.20080041312121</v>
      </c>
      <c r="DG404" s="13">
        <v>4</v>
      </c>
      <c r="DH404" s="19">
        <f t="shared" ref="DH404:DH408" si="1479">DF404/ABS(DE404)</f>
        <v>1.2181201179963326</v>
      </c>
      <c r="DI404" s="19">
        <f t="shared" ref="DI404:DI408" si="1480">DE404-DA404</f>
        <v>-516.53321334627321</v>
      </c>
      <c r="DJ404" s="12">
        <f t="shared" si="1451"/>
        <v>459.76335684850892</v>
      </c>
      <c r="DK404" s="72">
        <f t="shared" si="1452"/>
        <v>105691.17215030467</v>
      </c>
      <c r="DL404" s="72">
        <f t="shared" si="1453"/>
        <v>105691.17215030467</v>
      </c>
      <c r="DN404" s="19" t="s">
        <v>37</v>
      </c>
      <c r="DO404" s="12" t="s">
        <v>37</v>
      </c>
      <c r="DP404" s="13" t="s">
        <v>37</v>
      </c>
      <c r="DR404" s="19" t="s">
        <v>37</v>
      </c>
      <c r="DS404" s="12" t="s">
        <v>37</v>
      </c>
      <c r="DT404" s="13" t="s">
        <v>37</v>
      </c>
      <c r="DV404" s="52"/>
      <c r="DW404" s="52"/>
      <c r="EA404" s="19" t="s">
        <v>37</v>
      </c>
      <c r="EB404" s="19" t="s">
        <v>37</v>
      </c>
      <c r="EC404" s="72" t="s">
        <v>37</v>
      </c>
      <c r="EE404" s="19" t="s">
        <v>37</v>
      </c>
      <c r="EF404" s="19" t="s">
        <v>37</v>
      </c>
      <c r="EG404" s="12" t="s">
        <v>37</v>
      </c>
      <c r="EN404" s="12" t="s">
        <v>37</v>
      </c>
      <c r="EO404" s="12" t="s">
        <v>37</v>
      </c>
      <c r="EP404" s="13" t="s">
        <v>37</v>
      </c>
      <c r="ER404" s="12" t="s">
        <v>37</v>
      </c>
      <c r="ES404" s="12" t="s">
        <v>37</v>
      </c>
      <c r="ET404" s="13" t="s">
        <v>37</v>
      </c>
      <c r="FB404" s="12" t="s">
        <v>37</v>
      </c>
      <c r="FC404" s="12" t="s">
        <v>37</v>
      </c>
      <c r="FD404" s="12" t="s">
        <v>37</v>
      </c>
      <c r="FE404" s="12" t="s">
        <v>37</v>
      </c>
      <c r="FF404" s="12" t="s">
        <v>37</v>
      </c>
      <c r="FG404" s="12" t="s">
        <v>37</v>
      </c>
      <c r="FI404" s="12" t="s">
        <v>37</v>
      </c>
      <c r="FJ404" s="12" t="s">
        <v>37</v>
      </c>
      <c r="FK404" s="12" t="s">
        <v>37</v>
      </c>
      <c r="FL404" s="12" t="s">
        <v>37</v>
      </c>
      <c r="FM404" s="12" t="s">
        <v>37</v>
      </c>
      <c r="FN404" s="12" t="s">
        <v>37</v>
      </c>
      <c r="FP404" s="12" t="s">
        <v>37</v>
      </c>
      <c r="FQ404" s="12" t="s">
        <v>37</v>
      </c>
      <c r="FR404" s="12" t="s">
        <v>37</v>
      </c>
      <c r="FS404" s="12" t="s">
        <v>37</v>
      </c>
      <c r="FT404" s="12" t="s">
        <v>37</v>
      </c>
      <c r="FU404" s="12" t="s">
        <v>37</v>
      </c>
      <c r="FW404" s="12" t="s">
        <v>37</v>
      </c>
      <c r="FX404" s="12" t="s">
        <v>37</v>
      </c>
      <c r="FY404" s="12" t="s">
        <v>37</v>
      </c>
      <c r="FZ404" s="12" t="s">
        <v>37</v>
      </c>
      <c r="GA404" s="12" t="s">
        <v>37</v>
      </c>
      <c r="GB404" s="12" t="s">
        <v>37</v>
      </c>
      <c r="GG404" s="12"/>
      <c r="GK404" s="12"/>
      <c r="HP404" s="12"/>
      <c r="HT404" s="12"/>
      <c r="IA404" s="12"/>
      <c r="IE404" s="12"/>
      <c r="IK404" s="12" t="s">
        <v>37</v>
      </c>
      <c r="IL404" s="12" t="s">
        <v>37</v>
      </c>
      <c r="IM404" s="12" t="s">
        <v>37</v>
      </c>
      <c r="IO404" s="12" t="s">
        <v>37</v>
      </c>
      <c r="IP404" s="12" t="s">
        <v>37</v>
      </c>
      <c r="IQ404" s="12" t="s">
        <v>37</v>
      </c>
      <c r="IW404" s="12" t="s">
        <v>37</v>
      </c>
      <c r="IX404" s="12" t="s">
        <v>37</v>
      </c>
      <c r="IY404" s="12" t="s">
        <v>37</v>
      </c>
      <c r="JA404" s="12" t="s">
        <v>37</v>
      </c>
      <c r="JB404" s="12" t="s">
        <v>37</v>
      </c>
      <c r="JC404" s="12" t="s">
        <v>37</v>
      </c>
      <c r="JH404" s="12" t="s">
        <v>37</v>
      </c>
      <c r="JI404" s="12" t="s">
        <v>37</v>
      </c>
      <c r="JJ404" s="12" t="s">
        <v>37</v>
      </c>
      <c r="JL404" s="12" t="s">
        <v>37</v>
      </c>
      <c r="JM404" s="12" t="s">
        <v>37</v>
      </c>
      <c r="JN404" s="12" t="s">
        <v>37</v>
      </c>
      <c r="JS404" s="12" t="s">
        <v>37</v>
      </c>
      <c r="JT404" s="12" t="s">
        <v>37</v>
      </c>
      <c r="JU404" s="12" t="s">
        <v>37</v>
      </c>
      <c r="JW404" s="12" t="s">
        <v>37</v>
      </c>
      <c r="JX404" s="12" t="s">
        <v>37</v>
      </c>
      <c r="JY404" s="12" t="s">
        <v>37</v>
      </c>
      <c r="KE404" s="12" t="s">
        <v>37</v>
      </c>
      <c r="KF404" s="12" t="s">
        <v>37</v>
      </c>
      <c r="KG404" s="12" t="s">
        <v>37</v>
      </c>
      <c r="KH404" s="12" t="s">
        <v>37</v>
      </c>
      <c r="KI404" s="12" t="s">
        <v>37</v>
      </c>
      <c r="KJ404" s="12" t="s">
        <v>37</v>
      </c>
      <c r="KM404" s="12" t="s">
        <v>37</v>
      </c>
      <c r="KN404" s="12" t="s">
        <v>37</v>
      </c>
      <c r="KO404" s="12" t="s">
        <v>37</v>
      </c>
      <c r="KQ404" s="12" t="s">
        <v>37</v>
      </c>
      <c r="KR404" s="12" t="s">
        <v>37</v>
      </c>
      <c r="KS404" s="12" t="s">
        <v>37</v>
      </c>
      <c r="KX404" s="12" t="s">
        <v>37</v>
      </c>
      <c r="KY404" s="12" t="s">
        <v>37</v>
      </c>
      <c r="KZ404" s="12" t="s">
        <v>37</v>
      </c>
      <c r="LB404" s="12" t="s">
        <v>37</v>
      </c>
      <c r="LC404" s="12" t="s">
        <v>37</v>
      </c>
      <c r="LD404" s="12" t="s">
        <v>37</v>
      </c>
      <c r="LI404" s="12" t="s">
        <v>37</v>
      </c>
      <c r="LJ404" s="12" t="s">
        <v>37</v>
      </c>
      <c r="LK404" s="12" t="s">
        <v>37</v>
      </c>
      <c r="LM404" s="12" t="s">
        <v>37</v>
      </c>
      <c r="LN404" s="12" t="s">
        <v>37</v>
      </c>
      <c r="LO404" s="12" t="s">
        <v>37</v>
      </c>
      <c r="LU404" s="12" t="s">
        <v>37</v>
      </c>
      <c r="LV404" s="12" t="s">
        <v>37</v>
      </c>
      <c r="LW404" s="12" t="s">
        <v>37</v>
      </c>
      <c r="LY404" s="12" t="s">
        <v>37</v>
      </c>
      <c r="LZ404" s="12" t="s">
        <v>37</v>
      </c>
      <c r="MA404" s="12" t="s">
        <v>37</v>
      </c>
      <c r="MF404" s="12" t="s">
        <v>37</v>
      </c>
      <c r="MG404" s="12" t="s">
        <v>37</v>
      </c>
      <c r="MH404" s="12" t="s">
        <v>37</v>
      </c>
      <c r="MJ404" s="12" t="s">
        <v>37</v>
      </c>
      <c r="MK404" s="12" t="s">
        <v>37</v>
      </c>
      <c r="ML404" s="12" t="s">
        <v>37</v>
      </c>
      <c r="MQ404" s="12" t="s">
        <v>37</v>
      </c>
      <c r="MR404" s="12" t="s">
        <v>37</v>
      </c>
      <c r="MS404" s="12" t="s">
        <v>37</v>
      </c>
      <c r="MU404" s="12" t="s">
        <v>37</v>
      </c>
      <c r="MV404" s="12" t="s">
        <v>37</v>
      </c>
      <c r="MW404" s="12" t="s">
        <v>37</v>
      </c>
      <c r="NC404" s="12" t="s">
        <v>37</v>
      </c>
      <c r="ND404" s="12" t="s">
        <v>37</v>
      </c>
      <c r="NE404" s="12" t="s">
        <v>37</v>
      </c>
      <c r="NG404" s="12" t="s">
        <v>37</v>
      </c>
      <c r="NH404" s="12" t="s">
        <v>37</v>
      </c>
      <c r="NI404" s="12" t="s">
        <v>37</v>
      </c>
      <c r="NO404" s="12" t="s">
        <v>37</v>
      </c>
      <c r="NP404" s="12" t="s">
        <v>37</v>
      </c>
      <c r="NQ404" s="12" t="s">
        <v>37</v>
      </c>
      <c r="NS404" s="12" t="s">
        <v>37</v>
      </c>
      <c r="NT404" s="12" t="s">
        <v>37</v>
      </c>
      <c r="NU404" s="12" t="s">
        <v>37</v>
      </c>
      <c r="OA404" s="12" t="s">
        <v>37</v>
      </c>
      <c r="OB404" s="12" t="s">
        <v>37</v>
      </c>
      <c r="OC404" s="12" t="s">
        <v>37</v>
      </c>
      <c r="OD404" s="12"/>
      <c r="OE404" s="12" t="s">
        <v>37</v>
      </c>
      <c r="OF404" s="12" t="s">
        <v>37</v>
      </c>
      <c r="OG404" s="12" t="s">
        <v>37</v>
      </c>
      <c r="OH404" s="12"/>
      <c r="OI404" s="12"/>
      <c r="OJ404" s="12"/>
      <c r="OM404" s="12" t="s">
        <v>37</v>
      </c>
      <c r="ON404" s="12" t="s">
        <v>37</v>
      </c>
      <c r="OO404" s="12" t="s">
        <v>37</v>
      </c>
      <c r="OP404" s="12" t="s">
        <v>37</v>
      </c>
      <c r="OQ404" s="12" t="s">
        <v>37</v>
      </c>
      <c r="OR404" s="12" t="s">
        <v>37</v>
      </c>
      <c r="OS404" s="12"/>
      <c r="OT404" s="12"/>
      <c r="OW404" s="12" t="s">
        <v>37</v>
      </c>
      <c r="OX404" s="12" t="s">
        <v>37</v>
      </c>
      <c r="OY404" s="12" t="s">
        <v>37</v>
      </c>
      <c r="OZ404" s="12" t="s">
        <v>37</v>
      </c>
      <c r="PA404" s="12" t="s">
        <v>37</v>
      </c>
      <c r="PB404" s="12" t="s">
        <v>37</v>
      </c>
      <c r="PC404" s="12"/>
      <c r="PD404" s="12"/>
      <c r="PG404" s="12" t="s">
        <v>37</v>
      </c>
      <c r="PH404" s="12" t="s">
        <v>37</v>
      </c>
      <c r="PI404" s="12" t="s">
        <v>37</v>
      </c>
      <c r="PJ404" s="12" t="s">
        <v>37</v>
      </c>
      <c r="PK404" s="12" t="s">
        <v>37</v>
      </c>
      <c r="PL404" s="12" t="s">
        <v>37</v>
      </c>
      <c r="PM404" s="12"/>
      <c r="PN404" s="12"/>
      <c r="PQ404" s="12" t="s">
        <v>37</v>
      </c>
      <c r="PR404" s="12" t="s">
        <v>37</v>
      </c>
      <c r="PS404" s="12" t="s">
        <v>37</v>
      </c>
      <c r="PT404" s="12" t="s">
        <v>37</v>
      </c>
      <c r="PU404" s="12" t="s">
        <v>37</v>
      </c>
      <c r="PV404" s="12" t="s">
        <v>37</v>
      </c>
      <c r="PW404" s="12"/>
      <c r="PX404" s="12"/>
      <c r="PZ404" s="12" t="s">
        <v>37</v>
      </c>
      <c r="QA404" s="12" t="s">
        <v>37</v>
      </c>
      <c r="QB404" s="11" t="s">
        <v>37</v>
      </c>
      <c r="QD404" s="12" t="s">
        <v>37</v>
      </c>
      <c r="QE404" s="12" t="s">
        <v>37</v>
      </c>
      <c r="QF404" s="12" t="s">
        <v>37</v>
      </c>
      <c r="QK404" s="12" t="s">
        <v>37</v>
      </c>
      <c r="QL404" s="12" t="s">
        <v>37</v>
      </c>
      <c r="QM404" s="12" t="s">
        <v>37</v>
      </c>
      <c r="QN404" s="12" t="s">
        <v>37</v>
      </c>
      <c r="QO404" s="12" t="s">
        <v>37</v>
      </c>
      <c r="QP404" s="12" t="s">
        <v>37</v>
      </c>
      <c r="QQ404" s="12"/>
      <c r="QR404" s="12"/>
      <c r="QU404" s="12" t="s">
        <v>37</v>
      </c>
      <c r="QV404" s="12" t="s">
        <v>37</v>
      </c>
      <c r="QW404" s="12" t="s">
        <v>37</v>
      </c>
      <c r="QX404" s="12" t="s">
        <v>37</v>
      </c>
      <c r="QY404" s="12" t="s">
        <v>37</v>
      </c>
      <c r="QZ404" s="12" t="s">
        <v>37</v>
      </c>
      <c r="RC404" s="12" t="s">
        <v>37</v>
      </c>
      <c r="RD404" s="12" t="s">
        <v>37</v>
      </c>
      <c r="RE404" s="13" t="s">
        <v>37</v>
      </c>
      <c r="RF404" s="12" t="s">
        <v>37</v>
      </c>
      <c r="RG404" s="12" t="s">
        <v>37</v>
      </c>
      <c r="RH404" s="13" t="s">
        <v>37</v>
      </c>
      <c r="RK404" s="12" t="s">
        <v>37</v>
      </c>
      <c r="RL404" s="12" t="s">
        <v>37</v>
      </c>
      <c r="RM404" s="11" t="s">
        <v>37</v>
      </c>
      <c r="RN404" s="12" t="s">
        <v>37</v>
      </c>
      <c r="RO404" s="12" t="s">
        <v>37</v>
      </c>
      <c r="RP404" s="11" t="s">
        <v>37</v>
      </c>
      <c r="RS404" s="12" t="s">
        <v>37</v>
      </c>
      <c r="RT404" s="12" t="s">
        <v>37</v>
      </c>
      <c r="RU404" s="12" t="s">
        <v>37</v>
      </c>
      <c r="RV404" s="12" t="s">
        <v>37</v>
      </c>
      <c r="RW404" s="12" t="s">
        <v>37</v>
      </c>
      <c r="RX404" s="12" t="s">
        <v>37</v>
      </c>
      <c r="SA404" s="12" t="s">
        <v>37</v>
      </c>
      <c r="SB404" s="12" t="s">
        <v>37</v>
      </c>
      <c r="SC404" s="12" t="s">
        <v>37</v>
      </c>
      <c r="SD404" s="12" t="s">
        <v>37</v>
      </c>
      <c r="SE404" s="12" t="s">
        <v>37</v>
      </c>
      <c r="SF404" s="12" t="s">
        <v>37</v>
      </c>
      <c r="SI404" s="12" t="s">
        <v>37</v>
      </c>
      <c r="SJ404" s="12" t="s">
        <v>37</v>
      </c>
      <c r="SK404" s="13" t="s">
        <v>37</v>
      </c>
      <c r="SM404" s="12" t="s">
        <v>37</v>
      </c>
      <c r="SN404" s="12" t="s">
        <v>37</v>
      </c>
      <c r="SO404" s="13" t="s">
        <v>37</v>
      </c>
      <c r="SU404" s="12" t="s">
        <v>37</v>
      </c>
      <c r="SV404" s="12" t="s">
        <v>37</v>
      </c>
      <c r="SW404" s="11" t="s">
        <v>37</v>
      </c>
      <c r="SX404" s="12" t="s">
        <v>37</v>
      </c>
      <c r="SY404" s="12" t="s">
        <v>37</v>
      </c>
      <c r="SZ404" s="11" t="s">
        <v>37</v>
      </c>
      <c r="TE404" s="12" t="s">
        <v>37</v>
      </c>
      <c r="TF404" s="12" t="s">
        <v>37</v>
      </c>
      <c r="TG404" s="11" t="s">
        <v>37</v>
      </c>
      <c r="TH404" s="12" t="s">
        <v>37</v>
      </c>
      <c r="TI404" s="12" t="s">
        <v>37</v>
      </c>
      <c r="TJ404" s="11" t="s">
        <v>37</v>
      </c>
      <c r="TO404" s="12" t="s">
        <v>37</v>
      </c>
      <c r="TP404" s="12" t="s">
        <v>37</v>
      </c>
      <c r="TQ404" s="11" t="s">
        <v>37</v>
      </c>
      <c r="TR404" s="12" t="s">
        <v>37</v>
      </c>
      <c r="TS404" s="12" t="s">
        <v>37</v>
      </c>
      <c r="TT404" s="11" t="s">
        <v>37</v>
      </c>
      <c r="TY404" s="12" t="s">
        <v>37</v>
      </c>
      <c r="TZ404" s="12" t="s">
        <v>37</v>
      </c>
      <c r="UA404" s="12" t="s">
        <v>37</v>
      </c>
      <c r="UB404" s="12" t="s">
        <v>37</v>
      </c>
      <c r="UC404" s="12" t="s">
        <v>37</v>
      </c>
      <c r="UD404" s="12" t="s">
        <v>37</v>
      </c>
      <c r="UE404" s="12"/>
      <c r="UF404" s="12"/>
      <c r="UI404" s="12" t="s">
        <v>37</v>
      </c>
      <c r="UJ404" s="12" t="s">
        <v>37</v>
      </c>
      <c r="UK404" s="12" t="s">
        <v>37</v>
      </c>
      <c r="UL404" s="12" t="s">
        <v>37</v>
      </c>
      <c r="UM404" s="12" t="s">
        <v>37</v>
      </c>
      <c r="UN404" s="12" t="s">
        <v>37</v>
      </c>
      <c r="UO404" s="12"/>
      <c r="UP404" s="12"/>
      <c r="UR404" s="12" t="s">
        <v>37</v>
      </c>
      <c r="US404" s="12" t="s">
        <v>37</v>
      </c>
      <c r="UT404" s="12" t="s">
        <v>37</v>
      </c>
      <c r="UU404" s="12" t="s">
        <v>37</v>
      </c>
      <c r="UV404" s="12" t="s">
        <v>37</v>
      </c>
      <c r="UW404" s="12" t="s">
        <v>37</v>
      </c>
      <c r="UX404" s="12"/>
      <c r="UY404" s="12"/>
      <c r="VB404" s="12" t="s">
        <v>37</v>
      </c>
      <c r="VC404" s="12" t="s">
        <v>37</v>
      </c>
      <c r="VD404" s="12" t="s">
        <v>37</v>
      </c>
      <c r="VE404" s="12" t="s">
        <v>37</v>
      </c>
      <c r="VF404" s="12" t="s">
        <v>37</v>
      </c>
      <c r="VG404" s="12" t="s">
        <v>37</v>
      </c>
      <c r="VI404" s="12" t="s">
        <v>37</v>
      </c>
      <c r="VJ404" s="12" t="s">
        <v>37</v>
      </c>
      <c r="VK404" s="12" t="s">
        <v>37</v>
      </c>
      <c r="VL404" s="12" t="s">
        <v>37</v>
      </c>
      <c r="VM404" s="12" t="s">
        <v>37</v>
      </c>
      <c r="VN404" s="12" t="s">
        <v>37</v>
      </c>
      <c r="VQ404" s="13" t="s">
        <v>37</v>
      </c>
      <c r="VR404" s="13" t="s">
        <v>37</v>
      </c>
      <c r="VS404" s="13" t="s">
        <v>37</v>
      </c>
      <c r="VT404" s="13" t="s">
        <v>37</v>
      </c>
      <c r="VU404" s="13" t="s">
        <v>37</v>
      </c>
      <c r="VV404" s="13" t="s">
        <v>37</v>
      </c>
      <c r="WA404" s="13" t="s">
        <v>37</v>
      </c>
      <c r="WB404" s="13" t="s">
        <v>37</v>
      </c>
      <c r="WC404" s="13" t="s">
        <v>37</v>
      </c>
      <c r="WD404" s="13" t="s">
        <v>37</v>
      </c>
      <c r="WE404" s="13" t="s">
        <v>37</v>
      </c>
      <c r="WF404" s="13" t="s">
        <v>37</v>
      </c>
    </row>
    <row r="405" spans="1:606" ht="18" customHeight="1" x14ac:dyDescent="0.3">
      <c r="A405" s="11">
        <v>88</v>
      </c>
      <c r="B405" s="16" t="s">
        <v>605</v>
      </c>
      <c r="C405" s="12" t="s">
        <v>26</v>
      </c>
      <c r="D405" s="12" t="s">
        <v>973</v>
      </c>
      <c r="E405" s="40" t="s">
        <v>37</v>
      </c>
      <c r="F405" s="14">
        <v>0</v>
      </c>
      <c r="G405" s="14">
        <v>0</v>
      </c>
      <c r="H405" s="12" t="s">
        <v>313</v>
      </c>
      <c r="I405" s="29">
        <v>68.613</v>
      </c>
      <c r="J405" s="29">
        <v>162.34100000000001</v>
      </c>
      <c r="K405" s="12" t="s">
        <v>677</v>
      </c>
      <c r="L405" s="12" t="s">
        <v>676</v>
      </c>
      <c r="M405" s="13" t="s">
        <v>37</v>
      </c>
      <c r="N405" s="14">
        <v>-11</v>
      </c>
      <c r="O405" s="14">
        <v>197</v>
      </c>
      <c r="P405" s="14" t="s">
        <v>84</v>
      </c>
      <c r="Q405" s="75">
        <v>10</v>
      </c>
      <c r="R405" s="11" t="s">
        <v>37</v>
      </c>
      <c r="S405" s="12" t="s">
        <v>85</v>
      </c>
      <c r="T405" s="16" t="s">
        <v>138</v>
      </c>
      <c r="U405" s="12" t="s">
        <v>158</v>
      </c>
      <c r="V405" s="12" t="s">
        <v>274</v>
      </c>
      <c r="W405" s="23" t="s">
        <v>877</v>
      </c>
      <c r="X405" s="12" t="s">
        <v>606</v>
      </c>
      <c r="Y405" s="12" t="s">
        <v>37</v>
      </c>
      <c r="Z405" s="12" t="s">
        <v>37</v>
      </c>
      <c r="AB405" s="12" t="s">
        <v>37</v>
      </c>
      <c r="AE405" s="12" t="s">
        <v>37</v>
      </c>
      <c r="AH405" s="12" t="s">
        <v>37</v>
      </c>
      <c r="AK405" s="12" t="s">
        <v>37</v>
      </c>
      <c r="AL405" s="32" t="s">
        <v>607</v>
      </c>
      <c r="AM405" s="12" t="s">
        <v>317</v>
      </c>
      <c r="AN405" s="32" t="s">
        <v>892</v>
      </c>
      <c r="AO405" s="12" t="s">
        <v>37</v>
      </c>
      <c r="AP405" s="12" t="s">
        <v>167</v>
      </c>
      <c r="AQ405" s="12" t="s">
        <v>975</v>
      </c>
      <c r="AT405" s="12" t="s">
        <v>326</v>
      </c>
      <c r="AU405" s="12" t="s">
        <v>326</v>
      </c>
      <c r="AV405" s="13" t="s">
        <v>326</v>
      </c>
      <c r="AX405" s="12" t="s">
        <v>326</v>
      </c>
      <c r="AY405" s="12" t="s">
        <v>326</v>
      </c>
      <c r="AZ405" s="13" t="s">
        <v>326</v>
      </c>
      <c r="BD405" s="12"/>
      <c r="BE405" s="12" t="s">
        <v>326</v>
      </c>
      <c r="BF405" s="12" t="s">
        <v>326</v>
      </c>
      <c r="BG405" s="12" t="s">
        <v>326</v>
      </c>
      <c r="BI405" s="12" t="s">
        <v>326</v>
      </c>
      <c r="BJ405" s="12" t="s">
        <v>326</v>
      </c>
      <c r="BK405" s="12" t="s">
        <v>326</v>
      </c>
      <c r="BP405" s="12" t="s">
        <v>37</v>
      </c>
      <c r="BQ405" s="12" t="s">
        <v>37</v>
      </c>
      <c r="BR405" s="13" t="s">
        <v>37</v>
      </c>
      <c r="BT405" s="12" t="s">
        <v>37</v>
      </c>
      <c r="BU405" s="12" t="s">
        <v>37</v>
      </c>
      <c r="BV405" s="12" t="s">
        <v>37</v>
      </c>
      <c r="BZ405" s="12" t="s">
        <v>47</v>
      </c>
      <c r="CA405" s="12">
        <f>-68*("2013/09/30"-"2013/06/01")/("2013/08/10"-"2013/07/22")*44/12/'[6]classess-1'!$T$100</f>
        <v>-1587.859649122807</v>
      </c>
      <c r="CB405" s="12">
        <f>SQRT((1/[7]Classess!$T$100)^2*(0.32*("2013/09/30"-"2013/06/01")/("2013/08/10"-"2013/07/22")*44/12)^2+(-CA405/([7]Classess!$T$100)^2)^2*([7]Classess!$U$100)^2)</f>
        <v>7.4722807017543857</v>
      </c>
      <c r="CC405" s="13">
        <v>4</v>
      </c>
      <c r="CD405" s="19">
        <f t="shared" si="1473"/>
        <v>4.7058823529411761E-3</v>
      </c>
      <c r="CE405" s="12">
        <f>-66*("2013/09/30"-"2013/06/01")/("2013/08/10"-"2013/07/22")*44/12/'[6]classess-1'!$T$101</f>
        <v>-1598.6673105064185</v>
      </c>
      <c r="CF405" s="12">
        <f>SQRT((1/[7]Classess!$T$101)^2*(0.8*("2013/09/30"-"2013/06/01")/("2013/08/10"-"2013/07/22")*44/12)^2+(-CE405/([7]Classess!$T$101)^2)^2*([7]Classess!$U$101)^2)</f>
        <v>44.336749279956244</v>
      </c>
      <c r="CG405" s="13">
        <v>4</v>
      </c>
      <c r="CH405" s="19">
        <f t="shared" si="1474"/>
        <v>2.7733568447028199E-2</v>
      </c>
      <c r="CI405" s="75">
        <f t="shared" si="1475"/>
        <v>-10.807661383611503</v>
      </c>
      <c r="CJ405" s="12">
        <f t="shared" si="1464"/>
        <v>31.792941949428897</v>
      </c>
      <c r="CK405" s="72">
        <f t="shared" si="1465"/>
        <v>505.39557889987788</v>
      </c>
      <c r="CL405" s="72">
        <f t="shared" si="1466"/>
        <v>505.39557889987793</v>
      </c>
      <c r="CM405" s="12" t="s">
        <v>47</v>
      </c>
      <c r="CN405" s="12">
        <f>35*("2013/09/30"-"2013/06/01")/("2013/08/10"-"2013/07/22")*44/12/'[6]classess-1'!$I$100</f>
        <v>1001.8997468285809</v>
      </c>
      <c r="CO405" s="12">
        <f>SQRT((1/[7]Classess!$I$100)^2*(1*("2013/09/30"-"2013/06/01")/("2013/08/10"-"2013/07/22")*44/12)^2+(-CN405/([7]Classess!$I$100)^2)^2*([7]Classess!$J$100)^2)</f>
        <v>31.53551699296025</v>
      </c>
      <c r="CP405" s="13">
        <v>4</v>
      </c>
      <c r="CQ405" s="19">
        <f t="shared" si="1476"/>
        <v>3.1475721091639111E-2</v>
      </c>
      <c r="CR405" s="12">
        <f>38*("2013/09/30"-"2013/06/01")/("2013/08/10"-"2013/07/22")*44/12/'[6]classess-1'!$I$101</f>
        <v>1031.8740709698438</v>
      </c>
      <c r="CS405" s="12">
        <f>SQRT((1/[7]Classess!$I$101)^2*(3*("2013/09/30"-"2013/06/01")/("2013/08/10"-"2013/07/22")*44/12)^2+(-CR405/([7]Classess!$I$101)^2)^2*([7]Classess!$J$101)^2)</f>
        <v>95.91547767591031</v>
      </c>
      <c r="CT405" s="13">
        <v>4</v>
      </c>
      <c r="CU405" s="19">
        <f t="shared" si="1477"/>
        <v>9.2952696820611747E-2</v>
      </c>
      <c r="CV405" s="75">
        <f t="shared" si="1467"/>
        <v>29.974324141262969</v>
      </c>
      <c r="CW405" s="12">
        <f t="shared" si="1468"/>
        <v>71.394214365771035</v>
      </c>
      <c r="CX405" s="72">
        <f t="shared" si="1469"/>
        <v>2548.5669224528333</v>
      </c>
      <c r="CY405" s="72">
        <f t="shared" si="1470"/>
        <v>2548.5669224528333</v>
      </c>
      <c r="CZ405" s="12" t="s">
        <v>47</v>
      </c>
      <c r="DA405" s="12">
        <f t="shared" si="1471"/>
        <v>-585.95990229422614</v>
      </c>
      <c r="DB405" s="12">
        <f>SQRT((1/[7]Classess!$I$41)^2*(1*44/12)^2+(-DA405/([7]Classess!$I$41)^2)^2*([7]Classess!$J$41)^2)</f>
        <v>247.14424390137435</v>
      </c>
      <c r="DC405" s="13">
        <v>4</v>
      </c>
      <c r="DD405" s="19">
        <f t="shared" si="1478"/>
        <v>0.42177671703084663</v>
      </c>
      <c r="DE405" s="12">
        <f t="shared" si="1472"/>
        <v>-566.79323953657467</v>
      </c>
      <c r="DF405" s="12">
        <f>SQRT((1/[7]Classess!$I$42)^2*(5*44/12)^2+(-DE405/([7]Classess!$I$42)^2)^2*([7]Classess!$J$42)^2)</f>
        <v>690.43890345404782</v>
      </c>
      <c r="DG405" s="13">
        <v>4</v>
      </c>
      <c r="DH405" s="48">
        <f t="shared" si="1479"/>
        <v>1.2181495037212673</v>
      </c>
      <c r="DI405" s="19">
        <f t="shared" si="1480"/>
        <v>19.166662757651466</v>
      </c>
      <c r="DJ405" s="12">
        <f t="shared" si="1451"/>
        <v>518.54901248407077</v>
      </c>
      <c r="DK405" s="72">
        <f t="shared" si="1452"/>
        <v>134446.53917410248</v>
      </c>
      <c r="DL405" s="72">
        <f t="shared" si="1453"/>
        <v>134446.53917410248</v>
      </c>
      <c r="DN405" s="19" t="s">
        <v>37</v>
      </c>
      <c r="DO405" s="12" t="s">
        <v>37</v>
      </c>
      <c r="DP405" s="13" t="s">
        <v>37</v>
      </c>
      <c r="DR405" s="19" t="s">
        <v>37</v>
      </c>
      <c r="DS405" s="12" t="s">
        <v>37</v>
      </c>
      <c r="DT405" s="13" t="s">
        <v>37</v>
      </c>
      <c r="EA405" s="19" t="s">
        <v>37</v>
      </c>
      <c r="EB405" s="19" t="s">
        <v>37</v>
      </c>
      <c r="EC405" s="72" t="s">
        <v>37</v>
      </c>
      <c r="EE405" s="19" t="s">
        <v>37</v>
      </c>
      <c r="EF405" s="19" t="s">
        <v>37</v>
      </c>
      <c r="EG405" s="12" t="s">
        <v>37</v>
      </c>
      <c r="EN405" s="12" t="s">
        <v>37</v>
      </c>
      <c r="EO405" s="12" t="s">
        <v>37</v>
      </c>
      <c r="EP405" s="13" t="s">
        <v>37</v>
      </c>
      <c r="ER405" s="12" t="s">
        <v>37</v>
      </c>
      <c r="ES405" s="12" t="s">
        <v>37</v>
      </c>
      <c r="ET405" s="13" t="s">
        <v>37</v>
      </c>
      <c r="FB405" s="12" t="s">
        <v>37</v>
      </c>
      <c r="FC405" s="12" t="s">
        <v>37</v>
      </c>
      <c r="FD405" s="12" t="s">
        <v>37</v>
      </c>
      <c r="FE405" s="12" t="s">
        <v>37</v>
      </c>
      <c r="FF405" s="12" t="s">
        <v>37</v>
      </c>
      <c r="FG405" s="12" t="s">
        <v>37</v>
      </c>
      <c r="FI405" s="12" t="s">
        <v>37</v>
      </c>
      <c r="FJ405" s="12" t="s">
        <v>37</v>
      </c>
      <c r="FK405" s="12" t="s">
        <v>37</v>
      </c>
      <c r="FL405" s="12" t="s">
        <v>37</v>
      </c>
      <c r="FM405" s="12" t="s">
        <v>37</v>
      </c>
      <c r="FN405" s="12" t="s">
        <v>37</v>
      </c>
      <c r="FP405" s="12" t="s">
        <v>37</v>
      </c>
      <c r="FQ405" s="12" t="s">
        <v>37</v>
      </c>
      <c r="FR405" s="12" t="s">
        <v>37</v>
      </c>
      <c r="FS405" s="12" t="s">
        <v>37</v>
      </c>
      <c r="FT405" s="12" t="s">
        <v>37</v>
      </c>
      <c r="FU405" s="12" t="s">
        <v>37</v>
      </c>
      <c r="FW405" s="12" t="s">
        <v>37</v>
      </c>
      <c r="FX405" s="12" t="s">
        <v>37</v>
      </c>
      <c r="FY405" s="12" t="s">
        <v>37</v>
      </c>
      <c r="FZ405" s="12" t="s">
        <v>37</v>
      </c>
      <c r="GA405" s="12" t="s">
        <v>37</v>
      </c>
      <c r="GB405" s="12" t="s">
        <v>37</v>
      </c>
      <c r="GG405" s="12"/>
      <c r="GK405" s="12"/>
      <c r="HP405" s="12"/>
      <c r="HT405" s="12"/>
      <c r="IA405" s="12"/>
      <c r="IE405" s="12"/>
      <c r="IK405" s="12" t="s">
        <v>37</v>
      </c>
      <c r="IL405" s="12" t="s">
        <v>37</v>
      </c>
      <c r="IM405" s="12" t="s">
        <v>37</v>
      </c>
      <c r="IO405" s="12" t="s">
        <v>37</v>
      </c>
      <c r="IP405" s="12" t="s">
        <v>37</v>
      </c>
      <c r="IQ405" s="12" t="s">
        <v>37</v>
      </c>
      <c r="IW405" s="12" t="s">
        <v>37</v>
      </c>
      <c r="IX405" s="12" t="s">
        <v>37</v>
      </c>
      <c r="IY405" s="12" t="s">
        <v>37</v>
      </c>
      <c r="JA405" s="12" t="s">
        <v>37</v>
      </c>
      <c r="JB405" s="12" t="s">
        <v>37</v>
      </c>
      <c r="JC405" s="12" t="s">
        <v>37</v>
      </c>
      <c r="JH405" s="12" t="s">
        <v>37</v>
      </c>
      <c r="JI405" s="12" t="s">
        <v>37</v>
      </c>
      <c r="JJ405" s="12" t="s">
        <v>37</v>
      </c>
      <c r="JL405" s="12" t="s">
        <v>37</v>
      </c>
      <c r="JM405" s="12" t="s">
        <v>37</v>
      </c>
      <c r="JN405" s="12" t="s">
        <v>37</v>
      </c>
      <c r="JS405" s="12" t="s">
        <v>37</v>
      </c>
      <c r="JT405" s="12" t="s">
        <v>37</v>
      </c>
      <c r="JU405" s="12" t="s">
        <v>37</v>
      </c>
      <c r="JW405" s="12" t="s">
        <v>37</v>
      </c>
      <c r="JX405" s="12" t="s">
        <v>37</v>
      </c>
      <c r="JY405" s="12" t="s">
        <v>37</v>
      </c>
      <c r="KE405" s="12" t="s">
        <v>37</v>
      </c>
      <c r="KF405" s="12" t="s">
        <v>37</v>
      </c>
      <c r="KG405" s="12" t="s">
        <v>37</v>
      </c>
      <c r="KH405" s="12" t="s">
        <v>37</v>
      </c>
      <c r="KI405" s="12" t="s">
        <v>37</v>
      </c>
      <c r="KJ405" s="12" t="s">
        <v>37</v>
      </c>
      <c r="KM405" s="12" t="s">
        <v>37</v>
      </c>
      <c r="KN405" s="12" t="s">
        <v>37</v>
      </c>
      <c r="KO405" s="12" t="s">
        <v>37</v>
      </c>
      <c r="KQ405" s="12" t="s">
        <v>37</v>
      </c>
      <c r="KR405" s="12" t="s">
        <v>37</v>
      </c>
      <c r="KS405" s="12" t="s">
        <v>37</v>
      </c>
      <c r="KX405" s="12" t="s">
        <v>37</v>
      </c>
      <c r="KY405" s="12" t="s">
        <v>37</v>
      </c>
      <c r="KZ405" s="12" t="s">
        <v>37</v>
      </c>
      <c r="LB405" s="12" t="s">
        <v>37</v>
      </c>
      <c r="LC405" s="12" t="s">
        <v>37</v>
      </c>
      <c r="LD405" s="12" t="s">
        <v>37</v>
      </c>
      <c r="LI405" s="12" t="s">
        <v>37</v>
      </c>
      <c r="LJ405" s="12" t="s">
        <v>37</v>
      </c>
      <c r="LK405" s="12" t="s">
        <v>37</v>
      </c>
      <c r="LM405" s="12" t="s">
        <v>37</v>
      </c>
      <c r="LN405" s="12" t="s">
        <v>37</v>
      </c>
      <c r="LO405" s="12" t="s">
        <v>37</v>
      </c>
      <c r="LU405" s="12" t="s">
        <v>37</v>
      </c>
      <c r="LV405" s="12" t="s">
        <v>37</v>
      </c>
      <c r="LW405" s="12" t="s">
        <v>37</v>
      </c>
      <c r="LY405" s="12" t="s">
        <v>37</v>
      </c>
      <c r="LZ405" s="12" t="s">
        <v>37</v>
      </c>
      <c r="MA405" s="12" t="s">
        <v>37</v>
      </c>
      <c r="MF405" s="12" t="s">
        <v>37</v>
      </c>
      <c r="MG405" s="12" t="s">
        <v>37</v>
      </c>
      <c r="MH405" s="12" t="s">
        <v>37</v>
      </c>
      <c r="MJ405" s="12" t="s">
        <v>37</v>
      </c>
      <c r="MK405" s="12" t="s">
        <v>37</v>
      </c>
      <c r="ML405" s="12" t="s">
        <v>37</v>
      </c>
      <c r="MQ405" s="12" t="s">
        <v>37</v>
      </c>
      <c r="MR405" s="12" t="s">
        <v>37</v>
      </c>
      <c r="MS405" s="12" t="s">
        <v>37</v>
      </c>
      <c r="MU405" s="12" t="s">
        <v>37</v>
      </c>
      <c r="MV405" s="12" t="s">
        <v>37</v>
      </c>
      <c r="MW405" s="12" t="s">
        <v>37</v>
      </c>
      <c r="NC405" s="12" t="s">
        <v>37</v>
      </c>
      <c r="ND405" s="12" t="s">
        <v>37</v>
      </c>
      <c r="NE405" s="12" t="s">
        <v>37</v>
      </c>
      <c r="NG405" s="12" t="s">
        <v>37</v>
      </c>
      <c r="NH405" s="12" t="s">
        <v>37</v>
      </c>
      <c r="NI405" s="12" t="s">
        <v>37</v>
      </c>
      <c r="NO405" s="12" t="s">
        <v>37</v>
      </c>
      <c r="NP405" s="12" t="s">
        <v>37</v>
      </c>
      <c r="NQ405" s="12" t="s">
        <v>37</v>
      </c>
      <c r="NS405" s="12" t="s">
        <v>37</v>
      </c>
      <c r="NT405" s="12" t="s">
        <v>37</v>
      </c>
      <c r="NU405" s="12" t="s">
        <v>37</v>
      </c>
      <c r="OA405" s="12" t="s">
        <v>37</v>
      </c>
      <c r="OB405" s="12" t="s">
        <v>37</v>
      </c>
      <c r="OC405" s="12" t="s">
        <v>37</v>
      </c>
      <c r="OD405" s="12"/>
      <c r="OE405" s="12" t="s">
        <v>37</v>
      </c>
      <c r="OF405" s="12" t="s">
        <v>37</v>
      </c>
      <c r="OG405" s="12" t="s">
        <v>37</v>
      </c>
      <c r="OH405" s="12"/>
      <c r="OI405" s="12"/>
      <c r="OJ405" s="12"/>
      <c r="OM405" s="12" t="s">
        <v>37</v>
      </c>
      <c r="ON405" s="12" t="s">
        <v>37</v>
      </c>
      <c r="OO405" s="12" t="s">
        <v>37</v>
      </c>
      <c r="OP405" s="12" t="s">
        <v>37</v>
      </c>
      <c r="OQ405" s="12" t="s">
        <v>37</v>
      </c>
      <c r="OR405" s="12" t="s">
        <v>37</v>
      </c>
      <c r="OS405" s="12"/>
      <c r="OT405" s="12"/>
      <c r="OW405" s="12" t="s">
        <v>37</v>
      </c>
      <c r="OX405" s="12" t="s">
        <v>37</v>
      </c>
      <c r="OY405" s="12" t="s">
        <v>37</v>
      </c>
      <c r="OZ405" s="12" t="s">
        <v>37</v>
      </c>
      <c r="PA405" s="12" t="s">
        <v>37</v>
      </c>
      <c r="PB405" s="12" t="s">
        <v>37</v>
      </c>
      <c r="PC405" s="12"/>
      <c r="PD405" s="12"/>
      <c r="PG405" s="12" t="s">
        <v>37</v>
      </c>
      <c r="PH405" s="12" t="s">
        <v>37</v>
      </c>
      <c r="PI405" s="12" t="s">
        <v>37</v>
      </c>
      <c r="PJ405" s="12" t="s">
        <v>37</v>
      </c>
      <c r="PK405" s="12" t="s">
        <v>37</v>
      </c>
      <c r="PL405" s="12" t="s">
        <v>37</v>
      </c>
      <c r="PM405" s="12"/>
      <c r="PN405" s="12"/>
      <c r="PQ405" s="12" t="s">
        <v>37</v>
      </c>
      <c r="PR405" s="12" t="s">
        <v>37</v>
      </c>
      <c r="PS405" s="12" t="s">
        <v>37</v>
      </c>
      <c r="PT405" s="12" t="s">
        <v>37</v>
      </c>
      <c r="PU405" s="12" t="s">
        <v>37</v>
      </c>
      <c r="PV405" s="12" t="s">
        <v>37</v>
      </c>
      <c r="PW405" s="12"/>
      <c r="PX405" s="12"/>
      <c r="PZ405" s="12" t="s">
        <v>37</v>
      </c>
      <c r="QA405" s="12" t="s">
        <v>37</v>
      </c>
      <c r="QB405" s="11" t="s">
        <v>37</v>
      </c>
      <c r="QD405" s="12" t="s">
        <v>37</v>
      </c>
      <c r="QE405" s="12" t="s">
        <v>37</v>
      </c>
      <c r="QF405" s="12" t="s">
        <v>37</v>
      </c>
      <c r="QK405" s="12" t="s">
        <v>37</v>
      </c>
      <c r="QL405" s="12" t="s">
        <v>37</v>
      </c>
      <c r="QM405" s="12" t="s">
        <v>37</v>
      </c>
      <c r="QN405" s="12" t="s">
        <v>37</v>
      </c>
      <c r="QO405" s="12" t="s">
        <v>37</v>
      </c>
      <c r="QP405" s="12" t="s">
        <v>37</v>
      </c>
      <c r="QQ405" s="12"/>
      <c r="QR405" s="12"/>
      <c r="QU405" s="12" t="s">
        <v>37</v>
      </c>
      <c r="QV405" s="12" t="s">
        <v>37</v>
      </c>
      <c r="QW405" s="12" t="s">
        <v>37</v>
      </c>
      <c r="QX405" s="12" t="s">
        <v>37</v>
      </c>
      <c r="QY405" s="12" t="s">
        <v>37</v>
      </c>
      <c r="QZ405" s="12" t="s">
        <v>37</v>
      </c>
      <c r="RC405" s="12" t="s">
        <v>37</v>
      </c>
      <c r="RD405" s="12" t="s">
        <v>37</v>
      </c>
      <c r="RE405" s="13" t="s">
        <v>37</v>
      </c>
      <c r="RF405" s="12" t="s">
        <v>37</v>
      </c>
      <c r="RG405" s="12" t="s">
        <v>37</v>
      </c>
      <c r="RH405" s="13" t="s">
        <v>37</v>
      </c>
      <c r="RK405" s="12" t="s">
        <v>37</v>
      </c>
      <c r="RL405" s="12" t="s">
        <v>37</v>
      </c>
      <c r="RM405" s="11" t="s">
        <v>37</v>
      </c>
      <c r="RN405" s="12" t="s">
        <v>37</v>
      </c>
      <c r="RO405" s="12" t="s">
        <v>37</v>
      </c>
      <c r="RP405" s="11" t="s">
        <v>37</v>
      </c>
      <c r="RS405" s="12" t="s">
        <v>37</v>
      </c>
      <c r="RT405" s="12" t="s">
        <v>37</v>
      </c>
      <c r="RU405" s="12" t="s">
        <v>37</v>
      </c>
      <c r="RV405" s="12" t="s">
        <v>37</v>
      </c>
      <c r="RW405" s="12" t="s">
        <v>37</v>
      </c>
      <c r="RX405" s="12" t="s">
        <v>37</v>
      </c>
      <c r="SA405" s="12" t="s">
        <v>37</v>
      </c>
      <c r="SB405" s="12" t="s">
        <v>37</v>
      </c>
      <c r="SC405" s="12" t="s">
        <v>37</v>
      </c>
      <c r="SD405" s="12" t="s">
        <v>37</v>
      </c>
      <c r="SE405" s="12" t="s">
        <v>37</v>
      </c>
      <c r="SF405" s="12" t="s">
        <v>37</v>
      </c>
      <c r="SI405" s="12" t="s">
        <v>37</v>
      </c>
      <c r="SJ405" s="12" t="s">
        <v>37</v>
      </c>
      <c r="SK405" s="13" t="s">
        <v>37</v>
      </c>
      <c r="SM405" s="12" t="s">
        <v>37</v>
      </c>
      <c r="SN405" s="12" t="s">
        <v>37</v>
      </c>
      <c r="SO405" s="13" t="s">
        <v>37</v>
      </c>
      <c r="SU405" s="12" t="s">
        <v>37</v>
      </c>
      <c r="SV405" s="12" t="s">
        <v>37</v>
      </c>
      <c r="SW405" s="11" t="s">
        <v>37</v>
      </c>
      <c r="SX405" s="12" t="s">
        <v>37</v>
      </c>
      <c r="SY405" s="12" t="s">
        <v>37</v>
      </c>
      <c r="SZ405" s="11" t="s">
        <v>37</v>
      </c>
      <c r="TE405" s="12" t="s">
        <v>37</v>
      </c>
      <c r="TF405" s="12" t="s">
        <v>37</v>
      </c>
      <c r="TG405" s="11" t="s">
        <v>37</v>
      </c>
      <c r="TH405" s="12" t="s">
        <v>37</v>
      </c>
      <c r="TI405" s="12" t="s">
        <v>37</v>
      </c>
      <c r="TJ405" s="11" t="s">
        <v>37</v>
      </c>
      <c r="TO405" s="12" t="s">
        <v>37</v>
      </c>
      <c r="TP405" s="12" t="s">
        <v>37</v>
      </c>
      <c r="TQ405" s="11" t="s">
        <v>37</v>
      </c>
      <c r="TR405" s="12" t="s">
        <v>37</v>
      </c>
      <c r="TS405" s="12" t="s">
        <v>37</v>
      </c>
      <c r="TT405" s="11" t="s">
        <v>37</v>
      </c>
      <c r="TY405" s="12" t="s">
        <v>37</v>
      </c>
      <c r="TZ405" s="12" t="s">
        <v>37</v>
      </c>
      <c r="UA405" s="12" t="s">
        <v>37</v>
      </c>
      <c r="UB405" s="12" t="s">
        <v>37</v>
      </c>
      <c r="UC405" s="12" t="s">
        <v>37</v>
      </c>
      <c r="UD405" s="12" t="s">
        <v>37</v>
      </c>
      <c r="UE405" s="12"/>
      <c r="UF405" s="12"/>
      <c r="UI405" s="12" t="s">
        <v>37</v>
      </c>
      <c r="UJ405" s="12" t="s">
        <v>37</v>
      </c>
      <c r="UK405" s="12" t="s">
        <v>37</v>
      </c>
      <c r="UL405" s="12" t="s">
        <v>37</v>
      </c>
      <c r="UM405" s="12" t="s">
        <v>37</v>
      </c>
      <c r="UN405" s="12" t="s">
        <v>37</v>
      </c>
      <c r="UO405" s="12"/>
      <c r="UP405" s="12"/>
      <c r="UR405" s="12" t="s">
        <v>37</v>
      </c>
      <c r="US405" s="12" t="s">
        <v>37</v>
      </c>
      <c r="UT405" s="12" t="s">
        <v>37</v>
      </c>
      <c r="UU405" s="12" t="s">
        <v>37</v>
      </c>
      <c r="UV405" s="12" t="s">
        <v>37</v>
      </c>
      <c r="UW405" s="12" t="s">
        <v>37</v>
      </c>
      <c r="UX405" s="12"/>
      <c r="UY405" s="12"/>
      <c r="VB405" s="12" t="s">
        <v>37</v>
      </c>
      <c r="VC405" s="12" t="s">
        <v>37</v>
      </c>
      <c r="VD405" s="12" t="s">
        <v>37</v>
      </c>
      <c r="VE405" s="12" t="s">
        <v>37</v>
      </c>
      <c r="VF405" s="12" t="s">
        <v>37</v>
      </c>
      <c r="VG405" s="12" t="s">
        <v>37</v>
      </c>
      <c r="VI405" s="12" t="s">
        <v>37</v>
      </c>
      <c r="VJ405" s="12" t="s">
        <v>37</v>
      </c>
      <c r="VK405" s="12" t="s">
        <v>37</v>
      </c>
      <c r="VL405" s="12" t="s">
        <v>37</v>
      </c>
      <c r="VM405" s="12" t="s">
        <v>37</v>
      </c>
      <c r="VN405" s="12" t="s">
        <v>37</v>
      </c>
      <c r="VQ405" s="13" t="s">
        <v>37</v>
      </c>
      <c r="VR405" s="13" t="s">
        <v>37</v>
      </c>
      <c r="VS405" s="13" t="s">
        <v>37</v>
      </c>
      <c r="VT405" s="13" t="s">
        <v>37</v>
      </c>
      <c r="VU405" s="13" t="s">
        <v>37</v>
      </c>
      <c r="VV405" s="13" t="s">
        <v>37</v>
      </c>
      <c r="WA405" s="13" t="s">
        <v>37</v>
      </c>
      <c r="WB405" s="13" t="s">
        <v>37</v>
      </c>
      <c r="WC405" s="13" t="s">
        <v>37</v>
      </c>
      <c r="WD405" s="13" t="s">
        <v>37</v>
      </c>
      <c r="WE405" s="13" t="s">
        <v>37</v>
      </c>
      <c r="WF405" s="13" t="s">
        <v>37</v>
      </c>
    </row>
    <row r="406" spans="1:606" ht="18" customHeight="1" x14ac:dyDescent="0.3">
      <c r="A406" s="11">
        <v>88</v>
      </c>
      <c r="B406" s="16" t="s">
        <v>605</v>
      </c>
      <c r="C406" s="12" t="s">
        <v>26</v>
      </c>
      <c r="D406" s="12" t="s">
        <v>973</v>
      </c>
      <c r="E406" s="40" t="s">
        <v>37</v>
      </c>
      <c r="F406" s="14">
        <v>0</v>
      </c>
      <c r="G406" s="14">
        <v>0</v>
      </c>
      <c r="H406" s="12" t="s">
        <v>313</v>
      </c>
      <c r="I406" s="29">
        <v>68.613</v>
      </c>
      <c r="J406" s="29">
        <v>162.34100000000001</v>
      </c>
      <c r="K406" s="12" t="s">
        <v>677</v>
      </c>
      <c r="L406" s="12" t="s">
        <v>676</v>
      </c>
      <c r="M406" s="13" t="s">
        <v>37</v>
      </c>
      <c r="N406" s="14">
        <v>-11</v>
      </c>
      <c r="O406" s="14">
        <v>197</v>
      </c>
      <c r="P406" s="14" t="s">
        <v>84</v>
      </c>
      <c r="Q406" s="75">
        <v>10</v>
      </c>
      <c r="R406" s="11" t="s">
        <v>37</v>
      </c>
      <c r="S406" s="12" t="s">
        <v>85</v>
      </c>
      <c r="T406" s="16" t="s">
        <v>138</v>
      </c>
      <c r="U406" s="12" t="s">
        <v>158</v>
      </c>
      <c r="V406" s="12" t="s">
        <v>274</v>
      </c>
      <c r="W406" s="23" t="s">
        <v>282</v>
      </c>
      <c r="X406" s="12" t="s">
        <v>606</v>
      </c>
      <c r="Y406" s="12" t="s">
        <v>37</v>
      </c>
      <c r="Z406" s="12" t="s">
        <v>37</v>
      </c>
      <c r="AB406" s="12" t="s">
        <v>37</v>
      </c>
      <c r="AE406" s="12" t="s">
        <v>37</v>
      </c>
      <c r="AH406" s="12" t="s">
        <v>37</v>
      </c>
      <c r="AK406" s="12" t="s">
        <v>37</v>
      </c>
      <c r="AL406" s="32" t="s">
        <v>607</v>
      </c>
      <c r="AM406" s="12" t="s">
        <v>317</v>
      </c>
      <c r="AN406" s="32" t="s">
        <v>892</v>
      </c>
      <c r="AO406" s="12" t="s">
        <v>37</v>
      </c>
      <c r="AP406" s="12" t="s">
        <v>167</v>
      </c>
      <c r="AQ406" s="12" t="s">
        <v>975</v>
      </c>
      <c r="AT406" s="12" t="s">
        <v>326</v>
      </c>
      <c r="AU406" s="12" t="s">
        <v>326</v>
      </c>
      <c r="AV406" s="13" t="s">
        <v>326</v>
      </c>
      <c r="AX406" s="12" t="s">
        <v>326</v>
      </c>
      <c r="AY406" s="12" t="s">
        <v>326</v>
      </c>
      <c r="AZ406" s="13" t="s">
        <v>326</v>
      </c>
      <c r="BD406" s="12"/>
      <c r="BE406" s="12" t="s">
        <v>326</v>
      </c>
      <c r="BF406" s="12" t="s">
        <v>326</v>
      </c>
      <c r="BG406" s="12" t="s">
        <v>326</v>
      </c>
      <c r="BI406" s="12" t="s">
        <v>326</v>
      </c>
      <c r="BJ406" s="12" t="s">
        <v>326</v>
      </c>
      <c r="BK406" s="12" t="s">
        <v>326</v>
      </c>
      <c r="BP406" s="12" t="s">
        <v>37</v>
      </c>
      <c r="BQ406" s="12" t="s">
        <v>37</v>
      </c>
      <c r="BR406" s="13" t="s">
        <v>37</v>
      </c>
      <c r="BT406" s="12" t="s">
        <v>37</v>
      </c>
      <c r="BU406" s="12" t="s">
        <v>37</v>
      </c>
      <c r="BV406" s="12" t="s">
        <v>37</v>
      </c>
      <c r="BZ406" s="12" t="s">
        <v>47</v>
      </c>
      <c r="CA406" s="12">
        <f>-66*("2013/09/30"-"2013/06/01")/("2013/08/10"-"2013/07/22")*44/12/'[6]classess-1'!$T$100</f>
        <v>-1541.1578947368423</v>
      </c>
      <c r="CB406" s="12">
        <f>SQRT((1/[7]Classess!$T$100)^2*(0.31*("2013/09/30"-"2013/06/01")/("2013/08/10"-"2013/07/22")*44/12)^2+(-CA406/([7]Classess!T$100)^2)^2*([7]Classess!$U$100)^2)</f>
        <v>7.2387719298245612</v>
      </c>
      <c r="CC406" s="13">
        <v>4</v>
      </c>
      <c r="CD406" s="19">
        <f t="shared" si="1473"/>
        <v>4.696969696969696E-3</v>
      </c>
      <c r="CE406" s="12">
        <f>-96*("2013/09/30"-"2013/06/01")/("2013/08/10"-"2013/07/22")*44/12/'[6]classess-1'!$T$101</f>
        <v>-2325.3342698275173</v>
      </c>
      <c r="CF406" s="12">
        <f>SQRT((1/[7]Classess!$T$101)^2*(0.9*("2013/09/30"-"2013/06/01")/("2013/08/10"-"2013/07/22")*44/12)^2+(-CE406/([7]Classess!$T$101)^2)^2*([7]Classess!$U$101)^2)</f>
        <v>61.965584260203691</v>
      </c>
      <c r="CG406" s="13">
        <v>4</v>
      </c>
      <c r="CH406" s="19">
        <f t="shared" si="1474"/>
        <v>2.6648032957773429E-2</v>
      </c>
      <c r="CI406" s="75">
        <f t="shared" si="1475"/>
        <v>-784.17637509067504</v>
      </c>
      <c r="CJ406" s="12">
        <f t="shared" si="1464"/>
        <v>44.114246291648342</v>
      </c>
      <c r="CK406" s="72">
        <f t="shared" si="1465"/>
        <v>973.03336294010489</v>
      </c>
      <c r="CL406" s="72">
        <f t="shared" si="1466"/>
        <v>973.03336294010489</v>
      </c>
      <c r="CM406" s="12" t="s">
        <v>47</v>
      </c>
      <c r="CN406" s="12">
        <f>47*("2013/09/30"-"2013/06/01")/("2013/08/10"-"2013/07/22")*44/12/'[6]classess-1'!$I$100</f>
        <v>1345.4082314555228</v>
      </c>
      <c r="CO406" s="12">
        <f>SQRT((1/[7]Classess!$I$100)^2*(3*("2013/09/30"-"2013/06/01")/("2013/08/10"-"2013/07/22")*44/12)^2+(-CN406/([7]Classess!$I$100)^2)^2*([7]Classess!$J$100)^2)</f>
        <v>87.695812130506496</v>
      </c>
      <c r="CP406" s="13">
        <v>4</v>
      </c>
      <c r="CQ406" s="19">
        <f t="shared" si="1476"/>
        <v>6.5181563543455681E-2</v>
      </c>
      <c r="CR406" s="12">
        <f>38*("2013/09/30"-"2013/06/01")/("2013/08/10"-"2013/07/22")*44/12/'[6]classess-1'!$I$101</f>
        <v>1031.8740709698438</v>
      </c>
      <c r="CS406" s="12">
        <f>SQRT((1/[7]Classess!$I$101)^2*(11*("2013/09/30"-"2013/06/01")/("2013/08/10"-"2013/07/22")*44/12)^2+(-CR406/([7]Classess!$I$101)^2)^2*([7]Classess!$J$101)^2)</f>
        <v>302.96098741004602</v>
      </c>
      <c r="CT406" s="13">
        <v>4</v>
      </c>
      <c r="CU406" s="19">
        <f t="shared" si="1477"/>
        <v>0.29360267491293512</v>
      </c>
      <c r="CV406" s="75">
        <f t="shared" si="1467"/>
        <v>-313.53416048567897</v>
      </c>
      <c r="CW406" s="12">
        <f t="shared" si="1468"/>
        <v>223.02008357735312</v>
      </c>
      <c r="CX406" s="72">
        <f t="shared" si="1469"/>
        <v>24868.978839424788</v>
      </c>
      <c r="CY406" s="72">
        <f t="shared" si="1470"/>
        <v>24868.978839424788</v>
      </c>
      <c r="CZ406" s="12" t="s">
        <v>47</v>
      </c>
      <c r="DA406" s="12">
        <f t="shared" si="1471"/>
        <v>-195.7496632813195</v>
      </c>
      <c r="DB406" s="12">
        <f>SQRT((1/[7]Classess!$I$41)^2*(3*44/12)^2+(-DA406/([7]Classess!$I$39)^2)^2*([7]Classess!$J$39)^2)</f>
        <v>14.333494088181441</v>
      </c>
      <c r="DC406" s="13">
        <v>4</v>
      </c>
      <c r="DD406" s="19">
        <f t="shared" si="1478"/>
        <v>7.3223595115881321E-2</v>
      </c>
      <c r="DE406" s="12">
        <f t="shared" si="1472"/>
        <v>-1293.4601988576735</v>
      </c>
      <c r="DF406" s="12">
        <f>SQRT((1/[7]Classess!$I$40)^2*(7*44/12)^2+(-DE406/([7]Classess!$I$40)^2)^2*([7]Classess!$J$40)^2)</f>
        <v>1575.5989774270381</v>
      </c>
      <c r="DG406" s="13">
        <v>4</v>
      </c>
      <c r="DH406" s="19">
        <f t="shared" si="1479"/>
        <v>1.2181271436249348</v>
      </c>
      <c r="DI406" s="19">
        <f t="shared" si="1480"/>
        <v>-1097.710535576354</v>
      </c>
      <c r="DJ406" s="12">
        <f t="shared" si="1451"/>
        <v>1114.1628217459745</v>
      </c>
      <c r="DK406" s="72">
        <f t="shared" si="1452"/>
        <v>620679.39668047603</v>
      </c>
      <c r="DL406" s="72">
        <f t="shared" si="1453"/>
        <v>620679.39668047603</v>
      </c>
      <c r="DN406" s="19" t="s">
        <v>37</v>
      </c>
      <c r="DO406" s="12" t="s">
        <v>37</v>
      </c>
      <c r="DP406" s="13" t="s">
        <v>37</v>
      </c>
      <c r="DR406" s="19" t="s">
        <v>37</v>
      </c>
      <c r="DS406" s="12" t="s">
        <v>37</v>
      </c>
      <c r="DT406" s="13" t="s">
        <v>37</v>
      </c>
      <c r="EA406" s="19" t="s">
        <v>37</v>
      </c>
      <c r="EB406" s="19" t="s">
        <v>37</v>
      </c>
      <c r="EC406" s="72" t="s">
        <v>37</v>
      </c>
      <c r="EE406" s="19" t="s">
        <v>37</v>
      </c>
      <c r="EF406" s="19" t="s">
        <v>37</v>
      </c>
      <c r="EG406" s="12" t="s">
        <v>37</v>
      </c>
      <c r="EN406" s="12" t="s">
        <v>37</v>
      </c>
      <c r="EO406" s="12" t="s">
        <v>37</v>
      </c>
      <c r="EP406" s="13" t="s">
        <v>37</v>
      </c>
      <c r="ER406" s="12" t="s">
        <v>37</v>
      </c>
      <c r="ES406" s="12" t="s">
        <v>37</v>
      </c>
      <c r="ET406" s="13" t="s">
        <v>37</v>
      </c>
      <c r="FB406" s="12" t="s">
        <v>37</v>
      </c>
      <c r="FC406" s="12" t="s">
        <v>37</v>
      </c>
      <c r="FD406" s="12" t="s">
        <v>37</v>
      </c>
      <c r="FE406" s="12" t="s">
        <v>37</v>
      </c>
      <c r="FF406" s="12" t="s">
        <v>37</v>
      </c>
      <c r="FG406" s="12" t="s">
        <v>37</v>
      </c>
      <c r="FI406" s="12" t="s">
        <v>37</v>
      </c>
      <c r="FJ406" s="12" t="s">
        <v>37</v>
      </c>
      <c r="FK406" s="12" t="s">
        <v>37</v>
      </c>
      <c r="FL406" s="12" t="s">
        <v>37</v>
      </c>
      <c r="FM406" s="12" t="s">
        <v>37</v>
      </c>
      <c r="FN406" s="12" t="s">
        <v>37</v>
      </c>
      <c r="FP406" s="12" t="s">
        <v>37</v>
      </c>
      <c r="FQ406" s="12" t="s">
        <v>37</v>
      </c>
      <c r="FR406" s="12" t="s">
        <v>37</v>
      </c>
      <c r="FS406" s="12" t="s">
        <v>37</v>
      </c>
      <c r="FT406" s="12" t="s">
        <v>37</v>
      </c>
      <c r="FU406" s="12" t="s">
        <v>37</v>
      </c>
      <c r="FW406" s="12" t="s">
        <v>37</v>
      </c>
      <c r="FX406" s="12" t="s">
        <v>37</v>
      </c>
      <c r="FY406" s="12" t="s">
        <v>37</v>
      </c>
      <c r="FZ406" s="12" t="s">
        <v>37</v>
      </c>
      <c r="GA406" s="12" t="s">
        <v>37</v>
      </c>
      <c r="GB406" s="12" t="s">
        <v>37</v>
      </c>
      <c r="GG406" s="12"/>
      <c r="GK406" s="12"/>
      <c r="HP406" s="12"/>
      <c r="HT406" s="12"/>
      <c r="IA406" s="12"/>
      <c r="IE406" s="12"/>
      <c r="IK406" s="12" t="s">
        <v>37</v>
      </c>
      <c r="IL406" s="12" t="s">
        <v>37</v>
      </c>
      <c r="IM406" s="12" t="s">
        <v>37</v>
      </c>
      <c r="IO406" s="12" t="s">
        <v>37</v>
      </c>
      <c r="IP406" s="12" t="s">
        <v>37</v>
      </c>
      <c r="IQ406" s="12" t="s">
        <v>37</v>
      </c>
      <c r="IW406" s="12" t="s">
        <v>37</v>
      </c>
      <c r="IX406" s="12" t="s">
        <v>37</v>
      </c>
      <c r="IY406" s="12" t="s">
        <v>37</v>
      </c>
      <c r="JA406" s="12" t="s">
        <v>37</v>
      </c>
      <c r="JB406" s="12" t="s">
        <v>37</v>
      </c>
      <c r="JC406" s="12" t="s">
        <v>37</v>
      </c>
      <c r="JH406" s="12" t="s">
        <v>37</v>
      </c>
      <c r="JI406" s="12" t="s">
        <v>37</v>
      </c>
      <c r="JJ406" s="12" t="s">
        <v>37</v>
      </c>
      <c r="JL406" s="12" t="s">
        <v>37</v>
      </c>
      <c r="JM406" s="12" t="s">
        <v>37</v>
      </c>
      <c r="JN406" s="12" t="s">
        <v>37</v>
      </c>
      <c r="JS406" s="12" t="s">
        <v>37</v>
      </c>
      <c r="JT406" s="12" t="s">
        <v>37</v>
      </c>
      <c r="JU406" s="12" t="s">
        <v>37</v>
      </c>
      <c r="JW406" s="12" t="s">
        <v>37</v>
      </c>
      <c r="JX406" s="12" t="s">
        <v>37</v>
      </c>
      <c r="JY406" s="12" t="s">
        <v>37</v>
      </c>
      <c r="KE406" s="12" t="s">
        <v>37</v>
      </c>
      <c r="KF406" s="12" t="s">
        <v>37</v>
      </c>
      <c r="KG406" s="12" t="s">
        <v>37</v>
      </c>
      <c r="KH406" s="12" t="s">
        <v>37</v>
      </c>
      <c r="KI406" s="12" t="s">
        <v>37</v>
      </c>
      <c r="KJ406" s="12" t="s">
        <v>37</v>
      </c>
      <c r="KM406" s="12" t="s">
        <v>37</v>
      </c>
      <c r="KN406" s="12" t="s">
        <v>37</v>
      </c>
      <c r="KO406" s="12" t="s">
        <v>37</v>
      </c>
      <c r="KQ406" s="12" t="s">
        <v>37</v>
      </c>
      <c r="KR406" s="12" t="s">
        <v>37</v>
      </c>
      <c r="KS406" s="12" t="s">
        <v>37</v>
      </c>
      <c r="KX406" s="12" t="s">
        <v>37</v>
      </c>
      <c r="KY406" s="12" t="s">
        <v>37</v>
      </c>
      <c r="KZ406" s="12" t="s">
        <v>37</v>
      </c>
      <c r="LB406" s="12" t="s">
        <v>37</v>
      </c>
      <c r="LC406" s="12" t="s">
        <v>37</v>
      </c>
      <c r="LD406" s="12" t="s">
        <v>37</v>
      </c>
      <c r="LI406" s="12" t="s">
        <v>37</v>
      </c>
      <c r="LJ406" s="12" t="s">
        <v>37</v>
      </c>
      <c r="LK406" s="12" t="s">
        <v>37</v>
      </c>
      <c r="LM406" s="12" t="s">
        <v>37</v>
      </c>
      <c r="LN406" s="12" t="s">
        <v>37</v>
      </c>
      <c r="LO406" s="12" t="s">
        <v>37</v>
      </c>
      <c r="LU406" s="12" t="s">
        <v>37</v>
      </c>
      <c r="LV406" s="12" t="s">
        <v>37</v>
      </c>
      <c r="LW406" s="12" t="s">
        <v>37</v>
      </c>
      <c r="LY406" s="12" t="s">
        <v>37</v>
      </c>
      <c r="LZ406" s="12" t="s">
        <v>37</v>
      </c>
      <c r="MA406" s="12" t="s">
        <v>37</v>
      </c>
      <c r="MF406" s="12" t="s">
        <v>37</v>
      </c>
      <c r="MG406" s="12" t="s">
        <v>37</v>
      </c>
      <c r="MH406" s="12" t="s">
        <v>37</v>
      </c>
      <c r="MJ406" s="12" t="s">
        <v>37</v>
      </c>
      <c r="MK406" s="12" t="s">
        <v>37</v>
      </c>
      <c r="ML406" s="12" t="s">
        <v>37</v>
      </c>
      <c r="MQ406" s="12" t="s">
        <v>37</v>
      </c>
      <c r="MR406" s="12" t="s">
        <v>37</v>
      </c>
      <c r="MS406" s="12" t="s">
        <v>37</v>
      </c>
      <c r="MU406" s="12" t="s">
        <v>37</v>
      </c>
      <c r="MV406" s="12" t="s">
        <v>37</v>
      </c>
      <c r="MW406" s="12" t="s">
        <v>37</v>
      </c>
      <c r="NC406" s="12" t="s">
        <v>37</v>
      </c>
      <c r="ND406" s="12" t="s">
        <v>37</v>
      </c>
      <c r="NE406" s="12" t="s">
        <v>37</v>
      </c>
      <c r="NG406" s="12" t="s">
        <v>37</v>
      </c>
      <c r="NH406" s="12" t="s">
        <v>37</v>
      </c>
      <c r="NI406" s="12" t="s">
        <v>37</v>
      </c>
      <c r="NO406" s="12" t="s">
        <v>37</v>
      </c>
      <c r="NP406" s="12" t="s">
        <v>37</v>
      </c>
      <c r="NQ406" s="12" t="s">
        <v>37</v>
      </c>
      <c r="NS406" s="12" t="s">
        <v>37</v>
      </c>
      <c r="NT406" s="12" t="s">
        <v>37</v>
      </c>
      <c r="NU406" s="12" t="s">
        <v>37</v>
      </c>
      <c r="OA406" s="12" t="s">
        <v>37</v>
      </c>
      <c r="OB406" s="12" t="s">
        <v>37</v>
      </c>
      <c r="OC406" s="12" t="s">
        <v>37</v>
      </c>
      <c r="OD406" s="12"/>
      <c r="OE406" s="12" t="s">
        <v>37</v>
      </c>
      <c r="OF406" s="12" t="s">
        <v>37</v>
      </c>
      <c r="OG406" s="12" t="s">
        <v>37</v>
      </c>
      <c r="OH406" s="12"/>
      <c r="OI406" s="12"/>
      <c r="OJ406" s="12"/>
      <c r="OM406" s="12" t="s">
        <v>37</v>
      </c>
      <c r="ON406" s="12" t="s">
        <v>37</v>
      </c>
      <c r="OO406" s="12" t="s">
        <v>37</v>
      </c>
      <c r="OP406" s="12" t="s">
        <v>37</v>
      </c>
      <c r="OQ406" s="12" t="s">
        <v>37</v>
      </c>
      <c r="OR406" s="12" t="s">
        <v>37</v>
      </c>
      <c r="OS406" s="12"/>
      <c r="OT406" s="12"/>
      <c r="OW406" s="12" t="s">
        <v>37</v>
      </c>
      <c r="OX406" s="12" t="s">
        <v>37</v>
      </c>
      <c r="OY406" s="12" t="s">
        <v>37</v>
      </c>
      <c r="OZ406" s="12" t="s">
        <v>37</v>
      </c>
      <c r="PA406" s="12" t="s">
        <v>37</v>
      </c>
      <c r="PB406" s="12" t="s">
        <v>37</v>
      </c>
      <c r="PC406" s="12"/>
      <c r="PD406" s="12"/>
      <c r="PG406" s="12" t="s">
        <v>37</v>
      </c>
      <c r="PH406" s="12" t="s">
        <v>37</v>
      </c>
      <c r="PI406" s="12" t="s">
        <v>37</v>
      </c>
      <c r="PJ406" s="12" t="s">
        <v>37</v>
      </c>
      <c r="PK406" s="12" t="s">
        <v>37</v>
      </c>
      <c r="PL406" s="12" t="s">
        <v>37</v>
      </c>
      <c r="PM406" s="12"/>
      <c r="PN406" s="12"/>
      <c r="PQ406" s="12" t="s">
        <v>37</v>
      </c>
      <c r="PR406" s="12" t="s">
        <v>37</v>
      </c>
      <c r="PS406" s="12" t="s">
        <v>37</v>
      </c>
      <c r="PT406" s="12" t="s">
        <v>37</v>
      </c>
      <c r="PU406" s="12" t="s">
        <v>37</v>
      </c>
      <c r="PV406" s="12" t="s">
        <v>37</v>
      </c>
      <c r="PW406" s="12"/>
      <c r="PX406" s="12"/>
      <c r="PZ406" s="12" t="s">
        <v>37</v>
      </c>
      <c r="QA406" s="12" t="s">
        <v>37</v>
      </c>
      <c r="QB406" s="11" t="s">
        <v>37</v>
      </c>
      <c r="QD406" s="12" t="s">
        <v>37</v>
      </c>
      <c r="QE406" s="12" t="s">
        <v>37</v>
      </c>
      <c r="QF406" s="12" t="s">
        <v>37</v>
      </c>
      <c r="QK406" s="12" t="s">
        <v>37</v>
      </c>
      <c r="QL406" s="12" t="s">
        <v>37</v>
      </c>
      <c r="QM406" s="12" t="s">
        <v>37</v>
      </c>
      <c r="QN406" s="12" t="s">
        <v>37</v>
      </c>
      <c r="QO406" s="12" t="s">
        <v>37</v>
      </c>
      <c r="QP406" s="12" t="s">
        <v>37</v>
      </c>
      <c r="QQ406" s="12"/>
      <c r="QR406" s="12"/>
      <c r="QU406" s="12" t="s">
        <v>37</v>
      </c>
      <c r="QV406" s="12" t="s">
        <v>37</v>
      </c>
      <c r="QW406" s="12" t="s">
        <v>37</v>
      </c>
      <c r="QX406" s="12" t="s">
        <v>37</v>
      </c>
      <c r="QY406" s="12" t="s">
        <v>37</v>
      </c>
      <c r="QZ406" s="12" t="s">
        <v>37</v>
      </c>
      <c r="RC406" s="12" t="s">
        <v>37</v>
      </c>
      <c r="RD406" s="12" t="s">
        <v>37</v>
      </c>
      <c r="RE406" s="13" t="s">
        <v>37</v>
      </c>
      <c r="RF406" s="12" t="s">
        <v>37</v>
      </c>
      <c r="RG406" s="12" t="s">
        <v>37</v>
      </c>
      <c r="RH406" s="13" t="s">
        <v>37</v>
      </c>
      <c r="RK406" s="12" t="s">
        <v>37</v>
      </c>
      <c r="RL406" s="12" t="s">
        <v>37</v>
      </c>
      <c r="RM406" s="11" t="s">
        <v>37</v>
      </c>
      <c r="RN406" s="12" t="s">
        <v>37</v>
      </c>
      <c r="RO406" s="12" t="s">
        <v>37</v>
      </c>
      <c r="RP406" s="11" t="s">
        <v>37</v>
      </c>
      <c r="RS406" s="12" t="s">
        <v>37</v>
      </c>
      <c r="RT406" s="12" t="s">
        <v>37</v>
      </c>
      <c r="RU406" s="12" t="s">
        <v>37</v>
      </c>
      <c r="RV406" s="12" t="s">
        <v>37</v>
      </c>
      <c r="RW406" s="12" t="s">
        <v>37</v>
      </c>
      <c r="RX406" s="12" t="s">
        <v>37</v>
      </c>
      <c r="SA406" s="12" t="s">
        <v>37</v>
      </c>
      <c r="SB406" s="12" t="s">
        <v>37</v>
      </c>
      <c r="SC406" s="12" t="s">
        <v>37</v>
      </c>
      <c r="SD406" s="12" t="s">
        <v>37</v>
      </c>
      <c r="SE406" s="12" t="s">
        <v>37</v>
      </c>
      <c r="SF406" s="12" t="s">
        <v>37</v>
      </c>
      <c r="SI406" s="12" t="s">
        <v>37</v>
      </c>
      <c r="SJ406" s="12" t="s">
        <v>37</v>
      </c>
      <c r="SK406" s="13" t="s">
        <v>37</v>
      </c>
      <c r="SM406" s="12" t="s">
        <v>37</v>
      </c>
      <c r="SN406" s="12" t="s">
        <v>37</v>
      </c>
      <c r="SO406" s="13" t="s">
        <v>37</v>
      </c>
      <c r="SU406" s="12" t="s">
        <v>37</v>
      </c>
      <c r="SV406" s="12" t="s">
        <v>37</v>
      </c>
      <c r="SW406" s="11" t="s">
        <v>37</v>
      </c>
      <c r="SX406" s="12" t="s">
        <v>37</v>
      </c>
      <c r="SY406" s="12" t="s">
        <v>37</v>
      </c>
      <c r="SZ406" s="11" t="s">
        <v>37</v>
      </c>
      <c r="TE406" s="12" t="s">
        <v>37</v>
      </c>
      <c r="TF406" s="12" t="s">
        <v>37</v>
      </c>
      <c r="TG406" s="11" t="s">
        <v>37</v>
      </c>
      <c r="TH406" s="12" t="s">
        <v>37</v>
      </c>
      <c r="TI406" s="12" t="s">
        <v>37</v>
      </c>
      <c r="TJ406" s="11" t="s">
        <v>37</v>
      </c>
      <c r="TO406" s="12" t="s">
        <v>37</v>
      </c>
      <c r="TP406" s="12" t="s">
        <v>37</v>
      </c>
      <c r="TQ406" s="11" t="s">
        <v>37</v>
      </c>
      <c r="TR406" s="12" t="s">
        <v>37</v>
      </c>
      <c r="TS406" s="12" t="s">
        <v>37</v>
      </c>
      <c r="TT406" s="11" t="s">
        <v>37</v>
      </c>
      <c r="TY406" s="12" t="s">
        <v>37</v>
      </c>
      <c r="TZ406" s="12" t="s">
        <v>37</v>
      </c>
      <c r="UA406" s="12" t="s">
        <v>37</v>
      </c>
      <c r="UB406" s="12" t="s">
        <v>37</v>
      </c>
      <c r="UC406" s="12" t="s">
        <v>37</v>
      </c>
      <c r="UD406" s="12" t="s">
        <v>37</v>
      </c>
      <c r="UE406" s="12"/>
      <c r="UF406" s="12"/>
      <c r="UI406" s="12" t="s">
        <v>37</v>
      </c>
      <c r="UJ406" s="12" t="s">
        <v>37</v>
      </c>
      <c r="UK406" s="12" t="s">
        <v>37</v>
      </c>
      <c r="UL406" s="12" t="s">
        <v>37</v>
      </c>
      <c r="UM406" s="12" t="s">
        <v>37</v>
      </c>
      <c r="UN406" s="12" t="s">
        <v>37</v>
      </c>
      <c r="UO406" s="12"/>
      <c r="UP406" s="12"/>
      <c r="UR406" s="12" t="s">
        <v>37</v>
      </c>
      <c r="US406" s="12" t="s">
        <v>37</v>
      </c>
      <c r="UT406" s="12" t="s">
        <v>37</v>
      </c>
      <c r="UU406" s="12" t="s">
        <v>37</v>
      </c>
      <c r="UV406" s="12" t="s">
        <v>37</v>
      </c>
      <c r="UW406" s="12" t="s">
        <v>37</v>
      </c>
      <c r="UX406" s="12"/>
      <c r="UY406" s="12"/>
      <c r="VB406" s="12" t="s">
        <v>37</v>
      </c>
      <c r="VC406" s="12" t="s">
        <v>37</v>
      </c>
      <c r="VD406" s="12" t="s">
        <v>37</v>
      </c>
      <c r="VE406" s="12" t="s">
        <v>37</v>
      </c>
      <c r="VF406" s="12" t="s">
        <v>37</v>
      </c>
      <c r="VG406" s="12" t="s">
        <v>37</v>
      </c>
      <c r="VI406" s="12" t="s">
        <v>37</v>
      </c>
      <c r="VJ406" s="12" t="s">
        <v>37</v>
      </c>
      <c r="VK406" s="12" t="s">
        <v>37</v>
      </c>
      <c r="VL406" s="12" t="s">
        <v>37</v>
      </c>
      <c r="VM406" s="12" t="s">
        <v>37</v>
      </c>
      <c r="VN406" s="12" t="s">
        <v>37</v>
      </c>
      <c r="VQ406" s="13" t="s">
        <v>37</v>
      </c>
      <c r="VR406" s="13" t="s">
        <v>37</v>
      </c>
      <c r="VS406" s="13" t="s">
        <v>37</v>
      </c>
      <c r="VT406" s="13" t="s">
        <v>37</v>
      </c>
      <c r="VU406" s="13" t="s">
        <v>37</v>
      </c>
      <c r="VV406" s="13" t="s">
        <v>37</v>
      </c>
      <c r="WA406" s="13" t="s">
        <v>37</v>
      </c>
      <c r="WB406" s="13" t="s">
        <v>37</v>
      </c>
      <c r="WC406" s="13" t="s">
        <v>37</v>
      </c>
      <c r="WD406" s="13" t="s">
        <v>37</v>
      </c>
      <c r="WE406" s="13" t="s">
        <v>37</v>
      </c>
      <c r="WF406" s="13" t="s">
        <v>37</v>
      </c>
    </row>
    <row r="407" spans="1:606" ht="18" customHeight="1" x14ac:dyDescent="0.3">
      <c r="A407" s="11">
        <v>88</v>
      </c>
      <c r="B407" s="16" t="s">
        <v>605</v>
      </c>
      <c r="C407" s="12" t="s">
        <v>26</v>
      </c>
      <c r="D407" s="12" t="s">
        <v>973</v>
      </c>
      <c r="E407" s="40" t="s">
        <v>37</v>
      </c>
      <c r="F407" s="14">
        <v>0</v>
      </c>
      <c r="G407" s="14">
        <v>0</v>
      </c>
      <c r="H407" s="12" t="s">
        <v>313</v>
      </c>
      <c r="I407" s="29">
        <v>68.613</v>
      </c>
      <c r="J407" s="29">
        <v>162.34100000000001</v>
      </c>
      <c r="K407" s="12" t="s">
        <v>677</v>
      </c>
      <c r="L407" s="12" t="s">
        <v>676</v>
      </c>
      <c r="M407" s="13" t="s">
        <v>37</v>
      </c>
      <c r="N407" s="14">
        <v>-11</v>
      </c>
      <c r="O407" s="14">
        <v>197</v>
      </c>
      <c r="P407" s="14" t="s">
        <v>84</v>
      </c>
      <c r="Q407" s="75">
        <v>10</v>
      </c>
      <c r="R407" s="11" t="s">
        <v>37</v>
      </c>
      <c r="S407" s="12" t="s">
        <v>85</v>
      </c>
      <c r="T407" s="16" t="s">
        <v>138</v>
      </c>
      <c r="U407" s="12" t="s">
        <v>158</v>
      </c>
      <c r="V407" s="12" t="s">
        <v>274</v>
      </c>
      <c r="W407" s="23" t="s">
        <v>282</v>
      </c>
      <c r="X407" s="12" t="s">
        <v>606</v>
      </c>
      <c r="Y407" s="12" t="s">
        <v>37</v>
      </c>
      <c r="Z407" s="12" t="s">
        <v>37</v>
      </c>
      <c r="AB407" s="12" t="s">
        <v>37</v>
      </c>
      <c r="AE407" s="12" t="s">
        <v>37</v>
      </c>
      <c r="AH407" s="12" t="s">
        <v>37</v>
      </c>
      <c r="AK407" s="12" t="s">
        <v>37</v>
      </c>
      <c r="AL407" s="32" t="s">
        <v>608</v>
      </c>
      <c r="AM407" s="12" t="s">
        <v>317</v>
      </c>
      <c r="AN407" s="32" t="s">
        <v>892</v>
      </c>
      <c r="AO407" s="12" t="s">
        <v>318</v>
      </c>
      <c r="AP407" s="12" t="s">
        <v>167</v>
      </c>
      <c r="AQ407" s="12" t="s">
        <v>975</v>
      </c>
      <c r="AT407" s="12" t="s">
        <v>326</v>
      </c>
      <c r="AU407" s="12" t="s">
        <v>326</v>
      </c>
      <c r="AV407" s="13" t="s">
        <v>326</v>
      </c>
      <c r="AX407" s="12" t="s">
        <v>326</v>
      </c>
      <c r="AY407" s="12" t="s">
        <v>326</v>
      </c>
      <c r="AZ407" s="13" t="s">
        <v>326</v>
      </c>
      <c r="BD407" s="12"/>
      <c r="BE407" s="12" t="s">
        <v>326</v>
      </c>
      <c r="BF407" s="12" t="s">
        <v>326</v>
      </c>
      <c r="BG407" s="12" t="s">
        <v>326</v>
      </c>
      <c r="BI407" s="12" t="s">
        <v>326</v>
      </c>
      <c r="BJ407" s="12" t="s">
        <v>326</v>
      </c>
      <c r="BK407" s="12" t="s">
        <v>326</v>
      </c>
      <c r="BP407" s="12" t="s">
        <v>37</v>
      </c>
      <c r="BQ407" s="12" t="s">
        <v>37</v>
      </c>
      <c r="BR407" s="13" t="s">
        <v>37</v>
      </c>
      <c r="BT407" s="12" t="s">
        <v>37</v>
      </c>
      <c r="BU407" s="12" t="s">
        <v>37</v>
      </c>
      <c r="BV407" s="12" t="s">
        <v>37</v>
      </c>
      <c r="BZ407" s="12" t="s">
        <v>47</v>
      </c>
      <c r="CA407" s="12">
        <f>-312*("2014/09/30"-"2014/06/01")/("2014/08/20"-"2014/06/16")*44/12/'[6]classess-1'!$T$100</f>
        <v>-2129.6</v>
      </c>
      <c r="CB407" s="12">
        <f>SQRT((1/[7]Classess!$T$100)^2*(1*("2014/09/30"-"2014/06/01")/("2014/08/20"-"2014/06/16")*44/12)^2+(-CA407/([7]Classess!$T$100)^2)^2*([7]Classess!$U$100)^2)</f>
        <v>6.8256410256410263</v>
      </c>
      <c r="CC407" s="13">
        <v>4</v>
      </c>
      <c r="CD407" s="19">
        <f t="shared" si="1473"/>
        <v>3.2051282051282055E-3</v>
      </c>
      <c r="CE407" s="12">
        <f>-404*("2014/09/30"-"2014/06/01")/("2014/08/20"-"2014/06/16")*44/12/'[6]classess-1'!$T$101</f>
        <v>-2860.45927166603</v>
      </c>
      <c r="CF407" s="12">
        <f>SQRT((1/[7]Classess!$T$101)^2*(6*("2014/09/30"-"2014/06/01")/("2014/08/20"-"2014/06/16")*44/12)^2+(-CE407/([7]Classess!$T$101)^2)^2*([7]Classess!$U$101)^2)</f>
        <v>83.041731299949717</v>
      </c>
      <c r="CG407" s="13">
        <v>4</v>
      </c>
      <c r="CH407" s="19">
        <f t="shared" si="1474"/>
        <v>2.9030908470716786E-2</v>
      </c>
      <c r="CI407" s="75">
        <f t="shared" si="1475"/>
        <v>-730.85927166603005</v>
      </c>
      <c r="CJ407" s="12">
        <f t="shared" si="1464"/>
        <v>58.917393495910709</v>
      </c>
      <c r="CK407" s="72">
        <f t="shared" si="1465"/>
        <v>1735.6296281759905</v>
      </c>
      <c r="CL407" s="72">
        <f t="shared" si="1466"/>
        <v>1735.6296281759905</v>
      </c>
      <c r="CM407" s="12" t="s">
        <v>47</v>
      </c>
      <c r="CN407" s="12">
        <f>162*("2014/09/30"-"2014/06/01")/("2014/08/20"-"2014/06/16")*44/12/'[6]classess-1'!$I$100</f>
        <v>1355.5373277970868</v>
      </c>
      <c r="CO407" s="12">
        <f>SQRT((1/[7]Classess!$I$100)^2*(14*("2014/09/30"-"2014/06/01")/("2014/08/20"-"2014/06/16")*44/12)^2+(-CN407/([7]Classess!$I$100)^2)^2*([7]Classess!$J$100)^2)</f>
        <v>118.50504120960676</v>
      </c>
      <c r="CP407" s="13">
        <v>4</v>
      </c>
      <c r="CQ407" s="19">
        <f t="shared" si="1476"/>
        <v>8.7422927262498826E-2</v>
      </c>
      <c r="CR407" s="12">
        <f>184*("2014/09/30"-"2014/06/01")/("2014/08/20"-"2014/06/16")*44/12/'[6]classess-1'!$I$101</f>
        <v>1460.4986850650098</v>
      </c>
      <c r="CS407" s="12">
        <f>SQRT((1/[7]Classess!$I$101)^2*(9*("2014/09/30"-"2014/06/01")/("2014/08/20"-"2014/06/16")*44/12)^2+(-CR407/([7]Classess!$I$101)^2)^2*([7]Classess!$J$101)^2)</f>
        <v>101.18634540814155</v>
      </c>
      <c r="CT407" s="13">
        <v>4</v>
      </c>
      <c r="CU407" s="19">
        <f t="shared" si="1477"/>
        <v>6.9282051701154077E-2</v>
      </c>
      <c r="CV407" s="75">
        <f t="shared" si="1467"/>
        <v>104.96135726792295</v>
      </c>
      <c r="CW407" s="12">
        <f t="shared" si="1468"/>
        <v>110.18648122420991</v>
      </c>
      <c r="CX407" s="72">
        <f t="shared" si="1469"/>
        <v>6070.5303222865814</v>
      </c>
      <c r="CY407" s="72">
        <f t="shared" si="1470"/>
        <v>6070.5303222865814</v>
      </c>
      <c r="CZ407" s="12" t="s">
        <v>47</v>
      </c>
      <c r="DA407" s="12">
        <f t="shared" si="1471"/>
        <v>-774.06267220291306</v>
      </c>
      <c r="DB407" s="12">
        <f>SQRT((1/[7]Classess!$I$41)^2*(13*44/12)^2+(-DA407/([7]Classess!$I$41)^2)^2*([7]Classess!$J$41)^2)</f>
        <v>326.74240251044733</v>
      </c>
      <c r="DC407" s="13">
        <v>4</v>
      </c>
      <c r="DD407" s="19">
        <f t="shared" si="1478"/>
        <v>0.42211362754461174</v>
      </c>
      <c r="DE407" s="12">
        <f t="shared" si="1472"/>
        <v>-1399.9605866010202</v>
      </c>
      <c r="DF407" s="12">
        <f>SQRT((1/[7]Classess!$I$42)^2*(3*44/12)^2+(-DE407/([7]Classess!$J$42)^2)^2*([7]Classess!$J$42)^2)</f>
        <v>96.005553517597278</v>
      </c>
      <c r="DG407" s="13">
        <v>4</v>
      </c>
      <c r="DH407" s="19">
        <f t="shared" si="1479"/>
        <v>6.8577325987933868E-2</v>
      </c>
      <c r="DI407" s="19">
        <f t="shared" si="1480"/>
        <v>-625.8979143981071</v>
      </c>
      <c r="DJ407" s="12">
        <f t="shared" si="1451"/>
        <v>240.80870406249792</v>
      </c>
      <c r="DK407" s="72">
        <f t="shared" si="1452"/>
        <v>28994.415976129854</v>
      </c>
      <c r="DL407" s="72">
        <f t="shared" si="1453"/>
        <v>28994.415976129854</v>
      </c>
      <c r="DN407" s="19" t="s">
        <v>37</v>
      </c>
      <c r="DO407" s="12" t="s">
        <v>37</v>
      </c>
      <c r="DP407" s="13" t="s">
        <v>37</v>
      </c>
      <c r="DR407" s="19" t="s">
        <v>37</v>
      </c>
      <c r="DS407" s="12" t="s">
        <v>37</v>
      </c>
      <c r="DT407" s="13" t="s">
        <v>37</v>
      </c>
      <c r="DV407" s="52"/>
      <c r="DW407" s="52"/>
      <c r="EA407" s="19" t="s">
        <v>37</v>
      </c>
      <c r="EB407" s="19" t="s">
        <v>37</v>
      </c>
      <c r="EC407" s="72" t="s">
        <v>37</v>
      </c>
      <c r="EE407" s="19" t="s">
        <v>37</v>
      </c>
      <c r="EF407" s="19" t="s">
        <v>37</v>
      </c>
      <c r="EG407" s="12" t="s">
        <v>37</v>
      </c>
      <c r="EN407" s="12" t="s">
        <v>37</v>
      </c>
      <c r="EO407" s="12" t="s">
        <v>37</v>
      </c>
      <c r="EP407" s="13" t="s">
        <v>37</v>
      </c>
      <c r="ER407" s="12" t="s">
        <v>37</v>
      </c>
      <c r="ES407" s="12" t="s">
        <v>37</v>
      </c>
      <c r="ET407" s="13" t="s">
        <v>37</v>
      </c>
      <c r="FB407" s="12" t="s">
        <v>37</v>
      </c>
      <c r="FC407" s="12" t="s">
        <v>37</v>
      </c>
      <c r="FD407" s="12" t="s">
        <v>37</v>
      </c>
      <c r="FE407" s="12" t="s">
        <v>37</v>
      </c>
      <c r="FF407" s="12" t="s">
        <v>37</v>
      </c>
      <c r="FG407" s="12" t="s">
        <v>37</v>
      </c>
      <c r="FI407" s="12" t="s">
        <v>37</v>
      </c>
      <c r="FJ407" s="12" t="s">
        <v>37</v>
      </c>
      <c r="FK407" s="12" t="s">
        <v>37</v>
      </c>
      <c r="FL407" s="12" t="s">
        <v>37</v>
      </c>
      <c r="FM407" s="12" t="s">
        <v>37</v>
      </c>
      <c r="FN407" s="12" t="s">
        <v>37</v>
      </c>
      <c r="FP407" s="12" t="s">
        <v>37</v>
      </c>
      <c r="FQ407" s="12" t="s">
        <v>37</v>
      </c>
      <c r="FR407" s="12" t="s">
        <v>37</v>
      </c>
      <c r="FS407" s="12" t="s">
        <v>37</v>
      </c>
      <c r="FT407" s="12" t="s">
        <v>37</v>
      </c>
      <c r="FU407" s="12" t="s">
        <v>37</v>
      </c>
      <c r="FW407" s="12" t="s">
        <v>37</v>
      </c>
      <c r="FX407" s="12" t="s">
        <v>37</v>
      </c>
      <c r="FY407" s="12" t="s">
        <v>37</v>
      </c>
      <c r="FZ407" s="12" t="s">
        <v>37</v>
      </c>
      <c r="GA407" s="12" t="s">
        <v>37</v>
      </c>
      <c r="GB407" s="12" t="s">
        <v>37</v>
      </c>
      <c r="GG407" s="12"/>
      <c r="GK407" s="12"/>
      <c r="HP407" s="12"/>
      <c r="HT407" s="12"/>
      <c r="IA407" s="12"/>
      <c r="IE407" s="12"/>
      <c r="IK407" s="12" t="s">
        <v>37</v>
      </c>
      <c r="IL407" s="12" t="s">
        <v>37</v>
      </c>
      <c r="IM407" s="12" t="s">
        <v>37</v>
      </c>
      <c r="IO407" s="12" t="s">
        <v>37</v>
      </c>
      <c r="IP407" s="12" t="s">
        <v>37</v>
      </c>
      <c r="IQ407" s="12" t="s">
        <v>37</v>
      </c>
      <c r="IW407" s="12" t="s">
        <v>37</v>
      </c>
      <c r="IX407" s="12" t="s">
        <v>37</v>
      </c>
      <c r="IY407" s="12" t="s">
        <v>37</v>
      </c>
      <c r="JA407" s="12" t="s">
        <v>37</v>
      </c>
      <c r="JB407" s="12" t="s">
        <v>37</v>
      </c>
      <c r="JC407" s="12" t="s">
        <v>37</v>
      </c>
      <c r="JH407" s="12" t="s">
        <v>37</v>
      </c>
      <c r="JI407" s="12" t="s">
        <v>37</v>
      </c>
      <c r="JJ407" s="12" t="s">
        <v>37</v>
      </c>
      <c r="JL407" s="12" t="s">
        <v>37</v>
      </c>
      <c r="JM407" s="12" t="s">
        <v>37</v>
      </c>
      <c r="JN407" s="12" t="s">
        <v>37</v>
      </c>
      <c r="JS407" s="12" t="s">
        <v>37</v>
      </c>
      <c r="JT407" s="12" t="s">
        <v>37</v>
      </c>
      <c r="JU407" s="12" t="s">
        <v>37</v>
      </c>
      <c r="JW407" s="12" t="s">
        <v>37</v>
      </c>
      <c r="JX407" s="12" t="s">
        <v>37</v>
      </c>
      <c r="JY407" s="12" t="s">
        <v>37</v>
      </c>
      <c r="KE407" s="12" t="s">
        <v>37</v>
      </c>
      <c r="KF407" s="12" t="s">
        <v>37</v>
      </c>
      <c r="KG407" s="12" t="s">
        <v>37</v>
      </c>
      <c r="KH407" s="12" t="s">
        <v>37</v>
      </c>
      <c r="KI407" s="12" t="s">
        <v>37</v>
      </c>
      <c r="KJ407" s="12" t="s">
        <v>37</v>
      </c>
      <c r="KM407" s="12" t="s">
        <v>37</v>
      </c>
      <c r="KN407" s="12" t="s">
        <v>37</v>
      </c>
      <c r="KO407" s="12" t="s">
        <v>37</v>
      </c>
      <c r="KQ407" s="12" t="s">
        <v>37</v>
      </c>
      <c r="KR407" s="12" t="s">
        <v>37</v>
      </c>
      <c r="KS407" s="12" t="s">
        <v>37</v>
      </c>
      <c r="KX407" s="12" t="s">
        <v>37</v>
      </c>
      <c r="KY407" s="12" t="s">
        <v>37</v>
      </c>
      <c r="KZ407" s="12" t="s">
        <v>37</v>
      </c>
      <c r="LB407" s="12" t="s">
        <v>37</v>
      </c>
      <c r="LC407" s="12" t="s">
        <v>37</v>
      </c>
      <c r="LD407" s="12" t="s">
        <v>37</v>
      </c>
      <c r="LI407" s="12" t="s">
        <v>37</v>
      </c>
      <c r="LJ407" s="12" t="s">
        <v>37</v>
      </c>
      <c r="LK407" s="12" t="s">
        <v>37</v>
      </c>
      <c r="LM407" s="12" t="s">
        <v>37</v>
      </c>
      <c r="LN407" s="12" t="s">
        <v>37</v>
      </c>
      <c r="LO407" s="12" t="s">
        <v>37</v>
      </c>
      <c r="LU407" s="12" t="s">
        <v>37</v>
      </c>
      <c r="LV407" s="12" t="s">
        <v>37</v>
      </c>
      <c r="LW407" s="12" t="s">
        <v>37</v>
      </c>
      <c r="LY407" s="12" t="s">
        <v>37</v>
      </c>
      <c r="LZ407" s="12" t="s">
        <v>37</v>
      </c>
      <c r="MA407" s="12" t="s">
        <v>37</v>
      </c>
      <c r="MF407" s="12" t="s">
        <v>37</v>
      </c>
      <c r="MG407" s="12" t="s">
        <v>37</v>
      </c>
      <c r="MH407" s="12" t="s">
        <v>37</v>
      </c>
      <c r="MJ407" s="12" t="s">
        <v>37</v>
      </c>
      <c r="MK407" s="12" t="s">
        <v>37</v>
      </c>
      <c r="ML407" s="12" t="s">
        <v>37</v>
      </c>
      <c r="MQ407" s="12" t="s">
        <v>37</v>
      </c>
      <c r="MR407" s="12" t="s">
        <v>37</v>
      </c>
      <c r="MS407" s="12" t="s">
        <v>37</v>
      </c>
      <c r="MU407" s="12" t="s">
        <v>37</v>
      </c>
      <c r="MV407" s="12" t="s">
        <v>37</v>
      </c>
      <c r="MW407" s="12" t="s">
        <v>37</v>
      </c>
      <c r="NC407" s="12" t="s">
        <v>37</v>
      </c>
      <c r="ND407" s="12" t="s">
        <v>37</v>
      </c>
      <c r="NE407" s="12" t="s">
        <v>37</v>
      </c>
      <c r="NG407" s="12" t="s">
        <v>37</v>
      </c>
      <c r="NH407" s="12" t="s">
        <v>37</v>
      </c>
      <c r="NI407" s="12" t="s">
        <v>37</v>
      </c>
      <c r="NO407" s="12" t="s">
        <v>37</v>
      </c>
      <c r="NP407" s="12" t="s">
        <v>37</v>
      </c>
      <c r="NQ407" s="12" t="s">
        <v>37</v>
      </c>
      <c r="NS407" s="12" t="s">
        <v>37</v>
      </c>
      <c r="NT407" s="12" t="s">
        <v>37</v>
      </c>
      <c r="NU407" s="12" t="s">
        <v>37</v>
      </c>
      <c r="OA407" s="12" t="s">
        <v>37</v>
      </c>
      <c r="OB407" s="12" t="s">
        <v>37</v>
      </c>
      <c r="OC407" s="12" t="s">
        <v>37</v>
      </c>
      <c r="OD407" s="12"/>
      <c r="OE407" s="12" t="s">
        <v>37</v>
      </c>
      <c r="OF407" s="12" t="s">
        <v>37</v>
      </c>
      <c r="OG407" s="12" t="s">
        <v>37</v>
      </c>
      <c r="OH407" s="12"/>
      <c r="OI407" s="12"/>
      <c r="OJ407" s="12"/>
      <c r="OM407" s="12" t="s">
        <v>37</v>
      </c>
      <c r="ON407" s="12" t="s">
        <v>37</v>
      </c>
      <c r="OO407" s="12" t="s">
        <v>37</v>
      </c>
      <c r="OP407" s="12" t="s">
        <v>37</v>
      </c>
      <c r="OQ407" s="12" t="s">
        <v>37</v>
      </c>
      <c r="OR407" s="12" t="s">
        <v>37</v>
      </c>
      <c r="OS407" s="12"/>
      <c r="OT407" s="12"/>
      <c r="OW407" s="12" t="s">
        <v>37</v>
      </c>
      <c r="OX407" s="12" t="s">
        <v>37</v>
      </c>
      <c r="OY407" s="12" t="s">
        <v>37</v>
      </c>
      <c r="OZ407" s="12" t="s">
        <v>37</v>
      </c>
      <c r="PA407" s="12" t="s">
        <v>37</v>
      </c>
      <c r="PB407" s="12" t="s">
        <v>37</v>
      </c>
      <c r="PC407" s="12"/>
      <c r="PD407" s="12"/>
      <c r="PG407" s="12" t="s">
        <v>37</v>
      </c>
      <c r="PH407" s="12" t="s">
        <v>37</v>
      </c>
      <c r="PI407" s="12" t="s">
        <v>37</v>
      </c>
      <c r="PJ407" s="12" t="s">
        <v>37</v>
      </c>
      <c r="PK407" s="12" t="s">
        <v>37</v>
      </c>
      <c r="PL407" s="12" t="s">
        <v>37</v>
      </c>
      <c r="PM407" s="12"/>
      <c r="PN407" s="12"/>
      <c r="PQ407" s="12" t="s">
        <v>37</v>
      </c>
      <c r="PR407" s="12" t="s">
        <v>37</v>
      </c>
      <c r="PS407" s="12" t="s">
        <v>37</v>
      </c>
      <c r="PT407" s="12" t="s">
        <v>37</v>
      </c>
      <c r="PU407" s="12" t="s">
        <v>37</v>
      </c>
      <c r="PV407" s="12" t="s">
        <v>37</v>
      </c>
      <c r="PW407" s="12"/>
      <c r="PX407" s="12"/>
      <c r="PZ407" s="12" t="s">
        <v>37</v>
      </c>
      <c r="QA407" s="12" t="s">
        <v>37</v>
      </c>
      <c r="QB407" s="11" t="s">
        <v>37</v>
      </c>
      <c r="QD407" s="12" t="s">
        <v>37</v>
      </c>
      <c r="QE407" s="12" t="s">
        <v>37</v>
      </c>
      <c r="QF407" s="12" t="s">
        <v>37</v>
      </c>
      <c r="QK407" s="12" t="s">
        <v>37</v>
      </c>
      <c r="QL407" s="12" t="s">
        <v>37</v>
      </c>
      <c r="QM407" s="12" t="s">
        <v>37</v>
      </c>
      <c r="QN407" s="12" t="s">
        <v>37</v>
      </c>
      <c r="QO407" s="12" t="s">
        <v>37</v>
      </c>
      <c r="QP407" s="12" t="s">
        <v>37</v>
      </c>
      <c r="QQ407" s="12"/>
      <c r="QR407" s="12"/>
      <c r="QU407" s="12" t="s">
        <v>37</v>
      </c>
      <c r="QV407" s="12" t="s">
        <v>37</v>
      </c>
      <c r="QW407" s="12" t="s">
        <v>37</v>
      </c>
      <c r="QX407" s="12" t="s">
        <v>37</v>
      </c>
      <c r="QY407" s="12" t="s">
        <v>37</v>
      </c>
      <c r="QZ407" s="12" t="s">
        <v>37</v>
      </c>
      <c r="RC407" s="12" t="s">
        <v>37</v>
      </c>
      <c r="RD407" s="12" t="s">
        <v>37</v>
      </c>
      <c r="RE407" s="13" t="s">
        <v>37</v>
      </c>
      <c r="RF407" s="12" t="s">
        <v>37</v>
      </c>
      <c r="RG407" s="12" t="s">
        <v>37</v>
      </c>
      <c r="RH407" s="13" t="s">
        <v>37</v>
      </c>
      <c r="RK407" s="12" t="s">
        <v>37</v>
      </c>
      <c r="RL407" s="12" t="s">
        <v>37</v>
      </c>
      <c r="RM407" s="11" t="s">
        <v>37</v>
      </c>
      <c r="RN407" s="12" t="s">
        <v>37</v>
      </c>
      <c r="RO407" s="12" t="s">
        <v>37</v>
      </c>
      <c r="RP407" s="11" t="s">
        <v>37</v>
      </c>
      <c r="RS407" s="12" t="s">
        <v>37</v>
      </c>
      <c r="RT407" s="12" t="s">
        <v>37</v>
      </c>
      <c r="RU407" s="12" t="s">
        <v>37</v>
      </c>
      <c r="RV407" s="12" t="s">
        <v>37</v>
      </c>
      <c r="RW407" s="12" t="s">
        <v>37</v>
      </c>
      <c r="RX407" s="12" t="s">
        <v>37</v>
      </c>
      <c r="SA407" s="12" t="s">
        <v>37</v>
      </c>
      <c r="SB407" s="12" t="s">
        <v>37</v>
      </c>
      <c r="SC407" s="12" t="s">
        <v>37</v>
      </c>
      <c r="SD407" s="12" t="s">
        <v>37</v>
      </c>
      <c r="SE407" s="12" t="s">
        <v>37</v>
      </c>
      <c r="SF407" s="12" t="s">
        <v>37</v>
      </c>
      <c r="SI407" s="12" t="s">
        <v>37</v>
      </c>
      <c r="SJ407" s="12" t="s">
        <v>37</v>
      </c>
      <c r="SK407" s="13" t="s">
        <v>37</v>
      </c>
      <c r="SM407" s="12" t="s">
        <v>37</v>
      </c>
      <c r="SN407" s="12" t="s">
        <v>37</v>
      </c>
      <c r="SO407" s="13" t="s">
        <v>37</v>
      </c>
      <c r="SU407" s="12" t="s">
        <v>37</v>
      </c>
      <c r="SV407" s="12" t="s">
        <v>37</v>
      </c>
      <c r="SW407" s="11" t="s">
        <v>37</v>
      </c>
      <c r="SX407" s="12" t="s">
        <v>37</v>
      </c>
      <c r="SY407" s="12" t="s">
        <v>37</v>
      </c>
      <c r="SZ407" s="11" t="s">
        <v>37</v>
      </c>
      <c r="TE407" s="12" t="s">
        <v>37</v>
      </c>
      <c r="TF407" s="12" t="s">
        <v>37</v>
      </c>
      <c r="TG407" s="11" t="s">
        <v>37</v>
      </c>
      <c r="TH407" s="12" t="s">
        <v>37</v>
      </c>
      <c r="TI407" s="12" t="s">
        <v>37</v>
      </c>
      <c r="TJ407" s="11" t="s">
        <v>37</v>
      </c>
      <c r="TO407" s="12" t="s">
        <v>37</v>
      </c>
      <c r="TP407" s="12" t="s">
        <v>37</v>
      </c>
      <c r="TQ407" s="11" t="s">
        <v>37</v>
      </c>
      <c r="TR407" s="12" t="s">
        <v>37</v>
      </c>
      <c r="TS407" s="12" t="s">
        <v>37</v>
      </c>
      <c r="TT407" s="11" t="s">
        <v>37</v>
      </c>
      <c r="TY407" s="12" t="s">
        <v>37</v>
      </c>
      <c r="TZ407" s="12" t="s">
        <v>37</v>
      </c>
      <c r="UA407" s="12" t="s">
        <v>37</v>
      </c>
      <c r="UB407" s="12" t="s">
        <v>37</v>
      </c>
      <c r="UC407" s="12" t="s">
        <v>37</v>
      </c>
      <c r="UD407" s="12" t="s">
        <v>37</v>
      </c>
      <c r="UE407" s="12"/>
      <c r="UF407" s="12"/>
      <c r="UI407" s="12" t="s">
        <v>37</v>
      </c>
      <c r="UJ407" s="12" t="s">
        <v>37</v>
      </c>
      <c r="UK407" s="12" t="s">
        <v>37</v>
      </c>
      <c r="UL407" s="12" t="s">
        <v>37</v>
      </c>
      <c r="UM407" s="12" t="s">
        <v>37</v>
      </c>
      <c r="UN407" s="12" t="s">
        <v>37</v>
      </c>
      <c r="UO407" s="12"/>
      <c r="UP407" s="12"/>
      <c r="UR407" s="12" t="s">
        <v>37</v>
      </c>
      <c r="US407" s="12" t="s">
        <v>37</v>
      </c>
      <c r="UT407" s="12" t="s">
        <v>37</v>
      </c>
      <c r="UU407" s="12" t="s">
        <v>37</v>
      </c>
      <c r="UV407" s="12" t="s">
        <v>37</v>
      </c>
      <c r="UW407" s="12" t="s">
        <v>37</v>
      </c>
      <c r="UX407" s="12"/>
      <c r="UY407" s="12"/>
      <c r="VB407" s="12" t="s">
        <v>37</v>
      </c>
      <c r="VC407" s="12" t="s">
        <v>37</v>
      </c>
      <c r="VD407" s="12" t="s">
        <v>37</v>
      </c>
      <c r="VE407" s="12" t="s">
        <v>37</v>
      </c>
      <c r="VF407" s="12" t="s">
        <v>37</v>
      </c>
      <c r="VG407" s="12" t="s">
        <v>37</v>
      </c>
      <c r="VI407" s="12" t="s">
        <v>37</v>
      </c>
      <c r="VJ407" s="12" t="s">
        <v>37</v>
      </c>
      <c r="VK407" s="12" t="s">
        <v>37</v>
      </c>
      <c r="VL407" s="12" t="s">
        <v>37</v>
      </c>
      <c r="VM407" s="12" t="s">
        <v>37</v>
      </c>
      <c r="VN407" s="12" t="s">
        <v>37</v>
      </c>
      <c r="VQ407" s="13" t="s">
        <v>37</v>
      </c>
      <c r="VR407" s="13" t="s">
        <v>37</v>
      </c>
      <c r="VS407" s="13" t="s">
        <v>37</v>
      </c>
      <c r="VT407" s="13" t="s">
        <v>37</v>
      </c>
      <c r="VU407" s="13" t="s">
        <v>37</v>
      </c>
      <c r="VV407" s="13" t="s">
        <v>37</v>
      </c>
      <c r="WA407" s="13" t="s">
        <v>37</v>
      </c>
      <c r="WB407" s="13" t="s">
        <v>37</v>
      </c>
      <c r="WC407" s="13" t="s">
        <v>37</v>
      </c>
      <c r="WD407" s="13" t="s">
        <v>37</v>
      </c>
      <c r="WE407" s="13" t="s">
        <v>37</v>
      </c>
      <c r="WF407" s="13" t="s">
        <v>37</v>
      </c>
    </row>
    <row r="408" spans="1:606" ht="18" customHeight="1" x14ac:dyDescent="0.3">
      <c r="A408" s="11">
        <v>88</v>
      </c>
      <c r="B408" s="16" t="s">
        <v>605</v>
      </c>
      <c r="C408" s="12" t="s">
        <v>26</v>
      </c>
      <c r="D408" s="12" t="s">
        <v>973</v>
      </c>
      <c r="E408" s="40" t="s">
        <v>37</v>
      </c>
      <c r="F408" s="14">
        <v>0</v>
      </c>
      <c r="G408" s="14">
        <v>0</v>
      </c>
      <c r="H408" s="12" t="s">
        <v>313</v>
      </c>
      <c r="I408" s="29">
        <v>68.613</v>
      </c>
      <c r="J408" s="29">
        <v>162.34100000000001</v>
      </c>
      <c r="K408" s="12" t="s">
        <v>677</v>
      </c>
      <c r="L408" s="12" t="s">
        <v>676</v>
      </c>
      <c r="M408" s="13" t="s">
        <v>37</v>
      </c>
      <c r="N408" s="14">
        <v>-11</v>
      </c>
      <c r="O408" s="14">
        <v>197</v>
      </c>
      <c r="P408" s="14" t="s">
        <v>84</v>
      </c>
      <c r="Q408" s="75">
        <v>10</v>
      </c>
      <c r="R408" s="11" t="s">
        <v>37</v>
      </c>
      <c r="S408" s="12" t="s">
        <v>85</v>
      </c>
      <c r="T408" s="16" t="s">
        <v>138</v>
      </c>
      <c r="U408" s="12" t="s">
        <v>158</v>
      </c>
      <c r="V408" s="12" t="s">
        <v>274</v>
      </c>
      <c r="W408" s="23" t="s">
        <v>593</v>
      </c>
      <c r="X408" s="12" t="s">
        <v>280</v>
      </c>
      <c r="Y408" s="12" t="s">
        <v>37</v>
      </c>
      <c r="Z408" s="12" t="s">
        <v>37</v>
      </c>
      <c r="AB408" s="12" t="s">
        <v>37</v>
      </c>
      <c r="AE408" s="12" t="s">
        <v>37</v>
      </c>
      <c r="AH408" s="12" t="s">
        <v>37</v>
      </c>
      <c r="AK408" s="12" t="s">
        <v>37</v>
      </c>
      <c r="AL408" s="32" t="s">
        <v>608</v>
      </c>
      <c r="AM408" s="12" t="s">
        <v>317</v>
      </c>
      <c r="AN408" s="32" t="s">
        <v>892</v>
      </c>
      <c r="AO408" s="12" t="s">
        <v>847</v>
      </c>
      <c r="AP408" s="12" t="s">
        <v>167</v>
      </c>
      <c r="AQ408" s="12" t="s">
        <v>975</v>
      </c>
      <c r="AT408" s="12" t="s">
        <v>326</v>
      </c>
      <c r="AU408" s="12" t="s">
        <v>326</v>
      </c>
      <c r="AV408" s="13" t="s">
        <v>326</v>
      </c>
      <c r="AX408" s="12" t="s">
        <v>326</v>
      </c>
      <c r="AY408" s="12" t="s">
        <v>326</v>
      </c>
      <c r="AZ408" s="13" t="s">
        <v>326</v>
      </c>
      <c r="BD408" s="12"/>
      <c r="BE408" s="12" t="s">
        <v>326</v>
      </c>
      <c r="BF408" s="12" t="s">
        <v>326</v>
      </c>
      <c r="BG408" s="12" t="s">
        <v>326</v>
      </c>
      <c r="BI408" s="12" t="s">
        <v>326</v>
      </c>
      <c r="BJ408" s="12" t="s">
        <v>326</v>
      </c>
      <c r="BK408" s="12" t="s">
        <v>326</v>
      </c>
      <c r="BP408" s="12" t="s">
        <v>37</v>
      </c>
      <c r="BQ408" s="12" t="s">
        <v>37</v>
      </c>
      <c r="BR408" s="13" t="s">
        <v>37</v>
      </c>
      <c r="BT408" s="12" t="s">
        <v>37</v>
      </c>
      <c r="BU408" s="12" t="s">
        <v>37</v>
      </c>
      <c r="BV408" s="12" t="s">
        <v>37</v>
      </c>
      <c r="BZ408" s="12" t="s">
        <v>47</v>
      </c>
      <c r="CA408" s="12">
        <f>-331*("2014/09/30"-"2014/06/01")/("2014/08/20"-"2014/06/16")*44/12/'[6]classess-1'!$T$98</f>
        <v>-2259.2871794871794</v>
      </c>
      <c r="CB408" s="12">
        <f>SQRT((1/[7]Classess!$T$98)^2*(2*("2014/09/30"-"2014/06/01")/("2014/08/20"-"2014/06/16")*44/12)^2+(-CA408/([7]Classess!$T$98)^2)^2*([7]Classess!$U$98)^2)</f>
        <v>13.651282051282053</v>
      </c>
      <c r="CC408" s="13">
        <v>4</v>
      </c>
      <c r="CD408" s="19">
        <f t="shared" si="1473"/>
        <v>6.0422960725075537E-3</v>
      </c>
      <c r="CE408" s="12">
        <f>-274*("2014/09/30"-"2014/06/01")/("2014/08/20"-"2014/06/16")*44/12/'[6]classess-1'!$T$99</f>
        <v>-1940.0144565259704</v>
      </c>
      <c r="CF408" s="12">
        <f>SQRT((1/[7]Classess!$T$99)^2*(4*("2014/09/30"-"2014/06/01")/("2014/08/20"-"2014/06/16")*44/12)^2+(-CE408/([7]Classess!$T$99)^2)^2*([7]Classess!$U$99)^2)</f>
        <v>56.070928981894077</v>
      </c>
      <c r="CG408" s="13">
        <v>4</v>
      </c>
      <c r="CH408" s="19">
        <f t="shared" si="1474"/>
        <v>2.8902325337462492E-2</v>
      </c>
      <c r="CI408" s="75">
        <f t="shared" si="1475"/>
        <v>319.27272296120896</v>
      </c>
      <c r="CJ408" s="12">
        <f t="shared" si="1464"/>
        <v>40.806289824831325</v>
      </c>
      <c r="CK408" s="72">
        <f t="shared" si="1465"/>
        <v>832.57664463406616</v>
      </c>
      <c r="CL408" s="72">
        <f t="shared" si="1466"/>
        <v>832.57664463406627</v>
      </c>
      <c r="CM408" s="12" t="s">
        <v>47</v>
      </c>
      <c r="CN408" s="12">
        <f>222*("2014/09/30"-"2014/06/01")/("2014/08/20"-"2014/06/16")*44/12/'[6]classess-1'!$I$98</f>
        <v>1857.5881899441558</v>
      </c>
      <c r="CO408" s="12">
        <f>SQRT((1/[7]Classess!$I$98)^2*(12*("2014/09/30"-"2014/06/01")/("2014/08/20"-"2014/06/16")*44/12)^2+(-CN408/([7]Classess!$I$98)^2)^2*([7]Classess!$J$98)^2)</f>
        <v>103.36331194089117</v>
      </c>
      <c r="CP408" s="13">
        <v>4</v>
      </c>
      <c r="CQ408" s="19">
        <f t="shared" si="1476"/>
        <v>5.5643824880259679E-2</v>
      </c>
      <c r="CR408" s="12">
        <f>200*("2014/09/30"-"2014/06/01")/("2014/08/20"-"2014/06/16")*44/12/'[6]classess-1'!$I$99</f>
        <v>1587.498570722837</v>
      </c>
      <c r="CS408" s="12">
        <f>SQRT((1/[7]Classess!$I$99)^2*(9*("2014/09/30"-"2014/06/01")/("2014/08/20"-"2014/06/16")*44/12)^2+(-CR408/([7]Classess!$I$99)^2)^2*([7]Classess!$J$99)^2)</f>
        <v>105.69113003255019</v>
      </c>
      <c r="CT408" s="13">
        <v>4</v>
      </c>
      <c r="CU408" s="19">
        <f t="shared" si="1477"/>
        <v>6.6577149725826693E-2</v>
      </c>
      <c r="CV408" s="75">
        <f t="shared" si="1467"/>
        <v>-270.0896192213188</v>
      </c>
      <c r="CW408" s="12">
        <f t="shared" si="1468"/>
        <v>104.5337008407992</v>
      </c>
      <c r="CX408" s="72">
        <f t="shared" si="1469"/>
        <v>5463.6473057368521</v>
      </c>
      <c r="CY408" s="72">
        <f t="shared" si="1470"/>
        <v>5463.6473057368512</v>
      </c>
      <c r="CZ408" s="12" t="s">
        <v>47</v>
      </c>
      <c r="DA408" s="12">
        <f t="shared" si="1471"/>
        <v>-401.69898954302357</v>
      </c>
      <c r="DB408" s="12">
        <f>SQRT((1/[7]Classess!$I$39)^2*(10*44/12)^2+(-DA408/([7]Classess!$I$39)^2)^2*([7]Classess!$J$39)^2)</f>
        <v>32.172723320258399</v>
      </c>
      <c r="DC408" s="13">
        <v>4</v>
      </c>
      <c r="DD408" s="19">
        <f t="shared" si="1478"/>
        <v>8.009162123324827E-2</v>
      </c>
      <c r="DE408" s="12">
        <f t="shared" si="1472"/>
        <v>-352.51588580313341</v>
      </c>
      <c r="DF408" s="12">
        <f>SQRT((1/[7]Classess!$I$40)^2*(5*44/12)^2+(-DE408/([7]Classess!$I$40)^2)^2*([7]Classess!$J$40)^2)</f>
        <v>429.43708601551509</v>
      </c>
      <c r="DG408" s="13">
        <v>4</v>
      </c>
      <c r="DH408" s="19">
        <f t="shared" si="1479"/>
        <v>1.2182063371048737</v>
      </c>
      <c r="DI408" s="19">
        <f t="shared" si="1480"/>
        <v>49.183103739890157</v>
      </c>
      <c r="DJ408" s="12">
        <f t="shared" si="1451"/>
        <v>304.50886273747335</v>
      </c>
      <c r="DK408" s="72">
        <f t="shared" si="1452"/>
        <v>46362.823742834698</v>
      </c>
      <c r="DL408" s="72">
        <f t="shared" si="1453"/>
        <v>46362.823742834706</v>
      </c>
      <c r="DN408" s="19" t="s">
        <v>37</v>
      </c>
      <c r="DO408" s="12" t="s">
        <v>37</v>
      </c>
      <c r="DP408" s="13" t="s">
        <v>37</v>
      </c>
      <c r="DR408" s="19" t="s">
        <v>37</v>
      </c>
      <c r="DS408" s="12" t="s">
        <v>37</v>
      </c>
      <c r="DT408" s="13" t="s">
        <v>37</v>
      </c>
      <c r="EA408" s="19" t="s">
        <v>37</v>
      </c>
      <c r="EB408" s="19" t="s">
        <v>37</v>
      </c>
      <c r="EC408" s="72" t="s">
        <v>37</v>
      </c>
      <c r="EE408" s="19" t="s">
        <v>37</v>
      </c>
      <c r="EF408" s="19" t="s">
        <v>37</v>
      </c>
      <c r="EG408" s="12" t="s">
        <v>37</v>
      </c>
      <c r="EN408" s="12" t="s">
        <v>37</v>
      </c>
      <c r="EO408" s="12" t="s">
        <v>37</v>
      </c>
      <c r="EP408" s="13" t="s">
        <v>37</v>
      </c>
      <c r="ER408" s="12" t="s">
        <v>37</v>
      </c>
      <c r="ES408" s="12" t="s">
        <v>37</v>
      </c>
      <c r="ET408" s="13" t="s">
        <v>37</v>
      </c>
      <c r="FB408" s="12" t="s">
        <v>37</v>
      </c>
      <c r="FC408" s="12" t="s">
        <v>37</v>
      </c>
      <c r="FD408" s="12" t="s">
        <v>37</v>
      </c>
      <c r="FE408" s="12" t="s">
        <v>37</v>
      </c>
      <c r="FF408" s="12" t="s">
        <v>37</v>
      </c>
      <c r="FG408" s="12" t="s">
        <v>37</v>
      </c>
      <c r="FI408" s="12" t="s">
        <v>37</v>
      </c>
      <c r="FJ408" s="12" t="s">
        <v>37</v>
      </c>
      <c r="FK408" s="12" t="s">
        <v>37</v>
      </c>
      <c r="FL408" s="12" t="s">
        <v>37</v>
      </c>
      <c r="FM408" s="12" t="s">
        <v>37</v>
      </c>
      <c r="FN408" s="12" t="s">
        <v>37</v>
      </c>
      <c r="FP408" s="12" t="s">
        <v>37</v>
      </c>
      <c r="FQ408" s="12" t="s">
        <v>37</v>
      </c>
      <c r="FR408" s="12" t="s">
        <v>37</v>
      </c>
      <c r="FS408" s="12" t="s">
        <v>37</v>
      </c>
      <c r="FT408" s="12" t="s">
        <v>37</v>
      </c>
      <c r="FU408" s="12" t="s">
        <v>37</v>
      </c>
      <c r="FW408" s="12" t="s">
        <v>37</v>
      </c>
      <c r="FX408" s="12" t="s">
        <v>37</v>
      </c>
      <c r="FY408" s="12" t="s">
        <v>37</v>
      </c>
      <c r="FZ408" s="12" t="s">
        <v>37</v>
      </c>
      <c r="GA408" s="12" t="s">
        <v>37</v>
      </c>
      <c r="GB408" s="12" t="s">
        <v>37</v>
      </c>
      <c r="GG408" s="12"/>
      <c r="GK408" s="12"/>
      <c r="HP408" s="12"/>
      <c r="HT408" s="12"/>
      <c r="IA408" s="12"/>
      <c r="IE408" s="12"/>
      <c r="IK408" s="12" t="s">
        <v>37</v>
      </c>
      <c r="IL408" s="12" t="s">
        <v>37</v>
      </c>
      <c r="IM408" s="12" t="s">
        <v>37</v>
      </c>
      <c r="IO408" s="12" t="s">
        <v>37</v>
      </c>
      <c r="IP408" s="12" t="s">
        <v>37</v>
      </c>
      <c r="IQ408" s="12" t="s">
        <v>37</v>
      </c>
      <c r="IW408" s="12" t="s">
        <v>37</v>
      </c>
      <c r="IX408" s="12" t="s">
        <v>37</v>
      </c>
      <c r="IY408" s="12" t="s">
        <v>37</v>
      </c>
      <c r="JA408" s="12" t="s">
        <v>37</v>
      </c>
      <c r="JB408" s="12" t="s">
        <v>37</v>
      </c>
      <c r="JC408" s="12" t="s">
        <v>37</v>
      </c>
      <c r="JH408" s="12" t="s">
        <v>37</v>
      </c>
      <c r="JI408" s="12" t="s">
        <v>37</v>
      </c>
      <c r="JJ408" s="12" t="s">
        <v>37</v>
      </c>
      <c r="JL408" s="12" t="s">
        <v>37</v>
      </c>
      <c r="JM408" s="12" t="s">
        <v>37</v>
      </c>
      <c r="JN408" s="12" t="s">
        <v>37</v>
      </c>
      <c r="JS408" s="12" t="s">
        <v>37</v>
      </c>
      <c r="JT408" s="12" t="s">
        <v>37</v>
      </c>
      <c r="JU408" s="12" t="s">
        <v>37</v>
      </c>
      <c r="JW408" s="12" t="s">
        <v>37</v>
      </c>
      <c r="JX408" s="12" t="s">
        <v>37</v>
      </c>
      <c r="JY408" s="12" t="s">
        <v>37</v>
      </c>
      <c r="KE408" s="12" t="s">
        <v>37</v>
      </c>
      <c r="KF408" s="12" t="s">
        <v>37</v>
      </c>
      <c r="KG408" s="12" t="s">
        <v>37</v>
      </c>
      <c r="KH408" s="12" t="s">
        <v>37</v>
      </c>
      <c r="KI408" s="12" t="s">
        <v>37</v>
      </c>
      <c r="KJ408" s="12" t="s">
        <v>37</v>
      </c>
      <c r="KM408" s="12" t="s">
        <v>37</v>
      </c>
      <c r="KN408" s="12" t="s">
        <v>37</v>
      </c>
      <c r="KO408" s="12" t="s">
        <v>37</v>
      </c>
      <c r="KQ408" s="12" t="s">
        <v>37</v>
      </c>
      <c r="KR408" s="12" t="s">
        <v>37</v>
      </c>
      <c r="KS408" s="12" t="s">
        <v>37</v>
      </c>
      <c r="KX408" s="12" t="s">
        <v>37</v>
      </c>
      <c r="KY408" s="12" t="s">
        <v>37</v>
      </c>
      <c r="KZ408" s="12" t="s">
        <v>37</v>
      </c>
      <c r="LB408" s="12" t="s">
        <v>37</v>
      </c>
      <c r="LC408" s="12" t="s">
        <v>37</v>
      </c>
      <c r="LD408" s="12" t="s">
        <v>37</v>
      </c>
      <c r="LI408" s="12" t="s">
        <v>37</v>
      </c>
      <c r="LJ408" s="12" t="s">
        <v>37</v>
      </c>
      <c r="LK408" s="12" t="s">
        <v>37</v>
      </c>
      <c r="LM408" s="12" t="s">
        <v>37</v>
      </c>
      <c r="LN408" s="12" t="s">
        <v>37</v>
      </c>
      <c r="LO408" s="12" t="s">
        <v>37</v>
      </c>
      <c r="LU408" s="12" t="s">
        <v>37</v>
      </c>
      <c r="LV408" s="12" t="s">
        <v>37</v>
      </c>
      <c r="LW408" s="12" t="s">
        <v>37</v>
      </c>
      <c r="LY408" s="12" t="s">
        <v>37</v>
      </c>
      <c r="LZ408" s="12" t="s">
        <v>37</v>
      </c>
      <c r="MA408" s="12" t="s">
        <v>37</v>
      </c>
      <c r="MF408" s="12" t="s">
        <v>37</v>
      </c>
      <c r="MG408" s="12" t="s">
        <v>37</v>
      </c>
      <c r="MH408" s="12" t="s">
        <v>37</v>
      </c>
      <c r="MJ408" s="12" t="s">
        <v>37</v>
      </c>
      <c r="MK408" s="12" t="s">
        <v>37</v>
      </c>
      <c r="ML408" s="12" t="s">
        <v>37</v>
      </c>
      <c r="MQ408" s="12" t="s">
        <v>37</v>
      </c>
      <c r="MR408" s="12" t="s">
        <v>37</v>
      </c>
      <c r="MS408" s="12" t="s">
        <v>37</v>
      </c>
      <c r="MU408" s="12" t="s">
        <v>37</v>
      </c>
      <c r="MV408" s="12" t="s">
        <v>37</v>
      </c>
      <c r="MW408" s="12" t="s">
        <v>37</v>
      </c>
      <c r="NC408" s="12" t="s">
        <v>37</v>
      </c>
      <c r="ND408" s="12" t="s">
        <v>37</v>
      </c>
      <c r="NE408" s="12" t="s">
        <v>37</v>
      </c>
      <c r="NG408" s="12" t="s">
        <v>37</v>
      </c>
      <c r="NH408" s="12" t="s">
        <v>37</v>
      </c>
      <c r="NI408" s="12" t="s">
        <v>37</v>
      </c>
      <c r="NO408" s="12" t="s">
        <v>37</v>
      </c>
      <c r="NP408" s="12" t="s">
        <v>37</v>
      </c>
      <c r="NQ408" s="12" t="s">
        <v>37</v>
      </c>
      <c r="NS408" s="12" t="s">
        <v>37</v>
      </c>
      <c r="NT408" s="12" t="s">
        <v>37</v>
      </c>
      <c r="NU408" s="12" t="s">
        <v>37</v>
      </c>
      <c r="OA408" s="12" t="s">
        <v>37</v>
      </c>
      <c r="OB408" s="12" t="s">
        <v>37</v>
      </c>
      <c r="OC408" s="12" t="s">
        <v>37</v>
      </c>
      <c r="OD408" s="12"/>
      <c r="OE408" s="12" t="s">
        <v>37</v>
      </c>
      <c r="OF408" s="12" t="s">
        <v>37</v>
      </c>
      <c r="OG408" s="12" t="s">
        <v>37</v>
      </c>
      <c r="OH408" s="12"/>
      <c r="OI408" s="12"/>
      <c r="OJ408" s="12"/>
      <c r="OM408" s="12" t="s">
        <v>37</v>
      </c>
      <c r="ON408" s="12" t="s">
        <v>37</v>
      </c>
      <c r="OO408" s="12" t="s">
        <v>37</v>
      </c>
      <c r="OP408" s="12" t="s">
        <v>37</v>
      </c>
      <c r="OQ408" s="12" t="s">
        <v>37</v>
      </c>
      <c r="OR408" s="12" t="s">
        <v>37</v>
      </c>
      <c r="OS408" s="12"/>
      <c r="OT408" s="12"/>
      <c r="OW408" s="12" t="s">
        <v>37</v>
      </c>
      <c r="OX408" s="12" t="s">
        <v>37</v>
      </c>
      <c r="OY408" s="12" t="s">
        <v>37</v>
      </c>
      <c r="OZ408" s="12" t="s">
        <v>37</v>
      </c>
      <c r="PA408" s="12" t="s">
        <v>37</v>
      </c>
      <c r="PB408" s="12" t="s">
        <v>37</v>
      </c>
      <c r="PC408" s="12"/>
      <c r="PD408" s="12"/>
      <c r="PG408" s="12" t="s">
        <v>37</v>
      </c>
      <c r="PH408" s="12" t="s">
        <v>37</v>
      </c>
      <c r="PI408" s="12" t="s">
        <v>37</v>
      </c>
      <c r="PJ408" s="12" t="s">
        <v>37</v>
      </c>
      <c r="PK408" s="12" t="s">
        <v>37</v>
      </c>
      <c r="PL408" s="12" t="s">
        <v>37</v>
      </c>
      <c r="PM408" s="12"/>
      <c r="PN408" s="12"/>
      <c r="PQ408" s="12" t="s">
        <v>37</v>
      </c>
      <c r="PR408" s="12" t="s">
        <v>37</v>
      </c>
      <c r="PS408" s="12" t="s">
        <v>37</v>
      </c>
      <c r="PT408" s="12" t="s">
        <v>37</v>
      </c>
      <c r="PU408" s="12" t="s">
        <v>37</v>
      </c>
      <c r="PV408" s="12" t="s">
        <v>37</v>
      </c>
      <c r="PW408" s="12"/>
      <c r="PX408" s="12"/>
      <c r="PZ408" s="12" t="s">
        <v>37</v>
      </c>
      <c r="QA408" s="12" t="s">
        <v>37</v>
      </c>
      <c r="QB408" s="11" t="s">
        <v>37</v>
      </c>
      <c r="QD408" s="12" t="s">
        <v>37</v>
      </c>
      <c r="QE408" s="12" t="s">
        <v>37</v>
      </c>
      <c r="QF408" s="12" t="s">
        <v>37</v>
      </c>
      <c r="QK408" s="12" t="s">
        <v>37</v>
      </c>
      <c r="QL408" s="12" t="s">
        <v>37</v>
      </c>
      <c r="QM408" s="12" t="s">
        <v>37</v>
      </c>
      <c r="QN408" s="12" t="s">
        <v>37</v>
      </c>
      <c r="QO408" s="12" t="s">
        <v>37</v>
      </c>
      <c r="QP408" s="12" t="s">
        <v>37</v>
      </c>
      <c r="QQ408" s="12"/>
      <c r="QR408" s="12"/>
      <c r="QU408" s="12" t="s">
        <v>37</v>
      </c>
      <c r="QV408" s="12" t="s">
        <v>37</v>
      </c>
      <c r="QW408" s="12" t="s">
        <v>37</v>
      </c>
      <c r="QX408" s="12" t="s">
        <v>37</v>
      </c>
      <c r="QY408" s="12" t="s">
        <v>37</v>
      </c>
      <c r="QZ408" s="12" t="s">
        <v>37</v>
      </c>
      <c r="RC408" s="12" t="s">
        <v>37</v>
      </c>
      <c r="RD408" s="12" t="s">
        <v>37</v>
      </c>
      <c r="RE408" s="13" t="s">
        <v>37</v>
      </c>
      <c r="RF408" s="12" t="s">
        <v>37</v>
      </c>
      <c r="RG408" s="12" t="s">
        <v>37</v>
      </c>
      <c r="RH408" s="13" t="s">
        <v>37</v>
      </c>
      <c r="RK408" s="12" t="s">
        <v>37</v>
      </c>
      <c r="RL408" s="12" t="s">
        <v>37</v>
      </c>
      <c r="RM408" s="11" t="s">
        <v>37</v>
      </c>
      <c r="RN408" s="12" t="s">
        <v>37</v>
      </c>
      <c r="RO408" s="12" t="s">
        <v>37</v>
      </c>
      <c r="RP408" s="11" t="s">
        <v>37</v>
      </c>
      <c r="RS408" s="12" t="s">
        <v>37</v>
      </c>
      <c r="RT408" s="12" t="s">
        <v>37</v>
      </c>
      <c r="RU408" s="12" t="s">
        <v>37</v>
      </c>
      <c r="RV408" s="12" t="s">
        <v>37</v>
      </c>
      <c r="RW408" s="12" t="s">
        <v>37</v>
      </c>
      <c r="RX408" s="12" t="s">
        <v>37</v>
      </c>
      <c r="SA408" s="12" t="s">
        <v>37</v>
      </c>
      <c r="SB408" s="12" t="s">
        <v>37</v>
      </c>
      <c r="SC408" s="12" t="s">
        <v>37</v>
      </c>
      <c r="SD408" s="12" t="s">
        <v>37</v>
      </c>
      <c r="SE408" s="12" t="s">
        <v>37</v>
      </c>
      <c r="SF408" s="12" t="s">
        <v>37</v>
      </c>
      <c r="SI408" s="12" t="s">
        <v>37</v>
      </c>
      <c r="SJ408" s="12" t="s">
        <v>37</v>
      </c>
      <c r="SK408" s="13" t="s">
        <v>37</v>
      </c>
      <c r="SM408" s="12" t="s">
        <v>37</v>
      </c>
      <c r="SN408" s="12" t="s">
        <v>37</v>
      </c>
      <c r="SO408" s="13" t="s">
        <v>37</v>
      </c>
      <c r="SU408" s="12" t="s">
        <v>37</v>
      </c>
      <c r="SV408" s="12" t="s">
        <v>37</v>
      </c>
      <c r="SW408" s="11" t="s">
        <v>37</v>
      </c>
      <c r="SX408" s="12" t="s">
        <v>37</v>
      </c>
      <c r="SY408" s="12" t="s">
        <v>37</v>
      </c>
      <c r="SZ408" s="11" t="s">
        <v>37</v>
      </c>
      <c r="TE408" s="12" t="s">
        <v>37</v>
      </c>
      <c r="TF408" s="12" t="s">
        <v>37</v>
      </c>
      <c r="TG408" s="11" t="s">
        <v>37</v>
      </c>
      <c r="TH408" s="12" t="s">
        <v>37</v>
      </c>
      <c r="TI408" s="12" t="s">
        <v>37</v>
      </c>
      <c r="TJ408" s="11" t="s">
        <v>37</v>
      </c>
      <c r="TO408" s="12" t="s">
        <v>37</v>
      </c>
      <c r="TP408" s="12" t="s">
        <v>37</v>
      </c>
      <c r="TQ408" s="11" t="s">
        <v>37</v>
      </c>
      <c r="TR408" s="12" t="s">
        <v>37</v>
      </c>
      <c r="TS408" s="12" t="s">
        <v>37</v>
      </c>
      <c r="TT408" s="11" t="s">
        <v>37</v>
      </c>
      <c r="TY408" s="12" t="s">
        <v>37</v>
      </c>
      <c r="TZ408" s="12" t="s">
        <v>37</v>
      </c>
      <c r="UA408" s="12" t="s">
        <v>37</v>
      </c>
      <c r="UB408" s="12" t="s">
        <v>37</v>
      </c>
      <c r="UC408" s="12" t="s">
        <v>37</v>
      </c>
      <c r="UD408" s="12" t="s">
        <v>37</v>
      </c>
      <c r="UE408" s="12"/>
      <c r="UF408" s="12"/>
      <c r="UI408" s="12" t="s">
        <v>37</v>
      </c>
      <c r="UJ408" s="12" t="s">
        <v>37</v>
      </c>
      <c r="UK408" s="12" t="s">
        <v>37</v>
      </c>
      <c r="UL408" s="12" t="s">
        <v>37</v>
      </c>
      <c r="UM408" s="12" t="s">
        <v>37</v>
      </c>
      <c r="UN408" s="12" t="s">
        <v>37</v>
      </c>
      <c r="UO408" s="12"/>
      <c r="UP408" s="12"/>
      <c r="UR408" s="12" t="s">
        <v>37</v>
      </c>
      <c r="US408" s="12" t="s">
        <v>37</v>
      </c>
      <c r="UT408" s="12" t="s">
        <v>37</v>
      </c>
      <c r="UU408" s="12" t="s">
        <v>37</v>
      </c>
      <c r="UV408" s="12" t="s">
        <v>37</v>
      </c>
      <c r="UW408" s="12" t="s">
        <v>37</v>
      </c>
      <c r="UX408" s="12"/>
      <c r="UY408" s="12"/>
      <c r="VB408" s="12" t="s">
        <v>37</v>
      </c>
      <c r="VC408" s="12" t="s">
        <v>37</v>
      </c>
      <c r="VD408" s="12" t="s">
        <v>37</v>
      </c>
      <c r="VE408" s="12" t="s">
        <v>37</v>
      </c>
      <c r="VF408" s="12" t="s">
        <v>37</v>
      </c>
      <c r="VG408" s="12" t="s">
        <v>37</v>
      </c>
      <c r="VI408" s="12" t="s">
        <v>37</v>
      </c>
      <c r="VJ408" s="12" t="s">
        <v>37</v>
      </c>
      <c r="VK408" s="12" t="s">
        <v>37</v>
      </c>
      <c r="VL408" s="12" t="s">
        <v>37</v>
      </c>
      <c r="VM408" s="12" t="s">
        <v>37</v>
      </c>
      <c r="VN408" s="12" t="s">
        <v>37</v>
      </c>
      <c r="VQ408" s="13" t="s">
        <v>37</v>
      </c>
      <c r="VR408" s="13" t="s">
        <v>37</v>
      </c>
      <c r="VS408" s="13" t="s">
        <v>37</v>
      </c>
      <c r="VT408" s="13" t="s">
        <v>37</v>
      </c>
      <c r="VU408" s="13" t="s">
        <v>37</v>
      </c>
      <c r="VV408" s="13" t="s">
        <v>37</v>
      </c>
      <c r="WA408" s="13" t="s">
        <v>37</v>
      </c>
      <c r="WB408" s="13" t="s">
        <v>37</v>
      </c>
      <c r="WC408" s="13" t="s">
        <v>37</v>
      </c>
      <c r="WD408" s="13" t="s">
        <v>37</v>
      </c>
      <c r="WE408" s="13" t="s">
        <v>37</v>
      </c>
      <c r="WF408" s="13" t="s">
        <v>37</v>
      </c>
    </row>
    <row r="409" spans="1:606" ht="18" customHeight="1" x14ac:dyDescent="0.3">
      <c r="A409" s="11">
        <v>89</v>
      </c>
      <c r="B409" s="16" t="s">
        <v>611</v>
      </c>
      <c r="C409" s="12" t="s">
        <v>26</v>
      </c>
      <c r="D409" s="12" t="s">
        <v>119</v>
      </c>
      <c r="E409" s="40">
        <v>2</v>
      </c>
      <c r="F409" s="14">
        <v>0</v>
      </c>
      <c r="G409" s="14">
        <v>0</v>
      </c>
      <c r="H409" s="12" t="s">
        <v>104</v>
      </c>
      <c r="I409" s="29">
        <v>2.8170000000000002</v>
      </c>
      <c r="J409" s="29">
        <v>111.9</v>
      </c>
      <c r="K409" s="12" t="s">
        <v>791</v>
      </c>
      <c r="L409" s="12" t="s">
        <v>792</v>
      </c>
      <c r="M409" s="13" t="s">
        <v>37</v>
      </c>
      <c r="N409" s="14" t="s">
        <v>37</v>
      </c>
      <c r="O409" s="14" t="s">
        <v>37</v>
      </c>
      <c r="P409" s="14" t="s">
        <v>89</v>
      </c>
      <c r="Q409" s="75" t="s">
        <v>326</v>
      </c>
      <c r="R409" s="11" t="s">
        <v>37</v>
      </c>
      <c r="S409" s="12" t="s">
        <v>105</v>
      </c>
      <c r="T409" s="12" t="s">
        <v>37</v>
      </c>
      <c r="U409" s="12" t="s">
        <v>158</v>
      </c>
      <c r="V409" s="12" t="s">
        <v>37</v>
      </c>
      <c r="W409" s="23" t="s">
        <v>49</v>
      </c>
      <c r="X409" s="12" t="s">
        <v>49</v>
      </c>
      <c r="Y409" s="12" t="s">
        <v>37</v>
      </c>
      <c r="Z409" s="12" t="s">
        <v>315</v>
      </c>
      <c r="AB409" s="12" t="s">
        <v>37</v>
      </c>
      <c r="AE409" s="12" t="s">
        <v>37</v>
      </c>
      <c r="AH409" s="12" t="s">
        <v>37</v>
      </c>
      <c r="AK409" s="12" t="s">
        <v>37</v>
      </c>
      <c r="AL409" s="32" t="s">
        <v>612</v>
      </c>
      <c r="AM409" s="12" t="s">
        <v>344</v>
      </c>
      <c r="AO409" s="12" t="s">
        <v>37</v>
      </c>
      <c r="AP409" s="12" t="s">
        <v>238</v>
      </c>
      <c r="AQ409" s="12" t="s">
        <v>975</v>
      </c>
      <c r="AT409" s="12" t="s">
        <v>326</v>
      </c>
      <c r="AU409" s="12" t="s">
        <v>326</v>
      </c>
      <c r="AV409" s="13" t="s">
        <v>326</v>
      </c>
      <c r="AX409" s="12" t="s">
        <v>326</v>
      </c>
      <c r="AY409" s="12" t="s">
        <v>326</v>
      </c>
      <c r="AZ409" s="13" t="s">
        <v>326</v>
      </c>
      <c r="BD409" s="12"/>
      <c r="BE409" s="12" t="s">
        <v>326</v>
      </c>
      <c r="BF409" s="12" t="s">
        <v>326</v>
      </c>
      <c r="BG409" s="12" t="s">
        <v>326</v>
      </c>
      <c r="BI409" s="12" t="s">
        <v>326</v>
      </c>
      <c r="BJ409" s="12" t="s">
        <v>326</v>
      </c>
      <c r="BK409" s="12" t="s">
        <v>326</v>
      </c>
      <c r="BP409" s="12" t="s">
        <v>37</v>
      </c>
      <c r="BQ409" s="12" t="s">
        <v>37</v>
      </c>
      <c r="BR409" s="13" t="s">
        <v>37</v>
      </c>
      <c r="BT409" s="12" t="s">
        <v>37</v>
      </c>
      <c r="BU409" s="12" t="s">
        <v>37</v>
      </c>
      <c r="BV409" s="12" t="s">
        <v>37</v>
      </c>
      <c r="CA409" s="12" t="s">
        <v>37</v>
      </c>
      <c r="CB409" s="12" t="s">
        <v>37</v>
      </c>
      <c r="CC409" s="13" t="s">
        <v>37</v>
      </c>
      <c r="CE409" s="12" t="s">
        <v>37</v>
      </c>
      <c r="CF409" s="12" t="s">
        <v>37</v>
      </c>
      <c r="CG409" s="12" t="s">
        <v>37</v>
      </c>
      <c r="CN409" s="12" t="s">
        <v>37</v>
      </c>
      <c r="CO409" s="12" t="s">
        <v>37</v>
      </c>
      <c r="CP409" s="13" t="s">
        <v>37</v>
      </c>
      <c r="CR409" s="12" t="s">
        <v>37</v>
      </c>
      <c r="CS409" s="12" t="s">
        <v>326</v>
      </c>
      <c r="CT409" s="13" t="s">
        <v>37</v>
      </c>
      <c r="CX409" s="72"/>
      <c r="CY409" s="72"/>
      <c r="DA409" s="12" t="s">
        <v>37</v>
      </c>
      <c r="DB409" s="12" t="s">
        <v>37</v>
      </c>
      <c r="DC409" s="13" t="s">
        <v>37</v>
      </c>
      <c r="DE409" s="12" t="s">
        <v>37</v>
      </c>
      <c r="DF409" s="12" t="s">
        <v>37</v>
      </c>
      <c r="DG409" s="12" t="s">
        <v>37</v>
      </c>
      <c r="DM409" s="12" t="s">
        <v>47</v>
      </c>
      <c r="DN409" s="19">
        <f>1.1*10^4*365*24/10^6</f>
        <v>96.36</v>
      </c>
      <c r="DO409" s="12">
        <f>0.61*10^4*365*24/10^6</f>
        <v>53.436</v>
      </c>
      <c r="DP409" s="13">
        <v>5</v>
      </c>
      <c r="DQ409" s="19">
        <f>DO409/ABS(DN409)</f>
        <v>0.55454545454545456</v>
      </c>
      <c r="DR409" s="19">
        <f>1.38*10^4*365*24/10^6</f>
        <v>120.88799999999998</v>
      </c>
      <c r="DS409" s="12">
        <f>0.82*10^4*365*24/10^6</f>
        <v>71.831999999999994</v>
      </c>
      <c r="DT409" s="13">
        <v>5</v>
      </c>
      <c r="DU409" s="19">
        <f>DS409/ABS(DR409)</f>
        <v>0.59420289855072472</v>
      </c>
      <c r="DV409" s="19">
        <f t="shared" ref="DV409" si="1481">DR409-DN409</f>
        <v>24.527999999999977</v>
      </c>
      <c r="DW409" s="12">
        <f>SQRT(((DP409-1)*DO409^2+(DT409-1)*DS409^2)/(DP409+DT409-2))</f>
        <v>63.305775092008787</v>
      </c>
      <c r="DX409" s="72">
        <f t="shared" si="1358"/>
        <v>1603.048464</v>
      </c>
      <c r="DY409" s="72">
        <f t="shared" si="1359"/>
        <v>1603.0484639999997</v>
      </c>
      <c r="EA409" s="19" t="s">
        <v>37</v>
      </c>
      <c r="EB409" s="19" t="s">
        <v>37</v>
      </c>
      <c r="EC409" s="72" t="s">
        <v>37</v>
      </c>
      <c r="EE409" s="19" t="s">
        <v>37</v>
      </c>
      <c r="EF409" s="19" t="s">
        <v>37</v>
      </c>
      <c r="EG409" s="12" t="s">
        <v>37</v>
      </c>
      <c r="EN409" s="12" t="s">
        <v>37</v>
      </c>
      <c r="EO409" s="12" t="s">
        <v>37</v>
      </c>
      <c r="EP409" s="13" t="s">
        <v>37</v>
      </c>
      <c r="ER409" s="12" t="s">
        <v>37</v>
      </c>
      <c r="ES409" s="12" t="s">
        <v>37</v>
      </c>
      <c r="ET409" s="13" t="s">
        <v>37</v>
      </c>
      <c r="FB409" s="12" t="s">
        <v>37</v>
      </c>
      <c r="FC409" s="12" t="s">
        <v>37</v>
      </c>
      <c r="FD409" s="12" t="s">
        <v>37</v>
      </c>
      <c r="FE409" s="12" t="s">
        <v>37</v>
      </c>
      <c r="FF409" s="12" t="s">
        <v>37</v>
      </c>
      <c r="FG409" s="12" t="s">
        <v>37</v>
      </c>
      <c r="FI409" s="12" t="s">
        <v>37</v>
      </c>
      <c r="FJ409" s="12" t="s">
        <v>37</v>
      </c>
      <c r="FK409" s="12" t="s">
        <v>37</v>
      </c>
      <c r="FL409" s="12" t="s">
        <v>37</v>
      </c>
      <c r="FM409" s="12" t="s">
        <v>37</v>
      </c>
      <c r="FN409" s="12" t="s">
        <v>37</v>
      </c>
      <c r="FP409" s="12" t="s">
        <v>37</v>
      </c>
      <c r="FQ409" s="12" t="s">
        <v>37</v>
      </c>
      <c r="FR409" s="12" t="s">
        <v>37</v>
      </c>
      <c r="FS409" s="12" t="s">
        <v>37</v>
      </c>
      <c r="FT409" s="12" t="s">
        <v>37</v>
      </c>
      <c r="FU409" s="12" t="s">
        <v>37</v>
      </c>
      <c r="FW409" s="12" t="s">
        <v>37</v>
      </c>
      <c r="FX409" s="12" t="s">
        <v>37</v>
      </c>
      <c r="FY409" s="12" t="s">
        <v>37</v>
      </c>
      <c r="FZ409" s="12" t="s">
        <v>37</v>
      </c>
      <c r="GA409" s="12" t="s">
        <v>37</v>
      </c>
      <c r="GB409" s="12" t="s">
        <v>37</v>
      </c>
      <c r="GG409" s="12"/>
      <c r="GK409" s="12"/>
      <c r="HP409" s="12"/>
      <c r="HT409" s="12"/>
      <c r="IA409" s="12"/>
      <c r="IE409" s="12"/>
      <c r="IK409" s="12" t="s">
        <v>37</v>
      </c>
      <c r="IL409" s="12" t="s">
        <v>37</v>
      </c>
      <c r="IM409" s="12" t="s">
        <v>37</v>
      </c>
      <c r="IO409" s="12" t="s">
        <v>37</v>
      </c>
      <c r="IP409" s="12" t="s">
        <v>37</v>
      </c>
      <c r="IQ409" s="12" t="s">
        <v>37</v>
      </c>
      <c r="IW409" s="12" t="s">
        <v>37</v>
      </c>
      <c r="IX409" s="12" t="s">
        <v>37</v>
      </c>
      <c r="IY409" s="12" t="s">
        <v>37</v>
      </c>
      <c r="JA409" s="12" t="s">
        <v>37</v>
      </c>
      <c r="JB409" s="12" t="s">
        <v>37</v>
      </c>
      <c r="JC409" s="12" t="s">
        <v>37</v>
      </c>
      <c r="JH409" s="12" t="s">
        <v>37</v>
      </c>
      <c r="JI409" s="12" t="s">
        <v>37</v>
      </c>
      <c r="JJ409" s="12" t="s">
        <v>37</v>
      </c>
      <c r="JL409" s="12" t="s">
        <v>37</v>
      </c>
      <c r="JM409" s="12" t="s">
        <v>37</v>
      </c>
      <c r="JN409" s="12" t="s">
        <v>37</v>
      </c>
      <c r="JS409" s="12" t="s">
        <v>37</v>
      </c>
      <c r="JT409" s="12" t="s">
        <v>37</v>
      </c>
      <c r="JU409" s="12" t="s">
        <v>37</v>
      </c>
      <c r="JW409" s="12" t="s">
        <v>37</v>
      </c>
      <c r="JX409" s="12" t="s">
        <v>37</v>
      </c>
      <c r="JY409" s="12" t="s">
        <v>37</v>
      </c>
      <c r="KE409" s="12" t="s">
        <v>37</v>
      </c>
      <c r="KF409" s="12" t="s">
        <v>37</v>
      </c>
      <c r="KG409" s="12" t="s">
        <v>37</v>
      </c>
      <c r="KH409" s="12" t="s">
        <v>37</v>
      </c>
      <c r="KI409" s="12" t="s">
        <v>37</v>
      </c>
      <c r="KJ409" s="12" t="s">
        <v>37</v>
      </c>
      <c r="KM409" s="12" t="s">
        <v>37</v>
      </c>
      <c r="KN409" s="12" t="s">
        <v>37</v>
      </c>
      <c r="KO409" s="12" t="s">
        <v>37</v>
      </c>
      <c r="KQ409" s="12" t="s">
        <v>37</v>
      </c>
      <c r="KR409" s="12" t="s">
        <v>37</v>
      </c>
      <c r="KS409" s="12" t="s">
        <v>37</v>
      </c>
      <c r="KX409" s="12" t="s">
        <v>37</v>
      </c>
      <c r="KY409" s="12" t="s">
        <v>37</v>
      </c>
      <c r="KZ409" s="12" t="s">
        <v>37</v>
      </c>
      <c r="LB409" s="12" t="s">
        <v>37</v>
      </c>
      <c r="LC409" s="12" t="s">
        <v>37</v>
      </c>
      <c r="LD409" s="12" t="s">
        <v>37</v>
      </c>
      <c r="LI409" s="12" t="s">
        <v>37</v>
      </c>
      <c r="LJ409" s="12" t="s">
        <v>37</v>
      </c>
      <c r="LK409" s="12" t="s">
        <v>37</v>
      </c>
      <c r="LM409" s="12" t="s">
        <v>37</v>
      </c>
      <c r="LN409" s="12" t="s">
        <v>37</v>
      </c>
      <c r="LO409" s="12" t="s">
        <v>37</v>
      </c>
      <c r="LU409" s="12" t="s">
        <v>37</v>
      </c>
      <c r="LV409" s="12" t="s">
        <v>37</v>
      </c>
      <c r="LW409" s="12" t="s">
        <v>37</v>
      </c>
      <c r="LY409" s="12" t="s">
        <v>37</v>
      </c>
      <c r="LZ409" s="12" t="s">
        <v>37</v>
      </c>
      <c r="MA409" s="12" t="s">
        <v>37</v>
      </c>
      <c r="MF409" s="12" t="s">
        <v>37</v>
      </c>
      <c r="MG409" s="12" t="s">
        <v>37</v>
      </c>
      <c r="MH409" s="12" t="s">
        <v>37</v>
      </c>
      <c r="MJ409" s="12" t="s">
        <v>37</v>
      </c>
      <c r="MK409" s="12" t="s">
        <v>37</v>
      </c>
      <c r="ML409" s="12" t="s">
        <v>37</v>
      </c>
      <c r="MQ409" s="12" t="s">
        <v>37</v>
      </c>
      <c r="MR409" s="12" t="s">
        <v>37</v>
      </c>
      <c r="MS409" s="12" t="s">
        <v>37</v>
      </c>
      <c r="MU409" s="12" t="s">
        <v>37</v>
      </c>
      <c r="MV409" s="12" t="s">
        <v>37</v>
      </c>
      <c r="MW409" s="12" t="s">
        <v>37</v>
      </c>
      <c r="NC409" s="12" t="s">
        <v>37</v>
      </c>
      <c r="ND409" s="12" t="s">
        <v>37</v>
      </c>
      <c r="NE409" s="12" t="s">
        <v>37</v>
      </c>
      <c r="NG409" s="12" t="s">
        <v>37</v>
      </c>
      <c r="NH409" s="12" t="s">
        <v>37</v>
      </c>
      <c r="NI409" s="12" t="s">
        <v>37</v>
      </c>
      <c r="NO409" s="12" t="s">
        <v>37</v>
      </c>
      <c r="NP409" s="12" t="s">
        <v>37</v>
      </c>
      <c r="NQ409" s="12" t="s">
        <v>37</v>
      </c>
      <c r="NS409" s="12" t="s">
        <v>37</v>
      </c>
      <c r="NT409" s="12" t="s">
        <v>37</v>
      </c>
      <c r="NU409" s="12" t="s">
        <v>37</v>
      </c>
      <c r="OA409" s="12" t="s">
        <v>37</v>
      </c>
      <c r="OB409" s="12" t="s">
        <v>37</v>
      </c>
      <c r="OC409" s="12" t="s">
        <v>37</v>
      </c>
      <c r="OD409" s="12"/>
      <c r="OE409" s="12" t="s">
        <v>37</v>
      </c>
      <c r="OF409" s="12" t="s">
        <v>37</v>
      </c>
      <c r="OG409" s="12" t="s">
        <v>37</v>
      </c>
      <c r="OH409" s="12"/>
      <c r="OI409" s="12"/>
      <c r="OJ409" s="12"/>
      <c r="OM409" s="12" t="s">
        <v>37</v>
      </c>
      <c r="ON409" s="12" t="s">
        <v>37</v>
      </c>
      <c r="OO409" s="12" t="s">
        <v>37</v>
      </c>
      <c r="OP409" s="12" t="s">
        <v>37</v>
      </c>
      <c r="OQ409" s="12" t="s">
        <v>37</v>
      </c>
      <c r="OR409" s="12" t="s">
        <v>37</v>
      </c>
      <c r="OS409" s="12"/>
      <c r="OT409" s="12"/>
      <c r="OW409" s="12" t="s">
        <v>37</v>
      </c>
      <c r="OX409" s="12" t="s">
        <v>37</v>
      </c>
      <c r="OY409" s="12" t="s">
        <v>37</v>
      </c>
      <c r="OZ409" s="12" t="s">
        <v>37</v>
      </c>
      <c r="PA409" s="12" t="s">
        <v>37</v>
      </c>
      <c r="PB409" s="12" t="s">
        <v>37</v>
      </c>
      <c r="PC409" s="12"/>
      <c r="PD409" s="12"/>
      <c r="PG409" s="12" t="s">
        <v>37</v>
      </c>
      <c r="PH409" s="12" t="s">
        <v>37</v>
      </c>
      <c r="PI409" s="12" t="s">
        <v>37</v>
      </c>
      <c r="PJ409" s="12" t="s">
        <v>37</v>
      </c>
      <c r="PK409" s="12" t="s">
        <v>37</v>
      </c>
      <c r="PL409" s="12" t="s">
        <v>37</v>
      </c>
      <c r="PM409" s="12"/>
      <c r="PN409" s="12"/>
      <c r="PQ409" s="12" t="s">
        <v>37</v>
      </c>
      <c r="PR409" s="12" t="s">
        <v>37</v>
      </c>
      <c r="PS409" s="12" t="s">
        <v>37</v>
      </c>
      <c r="PT409" s="12" t="s">
        <v>37</v>
      </c>
      <c r="PU409" s="12" t="s">
        <v>37</v>
      </c>
      <c r="PV409" s="12" t="s">
        <v>37</v>
      </c>
      <c r="PW409" s="12"/>
      <c r="PX409" s="12"/>
      <c r="PZ409" s="12" t="s">
        <v>37</v>
      </c>
      <c r="QA409" s="12" t="s">
        <v>37</v>
      </c>
      <c r="QB409" s="11" t="s">
        <v>37</v>
      </c>
      <c r="QD409" s="12" t="s">
        <v>37</v>
      </c>
      <c r="QE409" s="12" t="s">
        <v>37</v>
      </c>
      <c r="QF409" s="12" t="s">
        <v>37</v>
      </c>
      <c r="QK409" s="12" t="s">
        <v>37</v>
      </c>
      <c r="QL409" s="12" t="s">
        <v>37</v>
      </c>
      <c r="QM409" s="12" t="s">
        <v>37</v>
      </c>
      <c r="QN409" s="12" t="s">
        <v>37</v>
      </c>
      <c r="QO409" s="12" t="s">
        <v>37</v>
      </c>
      <c r="QP409" s="12" t="s">
        <v>37</v>
      </c>
      <c r="QQ409" s="12"/>
      <c r="QR409" s="12"/>
      <c r="QU409" s="12" t="s">
        <v>37</v>
      </c>
      <c r="QV409" s="12" t="s">
        <v>37</v>
      </c>
      <c r="QW409" s="12" t="s">
        <v>37</v>
      </c>
      <c r="QX409" s="12" t="s">
        <v>37</v>
      </c>
      <c r="QY409" s="12" t="s">
        <v>37</v>
      </c>
      <c r="QZ409" s="12" t="s">
        <v>37</v>
      </c>
      <c r="RC409" s="12" t="s">
        <v>37</v>
      </c>
      <c r="RD409" s="12" t="s">
        <v>37</v>
      </c>
      <c r="RE409" s="13" t="s">
        <v>37</v>
      </c>
      <c r="RF409" s="12" t="s">
        <v>37</v>
      </c>
      <c r="RG409" s="12" t="s">
        <v>37</v>
      </c>
      <c r="RH409" s="13" t="s">
        <v>37</v>
      </c>
      <c r="RK409" s="12" t="s">
        <v>37</v>
      </c>
      <c r="RL409" s="12" t="s">
        <v>37</v>
      </c>
      <c r="RM409" s="11" t="s">
        <v>37</v>
      </c>
      <c r="RN409" s="12" t="s">
        <v>37</v>
      </c>
      <c r="RO409" s="12" t="s">
        <v>37</v>
      </c>
      <c r="RP409" s="11" t="s">
        <v>37</v>
      </c>
      <c r="RS409" s="12" t="s">
        <v>37</v>
      </c>
      <c r="RT409" s="12" t="s">
        <v>37</v>
      </c>
      <c r="RU409" s="12" t="s">
        <v>37</v>
      </c>
      <c r="RV409" s="12" t="s">
        <v>37</v>
      </c>
      <c r="RW409" s="12" t="s">
        <v>37</v>
      </c>
      <c r="RX409" s="12" t="s">
        <v>37</v>
      </c>
      <c r="SA409" s="12" t="s">
        <v>37</v>
      </c>
      <c r="SB409" s="12" t="s">
        <v>37</v>
      </c>
      <c r="SC409" s="12" t="s">
        <v>37</v>
      </c>
      <c r="SD409" s="12" t="s">
        <v>37</v>
      </c>
      <c r="SE409" s="12" t="s">
        <v>37</v>
      </c>
      <c r="SF409" s="12" t="s">
        <v>37</v>
      </c>
      <c r="SI409" s="12" t="s">
        <v>37</v>
      </c>
      <c r="SJ409" s="12" t="s">
        <v>37</v>
      </c>
      <c r="SK409" s="13" t="s">
        <v>37</v>
      </c>
      <c r="SM409" s="12" t="s">
        <v>37</v>
      </c>
      <c r="SN409" s="12" t="s">
        <v>37</v>
      </c>
      <c r="SO409" s="13" t="s">
        <v>37</v>
      </c>
      <c r="SU409" s="12" t="s">
        <v>37</v>
      </c>
      <c r="SV409" s="12" t="s">
        <v>37</v>
      </c>
      <c r="SW409" s="11" t="s">
        <v>37</v>
      </c>
      <c r="SX409" s="12" t="s">
        <v>37</v>
      </c>
      <c r="SY409" s="12" t="s">
        <v>37</v>
      </c>
      <c r="SZ409" s="11" t="s">
        <v>37</v>
      </c>
      <c r="TE409" s="12" t="s">
        <v>37</v>
      </c>
      <c r="TF409" s="12" t="s">
        <v>37</v>
      </c>
      <c r="TG409" s="11" t="s">
        <v>37</v>
      </c>
      <c r="TH409" s="12" t="s">
        <v>37</v>
      </c>
      <c r="TI409" s="12" t="s">
        <v>37</v>
      </c>
      <c r="TJ409" s="11" t="s">
        <v>37</v>
      </c>
      <c r="TO409" s="12" t="s">
        <v>37</v>
      </c>
      <c r="TP409" s="12" t="s">
        <v>37</v>
      </c>
      <c r="TQ409" s="11" t="s">
        <v>37</v>
      </c>
      <c r="TR409" s="12" t="s">
        <v>37</v>
      </c>
      <c r="TS409" s="12" t="s">
        <v>37</v>
      </c>
      <c r="TT409" s="11" t="s">
        <v>37</v>
      </c>
      <c r="TY409" s="12" t="s">
        <v>37</v>
      </c>
      <c r="TZ409" s="12" t="s">
        <v>37</v>
      </c>
      <c r="UA409" s="12" t="s">
        <v>37</v>
      </c>
      <c r="UB409" s="12" t="s">
        <v>37</v>
      </c>
      <c r="UC409" s="12" t="s">
        <v>37</v>
      </c>
      <c r="UD409" s="12" t="s">
        <v>37</v>
      </c>
      <c r="UE409" s="12"/>
      <c r="UF409" s="12"/>
      <c r="UI409" s="12" t="s">
        <v>37</v>
      </c>
      <c r="UJ409" s="12" t="s">
        <v>37</v>
      </c>
      <c r="UK409" s="12" t="s">
        <v>37</v>
      </c>
      <c r="UL409" s="12" t="s">
        <v>37</v>
      </c>
      <c r="UM409" s="12" t="s">
        <v>37</v>
      </c>
      <c r="UN409" s="12" t="s">
        <v>37</v>
      </c>
      <c r="UO409" s="12"/>
      <c r="UP409" s="12"/>
      <c r="UR409" s="12" t="s">
        <v>37</v>
      </c>
      <c r="US409" s="12" t="s">
        <v>37</v>
      </c>
      <c r="UT409" s="12" t="s">
        <v>37</v>
      </c>
      <c r="UU409" s="12" t="s">
        <v>37</v>
      </c>
      <c r="UV409" s="12" t="s">
        <v>37</v>
      </c>
      <c r="UW409" s="12" t="s">
        <v>37</v>
      </c>
      <c r="UX409" s="12"/>
      <c r="UY409" s="12"/>
      <c r="VB409" s="12" t="s">
        <v>37</v>
      </c>
      <c r="VC409" s="12" t="s">
        <v>37</v>
      </c>
      <c r="VD409" s="12" t="s">
        <v>37</v>
      </c>
      <c r="VE409" s="12" t="s">
        <v>37</v>
      </c>
      <c r="VF409" s="12" t="s">
        <v>37</v>
      </c>
      <c r="VG409" s="12" t="s">
        <v>37</v>
      </c>
      <c r="VI409" s="12" t="s">
        <v>37</v>
      </c>
      <c r="VJ409" s="12" t="s">
        <v>37</v>
      </c>
      <c r="VK409" s="12" t="s">
        <v>37</v>
      </c>
      <c r="VL409" s="12" t="s">
        <v>37</v>
      </c>
      <c r="VM409" s="12" t="s">
        <v>37</v>
      </c>
      <c r="VN409" s="12" t="s">
        <v>37</v>
      </c>
      <c r="VQ409" s="13" t="s">
        <v>37</v>
      </c>
      <c r="VR409" s="13" t="s">
        <v>37</v>
      </c>
      <c r="VS409" s="13" t="s">
        <v>37</v>
      </c>
      <c r="VT409" s="13" t="s">
        <v>37</v>
      </c>
      <c r="VU409" s="13" t="s">
        <v>37</v>
      </c>
      <c r="VV409" s="13" t="s">
        <v>37</v>
      </c>
      <c r="WA409" s="13" t="s">
        <v>37</v>
      </c>
      <c r="WB409" s="13" t="s">
        <v>37</v>
      </c>
      <c r="WC409" s="13" t="s">
        <v>37</v>
      </c>
      <c r="WD409" s="13" t="s">
        <v>37</v>
      </c>
      <c r="WE409" s="13" t="s">
        <v>37</v>
      </c>
      <c r="WF409" s="13" t="s">
        <v>37</v>
      </c>
    </row>
    <row r="410" spans="1:606" ht="18" customHeight="1" x14ac:dyDescent="0.3">
      <c r="A410" s="11">
        <v>90</v>
      </c>
      <c r="B410" s="16" t="s">
        <v>908</v>
      </c>
      <c r="C410" s="12" t="s">
        <v>26</v>
      </c>
      <c r="D410" s="12" t="s">
        <v>1039</v>
      </c>
      <c r="E410" s="40">
        <f>AVERAGEA(3.5,4.85)</f>
        <v>4.1749999999999998</v>
      </c>
      <c r="F410" s="14">
        <v>0</v>
      </c>
      <c r="G410" s="14">
        <v>0</v>
      </c>
      <c r="H410" s="12" t="s">
        <v>88</v>
      </c>
      <c r="I410" s="29">
        <v>-2.35</v>
      </c>
      <c r="J410" s="29">
        <v>114.033</v>
      </c>
      <c r="K410" s="12" t="s">
        <v>740</v>
      </c>
      <c r="L410" s="12" t="s">
        <v>741</v>
      </c>
      <c r="M410" s="13" t="s">
        <v>37</v>
      </c>
      <c r="N410" s="14">
        <v>25.3</v>
      </c>
      <c r="O410" s="14">
        <v>2339</v>
      </c>
      <c r="P410" s="14" t="s">
        <v>89</v>
      </c>
      <c r="Q410" s="75" t="s">
        <v>326</v>
      </c>
      <c r="R410" s="11" t="s">
        <v>37</v>
      </c>
      <c r="S410" s="12" t="s">
        <v>105</v>
      </c>
      <c r="T410" s="12" t="s">
        <v>37</v>
      </c>
      <c r="U410" s="12" t="s">
        <v>158</v>
      </c>
      <c r="V410" s="12" t="s">
        <v>37</v>
      </c>
      <c r="W410" s="23" t="s">
        <v>49</v>
      </c>
      <c r="X410" s="12" t="s">
        <v>49</v>
      </c>
      <c r="Y410" s="12" t="s">
        <v>37</v>
      </c>
      <c r="Z410" s="12" t="s">
        <v>315</v>
      </c>
      <c r="AA410" s="32" t="s">
        <v>330</v>
      </c>
      <c r="AB410" s="12">
        <v>5.2</v>
      </c>
      <c r="AC410" s="12" t="s">
        <v>42</v>
      </c>
      <c r="AD410" s="32" t="s">
        <v>330</v>
      </c>
      <c r="AE410" s="12">
        <v>578</v>
      </c>
      <c r="AF410" s="12" t="s">
        <v>42</v>
      </c>
      <c r="AG410" s="32" t="s">
        <v>345</v>
      </c>
      <c r="AH410" s="12">
        <v>16.5</v>
      </c>
      <c r="AJ410" s="12" t="str">
        <f t="shared" ref="AJ410:AJ411" si="1482">AD410</f>
        <v>0-5</v>
      </c>
      <c r="AK410" s="19">
        <f>AE410/AH410</f>
        <v>35.030303030303031</v>
      </c>
      <c r="AL410" s="32" t="s">
        <v>614</v>
      </c>
      <c r="AM410" s="12" t="s">
        <v>344</v>
      </c>
      <c r="AO410" s="12" t="s">
        <v>37</v>
      </c>
      <c r="AP410" s="12" t="s">
        <v>238</v>
      </c>
      <c r="AQ410" s="12" t="s">
        <v>975</v>
      </c>
      <c r="AR410" s="12" t="s">
        <v>42</v>
      </c>
      <c r="AS410" s="32" t="s">
        <v>330</v>
      </c>
      <c r="AT410" s="12">
        <v>578</v>
      </c>
      <c r="AU410" s="50">
        <f>AT410*AW$474</f>
        <v>49.434689840821235</v>
      </c>
      <c r="AV410" s="13">
        <v>3</v>
      </c>
      <c r="AX410" s="12">
        <v>556</v>
      </c>
      <c r="AY410" s="50">
        <f>AX410*BA$474</f>
        <v>39.259391242752997</v>
      </c>
      <c r="AZ410" s="13">
        <v>3</v>
      </c>
      <c r="BB410" s="52">
        <f t="shared" ref="BB410:BB411" si="1483">LN(AX410/AT410)</f>
        <v>-3.8805574421795122E-2</v>
      </c>
      <c r="BC410" s="19">
        <f t="shared" ref="BC410:BC411" si="1484">AY410^2/(AZ410*AX410^2)+AU410^2/(AV410*AT410^2)</f>
        <v>4.1002411250469781E-3</v>
      </c>
      <c r="BD410" s="12"/>
      <c r="BE410" s="12" t="s">
        <v>326</v>
      </c>
      <c r="BF410" s="12" t="s">
        <v>326</v>
      </c>
      <c r="BG410" s="12" t="s">
        <v>326</v>
      </c>
      <c r="BI410" s="12" t="s">
        <v>326</v>
      </c>
      <c r="BJ410" s="12" t="s">
        <v>326</v>
      </c>
      <c r="BK410" s="12" t="s">
        <v>326</v>
      </c>
      <c r="BP410" s="12" t="s">
        <v>37</v>
      </c>
      <c r="BQ410" s="12" t="s">
        <v>37</v>
      </c>
      <c r="BR410" s="13" t="s">
        <v>37</v>
      </c>
      <c r="BT410" s="12" t="s">
        <v>37</v>
      </c>
      <c r="BU410" s="12" t="s">
        <v>37</v>
      </c>
      <c r="BV410" s="12" t="s">
        <v>37</v>
      </c>
      <c r="CA410" s="12" t="s">
        <v>37</v>
      </c>
      <c r="CB410" s="12" t="s">
        <v>37</v>
      </c>
      <c r="CC410" s="13" t="s">
        <v>37</v>
      </c>
      <c r="CE410" s="12" t="s">
        <v>37</v>
      </c>
      <c r="CF410" s="12" t="s">
        <v>37</v>
      </c>
      <c r="CG410" s="12" t="s">
        <v>37</v>
      </c>
      <c r="CN410" s="12" t="s">
        <v>37</v>
      </c>
      <c r="CO410" s="12" t="s">
        <v>37</v>
      </c>
      <c r="CP410" s="13" t="s">
        <v>37</v>
      </c>
      <c r="CR410" s="12" t="s">
        <v>37</v>
      </c>
      <c r="CS410" s="12" t="s">
        <v>37</v>
      </c>
      <c r="CT410" s="13" t="s">
        <v>37</v>
      </c>
      <c r="CX410" s="72"/>
      <c r="CY410" s="72"/>
      <c r="DA410" s="12" t="s">
        <v>37</v>
      </c>
      <c r="DB410" s="12" t="s">
        <v>37</v>
      </c>
      <c r="DC410" s="13" t="s">
        <v>37</v>
      </c>
      <c r="DE410" s="12" t="s">
        <v>37</v>
      </c>
      <c r="DF410" s="12" t="s">
        <v>37</v>
      </c>
      <c r="DG410" s="12" t="s">
        <v>37</v>
      </c>
      <c r="DN410" s="19" t="s">
        <v>37</v>
      </c>
      <c r="DO410" s="12" t="s">
        <v>37</v>
      </c>
      <c r="DP410" s="13" t="s">
        <v>37</v>
      </c>
      <c r="DR410" s="19" t="s">
        <v>37</v>
      </c>
      <c r="DS410" s="12" t="s">
        <v>37</v>
      </c>
      <c r="DT410" s="13" t="s">
        <v>37</v>
      </c>
      <c r="DZ410" s="11" t="s">
        <v>47</v>
      </c>
      <c r="EA410" s="19">
        <f>0.62*44/28</f>
        <v>0.97428571428571431</v>
      </c>
      <c r="EB410" s="19">
        <f>0.11*44/28</f>
        <v>0.17285714285714285</v>
      </c>
      <c r="EC410" s="72">
        <v>4</v>
      </c>
      <c r="ED410" s="52">
        <f t="shared" ref="ED410:ED411" si="1485">EB410/ABS(EA410)</f>
        <v>0.17741935483870966</v>
      </c>
      <c r="EE410" s="19">
        <f>7.1*44/28</f>
        <v>11.157142857142857</v>
      </c>
      <c r="EF410" s="19">
        <f>1.2*44/28</f>
        <v>1.8857142857142857</v>
      </c>
      <c r="EG410" s="13">
        <v>4</v>
      </c>
      <c r="EH410" s="52">
        <f t="shared" ref="EH410:EH411" si="1486">EF410/ABS(EE410)</f>
        <v>0.16901408450704225</v>
      </c>
      <c r="EI410" s="19">
        <f t="shared" ref="EI410" si="1487">EE410-EA410</f>
        <v>10.182857142857141</v>
      </c>
      <c r="EJ410" s="12">
        <f t="shared" ref="EJ410:EJ411" si="1488">SQRT(((EC410-1)*EB410^2+(EG410-1)*EF410^2)/(EC410+EG410-2))</f>
        <v>1.3389917772681941</v>
      </c>
      <c r="EK410" s="19">
        <f t="shared" ref="EK410:EK411" si="1489">(((EC410+EG410)/(EC410*EG410))*(((EC410-1)*EB410^2)+(EG410-1)*EF410^2)/(EC410+EG410-2))</f>
        <v>0.89644948979591843</v>
      </c>
      <c r="EL410" s="19">
        <f t="shared" ref="EL410:EL411" si="1490">(EB410^2/EC410)+(EF410^2/EG410)</f>
        <v>0.89644948979591832</v>
      </c>
      <c r="EN410" s="12" t="s">
        <v>37</v>
      </c>
      <c r="EO410" s="12" t="s">
        <v>37</v>
      </c>
      <c r="EP410" s="13" t="s">
        <v>37</v>
      </c>
      <c r="ER410" s="12" t="s">
        <v>37</v>
      </c>
      <c r="ES410" s="12" t="s">
        <v>37</v>
      </c>
      <c r="ET410" s="13" t="s">
        <v>37</v>
      </c>
      <c r="FB410" s="12" t="s">
        <v>37</v>
      </c>
      <c r="FC410" s="12" t="s">
        <v>37</v>
      </c>
      <c r="FD410" s="12" t="s">
        <v>37</v>
      </c>
      <c r="FE410" s="12" t="s">
        <v>37</v>
      </c>
      <c r="FF410" s="12" t="s">
        <v>37</v>
      </c>
      <c r="FG410" s="12" t="s">
        <v>37</v>
      </c>
      <c r="FI410" s="12" t="s">
        <v>37</v>
      </c>
      <c r="FJ410" s="12" t="s">
        <v>37</v>
      </c>
      <c r="FK410" s="12" t="s">
        <v>37</v>
      </c>
      <c r="FL410" s="12" t="s">
        <v>37</v>
      </c>
      <c r="FM410" s="12" t="s">
        <v>37</v>
      </c>
      <c r="FN410" s="12" t="s">
        <v>37</v>
      </c>
      <c r="FP410" s="12" t="s">
        <v>37</v>
      </c>
      <c r="FQ410" s="12" t="s">
        <v>37</v>
      </c>
      <c r="FR410" s="12" t="s">
        <v>37</v>
      </c>
      <c r="FS410" s="12" t="s">
        <v>37</v>
      </c>
      <c r="FT410" s="12" t="s">
        <v>37</v>
      </c>
      <c r="FU410" s="12" t="s">
        <v>37</v>
      </c>
      <c r="FW410" s="12" t="s">
        <v>37</v>
      </c>
      <c r="FX410" s="12" t="s">
        <v>37</v>
      </c>
      <c r="FY410" s="12" t="s">
        <v>37</v>
      </c>
      <c r="FZ410" s="12" t="s">
        <v>37</v>
      </c>
      <c r="GA410" s="12" t="s">
        <v>37</v>
      </c>
      <c r="GB410" s="12" t="s">
        <v>37</v>
      </c>
      <c r="GC410" s="12" t="s">
        <v>90</v>
      </c>
      <c r="GD410" s="12" t="s">
        <v>616</v>
      </c>
      <c r="GE410" s="12">
        <f>(28*("2002-10-31"-"2002-6-1")+46*("2002-12-31"-"2002-11-1"+"2002-5-31"-"2002-1-1"))/("2003-5-31"-"2002-6-1")</f>
        <v>38.230769230769234</v>
      </c>
      <c r="GF410" s="12">
        <f>(16*("2002-10-31"-"2002-6-1")+5.5*("2002-12-31"-"2002-11-1"+"2002-5-31"-"2002-1-1"))/("2003-5-31"-"2002-6-1")</f>
        <v>9.854395604395604</v>
      </c>
      <c r="GG410" s="13">
        <v>4</v>
      </c>
      <c r="GH410" s="19">
        <f t="shared" ref="GH410:GH411" si="1491">GF410/GE410</f>
        <v>0.25776085081920092</v>
      </c>
      <c r="GI410" s="12">
        <f>(43*("2002-10-31"-"2002-6-1")+66*("2002-12-31"-"2002-11-1"+"2002-5-31"-"2002-1-1"))/("2003-5-31"-"2002-6-1")</f>
        <v>56.032967032967036</v>
      </c>
      <c r="GJ410" s="12">
        <f>(14*("2002-10-31"-"2002-6-1")+8.3*("2002-12-31"-"2002-11-1"+"2002-5-31"-"2002-1-1"))/("2003-5-31"-"2002-6-1")</f>
        <v>10.634615384615385</v>
      </c>
      <c r="GK410" s="13">
        <v>4</v>
      </c>
      <c r="GL410" s="19">
        <f t="shared" ref="GL410:GL411" si="1492">GJ410/GI410</f>
        <v>0.18979211610119631</v>
      </c>
      <c r="GM410" s="19">
        <f>LN(GI410/GE410)</f>
        <v>0.38229954590321369</v>
      </c>
      <c r="GN410" s="19">
        <f t="shared" ref="GN410:GN411" si="1493">GJ410^2/(GK410*GI410^2)+GF410^2/(GG410*GE410^2)</f>
        <v>2.561542588730208E-2</v>
      </c>
      <c r="GO410" s="12" t="s">
        <v>660</v>
      </c>
      <c r="GP410" s="12" t="s">
        <v>364</v>
      </c>
      <c r="GQ410" s="12">
        <f>(28.1*("2002-10-31"-"2002-6-1")+27*("2002-12-31"-"2002-11-1"+"2002-5-31"-"2002-1-1"))/("2003-5-31"-"2002-6-1")</f>
        <v>27.310989010989012</v>
      </c>
      <c r="GR410" s="12">
        <f>(1.1*("2002-10-31"-"2002-6-1")+0.9*("2002-12-31"-"2002-11-1"+"2002-5-31"-"2002-1-1"))/("2003-5-31"-"2002-6-1")</f>
        <v>0.97857142857142865</v>
      </c>
      <c r="GS410" s="13">
        <v>4</v>
      </c>
      <c r="GT410" s="19">
        <f t="shared" ref="GT410:GT414" si="1494">GR410/GQ410</f>
        <v>3.5830684424415567E-2</v>
      </c>
      <c r="GU410" s="12">
        <f>(29.8*("2002-10-31"-"2002-6-1")+29.5*("2002-12-31"-"2002-11-1"+"2002-5-31"-"2002-1-1"))/("2003-5-31"-"2002-6-1")</f>
        <v>29.463186813186812</v>
      </c>
      <c r="GV410" s="12">
        <f>(1.3*("2002-10-31"-"2002-6-1")+1.8*("2002-12-31"-"2002-11-1"+"2002-5-31"-"2002-1-1"))/("2003-5-31"-"2002-6-1")</f>
        <v>1.5813186813186815</v>
      </c>
      <c r="GW410" s="13">
        <v>4</v>
      </c>
      <c r="GX410" s="19">
        <f>GV410/GU410</f>
        <v>5.3670999384592438E-2</v>
      </c>
      <c r="GY410" s="19">
        <f t="shared" ref="GY410:GY414" si="1495">LN(GU410/GQ410)</f>
        <v>7.5852430353308437E-2</v>
      </c>
      <c r="GZ410" s="19">
        <f t="shared" ref="GZ410:GZ414" si="1496">GV410^2/(GW410*GU410^2)+GR410^2/(GS410*GQ410^2)</f>
        <v>1.0411035303157447E-3</v>
      </c>
      <c r="HA410" s="17" t="s">
        <v>63</v>
      </c>
      <c r="HB410" s="34" t="s">
        <v>330</v>
      </c>
      <c r="HC410" s="12">
        <v>0.14000000000000001</v>
      </c>
      <c r="HD410" s="50">
        <f>ABS(HC410)*HF$474</f>
        <v>2.4137644040508738E-2</v>
      </c>
      <c r="HE410" s="13">
        <v>4</v>
      </c>
      <c r="HG410" s="12">
        <v>0.3</v>
      </c>
      <c r="HH410" s="50">
        <f>ABS(HG410)*HJ$474</f>
        <v>3.3556355990131521E-2</v>
      </c>
      <c r="HI410" s="13">
        <v>4</v>
      </c>
      <c r="HK410" s="19">
        <f t="shared" ref="HK410:HK411" si="1497">LN(HG410/HC410)</f>
        <v>0.76214005204689672</v>
      </c>
      <c r="HL410" s="19">
        <f t="shared" ref="HL410:HL411" si="1498">HH410^2/(HI410*HG410^2)+HD410^2/(HE410*HC410^2)</f>
        <v>1.0559310702970771E-2</v>
      </c>
      <c r="HP410" s="12"/>
      <c r="HT410" s="12"/>
      <c r="IA410" s="12"/>
      <c r="IE410" s="12"/>
      <c r="IK410" s="12" t="s">
        <v>37</v>
      </c>
      <c r="IL410" s="12" t="s">
        <v>37</v>
      </c>
      <c r="IM410" s="12" t="s">
        <v>37</v>
      </c>
      <c r="IO410" s="12" t="s">
        <v>37</v>
      </c>
      <c r="IP410" s="12" t="s">
        <v>37</v>
      </c>
      <c r="IQ410" s="12" t="s">
        <v>37</v>
      </c>
      <c r="IV410" s="32" t="s">
        <v>330</v>
      </c>
      <c r="IW410" s="12">
        <v>5.2</v>
      </c>
      <c r="IX410" s="50">
        <f>ABS(IW410)*IZ$474</f>
        <v>0.19038626166572031</v>
      </c>
      <c r="IY410" s="13">
        <v>4</v>
      </c>
      <c r="JA410" s="12">
        <v>4.4000000000000004</v>
      </c>
      <c r="JB410" s="50">
        <f>ABS(JA410)*JD$474</f>
        <v>0.12323875865709215</v>
      </c>
      <c r="JC410" s="13">
        <v>4</v>
      </c>
      <c r="JE410" s="19">
        <f t="shared" ref="JE410:JE411" si="1499">LN(JA410/IW410)</f>
        <v>-0.16705408466316621</v>
      </c>
      <c r="JF410" s="19">
        <f t="shared" ref="JF410:JF411" si="1500">JB410^2/(JC410*JA410^2)+IX410^2/(IY410*IW410^2)</f>
        <v>5.312465730849806E-4</v>
      </c>
      <c r="JH410" s="12" t="s">
        <v>37</v>
      </c>
      <c r="JI410" s="12" t="s">
        <v>37</v>
      </c>
      <c r="JJ410" s="12" t="s">
        <v>37</v>
      </c>
      <c r="JL410" s="12" t="s">
        <v>37</v>
      </c>
      <c r="JM410" s="12" t="s">
        <v>37</v>
      </c>
      <c r="JN410" s="12" t="s">
        <v>37</v>
      </c>
      <c r="JS410" s="12" t="s">
        <v>37</v>
      </c>
      <c r="JT410" s="12" t="s">
        <v>37</v>
      </c>
      <c r="JU410" s="12" t="s">
        <v>37</v>
      </c>
      <c r="JW410" s="12" t="s">
        <v>37</v>
      </c>
      <c r="JX410" s="12" t="s">
        <v>37</v>
      </c>
      <c r="JY410" s="12" t="s">
        <v>37</v>
      </c>
      <c r="KE410" s="12" t="s">
        <v>37</v>
      </c>
      <c r="KF410" s="12" t="s">
        <v>37</v>
      </c>
      <c r="KG410" s="12" t="s">
        <v>37</v>
      </c>
      <c r="KH410" s="12" t="s">
        <v>37</v>
      </c>
      <c r="KI410" s="12" t="s">
        <v>37</v>
      </c>
      <c r="KJ410" s="12" t="s">
        <v>37</v>
      </c>
      <c r="KK410" s="12" t="s">
        <v>42</v>
      </c>
      <c r="KL410" s="32" t="s">
        <v>345</v>
      </c>
      <c r="KM410" s="12">
        <v>16.5</v>
      </c>
      <c r="KN410" s="50">
        <f>ABS(KM410)*KP$474</f>
        <v>1.9683351828501814</v>
      </c>
      <c r="KO410" s="11">
        <v>4</v>
      </c>
      <c r="KQ410" s="12">
        <v>13.6</v>
      </c>
      <c r="KR410" s="50">
        <f>ABS(KQ410)*KT$474</f>
        <v>1.4340306502934597</v>
      </c>
      <c r="KS410" s="13">
        <v>4</v>
      </c>
      <c r="KU410" s="19">
        <f t="shared" ref="KU410:KU411" si="1501">LN(KQ410/KM410)</f>
        <v>-0.19329058816452863</v>
      </c>
      <c r="KV410" s="19">
        <f t="shared" ref="KV410:KV411" si="1502">KR410^2/(KS410*KQ410^2)+KN410^2/(KO410*KM410^2)</f>
        <v>6.3372866721444921E-3</v>
      </c>
      <c r="KX410" s="12" t="s">
        <v>37</v>
      </c>
      <c r="KY410" s="12" t="s">
        <v>37</v>
      </c>
      <c r="KZ410" s="12" t="s">
        <v>37</v>
      </c>
      <c r="LB410" s="12" t="s">
        <v>37</v>
      </c>
      <c r="LC410" s="12" t="s">
        <v>37</v>
      </c>
      <c r="LD410" s="12" t="s">
        <v>37</v>
      </c>
      <c r="LI410" s="12" t="s">
        <v>37</v>
      </c>
      <c r="LJ410" s="12" t="s">
        <v>37</v>
      </c>
      <c r="LK410" s="12" t="s">
        <v>37</v>
      </c>
      <c r="LM410" s="12" t="s">
        <v>37</v>
      </c>
      <c r="LN410" s="12" t="s">
        <v>37</v>
      </c>
      <c r="LO410" s="12" t="s">
        <v>37</v>
      </c>
      <c r="LT410" s="12" t="str">
        <f t="shared" ref="LT410:LT411" si="1503">KL410</f>
        <v>0-10</v>
      </c>
      <c r="LU410" s="12">
        <f>AT410/KM410</f>
        <v>35.030303030303031</v>
      </c>
      <c r="LV410" s="12">
        <f>SQRT((1/KM410)^2*AU410^2+AT410^2*(-1/KM410^2)^2*KN410^2)</f>
        <v>5.1419094318431258</v>
      </c>
      <c r="LW410" s="13">
        <f t="shared" ref="LW410:LW411" si="1504">KO410</f>
        <v>4</v>
      </c>
      <c r="LY410" s="12">
        <f>AX410/KQ410</f>
        <v>40.882352941176471</v>
      </c>
      <c r="LZ410" s="12">
        <f>SQRT((1/KQ410)^2*AY410^2+AX410^2*(-1/KQ410^2)^2*KR410^2)</f>
        <v>5.1880572168469126</v>
      </c>
      <c r="MA410" s="13">
        <f t="shared" ref="MA410:MA411" si="1505">KS410</f>
        <v>4</v>
      </c>
      <c r="MC410" s="19">
        <f t="shared" ref="MC410:MC411" si="1506">LN(LY410/LU410)</f>
        <v>0.15448501374273341</v>
      </c>
      <c r="MD410" s="19">
        <f t="shared" ref="MD410:MD411" si="1507">LZ410^2/(MA410*LY410^2)+LV410^2/(LW410*LU410^2)</f>
        <v>9.4124675159297233E-3</v>
      </c>
      <c r="MF410" s="12" t="s">
        <v>37</v>
      </c>
      <c r="MG410" s="12" t="s">
        <v>37</v>
      </c>
      <c r="MH410" s="12" t="s">
        <v>37</v>
      </c>
      <c r="MJ410" s="12" t="s">
        <v>37</v>
      </c>
      <c r="MK410" s="12" t="s">
        <v>37</v>
      </c>
      <c r="ML410" s="12" t="s">
        <v>37</v>
      </c>
      <c r="MQ410" s="12" t="s">
        <v>37</v>
      </c>
      <c r="MR410" s="12" t="s">
        <v>37</v>
      </c>
      <c r="MS410" s="12" t="s">
        <v>37</v>
      </c>
      <c r="MU410" s="12" t="s">
        <v>37</v>
      </c>
      <c r="MV410" s="12" t="s">
        <v>37</v>
      </c>
      <c r="MW410" s="12" t="s">
        <v>37</v>
      </c>
      <c r="NA410" s="12" t="s">
        <v>45</v>
      </c>
      <c r="NB410" s="12" t="s">
        <v>345</v>
      </c>
      <c r="NC410" s="12">
        <f>AVERAGEA(129,511)</f>
        <v>320</v>
      </c>
      <c r="ND410" s="50">
        <f>ABS(NC410)*NF$474</f>
        <v>88.682220713515846</v>
      </c>
      <c r="NE410" s="13">
        <v>4</v>
      </c>
      <c r="NG410" s="12">
        <v>67</v>
      </c>
      <c r="NH410" s="50">
        <f>ABS(NG410)*NJ$474</f>
        <v>18.82653157196361</v>
      </c>
      <c r="NI410" s="13">
        <v>4</v>
      </c>
      <c r="NK410" s="19">
        <f t="shared" ref="NK410:NK411" si="1508">LN(NG410/NC410)</f>
        <v>-1.5636283764028061</v>
      </c>
      <c r="NL410" s="19">
        <f t="shared" ref="NL410:NL411" si="1509">NH410^2/(NI410*NG410^2)+ND410^2/(NE410*NC410^2)</f>
        <v>3.8939795716228014E-2</v>
      </c>
      <c r="NM410" s="12" t="s">
        <v>45</v>
      </c>
      <c r="NN410" s="12" t="s">
        <v>345</v>
      </c>
      <c r="NO410" s="12">
        <f>AVERAGEA(0.43,91)</f>
        <v>45.715000000000003</v>
      </c>
      <c r="NP410" s="50">
        <f>ABS(NO410)*NR$474</f>
        <v>38.156680543737288</v>
      </c>
      <c r="NQ410" s="13">
        <v>4</v>
      </c>
      <c r="NS410" s="12">
        <v>292</v>
      </c>
      <c r="NT410" s="50">
        <f>ABS(NS410)*NV$474</f>
        <v>170.24399316593644</v>
      </c>
      <c r="NU410" s="13">
        <v>4</v>
      </c>
      <c r="NW410" s="19">
        <f t="shared" ref="NW410:NW411" si="1510">LN(NS410/NO410)</f>
        <v>1.8543273306518919</v>
      </c>
      <c r="NX410" s="19">
        <f t="shared" ref="NX410:NX411" si="1511">NT410^2/(NU410*NS410^2)+NP410^2/(NQ410*NO410^2)</f>
        <v>0.25914637198002682</v>
      </c>
      <c r="OA410" s="12" t="s">
        <v>37</v>
      </c>
      <c r="OB410" s="12" t="s">
        <v>37</v>
      </c>
      <c r="OC410" s="12" t="s">
        <v>37</v>
      </c>
      <c r="OD410" s="12"/>
      <c r="OE410" s="12" t="s">
        <v>37</v>
      </c>
      <c r="OF410" s="12" t="s">
        <v>37</v>
      </c>
      <c r="OG410" s="12" t="s">
        <v>37</v>
      </c>
      <c r="OH410" s="12"/>
      <c r="OI410" s="12"/>
      <c r="OJ410" s="12"/>
      <c r="OM410" s="12" t="s">
        <v>37</v>
      </c>
      <c r="ON410" s="12" t="s">
        <v>37</v>
      </c>
      <c r="OO410" s="12" t="s">
        <v>37</v>
      </c>
      <c r="OP410" s="12" t="s">
        <v>37</v>
      </c>
      <c r="OQ410" s="12" t="s">
        <v>37</v>
      </c>
      <c r="OR410" s="12" t="s">
        <v>37</v>
      </c>
      <c r="OS410" s="12"/>
      <c r="OT410" s="12"/>
      <c r="OW410" s="12" t="s">
        <v>37</v>
      </c>
      <c r="OX410" s="12" t="s">
        <v>37</v>
      </c>
      <c r="OY410" s="12" t="s">
        <v>37</v>
      </c>
      <c r="OZ410" s="12" t="s">
        <v>37</v>
      </c>
      <c r="PA410" s="12" t="s">
        <v>37</v>
      </c>
      <c r="PB410" s="12" t="s">
        <v>37</v>
      </c>
      <c r="PC410" s="12"/>
      <c r="PD410" s="12"/>
      <c r="PG410" s="12" t="s">
        <v>37</v>
      </c>
      <c r="PH410" s="12" t="s">
        <v>37</v>
      </c>
      <c r="PI410" s="12" t="s">
        <v>37</v>
      </c>
      <c r="PJ410" s="12" t="s">
        <v>37</v>
      </c>
      <c r="PK410" s="12" t="s">
        <v>37</v>
      </c>
      <c r="PL410" s="12" t="s">
        <v>37</v>
      </c>
      <c r="PM410" s="12"/>
      <c r="PN410" s="12"/>
      <c r="PQ410" s="12" t="s">
        <v>37</v>
      </c>
      <c r="PR410" s="12" t="s">
        <v>37</v>
      </c>
      <c r="PS410" s="12" t="s">
        <v>37</v>
      </c>
      <c r="PT410" s="12" t="s">
        <v>37</v>
      </c>
      <c r="PU410" s="12" t="s">
        <v>37</v>
      </c>
      <c r="PV410" s="12" t="s">
        <v>37</v>
      </c>
      <c r="PW410" s="12"/>
      <c r="PX410" s="12"/>
      <c r="PZ410" s="12" t="s">
        <v>37</v>
      </c>
      <c r="QA410" s="12" t="s">
        <v>37</v>
      </c>
      <c r="QB410" s="11" t="s">
        <v>37</v>
      </c>
      <c r="QD410" s="12" t="s">
        <v>37</v>
      </c>
      <c r="QE410" s="12" t="s">
        <v>37</v>
      </c>
      <c r="QF410" s="12" t="s">
        <v>37</v>
      </c>
      <c r="QK410" s="12" t="s">
        <v>37</v>
      </c>
      <c r="QL410" s="12" t="s">
        <v>37</v>
      </c>
      <c r="QM410" s="12" t="s">
        <v>37</v>
      </c>
      <c r="QN410" s="12" t="s">
        <v>37</v>
      </c>
      <c r="QO410" s="12" t="s">
        <v>37</v>
      </c>
      <c r="QP410" s="12" t="s">
        <v>37</v>
      </c>
      <c r="QQ410" s="12"/>
      <c r="QR410" s="12"/>
      <c r="QU410" s="12" t="s">
        <v>37</v>
      </c>
      <c r="QV410" s="12" t="s">
        <v>37</v>
      </c>
      <c r="QW410" s="12" t="s">
        <v>37</v>
      </c>
      <c r="QX410" s="12" t="s">
        <v>37</v>
      </c>
      <c r="QY410" s="12" t="s">
        <v>37</v>
      </c>
      <c r="QZ410" s="12" t="s">
        <v>37</v>
      </c>
      <c r="RC410" s="12" t="s">
        <v>37</v>
      </c>
      <c r="RD410" s="12" t="s">
        <v>37</v>
      </c>
      <c r="RE410" s="13" t="s">
        <v>37</v>
      </c>
      <c r="RF410" s="12" t="s">
        <v>37</v>
      </c>
      <c r="RG410" s="12" t="s">
        <v>37</v>
      </c>
      <c r="RH410" s="13" t="s">
        <v>37</v>
      </c>
      <c r="RK410" s="12" t="s">
        <v>37</v>
      </c>
      <c r="RL410" s="12" t="s">
        <v>37</v>
      </c>
      <c r="RM410" s="11" t="s">
        <v>37</v>
      </c>
      <c r="RN410" s="12" t="s">
        <v>37</v>
      </c>
      <c r="RO410" s="12" t="s">
        <v>37</v>
      </c>
      <c r="RP410" s="11" t="s">
        <v>37</v>
      </c>
      <c r="RS410" s="12" t="s">
        <v>37</v>
      </c>
      <c r="RT410" s="12" t="s">
        <v>37</v>
      </c>
      <c r="RU410" s="12" t="s">
        <v>37</v>
      </c>
      <c r="RV410" s="12" t="s">
        <v>37</v>
      </c>
      <c r="RW410" s="12" t="s">
        <v>37</v>
      </c>
      <c r="RX410" s="12" t="s">
        <v>37</v>
      </c>
      <c r="SA410" s="12" t="s">
        <v>37</v>
      </c>
      <c r="SB410" s="12" t="s">
        <v>37</v>
      </c>
      <c r="SC410" s="12" t="s">
        <v>37</v>
      </c>
      <c r="SD410" s="12" t="s">
        <v>37</v>
      </c>
      <c r="SE410" s="12" t="s">
        <v>37</v>
      </c>
      <c r="SF410" s="12" t="s">
        <v>37</v>
      </c>
      <c r="SI410" s="12" t="s">
        <v>37</v>
      </c>
      <c r="SJ410" s="12" t="s">
        <v>37</v>
      </c>
      <c r="SK410" s="13" t="s">
        <v>37</v>
      </c>
      <c r="SM410" s="12" t="s">
        <v>37</v>
      </c>
      <c r="SN410" s="12" t="s">
        <v>37</v>
      </c>
      <c r="SO410" s="13" t="s">
        <v>37</v>
      </c>
      <c r="SU410" s="12" t="s">
        <v>37</v>
      </c>
      <c r="SV410" s="12" t="s">
        <v>37</v>
      </c>
      <c r="SW410" s="11" t="s">
        <v>37</v>
      </c>
      <c r="SX410" s="12" t="s">
        <v>37</v>
      </c>
      <c r="SY410" s="12" t="s">
        <v>37</v>
      </c>
      <c r="SZ410" s="11" t="s">
        <v>37</v>
      </c>
      <c r="TE410" s="12" t="s">
        <v>37</v>
      </c>
      <c r="TF410" s="12" t="s">
        <v>37</v>
      </c>
      <c r="TG410" s="11" t="s">
        <v>37</v>
      </c>
      <c r="TH410" s="12" t="s">
        <v>37</v>
      </c>
      <c r="TI410" s="12" t="s">
        <v>37</v>
      </c>
      <c r="TJ410" s="11" t="s">
        <v>37</v>
      </c>
      <c r="TO410" s="12" t="s">
        <v>37</v>
      </c>
      <c r="TP410" s="12" t="s">
        <v>37</v>
      </c>
      <c r="TQ410" s="11" t="s">
        <v>37</v>
      </c>
      <c r="TR410" s="12" t="s">
        <v>37</v>
      </c>
      <c r="TS410" s="12" t="s">
        <v>37</v>
      </c>
      <c r="TT410" s="11" t="s">
        <v>37</v>
      </c>
      <c r="TY410" s="12" t="s">
        <v>37</v>
      </c>
      <c r="TZ410" s="12" t="s">
        <v>37</v>
      </c>
      <c r="UA410" s="12" t="s">
        <v>37</v>
      </c>
      <c r="UB410" s="12" t="s">
        <v>37</v>
      </c>
      <c r="UC410" s="12" t="s">
        <v>37</v>
      </c>
      <c r="UD410" s="12" t="s">
        <v>37</v>
      </c>
      <c r="UE410" s="12"/>
      <c r="UF410" s="12"/>
      <c r="UI410" s="12" t="s">
        <v>37</v>
      </c>
      <c r="UJ410" s="12" t="s">
        <v>37</v>
      </c>
      <c r="UK410" s="12" t="s">
        <v>37</v>
      </c>
      <c r="UL410" s="12" t="s">
        <v>37</v>
      </c>
      <c r="UM410" s="12" t="s">
        <v>37</v>
      </c>
      <c r="UN410" s="12" t="s">
        <v>37</v>
      </c>
      <c r="UO410" s="12"/>
      <c r="UP410" s="12"/>
      <c r="UR410" s="12" t="s">
        <v>37</v>
      </c>
      <c r="US410" s="12" t="s">
        <v>37</v>
      </c>
      <c r="UT410" s="12" t="s">
        <v>37</v>
      </c>
      <c r="UU410" s="12" t="s">
        <v>37</v>
      </c>
      <c r="UV410" s="12" t="s">
        <v>37</v>
      </c>
      <c r="UW410" s="12" t="s">
        <v>37</v>
      </c>
      <c r="UX410" s="12"/>
      <c r="UY410" s="12"/>
      <c r="VB410" s="12" t="s">
        <v>37</v>
      </c>
      <c r="VC410" s="12" t="s">
        <v>37</v>
      </c>
      <c r="VD410" s="12" t="s">
        <v>37</v>
      </c>
      <c r="VE410" s="12" t="s">
        <v>37</v>
      </c>
      <c r="VF410" s="12" t="s">
        <v>37</v>
      </c>
      <c r="VG410" s="12" t="s">
        <v>37</v>
      </c>
      <c r="VI410" s="12" t="s">
        <v>37</v>
      </c>
      <c r="VJ410" s="12" t="s">
        <v>37</v>
      </c>
      <c r="VK410" s="12" t="s">
        <v>37</v>
      </c>
      <c r="VL410" s="12" t="s">
        <v>37</v>
      </c>
      <c r="VM410" s="12" t="s">
        <v>37</v>
      </c>
      <c r="VN410" s="12" t="s">
        <v>37</v>
      </c>
      <c r="VQ410" s="13" t="s">
        <v>37</v>
      </c>
      <c r="VR410" s="13" t="s">
        <v>37</v>
      </c>
      <c r="VS410" s="13" t="s">
        <v>37</v>
      </c>
      <c r="VT410" s="13" t="s">
        <v>37</v>
      </c>
      <c r="VU410" s="13" t="s">
        <v>37</v>
      </c>
      <c r="VV410" s="13" t="s">
        <v>37</v>
      </c>
      <c r="WA410" s="13" t="s">
        <v>37</v>
      </c>
      <c r="WB410" s="13" t="s">
        <v>37</v>
      </c>
      <c r="WC410" s="13" t="s">
        <v>37</v>
      </c>
      <c r="WD410" s="13" t="s">
        <v>37</v>
      </c>
      <c r="WE410" s="13" t="s">
        <v>37</v>
      </c>
      <c r="WF410" s="13" t="s">
        <v>37</v>
      </c>
    </row>
    <row r="411" spans="1:606" ht="18" customHeight="1" x14ac:dyDescent="0.3">
      <c r="A411" s="11">
        <v>90</v>
      </c>
      <c r="B411" s="16" t="s">
        <v>613</v>
      </c>
      <c r="C411" s="12" t="s">
        <v>26</v>
      </c>
      <c r="D411" s="12" t="s">
        <v>1039</v>
      </c>
      <c r="E411" s="40">
        <f>AVERAGEA(3.5,4.85)</f>
        <v>4.1749999999999998</v>
      </c>
      <c r="F411" s="14">
        <v>0</v>
      </c>
      <c r="G411" s="14">
        <v>0</v>
      </c>
      <c r="H411" s="12" t="s">
        <v>88</v>
      </c>
      <c r="I411" s="29">
        <v>-2.35</v>
      </c>
      <c r="J411" s="29">
        <v>114.033</v>
      </c>
      <c r="K411" s="12" t="s">
        <v>740</v>
      </c>
      <c r="L411" s="12" t="s">
        <v>741</v>
      </c>
      <c r="M411" s="13" t="s">
        <v>37</v>
      </c>
      <c r="N411" s="14">
        <v>25.6</v>
      </c>
      <c r="O411" s="14">
        <v>1994</v>
      </c>
      <c r="P411" s="14" t="s">
        <v>89</v>
      </c>
      <c r="Q411" s="75" t="s">
        <v>326</v>
      </c>
      <c r="R411" s="11" t="s">
        <v>37</v>
      </c>
      <c r="S411" s="12" t="s">
        <v>105</v>
      </c>
      <c r="T411" s="12" t="s">
        <v>37</v>
      </c>
      <c r="U411" s="12" t="s">
        <v>158</v>
      </c>
      <c r="V411" s="12" t="s">
        <v>37</v>
      </c>
      <c r="W411" s="23" t="s">
        <v>49</v>
      </c>
      <c r="X411" s="12" t="s">
        <v>49</v>
      </c>
      <c r="Y411" s="12" t="s">
        <v>37</v>
      </c>
      <c r="Z411" s="12" t="s">
        <v>315</v>
      </c>
      <c r="AA411" s="32" t="s">
        <v>330</v>
      </c>
      <c r="AB411" s="12">
        <v>5.2</v>
      </c>
      <c r="AC411" s="12" t="s">
        <v>42</v>
      </c>
      <c r="AD411" s="32" t="s">
        <v>330</v>
      </c>
      <c r="AE411" s="12">
        <v>578</v>
      </c>
      <c r="AF411" s="12" t="s">
        <v>42</v>
      </c>
      <c r="AG411" s="32" t="s">
        <v>345</v>
      </c>
      <c r="AH411" s="12">
        <v>16.5</v>
      </c>
      <c r="AJ411" s="12" t="str">
        <f t="shared" si="1482"/>
        <v>0-5</v>
      </c>
      <c r="AK411" s="19">
        <f t="shared" ref="AK411" si="1512">AE411/AH411</f>
        <v>35.030303030303031</v>
      </c>
      <c r="AL411" s="32" t="s">
        <v>615</v>
      </c>
      <c r="AM411" s="12" t="s">
        <v>344</v>
      </c>
      <c r="AO411" s="12" t="s">
        <v>37</v>
      </c>
      <c r="AP411" s="12" t="s">
        <v>238</v>
      </c>
      <c r="AQ411" s="12" t="s">
        <v>975</v>
      </c>
      <c r="AR411" s="12" t="s">
        <v>42</v>
      </c>
      <c r="AS411" s="32" t="s">
        <v>330</v>
      </c>
      <c r="AT411" s="12">
        <v>578</v>
      </c>
      <c r="AU411" s="50">
        <f>AT411*AW$474</f>
        <v>49.434689840821235</v>
      </c>
      <c r="AV411" s="13">
        <v>3</v>
      </c>
      <c r="AX411" s="12">
        <v>556</v>
      </c>
      <c r="AY411" s="50">
        <f>AX411*BA$474</f>
        <v>39.259391242752997</v>
      </c>
      <c r="AZ411" s="13">
        <v>3</v>
      </c>
      <c r="BB411" s="52">
        <f t="shared" si="1483"/>
        <v>-3.8805574421795122E-2</v>
      </c>
      <c r="BC411" s="19">
        <f t="shared" si="1484"/>
        <v>4.1002411250469781E-3</v>
      </c>
      <c r="BD411" s="12"/>
      <c r="BE411" s="12" t="s">
        <v>326</v>
      </c>
      <c r="BF411" s="12" t="s">
        <v>326</v>
      </c>
      <c r="BG411" s="12" t="s">
        <v>326</v>
      </c>
      <c r="BI411" s="12" t="s">
        <v>326</v>
      </c>
      <c r="BJ411" s="12" t="s">
        <v>326</v>
      </c>
      <c r="BK411" s="12" t="s">
        <v>326</v>
      </c>
      <c r="BP411" s="12" t="s">
        <v>37</v>
      </c>
      <c r="BQ411" s="12" t="s">
        <v>37</v>
      </c>
      <c r="BR411" s="13" t="s">
        <v>37</v>
      </c>
      <c r="BT411" s="12" t="s">
        <v>37</v>
      </c>
      <c r="BU411" s="12" t="s">
        <v>37</v>
      </c>
      <c r="BV411" s="12" t="s">
        <v>37</v>
      </c>
      <c r="CA411" s="12" t="s">
        <v>37</v>
      </c>
      <c r="CB411" s="12" t="s">
        <v>37</v>
      </c>
      <c r="CC411" s="13" t="s">
        <v>37</v>
      </c>
      <c r="CE411" s="12" t="s">
        <v>37</v>
      </c>
      <c r="CF411" s="12" t="s">
        <v>37</v>
      </c>
      <c r="CG411" s="12" t="s">
        <v>37</v>
      </c>
      <c r="CN411" s="12" t="s">
        <v>37</v>
      </c>
      <c r="CO411" s="12" t="s">
        <v>37</v>
      </c>
      <c r="CP411" s="13" t="s">
        <v>37</v>
      </c>
      <c r="CR411" s="12" t="s">
        <v>37</v>
      </c>
      <c r="CS411" s="12" t="s">
        <v>37</v>
      </c>
      <c r="CT411" s="13" t="s">
        <v>37</v>
      </c>
      <c r="CX411" s="72"/>
      <c r="CY411" s="72"/>
      <c r="DA411" s="12" t="s">
        <v>37</v>
      </c>
      <c r="DB411" s="12" t="s">
        <v>37</v>
      </c>
      <c r="DC411" s="13" t="s">
        <v>37</v>
      </c>
      <c r="DE411" s="12" t="s">
        <v>37</v>
      </c>
      <c r="DF411" s="12" t="s">
        <v>37</v>
      </c>
      <c r="DG411" s="12" t="s">
        <v>37</v>
      </c>
      <c r="DN411" s="19" t="s">
        <v>37</v>
      </c>
      <c r="DO411" s="12" t="s">
        <v>37</v>
      </c>
      <c r="DP411" s="13" t="s">
        <v>37</v>
      </c>
      <c r="DR411" s="19" t="s">
        <v>37</v>
      </c>
      <c r="DS411" s="12" t="s">
        <v>37</v>
      </c>
      <c r="DT411" s="13" t="s">
        <v>37</v>
      </c>
      <c r="DZ411" s="11" t="s">
        <v>47</v>
      </c>
      <c r="EA411" s="19">
        <f>4.4*44/28</f>
        <v>6.9142857142857155</v>
      </c>
      <c r="EB411" s="19">
        <f>1.2*44/28</f>
        <v>1.8857142857142857</v>
      </c>
      <c r="EC411" s="72">
        <v>4</v>
      </c>
      <c r="ED411" s="52">
        <f t="shared" si="1485"/>
        <v>0.27272727272727265</v>
      </c>
      <c r="EE411" s="19">
        <f>23*44/28</f>
        <v>36.142857142857146</v>
      </c>
      <c r="EF411" s="19">
        <f>9.8*44/28</f>
        <v>15.400000000000002</v>
      </c>
      <c r="EG411" s="13">
        <v>4</v>
      </c>
      <c r="EH411" s="52">
        <f t="shared" si="1486"/>
        <v>0.42608695652173917</v>
      </c>
      <c r="EI411" s="19">
        <f>EE411-EA411</f>
        <v>29.228571428571431</v>
      </c>
      <c r="EJ411" s="12">
        <f t="shared" si="1488"/>
        <v>10.970777510444439</v>
      </c>
      <c r="EK411" s="19">
        <f t="shared" si="1489"/>
        <v>60.178979591836743</v>
      </c>
      <c r="EL411" s="19">
        <f t="shared" si="1490"/>
        <v>60.17897959183675</v>
      </c>
      <c r="EN411" s="12" t="s">
        <v>37</v>
      </c>
      <c r="EO411" s="12" t="s">
        <v>37</v>
      </c>
      <c r="EP411" s="13" t="s">
        <v>37</v>
      </c>
      <c r="ER411" s="12" t="s">
        <v>37</v>
      </c>
      <c r="ES411" s="12" t="s">
        <v>37</v>
      </c>
      <c r="ET411" s="13" t="s">
        <v>37</v>
      </c>
      <c r="FB411" s="12" t="s">
        <v>37</v>
      </c>
      <c r="FC411" s="12" t="s">
        <v>37</v>
      </c>
      <c r="FD411" s="12" t="s">
        <v>37</v>
      </c>
      <c r="FE411" s="12" t="s">
        <v>37</v>
      </c>
      <c r="FF411" s="12" t="s">
        <v>37</v>
      </c>
      <c r="FG411" s="12" t="s">
        <v>37</v>
      </c>
      <c r="FI411" s="12" t="s">
        <v>37</v>
      </c>
      <c r="FJ411" s="12" t="s">
        <v>37</v>
      </c>
      <c r="FK411" s="12" t="s">
        <v>37</v>
      </c>
      <c r="FL411" s="12" t="s">
        <v>37</v>
      </c>
      <c r="FM411" s="12" t="s">
        <v>37</v>
      </c>
      <c r="FN411" s="12" t="s">
        <v>37</v>
      </c>
      <c r="FP411" s="12" t="s">
        <v>37</v>
      </c>
      <c r="FQ411" s="12" t="s">
        <v>37</v>
      </c>
      <c r="FR411" s="12" t="s">
        <v>37</v>
      </c>
      <c r="FS411" s="12" t="s">
        <v>37</v>
      </c>
      <c r="FT411" s="12" t="s">
        <v>37</v>
      </c>
      <c r="FU411" s="12" t="s">
        <v>37</v>
      </c>
      <c r="FW411" s="12" t="s">
        <v>37</v>
      </c>
      <c r="FX411" s="12" t="s">
        <v>37</v>
      </c>
      <c r="FY411" s="12" t="s">
        <v>37</v>
      </c>
      <c r="FZ411" s="12" t="s">
        <v>37</v>
      </c>
      <c r="GA411" s="12" t="s">
        <v>37</v>
      </c>
      <c r="GB411" s="12" t="s">
        <v>37</v>
      </c>
      <c r="GC411" s="12" t="s">
        <v>90</v>
      </c>
      <c r="GD411" s="12" t="s">
        <v>616</v>
      </c>
      <c r="GE411" s="12">
        <f>(28*("2002-10-31"-"2002-6-1")+46*("2002-12-31"-"2002-11-1"+"2002-5-31"-"2002-1-1"))/("2003-5-31"-"2002-6-1")</f>
        <v>38.230769230769234</v>
      </c>
      <c r="GF411" s="12">
        <f>(16*("2002-10-31"-"2002-6-1")+5.5*("2002-12-31"-"2002-11-1"+"2002-5-31"-"2002-1-1"))/("2003-5-31"-"2002-6-1")</f>
        <v>9.854395604395604</v>
      </c>
      <c r="GG411" s="13">
        <v>4</v>
      </c>
      <c r="GH411" s="19">
        <f t="shared" si="1491"/>
        <v>0.25776085081920092</v>
      </c>
      <c r="GI411" s="12">
        <f>(43*("2002-10-31"-"2002-6-1")+66*("2002-12-31"-"2002-11-1"+"2002-5-31"-"2002-1-1"))/("2003-5-31"-"2002-6-1")</f>
        <v>56.032967032967036</v>
      </c>
      <c r="GJ411" s="12">
        <f>(14*("2002-10-31"-"2002-6-1")+8.3*("2002-12-31"-"2002-11-1"+"2002-5-31"-"2002-1-1"))/("2003-5-31"-"2002-6-1")</f>
        <v>10.634615384615385</v>
      </c>
      <c r="GK411" s="13">
        <v>4</v>
      </c>
      <c r="GL411" s="19">
        <f t="shared" si="1492"/>
        <v>0.18979211610119631</v>
      </c>
      <c r="GM411" s="19">
        <f>LN(GI411/GE411)</f>
        <v>0.38229954590321369</v>
      </c>
      <c r="GN411" s="19">
        <f t="shared" si="1493"/>
        <v>2.561542588730208E-2</v>
      </c>
      <c r="GO411" s="12" t="s">
        <v>660</v>
      </c>
      <c r="GP411" s="12" t="s">
        <v>364</v>
      </c>
      <c r="GQ411" s="12">
        <f>(28.1*("2002-10-31"-"2002-6-1")+27*("2002-12-31"-"2002-11-1"+"2002-5-31"-"2002-1-1"))/("2003-5-31"-"2002-6-1")</f>
        <v>27.310989010989012</v>
      </c>
      <c r="GR411" s="12">
        <f>(1.1*("2002-10-31"-"2002-6-1")+0.9*("2002-12-31"-"2002-11-1"+"2002-5-31"-"2002-1-1"))/("2003-5-31"-"2002-6-1")</f>
        <v>0.97857142857142865</v>
      </c>
      <c r="GS411" s="13">
        <v>4</v>
      </c>
      <c r="GT411" s="19">
        <f t="shared" si="1494"/>
        <v>3.5830684424415567E-2</v>
      </c>
      <c r="GU411" s="12">
        <f>(29.8*("2002-10-31"-"2002-6-1")+29.5*("2002-12-31"-"2002-11-1"+"2002-5-31"-"2002-1-1"))/("2003-5-31"-"2002-6-1")</f>
        <v>29.463186813186812</v>
      </c>
      <c r="GV411" s="12">
        <f>(1.3*("2002-10-31"-"2002-6-1")+1.8*("2002-12-31"-"2002-11-1"+"2002-5-31"-"2002-1-1"))/("2003-5-31"-"2002-6-1")</f>
        <v>1.5813186813186815</v>
      </c>
      <c r="GW411" s="13">
        <v>4</v>
      </c>
      <c r="GX411" s="19">
        <f>GV411/GU411</f>
        <v>5.3670999384592438E-2</v>
      </c>
      <c r="GY411" s="19">
        <f t="shared" si="1495"/>
        <v>7.5852430353308437E-2</v>
      </c>
      <c r="GZ411" s="19">
        <f t="shared" si="1496"/>
        <v>1.0411035303157447E-3</v>
      </c>
      <c r="HA411" s="17" t="s">
        <v>63</v>
      </c>
      <c r="HB411" s="34" t="s">
        <v>330</v>
      </c>
      <c r="HC411" s="12">
        <v>0.14000000000000001</v>
      </c>
      <c r="HD411" s="50">
        <f>ABS(HC411)*HF$474</f>
        <v>2.4137644040508738E-2</v>
      </c>
      <c r="HE411" s="13">
        <v>4</v>
      </c>
      <c r="HG411" s="12">
        <v>0.3</v>
      </c>
      <c r="HH411" s="50">
        <f>ABS(HG411)*HJ$474</f>
        <v>3.3556355990131521E-2</v>
      </c>
      <c r="HI411" s="13">
        <v>4</v>
      </c>
      <c r="HK411" s="19">
        <f t="shared" si="1497"/>
        <v>0.76214005204689672</v>
      </c>
      <c r="HL411" s="19">
        <f t="shared" si="1498"/>
        <v>1.0559310702970771E-2</v>
      </c>
      <c r="HP411" s="12"/>
      <c r="HT411" s="12"/>
      <c r="IA411" s="12"/>
      <c r="IE411" s="12"/>
      <c r="IK411" s="12" t="s">
        <v>37</v>
      </c>
      <c r="IL411" s="12" t="s">
        <v>37</v>
      </c>
      <c r="IM411" s="12" t="s">
        <v>37</v>
      </c>
      <c r="IO411" s="12" t="s">
        <v>37</v>
      </c>
      <c r="IP411" s="12" t="s">
        <v>37</v>
      </c>
      <c r="IQ411" s="12" t="s">
        <v>37</v>
      </c>
      <c r="IV411" s="32" t="s">
        <v>330</v>
      </c>
      <c r="IW411" s="12">
        <v>5.2</v>
      </c>
      <c r="IX411" s="50">
        <f>ABS(IW411)*IZ$474</f>
        <v>0.19038626166572031</v>
      </c>
      <c r="IY411" s="13">
        <v>4</v>
      </c>
      <c r="JA411" s="12">
        <v>4.4000000000000004</v>
      </c>
      <c r="JB411" s="50">
        <f>ABS(JA411)*JD$474</f>
        <v>0.12323875865709215</v>
      </c>
      <c r="JC411" s="13">
        <v>4</v>
      </c>
      <c r="JE411" s="19">
        <f t="shared" si="1499"/>
        <v>-0.16705408466316621</v>
      </c>
      <c r="JF411" s="19">
        <f t="shared" si="1500"/>
        <v>5.312465730849806E-4</v>
      </c>
      <c r="JH411" s="12" t="s">
        <v>37</v>
      </c>
      <c r="JI411" s="12" t="s">
        <v>37</v>
      </c>
      <c r="JJ411" s="12" t="s">
        <v>37</v>
      </c>
      <c r="JL411" s="12" t="s">
        <v>37</v>
      </c>
      <c r="JM411" s="12" t="s">
        <v>37</v>
      </c>
      <c r="JN411" s="12" t="s">
        <v>37</v>
      </c>
      <c r="JS411" s="12" t="s">
        <v>37</v>
      </c>
      <c r="JT411" s="12" t="s">
        <v>37</v>
      </c>
      <c r="JU411" s="12" t="s">
        <v>37</v>
      </c>
      <c r="JW411" s="12" t="s">
        <v>37</v>
      </c>
      <c r="JX411" s="12" t="s">
        <v>37</v>
      </c>
      <c r="JY411" s="12" t="s">
        <v>37</v>
      </c>
      <c r="KE411" s="12" t="s">
        <v>37</v>
      </c>
      <c r="KF411" s="12" t="s">
        <v>37</v>
      </c>
      <c r="KG411" s="12" t="s">
        <v>37</v>
      </c>
      <c r="KH411" s="12" t="s">
        <v>37</v>
      </c>
      <c r="KI411" s="12" t="s">
        <v>37</v>
      </c>
      <c r="KJ411" s="12" t="s">
        <v>37</v>
      </c>
      <c r="KK411" s="12" t="s">
        <v>42</v>
      </c>
      <c r="KL411" s="32" t="s">
        <v>345</v>
      </c>
      <c r="KM411" s="12">
        <v>16.5</v>
      </c>
      <c r="KN411" s="50">
        <f>ABS(KM411)*KP$474</f>
        <v>1.9683351828501814</v>
      </c>
      <c r="KO411" s="11">
        <v>4</v>
      </c>
      <c r="KQ411" s="12">
        <v>13.6</v>
      </c>
      <c r="KR411" s="50">
        <f>ABS(KQ411)*KT$474</f>
        <v>1.4340306502934597</v>
      </c>
      <c r="KS411" s="13">
        <v>4</v>
      </c>
      <c r="KU411" s="19">
        <f t="shared" si="1501"/>
        <v>-0.19329058816452863</v>
      </c>
      <c r="KV411" s="19">
        <f t="shared" si="1502"/>
        <v>6.3372866721444921E-3</v>
      </c>
      <c r="KX411" s="12" t="s">
        <v>37</v>
      </c>
      <c r="KY411" s="12" t="s">
        <v>37</v>
      </c>
      <c r="KZ411" s="12" t="s">
        <v>37</v>
      </c>
      <c r="LB411" s="12" t="s">
        <v>37</v>
      </c>
      <c r="LC411" s="12" t="s">
        <v>37</v>
      </c>
      <c r="LD411" s="12" t="s">
        <v>37</v>
      </c>
      <c r="LI411" s="12" t="s">
        <v>37</v>
      </c>
      <c r="LJ411" s="12" t="s">
        <v>37</v>
      </c>
      <c r="LK411" s="12" t="s">
        <v>37</v>
      </c>
      <c r="LM411" s="12" t="s">
        <v>37</v>
      </c>
      <c r="LN411" s="12" t="s">
        <v>37</v>
      </c>
      <c r="LO411" s="12" t="s">
        <v>37</v>
      </c>
      <c r="LT411" s="12" t="str">
        <f t="shared" si="1503"/>
        <v>0-10</v>
      </c>
      <c r="LU411" s="12">
        <f>AT411/KM411</f>
        <v>35.030303030303031</v>
      </c>
      <c r="LV411" s="12">
        <f>SQRT((1/KM411)^2*AU411^2+AT411^2*(-1/KM411^2)^2*KN411^2)</f>
        <v>5.1419094318431258</v>
      </c>
      <c r="LW411" s="13">
        <f t="shared" si="1504"/>
        <v>4</v>
      </c>
      <c r="LY411" s="12">
        <f>AX411/KQ411</f>
        <v>40.882352941176471</v>
      </c>
      <c r="LZ411" s="12">
        <f>SQRT((1/KQ411)^2*AY411^2+AX411^2*(-1/KQ411^2)^2*KR411^2)</f>
        <v>5.1880572168469126</v>
      </c>
      <c r="MA411" s="13">
        <f t="shared" si="1505"/>
        <v>4</v>
      </c>
      <c r="MC411" s="19">
        <f t="shared" si="1506"/>
        <v>0.15448501374273341</v>
      </c>
      <c r="MD411" s="19">
        <f t="shared" si="1507"/>
        <v>9.4124675159297233E-3</v>
      </c>
      <c r="MF411" s="12" t="s">
        <v>37</v>
      </c>
      <c r="MG411" s="12" t="s">
        <v>37</v>
      </c>
      <c r="MH411" s="12" t="s">
        <v>37</v>
      </c>
      <c r="MJ411" s="12" t="s">
        <v>37</v>
      </c>
      <c r="MK411" s="12" t="s">
        <v>37</v>
      </c>
      <c r="ML411" s="12" t="s">
        <v>37</v>
      </c>
      <c r="MQ411" s="12" t="s">
        <v>37</v>
      </c>
      <c r="MR411" s="12" t="s">
        <v>37</v>
      </c>
      <c r="MS411" s="12" t="s">
        <v>37</v>
      </c>
      <c r="MU411" s="12" t="s">
        <v>37</v>
      </c>
      <c r="MV411" s="12" t="s">
        <v>37</v>
      </c>
      <c r="MW411" s="12" t="s">
        <v>37</v>
      </c>
      <c r="NA411" s="12" t="s">
        <v>45</v>
      </c>
      <c r="NB411" s="12" t="s">
        <v>345</v>
      </c>
      <c r="NC411" s="12">
        <f>AVERAGEA(129,511)</f>
        <v>320</v>
      </c>
      <c r="ND411" s="50">
        <f>ABS(NC411)*NF$474</f>
        <v>88.682220713515846</v>
      </c>
      <c r="NE411" s="13">
        <v>4</v>
      </c>
      <c r="NG411" s="12">
        <v>67</v>
      </c>
      <c r="NH411" s="50">
        <f>ABS(NG411)*NJ$474</f>
        <v>18.82653157196361</v>
      </c>
      <c r="NI411" s="13">
        <v>4</v>
      </c>
      <c r="NK411" s="19">
        <f t="shared" si="1508"/>
        <v>-1.5636283764028061</v>
      </c>
      <c r="NL411" s="19">
        <f t="shared" si="1509"/>
        <v>3.8939795716228014E-2</v>
      </c>
      <c r="NM411" s="12" t="s">
        <v>45</v>
      </c>
      <c r="NN411" s="12" t="s">
        <v>345</v>
      </c>
      <c r="NO411" s="12">
        <f>AVERAGEA(0.43,91)</f>
        <v>45.715000000000003</v>
      </c>
      <c r="NP411" s="50">
        <f>ABS(NO411)*NR$474</f>
        <v>38.156680543737288</v>
      </c>
      <c r="NQ411" s="13">
        <v>4</v>
      </c>
      <c r="NS411" s="12">
        <v>292</v>
      </c>
      <c r="NT411" s="50">
        <f>ABS(NS411)*NV$474</f>
        <v>170.24399316593644</v>
      </c>
      <c r="NU411" s="13">
        <v>4</v>
      </c>
      <c r="NW411" s="19">
        <f t="shared" si="1510"/>
        <v>1.8543273306518919</v>
      </c>
      <c r="NX411" s="19">
        <f t="shared" si="1511"/>
        <v>0.25914637198002682</v>
      </c>
      <c r="OA411" s="12" t="s">
        <v>37</v>
      </c>
      <c r="OB411" s="12" t="s">
        <v>37</v>
      </c>
      <c r="OC411" s="12" t="s">
        <v>37</v>
      </c>
      <c r="OD411" s="12"/>
      <c r="OE411" s="12" t="s">
        <v>37</v>
      </c>
      <c r="OF411" s="12" t="s">
        <v>37</v>
      </c>
      <c r="OG411" s="12" t="s">
        <v>37</v>
      </c>
      <c r="OH411" s="12"/>
      <c r="OI411" s="12"/>
      <c r="OJ411" s="12"/>
      <c r="OM411" s="12" t="s">
        <v>37</v>
      </c>
      <c r="ON411" s="12" t="s">
        <v>37</v>
      </c>
      <c r="OO411" s="12" t="s">
        <v>37</v>
      </c>
      <c r="OP411" s="12" t="s">
        <v>37</v>
      </c>
      <c r="OQ411" s="12" t="s">
        <v>37</v>
      </c>
      <c r="OR411" s="12" t="s">
        <v>37</v>
      </c>
      <c r="OS411" s="12"/>
      <c r="OT411" s="12"/>
      <c r="OW411" s="12" t="s">
        <v>37</v>
      </c>
      <c r="OX411" s="12" t="s">
        <v>37</v>
      </c>
      <c r="OY411" s="12" t="s">
        <v>37</v>
      </c>
      <c r="OZ411" s="12" t="s">
        <v>37</v>
      </c>
      <c r="PA411" s="12" t="s">
        <v>37</v>
      </c>
      <c r="PB411" s="12" t="s">
        <v>37</v>
      </c>
      <c r="PC411" s="12"/>
      <c r="PD411" s="12"/>
      <c r="PG411" s="12" t="s">
        <v>37</v>
      </c>
      <c r="PH411" s="12" t="s">
        <v>37</v>
      </c>
      <c r="PI411" s="12" t="s">
        <v>37</v>
      </c>
      <c r="PJ411" s="12" t="s">
        <v>37</v>
      </c>
      <c r="PK411" s="12" t="s">
        <v>37</v>
      </c>
      <c r="PL411" s="12" t="s">
        <v>37</v>
      </c>
      <c r="PM411" s="12"/>
      <c r="PN411" s="12"/>
      <c r="PQ411" s="12" t="s">
        <v>37</v>
      </c>
      <c r="PR411" s="12" t="s">
        <v>37</v>
      </c>
      <c r="PS411" s="12" t="s">
        <v>37</v>
      </c>
      <c r="PT411" s="12" t="s">
        <v>37</v>
      </c>
      <c r="PU411" s="12" t="s">
        <v>37</v>
      </c>
      <c r="PV411" s="12" t="s">
        <v>37</v>
      </c>
      <c r="PW411" s="12"/>
      <c r="PX411" s="12"/>
      <c r="PZ411" s="12" t="s">
        <v>37</v>
      </c>
      <c r="QA411" s="12" t="s">
        <v>37</v>
      </c>
      <c r="QB411" s="11" t="s">
        <v>37</v>
      </c>
      <c r="QD411" s="12" t="s">
        <v>37</v>
      </c>
      <c r="QE411" s="12" t="s">
        <v>37</v>
      </c>
      <c r="QF411" s="12" t="s">
        <v>37</v>
      </c>
      <c r="QK411" s="12" t="s">
        <v>37</v>
      </c>
      <c r="QL411" s="12" t="s">
        <v>37</v>
      </c>
      <c r="QM411" s="12" t="s">
        <v>37</v>
      </c>
      <c r="QN411" s="12" t="s">
        <v>37</v>
      </c>
      <c r="QO411" s="12" t="s">
        <v>37</v>
      </c>
      <c r="QP411" s="12" t="s">
        <v>37</v>
      </c>
      <c r="QQ411" s="12"/>
      <c r="QR411" s="12"/>
      <c r="QU411" s="12" t="s">
        <v>37</v>
      </c>
      <c r="QV411" s="12" t="s">
        <v>37</v>
      </c>
      <c r="QW411" s="12" t="s">
        <v>37</v>
      </c>
      <c r="QX411" s="12" t="s">
        <v>37</v>
      </c>
      <c r="QY411" s="12" t="s">
        <v>37</v>
      </c>
      <c r="QZ411" s="12" t="s">
        <v>37</v>
      </c>
      <c r="RC411" s="12" t="s">
        <v>37</v>
      </c>
      <c r="RD411" s="12" t="s">
        <v>37</v>
      </c>
      <c r="RE411" s="13" t="s">
        <v>37</v>
      </c>
      <c r="RF411" s="12" t="s">
        <v>37</v>
      </c>
      <c r="RG411" s="12" t="s">
        <v>37</v>
      </c>
      <c r="RH411" s="13" t="s">
        <v>37</v>
      </c>
      <c r="RK411" s="12" t="s">
        <v>37</v>
      </c>
      <c r="RL411" s="12" t="s">
        <v>37</v>
      </c>
      <c r="RM411" s="11" t="s">
        <v>37</v>
      </c>
      <c r="RN411" s="12" t="s">
        <v>37</v>
      </c>
      <c r="RO411" s="12" t="s">
        <v>37</v>
      </c>
      <c r="RP411" s="11" t="s">
        <v>37</v>
      </c>
      <c r="RS411" s="12" t="s">
        <v>37</v>
      </c>
      <c r="RT411" s="12" t="s">
        <v>37</v>
      </c>
      <c r="RU411" s="12" t="s">
        <v>37</v>
      </c>
      <c r="RV411" s="12" t="s">
        <v>37</v>
      </c>
      <c r="RW411" s="12" t="s">
        <v>37</v>
      </c>
      <c r="RX411" s="12" t="s">
        <v>37</v>
      </c>
      <c r="SA411" s="12" t="s">
        <v>37</v>
      </c>
      <c r="SB411" s="12" t="s">
        <v>37</v>
      </c>
      <c r="SC411" s="12" t="s">
        <v>37</v>
      </c>
      <c r="SD411" s="12" t="s">
        <v>37</v>
      </c>
      <c r="SE411" s="12" t="s">
        <v>37</v>
      </c>
      <c r="SF411" s="12" t="s">
        <v>37</v>
      </c>
      <c r="SI411" s="12" t="s">
        <v>37</v>
      </c>
      <c r="SJ411" s="12" t="s">
        <v>37</v>
      </c>
      <c r="SK411" s="13" t="s">
        <v>37</v>
      </c>
      <c r="SM411" s="12" t="s">
        <v>37</v>
      </c>
      <c r="SN411" s="12" t="s">
        <v>37</v>
      </c>
      <c r="SO411" s="13" t="s">
        <v>37</v>
      </c>
      <c r="SU411" s="12" t="s">
        <v>37</v>
      </c>
      <c r="SV411" s="12" t="s">
        <v>37</v>
      </c>
      <c r="SW411" s="11" t="s">
        <v>37</v>
      </c>
      <c r="SX411" s="12" t="s">
        <v>37</v>
      </c>
      <c r="SY411" s="12" t="s">
        <v>37</v>
      </c>
      <c r="SZ411" s="11" t="s">
        <v>37</v>
      </c>
      <c r="TE411" s="12" t="s">
        <v>37</v>
      </c>
      <c r="TF411" s="12" t="s">
        <v>37</v>
      </c>
      <c r="TG411" s="11" t="s">
        <v>37</v>
      </c>
      <c r="TH411" s="12" t="s">
        <v>37</v>
      </c>
      <c r="TI411" s="12" t="s">
        <v>37</v>
      </c>
      <c r="TJ411" s="11" t="s">
        <v>37</v>
      </c>
      <c r="TO411" s="12" t="s">
        <v>37</v>
      </c>
      <c r="TP411" s="12" t="s">
        <v>37</v>
      </c>
      <c r="TQ411" s="11" t="s">
        <v>37</v>
      </c>
      <c r="TR411" s="12" t="s">
        <v>37</v>
      </c>
      <c r="TS411" s="12" t="s">
        <v>37</v>
      </c>
      <c r="TT411" s="11" t="s">
        <v>37</v>
      </c>
      <c r="TY411" s="12" t="s">
        <v>37</v>
      </c>
      <c r="TZ411" s="12" t="s">
        <v>37</v>
      </c>
      <c r="UA411" s="12" t="s">
        <v>37</v>
      </c>
      <c r="UB411" s="12" t="s">
        <v>37</v>
      </c>
      <c r="UC411" s="12" t="s">
        <v>37</v>
      </c>
      <c r="UD411" s="12" t="s">
        <v>37</v>
      </c>
      <c r="UE411" s="12"/>
      <c r="UF411" s="12"/>
      <c r="UI411" s="12" t="s">
        <v>37</v>
      </c>
      <c r="UJ411" s="12" t="s">
        <v>37</v>
      </c>
      <c r="UK411" s="12" t="s">
        <v>37</v>
      </c>
      <c r="UL411" s="12" t="s">
        <v>37</v>
      </c>
      <c r="UM411" s="12" t="s">
        <v>37</v>
      </c>
      <c r="UN411" s="12" t="s">
        <v>37</v>
      </c>
      <c r="UO411" s="12"/>
      <c r="UP411" s="12"/>
      <c r="UR411" s="12" t="s">
        <v>37</v>
      </c>
      <c r="US411" s="12" t="s">
        <v>37</v>
      </c>
      <c r="UT411" s="12" t="s">
        <v>37</v>
      </c>
      <c r="UU411" s="12" t="s">
        <v>37</v>
      </c>
      <c r="UV411" s="12" t="s">
        <v>37</v>
      </c>
      <c r="UW411" s="12" t="s">
        <v>37</v>
      </c>
      <c r="UX411" s="12"/>
      <c r="UY411" s="12"/>
      <c r="VB411" s="12" t="s">
        <v>37</v>
      </c>
      <c r="VC411" s="12" t="s">
        <v>37</v>
      </c>
      <c r="VD411" s="12" t="s">
        <v>37</v>
      </c>
      <c r="VE411" s="12" t="s">
        <v>37</v>
      </c>
      <c r="VF411" s="12" t="s">
        <v>37</v>
      </c>
      <c r="VG411" s="12" t="s">
        <v>37</v>
      </c>
      <c r="VI411" s="12" t="s">
        <v>37</v>
      </c>
      <c r="VJ411" s="12" t="s">
        <v>37</v>
      </c>
      <c r="VK411" s="12" t="s">
        <v>37</v>
      </c>
      <c r="VL411" s="12" t="s">
        <v>37</v>
      </c>
      <c r="VM411" s="12" t="s">
        <v>37</v>
      </c>
      <c r="VN411" s="12" t="s">
        <v>37</v>
      </c>
      <c r="VQ411" s="13" t="s">
        <v>37</v>
      </c>
      <c r="VR411" s="13" t="s">
        <v>37</v>
      </c>
      <c r="VS411" s="13" t="s">
        <v>37</v>
      </c>
      <c r="VT411" s="13" t="s">
        <v>37</v>
      </c>
      <c r="VU411" s="13" t="s">
        <v>37</v>
      </c>
      <c r="VV411" s="13" t="s">
        <v>37</v>
      </c>
      <c r="WA411" s="13" t="s">
        <v>37</v>
      </c>
      <c r="WB411" s="13" t="s">
        <v>37</v>
      </c>
      <c r="WC411" s="13" t="s">
        <v>37</v>
      </c>
      <c r="WD411" s="13" t="s">
        <v>37</v>
      </c>
      <c r="WE411" s="13" t="s">
        <v>37</v>
      </c>
      <c r="WF411" s="13" t="s">
        <v>37</v>
      </c>
    </row>
    <row r="412" spans="1:606" ht="18" customHeight="1" x14ac:dyDescent="0.3">
      <c r="A412" s="11">
        <v>91</v>
      </c>
      <c r="B412" s="16" t="s">
        <v>629</v>
      </c>
      <c r="C412" s="12" t="s">
        <v>26</v>
      </c>
      <c r="D412" s="12" t="s">
        <v>973</v>
      </c>
      <c r="E412" s="40">
        <v>1</v>
      </c>
      <c r="F412" s="14">
        <v>0</v>
      </c>
      <c r="G412" s="14">
        <v>0</v>
      </c>
      <c r="H412" s="12" t="s">
        <v>82</v>
      </c>
      <c r="I412" s="29">
        <v>64.819999999999993</v>
      </c>
      <c r="J412" s="29">
        <v>-147.87</v>
      </c>
      <c r="K412" s="12" t="s">
        <v>636</v>
      </c>
      <c r="L412" s="12" t="s">
        <v>290</v>
      </c>
      <c r="M412" s="13" t="s">
        <v>37</v>
      </c>
      <c r="N412" s="14">
        <v>-2.9</v>
      </c>
      <c r="O412" s="14">
        <v>269</v>
      </c>
      <c r="P412" s="14" t="s">
        <v>84</v>
      </c>
      <c r="Q412" s="75">
        <f>2/12</f>
        <v>0.16666666666666666</v>
      </c>
      <c r="R412" s="11" t="s">
        <v>1000</v>
      </c>
      <c r="S412" s="12" t="s">
        <v>85</v>
      </c>
      <c r="T412" s="12" t="s">
        <v>138</v>
      </c>
      <c r="U412" s="12" t="s">
        <v>158</v>
      </c>
      <c r="V412" s="12" t="s">
        <v>275</v>
      </c>
      <c r="W412" s="23" t="s">
        <v>292</v>
      </c>
      <c r="X412" s="12" t="s">
        <v>281</v>
      </c>
      <c r="Y412" s="12" t="s">
        <v>37</v>
      </c>
      <c r="Z412" s="12" t="s">
        <v>37</v>
      </c>
      <c r="AA412" s="34" t="s">
        <v>372</v>
      </c>
      <c r="AB412" s="12">
        <v>5.3</v>
      </c>
      <c r="AC412" s="12" t="s">
        <v>42</v>
      </c>
      <c r="AD412" s="32" t="s">
        <v>372</v>
      </c>
      <c r="AE412" s="12">
        <v>410</v>
      </c>
      <c r="AH412" s="12" t="s">
        <v>37</v>
      </c>
      <c r="AK412" s="12" t="s">
        <v>37</v>
      </c>
      <c r="AL412" s="32" t="s">
        <v>546</v>
      </c>
      <c r="AM412" s="12" t="s">
        <v>317</v>
      </c>
      <c r="AN412" s="32" t="s">
        <v>892</v>
      </c>
      <c r="AO412" s="12" t="s">
        <v>318</v>
      </c>
      <c r="AP412" s="12" t="s">
        <v>167</v>
      </c>
      <c r="AQ412" s="12" t="s">
        <v>975</v>
      </c>
      <c r="AR412" s="12" t="s">
        <v>42</v>
      </c>
      <c r="AS412" s="32" t="s">
        <v>372</v>
      </c>
      <c r="AT412" s="12">
        <v>410</v>
      </c>
      <c r="AU412" s="50">
        <f>AT412*AW$474</f>
        <v>35.066129471862816</v>
      </c>
      <c r="AV412" s="13">
        <v>3</v>
      </c>
      <c r="AY412" s="50"/>
      <c r="BE412" s="12" t="s">
        <v>326</v>
      </c>
      <c r="BF412" s="12" t="s">
        <v>326</v>
      </c>
      <c r="BG412" s="12" t="s">
        <v>326</v>
      </c>
      <c r="BI412" s="12" t="s">
        <v>326</v>
      </c>
      <c r="BJ412" s="12" t="s">
        <v>326</v>
      </c>
      <c r="BK412" s="12" t="s">
        <v>326</v>
      </c>
      <c r="BP412" s="12" t="s">
        <v>37</v>
      </c>
      <c r="BQ412" s="12" t="s">
        <v>37</v>
      </c>
      <c r="BR412" s="12" t="s">
        <v>37</v>
      </c>
      <c r="BT412" s="12" t="s">
        <v>37</v>
      </c>
      <c r="BU412" s="12" t="s">
        <v>37</v>
      </c>
      <c r="BV412" s="12" t="s">
        <v>37</v>
      </c>
      <c r="BZ412" s="12" t="s">
        <v>47</v>
      </c>
      <c r="CA412" s="12">
        <f>-8822.12571428572*("2005/09/30"-"2005/06/01")/("2005/09/01"-"2005/07/20")/'[6]classess-1'!$T$102</f>
        <v>-27659.550451779181</v>
      </c>
      <c r="CB412" s="12">
        <f>1037.89714285712*("2005/09/30"-"2005/06/01")/("2005/09/01"-"2005/07/20")</f>
        <v>2920.5942857142213</v>
      </c>
      <c r="CC412" s="13">
        <v>3</v>
      </c>
      <c r="CD412" s="19">
        <f t="shared" ref="CD412:CD413" si="1513">CB412/ABS(CA412)</f>
        <v>0.10559080816609426</v>
      </c>
      <c r="CE412" s="12">
        <f>-6746.33142857143*("2005/09/30"-"2005/06/01")/("2005/09/01"-"2005/07/20")/'[6]classess-1'!$T$103</f>
        <v>-19692.259359339321</v>
      </c>
      <c r="CF412" s="12">
        <f>SQRT((1/[7]Classess!$T$103)^2*(518.948571428575*("2005/09/30"-"2005/06/01")/("2005/09/01"-"2005/07/20"))^2+(-CE412/([7]Classess!$T$103)^2)^2*([7]Classess!$U$103)^2)</f>
        <v>1592.4436015993197</v>
      </c>
      <c r="CG412" s="13">
        <v>3</v>
      </c>
      <c r="CH412" s="19">
        <f t="shared" ref="CH412:CH413" si="1514">CF412/ABS(CE412)</f>
        <v>8.0866475123083412E-2</v>
      </c>
      <c r="CI412" s="75">
        <f t="shared" ref="CI412:CI413" si="1515">CE412-CA412</f>
        <v>7967.2910924398602</v>
      </c>
      <c r="CJ412" s="12">
        <f t="shared" ref="CJ412:CJ413" si="1516">SQRT(((CC412-1)*CB412^2+(CG412-1)*CF412^2)/(CC412+CG412-2))</f>
        <v>2352.2061565710151</v>
      </c>
      <c r="CK412" s="72">
        <f t="shared" ref="CK412:CK413" si="1517">(((CC412+CG412)/(CC412*CG412))*(((CC412-1)*CB412^2)+(CG412-1)*CF412^2)/(CC412+CG412-2))</f>
        <v>3688582.5353403916</v>
      </c>
      <c r="CL412" s="72">
        <f t="shared" ref="CL412:CL413" si="1518">(CB412^2/CC412)+(CF412^2/CG412)</f>
        <v>3688582.5353403916</v>
      </c>
      <c r="CM412" s="12" t="s">
        <v>47</v>
      </c>
      <c r="CN412" s="12">
        <f>6882.89684210526*("2005/09/30"-"2005/06/01")/("2005/09/01"-"2005/07/20")/'[6]classess-1'!$I$102</f>
        <v>26436.559507179623</v>
      </c>
      <c r="CO412" s="12">
        <f>SQRT((1/[7]Classess!$I$102)^2*(573.574736842113*("2005/09/30"-"2005/06/01")/("2005/09/01"-"2005/07/20"))^2+(-CN412/([7]Classess!$I$102)^2)^2*([7]Classess!$J$102)^2)</f>
        <v>3571.7210373879325</v>
      </c>
      <c r="CP412" s="13">
        <v>3</v>
      </c>
      <c r="CQ412" s="19">
        <f t="shared" ref="CQ412:CQ413" si="1519">CO412/ABS(CN412)</f>
        <v>0.13510536559864861</v>
      </c>
      <c r="CR412" s="12">
        <f>6309.32210526316*("2005/09/30"-"2005/06/01")/("2005/09/01"-"2005/07/20")/'[6]classess-1'!$I$103</f>
        <v>20646.170885257681</v>
      </c>
      <c r="CS412" s="12">
        <f>SQRT((1/[7]Classess!$I$103)^2*(286.787368421039*("2005/09/30"-"2005/06/01")/("2005/09/01"-"2005/07/20"))^2+(-CR412/([7]Classess!$I$94)^2)^2*([7]Classess!$J$103)^2)</f>
        <v>1492.9781828658879</v>
      </c>
      <c r="CT412" s="13">
        <v>3</v>
      </c>
      <c r="CU412" s="19">
        <f t="shared" ref="CU412:CU413" si="1520">CS412/ABS(CR412)</f>
        <v>7.2312594483655235E-2</v>
      </c>
      <c r="CV412" s="75">
        <f>CR412-CN412</f>
        <v>-5790.3886219219421</v>
      </c>
      <c r="CW412" s="12">
        <f t="shared" ref="CW412:CW413" si="1521">SQRT(((CP412-1)*CO412^2+(CT412-1)*CS412^2)/(CP412+CT412-2))</f>
        <v>2737.3504546762965</v>
      </c>
      <c r="CX412" s="72">
        <f t="shared" ref="CX412:CX413" si="1522">(((CP412+CT412)/(CP412*CT412))*(((CP412-1)*CO412^2)+(CT412-1)*CS412^2)/(CP412+CT412-2))</f>
        <v>4995391.6744776852</v>
      </c>
      <c r="CY412" s="72">
        <f t="shared" ref="CY412:CY413" si="1523">(CO412^2/CP412)+(CS412^2/CT412)</f>
        <v>4995391.6744776852</v>
      </c>
      <c r="CZ412" s="12" t="s">
        <v>47</v>
      </c>
      <c r="DA412" s="12">
        <f>CA412+CN412</f>
        <v>-1222.9909445995581</v>
      </c>
      <c r="DB412" s="12">
        <f>SQRT((1/[7]Classess!$I$43)^2*(341.57659701493)^2+(-DA412/([7]Classess!$I$43)^2)^2*([7]Classess!$J$43)^2)</f>
        <v>291.56979829815799</v>
      </c>
      <c r="DC412" s="13">
        <v>3</v>
      </c>
      <c r="DD412" s="19">
        <f t="shared" ref="DD412:DD413" si="1524">DB412/ABS(DA412)</f>
        <v>0.23840716040103321</v>
      </c>
      <c r="DE412" s="12">
        <f t="shared" ref="DE412:DE413" si="1525">CE412+CR412</f>
        <v>953.91152591835998</v>
      </c>
      <c r="DF412" s="12">
        <f>SQRT((1/[7]Classess!$I$44)^2*(341.576597014926)^2+(-DE412/([7]Classess!$I$44)^2)^2*([7]Classess!$J$44)^2)</f>
        <v>1166.1567239388746</v>
      </c>
      <c r="DG412" s="13">
        <v>3</v>
      </c>
      <c r="DH412" s="19">
        <f t="shared" ref="DH412:DH425" si="1526">DF412/ABS(DE412)</f>
        <v>1.2224998778751306</v>
      </c>
      <c r="DI412" s="19">
        <f t="shared" ref="DI412:DI413" si="1527">DE412-DA412</f>
        <v>2176.9024705179181</v>
      </c>
      <c r="DJ412" s="12">
        <f t="shared" ref="DJ412:DJ413" si="1528">SQRT(((DC412-1)*DB412^2+(DG412-1)*DF412^2)/(DC412+DG412-2))</f>
        <v>849.98072097768113</v>
      </c>
      <c r="DK412" s="72">
        <f t="shared" ref="DK412:DK413" si="1529">(((DC412+DG412)/(DC412*DG412))*(((DC412-1)*DB412^2)+(DG412-1)*DF412^2)/(DC412+DG412-2))</f>
        <v>481644.81735582568</v>
      </c>
      <c r="DL412" s="72">
        <f t="shared" ref="DL412:DL413" si="1530">(DB412^2/DC412)+(DF412^2/DG412)</f>
        <v>481644.81735582574</v>
      </c>
      <c r="DN412" s="19" t="s">
        <v>37</v>
      </c>
      <c r="DO412" s="12" t="s">
        <v>37</v>
      </c>
      <c r="DP412" s="13" t="s">
        <v>37</v>
      </c>
      <c r="DR412" s="19" t="s">
        <v>37</v>
      </c>
      <c r="DS412" s="12" t="s">
        <v>37</v>
      </c>
      <c r="DT412" s="13" t="s">
        <v>37</v>
      </c>
      <c r="EA412" s="19" t="s">
        <v>37</v>
      </c>
      <c r="EB412" s="19" t="s">
        <v>37</v>
      </c>
      <c r="EC412" s="72" t="s">
        <v>37</v>
      </c>
      <c r="EE412" s="19" t="s">
        <v>37</v>
      </c>
      <c r="EF412" s="19" t="s">
        <v>37</v>
      </c>
      <c r="EG412" s="12" t="s">
        <v>37</v>
      </c>
      <c r="EM412" s="12" t="s">
        <v>39</v>
      </c>
      <c r="EN412" s="12">
        <v>-8.1</v>
      </c>
      <c r="EO412" s="12">
        <v>1.2</v>
      </c>
      <c r="EP412" s="13">
        <v>3</v>
      </c>
      <c r="EQ412" s="19">
        <f t="shared" si="1460"/>
        <v>0.14814814814814814</v>
      </c>
      <c r="ER412" s="12">
        <v>-13.1</v>
      </c>
      <c r="ES412" s="12">
        <v>0.8</v>
      </c>
      <c r="ET412" s="13">
        <v>3</v>
      </c>
      <c r="EU412" s="19">
        <f t="shared" si="1461"/>
        <v>6.106870229007634E-2</v>
      </c>
      <c r="EV412" s="19">
        <f t="shared" ref="EV412:EV418" si="1531">ER412-EN412</f>
        <v>-5</v>
      </c>
      <c r="EW412" s="12">
        <f t="shared" ref="EW412:EW419" si="1532">SQRT(((EP412-1)*EO412^2+(ET412-1)*ES412^2)/(EP412+ET412-2))</f>
        <v>1.019803902718557</v>
      </c>
      <c r="EX412" s="19">
        <f t="shared" ref="EX412:EX419" si="1533">(((EP412+ET412)/(EP412*ET412))*(((EP412-1)*EO412^2)+(ET412-1)*ES412^2)/(EP412+ET412-2))</f>
        <v>0.69333333333333336</v>
      </c>
      <c r="EY412" s="19">
        <f t="shared" ref="EY412:EY419" si="1534">(EO412^2/EP412)+(ES412^2/ET412)</f>
        <v>0.69333333333333336</v>
      </c>
      <c r="FB412" s="12" t="s">
        <v>37</v>
      </c>
      <c r="FC412" s="12" t="s">
        <v>37</v>
      </c>
      <c r="FD412" s="11" t="s">
        <v>37</v>
      </c>
      <c r="FE412" s="12" t="s">
        <v>37</v>
      </c>
      <c r="FF412" s="20" t="s">
        <v>37</v>
      </c>
      <c r="FG412" s="11" t="s">
        <v>37</v>
      </c>
      <c r="FI412" s="12" t="s">
        <v>37</v>
      </c>
      <c r="FJ412" s="12" t="s">
        <v>37</v>
      </c>
      <c r="FK412" s="11" t="s">
        <v>37</v>
      </c>
      <c r="FL412" s="13" t="s">
        <v>37</v>
      </c>
      <c r="FM412" s="11" t="s">
        <v>37</v>
      </c>
      <c r="FN412" s="11" t="s">
        <v>37</v>
      </c>
      <c r="FP412" s="12" t="s">
        <v>37</v>
      </c>
      <c r="FQ412" s="12" t="s">
        <v>37</v>
      </c>
      <c r="FR412" s="11" t="s">
        <v>37</v>
      </c>
      <c r="FS412" s="13" t="s">
        <v>37</v>
      </c>
      <c r="FT412" s="11" t="s">
        <v>37</v>
      </c>
      <c r="FU412" s="11" t="s">
        <v>37</v>
      </c>
      <c r="FW412" s="12" t="s">
        <v>37</v>
      </c>
      <c r="FX412" s="12" t="s">
        <v>37</v>
      </c>
      <c r="FY412" s="11" t="s">
        <v>37</v>
      </c>
      <c r="FZ412" s="13" t="s">
        <v>37</v>
      </c>
      <c r="GA412" s="11" t="s">
        <v>37</v>
      </c>
      <c r="GB412" s="11" t="s">
        <v>37</v>
      </c>
      <c r="GO412" s="12" t="s">
        <v>660</v>
      </c>
      <c r="GP412" s="12" t="s">
        <v>330</v>
      </c>
      <c r="GQ412" s="12">
        <v>12.5</v>
      </c>
      <c r="GR412" s="12">
        <v>0.1</v>
      </c>
      <c r="GS412" s="13">
        <v>3</v>
      </c>
      <c r="GT412" s="19">
        <f t="shared" si="1494"/>
        <v>8.0000000000000002E-3</v>
      </c>
      <c r="GU412" s="12">
        <v>12.5</v>
      </c>
      <c r="GV412" s="12">
        <v>0.1</v>
      </c>
      <c r="GW412" s="13">
        <v>3</v>
      </c>
      <c r="GX412" s="19">
        <f t="shared" ref="GX412:GX414" si="1535">GV412/GU412</f>
        <v>8.0000000000000002E-3</v>
      </c>
      <c r="GY412" s="19">
        <f t="shared" si="1495"/>
        <v>0</v>
      </c>
      <c r="GZ412" s="19">
        <f t="shared" si="1496"/>
        <v>4.2666666666666676E-5</v>
      </c>
      <c r="HA412" s="17" t="s">
        <v>63</v>
      </c>
      <c r="HB412" s="34" t="s">
        <v>372</v>
      </c>
      <c r="HC412" s="12">
        <v>0.09</v>
      </c>
      <c r="HD412" s="50">
        <f>ABS(HC412)*HF$474</f>
        <v>1.5517056883184187E-2</v>
      </c>
      <c r="HE412" s="13">
        <v>3</v>
      </c>
      <c r="IK412" s="12" t="s">
        <v>37</v>
      </c>
      <c r="IL412" s="12" t="s">
        <v>37</v>
      </c>
      <c r="IM412" s="12" t="s">
        <v>37</v>
      </c>
      <c r="IO412" s="12" t="s">
        <v>37</v>
      </c>
      <c r="IP412" s="12" t="s">
        <v>37</v>
      </c>
      <c r="IQ412" s="12" t="s">
        <v>37</v>
      </c>
      <c r="IV412" s="34" t="s">
        <v>372</v>
      </c>
      <c r="IW412" s="12">
        <v>5.3</v>
      </c>
      <c r="IX412" s="50">
        <f>ABS(IW412)*IZ$474</f>
        <v>0.19404753592852261</v>
      </c>
      <c r="IY412" s="13">
        <v>4</v>
      </c>
      <c r="JH412" s="12" t="s">
        <v>37</v>
      </c>
      <c r="JI412" s="12" t="s">
        <v>37</v>
      </c>
      <c r="JJ412" s="13" t="s">
        <v>37</v>
      </c>
      <c r="JL412" s="12" t="s">
        <v>37</v>
      </c>
      <c r="JM412" s="12" t="s">
        <v>37</v>
      </c>
      <c r="JN412" s="12" t="s">
        <v>37</v>
      </c>
      <c r="JS412" s="12" t="s">
        <v>37</v>
      </c>
      <c r="JT412" s="12" t="s">
        <v>37</v>
      </c>
      <c r="JU412" s="13" t="s">
        <v>37</v>
      </c>
      <c r="JW412" s="12" t="s">
        <v>37</v>
      </c>
      <c r="JX412" s="12" t="s">
        <v>37</v>
      </c>
      <c r="JY412" s="12" t="s">
        <v>37</v>
      </c>
      <c r="KE412" s="12" t="s">
        <v>37</v>
      </c>
      <c r="KF412" s="12" t="s">
        <v>37</v>
      </c>
      <c r="KG412" s="13" t="s">
        <v>37</v>
      </c>
      <c r="KH412" s="12" t="s">
        <v>37</v>
      </c>
      <c r="KI412" s="12" t="s">
        <v>37</v>
      </c>
      <c r="KJ412" s="12" t="s">
        <v>37</v>
      </c>
      <c r="KM412" s="12" t="s">
        <v>37</v>
      </c>
      <c r="KN412" s="12" t="s">
        <v>37</v>
      </c>
      <c r="KO412" s="11" t="s">
        <v>37</v>
      </c>
      <c r="KQ412" s="12" t="s">
        <v>37</v>
      </c>
      <c r="KR412" s="12" t="s">
        <v>37</v>
      </c>
      <c r="KS412" s="12" t="s">
        <v>37</v>
      </c>
      <c r="KX412" s="12" t="s">
        <v>37</v>
      </c>
      <c r="KY412" s="12" t="s">
        <v>37</v>
      </c>
      <c r="KZ412" s="13" t="s">
        <v>37</v>
      </c>
      <c r="LB412" s="12" t="s">
        <v>37</v>
      </c>
      <c r="LC412" s="12" t="s">
        <v>37</v>
      </c>
      <c r="LD412" s="13" t="s">
        <v>37</v>
      </c>
      <c r="LI412" s="12" t="s">
        <v>37</v>
      </c>
      <c r="LJ412" s="12" t="s">
        <v>37</v>
      </c>
      <c r="LK412" s="12" t="s">
        <v>37</v>
      </c>
      <c r="LM412" s="12" t="s">
        <v>37</v>
      </c>
      <c r="LN412" s="12" t="s">
        <v>37</v>
      </c>
      <c r="LO412" s="12" t="s">
        <v>37</v>
      </c>
      <c r="LU412" s="12" t="s">
        <v>37</v>
      </c>
      <c r="LV412" s="12" t="s">
        <v>37</v>
      </c>
      <c r="LW412" s="13" t="s">
        <v>37</v>
      </c>
      <c r="LY412" s="12" t="s">
        <v>37</v>
      </c>
      <c r="LZ412" s="12" t="s">
        <v>37</v>
      </c>
      <c r="MA412" s="12" t="s">
        <v>37</v>
      </c>
      <c r="MF412" s="12" t="s">
        <v>37</v>
      </c>
      <c r="MG412" s="12" t="s">
        <v>37</v>
      </c>
      <c r="MH412" s="12" t="s">
        <v>37</v>
      </c>
      <c r="MJ412" s="12" t="s">
        <v>37</v>
      </c>
      <c r="MK412" s="12" t="s">
        <v>37</v>
      </c>
      <c r="ML412" s="12" t="s">
        <v>37</v>
      </c>
      <c r="MQ412" s="12" t="s">
        <v>37</v>
      </c>
      <c r="MR412" s="12" t="s">
        <v>37</v>
      </c>
      <c r="MS412" s="12" t="s">
        <v>37</v>
      </c>
      <c r="MU412" s="12" t="s">
        <v>37</v>
      </c>
      <c r="MV412" s="12" t="s">
        <v>37</v>
      </c>
      <c r="MW412" s="12" t="s">
        <v>37</v>
      </c>
      <c r="NC412" s="12" t="s">
        <v>37</v>
      </c>
      <c r="ND412" s="12" t="s">
        <v>37</v>
      </c>
      <c r="NE412" s="12" t="s">
        <v>37</v>
      </c>
      <c r="NG412" s="12" t="s">
        <v>37</v>
      </c>
      <c r="NH412" s="12" t="s">
        <v>37</v>
      </c>
      <c r="NI412" s="12" t="s">
        <v>37</v>
      </c>
      <c r="NO412" s="12" t="s">
        <v>37</v>
      </c>
      <c r="NP412" s="12" t="s">
        <v>37</v>
      </c>
      <c r="NQ412" s="12" t="s">
        <v>37</v>
      </c>
      <c r="NS412" s="12" t="s">
        <v>37</v>
      </c>
      <c r="NT412" s="12" t="s">
        <v>37</v>
      </c>
      <c r="NU412" s="12" t="s">
        <v>37</v>
      </c>
      <c r="OA412" s="12" t="s">
        <v>37</v>
      </c>
      <c r="OB412" s="12" t="s">
        <v>37</v>
      </c>
      <c r="OC412" s="12" t="s">
        <v>37</v>
      </c>
      <c r="OD412" s="12"/>
      <c r="OE412" s="12" t="s">
        <v>37</v>
      </c>
      <c r="OF412" s="12" t="s">
        <v>37</v>
      </c>
      <c r="OG412" s="12" t="s">
        <v>37</v>
      </c>
      <c r="OH412" s="12"/>
      <c r="OI412" s="12"/>
      <c r="OJ412" s="12"/>
      <c r="OM412" s="12" t="s">
        <v>37</v>
      </c>
      <c r="ON412" s="12" t="s">
        <v>37</v>
      </c>
      <c r="OO412" s="12" t="s">
        <v>37</v>
      </c>
      <c r="OP412" s="12" t="s">
        <v>37</v>
      </c>
      <c r="OQ412" s="12" t="s">
        <v>37</v>
      </c>
      <c r="OR412" s="12" t="s">
        <v>37</v>
      </c>
      <c r="OS412" s="12"/>
      <c r="OT412" s="12"/>
      <c r="OW412" s="12" t="s">
        <v>37</v>
      </c>
      <c r="OX412" s="12" t="s">
        <v>37</v>
      </c>
      <c r="OY412" s="13" t="s">
        <v>37</v>
      </c>
      <c r="OZ412" s="12" t="s">
        <v>37</v>
      </c>
      <c r="PA412" s="12" t="s">
        <v>37</v>
      </c>
      <c r="PB412" s="13" t="s">
        <v>37</v>
      </c>
      <c r="PG412" s="11" t="s">
        <v>37</v>
      </c>
      <c r="PH412" s="11" t="s">
        <v>37</v>
      </c>
      <c r="PI412" s="13" t="s">
        <v>37</v>
      </c>
      <c r="PJ412" s="11" t="s">
        <v>37</v>
      </c>
      <c r="PK412" s="11" t="s">
        <v>37</v>
      </c>
      <c r="PL412" s="13" t="s">
        <v>37</v>
      </c>
      <c r="PQ412" s="12" t="s">
        <v>37</v>
      </c>
      <c r="PR412" s="12" t="s">
        <v>37</v>
      </c>
      <c r="PS412" s="12" t="s">
        <v>37</v>
      </c>
      <c r="PT412" s="12" t="s">
        <v>37</v>
      </c>
      <c r="PU412" s="12" t="s">
        <v>37</v>
      </c>
      <c r="PV412" s="12" t="s">
        <v>37</v>
      </c>
      <c r="PW412" s="12"/>
      <c r="PX412" s="12"/>
      <c r="PZ412" s="12" t="s">
        <v>37</v>
      </c>
      <c r="QA412" s="12" t="s">
        <v>37</v>
      </c>
      <c r="QB412" s="11" t="s">
        <v>37</v>
      </c>
      <c r="QD412" s="12" t="s">
        <v>37</v>
      </c>
      <c r="QE412" s="12" t="s">
        <v>37</v>
      </c>
      <c r="QF412" s="12" t="s">
        <v>37</v>
      </c>
      <c r="QK412" s="12" t="s">
        <v>37</v>
      </c>
      <c r="QL412" s="12" t="s">
        <v>37</v>
      </c>
      <c r="QM412" s="12" t="s">
        <v>37</v>
      </c>
      <c r="QN412" s="12" t="s">
        <v>37</v>
      </c>
      <c r="QO412" s="12" t="s">
        <v>37</v>
      </c>
      <c r="QP412" s="12" t="s">
        <v>37</v>
      </c>
      <c r="QQ412" s="12"/>
      <c r="QR412" s="12"/>
      <c r="QU412" s="12" t="s">
        <v>37</v>
      </c>
      <c r="QV412" s="12" t="s">
        <v>37</v>
      </c>
      <c r="QW412" s="12" t="s">
        <v>37</v>
      </c>
      <c r="QX412" s="12" t="s">
        <v>37</v>
      </c>
      <c r="QY412" s="12" t="s">
        <v>37</v>
      </c>
      <c r="QZ412" s="12" t="s">
        <v>37</v>
      </c>
      <c r="RC412" s="12" t="s">
        <v>37</v>
      </c>
      <c r="RD412" s="12" t="s">
        <v>37</v>
      </c>
      <c r="RE412" s="13" t="s">
        <v>37</v>
      </c>
      <c r="RF412" s="12" t="s">
        <v>37</v>
      </c>
      <c r="RG412" s="12" t="s">
        <v>37</v>
      </c>
      <c r="RH412" s="13" t="s">
        <v>37</v>
      </c>
      <c r="RK412" s="12" t="s">
        <v>37</v>
      </c>
      <c r="RL412" s="12" t="s">
        <v>37</v>
      </c>
      <c r="RM412" s="11" t="s">
        <v>37</v>
      </c>
      <c r="RN412" s="12" t="s">
        <v>37</v>
      </c>
      <c r="RO412" s="12" t="s">
        <v>37</v>
      </c>
      <c r="RP412" s="11" t="s">
        <v>37</v>
      </c>
      <c r="RS412" s="12" t="s">
        <v>37</v>
      </c>
      <c r="RT412" s="12" t="s">
        <v>37</v>
      </c>
      <c r="RU412" s="12" t="s">
        <v>37</v>
      </c>
      <c r="RV412" s="12" t="s">
        <v>37</v>
      </c>
      <c r="RW412" s="12" t="s">
        <v>37</v>
      </c>
      <c r="RX412" s="12" t="s">
        <v>37</v>
      </c>
      <c r="SA412" s="12" t="s">
        <v>37</v>
      </c>
      <c r="SB412" s="12" t="s">
        <v>37</v>
      </c>
      <c r="SC412" s="12" t="s">
        <v>37</v>
      </c>
      <c r="SD412" s="12" t="s">
        <v>37</v>
      </c>
      <c r="SE412" s="12" t="s">
        <v>37</v>
      </c>
      <c r="SF412" s="12" t="s">
        <v>37</v>
      </c>
      <c r="SI412" s="12" t="s">
        <v>37</v>
      </c>
      <c r="SJ412" s="12" t="s">
        <v>37</v>
      </c>
      <c r="SK412" s="13" t="s">
        <v>37</v>
      </c>
      <c r="SM412" s="12" t="s">
        <v>37</v>
      </c>
      <c r="SN412" s="12" t="s">
        <v>37</v>
      </c>
      <c r="SO412" s="13" t="s">
        <v>37</v>
      </c>
      <c r="SU412" s="12" t="s">
        <v>37</v>
      </c>
      <c r="SV412" s="12" t="s">
        <v>37</v>
      </c>
      <c r="SW412" s="11" t="s">
        <v>37</v>
      </c>
      <c r="SX412" s="12" t="s">
        <v>37</v>
      </c>
      <c r="SY412" s="12" t="s">
        <v>37</v>
      </c>
      <c r="SZ412" s="11" t="s">
        <v>37</v>
      </c>
      <c r="TE412" s="12" t="s">
        <v>37</v>
      </c>
      <c r="TF412" s="12" t="s">
        <v>37</v>
      </c>
      <c r="TG412" s="11" t="s">
        <v>37</v>
      </c>
      <c r="TH412" s="12" t="s">
        <v>37</v>
      </c>
      <c r="TI412" s="12" t="s">
        <v>37</v>
      </c>
      <c r="TJ412" s="11" t="s">
        <v>37</v>
      </c>
      <c r="TO412" s="12" t="s">
        <v>37</v>
      </c>
      <c r="TP412" s="12" t="s">
        <v>37</v>
      </c>
      <c r="TQ412" s="11" t="s">
        <v>37</v>
      </c>
      <c r="TR412" s="12" t="s">
        <v>37</v>
      </c>
      <c r="TS412" s="12" t="s">
        <v>37</v>
      </c>
      <c r="TT412" s="11" t="s">
        <v>37</v>
      </c>
      <c r="TY412" s="12" t="s">
        <v>37</v>
      </c>
      <c r="TZ412" s="12" t="s">
        <v>37</v>
      </c>
      <c r="UA412" s="12" t="s">
        <v>37</v>
      </c>
      <c r="UB412" s="12" t="s">
        <v>37</v>
      </c>
      <c r="UC412" s="12" t="s">
        <v>37</v>
      </c>
      <c r="UD412" s="12" t="s">
        <v>37</v>
      </c>
      <c r="UE412" s="12"/>
      <c r="UF412" s="12"/>
      <c r="UI412" s="12" t="s">
        <v>37</v>
      </c>
      <c r="UJ412" s="12" t="s">
        <v>37</v>
      </c>
      <c r="UK412" s="12" t="s">
        <v>37</v>
      </c>
      <c r="UL412" s="12" t="s">
        <v>37</v>
      </c>
      <c r="UM412" s="12" t="s">
        <v>37</v>
      </c>
      <c r="UN412" s="12" t="s">
        <v>37</v>
      </c>
      <c r="UO412" s="12"/>
      <c r="UP412" s="12"/>
      <c r="UR412" s="12" t="s">
        <v>37</v>
      </c>
      <c r="US412" s="12" t="s">
        <v>37</v>
      </c>
      <c r="UT412" s="12" t="s">
        <v>37</v>
      </c>
      <c r="UU412" s="12" t="s">
        <v>37</v>
      </c>
      <c r="UV412" s="12" t="s">
        <v>37</v>
      </c>
      <c r="UW412" s="12" t="s">
        <v>37</v>
      </c>
      <c r="UX412" s="12"/>
      <c r="UY412" s="12"/>
      <c r="VB412" s="12" t="s">
        <v>37</v>
      </c>
      <c r="VC412" s="12" t="s">
        <v>37</v>
      </c>
      <c r="VD412" s="12" t="s">
        <v>37</v>
      </c>
      <c r="VE412" s="12" t="s">
        <v>37</v>
      </c>
      <c r="VF412" s="12" t="s">
        <v>37</v>
      </c>
      <c r="VG412" s="12" t="s">
        <v>37</v>
      </c>
      <c r="VI412" s="12" t="s">
        <v>37</v>
      </c>
      <c r="VJ412" s="12" t="s">
        <v>37</v>
      </c>
      <c r="VK412" s="12" t="s">
        <v>37</v>
      </c>
      <c r="VL412" s="12" t="s">
        <v>37</v>
      </c>
      <c r="VM412" s="12" t="s">
        <v>37</v>
      </c>
      <c r="VN412" s="12" t="s">
        <v>37</v>
      </c>
      <c r="VO412" s="12" t="s">
        <v>293</v>
      </c>
      <c r="VP412" s="12" t="s">
        <v>330</v>
      </c>
      <c r="VQ412" s="12">
        <v>19.934210526315798</v>
      </c>
      <c r="VR412" s="12">
        <v>6.6839644587943985</v>
      </c>
      <c r="VS412" s="13">
        <v>6</v>
      </c>
      <c r="VT412" s="12">
        <v>11.118421052631581</v>
      </c>
      <c r="VU412" s="12">
        <v>2.4508234666780773</v>
      </c>
      <c r="VV412" s="13">
        <v>6</v>
      </c>
      <c r="VW412" s="19">
        <f>LN(VT412/VQ412)</f>
        <v>-0.58383409058629587</v>
      </c>
      <c r="VX412" s="19">
        <f>VU412^2/(VV412*VT412^2)+VR412^2/(VS412*VQ412^2)</f>
        <v>2.6835978538749906E-2</v>
      </c>
      <c r="WA412" s="13" t="s">
        <v>37</v>
      </c>
      <c r="WB412" s="13" t="s">
        <v>37</v>
      </c>
      <c r="WC412" s="13" t="s">
        <v>37</v>
      </c>
      <c r="WD412" s="13" t="s">
        <v>37</v>
      </c>
      <c r="WE412" s="13" t="s">
        <v>37</v>
      </c>
      <c r="WF412" s="13" t="s">
        <v>37</v>
      </c>
    </row>
    <row r="413" spans="1:606" ht="18" customHeight="1" x14ac:dyDescent="0.3">
      <c r="A413" s="11">
        <v>91</v>
      </c>
      <c r="B413" s="16" t="s">
        <v>629</v>
      </c>
      <c r="C413" s="12" t="s">
        <v>26</v>
      </c>
      <c r="D413" s="12" t="s">
        <v>973</v>
      </c>
      <c r="E413" s="40">
        <v>1</v>
      </c>
      <c r="F413" s="14">
        <v>0</v>
      </c>
      <c r="G413" s="14">
        <v>0</v>
      </c>
      <c r="H413" s="12" t="s">
        <v>82</v>
      </c>
      <c r="I413" s="29">
        <v>64.819999999999993</v>
      </c>
      <c r="J413" s="29">
        <v>-147.87</v>
      </c>
      <c r="K413" s="12" t="s">
        <v>289</v>
      </c>
      <c r="L413" s="12" t="s">
        <v>290</v>
      </c>
      <c r="M413" s="13" t="s">
        <v>37</v>
      </c>
      <c r="N413" s="14">
        <v>-2.9</v>
      </c>
      <c r="O413" s="14">
        <v>269</v>
      </c>
      <c r="P413" s="14" t="s">
        <v>84</v>
      </c>
      <c r="Q413" s="75">
        <f>14/12</f>
        <v>1.1666666666666667</v>
      </c>
      <c r="R413" s="11" t="s">
        <v>1000</v>
      </c>
      <c r="S413" s="12" t="s">
        <v>85</v>
      </c>
      <c r="T413" s="12" t="s">
        <v>138</v>
      </c>
      <c r="U413" s="12" t="s">
        <v>158</v>
      </c>
      <c r="V413" s="12" t="s">
        <v>275</v>
      </c>
      <c r="W413" s="23" t="s">
        <v>292</v>
      </c>
      <c r="X413" s="12" t="s">
        <v>281</v>
      </c>
      <c r="Y413" s="12" t="s">
        <v>37</v>
      </c>
      <c r="Z413" s="12" t="s">
        <v>37</v>
      </c>
      <c r="AA413" s="34" t="s">
        <v>372</v>
      </c>
      <c r="AB413" s="12">
        <v>5.3</v>
      </c>
      <c r="AC413" s="12" t="s">
        <v>42</v>
      </c>
      <c r="AD413" s="32" t="s">
        <v>372</v>
      </c>
      <c r="AE413" s="12">
        <v>410</v>
      </c>
      <c r="AH413" s="12" t="s">
        <v>37</v>
      </c>
      <c r="AK413" s="12" t="s">
        <v>37</v>
      </c>
      <c r="AL413" s="32" t="s">
        <v>630</v>
      </c>
      <c r="AM413" s="12" t="s">
        <v>317</v>
      </c>
      <c r="AN413" s="32" t="s">
        <v>892</v>
      </c>
      <c r="AO413" s="12" t="s">
        <v>847</v>
      </c>
      <c r="AP413" s="12" t="s">
        <v>167</v>
      </c>
      <c r="AQ413" s="12" t="s">
        <v>975</v>
      </c>
      <c r="AR413" s="12" t="s">
        <v>42</v>
      </c>
      <c r="AS413" s="32" t="s">
        <v>372</v>
      </c>
      <c r="AT413" s="12">
        <v>410</v>
      </c>
      <c r="AU413" s="50">
        <f>AT413*AW$474</f>
        <v>35.066129471862816</v>
      </c>
      <c r="AY413" s="50"/>
      <c r="BE413" s="12" t="s">
        <v>326</v>
      </c>
      <c r="BF413" s="12" t="s">
        <v>326</v>
      </c>
      <c r="BG413" s="12" t="s">
        <v>326</v>
      </c>
      <c r="BI413" s="12" t="s">
        <v>326</v>
      </c>
      <c r="BJ413" s="12" t="s">
        <v>326</v>
      </c>
      <c r="BK413" s="12" t="s">
        <v>326</v>
      </c>
      <c r="BP413" s="12" t="s">
        <v>37</v>
      </c>
      <c r="BQ413" s="12" t="s">
        <v>37</v>
      </c>
      <c r="BR413" s="12" t="s">
        <v>37</v>
      </c>
      <c r="BT413" s="12" t="s">
        <v>37</v>
      </c>
      <c r="BU413" s="12" t="s">
        <v>37</v>
      </c>
      <c r="BV413" s="12" t="s">
        <v>37</v>
      </c>
      <c r="BZ413" s="12" t="s">
        <v>47</v>
      </c>
      <c r="CA413" s="12">
        <f>-7265.27999999999*("2006/09/30"-"2006/06/01")/("2006/09/10"-"2006/06/29")/'[6]classess-1'!$T$102</f>
        <v>-13417.445102313484</v>
      </c>
      <c r="CB413" s="12">
        <f>SQRT((1/[7]Classess!$T$102)^2*(1037.89714285715*("2006/09/30"-"2006/06/01")/("2006/09/10"-"2006/06/29"))^2+(-CA413/([7]Classess!$T$102)^2)^2*([7]Classess!$U$102)^2)</f>
        <v>2513.9989496861413</v>
      </c>
      <c r="CC413" s="13">
        <v>3</v>
      </c>
      <c r="CD413" s="19">
        <f t="shared" si="1513"/>
        <v>0.18736793260683202</v>
      </c>
      <c r="CE413" s="12">
        <f>-5967.90857142857*("2006/09/30"-"2006/06/01")/("2006/09/10"-"2006/06/29")/'[6]classess-1'!$T$103</f>
        <v>-10261.140414323805</v>
      </c>
      <c r="CF413" s="12">
        <f>SQRT((1/[7]Classess!$T$103)^2*(518.948571428577*("2006/09/30"-"2006/06/01")/("2006/09/10"-"2006/06/29"))^2+(-CE413/([7]Classess!$T$103)^2)^2*([7]Classess!$U$103)^2)</f>
        <v>928.25974642230233</v>
      </c>
      <c r="CG413" s="13">
        <v>3</v>
      </c>
      <c r="CH413" s="19">
        <f t="shared" si="1514"/>
        <v>9.0463604330617994E-2</v>
      </c>
      <c r="CI413" s="75">
        <f t="shared" si="1515"/>
        <v>3156.3046879896792</v>
      </c>
      <c r="CJ413" s="12">
        <f t="shared" si="1516"/>
        <v>1894.9745217088039</v>
      </c>
      <c r="CK413" s="72">
        <f t="shared" si="1517"/>
        <v>2393952.2919503395</v>
      </c>
      <c r="CL413" s="72">
        <f t="shared" si="1518"/>
        <v>2393952.2919503395</v>
      </c>
      <c r="CM413" s="12" t="s">
        <v>47</v>
      </c>
      <c r="CN413" s="12">
        <f>5448.95999999999*("2006/09/30"-"2006/06/01")/("2006/09/10"-"2006/06/29")/'[6]classess-1'!$I$102</f>
        <v>12328.007487080895</v>
      </c>
      <c r="CO413" s="12">
        <f>SQRT((1/[7]Classess!$I$102)^2*(573.574736842111*("2006/09/30"-"2006/06/01")/("2006/09/10"-"2006/06/29"))^2+(-CN413/([7]Classess!$I$102)^2)^2*([7]Classess!$J$102)^2)</f>
        <v>1844.6484474290598</v>
      </c>
      <c r="CP413" s="13">
        <v>3</v>
      </c>
      <c r="CQ413" s="19">
        <f t="shared" si="1519"/>
        <v>0.14963070466676426</v>
      </c>
      <c r="CR413" s="12">
        <f>5592.35368421053*("2006/09/30"-"2006/06/01")/("2006/09/10"-"2006/06/29")/'[6]classess-1'!$I$103</f>
        <v>10779.460950989149</v>
      </c>
      <c r="CS413" s="12">
        <f>860.36210526315*("2006/09/30"-"2006/06/01")/("2006/09/10"-"2006/06/29")</f>
        <v>1426.079653929331</v>
      </c>
      <c r="CT413" s="13">
        <v>3</v>
      </c>
      <c r="CU413" s="19">
        <f t="shared" si="1520"/>
        <v>0.13229600815970957</v>
      </c>
      <c r="CV413" s="75">
        <f>CR413-CN413</f>
        <v>-1548.546536091746</v>
      </c>
      <c r="CW413" s="12">
        <f t="shared" si="1521"/>
        <v>1648.7011666693334</v>
      </c>
      <c r="CX413" s="72">
        <f t="shared" si="1522"/>
        <v>1812143.6913178805</v>
      </c>
      <c r="CY413" s="72">
        <f t="shared" si="1523"/>
        <v>1812143.6913178805</v>
      </c>
      <c r="CZ413" s="12" t="s">
        <v>47</v>
      </c>
      <c r="DA413" s="12">
        <f t="shared" ref="DA413" si="1536">CA413+CN413</f>
        <v>-1089.4376152325895</v>
      </c>
      <c r="DB413" s="12">
        <f>SQRT((1/[7]Classess!$I$43)^2*(512.364895522389)^2+(-DA413/([7]Classess!$I$43)^2)^2*([7]Classess!$J$43)^2)</f>
        <v>396.38137595921512</v>
      </c>
      <c r="DC413" s="13">
        <v>3</v>
      </c>
      <c r="DD413" s="19">
        <f t="shared" si="1524"/>
        <v>0.36384036168476674</v>
      </c>
      <c r="DE413" s="12">
        <f t="shared" si="1525"/>
        <v>518.32053666534375</v>
      </c>
      <c r="DF413" s="12">
        <f>SQRT((1/[7]Classess!$I$44)^2*(341.576597014927)^2+(-DE413/([7]Classess!$I$44)^2)^2*([7]Classess!$J$44)^2)</f>
        <v>639.04094931753639</v>
      </c>
      <c r="DG413" s="13">
        <v>3</v>
      </c>
      <c r="DH413" s="19">
        <f t="shared" si="1526"/>
        <v>1.2329068676862718</v>
      </c>
      <c r="DI413" s="19">
        <f t="shared" si="1527"/>
        <v>1607.7581518979332</v>
      </c>
      <c r="DJ413" s="12">
        <f t="shared" si="1528"/>
        <v>531.73843669231712</v>
      </c>
      <c r="DK413" s="72">
        <f t="shared" si="1529"/>
        <v>188497.17670399291</v>
      </c>
      <c r="DL413" s="72">
        <f t="shared" si="1530"/>
        <v>188497.17670399291</v>
      </c>
      <c r="DN413" s="19" t="s">
        <v>37</v>
      </c>
      <c r="DO413" s="12" t="s">
        <v>37</v>
      </c>
      <c r="DP413" s="13" t="s">
        <v>37</v>
      </c>
      <c r="DR413" s="19" t="s">
        <v>37</v>
      </c>
      <c r="DS413" s="12" t="s">
        <v>37</v>
      </c>
      <c r="DT413" s="13" t="s">
        <v>37</v>
      </c>
      <c r="EA413" s="19" t="s">
        <v>37</v>
      </c>
      <c r="EB413" s="19" t="s">
        <v>37</v>
      </c>
      <c r="EC413" s="72" t="s">
        <v>37</v>
      </c>
      <c r="EE413" s="19" t="s">
        <v>37</v>
      </c>
      <c r="EF413" s="19" t="s">
        <v>37</v>
      </c>
      <c r="EG413" s="12" t="s">
        <v>37</v>
      </c>
      <c r="EM413" s="12" t="s">
        <v>39</v>
      </c>
      <c r="EN413" s="12">
        <v>-20.399999999999999</v>
      </c>
      <c r="EO413" s="12">
        <v>2.2999999999999998</v>
      </c>
      <c r="EP413" s="13">
        <v>3</v>
      </c>
      <c r="EQ413" s="19">
        <f t="shared" si="1460"/>
        <v>0.11274509803921569</v>
      </c>
      <c r="ER413" s="12">
        <v>-28.4</v>
      </c>
      <c r="ES413" s="12">
        <v>3.2</v>
      </c>
      <c r="ET413" s="13">
        <v>3</v>
      </c>
      <c r="EU413" s="19">
        <f t="shared" si="1461"/>
        <v>0.11267605633802819</v>
      </c>
      <c r="EV413" s="19">
        <f t="shared" si="1531"/>
        <v>-8</v>
      </c>
      <c r="EW413" s="12">
        <f t="shared" si="1532"/>
        <v>2.7865749586185546</v>
      </c>
      <c r="EX413" s="19">
        <f t="shared" si="1533"/>
        <v>5.1766666666666667</v>
      </c>
      <c r="EY413" s="19">
        <f t="shared" si="1534"/>
        <v>5.1766666666666667</v>
      </c>
      <c r="FB413" s="12" t="s">
        <v>37</v>
      </c>
      <c r="FC413" s="12" t="s">
        <v>37</v>
      </c>
      <c r="FD413" s="11" t="s">
        <v>37</v>
      </c>
      <c r="FE413" s="12" t="s">
        <v>37</v>
      </c>
      <c r="FF413" s="20" t="s">
        <v>37</v>
      </c>
      <c r="FG413" s="11" t="s">
        <v>37</v>
      </c>
      <c r="FI413" s="12" t="s">
        <v>37</v>
      </c>
      <c r="FJ413" s="12" t="s">
        <v>37</v>
      </c>
      <c r="FK413" s="11" t="s">
        <v>37</v>
      </c>
      <c r="FL413" s="13" t="s">
        <v>37</v>
      </c>
      <c r="FM413" s="11" t="s">
        <v>37</v>
      </c>
      <c r="FN413" s="11" t="s">
        <v>37</v>
      </c>
      <c r="FP413" s="12" t="s">
        <v>37</v>
      </c>
      <c r="FQ413" s="12" t="s">
        <v>37</v>
      </c>
      <c r="FR413" s="11" t="s">
        <v>37</v>
      </c>
      <c r="FS413" s="13" t="s">
        <v>37</v>
      </c>
      <c r="FT413" s="11" t="s">
        <v>37</v>
      </c>
      <c r="FU413" s="11" t="s">
        <v>37</v>
      </c>
      <c r="FW413" s="12" t="s">
        <v>37</v>
      </c>
      <c r="FX413" s="12" t="s">
        <v>37</v>
      </c>
      <c r="FY413" s="11" t="s">
        <v>37</v>
      </c>
      <c r="FZ413" s="13" t="s">
        <v>37</v>
      </c>
      <c r="GA413" s="11" t="s">
        <v>37</v>
      </c>
      <c r="GB413" s="11" t="s">
        <v>37</v>
      </c>
      <c r="GO413" s="12" t="s">
        <v>660</v>
      </c>
      <c r="GP413" s="12" t="s">
        <v>330</v>
      </c>
      <c r="GQ413" s="12">
        <v>11.9</v>
      </c>
      <c r="GR413" s="12">
        <v>0.1</v>
      </c>
      <c r="GS413" s="13">
        <v>3</v>
      </c>
      <c r="GT413" s="19">
        <f t="shared" si="1494"/>
        <v>8.4033613445378148E-3</v>
      </c>
      <c r="GU413" s="12">
        <v>11.8</v>
      </c>
      <c r="GV413" s="12">
        <v>0.1</v>
      </c>
      <c r="GW413" s="13">
        <v>3</v>
      </c>
      <c r="GX413" s="19">
        <f t="shared" si="1535"/>
        <v>8.4745762711864406E-3</v>
      </c>
      <c r="GY413" s="19">
        <f t="shared" si="1495"/>
        <v>-8.4388686458645949E-3</v>
      </c>
      <c r="GZ413" s="19">
        <f t="shared" si="1496"/>
        <v>4.7478308287676225E-5</v>
      </c>
      <c r="HA413" s="17" t="s">
        <v>63</v>
      </c>
      <c r="HB413" s="34" t="s">
        <v>372</v>
      </c>
      <c r="HC413" s="12">
        <v>0.09</v>
      </c>
      <c r="HD413" s="50">
        <f>ABS(HC413)*HF$474</f>
        <v>1.5517056883184187E-2</v>
      </c>
      <c r="HE413" s="13">
        <v>3</v>
      </c>
      <c r="IK413" s="12" t="s">
        <v>37</v>
      </c>
      <c r="IL413" s="12" t="s">
        <v>37</v>
      </c>
      <c r="IM413" s="12" t="s">
        <v>37</v>
      </c>
      <c r="IO413" s="12" t="s">
        <v>37</v>
      </c>
      <c r="IP413" s="12" t="s">
        <v>37</v>
      </c>
      <c r="IQ413" s="12" t="s">
        <v>37</v>
      </c>
      <c r="IV413" s="34" t="s">
        <v>372</v>
      </c>
      <c r="IW413" s="12">
        <v>5.3</v>
      </c>
      <c r="IX413" s="50">
        <f>ABS(IW413)*IZ$474</f>
        <v>0.19404753592852261</v>
      </c>
      <c r="IY413" s="13">
        <v>4</v>
      </c>
      <c r="JH413" s="12" t="s">
        <v>37</v>
      </c>
      <c r="JI413" s="12" t="s">
        <v>37</v>
      </c>
      <c r="JJ413" s="13" t="s">
        <v>37</v>
      </c>
      <c r="JL413" s="12" t="s">
        <v>37</v>
      </c>
      <c r="JM413" s="12" t="s">
        <v>37</v>
      </c>
      <c r="JN413" s="12" t="s">
        <v>37</v>
      </c>
      <c r="JS413" s="12" t="s">
        <v>37</v>
      </c>
      <c r="JT413" s="12" t="s">
        <v>37</v>
      </c>
      <c r="JU413" s="13" t="s">
        <v>37</v>
      </c>
      <c r="JW413" s="12" t="s">
        <v>37</v>
      </c>
      <c r="JX413" s="12" t="s">
        <v>37</v>
      </c>
      <c r="JY413" s="12" t="s">
        <v>37</v>
      </c>
      <c r="KE413" s="12" t="s">
        <v>37</v>
      </c>
      <c r="KF413" s="12" t="s">
        <v>37</v>
      </c>
      <c r="KG413" s="13" t="s">
        <v>37</v>
      </c>
      <c r="KH413" s="12" t="s">
        <v>37</v>
      </c>
      <c r="KI413" s="12" t="s">
        <v>37</v>
      </c>
      <c r="KJ413" s="12" t="s">
        <v>37</v>
      </c>
      <c r="KM413" s="12" t="s">
        <v>37</v>
      </c>
      <c r="KN413" s="12" t="s">
        <v>37</v>
      </c>
      <c r="KO413" s="11" t="s">
        <v>37</v>
      </c>
      <c r="KQ413" s="12" t="s">
        <v>37</v>
      </c>
      <c r="KR413" s="12" t="s">
        <v>37</v>
      </c>
      <c r="KS413" s="12" t="s">
        <v>37</v>
      </c>
      <c r="KX413" s="12" t="s">
        <v>37</v>
      </c>
      <c r="KY413" s="12" t="s">
        <v>37</v>
      </c>
      <c r="KZ413" s="13" t="s">
        <v>37</v>
      </c>
      <c r="LB413" s="12" t="s">
        <v>37</v>
      </c>
      <c r="LC413" s="12" t="s">
        <v>37</v>
      </c>
      <c r="LD413" s="13" t="s">
        <v>37</v>
      </c>
      <c r="LI413" s="12" t="s">
        <v>37</v>
      </c>
      <c r="LJ413" s="12" t="s">
        <v>37</v>
      </c>
      <c r="LK413" s="12" t="s">
        <v>37</v>
      </c>
      <c r="LM413" s="12" t="s">
        <v>37</v>
      </c>
      <c r="LN413" s="12" t="s">
        <v>37</v>
      </c>
      <c r="LO413" s="12" t="s">
        <v>37</v>
      </c>
      <c r="LU413" s="12" t="s">
        <v>37</v>
      </c>
      <c r="LV413" s="12" t="s">
        <v>37</v>
      </c>
      <c r="LW413" s="13" t="s">
        <v>37</v>
      </c>
      <c r="LY413" s="12" t="s">
        <v>37</v>
      </c>
      <c r="LZ413" s="12" t="s">
        <v>37</v>
      </c>
      <c r="MA413" s="12" t="s">
        <v>37</v>
      </c>
      <c r="MF413" s="12" t="s">
        <v>37</v>
      </c>
      <c r="MG413" s="12" t="s">
        <v>37</v>
      </c>
      <c r="MH413" s="12" t="s">
        <v>37</v>
      </c>
      <c r="MJ413" s="12" t="s">
        <v>37</v>
      </c>
      <c r="MK413" s="12" t="s">
        <v>37</v>
      </c>
      <c r="ML413" s="12" t="s">
        <v>37</v>
      </c>
      <c r="MQ413" s="12" t="s">
        <v>37</v>
      </c>
      <c r="MR413" s="12" t="s">
        <v>37</v>
      </c>
      <c r="MS413" s="12" t="s">
        <v>37</v>
      </c>
      <c r="MU413" s="12" t="s">
        <v>37</v>
      </c>
      <c r="MV413" s="12" t="s">
        <v>37</v>
      </c>
      <c r="MW413" s="12" t="s">
        <v>37</v>
      </c>
      <c r="NC413" s="12" t="s">
        <v>37</v>
      </c>
      <c r="ND413" s="12" t="s">
        <v>37</v>
      </c>
      <c r="NE413" s="12" t="s">
        <v>37</v>
      </c>
      <c r="NG413" s="12" t="s">
        <v>37</v>
      </c>
      <c r="NH413" s="12" t="s">
        <v>37</v>
      </c>
      <c r="NI413" s="12" t="s">
        <v>37</v>
      </c>
      <c r="NO413" s="12" t="s">
        <v>37</v>
      </c>
      <c r="NP413" s="12" t="s">
        <v>37</v>
      </c>
      <c r="NQ413" s="12" t="s">
        <v>37</v>
      </c>
      <c r="NS413" s="12" t="s">
        <v>37</v>
      </c>
      <c r="NT413" s="12" t="s">
        <v>37</v>
      </c>
      <c r="NU413" s="12" t="s">
        <v>37</v>
      </c>
      <c r="OA413" s="12" t="s">
        <v>37</v>
      </c>
      <c r="OB413" s="12" t="s">
        <v>37</v>
      </c>
      <c r="OC413" s="12" t="s">
        <v>37</v>
      </c>
      <c r="OD413" s="12"/>
      <c r="OE413" s="12" t="s">
        <v>37</v>
      </c>
      <c r="OF413" s="12" t="s">
        <v>37</v>
      </c>
      <c r="OG413" s="12" t="s">
        <v>37</v>
      </c>
      <c r="OH413" s="12"/>
      <c r="OI413" s="12"/>
      <c r="OJ413" s="12"/>
      <c r="OM413" s="12" t="s">
        <v>37</v>
      </c>
      <c r="ON413" s="12" t="s">
        <v>37</v>
      </c>
      <c r="OO413" s="12" t="s">
        <v>37</v>
      </c>
      <c r="OP413" s="12" t="s">
        <v>37</v>
      </c>
      <c r="OQ413" s="12" t="s">
        <v>37</v>
      </c>
      <c r="OR413" s="12" t="s">
        <v>37</v>
      </c>
      <c r="OS413" s="12"/>
      <c r="OT413" s="12"/>
      <c r="OW413" s="12" t="s">
        <v>37</v>
      </c>
      <c r="OX413" s="12" t="s">
        <v>37</v>
      </c>
      <c r="OY413" s="13" t="s">
        <v>37</v>
      </c>
      <c r="OZ413" s="12" t="s">
        <v>37</v>
      </c>
      <c r="PA413" s="12" t="s">
        <v>37</v>
      </c>
      <c r="PB413" s="13" t="s">
        <v>37</v>
      </c>
      <c r="PG413" s="11" t="s">
        <v>37</v>
      </c>
      <c r="PH413" s="11" t="s">
        <v>37</v>
      </c>
      <c r="PI413" s="13" t="s">
        <v>37</v>
      </c>
      <c r="PJ413" s="11" t="s">
        <v>37</v>
      </c>
      <c r="PK413" s="11" t="s">
        <v>37</v>
      </c>
      <c r="PL413" s="13" t="s">
        <v>37</v>
      </c>
      <c r="PQ413" s="12" t="s">
        <v>37</v>
      </c>
      <c r="PR413" s="12" t="s">
        <v>37</v>
      </c>
      <c r="PS413" s="12" t="s">
        <v>37</v>
      </c>
      <c r="PT413" s="12" t="s">
        <v>37</v>
      </c>
      <c r="PU413" s="12" t="s">
        <v>37</v>
      </c>
      <c r="PV413" s="12" t="s">
        <v>37</v>
      </c>
      <c r="PW413" s="12"/>
      <c r="PX413" s="12"/>
      <c r="PZ413" s="12" t="s">
        <v>37</v>
      </c>
      <c r="QA413" s="12" t="s">
        <v>37</v>
      </c>
      <c r="QB413" s="11" t="s">
        <v>37</v>
      </c>
      <c r="QD413" s="12" t="s">
        <v>37</v>
      </c>
      <c r="QE413" s="12" t="s">
        <v>37</v>
      </c>
      <c r="QF413" s="12" t="s">
        <v>37</v>
      </c>
      <c r="QK413" s="12" t="s">
        <v>37</v>
      </c>
      <c r="QL413" s="12" t="s">
        <v>37</v>
      </c>
      <c r="QM413" s="12" t="s">
        <v>37</v>
      </c>
      <c r="QN413" s="12" t="s">
        <v>37</v>
      </c>
      <c r="QO413" s="12" t="s">
        <v>37</v>
      </c>
      <c r="QP413" s="12" t="s">
        <v>37</v>
      </c>
      <c r="QQ413" s="12"/>
      <c r="QR413" s="12"/>
      <c r="QU413" s="12" t="s">
        <v>37</v>
      </c>
      <c r="QV413" s="12" t="s">
        <v>37</v>
      </c>
      <c r="QW413" s="12" t="s">
        <v>37</v>
      </c>
      <c r="QX413" s="12" t="s">
        <v>37</v>
      </c>
      <c r="QY413" s="12" t="s">
        <v>37</v>
      </c>
      <c r="QZ413" s="12" t="s">
        <v>37</v>
      </c>
      <c r="RC413" s="12" t="s">
        <v>37</v>
      </c>
      <c r="RD413" s="12" t="s">
        <v>37</v>
      </c>
      <c r="RE413" s="13" t="s">
        <v>37</v>
      </c>
      <c r="RF413" s="12" t="s">
        <v>37</v>
      </c>
      <c r="RG413" s="12" t="s">
        <v>37</v>
      </c>
      <c r="RH413" s="13" t="s">
        <v>37</v>
      </c>
      <c r="RK413" s="12" t="s">
        <v>37</v>
      </c>
      <c r="RL413" s="12" t="s">
        <v>37</v>
      </c>
      <c r="RM413" s="11" t="s">
        <v>37</v>
      </c>
      <c r="RN413" s="12" t="s">
        <v>37</v>
      </c>
      <c r="RO413" s="12" t="s">
        <v>37</v>
      </c>
      <c r="RP413" s="11" t="s">
        <v>37</v>
      </c>
      <c r="RS413" s="12" t="s">
        <v>37</v>
      </c>
      <c r="RT413" s="12" t="s">
        <v>37</v>
      </c>
      <c r="RU413" s="12" t="s">
        <v>37</v>
      </c>
      <c r="RV413" s="12" t="s">
        <v>37</v>
      </c>
      <c r="RW413" s="12" t="s">
        <v>37</v>
      </c>
      <c r="RX413" s="12" t="s">
        <v>37</v>
      </c>
      <c r="SA413" s="12" t="s">
        <v>37</v>
      </c>
      <c r="SB413" s="12" t="s">
        <v>37</v>
      </c>
      <c r="SC413" s="12" t="s">
        <v>37</v>
      </c>
      <c r="SD413" s="12" t="s">
        <v>37</v>
      </c>
      <c r="SE413" s="12" t="s">
        <v>37</v>
      </c>
      <c r="SF413" s="12" t="s">
        <v>37</v>
      </c>
      <c r="SI413" s="12" t="s">
        <v>37</v>
      </c>
      <c r="SJ413" s="12" t="s">
        <v>37</v>
      </c>
      <c r="SK413" s="13" t="s">
        <v>37</v>
      </c>
      <c r="SM413" s="12" t="s">
        <v>37</v>
      </c>
      <c r="SN413" s="12" t="s">
        <v>37</v>
      </c>
      <c r="SO413" s="13" t="s">
        <v>37</v>
      </c>
      <c r="SU413" s="12" t="s">
        <v>37</v>
      </c>
      <c r="SV413" s="12" t="s">
        <v>37</v>
      </c>
      <c r="SW413" s="11" t="s">
        <v>37</v>
      </c>
      <c r="SX413" s="12" t="s">
        <v>37</v>
      </c>
      <c r="SY413" s="12" t="s">
        <v>37</v>
      </c>
      <c r="SZ413" s="11" t="s">
        <v>37</v>
      </c>
      <c r="TE413" s="12" t="s">
        <v>37</v>
      </c>
      <c r="TF413" s="12" t="s">
        <v>37</v>
      </c>
      <c r="TG413" s="11" t="s">
        <v>37</v>
      </c>
      <c r="TH413" s="12" t="s">
        <v>37</v>
      </c>
      <c r="TI413" s="12" t="s">
        <v>37</v>
      </c>
      <c r="TJ413" s="11" t="s">
        <v>37</v>
      </c>
      <c r="TO413" s="12" t="s">
        <v>37</v>
      </c>
      <c r="TP413" s="12" t="s">
        <v>37</v>
      </c>
      <c r="TQ413" s="11" t="s">
        <v>37</v>
      </c>
      <c r="TR413" s="12" t="s">
        <v>37</v>
      </c>
      <c r="TS413" s="12" t="s">
        <v>37</v>
      </c>
      <c r="TT413" s="11" t="s">
        <v>37</v>
      </c>
      <c r="TY413" s="12" t="s">
        <v>37</v>
      </c>
      <c r="TZ413" s="12" t="s">
        <v>37</v>
      </c>
      <c r="UA413" s="12" t="s">
        <v>37</v>
      </c>
      <c r="UB413" s="12" t="s">
        <v>37</v>
      </c>
      <c r="UC413" s="12" t="s">
        <v>37</v>
      </c>
      <c r="UD413" s="12" t="s">
        <v>37</v>
      </c>
      <c r="UE413" s="12"/>
      <c r="UF413" s="12"/>
      <c r="UI413" s="12" t="s">
        <v>37</v>
      </c>
      <c r="UJ413" s="12" t="s">
        <v>37</v>
      </c>
      <c r="UK413" s="12" t="s">
        <v>37</v>
      </c>
      <c r="UL413" s="12" t="s">
        <v>37</v>
      </c>
      <c r="UM413" s="12" t="s">
        <v>37</v>
      </c>
      <c r="UN413" s="12" t="s">
        <v>37</v>
      </c>
      <c r="UO413" s="12"/>
      <c r="UP413" s="12"/>
      <c r="UR413" s="12" t="s">
        <v>37</v>
      </c>
      <c r="US413" s="12" t="s">
        <v>37</v>
      </c>
      <c r="UT413" s="12" t="s">
        <v>37</v>
      </c>
      <c r="UU413" s="12" t="s">
        <v>37</v>
      </c>
      <c r="UV413" s="12" t="s">
        <v>37</v>
      </c>
      <c r="UW413" s="12" t="s">
        <v>37</v>
      </c>
      <c r="UX413" s="12"/>
      <c r="UY413" s="12"/>
      <c r="VB413" s="12" t="s">
        <v>37</v>
      </c>
      <c r="VC413" s="12" t="s">
        <v>37</v>
      </c>
      <c r="VD413" s="12" t="s">
        <v>37</v>
      </c>
      <c r="VE413" s="12" t="s">
        <v>37</v>
      </c>
      <c r="VF413" s="12" t="s">
        <v>37</v>
      </c>
      <c r="VG413" s="12" t="s">
        <v>37</v>
      </c>
      <c r="VI413" s="12" t="s">
        <v>37</v>
      </c>
      <c r="VJ413" s="12" t="s">
        <v>37</v>
      </c>
      <c r="VK413" s="12" t="s">
        <v>37</v>
      </c>
      <c r="VL413" s="12" t="s">
        <v>37</v>
      </c>
      <c r="VM413" s="12" t="s">
        <v>37</v>
      </c>
      <c r="VN413" s="12" t="s">
        <v>37</v>
      </c>
      <c r="VO413" s="12" t="s">
        <v>293</v>
      </c>
      <c r="VP413" s="12" t="s">
        <v>330</v>
      </c>
      <c r="VQ413" s="12">
        <v>19.934210526315798</v>
      </c>
      <c r="VR413" s="12">
        <v>6.6839644587943985</v>
      </c>
      <c r="VS413" s="13">
        <v>6</v>
      </c>
      <c r="VT413" s="12">
        <v>11.118421052631581</v>
      </c>
      <c r="VU413" s="12">
        <v>2.4508234666780773</v>
      </c>
      <c r="VV413" s="13">
        <v>6</v>
      </c>
      <c r="VW413" s="19">
        <f>LN(VT413/VQ413)</f>
        <v>-0.58383409058629587</v>
      </c>
      <c r="VX413" s="19">
        <f>VU413^2/(VV413*VT413^2)+VR413^2/(VS413*VQ413^2)</f>
        <v>2.6835978538749906E-2</v>
      </c>
      <c r="WA413" s="13" t="s">
        <v>37</v>
      </c>
      <c r="WB413" s="13" t="s">
        <v>37</v>
      </c>
      <c r="WC413" s="13" t="s">
        <v>37</v>
      </c>
      <c r="WD413" s="13" t="s">
        <v>37</v>
      </c>
      <c r="WE413" s="13" t="s">
        <v>37</v>
      </c>
      <c r="WF413" s="13" t="s">
        <v>37</v>
      </c>
    </row>
    <row r="414" spans="1:606" ht="18" customHeight="1" x14ac:dyDescent="0.3">
      <c r="A414" s="11">
        <v>92</v>
      </c>
      <c r="B414" s="16" t="s">
        <v>631</v>
      </c>
      <c r="C414" s="12" t="s">
        <v>26</v>
      </c>
      <c r="D414" s="12" t="s">
        <v>54</v>
      </c>
      <c r="E414" s="40">
        <v>1.89</v>
      </c>
      <c r="F414" s="14">
        <v>0</v>
      </c>
      <c r="G414" s="14">
        <v>0</v>
      </c>
      <c r="H414" s="12" t="s">
        <v>104</v>
      </c>
      <c r="I414" s="29">
        <v>3.9</v>
      </c>
      <c r="J414" s="29">
        <v>103.333</v>
      </c>
      <c r="K414" s="29">
        <v>3.9</v>
      </c>
      <c r="L414" s="29">
        <v>103.333</v>
      </c>
      <c r="M414" s="13" t="s">
        <v>37</v>
      </c>
      <c r="N414" s="14">
        <v>28.5</v>
      </c>
      <c r="O414" s="14">
        <v>2000</v>
      </c>
      <c r="P414" s="14" t="s">
        <v>89</v>
      </c>
      <c r="Q414" s="75">
        <f>6/12</f>
        <v>0.5</v>
      </c>
      <c r="R414" s="11" t="s">
        <v>1000</v>
      </c>
      <c r="S414" s="12" t="s">
        <v>105</v>
      </c>
      <c r="T414" s="12" t="s">
        <v>141</v>
      </c>
      <c r="U414" s="12" t="s">
        <v>158</v>
      </c>
      <c r="V414" s="12" t="s">
        <v>275</v>
      </c>
      <c r="W414" s="23" t="s">
        <v>632</v>
      </c>
      <c r="X414" s="12" t="s">
        <v>49</v>
      </c>
      <c r="Y414" s="12" t="s">
        <v>37</v>
      </c>
      <c r="Z414" s="12" t="s">
        <v>37</v>
      </c>
      <c r="AA414" s="32" t="s">
        <v>345</v>
      </c>
      <c r="AB414" s="12">
        <v>3.6</v>
      </c>
      <c r="AC414" s="12" t="s">
        <v>42</v>
      </c>
      <c r="AD414" s="32" t="s">
        <v>345</v>
      </c>
      <c r="AE414" s="12">
        <f>95.1/1.724*10</f>
        <v>551.62412993039436</v>
      </c>
      <c r="AF414" s="12" t="s">
        <v>42</v>
      </c>
      <c r="AG414" s="32" t="s">
        <v>345</v>
      </c>
      <c r="AH414" s="12">
        <v>12.75</v>
      </c>
      <c r="AJ414" s="12" t="str">
        <f t="shared" ref="AJ414" si="1537">AD414</f>
        <v>0-10</v>
      </c>
      <c r="AK414" s="19">
        <f t="shared" ref="AK414" si="1538">AE414/AH414</f>
        <v>43.264637641599556</v>
      </c>
      <c r="AL414" s="32" t="s">
        <v>633</v>
      </c>
      <c r="AM414" s="12" t="s">
        <v>344</v>
      </c>
      <c r="AO414" s="12" t="s">
        <v>37</v>
      </c>
      <c r="AP414" s="12" t="s">
        <v>167</v>
      </c>
      <c r="AQ414" s="12" t="s">
        <v>975</v>
      </c>
      <c r="AR414" s="12" t="s">
        <v>42</v>
      </c>
      <c r="AS414" s="32" t="s">
        <v>345</v>
      </c>
      <c r="AT414" s="12">
        <f>95.1/1.724*10</f>
        <v>551.62412993039436</v>
      </c>
      <c r="AU414" s="12">
        <f>0.99/1.724*SQRT(5)*10</f>
        <v>12.840529569169325</v>
      </c>
      <c r="AV414" s="13">
        <v>5</v>
      </c>
      <c r="AW414" s="19">
        <f>AU414/AT414</f>
        <v>2.3277679261038822E-2</v>
      </c>
      <c r="AX414" s="12">
        <f>92.5/1.724*10</f>
        <v>536.54292343387476</v>
      </c>
      <c r="AY414" s="12">
        <f>0.83/1.724*SQRT(5)*10</f>
        <v>10.765292467081355</v>
      </c>
      <c r="AZ414" s="13">
        <v>5</v>
      </c>
      <c r="BA414" s="19">
        <f>AY414/AX414</f>
        <v>2.0064177527835951E-2</v>
      </c>
      <c r="BB414" s="52">
        <f t="shared" ref="BB414" si="1539">LN(AX414/AT414)</f>
        <v>-2.7720325032964937E-2</v>
      </c>
      <c r="BC414" s="19">
        <f>AY414^2/(AZ414*AX414^2)+AU414^2/(AV414*AT414^2)</f>
        <v>1.8888431432966281E-4</v>
      </c>
      <c r="BD414" s="12"/>
      <c r="BE414" s="12" t="s">
        <v>326</v>
      </c>
      <c r="BF414" s="12" t="s">
        <v>326</v>
      </c>
      <c r="BG414" s="12" t="s">
        <v>326</v>
      </c>
      <c r="BI414" s="12" t="s">
        <v>326</v>
      </c>
      <c r="BJ414" s="12" t="s">
        <v>326</v>
      </c>
      <c r="BK414" s="12" t="s">
        <v>326</v>
      </c>
      <c r="BP414" s="12" t="s">
        <v>37</v>
      </c>
      <c r="BQ414" s="12" t="s">
        <v>37</v>
      </c>
      <c r="BR414" s="12" t="s">
        <v>37</v>
      </c>
      <c r="BT414" s="12" t="s">
        <v>37</v>
      </c>
      <c r="BU414" s="12" t="s">
        <v>37</v>
      </c>
      <c r="BV414" s="12" t="s">
        <v>37</v>
      </c>
      <c r="CA414" s="12" t="s">
        <v>37</v>
      </c>
      <c r="CB414" s="12" t="s">
        <v>37</v>
      </c>
      <c r="CC414" s="13" t="s">
        <v>37</v>
      </c>
      <c r="CE414" s="12" t="s">
        <v>37</v>
      </c>
      <c r="CF414" s="12" t="s">
        <v>37</v>
      </c>
      <c r="CG414" s="13" t="s">
        <v>37</v>
      </c>
      <c r="CJ414" s="12"/>
      <c r="CN414" s="12" t="s">
        <v>37</v>
      </c>
      <c r="CO414" s="12" t="s">
        <v>37</v>
      </c>
      <c r="CP414" s="13" t="s">
        <v>37</v>
      </c>
      <c r="CR414" s="12" t="s">
        <v>37</v>
      </c>
      <c r="CS414" s="12" t="s">
        <v>37</v>
      </c>
      <c r="CT414" s="13" t="s">
        <v>37</v>
      </c>
      <c r="CW414" s="12"/>
      <c r="CX414" s="72"/>
      <c r="CY414" s="72"/>
      <c r="DA414" s="12" t="s">
        <v>37</v>
      </c>
      <c r="DB414" s="12" t="s">
        <v>37</v>
      </c>
      <c r="DC414" s="13" t="s">
        <v>37</v>
      </c>
      <c r="DE414" s="12" t="s">
        <v>37</v>
      </c>
      <c r="DF414" s="12" t="s">
        <v>37</v>
      </c>
      <c r="DG414" s="13" t="s">
        <v>37</v>
      </c>
      <c r="DM414" s="12" t="s">
        <v>47</v>
      </c>
      <c r="DN414" s="19">
        <f>14.78/34*10^3</f>
        <v>434.70588235294116</v>
      </c>
      <c r="DO414" s="12">
        <f>6.65*SQRT(5)/34*10^3</f>
        <v>437.34858971687066</v>
      </c>
      <c r="DP414" s="13">
        <v>5</v>
      </c>
      <c r="DQ414" s="19">
        <f>DO414/ABS(DN414)</f>
        <v>1.0060792997546417</v>
      </c>
      <c r="DR414" s="19">
        <f>0.52/34*10^3</f>
        <v>15.294117647058824</v>
      </c>
      <c r="DS414" s="12">
        <f>0.23*SQRT(5)/34*10^3</f>
        <v>15.126342200733873</v>
      </c>
      <c r="DT414" s="13">
        <v>5</v>
      </c>
      <c r="DU414" s="19">
        <f>DS414/ABS(DR414)</f>
        <v>0.98903006697106088</v>
      </c>
      <c r="DV414" s="19">
        <f t="shared" ref="DV414" si="1540">DR414-DN414</f>
        <v>-419.41176470588232</v>
      </c>
      <c r="DW414" s="12">
        <f>SQRT(((DP414-1)*DO414^2+(DT414-1)*DS414^2)/(DP414+DT414-2))</f>
        <v>309.43706561731528</v>
      </c>
      <c r="DX414" s="72">
        <f t="shared" si="1358"/>
        <v>38300.519031141877</v>
      </c>
      <c r="DY414" s="72">
        <f t="shared" si="1359"/>
        <v>38300.51903114187</v>
      </c>
      <c r="EA414" s="19" t="s">
        <v>37</v>
      </c>
      <c r="EB414" s="19" t="s">
        <v>37</v>
      </c>
      <c r="EC414" s="72" t="s">
        <v>37</v>
      </c>
      <c r="EE414" s="19" t="s">
        <v>37</v>
      </c>
      <c r="EF414" s="19" t="s">
        <v>37</v>
      </c>
      <c r="EG414" s="12" t="s">
        <v>37</v>
      </c>
      <c r="EM414" s="12" t="s">
        <v>39</v>
      </c>
      <c r="EN414" s="12">
        <v>6</v>
      </c>
      <c r="EO414" s="12">
        <v>22</v>
      </c>
      <c r="EP414" s="13">
        <v>5</v>
      </c>
      <c r="EQ414" s="19">
        <f t="shared" si="1460"/>
        <v>3.6666666666666665</v>
      </c>
      <c r="ER414" s="12">
        <v>-14</v>
      </c>
      <c r="ES414" s="12">
        <v>23</v>
      </c>
      <c r="ET414" s="13">
        <v>5</v>
      </c>
      <c r="EU414" s="19">
        <f t="shared" si="1461"/>
        <v>1.6428571428571428</v>
      </c>
      <c r="EV414" s="19">
        <f t="shared" si="1531"/>
        <v>-20</v>
      </c>
      <c r="EW414" s="12">
        <f t="shared" si="1532"/>
        <v>22.5055548698538</v>
      </c>
      <c r="EX414" s="19">
        <f t="shared" si="1533"/>
        <v>202.60000000000002</v>
      </c>
      <c r="EY414" s="19">
        <f t="shared" si="1534"/>
        <v>202.6</v>
      </c>
      <c r="FB414" s="12" t="s">
        <v>37</v>
      </c>
      <c r="FC414" s="12" t="s">
        <v>37</v>
      </c>
      <c r="FD414" s="11" t="s">
        <v>37</v>
      </c>
      <c r="FE414" s="12" t="s">
        <v>37</v>
      </c>
      <c r="FF414" s="20" t="s">
        <v>37</v>
      </c>
      <c r="FG414" s="11" t="s">
        <v>37</v>
      </c>
      <c r="FI414" s="12" t="s">
        <v>37</v>
      </c>
      <c r="FJ414" s="12" t="s">
        <v>37</v>
      </c>
      <c r="FK414" s="11" t="s">
        <v>37</v>
      </c>
      <c r="FL414" s="13" t="s">
        <v>37</v>
      </c>
      <c r="FM414" s="11" t="s">
        <v>37</v>
      </c>
      <c r="FN414" s="11" t="s">
        <v>37</v>
      </c>
      <c r="FP414" s="12" t="s">
        <v>37</v>
      </c>
      <c r="FQ414" s="12" t="s">
        <v>37</v>
      </c>
      <c r="FR414" s="11" t="s">
        <v>37</v>
      </c>
      <c r="FS414" s="13" t="s">
        <v>37</v>
      </c>
      <c r="FT414" s="11" t="s">
        <v>37</v>
      </c>
      <c r="FU414" s="11" t="s">
        <v>37</v>
      </c>
      <c r="FW414" s="12" t="s">
        <v>37</v>
      </c>
      <c r="FX414" s="12" t="s">
        <v>37</v>
      </c>
      <c r="FY414" s="11" t="s">
        <v>37</v>
      </c>
      <c r="FZ414" s="13" t="s">
        <v>37</v>
      </c>
      <c r="GA414" s="11" t="s">
        <v>37</v>
      </c>
      <c r="GB414" s="11" t="s">
        <v>37</v>
      </c>
      <c r="GC414" s="12" t="s">
        <v>101</v>
      </c>
      <c r="GD414" s="12" t="s">
        <v>616</v>
      </c>
      <c r="GE414" s="12">
        <v>82.3</v>
      </c>
      <c r="GF414" s="12">
        <f>28*SQRT(GG414)</f>
        <v>62.609903369994115</v>
      </c>
      <c r="GG414" s="13">
        <v>5</v>
      </c>
      <c r="GH414" s="19">
        <f t="shared" ref="GH414" si="1541">GF414/GE414</f>
        <v>0.7607521673146308</v>
      </c>
      <c r="GI414" s="12">
        <v>46.3</v>
      </c>
      <c r="GJ414" s="12">
        <f>SQRT(5)*22</f>
        <v>49.193495504995376</v>
      </c>
      <c r="GK414" s="13">
        <v>5</v>
      </c>
      <c r="GL414" s="19">
        <f t="shared" ref="GL414" si="1542">GJ414/GI414</f>
        <v>1.0624945033476323</v>
      </c>
      <c r="GM414" s="19">
        <f t="shared" ref="GM414:GM415" si="1543">LN(GI414/GE414)</f>
        <v>-0.57522914659083568</v>
      </c>
      <c r="GN414" s="19">
        <f t="shared" ref="GN414:GN415" si="1544">GJ414^2/(GK414*GI414^2)+GF414^2/(GG414*GE414^2)</f>
        <v>0.34152768594356808</v>
      </c>
      <c r="GO414" s="12" t="s">
        <v>660</v>
      </c>
      <c r="GP414" s="12" t="s">
        <v>330</v>
      </c>
      <c r="GQ414" s="12">
        <v>26.1</v>
      </c>
      <c r="GR414" s="12">
        <v>0.52</v>
      </c>
      <c r="GS414" s="13">
        <v>5</v>
      </c>
      <c r="GT414" s="19">
        <f t="shared" si="1494"/>
        <v>1.9923371647509579E-2</v>
      </c>
      <c r="GU414" s="12">
        <v>26.9</v>
      </c>
      <c r="GV414" s="12">
        <v>0.71</v>
      </c>
      <c r="GW414" s="13">
        <v>5</v>
      </c>
      <c r="GX414" s="19">
        <f t="shared" si="1535"/>
        <v>2.6394052044609664E-2</v>
      </c>
      <c r="GY414" s="19">
        <f t="shared" si="1495"/>
        <v>3.0190972279145516E-2</v>
      </c>
      <c r="GZ414" s="19">
        <f t="shared" si="1496"/>
        <v>2.1871734422767046E-4</v>
      </c>
      <c r="HA414" s="17" t="s">
        <v>63</v>
      </c>
      <c r="HB414" s="34" t="s">
        <v>345</v>
      </c>
      <c r="HC414" s="12">
        <v>0.1</v>
      </c>
      <c r="HD414" s="12">
        <v>8.0000000000000002E-3</v>
      </c>
      <c r="HE414" s="13">
        <v>5</v>
      </c>
      <c r="HF414" s="19">
        <f>HD414/HC414</f>
        <v>0.08</v>
      </c>
      <c r="HG414" s="12">
        <v>7.0000000000000007E-2</v>
      </c>
      <c r="HH414" s="12">
        <v>6.0000000000000001E-3</v>
      </c>
      <c r="HI414" s="13">
        <v>5</v>
      </c>
      <c r="HJ414" s="19">
        <f>HH414/HG414</f>
        <v>8.5714285714285701E-2</v>
      </c>
      <c r="HK414" s="19">
        <f t="shared" ref="HK414" si="1545">LN(HG414/HC414)</f>
        <v>-0.35667494393873228</v>
      </c>
      <c r="HL414" s="19">
        <f t="shared" ref="HL414" si="1546">HH414^2/(HI414*HG414^2)+HD414^2/(HE414*HC414^2)</f>
        <v>2.7493877551020402E-3</v>
      </c>
      <c r="IK414" s="12" t="s">
        <v>37</v>
      </c>
      <c r="IL414" s="12" t="s">
        <v>37</v>
      </c>
      <c r="IM414" s="12" t="s">
        <v>37</v>
      </c>
      <c r="IO414" s="12" t="s">
        <v>37</v>
      </c>
      <c r="IP414" s="12" t="s">
        <v>37</v>
      </c>
      <c r="IQ414" s="12" t="s">
        <v>37</v>
      </c>
      <c r="IV414" s="32" t="s">
        <v>345</v>
      </c>
      <c r="IW414" s="12">
        <v>3.6</v>
      </c>
      <c r="IX414" s="12">
        <v>0.06</v>
      </c>
      <c r="IY414" s="13">
        <v>5</v>
      </c>
      <c r="IZ414" s="19">
        <f t="shared" ref="IZ414" si="1547">IX414/IW414</f>
        <v>1.6666666666666666E-2</v>
      </c>
      <c r="JA414" s="12">
        <v>3.7</v>
      </c>
      <c r="JB414" s="12">
        <v>0.06</v>
      </c>
      <c r="JC414" s="13">
        <v>5</v>
      </c>
      <c r="JD414" s="19">
        <f t="shared" ref="JD414" si="1548">JB414/JA414</f>
        <v>1.6216216216216214E-2</v>
      </c>
      <c r="JE414" s="19">
        <f t="shared" ref="JE414" si="1549">LN(JA414/IW414)</f>
        <v>2.7398974188114562E-2</v>
      </c>
      <c r="JF414" s="19">
        <f t="shared" ref="JF414" si="1550">JB414^2/(JC414*JA414^2)+IX414^2/(IY414*IW414^2)</f>
        <v>1.081486892297703E-4</v>
      </c>
      <c r="JH414" s="12" t="s">
        <v>37</v>
      </c>
      <c r="JI414" s="12" t="s">
        <v>37</v>
      </c>
      <c r="JJ414" s="13" t="s">
        <v>37</v>
      </c>
      <c r="JL414" s="12" t="s">
        <v>37</v>
      </c>
      <c r="JM414" s="12" t="s">
        <v>37</v>
      </c>
      <c r="JN414" s="12" t="s">
        <v>37</v>
      </c>
      <c r="JS414" s="12" t="s">
        <v>37</v>
      </c>
      <c r="JT414" s="12" t="s">
        <v>37</v>
      </c>
      <c r="JU414" s="13" t="s">
        <v>37</v>
      </c>
      <c r="JW414" s="12" t="s">
        <v>37</v>
      </c>
      <c r="JX414" s="12" t="s">
        <v>37</v>
      </c>
      <c r="JY414" s="12" t="s">
        <v>37</v>
      </c>
      <c r="KE414" s="12" t="s">
        <v>37</v>
      </c>
      <c r="KF414" s="12" t="s">
        <v>37</v>
      </c>
      <c r="KG414" s="13" t="s">
        <v>37</v>
      </c>
      <c r="KH414" s="12" t="s">
        <v>37</v>
      </c>
      <c r="KI414" s="12" t="s">
        <v>37</v>
      </c>
      <c r="KJ414" s="12" t="s">
        <v>37</v>
      </c>
      <c r="KK414" s="12" t="s">
        <v>42</v>
      </c>
      <c r="KL414" s="32" t="s">
        <v>345</v>
      </c>
      <c r="KM414" s="12">
        <v>12.75</v>
      </c>
      <c r="KN414" s="12">
        <v>3</v>
      </c>
      <c r="KO414" s="11">
        <v>5</v>
      </c>
      <c r="KP414" s="19">
        <f t="shared" ref="KP414" si="1551">KN414/KM414</f>
        <v>0.23529411764705882</v>
      </c>
      <c r="KQ414" s="12">
        <v>18</v>
      </c>
      <c r="KR414" s="12">
        <v>1.5</v>
      </c>
      <c r="KS414" s="13">
        <v>5</v>
      </c>
      <c r="KT414" s="19">
        <f t="shared" ref="KT414" si="1552">KR414/KQ414</f>
        <v>8.3333333333333329E-2</v>
      </c>
      <c r="KU414" s="19">
        <f t="shared" ref="KU414" si="1553">LN(KQ414/KM414)</f>
        <v>0.34484048629172959</v>
      </c>
      <c r="KV414" s="19">
        <f t="shared" ref="KV414" si="1554">KR414^2/(KS414*KQ414^2)+KN414^2/(KO414*KM414^2)</f>
        <v>1.246155324875048E-2</v>
      </c>
      <c r="KX414" s="12" t="s">
        <v>37</v>
      </c>
      <c r="KY414" s="12" t="s">
        <v>37</v>
      </c>
      <c r="KZ414" s="13" t="s">
        <v>37</v>
      </c>
      <c r="LB414" s="12" t="s">
        <v>37</v>
      </c>
      <c r="LC414" s="12" t="s">
        <v>37</v>
      </c>
      <c r="LD414" s="13" t="s">
        <v>37</v>
      </c>
      <c r="LI414" s="12" t="s">
        <v>37</v>
      </c>
      <c r="LJ414" s="12" t="s">
        <v>37</v>
      </c>
      <c r="LK414" s="12" t="s">
        <v>37</v>
      </c>
      <c r="LM414" s="12" t="s">
        <v>37</v>
      </c>
      <c r="LN414" s="12" t="s">
        <v>37</v>
      </c>
      <c r="LO414" s="12" t="s">
        <v>37</v>
      </c>
      <c r="LT414" s="12" t="str">
        <f t="shared" ref="LT414" si="1555">KL414</f>
        <v>0-10</v>
      </c>
      <c r="LU414" s="12">
        <f>AT414/KM414</f>
        <v>43.264637641599556</v>
      </c>
      <c r="LV414" s="12">
        <f>SQRT((1/KM414)^2*AU414^2+AT414^2*(-1/KM414^2)^2*KN414^2)</f>
        <v>10.229609730053276</v>
      </c>
      <c r="LW414" s="13">
        <f t="shared" ref="LW414" si="1556">KO414</f>
        <v>5</v>
      </c>
      <c r="LX414" s="19">
        <f>LV414/LU414</f>
        <v>0.23644274603186236</v>
      </c>
      <c r="LY414" s="12">
        <f>AX414/KQ414</f>
        <v>29.807940190770822</v>
      </c>
      <c r="LZ414" s="12">
        <f>SQRT((1/KQ414)^2*AY414^2+AX414^2*(-1/KQ414^2)^2*KR414^2)</f>
        <v>2.5549796714292889</v>
      </c>
      <c r="MA414" s="13">
        <f>KS414</f>
        <v>5</v>
      </c>
      <c r="MB414" s="19">
        <f>LZ414/LY414</f>
        <v>8.5714734231128312E-2</v>
      </c>
      <c r="MC414" s="19">
        <f>LN(LY414/LU414)</f>
        <v>-0.37256081132469437</v>
      </c>
      <c r="MD414" s="19">
        <f t="shared" ref="MD414" si="1557">LZ414^2/(MA414*LY414^2)+LV414^2/(LW414*LU414^2)</f>
        <v>1.2650437563080144E-2</v>
      </c>
      <c r="MF414" s="12" t="s">
        <v>37</v>
      </c>
      <c r="MG414" s="12" t="s">
        <v>37</v>
      </c>
      <c r="MH414" s="12" t="s">
        <v>37</v>
      </c>
      <c r="MI414" s="12"/>
      <c r="MJ414" s="12" t="s">
        <v>37</v>
      </c>
      <c r="MK414" s="12" t="s">
        <v>37</v>
      </c>
      <c r="ML414" s="12" t="s">
        <v>37</v>
      </c>
      <c r="MM414" s="12"/>
      <c r="MN414" s="12"/>
      <c r="MO414" s="12"/>
      <c r="MQ414" s="12" t="s">
        <v>37</v>
      </c>
      <c r="MR414" s="12" t="s">
        <v>37</v>
      </c>
      <c r="MS414" s="12" t="s">
        <v>37</v>
      </c>
      <c r="MU414" s="12" t="s">
        <v>37</v>
      </c>
      <c r="MV414" s="12" t="s">
        <v>37</v>
      </c>
      <c r="MW414" s="12" t="s">
        <v>37</v>
      </c>
      <c r="NB414" s="19"/>
      <c r="NC414" s="12" t="s">
        <v>37</v>
      </c>
      <c r="ND414" s="12" t="s">
        <v>37</v>
      </c>
      <c r="NE414" s="12" t="s">
        <v>37</v>
      </c>
      <c r="NG414" s="12" t="s">
        <v>37</v>
      </c>
      <c r="NH414" s="12" t="s">
        <v>37</v>
      </c>
      <c r="NI414" s="12" t="s">
        <v>37</v>
      </c>
      <c r="NN414" s="19"/>
      <c r="NO414" s="12" t="s">
        <v>37</v>
      </c>
      <c r="NP414" s="12" t="s">
        <v>37</v>
      </c>
      <c r="NQ414" s="12" t="s">
        <v>37</v>
      </c>
      <c r="NS414" s="12" t="s">
        <v>37</v>
      </c>
      <c r="NT414" s="12" t="s">
        <v>37</v>
      </c>
      <c r="NU414" s="12" t="s">
        <v>37</v>
      </c>
      <c r="NZ414" s="19"/>
      <c r="OA414" s="12" t="s">
        <v>37</v>
      </c>
      <c r="OB414" s="12" t="s">
        <v>37</v>
      </c>
      <c r="OC414" s="12" t="s">
        <v>37</v>
      </c>
      <c r="OD414" s="12"/>
      <c r="OE414" s="12" t="s">
        <v>37</v>
      </c>
      <c r="OF414" s="12" t="s">
        <v>37</v>
      </c>
      <c r="OG414" s="12" t="s">
        <v>37</v>
      </c>
      <c r="OH414" s="12"/>
      <c r="OI414" s="12"/>
      <c r="OJ414" s="12"/>
      <c r="OM414" s="12" t="s">
        <v>37</v>
      </c>
      <c r="ON414" s="12" t="s">
        <v>37</v>
      </c>
      <c r="OO414" s="12" t="s">
        <v>37</v>
      </c>
      <c r="OP414" s="12" t="s">
        <v>37</v>
      </c>
      <c r="OQ414" s="12" t="s">
        <v>37</v>
      </c>
      <c r="OR414" s="12" t="s">
        <v>37</v>
      </c>
      <c r="OS414" s="12"/>
      <c r="OT414" s="12"/>
      <c r="OW414" s="12" t="s">
        <v>37</v>
      </c>
      <c r="OX414" s="12" t="s">
        <v>37</v>
      </c>
      <c r="OY414" s="13" t="s">
        <v>37</v>
      </c>
      <c r="OZ414" s="12" t="s">
        <v>37</v>
      </c>
      <c r="PA414" s="12" t="s">
        <v>37</v>
      </c>
      <c r="PB414" s="13" t="s">
        <v>37</v>
      </c>
      <c r="PG414" s="11" t="s">
        <v>37</v>
      </c>
      <c r="PH414" s="11" t="s">
        <v>37</v>
      </c>
      <c r="PI414" s="13" t="s">
        <v>37</v>
      </c>
      <c r="PJ414" s="11" t="s">
        <v>37</v>
      </c>
      <c r="PK414" s="11" t="s">
        <v>37</v>
      </c>
      <c r="PL414" s="13" t="s">
        <v>37</v>
      </c>
      <c r="PQ414" s="12" t="s">
        <v>37</v>
      </c>
      <c r="PR414" s="12" t="s">
        <v>37</v>
      </c>
      <c r="PS414" s="12" t="s">
        <v>37</v>
      </c>
      <c r="PT414" s="12" t="s">
        <v>37</v>
      </c>
      <c r="PU414" s="12" t="s">
        <v>37</v>
      </c>
      <c r="PV414" s="12" t="s">
        <v>37</v>
      </c>
      <c r="PW414" s="12"/>
      <c r="PX414" s="12"/>
      <c r="PZ414" s="12" t="s">
        <v>37</v>
      </c>
      <c r="QA414" s="12" t="s">
        <v>37</v>
      </c>
      <c r="QB414" s="11" t="s">
        <v>37</v>
      </c>
      <c r="QD414" s="12" t="s">
        <v>37</v>
      </c>
      <c r="QE414" s="12" t="s">
        <v>37</v>
      </c>
      <c r="QF414" s="12" t="s">
        <v>37</v>
      </c>
      <c r="QK414" s="12" t="s">
        <v>37</v>
      </c>
      <c r="QL414" s="12" t="s">
        <v>37</v>
      </c>
      <c r="QM414" s="12" t="s">
        <v>37</v>
      </c>
      <c r="QN414" s="12" t="s">
        <v>37</v>
      </c>
      <c r="QO414" s="12" t="s">
        <v>37</v>
      </c>
      <c r="QP414" s="12" t="s">
        <v>37</v>
      </c>
      <c r="QQ414" s="12"/>
      <c r="QR414" s="12"/>
      <c r="QU414" s="12" t="s">
        <v>37</v>
      </c>
      <c r="QV414" s="12" t="s">
        <v>37</v>
      </c>
      <c r="QW414" s="12" t="s">
        <v>37</v>
      </c>
      <c r="QX414" s="12" t="s">
        <v>37</v>
      </c>
      <c r="QY414" s="12" t="s">
        <v>37</v>
      </c>
      <c r="QZ414" s="12" t="s">
        <v>37</v>
      </c>
      <c r="RC414" s="12" t="s">
        <v>37</v>
      </c>
      <c r="RD414" s="12" t="s">
        <v>37</v>
      </c>
      <c r="RE414" s="13" t="s">
        <v>37</v>
      </c>
      <c r="RF414" s="12" t="s">
        <v>37</v>
      </c>
      <c r="RG414" s="12" t="s">
        <v>37</v>
      </c>
      <c r="RH414" s="13" t="s">
        <v>37</v>
      </c>
      <c r="RK414" s="12" t="s">
        <v>37</v>
      </c>
      <c r="RL414" s="12" t="s">
        <v>37</v>
      </c>
      <c r="RM414" s="11" t="s">
        <v>37</v>
      </c>
      <c r="RN414" s="12" t="s">
        <v>37</v>
      </c>
      <c r="RO414" s="12" t="s">
        <v>37</v>
      </c>
      <c r="RP414" s="11" t="s">
        <v>37</v>
      </c>
      <c r="RS414" s="12" t="s">
        <v>37</v>
      </c>
      <c r="RT414" s="12" t="s">
        <v>37</v>
      </c>
      <c r="RU414" s="12" t="s">
        <v>37</v>
      </c>
      <c r="RV414" s="12" t="s">
        <v>37</v>
      </c>
      <c r="RW414" s="12" t="s">
        <v>37</v>
      </c>
      <c r="RX414" s="12" t="s">
        <v>37</v>
      </c>
      <c r="SA414" s="12" t="s">
        <v>37</v>
      </c>
      <c r="SB414" s="12" t="s">
        <v>37</v>
      </c>
      <c r="SC414" s="12" t="s">
        <v>37</v>
      </c>
      <c r="SD414" s="12" t="s">
        <v>37</v>
      </c>
      <c r="SE414" s="12" t="s">
        <v>37</v>
      </c>
      <c r="SF414" s="12" t="s">
        <v>37</v>
      </c>
      <c r="SI414" s="12" t="s">
        <v>37</v>
      </c>
      <c r="SJ414" s="12" t="s">
        <v>37</v>
      </c>
      <c r="SK414" s="13" t="s">
        <v>37</v>
      </c>
      <c r="SM414" s="12" t="s">
        <v>37</v>
      </c>
      <c r="SN414" s="12" t="s">
        <v>37</v>
      </c>
      <c r="SO414" s="13" t="s">
        <v>37</v>
      </c>
      <c r="SU414" s="12" t="s">
        <v>37</v>
      </c>
      <c r="SV414" s="12" t="s">
        <v>37</v>
      </c>
      <c r="SW414" s="11" t="s">
        <v>37</v>
      </c>
      <c r="SX414" s="12" t="s">
        <v>37</v>
      </c>
      <c r="SY414" s="12" t="s">
        <v>37</v>
      </c>
      <c r="SZ414" s="11" t="s">
        <v>37</v>
      </c>
      <c r="TE414" s="12" t="s">
        <v>37</v>
      </c>
      <c r="TF414" s="12" t="s">
        <v>37</v>
      </c>
      <c r="TG414" s="11" t="s">
        <v>37</v>
      </c>
      <c r="TH414" s="12" t="s">
        <v>37</v>
      </c>
      <c r="TI414" s="12" t="s">
        <v>37</v>
      </c>
      <c r="TJ414" s="11" t="s">
        <v>37</v>
      </c>
      <c r="TO414" s="12" t="s">
        <v>37</v>
      </c>
      <c r="TP414" s="12" t="s">
        <v>37</v>
      </c>
      <c r="TQ414" s="11" t="s">
        <v>37</v>
      </c>
      <c r="TR414" s="12" t="s">
        <v>37</v>
      </c>
      <c r="TS414" s="12" t="s">
        <v>37</v>
      </c>
      <c r="TT414" s="11" t="s">
        <v>37</v>
      </c>
      <c r="TY414" s="12" t="s">
        <v>37</v>
      </c>
      <c r="TZ414" s="12" t="s">
        <v>37</v>
      </c>
      <c r="UA414" s="12" t="s">
        <v>37</v>
      </c>
      <c r="UB414" s="12" t="s">
        <v>37</v>
      </c>
      <c r="UC414" s="12" t="s">
        <v>37</v>
      </c>
      <c r="UD414" s="12" t="s">
        <v>37</v>
      </c>
      <c r="UE414" s="12"/>
      <c r="UF414" s="12"/>
      <c r="UI414" s="12" t="s">
        <v>37</v>
      </c>
      <c r="UJ414" s="12" t="s">
        <v>37</v>
      </c>
      <c r="UK414" s="12" t="s">
        <v>37</v>
      </c>
      <c r="UL414" s="12" t="s">
        <v>37</v>
      </c>
      <c r="UN414" s="12" t="s">
        <v>37</v>
      </c>
      <c r="UO414" s="12"/>
      <c r="UP414" s="12"/>
      <c r="UR414" s="12" t="s">
        <v>37</v>
      </c>
      <c r="US414" s="12" t="s">
        <v>37</v>
      </c>
      <c r="UT414" s="12" t="s">
        <v>37</v>
      </c>
      <c r="UU414" s="12" t="s">
        <v>37</v>
      </c>
      <c r="UV414" s="12" t="s">
        <v>37</v>
      </c>
      <c r="UW414" s="12" t="s">
        <v>37</v>
      </c>
      <c r="UX414" s="12"/>
      <c r="UY414" s="12"/>
      <c r="VB414" s="12" t="s">
        <v>37</v>
      </c>
      <c r="VC414" s="12" t="s">
        <v>37</v>
      </c>
      <c r="VD414" s="12" t="s">
        <v>37</v>
      </c>
      <c r="VE414" s="12" t="s">
        <v>37</v>
      </c>
      <c r="VG414" s="12" t="s">
        <v>37</v>
      </c>
      <c r="VI414" s="12" t="s">
        <v>37</v>
      </c>
      <c r="VJ414" s="12" t="s">
        <v>37</v>
      </c>
      <c r="VK414" s="12" t="s">
        <v>37</v>
      </c>
      <c r="VL414" s="12" t="s">
        <v>37</v>
      </c>
      <c r="VM414" s="12" t="s">
        <v>37</v>
      </c>
      <c r="VN414" s="12" t="s">
        <v>37</v>
      </c>
      <c r="VQ414" s="13" t="s">
        <v>37</v>
      </c>
      <c r="VR414" s="13" t="s">
        <v>37</v>
      </c>
      <c r="VS414" s="13" t="s">
        <v>37</v>
      </c>
      <c r="VT414" s="13" t="s">
        <v>37</v>
      </c>
      <c r="VU414" s="13" t="s">
        <v>37</v>
      </c>
      <c r="VV414" s="13" t="s">
        <v>37</v>
      </c>
      <c r="WA414" s="12"/>
      <c r="WB414" s="12"/>
      <c r="WC414" s="13" t="s">
        <v>37</v>
      </c>
      <c r="WD414" s="13" t="s">
        <v>37</v>
      </c>
      <c r="WE414" s="13" t="s">
        <v>37</v>
      </c>
      <c r="WF414" s="13" t="s">
        <v>37</v>
      </c>
      <c r="WG414" s="13"/>
      <c r="WH414" s="13"/>
    </row>
    <row r="415" spans="1:606" ht="18" customHeight="1" x14ac:dyDescent="0.3">
      <c r="A415" s="11">
        <v>93</v>
      </c>
      <c r="B415" s="16" t="s">
        <v>634</v>
      </c>
      <c r="C415" s="12" t="s">
        <v>26</v>
      </c>
      <c r="D415" s="84" t="s">
        <v>973</v>
      </c>
      <c r="E415" s="40">
        <v>5.5</v>
      </c>
      <c r="F415" s="14">
        <v>0</v>
      </c>
      <c r="G415" s="14">
        <v>0</v>
      </c>
      <c r="H415" s="12" t="s">
        <v>91</v>
      </c>
      <c r="I415" s="29">
        <v>49.232999999999997</v>
      </c>
      <c r="J415" s="29">
        <v>-68.466999999999999</v>
      </c>
      <c r="K415" s="29" t="s">
        <v>678</v>
      </c>
      <c r="L415" s="12" t="s">
        <v>1052</v>
      </c>
      <c r="M415" s="13" t="s">
        <v>37</v>
      </c>
      <c r="N415" s="13" t="s">
        <v>37</v>
      </c>
      <c r="O415" s="14">
        <v>1014.4</v>
      </c>
      <c r="P415" s="14" t="s">
        <v>16</v>
      </c>
      <c r="Q415" s="75">
        <v>1.5</v>
      </c>
      <c r="R415" s="11" t="s">
        <v>999</v>
      </c>
      <c r="S415" s="12" t="s">
        <v>93</v>
      </c>
      <c r="T415" s="12" t="s">
        <v>141</v>
      </c>
      <c r="U415" s="12" t="s">
        <v>158</v>
      </c>
      <c r="V415" s="12" t="s">
        <v>275</v>
      </c>
      <c r="W415" s="23" t="s">
        <v>635</v>
      </c>
      <c r="X415" s="12" t="s">
        <v>281</v>
      </c>
      <c r="Y415" s="12" t="s">
        <v>37</v>
      </c>
      <c r="Z415" s="12" t="s">
        <v>37</v>
      </c>
      <c r="AB415" s="12" t="s">
        <v>37</v>
      </c>
      <c r="AE415" s="12" t="s">
        <v>37</v>
      </c>
      <c r="AH415" s="12" t="s">
        <v>37</v>
      </c>
      <c r="AK415" s="12" t="s">
        <v>37</v>
      </c>
      <c r="AL415" s="32" t="s">
        <v>637</v>
      </c>
      <c r="AM415" s="12" t="s">
        <v>317</v>
      </c>
      <c r="AN415" s="32" t="s">
        <v>880</v>
      </c>
      <c r="AO415" s="12" t="s">
        <v>37</v>
      </c>
      <c r="AP415" s="12" t="s">
        <v>167</v>
      </c>
      <c r="AQ415" s="12" t="s">
        <v>975</v>
      </c>
      <c r="AT415" s="12" t="s">
        <v>326</v>
      </c>
      <c r="AU415" s="12" t="s">
        <v>326</v>
      </c>
      <c r="AV415" s="13" t="s">
        <v>326</v>
      </c>
      <c r="AX415" s="12" t="s">
        <v>326</v>
      </c>
      <c r="AY415" s="12" t="s">
        <v>326</v>
      </c>
      <c r="AZ415" s="13" t="s">
        <v>326</v>
      </c>
      <c r="BD415" s="12"/>
      <c r="BE415" s="12" t="s">
        <v>326</v>
      </c>
      <c r="BF415" s="12" t="s">
        <v>326</v>
      </c>
      <c r="BG415" s="12" t="s">
        <v>326</v>
      </c>
      <c r="BI415" s="12" t="s">
        <v>326</v>
      </c>
      <c r="BJ415" s="12" t="s">
        <v>326</v>
      </c>
      <c r="BK415" s="12" t="s">
        <v>326</v>
      </c>
      <c r="BP415" s="12" t="s">
        <v>37</v>
      </c>
      <c r="BQ415" s="12" t="s">
        <v>37</v>
      </c>
      <c r="BR415" s="12" t="s">
        <v>37</v>
      </c>
      <c r="BT415" s="12" t="s">
        <v>37</v>
      </c>
      <c r="BU415" s="12" t="s">
        <v>37</v>
      </c>
      <c r="BV415" s="12" t="s">
        <v>37</v>
      </c>
      <c r="BZ415" s="12" t="s">
        <v>47</v>
      </c>
      <c r="CA415" s="12">
        <f>-9883.21167883212*("2005/09/30"-"2005/05/01")/("2005/08/24"-"2005/05/26")/'[6]classess-1'!$T$60</f>
        <v>-17995.009527856251</v>
      </c>
      <c r="CB415" s="12">
        <f>SQRT((1/[7]Classess!$T$60)^2*(656.93430656932*("2005/09/30"-"2005/05/01")/("2005/08/24"-"2005/05/26"))^2+(-CA415/([7]Classess!$T$60)^2)^2*([7]Classess!$U$60)^2)</f>
        <v>1848.1534882558306</v>
      </c>
      <c r="CC415" s="13">
        <v>3</v>
      </c>
      <c r="CD415" s="19">
        <f t="shared" ref="CD415:CD416" si="1558">CB415/ABS(CA415)</f>
        <v>0.10270366822506492</v>
      </c>
      <c r="CE415" s="12">
        <f>-1172.74939172749*("2005/09/30"-"2005/05/01")/("2005/08/24"-"2005/05/26")/'[6]classess-1'!$T$61</f>
        <v>-2054.5525514059905</v>
      </c>
      <c r="CF415" s="12">
        <f>SQRT((1/[7]Classess!$T$61)^2*(1605.8394160584*("2005/09/30"-"2005/05/01")/("2005/08/24"-"2005/05/26"))^2+(-CE415/([7]Classess!$T$61)^2)^2*([7]Classess!$U$61)^2)</f>
        <v>2813.7544962882453</v>
      </c>
      <c r="CG415" s="13">
        <v>3</v>
      </c>
      <c r="CH415" s="19">
        <f t="shared" ref="CH415:CH417" si="1559">CF415/ABS(CE415)</f>
        <v>1.3695217941068047</v>
      </c>
      <c r="CI415" s="75">
        <f>CE415-CA415</f>
        <v>15940.456976450261</v>
      </c>
      <c r="CJ415" s="12">
        <f t="shared" ref="CJ415:CJ419" si="1560">SQRT(((CC415-1)*CB415^2+(CG415-1)*CF415^2)/(CC415+CG415-2))</f>
        <v>2380.4291295409857</v>
      </c>
      <c r="CK415" s="72">
        <f t="shared" ref="CK415:CK419" si="1561">(((CC415+CG415)/(CC415*CG415))*(((CC415-1)*CB415^2)+(CG415-1)*CF415^2)/(CC415+CG415-2))</f>
        <v>3777628.5605115034</v>
      </c>
      <c r="CL415" s="72">
        <f t="shared" ref="CL415:CL419" si="1562">(CB415^2/CC415)+(CF415^2/CG415)</f>
        <v>3777628.5605115038</v>
      </c>
      <c r="CM415" s="12" t="s">
        <v>47</v>
      </c>
      <c r="CN415" s="12">
        <f>(DA415-CA415)</f>
        <v>11579.692563738146</v>
      </c>
      <c r="CO415" s="12">
        <f>SQRT(CB415^2+DB415^2)</f>
        <v>6378.0768142690904</v>
      </c>
      <c r="CP415" s="13">
        <v>3</v>
      </c>
      <c r="CQ415" s="19">
        <f>CO415/ABS(CN415)</f>
        <v>0.55079845852229825</v>
      </c>
      <c r="CR415" s="12">
        <f>(DE415-CE415)</f>
        <v>3447.3943707861481</v>
      </c>
      <c r="CS415" s="12">
        <f>SQRT(CF415^2+DF415^2)</f>
        <v>3117.4820932763982</v>
      </c>
      <c r="CT415" s="13">
        <v>3</v>
      </c>
      <c r="CU415" s="19">
        <f t="shared" ref="CU415:CU417" si="1563">CS415/ABS(CR415)</f>
        <v>0.90430097574403234</v>
      </c>
      <c r="CV415" s="75">
        <f t="shared" ref="CV415:CV419" si="1564">CR415-CN415</f>
        <v>-8132.2981929519983</v>
      </c>
      <c r="CW415" s="12">
        <f t="shared" ref="CW415:CW419" si="1565">SQRT(((CP415-1)*CO415^2+(CT415-1)*CS415^2)/(CP415+CT415-2))</f>
        <v>5019.8883678133689</v>
      </c>
      <c r="CX415" s="72">
        <f t="shared" ref="CX415:CX419" si="1566">(((CP415+CT415)/(CP415*CT415))*(((CP415-1)*CO415^2)+(CT415-1)*CS415^2)/(CP415+CT415-2))</f>
        <v>16799519.483538646</v>
      </c>
      <c r="CY415" s="72">
        <f t="shared" ref="CY415:CY419" si="1567">(CO415^2/CP415)+(CS415^2/CT415)</f>
        <v>16799519.48353865</v>
      </c>
      <c r="CZ415" s="12" t="s">
        <v>47</v>
      </c>
      <c r="DA415" s="12">
        <f>-4554.74452554744*("2005/09/30"-"2005/05/01")/("2005/08/24"-"2005/05/26")/'[6]classess-1'!$I$14</f>
        <v>-6415.3169641181039</v>
      </c>
      <c r="DB415" s="12">
        <f>SQRT((1/[7]Classess!$I$14)^2*(875.912408759123*("2005/09/30"-"2005/05/01")/("2005/08/24"-"2005/05/26"))^2+(-DA415/([7]Classess!$I$14)^2)^2*([7]Classess!$J$14)^2)</f>
        <v>6104.4403947098008</v>
      </c>
      <c r="DC415" s="13">
        <v>3</v>
      </c>
      <c r="DD415" s="19">
        <f t="shared" ref="DD415:DD419" si="1568">DB415/ABS(DA415)</f>
        <v>0.95154151055246594</v>
      </c>
      <c r="DE415" s="12">
        <f>1309.00243309003*("2005/09/30"-"2005/05/01")/("2005/08/24"-"2005/05/26")/'[6]classess-1'!$I$15</f>
        <v>1392.8418193801579</v>
      </c>
      <c r="DF415" s="12">
        <f>SQRT((1/[7]Classess!$I$15)^2*(1240.87591240876*("2005/09/30"-"2005/05/01")/("2005/08/24"-"2005/05/26"))^2+(-DE415/([7]Classess!$I$15)^2)^2*([7]Classess!$J$15)^2)</f>
        <v>1342.1923247123252</v>
      </c>
      <c r="DG415" s="13">
        <v>3</v>
      </c>
      <c r="DH415" s="19">
        <f t="shared" si="1526"/>
        <v>0.96363586017946201</v>
      </c>
      <c r="DI415" s="19">
        <f>DE415-DA415</f>
        <v>7808.158783498262</v>
      </c>
      <c r="DJ415" s="12">
        <f t="shared" ref="DJ415:DJ425" si="1569">SQRT(((DC415-1)*DB415^2+(DG415-1)*DF415^2)/(DC415+DG415-2))</f>
        <v>4419.5968576942305</v>
      </c>
      <c r="DK415" s="72">
        <f t="shared" ref="DK415:DK425" si="1570">(((DC415+DG415)/(DC415*DG415))*(((DC415-1)*DB415^2)+(DG415-1)*DF415^2)/(DC415+DG415-2))</f>
        <v>13021890.923027143</v>
      </c>
      <c r="DL415" s="72">
        <f t="shared" ref="DL415:DL425" si="1571">(DB415^2/DC415)+(DF415^2/DG415)</f>
        <v>13021890.923027143</v>
      </c>
      <c r="DN415" s="19" t="s">
        <v>37</v>
      </c>
      <c r="DO415" s="12" t="s">
        <v>37</v>
      </c>
      <c r="DP415" s="13" t="s">
        <v>37</v>
      </c>
      <c r="DR415" s="19" t="s">
        <v>37</v>
      </c>
      <c r="DS415" s="12" t="s">
        <v>37</v>
      </c>
      <c r="DT415" s="13" t="s">
        <v>37</v>
      </c>
      <c r="EA415" s="19" t="s">
        <v>37</v>
      </c>
      <c r="EB415" s="19" t="s">
        <v>37</v>
      </c>
      <c r="EC415" s="72" t="s">
        <v>37</v>
      </c>
      <c r="EE415" s="19" t="s">
        <v>37</v>
      </c>
      <c r="EF415" s="19" t="s">
        <v>37</v>
      </c>
      <c r="EG415" s="12" t="s">
        <v>37</v>
      </c>
      <c r="EM415" s="12" t="s">
        <v>39</v>
      </c>
      <c r="EN415" s="12">
        <v>-15.24193548387095</v>
      </c>
      <c r="EO415" s="12">
        <v>0.79834636585576813</v>
      </c>
      <c r="EP415" s="13">
        <v>3</v>
      </c>
      <c r="EQ415" s="19">
        <f t="shared" si="1460"/>
        <v>5.2378280087891728E-2</v>
      </c>
      <c r="ER415" s="12">
        <v>-86.747311827956878</v>
      </c>
      <c r="ES415" s="12">
        <v>35.741792340849045</v>
      </c>
      <c r="ET415" s="13">
        <v>3</v>
      </c>
      <c r="EU415" s="19">
        <f t="shared" si="1461"/>
        <v>0.41202190117123838</v>
      </c>
      <c r="EV415" s="19">
        <f t="shared" si="1531"/>
        <v>-71.505376344085931</v>
      </c>
      <c r="EW415" s="12">
        <f t="shared" si="1532"/>
        <v>25.27956760564004</v>
      </c>
      <c r="EX415" s="19">
        <f t="shared" si="1533"/>
        <v>426.03769221875018</v>
      </c>
      <c r="EY415" s="19">
        <f t="shared" si="1534"/>
        <v>426.03769221875018</v>
      </c>
      <c r="FB415" s="12" t="s">
        <v>37</v>
      </c>
      <c r="FC415" s="12" t="s">
        <v>37</v>
      </c>
      <c r="FD415" s="11" t="s">
        <v>37</v>
      </c>
      <c r="FE415" s="12" t="s">
        <v>37</v>
      </c>
      <c r="FF415" s="20" t="s">
        <v>37</v>
      </c>
      <c r="FG415" s="11" t="s">
        <v>37</v>
      </c>
      <c r="FI415" s="12" t="s">
        <v>37</v>
      </c>
      <c r="FJ415" s="12" t="s">
        <v>37</v>
      </c>
      <c r="FK415" s="11" t="s">
        <v>37</v>
      </c>
      <c r="FL415" s="13" t="s">
        <v>37</v>
      </c>
      <c r="FM415" s="11" t="s">
        <v>37</v>
      </c>
      <c r="FN415" s="11" t="s">
        <v>37</v>
      </c>
      <c r="FP415" s="12" t="s">
        <v>37</v>
      </c>
      <c r="FQ415" s="12" t="s">
        <v>37</v>
      </c>
      <c r="FR415" s="11" t="s">
        <v>37</v>
      </c>
      <c r="FS415" s="13" t="s">
        <v>37</v>
      </c>
      <c r="FT415" s="11" t="s">
        <v>37</v>
      </c>
      <c r="FU415" s="11" t="s">
        <v>37</v>
      </c>
      <c r="FW415" s="12" t="s">
        <v>37</v>
      </c>
      <c r="FX415" s="12" t="s">
        <v>37</v>
      </c>
      <c r="FY415" s="11" t="s">
        <v>37</v>
      </c>
      <c r="FZ415" s="13" t="s">
        <v>37</v>
      </c>
      <c r="GA415" s="11" t="s">
        <v>37</v>
      </c>
      <c r="GB415" s="11" t="s">
        <v>37</v>
      </c>
      <c r="GC415" s="12" t="s">
        <v>101</v>
      </c>
      <c r="GD415" s="12" t="s">
        <v>616</v>
      </c>
      <c r="GE415" s="12">
        <v>31.840000000000003</v>
      </c>
      <c r="GF415" s="12">
        <v>9.1387876657683336</v>
      </c>
      <c r="GG415" s="13">
        <v>3</v>
      </c>
      <c r="GH415" s="19">
        <f t="shared" ref="GH415" si="1572">GF415/GE415</f>
        <v>0.2870222256836788</v>
      </c>
      <c r="GI415" s="12">
        <v>85.28</v>
      </c>
      <c r="GJ415" s="12">
        <v>0.90509667991878162</v>
      </c>
      <c r="GK415" s="13">
        <v>3</v>
      </c>
      <c r="GL415" s="19">
        <f t="shared" ref="GL415" si="1573">GJ415/GI415</f>
        <v>1.0613234989666764E-2</v>
      </c>
      <c r="GM415" s="19">
        <f t="shared" si="1543"/>
        <v>0.98521659944135209</v>
      </c>
      <c r="GN415" s="19">
        <f t="shared" si="1544"/>
        <v>2.7498132931119506E-2</v>
      </c>
      <c r="GS415" s="12"/>
      <c r="GW415" s="12"/>
      <c r="HA415" s="12" t="s">
        <v>37</v>
      </c>
      <c r="HB415" s="12" t="s">
        <v>37</v>
      </c>
      <c r="HC415" s="12" t="s">
        <v>37</v>
      </c>
      <c r="HD415" s="12" t="s">
        <v>37</v>
      </c>
      <c r="HE415" s="12"/>
      <c r="HF415" s="12"/>
      <c r="HG415" s="12" t="s">
        <v>37</v>
      </c>
      <c r="HH415" s="12" t="s">
        <v>37</v>
      </c>
      <c r="HI415" s="12" t="s">
        <v>37</v>
      </c>
      <c r="HJ415" s="12"/>
      <c r="HK415" s="12"/>
      <c r="HL415" s="12"/>
      <c r="HP415" s="12"/>
      <c r="HT415" s="12"/>
      <c r="IA415" s="12"/>
      <c r="IE415" s="12"/>
      <c r="IK415" s="12" t="s">
        <v>37</v>
      </c>
      <c r="IL415" s="12" t="s">
        <v>37</v>
      </c>
      <c r="IM415" s="12" t="s">
        <v>37</v>
      </c>
      <c r="IO415" s="12" t="s">
        <v>37</v>
      </c>
      <c r="IP415" s="12" t="s">
        <v>37</v>
      </c>
      <c r="IQ415" s="12" t="s">
        <v>37</v>
      </c>
      <c r="IW415" s="12" t="s">
        <v>37</v>
      </c>
      <c r="IX415" s="12" t="s">
        <v>37</v>
      </c>
      <c r="IY415" s="12" t="s">
        <v>37</v>
      </c>
      <c r="JA415" s="12" t="s">
        <v>37</v>
      </c>
      <c r="JB415" s="12" t="s">
        <v>37</v>
      </c>
      <c r="JC415" s="12" t="s">
        <v>37</v>
      </c>
      <c r="JH415" s="12" t="s">
        <v>37</v>
      </c>
      <c r="JI415" s="12" t="s">
        <v>37</v>
      </c>
      <c r="JJ415" s="13" t="s">
        <v>37</v>
      </c>
      <c r="JL415" s="12" t="s">
        <v>37</v>
      </c>
      <c r="JM415" s="12" t="s">
        <v>37</v>
      </c>
      <c r="JN415" s="12" t="s">
        <v>37</v>
      </c>
      <c r="JS415" s="12" t="s">
        <v>37</v>
      </c>
      <c r="JT415" s="12" t="s">
        <v>37</v>
      </c>
      <c r="JU415" s="13" t="s">
        <v>37</v>
      </c>
      <c r="JW415" s="12" t="s">
        <v>37</v>
      </c>
      <c r="JX415" s="12" t="s">
        <v>37</v>
      </c>
      <c r="JY415" s="12" t="s">
        <v>37</v>
      </c>
      <c r="KE415" s="12" t="s">
        <v>37</v>
      </c>
      <c r="KF415" s="12" t="s">
        <v>37</v>
      </c>
      <c r="KG415" s="13" t="s">
        <v>37</v>
      </c>
      <c r="KH415" s="12" t="s">
        <v>37</v>
      </c>
      <c r="KI415" s="12" t="s">
        <v>37</v>
      </c>
      <c r="KJ415" s="12" t="s">
        <v>37</v>
      </c>
      <c r="KM415" s="12" t="s">
        <v>37</v>
      </c>
      <c r="KN415" s="12" t="s">
        <v>37</v>
      </c>
      <c r="KO415" s="12" t="s">
        <v>37</v>
      </c>
      <c r="KQ415" s="12" t="s">
        <v>37</v>
      </c>
      <c r="KR415" s="12" t="s">
        <v>37</v>
      </c>
      <c r="KS415" s="12" t="s">
        <v>37</v>
      </c>
      <c r="KX415" s="12" t="s">
        <v>37</v>
      </c>
      <c r="KY415" s="12" t="s">
        <v>37</v>
      </c>
      <c r="KZ415" s="13" t="s">
        <v>37</v>
      </c>
      <c r="LB415" s="12" t="s">
        <v>37</v>
      </c>
      <c r="LC415" s="12" t="s">
        <v>37</v>
      </c>
      <c r="LD415" s="13" t="s">
        <v>37</v>
      </c>
      <c r="LI415" s="12" t="s">
        <v>37</v>
      </c>
      <c r="LJ415" s="12" t="s">
        <v>37</v>
      </c>
      <c r="LK415" s="12" t="s">
        <v>37</v>
      </c>
      <c r="LM415" s="12" t="s">
        <v>37</v>
      </c>
      <c r="LN415" s="12" t="s">
        <v>37</v>
      </c>
      <c r="LO415" s="12" t="s">
        <v>37</v>
      </c>
      <c r="LU415" s="12" t="s">
        <v>37</v>
      </c>
      <c r="LV415" s="12" t="s">
        <v>37</v>
      </c>
      <c r="LW415" s="13" t="s">
        <v>37</v>
      </c>
      <c r="LY415" s="12" t="s">
        <v>37</v>
      </c>
      <c r="LZ415" s="12" t="s">
        <v>37</v>
      </c>
      <c r="MA415" s="12" t="s">
        <v>37</v>
      </c>
      <c r="MF415" s="12" t="s">
        <v>37</v>
      </c>
      <c r="MG415" s="12" t="s">
        <v>37</v>
      </c>
      <c r="MH415" s="12" t="s">
        <v>37</v>
      </c>
      <c r="MJ415" s="12" t="s">
        <v>37</v>
      </c>
      <c r="MK415" s="12" t="s">
        <v>37</v>
      </c>
      <c r="ML415" s="12" t="s">
        <v>37</v>
      </c>
      <c r="MQ415" s="12" t="s">
        <v>37</v>
      </c>
      <c r="MR415" s="12" t="s">
        <v>37</v>
      </c>
      <c r="MS415" s="12" t="s">
        <v>37</v>
      </c>
      <c r="MU415" s="12" t="s">
        <v>37</v>
      </c>
      <c r="MV415" s="12" t="s">
        <v>37</v>
      </c>
      <c r="MW415" s="12" t="s">
        <v>37</v>
      </c>
      <c r="NC415" s="12" t="s">
        <v>37</v>
      </c>
      <c r="ND415" s="12" t="s">
        <v>37</v>
      </c>
      <c r="NE415" s="12" t="s">
        <v>37</v>
      </c>
      <c r="NG415" s="12" t="s">
        <v>37</v>
      </c>
      <c r="NH415" s="12" t="s">
        <v>37</v>
      </c>
      <c r="NI415" s="12" t="s">
        <v>37</v>
      </c>
      <c r="NO415" s="12" t="s">
        <v>37</v>
      </c>
      <c r="NP415" s="12" t="s">
        <v>37</v>
      </c>
      <c r="NQ415" s="12" t="s">
        <v>37</v>
      </c>
      <c r="NS415" s="12" t="s">
        <v>37</v>
      </c>
      <c r="NT415" s="12" t="s">
        <v>37</v>
      </c>
      <c r="NU415" s="12" t="s">
        <v>37</v>
      </c>
      <c r="OA415" s="12" t="s">
        <v>37</v>
      </c>
      <c r="OB415" s="12" t="s">
        <v>37</v>
      </c>
      <c r="OC415" s="12" t="s">
        <v>37</v>
      </c>
      <c r="OD415" s="12"/>
      <c r="OE415" s="12" t="s">
        <v>37</v>
      </c>
      <c r="OF415" s="12" t="s">
        <v>37</v>
      </c>
      <c r="OG415" s="12" t="s">
        <v>37</v>
      </c>
      <c r="OH415" s="12"/>
      <c r="OI415" s="12"/>
      <c r="OJ415" s="12"/>
      <c r="OM415" s="12" t="s">
        <v>37</v>
      </c>
      <c r="ON415" s="12" t="s">
        <v>37</v>
      </c>
      <c r="OO415" s="12" t="s">
        <v>37</v>
      </c>
      <c r="OP415" s="12" t="s">
        <v>37</v>
      </c>
      <c r="OQ415" s="12" t="s">
        <v>37</v>
      </c>
      <c r="OR415" s="12" t="s">
        <v>37</v>
      </c>
      <c r="OS415" s="12"/>
      <c r="OT415" s="12"/>
      <c r="OW415" s="12" t="s">
        <v>37</v>
      </c>
      <c r="OX415" s="12" t="s">
        <v>37</v>
      </c>
      <c r="OY415" s="13" t="s">
        <v>37</v>
      </c>
      <c r="OZ415" s="12" t="s">
        <v>37</v>
      </c>
      <c r="PA415" s="12" t="s">
        <v>37</v>
      </c>
      <c r="PB415" s="13" t="s">
        <v>37</v>
      </c>
      <c r="PG415" s="11" t="s">
        <v>37</v>
      </c>
      <c r="PH415" s="11" t="s">
        <v>37</v>
      </c>
      <c r="PI415" s="13" t="s">
        <v>37</v>
      </c>
      <c r="PJ415" s="11" t="s">
        <v>37</v>
      </c>
      <c r="PK415" s="11" t="s">
        <v>37</v>
      </c>
      <c r="PL415" s="13" t="s">
        <v>37</v>
      </c>
      <c r="PQ415" s="12" t="s">
        <v>37</v>
      </c>
      <c r="PR415" s="12" t="s">
        <v>37</v>
      </c>
      <c r="PS415" s="12" t="s">
        <v>37</v>
      </c>
      <c r="PT415" s="12" t="s">
        <v>37</v>
      </c>
      <c r="PU415" s="12" t="s">
        <v>37</v>
      </c>
      <c r="PV415" s="12" t="s">
        <v>37</v>
      </c>
      <c r="PW415" s="12"/>
      <c r="PX415" s="12"/>
      <c r="PZ415" s="12" t="s">
        <v>37</v>
      </c>
      <c r="QA415" s="12" t="s">
        <v>37</v>
      </c>
      <c r="QB415" s="11" t="s">
        <v>37</v>
      </c>
      <c r="QD415" s="12" t="s">
        <v>37</v>
      </c>
      <c r="QE415" s="12" t="s">
        <v>37</v>
      </c>
      <c r="QF415" s="12" t="s">
        <v>37</v>
      </c>
      <c r="QK415" s="12" t="s">
        <v>37</v>
      </c>
      <c r="QL415" s="12" t="s">
        <v>37</v>
      </c>
      <c r="QM415" s="12" t="s">
        <v>37</v>
      </c>
      <c r="QN415" s="12" t="s">
        <v>37</v>
      </c>
      <c r="QO415" s="12" t="s">
        <v>37</v>
      </c>
      <c r="QP415" s="12" t="s">
        <v>37</v>
      </c>
      <c r="QQ415" s="12"/>
      <c r="QR415" s="12"/>
      <c r="QU415" s="12" t="s">
        <v>37</v>
      </c>
      <c r="QV415" s="12" t="s">
        <v>37</v>
      </c>
      <c r="QW415" s="12" t="s">
        <v>37</v>
      </c>
      <c r="QX415" s="12" t="s">
        <v>37</v>
      </c>
      <c r="QY415" s="12" t="s">
        <v>37</v>
      </c>
      <c r="QZ415" s="12" t="s">
        <v>37</v>
      </c>
      <c r="RC415" s="12" t="s">
        <v>37</v>
      </c>
      <c r="RD415" s="12" t="s">
        <v>37</v>
      </c>
      <c r="RE415" s="13" t="s">
        <v>37</v>
      </c>
      <c r="RF415" s="12" t="s">
        <v>37</v>
      </c>
      <c r="RG415" s="12" t="s">
        <v>37</v>
      </c>
      <c r="RH415" s="13" t="s">
        <v>37</v>
      </c>
      <c r="RK415" s="12" t="s">
        <v>37</v>
      </c>
      <c r="RL415" s="12" t="s">
        <v>37</v>
      </c>
      <c r="RM415" s="11" t="s">
        <v>37</v>
      </c>
      <c r="RN415" s="12" t="s">
        <v>37</v>
      </c>
      <c r="RO415" s="12" t="s">
        <v>37</v>
      </c>
      <c r="RP415" s="11" t="s">
        <v>37</v>
      </c>
      <c r="RS415" s="12" t="s">
        <v>37</v>
      </c>
      <c r="RT415" s="12" t="s">
        <v>37</v>
      </c>
      <c r="RU415" s="12" t="s">
        <v>37</v>
      </c>
      <c r="RV415" s="12" t="s">
        <v>37</v>
      </c>
      <c r="RW415" s="12" t="s">
        <v>37</v>
      </c>
      <c r="RX415" s="12" t="s">
        <v>37</v>
      </c>
      <c r="SA415" s="12" t="s">
        <v>37</v>
      </c>
      <c r="SB415" s="12" t="s">
        <v>37</v>
      </c>
      <c r="SC415" s="12" t="s">
        <v>37</v>
      </c>
      <c r="SD415" s="12" t="s">
        <v>37</v>
      </c>
      <c r="SE415" s="12" t="s">
        <v>37</v>
      </c>
      <c r="SF415" s="12" t="s">
        <v>37</v>
      </c>
      <c r="SI415" s="12" t="s">
        <v>37</v>
      </c>
      <c r="SJ415" s="12" t="s">
        <v>37</v>
      </c>
      <c r="SK415" s="13" t="s">
        <v>37</v>
      </c>
      <c r="SM415" s="12" t="s">
        <v>37</v>
      </c>
      <c r="SN415" s="12" t="s">
        <v>37</v>
      </c>
      <c r="SO415" s="13" t="s">
        <v>37</v>
      </c>
      <c r="SU415" s="12" t="s">
        <v>37</v>
      </c>
      <c r="SV415" s="12" t="s">
        <v>37</v>
      </c>
      <c r="SW415" s="11" t="s">
        <v>37</v>
      </c>
      <c r="SX415" s="12" t="s">
        <v>37</v>
      </c>
      <c r="SY415" s="12" t="s">
        <v>37</v>
      </c>
      <c r="SZ415" s="11" t="s">
        <v>37</v>
      </c>
      <c r="TE415" s="12" t="s">
        <v>37</v>
      </c>
      <c r="TF415" s="12" t="s">
        <v>37</v>
      </c>
      <c r="TG415" s="11" t="s">
        <v>37</v>
      </c>
      <c r="TH415" s="12" t="s">
        <v>37</v>
      </c>
      <c r="TI415" s="12" t="s">
        <v>37</v>
      </c>
      <c r="TJ415" s="11" t="s">
        <v>37</v>
      </c>
      <c r="TO415" s="12" t="s">
        <v>37</v>
      </c>
      <c r="TP415" s="12" t="s">
        <v>37</v>
      </c>
      <c r="TQ415" s="11" t="s">
        <v>37</v>
      </c>
      <c r="TR415" s="12" t="s">
        <v>37</v>
      </c>
      <c r="TS415" s="12" t="s">
        <v>37</v>
      </c>
      <c r="TT415" s="11" t="s">
        <v>37</v>
      </c>
      <c r="TY415" s="12" t="s">
        <v>37</v>
      </c>
      <c r="TZ415" s="12" t="s">
        <v>37</v>
      </c>
      <c r="UA415" s="12" t="s">
        <v>37</v>
      </c>
      <c r="UB415" s="12" t="s">
        <v>37</v>
      </c>
      <c r="UC415" s="12" t="s">
        <v>37</v>
      </c>
      <c r="UD415" s="12" t="s">
        <v>37</v>
      </c>
      <c r="UE415" s="12"/>
      <c r="UF415" s="12"/>
      <c r="UI415" s="12" t="s">
        <v>37</v>
      </c>
      <c r="UJ415" s="12" t="s">
        <v>37</v>
      </c>
      <c r="UK415" s="12" t="s">
        <v>37</v>
      </c>
      <c r="UL415" s="12" t="s">
        <v>37</v>
      </c>
      <c r="UM415" s="12" t="s">
        <v>37</v>
      </c>
      <c r="UN415" s="12" t="s">
        <v>37</v>
      </c>
      <c r="UO415" s="12"/>
      <c r="UP415" s="12"/>
      <c r="UR415" s="12" t="s">
        <v>37</v>
      </c>
      <c r="US415" s="12" t="s">
        <v>37</v>
      </c>
      <c r="UT415" s="12" t="s">
        <v>37</v>
      </c>
      <c r="UU415" s="12" t="s">
        <v>37</v>
      </c>
      <c r="UV415" s="12" t="s">
        <v>37</v>
      </c>
      <c r="UW415" s="12" t="s">
        <v>37</v>
      </c>
      <c r="UX415" s="12"/>
      <c r="UY415" s="12"/>
      <c r="VB415" s="12" t="s">
        <v>37</v>
      </c>
      <c r="VC415" s="12" t="s">
        <v>37</v>
      </c>
      <c r="VD415" s="12" t="s">
        <v>37</v>
      </c>
      <c r="VE415" s="12" t="s">
        <v>37</v>
      </c>
      <c r="VF415" s="12" t="s">
        <v>37</v>
      </c>
      <c r="VG415" s="12" t="s">
        <v>37</v>
      </c>
      <c r="VI415" s="12" t="s">
        <v>37</v>
      </c>
      <c r="VJ415" s="12" t="s">
        <v>37</v>
      </c>
      <c r="VK415" s="12" t="s">
        <v>37</v>
      </c>
      <c r="VL415" s="12" t="s">
        <v>37</v>
      </c>
      <c r="VM415" s="12" t="s">
        <v>37</v>
      </c>
      <c r="VN415" s="12" t="s">
        <v>37</v>
      </c>
      <c r="VQ415" s="13" t="s">
        <v>37</v>
      </c>
      <c r="VR415" s="13" t="s">
        <v>37</v>
      </c>
      <c r="VS415" s="13" t="s">
        <v>37</v>
      </c>
      <c r="VT415" s="13" t="s">
        <v>37</v>
      </c>
      <c r="VU415" s="13" t="s">
        <v>37</v>
      </c>
      <c r="VV415" s="13" t="s">
        <v>37</v>
      </c>
      <c r="WA415" s="13" t="s">
        <v>37</v>
      </c>
      <c r="WB415" s="13" t="s">
        <v>37</v>
      </c>
      <c r="WC415" s="13" t="s">
        <v>37</v>
      </c>
      <c r="WD415" s="13" t="s">
        <v>37</v>
      </c>
      <c r="WE415" s="13" t="s">
        <v>37</v>
      </c>
      <c r="WF415" s="13" t="s">
        <v>37</v>
      </c>
    </row>
    <row r="416" spans="1:606" ht="18" customHeight="1" x14ac:dyDescent="0.3">
      <c r="A416" s="11">
        <v>94</v>
      </c>
      <c r="B416" s="16" t="s">
        <v>638</v>
      </c>
      <c r="C416" s="12" t="s">
        <v>26</v>
      </c>
      <c r="D416" s="12" t="s">
        <v>54</v>
      </c>
      <c r="E416" s="40" t="s">
        <v>37</v>
      </c>
      <c r="F416" s="14">
        <v>0</v>
      </c>
      <c r="G416" s="14">
        <v>0</v>
      </c>
      <c r="H416" s="12" t="s">
        <v>639</v>
      </c>
      <c r="I416" s="29">
        <v>48.975999999999999</v>
      </c>
      <c r="J416" s="29">
        <v>13.457000000000001</v>
      </c>
      <c r="K416" s="12" t="s">
        <v>785</v>
      </c>
      <c r="L416" s="12" t="s">
        <v>793</v>
      </c>
      <c r="M416" s="13">
        <v>1200</v>
      </c>
      <c r="N416" s="14">
        <v>3.2</v>
      </c>
      <c r="O416" s="14">
        <v>1200</v>
      </c>
      <c r="P416" s="14" t="s">
        <v>16</v>
      </c>
      <c r="Q416" s="75">
        <v>50</v>
      </c>
      <c r="R416" s="11" t="s">
        <v>1000</v>
      </c>
      <c r="S416" s="12" t="s">
        <v>93</v>
      </c>
      <c r="T416" s="12" t="s">
        <v>141</v>
      </c>
      <c r="U416" s="12" t="s">
        <v>158</v>
      </c>
      <c r="V416" s="12" t="s">
        <v>275</v>
      </c>
      <c r="W416" s="23" t="s">
        <v>640</v>
      </c>
      <c r="X416" s="12" t="s">
        <v>280</v>
      </c>
      <c r="Y416" s="12" t="s">
        <v>37</v>
      </c>
      <c r="Z416" s="12" t="s">
        <v>37</v>
      </c>
      <c r="AA416" s="32" t="s">
        <v>865</v>
      </c>
      <c r="AB416" s="12">
        <v>4.2</v>
      </c>
      <c r="AC416" s="12" t="s">
        <v>42</v>
      </c>
      <c r="AD416" s="32" t="s">
        <v>340</v>
      </c>
      <c r="AE416" s="12">
        <v>479</v>
      </c>
      <c r="AF416" s="12" t="s">
        <v>42</v>
      </c>
      <c r="AG416" s="32" t="s">
        <v>340</v>
      </c>
      <c r="AH416" s="12">
        <v>18.600000000000001</v>
      </c>
      <c r="AJ416" s="12" t="str">
        <f t="shared" ref="AJ416" si="1574">AD416</f>
        <v>0-30</v>
      </c>
      <c r="AK416" s="19">
        <f t="shared" ref="AK416" si="1575">AE416/AH416</f>
        <v>25.752688172043008</v>
      </c>
      <c r="AL416" s="32" t="s">
        <v>897</v>
      </c>
      <c r="AM416" s="12" t="s">
        <v>317</v>
      </c>
      <c r="AN416" s="32" t="s">
        <v>880</v>
      </c>
      <c r="AO416" s="12" t="s">
        <v>37</v>
      </c>
      <c r="AP416" s="12" t="s">
        <v>370</v>
      </c>
      <c r="AQ416" s="12" t="s">
        <v>975</v>
      </c>
      <c r="AR416" s="12" t="s">
        <v>42</v>
      </c>
      <c r="AS416" s="32" t="s">
        <v>340</v>
      </c>
      <c r="AT416" s="12">
        <v>479</v>
      </c>
      <c r="AU416" s="12">
        <v>15</v>
      </c>
      <c r="AV416" s="13">
        <v>5</v>
      </c>
      <c r="AW416" s="19">
        <f t="shared" ref="AW416:AW417" si="1576">AU416/AT416</f>
        <v>3.1315240083507306E-2</v>
      </c>
      <c r="AX416" s="12">
        <v>484</v>
      </c>
      <c r="AY416" s="12">
        <v>14</v>
      </c>
      <c r="AZ416" s="13">
        <v>5</v>
      </c>
      <c r="BA416" s="19">
        <f t="shared" ref="BA416:BA417" si="1577">AY416/AX416</f>
        <v>2.8925619834710745E-2</v>
      </c>
      <c r="BB416" s="52">
        <f t="shared" ref="BB416:BB417" si="1578">LN(AX416/AT416)</f>
        <v>1.0384309305716389E-2</v>
      </c>
      <c r="BC416" s="19">
        <f t="shared" ref="BC416:BC417" si="1579">AY416^2/(AZ416*AX416^2)+AU416^2/(AV416*AT416^2)</f>
        <v>3.6346714886198288E-4</v>
      </c>
      <c r="BD416" s="12"/>
      <c r="BE416" s="12" t="s">
        <v>326</v>
      </c>
      <c r="BF416" s="12" t="s">
        <v>326</v>
      </c>
      <c r="BG416" s="12" t="s">
        <v>326</v>
      </c>
      <c r="BI416" s="12" t="s">
        <v>326</v>
      </c>
      <c r="BJ416" s="12" t="s">
        <v>326</v>
      </c>
      <c r="BK416" s="12" t="s">
        <v>326</v>
      </c>
      <c r="BP416" s="12" t="s">
        <v>37</v>
      </c>
      <c r="BQ416" s="12" t="s">
        <v>37</v>
      </c>
      <c r="BR416" s="12" t="s">
        <v>37</v>
      </c>
      <c r="BT416" s="12" t="s">
        <v>37</v>
      </c>
      <c r="BU416" s="12" t="s">
        <v>37</v>
      </c>
      <c r="BV416" s="12" t="s">
        <v>37</v>
      </c>
      <c r="BZ416" s="12" t="s">
        <v>581</v>
      </c>
      <c r="CA416" s="12">
        <f>AVERAGEA(-470.2,-576.1)*10^4/10^3+[6]Classess!$BA$21</f>
        <v>-5231.5</v>
      </c>
      <c r="CB416" s="12">
        <f>SQRT((1/[7]Classess!$T$96)*(STDEVA(470.2,576.1)*10^4/10^3)^2+(-CA416/([7]Classess!$T$96)^2)^2*([7]Classess!$U$96)^2)</f>
        <v>774.59070169847246</v>
      </c>
      <c r="CC416" s="13">
        <v>5</v>
      </c>
      <c r="CD416" s="19">
        <f t="shared" si="1558"/>
        <v>0.14806283125269473</v>
      </c>
      <c r="CE416" s="12">
        <f>AVERAGEA(-415.4,-604.1, -1047.1)*10^4/10^3/'[6]classess-1'!$T$55</f>
        <v>-7422.0454386397278</v>
      </c>
      <c r="CF416" s="12">
        <f>SQRT((1/[7]Classess!$T$55)^2*(STDEVA(-415.4,-604.1, -1047.1)*10^4/10^3)^2+(-CE416/([7]Classess!$T$55)^2)^2*([7]Classess!$U$55)^2)</f>
        <v>3514.8314125090737</v>
      </c>
      <c r="CG416" s="13">
        <v>5</v>
      </c>
      <c r="CH416" s="19">
        <f t="shared" si="1559"/>
        <v>0.47356640990239651</v>
      </c>
      <c r="CI416" s="75">
        <f t="shared" ref="CI416:CI419" si="1580">CE416-CA416</f>
        <v>-2190.5454386397278</v>
      </c>
      <c r="CJ416" s="12">
        <f t="shared" si="1560"/>
        <v>2544.998095629765</v>
      </c>
      <c r="CK416" s="72">
        <f t="shared" si="1561"/>
        <v>2590806.1227036528</v>
      </c>
      <c r="CL416" s="72">
        <f t="shared" si="1562"/>
        <v>2590806.1227036524</v>
      </c>
      <c r="CM416" s="12" t="s">
        <v>581</v>
      </c>
      <c r="CN416" s="12">
        <f>AVERAGEA(250, 395.6)*10^4/10^3/'[6]classess-1'!$I$54</f>
        <v>4243.1025450256775</v>
      </c>
      <c r="CO416" s="12">
        <f>SQRT((1/[7]Classess!$I$54)^2*(STDEVA(250, 395.6)*10^4/10^3)^2+(-CN416/([7]Classess!$I$54)^2)^2*([7]Classess!$J$54)^2)</f>
        <v>1520.7492674654977</v>
      </c>
      <c r="CP416" s="13">
        <v>5</v>
      </c>
      <c r="CQ416" s="19">
        <f>CO416/ABS(CN416)</f>
        <v>0.35840502352419457</v>
      </c>
      <c r="CR416" s="12">
        <f>AVERAGEA(442.6, 444.1, 808.1)*10^4/10^3/'[6]classess-1'!$I$55</f>
        <v>7080.9624577142204</v>
      </c>
      <c r="CS416" s="12">
        <f>SQRT((1/[7]Classess!$I$55)^2*(STDEVA(442.6, 444.1, 808.1)*10^4/10^3)^2+(-CR416/([7]Classess!$I$55)^2)^2*([7]Classess!$J$55)^2)</f>
        <v>2727.0864177083622</v>
      </c>
      <c r="CT416" s="13">
        <v>5</v>
      </c>
      <c r="CU416" s="19">
        <f t="shared" si="1563"/>
        <v>0.38512934279680999</v>
      </c>
      <c r="CV416" s="75">
        <f>CR416-CN416</f>
        <v>2837.8599126885429</v>
      </c>
      <c r="CW416" s="12">
        <f t="shared" si="1565"/>
        <v>2207.9038321614321</v>
      </c>
      <c r="CX416" s="72">
        <f t="shared" si="1566"/>
        <v>1949935.7328292553</v>
      </c>
      <c r="CY416" s="72">
        <f t="shared" si="1567"/>
        <v>1949935.7328292551</v>
      </c>
      <c r="CZ416" s="12" t="s">
        <v>581</v>
      </c>
      <c r="DA416" s="12">
        <f>CA416+CN416</f>
        <v>-988.3974549743225</v>
      </c>
      <c r="DB416" s="12">
        <f>SQRT(CB416^2+CO416^2)</f>
        <v>1706.6543556486708</v>
      </c>
      <c r="DC416" s="13">
        <v>5</v>
      </c>
      <c r="DD416" s="19">
        <f t="shared" si="1568"/>
        <v>1.7266883347984823</v>
      </c>
      <c r="DE416" s="12">
        <f>CE416+CR416</f>
        <v>-341.0829809255074</v>
      </c>
      <c r="DF416" s="12">
        <f>SQRT(CF416^2+CS416^2)</f>
        <v>4448.7121943333168</v>
      </c>
      <c r="DG416" s="13">
        <v>5</v>
      </c>
      <c r="DH416" s="19">
        <f>DF416/ABS(DE416)</f>
        <v>13.042902880296207</v>
      </c>
      <c r="DI416" s="19">
        <f t="shared" ref="DI416:DI419" si="1581">DE416-DA416</f>
        <v>647.3144740488151</v>
      </c>
      <c r="DJ416" s="12">
        <f t="shared" si="1569"/>
        <v>3369.2513469363289</v>
      </c>
      <c r="DK416" s="72">
        <f t="shared" si="1570"/>
        <v>4540741.8555329069</v>
      </c>
      <c r="DL416" s="72">
        <f t="shared" si="1571"/>
        <v>4540741.8555329069</v>
      </c>
      <c r="DM416" s="12" t="s">
        <v>47</v>
      </c>
      <c r="DN416" s="19">
        <f>AVERAGEA(9.4,7.6)*10^4/10^3/'[1]classes-1'!$I$20</f>
        <v>102.39147844674257</v>
      </c>
      <c r="DO416" s="12">
        <f>SQRT((1/[2]Classes!$I$20)^2*(STDEVA(9.4,7.6)*10^4/10^3)^2+(-DN416/([2]Classes!$I$20)^2)^2*([2]Classes!$J$20)^2)</f>
        <v>25.149528090905832</v>
      </c>
      <c r="DP416" s="13">
        <v>5</v>
      </c>
      <c r="DQ416" s="19">
        <f>DO416/ABS(DN416)</f>
        <v>0.24562130044823011</v>
      </c>
      <c r="DR416" s="19">
        <f>AVERAGEA(0, 5.7, 1.1)*10^4/10^3/'[1]classes-1'!$I$21</f>
        <v>6.6536659384301489</v>
      </c>
      <c r="DS416" s="12">
        <f>SQRT((1/[2]Classes!$I$21)^2*(STDEVA(0, 5.7, 1.1)*10^4/10^3)^2+(-DR416/([2]Classes!$I$21)^2)^2*([2]Classes!$I$21)^2)</f>
        <v>9.0885183749652523</v>
      </c>
      <c r="DT416" s="13">
        <v>5</v>
      </c>
      <c r="DU416" s="19">
        <f t="shared" ref="DU416:DU417" si="1582">DS416/ABS(DR416)</f>
        <v>1.3659414913622154</v>
      </c>
      <c r="DV416" s="19">
        <f t="shared" ref="DV416" si="1583">DR416-DN416</f>
        <v>-95.737812508312416</v>
      </c>
      <c r="DW416" s="12">
        <f t="shared" ref="DW416:DW417" si="1584">SQRT(((DP416-1)*DO416^2+(DT416-1)*DS416^2)/(DP416+DT416-2))</f>
        <v>18.908991636881943</v>
      </c>
      <c r="DX416" s="72">
        <f t="shared" si="1358"/>
        <v>143.01998588946853</v>
      </c>
      <c r="DY416" s="72">
        <f t="shared" si="1359"/>
        <v>143.0199858894685</v>
      </c>
      <c r="EA416" s="19" t="s">
        <v>37</v>
      </c>
      <c r="EB416" s="19" t="s">
        <v>37</v>
      </c>
      <c r="EC416" s="72" t="s">
        <v>37</v>
      </c>
      <c r="EE416" s="19" t="s">
        <v>37</v>
      </c>
      <c r="EF416" s="19" t="s">
        <v>37</v>
      </c>
      <c r="EG416" s="12" t="s">
        <v>37</v>
      </c>
      <c r="EM416" s="12" t="s">
        <v>39</v>
      </c>
      <c r="EN416" s="12">
        <v>-9.4</v>
      </c>
      <c r="EO416" s="12">
        <v>9.3000000000000007</v>
      </c>
      <c r="EP416" s="13">
        <v>5</v>
      </c>
      <c r="EQ416" s="19">
        <f t="shared" si="1460"/>
        <v>0.98936170212765961</v>
      </c>
      <c r="ER416" s="12">
        <v>-21.2</v>
      </c>
      <c r="ES416" s="12">
        <v>14.9</v>
      </c>
      <c r="ET416" s="13">
        <v>5</v>
      </c>
      <c r="EU416" s="19">
        <f t="shared" si="1461"/>
        <v>0.70283018867924529</v>
      </c>
      <c r="EV416" s="19">
        <f t="shared" si="1531"/>
        <v>-11.799999999999999</v>
      </c>
      <c r="EW416" s="12">
        <f t="shared" si="1532"/>
        <v>12.419742348374221</v>
      </c>
      <c r="EX416" s="19">
        <f t="shared" si="1533"/>
        <v>61.7</v>
      </c>
      <c r="EY416" s="19">
        <f t="shared" si="1534"/>
        <v>61.7</v>
      </c>
      <c r="FB416" s="12" t="s">
        <v>37</v>
      </c>
      <c r="FC416" s="12" t="s">
        <v>37</v>
      </c>
      <c r="FD416" s="11" t="s">
        <v>37</v>
      </c>
      <c r="FE416" s="12" t="s">
        <v>37</v>
      </c>
      <c r="FF416" s="20" t="s">
        <v>37</v>
      </c>
      <c r="FG416" s="11" t="s">
        <v>37</v>
      </c>
      <c r="FI416" s="12" t="s">
        <v>37</v>
      </c>
      <c r="FJ416" s="12" t="s">
        <v>37</v>
      </c>
      <c r="FK416" s="11" t="s">
        <v>37</v>
      </c>
      <c r="FL416" s="13" t="s">
        <v>37</v>
      </c>
      <c r="FM416" s="11" t="s">
        <v>37</v>
      </c>
      <c r="FN416" s="11" t="s">
        <v>37</v>
      </c>
      <c r="FP416" s="12" t="s">
        <v>37</v>
      </c>
      <c r="FQ416" s="12" t="s">
        <v>37</v>
      </c>
      <c r="FR416" s="11" t="s">
        <v>37</v>
      </c>
      <c r="FS416" s="13" t="s">
        <v>37</v>
      </c>
      <c r="FT416" s="11" t="s">
        <v>37</v>
      </c>
      <c r="FU416" s="11" t="s">
        <v>37</v>
      </c>
      <c r="FW416" s="12" t="s">
        <v>37</v>
      </c>
      <c r="FX416" s="12" t="s">
        <v>37</v>
      </c>
      <c r="FY416" s="11" t="s">
        <v>37</v>
      </c>
      <c r="FZ416" s="13" t="s">
        <v>37</v>
      </c>
      <c r="GA416" s="11" t="s">
        <v>37</v>
      </c>
      <c r="GB416" s="11" t="s">
        <v>37</v>
      </c>
      <c r="GD416" s="12" t="s">
        <v>37</v>
      </c>
      <c r="GE416" s="12" t="s">
        <v>37</v>
      </c>
      <c r="GF416" s="12" t="s">
        <v>37</v>
      </c>
      <c r="GG416" s="12" t="s">
        <v>37</v>
      </c>
      <c r="GH416" s="12" t="s">
        <v>37</v>
      </c>
      <c r="GI416" s="12" t="s">
        <v>37</v>
      </c>
      <c r="GJ416" s="12" t="s">
        <v>37</v>
      </c>
      <c r="GK416" s="12" t="s">
        <v>37</v>
      </c>
      <c r="GP416" s="12" t="s">
        <v>37</v>
      </c>
      <c r="GQ416" s="12" t="s">
        <v>37</v>
      </c>
      <c r="GR416" s="12" t="s">
        <v>37</v>
      </c>
      <c r="GS416" s="12" t="s">
        <v>37</v>
      </c>
      <c r="GT416" s="12" t="s">
        <v>37</v>
      </c>
      <c r="GU416" s="12" t="s">
        <v>37</v>
      </c>
      <c r="GV416" s="12" t="s">
        <v>37</v>
      </c>
      <c r="GW416" s="12" t="s">
        <v>37</v>
      </c>
      <c r="HA416" s="17" t="s">
        <v>63</v>
      </c>
      <c r="HB416" s="34" t="s">
        <v>340</v>
      </c>
      <c r="HC416" s="12">
        <v>0.12</v>
      </c>
      <c r="HD416" s="12">
        <v>0.02</v>
      </c>
      <c r="HE416" s="13">
        <v>5</v>
      </c>
      <c r="HF416" s="19">
        <f t="shared" ref="HF416:HF417" si="1585">HD416/HC416</f>
        <v>0.16666666666666669</v>
      </c>
      <c r="HG416" s="12">
        <v>0.15</v>
      </c>
      <c r="HH416" s="12">
        <v>0.03</v>
      </c>
      <c r="HI416" s="13">
        <v>5</v>
      </c>
      <c r="HJ416" s="19">
        <f t="shared" ref="HJ416:HJ417" si="1586">HH416/HG416</f>
        <v>0.2</v>
      </c>
      <c r="HK416" s="19">
        <f t="shared" ref="HK416:HK417" si="1587">LN(HG416/HC416)</f>
        <v>0.22314355131420976</v>
      </c>
      <c r="HL416" s="19">
        <f t="shared" ref="HL416:HL417" si="1588">HH416^2/(HI416*HG416^2)+HD416^2/(HE416*HC416^2)</f>
        <v>1.3555555555555557E-2</v>
      </c>
      <c r="HP416" s="12"/>
      <c r="HT416" s="12"/>
      <c r="IA416" s="12"/>
      <c r="IE416" s="12"/>
      <c r="IK416" s="12" t="s">
        <v>37</v>
      </c>
      <c r="IL416" s="12" t="s">
        <v>37</v>
      </c>
      <c r="IM416" s="12" t="s">
        <v>37</v>
      </c>
      <c r="IO416" s="12" t="s">
        <v>37</v>
      </c>
      <c r="IP416" s="12" t="s">
        <v>37</v>
      </c>
      <c r="IQ416" s="12" t="s">
        <v>37</v>
      </c>
      <c r="IV416" s="32" t="s">
        <v>347</v>
      </c>
      <c r="IW416" s="12">
        <v>4.2</v>
      </c>
      <c r="IX416" s="12">
        <v>0.2</v>
      </c>
      <c r="IY416" s="13">
        <v>5</v>
      </c>
      <c r="IZ416" s="19">
        <f t="shared" ref="IZ416:IZ417" si="1589">IX416/IW416</f>
        <v>4.7619047619047616E-2</v>
      </c>
      <c r="JA416" s="12">
        <v>4.2</v>
      </c>
      <c r="JB416" s="12">
        <v>0.2</v>
      </c>
      <c r="JC416" s="13">
        <v>5</v>
      </c>
      <c r="JD416" s="19">
        <f t="shared" ref="JD416:JD417" si="1590">JB416/JA416</f>
        <v>4.7619047619047616E-2</v>
      </c>
      <c r="JE416" s="19">
        <f t="shared" ref="JE416:JE417" si="1591">LN(JA416/IW416)</f>
        <v>0</v>
      </c>
      <c r="JF416" s="19">
        <f t="shared" ref="JF416:JF417" si="1592">JB416^2/(JC416*JA416^2)+IX416^2/(IY416*IW416^2)</f>
        <v>9.0702947845805004E-4</v>
      </c>
      <c r="JH416" s="12" t="s">
        <v>37</v>
      </c>
      <c r="JI416" s="12" t="s">
        <v>37</v>
      </c>
      <c r="JJ416" s="13" t="s">
        <v>37</v>
      </c>
      <c r="JL416" s="12" t="s">
        <v>37</v>
      </c>
      <c r="JM416" s="12" t="s">
        <v>37</v>
      </c>
      <c r="JN416" s="12" t="s">
        <v>37</v>
      </c>
      <c r="JS416" s="12" t="s">
        <v>37</v>
      </c>
      <c r="JT416" s="12" t="s">
        <v>37</v>
      </c>
      <c r="JU416" s="13" t="s">
        <v>37</v>
      </c>
      <c r="JW416" s="12" t="s">
        <v>37</v>
      </c>
      <c r="JX416" s="12" t="s">
        <v>37</v>
      </c>
      <c r="JY416" s="12" t="s">
        <v>37</v>
      </c>
      <c r="KE416" s="12" t="s">
        <v>37</v>
      </c>
      <c r="KF416" s="12" t="s">
        <v>37</v>
      </c>
      <c r="KG416" s="13" t="s">
        <v>37</v>
      </c>
      <c r="KH416" s="12" t="s">
        <v>37</v>
      </c>
      <c r="KI416" s="12" t="s">
        <v>37</v>
      </c>
      <c r="KJ416" s="12" t="s">
        <v>37</v>
      </c>
      <c r="KK416" s="12" t="s">
        <v>42</v>
      </c>
      <c r="KL416" s="32" t="s">
        <v>340</v>
      </c>
      <c r="KM416" s="12">
        <v>18.600000000000001</v>
      </c>
      <c r="KN416" s="12">
        <v>3.9</v>
      </c>
      <c r="KO416" s="11">
        <v>5</v>
      </c>
      <c r="KP416" s="19">
        <f t="shared" ref="KP416:KP417" si="1593">KN416/KM416</f>
        <v>0.20967741935483869</v>
      </c>
      <c r="KQ416" s="12">
        <v>14.2</v>
      </c>
      <c r="KR416" s="12">
        <v>1</v>
      </c>
      <c r="KS416" s="13">
        <v>5</v>
      </c>
      <c r="KT416" s="19">
        <f t="shared" ref="KT416:KT417" si="1594">KR416/KQ416</f>
        <v>7.0422535211267609E-2</v>
      </c>
      <c r="KU416" s="19">
        <f t="shared" ref="KU416:KU417" si="1595">LN(KQ416/KM416)</f>
        <v>-0.26991961611194065</v>
      </c>
      <c r="KV416" s="19">
        <f t="shared" ref="KV416:KV417" si="1596">KR416^2/(KS416*KQ416^2)+KN416^2/(KO416*KM416^2)</f>
        <v>9.7847907305774213E-3</v>
      </c>
      <c r="KX416" s="12" t="s">
        <v>37</v>
      </c>
      <c r="KY416" s="12" t="s">
        <v>37</v>
      </c>
      <c r="KZ416" s="13" t="s">
        <v>37</v>
      </c>
      <c r="LB416" s="12" t="s">
        <v>37</v>
      </c>
      <c r="LC416" s="12" t="s">
        <v>37</v>
      </c>
      <c r="LD416" s="13" t="s">
        <v>37</v>
      </c>
      <c r="LI416" s="12" t="s">
        <v>37</v>
      </c>
      <c r="LJ416" s="12" t="s">
        <v>37</v>
      </c>
      <c r="LK416" s="12" t="s">
        <v>37</v>
      </c>
      <c r="LM416" s="12" t="s">
        <v>37</v>
      </c>
      <c r="LN416" s="12" t="s">
        <v>37</v>
      </c>
      <c r="LO416" s="12" t="s">
        <v>37</v>
      </c>
      <c r="LT416" s="12" t="str">
        <f t="shared" ref="LT416" si="1597">KL416</f>
        <v>0-30</v>
      </c>
      <c r="LU416" s="12">
        <f>AT416/KM416</f>
        <v>25.752688172043008</v>
      </c>
      <c r="LV416" s="12">
        <f>SQRT((1/KM416)^2*AU416^2+AT416^2*(-1/KM416^2)^2*KN416^2)</f>
        <v>5.4596466913562258</v>
      </c>
      <c r="LW416" s="13">
        <f t="shared" ref="LW416" si="1598">KO416</f>
        <v>5</v>
      </c>
      <c r="LX416" s="19">
        <f t="shared" ref="LX416:LX417" si="1599">LV416/LU416</f>
        <v>0.21200298216957372</v>
      </c>
      <c r="LY416" s="12">
        <f>AX416/KQ416</f>
        <v>34.08450704225352</v>
      </c>
      <c r="LZ416" s="12">
        <f>SQRT((1/KQ416)^2*AY416^2+AX416^2*(-1/KQ416^2)^2*KR416^2)</f>
        <v>2.5949090479698547</v>
      </c>
      <c r="MA416" s="13">
        <f t="shared" ref="MA416" si="1600">KS416</f>
        <v>5</v>
      </c>
      <c r="MB416" s="19">
        <f>LZ416/LY416</f>
        <v>7.6131629093330447E-2</v>
      </c>
      <c r="MC416" s="19">
        <f t="shared" ref="MC416:MC417" si="1601">LN(LY416/LU416)</f>
        <v>0.28030392541765708</v>
      </c>
      <c r="MD416" s="19">
        <f t="shared" ref="MD416:MD417" si="1602">LZ416^2/(MA416*LY416^2)+LV416^2/(LW416*LU416^2)</f>
        <v>1.0148257879439406E-2</v>
      </c>
      <c r="MF416" s="12" t="s">
        <v>37</v>
      </c>
      <c r="MG416" s="12" t="s">
        <v>37</v>
      </c>
      <c r="MH416" s="12" t="s">
        <v>37</v>
      </c>
      <c r="MJ416" s="12" t="s">
        <v>37</v>
      </c>
      <c r="MK416" s="12" t="s">
        <v>37</v>
      </c>
      <c r="ML416" s="12" t="s">
        <v>37</v>
      </c>
      <c r="MQ416" s="12" t="s">
        <v>37</v>
      </c>
      <c r="MR416" s="12" t="s">
        <v>37</v>
      </c>
      <c r="MS416" s="12" t="s">
        <v>37</v>
      </c>
      <c r="MU416" s="12" t="s">
        <v>37</v>
      </c>
      <c r="MV416" s="12" t="s">
        <v>37</v>
      </c>
      <c r="MW416" s="12" t="s">
        <v>37</v>
      </c>
      <c r="NC416" s="12" t="s">
        <v>37</v>
      </c>
      <c r="ND416" s="12" t="s">
        <v>37</v>
      </c>
      <c r="NE416" s="12" t="s">
        <v>37</v>
      </c>
      <c r="NG416" s="12" t="s">
        <v>37</v>
      </c>
      <c r="NH416" s="12" t="s">
        <v>37</v>
      </c>
      <c r="NI416" s="12" t="s">
        <v>37</v>
      </c>
      <c r="NO416" s="12" t="s">
        <v>37</v>
      </c>
      <c r="NP416" s="12" t="s">
        <v>37</v>
      </c>
      <c r="NQ416" s="12" t="s">
        <v>37</v>
      </c>
      <c r="NS416" s="12" t="s">
        <v>37</v>
      </c>
      <c r="NT416" s="12" t="s">
        <v>37</v>
      </c>
      <c r="NU416" s="12" t="s">
        <v>37</v>
      </c>
      <c r="OA416" s="12" t="s">
        <v>37</v>
      </c>
      <c r="OB416" s="12" t="s">
        <v>37</v>
      </c>
      <c r="OC416" s="12" t="s">
        <v>37</v>
      </c>
      <c r="OD416" s="12"/>
      <c r="OE416" s="12" t="s">
        <v>37</v>
      </c>
      <c r="OF416" s="12" t="s">
        <v>37</v>
      </c>
      <c r="OG416" s="12" t="s">
        <v>37</v>
      </c>
      <c r="OH416" s="12"/>
      <c r="OI416" s="12"/>
      <c r="OJ416" s="12"/>
      <c r="OM416" s="12" t="s">
        <v>37</v>
      </c>
      <c r="ON416" s="12" t="s">
        <v>37</v>
      </c>
      <c r="OO416" s="12" t="s">
        <v>37</v>
      </c>
      <c r="OP416" s="12" t="s">
        <v>37</v>
      </c>
      <c r="OQ416" s="12" t="s">
        <v>37</v>
      </c>
      <c r="OR416" s="12" t="s">
        <v>37</v>
      </c>
      <c r="OS416" s="12"/>
      <c r="OT416" s="12"/>
      <c r="OW416" s="12" t="s">
        <v>37</v>
      </c>
      <c r="OX416" s="12" t="s">
        <v>37</v>
      </c>
      <c r="OY416" s="13" t="s">
        <v>37</v>
      </c>
      <c r="OZ416" s="12" t="s">
        <v>37</v>
      </c>
      <c r="PA416" s="12" t="s">
        <v>37</v>
      </c>
      <c r="PB416" s="13" t="s">
        <v>37</v>
      </c>
      <c r="PG416" s="11" t="s">
        <v>37</v>
      </c>
      <c r="PH416" s="11" t="s">
        <v>37</v>
      </c>
      <c r="PI416" s="13" t="s">
        <v>37</v>
      </c>
      <c r="PJ416" s="11" t="s">
        <v>37</v>
      </c>
      <c r="PK416" s="11" t="s">
        <v>37</v>
      </c>
      <c r="PL416" s="13" t="s">
        <v>37</v>
      </c>
      <c r="PQ416" s="12" t="s">
        <v>37</v>
      </c>
      <c r="PR416" s="12" t="s">
        <v>37</v>
      </c>
      <c r="PS416" s="12" t="s">
        <v>37</v>
      </c>
      <c r="PT416" s="12" t="s">
        <v>37</v>
      </c>
      <c r="PU416" s="12" t="s">
        <v>37</v>
      </c>
      <c r="PV416" s="12" t="s">
        <v>37</v>
      </c>
      <c r="PW416" s="12"/>
      <c r="PX416" s="12"/>
      <c r="PZ416" s="12" t="s">
        <v>37</v>
      </c>
      <c r="QA416" s="12" t="s">
        <v>37</v>
      </c>
      <c r="QB416" s="11" t="s">
        <v>37</v>
      </c>
      <c r="QD416" s="12" t="s">
        <v>37</v>
      </c>
      <c r="QE416" s="12" t="s">
        <v>37</v>
      </c>
      <c r="QF416" s="12" t="s">
        <v>37</v>
      </c>
      <c r="QK416" s="12" t="s">
        <v>37</v>
      </c>
      <c r="QL416" s="12" t="s">
        <v>37</v>
      </c>
      <c r="QM416" s="12" t="s">
        <v>37</v>
      </c>
      <c r="QN416" s="12" t="s">
        <v>37</v>
      </c>
      <c r="QO416" s="12" t="s">
        <v>37</v>
      </c>
      <c r="QP416" s="12" t="s">
        <v>37</v>
      </c>
      <c r="QQ416" s="12"/>
      <c r="QR416" s="12"/>
      <c r="QU416" s="12" t="s">
        <v>37</v>
      </c>
      <c r="QV416" s="12" t="s">
        <v>37</v>
      </c>
      <c r="QW416" s="12" t="s">
        <v>37</v>
      </c>
      <c r="QX416" s="12" t="s">
        <v>37</v>
      </c>
      <c r="QY416" s="12" t="s">
        <v>37</v>
      </c>
      <c r="QZ416" s="12" t="s">
        <v>37</v>
      </c>
      <c r="RC416" s="12" t="s">
        <v>37</v>
      </c>
      <c r="RD416" s="12" t="s">
        <v>37</v>
      </c>
      <c r="RE416" s="13" t="s">
        <v>37</v>
      </c>
      <c r="RF416" s="12" t="s">
        <v>37</v>
      </c>
      <c r="RG416" s="12" t="s">
        <v>37</v>
      </c>
      <c r="RH416" s="13" t="s">
        <v>37</v>
      </c>
      <c r="RK416" s="12" t="s">
        <v>37</v>
      </c>
      <c r="RL416" s="12" t="s">
        <v>37</v>
      </c>
      <c r="RM416" s="11" t="s">
        <v>37</v>
      </c>
      <c r="RN416" s="12" t="s">
        <v>37</v>
      </c>
      <c r="RO416" s="12" t="s">
        <v>37</v>
      </c>
      <c r="RP416" s="11" t="s">
        <v>37</v>
      </c>
      <c r="RS416" s="12" t="s">
        <v>37</v>
      </c>
      <c r="RT416" s="12" t="s">
        <v>37</v>
      </c>
      <c r="RU416" s="12" t="s">
        <v>37</v>
      </c>
      <c r="RV416" s="12" t="s">
        <v>37</v>
      </c>
      <c r="RW416" s="12" t="s">
        <v>37</v>
      </c>
      <c r="RX416" s="12" t="s">
        <v>37</v>
      </c>
      <c r="SA416" s="12" t="s">
        <v>37</v>
      </c>
      <c r="SB416" s="12" t="s">
        <v>37</v>
      </c>
      <c r="SC416" s="12" t="s">
        <v>37</v>
      </c>
      <c r="SD416" s="12" t="s">
        <v>37</v>
      </c>
      <c r="SE416" s="12" t="s">
        <v>37</v>
      </c>
      <c r="SF416" s="12" t="s">
        <v>37</v>
      </c>
      <c r="SI416" s="12" t="s">
        <v>37</v>
      </c>
      <c r="SJ416" s="12" t="s">
        <v>37</v>
      </c>
      <c r="SK416" s="13" t="s">
        <v>37</v>
      </c>
      <c r="SM416" s="12" t="s">
        <v>37</v>
      </c>
      <c r="SN416" s="12" t="s">
        <v>37</v>
      </c>
      <c r="SO416" s="13" t="s">
        <v>37</v>
      </c>
      <c r="SU416" s="12" t="s">
        <v>37</v>
      </c>
      <c r="SV416" s="12" t="s">
        <v>37</v>
      </c>
      <c r="SW416" s="11" t="s">
        <v>37</v>
      </c>
      <c r="SX416" s="12" t="s">
        <v>37</v>
      </c>
      <c r="SY416" s="12" t="s">
        <v>37</v>
      </c>
      <c r="SZ416" s="11" t="s">
        <v>37</v>
      </c>
      <c r="TE416" s="12" t="s">
        <v>37</v>
      </c>
      <c r="TF416" s="12" t="s">
        <v>37</v>
      </c>
      <c r="TG416" s="11" t="s">
        <v>37</v>
      </c>
      <c r="TH416" s="12" t="s">
        <v>37</v>
      </c>
      <c r="TI416" s="12" t="s">
        <v>37</v>
      </c>
      <c r="TJ416" s="11" t="s">
        <v>37</v>
      </c>
      <c r="TO416" s="12" t="s">
        <v>37</v>
      </c>
      <c r="TP416" s="12" t="s">
        <v>37</v>
      </c>
      <c r="TQ416" s="11" t="s">
        <v>37</v>
      </c>
      <c r="TR416" s="12" t="s">
        <v>37</v>
      </c>
      <c r="TS416" s="12" t="s">
        <v>37</v>
      </c>
      <c r="TT416" s="11" t="s">
        <v>37</v>
      </c>
      <c r="TY416" s="12" t="s">
        <v>37</v>
      </c>
      <c r="TZ416" s="12" t="s">
        <v>37</v>
      </c>
      <c r="UA416" s="12" t="s">
        <v>37</v>
      </c>
      <c r="UB416" s="12" t="s">
        <v>37</v>
      </c>
      <c r="UC416" s="12" t="s">
        <v>37</v>
      </c>
      <c r="UD416" s="12" t="s">
        <v>37</v>
      </c>
      <c r="UE416" s="12"/>
      <c r="UF416" s="12"/>
      <c r="UI416" s="12" t="s">
        <v>37</v>
      </c>
      <c r="UJ416" s="12" t="s">
        <v>37</v>
      </c>
      <c r="UK416" s="12" t="s">
        <v>37</v>
      </c>
      <c r="UL416" s="12" t="s">
        <v>37</v>
      </c>
      <c r="UM416" s="12" t="s">
        <v>37</v>
      </c>
      <c r="UN416" s="12" t="s">
        <v>37</v>
      </c>
      <c r="UO416" s="12"/>
      <c r="UP416" s="12"/>
      <c r="UR416" s="12" t="s">
        <v>37</v>
      </c>
      <c r="US416" s="12" t="s">
        <v>37</v>
      </c>
      <c r="UT416" s="12" t="s">
        <v>37</v>
      </c>
      <c r="UU416" s="12" t="s">
        <v>37</v>
      </c>
      <c r="UV416" s="12" t="s">
        <v>37</v>
      </c>
      <c r="UW416" s="12" t="s">
        <v>37</v>
      </c>
      <c r="UX416" s="12"/>
      <c r="UY416" s="12"/>
      <c r="VB416" s="12" t="s">
        <v>37</v>
      </c>
      <c r="VC416" s="12" t="s">
        <v>37</v>
      </c>
      <c r="VD416" s="12" t="s">
        <v>37</v>
      </c>
      <c r="VE416" s="12" t="s">
        <v>37</v>
      </c>
      <c r="VF416" s="12" t="s">
        <v>37</v>
      </c>
      <c r="VG416" s="12" t="s">
        <v>37</v>
      </c>
      <c r="VI416" s="12" t="s">
        <v>37</v>
      </c>
      <c r="VJ416" s="12" t="s">
        <v>37</v>
      </c>
      <c r="VK416" s="12" t="s">
        <v>37</v>
      </c>
      <c r="VL416" s="12" t="s">
        <v>37</v>
      </c>
      <c r="VM416" s="12" t="s">
        <v>37</v>
      </c>
      <c r="VN416" s="12" t="s">
        <v>37</v>
      </c>
      <c r="VQ416" s="13" t="s">
        <v>37</v>
      </c>
      <c r="VR416" s="13" t="s">
        <v>37</v>
      </c>
      <c r="VS416" s="13" t="s">
        <v>37</v>
      </c>
      <c r="VT416" s="13" t="s">
        <v>37</v>
      </c>
      <c r="VU416" s="13" t="s">
        <v>37</v>
      </c>
      <c r="VV416" s="13" t="s">
        <v>37</v>
      </c>
      <c r="WA416" s="13" t="s">
        <v>37</v>
      </c>
      <c r="WB416" s="13" t="s">
        <v>37</v>
      </c>
      <c r="WC416" s="13" t="s">
        <v>37</v>
      </c>
      <c r="WD416" s="13" t="s">
        <v>37</v>
      </c>
      <c r="WE416" s="13" t="s">
        <v>37</v>
      </c>
      <c r="WF416" s="13" t="s">
        <v>37</v>
      </c>
    </row>
    <row r="417" spans="1:604" ht="18" customHeight="1" x14ac:dyDescent="0.3">
      <c r="A417" s="11">
        <v>94</v>
      </c>
      <c r="B417" s="16" t="s">
        <v>638</v>
      </c>
      <c r="C417" s="12" t="s">
        <v>26</v>
      </c>
      <c r="D417" s="12" t="s">
        <v>54</v>
      </c>
      <c r="E417" s="40" t="s">
        <v>37</v>
      </c>
      <c r="F417" s="14">
        <v>0</v>
      </c>
      <c r="G417" s="14">
        <v>0</v>
      </c>
      <c r="H417" s="12" t="s">
        <v>639</v>
      </c>
      <c r="I417" s="29">
        <v>49.155000000000001</v>
      </c>
      <c r="J417" s="29">
        <v>13.369</v>
      </c>
      <c r="K417" s="12" t="s">
        <v>794</v>
      </c>
      <c r="L417" s="12" t="s">
        <v>795</v>
      </c>
      <c r="M417" s="13">
        <v>900</v>
      </c>
      <c r="N417" s="14">
        <v>4</v>
      </c>
      <c r="O417" s="14">
        <v>1000</v>
      </c>
      <c r="P417" s="14" t="s">
        <v>16</v>
      </c>
      <c r="Q417" s="75">
        <v>50</v>
      </c>
      <c r="R417" s="11" t="s">
        <v>1000</v>
      </c>
      <c r="S417" s="12" t="s">
        <v>85</v>
      </c>
      <c r="T417" s="12" t="s">
        <v>141</v>
      </c>
      <c r="U417" s="12" t="s">
        <v>158</v>
      </c>
      <c r="V417" s="12" t="s">
        <v>275</v>
      </c>
      <c r="W417" s="23" t="s">
        <v>641</v>
      </c>
      <c r="X417" s="12" t="s">
        <v>281</v>
      </c>
      <c r="Y417" s="12" t="s">
        <v>37</v>
      </c>
      <c r="Z417" s="12" t="s">
        <v>37</v>
      </c>
      <c r="AA417" s="32" t="s">
        <v>865</v>
      </c>
      <c r="AB417" s="12">
        <v>5.7</v>
      </c>
      <c r="AC417" s="12" t="s">
        <v>42</v>
      </c>
      <c r="AD417" s="32" t="s">
        <v>340</v>
      </c>
      <c r="AE417" s="12">
        <v>434</v>
      </c>
      <c r="AF417" s="12" t="s">
        <v>42</v>
      </c>
      <c r="AG417" s="32" t="s">
        <v>340</v>
      </c>
      <c r="AH417" s="12">
        <v>17.2</v>
      </c>
      <c r="AJ417" s="12" t="str">
        <f>AD417</f>
        <v>0-30</v>
      </c>
      <c r="AK417" s="19">
        <f>AE417/AH417</f>
        <v>25.232558139534884</v>
      </c>
      <c r="AL417" s="32" t="s">
        <v>897</v>
      </c>
      <c r="AM417" s="12" t="s">
        <v>317</v>
      </c>
      <c r="AN417" s="32" t="s">
        <v>880</v>
      </c>
      <c r="AO417" s="12" t="s">
        <v>37</v>
      </c>
      <c r="AP417" s="12" t="s">
        <v>370</v>
      </c>
      <c r="AQ417" s="12" t="s">
        <v>975</v>
      </c>
      <c r="AR417" s="12" t="s">
        <v>42</v>
      </c>
      <c r="AS417" s="32" t="s">
        <v>340</v>
      </c>
      <c r="AT417" s="12">
        <v>434</v>
      </c>
      <c r="AU417" s="12">
        <v>2</v>
      </c>
      <c r="AV417" s="13">
        <v>5</v>
      </c>
      <c r="AW417" s="19">
        <f t="shared" si="1576"/>
        <v>4.608294930875576E-3</v>
      </c>
      <c r="AX417" s="12">
        <v>328</v>
      </c>
      <c r="AY417" s="12">
        <v>43</v>
      </c>
      <c r="AZ417" s="13">
        <v>5</v>
      </c>
      <c r="BA417" s="19">
        <f t="shared" si="1577"/>
        <v>0.13109756097560976</v>
      </c>
      <c r="BB417" s="52">
        <f t="shared" si="1578"/>
        <v>-0.2800309257162612</v>
      </c>
      <c r="BC417" s="19">
        <f t="shared" si="1579"/>
        <v>3.4415613751847302E-3</v>
      </c>
      <c r="BD417" s="12"/>
      <c r="BE417" s="12" t="s">
        <v>326</v>
      </c>
      <c r="BF417" s="12" t="s">
        <v>326</v>
      </c>
      <c r="BG417" s="12" t="s">
        <v>326</v>
      </c>
      <c r="BI417" s="12" t="s">
        <v>326</v>
      </c>
      <c r="BJ417" s="12" t="s">
        <v>326</v>
      </c>
      <c r="BK417" s="12" t="s">
        <v>326</v>
      </c>
      <c r="BP417" s="12" t="s">
        <v>37</v>
      </c>
      <c r="BQ417" s="12" t="s">
        <v>37</v>
      </c>
      <c r="BR417" s="12" t="s">
        <v>37</v>
      </c>
      <c r="BT417" s="12" t="s">
        <v>37</v>
      </c>
      <c r="BU417" s="12" t="s">
        <v>37</v>
      </c>
      <c r="BV417" s="12" t="s">
        <v>37</v>
      </c>
      <c r="BZ417" s="12" t="s">
        <v>581</v>
      </c>
      <c r="CA417" s="12">
        <f>-682.3*10^4/10^3/'[6]classess-1'!$T$56</f>
        <v>-7616.0068848250821</v>
      </c>
      <c r="CB417" s="50">
        <f>ABS(CA417)*CD$474</f>
        <v>1856.8621464095218</v>
      </c>
      <c r="CC417" s="13">
        <v>5</v>
      </c>
      <c r="CE417" s="12">
        <f>AVERAGEA(-873.9,-1211.5)*10^4/10^3/'[6]classess-1'!$T$57</f>
        <v>-11234.346432115035</v>
      </c>
      <c r="CF417" s="12">
        <f>SQRT((1/[7]Classess!$T$57)^2*(STDEVA(873.9, 1211.5)*10^4/10^3)^2+(-CE417/([7]Classess!$T$57)^2)^2*([7]Classess!$U$57)^2)</f>
        <v>2636.9713135995598</v>
      </c>
      <c r="CG417" s="13">
        <v>5</v>
      </c>
      <c r="CH417" s="19">
        <f t="shared" si="1559"/>
        <v>0.23472405177584596</v>
      </c>
      <c r="CI417" s="75">
        <f t="shared" si="1580"/>
        <v>-3618.3395472899529</v>
      </c>
      <c r="CJ417" s="12">
        <f t="shared" si="1560"/>
        <v>2280.5212934234537</v>
      </c>
      <c r="CK417" s="72">
        <f t="shared" si="1561"/>
        <v>2080310.9479031132</v>
      </c>
      <c r="CL417" s="72">
        <f t="shared" si="1562"/>
        <v>2080310.947903113</v>
      </c>
      <c r="CM417" s="12" t="s">
        <v>581</v>
      </c>
      <c r="CN417" s="12">
        <f>604.3*10^4/10^3/'[6]classess-1'!$I$56</f>
        <v>7943.3298263910074</v>
      </c>
      <c r="CO417" s="50">
        <f>ABS(CN417)*CQ$474</f>
        <v>2284.7185864362959</v>
      </c>
      <c r="CP417" s="13">
        <v>5</v>
      </c>
      <c r="CR417" s="12">
        <f>AVERAGEA(722.5, 1207)*10^4/10^3/'[6]classess-1'!$I$57</f>
        <v>12092.326878238955</v>
      </c>
      <c r="CS417" s="12">
        <f>SQRT((1/[7]Classess!$I$57)^2*(STDEVA(722.5, 1207)*10^4/10^3)^2+(-CR417/([7]Classess!$I$57)^2)^2*([7]Classess!$J$57)^2)</f>
        <v>4450.7541788118779</v>
      </c>
      <c r="CT417" s="13">
        <v>5</v>
      </c>
      <c r="CU417" s="19">
        <f t="shared" si="1563"/>
        <v>0.36806432902680974</v>
      </c>
      <c r="CV417" s="75">
        <f t="shared" si="1564"/>
        <v>4148.9970518479477</v>
      </c>
      <c r="CW417" s="12">
        <f t="shared" si="1565"/>
        <v>3537.5946474560124</v>
      </c>
      <c r="CX417" s="72">
        <f t="shared" si="1566"/>
        <v>5005830.3558837725</v>
      </c>
      <c r="CY417" s="72">
        <f t="shared" si="1567"/>
        <v>5005830.3558837716</v>
      </c>
      <c r="CZ417" s="12" t="s">
        <v>581</v>
      </c>
      <c r="DA417" s="12">
        <f>CA417+CN417</f>
        <v>327.32294156592525</v>
      </c>
      <c r="DB417" s="12">
        <f>SQRT(CB417^2+CO417^2)</f>
        <v>2944.1256851527319</v>
      </c>
      <c r="DC417" s="13">
        <v>5</v>
      </c>
      <c r="DD417" s="19">
        <f t="shared" si="1568"/>
        <v>8.9945595352037468</v>
      </c>
      <c r="DE417" s="12">
        <f>CE417+CR417</f>
        <v>857.98044612392005</v>
      </c>
      <c r="DF417" s="12">
        <f>SQRT(CF417^2+CS417^2)</f>
        <v>5173.2804359476186</v>
      </c>
      <c r="DG417" s="13">
        <v>5</v>
      </c>
      <c r="DH417" s="19">
        <f>DF417/ABS(DE417)</f>
        <v>6.0296017925802818</v>
      </c>
      <c r="DI417" s="19">
        <f t="shared" si="1581"/>
        <v>530.6575045579948</v>
      </c>
      <c r="DJ417" s="12">
        <f t="shared" si="1569"/>
        <v>4208.9610665183418</v>
      </c>
      <c r="DK417" s="72">
        <f t="shared" si="1570"/>
        <v>7086141.3037868859</v>
      </c>
      <c r="DL417" s="72">
        <f t="shared" si="1571"/>
        <v>7086141.303786885</v>
      </c>
      <c r="DM417" s="12" t="s">
        <v>47</v>
      </c>
      <c r="DN417" s="19">
        <f>90.3*10^4/10^3/'[1]classes-1'!$I$42</f>
        <v>970.38416592642932</v>
      </c>
      <c r="DO417" s="50">
        <f>ABS(DN417)*DQ$474</f>
        <v>1081.8612091201044</v>
      </c>
      <c r="DP417" s="13">
        <v>5</v>
      </c>
      <c r="DR417" s="19">
        <f>AVERAGEA(0, 1.6)*10^4/10^3/'[1]classes-1'!$I$43</f>
        <v>2.3483526841518167</v>
      </c>
      <c r="DS417" s="12">
        <f>SQRT((1/[2]Classes!$I$43)^2*(STDEVA(0, 1.6)*10^4/10^3)^2+(-DR417/([2]Classes!$I$43)^2)^2*([2]Classes!$J$43)^2)</f>
        <v>4.0730546894946382</v>
      </c>
      <c r="DT417" s="13">
        <v>6</v>
      </c>
      <c r="DU417" s="19">
        <f t="shared" si="1582"/>
        <v>1.7344305721121924</v>
      </c>
      <c r="DV417" s="19">
        <f>DR417-DN417</f>
        <v>-968.03581324227753</v>
      </c>
      <c r="DW417" s="12">
        <f t="shared" si="1584"/>
        <v>721.24719541667503</v>
      </c>
      <c r="DX417" s="72">
        <f t="shared" si="1358"/>
        <v>190739.08952868712</v>
      </c>
      <c r="DY417" s="72">
        <f t="shared" si="1359"/>
        <v>234087.50012218012</v>
      </c>
      <c r="EA417" s="19" t="s">
        <v>37</v>
      </c>
      <c r="EB417" s="19" t="s">
        <v>37</v>
      </c>
      <c r="EC417" s="72" t="s">
        <v>37</v>
      </c>
      <c r="EE417" s="19" t="s">
        <v>37</v>
      </c>
      <c r="EF417" s="19" t="s">
        <v>37</v>
      </c>
      <c r="EG417" s="12" t="s">
        <v>37</v>
      </c>
      <c r="EM417" s="12" t="s">
        <v>39</v>
      </c>
      <c r="EN417" s="12">
        <v>-6.5</v>
      </c>
      <c r="EO417" s="12">
        <v>3.5</v>
      </c>
      <c r="EP417" s="13">
        <v>5</v>
      </c>
      <c r="EQ417" s="19">
        <f t="shared" si="1460"/>
        <v>0.53846153846153844</v>
      </c>
      <c r="ER417" s="12">
        <v>-30.6</v>
      </c>
      <c r="ES417" s="12">
        <v>14.8</v>
      </c>
      <c r="ET417" s="13">
        <v>5</v>
      </c>
      <c r="EU417" s="19">
        <f t="shared" si="1461"/>
        <v>0.48366013071895425</v>
      </c>
      <c r="EV417" s="19">
        <f t="shared" si="1531"/>
        <v>-24.1</v>
      </c>
      <c r="EW417" s="12">
        <f t="shared" si="1532"/>
        <v>10.753836524701313</v>
      </c>
      <c r="EX417" s="19">
        <f t="shared" si="1533"/>
        <v>46.25800000000001</v>
      </c>
      <c r="EY417" s="19">
        <f t="shared" si="1534"/>
        <v>46.25800000000001</v>
      </c>
      <c r="FB417" s="12" t="s">
        <v>37</v>
      </c>
      <c r="FC417" s="12" t="s">
        <v>37</v>
      </c>
      <c r="FD417" s="11" t="s">
        <v>37</v>
      </c>
      <c r="FE417" s="12" t="s">
        <v>37</v>
      </c>
      <c r="FF417" s="20" t="s">
        <v>37</v>
      </c>
      <c r="FG417" s="11" t="s">
        <v>37</v>
      </c>
      <c r="FI417" s="12" t="s">
        <v>37</v>
      </c>
      <c r="FJ417" s="12" t="s">
        <v>37</v>
      </c>
      <c r="FK417" s="11" t="s">
        <v>37</v>
      </c>
      <c r="FL417" s="13" t="s">
        <v>37</v>
      </c>
      <c r="FM417" s="11" t="s">
        <v>37</v>
      </c>
      <c r="FN417" s="11" t="s">
        <v>37</v>
      </c>
      <c r="FP417" s="12" t="s">
        <v>37</v>
      </c>
      <c r="FQ417" s="12" t="s">
        <v>37</v>
      </c>
      <c r="FR417" s="11" t="s">
        <v>37</v>
      </c>
      <c r="FS417" s="13" t="s">
        <v>37</v>
      </c>
      <c r="FT417" s="11" t="s">
        <v>37</v>
      </c>
      <c r="FU417" s="11" t="s">
        <v>37</v>
      </c>
      <c r="FW417" s="12" t="s">
        <v>37</v>
      </c>
      <c r="FX417" s="12" t="s">
        <v>37</v>
      </c>
      <c r="FY417" s="11" t="s">
        <v>37</v>
      </c>
      <c r="FZ417" s="13" t="s">
        <v>37</v>
      </c>
      <c r="GA417" s="11" t="s">
        <v>37</v>
      </c>
      <c r="GB417" s="11" t="s">
        <v>37</v>
      </c>
      <c r="GD417" s="12" t="s">
        <v>37</v>
      </c>
      <c r="GE417" s="12" t="s">
        <v>37</v>
      </c>
      <c r="GF417" s="12" t="s">
        <v>37</v>
      </c>
      <c r="GG417" s="12" t="s">
        <v>37</v>
      </c>
      <c r="GH417" s="12" t="s">
        <v>37</v>
      </c>
      <c r="GI417" s="12" t="s">
        <v>37</v>
      </c>
      <c r="GJ417" s="12" t="s">
        <v>37</v>
      </c>
      <c r="GK417" s="12" t="s">
        <v>37</v>
      </c>
      <c r="GP417" s="12" t="s">
        <v>37</v>
      </c>
      <c r="GQ417" s="12" t="s">
        <v>37</v>
      </c>
      <c r="GR417" s="12" t="s">
        <v>37</v>
      </c>
      <c r="GS417" s="12" t="s">
        <v>37</v>
      </c>
      <c r="GT417" s="12" t="s">
        <v>37</v>
      </c>
      <c r="GU417" s="12" t="s">
        <v>37</v>
      </c>
      <c r="GV417" s="12" t="s">
        <v>37</v>
      </c>
      <c r="GW417" s="12" t="s">
        <v>37</v>
      </c>
      <c r="HA417" s="17" t="s">
        <v>63</v>
      </c>
      <c r="HB417" s="34" t="s">
        <v>340</v>
      </c>
      <c r="HC417" s="12">
        <v>0.06</v>
      </c>
      <c r="HD417" s="12">
        <v>0.01</v>
      </c>
      <c r="HE417" s="13">
        <v>5</v>
      </c>
      <c r="HF417" s="19">
        <f t="shared" si="1585"/>
        <v>0.16666666666666669</v>
      </c>
      <c r="HG417" s="12">
        <v>0.38</v>
      </c>
      <c r="HH417" s="12">
        <v>0.12</v>
      </c>
      <c r="HI417" s="13">
        <v>5</v>
      </c>
      <c r="HJ417" s="19">
        <f t="shared" si="1586"/>
        <v>0.31578947368421051</v>
      </c>
      <c r="HK417" s="19">
        <f t="shared" si="1587"/>
        <v>1.8458266904983309</v>
      </c>
      <c r="HL417" s="19">
        <f t="shared" si="1588"/>
        <v>2.5500153893505694E-2</v>
      </c>
      <c r="HP417" s="12"/>
      <c r="HT417" s="12"/>
      <c r="IA417" s="12"/>
      <c r="IE417" s="12"/>
      <c r="IK417" s="12" t="s">
        <v>37</v>
      </c>
      <c r="IL417" s="12" t="s">
        <v>37</v>
      </c>
      <c r="IM417" s="12" t="s">
        <v>37</v>
      </c>
      <c r="IO417" s="12" t="s">
        <v>37</v>
      </c>
      <c r="IP417" s="12" t="s">
        <v>37</v>
      </c>
      <c r="IQ417" s="12" t="s">
        <v>37</v>
      </c>
      <c r="IV417" s="32" t="s">
        <v>347</v>
      </c>
      <c r="IW417" s="12">
        <v>5.7</v>
      </c>
      <c r="IX417" s="12">
        <v>0.2</v>
      </c>
      <c r="IY417" s="13">
        <v>5</v>
      </c>
      <c r="IZ417" s="19">
        <f t="shared" si="1589"/>
        <v>3.5087719298245612E-2</v>
      </c>
      <c r="JA417" s="12">
        <v>4.5999999999999996</v>
      </c>
      <c r="JB417" s="12">
        <v>0.2</v>
      </c>
      <c r="JC417" s="13">
        <v>5</v>
      </c>
      <c r="JD417" s="19">
        <f t="shared" si="1590"/>
        <v>4.3478260869565223E-2</v>
      </c>
      <c r="JE417" s="19">
        <f t="shared" si="1591"/>
        <v>-0.21440987134545519</v>
      </c>
      <c r="JF417" s="19">
        <f t="shared" si="1592"/>
        <v>6.2430144275888886E-4</v>
      </c>
      <c r="JH417" s="12" t="s">
        <v>37</v>
      </c>
      <c r="JI417" s="12" t="s">
        <v>37</v>
      </c>
      <c r="JJ417" s="13" t="s">
        <v>37</v>
      </c>
      <c r="JL417" s="12" t="s">
        <v>37</v>
      </c>
      <c r="JM417" s="12" t="s">
        <v>37</v>
      </c>
      <c r="JN417" s="12" t="s">
        <v>37</v>
      </c>
      <c r="JS417" s="12" t="s">
        <v>37</v>
      </c>
      <c r="JT417" s="12" t="s">
        <v>37</v>
      </c>
      <c r="JU417" s="13" t="s">
        <v>37</v>
      </c>
      <c r="JW417" s="12" t="s">
        <v>37</v>
      </c>
      <c r="JX417" s="12" t="s">
        <v>37</v>
      </c>
      <c r="JY417" s="12" t="s">
        <v>37</v>
      </c>
      <c r="KE417" s="12" t="s">
        <v>37</v>
      </c>
      <c r="KF417" s="12" t="s">
        <v>37</v>
      </c>
      <c r="KG417" s="13" t="s">
        <v>37</v>
      </c>
      <c r="KH417" s="12" t="s">
        <v>37</v>
      </c>
      <c r="KI417" s="12" t="s">
        <v>37</v>
      </c>
      <c r="KJ417" s="12" t="s">
        <v>37</v>
      </c>
      <c r="KK417" s="12" t="s">
        <v>42</v>
      </c>
      <c r="KL417" s="32" t="s">
        <v>340</v>
      </c>
      <c r="KM417" s="12">
        <v>17.2</v>
      </c>
      <c r="KN417" s="12">
        <v>1.2</v>
      </c>
      <c r="KO417" s="11">
        <v>5</v>
      </c>
      <c r="KP417" s="19">
        <f t="shared" si="1593"/>
        <v>6.9767441860465115E-2</v>
      </c>
      <c r="KQ417" s="12">
        <v>15</v>
      </c>
      <c r="KR417" s="12">
        <v>1.8</v>
      </c>
      <c r="KS417" s="13">
        <v>5</v>
      </c>
      <c r="KT417" s="19">
        <f t="shared" si="1594"/>
        <v>0.12000000000000001</v>
      </c>
      <c r="KU417" s="19">
        <f t="shared" si="1595"/>
        <v>-0.1368591827171973</v>
      </c>
      <c r="KV417" s="19">
        <f t="shared" si="1596"/>
        <v>3.8534991887506764E-3</v>
      </c>
      <c r="KX417" s="12" t="s">
        <v>37</v>
      </c>
      <c r="KY417" s="12" t="s">
        <v>37</v>
      </c>
      <c r="KZ417" s="13" t="s">
        <v>37</v>
      </c>
      <c r="LB417" s="12" t="s">
        <v>37</v>
      </c>
      <c r="LC417" s="12" t="s">
        <v>37</v>
      </c>
      <c r="LD417" s="13" t="s">
        <v>37</v>
      </c>
      <c r="LI417" s="12" t="s">
        <v>37</v>
      </c>
      <c r="LJ417" s="12" t="s">
        <v>37</v>
      </c>
      <c r="LK417" s="12" t="s">
        <v>37</v>
      </c>
      <c r="LM417" s="12" t="s">
        <v>37</v>
      </c>
      <c r="LN417" s="12" t="s">
        <v>37</v>
      </c>
      <c r="LO417" s="12" t="s">
        <v>37</v>
      </c>
      <c r="LT417" s="12" t="str">
        <f t="shared" ref="LT417" si="1603">KL417</f>
        <v>0-30</v>
      </c>
      <c r="LU417" s="12">
        <f>AT417/KM417</f>
        <v>25.232558139534884</v>
      </c>
      <c r="LV417" s="12">
        <f>SQRT((1/KM417)^2*AU417^2+AT417^2*(-1/KM417^2)^2*KN417^2)</f>
        <v>1.7642470992300761</v>
      </c>
      <c r="LW417" s="13">
        <f t="shared" ref="LW417" si="1604">KO417</f>
        <v>5</v>
      </c>
      <c r="LX417" s="19">
        <f t="shared" si="1599"/>
        <v>6.9919470292067534E-2</v>
      </c>
      <c r="LY417" s="12">
        <f>AX417/KQ417</f>
        <v>21.866666666666667</v>
      </c>
      <c r="LZ417" s="12">
        <f>SQRT((1/KQ417)^2*AY417^2+AX417^2*(-1/KQ417^2)^2*KR417^2)</f>
        <v>3.8862776248973487</v>
      </c>
      <c r="MA417" s="13">
        <f t="shared" ref="MA417" si="1605">KS417</f>
        <v>5</v>
      </c>
      <c r="MB417" s="19">
        <f t="shared" ref="MB417" si="1606">LZ417/LY417</f>
        <v>0.17772611089469581</v>
      </c>
      <c r="MC417" s="19">
        <f t="shared" si="1601"/>
        <v>-0.14317174299906382</v>
      </c>
      <c r="MD417" s="19">
        <f t="shared" si="1602"/>
        <v>7.2950605639354078E-3</v>
      </c>
      <c r="MF417" s="12" t="s">
        <v>37</v>
      </c>
      <c r="MG417" s="12" t="s">
        <v>37</v>
      </c>
      <c r="MH417" s="12" t="s">
        <v>37</v>
      </c>
      <c r="MJ417" s="12" t="s">
        <v>37</v>
      </c>
      <c r="MK417" s="12" t="s">
        <v>37</v>
      </c>
      <c r="ML417" s="12" t="s">
        <v>37</v>
      </c>
      <c r="MQ417" s="12" t="s">
        <v>37</v>
      </c>
      <c r="MR417" s="12" t="s">
        <v>37</v>
      </c>
      <c r="MS417" s="12" t="s">
        <v>37</v>
      </c>
      <c r="MU417" s="12" t="s">
        <v>37</v>
      </c>
      <c r="MV417" s="12" t="s">
        <v>37</v>
      </c>
      <c r="MW417" s="12" t="s">
        <v>37</v>
      </c>
      <c r="NC417" s="12" t="s">
        <v>37</v>
      </c>
      <c r="ND417" s="12" t="s">
        <v>37</v>
      </c>
      <c r="NE417" s="12" t="s">
        <v>37</v>
      </c>
      <c r="NG417" s="12" t="s">
        <v>37</v>
      </c>
      <c r="NH417" s="12" t="s">
        <v>37</v>
      </c>
      <c r="NI417" s="12" t="s">
        <v>37</v>
      </c>
      <c r="NO417" s="12" t="s">
        <v>37</v>
      </c>
      <c r="NP417" s="12" t="s">
        <v>37</v>
      </c>
      <c r="NQ417" s="12" t="s">
        <v>37</v>
      </c>
      <c r="NS417" s="12" t="s">
        <v>37</v>
      </c>
      <c r="NT417" s="12" t="s">
        <v>37</v>
      </c>
      <c r="NU417" s="12" t="s">
        <v>37</v>
      </c>
      <c r="OA417" s="12" t="s">
        <v>37</v>
      </c>
      <c r="OB417" s="12" t="s">
        <v>37</v>
      </c>
      <c r="OC417" s="12" t="s">
        <v>37</v>
      </c>
      <c r="OD417" s="12"/>
      <c r="OE417" s="12" t="s">
        <v>37</v>
      </c>
      <c r="OF417" s="12" t="s">
        <v>37</v>
      </c>
      <c r="OG417" s="12" t="s">
        <v>37</v>
      </c>
      <c r="OH417" s="12"/>
      <c r="OI417" s="12"/>
      <c r="OJ417" s="12"/>
      <c r="OM417" s="12" t="s">
        <v>37</v>
      </c>
      <c r="ON417" s="12" t="s">
        <v>37</v>
      </c>
      <c r="OO417" s="12" t="s">
        <v>37</v>
      </c>
      <c r="OP417" s="12" t="s">
        <v>37</v>
      </c>
      <c r="OQ417" s="12" t="s">
        <v>37</v>
      </c>
      <c r="OR417" s="12" t="s">
        <v>37</v>
      </c>
      <c r="OS417" s="12"/>
      <c r="OT417" s="12"/>
      <c r="OW417" s="12" t="s">
        <v>37</v>
      </c>
      <c r="OX417" s="12" t="s">
        <v>37</v>
      </c>
      <c r="OY417" s="13" t="s">
        <v>37</v>
      </c>
      <c r="OZ417" s="12" t="s">
        <v>37</v>
      </c>
      <c r="PA417" s="12" t="s">
        <v>37</v>
      </c>
      <c r="PB417" s="13" t="s">
        <v>37</v>
      </c>
      <c r="PG417" s="11" t="s">
        <v>37</v>
      </c>
      <c r="PH417" s="11" t="s">
        <v>37</v>
      </c>
      <c r="PI417" s="13" t="s">
        <v>37</v>
      </c>
      <c r="PJ417" s="11" t="s">
        <v>37</v>
      </c>
      <c r="PK417" s="11" t="s">
        <v>37</v>
      </c>
      <c r="PL417" s="13" t="s">
        <v>37</v>
      </c>
      <c r="PQ417" s="12" t="s">
        <v>37</v>
      </c>
      <c r="PR417" s="12" t="s">
        <v>37</v>
      </c>
      <c r="PS417" s="12" t="s">
        <v>37</v>
      </c>
      <c r="PT417" s="12" t="s">
        <v>37</v>
      </c>
      <c r="PU417" s="12" t="s">
        <v>37</v>
      </c>
      <c r="PV417" s="12" t="s">
        <v>37</v>
      </c>
      <c r="PW417" s="12"/>
      <c r="PX417" s="12"/>
      <c r="PZ417" s="12" t="s">
        <v>37</v>
      </c>
      <c r="QA417" s="12" t="s">
        <v>37</v>
      </c>
      <c r="QB417" s="11" t="s">
        <v>37</v>
      </c>
      <c r="QD417" s="12" t="s">
        <v>37</v>
      </c>
      <c r="QE417" s="12" t="s">
        <v>37</v>
      </c>
      <c r="QF417" s="12" t="s">
        <v>37</v>
      </c>
      <c r="QK417" s="12" t="s">
        <v>37</v>
      </c>
      <c r="QL417" s="12" t="s">
        <v>37</v>
      </c>
      <c r="QM417" s="12" t="s">
        <v>37</v>
      </c>
      <c r="QN417" s="12" t="s">
        <v>37</v>
      </c>
      <c r="QO417" s="12" t="s">
        <v>37</v>
      </c>
      <c r="QP417" s="12" t="s">
        <v>37</v>
      </c>
      <c r="QQ417" s="12"/>
      <c r="QR417" s="12"/>
      <c r="QU417" s="12" t="s">
        <v>37</v>
      </c>
      <c r="QV417" s="12" t="s">
        <v>37</v>
      </c>
      <c r="QW417" s="12" t="s">
        <v>37</v>
      </c>
      <c r="QX417" s="12" t="s">
        <v>37</v>
      </c>
      <c r="QY417" s="12" t="s">
        <v>37</v>
      </c>
      <c r="QZ417" s="12" t="s">
        <v>37</v>
      </c>
      <c r="RC417" s="12" t="s">
        <v>37</v>
      </c>
      <c r="RD417" s="12" t="s">
        <v>37</v>
      </c>
      <c r="RE417" s="13" t="s">
        <v>37</v>
      </c>
      <c r="RF417" s="12" t="s">
        <v>37</v>
      </c>
      <c r="RG417" s="12" t="s">
        <v>37</v>
      </c>
      <c r="RH417" s="13" t="s">
        <v>37</v>
      </c>
      <c r="RK417" s="12" t="s">
        <v>37</v>
      </c>
      <c r="RL417" s="12" t="s">
        <v>37</v>
      </c>
      <c r="RM417" s="11" t="s">
        <v>37</v>
      </c>
      <c r="RN417" s="12" t="s">
        <v>37</v>
      </c>
      <c r="RO417" s="12" t="s">
        <v>37</v>
      </c>
      <c r="RP417" s="11" t="s">
        <v>37</v>
      </c>
      <c r="RS417" s="12" t="s">
        <v>37</v>
      </c>
      <c r="RT417" s="12" t="s">
        <v>37</v>
      </c>
      <c r="RU417" s="12" t="s">
        <v>37</v>
      </c>
      <c r="RV417" s="12" t="s">
        <v>37</v>
      </c>
      <c r="RW417" s="12" t="s">
        <v>37</v>
      </c>
      <c r="RX417" s="12" t="s">
        <v>37</v>
      </c>
      <c r="SA417" s="12" t="s">
        <v>37</v>
      </c>
      <c r="SB417" s="12" t="s">
        <v>37</v>
      </c>
      <c r="SC417" s="12" t="s">
        <v>37</v>
      </c>
      <c r="SD417" s="12" t="s">
        <v>37</v>
      </c>
      <c r="SE417" s="12" t="s">
        <v>37</v>
      </c>
      <c r="SF417" s="12" t="s">
        <v>37</v>
      </c>
      <c r="SI417" s="12" t="s">
        <v>37</v>
      </c>
      <c r="SJ417" s="12" t="s">
        <v>37</v>
      </c>
      <c r="SK417" s="13" t="s">
        <v>37</v>
      </c>
      <c r="SM417" s="12" t="s">
        <v>37</v>
      </c>
      <c r="SN417" s="12" t="s">
        <v>37</v>
      </c>
      <c r="SO417" s="13" t="s">
        <v>37</v>
      </c>
      <c r="SU417" s="12" t="s">
        <v>37</v>
      </c>
      <c r="SV417" s="12" t="s">
        <v>37</v>
      </c>
      <c r="SW417" s="11" t="s">
        <v>37</v>
      </c>
      <c r="SX417" s="12" t="s">
        <v>37</v>
      </c>
      <c r="SY417" s="12" t="s">
        <v>37</v>
      </c>
      <c r="SZ417" s="11" t="s">
        <v>37</v>
      </c>
      <c r="TE417" s="12" t="s">
        <v>37</v>
      </c>
      <c r="TF417" s="12" t="s">
        <v>37</v>
      </c>
      <c r="TG417" s="11" t="s">
        <v>37</v>
      </c>
      <c r="TH417" s="12" t="s">
        <v>37</v>
      </c>
      <c r="TI417" s="12" t="s">
        <v>37</v>
      </c>
      <c r="TJ417" s="11" t="s">
        <v>37</v>
      </c>
      <c r="TO417" s="12" t="s">
        <v>37</v>
      </c>
      <c r="TP417" s="12" t="s">
        <v>37</v>
      </c>
      <c r="TQ417" s="11" t="s">
        <v>37</v>
      </c>
      <c r="TR417" s="12" t="s">
        <v>37</v>
      </c>
      <c r="TS417" s="12" t="s">
        <v>37</v>
      </c>
      <c r="TT417" s="11" t="s">
        <v>37</v>
      </c>
      <c r="TY417" s="12" t="s">
        <v>37</v>
      </c>
      <c r="TZ417" s="12" t="s">
        <v>37</v>
      </c>
      <c r="UA417" s="12" t="s">
        <v>37</v>
      </c>
      <c r="UB417" s="12" t="s">
        <v>37</v>
      </c>
      <c r="UC417" s="12" t="s">
        <v>37</v>
      </c>
      <c r="UD417" s="12" t="s">
        <v>37</v>
      </c>
      <c r="UE417" s="12"/>
      <c r="UF417" s="12"/>
      <c r="UI417" s="12" t="s">
        <v>37</v>
      </c>
      <c r="UJ417" s="12" t="s">
        <v>37</v>
      </c>
      <c r="UK417" s="12" t="s">
        <v>37</v>
      </c>
      <c r="UL417" s="12" t="s">
        <v>37</v>
      </c>
      <c r="UM417" s="12" t="s">
        <v>37</v>
      </c>
      <c r="UN417" s="12" t="s">
        <v>37</v>
      </c>
      <c r="UO417" s="12"/>
      <c r="UP417" s="12"/>
      <c r="UR417" s="12" t="s">
        <v>37</v>
      </c>
      <c r="US417" s="12" t="s">
        <v>37</v>
      </c>
      <c r="UT417" s="12" t="s">
        <v>37</v>
      </c>
      <c r="UU417" s="12" t="s">
        <v>37</v>
      </c>
      <c r="UV417" s="12" t="s">
        <v>37</v>
      </c>
      <c r="UW417" s="12" t="s">
        <v>37</v>
      </c>
      <c r="UX417" s="12"/>
      <c r="UY417" s="12"/>
      <c r="VB417" s="12" t="s">
        <v>37</v>
      </c>
      <c r="VC417" s="12" t="s">
        <v>37</v>
      </c>
      <c r="VD417" s="12" t="s">
        <v>37</v>
      </c>
      <c r="VE417" s="12" t="s">
        <v>37</v>
      </c>
      <c r="VF417" s="12" t="s">
        <v>37</v>
      </c>
      <c r="VG417" s="12" t="s">
        <v>37</v>
      </c>
      <c r="VI417" s="12" t="s">
        <v>37</v>
      </c>
      <c r="VJ417" s="12" t="s">
        <v>37</v>
      </c>
      <c r="VK417" s="12" t="s">
        <v>37</v>
      </c>
      <c r="VL417" s="12" t="s">
        <v>37</v>
      </c>
      <c r="VM417" s="12" t="s">
        <v>37</v>
      </c>
      <c r="VN417" s="12" t="s">
        <v>37</v>
      </c>
      <c r="VQ417" s="13" t="s">
        <v>37</v>
      </c>
      <c r="VR417" s="13" t="s">
        <v>37</v>
      </c>
      <c r="VS417" s="13" t="s">
        <v>37</v>
      </c>
      <c r="VT417" s="13" t="s">
        <v>37</v>
      </c>
      <c r="VU417" s="13" t="s">
        <v>37</v>
      </c>
      <c r="VV417" s="13" t="s">
        <v>37</v>
      </c>
      <c r="WA417" s="13" t="s">
        <v>37</v>
      </c>
      <c r="WB417" s="13" t="s">
        <v>37</v>
      </c>
      <c r="WC417" s="13" t="s">
        <v>37</v>
      </c>
      <c r="WD417" s="13" t="s">
        <v>37</v>
      </c>
      <c r="WE417" s="13" t="s">
        <v>37</v>
      </c>
      <c r="WF417" s="13" t="s">
        <v>37</v>
      </c>
    </row>
    <row r="418" spans="1:604" ht="18" customHeight="1" x14ac:dyDescent="0.3">
      <c r="A418" s="11">
        <v>95</v>
      </c>
      <c r="B418" s="16" t="s">
        <v>920</v>
      </c>
      <c r="C418" s="16" t="s">
        <v>623</v>
      </c>
      <c r="D418" s="16" t="s">
        <v>624</v>
      </c>
      <c r="E418" s="40" t="s">
        <v>37</v>
      </c>
      <c r="F418" s="14">
        <v>0</v>
      </c>
      <c r="G418" s="14">
        <v>0</v>
      </c>
      <c r="H418" s="12" t="s">
        <v>625</v>
      </c>
      <c r="I418" s="16">
        <f>-37.388</f>
        <v>-37.387999999999998</v>
      </c>
      <c r="J418" s="29">
        <v>175.554</v>
      </c>
      <c r="K418" s="16">
        <f>-37.388</f>
        <v>-37.387999999999998</v>
      </c>
      <c r="L418" s="29">
        <v>175.554</v>
      </c>
      <c r="M418" s="13" t="s">
        <v>37</v>
      </c>
      <c r="N418" s="14">
        <v>14.7</v>
      </c>
      <c r="O418" s="14">
        <v>1269</v>
      </c>
      <c r="P418" s="16" t="s">
        <v>16</v>
      </c>
      <c r="Q418" s="75">
        <v>85</v>
      </c>
      <c r="R418" s="11" t="s">
        <v>999</v>
      </c>
      <c r="S418" s="12" t="s">
        <v>93</v>
      </c>
      <c r="T418" s="12" t="s">
        <v>37</v>
      </c>
      <c r="U418" s="12" t="s">
        <v>158</v>
      </c>
      <c r="V418" s="12" t="s">
        <v>275</v>
      </c>
      <c r="W418" s="23" t="s">
        <v>626</v>
      </c>
      <c r="X418" s="12" t="s">
        <v>49</v>
      </c>
      <c r="Y418" s="12" t="s">
        <v>37</v>
      </c>
      <c r="Z418" s="12" t="s">
        <v>37</v>
      </c>
      <c r="AB418" s="12" t="s">
        <v>37</v>
      </c>
      <c r="AC418" s="12" t="s">
        <v>37</v>
      </c>
      <c r="AE418" s="12" t="s">
        <v>37</v>
      </c>
      <c r="AH418" s="12" t="s">
        <v>37</v>
      </c>
      <c r="AK418" s="12" t="s">
        <v>37</v>
      </c>
      <c r="AL418" s="32" t="s">
        <v>627</v>
      </c>
      <c r="AM418" s="12" t="s">
        <v>344</v>
      </c>
      <c r="AO418" s="12" t="s">
        <v>847</v>
      </c>
      <c r="AP418" s="56" t="s">
        <v>597</v>
      </c>
      <c r="AQ418" s="12" t="s">
        <v>849</v>
      </c>
      <c r="AT418" s="12" t="s">
        <v>326</v>
      </c>
      <c r="AU418" s="12" t="s">
        <v>326</v>
      </c>
      <c r="AV418" s="13" t="s">
        <v>326</v>
      </c>
      <c r="AX418" s="12" t="s">
        <v>326</v>
      </c>
      <c r="AY418" s="12" t="s">
        <v>326</v>
      </c>
      <c r="AZ418" s="13" t="s">
        <v>326</v>
      </c>
      <c r="BE418" s="12" t="s">
        <v>326</v>
      </c>
      <c r="BF418" s="12" t="s">
        <v>326</v>
      </c>
      <c r="BG418" s="12" t="s">
        <v>326</v>
      </c>
      <c r="BI418" s="12" t="s">
        <v>326</v>
      </c>
      <c r="BJ418" s="12" t="s">
        <v>326</v>
      </c>
      <c r="BK418" s="12" t="s">
        <v>326</v>
      </c>
      <c r="BP418" s="12" t="s">
        <v>37</v>
      </c>
      <c r="BQ418" s="12" t="s">
        <v>37</v>
      </c>
      <c r="BR418" s="13" t="s">
        <v>37</v>
      </c>
      <c r="BT418" s="12" t="s">
        <v>37</v>
      </c>
      <c r="BU418" s="12" t="s">
        <v>37</v>
      </c>
      <c r="BV418" s="12" t="s">
        <v>37</v>
      </c>
      <c r="BZ418" s="12" t="s">
        <v>47</v>
      </c>
      <c r="CA418" s="12">
        <f>-859*44/12*10^4/10^3</f>
        <v>-31496.666666666664</v>
      </c>
      <c r="CB418" s="50">
        <f>ABS(CA418)*CD$474</f>
        <v>7679.2168068996079</v>
      </c>
      <c r="CC418" s="13">
        <v>1</v>
      </c>
      <c r="CE418" s="12">
        <f>-1301*44/12*10^4/10^3</f>
        <v>-47703.333333333328</v>
      </c>
      <c r="CF418" s="50">
        <f>ABS(CE418)*CH$474</f>
        <v>17758.476797350639</v>
      </c>
      <c r="CG418" s="13">
        <v>1</v>
      </c>
      <c r="CI418" s="75">
        <f t="shared" si="1580"/>
        <v>-16206.666666666664</v>
      </c>
      <c r="CJ418" s="12" t="e">
        <f t="shared" si="1560"/>
        <v>#DIV/0!</v>
      </c>
      <c r="CK418" s="72" t="e">
        <f t="shared" si="1561"/>
        <v>#DIV/0!</v>
      </c>
      <c r="CL418" s="72">
        <f t="shared" si="1562"/>
        <v>374333868.9294104</v>
      </c>
      <c r="CM418" s="12" t="s">
        <v>47</v>
      </c>
      <c r="CN418" s="12">
        <f>667*44/12*10^4/10^3</f>
        <v>24456.666666666664</v>
      </c>
      <c r="CO418" s="50">
        <f>ABS(CN418)*CQ$474</f>
        <v>7034.4052326727378</v>
      </c>
      <c r="CP418" s="13">
        <v>1</v>
      </c>
      <c r="CR418" s="12">
        <f>1213*44/12*10^4/10^3</f>
        <v>44476.666666666672</v>
      </c>
      <c r="CS418" s="50">
        <f>ABS(CR418)*CU$474</f>
        <v>11670.284603796765</v>
      </c>
      <c r="CT418" s="13">
        <v>1</v>
      </c>
      <c r="CV418" s="75">
        <f t="shared" si="1564"/>
        <v>20020.000000000007</v>
      </c>
      <c r="CW418" s="12" t="e">
        <f t="shared" si="1565"/>
        <v>#DIV/0!</v>
      </c>
      <c r="CX418" s="72" t="e">
        <f t="shared" si="1566"/>
        <v>#DIV/0!</v>
      </c>
      <c r="CY418" s="72">
        <f t="shared" si="1567"/>
        <v>185678399.71106941</v>
      </c>
      <c r="CZ418" s="12" t="s">
        <v>47</v>
      </c>
      <c r="DA418" s="12">
        <f>-192*44/12*10^4/10^3</f>
        <v>-7040</v>
      </c>
      <c r="DB418" s="12">
        <f>45*44/12*10^4/10^3</f>
        <v>1650</v>
      </c>
      <c r="DC418" s="13">
        <v>1</v>
      </c>
      <c r="DD418" s="19">
        <f t="shared" si="1568"/>
        <v>0.234375</v>
      </c>
      <c r="DE418" s="12">
        <f>-88*44/12*10^4/10^3</f>
        <v>-3226.666666666667</v>
      </c>
      <c r="DF418" s="12">
        <f>26*44/12*10^4/10^3</f>
        <v>953.33333333333326</v>
      </c>
      <c r="DG418" s="13">
        <v>1</v>
      </c>
      <c r="DH418" s="19">
        <f t="shared" si="1526"/>
        <v>0.29545454545454541</v>
      </c>
      <c r="DI418" s="19">
        <f t="shared" si="1581"/>
        <v>3813.333333333333</v>
      </c>
      <c r="DJ418" s="12" t="e">
        <f t="shared" si="1569"/>
        <v>#DIV/0!</v>
      </c>
      <c r="DK418" s="72" t="e">
        <f t="shared" si="1570"/>
        <v>#DIV/0!</v>
      </c>
      <c r="DL418" s="72">
        <f t="shared" si="1571"/>
        <v>3631344.444444444</v>
      </c>
      <c r="DM418" s="12" t="s">
        <v>47</v>
      </c>
      <c r="DN418" s="19" t="s">
        <v>37</v>
      </c>
      <c r="DO418" s="12" t="s">
        <v>37</v>
      </c>
      <c r="DP418" s="13" t="s">
        <v>37</v>
      </c>
      <c r="DR418" s="19" t="s">
        <v>37</v>
      </c>
      <c r="DS418" s="12" t="s">
        <v>37</v>
      </c>
      <c r="DT418" s="13" t="s">
        <v>37</v>
      </c>
      <c r="EA418" s="19" t="s">
        <v>37</v>
      </c>
      <c r="EB418" s="19" t="s">
        <v>37</v>
      </c>
      <c r="EC418" s="72" t="s">
        <v>37</v>
      </c>
      <c r="EE418" s="19" t="s">
        <v>37</v>
      </c>
      <c r="EF418" s="19" t="s">
        <v>37</v>
      </c>
      <c r="EG418" s="12" t="s">
        <v>37</v>
      </c>
      <c r="EM418" s="12" t="s">
        <v>39</v>
      </c>
      <c r="EN418" s="12">
        <v>-7.3</v>
      </c>
      <c r="EO418" s="12">
        <v>3.6</v>
      </c>
      <c r="EP418" s="13">
        <v>3</v>
      </c>
      <c r="EQ418" s="19">
        <f t="shared" si="1460"/>
        <v>0.49315068493150688</v>
      </c>
      <c r="ER418" s="12">
        <v>-75.599999999999994</v>
      </c>
      <c r="ES418" s="12">
        <v>14.2</v>
      </c>
      <c r="ET418" s="13">
        <v>3</v>
      </c>
      <c r="EU418" s="19">
        <f t="shared" si="1461"/>
        <v>0.18783068783068785</v>
      </c>
      <c r="EV418" s="19">
        <f t="shared" si="1531"/>
        <v>-68.3</v>
      </c>
      <c r="EW418" s="12">
        <f t="shared" si="1532"/>
        <v>10.358571330062848</v>
      </c>
      <c r="EX418" s="19">
        <f t="shared" si="1533"/>
        <v>71.533333333333331</v>
      </c>
      <c r="EY418" s="19">
        <f t="shared" si="1534"/>
        <v>71.533333333333331</v>
      </c>
      <c r="FB418" s="12" t="s">
        <v>37</v>
      </c>
      <c r="FC418" s="12" t="s">
        <v>37</v>
      </c>
      <c r="FD418" s="12" t="s">
        <v>37</v>
      </c>
      <c r="FE418" s="12" t="s">
        <v>37</v>
      </c>
      <c r="FF418" s="12" t="s">
        <v>37</v>
      </c>
      <c r="FG418" s="12" t="s">
        <v>37</v>
      </c>
      <c r="FI418" s="12" t="s">
        <v>37</v>
      </c>
      <c r="FJ418" s="12" t="s">
        <v>37</v>
      </c>
      <c r="FK418" s="12" t="s">
        <v>37</v>
      </c>
      <c r="FL418" s="12" t="s">
        <v>37</v>
      </c>
      <c r="FM418" s="12" t="s">
        <v>37</v>
      </c>
      <c r="FN418" s="12" t="s">
        <v>37</v>
      </c>
      <c r="FP418" s="12" t="s">
        <v>37</v>
      </c>
      <c r="FQ418" s="12" t="s">
        <v>37</v>
      </c>
      <c r="FR418" s="12" t="s">
        <v>37</v>
      </c>
      <c r="FS418" s="12" t="s">
        <v>37</v>
      </c>
      <c r="FT418" s="12" t="s">
        <v>37</v>
      </c>
      <c r="FU418" s="12" t="s">
        <v>37</v>
      </c>
      <c r="FW418" s="12" t="s">
        <v>37</v>
      </c>
      <c r="FX418" s="12" t="s">
        <v>37</v>
      </c>
      <c r="FY418" s="12" t="s">
        <v>37</v>
      </c>
      <c r="FZ418" s="12" t="s">
        <v>37</v>
      </c>
      <c r="GA418" s="12" t="s">
        <v>37</v>
      </c>
      <c r="GB418" s="12" t="s">
        <v>37</v>
      </c>
      <c r="GD418" s="12" t="s">
        <v>37</v>
      </c>
      <c r="GE418" s="12" t="s">
        <v>37</v>
      </c>
      <c r="GF418" s="12" t="s">
        <v>37</v>
      </c>
      <c r="GG418" s="12" t="s">
        <v>37</v>
      </c>
      <c r="GH418" s="12" t="s">
        <v>37</v>
      </c>
      <c r="GI418" s="12" t="s">
        <v>37</v>
      </c>
      <c r="GJ418" s="12" t="s">
        <v>37</v>
      </c>
      <c r="GK418" s="12" t="s">
        <v>37</v>
      </c>
      <c r="GP418" s="12" t="s">
        <v>37</v>
      </c>
      <c r="GQ418" s="12" t="s">
        <v>37</v>
      </c>
      <c r="GR418" s="12" t="s">
        <v>37</v>
      </c>
      <c r="GS418" s="12" t="s">
        <v>37</v>
      </c>
      <c r="GT418" s="12" t="s">
        <v>37</v>
      </c>
      <c r="GU418" s="12" t="s">
        <v>37</v>
      </c>
      <c r="GV418" s="12" t="s">
        <v>37</v>
      </c>
      <c r="GW418" s="12" t="s">
        <v>37</v>
      </c>
      <c r="HA418" s="12" t="s">
        <v>37</v>
      </c>
      <c r="HB418" s="12" t="s">
        <v>37</v>
      </c>
      <c r="HC418" s="12" t="s">
        <v>37</v>
      </c>
      <c r="HD418" s="12" t="s">
        <v>37</v>
      </c>
      <c r="HE418" s="12" t="s">
        <v>37</v>
      </c>
      <c r="HG418" s="12" t="s">
        <v>37</v>
      </c>
      <c r="HH418" s="12" t="s">
        <v>37</v>
      </c>
      <c r="HI418" s="12" t="s">
        <v>37</v>
      </c>
      <c r="HJ418" s="12"/>
      <c r="HK418" s="12"/>
      <c r="HL418" s="12"/>
      <c r="HP418" s="12"/>
      <c r="HT418" s="12"/>
      <c r="IA418" s="12"/>
      <c r="IE418" s="12"/>
      <c r="IK418" s="12" t="s">
        <v>37</v>
      </c>
      <c r="IL418" s="12" t="s">
        <v>37</v>
      </c>
      <c r="IM418" s="12" t="s">
        <v>37</v>
      </c>
      <c r="IO418" s="12" t="s">
        <v>37</v>
      </c>
      <c r="IP418" s="12" t="s">
        <v>37</v>
      </c>
      <c r="IQ418" s="12" t="s">
        <v>37</v>
      </c>
      <c r="IW418" s="12" t="s">
        <v>37</v>
      </c>
      <c r="IX418" s="12" t="s">
        <v>37</v>
      </c>
      <c r="IY418" s="12" t="s">
        <v>37</v>
      </c>
      <c r="JA418" s="12" t="s">
        <v>37</v>
      </c>
      <c r="JB418" s="12" t="s">
        <v>37</v>
      </c>
      <c r="JC418" s="12" t="s">
        <v>37</v>
      </c>
      <c r="JH418" s="12" t="s">
        <v>37</v>
      </c>
      <c r="JI418" s="12" t="s">
        <v>37</v>
      </c>
      <c r="JJ418" s="12" t="s">
        <v>37</v>
      </c>
      <c r="JL418" s="12" t="s">
        <v>37</v>
      </c>
      <c r="JM418" s="12" t="s">
        <v>37</v>
      </c>
      <c r="JN418" s="12" t="s">
        <v>37</v>
      </c>
      <c r="JS418" s="12" t="s">
        <v>37</v>
      </c>
      <c r="JT418" s="12" t="s">
        <v>37</v>
      </c>
      <c r="JU418" s="12" t="s">
        <v>37</v>
      </c>
      <c r="JW418" s="12" t="s">
        <v>37</v>
      </c>
      <c r="JX418" s="12" t="s">
        <v>37</v>
      </c>
      <c r="JY418" s="12" t="s">
        <v>37</v>
      </c>
      <c r="KE418" s="12" t="s">
        <v>37</v>
      </c>
      <c r="KF418" s="12" t="s">
        <v>37</v>
      </c>
      <c r="KG418" s="12" t="s">
        <v>37</v>
      </c>
      <c r="KH418" s="12" t="s">
        <v>37</v>
      </c>
      <c r="KI418" s="12" t="s">
        <v>37</v>
      </c>
      <c r="KJ418" s="12" t="s">
        <v>37</v>
      </c>
      <c r="KM418" s="12" t="s">
        <v>37</v>
      </c>
      <c r="KN418" s="12" t="s">
        <v>37</v>
      </c>
      <c r="KO418" s="12" t="s">
        <v>37</v>
      </c>
      <c r="KQ418" s="12" t="s">
        <v>37</v>
      </c>
      <c r="KR418" s="12" t="s">
        <v>37</v>
      </c>
      <c r="KS418" s="12" t="s">
        <v>37</v>
      </c>
      <c r="KX418" s="12" t="s">
        <v>37</v>
      </c>
      <c r="KY418" s="12" t="s">
        <v>37</v>
      </c>
      <c r="KZ418" s="12" t="s">
        <v>37</v>
      </c>
      <c r="LB418" s="12" t="s">
        <v>37</v>
      </c>
      <c r="LC418" s="12" t="s">
        <v>37</v>
      </c>
      <c r="LD418" s="12" t="s">
        <v>37</v>
      </c>
      <c r="LI418" s="12" t="s">
        <v>37</v>
      </c>
      <c r="LJ418" s="12" t="s">
        <v>37</v>
      </c>
      <c r="LK418" s="12" t="s">
        <v>37</v>
      </c>
      <c r="LM418" s="12" t="s">
        <v>37</v>
      </c>
      <c r="LN418" s="12" t="s">
        <v>37</v>
      </c>
      <c r="LO418" s="12" t="s">
        <v>37</v>
      </c>
      <c r="LU418" s="12" t="s">
        <v>37</v>
      </c>
      <c r="LV418" s="12" t="s">
        <v>37</v>
      </c>
      <c r="LW418" s="12" t="s">
        <v>37</v>
      </c>
      <c r="LY418" s="12" t="s">
        <v>37</v>
      </c>
      <c r="LZ418" s="12" t="s">
        <v>37</v>
      </c>
      <c r="MA418" s="12" t="s">
        <v>37</v>
      </c>
      <c r="MF418" s="12" t="s">
        <v>37</v>
      </c>
      <c r="MG418" s="12" t="s">
        <v>37</v>
      </c>
      <c r="MH418" s="12" t="s">
        <v>37</v>
      </c>
      <c r="MJ418" s="12" t="s">
        <v>37</v>
      </c>
      <c r="MK418" s="12" t="s">
        <v>37</v>
      </c>
      <c r="ML418" s="12" t="s">
        <v>37</v>
      </c>
      <c r="MQ418" s="12" t="s">
        <v>37</v>
      </c>
      <c r="MR418" s="12" t="s">
        <v>37</v>
      </c>
      <c r="MS418" s="12" t="s">
        <v>37</v>
      </c>
      <c r="MU418" s="12" t="s">
        <v>37</v>
      </c>
      <c r="MV418" s="12" t="s">
        <v>37</v>
      </c>
      <c r="MW418" s="12" t="s">
        <v>37</v>
      </c>
      <c r="NC418" s="12" t="s">
        <v>37</v>
      </c>
      <c r="ND418" s="12" t="s">
        <v>37</v>
      </c>
      <c r="NE418" s="12" t="s">
        <v>37</v>
      </c>
      <c r="NG418" s="12" t="s">
        <v>37</v>
      </c>
      <c r="NH418" s="12" t="s">
        <v>37</v>
      </c>
      <c r="NI418" s="12" t="s">
        <v>37</v>
      </c>
      <c r="NO418" s="12" t="s">
        <v>37</v>
      </c>
      <c r="NP418" s="12" t="s">
        <v>37</v>
      </c>
      <c r="NQ418" s="12" t="s">
        <v>37</v>
      </c>
      <c r="NS418" s="12" t="s">
        <v>37</v>
      </c>
      <c r="NT418" s="12" t="s">
        <v>37</v>
      </c>
      <c r="NU418" s="12" t="s">
        <v>37</v>
      </c>
      <c r="OA418" s="12" t="s">
        <v>37</v>
      </c>
      <c r="OB418" s="12" t="s">
        <v>37</v>
      </c>
      <c r="OC418" s="12" t="s">
        <v>37</v>
      </c>
      <c r="OD418" s="12"/>
      <c r="OE418" s="12" t="s">
        <v>37</v>
      </c>
      <c r="OF418" s="12" t="s">
        <v>37</v>
      </c>
      <c r="OG418" s="12" t="s">
        <v>37</v>
      </c>
      <c r="OH418" s="12"/>
      <c r="OI418" s="12"/>
      <c r="OJ418" s="12"/>
      <c r="OM418" s="12" t="s">
        <v>37</v>
      </c>
      <c r="ON418" s="12" t="s">
        <v>37</v>
      </c>
      <c r="OO418" s="12" t="s">
        <v>37</v>
      </c>
      <c r="OP418" s="12" t="s">
        <v>37</v>
      </c>
      <c r="OQ418" s="12" t="s">
        <v>37</v>
      </c>
      <c r="OR418" s="12" t="s">
        <v>37</v>
      </c>
      <c r="OS418" s="12"/>
      <c r="OT418" s="12"/>
      <c r="OW418" s="12" t="s">
        <v>37</v>
      </c>
      <c r="OX418" s="12" t="s">
        <v>37</v>
      </c>
      <c r="OY418" s="12" t="s">
        <v>37</v>
      </c>
      <c r="OZ418" s="12" t="s">
        <v>37</v>
      </c>
      <c r="PA418" s="12" t="s">
        <v>37</v>
      </c>
      <c r="PB418" s="12" t="s">
        <v>37</v>
      </c>
      <c r="PC418" s="12"/>
      <c r="PD418" s="12"/>
      <c r="PG418" s="12" t="s">
        <v>37</v>
      </c>
      <c r="PH418" s="12" t="s">
        <v>37</v>
      </c>
      <c r="PI418" s="12" t="s">
        <v>37</v>
      </c>
      <c r="PJ418" s="12" t="s">
        <v>37</v>
      </c>
      <c r="PK418" s="12" t="s">
        <v>37</v>
      </c>
      <c r="PL418" s="12" t="s">
        <v>37</v>
      </c>
      <c r="PM418" s="12"/>
      <c r="PN418" s="12"/>
      <c r="PQ418" s="12" t="s">
        <v>37</v>
      </c>
      <c r="PR418" s="12" t="s">
        <v>37</v>
      </c>
      <c r="PS418" s="12" t="s">
        <v>37</v>
      </c>
      <c r="PT418" s="12" t="s">
        <v>37</v>
      </c>
      <c r="PU418" s="12" t="s">
        <v>37</v>
      </c>
      <c r="PV418" s="12" t="s">
        <v>37</v>
      </c>
      <c r="PW418" s="12"/>
      <c r="PX418" s="12"/>
      <c r="PZ418" s="12" t="s">
        <v>37</v>
      </c>
      <c r="QA418" s="12" t="s">
        <v>37</v>
      </c>
      <c r="QB418" s="11" t="s">
        <v>37</v>
      </c>
      <c r="QD418" s="12" t="s">
        <v>37</v>
      </c>
      <c r="QE418" s="12" t="s">
        <v>37</v>
      </c>
      <c r="QF418" s="12" t="s">
        <v>37</v>
      </c>
      <c r="QK418" s="12" t="s">
        <v>37</v>
      </c>
      <c r="QL418" s="12" t="s">
        <v>37</v>
      </c>
      <c r="QM418" s="12" t="s">
        <v>37</v>
      </c>
      <c r="QN418" s="12" t="s">
        <v>37</v>
      </c>
      <c r="QO418" s="12" t="s">
        <v>37</v>
      </c>
      <c r="QP418" s="12" t="s">
        <v>37</v>
      </c>
      <c r="QQ418" s="12"/>
      <c r="QR418" s="12"/>
      <c r="QU418" s="12" t="s">
        <v>37</v>
      </c>
      <c r="QV418" s="12" t="s">
        <v>37</v>
      </c>
      <c r="QW418" s="12" t="s">
        <v>37</v>
      </c>
      <c r="QX418" s="12" t="s">
        <v>37</v>
      </c>
      <c r="QY418" s="12" t="s">
        <v>37</v>
      </c>
      <c r="QZ418" s="12" t="s">
        <v>37</v>
      </c>
      <c r="RC418" s="12" t="s">
        <v>37</v>
      </c>
      <c r="RD418" s="12" t="s">
        <v>37</v>
      </c>
      <c r="RE418" s="13" t="s">
        <v>37</v>
      </c>
      <c r="RF418" s="12" t="s">
        <v>37</v>
      </c>
      <c r="RG418" s="12" t="s">
        <v>37</v>
      </c>
      <c r="RH418" s="13" t="s">
        <v>37</v>
      </c>
      <c r="RK418" s="12" t="s">
        <v>37</v>
      </c>
      <c r="RL418" s="12" t="s">
        <v>37</v>
      </c>
      <c r="RM418" s="11" t="s">
        <v>37</v>
      </c>
      <c r="RN418" s="12" t="s">
        <v>37</v>
      </c>
      <c r="RO418" s="12" t="s">
        <v>37</v>
      </c>
      <c r="RP418" s="11" t="s">
        <v>37</v>
      </c>
      <c r="RS418" s="12" t="s">
        <v>37</v>
      </c>
      <c r="RT418" s="12" t="s">
        <v>37</v>
      </c>
      <c r="RU418" s="12" t="s">
        <v>37</v>
      </c>
      <c r="RV418" s="12" t="s">
        <v>37</v>
      </c>
      <c r="RW418" s="12" t="s">
        <v>37</v>
      </c>
      <c r="RX418" s="12" t="s">
        <v>37</v>
      </c>
      <c r="SA418" s="12" t="s">
        <v>37</v>
      </c>
      <c r="SB418" s="12" t="s">
        <v>37</v>
      </c>
      <c r="SC418" s="12" t="s">
        <v>37</v>
      </c>
      <c r="SD418" s="12" t="s">
        <v>37</v>
      </c>
      <c r="SE418" s="12" t="s">
        <v>37</v>
      </c>
      <c r="SF418" s="12" t="s">
        <v>37</v>
      </c>
      <c r="SI418" s="12" t="s">
        <v>37</v>
      </c>
      <c r="SJ418" s="12" t="s">
        <v>37</v>
      </c>
      <c r="SK418" s="13" t="s">
        <v>37</v>
      </c>
      <c r="SM418" s="12" t="s">
        <v>37</v>
      </c>
      <c r="SN418" s="12" t="s">
        <v>37</v>
      </c>
      <c r="SO418" s="13" t="s">
        <v>37</v>
      </c>
      <c r="SU418" s="12" t="s">
        <v>37</v>
      </c>
      <c r="SV418" s="12" t="s">
        <v>37</v>
      </c>
      <c r="SW418" s="11" t="s">
        <v>37</v>
      </c>
      <c r="SX418" s="12" t="s">
        <v>37</v>
      </c>
      <c r="SY418" s="12" t="s">
        <v>37</v>
      </c>
      <c r="SZ418" s="11" t="s">
        <v>37</v>
      </c>
      <c r="TE418" s="12" t="s">
        <v>37</v>
      </c>
      <c r="TF418" s="12" t="s">
        <v>37</v>
      </c>
      <c r="TG418" s="11" t="s">
        <v>37</v>
      </c>
      <c r="TH418" s="12" t="s">
        <v>37</v>
      </c>
      <c r="TI418" s="12" t="s">
        <v>37</v>
      </c>
      <c r="TJ418" s="11" t="s">
        <v>37</v>
      </c>
      <c r="TO418" s="12" t="s">
        <v>37</v>
      </c>
      <c r="TP418" s="12" t="s">
        <v>37</v>
      </c>
      <c r="TQ418" s="11" t="s">
        <v>37</v>
      </c>
      <c r="TR418" s="12" t="s">
        <v>37</v>
      </c>
      <c r="TS418" s="12" t="s">
        <v>37</v>
      </c>
      <c r="TT418" s="11" t="s">
        <v>37</v>
      </c>
      <c r="TY418" s="12" t="s">
        <v>37</v>
      </c>
      <c r="TZ418" s="12" t="s">
        <v>37</v>
      </c>
      <c r="UA418" s="12" t="s">
        <v>37</v>
      </c>
      <c r="UB418" s="12" t="s">
        <v>37</v>
      </c>
      <c r="UC418" s="12" t="s">
        <v>37</v>
      </c>
      <c r="UD418" s="12" t="s">
        <v>37</v>
      </c>
      <c r="UE418" s="12"/>
      <c r="UF418" s="12"/>
      <c r="UI418" s="12" t="s">
        <v>37</v>
      </c>
      <c r="UJ418" s="12" t="s">
        <v>37</v>
      </c>
      <c r="UK418" s="12" t="s">
        <v>37</v>
      </c>
      <c r="UL418" s="12" t="s">
        <v>37</v>
      </c>
      <c r="UM418" s="12" t="s">
        <v>37</v>
      </c>
      <c r="UN418" s="12" t="s">
        <v>37</v>
      </c>
      <c r="UO418" s="12"/>
      <c r="UP418" s="12"/>
      <c r="UR418" s="12" t="s">
        <v>37</v>
      </c>
      <c r="US418" s="12" t="s">
        <v>37</v>
      </c>
      <c r="UT418" s="12" t="s">
        <v>37</v>
      </c>
      <c r="UU418" s="12" t="s">
        <v>37</v>
      </c>
      <c r="UV418" s="12" t="s">
        <v>37</v>
      </c>
      <c r="UW418" s="12" t="s">
        <v>37</v>
      </c>
      <c r="UX418" s="12"/>
      <c r="UY418" s="12"/>
      <c r="VB418" s="12" t="s">
        <v>37</v>
      </c>
      <c r="VC418" s="12" t="s">
        <v>37</v>
      </c>
      <c r="VD418" s="12" t="s">
        <v>37</v>
      </c>
      <c r="VE418" s="12" t="s">
        <v>37</v>
      </c>
      <c r="VF418" s="12" t="s">
        <v>37</v>
      </c>
      <c r="VG418" s="12" t="s">
        <v>37</v>
      </c>
      <c r="VI418" s="12" t="s">
        <v>37</v>
      </c>
      <c r="VJ418" s="12" t="s">
        <v>37</v>
      </c>
      <c r="VK418" s="12" t="s">
        <v>37</v>
      </c>
      <c r="VL418" s="12" t="s">
        <v>37</v>
      </c>
      <c r="VM418" s="12" t="s">
        <v>37</v>
      </c>
      <c r="VN418" s="12" t="s">
        <v>37</v>
      </c>
      <c r="VQ418" s="13" t="s">
        <v>37</v>
      </c>
      <c r="VR418" s="13" t="s">
        <v>37</v>
      </c>
      <c r="VS418" s="13" t="s">
        <v>37</v>
      </c>
      <c r="VT418" s="13" t="s">
        <v>37</v>
      </c>
      <c r="VU418" s="13" t="s">
        <v>37</v>
      </c>
      <c r="VV418" s="13" t="s">
        <v>37</v>
      </c>
      <c r="WA418" s="13" t="s">
        <v>37</v>
      </c>
      <c r="WB418" s="13" t="s">
        <v>37</v>
      </c>
      <c r="WC418" s="13" t="s">
        <v>37</v>
      </c>
      <c r="WD418" s="13" t="s">
        <v>37</v>
      </c>
      <c r="WE418" s="13" t="s">
        <v>37</v>
      </c>
      <c r="WF418" s="13" t="s">
        <v>37</v>
      </c>
    </row>
    <row r="419" spans="1:604" ht="20.25" customHeight="1" x14ac:dyDescent="0.3">
      <c r="A419" s="11">
        <v>95</v>
      </c>
      <c r="B419" s="16" t="s">
        <v>622</v>
      </c>
      <c r="C419" s="16" t="s">
        <v>623</v>
      </c>
      <c r="D419" s="16" t="s">
        <v>624</v>
      </c>
      <c r="E419" s="40" t="s">
        <v>37</v>
      </c>
      <c r="F419" s="14">
        <v>0</v>
      </c>
      <c r="G419" s="14">
        <v>0</v>
      </c>
      <c r="H419" s="12" t="s">
        <v>625</v>
      </c>
      <c r="I419" s="16">
        <f>-37.388</f>
        <v>-37.387999999999998</v>
      </c>
      <c r="J419" s="29">
        <v>175.554</v>
      </c>
      <c r="K419" s="16">
        <f>-37.388</f>
        <v>-37.387999999999998</v>
      </c>
      <c r="L419" s="29">
        <v>175.554</v>
      </c>
      <c r="M419" s="13" t="s">
        <v>37</v>
      </c>
      <c r="N419" s="14">
        <v>14.7</v>
      </c>
      <c r="O419" s="14">
        <v>1269</v>
      </c>
      <c r="P419" s="16" t="s">
        <v>16</v>
      </c>
      <c r="Q419" s="75">
        <v>86</v>
      </c>
      <c r="R419" s="11" t="s">
        <v>999</v>
      </c>
      <c r="S419" s="12" t="s">
        <v>93</v>
      </c>
      <c r="T419" s="12" t="s">
        <v>37</v>
      </c>
      <c r="U419" s="12" t="s">
        <v>158</v>
      </c>
      <c r="V419" s="12" t="s">
        <v>275</v>
      </c>
      <c r="W419" s="23" t="s">
        <v>626</v>
      </c>
      <c r="X419" s="12" t="s">
        <v>49</v>
      </c>
      <c r="Y419" s="12" t="s">
        <v>37</v>
      </c>
      <c r="Z419" s="12" t="s">
        <v>37</v>
      </c>
      <c r="AB419" s="12" t="s">
        <v>37</v>
      </c>
      <c r="AC419" s="12" t="s">
        <v>37</v>
      </c>
      <c r="AE419" s="12" t="s">
        <v>37</v>
      </c>
      <c r="AH419" s="12" t="s">
        <v>37</v>
      </c>
      <c r="AK419" s="12" t="s">
        <v>37</v>
      </c>
      <c r="AL419" s="32" t="s">
        <v>628</v>
      </c>
      <c r="AM419" s="12" t="s">
        <v>344</v>
      </c>
      <c r="AO419" s="12" t="s">
        <v>318</v>
      </c>
      <c r="AP419" s="56" t="s">
        <v>597</v>
      </c>
      <c r="AQ419" s="12" t="s">
        <v>849</v>
      </c>
      <c r="AT419" s="12" t="s">
        <v>326</v>
      </c>
      <c r="AU419" s="12" t="s">
        <v>326</v>
      </c>
      <c r="AV419" s="13" t="s">
        <v>326</v>
      </c>
      <c r="AX419" s="12" t="s">
        <v>326</v>
      </c>
      <c r="AY419" s="12" t="s">
        <v>326</v>
      </c>
      <c r="AZ419" s="13" t="s">
        <v>326</v>
      </c>
      <c r="BE419" s="12" t="s">
        <v>326</v>
      </c>
      <c r="BF419" s="12" t="s">
        <v>326</v>
      </c>
      <c r="BG419" s="12" t="s">
        <v>326</v>
      </c>
      <c r="BI419" s="12" t="s">
        <v>326</v>
      </c>
      <c r="BJ419" s="12" t="s">
        <v>326</v>
      </c>
      <c r="BK419" s="12" t="s">
        <v>326</v>
      </c>
      <c r="BP419" s="12" t="s">
        <v>37</v>
      </c>
      <c r="BQ419" s="12" t="s">
        <v>37</v>
      </c>
      <c r="BR419" s="13" t="s">
        <v>37</v>
      </c>
      <c r="BT419" s="12" t="s">
        <v>37</v>
      </c>
      <c r="BU419" s="12" t="s">
        <v>37</v>
      </c>
      <c r="BV419" s="12" t="s">
        <v>37</v>
      </c>
      <c r="BZ419" s="12" t="s">
        <v>47</v>
      </c>
      <c r="CA419" s="12">
        <f>-827*44/12*10^4/10^3</f>
        <v>-30323.333333333336</v>
      </c>
      <c r="CB419" s="50">
        <f>ABS(CA419)*CD$474</f>
        <v>7393.145866479601</v>
      </c>
      <c r="CC419" s="13">
        <v>1</v>
      </c>
      <c r="CE419" s="12">
        <f>-1232*44/12*10^4/10^3</f>
        <v>-45173.333333333328</v>
      </c>
      <c r="CF419" s="50">
        <f>ABS(CE419)*CH$474</f>
        <v>16816.635983348184</v>
      </c>
      <c r="CG419" s="13">
        <v>1</v>
      </c>
      <c r="CI419" s="75">
        <f t="shared" si="1580"/>
        <v>-14849.999999999993</v>
      </c>
      <c r="CJ419" s="12" t="e">
        <f t="shared" si="1560"/>
        <v>#DIV/0!</v>
      </c>
      <c r="CK419" s="72" t="e">
        <f t="shared" si="1561"/>
        <v>#DIV/0!</v>
      </c>
      <c r="CL419" s="72">
        <f t="shared" si="1562"/>
        <v>337457851.5994854</v>
      </c>
      <c r="CM419" s="12" t="s">
        <v>47</v>
      </c>
      <c r="CN419" s="12">
        <f>614*44/12*10^4/10^3</f>
        <v>22513.333333333336</v>
      </c>
      <c r="CO419" s="50">
        <f>ABS(CN419)*CQ$474</f>
        <v>6475.4494945443212</v>
      </c>
      <c r="CP419" s="13">
        <v>1</v>
      </c>
      <c r="CR419" s="12">
        <f>1181*44/12*10^4/10^3</f>
        <v>43303.333333333328</v>
      </c>
      <c r="CS419" s="50">
        <f>ABS(CR419)*CU$474</f>
        <v>11362.412297678464</v>
      </c>
      <c r="CT419" s="13">
        <v>1</v>
      </c>
      <c r="CV419" s="75">
        <f t="shared" si="1564"/>
        <v>20789.999999999993</v>
      </c>
      <c r="CW419" s="12" t="e">
        <f t="shared" si="1565"/>
        <v>#DIV/0!</v>
      </c>
      <c r="CX419" s="72" t="e">
        <f t="shared" si="1566"/>
        <v>#DIV/0!</v>
      </c>
      <c r="CY419" s="72">
        <f t="shared" si="1567"/>
        <v>171035859.37882909</v>
      </c>
      <c r="CZ419" s="12" t="s">
        <v>47</v>
      </c>
      <c r="DA419" s="12">
        <f>-214*44/12*10^4/10^3</f>
        <v>-7846.6666666666661</v>
      </c>
      <c r="DB419" s="12">
        <f>40*44/12*10^4/10^3</f>
        <v>1466.6666666666665</v>
      </c>
      <c r="DC419" s="13">
        <v>1</v>
      </c>
      <c r="DD419" s="19">
        <f t="shared" si="1568"/>
        <v>0.18691588785046728</v>
      </c>
      <c r="DE419" s="12">
        <f>-51*44/12*10^4/10^3</f>
        <v>-1870</v>
      </c>
      <c r="DF419" s="12">
        <f>35*44/12*10^4/10^3</f>
        <v>1283.3333333333335</v>
      </c>
      <c r="DG419" s="13">
        <v>1</v>
      </c>
      <c r="DH419" s="19">
        <f t="shared" si="1526"/>
        <v>0.68627450980392168</v>
      </c>
      <c r="DI419" s="19">
        <f t="shared" si="1581"/>
        <v>5976.6666666666661</v>
      </c>
      <c r="DJ419" s="12" t="e">
        <f t="shared" si="1569"/>
        <v>#DIV/0!</v>
      </c>
      <c r="DK419" s="72" t="e">
        <f t="shared" si="1570"/>
        <v>#DIV/0!</v>
      </c>
      <c r="DL419" s="72">
        <f t="shared" si="1571"/>
        <v>3798055.555555555</v>
      </c>
      <c r="DM419" s="12" t="s">
        <v>47</v>
      </c>
      <c r="DN419" s="19" t="s">
        <v>37</v>
      </c>
      <c r="DO419" s="12" t="s">
        <v>37</v>
      </c>
      <c r="DP419" s="13" t="s">
        <v>37</v>
      </c>
      <c r="DR419" s="19" t="s">
        <v>37</v>
      </c>
      <c r="DS419" s="12" t="s">
        <v>37</v>
      </c>
      <c r="DT419" s="13" t="s">
        <v>37</v>
      </c>
      <c r="EA419" s="19" t="s">
        <v>37</v>
      </c>
      <c r="EB419" s="19" t="s">
        <v>37</v>
      </c>
      <c r="EC419" s="72" t="s">
        <v>37</v>
      </c>
      <c r="EE419" s="19" t="s">
        <v>37</v>
      </c>
      <c r="EF419" s="19" t="s">
        <v>37</v>
      </c>
      <c r="EG419" s="12" t="s">
        <v>37</v>
      </c>
      <c r="EM419" s="12" t="s">
        <v>39</v>
      </c>
      <c r="EN419" s="12">
        <v>-4.2</v>
      </c>
      <c r="EO419" s="12">
        <v>5.2</v>
      </c>
      <c r="EP419" s="13">
        <v>3</v>
      </c>
      <c r="EQ419" s="19">
        <f t="shared" si="1460"/>
        <v>1.2380952380952381</v>
      </c>
      <c r="ER419" s="12">
        <v>-64.3</v>
      </c>
      <c r="ES419" s="12">
        <v>5.9</v>
      </c>
      <c r="ET419" s="13">
        <v>3</v>
      </c>
      <c r="EU419" s="19">
        <f t="shared" si="1461"/>
        <v>9.1757387247278388E-2</v>
      </c>
      <c r="EV419" s="75">
        <f>ER419-EN419</f>
        <v>-60.099999999999994</v>
      </c>
      <c r="EW419" s="12">
        <f t="shared" si="1532"/>
        <v>5.561025085359713</v>
      </c>
      <c r="EX419" s="19">
        <f t="shared" si="1533"/>
        <v>20.616666666666667</v>
      </c>
      <c r="EY419" s="19">
        <f t="shared" si="1534"/>
        <v>20.616666666666667</v>
      </c>
      <c r="FB419" s="12" t="s">
        <v>37</v>
      </c>
      <c r="FC419" s="12" t="s">
        <v>37</v>
      </c>
      <c r="FD419" s="12" t="s">
        <v>37</v>
      </c>
      <c r="FE419" s="12" t="s">
        <v>37</v>
      </c>
      <c r="FF419" s="12" t="s">
        <v>37</v>
      </c>
      <c r="FG419" s="12" t="s">
        <v>37</v>
      </c>
      <c r="FI419" s="12" t="s">
        <v>37</v>
      </c>
      <c r="FJ419" s="12" t="s">
        <v>37</v>
      </c>
      <c r="FK419" s="12" t="s">
        <v>37</v>
      </c>
      <c r="FL419" s="12" t="s">
        <v>37</v>
      </c>
      <c r="FM419" s="12" t="s">
        <v>37</v>
      </c>
      <c r="FN419" s="12" t="s">
        <v>37</v>
      </c>
      <c r="FP419" s="12" t="s">
        <v>37</v>
      </c>
      <c r="FQ419" s="12" t="s">
        <v>37</v>
      </c>
      <c r="FR419" s="12" t="s">
        <v>37</v>
      </c>
      <c r="FS419" s="12" t="s">
        <v>37</v>
      </c>
      <c r="FT419" s="12" t="s">
        <v>37</v>
      </c>
      <c r="FU419" s="12" t="s">
        <v>37</v>
      </c>
      <c r="FW419" s="12" t="s">
        <v>37</v>
      </c>
      <c r="FX419" s="12" t="s">
        <v>37</v>
      </c>
      <c r="FY419" s="12" t="s">
        <v>37</v>
      </c>
      <c r="FZ419" s="12" t="s">
        <v>37</v>
      </c>
      <c r="GA419" s="12" t="s">
        <v>37</v>
      </c>
      <c r="GB419" s="12" t="s">
        <v>37</v>
      </c>
      <c r="GD419" s="12" t="s">
        <v>37</v>
      </c>
      <c r="GE419" s="12" t="s">
        <v>37</v>
      </c>
      <c r="GF419" s="12" t="s">
        <v>37</v>
      </c>
      <c r="GG419" s="12" t="s">
        <v>37</v>
      </c>
      <c r="GH419" s="12" t="s">
        <v>37</v>
      </c>
      <c r="GI419" s="12" t="s">
        <v>37</v>
      </c>
      <c r="GJ419" s="12" t="s">
        <v>37</v>
      </c>
      <c r="GK419" s="12" t="s">
        <v>37</v>
      </c>
      <c r="GP419" s="12" t="s">
        <v>37</v>
      </c>
      <c r="GQ419" s="12" t="s">
        <v>37</v>
      </c>
      <c r="GR419" s="12" t="s">
        <v>37</v>
      </c>
      <c r="GS419" s="12" t="s">
        <v>37</v>
      </c>
      <c r="GT419" s="12" t="s">
        <v>37</v>
      </c>
      <c r="GU419" s="12" t="s">
        <v>37</v>
      </c>
      <c r="GV419" s="12" t="s">
        <v>37</v>
      </c>
      <c r="GW419" s="12" t="s">
        <v>37</v>
      </c>
      <c r="HA419" s="12" t="s">
        <v>37</v>
      </c>
      <c r="HB419" s="12" t="s">
        <v>37</v>
      </c>
      <c r="HC419" s="12" t="s">
        <v>37</v>
      </c>
      <c r="HD419" s="12" t="s">
        <v>37</v>
      </c>
      <c r="HE419" s="12" t="s">
        <v>37</v>
      </c>
      <c r="HG419" s="12" t="s">
        <v>37</v>
      </c>
      <c r="HH419" s="12" t="s">
        <v>37</v>
      </c>
      <c r="HI419" s="12" t="s">
        <v>37</v>
      </c>
      <c r="HJ419" s="12"/>
      <c r="HK419" s="12"/>
      <c r="HL419" s="12"/>
      <c r="HP419" s="12"/>
      <c r="HT419" s="12"/>
      <c r="IA419" s="12"/>
      <c r="IE419" s="12"/>
      <c r="IK419" s="12" t="s">
        <v>37</v>
      </c>
      <c r="IL419" s="12" t="s">
        <v>37</v>
      </c>
      <c r="IM419" s="12" t="s">
        <v>37</v>
      </c>
      <c r="IO419" s="12" t="s">
        <v>37</v>
      </c>
      <c r="IP419" s="12" t="s">
        <v>37</v>
      </c>
      <c r="IQ419" s="12" t="s">
        <v>37</v>
      </c>
      <c r="IW419" s="12" t="s">
        <v>37</v>
      </c>
      <c r="IX419" s="12" t="s">
        <v>37</v>
      </c>
      <c r="IY419" s="12" t="s">
        <v>37</v>
      </c>
      <c r="JA419" s="12" t="s">
        <v>37</v>
      </c>
      <c r="JB419" s="12" t="s">
        <v>37</v>
      </c>
      <c r="JC419" s="12" t="s">
        <v>37</v>
      </c>
      <c r="JH419" s="12" t="s">
        <v>37</v>
      </c>
      <c r="JI419" s="12" t="s">
        <v>37</v>
      </c>
      <c r="JJ419" s="12" t="s">
        <v>37</v>
      </c>
      <c r="JL419" s="12" t="s">
        <v>37</v>
      </c>
      <c r="JM419" s="12" t="s">
        <v>37</v>
      </c>
      <c r="JN419" s="12" t="s">
        <v>37</v>
      </c>
      <c r="JS419" s="12" t="s">
        <v>37</v>
      </c>
      <c r="JT419" s="12" t="s">
        <v>37</v>
      </c>
      <c r="JU419" s="12" t="s">
        <v>37</v>
      </c>
      <c r="JW419" s="12" t="s">
        <v>37</v>
      </c>
      <c r="JX419" s="12" t="s">
        <v>37</v>
      </c>
      <c r="JY419" s="12" t="s">
        <v>37</v>
      </c>
      <c r="KE419" s="12" t="s">
        <v>37</v>
      </c>
      <c r="KF419" s="12" t="s">
        <v>37</v>
      </c>
      <c r="KG419" s="12" t="s">
        <v>37</v>
      </c>
      <c r="KH419" s="12" t="s">
        <v>37</v>
      </c>
      <c r="KI419" s="12" t="s">
        <v>37</v>
      </c>
      <c r="KJ419" s="12" t="s">
        <v>37</v>
      </c>
      <c r="KM419" s="12" t="s">
        <v>37</v>
      </c>
      <c r="KN419" s="12" t="s">
        <v>37</v>
      </c>
      <c r="KO419" s="12" t="s">
        <v>37</v>
      </c>
      <c r="KQ419" s="12" t="s">
        <v>37</v>
      </c>
      <c r="KR419" s="12" t="s">
        <v>37</v>
      </c>
      <c r="KS419" s="12" t="s">
        <v>37</v>
      </c>
      <c r="KX419" s="12" t="s">
        <v>37</v>
      </c>
      <c r="KY419" s="12" t="s">
        <v>37</v>
      </c>
      <c r="KZ419" s="12" t="s">
        <v>37</v>
      </c>
      <c r="LB419" s="12" t="s">
        <v>37</v>
      </c>
      <c r="LC419" s="12" t="s">
        <v>37</v>
      </c>
      <c r="LD419" s="12" t="s">
        <v>37</v>
      </c>
      <c r="LI419" s="12" t="s">
        <v>37</v>
      </c>
      <c r="LJ419" s="12" t="s">
        <v>37</v>
      </c>
      <c r="LK419" s="12" t="s">
        <v>37</v>
      </c>
      <c r="LM419" s="12" t="s">
        <v>37</v>
      </c>
      <c r="LN419" s="12" t="s">
        <v>37</v>
      </c>
      <c r="LO419" s="12" t="s">
        <v>37</v>
      </c>
      <c r="LU419" s="12" t="s">
        <v>37</v>
      </c>
      <c r="LV419" s="12" t="s">
        <v>37</v>
      </c>
      <c r="LW419" s="12" t="s">
        <v>37</v>
      </c>
      <c r="LY419" s="12" t="s">
        <v>37</v>
      </c>
      <c r="LZ419" s="12" t="s">
        <v>37</v>
      </c>
      <c r="MA419" s="12" t="s">
        <v>37</v>
      </c>
      <c r="MF419" s="12" t="s">
        <v>37</v>
      </c>
      <c r="MG419" s="12" t="s">
        <v>37</v>
      </c>
      <c r="MH419" s="12" t="s">
        <v>37</v>
      </c>
      <c r="MJ419" s="12" t="s">
        <v>37</v>
      </c>
      <c r="MK419" s="12" t="s">
        <v>37</v>
      </c>
      <c r="ML419" s="12" t="s">
        <v>37</v>
      </c>
      <c r="MQ419" s="12" t="s">
        <v>37</v>
      </c>
      <c r="MR419" s="12" t="s">
        <v>37</v>
      </c>
      <c r="MS419" s="12" t="s">
        <v>37</v>
      </c>
      <c r="MU419" s="12" t="s">
        <v>37</v>
      </c>
      <c r="MV419" s="12" t="s">
        <v>37</v>
      </c>
      <c r="MW419" s="12" t="s">
        <v>37</v>
      </c>
      <c r="NC419" s="12" t="s">
        <v>37</v>
      </c>
      <c r="ND419" s="12" t="s">
        <v>37</v>
      </c>
      <c r="NE419" s="12" t="s">
        <v>37</v>
      </c>
      <c r="NG419" s="12" t="s">
        <v>37</v>
      </c>
      <c r="NH419" s="12" t="s">
        <v>37</v>
      </c>
      <c r="NI419" s="12" t="s">
        <v>37</v>
      </c>
      <c r="NO419" s="12" t="s">
        <v>37</v>
      </c>
      <c r="NP419" s="12" t="s">
        <v>37</v>
      </c>
      <c r="NQ419" s="12" t="s">
        <v>37</v>
      </c>
      <c r="NS419" s="12" t="s">
        <v>37</v>
      </c>
      <c r="NT419" s="12" t="s">
        <v>37</v>
      </c>
      <c r="NU419" s="12" t="s">
        <v>37</v>
      </c>
      <c r="OA419" s="12" t="s">
        <v>37</v>
      </c>
      <c r="OB419" s="12" t="s">
        <v>37</v>
      </c>
      <c r="OC419" s="12" t="s">
        <v>37</v>
      </c>
      <c r="OD419" s="12"/>
      <c r="OE419" s="12" t="s">
        <v>37</v>
      </c>
      <c r="OF419" s="12" t="s">
        <v>37</v>
      </c>
      <c r="OG419" s="12" t="s">
        <v>37</v>
      </c>
      <c r="OH419" s="12"/>
      <c r="OI419" s="12"/>
      <c r="OJ419" s="12"/>
      <c r="OM419" s="12" t="s">
        <v>37</v>
      </c>
      <c r="ON419" s="12" t="s">
        <v>37</v>
      </c>
      <c r="OO419" s="12" t="s">
        <v>37</v>
      </c>
      <c r="OP419" s="12" t="s">
        <v>37</v>
      </c>
      <c r="OQ419" s="12" t="s">
        <v>37</v>
      </c>
      <c r="OR419" s="12" t="s">
        <v>37</v>
      </c>
      <c r="OS419" s="12"/>
      <c r="OT419" s="12"/>
      <c r="OW419" s="12" t="s">
        <v>37</v>
      </c>
      <c r="OX419" s="12" t="s">
        <v>37</v>
      </c>
      <c r="OY419" s="12" t="s">
        <v>37</v>
      </c>
      <c r="OZ419" s="12" t="s">
        <v>37</v>
      </c>
      <c r="PA419" s="12" t="s">
        <v>37</v>
      </c>
      <c r="PB419" s="12" t="s">
        <v>37</v>
      </c>
      <c r="PC419" s="12"/>
      <c r="PD419" s="12"/>
      <c r="PG419" s="12" t="s">
        <v>37</v>
      </c>
      <c r="PH419" s="12" t="s">
        <v>37</v>
      </c>
      <c r="PI419" s="12" t="s">
        <v>37</v>
      </c>
      <c r="PJ419" s="12" t="s">
        <v>37</v>
      </c>
      <c r="PK419" s="12" t="s">
        <v>37</v>
      </c>
      <c r="PL419" s="12" t="s">
        <v>37</v>
      </c>
      <c r="PM419" s="12"/>
      <c r="PN419" s="12"/>
      <c r="PQ419" s="12" t="s">
        <v>37</v>
      </c>
      <c r="PR419" s="12" t="s">
        <v>37</v>
      </c>
      <c r="PS419" s="12" t="s">
        <v>37</v>
      </c>
      <c r="PT419" s="12" t="s">
        <v>37</v>
      </c>
      <c r="PU419" s="12" t="s">
        <v>37</v>
      </c>
      <c r="PV419" s="12" t="s">
        <v>37</v>
      </c>
      <c r="PW419" s="12"/>
      <c r="PX419" s="12"/>
      <c r="PZ419" s="12" t="s">
        <v>37</v>
      </c>
      <c r="QA419" s="12" t="s">
        <v>37</v>
      </c>
      <c r="QB419" s="11" t="s">
        <v>37</v>
      </c>
      <c r="QD419" s="12" t="s">
        <v>37</v>
      </c>
      <c r="QE419" s="12" t="s">
        <v>37</v>
      </c>
      <c r="QF419" s="12" t="s">
        <v>37</v>
      </c>
      <c r="QK419" s="12" t="s">
        <v>37</v>
      </c>
      <c r="QL419" s="12" t="s">
        <v>37</v>
      </c>
      <c r="QM419" s="12" t="s">
        <v>37</v>
      </c>
      <c r="QN419" s="12" t="s">
        <v>37</v>
      </c>
      <c r="QO419" s="12" t="s">
        <v>37</v>
      </c>
      <c r="QP419" s="12" t="s">
        <v>37</v>
      </c>
      <c r="QQ419" s="12"/>
      <c r="QR419" s="12"/>
      <c r="QU419" s="12" t="s">
        <v>37</v>
      </c>
      <c r="QV419" s="12" t="s">
        <v>37</v>
      </c>
      <c r="QW419" s="12" t="s">
        <v>37</v>
      </c>
      <c r="QX419" s="12" t="s">
        <v>37</v>
      </c>
      <c r="QY419" s="12" t="s">
        <v>37</v>
      </c>
      <c r="QZ419" s="12" t="s">
        <v>37</v>
      </c>
      <c r="RC419" s="12" t="s">
        <v>37</v>
      </c>
      <c r="RD419" s="12" t="s">
        <v>37</v>
      </c>
      <c r="RE419" s="13" t="s">
        <v>37</v>
      </c>
      <c r="RF419" s="12" t="s">
        <v>37</v>
      </c>
      <c r="RG419" s="12" t="s">
        <v>37</v>
      </c>
      <c r="RH419" s="13" t="s">
        <v>37</v>
      </c>
      <c r="RK419" s="12" t="s">
        <v>37</v>
      </c>
      <c r="RL419" s="12" t="s">
        <v>37</v>
      </c>
      <c r="RM419" s="11" t="s">
        <v>37</v>
      </c>
      <c r="RN419" s="12" t="s">
        <v>37</v>
      </c>
      <c r="RO419" s="12" t="s">
        <v>37</v>
      </c>
      <c r="RP419" s="11" t="s">
        <v>37</v>
      </c>
      <c r="RS419" s="12" t="s">
        <v>37</v>
      </c>
      <c r="RT419" s="12" t="s">
        <v>37</v>
      </c>
      <c r="RU419" s="12" t="s">
        <v>37</v>
      </c>
      <c r="RV419" s="12" t="s">
        <v>37</v>
      </c>
      <c r="RW419" s="12" t="s">
        <v>37</v>
      </c>
      <c r="RX419" s="12" t="s">
        <v>37</v>
      </c>
      <c r="SA419" s="12" t="s">
        <v>37</v>
      </c>
      <c r="SB419" s="12" t="s">
        <v>37</v>
      </c>
      <c r="SC419" s="12" t="s">
        <v>37</v>
      </c>
      <c r="SD419" s="12" t="s">
        <v>37</v>
      </c>
      <c r="SE419" s="12" t="s">
        <v>37</v>
      </c>
      <c r="SF419" s="12" t="s">
        <v>37</v>
      </c>
      <c r="SI419" s="12" t="s">
        <v>37</v>
      </c>
      <c r="SJ419" s="12" t="s">
        <v>37</v>
      </c>
      <c r="SK419" s="13" t="s">
        <v>37</v>
      </c>
      <c r="SM419" s="12" t="s">
        <v>37</v>
      </c>
      <c r="SN419" s="12" t="s">
        <v>37</v>
      </c>
      <c r="SO419" s="13" t="s">
        <v>37</v>
      </c>
      <c r="SU419" s="12" t="s">
        <v>37</v>
      </c>
      <c r="SV419" s="12" t="s">
        <v>37</v>
      </c>
      <c r="SW419" s="11" t="s">
        <v>37</v>
      </c>
      <c r="SX419" s="12" t="s">
        <v>37</v>
      </c>
      <c r="SY419" s="12" t="s">
        <v>37</v>
      </c>
      <c r="SZ419" s="11" t="s">
        <v>37</v>
      </c>
      <c r="TE419" s="12" t="s">
        <v>37</v>
      </c>
      <c r="TF419" s="12" t="s">
        <v>37</v>
      </c>
      <c r="TG419" s="11" t="s">
        <v>37</v>
      </c>
      <c r="TH419" s="12" t="s">
        <v>37</v>
      </c>
      <c r="TI419" s="12" t="s">
        <v>37</v>
      </c>
      <c r="TJ419" s="11" t="s">
        <v>37</v>
      </c>
      <c r="TO419" s="12" t="s">
        <v>37</v>
      </c>
      <c r="TP419" s="12" t="s">
        <v>37</v>
      </c>
      <c r="TQ419" s="11" t="s">
        <v>37</v>
      </c>
      <c r="TR419" s="12" t="s">
        <v>37</v>
      </c>
      <c r="TS419" s="12" t="s">
        <v>37</v>
      </c>
      <c r="TT419" s="11" t="s">
        <v>37</v>
      </c>
      <c r="TY419" s="12" t="s">
        <v>37</v>
      </c>
      <c r="TZ419" s="12" t="s">
        <v>37</v>
      </c>
      <c r="UA419" s="12" t="s">
        <v>37</v>
      </c>
      <c r="UB419" s="12" t="s">
        <v>37</v>
      </c>
      <c r="UC419" s="12" t="s">
        <v>37</v>
      </c>
      <c r="UD419" s="12" t="s">
        <v>37</v>
      </c>
      <c r="UE419" s="12"/>
      <c r="UF419" s="12"/>
      <c r="UI419" s="12" t="s">
        <v>37</v>
      </c>
      <c r="UJ419" s="12" t="s">
        <v>37</v>
      </c>
      <c r="UK419" s="12" t="s">
        <v>37</v>
      </c>
      <c r="UL419" s="12" t="s">
        <v>37</v>
      </c>
      <c r="UM419" s="12" t="s">
        <v>37</v>
      </c>
      <c r="UN419" s="12" t="s">
        <v>37</v>
      </c>
      <c r="UO419" s="12"/>
      <c r="UP419" s="12"/>
      <c r="UR419" s="12" t="s">
        <v>37</v>
      </c>
      <c r="US419" s="12" t="s">
        <v>37</v>
      </c>
      <c r="UT419" s="12" t="s">
        <v>37</v>
      </c>
      <c r="UU419" s="12" t="s">
        <v>37</v>
      </c>
      <c r="UV419" s="12" t="s">
        <v>37</v>
      </c>
      <c r="UW419" s="12" t="s">
        <v>37</v>
      </c>
      <c r="UX419" s="12"/>
      <c r="UY419" s="12"/>
      <c r="VB419" s="12" t="s">
        <v>37</v>
      </c>
      <c r="VC419" s="12" t="s">
        <v>37</v>
      </c>
      <c r="VD419" s="12" t="s">
        <v>37</v>
      </c>
      <c r="VE419" s="12" t="s">
        <v>37</v>
      </c>
      <c r="VF419" s="12" t="s">
        <v>37</v>
      </c>
      <c r="VG419" s="12" t="s">
        <v>37</v>
      </c>
      <c r="VI419" s="12" t="s">
        <v>37</v>
      </c>
      <c r="VJ419" s="12" t="s">
        <v>37</v>
      </c>
      <c r="VK419" s="12" t="s">
        <v>37</v>
      </c>
      <c r="VL419" s="12" t="s">
        <v>37</v>
      </c>
      <c r="VM419" s="12" t="s">
        <v>37</v>
      </c>
      <c r="VN419" s="12" t="s">
        <v>37</v>
      </c>
      <c r="VQ419" s="13" t="s">
        <v>37</v>
      </c>
      <c r="VR419" s="13" t="s">
        <v>37</v>
      </c>
      <c r="VS419" s="13" t="s">
        <v>37</v>
      </c>
      <c r="VT419" s="13" t="s">
        <v>37</v>
      </c>
      <c r="VU419" s="13" t="s">
        <v>37</v>
      </c>
      <c r="VV419" s="13" t="s">
        <v>37</v>
      </c>
      <c r="WA419" s="13" t="s">
        <v>37</v>
      </c>
      <c r="WB419" s="13" t="s">
        <v>37</v>
      </c>
      <c r="WC419" s="13" t="s">
        <v>37</v>
      </c>
      <c r="WD419" s="13" t="s">
        <v>37</v>
      </c>
      <c r="WE419" s="13" t="s">
        <v>37</v>
      </c>
      <c r="WF419" s="13" t="s">
        <v>37</v>
      </c>
    </row>
    <row r="420" spans="1:604" ht="20.25" customHeight="1" x14ac:dyDescent="0.3">
      <c r="A420" s="11">
        <v>96</v>
      </c>
      <c r="B420" s="16" t="s">
        <v>966</v>
      </c>
      <c r="C420" s="16" t="s">
        <v>623</v>
      </c>
      <c r="D420" s="14" t="s">
        <v>830</v>
      </c>
      <c r="E420" s="40" t="s">
        <v>326</v>
      </c>
      <c r="F420" s="14">
        <v>0</v>
      </c>
      <c r="G420" s="14">
        <v>0</v>
      </c>
      <c r="H420" s="12" t="s">
        <v>971</v>
      </c>
      <c r="I420" s="12">
        <v>52.418500000000002</v>
      </c>
      <c r="J420" s="12">
        <v>8.4580599999999997</v>
      </c>
      <c r="K420" s="12">
        <v>52.418500000000002</v>
      </c>
      <c r="L420" s="12">
        <v>8.4580599999999997</v>
      </c>
      <c r="M420" s="12" t="s">
        <v>326</v>
      </c>
      <c r="N420" s="12" t="s">
        <v>326</v>
      </c>
      <c r="O420" s="12" t="s">
        <v>326</v>
      </c>
      <c r="P420" s="16" t="s">
        <v>16</v>
      </c>
      <c r="Q420" s="75" t="s">
        <v>326</v>
      </c>
      <c r="R420" s="11" t="s">
        <v>326</v>
      </c>
      <c r="S420" s="12" t="s">
        <v>85</v>
      </c>
      <c r="T420" s="12" t="s">
        <v>138</v>
      </c>
      <c r="U420" s="12" t="s">
        <v>158</v>
      </c>
      <c r="V420" s="12" t="s">
        <v>275</v>
      </c>
      <c r="W420" s="23" t="s">
        <v>326</v>
      </c>
      <c r="X420" s="23" t="s">
        <v>326</v>
      </c>
      <c r="Y420" s="23" t="s">
        <v>326</v>
      </c>
      <c r="Z420" s="12" t="s">
        <v>37</v>
      </c>
      <c r="AA420" s="23"/>
      <c r="AB420" s="12" t="s">
        <v>37</v>
      </c>
      <c r="AC420" s="12" t="s">
        <v>37</v>
      </c>
      <c r="AD420" s="23"/>
      <c r="AE420" s="12" t="s">
        <v>37</v>
      </c>
      <c r="AH420" s="12" t="s">
        <v>37</v>
      </c>
      <c r="AI420" s="23"/>
      <c r="AJ420" s="23"/>
      <c r="AK420" s="23" t="s">
        <v>326</v>
      </c>
      <c r="AL420" s="23" t="s">
        <v>326</v>
      </c>
      <c r="AM420" s="12" t="s">
        <v>344</v>
      </c>
      <c r="AO420" s="12" t="s">
        <v>326</v>
      </c>
      <c r="AP420" s="56" t="s">
        <v>326</v>
      </c>
      <c r="AQ420" s="56" t="s">
        <v>326</v>
      </c>
      <c r="AR420" s="56" t="s">
        <v>326</v>
      </c>
      <c r="AS420" s="56" t="s">
        <v>326</v>
      </c>
      <c r="AT420" s="56" t="s">
        <v>326</v>
      </c>
      <c r="AU420" s="56" t="s">
        <v>326</v>
      </c>
      <c r="AV420" s="105" t="s">
        <v>326</v>
      </c>
      <c r="AW420" s="56"/>
      <c r="AX420" s="56" t="s">
        <v>326</v>
      </c>
      <c r="AY420" s="56" t="s">
        <v>326</v>
      </c>
      <c r="AZ420" s="105" t="s">
        <v>326</v>
      </c>
      <c r="BA420" s="56"/>
      <c r="BB420" s="56"/>
      <c r="BC420" s="56"/>
      <c r="BD420" s="56"/>
      <c r="BE420" s="56" t="s">
        <v>326</v>
      </c>
      <c r="BF420" s="56" t="s">
        <v>326</v>
      </c>
      <c r="BG420" s="56" t="s">
        <v>326</v>
      </c>
      <c r="BH420" s="56"/>
      <c r="BI420" s="56" t="s">
        <v>326</v>
      </c>
      <c r="BJ420" s="56" t="s">
        <v>326</v>
      </c>
      <c r="BK420" s="56" t="s">
        <v>326</v>
      </c>
      <c r="BL420" s="56"/>
      <c r="BM420" s="56"/>
      <c r="BN420" s="56"/>
      <c r="BO420" s="56"/>
      <c r="BP420" s="56" t="s">
        <v>326</v>
      </c>
      <c r="BQ420" s="56" t="s">
        <v>326</v>
      </c>
      <c r="BR420" s="56" t="s">
        <v>326</v>
      </c>
      <c r="BS420" s="56"/>
      <c r="BT420" s="56" t="s">
        <v>326</v>
      </c>
      <c r="BU420" s="56" t="s">
        <v>326</v>
      </c>
      <c r="BV420" s="56" t="s">
        <v>326</v>
      </c>
      <c r="BW420" s="56"/>
      <c r="BX420" s="56"/>
      <c r="BY420" s="56"/>
      <c r="CA420" s="56" t="s">
        <v>326</v>
      </c>
      <c r="CB420" s="56" t="s">
        <v>326</v>
      </c>
      <c r="CC420" s="56" t="s">
        <v>326</v>
      </c>
      <c r="CE420" s="56" t="s">
        <v>326</v>
      </c>
      <c r="CF420" s="56" t="s">
        <v>326</v>
      </c>
      <c r="CG420" s="56" t="s">
        <v>326</v>
      </c>
      <c r="CI420" s="75"/>
      <c r="CJ420" s="12"/>
      <c r="CN420" s="56" t="s">
        <v>326</v>
      </c>
      <c r="CO420" s="56" t="s">
        <v>326</v>
      </c>
      <c r="CP420" s="56" t="s">
        <v>326</v>
      </c>
      <c r="CR420" s="56" t="s">
        <v>326</v>
      </c>
      <c r="CS420" s="56" t="s">
        <v>326</v>
      </c>
      <c r="CT420" s="56" t="s">
        <v>326</v>
      </c>
      <c r="CV420" s="75"/>
      <c r="CW420" s="12"/>
      <c r="CX420" s="72"/>
      <c r="CY420" s="72"/>
      <c r="CZ420" s="12" t="s">
        <v>47</v>
      </c>
      <c r="DA420" s="12">
        <v>-655.74999999999989</v>
      </c>
      <c r="DB420" s="12">
        <v>1124.8403001463512</v>
      </c>
      <c r="DC420" s="13">
        <v>3</v>
      </c>
      <c r="DD420" s="19">
        <f>DB420/ABS(DA420)</f>
        <v>1.715349294923906</v>
      </c>
      <c r="DE420" s="12">
        <v>13852.474999999999</v>
      </c>
      <c r="DF420" s="12">
        <v>8765.263715525527</v>
      </c>
      <c r="DG420" s="13">
        <v>3</v>
      </c>
      <c r="DH420" s="19">
        <f t="shared" si="1526"/>
        <v>0.63275795231722332</v>
      </c>
      <c r="DI420" s="68">
        <f t="shared" ref="DI420" si="1607">DE420-DA420</f>
        <v>14508.224999999999</v>
      </c>
      <c r="DJ420" s="12">
        <f t="shared" si="1569"/>
        <v>6248.8044337913834</v>
      </c>
      <c r="DK420" s="72">
        <f>(((DC420+DG420)/(DC420*DG420))*(((DC420-1)*DB420^2)+(DG420-1)*DF420^2)/(DC420+DG420-2))</f>
        <v>26031704.56784723</v>
      </c>
      <c r="DL420" s="72">
        <f>(DB420^2/DC420)+(DF420^2/DG420)</f>
        <v>26031704.56784723</v>
      </c>
      <c r="DM420" s="12" t="s">
        <v>47</v>
      </c>
      <c r="DN420" s="19">
        <v>132.85</v>
      </c>
      <c r="DO420" s="12">
        <v>167.40306896828386</v>
      </c>
      <c r="DP420" s="13">
        <v>3</v>
      </c>
      <c r="DQ420" s="19">
        <f t="shared" ref="DQ420:DQ424" si="1608">DO420/ABS(DN420)</f>
        <v>1.260090846580985</v>
      </c>
      <c r="DR420" s="19">
        <v>10.199999999999999</v>
      </c>
      <c r="DS420" s="12">
        <v>15.571341196784134</v>
      </c>
      <c r="DT420" s="13">
        <v>3</v>
      </c>
      <c r="DU420" s="19">
        <f>DS420/ABS(DR420)</f>
        <v>1.5266020781160916</v>
      </c>
      <c r="DV420" s="19">
        <f t="shared" ref="DV420" si="1609">DR420-DN420</f>
        <v>-122.64999999999999</v>
      </c>
      <c r="DW420" s="12">
        <f t="shared" ref="DW420:DW424" si="1610">SQRT(((DP420-1)*DO420^2+(DT420-1)*DS420^2)/(DP420+DT420-2))</f>
        <v>118.88282921992281</v>
      </c>
      <c r="DX420" s="72">
        <f t="shared" ref="DX420:DX446" si="1611">(((DP420+DT420)/(DP420*DT420))*(((DP420-1)*DO420^2)+(DT420-1)*DS420^2)/(DP420+DT420-2))</f>
        <v>9422.0847222222219</v>
      </c>
      <c r="DY420" s="72">
        <f t="shared" ref="DY420:DY446" si="1612">(DO420^2/DP420)+(DS420^2/DT420)</f>
        <v>9422.0847222222237</v>
      </c>
      <c r="DZ420" s="11" t="s">
        <v>47</v>
      </c>
      <c r="EA420" s="19">
        <v>0.17500000000000002</v>
      </c>
      <c r="EB420" s="19">
        <v>6.6645830077107365E-2</v>
      </c>
      <c r="EC420" s="72">
        <v>3</v>
      </c>
      <c r="EE420" s="19">
        <v>3.8644999999999996</v>
      </c>
      <c r="EF420" s="19">
        <v>2.343140076194052</v>
      </c>
      <c r="EG420" s="72">
        <v>3</v>
      </c>
      <c r="EH420" s="52">
        <f t="shared" ref="EH420:EH421" si="1613">EF420/ABS(EE420)</f>
        <v>0.6063242531230566</v>
      </c>
      <c r="EI420" s="19">
        <f>EE420-EA420</f>
        <v>3.6894999999999998</v>
      </c>
      <c r="EJ420" s="12">
        <f t="shared" ref="EJ420:EJ421" si="1614">SQRT(((EC420-1)*EB420^2+(EG420-1)*EF420^2)/(EC420+EG420-2))</f>
        <v>1.6575202990210005</v>
      </c>
      <c r="EK420" s="19">
        <f t="shared" ref="EK420:EK421" si="1615">(((EC420+EG420)/(EC420*EG420))*(((EC420-1)*EB420^2)+(EG420-1)*EF420^2)/(EC420+EG420-2))</f>
        <v>1.8315823611111113</v>
      </c>
      <c r="EL420" s="19">
        <f t="shared" ref="EL420:EL421" si="1616">(EB420^2/EC420)+(EF420^2/EG420)</f>
        <v>1.8315823611111113</v>
      </c>
      <c r="EN420" s="12" t="s">
        <v>37</v>
      </c>
      <c r="EO420" s="12" t="s">
        <v>37</v>
      </c>
      <c r="EP420" s="13" t="s">
        <v>37</v>
      </c>
      <c r="ER420" s="12" t="s">
        <v>37</v>
      </c>
      <c r="ES420" s="12" t="s">
        <v>37</v>
      </c>
      <c r="ET420" s="13" t="s">
        <v>37</v>
      </c>
      <c r="EV420" s="75"/>
      <c r="EW420" s="12"/>
      <c r="EX420" s="12"/>
      <c r="EY420" s="12"/>
      <c r="FB420" s="12" t="s">
        <v>37</v>
      </c>
      <c r="FC420" s="12" t="s">
        <v>37</v>
      </c>
      <c r="FD420" s="13" t="s">
        <v>37</v>
      </c>
      <c r="FE420" s="12" t="s">
        <v>37</v>
      </c>
      <c r="FF420" s="12" t="s">
        <v>37</v>
      </c>
      <c r="FG420" s="13" t="s">
        <v>37</v>
      </c>
      <c r="FI420" s="12" t="s">
        <v>37</v>
      </c>
      <c r="FJ420" s="12" t="s">
        <v>37</v>
      </c>
      <c r="FK420" s="13" t="s">
        <v>37</v>
      </c>
      <c r="FL420" s="12" t="s">
        <v>37</v>
      </c>
      <c r="FM420" s="12" t="s">
        <v>37</v>
      </c>
      <c r="FN420" s="13" t="s">
        <v>37</v>
      </c>
      <c r="FP420" s="12" t="s">
        <v>37</v>
      </c>
      <c r="FQ420" s="12" t="s">
        <v>37</v>
      </c>
      <c r="FR420" s="13" t="s">
        <v>37</v>
      </c>
      <c r="FS420" s="12" t="s">
        <v>37</v>
      </c>
      <c r="FT420" s="12" t="s">
        <v>37</v>
      </c>
      <c r="FU420" s="13" t="s">
        <v>37</v>
      </c>
      <c r="FW420" s="12" t="s">
        <v>37</v>
      </c>
      <c r="FX420" s="12" t="s">
        <v>37</v>
      </c>
      <c r="FY420" s="13" t="s">
        <v>37</v>
      </c>
      <c r="FZ420" s="12" t="s">
        <v>37</v>
      </c>
      <c r="GA420" s="12" t="s">
        <v>37</v>
      </c>
      <c r="GB420" s="13" t="s">
        <v>37</v>
      </c>
      <c r="GE420" s="12" t="s">
        <v>37</v>
      </c>
      <c r="GF420" s="12" t="s">
        <v>37</v>
      </c>
      <c r="GG420" s="12" t="s">
        <v>37</v>
      </c>
      <c r="GH420" s="12"/>
      <c r="GI420" s="12" t="s">
        <v>37</v>
      </c>
      <c r="GJ420" s="12" t="s">
        <v>37</v>
      </c>
      <c r="GK420" s="12" t="s">
        <v>37</v>
      </c>
      <c r="GQ420" s="12" t="s">
        <v>37</v>
      </c>
      <c r="GR420" s="12" t="s">
        <v>37</v>
      </c>
      <c r="GS420" s="12" t="s">
        <v>37</v>
      </c>
      <c r="GT420" s="12"/>
      <c r="GU420" s="12" t="s">
        <v>37</v>
      </c>
      <c r="GV420" s="12" t="s">
        <v>37</v>
      </c>
      <c r="GW420" s="12" t="s">
        <v>37</v>
      </c>
      <c r="HA420" s="12"/>
      <c r="HB420" s="12"/>
      <c r="HC420" s="12" t="s">
        <v>37</v>
      </c>
      <c r="HD420" s="12" t="s">
        <v>37</v>
      </c>
      <c r="HE420" s="12" t="s">
        <v>37</v>
      </c>
      <c r="HG420" s="12" t="s">
        <v>37</v>
      </c>
      <c r="HH420" s="12" t="s">
        <v>37</v>
      </c>
      <c r="HI420" s="12" t="s">
        <v>37</v>
      </c>
      <c r="HJ420" s="12"/>
      <c r="HK420" s="12"/>
      <c r="HL420" s="12"/>
      <c r="HN420" s="12" t="s">
        <v>37</v>
      </c>
      <c r="HO420" s="12" t="s">
        <v>37</v>
      </c>
      <c r="HP420" s="12" t="s">
        <v>37</v>
      </c>
      <c r="HR420" s="12" t="s">
        <v>37</v>
      </c>
      <c r="HS420" s="12" t="s">
        <v>37</v>
      </c>
      <c r="HT420" s="12" t="s">
        <v>37</v>
      </c>
      <c r="HY420" s="12" t="s">
        <v>37</v>
      </c>
      <c r="HZ420" s="12" t="s">
        <v>37</v>
      </c>
      <c r="IA420" s="12" t="s">
        <v>37</v>
      </c>
      <c r="IC420" s="12" t="s">
        <v>37</v>
      </c>
      <c r="ID420" s="12" t="s">
        <v>37</v>
      </c>
      <c r="IE420" s="12" t="s">
        <v>37</v>
      </c>
      <c r="IK420" s="12" t="s">
        <v>37</v>
      </c>
      <c r="IL420" s="12" t="s">
        <v>37</v>
      </c>
      <c r="IM420" s="12" t="s">
        <v>37</v>
      </c>
      <c r="IO420" s="12" t="s">
        <v>37</v>
      </c>
      <c r="IP420" s="12" t="s">
        <v>37</v>
      </c>
      <c r="IQ420" s="12" t="s">
        <v>37</v>
      </c>
      <c r="IW420" s="12" t="s">
        <v>37</v>
      </c>
      <c r="IX420" s="12" t="s">
        <v>37</v>
      </c>
      <c r="IY420" s="12" t="s">
        <v>37</v>
      </c>
      <c r="JA420" s="12" t="s">
        <v>37</v>
      </c>
      <c r="JB420" s="12" t="s">
        <v>37</v>
      </c>
      <c r="JC420" s="12" t="s">
        <v>37</v>
      </c>
      <c r="JH420" s="12" t="s">
        <v>37</v>
      </c>
      <c r="JI420" s="12" t="s">
        <v>37</v>
      </c>
      <c r="JJ420" s="12" t="s">
        <v>37</v>
      </c>
      <c r="JL420" s="12" t="s">
        <v>37</v>
      </c>
      <c r="JM420" s="12" t="s">
        <v>37</v>
      </c>
      <c r="JN420" s="12" t="s">
        <v>37</v>
      </c>
      <c r="JS420" s="12" t="s">
        <v>37</v>
      </c>
      <c r="JT420" s="12" t="s">
        <v>37</v>
      </c>
      <c r="JU420" s="12" t="s">
        <v>37</v>
      </c>
      <c r="JW420" s="12" t="s">
        <v>37</v>
      </c>
      <c r="JX420" s="12" t="s">
        <v>37</v>
      </c>
      <c r="JY420" s="12" t="s">
        <v>37</v>
      </c>
      <c r="KE420" s="12" t="s">
        <v>37</v>
      </c>
      <c r="KF420" s="12" t="s">
        <v>37</v>
      </c>
      <c r="KG420" s="12" t="s">
        <v>37</v>
      </c>
      <c r="KH420" s="12" t="s">
        <v>37</v>
      </c>
      <c r="KI420" s="12" t="s">
        <v>37</v>
      </c>
      <c r="KJ420" s="12" t="s">
        <v>37</v>
      </c>
      <c r="KM420" s="12" t="s">
        <v>37</v>
      </c>
      <c r="KN420" s="12" t="s">
        <v>37</v>
      </c>
      <c r="KO420" s="12" t="s">
        <v>37</v>
      </c>
      <c r="KQ420" s="12" t="s">
        <v>37</v>
      </c>
      <c r="KR420" s="12" t="s">
        <v>37</v>
      </c>
      <c r="KS420" s="12" t="s">
        <v>37</v>
      </c>
      <c r="KX420" s="12" t="s">
        <v>37</v>
      </c>
      <c r="KY420" s="12" t="s">
        <v>37</v>
      </c>
      <c r="KZ420" s="12" t="s">
        <v>37</v>
      </c>
      <c r="LB420" s="12" t="s">
        <v>37</v>
      </c>
      <c r="LC420" s="12" t="s">
        <v>37</v>
      </c>
      <c r="LD420" s="12" t="s">
        <v>37</v>
      </c>
      <c r="LI420" s="12" t="s">
        <v>37</v>
      </c>
      <c r="LJ420" s="12" t="s">
        <v>37</v>
      </c>
      <c r="LK420" s="12" t="s">
        <v>37</v>
      </c>
      <c r="LM420" s="12" t="s">
        <v>37</v>
      </c>
      <c r="LN420" s="12" t="s">
        <v>37</v>
      </c>
      <c r="LO420" s="12" t="s">
        <v>37</v>
      </c>
      <c r="LU420" s="12" t="s">
        <v>37</v>
      </c>
      <c r="LV420" s="12" t="s">
        <v>37</v>
      </c>
      <c r="LW420" s="12" t="s">
        <v>37</v>
      </c>
      <c r="LY420" s="12" t="s">
        <v>37</v>
      </c>
      <c r="LZ420" s="12" t="s">
        <v>37</v>
      </c>
      <c r="MA420" s="12" t="s">
        <v>37</v>
      </c>
      <c r="MF420" s="12" t="s">
        <v>37</v>
      </c>
      <c r="MG420" s="12" t="s">
        <v>37</v>
      </c>
      <c r="MH420" s="12" t="s">
        <v>37</v>
      </c>
      <c r="MJ420" s="12" t="s">
        <v>37</v>
      </c>
      <c r="MK420" s="12" t="s">
        <v>37</v>
      </c>
      <c r="ML420" s="12" t="s">
        <v>37</v>
      </c>
      <c r="MQ420" s="12" t="s">
        <v>37</v>
      </c>
      <c r="MR420" s="12" t="s">
        <v>37</v>
      </c>
      <c r="MS420" s="12" t="s">
        <v>37</v>
      </c>
      <c r="MU420" s="12" t="s">
        <v>37</v>
      </c>
      <c r="MV420" s="12" t="s">
        <v>37</v>
      </c>
      <c r="MW420" s="12" t="s">
        <v>37</v>
      </c>
      <c r="NC420" s="12" t="s">
        <v>37</v>
      </c>
      <c r="ND420" s="12" t="s">
        <v>37</v>
      </c>
      <c r="NE420" s="12" t="s">
        <v>37</v>
      </c>
      <c r="NG420" s="12" t="s">
        <v>37</v>
      </c>
      <c r="NH420" s="12" t="s">
        <v>37</v>
      </c>
      <c r="NI420" s="12" t="s">
        <v>37</v>
      </c>
      <c r="NO420" s="12" t="s">
        <v>37</v>
      </c>
      <c r="NP420" s="12" t="s">
        <v>37</v>
      </c>
      <c r="NQ420" s="12" t="s">
        <v>37</v>
      </c>
      <c r="NS420" s="12" t="s">
        <v>37</v>
      </c>
      <c r="NT420" s="12" t="s">
        <v>37</v>
      </c>
      <c r="NU420" s="12" t="s">
        <v>37</v>
      </c>
      <c r="OA420" s="12" t="s">
        <v>37</v>
      </c>
      <c r="OB420" s="12" t="s">
        <v>37</v>
      </c>
      <c r="OC420" s="12" t="s">
        <v>37</v>
      </c>
      <c r="OD420" s="12"/>
      <c r="OE420" s="12" t="s">
        <v>37</v>
      </c>
      <c r="OF420" s="12" t="s">
        <v>37</v>
      </c>
      <c r="OG420" s="12" t="s">
        <v>37</v>
      </c>
      <c r="OH420" s="12"/>
      <c r="OI420" s="12"/>
      <c r="OJ420" s="12"/>
      <c r="OM420" s="12" t="s">
        <v>37</v>
      </c>
      <c r="ON420" s="12" t="s">
        <v>37</v>
      </c>
      <c r="OO420" s="12" t="s">
        <v>37</v>
      </c>
      <c r="OP420" s="12" t="s">
        <v>37</v>
      </c>
      <c r="OQ420" s="12" t="s">
        <v>37</v>
      </c>
      <c r="OR420" s="12" t="s">
        <v>37</v>
      </c>
      <c r="OS420" s="12"/>
      <c r="OT420" s="12"/>
      <c r="OW420" s="12" t="s">
        <v>37</v>
      </c>
      <c r="OX420" s="12" t="s">
        <v>37</v>
      </c>
      <c r="OY420" s="12" t="s">
        <v>37</v>
      </c>
      <c r="OZ420" s="12" t="s">
        <v>37</v>
      </c>
      <c r="PA420" s="12" t="s">
        <v>37</v>
      </c>
      <c r="PB420" s="12" t="s">
        <v>37</v>
      </c>
      <c r="PC420" s="12"/>
      <c r="PD420" s="12"/>
      <c r="PG420" s="12" t="s">
        <v>37</v>
      </c>
      <c r="PH420" s="12" t="s">
        <v>37</v>
      </c>
      <c r="PI420" s="12" t="s">
        <v>37</v>
      </c>
      <c r="PJ420" s="12" t="s">
        <v>37</v>
      </c>
      <c r="PK420" s="12" t="s">
        <v>37</v>
      </c>
      <c r="PL420" s="12" t="s">
        <v>37</v>
      </c>
      <c r="PM420" s="12"/>
      <c r="PN420" s="12"/>
      <c r="PQ420" s="12" t="s">
        <v>37</v>
      </c>
      <c r="PR420" s="12" t="s">
        <v>37</v>
      </c>
      <c r="PS420" s="12" t="s">
        <v>37</v>
      </c>
      <c r="PT420" s="12" t="s">
        <v>37</v>
      </c>
      <c r="PU420" s="12" t="s">
        <v>37</v>
      </c>
      <c r="PV420" s="12" t="s">
        <v>37</v>
      </c>
      <c r="PW420" s="12"/>
      <c r="PX420" s="12"/>
      <c r="PZ420" s="12" t="s">
        <v>37</v>
      </c>
      <c r="QA420" s="12" t="s">
        <v>37</v>
      </c>
      <c r="QB420" s="11" t="s">
        <v>37</v>
      </c>
      <c r="QD420" s="12" t="s">
        <v>37</v>
      </c>
      <c r="QE420" s="12" t="s">
        <v>37</v>
      </c>
      <c r="QF420" s="12" t="s">
        <v>37</v>
      </c>
      <c r="QK420" s="12" t="s">
        <v>37</v>
      </c>
      <c r="QL420" s="12" t="s">
        <v>37</v>
      </c>
      <c r="QM420" s="12" t="s">
        <v>37</v>
      </c>
      <c r="QN420" s="12" t="s">
        <v>37</v>
      </c>
      <c r="QO420" s="12" t="s">
        <v>37</v>
      </c>
      <c r="QP420" s="12" t="s">
        <v>37</v>
      </c>
      <c r="QQ420" s="12"/>
      <c r="QR420" s="12"/>
      <c r="QU420" s="12" t="s">
        <v>37</v>
      </c>
      <c r="QV420" s="12" t="s">
        <v>37</v>
      </c>
      <c r="QW420" s="12" t="s">
        <v>37</v>
      </c>
      <c r="QX420" s="12" t="s">
        <v>37</v>
      </c>
      <c r="QY420" s="12" t="s">
        <v>37</v>
      </c>
      <c r="QZ420" s="12" t="s">
        <v>37</v>
      </c>
      <c r="RC420" s="12" t="s">
        <v>37</v>
      </c>
      <c r="RD420" s="12" t="s">
        <v>37</v>
      </c>
      <c r="RE420" s="13" t="s">
        <v>37</v>
      </c>
      <c r="RF420" s="12" t="s">
        <v>37</v>
      </c>
      <c r="RG420" s="12" t="s">
        <v>37</v>
      </c>
      <c r="RH420" s="13" t="s">
        <v>37</v>
      </c>
      <c r="RK420" s="12" t="s">
        <v>37</v>
      </c>
      <c r="RL420" s="12" t="s">
        <v>37</v>
      </c>
      <c r="RM420" s="11" t="s">
        <v>37</v>
      </c>
      <c r="RN420" s="12" t="s">
        <v>37</v>
      </c>
      <c r="RO420" s="12" t="s">
        <v>37</v>
      </c>
      <c r="RP420" s="11" t="s">
        <v>37</v>
      </c>
      <c r="RS420" s="12" t="s">
        <v>37</v>
      </c>
      <c r="RT420" s="12" t="s">
        <v>37</v>
      </c>
      <c r="RU420" s="12" t="s">
        <v>37</v>
      </c>
      <c r="RV420" s="12" t="s">
        <v>37</v>
      </c>
      <c r="RW420" s="12" t="s">
        <v>37</v>
      </c>
      <c r="RX420" s="12" t="s">
        <v>37</v>
      </c>
      <c r="SA420" s="12" t="s">
        <v>37</v>
      </c>
      <c r="SB420" s="12" t="s">
        <v>37</v>
      </c>
      <c r="SC420" s="12" t="s">
        <v>37</v>
      </c>
      <c r="SD420" s="12" t="s">
        <v>37</v>
      </c>
      <c r="SE420" s="12" t="s">
        <v>37</v>
      </c>
      <c r="SF420" s="12" t="s">
        <v>37</v>
      </c>
      <c r="SI420" s="12" t="s">
        <v>37</v>
      </c>
      <c r="SJ420" s="12" t="s">
        <v>37</v>
      </c>
      <c r="SK420" s="13" t="s">
        <v>37</v>
      </c>
      <c r="SM420" s="12" t="s">
        <v>37</v>
      </c>
      <c r="SN420" s="12" t="s">
        <v>37</v>
      </c>
      <c r="SO420" s="13" t="s">
        <v>37</v>
      </c>
      <c r="SU420" s="12" t="s">
        <v>37</v>
      </c>
      <c r="SV420" s="12" t="s">
        <v>37</v>
      </c>
      <c r="SW420" s="11" t="s">
        <v>37</v>
      </c>
      <c r="SX420" s="12" t="s">
        <v>37</v>
      </c>
      <c r="SY420" s="12" t="s">
        <v>37</v>
      </c>
      <c r="SZ420" s="11" t="s">
        <v>37</v>
      </c>
      <c r="TE420" s="12" t="s">
        <v>37</v>
      </c>
      <c r="TF420" s="12" t="s">
        <v>37</v>
      </c>
      <c r="TG420" s="11" t="s">
        <v>37</v>
      </c>
      <c r="TH420" s="12" t="s">
        <v>37</v>
      </c>
      <c r="TI420" s="12" t="s">
        <v>37</v>
      </c>
      <c r="TJ420" s="11" t="s">
        <v>37</v>
      </c>
      <c r="TO420" s="12" t="s">
        <v>37</v>
      </c>
      <c r="TP420" s="12" t="s">
        <v>37</v>
      </c>
      <c r="TQ420" s="11" t="s">
        <v>37</v>
      </c>
      <c r="TR420" s="12" t="s">
        <v>37</v>
      </c>
      <c r="TS420" s="12" t="s">
        <v>37</v>
      </c>
      <c r="TT420" s="11" t="s">
        <v>37</v>
      </c>
      <c r="TY420" s="12" t="s">
        <v>37</v>
      </c>
      <c r="TZ420" s="12" t="s">
        <v>37</v>
      </c>
      <c r="UA420" s="12" t="s">
        <v>37</v>
      </c>
      <c r="UB420" s="12" t="s">
        <v>37</v>
      </c>
      <c r="UC420" s="12" t="s">
        <v>37</v>
      </c>
      <c r="UD420" s="12" t="s">
        <v>37</v>
      </c>
      <c r="UE420" s="12"/>
      <c r="UF420" s="12"/>
      <c r="UI420" s="12" t="s">
        <v>37</v>
      </c>
      <c r="UJ420" s="12" t="s">
        <v>37</v>
      </c>
      <c r="UK420" s="12" t="s">
        <v>37</v>
      </c>
      <c r="UL420" s="12" t="s">
        <v>37</v>
      </c>
      <c r="UM420" s="12" t="s">
        <v>37</v>
      </c>
      <c r="UN420" s="12" t="s">
        <v>37</v>
      </c>
      <c r="UO420" s="12"/>
      <c r="UP420" s="12"/>
      <c r="UR420" s="12" t="s">
        <v>37</v>
      </c>
      <c r="US420" s="12" t="s">
        <v>37</v>
      </c>
      <c r="UT420" s="12" t="s">
        <v>37</v>
      </c>
      <c r="UU420" s="12" t="s">
        <v>37</v>
      </c>
      <c r="UV420" s="12" t="s">
        <v>37</v>
      </c>
      <c r="UW420" s="12" t="s">
        <v>37</v>
      </c>
      <c r="UX420" s="12"/>
      <c r="UY420" s="12"/>
      <c r="VB420" s="12" t="s">
        <v>37</v>
      </c>
      <c r="VC420" s="12" t="s">
        <v>37</v>
      </c>
      <c r="VD420" s="12" t="s">
        <v>37</v>
      </c>
      <c r="VE420" s="12" t="s">
        <v>37</v>
      </c>
      <c r="VF420" s="12" t="s">
        <v>37</v>
      </c>
      <c r="VG420" s="12" t="s">
        <v>37</v>
      </c>
      <c r="VI420" s="12" t="s">
        <v>37</v>
      </c>
      <c r="VJ420" s="12" t="s">
        <v>37</v>
      </c>
      <c r="VK420" s="12" t="s">
        <v>37</v>
      </c>
      <c r="VL420" s="12" t="s">
        <v>37</v>
      </c>
      <c r="VM420" s="12" t="s">
        <v>37</v>
      </c>
      <c r="VN420" s="12" t="s">
        <v>37</v>
      </c>
      <c r="VQ420" s="13" t="s">
        <v>37</v>
      </c>
      <c r="VR420" s="13" t="s">
        <v>37</v>
      </c>
      <c r="VS420" s="13" t="s">
        <v>37</v>
      </c>
      <c r="VT420" s="13" t="s">
        <v>37</v>
      </c>
      <c r="VU420" s="13" t="s">
        <v>37</v>
      </c>
      <c r="VV420" s="13" t="s">
        <v>37</v>
      </c>
      <c r="WA420" s="13" t="s">
        <v>37</v>
      </c>
      <c r="WB420" s="13" t="s">
        <v>37</v>
      </c>
      <c r="WC420" s="13" t="s">
        <v>37</v>
      </c>
      <c r="WD420" s="13" t="s">
        <v>37</v>
      </c>
      <c r="WE420" s="13" t="s">
        <v>37</v>
      </c>
      <c r="WF420" s="13" t="s">
        <v>37</v>
      </c>
    </row>
    <row r="421" spans="1:604" ht="20.25" customHeight="1" x14ac:dyDescent="0.3">
      <c r="A421" s="11">
        <v>96</v>
      </c>
      <c r="B421" s="16" t="s">
        <v>966</v>
      </c>
      <c r="C421" s="16" t="s">
        <v>623</v>
      </c>
      <c r="D421" s="14" t="s">
        <v>830</v>
      </c>
      <c r="E421" s="40" t="s">
        <v>326</v>
      </c>
      <c r="F421" s="14">
        <v>0</v>
      </c>
      <c r="G421" s="14">
        <v>0</v>
      </c>
      <c r="H421" s="12" t="s">
        <v>971</v>
      </c>
      <c r="I421" s="12">
        <v>52.418500000000002</v>
      </c>
      <c r="J421" s="12">
        <v>8.4580599999999997</v>
      </c>
      <c r="K421" s="12">
        <v>52.418500000000002</v>
      </c>
      <c r="L421" s="12">
        <v>8.4580599999999997</v>
      </c>
      <c r="M421" s="12" t="s">
        <v>326</v>
      </c>
      <c r="N421" s="12" t="s">
        <v>326</v>
      </c>
      <c r="O421" s="12" t="s">
        <v>326</v>
      </c>
      <c r="P421" s="16" t="s">
        <v>16</v>
      </c>
      <c r="Q421" s="75" t="s">
        <v>326</v>
      </c>
      <c r="R421" s="11" t="s">
        <v>326</v>
      </c>
      <c r="S421" s="12" t="s">
        <v>85</v>
      </c>
      <c r="T421" s="12" t="s">
        <v>138</v>
      </c>
      <c r="U421" s="12" t="s">
        <v>158</v>
      </c>
      <c r="V421" s="12" t="s">
        <v>275</v>
      </c>
      <c r="W421" s="23" t="s">
        <v>326</v>
      </c>
      <c r="X421" s="23" t="s">
        <v>326</v>
      </c>
      <c r="Y421" s="23" t="s">
        <v>326</v>
      </c>
      <c r="Z421" s="12" t="s">
        <v>37</v>
      </c>
      <c r="AA421" s="23"/>
      <c r="AB421" s="12" t="s">
        <v>37</v>
      </c>
      <c r="AC421" s="12" t="s">
        <v>37</v>
      </c>
      <c r="AD421" s="23"/>
      <c r="AE421" s="12" t="s">
        <v>37</v>
      </c>
      <c r="AH421" s="12" t="s">
        <v>37</v>
      </c>
      <c r="AI421" s="23"/>
      <c r="AJ421" s="23"/>
      <c r="AK421" s="23" t="s">
        <v>326</v>
      </c>
      <c r="AL421" s="23" t="s">
        <v>326</v>
      </c>
      <c r="AM421" s="12" t="s">
        <v>344</v>
      </c>
      <c r="AO421" s="12" t="s">
        <v>326</v>
      </c>
      <c r="AP421" s="56" t="s">
        <v>326</v>
      </c>
      <c r="AQ421" s="56" t="s">
        <v>326</v>
      </c>
      <c r="AR421" s="56" t="s">
        <v>326</v>
      </c>
      <c r="AS421" s="56" t="s">
        <v>326</v>
      </c>
      <c r="AT421" s="56" t="s">
        <v>326</v>
      </c>
      <c r="AU421" s="56" t="s">
        <v>326</v>
      </c>
      <c r="AV421" s="105" t="s">
        <v>326</v>
      </c>
      <c r="AW421" s="56"/>
      <c r="AX421" s="56" t="s">
        <v>326</v>
      </c>
      <c r="AY421" s="56" t="s">
        <v>326</v>
      </c>
      <c r="AZ421" s="105" t="s">
        <v>326</v>
      </c>
      <c r="BA421" s="56"/>
      <c r="BB421" s="56"/>
      <c r="BC421" s="56"/>
      <c r="BD421" s="56"/>
      <c r="BE421" s="56" t="s">
        <v>326</v>
      </c>
      <c r="BF421" s="56" t="s">
        <v>326</v>
      </c>
      <c r="BG421" s="56" t="s">
        <v>326</v>
      </c>
      <c r="BH421" s="56"/>
      <c r="BI421" s="56" t="s">
        <v>326</v>
      </c>
      <c r="BJ421" s="56" t="s">
        <v>326</v>
      </c>
      <c r="BK421" s="56" t="s">
        <v>326</v>
      </c>
      <c r="BL421" s="56"/>
      <c r="BM421" s="56"/>
      <c r="BN421" s="56"/>
      <c r="BO421" s="56"/>
      <c r="BP421" s="56" t="s">
        <v>326</v>
      </c>
      <c r="BQ421" s="56" t="s">
        <v>326</v>
      </c>
      <c r="BR421" s="56" t="s">
        <v>326</v>
      </c>
      <c r="BS421" s="56"/>
      <c r="BT421" s="56" t="s">
        <v>326</v>
      </c>
      <c r="BU421" s="56" t="s">
        <v>326</v>
      </c>
      <c r="BV421" s="56" t="s">
        <v>326</v>
      </c>
      <c r="BW421" s="56"/>
      <c r="BX421" s="56"/>
      <c r="BY421" s="56"/>
      <c r="CA421" s="56" t="s">
        <v>326</v>
      </c>
      <c r="CB421" s="56" t="s">
        <v>326</v>
      </c>
      <c r="CC421" s="56" t="s">
        <v>326</v>
      </c>
      <c r="CE421" s="56" t="s">
        <v>326</v>
      </c>
      <c r="CF421" s="56" t="s">
        <v>326</v>
      </c>
      <c r="CG421" s="56" t="s">
        <v>326</v>
      </c>
      <c r="CI421" s="75"/>
      <c r="CJ421" s="12"/>
      <c r="CN421" s="56" t="s">
        <v>326</v>
      </c>
      <c r="CO421" s="56" t="s">
        <v>326</v>
      </c>
      <c r="CP421" s="56" t="s">
        <v>326</v>
      </c>
      <c r="CR421" s="56" t="s">
        <v>326</v>
      </c>
      <c r="CS421" s="56" t="s">
        <v>326</v>
      </c>
      <c r="CT421" s="56" t="s">
        <v>326</v>
      </c>
      <c r="CU421" s="12"/>
      <c r="CV421" s="75"/>
      <c r="CW421" s="12"/>
      <c r="CX421" s="72"/>
      <c r="CY421" s="72"/>
      <c r="CZ421" s="12" t="s">
        <v>47</v>
      </c>
      <c r="DA421" s="12">
        <v>-388.52499999999998</v>
      </c>
      <c r="DB421" s="12">
        <v>1170.5952194111908</v>
      </c>
      <c r="DC421" s="13">
        <v>3</v>
      </c>
      <c r="DD421" s="19">
        <f t="shared" ref="DD421:DD425" si="1617">DB421/ABS(DA421)</f>
        <v>3.0129212262047251</v>
      </c>
      <c r="DE421" s="12">
        <v>10594.25</v>
      </c>
      <c r="DF421" s="12">
        <v>5864.6849566565243</v>
      </c>
      <c r="DG421" s="13">
        <v>3</v>
      </c>
      <c r="DH421" s="19">
        <f t="shared" si="1526"/>
        <v>0.55357245266597677</v>
      </c>
      <c r="DI421" s="68">
        <f t="shared" ref="DI421:DI423" si="1618">DE421-DA421</f>
        <v>10982.775</v>
      </c>
      <c r="DJ421" s="12">
        <f t="shared" si="1569"/>
        <v>4228.760031530619</v>
      </c>
      <c r="DK421" s="72">
        <f>(((DC421+DG421)/(DC421*DG421))*(((DC421-1)*DB421^2)+(DG421-1)*DF421^2)/(DC421+DG421-2))</f>
        <v>11921607.602847226</v>
      </c>
      <c r="DL421" s="72">
        <f>(DB421^2/DC421)+(DF421^2/DG421)</f>
        <v>11921607.602847224</v>
      </c>
      <c r="DM421" s="12" t="s">
        <v>47</v>
      </c>
      <c r="DN421" s="19">
        <v>136.1</v>
      </c>
      <c r="DO421" s="12">
        <v>88.336949611511187</v>
      </c>
      <c r="DP421" s="13">
        <v>3</v>
      </c>
      <c r="DQ421" s="19">
        <f t="shared" si="1608"/>
        <v>0.64905914483108884</v>
      </c>
      <c r="DR421" s="19">
        <v>18.149999999999999</v>
      </c>
      <c r="DS421" s="12">
        <v>9.7939181808576166</v>
      </c>
      <c r="DT421" s="13">
        <v>3</v>
      </c>
      <c r="DU421" s="19">
        <f t="shared" ref="DU421:DU424" si="1619">DS421/ABS(DR421)</f>
        <v>0.5396098171271414</v>
      </c>
      <c r="DV421" s="19">
        <f>DR421-DN421</f>
        <v>-117.94999999999999</v>
      </c>
      <c r="DW421" s="12">
        <f t="shared" si="1610"/>
        <v>62.846390111127306</v>
      </c>
      <c r="DX421" s="72">
        <f t="shared" si="1611"/>
        <v>2633.1124999999997</v>
      </c>
      <c r="DY421" s="72">
        <f t="shared" si="1612"/>
        <v>2633.1124999999997</v>
      </c>
      <c r="DZ421" s="11" t="s">
        <v>47</v>
      </c>
      <c r="EA421" s="19">
        <v>0.81500000000000006</v>
      </c>
      <c r="EB421" s="19">
        <v>0.72028350899720972</v>
      </c>
      <c r="EC421" s="72">
        <v>3</v>
      </c>
      <c r="EE421" s="19">
        <v>5.5957499999999989</v>
      </c>
      <c r="EF421" s="19">
        <v>4.4151157143197661</v>
      </c>
      <c r="EG421" s="72">
        <v>3</v>
      </c>
      <c r="EH421" s="52">
        <f t="shared" si="1613"/>
        <v>0.78901232441044844</v>
      </c>
      <c r="EI421" s="19">
        <f>EE421-EA421</f>
        <v>4.7807499999999985</v>
      </c>
      <c r="EJ421" s="12">
        <f t="shared" si="1614"/>
        <v>3.1632305562641707</v>
      </c>
      <c r="EK421" s="19">
        <f t="shared" si="1615"/>
        <v>6.6706850347222231</v>
      </c>
      <c r="EL421" s="19">
        <f t="shared" si="1616"/>
        <v>6.670685034722224</v>
      </c>
      <c r="EN421" s="12" t="s">
        <v>37</v>
      </c>
      <c r="EO421" s="12" t="s">
        <v>37</v>
      </c>
      <c r="EP421" s="13" t="s">
        <v>37</v>
      </c>
      <c r="ER421" s="12" t="s">
        <v>37</v>
      </c>
      <c r="ES421" s="12" t="s">
        <v>37</v>
      </c>
      <c r="ET421" s="13" t="s">
        <v>37</v>
      </c>
      <c r="EV421" s="75"/>
      <c r="EW421" s="12"/>
      <c r="EX421" s="12"/>
      <c r="EY421" s="12"/>
      <c r="FB421" s="12" t="s">
        <v>37</v>
      </c>
      <c r="FC421" s="12" t="s">
        <v>37</v>
      </c>
      <c r="FD421" s="13" t="s">
        <v>37</v>
      </c>
      <c r="FE421" s="12" t="s">
        <v>37</v>
      </c>
      <c r="FF421" s="12" t="s">
        <v>37</v>
      </c>
      <c r="FG421" s="13" t="s">
        <v>37</v>
      </c>
      <c r="FH421" s="12"/>
      <c r="FI421" s="12" t="s">
        <v>37</v>
      </c>
      <c r="FJ421" s="12" t="s">
        <v>37</v>
      </c>
      <c r="FK421" s="13" t="s">
        <v>37</v>
      </c>
      <c r="FL421" s="12" t="s">
        <v>37</v>
      </c>
      <c r="FM421" s="12" t="s">
        <v>37</v>
      </c>
      <c r="FN421" s="13" t="s">
        <v>37</v>
      </c>
      <c r="FO421" s="12"/>
      <c r="FP421" s="12" t="s">
        <v>37</v>
      </c>
      <c r="FQ421" s="12" t="s">
        <v>37</v>
      </c>
      <c r="FR421" s="13" t="s">
        <v>37</v>
      </c>
      <c r="FS421" s="12" t="s">
        <v>37</v>
      </c>
      <c r="FT421" s="12" t="s">
        <v>37</v>
      </c>
      <c r="FU421" s="13" t="s">
        <v>37</v>
      </c>
      <c r="FW421" s="12" t="s">
        <v>37</v>
      </c>
      <c r="FX421" s="12" t="s">
        <v>37</v>
      </c>
      <c r="FY421" s="13" t="s">
        <v>37</v>
      </c>
      <c r="FZ421" s="12" t="s">
        <v>37</v>
      </c>
      <c r="GA421" s="12" t="s">
        <v>37</v>
      </c>
      <c r="GB421" s="13" t="s">
        <v>37</v>
      </c>
      <c r="GE421" s="12" t="s">
        <v>37</v>
      </c>
      <c r="GF421" s="12" t="s">
        <v>37</v>
      </c>
      <c r="GG421" s="12" t="s">
        <v>37</v>
      </c>
      <c r="GH421" s="12"/>
      <c r="GI421" s="12" t="s">
        <v>37</v>
      </c>
      <c r="GJ421" s="12" t="s">
        <v>37</v>
      </c>
      <c r="GK421" s="12" t="s">
        <v>37</v>
      </c>
      <c r="GQ421" s="12" t="s">
        <v>37</v>
      </c>
      <c r="GR421" s="12" t="s">
        <v>37</v>
      </c>
      <c r="GS421" s="12" t="s">
        <v>37</v>
      </c>
      <c r="GT421" s="12"/>
      <c r="GU421" s="12" t="s">
        <v>37</v>
      </c>
      <c r="GV421" s="12" t="s">
        <v>37</v>
      </c>
      <c r="GW421" s="12" t="s">
        <v>37</v>
      </c>
      <c r="HA421" s="12"/>
      <c r="HB421" s="12"/>
      <c r="HC421" s="12" t="s">
        <v>37</v>
      </c>
      <c r="HD421" s="12" t="s">
        <v>37</v>
      </c>
      <c r="HE421" s="12" t="s">
        <v>37</v>
      </c>
      <c r="HG421" s="12" t="s">
        <v>37</v>
      </c>
      <c r="HH421" s="12" t="s">
        <v>37</v>
      </c>
      <c r="HI421" s="12" t="s">
        <v>37</v>
      </c>
      <c r="HJ421" s="12"/>
      <c r="HK421" s="12"/>
      <c r="HL421" s="12"/>
      <c r="HN421" s="12" t="s">
        <v>37</v>
      </c>
      <c r="HO421" s="12" t="s">
        <v>37</v>
      </c>
      <c r="HP421" s="12" t="s">
        <v>37</v>
      </c>
      <c r="HR421" s="12" t="s">
        <v>37</v>
      </c>
      <c r="HS421" s="12" t="s">
        <v>37</v>
      </c>
      <c r="HT421" s="12" t="s">
        <v>37</v>
      </c>
      <c r="HY421" s="12" t="s">
        <v>37</v>
      </c>
      <c r="HZ421" s="12" t="s">
        <v>37</v>
      </c>
      <c r="IA421" s="12" t="s">
        <v>37</v>
      </c>
      <c r="IC421" s="12" t="s">
        <v>37</v>
      </c>
      <c r="ID421" s="12" t="s">
        <v>37</v>
      </c>
      <c r="IE421" s="12" t="s">
        <v>37</v>
      </c>
      <c r="IK421" s="12" t="s">
        <v>37</v>
      </c>
      <c r="IL421" s="12" t="s">
        <v>37</v>
      </c>
      <c r="IM421" s="12" t="s">
        <v>37</v>
      </c>
      <c r="IO421" s="12" t="s">
        <v>37</v>
      </c>
      <c r="IP421" s="12" t="s">
        <v>37</v>
      </c>
      <c r="IQ421" s="12" t="s">
        <v>37</v>
      </c>
      <c r="IW421" s="12" t="s">
        <v>37</v>
      </c>
      <c r="IX421" s="12" t="s">
        <v>37</v>
      </c>
      <c r="IY421" s="12" t="s">
        <v>37</v>
      </c>
      <c r="JA421" s="12" t="s">
        <v>37</v>
      </c>
      <c r="JB421" s="12" t="s">
        <v>37</v>
      </c>
      <c r="JC421" s="12" t="s">
        <v>37</v>
      </c>
      <c r="JH421" s="12" t="s">
        <v>37</v>
      </c>
      <c r="JI421" s="12" t="s">
        <v>37</v>
      </c>
      <c r="JJ421" s="12" t="s">
        <v>37</v>
      </c>
      <c r="JL421" s="12" t="s">
        <v>37</v>
      </c>
      <c r="JM421" s="12" t="s">
        <v>37</v>
      </c>
      <c r="JN421" s="12" t="s">
        <v>37</v>
      </c>
      <c r="JS421" s="12" t="s">
        <v>37</v>
      </c>
      <c r="JT421" s="12" t="s">
        <v>37</v>
      </c>
      <c r="JU421" s="12" t="s">
        <v>37</v>
      </c>
      <c r="JW421" s="12" t="s">
        <v>37</v>
      </c>
      <c r="JX421" s="12" t="s">
        <v>37</v>
      </c>
      <c r="JY421" s="12" t="s">
        <v>37</v>
      </c>
      <c r="KE421" s="12" t="s">
        <v>37</v>
      </c>
      <c r="KF421" s="12" t="s">
        <v>37</v>
      </c>
      <c r="KG421" s="12" t="s">
        <v>37</v>
      </c>
      <c r="KH421" s="12" t="s">
        <v>37</v>
      </c>
      <c r="KI421" s="12" t="s">
        <v>37</v>
      </c>
      <c r="KJ421" s="12" t="s">
        <v>37</v>
      </c>
      <c r="KM421" s="12" t="s">
        <v>37</v>
      </c>
      <c r="KN421" s="12" t="s">
        <v>37</v>
      </c>
      <c r="KO421" s="12" t="s">
        <v>37</v>
      </c>
      <c r="KQ421" s="12" t="s">
        <v>37</v>
      </c>
      <c r="KR421" s="12" t="s">
        <v>37</v>
      </c>
      <c r="KS421" s="12" t="s">
        <v>37</v>
      </c>
      <c r="KX421" s="12" t="s">
        <v>37</v>
      </c>
      <c r="KY421" s="12" t="s">
        <v>37</v>
      </c>
      <c r="KZ421" s="12" t="s">
        <v>37</v>
      </c>
      <c r="LB421" s="12" t="s">
        <v>37</v>
      </c>
      <c r="LC421" s="12" t="s">
        <v>37</v>
      </c>
      <c r="LD421" s="12" t="s">
        <v>37</v>
      </c>
      <c r="LI421" s="12" t="s">
        <v>37</v>
      </c>
      <c r="LJ421" s="12" t="s">
        <v>37</v>
      </c>
      <c r="LK421" s="12" t="s">
        <v>37</v>
      </c>
      <c r="LM421" s="12" t="s">
        <v>37</v>
      </c>
      <c r="LN421" s="12" t="s">
        <v>37</v>
      </c>
      <c r="LO421" s="12" t="s">
        <v>37</v>
      </c>
      <c r="LU421" s="12" t="s">
        <v>37</v>
      </c>
      <c r="LV421" s="12" t="s">
        <v>37</v>
      </c>
      <c r="LW421" s="12" t="s">
        <v>37</v>
      </c>
      <c r="LY421" s="12" t="s">
        <v>37</v>
      </c>
      <c r="LZ421" s="12" t="s">
        <v>37</v>
      </c>
      <c r="MA421" s="12" t="s">
        <v>37</v>
      </c>
      <c r="MF421" s="12" t="s">
        <v>37</v>
      </c>
      <c r="MG421" s="12" t="s">
        <v>37</v>
      </c>
      <c r="MH421" s="12" t="s">
        <v>37</v>
      </c>
      <c r="MJ421" s="12" t="s">
        <v>37</v>
      </c>
      <c r="MK421" s="12" t="s">
        <v>37</v>
      </c>
      <c r="ML421" s="12" t="s">
        <v>37</v>
      </c>
      <c r="MQ421" s="12" t="s">
        <v>37</v>
      </c>
      <c r="MR421" s="12" t="s">
        <v>37</v>
      </c>
      <c r="MS421" s="12" t="s">
        <v>37</v>
      </c>
      <c r="MU421" s="12" t="s">
        <v>37</v>
      </c>
      <c r="MV421" s="12" t="s">
        <v>37</v>
      </c>
      <c r="MW421" s="12" t="s">
        <v>37</v>
      </c>
      <c r="NC421" s="12" t="s">
        <v>37</v>
      </c>
      <c r="ND421" s="12" t="s">
        <v>37</v>
      </c>
      <c r="NE421" s="12" t="s">
        <v>37</v>
      </c>
      <c r="NG421" s="12" t="s">
        <v>37</v>
      </c>
      <c r="NH421" s="12" t="s">
        <v>37</v>
      </c>
      <c r="NI421" s="12" t="s">
        <v>37</v>
      </c>
      <c r="NO421" s="12" t="s">
        <v>37</v>
      </c>
      <c r="NP421" s="12" t="s">
        <v>37</v>
      </c>
      <c r="NQ421" s="12" t="s">
        <v>37</v>
      </c>
      <c r="NS421" s="12" t="s">
        <v>37</v>
      </c>
      <c r="NT421" s="12" t="s">
        <v>37</v>
      </c>
      <c r="NU421" s="12" t="s">
        <v>37</v>
      </c>
      <c r="OA421" s="12" t="s">
        <v>37</v>
      </c>
      <c r="OB421" s="12" t="s">
        <v>37</v>
      </c>
      <c r="OC421" s="12" t="s">
        <v>37</v>
      </c>
      <c r="OD421" s="12"/>
      <c r="OE421" s="12" t="s">
        <v>37</v>
      </c>
      <c r="OF421" s="12" t="s">
        <v>37</v>
      </c>
      <c r="OG421" s="12" t="s">
        <v>37</v>
      </c>
      <c r="OH421" s="12"/>
      <c r="OI421" s="12"/>
      <c r="OJ421" s="12"/>
      <c r="OM421" s="12" t="s">
        <v>37</v>
      </c>
      <c r="ON421" s="12" t="s">
        <v>37</v>
      </c>
      <c r="OO421" s="12" t="s">
        <v>37</v>
      </c>
      <c r="OP421" s="12" t="s">
        <v>37</v>
      </c>
      <c r="OQ421" s="12" t="s">
        <v>37</v>
      </c>
      <c r="OR421" s="12" t="s">
        <v>37</v>
      </c>
      <c r="OS421" s="12"/>
      <c r="OT421" s="12"/>
      <c r="OW421" s="12" t="s">
        <v>37</v>
      </c>
      <c r="OX421" s="12" t="s">
        <v>37</v>
      </c>
      <c r="OY421" s="12" t="s">
        <v>37</v>
      </c>
      <c r="OZ421" s="12" t="s">
        <v>37</v>
      </c>
      <c r="PA421" s="12" t="s">
        <v>37</v>
      </c>
      <c r="PB421" s="12" t="s">
        <v>37</v>
      </c>
      <c r="PC421" s="12"/>
      <c r="PD421" s="12"/>
      <c r="PG421" s="12" t="s">
        <v>37</v>
      </c>
      <c r="PH421" s="12" t="s">
        <v>37</v>
      </c>
      <c r="PI421" s="12" t="s">
        <v>37</v>
      </c>
      <c r="PJ421" s="12" t="s">
        <v>37</v>
      </c>
      <c r="PK421" s="12" t="s">
        <v>37</v>
      </c>
      <c r="PL421" s="12" t="s">
        <v>37</v>
      </c>
      <c r="PM421" s="12"/>
      <c r="PN421" s="12"/>
      <c r="PQ421" s="12" t="s">
        <v>37</v>
      </c>
      <c r="PR421" s="12" t="s">
        <v>37</v>
      </c>
      <c r="PS421" s="12" t="s">
        <v>37</v>
      </c>
      <c r="PT421" s="12" t="s">
        <v>37</v>
      </c>
      <c r="PU421" s="12" t="s">
        <v>37</v>
      </c>
      <c r="PV421" s="12" t="s">
        <v>37</v>
      </c>
      <c r="PW421" s="12"/>
      <c r="PX421" s="12"/>
      <c r="PZ421" s="12" t="s">
        <v>37</v>
      </c>
      <c r="QA421" s="12" t="s">
        <v>37</v>
      </c>
      <c r="QB421" s="11" t="s">
        <v>37</v>
      </c>
      <c r="QD421" s="12" t="s">
        <v>37</v>
      </c>
      <c r="QE421" s="12" t="s">
        <v>37</v>
      </c>
      <c r="QF421" s="12" t="s">
        <v>37</v>
      </c>
      <c r="QK421" s="12" t="s">
        <v>37</v>
      </c>
      <c r="QL421" s="12" t="s">
        <v>37</v>
      </c>
      <c r="QM421" s="12" t="s">
        <v>37</v>
      </c>
      <c r="QN421" s="12" t="s">
        <v>37</v>
      </c>
      <c r="QO421" s="12" t="s">
        <v>37</v>
      </c>
      <c r="QP421" s="12" t="s">
        <v>37</v>
      </c>
      <c r="QQ421" s="12"/>
      <c r="QR421" s="12"/>
      <c r="QU421" s="12" t="s">
        <v>37</v>
      </c>
      <c r="QV421" s="12" t="s">
        <v>37</v>
      </c>
      <c r="QW421" s="12" t="s">
        <v>37</v>
      </c>
      <c r="QX421" s="12" t="s">
        <v>37</v>
      </c>
      <c r="QY421" s="12" t="s">
        <v>37</v>
      </c>
      <c r="QZ421" s="12" t="s">
        <v>37</v>
      </c>
      <c r="RC421" s="12" t="s">
        <v>37</v>
      </c>
      <c r="RD421" s="12" t="s">
        <v>37</v>
      </c>
      <c r="RE421" s="13" t="s">
        <v>37</v>
      </c>
      <c r="RF421" s="12" t="s">
        <v>37</v>
      </c>
      <c r="RG421" s="12" t="s">
        <v>37</v>
      </c>
      <c r="RH421" s="13" t="s">
        <v>37</v>
      </c>
      <c r="RK421" s="12" t="s">
        <v>37</v>
      </c>
      <c r="RL421" s="12" t="s">
        <v>37</v>
      </c>
      <c r="RM421" s="11" t="s">
        <v>37</v>
      </c>
      <c r="RN421" s="12" t="s">
        <v>37</v>
      </c>
      <c r="RO421" s="12" t="s">
        <v>37</v>
      </c>
      <c r="RP421" s="11" t="s">
        <v>37</v>
      </c>
      <c r="RS421" s="12" t="s">
        <v>37</v>
      </c>
      <c r="RT421" s="12" t="s">
        <v>37</v>
      </c>
      <c r="RU421" s="12" t="s">
        <v>37</v>
      </c>
      <c r="RV421" s="12" t="s">
        <v>37</v>
      </c>
      <c r="RW421" s="12" t="s">
        <v>37</v>
      </c>
      <c r="RX421" s="12" t="s">
        <v>37</v>
      </c>
      <c r="SA421" s="12" t="s">
        <v>37</v>
      </c>
      <c r="SB421" s="12" t="s">
        <v>37</v>
      </c>
      <c r="SC421" s="12" t="s">
        <v>37</v>
      </c>
      <c r="SD421" s="12" t="s">
        <v>37</v>
      </c>
      <c r="SE421" s="12" t="s">
        <v>37</v>
      </c>
      <c r="SF421" s="12" t="s">
        <v>37</v>
      </c>
      <c r="SI421" s="12" t="s">
        <v>37</v>
      </c>
      <c r="SJ421" s="12" t="s">
        <v>37</v>
      </c>
      <c r="SK421" s="13" t="s">
        <v>37</v>
      </c>
      <c r="SM421" s="12" t="s">
        <v>37</v>
      </c>
      <c r="SN421" s="12" t="s">
        <v>37</v>
      </c>
      <c r="SO421" s="13" t="s">
        <v>37</v>
      </c>
      <c r="SU421" s="12" t="s">
        <v>37</v>
      </c>
      <c r="SV421" s="12" t="s">
        <v>37</v>
      </c>
      <c r="SW421" s="11" t="s">
        <v>37</v>
      </c>
      <c r="SX421" s="12" t="s">
        <v>37</v>
      </c>
      <c r="SY421" s="12" t="s">
        <v>37</v>
      </c>
      <c r="SZ421" s="11" t="s">
        <v>37</v>
      </c>
      <c r="TE421" s="12" t="s">
        <v>37</v>
      </c>
      <c r="TF421" s="12" t="s">
        <v>37</v>
      </c>
      <c r="TG421" s="11" t="s">
        <v>37</v>
      </c>
      <c r="TH421" s="12" t="s">
        <v>37</v>
      </c>
      <c r="TI421" s="12" t="s">
        <v>37</v>
      </c>
      <c r="TJ421" s="11" t="s">
        <v>37</v>
      </c>
      <c r="TO421" s="12" t="s">
        <v>37</v>
      </c>
      <c r="TP421" s="12" t="s">
        <v>37</v>
      </c>
      <c r="TQ421" s="11" t="s">
        <v>37</v>
      </c>
      <c r="TR421" s="12" t="s">
        <v>37</v>
      </c>
      <c r="TS421" s="12" t="s">
        <v>37</v>
      </c>
      <c r="TT421" s="11" t="s">
        <v>37</v>
      </c>
      <c r="TY421" s="12" t="s">
        <v>37</v>
      </c>
      <c r="TZ421" s="12" t="s">
        <v>37</v>
      </c>
      <c r="UA421" s="12" t="s">
        <v>37</v>
      </c>
      <c r="UB421" s="12" t="s">
        <v>37</v>
      </c>
      <c r="UC421" s="12" t="s">
        <v>37</v>
      </c>
      <c r="UD421" s="12" t="s">
        <v>37</v>
      </c>
      <c r="UE421" s="12"/>
      <c r="UF421" s="12"/>
      <c r="UI421" s="12" t="s">
        <v>37</v>
      </c>
      <c r="UJ421" s="12" t="s">
        <v>37</v>
      </c>
      <c r="UK421" s="12" t="s">
        <v>37</v>
      </c>
      <c r="UL421" s="12" t="s">
        <v>37</v>
      </c>
      <c r="UM421" s="12" t="s">
        <v>37</v>
      </c>
      <c r="UN421" s="12" t="s">
        <v>37</v>
      </c>
      <c r="UO421" s="12"/>
      <c r="UP421" s="12"/>
      <c r="UR421" s="12" t="s">
        <v>37</v>
      </c>
      <c r="US421" s="12" t="s">
        <v>37</v>
      </c>
      <c r="UT421" s="12" t="s">
        <v>37</v>
      </c>
      <c r="UU421" s="12" t="s">
        <v>37</v>
      </c>
      <c r="UV421" s="12" t="s">
        <v>37</v>
      </c>
      <c r="UW421" s="12" t="s">
        <v>37</v>
      </c>
      <c r="UX421" s="12"/>
      <c r="UY421" s="12"/>
      <c r="VB421" s="12" t="s">
        <v>37</v>
      </c>
      <c r="VC421" s="12" t="s">
        <v>37</v>
      </c>
      <c r="VD421" s="12" t="s">
        <v>37</v>
      </c>
      <c r="VE421" s="12" t="s">
        <v>37</v>
      </c>
      <c r="VF421" s="12" t="s">
        <v>37</v>
      </c>
      <c r="VG421" s="12" t="s">
        <v>37</v>
      </c>
      <c r="VI421" s="12" t="s">
        <v>37</v>
      </c>
      <c r="VJ421" s="12" t="s">
        <v>37</v>
      </c>
      <c r="VK421" s="12" t="s">
        <v>37</v>
      </c>
      <c r="VL421" s="12" t="s">
        <v>37</v>
      </c>
      <c r="VM421" s="12" t="s">
        <v>37</v>
      </c>
      <c r="VN421" s="12" t="s">
        <v>37</v>
      </c>
      <c r="VQ421" s="13" t="s">
        <v>37</v>
      </c>
      <c r="VR421" s="13" t="s">
        <v>37</v>
      </c>
      <c r="VS421" s="13" t="s">
        <v>37</v>
      </c>
      <c r="VT421" s="13" t="s">
        <v>37</v>
      </c>
      <c r="VU421" s="13" t="s">
        <v>37</v>
      </c>
      <c r="VV421" s="13" t="s">
        <v>37</v>
      </c>
      <c r="WA421" s="13" t="s">
        <v>37</v>
      </c>
      <c r="WB421" s="13" t="s">
        <v>37</v>
      </c>
      <c r="WC421" s="13" t="s">
        <v>37</v>
      </c>
      <c r="WD421" s="13" t="s">
        <v>37</v>
      </c>
      <c r="WE421" s="13" t="s">
        <v>37</v>
      </c>
      <c r="WF421" s="13" t="s">
        <v>37</v>
      </c>
    </row>
    <row r="422" spans="1:604" ht="20.25" customHeight="1" x14ac:dyDescent="0.3">
      <c r="A422" s="11">
        <v>96</v>
      </c>
      <c r="B422" s="16" t="s">
        <v>966</v>
      </c>
      <c r="C422" s="16" t="s">
        <v>623</v>
      </c>
      <c r="D422" s="14" t="s">
        <v>830</v>
      </c>
      <c r="E422" s="40" t="s">
        <v>326</v>
      </c>
      <c r="F422" s="14">
        <v>0</v>
      </c>
      <c r="G422" s="14">
        <v>0</v>
      </c>
      <c r="H422" s="12" t="s">
        <v>971</v>
      </c>
      <c r="I422" s="12">
        <v>52.418500000000002</v>
      </c>
      <c r="J422" s="12">
        <v>8.4580599999999997</v>
      </c>
      <c r="K422" s="12">
        <v>52.418500000000002</v>
      </c>
      <c r="L422" s="12">
        <v>8.4580599999999997</v>
      </c>
      <c r="M422" s="12" t="s">
        <v>326</v>
      </c>
      <c r="N422" s="12" t="s">
        <v>326</v>
      </c>
      <c r="O422" s="12" t="s">
        <v>326</v>
      </c>
      <c r="P422" s="16" t="s">
        <v>16</v>
      </c>
      <c r="Q422" s="75" t="s">
        <v>326</v>
      </c>
      <c r="R422" s="11" t="s">
        <v>326</v>
      </c>
      <c r="S422" s="12" t="s">
        <v>85</v>
      </c>
      <c r="T422" s="12" t="s">
        <v>138</v>
      </c>
      <c r="U422" s="12" t="s">
        <v>158</v>
      </c>
      <c r="V422" s="12" t="s">
        <v>275</v>
      </c>
      <c r="W422" s="23" t="s">
        <v>326</v>
      </c>
      <c r="X422" s="12" t="s">
        <v>49</v>
      </c>
      <c r="Y422" s="23" t="s">
        <v>326</v>
      </c>
      <c r="Z422" s="12" t="s">
        <v>37</v>
      </c>
      <c r="AA422" s="23"/>
      <c r="AB422" s="12" t="s">
        <v>37</v>
      </c>
      <c r="AC422" s="12" t="s">
        <v>37</v>
      </c>
      <c r="AD422" s="23"/>
      <c r="AE422" s="12" t="s">
        <v>37</v>
      </c>
      <c r="AH422" s="12" t="s">
        <v>37</v>
      </c>
      <c r="AI422" s="23"/>
      <c r="AJ422" s="23"/>
      <c r="AK422" s="23" t="s">
        <v>326</v>
      </c>
      <c r="AL422" s="23" t="s">
        <v>326</v>
      </c>
      <c r="AM422" s="12" t="s">
        <v>344</v>
      </c>
      <c r="AO422" s="12" t="s">
        <v>326</v>
      </c>
      <c r="AP422" s="56" t="s">
        <v>326</v>
      </c>
      <c r="AQ422" s="56" t="s">
        <v>326</v>
      </c>
      <c r="AR422" s="56" t="s">
        <v>326</v>
      </c>
      <c r="AS422" s="56" t="s">
        <v>326</v>
      </c>
      <c r="AT422" s="56" t="s">
        <v>326</v>
      </c>
      <c r="AU422" s="56" t="s">
        <v>326</v>
      </c>
      <c r="AV422" s="105" t="s">
        <v>326</v>
      </c>
      <c r="AW422" s="56"/>
      <c r="AX422" s="56" t="s">
        <v>326</v>
      </c>
      <c r="AY422" s="56" t="s">
        <v>326</v>
      </c>
      <c r="AZ422" s="105" t="s">
        <v>326</v>
      </c>
      <c r="BA422" s="56"/>
      <c r="BB422" s="56"/>
      <c r="BC422" s="56"/>
      <c r="BD422" s="56"/>
      <c r="BE422" s="56" t="s">
        <v>326</v>
      </c>
      <c r="BF422" s="56" t="s">
        <v>326</v>
      </c>
      <c r="BG422" s="56" t="s">
        <v>326</v>
      </c>
      <c r="BH422" s="56"/>
      <c r="BI422" s="56" t="s">
        <v>326</v>
      </c>
      <c r="BJ422" s="56" t="s">
        <v>326</v>
      </c>
      <c r="BK422" s="56" t="s">
        <v>326</v>
      </c>
      <c r="BL422" s="56"/>
      <c r="BM422" s="56"/>
      <c r="BN422" s="56"/>
      <c r="BO422" s="56"/>
      <c r="BP422" s="56" t="s">
        <v>326</v>
      </c>
      <c r="BQ422" s="56" t="s">
        <v>326</v>
      </c>
      <c r="BR422" s="56" t="s">
        <v>326</v>
      </c>
      <c r="BS422" s="56"/>
      <c r="BT422" s="56" t="s">
        <v>326</v>
      </c>
      <c r="BU422" s="56" t="s">
        <v>326</v>
      </c>
      <c r="BV422" s="56" t="s">
        <v>326</v>
      </c>
      <c r="BW422" s="56"/>
      <c r="BX422" s="56"/>
      <c r="BY422" s="56"/>
      <c r="CA422" s="56" t="s">
        <v>326</v>
      </c>
      <c r="CB422" s="56" t="s">
        <v>326</v>
      </c>
      <c r="CC422" s="56" t="s">
        <v>326</v>
      </c>
      <c r="CE422" s="56" t="s">
        <v>326</v>
      </c>
      <c r="CF422" s="56" t="s">
        <v>326</v>
      </c>
      <c r="CG422" s="56" t="s">
        <v>326</v>
      </c>
      <c r="CI422" s="75"/>
      <c r="CJ422" s="12"/>
      <c r="CN422" s="56" t="s">
        <v>326</v>
      </c>
      <c r="CO422" s="56" t="s">
        <v>326</v>
      </c>
      <c r="CP422" s="56" t="s">
        <v>326</v>
      </c>
      <c r="CR422" s="56" t="s">
        <v>326</v>
      </c>
      <c r="CS422" s="56" t="s">
        <v>326</v>
      </c>
      <c r="CT422" s="56" t="s">
        <v>326</v>
      </c>
      <c r="CU422" s="12"/>
      <c r="CV422" s="75"/>
      <c r="CW422" s="12"/>
      <c r="CX422" s="72"/>
      <c r="CY422" s="72"/>
      <c r="CZ422" s="12" t="s">
        <v>47</v>
      </c>
      <c r="DA422" s="12">
        <v>-1372.9750000000001</v>
      </c>
      <c r="DB422" s="12">
        <v>924.10220135094733</v>
      </c>
      <c r="DC422" s="13">
        <v>3</v>
      </c>
      <c r="DD422" s="19">
        <f t="shared" si="1617"/>
        <v>0.67306557027691494</v>
      </c>
      <c r="DE422" s="12">
        <v>9692.625</v>
      </c>
      <c r="DF422" s="12">
        <v>5495.0505473296917</v>
      </c>
      <c r="DG422" s="13">
        <v>3</v>
      </c>
      <c r="DH422" s="19">
        <f t="shared" si="1526"/>
        <v>0.56693109940080133</v>
      </c>
      <c r="DI422" s="75">
        <f t="shared" si="1618"/>
        <v>11065.6</v>
      </c>
      <c r="DJ422" s="12">
        <f t="shared" si="1569"/>
        <v>3940.1488167485509</v>
      </c>
      <c r="DK422" s="72">
        <f t="shared" si="1570"/>
        <v>10349848.46541667</v>
      </c>
      <c r="DL422" s="72">
        <f t="shared" si="1571"/>
        <v>10349848.46541667</v>
      </c>
      <c r="DM422" s="12" t="s">
        <v>47</v>
      </c>
      <c r="DN422" s="19">
        <v>136.1</v>
      </c>
      <c r="DO422" s="12">
        <v>88.336949611511187</v>
      </c>
      <c r="DP422" s="13">
        <v>3</v>
      </c>
      <c r="DQ422" s="19">
        <f t="shared" si="1608"/>
        <v>0.64905914483108884</v>
      </c>
      <c r="DR422" s="19">
        <v>9.9</v>
      </c>
      <c r="DS422" s="12">
        <v>15.571341196784134</v>
      </c>
      <c r="DT422" s="13">
        <v>3</v>
      </c>
      <c r="DU422" s="19">
        <f t="shared" si="1619"/>
        <v>1.5728627471499126</v>
      </c>
      <c r="DV422" s="19">
        <f t="shared" ref="DV422" si="1620">DR422-DN422</f>
        <v>-126.19999999999999</v>
      </c>
      <c r="DW422" s="12">
        <f t="shared" si="1610"/>
        <v>63.426663688599184</v>
      </c>
      <c r="DX422" s="72">
        <f t="shared" si="1611"/>
        <v>2681.9611111111108</v>
      </c>
      <c r="DY422" s="72">
        <f t="shared" si="1612"/>
        <v>2681.9611111111108</v>
      </c>
      <c r="EG422" s="72"/>
      <c r="EN422" s="12" t="s">
        <v>37</v>
      </c>
      <c r="EO422" s="12" t="s">
        <v>37</v>
      </c>
      <c r="EP422" s="13" t="s">
        <v>37</v>
      </c>
      <c r="ER422" s="12" t="s">
        <v>37</v>
      </c>
      <c r="ES422" s="12" t="s">
        <v>37</v>
      </c>
      <c r="ET422" s="13" t="s">
        <v>37</v>
      </c>
      <c r="EV422" s="75"/>
      <c r="EW422" s="12"/>
      <c r="EX422" s="12"/>
      <c r="EY422" s="12"/>
      <c r="FB422" s="12" t="s">
        <v>37</v>
      </c>
      <c r="FC422" s="12" t="s">
        <v>37</v>
      </c>
      <c r="FD422" s="13" t="s">
        <v>37</v>
      </c>
      <c r="FE422" s="12" t="s">
        <v>37</v>
      </c>
      <c r="FF422" s="12" t="s">
        <v>37</v>
      </c>
      <c r="FG422" s="13" t="s">
        <v>37</v>
      </c>
      <c r="FH422" s="12"/>
      <c r="FI422" s="12" t="s">
        <v>37</v>
      </c>
      <c r="FJ422" s="12" t="s">
        <v>37</v>
      </c>
      <c r="FK422" s="13" t="s">
        <v>37</v>
      </c>
      <c r="FL422" s="12" t="s">
        <v>37</v>
      </c>
      <c r="FM422" s="12" t="s">
        <v>37</v>
      </c>
      <c r="FN422" s="13" t="s">
        <v>37</v>
      </c>
      <c r="FO422" s="12"/>
      <c r="FP422" s="12" t="s">
        <v>37</v>
      </c>
      <c r="FQ422" s="12" t="s">
        <v>37</v>
      </c>
      <c r="FR422" s="13" t="s">
        <v>37</v>
      </c>
      <c r="FS422" s="12" t="s">
        <v>37</v>
      </c>
      <c r="FT422" s="12" t="s">
        <v>37</v>
      </c>
      <c r="FU422" s="13" t="s">
        <v>37</v>
      </c>
      <c r="FW422" s="12" t="s">
        <v>37</v>
      </c>
      <c r="FX422" s="12" t="s">
        <v>37</v>
      </c>
      <c r="FY422" s="13" t="s">
        <v>37</v>
      </c>
      <c r="FZ422" s="12" t="s">
        <v>37</v>
      </c>
      <c r="GA422" s="12" t="s">
        <v>37</v>
      </c>
      <c r="GB422" s="13" t="s">
        <v>37</v>
      </c>
      <c r="GE422" s="12" t="s">
        <v>37</v>
      </c>
      <c r="GF422" s="12" t="s">
        <v>37</v>
      </c>
      <c r="GG422" s="12" t="s">
        <v>37</v>
      </c>
      <c r="GH422" s="12"/>
      <c r="GI422" s="12" t="s">
        <v>37</v>
      </c>
      <c r="GJ422" s="12" t="s">
        <v>37</v>
      </c>
      <c r="GK422" s="12" t="s">
        <v>37</v>
      </c>
      <c r="GQ422" s="12" t="s">
        <v>37</v>
      </c>
      <c r="GR422" s="12" t="s">
        <v>37</v>
      </c>
      <c r="GS422" s="12" t="s">
        <v>37</v>
      </c>
      <c r="GT422" s="12"/>
      <c r="GU422" s="12" t="s">
        <v>37</v>
      </c>
      <c r="GV422" s="12" t="s">
        <v>37</v>
      </c>
      <c r="GW422" s="12" t="s">
        <v>37</v>
      </c>
      <c r="HA422" s="12"/>
      <c r="HB422" s="12"/>
      <c r="HC422" s="12" t="s">
        <v>37</v>
      </c>
      <c r="HD422" s="12" t="s">
        <v>37</v>
      </c>
      <c r="HE422" s="12" t="s">
        <v>37</v>
      </c>
      <c r="HG422" s="12" t="s">
        <v>37</v>
      </c>
      <c r="HH422" s="12" t="s">
        <v>37</v>
      </c>
      <c r="HI422" s="12" t="s">
        <v>37</v>
      </c>
      <c r="HJ422" s="12"/>
      <c r="HK422" s="12"/>
      <c r="HL422" s="12"/>
      <c r="HN422" s="12" t="s">
        <v>37</v>
      </c>
      <c r="HO422" s="12" t="s">
        <v>37</v>
      </c>
      <c r="HP422" s="12" t="s">
        <v>37</v>
      </c>
      <c r="HR422" s="12" t="s">
        <v>37</v>
      </c>
      <c r="HS422" s="12" t="s">
        <v>37</v>
      </c>
      <c r="HT422" s="12" t="s">
        <v>37</v>
      </c>
      <c r="HY422" s="12" t="s">
        <v>37</v>
      </c>
      <c r="HZ422" s="12" t="s">
        <v>37</v>
      </c>
      <c r="IA422" s="12" t="s">
        <v>37</v>
      </c>
      <c r="IC422" s="12" t="s">
        <v>37</v>
      </c>
      <c r="ID422" s="12" t="s">
        <v>37</v>
      </c>
      <c r="IE422" s="12" t="s">
        <v>37</v>
      </c>
      <c r="IK422" s="12" t="s">
        <v>37</v>
      </c>
      <c r="IL422" s="12" t="s">
        <v>37</v>
      </c>
      <c r="IM422" s="12" t="s">
        <v>37</v>
      </c>
      <c r="IO422" s="12" t="s">
        <v>37</v>
      </c>
      <c r="IP422" s="12" t="s">
        <v>37</v>
      </c>
      <c r="IQ422" s="12" t="s">
        <v>37</v>
      </c>
      <c r="IW422" s="12" t="s">
        <v>37</v>
      </c>
      <c r="IX422" s="12" t="s">
        <v>37</v>
      </c>
      <c r="IY422" s="12" t="s">
        <v>37</v>
      </c>
      <c r="JA422" s="12" t="s">
        <v>37</v>
      </c>
      <c r="JB422" s="12" t="s">
        <v>37</v>
      </c>
      <c r="JC422" s="12" t="s">
        <v>37</v>
      </c>
      <c r="JH422" s="12" t="s">
        <v>37</v>
      </c>
      <c r="JI422" s="12" t="s">
        <v>37</v>
      </c>
      <c r="JJ422" s="12" t="s">
        <v>37</v>
      </c>
      <c r="JL422" s="12" t="s">
        <v>37</v>
      </c>
      <c r="JM422" s="12" t="s">
        <v>37</v>
      </c>
      <c r="JN422" s="12" t="s">
        <v>37</v>
      </c>
      <c r="JS422" s="12" t="s">
        <v>37</v>
      </c>
      <c r="JT422" s="12" t="s">
        <v>37</v>
      </c>
      <c r="JU422" s="12" t="s">
        <v>37</v>
      </c>
      <c r="JW422" s="12" t="s">
        <v>37</v>
      </c>
      <c r="JX422" s="12" t="s">
        <v>37</v>
      </c>
      <c r="JY422" s="12" t="s">
        <v>37</v>
      </c>
      <c r="KE422" s="12" t="s">
        <v>37</v>
      </c>
      <c r="KF422" s="12" t="s">
        <v>37</v>
      </c>
      <c r="KG422" s="12" t="s">
        <v>37</v>
      </c>
      <c r="KH422" s="12" t="s">
        <v>37</v>
      </c>
      <c r="KI422" s="12" t="s">
        <v>37</v>
      </c>
      <c r="KJ422" s="12" t="s">
        <v>37</v>
      </c>
      <c r="KM422" s="12" t="s">
        <v>37</v>
      </c>
      <c r="KN422" s="12" t="s">
        <v>37</v>
      </c>
      <c r="KO422" s="12" t="s">
        <v>37</v>
      </c>
      <c r="KQ422" s="12" t="s">
        <v>37</v>
      </c>
      <c r="KR422" s="12" t="s">
        <v>37</v>
      </c>
      <c r="KS422" s="12" t="s">
        <v>37</v>
      </c>
      <c r="KX422" s="12" t="s">
        <v>37</v>
      </c>
      <c r="KY422" s="12" t="s">
        <v>37</v>
      </c>
      <c r="KZ422" s="12" t="s">
        <v>37</v>
      </c>
      <c r="LB422" s="12" t="s">
        <v>37</v>
      </c>
      <c r="LC422" s="12" t="s">
        <v>37</v>
      </c>
      <c r="LD422" s="12" t="s">
        <v>37</v>
      </c>
      <c r="LI422" s="12" t="s">
        <v>37</v>
      </c>
      <c r="LJ422" s="12" t="s">
        <v>37</v>
      </c>
      <c r="LK422" s="12" t="s">
        <v>37</v>
      </c>
      <c r="LM422" s="12" t="s">
        <v>37</v>
      </c>
      <c r="LN422" s="12" t="s">
        <v>37</v>
      </c>
      <c r="LO422" s="12" t="s">
        <v>37</v>
      </c>
      <c r="LU422" s="12" t="s">
        <v>37</v>
      </c>
      <c r="LV422" s="12" t="s">
        <v>37</v>
      </c>
      <c r="LW422" s="12" t="s">
        <v>37</v>
      </c>
      <c r="LY422" s="12" t="s">
        <v>37</v>
      </c>
      <c r="LZ422" s="12" t="s">
        <v>37</v>
      </c>
      <c r="MA422" s="12" t="s">
        <v>37</v>
      </c>
      <c r="MF422" s="12" t="s">
        <v>37</v>
      </c>
      <c r="MG422" s="12" t="s">
        <v>37</v>
      </c>
      <c r="MH422" s="12" t="s">
        <v>37</v>
      </c>
      <c r="MJ422" s="12" t="s">
        <v>37</v>
      </c>
      <c r="MK422" s="12" t="s">
        <v>37</v>
      </c>
      <c r="ML422" s="12" t="s">
        <v>37</v>
      </c>
      <c r="MQ422" s="12" t="s">
        <v>37</v>
      </c>
      <c r="MR422" s="12" t="s">
        <v>37</v>
      </c>
      <c r="MS422" s="12" t="s">
        <v>37</v>
      </c>
      <c r="MU422" s="12" t="s">
        <v>37</v>
      </c>
      <c r="MV422" s="12" t="s">
        <v>37</v>
      </c>
      <c r="MW422" s="12" t="s">
        <v>37</v>
      </c>
      <c r="NC422" s="12" t="s">
        <v>37</v>
      </c>
      <c r="ND422" s="12" t="s">
        <v>37</v>
      </c>
      <c r="NE422" s="12" t="s">
        <v>37</v>
      </c>
      <c r="NG422" s="12" t="s">
        <v>37</v>
      </c>
      <c r="NH422" s="12" t="s">
        <v>37</v>
      </c>
      <c r="NI422" s="12" t="s">
        <v>37</v>
      </c>
      <c r="NO422" s="12" t="s">
        <v>37</v>
      </c>
      <c r="NP422" s="12" t="s">
        <v>37</v>
      </c>
      <c r="NQ422" s="12" t="s">
        <v>37</v>
      </c>
      <c r="NS422" s="12" t="s">
        <v>37</v>
      </c>
      <c r="NT422" s="12" t="s">
        <v>37</v>
      </c>
      <c r="NU422" s="12" t="s">
        <v>37</v>
      </c>
      <c r="OA422" s="12" t="s">
        <v>37</v>
      </c>
      <c r="OB422" s="12" t="s">
        <v>37</v>
      </c>
      <c r="OC422" s="12" t="s">
        <v>37</v>
      </c>
      <c r="OD422" s="12"/>
      <c r="OE422" s="12" t="s">
        <v>37</v>
      </c>
      <c r="OF422" s="12" t="s">
        <v>37</v>
      </c>
      <c r="OG422" s="12" t="s">
        <v>37</v>
      </c>
      <c r="OH422" s="12"/>
      <c r="OI422" s="12"/>
      <c r="OJ422" s="12"/>
      <c r="OM422" s="12" t="s">
        <v>37</v>
      </c>
      <c r="ON422" s="12" t="s">
        <v>37</v>
      </c>
      <c r="OO422" s="12" t="s">
        <v>37</v>
      </c>
      <c r="OP422" s="12" t="s">
        <v>37</v>
      </c>
      <c r="OQ422" s="12" t="s">
        <v>37</v>
      </c>
      <c r="OR422" s="12" t="s">
        <v>37</v>
      </c>
      <c r="OS422" s="12"/>
      <c r="OT422" s="12"/>
      <c r="OW422" s="12" t="s">
        <v>37</v>
      </c>
      <c r="OX422" s="12" t="s">
        <v>37</v>
      </c>
      <c r="OY422" s="12" t="s">
        <v>37</v>
      </c>
      <c r="OZ422" s="12" t="s">
        <v>37</v>
      </c>
      <c r="PA422" s="12" t="s">
        <v>37</v>
      </c>
      <c r="PB422" s="12" t="s">
        <v>37</v>
      </c>
      <c r="PC422" s="12"/>
      <c r="PD422" s="12"/>
      <c r="PG422" s="12" t="s">
        <v>37</v>
      </c>
      <c r="PH422" s="12" t="s">
        <v>37</v>
      </c>
      <c r="PI422" s="12" t="s">
        <v>37</v>
      </c>
      <c r="PJ422" s="12" t="s">
        <v>37</v>
      </c>
      <c r="PK422" s="12" t="s">
        <v>37</v>
      </c>
      <c r="PL422" s="12" t="s">
        <v>37</v>
      </c>
      <c r="PM422" s="12"/>
      <c r="PN422" s="12"/>
      <c r="PQ422" s="12" t="s">
        <v>37</v>
      </c>
      <c r="PR422" s="12" t="s">
        <v>37</v>
      </c>
      <c r="PS422" s="12" t="s">
        <v>37</v>
      </c>
      <c r="PT422" s="12" t="s">
        <v>37</v>
      </c>
      <c r="PU422" s="12" t="s">
        <v>37</v>
      </c>
      <c r="PV422" s="12" t="s">
        <v>37</v>
      </c>
      <c r="PW422" s="12"/>
      <c r="PX422" s="12"/>
      <c r="PZ422" s="12" t="s">
        <v>37</v>
      </c>
      <c r="QA422" s="12" t="s">
        <v>37</v>
      </c>
      <c r="QB422" s="11" t="s">
        <v>37</v>
      </c>
      <c r="QD422" s="12" t="s">
        <v>37</v>
      </c>
      <c r="QE422" s="12" t="s">
        <v>37</v>
      </c>
      <c r="QF422" s="12" t="s">
        <v>37</v>
      </c>
      <c r="QK422" s="12" t="s">
        <v>37</v>
      </c>
      <c r="QL422" s="12" t="s">
        <v>37</v>
      </c>
      <c r="QM422" s="12" t="s">
        <v>37</v>
      </c>
      <c r="QN422" s="12" t="s">
        <v>37</v>
      </c>
      <c r="QO422" s="12" t="s">
        <v>37</v>
      </c>
      <c r="QP422" s="12" t="s">
        <v>37</v>
      </c>
      <c r="QQ422" s="12"/>
      <c r="QR422" s="12"/>
      <c r="QU422" s="12" t="s">
        <v>37</v>
      </c>
      <c r="QV422" s="12" t="s">
        <v>37</v>
      </c>
      <c r="QW422" s="12" t="s">
        <v>37</v>
      </c>
      <c r="QX422" s="12" t="s">
        <v>37</v>
      </c>
      <c r="QY422" s="12" t="s">
        <v>37</v>
      </c>
      <c r="QZ422" s="12" t="s">
        <v>37</v>
      </c>
      <c r="RC422" s="12" t="s">
        <v>37</v>
      </c>
      <c r="RD422" s="12" t="s">
        <v>37</v>
      </c>
      <c r="RE422" s="13" t="s">
        <v>37</v>
      </c>
      <c r="RF422" s="12" t="s">
        <v>37</v>
      </c>
      <c r="RG422" s="12" t="s">
        <v>37</v>
      </c>
      <c r="RH422" s="13" t="s">
        <v>37</v>
      </c>
      <c r="RK422" s="12" t="s">
        <v>37</v>
      </c>
      <c r="RL422" s="12" t="s">
        <v>37</v>
      </c>
      <c r="RM422" s="11" t="s">
        <v>37</v>
      </c>
      <c r="RN422" s="12" t="s">
        <v>37</v>
      </c>
      <c r="RO422" s="12" t="s">
        <v>37</v>
      </c>
      <c r="RP422" s="11" t="s">
        <v>37</v>
      </c>
      <c r="RS422" s="12" t="s">
        <v>37</v>
      </c>
      <c r="RT422" s="12" t="s">
        <v>37</v>
      </c>
      <c r="RU422" s="12" t="s">
        <v>37</v>
      </c>
      <c r="RV422" s="12" t="s">
        <v>37</v>
      </c>
      <c r="RW422" s="12" t="s">
        <v>37</v>
      </c>
      <c r="RX422" s="12" t="s">
        <v>37</v>
      </c>
      <c r="SA422" s="12" t="s">
        <v>37</v>
      </c>
      <c r="SB422" s="12" t="s">
        <v>37</v>
      </c>
      <c r="SC422" s="12" t="s">
        <v>37</v>
      </c>
      <c r="SD422" s="12" t="s">
        <v>37</v>
      </c>
      <c r="SE422" s="12" t="s">
        <v>37</v>
      </c>
      <c r="SF422" s="12" t="s">
        <v>37</v>
      </c>
      <c r="SI422" s="12" t="s">
        <v>37</v>
      </c>
      <c r="SJ422" s="12" t="s">
        <v>37</v>
      </c>
      <c r="SK422" s="13" t="s">
        <v>37</v>
      </c>
      <c r="SM422" s="12" t="s">
        <v>37</v>
      </c>
      <c r="SN422" s="12" t="s">
        <v>37</v>
      </c>
      <c r="SO422" s="13" t="s">
        <v>37</v>
      </c>
      <c r="SU422" s="12" t="s">
        <v>37</v>
      </c>
      <c r="SV422" s="12" t="s">
        <v>37</v>
      </c>
      <c r="SW422" s="11" t="s">
        <v>37</v>
      </c>
      <c r="SX422" s="12" t="s">
        <v>37</v>
      </c>
      <c r="SY422" s="12" t="s">
        <v>37</v>
      </c>
      <c r="SZ422" s="11" t="s">
        <v>37</v>
      </c>
      <c r="TE422" s="12" t="s">
        <v>37</v>
      </c>
      <c r="TF422" s="12" t="s">
        <v>37</v>
      </c>
      <c r="TG422" s="11" t="s">
        <v>37</v>
      </c>
      <c r="TH422" s="12" t="s">
        <v>37</v>
      </c>
      <c r="TI422" s="12" t="s">
        <v>37</v>
      </c>
      <c r="TJ422" s="11" t="s">
        <v>37</v>
      </c>
      <c r="TO422" s="12" t="s">
        <v>37</v>
      </c>
      <c r="TP422" s="12" t="s">
        <v>37</v>
      </c>
      <c r="TQ422" s="11" t="s">
        <v>37</v>
      </c>
      <c r="TR422" s="12" t="s">
        <v>37</v>
      </c>
      <c r="TS422" s="12" t="s">
        <v>37</v>
      </c>
      <c r="TT422" s="11" t="s">
        <v>37</v>
      </c>
      <c r="TY422" s="12" t="s">
        <v>37</v>
      </c>
      <c r="TZ422" s="12" t="s">
        <v>37</v>
      </c>
      <c r="UA422" s="12" t="s">
        <v>37</v>
      </c>
      <c r="UB422" s="12" t="s">
        <v>37</v>
      </c>
      <c r="UC422" s="12" t="s">
        <v>37</v>
      </c>
      <c r="UD422" s="12" t="s">
        <v>37</v>
      </c>
      <c r="UE422" s="12"/>
      <c r="UF422" s="12"/>
      <c r="UI422" s="12" t="s">
        <v>37</v>
      </c>
      <c r="UJ422" s="12" t="s">
        <v>37</v>
      </c>
      <c r="UK422" s="12" t="s">
        <v>37</v>
      </c>
      <c r="UL422" s="12" t="s">
        <v>37</v>
      </c>
      <c r="UM422" s="12" t="s">
        <v>37</v>
      </c>
      <c r="UN422" s="12" t="s">
        <v>37</v>
      </c>
      <c r="UO422" s="12"/>
      <c r="UP422" s="12"/>
      <c r="UR422" s="12" t="s">
        <v>37</v>
      </c>
      <c r="US422" s="12" t="s">
        <v>37</v>
      </c>
      <c r="UT422" s="12" t="s">
        <v>37</v>
      </c>
      <c r="UU422" s="12" t="s">
        <v>37</v>
      </c>
      <c r="UV422" s="12" t="s">
        <v>37</v>
      </c>
      <c r="UW422" s="12" t="s">
        <v>37</v>
      </c>
      <c r="UX422" s="12"/>
      <c r="UY422" s="12"/>
      <c r="VB422" s="12" t="s">
        <v>37</v>
      </c>
      <c r="VC422" s="12" t="s">
        <v>37</v>
      </c>
      <c r="VD422" s="12" t="s">
        <v>37</v>
      </c>
      <c r="VE422" s="12" t="s">
        <v>37</v>
      </c>
      <c r="VF422" s="12" t="s">
        <v>37</v>
      </c>
      <c r="VG422" s="12" t="s">
        <v>37</v>
      </c>
      <c r="VI422" s="12" t="s">
        <v>37</v>
      </c>
      <c r="VJ422" s="12" t="s">
        <v>37</v>
      </c>
      <c r="VK422" s="12" t="s">
        <v>37</v>
      </c>
      <c r="VL422" s="12" t="s">
        <v>37</v>
      </c>
      <c r="VM422" s="12" t="s">
        <v>37</v>
      </c>
      <c r="VN422" s="12" t="s">
        <v>37</v>
      </c>
      <c r="VQ422" s="13" t="s">
        <v>37</v>
      </c>
      <c r="VR422" s="13" t="s">
        <v>37</v>
      </c>
      <c r="VS422" s="13" t="s">
        <v>37</v>
      </c>
      <c r="VT422" s="13" t="s">
        <v>37</v>
      </c>
      <c r="VU422" s="13" t="s">
        <v>37</v>
      </c>
      <c r="VV422" s="13" t="s">
        <v>37</v>
      </c>
      <c r="WA422" s="13" t="s">
        <v>37</v>
      </c>
      <c r="WB422" s="13" t="s">
        <v>37</v>
      </c>
      <c r="WC422" s="13" t="s">
        <v>37</v>
      </c>
      <c r="WD422" s="13" t="s">
        <v>37</v>
      </c>
      <c r="WE422" s="13" t="s">
        <v>37</v>
      </c>
      <c r="WF422" s="13" t="s">
        <v>37</v>
      </c>
    </row>
    <row r="423" spans="1:604" ht="20.25" customHeight="1" x14ac:dyDescent="0.3">
      <c r="A423" s="11">
        <v>96</v>
      </c>
      <c r="B423" s="16" t="s">
        <v>966</v>
      </c>
      <c r="C423" s="16" t="s">
        <v>623</v>
      </c>
      <c r="D423" s="14" t="s">
        <v>830</v>
      </c>
      <c r="E423" s="40" t="s">
        <v>326</v>
      </c>
      <c r="F423" s="14">
        <v>0</v>
      </c>
      <c r="G423" s="14">
        <v>0</v>
      </c>
      <c r="H423" s="12" t="s">
        <v>971</v>
      </c>
      <c r="I423" s="12">
        <v>52.418500000000002</v>
      </c>
      <c r="J423" s="12">
        <v>8.4580599999999997</v>
      </c>
      <c r="K423" s="12">
        <v>52.418500000000002</v>
      </c>
      <c r="L423" s="12">
        <v>8.4580599999999997</v>
      </c>
      <c r="M423" s="12" t="s">
        <v>326</v>
      </c>
      <c r="N423" s="12" t="s">
        <v>326</v>
      </c>
      <c r="O423" s="12" t="s">
        <v>326</v>
      </c>
      <c r="P423" s="16" t="s">
        <v>16</v>
      </c>
      <c r="Q423" s="75" t="s">
        <v>326</v>
      </c>
      <c r="R423" s="11" t="s">
        <v>326</v>
      </c>
      <c r="S423" s="12" t="s">
        <v>85</v>
      </c>
      <c r="T423" s="12" t="s">
        <v>138</v>
      </c>
      <c r="U423" s="12" t="s">
        <v>158</v>
      </c>
      <c r="V423" s="12" t="s">
        <v>275</v>
      </c>
      <c r="W423" s="23" t="s">
        <v>326</v>
      </c>
      <c r="X423" s="12" t="s">
        <v>49</v>
      </c>
      <c r="Y423" s="23" t="s">
        <v>326</v>
      </c>
      <c r="Z423" s="12" t="s">
        <v>37</v>
      </c>
      <c r="AA423" s="23"/>
      <c r="AB423" s="12" t="s">
        <v>37</v>
      </c>
      <c r="AC423" s="12" t="s">
        <v>37</v>
      </c>
      <c r="AD423" s="23"/>
      <c r="AE423" s="12" t="s">
        <v>37</v>
      </c>
      <c r="AH423" s="12" t="s">
        <v>37</v>
      </c>
      <c r="AI423" s="23"/>
      <c r="AJ423" s="23"/>
      <c r="AK423" s="23" t="s">
        <v>326</v>
      </c>
      <c r="AL423" s="23" t="s">
        <v>326</v>
      </c>
      <c r="AM423" s="12" t="s">
        <v>344</v>
      </c>
      <c r="AO423" s="12" t="s">
        <v>326</v>
      </c>
      <c r="AP423" s="56" t="s">
        <v>326</v>
      </c>
      <c r="AQ423" s="56" t="s">
        <v>326</v>
      </c>
      <c r="AR423" s="56" t="s">
        <v>326</v>
      </c>
      <c r="AS423" s="56" t="s">
        <v>326</v>
      </c>
      <c r="AT423" s="56" t="s">
        <v>326</v>
      </c>
      <c r="AU423" s="56" t="s">
        <v>326</v>
      </c>
      <c r="AV423" s="105" t="s">
        <v>326</v>
      </c>
      <c r="AW423" s="56"/>
      <c r="AX423" s="56" t="s">
        <v>326</v>
      </c>
      <c r="AY423" s="56" t="s">
        <v>326</v>
      </c>
      <c r="AZ423" s="105" t="s">
        <v>326</v>
      </c>
      <c r="BA423" s="56"/>
      <c r="BB423" s="56"/>
      <c r="BC423" s="56"/>
      <c r="BD423" s="56"/>
      <c r="BE423" s="56" t="s">
        <v>326</v>
      </c>
      <c r="BF423" s="56" t="s">
        <v>326</v>
      </c>
      <c r="BG423" s="56" t="s">
        <v>326</v>
      </c>
      <c r="BH423" s="56"/>
      <c r="BI423" s="56" t="s">
        <v>326</v>
      </c>
      <c r="BJ423" s="56" t="s">
        <v>326</v>
      </c>
      <c r="BK423" s="56" t="s">
        <v>326</v>
      </c>
      <c r="BL423" s="56"/>
      <c r="BM423" s="56"/>
      <c r="BN423" s="56"/>
      <c r="BO423" s="56"/>
      <c r="BP423" s="56" t="s">
        <v>326</v>
      </c>
      <c r="BQ423" s="56" t="s">
        <v>326</v>
      </c>
      <c r="BR423" s="56" t="s">
        <v>326</v>
      </c>
      <c r="BS423" s="56"/>
      <c r="BT423" s="56" t="s">
        <v>326</v>
      </c>
      <c r="BU423" s="56" t="s">
        <v>326</v>
      </c>
      <c r="BV423" s="56" t="s">
        <v>326</v>
      </c>
      <c r="BW423" s="56"/>
      <c r="BX423" s="56"/>
      <c r="BY423" s="56"/>
      <c r="CA423" s="56" t="s">
        <v>326</v>
      </c>
      <c r="CB423" s="56" t="s">
        <v>326</v>
      </c>
      <c r="CC423" s="56" t="s">
        <v>326</v>
      </c>
      <c r="CE423" s="56" t="s">
        <v>326</v>
      </c>
      <c r="CF423" s="56" t="s">
        <v>326</v>
      </c>
      <c r="CG423" s="56" t="s">
        <v>326</v>
      </c>
      <c r="CI423" s="75"/>
      <c r="CJ423" s="12"/>
      <c r="CN423" s="56" t="s">
        <v>326</v>
      </c>
      <c r="CO423" s="56" t="s">
        <v>326</v>
      </c>
      <c r="CP423" s="56" t="s">
        <v>326</v>
      </c>
      <c r="CR423" s="56" t="s">
        <v>326</v>
      </c>
      <c r="CS423" s="56" t="s">
        <v>326</v>
      </c>
      <c r="CT423" s="56" t="s">
        <v>326</v>
      </c>
      <c r="CU423" s="12"/>
      <c r="CV423" s="75"/>
      <c r="CW423" s="12"/>
      <c r="CX423" s="72"/>
      <c r="CY423" s="72"/>
      <c r="CZ423" s="12" t="s">
        <v>47</v>
      </c>
      <c r="DA423" s="12">
        <v>-1372.9750000000001</v>
      </c>
      <c r="DB423" s="12">
        <v>924.10220135094733</v>
      </c>
      <c r="DC423" s="13">
        <v>3</v>
      </c>
      <c r="DD423" s="19">
        <f t="shared" si="1617"/>
        <v>0.67306557027691494</v>
      </c>
      <c r="DE423" s="12">
        <v>17704.899999999998</v>
      </c>
      <c r="DF423" s="12">
        <v>3753.2231304129346</v>
      </c>
      <c r="DG423" s="13">
        <v>3</v>
      </c>
      <c r="DH423" s="19">
        <f t="shared" si="1526"/>
        <v>0.21198781864980515</v>
      </c>
      <c r="DI423" s="68">
        <f t="shared" si="1618"/>
        <v>19077.874999999996</v>
      </c>
      <c r="DJ423" s="12">
        <f t="shared" si="1569"/>
        <v>2733.1894139638707</v>
      </c>
      <c r="DK423" s="72">
        <f t="shared" si="1570"/>
        <v>4980216.2484027781</v>
      </c>
      <c r="DL423" s="72">
        <f t="shared" si="1571"/>
        <v>4980216.2484027781</v>
      </c>
      <c r="DM423" s="12" t="s">
        <v>47</v>
      </c>
      <c r="DN423" s="19">
        <v>136.1</v>
      </c>
      <c r="DO423" s="12">
        <v>88.336949611511187</v>
      </c>
      <c r="DP423" s="13">
        <v>3</v>
      </c>
      <c r="DQ423" s="19">
        <f t="shared" si="1608"/>
        <v>0.64905914483108884</v>
      </c>
      <c r="DR423" s="19">
        <v>1</v>
      </c>
      <c r="DS423" s="12">
        <v>5.0560195147302718</v>
      </c>
      <c r="DT423" s="13">
        <v>3</v>
      </c>
      <c r="DU423" s="19">
        <f t="shared" si="1619"/>
        <v>5.0560195147302718</v>
      </c>
      <c r="DV423" s="19">
        <f>DR423-DN423</f>
        <v>-135.1</v>
      </c>
      <c r="DW423" s="12">
        <f t="shared" si="1610"/>
        <v>62.565885273046362</v>
      </c>
      <c r="DX423" s="72">
        <f t="shared" si="1611"/>
        <v>2609.66</v>
      </c>
      <c r="DY423" s="72">
        <f t="shared" si="1612"/>
        <v>2609.66</v>
      </c>
      <c r="DZ423" s="12"/>
      <c r="EA423" s="12"/>
      <c r="EB423" s="12"/>
      <c r="EC423" s="12"/>
      <c r="ED423" s="12"/>
      <c r="EE423" s="12"/>
      <c r="EF423" s="12"/>
      <c r="EG423" s="12"/>
      <c r="EN423" s="12" t="s">
        <v>37</v>
      </c>
      <c r="EO423" s="12" t="s">
        <v>37</v>
      </c>
      <c r="EP423" s="13" t="s">
        <v>37</v>
      </c>
      <c r="ER423" s="12" t="s">
        <v>37</v>
      </c>
      <c r="ES423" s="12" t="s">
        <v>37</v>
      </c>
      <c r="ET423" s="13" t="s">
        <v>37</v>
      </c>
      <c r="EV423" s="75"/>
      <c r="EW423" s="12"/>
      <c r="EX423" s="12"/>
      <c r="EY423" s="12"/>
      <c r="FB423" s="12" t="s">
        <v>37</v>
      </c>
      <c r="FC423" s="12" t="s">
        <v>37</v>
      </c>
      <c r="FD423" s="13" t="s">
        <v>37</v>
      </c>
      <c r="FE423" s="12" t="s">
        <v>37</v>
      </c>
      <c r="FF423" s="12" t="s">
        <v>37</v>
      </c>
      <c r="FG423" s="13" t="s">
        <v>37</v>
      </c>
      <c r="FH423" s="12"/>
      <c r="FI423" s="12" t="s">
        <v>37</v>
      </c>
      <c r="FJ423" s="12" t="s">
        <v>37</v>
      </c>
      <c r="FK423" s="13" t="s">
        <v>37</v>
      </c>
      <c r="FL423" s="12" t="s">
        <v>37</v>
      </c>
      <c r="FM423" s="12" t="s">
        <v>37</v>
      </c>
      <c r="FN423" s="13" t="s">
        <v>37</v>
      </c>
      <c r="FO423" s="12"/>
      <c r="FP423" s="12" t="s">
        <v>37</v>
      </c>
      <c r="FQ423" s="12" t="s">
        <v>37</v>
      </c>
      <c r="FR423" s="13" t="s">
        <v>37</v>
      </c>
      <c r="FS423" s="12" t="s">
        <v>37</v>
      </c>
      <c r="FT423" s="12" t="s">
        <v>37</v>
      </c>
      <c r="FU423" s="13" t="s">
        <v>37</v>
      </c>
      <c r="FW423" s="12" t="s">
        <v>37</v>
      </c>
      <c r="FX423" s="12" t="s">
        <v>37</v>
      </c>
      <c r="FY423" s="13" t="s">
        <v>37</v>
      </c>
      <c r="FZ423" s="12" t="s">
        <v>37</v>
      </c>
      <c r="GA423" s="12" t="s">
        <v>37</v>
      </c>
      <c r="GB423" s="13" t="s">
        <v>37</v>
      </c>
      <c r="GE423" s="12" t="s">
        <v>37</v>
      </c>
      <c r="GF423" s="12" t="s">
        <v>37</v>
      </c>
      <c r="GG423" s="12" t="s">
        <v>37</v>
      </c>
      <c r="GH423" s="12"/>
      <c r="GI423" s="12" t="s">
        <v>37</v>
      </c>
      <c r="GJ423" s="12" t="s">
        <v>37</v>
      </c>
      <c r="GK423" s="12" t="s">
        <v>37</v>
      </c>
      <c r="GQ423" s="12" t="s">
        <v>37</v>
      </c>
      <c r="GR423" s="12" t="s">
        <v>37</v>
      </c>
      <c r="GS423" s="12" t="s">
        <v>37</v>
      </c>
      <c r="GT423" s="12"/>
      <c r="GU423" s="12" t="s">
        <v>37</v>
      </c>
      <c r="GV423" s="12" t="s">
        <v>37</v>
      </c>
      <c r="GW423" s="12" t="s">
        <v>37</v>
      </c>
      <c r="HA423" s="12"/>
      <c r="HB423" s="12"/>
      <c r="HC423" s="12" t="s">
        <v>37</v>
      </c>
      <c r="HD423" s="12" t="s">
        <v>37</v>
      </c>
      <c r="HE423" s="12" t="s">
        <v>37</v>
      </c>
      <c r="HG423" s="12" t="s">
        <v>37</v>
      </c>
      <c r="HH423" s="12" t="s">
        <v>37</v>
      </c>
      <c r="HI423" s="12" t="s">
        <v>37</v>
      </c>
      <c r="HJ423" s="12"/>
      <c r="HK423" s="12"/>
      <c r="HL423" s="12"/>
      <c r="HN423" s="12" t="s">
        <v>37</v>
      </c>
      <c r="HO423" s="12" t="s">
        <v>37</v>
      </c>
      <c r="HP423" s="12" t="s">
        <v>37</v>
      </c>
      <c r="HR423" s="12" t="s">
        <v>37</v>
      </c>
      <c r="HS423" s="12" t="s">
        <v>37</v>
      </c>
      <c r="HT423" s="12" t="s">
        <v>37</v>
      </c>
      <c r="HY423" s="12" t="s">
        <v>37</v>
      </c>
      <c r="HZ423" s="12" t="s">
        <v>37</v>
      </c>
      <c r="IA423" s="12" t="s">
        <v>37</v>
      </c>
      <c r="IC423" s="12" t="s">
        <v>37</v>
      </c>
      <c r="ID423" s="12" t="s">
        <v>37</v>
      </c>
      <c r="IE423" s="12" t="s">
        <v>37</v>
      </c>
      <c r="IK423" s="12" t="s">
        <v>37</v>
      </c>
      <c r="IL423" s="12" t="s">
        <v>37</v>
      </c>
      <c r="IM423" s="12" t="s">
        <v>37</v>
      </c>
      <c r="IO423" s="12" t="s">
        <v>37</v>
      </c>
      <c r="IP423" s="12" t="s">
        <v>37</v>
      </c>
      <c r="IQ423" s="12" t="s">
        <v>37</v>
      </c>
      <c r="IW423" s="12" t="s">
        <v>37</v>
      </c>
      <c r="IX423" s="12" t="s">
        <v>37</v>
      </c>
      <c r="IY423" s="12" t="s">
        <v>37</v>
      </c>
      <c r="JA423" s="12" t="s">
        <v>37</v>
      </c>
      <c r="JB423" s="12" t="s">
        <v>37</v>
      </c>
      <c r="JC423" s="12" t="s">
        <v>37</v>
      </c>
      <c r="JH423" s="12" t="s">
        <v>37</v>
      </c>
      <c r="JI423" s="12" t="s">
        <v>37</v>
      </c>
      <c r="JJ423" s="12" t="s">
        <v>37</v>
      </c>
      <c r="JL423" s="12" t="s">
        <v>37</v>
      </c>
      <c r="JM423" s="12" t="s">
        <v>37</v>
      </c>
      <c r="JN423" s="12" t="s">
        <v>37</v>
      </c>
      <c r="JS423" s="12" t="s">
        <v>37</v>
      </c>
      <c r="JT423" s="12" t="s">
        <v>37</v>
      </c>
      <c r="JU423" s="12" t="s">
        <v>37</v>
      </c>
      <c r="JW423" s="12" t="s">
        <v>37</v>
      </c>
      <c r="JX423" s="12" t="s">
        <v>37</v>
      </c>
      <c r="JY423" s="12" t="s">
        <v>37</v>
      </c>
      <c r="KE423" s="12" t="s">
        <v>37</v>
      </c>
      <c r="KF423" s="12" t="s">
        <v>37</v>
      </c>
      <c r="KG423" s="12" t="s">
        <v>37</v>
      </c>
      <c r="KH423" s="12" t="s">
        <v>37</v>
      </c>
      <c r="KI423" s="12" t="s">
        <v>37</v>
      </c>
      <c r="KJ423" s="12" t="s">
        <v>37</v>
      </c>
      <c r="KM423" s="12" t="s">
        <v>37</v>
      </c>
      <c r="KN423" s="12" t="s">
        <v>37</v>
      </c>
      <c r="KO423" s="12" t="s">
        <v>37</v>
      </c>
      <c r="KQ423" s="12" t="s">
        <v>37</v>
      </c>
      <c r="KR423" s="12" t="s">
        <v>37</v>
      </c>
      <c r="KS423" s="12" t="s">
        <v>37</v>
      </c>
      <c r="KX423" s="12" t="s">
        <v>37</v>
      </c>
      <c r="KY423" s="12" t="s">
        <v>37</v>
      </c>
      <c r="KZ423" s="12" t="s">
        <v>37</v>
      </c>
      <c r="LB423" s="12" t="s">
        <v>37</v>
      </c>
      <c r="LC423" s="12" t="s">
        <v>37</v>
      </c>
      <c r="LD423" s="12" t="s">
        <v>37</v>
      </c>
      <c r="LI423" s="12" t="s">
        <v>37</v>
      </c>
      <c r="LJ423" s="12" t="s">
        <v>37</v>
      </c>
      <c r="LK423" s="12" t="s">
        <v>37</v>
      </c>
      <c r="LM423" s="12" t="s">
        <v>37</v>
      </c>
      <c r="LN423" s="12" t="s">
        <v>37</v>
      </c>
      <c r="LO423" s="12" t="s">
        <v>37</v>
      </c>
      <c r="LU423" s="12" t="s">
        <v>37</v>
      </c>
      <c r="LV423" s="12" t="s">
        <v>37</v>
      </c>
      <c r="LW423" s="12" t="s">
        <v>37</v>
      </c>
      <c r="LY423" s="12" t="s">
        <v>37</v>
      </c>
      <c r="LZ423" s="12" t="s">
        <v>37</v>
      </c>
      <c r="MA423" s="12" t="s">
        <v>37</v>
      </c>
      <c r="MF423" s="12" t="s">
        <v>37</v>
      </c>
      <c r="MG423" s="12" t="s">
        <v>37</v>
      </c>
      <c r="MH423" s="12" t="s">
        <v>37</v>
      </c>
      <c r="MJ423" s="12" t="s">
        <v>37</v>
      </c>
      <c r="MK423" s="12" t="s">
        <v>37</v>
      </c>
      <c r="ML423" s="12" t="s">
        <v>37</v>
      </c>
      <c r="MQ423" s="12" t="s">
        <v>37</v>
      </c>
      <c r="MR423" s="12" t="s">
        <v>37</v>
      </c>
      <c r="MS423" s="12" t="s">
        <v>37</v>
      </c>
      <c r="MU423" s="12" t="s">
        <v>37</v>
      </c>
      <c r="MV423" s="12" t="s">
        <v>37</v>
      </c>
      <c r="MW423" s="12" t="s">
        <v>37</v>
      </c>
      <c r="NC423" s="12" t="s">
        <v>37</v>
      </c>
      <c r="ND423" s="12" t="s">
        <v>37</v>
      </c>
      <c r="NE423" s="12" t="s">
        <v>37</v>
      </c>
      <c r="NG423" s="12" t="s">
        <v>37</v>
      </c>
      <c r="NH423" s="12" t="s">
        <v>37</v>
      </c>
      <c r="NI423" s="12" t="s">
        <v>37</v>
      </c>
      <c r="NO423" s="12" t="s">
        <v>37</v>
      </c>
      <c r="NP423" s="12" t="s">
        <v>37</v>
      </c>
      <c r="NQ423" s="12" t="s">
        <v>37</v>
      </c>
      <c r="NS423" s="12" t="s">
        <v>37</v>
      </c>
      <c r="NT423" s="12" t="s">
        <v>37</v>
      </c>
      <c r="NU423" s="12" t="s">
        <v>37</v>
      </c>
      <c r="OA423" s="12" t="s">
        <v>37</v>
      </c>
      <c r="OB423" s="12" t="s">
        <v>37</v>
      </c>
      <c r="OC423" s="12" t="s">
        <v>37</v>
      </c>
      <c r="OD423" s="12"/>
      <c r="OE423" s="12" t="s">
        <v>37</v>
      </c>
      <c r="OF423" s="12" t="s">
        <v>37</v>
      </c>
      <c r="OG423" s="12" t="s">
        <v>37</v>
      </c>
      <c r="OH423" s="12"/>
      <c r="OI423" s="12"/>
      <c r="OJ423" s="12"/>
      <c r="OM423" s="12" t="s">
        <v>37</v>
      </c>
      <c r="ON423" s="12" t="s">
        <v>37</v>
      </c>
      <c r="OO423" s="12" t="s">
        <v>37</v>
      </c>
      <c r="OP423" s="12" t="s">
        <v>37</v>
      </c>
      <c r="OQ423" s="12" t="s">
        <v>37</v>
      </c>
      <c r="OR423" s="12" t="s">
        <v>37</v>
      </c>
      <c r="OS423" s="12"/>
      <c r="OT423" s="12"/>
      <c r="OW423" s="12" t="s">
        <v>37</v>
      </c>
      <c r="OX423" s="12" t="s">
        <v>37</v>
      </c>
      <c r="OY423" s="12" t="s">
        <v>37</v>
      </c>
      <c r="OZ423" s="12" t="s">
        <v>37</v>
      </c>
      <c r="PA423" s="12" t="s">
        <v>37</v>
      </c>
      <c r="PB423" s="12" t="s">
        <v>37</v>
      </c>
      <c r="PC423" s="12"/>
      <c r="PD423" s="12"/>
      <c r="PG423" s="12" t="s">
        <v>37</v>
      </c>
      <c r="PH423" s="12" t="s">
        <v>37</v>
      </c>
      <c r="PI423" s="12" t="s">
        <v>37</v>
      </c>
      <c r="PJ423" s="12" t="s">
        <v>37</v>
      </c>
      <c r="PK423" s="12" t="s">
        <v>37</v>
      </c>
      <c r="PL423" s="12" t="s">
        <v>37</v>
      </c>
      <c r="PM423" s="12"/>
      <c r="PN423" s="12"/>
      <c r="PQ423" s="12" t="s">
        <v>37</v>
      </c>
      <c r="PR423" s="12" t="s">
        <v>37</v>
      </c>
      <c r="PS423" s="12" t="s">
        <v>37</v>
      </c>
      <c r="PT423" s="12" t="s">
        <v>37</v>
      </c>
      <c r="PU423" s="12" t="s">
        <v>37</v>
      </c>
      <c r="PV423" s="12" t="s">
        <v>37</v>
      </c>
      <c r="PW423" s="12"/>
      <c r="PX423" s="12"/>
      <c r="PZ423" s="12" t="s">
        <v>37</v>
      </c>
      <c r="QA423" s="12" t="s">
        <v>37</v>
      </c>
      <c r="QB423" s="11" t="s">
        <v>37</v>
      </c>
      <c r="QD423" s="12" t="s">
        <v>37</v>
      </c>
      <c r="QE423" s="12" t="s">
        <v>37</v>
      </c>
      <c r="QF423" s="12" t="s">
        <v>37</v>
      </c>
      <c r="QK423" s="12" t="s">
        <v>37</v>
      </c>
      <c r="QL423" s="12" t="s">
        <v>37</v>
      </c>
      <c r="QM423" s="12" t="s">
        <v>37</v>
      </c>
      <c r="QN423" s="12" t="s">
        <v>37</v>
      </c>
      <c r="QO423" s="12" t="s">
        <v>37</v>
      </c>
      <c r="QP423" s="12" t="s">
        <v>37</v>
      </c>
      <c r="QQ423" s="12"/>
      <c r="QR423" s="12"/>
      <c r="QU423" s="12" t="s">
        <v>37</v>
      </c>
      <c r="QV423" s="12" t="s">
        <v>37</v>
      </c>
      <c r="QW423" s="12" t="s">
        <v>37</v>
      </c>
      <c r="QX423" s="12" t="s">
        <v>37</v>
      </c>
      <c r="QY423" s="12" t="s">
        <v>37</v>
      </c>
      <c r="QZ423" s="12" t="s">
        <v>37</v>
      </c>
      <c r="RC423" s="12" t="s">
        <v>37</v>
      </c>
      <c r="RD423" s="12" t="s">
        <v>37</v>
      </c>
      <c r="RE423" s="13" t="s">
        <v>37</v>
      </c>
      <c r="RF423" s="12" t="s">
        <v>37</v>
      </c>
      <c r="RG423" s="12" t="s">
        <v>37</v>
      </c>
      <c r="RH423" s="13" t="s">
        <v>37</v>
      </c>
      <c r="RK423" s="12" t="s">
        <v>37</v>
      </c>
      <c r="RL423" s="12" t="s">
        <v>37</v>
      </c>
      <c r="RM423" s="11" t="s">
        <v>37</v>
      </c>
      <c r="RN423" s="12" t="s">
        <v>37</v>
      </c>
      <c r="RO423" s="12" t="s">
        <v>37</v>
      </c>
      <c r="RP423" s="11" t="s">
        <v>37</v>
      </c>
      <c r="RS423" s="12" t="s">
        <v>37</v>
      </c>
      <c r="RT423" s="12" t="s">
        <v>37</v>
      </c>
      <c r="RU423" s="12" t="s">
        <v>37</v>
      </c>
      <c r="RV423" s="12" t="s">
        <v>37</v>
      </c>
      <c r="RW423" s="12" t="s">
        <v>37</v>
      </c>
      <c r="RX423" s="12" t="s">
        <v>37</v>
      </c>
      <c r="SA423" s="12" t="s">
        <v>37</v>
      </c>
      <c r="SB423" s="12" t="s">
        <v>37</v>
      </c>
      <c r="SC423" s="12" t="s">
        <v>37</v>
      </c>
      <c r="SD423" s="12" t="s">
        <v>37</v>
      </c>
      <c r="SE423" s="12" t="s">
        <v>37</v>
      </c>
      <c r="SF423" s="12" t="s">
        <v>37</v>
      </c>
      <c r="SI423" s="12" t="s">
        <v>37</v>
      </c>
      <c r="SJ423" s="12" t="s">
        <v>37</v>
      </c>
      <c r="SK423" s="13" t="s">
        <v>37</v>
      </c>
      <c r="SM423" s="12" t="s">
        <v>37</v>
      </c>
      <c r="SN423" s="12" t="s">
        <v>37</v>
      </c>
      <c r="SO423" s="13" t="s">
        <v>37</v>
      </c>
      <c r="SU423" s="12" t="s">
        <v>37</v>
      </c>
      <c r="SV423" s="12" t="s">
        <v>37</v>
      </c>
      <c r="SW423" s="11" t="s">
        <v>37</v>
      </c>
      <c r="SX423" s="12" t="s">
        <v>37</v>
      </c>
      <c r="SY423" s="12" t="s">
        <v>37</v>
      </c>
      <c r="SZ423" s="11" t="s">
        <v>37</v>
      </c>
      <c r="TE423" s="12" t="s">
        <v>37</v>
      </c>
      <c r="TF423" s="12" t="s">
        <v>37</v>
      </c>
      <c r="TG423" s="11" t="s">
        <v>37</v>
      </c>
      <c r="TH423" s="12" t="s">
        <v>37</v>
      </c>
      <c r="TI423" s="12" t="s">
        <v>37</v>
      </c>
      <c r="TJ423" s="11" t="s">
        <v>37</v>
      </c>
      <c r="TO423" s="12" t="s">
        <v>37</v>
      </c>
      <c r="TP423" s="12" t="s">
        <v>37</v>
      </c>
      <c r="TQ423" s="11" t="s">
        <v>37</v>
      </c>
      <c r="TR423" s="12" t="s">
        <v>37</v>
      </c>
      <c r="TS423" s="12" t="s">
        <v>37</v>
      </c>
      <c r="TT423" s="11" t="s">
        <v>37</v>
      </c>
      <c r="TY423" s="12" t="s">
        <v>37</v>
      </c>
      <c r="TZ423" s="12" t="s">
        <v>37</v>
      </c>
      <c r="UA423" s="12" t="s">
        <v>37</v>
      </c>
      <c r="UB423" s="12" t="s">
        <v>37</v>
      </c>
      <c r="UC423" s="12" t="s">
        <v>37</v>
      </c>
      <c r="UD423" s="12" t="s">
        <v>37</v>
      </c>
      <c r="UE423" s="12"/>
      <c r="UF423" s="12"/>
      <c r="UI423" s="12" t="s">
        <v>37</v>
      </c>
      <c r="UJ423" s="12" t="s">
        <v>37</v>
      </c>
      <c r="UK423" s="12" t="s">
        <v>37</v>
      </c>
      <c r="UL423" s="12" t="s">
        <v>37</v>
      </c>
      <c r="UM423" s="12" t="s">
        <v>37</v>
      </c>
      <c r="UN423" s="12" t="s">
        <v>37</v>
      </c>
      <c r="UO423" s="12"/>
      <c r="UP423" s="12"/>
      <c r="UR423" s="12" t="s">
        <v>37</v>
      </c>
      <c r="US423" s="12" t="s">
        <v>37</v>
      </c>
      <c r="UT423" s="12" t="s">
        <v>37</v>
      </c>
      <c r="UU423" s="12" t="s">
        <v>37</v>
      </c>
      <c r="UV423" s="12" t="s">
        <v>37</v>
      </c>
      <c r="UW423" s="12" t="s">
        <v>37</v>
      </c>
      <c r="UX423" s="12"/>
      <c r="UY423" s="12"/>
      <c r="VB423" s="12" t="s">
        <v>37</v>
      </c>
      <c r="VC423" s="12" t="s">
        <v>37</v>
      </c>
      <c r="VD423" s="12" t="s">
        <v>37</v>
      </c>
      <c r="VE423" s="12" t="s">
        <v>37</v>
      </c>
      <c r="VF423" s="12" t="s">
        <v>37</v>
      </c>
      <c r="VG423" s="12" t="s">
        <v>37</v>
      </c>
      <c r="VI423" s="12" t="s">
        <v>37</v>
      </c>
      <c r="VJ423" s="12" t="s">
        <v>37</v>
      </c>
      <c r="VK423" s="12" t="s">
        <v>37</v>
      </c>
      <c r="VL423" s="12" t="s">
        <v>37</v>
      </c>
      <c r="VM423" s="12" t="s">
        <v>37</v>
      </c>
      <c r="VN423" s="12" t="s">
        <v>37</v>
      </c>
      <c r="VQ423" s="13" t="s">
        <v>37</v>
      </c>
      <c r="VR423" s="13" t="s">
        <v>37</v>
      </c>
      <c r="VS423" s="13" t="s">
        <v>37</v>
      </c>
      <c r="VT423" s="13" t="s">
        <v>37</v>
      </c>
      <c r="VU423" s="13" t="s">
        <v>37</v>
      </c>
      <c r="VV423" s="13" t="s">
        <v>37</v>
      </c>
      <c r="WA423" s="13" t="s">
        <v>37</v>
      </c>
      <c r="WB423" s="13" t="s">
        <v>37</v>
      </c>
      <c r="WC423" s="13" t="s">
        <v>37</v>
      </c>
      <c r="WD423" s="13" t="s">
        <v>37</v>
      </c>
      <c r="WE423" s="13" t="s">
        <v>37</v>
      </c>
      <c r="WF423" s="13" t="s">
        <v>37</v>
      </c>
    </row>
    <row r="424" spans="1:604" ht="20.25" customHeight="1" x14ac:dyDescent="0.3">
      <c r="A424" s="11">
        <v>96</v>
      </c>
      <c r="B424" s="16" t="s">
        <v>966</v>
      </c>
      <c r="C424" s="16" t="s">
        <v>623</v>
      </c>
      <c r="D424" s="14" t="s">
        <v>830</v>
      </c>
      <c r="E424" s="40" t="s">
        <v>326</v>
      </c>
      <c r="F424" s="14">
        <v>0</v>
      </c>
      <c r="G424" s="14">
        <v>0</v>
      </c>
      <c r="H424" s="12" t="s">
        <v>971</v>
      </c>
      <c r="I424" s="12">
        <v>52.418500000000002</v>
      </c>
      <c r="J424" s="12">
        <v>8.4580599999999997</v>
      </c>
      <c r="K424" s="12">
        <v>52.418500000000002</v>
      </c>
      <c r="L424" s="12">
        <v>8.4580599999999997</v>
      </c>
      <c r="M424" s="12" t="s">
        <v>326</v>
      </c>
      <c r="N424" s="12" t="s">
        <v>326</v>
      </c>
      <c r="O424" s="12" t="s">
        <v>326</v>
      </c>
      <c r="P424" s="16" t="s">
        <v>16</v>
      </c>
      <c r="Q424" s="75" t="s">
        <v>326</v>
      </c>
      <c r="R424" s="11" t="s">
        <v>326</v>
      </c>
      <c r="S424" s="12" t="s">
        <v>93</v>
      </c>
      <c r="T424" s="12" t="s">
        <v>141</v>
      </c>
      <c r="U424" s="12" t="s">
        <v>158</v>
      </c>
      <c r="V424" s="12" t="s">
        <v>275</v>
      </c>
      <c r="W424" s="23" t="s">
        <v>326</v>
      </c>
      <c r="X424" s="23" t="s">
        <v>326</v>
      </c>
      <c r="Y424" s="23" t="s">
        <v>326</v>
      </c>
      <c r="Z424" s="12" t="s">
        <v>37</v>
      </c>
      <c r="AA424" s="23"/>
      <c r="AB424" s="12" t="s">
        <v>37</v>
      </c>
      <c r="AC424" s="12" t="s">
        <v>37</v>
      </c>
      <c r="AD424" s="23"/>
      <c r="AE424" s="12" t="s">
        <v>37</v>
      </c>
      <c r="AH424" s="12" t="s">
        <v>37</v>
      </c>
      <c r="AI424" s="23"/>
      <c r="AJ424" s="23"/>
      <c r="AK424" s="23" t="s">
        <v>326</v>
      </c>
      <c r="AL424" s="23" t="s">
        <v>326</v>
      </c>
      <c r="AM424" s="12" t="s">
        <v>344</v>
      </c>
      <c r="AO424" s="12" t="s">
        <v>326</v>
      </c>
      <c r="AP424" s="56" t="s">
        <v>326</v>
      </c>
      <c r="AQ424" s="56" t="s">
        <v>326</v>
      </c>
      <c r="AR424" s="56" t="s">
        <v>326</v>
      </c>
      <c r="AS424" s="56" t="s">
        <v>326</v>
      </c>
      <c r="AT424" s="56" t="s">
        <v>326</v>
      </c>
      <c r="AU424" s="56" t="s">
        <v>326</v>
      </c>
      <c r="AV424" s="105" t="s">
        <v>326</v>
      </c>
      <c r="AW424" s="56"/>
      <c r="AX424" s="56" t="s">
        <v>326</v>
      </c>
      <c r="AY424" s="56" t="s">
        <v>326</v>
      </c>
      <c r="AZ424" s="105" t="s">
        <v>326</v>
      </c>
      <c r="BA424" s="56"/>
      <c r="BB424" s="56"/>
      <c r="BC424" s="56"/>
      <c r="BD424" s="56"/>
      <c r="BE424" s="56" t="s">
        <v>326</v>
      </c>
      <c r="BF424" s="56" t="s">
        <v>326</v>
      </c>
      <c r="BG424" s="56" t="s">
        <v>326</v>
      </c>
      <c r="BH424" s="56"/>
      <c r="BI424" s="56" t="s">
        <v>326</v>
      </c>
      <c r="BJ424" s="56" t="s">
        <v>326</v>
      </c>
      <c r="BK424" s="56" t="s">
        <v>326</v>
      </c>
      <c r="BL424" s="56"/>
      <c r="BM424" s="56"/>
      <c r="BN424" s="56"/>
      <c r="BO424" s="56"/>
      <c r="BP424" s="56" t="s">
        <v>326</v>
      </c>
      <c r="BQ424" s="56" t="s">
        <v>326</v>
      </c>
      <c r="BR424" s="56" t="s">
        <v>326</v>
      </c>
      <c r="BS424" s="56"/>
      <c r="BT424" s="56" t="s">
        <v>326</v>
      </c>
      <c r="BU424" s="56" t="s">
        <v>326</v>
      </c>
      <c r="BV424" s="56" t="s">
        <v>326</v>
      </c>
      <c r="BW424" s="56"/>
      <c r="BX424" s="56"/>
      <c r="BY424" s="56"/>
      <c r="CA424" s="56" t="s">
        <v>326</v>
      </c>
      <c r="CB424" s="56" t="s">
        <v>326</v>
      </c>
      <c r="CC424" s="56" t="s">
        <v>326</v>
      </c>
      <c r="CE424" s="56" t="s">
        <v>326</v>
      </c>
      <c r="CF424" s="56" t="s">
        <v>326</v>
      </c>
      <c r="CG424" s="56" t="s">
        <v>326</v>
      </c>
      <c r="CI424" s="75"/>
      <c r="CJ424" s="12"/>
      <c r="CN424" s="56" t="s">
        <v>326</v>
      </c>
      <c r="CO424" s="56" t="s">
        <v>326</v>
      </c>
      <c r="CP424" s="56" t="s">
        <v>326</v>
      </c>
      <c r="CR424" s="56" t="s">
        <v>326</v>
      </c>
      <c r="CS424" s="56" t="s">
        <v>326</v>
      </c>
      <c r="CT424" s="56" t="s">
        <v>326</v>
      </c>
      <c r="CU424" s="12"/>
      <c r="CV424" s="75"/>
      <c r="CW424" s="12"/>
      <c r="CX424" s="72"/>
      <c r="CY424" s="72"/>
      <c r="CZ424" s="12" t="s">
        <v>47</v>
      </c>
      <c r="DA424" s="12">
        <v>81.850000000000023</v>
      </c>
      <c r="DB424" s="12">
        <v>1631.6723826083066</v>
      </c>
      <c r="DC424" s="13">
        <v>3</v>
      </c>
      <c r="DD424" s="19">
        <f>DB424/ABS(DA424)</f>
        <v>19.934909989105758</v>
      </c>
      <c r="DE424" s="12">
        <v>9282.7649999999994</v>
      </c>
      <c r="DF424" s="12">
        <v>6092.1653911731855</v>
      </c>
      <c r="DG424" s="13">
        <v>3</v>
      </c>
      <c r="DH424" s="19">
        <f t="shared" si="1526"/>
        <v>0.65628779691968786</v>
      </c>
      <c r="DI424" s="68">
        <f t="shared" ref="DI424:DI425" si="1621">DE424-DA424</f>
        <v>9200.9149999999991</v>
      </c>
      <c r="DJ424" s="12">
        <f t="shared" si="1569"/>
        <v>4459.6431425381452</v>
      </c>
      <c r="DK424" s="72">
        <f t="shared" si="1570"/>
        <v>13258944.639191667</v>
      </c>
      <c r="DL424" s="72">
        <f t="shared" si="1571"/>
        <v>13258944.639191668</v>
      </c>
      <c r="DM424" s="12" t="s">
        <v>47</v>
      </c>
      <c r="DN424" s="19">
        <v>107.675</v>
      </c>
      <c r="DO424" s="12">
        <v>94.631879978859843</v>
      </c>
      <c r="DP424" s="13">
        <v>3</v>
      </c>
      <c r="DQ424" s="19">
        <f t="shared" si="1608"/>
        <v>0.87886584610039331</v>
      </c>
      <c r="DR424" s="19">
        <v>39.175000000000004</v>
      </c>
      <c r="DS424" s="12">
        <v>27.610222291752745</v>
      </c>
      <c r="DT424" s="13">
        <v>3</v>
      </c>
      <c r="DU424" s="19">
        <f t="shared" si="1619"/>
        <v>0.7047918900255965</v>
      </c>
      <c r="DV424" s="19">
        <f>DR424-DN424</f>
        <v>-68.5</v>
      </c>
      <c r="DW424" s="12">
        <f t="shared" si="1610"/>
        <v>69.704795686284513</v>
      </c>
      <c r="DX424" s="72">
        <f t="shared" si="1611"/>
        <v>3239.1723611111111</v>
      </c>
      <c r="DY424" s="72">
        <f t="shared" si="1612"/>
        <v>3239.1723611111115</v>
      </c>
      <c r="DZ424" s="11" t="s">
        <v>47</v>
      </c>
      <c r="EA424" s="19">
        <v>5.5000000000000014E-3</v>
      </c>
      <c r="EB424" s="19">
        <v>3.892835299196034E-2</v>
      </c>
      <c r="EC424" s="72">
        <v>3</v>
      </c>
      <c r="EE424" s="19">
        <v>0.55899999999999994</v>
      </c>
      <c r="EF424" s="19">
        <v>0.83462586428491037</v>
      </c>
      <c r="EG424" s="72">
        <v>3</v>
      </c>
      <c r="EH424" s="52">
        <f t="shared" ref="EH424" si="1622">EF424/ABS(EE424)</f>
        <v>1.4930695246599472</v>
      </c>
      <c r="EI424" s="19">
        <f>EE424-EA424</f>
        <v>0.55349999999999999</v>
      </c>
      <c r="EJ424" s="12">
        <f>SQRT(((EC424-1)*EB424^2+(EG424-1)*EF424^2)/(EC424+EG424-2))</f>
        <v>0.59081120080783855</v>
      </c>
      <c r="EK424" s="19">
        <f>(((EC424+EG424)/(EC424*EG424))*(((EC424-1)*EB424^2)+(EG424-1)*EF424^2)/(EC424+EG424-2))</f>
        <v>0.23270525000000009</v>
      </c>
      <c r="EL424" s="19">
        <f>(EB424^2/EC424)+(EF424^2/EG424)</f>
        <v>0.23270525000000009</v>
      </c>
      <c r="EN424" s="12" t="s">
        <v>37</v>
      </c>
      <c r="EO424" s="12" t="s">
        <v>37</v>
      </c>
      <c r="EP424" s="13" t="s">
        <v>37</v>
      </c>
      <c r="ER424" s="12" t="s">
        <v>37</v>
      </c>
      <c r="ES424" s="12" t="s">
        <v>37</v>
      </c>
      <c r="ET424" s="13" t="s">
        <v>37</v>
      </c>
      <c r="EV424" s="75"/>
      <c r="EW424" s="12"/>
      <c r="EX424" s="12"/>
      <c r="EY424" s="12"/>
      <c r="FB424" s="12" t="s">
        <v>37</v>
      </c>
      <c r="FC424" s="12" t="s">
        <v>37</v>
      </c>
      <c r="FD424" s="13" t="s">
        <v>37</v>
      </c>
      <c r="FE424" s="12" t="s">
        <v>37</v>
      </c>
      <c r="FF424" s="12" t="s">
        <v>37</v>
      </c>
      <c r="FG424" s="13" t="s">
        <v>37</v>
      </c>
      <c r="FH424" s="12"/>
      <c r="FI424" s="12" t="s">
        <v>37</v>
      </c>
      <c r="FJ424" s="12" t="s">
        <v>37</v>
      </c>
      <c r="FK424" s="13" t="s">
        <v>37</v>
      </c>
      <c r="FL424" s="12" t="s">
        <v>37</v>
      </c>
      <c r="FM424" s="12" t="s">
        <v>37</v>
      </c>
      <c r="FN424" s="13" t="s">
        <v>37</v>
      </c>
      <c r="FO424" s="12"/>
      <c r="FP424" s="12" t="s">
        <v>37</v>
      </c>
      <c r="FQ424" s="12" t="s">
        <v>37</v>
      </c>
      <c r="FR424" s="13" t="s">
        <v>37</v>
      </c>
      <c r="FS424" s="12" t="s">
        <v>37</v>
      </c>
      <c r="FT424" s="12" t="s">
        <v>37</v>
      </c>
      <c r="FU424" s="13" t="s">
        <v>37</v>
      </c>
      <c r="FW424" s="12" t="s">
        <v>37</v>
      </c>
      <c r="FX424" s="12" t="s">
        <v>37</v>
      </c>
      <c r="FY424" s="13" t="s">
        <v>37</v>
      </c>
      <c r="FZ424" s="12" t="s">
        <v>37</v>
      </c>
      <c r="GA424" s="12" t="s">
        <v>37</v>
      </c>
      <c r="GB424" s="13" t="s">
        <v>37</v>
      </c>
      <c r="GE424" s="12" t="s">
        <v>37</v>
      </c>
      <c r="GF424" s="12" t="s">
        <v>37</v>
      </c>
      <c r="GG424" s="12" t="s">
        <v>37</v>
      </c>
      <c r="GH424" s="12"/>
      <c r="GI424" s="12" t="s">
        <v>37</v>
      </c>
      <c r="GJ424" s="12" t="s">
        <v>37</v>
      </c>
      <c r="GK424" s="12" t="s">
        <v>37</v>
      </c>
      <c r="GQ424" s="12" t="s">
        <v>37</v>
      </c>
      <c r="GR424" s="12" t="s">
        <v>37</v>
      </c>
      <c r="GS424" s="12" t="s">
        <v>37</v>
      </c>
      <c r="GT424" s="12"/>
      <c r="GU424" s="12" t="s">
        <v>37</v>
      </c>
      <c r="GV424" s="12" t="s">
        <v>37</v>
      </c>
      <c r="GW424" s="12" t="s">
        <v>37</v>
      </c>
      <c r="HA424" s="12"/>
      <c r="HB424" s="12"/>
      <c r="HC424" s="12" t="s">
        <v>37</v>
      </c>
      <c r="HD424" s="12" t="s">
        <v>37</v>
      </c>
      <c r="HE424" s="12" t="s">
        <v>37</v>
      </c>
      <c r="HG424" s="12" t="s">
        <v>37</v>
      </c>
      <c r="HH424" s="12" t="s">
        <v>37</v>
      </c>
      <c r="HI424" s="12" t="s">
        <v>37</v>
      </c>
      <c r="HJ424" s="12"/>
      <c r="HK424" s="12"/>
      <c r="HL424" s="12"/>
      <c r="HN424" s="12" t="s">
        <v>37</v>
      </c>
      <c r="HO424" s="12" t="s">
        <v>37</v>
      </c>
      <c r="HP424" s="12" t="s">
        <v>37</v>
      </c>
      <c r="HR424" s="12" t="s">
        <v>37</v>
      </c>
      <c r="HS424" s="12" t="s">
        <v>37</v>
      </c>
      <c r="HT424" s="12" t="s">
        <v>37</v>
      </c>
      <c r="HY424" s="12" t="s">
        <v>37</v>
      </c>
      <c r="HZ424" s="12" t="s">
        <v>37</v>
      </c>
      <c r="IA424" s="12" t="s">
        <v>37</v>
      </c>
      <c r="IC424" s="12" t="s">
        <v>37</v>
      </c>
      <c r="ID424" s="12" t="s">
        <v>37</v>
      </c>
      <c r="IE424" s="12" t="s">
        <v>37</v>
      </c>
      <c r="IK424" s="12" t="s">
        <v>37</v>
      </c>
      <c r="IL424" s="12" t="s">
        <v>37</v>
      </c>
      <c r="IM424" s="12" t="s">
        <v>37</v>
      </c>
      <c r="IO424" s="12" t="s">
        <v>37</v>
      </c>
      <c r="IP424" s="12" t="s">
        <v>37</v>
      </c>
      <c r="IQ424" s="12" t="s">
        <v>37</v>
      </c>
      <c r="IW424" s="12" t="s">
        <v>37</v>
      </c>
      <c r="IX424" s="12" t="s">
        <v>37</v>
      </c>
      <c r="IY424" s="12" t="s">
        <v>37</v>
      </c>
      <c r="JA424" s="12" t="s">
        <v>37</v>
      </c>
      <c r="JB424" s="12" t="s">
        <v>37</v>
      </c>
      <c r="JC424" s="12" t="s">
        <v>37</v>
      </c>
      <c r="JH424" s="12" t="s">
        <v>37</v>
      </c>
      <c r="JI424" s="12" t="s">
        <v>37</v>
      </c>
      <c r="JJ424" s="12" t="s">
        <v>37</v>
      </c>
      <c r="JL424" s="12" t="s">
        <v>37</v>
      </c>
      <c r="JM424" s="12" t="s">
        <v>37</v>
      </c>
      <c r="JN424" s="12" t="s">
        <v>37</v>
      </c>
      <c r="JS424" s="12" t="s">
        <v>37</v>
      </c>
      <c r="JT424" s="12" t="s">
        <v>37</v>
      </c>
      <c r="JU424" s="12" t="s">
        <v>37</v>
      </c>
      <c r="JW424" s="12" t="s">
        <v>37</v>
      </c>
      <c r="JX424" s="12" t="s">
        <v>37</v>
      </c>
      <c r="JY424" s="12" t="s">
        <v>37</v>
      </c>
      <c r="KE424" s="12" t="s">
        <v>37</v>
      </c>
      <c r="KF424" s="12" t="s">
        <v>37</v>
      </c>
      <c r="KG424" s="12" t="s">
        <v>37</v>
      </c>
      <c r="KH424" s="12" t="s">
        <v>37</v>
      </c>
      <c r="KI424" s="12" t="s">
        <v>37</v>
      </c>
      <c r="KJ424" s="12" t="s">
        <v>37</v>
      </c>
      <c r="KM424" s="12" t="s">
        <v>37</v>
      </c>
      <c r="KN424" s="12" t="s">
        <v>37</v>
      </c>
      <c r="KO424" s="12" t="s">
        <v>37</v>
      </c>
      <c r="KQ424" s="12" t="s">
        <v>37</v>
      </c>
      <c r="KR424" s="12" t="s">
        <v>37</v>
      </c>
      <c r="KS424" s="12" t="s">
        <v>37</v>
      </c>
      <c r="KX424" s="12" t="s">
        <v>37</v>
      </c>
      <c r="KY424" s="12" t="s">
        <v>37</v>
      </c>
      <c r="KZ424" s="12" t="s">
        <v>37</v>
      </c>
      <c r="LB424" s="12" t="s">
        <v>37</v>
      </c>
      <c r="LC424" s="12" t="s">
        <v>37</v>
      </c>
      <c r="LD424" s="12" t="s">
        <v>37</v>
      </c>
      <c r="LI424" s="12" t="s">
        <v>37</v>
      </c>
      <c r="LJ424" s="12" t="s">
        <v>37</v>
      </c>
      <c r="LK424" s="12" t="s">
        <v>37</v>
      </c>
      <c r="LM424" s="12" t="s">
        <v>37</v>
      </c>
      <c r="LN424" s="12" t="s">
        <v>37</v>
      </c>
      <c r="LO424" s="12" t="s">
        <v>37</v>
      </c>
      <c r="LU424" s="12" t="s">
        <v>37</v>
      </c>
      <c r="LV424" s="12" t="s">
        <v>37</v>
      </c>
      <c r="LW424" s="12" t="s">
        <v>37</v>
      </c>
      <c r="LY424" s="12" t="s">
        <v>37</v>
      </c>
      <c r="LZ424" s="12" t="s">
        <v>37</v>
      </c>
      <c r="MA424" s="12" t="s">
        <v>37</v>
      </c>
      <c r="MF424" s="12" t="s">
        <v>37</v>
      </c>
      <c r="MG424" s="12" t="s">
        <v>37</v>
      </c>
      <c r="MH424" s="12" t="s">
        <v>37</v>
      </c>
      <c r="MJ424" s="12" t="s">
        <v>37</v>
      </c>
      <c r="MK424" s="12" t="s">
        <v>37</v>
      </c>
      <c r="ML424" s="12" t="s">
        <v>37</v>
      </c>
      <c r="MQ424" s="12" t="s">
        <v>37</v>
      </c>
      <c r="MR424" s="12" t="s">
        <v>37</v>
      </c>
      <c r="MS424" s="12" t="s">
        <v>37</v>
      </c>
      <c r="MU424" s="12" t="s">
        <v>37</v>
      </c>
      <c r="MV424" s="12" t="s">
        <v>37</v>
      </c>
      <c r="MW424" s="12" t="s">
        <v>37</v>
      </c>
      <c r="NC424" s="12" t="s">
        <v>37</v>
      </c>
      <c r="ND424" s="12" t="s">
        <v>37</v>
      </c>
      <c r="NE424" s="12" t="s">
        <v>37</v>
      </c>
      <c r="NG424" s="12" t="s">
        <v>37</v>
      </c>
      <c r="NH424" s="12" t="s">
        <v>37</v>
      </c>
      <c r="NI424" s="12" t="s">
        <v>37</v>
      </c>
      <c r="NO424" s="12" t="s">
        <v>37</v>
      </c>
      <c r="NP424" s="12" t="s">
        <v>37</v>
      </c>
      <c r="NQ424" s="12" t="s">
        <v>37</v>
      </c>
      <c r="NS424" s="12" t="s">
        <v>37</v>
      </c>
      <c r="NT424" s="12" t="s">
        <v>37</v>
      </c>
      <c r="NU424" s="12" t="s">
        <v>37</v>
      </c>
      <c r="OA424" s="12" t="s">
        <v>37</v>
      </c>
      <c r="OB424" s="12" t="s">
        <v>37</v>
      </c>
      <c r="OC424" s="12" t="s">
        <v>37</v>
      </c>
      <c r="OD424" s="12"/>
      <c r="OE424" s="12" t="s">
        <v>37</v>
      </c>
      <c r="OF424" s="12" t="s">
        <v>37</v>
      </c>
      <c r="OG424" s="12" t="s">
        <v>37</v>
      </c>
      <c r="OH424" s="12"/>
      <c r="OI424" s="12"/>
      <c r="OJ424" s="12"/>
      <c r="OM424" s="12" t="s">
        <v>37</v>
      </c>
      <c r="ON424" s="12" t="s">
        <v>37</v>
      </c>
      <c r="OO424" s="12" t="s">
        <v>37</v>
      </c>
      <c r="OP424" s="12" t="s">
        <v>37</v>
      </c>
      <c r="OQ424" s="12" t="s">
        <v>37</v>
      </c>
      <c r="OR424" s="12" t="s">
        <v>37</v>
      </c>
      <c r="OS424" s="12"/>
      <c r="OT424" s="12"/>
      <c r="OW424" s="12" t="s">
        <v>37</v>
      </c>
      <c r="OX424" s="12" t="s">
        <v>37</v>
      </c>
      <c r="OY424" s="12" t="s">
        <v>37</v>
      </c>
      <c r="OZ424" s="12" t="s">
        <v>37</v>
      </c>
      <c r="PA424" s="12" t="s">
        <v>37</v>
      </c>
      <c r="PB424" s="12" t="s">
        <v>37</v>
      </c>
      <c r="PC424" s="12"/>
      <c r="PD424" s="12"/>
      <c r="PG424" s="12" t="s">
        <v>37</v>
      </c>
      <c r="PH424" s="12" t="s">
        <v>37</v>
      </c>
      <c r="PI424" s="12" t="s">
        <v>37</v>
      </c>
      <c r="PJ424" s="12" t="s">
        <v>37</v>
      </c>
      <c r="PK424" s="12" t="s">
        <v>37</v>
      </c>
      <c r="PL424" s="12" t="s">
        <v>37</v>
      </c>
      <c r="PM424" s="12"/>
      <c r="PN424" s="12"/>
      <c r="PQ424" s="12" t="s">
        <v>37</v>
      </c>
      <c r="PR424" s="12" t="s">
        <v>37</v>
      </c>
      <c r="PS424" s="12" t="s">
        <v>37</v>
      </c>
      <c r="PT424" s="12" t="s">
        <v>37</v>
      </c>
      <c r="PU424" s="12" t="s">
        <v>37</v>
      </c>
      <c r="PV424" s="12" t="s">
        <v>37</v>
      </c>
      <c r="PW424" s="12"/>
      <c r="PX424" s="12"/>
      <c r="PZ424" s="12" t="s">
        <v>37</v>
      </c>
      <c r="QA424" s="12" t="s">
        <v>37</v>
      </c>
      <c r="QB424" s="11" t="s">
        <v>37</v>
      </c>
      <c r="QD424" s="12" t="s">
        <v>37</v>
      </c>
      <c r="QE424" s="12" t="s">
        <v>37</v>
      </c>
      <c r="QF424" s="12" t="s">
        <v>37</v>
      </c>
      <c r="QK424" s="12" t="s">
        <v>37</v>
      </c>
      <c r="QL424" s="12" t="s">
        <v>37</v>
      </c>
      <c r="QM424" s="12" t="s">
        <v>37</v>
      </c>
      <c r="QN424" s="12" t="s">
        <v>37</v>
      </c>
      <c r="QO424" s="12" t="s">
        <v>37</v>
      </c>
      <c r="QP424" s="12" t="s">
        <v>37</v>
      </c>
      <c r="QQ424" s="12"/>
      <c r="QR424" s="12"/>
      <c r="QU424" s="12" t="s">
        <v>37</v>
      </c>
      <c r="QV424" s="12" t="s">
        <v>37</v>
      </c>
      <c r="QW424" s="12" t="s">
        <v>37</v>
      </c>
      <c r="QX424" s="12" t="s">
        <v>37</v>
      </c>
      <c r="QY424" s="12" t="s">
        <v>37</v>
      </c>
      <c r="QZ424" s="12" t="s">
        <v>37</v>
      </c>
      <c r="RC424" s="12" t="s">
        <v>37</v>
      </c>
      <c r="RD424" s="12" t="s">
        <v>37</v>
      </c>
      <c r="RE424" s="13" t="s">
        <v>37</v>
      </c>
      <c r="RF424" s="12" t="s">
        <v>37</v>
      </c>
      <c r="RG424" s="12" t="s">
        <v>37</v>
      </c>
      <c r="RH424" s="13" t="s">
        <v>37</v>
      </c>
      <c r="RK424" s="12" t="s">
        <v>37</v>
      </c>
      <c r="RL424" s="12" t="s">
        <v>37</v>
      </c>
      <c r="RM424" s="11" t="s">
        <v>37</v>
      </c>
      <c r="RN424" s="12" t="s">
        <v>37</v>
      </c>
      <c r="RO424" s="12" t="s">
        <v>37</v>
      </c>
      <c r="RP424" s="11" t="s">
        <v>37</v>
      </c>
      <c r="RS424" s="12" t="s">
        <v>37</v>
      </c>
      <c r="RT424" s="12" t="s">
        <v>37</v>
      </c>
      <c r="RU424" s="12" t="s">
        <v>37</v>
      </c>
      <c r="RV424" s="12" t="s">
        <v>37</v>
      </c>
      <c r="RW424" s="12" t="s">
        <v>37</v>
      </c>
      <c r="RX424" s="12" t="s">
        <v>37</v>
      </c>
      <c r="SA424" s="12" t="s">
        <v>37</v>
      </c>
      <c r="SB424" s="12" t="s">
        <v>37</v>
      </c>
      <c r="SC424" s="12" t="s">
        <v>37</v>
      </c>
      <c r="SD424" s="12" t="s">
        <v>37</v>
      </c>
      <c r="SE424" s="12" t="s">
        <v>37</v>
      </c>
      <c r="SF424" s="12" t="s">
        <v>37</v>
      </c>
      <c r="SI424" s="12" t="s">
        <v>37</v>
      </c>
      <c r="SJ424" s="12" t="s">
        <v>37</v>
      </c>
      <c r="SK424" s="13" t="s">
        <v>37</v>
      </c>
      <c r="SM424" s="12" t="s">
        <v>37</v>
      </c>
      <c r="SN424" s="12" t="s">
        <v>37</v>
      </c>
      <c r="SO424" s="13" t="s">
        <v>37</v>
      </c>
      <c r="SU424" s="12" t="s">
        <v>37</v>
      </c>
      <c r="SV424" s="12" t="s">
        <v>37</v>
      </c>
      <c r="SW424" s="11" t="s">
        <v>37</v>
      </c>
      <c r="SX424" s="12" t="s">
        <v>37</v>
      </c>
      <c r="SY424" s="12" t="s">
        <v>37</v>
      </c>
      <c r="SZ424" s="11" t="s">
        <v>37</v>
      </c>
      <c r="TE424" s="12" t="s">
        <v>37</v>
      </c>
      <c r="TF424" s="12" t="s">
        <v>37</v>
      </c>
      <c r="TG424" s="11" t="s">
        <v>37</v>
      </c>
      <c r="TH424" s="12" t="s">
        <v>37</v>
      </c>
      <c r="TI424" s="12" t="s">
        <v>37</v>
      </c>
      <c r="TJ424" s="11" t="s">
        <v>37</v>
      </c>
      <c r="TO424" s="12" t="s">
        <v>37</v>
      </c>
      <c r="TP424" s="12" t="s">
        <v>37</v>
      </c>
      <c r="TQ424" s="11" t="s">
        <v>37</v>
      </c>
      <c r="TR424" s="12" t="s">
        <v>37</v>
      </c>
      <c r="TS424" s="12" t="s">
        <v>37</v>
      </c>
      <c r="TT424" s="11" t="s">
        <v>37</v>
      </c>
      <c r="TY424" s="12" t="s">
        <v>37</v>
      </c>
      <c r="TZ424" s="12" t="s">
        <v>37</v>
      </c>
      <c r="UA424" s="12" t="s">
        <v>37</v>
      </c>
      <c r="UB424" s="12" t="s">
        <v>37</v>
      </c>
      <c r="UC424" s="12" t="s">
        <v>37</v>
      </c>
      <c r="UD424" s="12" t="s">
        <v>37</v>
      </c>
      <c r="UE424" s="12"/>
      <c r="UF424" s="12"/>
      <c r="UI424" s="12" t="s">
        <v>37</v>
      </c>
      <c r="UJ424" s="12" t="s">
        <v>37</v>
      </c>
      <c r="UK424" s="12" t="s">
        <v>37</v>
      </c>
      <c r="UL424" s="12" t="s">
        <v>37</v>
      </c>
      <c r="UM424" s="12" t="s">
        <v>37</v>
      </c>
      <c r="UN424" s="12" t="s">
        <v>37</v>
      </c>
      <c r="UO424" s="12"/>
      <c r="UP424" s="12"/>
      <c r="UR424" s="12" t="s">
        <v>37</v>
      </c>
      <c r="US424" s="12" t="s">
        <v>37</v>
      </c>
      <c r="UT424" s="12" t="s">
        <v>37</v>
      </c>
      <c r="UU424" s="12" t="s">
        <v>37</v>
      </c>
      <c r="UV424" s="12" t="s">
        <v>37</v>
      </c>
      <c r="UW424" s="12" t="s">
        <v>37</v>
      </c>
      <c r="UX424" s="12"/>
      <c r="UY424" s="12"/>
      <c r="VB424" s="12" t="s">
        <v>37</v>
      </c>
      <c r="VC424" s="12" t="s">
        <v>37</v>
      </c>
      <c r="VD424" s="12" t="s">
        <v>37</v>
      </c>
      <c r="VE424" s="12" t="s">
        <v>37</v>
      </c>
      <c r="VF424" s="12" t="s">
        <v>37</v>
      </c>
      <c r="VG424" s="12" t="s">
        <v>37</v>
      </c>
      <c r="VI424" s="12" t="s">
        <v>37</v>
      </c>
      <c r="VJ424" s="12" t="s">
        <v>37</v>
      </c>
      <c r="VK424" s="12" t="s">
        <v>37</v>
      </c>
      <c r="VL424" s="12" t="s">
        <v>37</v>
      </c>
      <c r="VM424" s="12" t="s">
        <v>37</v>
      </c>
      <c r="VN424" s="12" t="s">
        <v>37</v>
      </c>
      <c r="VQ424" s="13" t="s">
        <v>37</v>
      </c>
      <c r="VR424" s="13" t="s">
        <v>37</v>
      </c>
      <c r="VS424" s="13" t="s">
        <v>37</v>
      </c>
      <c r="VT424" s="13" t="s">
        <v>37</v>
      </c>
      <c r="VU424" s="13" t="s">
        <v>37</v>
      </c>
      <c r="VV424" s="13" t="s">
        <v>37</v>
      </c>
      <c r="WA424" s="13" t="s">
        <v>37</v>
      </c>
      <c r="WB424" s="13" t="s">
        <v>37</v>
      </c>
      <c r="WC424" s="13" t="s">
        <v>37</v>
      </c>
      <c r="WD424" s="13" t="s">
        <v>37</v>
      </c>
      <c r="WE424" s="13" t="s">
        <v>37</v>
      </c>
      <c r="WF424" s="13" t="s">
        <v>37</v>
      </c>
    </row>
    <row r="425" spans="1:604" ht="20.25" customHeight="1" x14ac:dyDescent="0.3">
      <c r="A425" s="11">
        <v>96</v>
      </c>
      <c r="B425" s="16" t="s">
        <v>966</v>
      </c>
      <c r="C425" s="16" t="s">
        <v>623</v>
      </c>
      <c r="D425" s="14" t="s">
        <v>830</v>
      </c>
      <c r="E425" s="40" t="s">
        <v>326</v>
      </c>
      <c r="F425" s="14">
        <v>0</v>
      </c>
      <c r="G425" s="14">
        <v>0</v>
      </c>
      <c r="H425" s="12" t="s">
        <v>971</v>
      </c>
      <c r="I425" s="12">
        <v>52.418500000000002</v>
      </c>
      <c r="J425" s="12">
        <v>8.4580599999999997</v>
      </c>
      <c r="K425" s="12">
        <v>52.418500000000002</v>
      </c>
      <c r="L425" s="12">
        <v>8.4580599999999997</v>
      </c>
      <c r="M425" s="12" t="s">
        <v>326</v>
      </c>
      <c r="N425" s="12" t="s">
        <v>326</v>
      </c>
      <c r="O425" s="12" t="s">
        <v>326</v>
      </c>
      <c r="P425" s="16" t="s">
        <v>16</v>
      </c>
      <c r="Q425" s="75" t="s">
        <v>326</v>
      </c>
      <c r="R425" s="11" t="s">
        <v>326</v>
      </c>
      <c r="S425" s="12" t="s">
        <v>93</v>
      </c>
      <c r="T425" s="12" t="s">
        <v>141</v>
      </c>
      <c r="U425" s="12" t="s">
        <v>158</v>
      </c>
      <c r="V425" s="12" t="s">
        <v>275</v>
      </c>
      <c r="W425" s="23" t="s">
        <v>326</v>
      </c>
      <c r="X425" s="12" t="s">
        <v>49</v>
      </c>
      <c r="Y425" s="23" t="s">
        <v>326</v>
      </c>
      <c r="Z425" s="12" t="s">
        <v>37</v>
      </c>
      <c r="AA425" s="23"/>
      <c r="AB425" s="12" t="s">
        <v>37</v>
      </c>
      <c r="AC425" s="12" t="s">
        <v>37</v>
      </c>
      <c r="AD425" s="23"/>
      <c r="AE425" s="12" t="s">
        <v>37</v>
      </c>
      <c r="AH425" s="12" t="s">
        <v>37</v>
      </c>
      <c r="AI425" s="23"/>
      <c r="AJ425" s="23"/>
      <c r="AK425" s="23" t="s">
        <v>326</v>
      </c>
      <c r="AL425" s="23" t="s">
        <v>326</v>
      </c>
      <c r="AM425" s="12" t="s">
        <v>344</v>
      </c>
      <c r="AO425" s="12" t="s">
        <v>326</v>
      </c>
      <c r="AP425" s="56" t="s">
        <v>326</v>
      </c>
      <c r="AQ425" s="56" t="s">
        <v>326</v>
      </c>
      <c r="AR425" s="56" t="s">
        <v>326</v>
      </c>
      <c r="AS425" s="56" t="s">
        <v>326</v>
      </c>
      <c r="AT425" s="56" t="s">
        <v>326</v>
      </c>
      <c r="AU425" s="56" t="s">
        <v>326</v>
      </c>
      <c r="AV425" s="105" t="s">
        <v>326</v>
      </c>
      <c r="AW425" s="56"/>
      <c r="AX425" s="56" t="s">
        <v>326</v>
      </c>
      <c r="AY425" s="56" t="s">
        <v>326</v>
      </c>
      <c r="AZ425" s="105" t="s">
        <v>326</v>
      </c>
      <c r="BA425" s="56"/>
      <c r="BB425" s="56"/>
      <c r="BC425" s="56"/>
      <c r="BD425" s="56"/>
      <c r="BE425" s="56" t="s">
        <v>326</v>
      </c>
      <c r="BF425" s="56" t="s">
        <v>326</v>
      </c>
      <c r="BG425" s="56" t="s">
        <v>326</v>
      </c>
      <c r="BH425" s="56"/>
      <c r="BI425" s="56" t="s">
        <v>326</v>
      </c>
      <c r="BJ425" s="56" t="s">
        <v>326</v>
      </c>
      <c r="BK425" s="56" t="s">
        <v>326</v>
      </c>
      <c r="BL425" s="56"/>
      <c r="BM425" s="56"/>
      <c r="BN425" s="56"/>
      <c r="BO425" s="56"/>
      <c r="BP425" s="56" t="s">
        <v>326</v>
      </c>
      <c r="BQ425" s="56" t="s">
        <v>326</v>
      </c>
      <c r="BR425" s="56" t="s">
        <v>326</v>
      </c>
      <c r="BS425" s="56"/>
      <c r="BT425" s="56" t="s">
        <v>326</v>
      </c>
      <c r="BU425" s="56" t="s">
        <v>326</v>
      </c>
      <c r="BV425" s="56" t="s">
        <v>326</v>
      </c>
      <c r="BW425" s="56"/>
      <c r="BX425" s="56"/>
      <c r="BY425" s="56"/>
      <c r="CA425" s="56" t="s">
        <v>326</v>
      </c>
      <c r="CB425" s="56" t="s">
        <v>326</v>
      </c>
      <c r="CC425" s="56" t="s">
        <v>326</v>
      </c>
      <c r="CE425" s="56" t="s">
        <v>326</v>
      </c>
      <c r="CF425" s="56" t="s">
        <v>326</v>
      </c>
      <c r="CG425" s="56" t="s">
        <v>326</v>
      </c>
      <c r="CI425" s="75"/>
      <c r="CJ425" s="12"/>
      <c r="CN425" s="56" t="s">
        <v>326</v>
      </c>
      <c r="CO425" s="56" t="s">
        <v>326</v>
      </c>
      <c r="CP425" s="56" t="s">
        <v>326</v>
      </c>
      <c r="CR425" s="56" t="s">
        <v>326</v>
      </c>
      <c r="CS425" s="56" t="s">
        <v>326</v>
      </c>
      <c r="CT425" s="56" t="s">
        <v>326</v>
      </c>
      <c r="CU425" s="12"/>
      <c r="CV425" s="75"/>
      <c r="CW425" s="12"/>
      <c r="CX425" s="72"/>
      <c r="CY425" s="72"/>
      <c r="CZ425" s="12" t="s">
        <v>47</v>
      </c>
      <c r="DA425" s="12">
        <v>-983.60000000000014</v>
      </c>
      <c r="DB425" s="12">
        <v>94.627709120179674</v>
      </c>
      <c r="DC425" s="13">
        <v>3</v>
      </c>
      <c r="DD425" s="19">
        <f t="shared" si="1617"/>
        <v>9.6205478975375819E-2</v>
      </c>
      <c r="DE425" s="12">
        <v>8811.4750000000004</v>
      </c>
      <c r="DF425" s="12">
        <v>5873.9289174885607</v>
      </c>
      <c r="DG425" s="13">
        <v>3</v>
      </c>
      <c r="DH425" s="19">
        <f t="shared" si="1526"/>
        <v>0.66662266164161621</v>
      </c>
      <c r="DI425" s="68">
        <f t="shared" si="1621"/>
        <v>9795.0750000000007</v>
      </c>
      <c r="DJ425" s="12">
        <f t="shared" si="1569"/>
        <v>4154.0339027890514</v>
      </c>
      <c r="DK425" s="72">
        <f t="shared" si="1570"/>
        <v>11503998.443680556</v>
      </c>
      <c r="DL425" s="72">
        <f t="shared" si="1571"/>
        <v>11503998.443680556</v>
      </c>
      <c r="DN425" s="19" t="s">
        <v>37</v>
      </c>
      <c r="DO425" s="12" t="s">
        <v>37</v>
      </c>
      <c r="DP425" s="13" t="s">
        <v>37</v>
      </c>
      <c r="DR425" s="19" t="s">
        <v>37</v>
      </c>
      <c r="DS425" s="12" t="s">
        <v>37</v>
      </c>
      <c r="DT425" s="13" t="s">
        <v>37</v>
      </c>
      <c r="DV425" s="12"/>
      <c r="DW425" s="13"/>
      <c r="DZ425" s="19"/>
      <c r="EA425" s="12" t="s">
        <v>37</v>
      </c>
      <c r="EB425" s="13" t="s">
        <v>37</v>
      </c>
      <c r="EC425" s="12" t="s">
        <v>37</v>
      </c>
      <c r="ED425" s="13"/>
      <c r="EE425" s="12" t="s">
        <v>37</v>
      </c>
      <c r="EF425" s="13" t="s">
        <v>37</v>
      </c>
      <c r="EG425" s="12" t="s">
        <v>326</v>
      </c>
      <c r="EH425" s="13"/>
      <c r="EI425" s="12"/>
      <c r="EJ425" s="13"/>
      <c r="EK425" s="12"/>
      <c r="EL425" s="12"/>
      <c r="EN425" s="12" t="s">
        <v>37</v>
      </c>
      <c r="EO425" s="12" t="s">
        <v>37</v>
      </c>
      <c r="EP425" s="13" t="s">
        <v>37</v>
      </c>
      <c r="ER425" s="12" t="s">
        <v>37</v>
      </c>
      <c r="ES425" s="12" t="s">
        <v>37</v>
      </c>
      <c r="ET425" s="13" t="s">
        <v>37</v>
      </c>
      <c r="EV425" s="75"/>
      <c r="EW425" s="12"/>
      <c r="EX425" s="12"/>
      <c r="EY425" s="12"/>
      <c r="FB425" s="12" t="s">
        <v>37</v>
      </c>
      <c r="FC425" s="12" t="s">
        <v>37</v>
      </c>
      <c r="FD425" s="13" t="s">
        <v>37</v>
      </c>
      <c r="FE425" s="12" t="s">
        <v>37</v>
      </c>
      <c r="FF425" s="12" t="s">
        <v>37</v>
      </c>
      <c r="FG425" s="13" t="s">
        <v>37</v>
      </c>
      <c r="FH425" s="12"/>
      <c r="FI425" s="12" t="s">
        <v>37</v>
      </c>
      <c r="FJ425" s="12" t="s">
        <v>37</v>
      </c>
      <c r="FK425" s="13" t="s">
        <v>37</v>
      </c>
      <c r="FL425" s="12" t="s">
        <v>37</v>
      </c>
      <c r="FM425" s="12" t="s">
        <v>37</v>
      </c>
      <c r="FN425" s="13" t="s">
        <v>37</v>
      </c>
      <c r="FO425" s="12"/>
      <c r="FP425" s="12" t="s">
        <v>37</v>
      </c>
      <c r="FQ425" s="12" t="s">
        <v>37</v>
      </c>
      <c r="FR425" s="13" t="s">
        <v>37</v>
      </c>
      <c r="FS425" s="12" t="s">
        <v>37</v>
      </c>
      <c r="FT425" s="12" t="s">
        <v>37</v>
      </c>
      <c r="FU425" s="13" t="s">
        <v>37</v>
      </c>
      <c r="FW425" s="12" t="s">
        <v>37</v>
      </c>
      <c r="FX425" s="12" t="s">
        <v>37</v>
      </c>
      <c r="FY425" s="13" t="s">
        <v>37</v>
      </c>
      <c r="FZ425" s="12" t="s">
        <v>37</v>
      </c>
      <c r="GA425" s="12" t="s">
        <v>37</v>
      </c>
      <c r="GB425" s="13" t="s">
        <v>37</v>
      </c>
      <c r="GE425" s="12" t="s">
        <v>37</v>
      </c>
      <c r="GF425" s="12" t="s">
        <v>37</v>
      </c>
      <c r="GG425" s="12" t="s">
        <v>37</v>
      </c>
      <c r="GH425" s="12"/>
      <c r="GI425" s="12" t="s">
        <v>37</v>
      </c>
      <c r="GJ425" s="12" t="s">
        <v>37</v>
      </c>
      <c r="GK425" s="12" t="s">
        <v>37</v>
      </c>
      <c r="GQ425" s="12" t="s">
        <v>37</v>
      </c>
      <c r="GR425" s="12" t="s">
        <v>37</v>
      </c>
      <c r="GS425" s="12" t="s">
        <v>37</v>
      </c>
      <c r="GT425" s="12"/>
      <c r="GU425" s="12" t="s">
        <v>37</v>
      </c>
      <c r="GV425" s="12" t="s">
        <v>37</v>
      </c>
      <c r="GW425" s="12" t="s">
        <v>37</v>
      </c>
      <c r="HA425" s="12"/>
      <c r="HB425" s="12"/>
      <c r="HC425" s="12" t="s">
        <v>37</v>
      </c>
      <c r="HD425" s="12" t="s">
        <v>37</v>
      </c>
      <c r="HE425" s="12" t="s">
        <v>37</v>
      </c>
      <c r="HG425" s="12" t="s">
        <v>37</v>
      </c>
      <c r="HH425" s="12" t="s">
        <v>37</v>
      </c>
      <c r="HI425" s="12" t="s">
        <v>37</v>
      </c>
      <c r="HJ425" s="12"/>
      <c r="HK425" s="12"/>
      <c r="HL425" s="12"/>
      <c r="HN425" s="12" t="s">
        <v>37</v>
      </c>
      <c r="HO425" s="12" t="s">
        <v>37</v>
      </c>
      <c r="HP425" s="12" t="s">
        <v>37</v>
      </c>
      <c r="HR425" s="12" t="s">
        <v>37</v>
      </c>
      <c r="HS425" s="12" t="s">
        <v>37</v>
      </c>
      <c r="HT425" s="12" t="s">
        <v>37</v>
      </c>
      <c r="HY425" s="12" t="s">
        <v>37</v>
      </c>
      <c r="HZ425" s="12" t="s">
        <v>37</v>
      </c>
      <c r="IA425" s="12" t="s">
        <v>37</v>
      </c>
      <c r="IC425" s="12" t="s">
        <v>37</v>
      </c>
      <c r="ID425" s="12" t="s">
        <v>37</v>
      </c>
      <c r="IE425" s="12" t="s">
        <v>37</v>
      </c>
      <c r="IK425" s="12" t="s">
        <v>37</v>
      </c>
      <c r="IL425" s="12" t="s">
        <v>37</v>
      </c>
      <c r="IM425" s="12" t="s">
        <v>37</v>
      </c>
      <c r="IO425" s="12" t="s">
        <v>37</v>
      </c>
      <c r="IP425" s="12" t="s">
        <v>37</v>
      </c>
      <c r="IQ425" s="12" t="s">
        <v>37</v>
      </c>
      <c r="IW425" s="12" t="s">
        <v>37</v>
      </c>
      <c r="IX425" s="12" t="s">
        <v>37</v>
      </c>
      <c r="IY425" s="12" t="s">
        <v>37</v>
      </c>
      <c r="JA425" s="12" t="s">
        <v>37</v>
      </c>
      <c r="JB425" s="12" t="s">
        <v>37</v>
      </c>
      <c r="JC425" s="12" t="s">
        <v>37</v>
      </c>
      <c r="JH425" s="12" t="s">
        <v>37</v>
      </c>
      <c r="JI425" s="12" t="s">
        <v>37</v>
      </c>
      <c r="JJ425" s="12" t="s">
        <v>37</v>
      </c>
      <c r="JL425" s="12" t="s">
        <v>37</v>
      </c>
      <c r="JM425" s="12" t="s">
        <v>37</v>
      </c>
      <c r="JN425" s="12" t="s">
        <v>37</v>
      </c>
      <c r="JS425" s="12" t="s">
        <v>37</v>
      </c>
      <c r="JT425" s="12" t="s">
        <v>37</v>
      </c>
      <c r="JU425" s="12" t="s">
        <v>37</v>
      </c>
      <c r="JW425" s="12" t="s">
        <v>37</v>
      </c>
      <c r="JX425" s="12" t="s">
        <v>37</v>
      </c>
      <c r="JY425" s="12" t="s">
        <v>37</v>
      </c>
      <c r="KE425" s="12" t="s">
        <v>37</v>
      </c>
      <c r="KF425" s="12" t="s">
        <v>37</v>
      </c>
      <c r="KG425" s="12" t="s">
        <v>37</v>
      </c>
      <c r="KH425" s="12" t="s">
        <v>37</v>
      </c>
      <c r="KI425" s="12" t="s">
        <v>37</v>
      </c>
      <c r="KJ425" s="12" t="s">
        <v>37</v>
      </c>
      <c r="KM425" s="12" t="s">
        <v>37</v>
      </c>
      <c r="KN425" s="12" t="s">
        <v>37</v>
      </c>
      <c r="KO425" s="12" t="s">
        <v>37</v>
      </c>
      <c r="KQ425" s="12" t="s">
        <v>37</v>
      </c>
      <c r="KR425" s="12" t="s">
        <v>37</v>
      </c>
      <c r="KS425" s="12" t="s">
        <v>37</v>
      </c>
      <c r="KX425" s="12" t="s">
        <v>37</v>
      </c>
      <c r="KY425" s="12" t="s">
        <v>37</v>
      </c>
      <c r="KZ425" s="12" t="s">
        <v>37</v>
      </c>
      <c r="LB425" s="12" t="s">
        <v>37</v>
      </c>
      <c r="LC425" s="12" t="s">
        <v>37</v>
      </c>
      <c r="LD425" s="12" t="s">
        <v>37</v>
      </c>
      <c r="LI425" s="12" t="s">
        <v>37</v>
      </c>
      <c r="LJ425" s="12" t="s">
        <v>37</v>
      </c>
      <c r="LK425" s="12" t="s">
        <v>37</v>
      </c>
      <c r="LM425" s="12" t="s">
        <v>37</v>
      </c>
      <c r="LN425" s="12" t="s">
        <v>37</v>
      </c>
      <c r="LO425" s="12" t="s">
        <v>37</v>
      </c>
      <c r="LU425" s="12" t="s">
        <v>37</v>
      </c>
      <c r="LV425" s="12" t="s">
        <v>37</v>
      </c>
      <c r="LW425" s="12" t="s">
        <v>37</v>
      </c>
      <c r="LY425" s="12" t="s">
        <v>37</v>
      </c>
      <c r="LZ425" s="12" t="s">
        <v>37</v>
      </c>
      <c r="MA425" s="12" t="s">
        <v>37</v>
      </c>
      <c r="MF425" s="12" t="s">
        <v>37</v>
      </c>
      <c r="MG425" s="12" t="s">
        <v>37</v>
      </c>
      <c r="MH425" s="12" t="s">
        <v>37</v>
      </c>
      <c r="MJ425" s="12" t="s">
        <v>37</v>
      </c>
      <c r="MK425" s="12" t="s">
        <v>37</v>
      </c>
      <c r="ML425" s="12" t="s">
        <v>37</v>
      </c>
      <c r="MQ425" s="12" t="s">
        <v>37</v>
      </c>
      <c r="MR425" s="12" t="s">
        <v>37</v>
      </c>
      <c r="MS425" s="12" t="s">
        <v>37</v>
      </c>
      <c r="MU425" s="12" t="s">
        <v>37</v>
      </c>
      <c r="MV425" s="12" t="s">
        <v>37</v>
      </c>
      <c r="MW425" s="12" t="s">
        <v>37</v>
      </c>
      <c r="NC425" s="12" t="s">
        <v>37</v>
      </c>
      <c r="ND425" s="12" t="s">
        <v>37</v>
      </c>
      <c r="NE425" s="12" t="s">
        <v>37</v>
      </c>
      <c r="NG425" s="12" t="s">
        <v>37</v>
      </c>
      <c r="NH425" s="12" t="s">
        <v>37</v>
      </c>
      <c r="NI425" s="12" t="s">
        <v>37</v>
      </c>
      <c r="NO425" s="12" t="s">
        <v>37</v>
      </c>
      <c r="NP425" s="12" t="s">
        <v>37</v>
      </c>
      <c r="NQ425" s="12" t="s">
        <v>37</v>
      </c>
      <c r="NS425" s="12" t="s">
        <v>37</v>
      </c>
      <c r="NT425" s="12" t="s">
        <v>37</v>
      </c>
      <c r="NU425" s="12" t="s">
        <v>37</v>
      </c>
      <c r="OA425" s="12" t="s">
        <v>37</v>
      </c>
      <c r="OB425" s="12" t="s">
        <v>37</v>
      </c>
      <c r="OC425" s="12" t="s">
        <v>37</v>
      </c>
      <c r="OD425" s="12"/>
      <c r="OE425" s="12" t="s">
        <v>37</v>
      </c>
      <c r="OF425" s="12" t="s">
        <v>37</v>
      </c>
      <c r="OG425" s="12" t="s">
        <v>37</v>
      </c>
      <c r="OH425" s="12"/>
      <c r="OI425" s="12"/>
      <c r="OJ425" s="12"/>
      <c r="OM425" s="12" t="s">
        <v>37</v>
      </c>
      <c r="ON425" s="12" t="s">
        <v>37</v>
      </c>
      <c r="OO425" s="12" t="s">
        <v>37</v>
      </c>
      <c r="OP425" s="12" t="s">
        <v>37</v>
      </c>
      <c r="OQ425" s="12" t="s">
        <v>37</v>
      </c>
      <c r="OR425" s="12" t="s">
        <v>37</v>
      </c>
      <c r="OS425" s="12"/>
      <c r="OT425" s="12"/>
      <c r="OW425" s="12" t="s">
        <v>37</v>
      </c>
      <c r="OX425" s="12" t="s">
        <v>37</v>
      </c>
      <c r="OY425" s="12" t="s">
        <v>37</v>
      </c>
      <c r="OZ425" s="12" t="s">
        <v>37</v>
      </c>
      <c r="PA425" s="12" t="s">
        <v>37</v>
      </c>
      <c r="PB425" s="12" t="s">
        <v>37</v>
      </c>
      <c r="PC425" s="12"/>
      <c r="PD425" s="12"/>
      <c r="PG425" s="12" t="s">
        <v>37</v>
      </c>
      <c r="PH425" s="12" t="s">
        <v>37</v>
      </c>
      <c r="PI425" s="12" t="s">
        <v>37</v>
      </c>
      <c r="PJ425" s="12" t="s">
        <v>37</v>
      </c>
      <c r="PK425" s="12" t="s">
        <v>37</v>
      </c>
      <c r="PL425" s="12" t="s">
        <v>37</v>
      </c>
      <c r="PM425" s="12"/>
      <c r="PN425" s="12"/>
      <c r="PQ425" s="12" t="s">
        <v>37</v>
      </c>
      <c r="PR425" s="12" t="s">
        <v>37</v>
      </c>
      <c r="PS425" s="12" t="s">
        <v>37</v>
      </c>
      <c r="PT425" s="12" t="s">
        <v>37</v>
      </c>
      <c r="PU425" s="12" t="s">
        <v>37</v>
      </c>
      <c r="PV425" s="12" t="s">
        <v>37</v>
      </c>
      <c r="PW425" s="12"/>
      <c r="PX425" s="12"/>
      <c r="PZ425" s="12" t="s">
        <v>37</v>
      </c>
      <c r="QA425" s="12" t="s">
        <v>37</v>
      </c>
      <c r="QB425" s="11" t="s">
        <v>37</v>
      </c>
      <c r="QD425" s="12" t="s">
        <v>37</v>
      </c>
      <c r="QE425" s="12" t="s">
        <v>37</v>
      </c>
      <c r="QF425" s="12" t="s">
        <v>37</v>
      </c>
      <c r="QK425" s="12" t="s">
        <v>37</v>
      </c>
      <c r="QL425" s="12" t="s">
        <v>37</v>
      </c>
      <c r="QM425" s="12" t="s">
        <v>37</v>
      </c>
      <c r="QN425" s="12" t="s">
        <v>37</v>
      </c>
      <c r="QO425" s="12" t="s">
        <v>37</v>
      </c>
      <c r="QP425" s="12" t="s">
        <v>37</v>
      </c>
      <c r="QQ425" s="12"/>
      <c r="QR425" s="12"/>
      <c r="QU425" s="12" t="s">
        <v>37</v>
      </c>
      <c r="QV425" s="12" t="s">
        <v>37</v>
      </c>
      <c r="QW425" s="12" t="s">
        <v>37</v>
      </c>
      <c r="QX425" s="12" t="s">
        <v>37</v>
      </c>
      <c r="QY425" s="12" t="s">
        <v>37</v>
      </c>
      <c r="QZ425" s="12" t="s">
        <v>37</v>
      </c>
      <c r="RC425" s="12" t="s">
        <v>37</v>
      </c>
      <c r="RD425" s="12" t="s">
        <v>37</v>
      </c>
      <c r="RE425" s="13" t="s">
        <v>37</v>
      </c>
      <c r="RF425" s="12" t="s">
        <v>37</v>
      </c>
      <c r="RG425" s="12" t="s">
        <v>37</v>
      </c>
      <c r="RH425" s="13" t="s">
        <v>37</v>
      </c>
      <c r="RK425" s="12" t="s">
        <v>37</v>
      </c>
      <c r="RL425" s="12" t="s">
        <v>37</v>
      </c>
      <c r="RM425" s="11" t="s">
        <v>37</v>
      </c>
      <c r="RN425" s="12" t="s">
        <v>37</v>
      </c>
      <c r="RO425" s="12" t="s">
        <v>37</v>
      </c>
      <c r="RP425" s="11" t="s">
        <v>37</v>
      </c>
      <c r="RS425" s="12" t="s">
        <v>37</v>
      </c>
      <c r="RT425" s="12" t="s">
        <v>37</v>
      </c>
      <c r="RU425" s="12" t="s">
        <v>37</v>
      </c>
      <c r="RV425" s="12" t="s">
        <v>37</v>
      </c>
      <c r="RW425" s="12" t="s">
        <v>37</v>
      </c>
      <c r="RX425" s="12" t="s">
        <v>37</v>
      </c>
      <c r="SA425" s="12" t="s">
        <v>37</v>
      </c>
      <c r="SB425" s="12" t="s">
        <v>37</v>
      </c>
      <c r="SC425" s="12" t="s">
        <v>37</v>
      </c>
      <c r="SD425" s="12" t="s">
        <v>37</v>
      </c>
      <c r="SE425" s="12" t="s">
        <v>37</v>
      </c>
      <c r="SF425" s="12" t="s">
        <v>37</v>
      </c>
      <c r="SI425" s="12" t="s">
        <v>37</v>
      </c>
      <c r="SJ425" s="12" t="s">
        <v>37</v>
      </c>
      <c r="SK425" s="13" t="s">
        <v>37</v>
      </c>
      <c r="SM425" s="12" t="s">
        <v>37</v>
      </c>
      <c r="SN425" s="12" t="s">
        <v>37</v>
      </c>
      <c r="SO425" s="13" t="s">
        <v>37</v>
      </c>
      <c r="SU425" s="12" t="s">
        <v>37</v>
      </c>
      <c r="SV425" s="12" t="s">
        <v>37</v>
      </c>
      <c r="SW425" s="11" t="s">
        <v>37</v>
      </c>
      <c r="SX425" s="12" t="s">
        <v>37</v>
      </c>
      <c r="SY425" s="12" t="s">
        <v>37</v>
      </c>
      <c r="SZ425" s="11" t="s">
        <v>37</v>
      </c>
      <c r="TE425" s="12" t="s">
        <v>37</v>
      </c>
      <c r="TF425" s="12" t="s">
        <v>37</v>
      </c>
      <c r="TG425" s="11" t="s">
        <v>37</v>
      </c>
      <c r="TH425" s="12" t="s">
        <v>37</v>
      </c>
      <c r="TI425" s="12" t="s">
        <v>37</v>
      </c>
      <c r="TJ425" s="11" t="s">
        <v>37</v>
      </c>
      <c r="TO425" s="12" t="s">
        <v>37</v>
      </c>
      <c r="TP425" s="12" t="s">
        <v>37</v>
      </c>
      <c r="TQ425" s="11" t="s">
        <v>37</v>
      </c>
      <c r="TR425" s="12" t="s">
        <v>37</v>
      </c>
      <c r="TS425" s="12" t="s">
        <v>37</v>
      </c>
      <c r="TT425" s="11" t="s">
        <v>37</v>
      </c>
      <c r="TY425" s="12" t="s">
        <v>37</v>
      </c>
      <c r="TZ425" s="12" t="s">
        <v>37</v>
      </c>
      <c r="UA425" s="12" t="s">
        <v>37</v>
      </c>
      <c r="UB425" s="12" t="s">
        <v>37</v>
      </c>
      <c r="UC425" s="12" t="s">
        <v>37</v>
      </c>
      <c r="UD425" s="12" t="s">
        <v>37</v>
      </c>
      <c r="UE425" s="12"/>
      <c r="UF425" s="12"/>
      <c r="UI425" s="12" t="s">
        <v>37</v>
      </c>
      <c r="UJ425" s="12" t="s">
        <v>37</v>
      </c>
      <c r="UK425" s="12" t="s">
        <v>37</v>
      </c>
      <c r="UL425" s="12" t="s">
        <v>37</v>
      </c>
      <c r="UM425" s="12" t="s">
        <v>37</v>
      </c>
      <c r="UN425" s="12" t="s">
        <v>37</v>
      </c>
      <c r="UO425" s="12"/>
      <c r="UP425" s="12"/>
      <c r="UR425" s="12" t="s">
        <v>37</v>
      </c>
      <c r="US425" s="12" t="s">
        <v>37</v>
      </c>
      <c r="UT425" s="12" t="s">
        <v>37</v>
      </c>
      <c r="UU425" s="12" t="s">
        <v>37</v>
      </c>
      <c r="UV425" s="12" t="s">
        <v>37</v>
      </c>
      <c r="UW425" s="12" t="s">
        <v>37</v>
      </c>
      <c r="UX425" s="12"/>
      <c r="UY425" s="12"/>
      <c r="VB425" s="12" t="s">
        <v>37</v>
      </c>
      <c r="VC425" s="12" t="s">
        <v>37</v>
      </c>
      <c r="VD425" s="12" t="s">
        <v>37</v>
      </c>
      <c r="VE425" s="12" t="s">
        <v>37</v>
      </c>
      <c r="VF425" s="12" t="s">
        <v>37</v>
      </c>
      <c r="VG425" s="12" t="s">
        <v>37</v>
      </c>
      <c r="VI425" s="12" t="s">
        <v>37</v>
      </c>
      <c r="VJ425" s="12" t="s">
        <v>37</v>
      </c>
      <c r="VK425" s="12" t="s">
        <v>37</v>
      </c>
      <c r="VL425" s="12" t="s">
        <v>37</v>
      </c>
      <c r="VM425" s="12" t="s">
        <v>37</v>
      </c>
      <c r="VN425" s="12" t="s">
        <v>37</v>
      </c>
      <c r="VQ425" s="13" t="s">
        <v>37</v>
      </c>
      <c r="VR425" s="13" t="s">
        <v>37</v>
      </c>
      <c r="VS425" s="13" t="s">
        <v>37</v>
      </c>
      <c r="VT425" s="13" t="s">
        <v>37</v>
      </c>
      <c r="VU425" s="13" t="s">
        <v>37</v>
      </c>
      <c r="VV425" s="13" t="s">
        <v>37</v>
      </c>
      <c r="WA425" s="13" t="s">
        <v>37</v>
      </c>
      <c r="WB425" s="13" t="s">
        <v>37</v>
      </c>
      <c r="WC425" s="13" t="s">
        <v>37</v>
      </c>
      <c r="WD425" s="13" t="s">
        <v>37</v>
      </c>
      <c r="WE425" s="13" t="s">
        <v>37</v>
      </c>
      <c r="WF425" s="13" t="s">
        <v>37</v>
      </c>
    </row>
    <row r="426" spans="1:604" ht="17.399999999999999" x14ac:dyDescent="0.4">
      <c r="A426" s="11">
        <v>97</v>
      </c>
      <c r="B426" s="12" t="s">
        <v>945</v>
      </c>
      <c r="C426" s="12" t="s">
        <v>26</v>
      </c>
      <c r="D426" s="12" t="s">
        <v>974</v>
      </c>
      <c r="E426" s="14">
        <v>0.6</v>
      </c>
      <c r="F426" s="72">
        <v>140</v>
      </c>
      <c r="G426" s="14">
        <v>0</v>
      </c>
      <c r="H426" s="12" t="s">
        <v>106</v>
      </c>
      <c r="I426" s="29">
        <v>53.417000000000002</v>
      </c>
      <c r="J426" s="29">
        <v>-8</v>
      </c>
      <c r="K426" s="12" t="s">
        <v>946</v>
      </c>
      <c r="L426" s="12" t="s">
        <v>947</v>
      </c>
      <c r="M426" s="13" t="s">
        <v>37</v>
      </c>
      <c r="N426" s="14" t="s">
        <v>37</v>
      </c>
      <c r="O426" s="14" t="s">
        <v>37</v>
      </c>
      <c r="P426" s="14" t="s">
        <v>16</v>
      </c>
      <c r="Q426" s="75" t="s">
        <v>37</v>
      </c>
      <c r="R426" s="11" t="s">
        <v>37</v>
      </c>
      <c r="S426" s="12" t="s">
        <v>93</v>
      </c>
      <c r="T426" s="12" t="s">
        <v>138</v>
      </c>
      <c r="U426" s="12" t="s">
        <v>158</v>
      </c>
      <c r="V426" s="12" t="s">
        <v>275</v>
      </c>
      <c r="W426" s="23" t="s">
        <v>37</v>
      </c>
      <c r="X426" s="12" t="s">
        <v>37</v>
      </c>
      <c r="Y426" s="12" t="s">
        <v>69</v>
      </c>
      <c r="Z426" s="12" t="s">
        <v>37</v>
      </c>
      <c r="AA426" s="23"/>
      <c r="AB426" s="12" t="s">
        <v>37</v>
      </c>
      <c r="AC426" s="12" t="s">
        <v>37</v>
      </c>
      <c r="AD426" s="23"/>
      <c r="AE426" s="12" t="s">
        <v>37</v>
      </c>
      <c r="AH426" s="12" t="s">
        <v>37</v>
      </c>
      <c r="AJ426" s="23"/>
      <c r="AK426" s="23" t="s">
        <v>326</v>
      </c>
      <c r="AL426" s="32" t="s">
        <v>37</v>
      </c>
      <c r="AM426" s="20" t="s">
        <v>344</v>
      </c>
      <c r="AO426" s="20" t="s">
        <v>37</v>
      </c>
      <c r="AP426" s="20" t="s">
        <v>37</v>
      </c>
      <c r="AQ426" s="20" t="s">
        <v>975</v>
      </c>
      <c r="AT426" s="12" t="s">
        <v>37</v>
      </c>
      <c r="AU426" s="12" t="s">
        <v>37</v>
      </c>
      <c r="AV426" s="13" t="s">
        <v>37</v>
      </c>
      <c r="AX426" s="12" t="s">
        <v>37</v>
      </c>
      <c r="AY426" s="12" t="s">
        <v>37</v>
      </c>
      <c r="AZ426" s="13" t="s">
        <v>37</v>
      </c>
      <c r="BE426" s="12" t="s">
        <v>37</v>
      </c>
      <c r="BF426" s="12" t="s">
        <v>37</v>
      </c>
      <c r="BG426" s="13" t="s">
        <v>37</v>
      </c>
      <c r="BH426" s="13"/>
      <c r="BI426" s="12" t="s">
        <v>37</v>
      </c>
      <c r="BJ426" s="12" t="s">
        <v>37</v>
      </c>
      <c r="BK426" s="13" t="s">
        <v>37</v>
      </c>
      <c r="BL426" s="13"/>
      <c r="BM426" s="13"/>
      <c r="BN426" s="13"/>
      <c r="BP426" s="12" t="s">
        <v>37</v>
      </c>
      <c r="BQ426" s="12" t="s">
        <v>37</v>
      </c>
      <c r="BR426" s="13" t="s">
        <v>37</v>
      </c>
      <c r="BS426" s="13"/>
      <c r="BT426" s="12" t="s">
        <v>37</v>
      </c>
      <c r="BU426" s="12" t="s">
        <v>37</v>
      </c>
      <c r="BV426" s="12" t="s">
        <v>37</v>
      </c>
      <c r="BW426" s="12"/>
      <c r="BX426" s="12"/>
      <c r="BY426" s="12"/>
      <c r="CA426" s="12" t="s">
        <v>37</v>
      </c>
      <c r="CB426" s="12" t="s">
        <v>37</v>
      </c>
      <c r="CC426" s="13" t="s">
        <v>37</v>
      </c>
      <c r="CD426" s="13"/>
      <c r="CE426" s="12" t="s">
        <v>37</v>
      </c>
      <c r="CF426" s="12" t="s">
        <v>37</v>
      </c>
      <c r="CG426" s="13" t="s">
        <v>37</v>
      </c>
      <c r="CH426" s="13"/>
      <c r="CI426" s="13"/>
      <c r="CJ426" s="13"/>
      <c r="CN426" s="12" t="s">
        <v>37</v>
      </c>
      <c r="CO426" s="12" t="s">
        <v>37</v>
      </c>
      <c r="CP426" s="13" t="s">
        <v>37</v>
      </c>
      <c r="CQ426" s="13"/>
      <c r="CR426" s="12" t="s">
        <v>37</v>
      </c>
      <c r="CS426" s="12" t="s">
        <v>37</v>
      </c>
      <c r="CT426" s="13" t="s">
        <v>37</v>
      </c>
      <c r="CU426" s="13"/>
      <c r="CV426" s="13"/>
      <c r="CW426" s="13"/>
      <c r="CX426" s="72"/>
      <c r="CY426" s="72"/>
      <c r="DA426" s="12" t="s">
        <v>37</v>
      </c>
      <c r="DB426" s="12" t="s">
        <v>37</v>
      </c>
      <c r="DC426" s="13" t="s">
        <v>37</v>
      </c>
      <c r="DD426" s="13"/>
      <c r="DE426" s="12" t="s">
        <v>37</v>
      </c>
      <c r="DF426" s="12" t="s">
        <v>37</v>
      </c>
      <c r="DG426" s="13" t="s">
        <v>37</v>
      </c>
      <c r="DH426" s="13"/>
      <c r="DI426" s="13"/>
      <c r="DJ426" s="13"/>
      <c r="DM426" s="15" t="s">
        <v>47</v>
      </c>
      <c r="DN426" s="15">
        <v>34.4</v>
      </c>
      <c r="DO426" s="50">
        <f t="shared" ref="DO426:DO431" si="1623">ABS(DN426)*DQ$474</f>
        <v>38.351847547101421</v>
      </c>
      <c r="DP426" s="18">
        <v>4</v>
      </c>
      <c r="DQ426" s="18"/>
      <c r="DR426" s="15">
        <v>-3.0666666666666664</v>
      </c>
      <c r="DS426" s="50">
        <f t="shared" ref="DS426:DS431" si="1624">ABS(DR426)*DU$474</f>
        <v>11.46079663686843</v>
      </c>
      <c r="DT426" s="18">
        <v>4</v>
      </c>
      <c r="DU426" s="18"/>
      <c r="DV426" s="19">
        <f t="shared" ref="DV426:DV438" si="1625">DR426-DN426</f>
        <v>-37.466666666666669</v>
      </c>
      <c r="DW426" s="12">
        <f t="shared" ref="DW426:DW438" si="1626">SQRT(((DP426-1)*DO426^2+(DT426-1)*DS426^2)/(DP426+DT426-2))</f>
        <v>28.303834279367205</v>
      </c>
      <c r="DX426" s="72">
        <f t="shared" si="1611"/>
        <v>400.55351745694105</v>
      </c>
      <c r="DY426" s="72">
        <f t="shared" si="1612"/>
        <v>400.55351745694099</v>
      </c>
      <c r="DZ426" s="15"/>
      <c r="EA426" s="15" t="s">
        <v>37</v>
      </c>
      <c r="EB426" s="15" t="s">
        <v>37</v>
      </c>
      <c r="EC426" s="15" t="s">
        <v>37</v>
      </c>
      <c r="ED426" s="15"/>
      <c r="EE426" s="15" t="s">
        <v>37</v>
      </c>
      <c r="EF426" s="15" t="s">
        <v>37</v>
      </c>
      <c r="EG426" s="15" t="s">
        <v>37</v>
      </c>
      <c r="EH426" s="15"/>
      <c r="EI426" s="15"/>
      <c r="EJ426" s="15"/>
      <c r="EK426" s="15"/>
      <c r="EL426" s="15"/>
      <c r="EN426" s="12" t="s">
        <v>37</v>
      </c>
      <c r="EO426" s="12" t="s">
        <v>37</v>
      </c>
      <c r="EP426" s="13" t="s">
        <v>37</v>
      </c>
      <c r="EQ426" s="13"/>
      <c r="ER426" s="12" t="s">
        <v>37</v>
      </c>
      <c r="ES426" s="12" t="s">
        <v>37</v>
      </c>
      <c r="ET426" s="13" t="s">
        <v>37</v>
      </c>
      <c r="EU426" s="13"/>
      <c r="EV426" s="13"/>
      <c r="EW426" s="13"/>
      <c r="EX426" s="13"/>
      <c r="EY426" s="13"/>
      <c r="FB426" s="11" t="s">
        <v>37</v>
      </c>
      <c r="FC426" s="11" t="s">
        <v>37</v>
      </c>
      <c r="FD426" s="11" t="s">
        <v>37</v>
      </c>
      <c r="FE426" s="12" t="s">
        <v>37</v>
      </c>
      <c r="FF426" s="20" t="s">
        <v>37</v>
      </c>
      <c r="FG426" s="11" t="s">
        <v>37</v>
      </c>
      <c r="FI426" s="11" t="s">
        <v>37</v>
      </c>
      <c r="FJ426" s="11" t="s">
        <v>37</v>
      </c>
      <c r="FK426" s="11" t="s">
        <v>37</v>
      </c>
      <c r="FL426" s="13" t="s">
        <v>37</v>
      </c>
      <c r="FM426" s="11" t="s">
        <v>37</v>
      </c>
      <c r="FN426" s="11" t="s">
        <v>37</v>
      </c>
      <c r="FP426" s="11" t="s">
        <v>37</v>
      </c>
      <c r="FQ426" s="11" t="s">
        <v>37</v>
      </c>
      <c r="FR426" s="11" t="s">
        <v>37</v>
      </c>
      <c r="FS426" s="13" t="s">
        <v>37</v>
      </c>
      <c r="FT426" s="11" t="s">
        <v>37</v>
      </c>
      <c r="FU426" s="11" t="s">
        <v>37</v>
      </c>
      <c r="FW426" s="11" t="s">
        <v>37</v>
      </c>
      <c r="FX426" s="11" t="s">
        <v>37</v>
      </c>
      <c r="FY426" s="11" t="s">
        <v>37</v>
      </c>
      <c r="FZ426" s="13" t="s">
        <v>37</v>
      </c>
      <c r="GA426" s="11" t="s">
        <v>37</v>
      </c>
      <c r="GB426" s="11" t="s">
        <v>37</v>
      </c>
      <c r="GE426" s="12" t="s">
        <v>37</v>
      </c>
      <c r="GF426" s="12" t="s">
        <v>37</v>
      </c>
      <c r="GG426" s="13" t="s">
        <v>37</v>
      </c>
      <c r="GH426" s="13"/>
      <c r="GI426" s="12" t="s">
        <v>37</v>
      </c>
      <c r="GJ426" s="12" t="s">
        <v>37</v>
      </c>
      <c r="GK426" s="13" t="s">
        <v>37</v>
      </c>
      <c r="GL426" s="13"/>
      <c r="GM426" s="13"/>
      <c r="GN426" s="13"/>
      <c r="GQ426" s="12" t="s">
        <v>37</v>
      </c>
      <c r="GR426" s="12" t="s">
        <v>37</v>
      </c>
      <c r="GS426" s="13" t="s">
        <v>37</v>
      </c>
      <c r="GT426" s="13"/>
      <c r="GU426" s="12" t="s">
        <v>37</v>
      </c>
      <c r="GV426" s="12" t="s">
        <v>37</v>
      </c>
      <c r="GW426" s="13" t="s">
        <v>37</v>
      </c>
      <c r="GX426" s="13"/>
      <c r="GY426" s="13"/>
      <c r="GZ426" s="13"/>
      <c r="HA426" s="12"/>
      <c r="HB426" s="32"/>
      <c r="HC426" s="12" t="s">
        <v>37</v>
      </c>
      <c r="HD426" s="12" t="s">
        <v>37</v>
      </c>
      <c r="HE426" s="13" t="s">
        <v>37</v>
      </c>
      <c r="HF426" s="13"/>
      <c r="HG426" s="12" t="s">
        <v>37</v>
      </c>
      <c r="HH426" s="12" t="s">
        <v>37</v>
      </c>
      <c r="HI426" s="13" t="s">
        <v>37</v>
      </c>
      <c r="HJ426" s="13"/>
      <c r="HK426" s="13"/>
      <c r="HL426" s="13"/>
      <c r="HM426" s="32"/>
      <c r="HN426" s="12" t="s">
        <v>37</v>
      </c>
      <c r="HO426" s="12" t="s">
        <v>37</v>
      </c>
      <c r="HP426" s="13" t="s">
        <v>37</v>
      </c>
      <c r="HQ426" s="13"/>
      <c r="HR426" s="12" t="s">
        <v>37</v>
      </c>
      <c r="HS426" s="12" t="s">
        <v>37</v>
      </c>
      <c r="HT426" s="13" t="s">
        <v>37</v>
      </c>
      <c r="HU426" s="13"/>
      <c r="HV426" s="13"/>
      <c r="HW426" s="13"/>
      <c r="HY426" s="12" t="s">
        <v>37</v>
      </c>
      <c r="HZ426" s="12" t="s">
        <v>37</v>
      </c>
      <c r="IA426" s="13" t="s">
        <v>37</v>
      </c>
      <c r="IB426" s="13"/>
      <c r="IC426" s="12" t="s">
        <v>37</v>
      </c>
      <c r="ID426" s="12" t="s">
        <v>37</v>
      </c>
      <c r="IE426" s="13" t="s">
        <v>37</v>
      </c>
      <c r="IF426" s="13"/>
      <c r="IG426" s="13"/>
      <c r="IH426" s="13"/>
      <c r="IK426" s="12" t="s">
        <v>37</v>
      </c>
      <c r="IL426" s="12" t="s">
        <v>37</v>
      </c>
      <c r="IM426" s="13" t="s">
        <v>37</v>
      </c>
      <c r="IN426" s="13"/>
      <c r="IO426" s="12" t="s">
        <v>37</v>
      </c>
      <c r="IP426" s="12" t="s">
        <v>37</v>
      </c>
      <c r="IQ426" s="13" t="s">
        <v>37</v>
      </c>
      <c r="IR426" s="13"/>
      <c r="IS426" s="13"/>
      <c r="IT426" s="13"/>
      <c r="IW426" s="12" t="s">
        <v>37</v>
      </c>
      <c r="IX426" s="12" t="s">
        <v>37</v>
      </c>
      <c r="IY426" s="13" t="s">
        <v>37</v>
      </c>
      <c r="IZ426" s="13"/>
      <c r="JA426" s="12" t="s">
        <v>37</v>
      </c>
      <c r="JB426" s="12" t="s">
        <v>37</v>
      </c>
      <c r="JC426" s="13" t="s">
        <v>37</v>
      </c>
      <c r="JD426" s="13"/>
      <c r="JE426" s="13"/>
      <c r="JF426" s="13"/>
      <c r="JH426" s="12" t="s">
        <v>37</v>
      </c>
      <c r="JI426" s="12" t="s">
        <v>37</v>
      </c>
      <c r="JJ426" s="13" t="s">
        <v>37</v>
      </c>
      <c r="JK426" s="13"/>
      <c r="JL426" s="12" t="s">
        <v>37</v>
      </c>
      <c r="JM426" s="12" t="s">
        <v>37</v>
      </c>
      <c r="JN426" s="12" t="s">
        <v>37</v>
      </c>
      <c r="JO426" s="12"/>
      <c r="JP426" s="12"/>
      <c r="JQ426" s="12"/>
      <c r="JS426" s="12" t="s">
        <v>37</v>
      </c>
      <c r="JT426" s="12" t="s">
        <v>37</v>
      </c>
      <c r="JU426" s="13" t="s">
        <v>37</v>
      </c>
      <c r="JV426" s="13"/>
      <c r="JW426" s="12" t="s">
        <v>37</v>
      </c>
      <c r="JX426" s="12" t="s">
        <v>37</v>
      </c>
      <c r="JY426" s="12" t="s">
        <v>37</v>
      </c>
      <c r="JZ426" s="12"/>
      <c r="KA426" s="12"/>
      <c r="KB426" s="12"/>
      <c r="KE426" s="11" t="s">
        <v>37</v>
      </c>
      <c r="KF426" s="11" t="s">
        <v>37</v>
      </c>
      <c r="KG426" s="13" t="s">
        <v>37</v>
      </c>
      <c r="KH426" s="11" t="s">
        <v>37</v>
      </c>
      <c r="KI426" s="11" t="s">
        <v>37</v>
      </c>
      <c r="KJ426" s="11" t="s">
        <v>37</v>
      </c>
      <c r="KM426" s="12" t="s">
        <v>37</v>
      </c>
      <c r="KN426" s="12" t="s">
        <v>37</v>
      </c>
      <c r="KO426" s="11" t="s">
        <v>37</v>
      </c>
      <c r="KP426" s="11"/>
      <c r="KQ426" s="12" t="s">
        <v>37</v>
      </c>
      <c r="KR426" s="12" t="s">
        <v>37</v>
      </c>
      <c r="KS426" s="13" t="s">
        <v>37</v>
      </c>
      <c r="KT426" s="13"/>
      <c r="KU426" s="13"/>
      <c r="KV426" s="13"/>
      <c r="KX426" s="12" t="s">
        <v>37</v>
      </c>
      <c r="KY426" s="12" t="s">
        <v>37</v>
      </c>
      <c r="KZ426" s="13" t="s">
        <v>37</v>
      </c>
      <c r="LA426" s="13"/>
      <c r="LB426" s="12" t="s">
        <v>37</v>
      </c>
      <c r="LC426" s="12" t="s">
        <v>37</v>
      </c>
      <c r="LD426" s="13" t="s">
        <v>37</v>
      </c>
      <c r="LE426" s="13"/>
      <c r="LF426" s="13"/>
      <c r="LG426" s="13"/>
      <c r="LI426" s="12" t="s">
        <v>37</v>
      </c>
      <c r="LJ426" s="12" t="s">
        <v>37</v>
      </c>
      <c r="LK426" s="12" t="s">
        <v>37</v>
      </c>
      <c r="LL426" s="12"/>
      <c r="LM426" s="12" t="s">
        <v>37</v>
      </c>
      <c r="LN426" s="12" t="s">
        <v>37</v>
      </c>
      <c r="LO426" s="12" t="s">
        <v>37</v>
      </c>
      <c r="LP426" s="12"/>
      <c r="LQ426" s="12"/>
      <c r="LR426" s="12"/>
      <c r="LU426" s="12" t="s">
        <v>37</v>
      </c>
      <c r="LV426" s="12" t="s">
        <v>37</v>
      </c>
      <c r="LW426" s="13" t="s">
        <v>37</v>
      </c>
      <c r="LX426" s="13"/>
      <c r="LY426" s="12" t="s">
        <v>37</v>
      </c>
      <c r="LZ426" s="12" t="s">
        <v>37</v>
      </c>
      <c r="MA426" s="12" t="s">
        <v>37</v>
      </c>
      <c r="MB426" s="12"/>
      <c r="MC426" s="12"/>
      <c r="MD426" s="12"/>
      <c r="MF426" s="12" t="s">
        <v>37</v>
      </c>
      <c r="MG426" s="12" t="s">
        <v>37</v>
      </c>
      <c r="MH426" s="12" t="s">
        <v>37</v>
      </c>
      <c r="MI426" s="12"/>
      <c r="MJ426" s="12" t="s">
        <v>37</v>
      </c>
      <c r="MK426" s="12" t="s">
        <v>37</v>
      </c>
      <c r="ML426" s="12" t="s">
        <v>37</v>
      </c>
      <c r="MM426" s="12"/>
      <c r="MN426" s="12"/>
      <c r="MO426" s="12"/>
      <c r="MQ426" s="12" t="s">
        <v>37</v>
      </c>
      <c r="MR426" s="12" t="s">
        <v>37</v>
      </c>
      <c r="MS426" s="12" t="s">
        <v>37</v>
      </c>
      <c r="MT426" s="12"/>
      <c r="MU426" s="12" t="s">
        <v>37</v>
      </c>
      <c r="MV426" s="12" t="s">
        <v>37</v>
      </c>
      <c r="MW426" s="12" t="s">
        <v>37</v>
      </c>
      <c r="MX426" s="12"/>
      <c r="MY426" s="12"/>
      <c r="MZ426" s="12"/>
      <c r="NC426" s="12" t="s">
        <v>37</v>
      </c>
      <c r="ND426" s="12" t="s">
        <v>37</v>
      </c>
      <c r="NE426" s="13" t="s">
        <v>37</v>
      </c>
      <c r="NF426" s="13"/>
      <c r="NG426" s="12" t="s">
        <v>37</v>
      </c>
      <c r="NH426" s="12" t="s">
        <v>37</v>
      </c>
      <c r="NI426" s="13" t="s">
        <v>37</v>
      </c>
      <c r="NJ426" s="13"/>
      <c r="NK426" s="13"/>
      <c r="NL426" s="13"/>
      <c r="NO426" s="12" t="s">
        <v>37</v>
      </c>
      <c r="NP426" s="12" t="s">
        <v>37</v>
      </c>
      <c r="NQ426" s="13" t="s">
        <v>37</v>
      </c>
      <c r="NR426" s="13"/>
      <c r="NS426" s="12" t="s">
        <v>37</v>
      </c>
      <c r="NT426" s="12" t="s">
        <v>37</v>
      </c>
      <c r="NU426" s="13" t="s">
        <v>37</v>
      </c>
      <c r="NV426" s="13"/>
      <c r="NW426" s="13"/>
      <c r="NX426" s="13"/>
      <c r="OA426" s="11" t="s">
        <v>37</v>
      </c>
      <c r="OB426" s="11" t="s">
        <v>37</v>
      </c>
      <c r="OC426" s="13" t="s">
        <v>37</v>
      </c>
      <c r="OE426" s="11" t="s">
        <v>37</v>
      </c>
      <c r="OF426" s="11" t="s">
        <v>37</v>
      </c>
      <c r="OG426" s="13" t="s">
        <v>37</v>
      </c>
      <c r="OM426" s="11" t="s">
        <v>37</v>
      </c>
      <c r="ON426" s="11" t="s">
        <v>37</v>
      </c>
      <c r="OO426" s="11" t="s">
        <v>37</v>
      </c>
      <c r="OP426" s="11" t="s">
        <v>37</v>
      </c>
      <c r="OQ426" s="11" t="s">
        <v>37</v>
      </c>
      <c r="OR426" s="11" t="s">
        <v>37</v>
      </c>
      <c r="OW426" s="11" t="s">
        <v>37</v>
      </c>
      <c r="OX426" s="11" t="s">
        <v>37</v>
      </c>
      <c r="OY426" s="13" t="s">
        <v>37</v>
      </c>
      <c r="OZ426" s="11" t="s">
        <v>37</v>
      </c>
      <c r="PA426" s="11" t="s">
        <v>37</v>
      </c>
      <c r="PB426" s="13" t="s">
        <v>37</v>
      </c>
      <c r="PG426" s="11" t="s">
        <v>37</v>
      </c>
      <c r="PH426" s="11" t="s">
        <v>37</v>
      </c>
      <c r="PI426" s="13" t="s">
        <v>37</v>
      </c>
      <c r="PJ426" s="11" t="s">
        <v>37</v>
      </c>
      <c r="PK426" s="11" t="s">
        <v>37</v>
      </c>
      <c r="PL426" s="13" t="s">
        <v>37</v>
      </c>
      <c r="PQ426" s="11" t="s">
        <v>37</v>
      </c>
      <c r="PR426" s="11" t="s">
        <v>37</v>
      </c>
      <c r="PS426" s="13" t="s">
        <v>37</v>
      </c>
      <c r="PT426" s="11" t="s">
        <v>37</v>
      </c>
      <c r="PU426" s="11" t="s">
        <v>37</v>
      </c>
      <c r="PV426" s="13" t="s">
        <v>37</v>
      </c>
      <c r="PZ426" s="12" t="s">
        <v>37</v>
      </c>
      <c r="QA426" s="12" t="s">
        <v>37</v>
      </c>
      <c r="QB426" s="11" t="s">
        <v>37</v>
      </c>
      <c r="QC426" s="11"/>
      <c r="QD426" s="12" t="s">
        <v>37</v>
      </c>
      <c r="QE426" s="12" t="s">
        <v>37</v>
      </c>
      <c r="QF426" s="12" t="s">
        <v>37</v>
      </c>
      <c r="QG426" s="12"/>
      <c r="QH426" s="12"/>
      <c r="QI426" s="12"/>
      <c r="QK426" s="11" t="s">
        <v>37</v>
      </c>
      <c r="QL426" s="11" t="s">
        <v>37</v>
      </c>
      <c r="QM426" s="13" t="s">
        <v>37</v>
      </c>
      <c r="QN426" s="11" t="s">
        <v>37</v>
      </c>
      <c r="QO426" s="11" t="s">
        <v>37</v>
      </c>
      <c r="QP426" s="13" t="s">
        <v>37</v>
      </c>
      <c r="QU426" s="11" t="s">
        <v>37</v>
      </c>
      <c r="QV426" s="11" t="s">
        <v>37</v>
      </c>
      <c r="QW426" s="13" t="s">
        <v>37</v>
      </c>
      <c r="QX426" s="11" t="s">
        <v>37</v>
      </c>
      <c r="QY426" s="11" t="s">
        <v>37</v>
      </c>
      <c r="QZ426" s="13" t="s">
        <v>37</v>
      </c>
      <c r="RC426" s="12" t="s">
        <v>37</v>
      </c>
      <c r="RD426" s="12" t="s">
        <v>37</v>
      </c>
      <c r="RE426" s="13" t="s">
        <v>37</v>
      </c>
      <c r="RF426" s="12" t="s">
        <v>37</v>
      </c>
      <c r="RG426" s="12" t="s">
        <v>37</v>
      </c>
      <c r="RH426" s="13" t="s">
        <v>37</v>
      </c>
      <c r="RK426" s="11" t="s">
        <v>37</v>
      </c>
      <c r="RL426" s="11" t="s">
        <v>37</v>
      </c>
      <c r="RM426" s="11" t="s">
        <v>37</v>
      </c>
      <c r="RN426" s="11" t="s">
        <v>37</v>
      </c>
      <c r="RO426" s="11" t="s">
        <v>37</v>
      </c>
      <c r="RP426" s="11" t="s">
        <v>37</v>
      </c>
      <c r="RS426" s="11" t="s">
        <v>37</v>
      </c>
      <c r="RT426" s="11" t="s">
        <v>37</v>
      </c>
      <c r="RU426" s="11" t="s">
        <v>37</v>
      </c>
      <c r="RV426" s="11" t="s">
        <v>37</v>
      </c>
      <c r="RW426" s="11" t="s">
        <v>37</v>
      </c>
      <c r="RX426" s="11" t="s">
        <v>37</v>
      </c>
      <c r="SA426" s="11" t="s">
        <v>37</v>
      </c>
      <c r="SB426" s="11" t="s">
        <v>37</v>
      </c>
      <c r="SC426" s="13" t="s">
        <v>37</v>
      </c>
      <c r="SD426" s="11" t="s">
        <v>37</v>
      </c>
      <c r="SE426" s="11" t="s">
        <v>37</v>
      </c>
      <c r="SF426" s="13" t="s">
        <v>37</v>
      </c>
      <c r="SI426" s="12" t="s">
        <v>37</v>
      </c>
      <c r="SJ426" s="11" t="s">
        <v>37</v>
      </c>
      <c r="SK426" s="13" t="s">
        <v>37</v>
      </c>
      <c r="SL426" s="13"/>
      <c r="SM426" s="11" t="s">
        <v>37</v>
      </c>
      <c r="SN426" s="11" t="s">
        <v>37</v>
      </c>
      <c r="SO426" s="13" t="s">
        <v>37</v>
      </c>
      <c r="SP426" s="13"/>
      <c r="SQ426" s="13"/>
      <c r="SR426" s="13"/>
      <c r="SU426" s="12" t="s">
        <v>37</v>
      </c>
      <c r="SV426" s="12" t="s">
        <v>37</v>
      </c>
      <c r="SW426" s="11" t="s">
        <v>37</v>
      </c>
      <c r="SX426" s="12" t="s">
        <v>37</v>
      </c>
      <c r="SY426" s="12" t="s">
        <v>37</v>
      </c>
      <c r="SZ426" s="11" t="s">
        <v>37</v>
      </c>
      <c r="TE426" s="12" t="s">
        <v>37</v>
      </c>
      <c r="TF426" s="12" t="s">
        <v>37</v>
      </c>
      <c r="TG426" s="11" t="s">
        <v>37</v>
      </c>
      <c r="TH426" s="12" t="s">
        <v>37</v>
      </c>
      <c r="TI426" s="12" t="s">
        <v>37</v>
      </c>
      <c r="TJ426" s="11" t="s">
        <v>37</v>
      </c>
      <c r="TO426" s="12" t="s">
        <v>37</v>
      </c>
      <c r="TP426" s="12" t="s">
        <v>37</v>
      </c>
      <c r="TQ426" s="11" t="s">
        <v>37</v>
      </c>
      <c r="TR426" s="12" t="s">
        <v>37</v>
      </c>
      <c r="TS426" s="12" t="s">
        <v>37</v>
      </c>
      <c r="TT426" s="11" t="s">
        <v>37</v>
      </c>
      <c r="TY426" s="12" t="s">
        <v>37</v>
      </c>
      <c r="TZ426" s="12" t="s">
        <v>37</v>
      </c>
      <c r="UA426" s="11" t="s">
        <v>37</v>
      </c>
      <c r="UB426" s="12" t="s">
        <v>37</v>
      </c>
      <c r="UC426" s="12" t="s">
        <v>37</v>
      </c>
      <c r="UD426" s="11" t="s">
        <v>37</v>
      </c>
      <c r="UI426" s="12" t="s">
        <v>37</v>
      </c>
      <c r="UJ426" s="12" t="s">
        <v>37</v>
      </c>
      <c r="UK426" s="13" t="s">
        <v>37</v>
      </c>
      <c r="UL426" s="12" t="s">
        <v>37</v>
      </c>
      <c r="UM426" s="12" t="s">
        <v>37</v>
      </c>
      <c r="UN426" s="13" t="s">
        <v>37</v>
      </c>
      <c r="UR426" s="12" t="s">
        <v>37</v>
      </c>
      <c r="US426" s="12" t="s">
        <v>37</v>
      </c>
      <c r="UT426" s="13" t="s">
        <v>37</v>
      </c>
      <c r="UU426" s="12" t="s">
        <v>37</v>
      </c>
      <c r="UV426" s="12" t="s">
        <v>37</v>
      </c>
      <c r="UW426" s="13" t="s">
        <v>37</v>
      </c>
      <c r="VB426" s="12" t="s">
        <v>37</v>
      </c>
      <c r="VC426" s="12" t="s">
        <v>37</v>
      </c>
      <c r="VD426" s="13" t="s">
        <v>37</v>
      </c>
      <c r="VE426" s="12" t="s">
        <v>37</v>
      </c>
      <c r="VF426" s="12" t="s">
        <v>37</v>
      </c>
      <c r="VG426" s="13" t="s">
        <v>37</v>
      </c>
      <c r="VI426" s="12" t="s">
        <v>37</v>
      </c>
      <c r="VJ426" s="12" t="s">
        <v>37</v>
      </c>
      <c r="VK426" s="13" t="s">
        <v>37</v>
      </c>
      <c r="VL426" s="12" t="s">
        <v>37</v>
      </c>
      <c r="VM426" s="12" t="s">
        <v>37</v>
      </c>
      <c r="VN426" s="13" t="s">
        <v>37</v>
      </c>
      <c r="VQ426" s="12" t="s">
        <v>37</v>
      </c>
      <c r="VR426" s="12" t="s">
        <v>37</v>
      </c>
      <c r="VS426" s="12" t="s">
        <v>37</v>
      </c>
      <c r="VT426" s="12" t="s">
        <v>37</v>
      </c>
      <c r="VU426" s="12" t="s">
        <v>37</v>
      </c>
      <c r="VV426" s="12" t="s">
        <v>37</v>
      </c>
      <c r="VW426" s="12"/>
      <c r="VX426" s="12"/>
      <c r="WA426" s="13" t="s">
        <v>37</v>
      </c>
      <c r="WB426" s="13" t="s">
        <v>37</v>
      </c>
      <c r="WC426" s="13" t="s">
        <v>37</v>
      </c>
      <c r="WD426" s="13" t="s">
        <v>37</v>
      </c>
      <c r="WE426" s="13" t="s">
        <v>37</v>
      </c>
      <c r="WF426" s="13" t="s">
        <v>37</v>
      </c>
    </row>
    <row r="427" spans="1:604" ht="17.399999999999999" x14ac:dyDescent="0.4">
      <c r="A427" s="11">
        <v>97</v>
      </c>
      <c r="B427" s="12" t="s">
        <v>945</v>
      </c>
      <c r="C427" s="12" t="s">
        <v>26</v>
      </c>
      <c r="D427" s="12" t="s">
        <v>974</v>
      </c>
      <c r="E427" s="14">
        <v>0.6</v>
      </c>
      <c r="F427" s="72">
        <v>25</v>
      </c>
      <c r="G427" s="14">
        <v>0</v>
      </c>
      <c r="H427" s="12" t="s">
        <v>106</v>
      </c>
      <c r="I427" s="29">
        <v>53.417000000000002</v>
      </c>
      <c r="J427" s="29">
        <v>-8</v>
      </c>
      <c r="K427" s="12" t="s">
        <v>946</v>
      </c>
      <c r="L427" s="12" t="s">
        <v>947</v>
      </c>
      <c r="M427" s="13" t="s">
        <v>37</v>
      </c>
      <c r="N427" s="14" t="s">
        <v>37</v>
      </c>
      <c r="O427" s="14" t="s">
        <v>37</v>
      </c>
      <c r="P427" s="14" t="s">
        <v>16</v>
      </c>
      <c r="Q427" s="75" t="s">
        <v>37</v>
      </c>
      <c r="R427" s="11" t="s">
        <v>37</v>
      </c>
      <c r="S427" s="12" t="s">
        <v>93</v>
      </c>
      <c r="T427" s="12" t="s">
        <v>138</v>
      </c>
      <c r="U427" s="12" t="s">
        <v>158</v>
      </c>
      <c r="V427" s="12" t="s">
        <v>275</v>
      </c>
      <c r="W427" s="23" t="s">
        <v>37</v>
      </c>
      <c r="X427" s="12" t="s">
        <v>37</v>
      </c>
      <c r="Y427" s="12" t="s">
        <v>69</v>
      </c>
      <c r="Z427" s="12" t="s">
        <v>37</v>
      </c>
      <c r="AA427" s="23"/>
      <c r="AB427" s="12" t="s">
        <v>37</v>
      </c>
      <c r="AC427" s="12" t="s">
        <v>37</v>
      </c>
      <c r="AD427" s="23"/>
      <c r="AE427" s="12" t="s">
        <v>37</v>
      </c>
      <c r="AH427" s="12" t="s">
        <v>37</v>
      </c>
      <c r="AJ427" s="23"/>
      <c r="AK427" s="23" t="s">
        <v>326</v>
      </c>
      <c r="AL427" s="32" t="s">
        <v>37</v>
      </c>
      <c r="AM427" s="20" t="s">
        <v>344</v>
      </c>
      <c r="AO427" s="20" t="s">
        <v>37</v>
      </c>
      <c r="AP427" s="20" t="s">
        <v>37</v>
      </c>
      <c r="AQ427" s="20" t="s">
        <v>975</v>
      </c>
      <c r="AT427" s="12" t="s">
        <v>37</v>
      </c>
      <c r="AU427" s="12" t="s">
        <v>37</v>
      </c>
      <c r="AV427" s="13" t="s">
        <v>37</v>
      </c>
      <c r="AX427" s="12" t="s">
        <v>37</v>
      </c>
      <c r="AY427" s="12" t="s">
        <v>37</v>
      </c>
      <c r="AZ427" s="13" t="s">
        <v>37</v>
      </c>
      <c r="BE427" s="12" t="s">
        <v>37</v>
      </c>
      <c r="BF427" s="12" t="s">
        <v>37</v>
      </c>
      <c r="BG427" s="13" t="s">
        <v>37</v>
      </c>
      <c r="BH427" s="13"/>
      <c r="BI427" s="12" t="s">
        <v>37</v>
      </c>
      <c r="BJ427" s="12" t="s">
        <v>37</v>
      </c>
      <c r="BK427" s="13" t="s">
        <v>37</v>
      </c>
      <c r="BL427" s="13"/>
      <c r="BM427" s="13"/>
      <c r="BN427" s="13"/>
      <c r="BP427" s="12" t="s">
        <v>37</v>
      </c>
      <c r="BQ427" s="12" t="s">
        <v>37</v>
      </c>
      <c r="BR427" s="13" t="s">
        <v>37</v>
      </c>
      <c r="BS427" s="13"/>
      <c r="BT427" s="12" t="s">
        <v>37</v>
      </c>
      <c r="BU427" s="12" t="s">
        <v>37</v>
      </c>
      <c r="BV427" s="12" t="s">
        <v>37</v>
      </c>
      <c r="BW427" s="12"/>
      <c r="BX427" s="12"/>
      <c r="BY427" s="12"/>
      <c r="CA427" s="12" t="s">
        <v>37</v>
      </c>
      <c r="CB427" s="12" t="s">
        <v>37</v>
      </c>
      <c r="CC427" s="13" t="s">
        <v>37</v>
      </c>
      <c r="CD427" s="13"/>
      <c r="CE427" s="12" t="s">
        <v>37</v>
      </c>
      <c r="CF427" s="12" t="s">
        <v>37</v>
      </c>
      <c r="CG427" s="13" t="s">
        <v>37</v>
      </c>
      <c r="CH427" s="13"/>
      <c r="CI427" s="13"/>
      <c r="CJ427" s="13"/>
      <c r="CN427" s="12" t="s">
        <v>37</v>
      </c>
      <c r="CO427" s="12" t="s">
        <v>37</v>
      </c>
      <c r="CP427" s="13" t="s">
        <v>37</v>
      </c>
      <c r="CQ427" s="13"/>
      <c r="CR427" s="12" t="s">
        <v>37</v>
      </c>
      <c r="CS427" s="12" t="s">
        <v>37</v>
      </c>
      <c r="CT427" s="13" t="s">
        <v>37</v>
      </c>
      <c r="CU427" s="13"/>
      <c r="CV427" s="13"/>
      <c r="CW427" s="13"/>
      <c r="CX427" s="72"/>
      <c r="CY427" s="72"/>
      <c r="DA427" s="12" t="s">
        <v>37</v>
      </c>
      <c r="DB427" s="12" t="s">
        <v>37</v>
      </c>
      <c r="DC427" s="13" t="s">
        <v>37</v>
      </c>
      <c r="DD427" s="13"/>
      <c r="DE427" s="12" t="s">
        <v>37</v>
      </c>
      <c r="DF427" s="12" t="s">
        <v>37</v>
      </c>
      <c r="DG427" s="13" t="s">
        <v>37</v>
      </c>
      <c r="DH427" s="13"/>
      <c r="DI427" s="13"/>
      <c r="DJ427" s="13"/>
      <c r="DM427" s="15" t="s">
        <v>47</v>
      </c>
      <c r="DN427" s="15">
        <v>34.4</v>
      </c>
      <c r="DO427" s="50">
        <f t="shared" si="1623"/>
        <v>38.351847547101421</v>
      </c>
      <c r="DP427" s="18">
        <v>4</v>
      </c>
      <c r="DQ427" s="18"/>
      <c r="DR427" s="15">
        <v>0.16</v>
      </c>
      <c r="DS427" s="50">
        <f t="shared" si="1624"/>
        <v>0.5979546071409616</v>
      </c>
      <c r="DT427" s="18">
        <v>4</v>
      </c>
      <c r="DU427" s="18"/>
      <c r="DV427" s="19">
        <f t="shared" si="1625"/>
        <v>-34.24</v>
      </c>
      <c r="DW427" s="12">
        <f t="shared" si="1626"/>
        <v>27.122147407499931</v>
      </c>
      <c r="DX427" s="72">
        <f t="shared" si="1611"/>
        <v>367.8054399970776</v>
      </c>
      <c r="DY427" s="72">
        <f t="shared" si="1612"/>
        <v>367.8054399970776</v>
      </c>
      <c r="DZ427" s="15"/>
      <c r="EA427" s="15" t="s">
        <v>37</v>
      </c>
      <c r="EB427" s="15" t="s">
        <v>37</v>
      </c>
      <c r="EC427" s="15" t="s">
        <v>37</v>
      </c>
      <c r="ED427" s="15"/>
      <c r="EE427" s="15" t="s">
        <v>37</v>
      </c>
      <c r="EF427" s="15" t="s">
        <v>37</v>
      </c>
      <c r="EG427" s="15" t="s">
        <v>37</v>
      </c>
      <c r="EH427" s="15"/>
      <c r="EI427" s="15"/>
      <c r="EJ427" s="15"/>
      <c r="EK427" s="15"/>
      <c r="EL427" s="15"/>
      <c r="EN427" s="12" t="s">
        <v>37</v>
      </c>
      <c r="EO427" s="12" t="s">
        <v>37</v>
      </c>
      <c r="EP427" s="13" t="s">
        <v>37</v>
      </c>
      <c r="EQ427" s="13"/>
      <c r="ER427" s="12" t="s">
        <v>37</v>
      </c>
      <c r="ES427" s="12" t="s">
        <v>37</v>
      </c>
      <c r="ET427" s="13" t="s">
        <v>37</v>
      </c>
      <c r="EU427" s="13"/>
      <c r="EV427" s="13"/>
      <c r="EW427" s="13"/>
      <c r="EX427" s="13"/>
      <c r="EY427" s="13"/>
      <c r="FB427" s="11" t="s">
        <v>37</v>
      </c>
      <c r="FC427" s="11" t="s">
        <v>37</v>
      </c>
      <c r="FD427" s="11" t="s">
        <v>37</v>
      </c>
      <c r="FE427" s="12" t="s">
        <v>37</v>
      </c>
      <c r="FF427" s="20" t="s">
        <v>37</v>
      </c>
      <c r="FG427" s="11" t="s">
        <v>37</v>
      </c>
      <c r="FI427" s="11" t="s">
        <v>37</v>
      </c>
      <c r="FJ427" s="11" t="s">
        <v>37</v>
      </c>
      <c r="FK427" s="11" t="s">
        <v>37</v>
      </c>
      <c r="FL427" s="13" t="s">
        <v>37</v>
      </c>
      <c r="FM427" s="11" t="s">
        <v>37</v>
      </c>
      <c r="FN427" s="11" t="s">
        <v>37</v>
      </c>
      <c r="FP427" s="11" t="s">
        <v>37</v>
      </c>
      <c r="FQ427" s="11" t="s">
        <v>37</v>
      </c>
      <c r="FR427" s="11" t="s">
        <v>37</v>
      </c>
      <c r="FS427" s="13" t="s">
        <v>37</v>
      </c>
      <c r="FT427" s="11" t="s">
        <v>37</v>
      </c>
      <c r="FU427" s="11" t="s">
        <v>37</v>
      </c>
      <c r="FW427" s="11" t="s">
        <v>37</v>
      </c>
      <c r="FX427" s="11" t="s">
        <v>37</v>
      </c>
      <c r="FY427" s="11" t="s">
        <v>37</v>
      </c>
      <c r="FZ427" s="13" t="s">
        <v>37</v>
      </c>
      <c r="GA427" s="11" t="s">
        <v>37</v>
      </c>
      <c r="GB427" s="11" t="s">
        <v>37</v>
      </c>
      <c r="GE427" s="12" t="s">
        <v>37</v>
      </c>
      <c r="GF427" s="12" t="s">
        <v>37</v>
      </c>
      <c r="GG427" s="13" t="s">
        <v>37</v>
      </c>
      <c r="GH427" s="13"/>
      <c r="GI427" s="12" t="s">
        <v>37</v>
      </c>
      <c r="GJ427" s="12" t="s">
        <v>37</v>
      </c>
      <c r="GK427" s="13" t="s">
        <v>37</v>
      </c>
      <c r="GL427" s="13"/>
      <c r="GM427" s="13"/>
      <c r="GN427" s="13"/>
      <c r="GQ427" s="12" t="s">
        <v>37</v>
      </c>
      <c r="GR427" s="12" t="s">
        <v>37</v>
      </c>
      <c r="GS427" s="13" t="s">
        <v>37</v>
      </c>
      <c r="GT427" s="13"/>
      <c r="GU427" s="12" t="s">
        <v>37</v>
      </c>
      <c r="GV427" s="12" t="s">
        <v>37</v>
      </c>
      <c r="GW427" s="13" t="s">
        <v>37</v>
      </c>
      <c r="GX427" s="13"/>
      <c r="GY427" s="13"/>
      <c r="GZ427" s="13"/>
      <c r="HA427" s="12"/>
      <c r="HB427" s="32"/>
      <c r="HC427" s="12" t="s">
        <v>37</v>
      </c>
      <c r="HD427" s="12" t="s">
        <v>37</v>
      </c>
      <c r="HE427" s="13" t="s">
        <v>37</v>
      </c>
      <c r="HF427" s="13"/>
      <c r="HG427" s="12" t="s">
        <v>37</v>
      </c>
      <c r="HH427" s="12" t="s">
        <v>37</v>
      </c>
      <c r="HI427" s="13" t="s">
        <v>37</v>
      </c>
      <c r="HJ427" s="13"/>
      <c r="HK427" s="13"/>
      <c r="HL427" s="13"/>
      <c r="HM427" s="32"/>
      <c r="HN427" s="12" t="s">
        <v>37</v>
      </c>
      <c r="HO427" s="12" t="s">
        <v>37</v>
      </c>
      <c r="HP427" s="13" t="s">
        <v>37</v>
      </c>
      <c r="HQ427" s="13"/>
      <c r="HR427" s="12" t="s">
        <v>37</v>
      </c>
      <c r="HS427" s="12" t="s">
        <v>37</v>
      </c>
      <c r="HT427" s="13" t="s">
        <v>37</v>
      </c>
      <c r="HU427" s="13"/>
      <c r="HV427" s="13"/>
      <c r="HW427" s="13"/>
      <c r="HY427" s="12" t="s">
        <v>37</v>
      </c>
      <c r="HZ427" s="12" t="s">
        <v>37</v>
      </c>
      <c r="IA427" s="13" t="s">
        <v>37</v>
      </c>
      <c r="IB427" s="13"/>
      <c r="IC427" s="12" t="s">
        <v>37</v>
      </c>
      <c r="ID427" s="12" t="s">
        <v>37</v>
      </c>
      <c r="IE427" s="13" t="s">
        <v>37</v>
      </c>
      <c r="IF427" s="13"/>
      <c r="IG427" s="13"/>
      <c r="IH427" s="13"/>
      <c r="IK427" s="12" t="s">
        <v>37</v>
      </c>
      <c r="IL427" s="12" t="s">
        <v>37</v>
      </c>
      <c r="IM427" s="13" t="s">
        <v>37</v>
      </c>
      <c r="IN427" s="13"/>
      <c r="IO427" s="12" t="s">
        <v>37</v>
      </c>
      <c r="IP427" s="12" t="s">
        <v>37</v>
      </c>
      <c r="IQ427" s="13" t="s">
        <v>37</v>
      </c>
      <c r="IR427" s="13"/>
      <c r="IS427" s="13"/>
      <c r="IT427" s="13"/>
      <c r="IW427" s="12" t="s">
        <v>37</v>
      </c>
      <c r="IX427" s="12" t="s">
        <v>37</v>
      </c>
      <c r="IY427" s="13" t="s">
        <v>37</v>
      </c>
      <c r="IZ427" s="13"/>
      <c r="JA427" s="12" t="s">
        <v>37</v>
      </c>
      <c r="JB427" s="12" t="s">
        <v>37</v>
      </c>
      <c r="JC427" s="13" t="s">
        <v>37</v>
      </c>
      <c r="JD427" s="13"/>
      <c r="JE427" s="13"/>
      <c r="JF427" s="13"/>
      <c r="JH427" s="12" t="s">
        <v>37</v>
      </c>
      <c r="JI427" s="12" t="s">
        <v>37</v>
      </c>
      <c r="JJ427" s="13" t="s">
        <v>37</v>
      </c>
      <c r="JK427" s="13"/>
      <c r="JL427" s="12" t="s">
        <v>37</v>
      </c>
      <c r="JM427" s="12" t="s">
        <v>37</v>
      </c>
      <c r="JN427" s="12" t="s">
        <v>37</v>
      </c>
      <c r="JO427" s="12"/>
      <c r="JP427" s="12"/>
      <c r="JQ427" s="12"/>
      <c r="JS427" s="12" t="s">
        <v>37</v>
      </c>
      <c r="JT427" s="12" t="s">
        <v>37</v>
      </c>
      <c r="JU427" s="13" t="s">
        <v>37</v>
      </c>
      <c r="JV427" s="13"/>
      <c r="JW427" s="12" t="s">
        <v>37</v>
      </c>
      <c r="JX427" s="12" t="s">
        <v>37</v>
      </c>
      <c r="JY427" s="12" t="s">
        <v>37</v>
      </c>
      <c r="JZ427" s="12"/>
      <c r="KA427" s="12"/>
      <c r="KB427" s="12"/>
      <c r="KE427" s="11" t="s">
        <v>37</v>
      </c>
      <c r="KF427" s="11" t="s">
        <v>37</v>
      </c>
      <c r="KG427" s="13" t="s">
        <v>37</v>
      </c>
      <c r="KH427" s="11" t="s">
        <v>37</v>
      </c>
      <c r="KI427" s="11" t="s">
        <v>37</v>
      </c>
      <c r="KJ427" s="11" t="s">
        <v>37</v>
      </c>
      <c r="KM427" s="12" t="s">
        <v>37</v>
      </c>
      <c r="KN427" s="12" t="s">
        <v>37</v>
      </c>
      <c r="KO427" s="11" t="s">
        <v>37</v>
      </c>
      <c r="KP427" s="11"/>
      <c r="KQ427" s="12" t="s">
        <v>37</v>
      </c>
      <c r="KR427" s="12" t="s">
        <v>37</v>
      </c>
      <c r="KS427" s="13" t="s">
        <v>37</v>
      </c>
      <c r="KT427" s="13"/>
      <c r="KU427" s="13"/>
      <c r="KV427" s="13"/>
      <c r="KX427" s="12" t="s">
        <v>37</v>
      </c>
      <c r="KY427" s="12" t="s">
        <v>37</v>
      </c>
      <c r="KZ427" s="13" t="s">
        <v>37</v>
      </c>
      <c r="LA427" s="13"/>
      <c r="LB427" s="12" t="s">
        <v>37</v>
      </c>
      <c r="LC427" s="12" t="s">
        <v>37</v>
      </c>
      <c r="LD427" s="13" t="s">
        <v>37</v>
      </c>
      <c r="LE427" s="13"/>
      <c r="LF427" s="13"/>
      <c r="LG427" s="13"/>
      <c r="LI427" s="12" t="s">
        <v>37</v>
      </c>
      <c r="LJ427" s="12" t="s">
        <v>37</v>
      </c>
      <c r="LK427" s="12" t="s">
        <v>37</v>
      </c>
      <c r="LL427" s="12"/>
      <c r="LM427" s="12" t="s">
        <v>37</v>
      </c>
      <c r="LN427" s="12" t="s">
        <v>37</v>
      </c>
      <c r="LO427" s="12" t="s">
        <v>37</v>
      </c>
      <c r="LP427" s="12"/>
      <c r="LQ427" s="12"/>
      <c r="LR427" s="12"/>
      <c r="LU427" s="12" t="s">
        <v>37</v>
      </c>
      <c r="LV427" s="12" t="s">
        <v>37</v>
      </c>
      <c r="LW427" s="13" t="s">
        <v>37</v>
      </c>
      <c r="LX427" s="13"/>
      <c r="LY427" s="12" t="s">
        <v>37</v>
      </c>
      <c r="LZ427" s="12" t="s">
        <v>37</v>
      </c>
      <c r="MA427" s="12" t="s">
        <v>37</v>
      </c>
      <c r="MB427" s="12"/>
      <c r="MC427" s="12"/>
      <c r="MD427" s="12"/>
      <c r="MF427" s="12" t="s">
        <v>37</v>
      </c>
      <c r="MG427" s="12" t="s">
        <v>37</v>
      </c>
      <c r="MH427" s="12" t="s">
        <v>37</v>
      </c>
      <c r="MI427" s="12"/>
      <c r="MJ427" s="12" t="s">
        <v>37</v>
      </c>
      <c r="MK427" s="12" t="s">
        <v>37</v>
      </c>
      <c r="ML427" s="12" t="s">
        <v>37</v>
      </c>
      <c r="MM427" s="12"/>
      <c r="MN427" s="12"/>
      <c r="MO427" s="12"/>
      <c r="MQ427" s="12" t="s">
        <v>37</v>
      </c>
      <c r="MR427" s="12" t="s">
        <v>37</v>
      </c>
      <c r="MS427" s="12" t="s">
        <v>37</v>
      </c>
      <c r="MT427" s="12"/>
      <c r="MU427" s="12" t="s">
        <v>37</v>
      </c>
      <c r="MV427" s="12" t="s">
        <v>37</v>
      </c>
      <c r="MW427" s="12" t="s">
        <v>37</v>
      </c>
      <c r="MX427" s="12"/>
      <c r="MY427" s="12"/>
      <c r="MZ427" s="12"/>
      <c r="NC427" s="12" t="s">
        <v>37</v>
      </c>
      <c r="ND427" s="12" t="s">
        <v>37</v>
      </c>
      <c r="NE427" s="13" t="s">
        <v>37</v>
      </c>
      <c r="NF427" s="13"/>
      <c r="NG427" s="12" t="s">
        <v>37</v>
      </c>
      <c r="NH427" s="12" t="s">
        <v>37</v>
      </c>
      <c r="NI427" s="13" t="s">
        <v>37</v>
      </c>
      <c r="NJ427" s="13"/>
      <c r="NK427" s="13"/>
      <c r="NL427" s="13"/>
      <c r="NO427" s="12" t="s">
        <v>37</v>
      </c>
      <c r="NP427" s="12" t="s">
        <v>37</v>
      </c>
      <c r="NQ427" s="13" t="s">
        <v>37</v>
      </c>
      <c r="NR427" s="13"/>
      <c r="NS427" s="12" t="s">
        <v>37</v>
      </c>
      <c r="NT427" s="12" t="s">
        <v>37</v>
      </c>
      <c r="NU427" s="13" t="s">
        <v>37</v>
      </c>
      <c r="NV427" s="13"/>
      <c r="NW427" s="13"/>
      <c r="NX427" s="13"/>
      <c r="OA427" s="11" t="s">
        <v>37</v>
      </c>
      <c r="OB427" s="11" t="s">
        <v>37</v>
      </c>
      <c r="OC427" s="13" t="s">
        <v>37</v>
      </c>
      <c r="OE427" s="11" t="s">
        <v>37</v>
      </c>
      <c r="OF427" s="11" t="s">
        <v>37</v>
      </c>
      <c r="OG427" s="13" t="s">
        <v>37</v>
      </c>
      <c r="OM427" s="11" t="s">
        <v>37</v>
      </c>
      <c r="ON427" s="11" t="s">
        <v>37</v>
      </c>
      <c r="OO427" s="11" t="s">
        <v>37</v>
      </c>
      <c r="OP427" s="11" t="s">
        <v>37</v>
      </c>
      <c r="OQ427" s="11" t="s">
        <v>37</v>
      </c>
      <c r="OR427" s="11" t="s">
        <v>37</v>
      </c>
      <c r="OW427" s="11" t="s">
        <v>37</v>
      </c>
      <c r="OX427" s="11" t="s">
        <v>37</v>
      </c>
      <c r="OY427" s="13" t="s">
        <v>37</v>
      </c>
      <c r="OZ427" s="11" t="s">
        <v>37</v>
      </c>
      <c r="PA427" s="11" t="s">
        <v>37</v>
      </c>
      <c r="PB427" s="13" t="s">
        <v>37</v>
      </c>
      <c r="PG427" s="11" t="s">
        <v>37</v>
      </c>
      <c r="PH427" s="11" t="s">
        <v>37</v>
      </c>
      <c r="PI427" s="13" t="s">
        <v>37</v>
      </c>
      <c r="PJ427" s="11" t="s">
        <v>37</v>
      </c>
      <c r="PK427" s="11" t="s">
        <v>37</v>
      </c>
      <c r="PL427" s="13" t="s">
        <v>37</v>
      </c>
      <c r="PQ427" s="11" t="s">
        <v>37</v>
      </c>
      <c r="PR427" s="11" t="s">
        <v>37</v>
      </c>
      <c r="PS427" s="13" t="s">
        <v>37</v>
      </c>
      <c r="PT427" s="11" t="s">
        <v>37</v>
      </c>
      <c r="PU427" s="11" t="s">
        <v>37</v>
      </c>
      <c r="PV427" s="13" t="s">
        <v>37</v>
      </c>
      <c r="PZ427" s="12" t="s">
        <v>37</v>
      </c>
      <c r="QA427" s="12" t="s">
        <v>37</v>
      </c>
      <c r="QB427" s="11" t="s">
        <v>37</v>
      </c>
      <c r="QC427" s="11"/>
      <c r="QD427" s="12" t="s">
        <v>37</v>
      </c>
      <c r="QE427" s="12" t="s">
        <v>37</v>
      </c>
      <c r="QF427" s="12" t="s">
        <v>37</v>
      </c>
      <c r="QG427" s="12"/>
      <c r="QH427" s="12"/>
      <c r="QI427" s="12"/>
      <c r="QK427" s="11" t="s">
        <v>37</v>
      </c>
      <c r="QL427" s="11" t="s">
        <v>37</v>
      </c>
      <c r="QM427" s="13" t="s">
        <v>37</v>
      </c>
      <c r="QN427" s="11" t="s">
        <v>37</v>
      </c>
      <c r="QO427" s="11" t="s">
        <v>37</v>
      </c>
      <c r="QP427" s="13" t="s">
        <v>37</v>
      </c>
      <c r="QU427" s="11" t="s">
        <v>37</v>
      </c>
      <c r="QV427" s="11" t="s">
        <v>37</v>
      </c>
      <c r="QW427" s="13" t="s">
        <v>37</v>
      </c>
      <c r="QX427" s="11" t="s">
        <v>37</v>
      </c>
      <c r="QY427" s="11" t="s">
        <v>37</v>
      </c>
      <c r="QZ427" s="13" t="s">
        <v>37</v>
      </c>
      <c r="RC427" s="12" t="s">
        <v>37</v>
      </c>
      <c r="RD427" s="12" t="s">
        <v>37</v>
      </c>
      <c r="RE427" s="13" t="s">
        <v>37</v>
      </c>
      <c r="RF427" s="12" t="s">
        <v>37</v>
      </c>
      <c r="RG427" s="12" t="s">
        <v>37</v>
      </c>
      <c r="RH427" s="13" t="s">
        <v>37</v>
      </c>
      <c r="RK427" s="11" t="s">
        <v>37</v>
      </c>
      <c r="RL427" s="11" t="s">
        <v>37</v>
      </c>
      <c r="RM427" s="11" t="s">
        <v>37</v>
      </c>
      <c r="RN427" s="11" t="s">
        <v>37</v>
      </c>
      <c r="RO427" s="11" t="s">
        <v>37</v>
      </c>
      <c r="RP427" s="11" t="s">
        <v>37</v>
      </c>
      <c r="RS427" s="11" t="s">
        <v>37</v>
      </c>
      <c r="RT427" s="11" t="s">
        <v>37</v>
      </c>
      <c r="RU427" s="11" t="s">
        <v>37</v>
      </c>
      <c r="RV427" s="11" t="s">
        <v>37</v>
      </c>
      <c r="RW427" s="11" t="s">
        <v>37</v>
      </c>
      <c r="RX427" s="11" t="s">
        <v>37</v>
      </c>
      <c r="SA427" s="11" t="s">
        <v>37</v>
      </c>
      <c r="SB427" s="11" t="s">
        <v>37</v>
      </c>
      <c r="SC427" s="13" t="s">
        <v>37</v>
      </c>
      <c r="SD427" s="11" t="s">
        <v>37</v>
      </c>
      <c r="SE427" s="11" t="s">
        <v>37</v>
      </c>
      <c r="SF427" s="13" t="s">
        <v>37</v>
      </c>
      <c r="SI427" s="12" t="s">
        <v>37</v>
      </c>
      <c r="SJ427" s="11" t="s">
        <v>37</v>
      </c>
      <c r="SK427" s="13" t="s">
        <v>37</v>
      </c>
      <c r="SL427" s="13"/>
      <c r="SM427" s="11" t="s">
        <v>37</v>
      </c>
      <c r="SN427" s="11" t="s">
        <v>37</v>
      </c>
      <c r="SO427" s="13" t="s">
        <v>37</v>
      </c>
      <c r="SP427" s="13"/>
      <c r="SQ427" s="13"/>
      <c r="SR427" s="13"/>
      <c r="SU427" s="12" t="s">
        <v>37</v>
      </c>
      <c r="SV427" s="12" t="s">
        <v>37</v>
      </c>
      <c r="SW427" s="11" t="s">
        <v>37</v>
      </c>
      <c r="SX427" s="12" t="s">
        <v>37</v>
      </c>
      <c r="SY427" s="12" t="s">
        <v>37</v>
      </c>
      <c r="SZ427" s="11" t="s">
        <v>37</v>
      </c>
      <c r="TE427" s="12" t="s">
        <v>37</v>
      </c>
      <c r="TF427" s="12" t="s">
        <v>37</v>
      </c>
      <c r="TG427" s="11" t="s">
        <v>37</v>
      </c>
      <c r="TH427" s="12" t="s">
        <v>37</v>
      </c>
      <c r="TI427" s="12" t="s">
        <v>37</v>
      </c>
      <c r="TJ427" s="11" t="s">
        <v>37</v>
      </c>
      <c r="TO427" s="12" t="s">
        <v>37</v>
      </c>
      <c r="TP427" s="12" t="s">
        <v>37</v>
      </c>
      <c r="TQ427" s="11" t="s">
        <v>37</v>
      </c>
      <c r="TR427" s="12" t="s">
        <v>37</v>
      </c>
      <c r="TS427" s="12" t="s">
        <v>37</v>
      </c>
      <c r="TT427" s="11" t="s">
        <v>37</v>
      </c>
      <c r="TY427" s="12" t="s">
        <v>37</v>
      </c>
      <c r="TZ427" s="12" t="s">
        <v>37</v>
      </c>
      <c r="UA427" s="11" t="s">
        <v>37</v>
      </c>
      <c r="UB427" s="12" t="s">
        <v>37</v>
      </c>
      <c r="UC427" s="12" t="s">
        <v>37</v>
      </c>
      <c r="UD427" s="11" t="s">
        <v>37</v>
      </c>
      <c r="UI427" s="12" t="s">
        <v>37</v>
      </c>
      <c r="UJ427" s="12" t="s">
        <v>37</v>
      </c>
      <c r="UK427" s="13" t="s">
        <v>37</v>
      </c>
      <c r="UL427" s="12" t="s">
        <v>37</v>
      </c>
      <c r="UM427" s="12" t="s">
        <v>37</v>
      </c>
      <c r="UN427" s="13" t="s">
        <v>37</v>
      </c>
      <c r="UR427" s="12" t="s">
        <v>37</v>
      </c>
      <c r="US427" s="12" t="s">
        <v>37</v>
      </c>
      <c r="UT427" s="13" t="s">
        <v>37</v>
      </c>
      <c r="UU427" s="12" t="s">
        <v>37</v>
      </c>
      <c r="UV427" s="12" t="s">
        <v>37</v>
      </c>
      <c r="UW427" s="13" t="s">
        <v>37</v>
      </c>
      <c r="VB427" s="12" t="s">
        <v>37</v>
      </c>
      <c r="VC427" s="12" t="s">
        <v>37</v>
      </c>
      <c r="VD427" s="13" t="s">
        <v>37</v>
      </c>
      <c r="VE427" s="12" t="s">
        <v>37</v>
      </c>
      <c r="VF427" s="12" t="s">
        <v>37</v>
      </c>
      <c r="VG427" s="13" t="s">
        <v>37</v>
      </c>
      <c r="VI427" s="12" t="s">
        <v>37</v>
      </c>
      <c r="VJ427" s="12" t="s">
        <v>37</v>
      </c>
      <c r="VK427" s="13" t="s">
        <v>37</v>
      </c>
      <c r="VL427" s="12" t="s">
        <v>37</v>
      </c>
      <c r="VM427" s="12" t="s">
        <v>37</v>
      </c>
      <c r="VN427" s="13" t="s">
        <v>37</v>
      </c>
      <c r="VQ427" s="12" t="s">
        <v>37</v>
      </c>
      <c r="VR427" s="12" t="s">
        <v>37</v>
      </c>
      <c r="VS427" s="12" t="s">
        <v>37</v>
      </c>
      <c r="VT427" s="12" t="s">
        <v>37</v>
      </c>
      <c r="VU427" s="12" t="s">
        <v>37</v>
      </c>
      <c r="VV427" s="12" t="s">
        <v>37</v>
      </c>
      <c r="VW427" s="12"/>
      <c r="VX427" s="12"/>
      <c r="WA427" s="13" t="s">
        <v>37</v>
      </c>
      <c r="WB427" s="13" t="s">
        <v>37</v>
      </c>
      <c r="WC427" s="13" t="s">
        <v>37</v>
      </c>
      <c r="WD427" s="13" t="s">
        <v>37</v>
      </c>
      <c r="WE427" s="13" t="s">
        <v>37</v>
      </c>
      <c r="WF427" s="13" t="s">
        <v>37</v>
      </c>
    </row>
    <row r="428" spans="1:604" ht="17.399999999999999" x14ac:dyDescent="0.4">
      <c r="A428" s="11">
        <v>97</v>
      </c>
      <c r="B428" s="12" t="s">
        <v>945</v>
      </c>
      <c r="C428" s="12" t="s">
        <v>26</v>
      </c>
      <c r="D428" s="12" t="s">
        <v>974</v>
      </c>
      <c r="E428" s="14">
        <v>0.6</v>
      </c>
      <c r="F428" s="72">
        <v>25</v>
      </c>
      <c r="G428" s="14">
        <v>0</v>
      </c>
      <c r="H428" s="12" t="s">
        <v>106</v>
      </c>
      <c r="I428" s="29">
        <v>53.417000000000002</v>
      </c>
      <c r="J428" s="29">
        <v>-8</v>
      </c>
      <c r="K428" s="12" t="s">
        <v>946</v>
      </c>
      <c r="L428" s="12" t="s">
        <v>947</v>
      </c>
      <c r="M428" s="13" t="s">
        <v>37</v>
      </c>
      <c r="N428" s="14" t="s">
        <v>37</v>
      </c>
      <c r="O428" s="14" t="s">
        <v>37</v>
      </c>
      <c r="P428" s="14" t="s">
        <v>16</v>
      </c>
      <c r="Q428" s="75" t="s">
        <v>37</v>
      </c>
      <c r="R428" s="11" t="s">
        <v>37</v>
      </c>
      <c r="S428" s="12" t="s">
        <v>93</v>
      </c>
      <c r="T428" s="12" t="s">
        <v>138</v>
      </c>
      <c r="U428" s="12" t="s">
        <v>158</v>
      </c>
      <c r="V428" s="12" t="s">
        <v>275</v>
      </c>
      <c r="W428" s="23" t="s">
        <v>37</v>
      </c>
      <c r="X428" s="12" t="s">
        <v>37</v>
      </c>
      <c r="Y428" s="12" t="s">
        <v>69</v>
      </c>
      <c r="Z428" s="12" t="s">
        <v>37</v>
      </c>
      <c r="AA428" s="23"/>
      <c r="AB428" s="12" t="s">
        <v>37</v>
      </c>
      <c r="AC428" s="12" t="s">
        <v>37</v>
      </c>
      <c r="AD428" s="23"/>
      <c r="AE428" s="12" t="s">
        <v>37</v>
      </c>
      <c r="AH428" s="12" t="s">
        <v>37</v>
      </c>
      <c r="AJ428" s="23"/>
      <c r="AK428" s="23" t="s">
        <v>326</v>
      </c>
      <c r="AL428" s="32" t="s">
        <v>37</v>
      </c>
      <c r="AM428" s="20" t="s">
        <v>344</v>
      </c>
      <c r="AO428" s="20" t="s">
        <v>37</v>
      </c>
      <c r="AP428" s="20" t="s">
        <v>37</v>
      </c>
      <c r="AQ428" s="20" t="s">
        <v>975</v>
      </c>
      <c r="AT428" s="12" t="s">
        <v>37</v>
      </c>
      <c r="AU428" s="12" t="s">
        <v>37</v>
      </c>
      <c r="AV428" s="13" t="s">
        <v>37</v>
      </c>
      <c r="AX428" s="12" t="s">
        <v>37</v>
      </c>
      <c r="AY428" s="12" t="s">
        <v>37</v>
      </c>
      <c r="AZ428" s="13" t="s">
        <v>37</v>
      </c>
      <c r="BE428" s="12" t="s">
        <v>37</v>
      </c>
      <c r="BF428" s="12" t="s">
        <v>37</v>
      </c>
      <c r="BG428" s="13" t="s">
        <v>37</v>
      </c>
      <c r="BH428" s="13"/>
      <c r="BI428" s="12" t="s">
        <v>37</v>
      </c>
      <c r="BJ428" s="12" t="s">
        <v>37</v>
      </c>
      <c r="BK428" s="13" t="s">
        <v>37</v>
      </c>
      <c r="BL428" s="13"/>
      <c r="BM428" s="13"/>
      <c r="BN428" s="13"/>
      <c r="BP428" s="12" t="s">
        <v>37</v>
      </c>
      <c r="BQ428" s="12" t="s">
        <v>37</v>
      </c>
      <c r="BR428" s="13" t="s">
        <v>37</v>
      </c>
      <c r="BS428" s="13"/>
      <c r="BT428" s="12" t="s">
        <v>37</v>
      </c>
      <c r="BU428" s="12" t="s">
        <v>37</v>
      </c>
      <c r="BV428" s="12" t="s">
        <v>37</v>
      </c>
      <c r="BW428" s="12"/>
      <c r="BX428" s="12"/>
      <c r="BY428" s="12"/>
      <c r="CA428" s="12" t="s">
        <v>37</v>
      </c>
      <c r="CB428" s="12" t="s">
        <v>37</v>
      </c>
      <c r="CC428" s="13" t="s">
        <v>37</v>
      </c>
      <c r="CD428" s="13"/>
      <c r="CE428" s="12" t="s">
        <v>37</v>
      </c>
      <c r="CF428" s="12" t="s">
        <v>37</v>
      </c>
      <c r="CG428" s="13" t="s">
        <v>37</v>
      </c>
      <c r="CH428" s="13"/>
      <c r="CI428" s="13"/>
      <c r="CJ428" s="13"/>
      <c r="CN428" s="12" t="s">
        <v>37</v>
      </c>
      <c r="CO428" s="12" t="s">
        <v>37</v>
      </c>
      <c r="CP428" s="13" t="s">
        <v>37</v>
      </c>
      <c r="CQ428" s="13"/>
      <c r="CR428" s="12" t="s">
        <v>37</v>
      </c>
      <c r="CS428" s="12" t="s">
        <v>37</v>
      </c>
      <c r="CT428" s="13" t="s">
        <v>37</v>
      </c>
      <c r="CU428" s="13"/>
      <c r="CV428" s="13"/>
      <c r="CW428" s="13"/>
      <c r="CX428" s="72"/>
      <c r="CY428" s="72"/>
      <c r="DA428" s="12" t="s">
        <v>37</v>
      </c>
      <c r="DB428" s="12" t="s">
        <v>37</v>
      </c>
      <c r="DC428" s="13" t="s">
        <v>37</v>
      </c>
      <c r="DD428" s="13"/>
      <c r="DE428" s="12" t="s">
        <v>37</v>
      </c>
      <c r="DF428" s="12" t="s">
        <v>37</v>
      </c>
      <c r="DG428" s="13" t="s">
        <v>37</v>
      </c>
      <c r="DH428" s="13"/>
      <c r="DI428" s="13"/>
      <c r="DJ428" s="13"/>
      <c r="DM428" s="15" t="s">
        <v>47</v>
      </c>
      <c r="DN428" s="12">
        <v>84.266666666666666</v>
      </c>
      <c r="DO428" s="50">
        <f t="shared" si="1623"/>
        <v>93.947161433209686</v>
      </c>
      <c r="DP428" s="18">
        <v>4</v>
      </c>
      <c r="DQ428" s="18"/>
      <c r="DR428" s="12">
        <v>-1.4666666666666668</v>
      </c>
      <c r="DS428" s="50">
        <f t="shared" si="1624"/>
        <v>5.4812505654588151</v>
      </c>
      <c r="DT428" s="18">
        <v>4</v>
      </c>
      <c r="DU428" s="18"/>
      <c r="DV428" s="19">
        <f t="shared" si="1625"/>
        <v>-85.733333333333334</v>
      </c>
      <c r="DW428" s="12">
        <f t="shared" si="1626"/>
        <v>66.543644509144926</v>
      </c>
      <c r="DX428" s="72">
        <f t="shared" si="1611"/>
        <v>2214.0283122797264</v>
      </c>
      <c r="DY428" s="72">
        <f t="shared" si="1612"/>
        <v>2214.0283122797264</v>
      </c>
      <c r="DZ428" s="12"/>
      <c r="EA428" s="15" t="s">
        <v>37</v>
      </c>
      <c r="EB428" s="15" t="s">
        <v>37</v>
      </c>
      <c r="EC428" s="15" t="s">
        <v>37</v>
      </c>
      <c r="ED428" s="15"/>
      <c r="EE428" s="15" t="s">
        <v>37</v>
      </c>
      <c r="EF428" s="15" t="s">
        <v>37</v>
      </c>
      <c r="EG428" s="15" t="s">
        <v>37</v>
      </c>
      <c r="EH428" s="15"/>
      <c r="EI428" s="15"/>
      <c r="EJ428" s="15"/>
      <c r="EK428" s="15"/>
      <c r="EL428" s="15"/>
      <c r="EN428" s="12" t="s">
        <v>37</v>
      </c>
      <c r="EO428" s="12" t="s">
        <v>37</v>
      </c>
      <c r="EP428" s="13" t="s">
        <v>37</v>
      </c>
      <c r="EQ428" s="13"/>
      <c r="ER428" s="12" t="s">
        <v>37</v>
      </c>
      <c r="ES428" s="12" t="s">
        <v>37</v>
      </c>
      <c r="ET428" s="13" t="s">
        <v>37</v>
      </c>
      <c r="EU428" s="13"/>
      <c r="EV428" s="13"/>
      <c r="EW428" s="13"/>
      <c r="EX428" s="13"/>
      <c r="EY428" s="13"/>
      <c r="FB428" s="11" t="s">
        <v>37</v>
      </c>
      <c r="FC428" s="11" t="s">
        <v>37</v>
      </c>
      <c r="FD428" s="11" t="s">
        <v>37</v>
      </c>
      <c r="FE428" s="12" t="s">
        <v>37</v>
      </c>
      <c r="FF428" s="20" t="s">
        <v>37</v>
      </c>
      <c r="FG428" s="11" t="s">
        <v>37</v>
      </c>
      <c r="FI428" s="11" t="s">
        <v>37</v>
      </c>
      <c r="FJ428" s="11" t="s">
        <v>37</v>
      </c>
      <c r="FK428" s="11" t="s">
        <v>37</v>
      </c>
      <c r="FL428" s="13" t="s">
        <v>37</v>
      </c>
      <c r="FM428" s="11" t="s">
        <v>37</v>
      </c>
      <c r="FN428" s="11" t="s">
        <v>37</v>
      </c>
      <c r="FP428" s="11" t="s">
        <v>37</v>
      </c>
      <c r="FQ428" s="11" t="s">
        <v>37</v>
      </c>
      <c r="FR428" s="11" t="s">
        <v>37</v>
      </c>
      <c r="FS428" s="13" t="s">
        <v>37</v>
      </c>
      <c r="FT428" s="11" t="s">
        <v>37</v>
      </c>
      <c r="FU428" s="11" t="s">
        <v>37</v>
      </c>
      <c r="FW428" s="11" t="s">
        <v>37</v>
      </c>
      <c r="FX428" s="11" t="s">
        <v>37</v>
      </c>
      <c r="FY428" s="11" t="s">
        <v>37</v>
      </c>
      <c r="FZ428" s="13" t="s">
        <v>37</v>
      </c>
      <c r="GA428" s="11" t="s">
        <v>37</v>
      </c>
      <c r="GB428" s="11" t="s">
        <v>37</v>
      </c>
      <c r="GE428" s="12" t="s">
        <v>37</v>
      </c>
      <c r="GF428" s="12" t="s">
        <v>37</v>
      </c>
      <c r="GG428" s="13" t="s">
        <v>37</v>
      </c>
      <c r="GH428" s="13"/>
      <c r="GI428" s="12" t="s">
        <v>37</v>
      </c>
      <c r="GJ428" s="12" t="s">
        <v>37</v>
      </c>
      <c r="GK428" s="13" t="s">
        <v>37</v>
      </c>
      <c r="GL428" s="13"/>
      <c r="GM428" s="13"/>
      <c r="GN428" s="13"/>
      <c r="GQ428" s="12" t="s">
        <v>37</v>
      </c>
      <c r="GR428" s="12" t="s">
        <v>37</v>
      </c>
      <c r="GS428" s="13" t="s">
        <v>37</v>
      </c>
      <c r="GT428" s="13"/>
      <c r="GU428" s="12" t="s">
        <v>37</v>
      </c>
      <c r="GV428" s="12" t="s">
        <v>37</v>
      </c>
      <c r="GW428" s="13" t="s">
        <v>37</v>
      </c>
      <c r="GX428" s="13"/>
      <c r="GY428" s="13"/>
      <c r="GZ428" s="13"/>
      <c r="HA428" s="12"/>
      <c r="HB428" s="32"/>
      <c r="HC428" s="12" t="s">
        <v>37</v>
      </c>
      <c r="HD428" s="12" t="s">
        <v>37</v>
      </c>
      <c r="HE428" s="13" t="s">
        <v>37</v>
      </c>
      <c r="HF428" s="13"/>
      <c r="HG428" s="12" t="s">
        <v>37</v>
      </c>
      <c r="HH428" s="12" t="s">
        <v>37</v>
      </c>
      <c r="HI428" s="13" t="s">
        <v>37</v>
      </c>
      <c r="HJ428" s="13"/>
      <c r="HK428" s="13"/>
      <c r="HL428" s="13"/>
      <c r="HM428" s="32"/>
      <c r="HN428" s="12" t="s">
        <v>37</v>
      </c>
      <c r="HO428" s="12" t="s">
        <v>37</v>
      </c>
      <c r="HP428" s="13" t="s">
        <v>37</v>
      </c>
      <c r="HQ428" s="13"/>
      <c r="HR428" s="12" t="s">
        <v>37</v>
      </c>
      <c r="HS428" s="12" t="s">
        <v>37</v>
      </c>
      <c r="HT428" s="13" t="s">
        <v>37</v>
      </c>
      <c r="HU428" s="13"/>
      <c r="HV428" s="13"/>
      <c r="HW428" s="13"/>
      <c r="HY428" s="12" t="s">
        <v>37</v>
      </c>
      <c r="HZ428" s="12" t="s">
        <v>37</v>
      </c>
      <c r="IA428" s="13" t="s">
        <v>37</v>
      </c>
      <c r="IB428" s="13"/>
      <c r="IC428" s="12" t="s">
        <v>37</v>
      </c>
      <c r="ID428" s="12" t="s">
        <v>37</v>
      </c>
      <c r="IE428" s="13" t="s">
        <v>37</v>
      </c>
      <c r="IF428" s="13"/>
      <c r="IG428" s="13"/>
      <c r="IH428" s="13"/>
      <c r="IK428" s="12" t="s">
        <v>37</v>
      </c>
      <c r="IL428" s="12" t="s">
        <v>37</v>
      </c>
      <c r="IM428" s="13" t="s">
        <v>37</v>
      </c>
      <c r="IN428" s="13"/>
      <c r="IO428" s="12" t="s">
        <v>37</v>
      </c>
      <c r="IP428" s="12" t="s">
        <v>37</v>
      </c>
      <c r="IQ428" s="13" t="s">
        <v>37</v>
      </c>
      <c r="IR428" s="13"/>
      <c r="IS428" s="13"/>
      <c r="IT428" s="13"/>
      <c r="IW428" s="12" t="s">
        <v>37</v>
      </c>
      <c r="IX428" s="12" t="s">
        <v>37</v>
      </c>
      <c r="IY428" s="13" t="s">
        <v>37</v>
      </c>
      <c r="IZ428" s="13"/>
      <c r="JA428" s="12" t="s">
        <v>37</v>
      </c>
      <c r="JB428" s="12" t="s">
        <v>37</v>
      </c>
      <c r="JC428" s="13" t="s">
        <v>37</v>
      </c>
      <c r="JD428" s="13"/>
      <c r="JE428" s="13"/>
      <c r="JF428" s="13"/>
      <c r="JH428" s="12" t="s">
        <v>37</v>
      </c>
      <c r="JI428" s="12" t="s">
        <v>37</v>
      </c>
      <c r="JJ428" s="13" t="s">
        <v>37</v>
      </c>
      <c r="JK428" s="13"/>
      <c r="JL428" s="12" t="s">
        <v>37</v>
      </c>
      <c r="JM428" s="12" t="s">
        <v>37</v>
      </c>
      <c r="JN428" s="12" t="s">
        <v>37</v>
      </c>
      <c r="JO428" s="12"/>
      <c r="JP428" s="12"/>
      <c r="JQ428" s="12"/>
      <c r="JS428" s="12" t="s">
        <v>37</v>
      </c>
      <c r="JT428" s="12" t="s">
        <v>37</v>
      </c>
      <c r="JU428" s="13" t="s">
        <v>37</v>
      </c>
      <c r="JV428" s="13"/>
      <c r="JW428" s="12" t="s">
        <v>37</v>
      </c>
      <c r="JX428" s="12" t="s">
        <v>37</v>
      </c>
      <c r="JY428" s="12" t="s">
        <v>37</v>
      </c>
      <c r="JZ428" s="12"/>
      <c r="KA428" s="12"/>
      <c r="KB428" s="12"/>
      <c r="KE428" s="11" t="s">
        <v>37</v>
      </c>
      <c r="KF428" s="11" t="s">
        <v>37</v>
      </c>
      <c r="KG428" s="13" t="s">
        <v>37</v>
      </c>
      <c r="KH428" s="11" t="s">
        <v>37</v>
      </c>
      <c r="KI428" s="11" t="s">
        <v>37</v>
      </c>
      <c r="KJ428" s="11" t="s">
        <v>37</v>
      </c>
      <c r="KM428" s="12" t="s">
        <v>37</v>
      </c>
      <c r="KN428" s="12" t="s">
        <v>37</v>
      </c>
      <c r="KO428" s="11" t="s">
        <v>37</v>
      </c>
      <c r="KP428" s="11"/>
      <c r="KQ428" s="12" t="s">
        <v>37</v>
      </c>
      <c r="KR428" s="12" t="s">
        <v>37</v>
      </c>
      <c r="KS428" s="13" t="s">
        <v>37</v>
      </c>
      <c r="KT428" s="13"/>
      <c r="KU428" s="13"/>
      <c r="KV428" s="13"/>
      <c r="KX428" s="12" t="s">
        <v>37</v>
      </c>
      <c r="KY428" s="12" t="s">
        <v>37</v>
      </c>
      <c r="KZ428" s="13" t="s">
        <v>37</v>
      </c>
      <c r="LA428" s="13"/>
      <c r="LB428" s="12" t="s">
        <v>37</v>
      </c>
      <c r="LC428" s="12" t="s">
        <v>37</v>
      </c>
      <c r="LD428" s="13" t="s">
        <v>37</v>
      </c>
      <c r="LE428" s="13"/>
      <c r="LF428" s="13"/>
      <c r="LG428" s="13"/>
      <c r="LI428" s="12" t="s">
        <v>37</v>
      </c>
      <c r="LJ428" s="12" t="s">
        <v>37</v>
      </c>
      <c r="LK428" s="12" t="s">
        <v>37</v>
      </c>
      <c r="LL428" s="12"/>
      <c r="LM428" s="12" t="s">
        <v>37</v>
      </c>
      <c r="LN428" s="12" t="s">
        <v>37</v>
      </c>
      <c r="LO428" s="12" t="s">
        <v>37</v>
      </c>
      <c r="LP428" s="12"/>
      <c r="LQ428" s="12"/>
      <c r="LR428" s="12"/>
      <c r="LU428" s="12" t="s">
        <v>37</v>
      </c>
      <c r="LV428" s="12" t="s">
        <v>37</v>
      </c>
      <c r="LW428" s="13" t="s">
        <v>37</v>
      </c>
      <c r="LX428" s="13"/>
      <c r="LY428" s="12" t="s">
        <v>37</v>
      </c>
      <c r="LZ428" s="12" t="s">
        <v>37</v>
      </c>
      <c r="MA428" s="12" t="s">
        <v>37</v>
      </c>
      <c r="MB428" s="12"/>
      <c r="MC428" s="12"/>
      <c r="MD428" s="12"/>
      <c r="MF428" s="12" t="s">
        <v>37</v>
      </c>
      <c r="MG428" s="12" t="s">
        <v>37</v>
      </c>
      <c r="MH428" s="12" t="s">
        <v>37</v>
      </c>
      <c r="MI428" s="12"/>
      <c r="MJ428" s="12" t="s">
        <v>37</v>
      </c>
      <c r="MK428" s="12" t="s">
        <v>37</v>
      </c>
      <c r="ML428" s="12" t="s">
        <v>37</v>
      </c>
      <c r="MM428" s="12"/>
      <c r="MN428" s="12"/>
      <c r="MO428" s="12"/>
      <c r="MQ428" s="12" t="s">
        <v>37</v>
      </c>
      <c r="MR428" s="12" t="s">
        <v>37</v>
      </c>
      <c r="MS428" s="12" t="s">
        <v>37</v>
      </c>
      <c r="MT428" s="12"/>
      <c r="MU428" s="12" t="s">
        <v>37</v>
      </c>
      <c r="MV428" s="12" t="s">
        <v>37</v>
      </c>
      <c r="MW428" s="12" t="s">
        <v>37</v>
      </c>
      <c r="MX428" s="12"/>
      <c r="MY428" s="12"/>
      <c r="MZ428" s="12"/>
      <c r="NC428" s="12" t="s">
        <v>37</v>
      </c>
      <c r="ND428" s="12" t="s">
        <v>37</v>
      </c>
      <c r="NE428" s="13" t="s">
        <v>37</v>
      </c>
      <c r="NF428" s="13"/>
      <c r="NG428" s="12" t="s">
        <v>37</v>
      </c>
      <c r="NH428" s="12" t="s">
        <v>37</v>
      </c>
      <c r="NI428" s="13" t="s">
        <v>37</v>
      </c>
      <c r="NJ428" s="13"/>
      <c r="NK428" s="13"/>
      <c r="NL428" s="13"/>
      <c r="NO428" s="12" t="s">
        <v>37</v>
      </c>
      <c r="NP428" s="12" t="s">
        <v>37</v>
      </c>
      <c r="NQ428" s="13" t="s">
        <v>37</v>
      </c>
      <c r="NR428" s="13"/>
      <c r="NS428" s="12" t="s">
        <v>37</v>
      </c>
      <c r="NT428" s="12" t="s">
        <v>37</v>
      </c>
      <c r="NU428" s="13" t="s">
        <v>37</v>
      </c>
      <c r="NV428" s="13"/>
      <c r="NW428" s="13"/>
      <c r="NX428" s="13"/>
      <c r="OA428" s="11" t="s">
        <v>37</v>
      </c>
      <c r="OB428" s="11" t="s">
        <v>37</v>
      </c>
      <c r="OC428" s="13" t="s">
        <v>37</v>
      </c>
      <c r="OE428" s="11" t="s">
        <v>37</v>
      </c>
      <c r="OF428" s="11" t="s">
        <v>37</v>
      </c>
      <c r="OG428" s="13" t="s">
        <v>37</v>
      </c>
      <c r="OM428" s="11" t="s">
        <v>37</v>
      </c>
      <c r="ON428" s="11" t="s">
        <v>37</v>
      </c>
      <c r="OO428" s="11" t="s">
        <v>37</v>
      </c>
      <c r="OP428" s="11" t="s">
        <v>37</v>
      </c>
      <c r="OQ428" s="11" t="s">
        <v>37</v>
      </c>
      <c r="OR428" s="11" t="s">
        <v>37</v>
      </c>
      <c r="OW428" s="11" t="s">
        <v>37</v>
      </c>
      <c r="OX428" s="11" t="s">
        <v>37</v>
      </c>
      <c r="OY428" s="13" t="s">
        <v>37</v>
      </c>
      <c r="OZ428" s="11" t="s">
        <v>37</v>
      </c>
      <c r="PA428" s="11" t="s">
        <v>37</v>
      </c>
      <c r="PB428" s="13" t="s">
        <v>37</v>
      </c>
      <c r="PG428" s="11" t="s">
        <v>37</v>
      </c>
      <c r="PH428" s="11" t="s">
        <v>37</v>
      </c>
      <c r="PI428" s="13" t="s">
        <v>37</v>
      </c>
      <c r="PJ428" s="11" t="s">
        <v>37</v>
      </c>
      <c r="PK428" s="11" t="s">
        <v>37</v>
      </c>
      <c r="PL428" s="13" t="s">
        <v>37</v>
      </c>
      <c r="PQ428" s="11" t="s">
        <v>37</v>
      </c>
      <c r="PR428" s="11" t="s">
        <v>37</v>
      </c>
      <c r="PS428" s="13" t="s">
        <v>37</v>
      </c>
      <c r="PT428" s="11" t="s">
        <v>37</v>
      </c>
      <c r="PU428" s="11" t="s">
        <v>37</v>
      </c>
      <c r="PV428" s="13" t="s">
        <v>37</v>
      </c>
      <c r="PZ428" s="12" t="s">
        <v>37</v>
      </c>
      <c r="QA428" s="12" t="s">
        <v>37</v>
      </c>
      <c r="QB428" s="11" t="s">
        <v>37</v>
      </c>
      <c r="QC428" s="11"/>
      <c r="QD428" s="12" t="s">
        <v>37</v>
      </c>
      <c r="QE428" s="12" t="s">
        <v>37</v>
      </c>
      <c r="QF428" s="12" t="s">
        <v>37</v>
      </c>
      <c r="QG428" s="12"/>
      <c r="QH428" s="12"/>
      <c r="QI428" s="12"/>
      <c r="QK428" s="11" t="s">
        <v>37</v>
      </c>
      <c r="QL428" s="11" t="s">
        <v>37</v>
      </c>
      <c r="QM428" s="13" t="s">
        <v>37</v>
      </c>
      <c r="QN428" s="11" t="s">
        <v>37</v>
      </c>
      <c r="QO428" s="11" t="s">
        <v>37</v>
      </c>
      <c r="QP428" s="13" t="s">
        <v>37</v>
      </c>
      <c r="QU428" s="11" t="s">
        <v>37</v>
      </c>
      <c r="QV428" s="11" t="s">
        <v>37</v>
      </c>
      <c r="QW428" s="13" t="s">
        <v>37</v>
      </c>
      <c r="QX428" s="11" t="s">
        <v>37</v>
      </c>
      <c r="QY428" s="11" t="s">
        <v>37</v>
      </c>
      <c r="QZ428" s="13" t="s">
        <v>37</v>
      </c>
      <c r="RC428" s="12" t="s">
        <v>37</v>
      </c>
      <c r="RD428" s="12" t="s">
        <v>37</v>
      </c>
      <c r="RE428" s="13" t="s">
        <v>37</v>
      </c>
      <c r="RF428" s="12" t="s">
        <v>37</v>
      </c>
      <c r="RG428" s="12" t="s">
        <v>37</v>
      </c>
      <c r="RH428" s="13" t="s">
        <v>37</v>
      </c>
      <c r="RK428" s="11" t="s">
        <v>37</v>
      </c>
      <c r="RL428" s="11" t="s">
        <v>37</v>
      </c>
      <c r="RM428" s="11" t="s">
        <v>37</v>
      </c>
      <c r="RN428" s="11" t="s">
        <v>37</v>
      </c>
      <c r="RO428" s="11" t="s">
        <v>37</v>
      </c>
      <c r="RP428" s="11" t="s">
        <v>37</v>
      </c>
      <c r="RS428" s="11" t="s">
        <v>37</v>
      </c>
      <c r="RT428" s="11" t="s">
        <v>37</v>
      </c>
      <c r="RU428" s="11" t="s">
        <v>37</v>
      </c>
      <c r="RV428" s="11" t="s">
        <v>37</v>
      </c>
      <c r="RW428" s="11" t="s">
        <v>37</v>
      </c>
      <c r="RX428" s="11" t="s">
        <v>37</v>
      </c>
      <c r="SA428" s="11" t="s">
        <v>37</v>
      </c>
      <c r="SB428" s="11" t="s">
        <v>37</v>
      </c>
      <c r="SC428" s="13" t="s">
        <v>37</v>
      </c>
      <c r="SD428" s="11" t="s">
        <v>37</v>
      </c>
      <c r="SE428" s="11" t="s">
        <v>37</v>
      </c>
      <c r="SF428" s="13" t="s">
        <v>37</v>
      </c>
      <c r="SI428" s="12" t="s">
        <v>37</v>
      </c>
      <c r="SJ428" s="11" t="s">
        <v>37</v>
      </c>
      <c r="SK428" s="13" t="s">
        <v>37</v>
      </c>
      <c r="SL428" s="13"/>
      <c r="SM428" s="11" t="s">
        <v>37</v>
      </c>
      <c r="SN428" s="11" t="s">
        <v>37</v>
      </c>
      <c r="SO428" s="13" t="s">
        <v>37</v>
      </c>
      <c r="SP428" s="13"/>
      <c r="SQ428" s="13"/>
      <c r="SR428" s="13"/>
      <c r="SU428" s="12" t="s">
        <v>37</v>
      </c>
      <c r="SV428" s="12" t="s">
        <v>37</v>
      </c>
      <c r="SW428" s="11" t="s">
        <v>37</v>
      </c>
      <c r="SX428" s="12" t="s">
        <v>37</v>
      </c>
      <c r="SY428" s="12" t="s">
        <v>37</v>
      </c>
      <c r="SZ428" s="11" t="s">
        <v>37</v>
      </c>
      <c r="TE428" s="12" t="s">
        <v>37</v>
      </c>
      <c r="TF428" s="12" t="s">
        <v>37</v>
      </c>
      <c r="TG428" s="11" t="s">
        <v>37</v>
      </c>
      <c r="TH428" s="12" t="s">
        <v>37</v>
      </c>
      <c r="TI428" s="12" t="s">
        <v>37</v>
      </c>
      <c r="TJ428" s="11" t="s">
        <v>37</v>
      </c>
      <c r="TO428" s="12" t="s">
        <v>37</v>
      </c>
      <c r="TP428" s="12" t="s">
        <v>37</v>
      </c>
      <c r="TQ428" s="11" t="s">
        <v>37</v>
      </c>
      <c r="TR428" s="12" t="s">
        <v>37</v>
      </c>
      <c r="TS428" s="12" t="s">
        <v>37</v>
      </c>
      <c r="TT428" s="11" t="s">
        <v>37</v>
      </c>
      <c r="TY428" s="12" t="s">
        <v>37</v>
      </c>
      <c r="TZ428" s="12" t="s">
        <v>37</v>
      </c>
      <c r="UA428" s="11" t="s">
        <v>37</v>
      </c>
      <c r="UB428" s="12" t="s">
        <v>37</v>
      </c>
      <c r="UC428" s="12" t="s">
        <v>37</v>
      </c>
      <c r="UD428" s="11" t="s">
        <v>37</v>
      </c>
      <c r="UI428" s="12" t="s">
        <v>37</v>
      </c>
      <c r="UJ428" s="12" t="s">
        <v>37</v>
      </c>
      <c r="UK428" s="13" t="s">
        <v>37</v>
      </c>
      <c r="UL428" s="12" t="s">
        <v>37</v>
      </c>
      <c r="UM428" s="12" t="s">
        <v>37</v>
      </c>
      <c r="UN428" s="13" t="s">
        <v>37</v>
      </c>
      <c r="UR428" s="12" t="s">
        <v>37</v>
      </c>
      <c r="US428" s="12" t="s">
        <v>37</v>
      </c>
      <c r="UT428" s="13" t="s">
        <v>37</v>
      </c>
      <c r="UU428" s="12" t="s">
        <v>37</v>
      </c>
      <c r="UV428" s="12" t="s">
        <v>37</v>
      </c>
      <c r="UW428" s="13" t="s">
        <v>37</v>
      </c>
      <c r="VB428" s="12" t="s">
        <v>37</v>
      </c>
      <c r="VC428" s="12" t="s">
        <v>37</v>
      </c>
      <c r="VD428" s="13" t="s">
        <v>37</v>
      </c>
      <c r="VE428" s="12" t="s">
        <v>37</v>
      </c>
      <c r="VF428" s="12" t="s">
        <v>37</v>
      </c>
      <c r="VG428" s="13" t="s">
        <v>37</v>
      </c>
      <c r="VI428" s="12" t="s">
        <v>37</v>
      </c>
      <c r="VJ428" s="12" t="s">
        <v>37</v>
      </c>
      <c r="VK428" s="13" t="s">
        <v>37</v>
      </c>
      <c r="VL428" s="12" t="s">
        <v>37</v>
      </c>
      <c r="VM428" s="12" t="s">
        <v>37</v>
      </c>
      <c r="VN428" s="13" t="s">
        <v>37</v>
      </c>
      <c r="VQ428" s="12" t="s">
        <v>37</v>
      </c>
      <c r="VR428" s="12" t="s">
        <v>37</v>
      </c>
      <c r="VS428" s="12" t="s">
        <v>37</v>
      </c>
      <c r="VT428" s="12" t="s">
        <v>37</v>
      </c>
      <c r="VU428" s="12" t="s">
        <v>37</v>
      </c>
      <c r="VV428" s="12" t="s">
        <v>37</v>
      </c>
      <c r="VW428" s="12"/>
      <c r="VX428" s="12"/>
      <c r="WA428" s="13" t="s">
        <v>37</v>
      </c>
      <c r="WB428" s="13" t="s">
        <v>37</v>
      </c>
      <c r="WC428" s="13" t="s">
        <v>37</v>
      </c>
      <c r="WD428" s="13" t="s">
        <v>37</v>
      </c>
      <c r="WE428" s="13" t="s">
        <v>37</v>
      </c>
      <c r="WF428" s="13" t="s">
        <v>37</v>
      </c>
    </row>
    <row r="429" spans="1:604" ht="17.399999999999999" x14ac:dyDescent="0.4">
      <c r="A429" s="11">
        <v>97</v>
      </c>
      <c r="B429" s="12" t="s">
        <v>945</v>
      </c>
      <c r="C429" s="12" t="s">
        <v>26</v>
      </c>
      <c r="D429" s="12" t="s">
        <v>974</v>
      </c>
      <c r="E429" s="14">
        <v>0.6</v>
      </c>
      <c r="F429" s="72">
        <v>25</v>
      </c>
      <c r="G429" s="14">
        <v>0</v>
      </c>
      <c r="H429" s="12" t="s">
        <v>106</v>
      </c>
      <c r="I429" s="29">
        <v>53.417000000000002</v>
      </c>
      <c r="J429" s="29">
        <v>-8</v>
      </c>
      <c r="K429" s="12" t="s">
        <v>946</v>
      </c>
      <c r="L429" s="12" t="s">
        <v>947</v>
      </c>
      <c r="M429" s="13" t="s">
        <v>37</v>
      </c>
      <c r="N429" s="14" t="s">
        <v>37</v>
      </c>
      <c r="O429" s="14" t="s">
        <v>37</v>
      </c>
      <c r="P429" s="14" t="s">
        <v>16</v>
      </c>
      <c r="Q429" s="75" t="s">
        <v>37</v>
      </c>
      <c r="R429" s="11" t="s">
        <v>37</v>
      </c>
      <c r="S429" s="12" t="s">
        <v>93</v>
      </c>
      <c r="T429" s="12" t="s">
        <v>138</v>
      </c>
      <c r="U429" s="12" t="s">
        <v>158</v>
      </c>
      <c r="V429" s="12" t="s">
        <v>275</v>
      </c>
      <c r="W429" s="23" t="s">
        <v>37</v>
      </c>
      <c r="X429" s="12" t="s">
        <v>37</v>
      </c>
      <c r="Y429" s="12" t="s">
        <v>69</v>
      </c>
      <c r="Z429" s="12" t="s">
        <v>37</v>
      </c>
      <c r="AA429" s="23"/>
      <c r="AB429" s="12" t="s">
        <v>37</v>
      </c>
      <c r="AC429" s="12" t="s">
        <v>37</v>
      </c>
      <c r="AD429" s="23"/>
      <c r="AE429" s="12" t="s">
        <v>37</v>
      </c>
      <c r="AH429" s="12" t="s">
        <v>37</v>
      </c>
      <c r="AJ429" s="23"/>
      <c r="AK429" s="23" t="s">
        <v>326</v>
      </c>
      <c r="AL429" s="32" t="s">
        <v>37</v>
      </c>
      <c r="AM429" s="20" t="s">
        <v>344</v>
      </c>
      <c r="AO429" s="20" t="s">
        <v>37</v>
      </c>
      <c r="AP429" s="20" t="s">
        <v>37</v>
      </c>
      <c r="AQ429" s="20" t="s">
        <v>975</v>
      </c>
      <c r="AT429" s="12" t="s">
        <v>37</v>
      </c>
      <c r="AU429" s="12" t="s">
        <v>37</v>
      </c>
      <c r="AV429" s="13" t="s">
        <v>37</v>
      </c>
      <c r="AX429" s="12" t="s">
        <v>37</v>
      </c>
      <c r="AY429" s="12" t="s">
        <v>37</v>
      </c>
      <c r="AZ429" s="13" t="s">
        <v>37</v>
      </c>
      <c r="BE429" s="12" t="s">
        <v>37</v>
      </c>
      <c r="BF429" s="12" t="s">
        <v>37</v>
      </c>
      <c r="BG429" s="13" t="s">
        <v>37</v>
      </c>
      <c r="BH429" s="13"/>
      <c r="BI429" s="12" t="s">
        <v>37</v>
      </c>
      <c r="BJ429" s="12" t="s">
        <v>37</v>
      </c>
      <c r="BK429" s="13" t="s">
        <v>37</v>
      </c>
      <c r="BL429" s="13"/>
      <c r="BM429" s="13"/>
      <c r="BN429" s="13"/>
      <c r="BP429" s="12" t="s">
        <v>37</v>
      </c>
      <c r="BQ429" s="12" t="s">
        <v>37</v>
      </c>
      <c r="BR429" s="13" t="s">
        <v>37</v>
      </c>
      <c r="BS429" s="13"/>
      <c r="BT429" s="12" t="s">
        <v>37</v>
      </c>
      <c r="BU429" s="12" t="s">
        <v>37</v>
      </c>
      <c r="BV429" s="12" t="s">
        <v>37</v>
      </c>
      <c r="BW429" s="12"/>
      <c r="BX429" s="12"/>
      <c r="BY429" s="12"/>
      <c r="CA429" s="12" t="s">
        <v>37</v>
      </c>
      <c r="CB429" s="12" t="s">
        <v>37</v>
      </c>
      <c r="CC429" s="13" t="s">
        <v>37</v>
      </c>
      <c r="CD429" s="13"/>
      <c r="CE429" s="12" t="s">
        <v>37</v>
      </c>
      <c r="CF429" s="12" t="s">
        <v>37</v>
      </c>
      <c r="CG429" s="13" t="s">
        <v>37</v>
      </c>
      <c r="CH429" s="13"/>
      <c r="CI429" s="13"/>
      <c r="CJ429" s="13"/>
      <c r="CN429" s="12" t="s">
        <v>37</v>
      </c>
      <c r="CO429" s="12" t="s">
        <v>37</v>
      </c>
      <c r="CP429" s="13" t="s">
        <v>37</v>
      </c>
      <c r="CQ429" s="13"/>
      <c r="CR429" s="12" t="s">
        <v>37</v>
      </c>
      <c r="CS429" s="12" t="s">
        <v>37</v>
      </c>
      <c r="CT429" s="13" t="s">
        <v>37</v>
      </c>
      <c r="CU429" s="13"/>
      <c r="CV429" s="13"/>
      <c r="CW429" s="13"/>
      <c r="CX429" s="72"/>
      <c r="CY429" s="72"/>
      <c r="DA429" s="12" t="s">
        <v>37</v>
      </c>
      <c r="DB429" s="12" t="s">
        <v>37</v>
      </c>
      <c r="DC429" s="13" t="s">
        <v>37</v>
      </c>
      <c r="DD429" s="13"/>
      <c r="DE429" s="12" t="s">
        <v>37</v>
      </c>
      <c r="DF429" s="12" t="s">
        <v>37</v>
      </c>
      <c r="DG429" s="13" t="s">
        <v>37</v>
      </c>
      <c r="DH429" s="13"/>
      <c r="DI429" s="13"/>
      <c r="DJ429" s="13"/>
      <c r="DM429" s="15" t="s">
        <v>47</v>
      </c>
      <c r="DN429" s="12">
        <v>16</v>
      </c>
      <c r="DO429" s="50">
        <f t="shared" si="1623"/>
        <v>17.838068626558801</v>
      </c>
      <c r="DP429" s="18">
        <v>4</v>
      </c>
      <c r="DQ429" s="18"/>
      <c r="DR429" s="12">
        <v>-2.36</v>
      </c>
      <c r="DS429" s="50">
        <f t="shared" si="1624"/>
        <v>8.8198304553291837</v>
      </c>
      <c r="DT429" s="18">
        <v>4</v>
      </c>
      <c r="DU429" s="18"/>
      <c r="DV429" s="19">
        <f t="shared" si="1625"/>
        <v>-18.36</v>
      </c>
      <c r="DW429" s="12">
        <f t="shared" si="1626"/>
        <v>14.071000347995405</v>
      </c>
      <c r="DX429" s="72">
        <f t="shared" si="1611"/>
        <v>98.996525396643392</v>
      </c>
      <c r="DY429" s="72">
        <f t="shared" si="1612"/>
        <v>98.996525396643392</v>
      </c>
      <c r="DZ429" s="12"/>
      <c r="EA429" s="15" t="s">
        <v>37</v>
      </c>
      <c r="EB429" s="15" t="s">
        <v>37</v>
      </c>
      <c r="EC429" s="15" t="s">
        <v>37</v>
      </c>
      <c r="ED429" s="15"/>
      <c r="EE429" s="15" t="s">
        <v>37</v>
      </c>
      <c r="EF429" s="15" t="s">
        <v>37</v>
      </c>
      <c r="EG429" s="15" t="s">
        <v>37</v>
      </c>
      <c r="EH429" s="15"/>
      <c r="EI429" s="15"/>
      <c r="EJ429" s="15"/>
      <c r="EK429" s="15"/>
      <c r="EL429" s="15"/>
      <c r="EN429" s="12" t="s">
        <v>37</v>
      </c>
      <c r="EO429" s="12" t="s">
        <v>37</v>
      </c>
      <c r="EP429" s="13" t="s">
        <v>37</v>
      </c>
      <c r="EQ429" s="13"/>
      <c r="ER429" s="12" t="s">
        <v>37</v>
      </c>
      <c r="ES429" s="12" t="s">
        <v>37</v>
      </c>
      <c r="ET429" s="13" t="s">
        <v>37</v>
      </c>
      <c r="EU429" s="13"/>
      <c r="EV429" s="13"/>
      <c r="EW429" s="13"/>
      <c r="EX429" s="13"/>
      <c r="EY429" s="13"/>
      <c r="FB429" s="11" t="s">
        <v>37</v>
      </c>
      <c r="FC429" s="11" t="s">
        <v>37</v>
      </c>
      <c r="FD429" s="11" t="s">
        <v>37</v>
      </c>
      <c r="FE429" s="12" t="s">
        <v>37</v>
      </c>
      <c r="FF429" s="20" t="s">
        <v>37</v>
      </c>
      <c r="FG429" s="11" t="s">
        <v>37</v>
      </c>
      <c r="FI429" s="11" t="s">
        <v>37</v>
      </c>
      <c r="FJ429" s="11" t="s">
        <v>37</v>
      </c>
      <c r="FK429" s="11" t="s">
        <v>37</v>
      </c>
      <c r="FL429" s="13" t="s">
        <v>37</v>
      </c>
      <c r="FM429" s="11" t="s">
        <v>37</v>
      </c>
      <c r="FN429" s="11" t="s">
        <v>37</v>
      </c>
      <c r="FP429" s="11" t="s">
        <v>37</v>
      </c>
      <c r="FQ429" s="11" t="s">
        <v>37</v>
      </c>
      <c r="FR429" s="11" t="s">
        <v>37</v>
      </c>
      <c r="FS429" s="13" t="s">
        <v>37</v>
      </c>
      <c r="FT429" s="11" t="s">
        <v>37</v>
      </c>
      <c r="FU429" s="11" t="s">
        <v>37</v>
      </c>
      <c r="FW429" s="11" t="s">
        <v>37</v>
      </c>
      <c r="FX429" s="11" t="s">
        <v>37</v>
      </c>
      <c r="FY429" s="11" t="s">
        <v>37</v>
      </c>
      <c r="FZ429" s="13" t="s">
        <v>37</v>
      </c>
      <c r="GA429" s="11" t="s">
        <v>37</v>
      </c>
      <c r="GB429" s="11" t="s">
        <v>37</v>
      </c>
      <c r="GE429" s="12" t="s">
        <v>37</v>
      </c>
      <c r="GF429" s="12" t="s">
        <v>37</v>
      </c>
      <c r="GG429" s="13" t="s">
        <v>37</v>
      </c>
      <c r="GH429" s="13"/>
      <c r="GI429" s="12" t="s">
        <v>37</v>
      </c>
      <c r="GJ429" s="12" t="s">
        <v>37</v>
      </c>
      <c r="GK429" s="13" t="s">
        <v>37</v>
      </c>
      <c r="GL429" s="13"/>
      <c r="GM429" s="13"/>
      <c r="GN429" s="13"/>
      <c r="GQ429" s="12" t="s">
        <v>37</v>
      </c>
      <c r="GR429" s="12" t="s">
        <v>37</v>
      </c>
      <c r="GS429" s="13" t="s">
        <v>37</v>
      </c>
      <c r="GT429" s="13"/>
      <c r="GU429" s="12" t="s">
        <v>37</v>
      </c>
      <c r="GV429" s="12" t="s">
        <v>37</v>
      </c>
      <c r="GW429" s="13" t="s">
        <v>37</v>
      </c>
      <c r="GX429" s="13"/>
      <c r="GY429" s="13"/>
      <c r="GZ429" s="13"/>
      <c r="HA429" s="12"/>
      <c r="HB429" s="32"/>
      <c r="HC429" s="12" t="s">
        <v>37</v>
      </c>
      <c r="HD429" s="12" t="s">
        <v>37</v>
      </c>
      <c r="HE429" s="13" t="s">
        <v>37</v>
      </c>
      <c r="HF429" s="13"/>
      <c r="HG429" s="12" t="s">
        <v>37</v>
      </c>
      <c r="HH429" s="12" t="s">
        <v>37</v>
      </c>
      <c r="HI429" s="13" t="s">
        <v>37</v>
      </c>
      <c r="HJ429" s="13"/>
      <c r="HK429" s="13"/>
      <c r="HL429" s="13"/>
      <c r="HM429" s="32"/>
      <c r="HN429" s="12" t="s">
        <v>37</v>
      </c>
      <c r="HO429" s="12" t="s">
        <v>37</v>
      </c>
      <c r="HP429" s="13" t="s">
        <v>37</v>
      </c>
      <c r="HQ429" s="13"/>
      <c r="HR429" s="12" t="s">
        <v>37</v>
      </c>
      <c r="HS429" s="12" t="s">
        <v>37</v>
      </c>
      <c r="HT429" s="13" t="s">
        <v>37</v>
      </c>
      <c r="HU429" s="13"/>
      <c r="HV429" s="13"/>
      <c r="HW429" s="13"/>
      <c r="HY429" s="12" t="s">
        <v>37</v>
      </c>
      <c r="HZ429" s="12" t="s">
        <v>37</v>
      </c>
      <c r="IA429" s="13" t="s">
        <v>37</v>
      </c>
      <c r="IB429" s="13"/>
      <c r="IC429" s="12" t="s">
        <v>37</v>
      </c>
      <c r="ID429" s="12" t="s">
        <v>37</v>
      </c>
      <c r="IE429" s="13" t="s">
        <v>37</v>
      </c>
      <c r="IF429" s="13"/>
      <c r="IG429" s="13"/>
      <c r="IH429" s="13"/>
      <c r="IK429" s="12" t="s">
        <v>37</v>
      </c>
      <c r="IL429" s="12" t="s">
        <v>37</v>
      </c>
      <c r="IM429" s="13" t="s">
        <v>37</v>
      </c>
      <c r="IN429" s="13"/>
      <c r="IO429" s="12" t="s">
        <v>37</v>
      </c>
      <c r="IP429" s="12" t="s">
        <v>37</v>
      </c>
      <c r="IQ429" s="13" t="s">
        <v>37</v>
      </c>
      <c r="IR429" s="13"/>
      <c r="IS429" s="13"/>
      <c r="IT429" s="13"/>
      <c r="IW429" s="12" t="s">
        <v>37</v>
      </c>
      <c r="IX429" s="12" t="s">
        <v>37</v>
      </c>
      <c r="IY429" s="13" t="s">
        <v>37</v>
      </c>
      <c r="IZ429" s="13"/>
      <c r="JA429" s="12" t="s">
        <v>37</v>
      </c>
      <c r="JB429" s="12" t="s">
        <v>37</v>
      </c>
      <c r="JC429" s="13" t="s">
        <v>37</v>
      </c>
      <c r="JD429" s="13"/>
      <c r="JE429" s="13"/>
      <c r="JF429" s="13"/>
      <c r="JH429" s="12" t="s">
        <v>37</v>
      </c>
      <c r="JI429" s="12" t="s">
        <v>37</v>
      </c>
      <c r="JJ429" s="13" t="s">
        <v>37</v>
      </c>
      <c r="JK429" s="13"/>
      <c r="JL429" s="12" t="s">
        <v>37</v>
      </c>
      <c r="JM429" s="12" t="s">
        <v>37</v>
      </c>
      <c r="JN429" s="12" t="s">
        <v>37</v>
      </c>
      <c r="JO429" s="12"/>
      <c r="JP429" s="12"/>
      <c r="JQ429" s="12"/>
      <c r="JS429" s="12" t="s">
        <v>37</v>
      </c>
      <c r="JT429" s="12" t="s">
        <v>37</v>
      </c>
      <c r="JU429" s="13" t="s">
        <v>37</v>
      </c>
      <c r="JV429" s="13"/>
      <c r="JW429" s="12" t="s">
        <v>37</v>
      </c>
      <c r="JX429" s="12" t="s">
        <v>37</v>
      </c>
      <c r="JY429" s="12" t="s">
        <v>37</v>
      </c>
      <c r="JZ429" s="12"/>
      <c r="KA429" s="12"/>
      <c r="KB429" s="12"/>
      <c r="KE429" s="11" t="s">
        <v>37</v>
      </c>
      <c r="KF429" s="11" t="s">
        <v>37</v>
      </c>
      <c r="KG429" s="13" t="s">
        <v>37</v>
      </c>
      <c r="KH429" s="11" t="s">
        <v>37</v>
      </c>
      <c r="KI429" s="11" t="s">
        <v>37</v>
      </c>
      <c r="KJ429" s="11" t="s">
        <v>37</v>
      </c>
      <c r="KM429" s="12" t="s">
        <v>37</v>
      </c>
      <c r="KN429" s="12" t="s">
        <v>37</v>
      </c>
      <c r="KO429" s="11" t="s">
        <v>37</v>
      </c>
      <c r="KP429" s="11"/>
      <c r="KQ429" s="12" t="s">
        <v>37</v>
      </c>
      <c r="KR429" s="12" t="s">
        <v>37</v>
      </c>
      <c r="KS429" s="13" t="s">
        <v>37</v>
      </c>
      <c r="KT429" s="13"/>
      <c r="KU429" s="13"/>
      <c r="KV429" s="13"/>
      <c r="KX429" s="12" t="s">
        <v>37</v>
      </c>
      <c r="KY429" s="12" t="s">
        <v>37</v>
      </c>
      <c r="KZ429" s="13" t="s">
        <v>37</v>
      </c>
      <c r="LA429" s="13"/>
      <c r="LB429" s="12" t="s">
        <v>37</v>
      </c>
      <c r="LC429" s="12" t="s">
        <v>37</v>
      </c>
      <c r="LD429" s="13" t="s">
        <v>37</v>
      </c>
      <c r="LE429" s="13"/>
      <c r="LF429" s="13"/>
      <c r="LG429" s="13"/>
      <c r="LI429" s="12" t="s">
        <v>37</v>
      </c>
      <c r="LJ429" s="12" t="s">
        <v>37</v>
      </c>
      <c r="LK429" s="12" t="s">
        <v>37</v>
      </c>
      <c r="LL429" s="12"/>
      <c r="LM429" s="12" t="s">
        <v>37</v>
      </c>
      <c r="LN429" s="12" t="s">
        <v>37</v>
      </c>
      <c r="LO429" s="12" t="s">
        <v>37</v>
      </c>
      <c r="LP429" s="12"/>
      <c r="LQ429" s="12"/>
      <c r="LR429" s="12"/>
      <c r="LU429" s="12" t="s">
        <v>37</v>
      </c>
      <c r="LV429" s="12" t="s">
        <v>37</v>
      </c>
      <c r="LW429" s="13" t="s">
        <v>37</v>
      </c>
      <c r="LX429" s="13"/>
      <c r="LY429" s="12" t="s">
        <v>37</v>
      </c>
      <c r="LZ429" s="12" t="s">
        <v>37</v>
      </c>
      <c r="MA429" s="12" t="s">
        <v>37</v>
      </c>
      <c r="MB429" s="12"/>
      <c r="MC429" s="12"/>
      <c r="MD429" s="12"/>
      <c r="MF429" s="12" t="s">
        <v>37</v>
      </c>
      <c r="MG429" s="12" t="s">
        <v>37</v>
      </c>
      <c r="MH429" s="12" t="s">
        <v>37</v>
      </c>
      <c r="MI429" s="12"/>
      <c r="MJ429" s="12" t="s">
        <v>37</v>
      </c>
      <c r="MK429" s="12" t="s">
        <v>37</v>
      </c>
      <c r="ML429" s="12" t="s">
        <v>37</v>
      </c>
      <c r="MM429" s="12"/>
      <c r="MN429" s="12"/>
      <c r="MO429" s="12"/>
      <c r="MQ429" s="12" t="s">
        <v>37</v>
      </c>
      <c r="MR429" s="12" t="s">
        <v>37</v>
      </c>
      <c r="MS429" s="12" t="s">
        <v>37</v>
      </c>
      <c r="MT429" s="12"/>
      <c r="MU429" s="12" t="s">
        <v>37</v>
      </c>
      <c r="MV429" s="12" t="s">
        <v>37</v>
      </c>
      <c r="MW429" s="12" t="s">
        <v>37</v>
      </c>
      <c r="MX429" s="12"/>
      <c r="MY429" s="12"/>
      <c r="MZ429" s="12"/>
      <c r="NC429" s="12" t="s">
        <v>37</v>
      </c>
      <c r="ND429" s="12" t="s">
        <v>37</v>
      </c>
      <c r="NE429" s="13" t="s">
        <v>37</v>
      </c>
      <c r="NF429" s="13"/>
      <c r="NG429" s="12" t="s">
        <v>37</v>
      </c>
      <c r="NH429" s="12" t="s">
        <v>37</v>
      </c>
      <c r="NI429" s="13" t="s">
        <v>37</v>
      </c>
      <c r="NJ429" s="13"/>
      <c r="NK429" s="13"/>
      <c r="NL429" s="13"/>
      <c r="NO429" s="12" t="s">
        <v>37</v>
      </c>
      <c r="NP429" s="12" t="s">
        <v>37</v>
      </c>
      <c r="NQ429" s="13" t="s">
        <v>37</v>
      </c>
      <c r="NR429" s="13"/>
      <c r="NS429" s="12" t="s">
        <v>37</v>
      </c>
      <c r="NT429" s="12" t="s">
        <v>37</v>
      </c>
      <c r="NU429" s="13" t="s">
        <v>37</v>
      </c>
      <c r="NV429" s="13"/>
      <c r="NW429" s="13"/>
      <c r="NX429" s="13"/>
      <c r="OA429" s="11" t="s">
        <v>37</v>
      </c>
      <c r="OB429" s="11" t="s">
        <v>37</v>
      </c>
      <c r="OC429" s="13" t="s">
        <v>37</v>
      </c>
      <c r="OE429" s="11" t="s">
        <v>37</v>
      </c>
      <c r="OF429" s="11" t="s">
        <v>37</v>
      </c>
      <c r="OG429" s="13" t="s">
        <v>37</v>
      </c>
      <c r="OM429" s="11" t="s">
        <v>37</v>
      </c>
      <c r="ON429" s="11" t="s">
        <v>37</v>
      </c>
      <c r="OO429" s="11" t="s">
        <v>37</v>
      </c>
      <c r="OP429" s="11" t="s">
        <v>37</v>
      </c>
      <c r="OQ429" s="11" t="s">
        <v>37</v>
      </c>
      <c r="OR429" s="11" t="s">
        <v>37</v>
      </c>
      <c r="OW429" s="11" t="s">
        <v>37</v>
      </c>
      <c r="OX429" s="11" t="s">
        <v>37</v>
      </c>
      <c r="OY429" s="13" t="s">
        <v>37</v>
      </c>
      <c r="OZ429" s="11" t="s">
        <v>37</v>
      </c>
      <c r="PA429" s="11" t="s">
        <v>37</v>
      </c>
      <c r="PB429" s="13" t="s">
        <v>37</v>
      </c>
      <c r="PG429" s="11" t="s">
        <v>37</v>
      </c>
      <c r="PH429" s="11" t="s">
        <v>37</v>
      </c>
      <c r="PI429" s="13" t="s">
        <v>37</v>
      </c>
      <c r="PJ429" s="11" t="s">
        <v>37</v>
      </c>
      <c r="PK429" s="11" t="s">
        <v>37</v>
      </c>
      <c r="PL429" s="13" t="s">
        <v>37</v>
      </c>
      <c r="PQ429" s="11" t="s">
        <v>37</v>
      </c>
      <c r="PR429" s="11" t="s">
        <v>37</v>
      </c>
      <c r="PS429" s="13" t="s">
        <v>37</v>
      </c>
      <c r="PT429" s="11" t="s">
        <v>37</v>
      </c>
      <c r="PU429" s="11" t="s">
        <v>37</v>
      </c>
      <c r="PV429" s="13" t="s">
        <v>37</v>
      </c>
      <c r="PZ429" s="12" t="s">
        <v>37</v>
      </c>
      <c r="QA429" s="12" t="s">
        <v>37</v>
      </c>
      <c r="QB429" s="11" t="s">
        <v>37</v>
      </c>
      <c r="QC429" s="11"/>
      <c r="QD429" s="12" t="s">
        <v>37</v>
      </c>
      <c r="QE429" s="12" t="s">
        <v>37</v>
      </c>
      <c r="QF429" s="12" t="s">
        <v>37</v>
      </c>
      <c r="QG429" s="12"/>
      <c r="QH429" s="12"/>
      <c r="QI429" s="12"/>
      <c r="QK429" s="11" t="s">
        <v>37</v>
      </c>
      <c r="QL429" s="11" t="s">
        <v>37</v>
      </c>
      <c r="QM429" s="13" t="s">
        <v>37</v>
      </c>
      <c r="QN429" s="11" t="s">
        <v>37</v>
      </c>
      <c r="QO429" s="11" t="s">
        <v>37</v>
      </c>
      <c r="QP429" s="13" t="s">
        <v>37</v>
      </c>
      <c r="QU429" s="11" t="s">
        <v>37</v>
      </c>
      <c r="QV429" s="11" t="s">
        <v>37</v>
      </c>
      <c r="QW429" s="13" t="s">
        <v>37</v>
      </c>
      <c r="QX429" s="11" t="s">
        <v>37</v>
      </c>
      <c r="QY429" s="11" t="s">
        <v>37</v>
      </c>
      <c r="QZ429" s="13" t="s">
        <v>37</v>
      </c>
      <c r="RC429" s="12" t="s">
        <v>37</v>
      </c>
      <c r="RD429" s="12" t="s">
        <v>37</v>
      </c>
      <c r="RE429" s="13" t="s">
        <v>37</v>
      </c>
      <c r="RF429" s="12" t="s">
        <v>37</v>
      </c>
      <c r="RG429" s="12" t="s">
        <v>37</v>
      </c>
      <c r="RH429" s="13" t="s">
        <v>37</v>
      </c>
      <c r="RK429" s="11" t="s">
        <v>37</v>
      </c>
      <c r="RL429" s="11" t="s">
        <v>37</v>
      </c>
      <c r="RM429" s="11" t="s">
        <v>37</v>
      </c>
      <c r="RN429" s="11" t="s">
        <v>37</v>
      </c>
      <c r="RO429" s="11" t="s">
        <v>37</v>
      </c>
      <c r="RP429" s="11" t="s">
        <v>37</v>
      </c>
      <c r="RS429" s="11" t="s">
        <v>37</v>
      </c>
      <c r="RT429" s="11" t="s">
        <v>37</v>
      </c>
      <c r="RU429" s="11" t="s">
        <v>37</v>
      </c>
      <c r="RV429" s="11" t="s">
        <v>37</v>
      </c>
      <c r="RW429" s="11" t="s">
        <v>37</v>
      </c>
      <c r="RX429" s="11" t="s">
        <v>37</v>
      </c>
      <c r="SA429" s="11" t="s">
        <v>37</v>
      </c>
      <c r="SB429" s="11" t="s">
        <v>37</v>
      </c>
      <c r="SC429" s="13" t="s">
        <v>37</v>
      </c>
      <c r="SD429" s="11" t="s">
        <v>37</v>
      </c>
      <c r="SE429" s="11" t="s">
        <v>37</v>
      </c>
      <c r="SF429" s="13" t="s">
        <v>37</v>
      </c>
      <c r="SI429" s="12" t="s">
        <v>37</v>
      </c>
      <c r="SJ429" s="11" t="s">
        <v>37</v>
      </c>
      <c r="SK429" s="13" t="s">
        <v>37</v>
      </c>
      <c r="SL429" s="13"/>
      <c r="SM429" s="11" t="s">
        <v>37</v>
      </c>
      <c r="SN429" s="11" t="s">
        <v>37</v>
      </c>
      <c r="SO429" s="13" t="s">
        <v>37</v>
      </c>
      <c r="SP429" s="13"/>
      <c r="SQ429" s="13"/>
      <c r="SR429" s="13"/>
      <c r="SU429" s="12" t="s">
        <v>37</v>
      </c>
      <c r="SV429" s="12" t="s">
        <v>37</v>
      </c>
      <c r="SW429" s="11" t="s">
        <v>37</v>
      </c>
      <c r="SX429" s="12" t="s">
        <v>37</v>
      </c>
      <c r="SY429" s="12" t="s">
        <v>37</v>
      </c>
      <c r="SZ429" s="11" t="s">
        <v>37</v>
      </c>
      <c r="TE429" s="12" t="s">
        <v>37</v>
      </c>
      <c r="TF429" s="12" t="s">
        <v>37</v>
      </c>
      <c r="TG429" s="11" t="s">
        <v>37</v>
      </c>
      <c r="TH429" s="12" t="s">
        <v>37</v>
      </c>
      <c r="TI429" s="12" t="s">
        <v>37</v>
      </c>
      <c r="TJ429" s="11" t="s">
        <v>37</v>
      </c>
      <c r="TO429" s="12" t="s">
        <v>37</v>
      </c>
      <c r="TP429" s="12" t="s">
        <v>37</v>
      </c>
      <c r="TQ429" s="11" t="s">
        <v>37</v>
      </c>
      <c r="TR429" s="12" t="s">
        <v>37</v>
      </c>
      <c r="TS429" s="12" t="s">
        <v>37</v>
      </c>
      <c r="TT429" s="11" t="s">
        <v>37</v>
      </c>
      <c r="TY429" s="12" t="s">
        <v>37</v>
      </c>
      <c r="TZ429" s="12" t="s">
        <v>37</v>
      </c>
      <c r="UA429" s="11" t="s">
        <v>37</v>
      </c>
      <c r="UB429" s="12" t="s">
        <v>37</v>
      </c>
      <c r="UC429" s="12" t="s">
        <v>37</v>
      </c>
      <c r="UD429" s="11" t="s">
        <v>37</v>
      </c>
      <c r="UI429" s="12" t="s">
        <v>37</v>
      </c>
      <c r="UJ429" s="12" t="s">
        <v>37</v>
      </c>
      <c r="UK429" s="13" t="s">
        <v>37</v>
      </c>
      <c r="UL429" s="12" t="s">
        <v>37</v>
      </c>
      <c r="UM429" s="12" t="s">
        <v>37</v>
      </c>
      <c r="UN429" s="13" t="s">
        <v>37</v>
      </c>
      <c r="UR429" s="12" t="s">
        <v>37</v>
      </c>
      <c r="US429" s="12" t="s">
        <v>37</v>
      </c>
      <c r="UT429" s="13" t="s">
        <v>37</v>
      </c>
      <c r="UU429" s="12" t="s">
        <v>37</v>
      </c>
      <c r="UV429" s="12" t="s">
        <v>37</v>
      </c>
      <c r="UW429" s="13" t="s">
        <v>37</v>
      </c>
      <c r="VB429" s="12" t="s">
        <v>37</v>
      </c>
      <c r="VC429" s="12" t="s">
        <v>37</v>
      </c>
      <c r="VD429" s="13" t="s">
        <v>37</v>
      </c>
      <c r="VE429" s="12" t="s">
        <v>37</v>
      </c>
      <c r="VF429" s="12" t="s">
        <v>37</v>
      </c>
      <c r="VG429" s="13" t="s">
        <v>37</v>
      </c>
      <c r="VI429" s="12" t="s">
        <v>37</v>
      </c>
      <c r="VJ429" s="12" t="s">
        <v>37</v>
      </c>
      <c r="VK429" s="13" t="s">
        <v>37</v>
      </c>
      <c r="VL429" s="12" t="s">
        <v>37</v>
      </c>
      <c r="VM429" s="12" t="s">
        <v>37</v>
      </c>
      <c r="VN429" s="13" t="s">
        <v>37</v>
      </c>
      <c r="VQ429" s="12" t="s">
        <v>37</v>
      </c>
      <c r="VR429" s="12" t="s">
        <v>37</v>
      </c>
      <c r="VS429" s="12" t="s">
        <v>37</v>
      </c>
      <c r="VT429" s="12" t="s">
        <v>37</v>
      </c>
      <c r="VU429" s="12" t="s">
        <v>37</v>
      </c>
      <c r="VV429" s="12" t="s">
        <v>37</v>
      </c>
      <c r="VW429" s="12"/>
      <c r="VX429" s="12"/>
      <c r="WA429" s="13" t="s">
        <v>37</v>
      </c>
      <c r="WB429" s="13" t="s">
        <v>37</v>
      </c>
      <c r="WC429" s="13" t="s">
        <v>37</v>
      </c>
      <c r="WD429" s="13" t="s">
        <v>37</v>
      </c>
      <c r="WE429" s="13" t="s">
        <v>37</v>
      </c>
      <c r="WF429" s="13" t="s">
        <v>37</v>
      </c>
    </row>
    <row r="430" spans="1:604" ht="17.399999999999999" x14ac:dyDescent="0.4">
      <c r="A430" s="11">
        <v>97</v>
      </c>
      <c r="B430" s="12" t="s">
        <v>945</v>
      </c>
      <c r="C430" s="12" t="s">
        <v>26</v>
      </c>
      <c r="D430" s="12" t="s">
        <v>974</v>
      </c>
      <c r="E430" s="14">
        <v>0.6</v>
      </c>
      <c r="F430" s="72">
        <v>25</v>
      </c>
      <c r="G430" s="14">
        <v>0</v>
      </c>
      <c r="H430" s="12" t="s">
        <v>106</v>
      </c>
      <c r="I430" s="29">
        <v>53.417000000000002</v>
      </c>
      <c r="J430" s="29">
        <v>-8</v>
      </c>
      <c r="K430" s="12" t="s">
        <v>946</v>
      </c>
      <c r="L430" s="12" t="s">
        <v>947</v>
      </c>
      <c r="M430" s="13" t="s">
        <v>37</v>
      </c>
      <c r="N430" s="14" t="s">
        <v>37</v>
      </c>
      <c r="O430" s="14" t="s">
        <v>37</v>
      </c>
      <c r="P430" s="14" t="s">
        <v>16</v>
      </c>
      <c r="Q430" s="75" t="s">
        <v>37</v>
      </c>
      <c r="R430" s="11" t="s">
        <v>37</v>
      </c>
      <c r="S430" s="12" t="s">
        <v>93</v>
      </c>
      <c r="T430" s="12" t="s">
        <v>138</v>
      </c>
      <c r="U430" s="12" t="s">
        <v>158</v>
      </c>
      <c r="V430" s="12" t="s">
        <v>275</v>
      </c>
      <c r="W430" s="23" t="s">
        <v>37</v>
      </c>
      <c r="X430" s="12" t="s">
        <v>37</v>
      </c>
      <c r="Y430" s="12" t="s">
        <v>69</v>
      </c>
      <c r="Z430" s="12" t="s">
        <v>37</v>
      </c>
      <c r="AA430" s="23"/>
      <c r="AB430" s="12" t="s">
        <v>37</v>
      </c>
      <c r="AC430" s="12" t="s">
        <v>37</v>
      </c>
      <c r="AD430" s="23"/>
      <c r="AE430" s="12" t="s">
        <v>37</v>
      </c>
      <c r="AH430" s="12" t="s">
        <v>37</v>
      </c>
      <c r="AJ430" s="23"/>
      <c r="AK430" s="23" t="s">
        <v>326</v>
      </c>
      <c r="AL430" s="32" t="s">
        <v>37</v>
      </c>
      <c r="AM430" s="20" t="s">
        <v>344</v>
      </c>
      <c r="AO430" s="20" t="s">
        <v>37</v>
      </c>
      <c r="AP430" s="20" t="s">
        <v>37</v>
      </c>
      <c r="AQ430" s="20" t="s">
        <v>975</v>
      </c>
      <c r="AT430" s="12" t="s">
        <v>37</v>
      </c>
      <c r="AU430" s="12" t="s">
        <v>37</v>
      </c>
      <c r="AV430" s="13" t="s">
        <v>37</v>
      </c>
      <c r="AX430" s="12" t="s">
        <v>37</v>
      </c>
      <c r="AY430" s="12" t="s">
        <v>37</v>
      </c>
      <c r="AZ430" s="13" t="s">
        <v>37</v>
      </c>
      <c r="BE430" s="12" t="s">
        <v>37</v>
      </c>
      <c r="BF430" s="12" t="s">
        <v>37</v>
      </c>
      <c r="BG430" s="13" t="s">
        <v>37</v>
      </c>
      <c r="BH430" s="13"/>
      <c r="BI430" s="12" t="s">
        <v>37</v>
      </c>
      <c r="BJ430" s="12" t="s">
        <v>37</v>
      </c>
      <c r="BK430" s="13" t="s">
        <v>37</v>
      </c>
      <c r="BL430" s="13"/>
      <c r="BM430" s="13"/>
      <c r="BN430" s="13"/>
      <c r="BP430" s="12" t="s">
        <v>37</v>
      </c>
      <c r="BQ430" s="12" t="s">
        <v>37</v>
      </c>
      <c r="BR430" s="13" t="s">
        <v>37</v>
      </c>
      <c r="BS430" s="13"/>
      <c r="BT430" s="12" t="s">
        <v>37</v>
      </c>
      <c r="BU430" s="12" t="s">
        <v>37</v>
      </c>
      <c r="BV430" s="12" t="s">
        <v>37</v>
      </c>
      <c r="BW430" s="12"/>
      <c r="BX430" s="12"/>
      <c r="BY430" s="12"/>
      <c r="CA430" s="12" t="s">
        <v>37</v>
      </c>
      <c r="CB430" s="12" t="s">
        <v>37</v>
      </c>
      <c r="CC430" s="13" t="s">
        <v>37</v>
      </c>
      <c r="CD430" s="13"/>
      <c r="CE430" s="12" t="s">
        <v>37</v>
      </c>
      <c r="CF430" s="12" t="s">
        <v>37</v>
      </c>
      <c r="CG430" s="13" t="s">
        <v>37</v>
      </c>
      <c r="CH430" s="13"/>
      <c r="CI430" s="13"/>
      <c r="CJ430" s="13"/>
      <c r="CN430" s="12" t="s">
        <v>37</v>
      </c>
      <c r="CO430" s="12" t="s">
        <v>37</v>
      </c>
      <c r="CP430" s="13" t="s">
        <v>37</v>
      </c>
      <c r="CQ430" s="13"/>
      <c r="CR430" s="12" t="s">
        <v>37</v>
      </c>
      <c r="CS430" s="12" t="s">
        <v>37</v>
      </c>
      <c r="CT430" s="13" t="s">
        <v>37</v>
      </c>
      <c r="CU430" s="13"/>
      <c r="CV430" s="13"/>
      <c r="CW430" s="13"/>
      <c r="CX430" s="72"/>
      <c r="CY430" s="72"/>
      <c r="DA430" s="12" t="s">
        <v>37</v>
      </c>
      <c r="DB430" s="12" t="s">
        <v>37</v>
      </c>
      <c r="DC430" s="13" t="s">
        <v>37</v>
      </c>
      <c r="DD430" s="13"/>
      <c r="DE430" s="12" t="s">
        <v>37</v>
      </c>
      <c r="DF430" s="12" t="s">
        <v>37</v>
      </c>
      <c r="DG430" s="13" t="s">
        <v>37</v>
      </c>
      <c r="DH430" s="13"/>
      <c r="DI430" s="13"/>
      <c r="DJ430" s="13"/>
      <c r="DM430" s="15" t="s">
        <v>47</v>
      </c>
      <c r="DN430" s="15">
        <v>11.866666666666667</v>
      </c>
      <c r="DO430" s="50">
        <f t="shared" si="1623"/>
        <v>13.229900898031111</v>
      </c>
      <c r="DP430" s="18">
        <v>4</v>
      </c>
      <c r="DQ430" s="18"/>
      <c r="DR430" s="15">
        <v>-0.6</v>
      </c>
      <c r="DS430" s="50">
        <f t="shared" si="1624"/>
        <v>2.2423297767786057</v>
      </c>
      <c r="DT430" s="18">
        <v>4</v>
      </c>
      <c r="DU430" s="18"/>
      <c r="DV430" s="19">
        <f t="shared" si="1625"/>
        <v>-12.466666666666667</v>
      </c>
      <c r="DW430" s="12">
        <f t="shared" si="1626"/>
        <v>9.4883697387789532</v>
      </c>
      <c r="DX430" s="72">
        <f t="shared" si="1611"/>
        <v>45.014580149888097</v>
      </c>
      <c r="DY430" s="72">
        <f t="shared" si="1612"/>
        <v>45.014580149888097</v>
      </c>
      <c r="DZ430" s="15"/>
      <c r="EA430" s="15" t="s">
        <v>37</v>
      </c>
      <c r="EB430" s="15" t="s">
        <v>37</v>
      </c>
      <c r="EC430" s="15" t="s">
        <v>37</v>
      </c>
      <c r="ED430" s="15"/>
      <c r="EE430" s="15" t="s">
        <v>37</v>
      </c>
      <c r="EF430" s="15" t="s">
        <v>37</v>
      </c>
      <c r="EG430" s="15" t="s">
        <v>37</v>
      </c>
      <c r="EH430" s="15"/>
      <c r="EI430" s="15"/>
      <c r="EJ430" s="15"/>
      <c r="EK430" s="15"/>
      <c r="EL430" s="15"/>
      <c r="EN430" s="12" t="s">
        <v>37</v>
      </c>
      <c r="EO430" s="12" t="s">
        <v>37</v>
      </c>
      <c r="EP430" s="13" t="s">
        <v>37</v>
      </c>
      <c r="EQ430" s="13"/>
      <c r="ER430" s="12" t="s">
        <v>37</v>
      </c>
      <c r="ES430" s="12" t="s">
        <v>37</v>
      </c>
      <c r="ET430" s="13" t="s">
        <v>37</v>
      </c>
      <c r="EU430" s="13"/>
      <c r="EV430" s="13"/>
      <c r="EW430" s="13"/>
      <c r="EX430" s="13"/>
      <c r="EY430" s="13"/>
      <c r="FB430" s="11" t="s">
        <v>37</v>
      </c>
      <c r="FC430" s="11" t="s">
        <v>37</v>
      </c>
      <c r="FD430" s="11" t="s">
        <v>37</v>
      </c>
      <c r="FE430" s="12" t="s">
        <v>37</v>
      </c>
      <c r="FF430" s="20" t="s">
        <v>37</v>
      </c>
      <c r="FG430" s="11" t="s">
        <v>37</v>
      </c>
      <c r="FI430" s="11" t="s">
        <v>37</v>
      </c>
      <c r="FJ430" s="11" t="s">
        <v>37</v>
      </c>
      <c r="FK430" s="11" t="s">
        <v>37</v>
      </c>
      <c r="FL430" s="13" t="s">
        <v>37</v>
      </c>
      <c r="FM430" s="11" t="s">
        <v>37</v>
      </c>
      <c r="FN430" s="11" t="s">
        <v>37</v>
      </c>
      <c r="FP430" s="11" t="s">
        <v>37</v>
      </c>
      <c r="FQ430" s="11" t="s">
        <v>37</v>
      </c>
      <c r="FR430" s="11" t="s">
        <v>37</v>
      </c>
      <c r="FS430" s="13" t="s">
        <v>37</v>
      </c>
      <c r="FT430" s="11" t="s">
        <v>37</v>
      </c>
      <c r="FU430" s="11" t="s">
        <v>37</v>
      </c>
      <c r="FW430" s="11" t="s">
        <v>37</v>
      </c>
      <c r="FX430" s="11" t="s">
        <v>37</v>
      </c>
      <c r="FY430" s="11" t="s">
        <v>37</v>
      </c>
      <c r="FZ430" s="13" t="s">
        <v>37</v>
      </c>
      <c r="GA430" s="11" t="s">
        <v>37</v>
      </c>
      <c r="GB430" s="11" t="s">
        <v>37</v>
      </c>
      <c r="GE430" s="12" t="s">
        <v>37</v>
      </c>
      <c r="GF430" s="12" t="s">
        <v>37</v>
      </c>
      <c r="GG430" s="13" t="s">
        <v>37</v>
      </c>
      <c r="GH430" s="13"/>
      <c r="GI430" s="12" t="s">
        <v>37</v>
      </c>
      <c r="GJ430" s="12" t="s">
        <v>37</v>
      </c>
      <c r="GK430" s="13" t="s">
        <v>37</v>
      </c>
      <c r="GL430" s="13"/>
      <c r="GM430" s="13"/>
      <c r="GN430" s="13"/>
      <c r="GQ430" s="12" t="s">
        <v>37</v>
      </c>
      <c r="GR430" s="12" t="s">
        <v>37</v>
      </c>
      <c r="GS430" s="13" t="s">
        <v>37</v>
      </c>
      <c r="GT430" s="13"/>
      <c r="GU430" s="12" t="s">
        <v>37</v>
      </c>
      <c r="GV430" s="12" t="s">
        <v>37</v>
      </c>
      <c r="GW430" s="13" t="s">
        <v>37</v>
      </c>
      <c r="GX430" s="13"/>
      <c r="GY430" s="13"/>
      <c r="GZ430" s="13"/>
      <c r="HA430" s="12"/>
      <c r="HB430" s="32"/>
      <c r="HC430" s="12" t="s">
        <v>37</v>
      </c>
      <c r="HD430" s="12" t="s">
        <v>37</v>
      </c>
      <c r="HE430" s="13" t="s">
        <v>37</v>
      </c>
      <c r="HF430" s="13"/>
      <c r="HG430" s="12" t="s">
        <v>37</v>
      </c>
      <c r="HH430" s="12" t="s">
        <v>37</v>
      </c>
      <c r="HI430" s="13" t="s">
        <v>37</v>
      </c>
      <c r="HJ430" s="13"/>
      <c r="HK430" s="13"/>
      <c r="HL430" s="13"/>
      <c r="HM430" s="32"/>
      <c r="HN430" s="12" t="s">
        <v>37</v>
      </c>
      <c r="HO430" s="12" t="s">
        <v>37</v>
      </c>
      <c r="HP430" s="13" t="s">
        <v>37</v>
      </c>
      <c r="HQ430" s="13"/>
      <c r="HR430" s="12" t="s">
        <v>37</v>
      </c>
      <c r="HS430" s="12" t="s">
        <v>37</v>
      </c>
      <c r="HT430" s="13" t="s">
        <v>37</v>
      </c>
      <c r="HU430" s="13"/>
      <c r="HV430" s="13"/>
      <c r="HW430" s="13"/>
      <c r="HY430" s="12" t="s">
        <v>37</v>
      </c>
      <c r="HZ430" s="12" t="s">
        <v>37</v>
      </c>
      <c r="IA430" s="13" t="s">
        <v>37</v>
      </c>
      <c r="IB430" s="13"/>
      <c r="IC430" s="12" t="s">
        <v>37</v>
      </c>
      <c r="ID430" s="12" t="s">
        <v>37</v>
      </c>
      <c r="IE430" s="13" t="s">
        <v>37</v>
      </c>
      <c r="IF430" s="13"/>
      <c r="IG430" s="13"/>
      <c r="IH430" s="13"/>
      <c r="IK430" s="12" t="s">
        <v>37</v>
      </c>
      <c r="IL430" s="12" t="s">
        <v>37</v>
      </c>
      <c r="IM430" s="13" t="s">
        <v>37</v>
      </c>
      <c r="IN430" s="13"/>
      <c r="IO430" s="12" t="s">
        <v>37</v>
      </c>
      <c r="IP430" s="12" t="s">
        <v>37</v>
      </c>
      <c r="IQ430" s="13" t="s">
        <v>37</v>
      </c>
      <c r="IR430" s="13"/>
      <c r="IS430" s="13"/>
      <c r="IT430" s="13"/>
      <c r="IW430" s="12" t="s">
        <v>37</v>
      </c>
      <c r="IX430" s="12" t="s">
        <v>37</v>
      </c>
      <c r="IY430" s="13" t="s">
        <v>37</v>
      </c>
      <c r="IZ430" s="13"/>
      <c r="JA430" s="12" t="s">
        <v>37</v>
      </c>
      <c r="JB430" s="12" t="s">
        <v>37</v>
      </c>
      <c r="JC430" s="13" t="s">
        <v>37</v>
      </c>
      <c r="JD430" s="13"/>
      <c r="JE430" s="13"/>
      <c r="JF430" s="13"/>
      <c r="JH430" s="12" t="s">
        <v>37</v>
      </c>
      <c r="JI430" s="12" t="s">
        <v>37</v>
      </c>
      <c r="JJ430" s="13" t="s">
        <v>37</v>
      </c>
      <c r="JK430" s="13"/>
      <c r="JL430" s="12" t="s">
        <v>37</v>
      </c>
      <c r="JM430" s="12" t="s">
        <v>37</v>
      </c>
      <c r="JN430" s="12" t="s">
        <v>37</v>
      </c>
      <c r="JO430" s="12"/>
      <c r="JP430" s="12"/>
      <c r="JQ430" s="12"/>
      <c r="JS430" s="12" t="s">
        <v>37</v>
      </c>
      <c r="JT430" s="12" t="s">
        <v>37</v>
      </c>
      <c r="JU430" s="13" t="s">
        <v>37</v>
      </c>
      <c r="JV430" s="13"/>
      <c r="JW430" s="12" t="s">
        <v>37</v>
      </c>
      <c r="JX430" s="12" t="s">
        <v>37</v>
      </c>
      <c r="JY430" s="12" t="s">
        <v>37</v>
      </c>
      <c r="JZ430" s="12"/>
      <c r="KA430" s="12"/>
      <c r="KB430" s="12"/>
      <c r="KE430" s="11" t="s">
        <v>37</v>
      </c>
      <c r="KF430" s="11" t="s">
        <v>37</v>
      </c>
      <c r="KG430" s="13" t="s">
        <v>37</v>
      </c>
      <c r="KH430" s="11" t="s">
        <v>37</v>
      </c>
      <c r="KI430" s="11" t="s">
        <v>37</v>
      </c>
      <c r="KJ430" s="11" t="s">
        <v>37</v>
      </c>
      <c r="KM430" s="12" t="s">
        <v>37</v>
      </c>
      <c r="KN430" s="12" t="s">
        <v>37</v>
      </c>
      <c r="KO430" s="11" t="s">
        <v>37</v>
      </c>
      <c r="KP430" s="11"/>
      <c r="KQ430" s="12" t="s">
        <v>37</v>
      </c>
      <c r="KR430" s="12" t="s">
        <v>37</v>
      </c>
      <c r="KS430" s="13" t="s">
        <v>37</v>
      </c>
      <c r="KT430" s="13"/>
      <c r="KU430" s="13"/>
      <c r="KV430" s="13"/>
      <c r="KX430" s="12" t="s">
        <v>37</v>
      </c>
      <c r="KY430" s="12" t="s">
        <v>37</v>
      </c>
      <c r="KZ430" s="13" t="s">
        <v>37</v>
      </c>
      <c r="LA430" s="13"/>
      <c r="LB430" s="12" t="s">
        <v>37</v>
      </c>
      <c r="LC430" s="12" t="s">
        <v>37</v>
      </c>
      <c r="LD430" s="13" t="s">
        <v>37</v>
      </c>
      <c r="LE430" s="13"/>
      <c r="LF430" s="13"/>
      <c r="LG430" s="13"/>
      <c r="LI430" s="12" t="s">
        <v>37</v>
      </c>
      <c r="LJ430" s="12" t="s">
        <v>37</v>
      </c>
      <c r="LK430" s="12" t="s">
        <v>37</v>
      </c>
      <c r="LL430" s="12"/>
      <c r="LM430" s="12" t="s">
        <v>37</v>
      </c>
      <c r="LN430" s="12" t="s">
        <v>37</v>
      </c>
      <c r="LO430" s="12" t="s">
        <v>37</v>
      </c>
      <c r="LP430" s="12"/>
      <c r="LQ430" s="12"/>
      <c r="LR430" s="12"/>
      <c r="LU430" s="12" t="s">
        <v>37</v>
      </c>
      <c r="LV430" s="12" t="s">
        <v>37</v>
      </c>
      <c r="LW430" s="13" t="s">
        <v>37</v>
      </c>
      <c r="LX430" s="13"/>
      <c r="LY430" s="12" t="s">
        <v>37</v>
      </c>
      <c r="LZ430" s="12" t="s">
        <v>37</v>
      </c>
      <c r="MA430" s="12" t="s">
        <v>37</v>
      </c>
      <c r="MB430" s="12"/>
      <c r="MC430" s="12"/>
      <c r="MD430" s="12"/>
      <c r="MF430" s="12" t="s">
        <v>37</v>
      </c>
      <c r="MG430" s="12" t="s">
        <v>37</v>
      </c>
      <c r="MH430" s="12" t="s">
        <v>37</v>
      </c>
      <c r="MI430" s="12"/>
      <c r="MJ430" s="12" t="s">
        <v>37</v>
      </c>
      <c r="MK430" s="12" t="s">
        <v>37</v>
      </c>
      <c r="ML430" s="12" t="s">
        <v>37</v>
      </c>
      <c r="MM430" s="12"/>
      <c r="MN430" s="12"/>
      <c r="MO430" s="12"/>
      <c r="MQ430" s="12" t="s">
        <v>37</v>
      </c>
      <c r="MR430" s="12" t="s">
        <v>37</v>
      </c>
      <c r="MS430" s="12" t="s">
        <v>37</v>
      </c>
      <c r="MT430" s="12"/>
      <c r="MU430" s="12" t="s">
        <v>37</v>
      </c>
      <c r="MV430" s="12" t="s">
        <v>37</v>
      </c>
      <c r="MW430" s="12" t="s">
        <v>37</v>
      </c>
      <c r="MX430" s="12"/>
      <c r="MY430" s="12"/>
      <c r="MZ430" s="12"/>
      <c r="NC430" s="12" t="s">
        <v>37</v>
      </c>
      <c r="ND430" s="12" t="s">
        <v>37</v>
      </c>
      <c r="NE430" s="13" t="s">
        <v>37</v>
      </c>
      <c r="NF430" s="13"/>
      <c r="NG430" s="12" t="s">
        <v>37</v>
      </c>
      <c r="NH430" s="12" t="s">
        <v>37</v>
      </c>
      <c r="NI430" s="13" t="s">
        <v>37</v>
      </c>
      <c r="NJ430" s="13"/>
      <c r="NK430" s="13"/>
      <c r="NL430" s="13"/>
      <c r="NO430" s="12" t="s">
        <v>37</v>
      </c>
      <c r="NP430" s="12" t="s">
        <v>37</v>
      </c>
      <c r="NQ430" s="13" t="s">
        <v>37</v>
      </c>
      <c r="NR430" s="13"/>
      <c r="NS430" s="12" t="s">
        <v>37</v>
      </c>
      <c r="NT430" s="12" t="s">
        <v>37</v>
      </c>
      <c r="NU430" s="13" t="s">
        <v>37</v>
      </c>
      <c r="NV430" s="13"/>
      <c r="NW430" s="13"/>
      <c r="NX430" s="13"/>
      <c r="OA430" s="11" t="s">
        <v>37</v>
      </c>
      <c r="OB430" s="11" t="s">
        <v>37</v>
      </c>
      <c r="OC430" s="13" t="s">
        <v>37</v>
      </c>
      <c r="OE430" s="11" t="s">
        <v>37</v>
      </c>
      <c r="OF430" s="11" t="s">
        <v>37</v>
      </c>
      <c r="OG430" s="13" t="s">
        <v>37</v>
      </c>
      <c r="OM430" s="11" t="s">
        <v>37</v>
      </c>
      <c r="ON430" s="11" t="s">
        <v>37</v>
      </c>
      <c r="OO430" s="11" t="s">
        <v>37</v>
      </c>
      <c r="OP430" s="11" t="s">
        <v>37</v>
      </c>
      <c r="OQ430" s="11" t="s">
        <v>37</v>
      </c>
      <c r="OR430" s="11" t="s">
        <v>37</v>
      </c>
      <c r="OW430" s="11" t="s">
        <v>37</v>
      </c>
      <c r="OX430" s="11" t="s">
        <v>37</v>
      </c>
      <c r="OY430" s="13" t="s">
        <v>37</v>
      </c>
      <c r="OZ430" s="11" t="s">
        <v>37</v>
      </c>
      <c r="PA430" s="11" t="s">
        <v>37</v>
      </c>
      <c r="PB430" s="13" t="s">
        <v>37</v>
      </c>
      <c r="PG430" s="11" t="s">
        <v>37</v>
      </c>
      <c r="PH430" s="11" t="s">
        <v>37</v>
      </c>
      <c r="PI430" s="13" t="s">
        <v>37</v>
      </c>
      <c r="PJ430" s="11" t="s">
        <v>37</v>
      </c>
      <c r="PK430" s="11" t="s">
        <v>37</v>
      </c>
      <c r="PL430" s="13" t="s">
        <v>37</v>
      </c>
      <c r="PQ430" s="11" t="s">
        <v>37</v>
      </c>
      <c r="PR430" s="11" t="s">
        <v>37</v>
      </c>
      <c r="PS430" s="13" t="s">
        <v>37</v>
      </c>
      <c r="PT430" s="11" t="s">
        <v>37</v>
      </c>
      <c r="PU430" s="11" t="s">
        <v>37</v>
      </c>
      <c r="PV430" s="13" t="s">
        <v>37</v>
      </c>
      <c r="PZ430" s="12" t="s">
        <v>37</v>
      </c>
      <c r="QA430" s="12" t="s">
        <v>37</v>
      </c>
      <c r="QB430" s="11" t="s">
        <v>37</v>
      </c>
      <c r="QC430" s="11"/>
      <c r="QD430" s="12" t="s">
        <v>37</v>
      </c>
      <c r="QE430" s="12" t="s">
        <v>37</v>
      </c>
      <c r="QF430" s="12" t="s">
        <v>37</v>
      </c>
      <c r="QG430" s="12"/>
      <c r="QH430" s="12"/>
      <c r="QI430" s="12"/>
      <c r="QK430" s="11" t="s">
        <v>37</v>
      </c>
      <c r="QL430" s="11" t="s">
        <v>37</v>
      </c>
      <c r="QM430" s="13" t="s">
        <v>37</v>
      </c>
      <c r="QN430" s="11" t="s">
        <v>37</v>
      </c>
      <c r="QO430" s="11" t="s">
        <v>37</v>
      </c>
      <c r="QP430" s="13" t="s">
        <v>37</v>
      </c>
      <c r="QU430" s="11" t="s">
        <v>37</v>
      </c>
      <c r="QV430" s="11" t="s">
        <v>37</v>
      </c>
      <c r="QW430" s="13" t="s">
        <v>37</v>
      </c>
      <c r="QX430" s="11" t="s">
        <v>37</v>
      </c>
      <c r="QY430" s="11" t="s">
        <v>37</v>
      </c>
      <c r="QZ430" s="13" t="s">
        <v>37</v>
      </c>
      <c r="RC430" s="12" t="s">
        <v>37</v>
      </c>
      <c r="RD430" s="12" t="s">
        <v>37</v>
      </c>
      <c r="RE430" s="13" t="s">
        <v>37</v>
      </c>
      <c r="RF430" s="12" t="s">
        <v>37</v>
      </c>
      <c r="RG430" s="12" t="s">
        <v>37</v>
      </c>
      <c r="RH430" s="13" t="s">
        <v>37</v>
      </c>
      <c r="RK430" s="11" t="s">
        <v>37</v>
      </c>
      <c r="RL430" s="11" t="s">
        <v>37</v>
      </c>
      <c r="RM430" s="11" t="s">
        <v>37</v>
      </c>
      <c r="RN430" s="11" t="s">
        <v>37</v>
      </c>
      <c r="RO430" s="11" t="s">
        <v>37</v>
      </c>
      <c r="RP430" s="11" t="s">
        <v>37</v>
      </c>
      <c r="RS430" s="11" t="s">
        <v>37</v>
      </c>
      <c r="RT430" s="11" t="s">
        <v>37</v>
      </c>
      <c r="RU430" s="11" t="s">
        <v>37</v>
      </c>
      <c r="RV430" s="11" t="s">
        <v>37</v>
      </c>
      <c r="RW430" s="11" t="s">
        <v>37</v>
      </c>
      <c r="RX430" s="11" t="s">
        <v>37</v>
      </c>
      <c r="SA430" s="11" t="s">
        <v>37</v>
      </c>
      <c r="SB430" s="11" t="s">
        <v>37</v>
      </c>
      <c r="SC430" s="13" t="s">
        <v>37</v>
      </c>
      <c r="SD430" s="11" t="s">
        <v>37</v>
      </c>
      <c r="SE430" s="11" t="s">
        <v>37</v>
      </c>
      <c r="SF430" s="13" t="s">
        <v>37</v>
      </c>
      <c r="SI430" s="12" t="s">
        <v>37</v>
      </c>
      <c r="SJ430" s="11" t="s">
        <v>37</v>
      </c>
      <c r="SK430" s="13" t="s">
        <v>37</v>
      </c>
      <c r="SL430" s="13"/>
      <c r="SM430" s="11" t="s">
        <v>37</v>
      </c>
      <c r="SN430" s="11" t="s">
        <v>37</v>
      </c>
      <c r="SO430" s="13" t="s">
        <v>37</v>
      </c>
      <c r="SP430" s="13"/>
      <c r="SQ430" s="13"/>
      <c r="SR430" s="13"/>
      <c r="SU430" s="12" t="s">
        <v>37</v>
      </c>
      <c r="SV430" s="12" t="s">
        <v>37</v>
      </c>
      <c r="SW430" s="11" t="s">
        <v>37</v>
      </c>
      <c r="SX430" s="12" t="s">
        <v>37</v>
      </c>
      <c r="SY430" s="12" t="s">
        <v>37</v>
      </c>
      <c r="SZ430" s="11" t="s">
        <v>37</v>
      </c>
      <c r="TE430" s="12" t="s">
        <v>37</v>
      </c>
      <c r="TF430" s="12" t="s">
        <v>37</v>
      </c>
      <c r="TG430" s="11" t="s">
        <v>37</v>
      </c>
      <c r="TH430" s="12" t="s">
        <v>37</v>
      </c>
      <c r="TI430" s="12" t="s">
        <v>37</v>
      </c>
      <c r="TJ430" s="11" t="s">
        <v>37</v>
      </c>
      <c r="TO430" s="12" t="s">
        <v>37</v>
      </c>
      <c r="TP430" s="12" t="s">
        <v>37</v>
      </c>
      <c r="TQ430" s="11" t="s">
        <v>37</v>
      </c>
      <c r="TR430" s="12" t="s">
        <v>37</v>
      </c>
      <c r="TS430" s="12" t="s">
        <v>37</v>
      </c>
      <c r="TT430" s="11" t="s">
        <v>37</v>
      </c>
      <c r="TY430" s="12" t="s">
        <v>37</v>
      </c>
      <c r="TZ430" s="12" t="s">
        <v>37</v>
      </c>
      <c r="UA430" s="11" t="s">
        <v>37</v>
      </c>
      <c r="UB430" s="12" t="s">
        <v>37</v>
      </c>
      <c r="UC430" s="12" t="s">
        <v>37</v>
      </c>
      <c r="UD430" s="11" t="s">
        <v>37</v>
      </c>
      <c r="UI430" s="12" t="s">
        <v>37</v>
      </c>
      <c r="UJ430" s="12" t="s">
        <v>37</v>
      </c>
      <c r="UK430" s="13" t="s">
        <v>37</v>
      </c>
      <c r="UL430" s="12" t="s">
        <v>37</v>
      </c>
      <c r="UM430" s="12" t="s">
        <v>37</v>
      </c>
      <c r="UN430" s="13" t="s">
        <v>37</v>
      </c>
      <c r="UR430" s="12" t="s">
        <v>37</v>
      </c>
      <c r="US430" s="12" t="s">
        <v>37</v>
      </c>
      <c r="UT430" s="13" t="s">
        <v>37</v>
      </c>
      <c r="UU430" s="12" t="s">
        <v>37</v>
      </c>
      <c r="UV430" s="12" t="s">
        <v>37</v>
      </c>
      <c r="UW430" s="13" t="s">
        <v>37</v>
      </c>
      <c r="VB430" s="12" t="s">
        <v>37</v>
      </c>
      <c r="VC430" s="12" t="s">
        <v>37</v>
      </c>
      <c r="VD430" s="13" t="s">
        <v>37</v>
      </c>
      <c r="VE430" s="12" t="s">
        <v>37</v>
      </c>
      <c r="VF430" s="12" t="s">
        <v>37</v>
      </c>
      <c r="VG430" s="13" t="s">
        <v>37</v>
      </c>
      <c r="VI430" s="12" t="s">
        <v>37</v>
      </c>
      <c r="VJ430" s="12" t="s">
        <v>37</v>
      </c>
      <c r="VK430" s="13" t="s">
        <v>37</v>
      </c>
      <c r="VL430" s="12" t="s">
        <v>37</v>
      </c>
      <c r="VM430" s="12" t="s">
        <v>37</v>
      </c>
      <c r="VN430" s="13" t="s">
        <v>37</v>
      </c>
      <c r="VQ430" s="12" t="s">
        <v>37</v>
      </c>
      <c r="VR430" s="12" t="s">
        <v>37</v>
      </c>
      <c r="VS430" s="12" t="s">
        <v>37</v>
      </c>
      <c r="VT430" s="12" t="s">
        <v>37</v>
      </c>
      <c r="VU430" s="12" t="s">
        <v>37</v>
      </c>
      <c r="VV430" s="12" t="s">
        <v>37</v>
      </c>
      <c r="VW430" s="12"/>
      <c r="VX430" s="12"/>
      <c r="WA430" s="13" t="s">
        <v>37</v>
      </c>
      <c r="WB430" s="13" t="s">
        <v>37</v>
      </c>
      <c r="WC430" s="13" t="s">
        <v>37</v>
      </c>
      <c r="WD430" s="13" t="s">
        <v>37</v>
      </c>
      <c r="WE430" s="13" t="s">
        <v>37</v>
      </c>
      <c r="WF430" s="13" t="s">
        <v>37</v>
      </c>
    </row>
    <row r="431" spans="1:604" ht="17.399999999999999" x14ac:dyDescent="0.4">
      <c r="A431" s="11">
        <v>97</v>
      </c>
      <c r="B431" s="12" t="s">
        <v>945</v>
      </c>
      <c r="C431" s="12" t="s">
        <v>26</v>
      </c>
      <c r="D431" s="12" t="s">
        <v>974</v>
      </c>
      <c r="E431" s="14">
        <v>0.6</v>
      </c>
      <c r="F431" s="72">
        <v>25</v>
      </c>
      <c r="G431" s="14">
        <v>0</v>
      </c>
      <c r="H431" s="12" t="s">
        <v>106</v>
      </c>
      <c r="I431" s="29">
        <v>53.417000000000002</v>
      </c>
      <c r="J431" s="29">
        <v>-8</v>
      </c>
      <c r="K431" s="12" t="s">
        <v>946</v>
      </c>
      <c r="L431" s="12" t="s">
        <v>947</v>
      </c>
      <c r="M431" s="13" t="s">
        <v>37</v>
      </c>
      <c r="N431" s="14" t="s">
        <v>37</v>
      </c>
      <c r="O431" s="14" t="s">
        <v>37</v>
      </c>
      <c r="P431" s="14" t="s">
        <v>16</v>
      </c>
      <c r="Q431" s="75" t="s">
        <v>37</v>
      </c>
      <c r="R431" s="11" t="s">
        <v>37</v>
      </c>
      <c r="S431" s="12" t="s">
        <v>93</v>
      </c>
      <c r="T431" s="12" t="s">
        <v>138</v>
      </c>
      <c r="U431" s="12" t="s">
        <v>158</v>
      </c>
      <c r="V431" s="12" t="s">
        <v>275</v>
      </c>
      <c r="W431" s="23" t="s">
        <v>37</v>
      </c>
      <c r="X431" s="12" t="s">
        <v>37</v>
      </c>
      <c r="Y431" s="12" t="s">
        <v>69</v>
      </c>
      <c r="Z431" s="12" t="s">
        <v>37</v>
      </c>
      <c r="AA431" s="23"/>
      <c r="AB431" s="12" t="s">
        <v>37</v>
      </c>
      <c r="AC431" s="12" t="s">
        <v>37</v>
      </c>
      <c r="AD431" s="23"/>
      <c r="AE431" s="12" t="s">
        <v>37</v>
      </c>
      <c r="AH431" s="12" t="s">
        <v>37</v>
      </c>
      <c r="AJ431" s="23"/>
      <c r="AK431" s="23" t="s">
        <v>326</v>
      </c>
      <c r="AL431" s="32" t="s">
        <v>37</v>
      </c>
      <c r="AM431" s="20" t="s">
        <v>344</v>
      </c>
      <c r="AO431" s="20" t="s">
        <v>37</v>
      </c>
      <c r="AP431" s="20" t="s">
        <v>37</v>
      </c>
      <c r="AQ431" s="20" t="s">
        <v>975</v>
      </c>
      <c r="AT431" s="12" t="s">
        <v>37</v>
      </c>
      <c r="AU431" s="12" t="s">
        <v>37</v>
      </c>
      <c r="AV431" s="13" t="s">
        <v>37</v>
      </c>
      <c r="AX431" s="12" t="s">
        <v>37</v>
      </c>
      <c r="AY431" s="12" t="s">
        <v>37</v>
      </c>
      <c r="AZ431" s="13" t="s">
        <v>37</v>
      </c>
      <c r="BE431" s="12" t="s">
        <v>37</v>
      </c>
      <c r="BF431" s="12" t="s">
        <v>37</v>
      </c>
      <c r="BG431" s="13" t="s">
        <v>37</v>
      </c>
      <c r="BH431" s="13"/>
      <c r="BI431" s="12" t="s">
        <v>37</v>
      </c>
      <c r="BJ431" s="12" t="s">
        <v>37</v>
      </c>
      <c r="BK431" s="13" t="s">
        <v>37</v>
      </c>
      <c r="BL431" s="13"/>
      <c r="BM431" s="13"/>
      <c r="BN431" s="13"/>
      <c r="BP431" s="12" t="s">
        <v>37</v>
      </c>
      <c r="BQ431" s="12" t="s">
        <v>37</v>
      </c>
      <c r="BR431" s="13" t="s">
        <v>37</v>
      </c>
      <c r="BS431" s="13"/>
      <c r="BT431" s="12" t="s">
        <v>37</v>
      </c>
      <c r="BU431" s="12" t="s">
        <v>37</v>
      </c>
      <c r="BV431" s="12" t="s">
        <v>37</v>
      </c>
      <c r="BW431" s="12"/>
      <c r="BX431" s="12"/>
      <c r="BY431" s="12"/>
      <c r="CA431" s="12" t="s">
        <v>37</v>
      </c>
      <c r="CB431" s="12" t="s">
        <v>37</v>
      </c>
      <c r="CC431" s="13" t="s">
        <v>37</v>
      </c>
      <c r="CD431" s="13"/>
      <c r="CE431" s="12" t="s">
        <v>37</v>
      </c>
      <c r="CF431" s="12" t="s">
        <v>37</v>
      </c>
      <c r="CG431" s="13" t="s">
        <v>37</v>
      </c>
      <c r="CH431" s="13"/>
      <c r="CI431" s="13"/>
      <c r="CJ431" s="13"/>
      <c r="CN431" s="12" t="s">
        <v>37</v>
      </c>
      <c r="CO431" s="12" t="s">
        <v>37</v>
      </c>
      <c r="CP431" s="13" t="s">
        <v>37</v>
      </c>
      <c r="CQ431" s="13"/>
      <c r="CR431" s="12" t="s">
        <v>37</v>
      </c>
      <c r="CS431" s="12" t="s">
        <v>37</v>
      </c>
      <c r="CT431" s="13" t="s">
        <v>37</v>
      </c>
      <c r="CU431" s="13"/>
      <c r="CV431" s="13"/>
      <c r="CW431" s="13"/>
      <c r="CX431" s="72"/>
      <c r="CY431" s="72"/>
      <c r="DA431" s="12" t="s">
        <v>37</v>
      </c>
      <c r="DB431" s="12" t="s">
        <v>37</v>
      </c>
      <c r="DC431" s="13" t="s">
        <v>37</v>
      </c>
      <c r="DD431" s="13"/>
      <c r="DE431" s="12" t="s">
        <v>37</v>
      </c>
      <c r="DF431" s="12" t="s">
        <v>37</v>
      </c>
      <c r="DG431" s="13" t="s">
        <v>37</v>
      </c>
      <c r="DH431" s="13"/>
      <c r="DI431" s="13"/>
      <c r="DJ431" s="13"/>
      <c r="DM431" s="15" t="s">
        <v>47</v>
      </c>
      <c r="DN431" s="15">
        <v>21.066666666666666</v>
      </c>
      <c r="DO431" s="50">
        <f t="shared" si="1623"/>
        <v>23.486790358302422</v>
      </c>
      <c r="DP431" s="18">
        <v>4</v>
      </c>
      <c r="DQ431" s="18"/>
      <c r="DR431" s="15">
        <v>-2.48</v>
      </c>
      <c r="DS431" s="50">
        <f t="shared" si="1624"/>
        <v>9.2682964106849042</v>
      </c>
      <c r="DT431" s="18">
        <v>4</v>
      </c>
      <c r="DU431" s="18"/>
      <c r="DV431" s="19">
        <f t="shared" si="1625"/>
        <v>-23.546666666666667</v>
      </c>
      <c r="DW431" s="12">
        <f t="shared" si="1626"/>
        <v>17.854000107695224</v>
      </c>
      <c r="DX431" s="72">
        <f t="shared" si="1611"/>
        <v>159.38265992279057</v>
      </c>
      <c r="DY431" s="72">
        <f t="shared" si="1612"/>
        <v>159.38265992279059</v>
      </c>
      <c r="DZ431" s="15"/>
      <c r="EA431" s="15" t="s">
        <v>37</v>
      </c>
      <c r="EB431" s="15" t="s">
        <v>37</v>
      </c>
      <c r="EC431" s="15" t="s">
        <v>37</v>
      </c>
      <c r="ED431" s="15"/>
      <c r="EE431" s="15" t="s">
        <v>37</v>
      </c>
      <c r="EF431" s="15" t="s">
        <v>37</v>
      </c>
      <c r="EG431" s="15" t="s">
        <v>37</v>
      </c>
      <c r="EH431" s="15"/>
      <c r="EI431" s="15"/>
      <c r="EJ431" s="15"/>
      <c r="EK431" s="15"/>
      <c r="EL431" s="15"/>
      <c r="EN431" s="12" t="s">
        <v>37</v>
      </c>
      <c r="EO431" s="12" t="s">
        <v>37</v>
      </c>
      <c r="EP431" s="13" t="s">
        <v>37</v>
      </c>
      <c r="EQ431" s="13"/>
      <c r="ER431" s="12" t="s">
        <v>37</v>
      </c>
      <c r="ES431" s="12" t="s">
        <v>37</v>
      </c>
      <c r="ET431" s="13" t="s">
        <v>37</v>
      </c>
      <c r="EU431" s="13"/>
      <c r="EV431" s="13"/>
      <c r="EW431" s="13"/>
      <c r="EX431" s="13"/>
      <c r="EY431" s="13"/>
      <c r="FB431" s="11" t="s">
        <v>37</v>
      </c>
      <c r="FC431" s="11" t="s">
        <v>37</v>
      </c>
      <c r="FD431" s="11" t="s">
        <v>37</v>
      </c>
      <c r="FE431" s="12" t="s">
        <v>37</v>
      </c>
      <c r="FF431" s="20" t="s">
        <v>37</v>
      </c>
      <c r="FG431" s="11" t="s">
        <v>37</v>
      </c>
      <c r="FI431" s="11" t="s">
        <v>37</v>
      </c>
      <c r="FJ431" s="11" t="s">
        <v>37</v>
      </c>
      <c r="FK431" s="11" t="s">
        <v>37</v>
      </c>
      <c r="FL431" s="13" t="s">
        <v>37</v>
      </c>
      <c r="FM431" s="11" t="s">
        <v>37</v>
      </c>
      <c r="FN431" s="11" t="s">
        <v>37</v>
      </c>
      <c r="FP431" s="11" t="s">
        <v>37</v>
      </c>
      <c r="FQ431" s="11" t="s">
        <v>37</v>
      </c>
      <c r="FR431" s="11" t="s">
        <v>37</v>
      </c>
      <c r="FS431" s="13" t="s">
        <v>37</v>
      </c>
      <c r="FT431" s="11" t="s">
        <v>37</v>
      </c>
      <c r="FU431" s="11" t="s">
        <v>37</v>
      </c>
      <c r="FW431" s="11" t="s">
        <v>37</v>
      </c>
      <c r="FX431" s="11" t="s">
        <v>37</v>
      </c>
      <c r="FY431" s="11" t="s">
        <v>37</v>
      </c>
      <c r="FZ431" s="13" t="s">
        <v>37</v>
      </c>
      <c r="GA431" s="11" t="s">
        <v>37</v>
      </c>
      <c r="GB431" s="11" t="s">
        <v>37</v>
      </c>
      <c r="GE431" s="12" t="s">
        <v>37</v>
      </c>
      <c r="GF431" s="12" t="s">
        <v>37</v>
      </c>
      <c r="GG431" s="13" t="s">
        <v>37</v>
      </c>
      <c r="GH431" s="13"/>
      <c r="GI431" s="12" t="s">
        <v>37</v>
      </c>
      <c r="GJ431" s="12" t="s">
        <v>37</v>
      </c>
      <c r="GK431" s="13" t="s">
        <v>37</v>
      </c>
      <c r="GL431" s="13"/>
      <c r="GM431" s="13"/>
      <c r="GN431" s="13"/>
      <c r="GQ431" s="12" t="s">
        <v>37</v>
      </c>
      <c r="GR431" s="12" t="s">
        <v>37</v>
      </c>
      <c r="GS431" s="13" t="s">
        <v>37</v>
      </c>
      <c r="GT431" s="13"/>
      <c r="GU431" s="12" t="s">
        <v>37</v>
      </c>
      <c r="GV431" s="12" t="s">
        <v>37</v>
      </c>
      <c r="GW431" s="13" t="s">
        <v>37</v>
      </c>
      <c r="GX431" s="13"/>
      <c r="GY431" s="13"/>
      <c r="GZ431" s="13"/>
      <c r="HC431" s="12" t="s">
        <v>37</v>
      </c>
      <c r="HD431" s="12" t="s">
        <v>37</v>
      </c>
      <c r="HE431" s="13" t="s">
        <v>37</v>
      </c>
      <c r="HF431" s="13"/>
      <c r="HG431" s="12" t="s">
        <v>37</v>
      </c>
      <c r="HH431" s="12" t="s">
        <v>37</v>
      </c>
      <c r="HI431" s="13" t="s">
        <v>37</v>
      </c>
      <c r="HJ431" s="13"/>
      <c r="HK431" s="13"/>
      <c r="HL431" s="13"/>
      <c r="HN431" s="12" t="s">
        <v>37</v>
      </c>
      <c r="HO431" s="12" t="s">
        <v>37</v>
      </c>
      <c r="HP431" s="13" t="s">
        <v>37</v>
      </c>
      <c r="HQ431" s="13"/>
      <c r="HR431" s="12" t="s">
        <v>37</v>
      </c>
      <c r="HS431" s="12" t="s">
        <v>37</v>
      </c>
      <c r="HT431" s="13" t="s">
        <v>37</v>
      </c>
      <c r="HU431" s="13"/>
      <c r="HV431" s="13"/>
      <c r="HW431" s="13"/>
      <c r="HY431" s="12" t="s">
        <v>37</v>
      </c>
      <c r="HZ431" s="12" t="s">
        <v>37</v>
      </c>
      <c r="IA431" s="13" t="s">
        <v>37</v>
      </c>
      <c r="IB431" s="13"/>
      <c r="IC431" s="12" t="s">
        <v>37</v>
      </c>
      <c r="ID431" s="12" t="s">
        <v>37</v>
      </c>
      <c r="IE431" s="13" t="s">
        <v>37</v>
      </c>
      <c r="IF431" s="13"/>
      <c r="IG431" s="13"/>
      <c r="IH431" s="13"/>
      <c r="IK431" s="12" t="s">
        <v>37</v>
      </c>
      <c r="IL431" s="12" t="s">
        <v>37</v>
      </c>
      <c r="IM431" s="13" t="s">
        <v>37</v>
      </c>
      <c r="IN431" s="13"/>
      <c r="IO431" s="12" t="s">
        <v>37</v>
      </c>
      <c r="IP431" s="12" t="s">
        <v>37</v>
      </c>
      <c r="IQ431" s="13" t="s">
        <v>37</v>
      </c>
      <c r="IR431" s="13"/>
      <c r="IS431" s="13"/>
      <c r="IT431" s="13"/>
      <c r="IW431" s="12" t="s">
        <v>37</v>
      </c>
      <c r="IX431" s="12" t="s">
        <v>37</v>
      </c>
      <c r="IY431" s="13" t="s">
        <v>37</v>
      </c>
      <c r="IZ431" s="13"/>
      <c r="JA431" s="12" t="s">
        <v>37</v>
      </c>
      <c r="JB431" s="12" t="s">
        <v>37</v>
      </c>
      <c r="JC431" s="13" t="s">
        <v>37</v>
      </c>
      <c r="JD431" s="13"/>
      <c r="JE431" s="13"/>
      <c r="JF431" s="13"/>
      <c r="JH431" s="12" t="s">
        <v>37</v>
      </c>
      <c r="JI431" s="12" t="s">
        <v>37</v>
      </c>
      <c r="JJ431" s="13" t="s">
        <v>37</v>
      </c>
      <c r="JK431" s="13"/>
      <c r="JL431" s="12" t="s">
        <v>37</v>
      </c>
      <c r="JM431" s="12" t="s">
        <v>37</v>
      </c>
      <c r="JN431" s="12" t="s">
        <v>37</v>
      </c>
      <c r="JO431" s="12"/>
      <c r="JP431" s="12"/>
      <c r="JQ431" s="12"/>
      <c r="JS431" s="12" t="s">
        <v>37</v>
      </c>
      <c r="JT431" s="12" t="s">
        <v>37</v>
      </c>
      <c r="JU431" s="13" t="s">
        <v>37</v>
      </c>
      <c r="JV431" s="13"/>
      <c r="JW431" s="12" t="s">
        <v>37</v>
      </c>
      <c r="JX431" s="12" t="s">
        <v>37</v>
      </c>
      <c r="JY431" s="12" t="s">
        <v>37</v>
      </c>
      <c r="JZ431" s="12"/>
      <c r="KA431" s="12"/>
      <c r="KB431" s="12"/>
      <c r="KE431" s="11" t="s">
        <v>37</v>
      </c>
      <c r="KF431" s="11" t="s">
        <v>37</v>
      </c>
      <c r="KG431" s="13" t="s">
        <v>37</v>
      </c>
      <c r="KH431" s="11" t="s">
        <v>37</v>
      </c>
      <c r="KI431" s="11" t="s">
        <v>37</v>
      </c>
      <c r="KJ431" s="11" t="s">
        <v>37</v>
      </c>
      <c r="KM431" s="12" t="s">
        <v>37</v>
      </c>
      <c r="KN431" s="12" t="s">
        <v>37</v>
      </c>
      <c r="KO431" s="11" t="s">
        <v>37</v>
      </c>
      <c r="KP431" s="11"/>
      <c r="KQ431" s="12" t="s">
        <v>37</v>
      </c>
      <c r="KR431" s="12" t="s">
        <v>37</v>
      </c>
      <c r="KS431" s="13" t="s">
        <v>37</v>
      </c>
      <c r="KT431" s="13"/>
      <c r="KU431" s="13"/>
      <c r="KV431" s="13"/>
      <c r="KX431" s="12" t="s">
        <v>37</v>
      </c>
      <c r="KY431" s="12" t="s">
        <v>37</v>
      </c>
      <c r="KZ431" s="13" t="s">
        <v>37</v>
      </c>
      <c r="LA431" s="13"/>
      <c r="LB431" s="12" t="s">
        <v>37</v>
      </c>
      <c r="LC431" s="12" t="s">
        <v>37</v>
      </c>
      <c r="LD431" s="13" t="s">
        <v>37</v>
      </c>
      <c r="LE431" s="13"/>
      <c r="LF431" s="13"/>
      <c r="LG431" s="13"/>
      <c r="LI431" s="12" t="s">
        <v>37</v>
      </c>
      <c r="LJ431" s="12" t="s">
        <v>37</v>
      </c>
      <c r="LK431" s="12" t="s">
        <v>37</v>
      </c>
      <c r="LL431" s="12"/>
      <c r="LM431" s="12" t="s">
        <v>37</v>
      </c>
      <c r="LN431" s="12" t="s">
        <v>37</v>
      </c>
      <c r="LO431" s="12" t="s">
        <v>37</v>
      </c>
      <c r="LP431" s="12"/>
      <c r="LQ431" s="12"/>
      <c r="LR431" s="12"/>
      <c r="LU431" s="12" t="s">
        <v>37</v>
      </c>
      <c r="LV431" s="12" t="s">
        <v>37</v>
      </c>
      <c r="LW431" s="13" t="s">
        <v>37</v>
      </c>
      <c r="LX431" s="13"/>
      <c r="LY431" s="12" t="s">
        <v>37</v>
      </c>
      <c r="LZ431" s="12" t="s">
        <v>37</v>
      </c>
      <c r="MA431" s="12" t="s">
        <v>37</v>
      </c>
      <c r="MB431" s="12"/>
      <c r="MC431" s="12"/>
      <c r="MD431" s="12"/>
      <c r="MF431" s="12" t="s">
        <v>37</v>
      </c>
      <c r="MG431" s="12" t="s">
        <v>37</v>
      </c>
      <c r="MH431" s="12" t="s">
        <v>37</v>
      </c>
      <c r="MI431" s="12"/>
      <c r="MJ431" s="12" t="s">
        <v>37</v>
      </c>
      <c r="MK431" s="12" t="s">
        <v>37</v>
      </c>
      <c r="ML431" s="12" t="s">
        <v>37</v>
      </c>
      <c r="MM431" s="12"/>
      <c r="MN431" s="12"/>
      <c r="MO431" s="12"/>
      <c r="MQ431" s="12" t="s">
        <v>37</v>
      </c>
      <c r="MR431" s="12" t="s">
        <v>37</v>
      </c>
      <c r="MS431" s="12" t="s">
        <v>37</v>
      </c>
      <c r="MT431" s="12"/>
      <c r="MU431" s="12" t="s">
        <v>37</v>
      </c>
      <c r="MV431" s="12" t="s">
        <v>37</v>
      </c>
      <c r="MW431" s="12" t="s">
        <v>37</v>
      </c>
      <c r="MX431" s="12"/>
      <c r="MY431" s="12"/>
      <c r="MZ431" s="12"/>
      <c r="NC431" s="12" t="s">
        <v>37</v>
      </c>
      <c r="ND431" s="12" t="s">
        <v>37</v>
      </c>
      <c r="NE431" s="13" t="s">
        <v>37</v>
      </c>
      <c r="NF431" s="13"/>
      <c r="NG431" s="12" t="s">
        <v>37</v>
      </c>
      <c r="NH431" s="12" t="s">
        <v>37</v>
      </c>
      <c r="NI431" s="13" t="s">
        <v>37</v>
      </c>
      <c r="NJ431" s="13"/>
      <c r="NK431" s="13"/>
      <c r="NL431" s="13"/>
      <c r="NO431" s="12" t="s">
        <v>37</v>
      </c>
      <c r="NP431" s="12" t="s">
        <v>37</v>
      </c>
      <c r="NQ431" s="13" t="s">
        <v>37</v>
      </c>
      <c r="NR431" s="13"/>
      <c r="NS431" s="12" t="s">
        <v>37</v>
      </c>
      <c r="NT431" s="12" t="s">
        <v>37</v>
      </c>
      <c r="NU431" s="13" t="s">
        <v>37</v>
      </c>
      <c r="NV431" s="13"/>
      <c r="NW431" s="13"/>
      <c r="NX431" s="13"/>
      <c r="OA431" s="11" t="s">
        <v>37</v>
      </c>
      <c r="OB431" s="11" t="s">
        <v>37</v>
      </c>
      <c r="OC431" s="13" t="s">
        <v>37</v>
      </c>
      <c r="OE431" s="11" t="s">
        <v>37</v>
      </c>
      <c r="OF431" s="11" t="s">
        <v>37</v>
      </c>
      <c r="OG431" s="13" t="s">
        <v>37</v>
      </c>
      <c r="OM431" s="11" t="s">
        <v>37</v>
      </c>
      <c r="ON431" s="11" t="s">
        <v>37</v>
      </c>
      <c r="OO431" s="11" t="s">
        <v>37</v>
      </c>
      <c r="OP431" s="11" t="s">
        <v>37</v>
      </c>
      <c r="OQ431" s="11" t="s">
        <v>37</v>
      </c>
      <c r="OR431" s="11" t="s">
        <v>37</v>
      </c>
      <c r="OW431" s="11" t="s">
        <v>37</v>
      </c>
      <c r="OX431" s="11" t="s">
        <v>37</v>
      </c>
      <c r="OY431" s="13" t="s">
        <v>37</v>
      </c>
      <c r="OZ431" s="11" t="s">
        <v>37</v>
      </c>
      <c r="PA431" s="11" t="s">
        <v>37</v>
      </c>
      <c r="PB431" s="13" t="s">
        <v>37</v>
      </c>
      <c r="PG431" s="11" t="s">
        <v>37</v>
      </c>
      <c r="PH431" s="11" t="s">
        <v>37</v>
      </c>
      <c r="PI431" s="13" t="s">
        <v>37</v>
      </c>
      <c r="PJ431" s="11" t="s">
        <v>37</v>
      </c>
      <c r="PK431" s="11" t="s">
        <v>37</v>
      </c>
      <c r="PL431" s="13" t="s">
        <v>37</v>
      </c>
      <c r="PQ431" s="11" t="s">
        <v>37</v>
      </c>
      <c r="PR431" s="11" t="s">
        <v>37</v>
      </c>
      <c r="PS431" s="13" t="s">
        <v>37</v>
      </c>
      <c r="PT431" s="11" t="s">
        <v>37</v>
      </c>
      <c r="PU431" s="11" t="s">
        <v>37</v>
      </c>
      <c r="PV431" s="13" t="s">
        <v>37</v>
      </c>
      <c r="PZ431" s="12" t="s">
        <v>37</v>
      </c>
      <c r="QA431" s="12" t="s">
        <v>37</v>
      </c>
      <c r="QB431" s="11" t="s">
        <v>37</v>
      </c>
      <c r="QC431" s="11"/>
      <c r="QD431" s="12" t="s">
        <v>37</v>
      </c>
      <c r="QE431" s="12" t="s">
        <v>37</v>
      </c>
      <c r="QF431" s="12" t="s">
        <v>37</v>
      </c>
      <c r="QG431" s="12"/>
      <c r="QH431" s="12"/>
      <c r="QI431" s="12"/>
      <c r="QK431" s="11" t="s">
        <v>37</v>
      </c>
      <c r="QL431" s="11" t="s">
        <v>37</v>
      </c>
      <c r="QM431" s="13" t="s">
        <v>37</v>
      </c>
      <c r="QN431" s="11" t="s">
        <v>37</v>
      </c>
      <c r="QO431" s="11" t="s">
        <v>37</v>
      </c>
      <c r="QP431" s="13" t="s">
        <v>37</v>
      </c>
      <c r="QU431" s="11" t="s">
        <v>37</v>
      </c>
      <c r="QV431" s="11" t="s">
        <v>37</v>
      </c>
      <c r="QW431" s="13" t="s">
        <v>37</v>
      </c>
      <c r="QX431" s="11" t="s">
        <v>37</v>
      </c>
      <c r="QY431" s="11" t="s">
        <v>37</v>
      </c>
      <c r="QZ431" s="13" t="s">
        <v>37</v>
      </c>
      <c r="RC431" s="12" t="s">
        <v>37</v>
      </c>
      <c r="RD431" s="12" t="s">
        <v>37</v>
      </c>
      <c r="RE431" s="13" t="s">
        <v>37</v>
      </c>
      <c r="RF431" s="12" t="s">
        <v>37</v>
      </c>
      <c r="RG431" s="12" t="s">
        <v>37</v>
      </c>
      <c r="RH431" s="13" t="s">
        <v>37</v>
      </c>
      <c r="RK431" s="11" t="s">
        <v>37</v>
      </c>
      <c r="RL431" s="11" t="s">
        <v>37</v>
      </c>
      <c r="RM431" s="11" t="s">
        <v>37</v>
      </c>
      <c r="RN431" s="11" t="s">
        <v>37</v>
      </c>
      <c r="RO431" s="11" t="s">
        <v>37</v>
      </c>
      <c r="RP431" s="11" t="s">
        <v>37</v>
      </c>
      <c r="RS431" s="11" t="s">
        <v>37</v>
      </c>
      <c r="RT431" s="11" t="s">
        <v>37</v>
      </c>
      <c r="RU431" s="11" t="s">
        <v>37</v>
      </c>
      <c r="RV431" s="11" t="s">
        <v>37</v>
      </c>
      <c r="RW431" s="11" t="s">
        <v>37</v>
      </c>
      <c r="RX431" s="11" t="s">
        <v>37</v>
      </c>
      <c r="SA431" s="11" t="s">
        <v>37</v>
      </c>
      <c r="SB431" s="11" t="s">
        <v>37</v>
      </c>
      <c r="SC431" s="13" t="s">
        <v>37</v>
      </c>
      <c r="SD431" s="11" t="s">
        <v>37</v>
      </c>
      <c r="SE431" s="11" t="s">
        <v>37</v>
      </c>
      <c r="SF431" s="13" t="s">
        <v>37</v>
      </c>
      <c r="SI431" s="12" t="s">
        <v>37</v>
      </c>
      <c r="SJ431" s="11" t="s">
        <v>37</v>
      </c>
      <c r="SK431" s="13" t="s">
        <v>37</v>
      </c>
      <c r="SL431" s="13"/>
      <c r="SM431" s="11" t="s">
        <v>37</v>
      </c>
      <c r="SN431" s="11" t="s">
        <v>37</v>
      </c>
      <c r="SO431" s="13" t="s">
        <v>37</v>
      </c>
      <c r="SP431" s="13"/>
      <c r="SQ431" s="13"/>
      <c r="SR431" s="13"/>
      <c r="SU431" s="12" t="s">
        <v>37</v>
      </c>
      <c r="SV431" s="12" t="s">
        <v>37</v>
      </c>
      <c r="SW431" s="11" t="s">
        <v>37</v>
      </c>
      <c r="SX431" s="12" t="s">
        <v>37</v>
      </c>
      <c r="SY431" s="12" t="s">
        <v>37</v>
      </c>
      <c r="SZ431" s="11" t="s">
        <v>37</v>
      </c>
      <c r="TE431" s="12" t="s">
        <v>37</v>
      </c>
      <c r="TF431" s="12" t="s">
        <v>37</v>
      </c>
      <c r="TG431" s="11" t="s">
        <v>37</v>
      </c>
      <c r="TH431" s="12" t="s">
        <v>37</v>
      </c>
      <c r="TI431" s="12" t="s">
        <v>37</v>
      </c>
      <c r="TJ431" s="11" t="s">
        <v>37</v>
      </c>
      <c r="TO431" s="12" t="s">
        <v>37</v>
      </c>
      <c r="TP431" s="12" t="s">
        <v>37</v>
      </c>
      <c r="TQ431" s="11" t="s">
        <v>37</v>
      </c>
      <c r="TR431" s="12" t="s">
        <v>37</v>
      </c>
      <c r="TS431" s="12" t="s">
        <v>37</v>
      </c>
      <c r="TT431" s="11" t="s">
        <v>37</v>
      </c>
      <c r="TY431" s="12" t="s">
        <v>37</v>
      </c>
      <c r="TZ431" s="12" t="s">
        <v>37</v>
      </c>
      <c r="UA431" s="11" t="s">
        <v>37</v>
      </c>
      <c r="UB431" s="12" t="s">
        <v>37</v>
      </c>
      <c r="UC431" s="12" t="s">
        <v>37</v>
      </c>
      <c r="UD431" s="11" t="s">
        <v>37</v>
      </c>
      <c r="UI431" s="12" t="s">
        <v>37</v>
      </c>
      <c r="UJ431" s="12" t="s">
        <v>37</v>
      </c>
      <c r="UK431" s="13" t="s">
        <v>37</v>
      </c>
      <c r="UL431" s="12" t="s">
        <v>37</v>
      </c>
      <c r="UM431" s="12" t="s">
        <v>37</v>
      </c>
      <c r="UN431" s="13" t="s">
        <v>37</v>
      </c>
      <c r="UR431" s="12" t="s">
        <v>37</v>
      </c>
      <c r="US431" s="12" t="s">
        <v>37</v>
      </c>
      <c r="UT431" s="13" t="s">
        <v>37</v>
      </c>
      <c r="UU431" s="12" t="s">
        <v>37</v>
      </c>
      <c r="UV431" s="12" t="s">
        <v>37</v>
      </c>
      <c r="UW431" s="13" t="s">
        <v>37</v>
      </c>
      <c r="VB431" s="12" t="s">
        <v>37</v>
      </c>
      <c r="VC431" s="12" t="s">
        <v>37</v>
      </c>
      <c r="VD431" s="13" t="s">
        <v>37</v>
      </c>
      <c r="VE431" s="12" t="s">
        <v>37</v>
      </c>
      <c r="VF431" s="12" t="s">
        <v>37</v>
      </c>
      <c r="VG431" s="13" t="s">
        <v>37</v>
      </c>
      <c r="VI431" s="12" t="s">
        <v>37</v>
      </c>
      <c r="VJ431" s="12" t="s">
        <v>37</v>
      </c>
      <c r="VK431" s="13" t="s">
        <v>37</v>
      </c>
      <c r="VL431" s="12" t="s">
        <v>37</v>
      </c>
      <c r="VM431" s="12" t="s">
        <v>37</v>
      </c>
      <c r="VN431" s="13" t="s">
        <v>37</v>
      </c>
      <c r="VQ431" s="12" t="s">
        <v>37</v>
      </c>
      <c r="VR431" s="12" t="s">
        <v>37</v>
      </c>
      <c r="VS431" s="12" t="s">
        <v>37</v>
      </c>
      <c r="VT431" s="12" t="s">
        <v>37</v>
      </c>
      <c r="VU431" s="12" t="s">
        <v>37</v>
      </c>
      <c r="VV431" s="12" t="s">
        <v>37</v>
      </c>
      <c r="VW431" s="12"/>
      <c r="VX431" s="12"/>
      <c r="WA431" s="13" t="s">
        <v>37</v>
      </c>
      <c r="WB431" s="13" t="s">
        <v>37</v>
      </c>
      <c r="WC431" s="13" t="s">
        <v>37</v>
      </c>
      <c r="WD431" s="13" t="s">
        <v>37</v>
      </c>
      <c r="WE431" s="13" t="s">
        <v>37</v>
      </c>
      <c r="WF431" s="13" t="s">
        <v>37</v>
      </c>
    </row>
    <row r="432" spans="1:604" ht="17.399999999999999" x14ac:dyDescent="0.4">
      <c r="A432" s="11">
        <v>98</v>
      </c>
      <c r="B432" s="16" t="s">
        <v>948</v>
      </c>
      <c r="C432" s="12" t="s">
        <v>26</v>
      </c>
      <c r="D432" s="12" t="s">
        <v>1038</v>
      </c>
      <c r="E432" s="14">
        <v>5.15</v>
      </c>
      <c r="F432" s="72">
        <v>118</v>
      </c>
      <c r="G432" s="14">
        <v>2.2999999999999998</v>
      </c>
      <c r="H432" s="12" t="s">
        <v>136</v>
      </c>
      <c r="I432" s="29">
        <v>53.683</v>
      </c>
      <c r="J432" s="29">
        <v>8.8170000000000002</v>
      </c>
      <c r="K432" s="12" t="s">
        <v>949</v>
      </c>
      <c r="L432" s="12" t="s">
        <v>950</v>
      </c>
      <c r="M432" s="13" t="s">
        <v>37</v>
      </c>
      <c r="N432" s="14">
        <v>10.199999999999999</v>
      </c>
      <c r="O432" s="14">
        <v>916</v>
      </c>
      <c r="P432" s="14" t="s">
        <v>16</v>
      </c>
      <c r="Q432" s="75">
        <v>57</v>
      </c>
      <c r="R432" s="11" t="s">
        <v>999</v>
      </c>
      <c r="S432" s="12" t="s">
        <v>93</v>
      </c>
      <c r="T432" s="12" t="s">
        <v>138</v>
      </c>
      <c r="U432" s="12" t="s">
        <v>158</v>
      </c>
      <c r="V432" s="12" t="s">
        <v>275</v>
      </c>
      <c r="W432" s="23" t="s">
        <v>951</v>
      </c>
      <c r="X432" s="12" t="s">
        <v>280</v>
      </c>
      <c r="Y432" s="12" t="s">
        <v>69</v>
      </c>
      <c r="Z432" s="12" t="s">
        <v>37</v>
      </c>
      <c r="AA432" s="32" t="s">
        <v>327</v>
      </c>
      <c r="AB432" s="12">
        <v>3.05</v>
      </c>
      <c r="AC432" s="12" t="s">
        <v>37</v>
      </c>
      <c r="AD432" s="23"/>
      <c r="AE432" s="12" t="s">
        <v>37</v>
      </c>
      <c r="AH432" s="12" t="s">
        <v>37</v>
      </c>
      <c r="AJ432" s="23"/>
      <c r="AK432" s="23" t="s">
        <v>326</v>
      </c>
      <c r="AL432" s="32" t="s">
        <v>952</v>
      </c>
      <c r="AM432" s="12" t="s">
        <v>344</v>
      </c>
      <c r="AO432" s="12" t="s">
        <v>29</v>
      </c>
      <c r="AP432" s="12" t="s">
        <v>108</v>
      </c>
      <c r="AQ432" s="12" t="s">
        <v>73</v>
      </c>
      <c r="AT432" s="12" t="s">
        <v>37</v>
      </c>
      <c r="AU432" s="12" t="s">
        <v>37</v>
      </c>
      <c r="AV432" s="13" t="s">
        <v>37</v>
      </c>
      <c r="AX432" s="12" t="s">
        <v>37</v>
      </c>
      <c r="AY432" s="12" t="s">
        <v>37</v>
      </c>
      <c r="AZ432" s="13" t="s">
        <v>37</v>
      </c>
      <c r="BE432" s="12" t="s">
        <v>37</v>
      </c>
      <c r="BF432" s="12" t="s">
        <v>37</v>
      </c>
      <c r="BG432" s="13" t="s">
        <v>37</v>
      </c>
      <c r="BH432" s="13"/>
      <c r="BI432" s="12" t="s">
        <v>37</v>
      </c>
      <c r="BJ432" s="12" t="s">
        <v>37</v>
      </c>
      <c r="BK432" s="13" t="s">
        <v>37</v>
      </c>
      <c r="BL432" s="13"/>
      <c r="BM432" s="13"/>
      <c r="BN432" s="13"/>
      <c r="BP432" s="12" t="s">
        <v>37</v>
      </c>
      <c r="BQ432" s="12" t="s">
        <v>37</v>
      </c>
      <c r="BR432" s="13" t="s">
        <v>37</v>
      </c>
      <c r="BS432" s="13"/>
      <c r="BT432" s="12" t="s">
        <v>37</v>
      </c>
      <c r="BU432" s="12" t="s">
        <v>37</v>
      </c>
      <c r="BV432" s="12" t="s">
        <v>37</v>
      </c>
      <c r="BW432" s="12"/>
      <c r="BX432" s="12"/>
      <c r="BY432" s="12"/>
      <c r="BZ432" s="12" t="s">
        <v>47</v>
      </c>
      <c r="CA432" s="12">
        <v>-7090</v>
      </c>
      <c r="CB432" s="12">
        <v>1524.2047106606119</v>
      </c>
      <c r="CC432" s="13">
        <v>3</v>
      </c>
      <c r="CD432" s="19">
        <f t="shared" ref="CD432:CD433" si="1627">CB432/ABS(CA432)</f>
        <v>0.21497950785057995</v>
      </c>
      <c r="CE432" s="12">
        <v>-18490</v>
      </c>
      <c r="CF432" s="12">
        <v>3689.2682201217081</v>
      </c>
      <c r="CG432" s="13">
        <v>3</v>
      </c>
      <c r="CH432" s="19">
        <f t="shared" ref="CH432:CH433" si="1628">CF432/ABS(CE432)</f>
        <v>0.19952775663178518</v>
      </c>
      <c r="CI432" s="75">
        <f t="shared" ref="CI432:CI433" si="1629">CE432-CA432</f>
        <v>-11400</v>
      </c>
      <c r="CJ432" s="12">
        <f t="shared" ref="CJ432:CJ433" si="1630">SQRT(((CC432-1)*CB432^2+(CG432-1)*CF432^2)/(CC432+CG432-2))</f>
        <v>2822.5786082941954</v>
      </c>
      <c r="CK432" s="72">
        <f t="shared" ref="CK432:CK433" si="1631">(((CC432+CG432)/(CC432*CG432))*(((CC432-1)*CB432^2)+(CG432-1)*CF432^2)/(CC432+CG432-2))</f>
        <v>5311299.9999999981</v>
      </c>
      <c r="CL432" s="72">
        <f t="shared" ref="CL432:CL433" si="1632">(CB432^2/CC432)+(CF432^2/CG432)</f>
        <v>5311299.9999999991</v>
      </c>
      <c r="CM432" s="12" t="s">
        <v>47</v>
      </c>
      <c r="CN432" s="12">
        <v>7020</v>
      </c>
      <c r="CO432" s="12">
        <v>1299.038105676658</v>
      </c>
      <c r="CP432" s="13">
        <v>3</v>
      </c>
      <c r="CQ432" s="19">
        <f t="shared" ref="CQ432:CQ433" si="1633">CO432/ABS(CN432)</f>
        <v>0.18504816320180315</v>
      </c>
      <c r="CR432" s="12">
        <v>23060</v>
      </c>
      <c r="CS432" s="12">
        <v>2424.871130596428</v>
      </c>
      <c r="CT432" s="13">
        <v>3</v>
      </c>
      <c r="CU432" s="19">
        <f>CS432/ABS(CR432)</f>
        <v>0.10515486255838803</v>
      </c>
      <c r="CV432" s="75">
        <f t="shared" ref="CV432:CV433" si="1634">CR432-CN432</f>
        <v>16040</v>
      </c>
      <c r="CW432" s="12">
        <f t="shared" ref="CW432:CW433" si="1635">SQRT(((CP432-1)*CO432^2+(CT432-1)*CS432^2)/(CP432+CT432-2))</f>
        <v>1945.1863663926908</v>
      </c>
      <c r="CX432" s="72">
        <f t="shared" ref="CX432:CX433" si="1636">(((CP432+CT432)/(CP432*CT432))*(((CP432-1)*CO432^2)+(CT432-1)*CS432^2)/(CP432+CT432-2))</f>
        <v>2522499.9999999995</v>
      </c>
      <c r="CY432" s="72">
        <f t="shared" ref="CY432:CY433" si="1637">(CO432^2/CP432)+(CS432^2/CT432)</f>
        <v>2522500</v>
      </c>
      <c r="CZ432" s="12" t="s">
        <v>47</v>
      </c>
      <c r="DA432" s="12">
        <v>-80</v>
      </c>
      <c r="DB432" s="12">
        <v>2009.1789367798974</v>
      </c>
      <c r="DC432" s="13">
        <v>3</v>
      </c>
      <c r="DD432" s="19">
        <f>DB432/ABS(DA432)</f>
        <v>25.114736709748719</v>
      </c>
      <c r="DE432" s="12">
        <v>4580</v>
      </c>
      <c r="DF432" s="12">
        <v>4416.7295593006365</v>
      </c>
      <c r="DG432" s="13">
        <v>3</v>
      </c>
      <c r="DH432" s="19">
        <f>DF432/ABS(DE432)</f>
        <v>0.96435143216171104</v>
      </c>
      <c r="DI432" s="19">
        <f t="shared" ref="DI432:DI433" si="1638">DE432-DA432</f>
        <v>4660</v>
      </c>
      <c r="DJ432" s="12">
        <f t="shared" ref="DJ432:DJ433" si="1639">SQRT(((DC432-1)*DB432^2+(DG432-1)*DF432^2)/(DC432+DG432-2))</f>
        <v>3431.0566885436328</v>
      </c>
      <c r="DK432" s="72">
        <f t="shared" ref="DK432:DK433" si="1640">(((DC432+DG432)/(DC432*DG432))*(((DC432-1)*DB432^2)+(DG432-1)*DF432^2)/(DC432+DG432-2))</f>
        <v>7848099.9999999981</v>
      </c>
      <c r="DL432" s="72">
        <f t="shared" ref="DL432:DL433" si="1641">(DB432^2/DC432)+(DF432^2/DG432)</f>
        <v>7848099.9999999991</v>
      </c>
      <c r="DM432" s="15" t="s">
        <v>47</v>
      </c>
      <c r="DN432" s="12">
        <v>75.653333333333322</v>
      </c>
      <c r="DO432" s="12">
        <v>22.585942530698158</v>
      </c>
      <c r="DP432" s="13">
        <v>3</v>
      </c>
      <c r="DQ432" s="19">
        <f t="shared" ref="DQ432:DQ433" si="1642">DO432/ABS(DN432)</f>
        <v>0.29854523965498098</v>
      </c>
      <c r="DR432" s="12">
        <v>1.9466666666666665</v>
      </c>
      <c r="DS432" s="12">
        <v>8.1752798117251011</v>
      </c>
      <c r="DT432" s="13">
        <v>3</v>
      </c>
      <c r="DU432" s="19">
        <f t="shared" ref="DU432:DU433" si="1643">DS432/ABS(DR432)</f>
        <v>4.199630040269744</v>
      </c>
      <c r="DV432" s="19">
        <f t="shared" si="1625"/>
        <v>-73.706666666666649</v>
      </c>
      <c r="DW432" s="12">
        <f t="shared" si="1626"/>
        <v>16.984698996449715</v>
      </c>
      <c r="DX432" s="72">
        <f t="shared" si="1611"/>
        <v>192.31999999999996</v>
      </c>
      <c r="DY432" s="72">
        <f t="shared" si="1612"/>
        <v>192.32</v>
      </c>
      <c r="DZ432" s="15" t="s">
        <v>47</v>
      </c>
      <c r="EA432" s="12">
        <v>0.14142857142857143</v>
      </c>
      <c r="EB432" s="12">
        <v>0.29939735387976307</v>
      </c>
      <c r="EC432" s="13">
        <v>3</v>
      </c>
      <c r="ED432" s="52">
        <f t="shared" ref="ED432" si="1644">EB432/ABS(EA432)</f>
        <v>2.1169509870286278</v>
      </c>
      <c r="EE432" s="12">
        <v>1.8071428571428574</v>
      </c>
      <c r="EF432" s="12">
        <v>2.1229994184201382</v>
      </c>
      <c r="EG432" s="13">
        <v>3</v>
      </c>
      <c r="EH432" s="52">
        <f>EF432/ABS(EE432)</f>
        <v>1.1747822868728035</v>
      </c>
      <c r="EI432" s="19">
        <f t="shared" ref="EI432:EI444" si="1645">EE432-EA432</f>
        <v>1.6657142857142859</v>
      </c>
      <c r="EJ432" s="12">
        <f t="shared" ref="EJ432:EJ444" si="1646">SQRT(((EC432-1)*EB432^2+(EG432-1)*EF432^2)/(EC432+EG432-2))</f>
        <v>1.516041771542336</v>
      </c>
      <c r="EK432" s="19">
        <f t="shared" ref="EK432:EK444" si="1647">(((EC432+EG432)/(EC432*EG432))*(((EC432-1)*EB432^2)+(EG432-1)*EF432^2)/(EC432+EG432-2))</f>
        <v>1.5322551020408164</v>
      </c>
      <c r="EL432" s="19">
        <f t="shared" ref="EL432:EL444" si="1648">(EB432^2/EC432)+(EF432^2/EG432)</f>
        <v>1.5322551020408164</v>
      </c>
      <c r="EM432" s="12" t="s">
        <v>39</v>
      </c>
      <c r="EN432" s="12">
        <v>-14.226633581472301</v>
      </c>
      <c r="EO432" s="12">
        <v>0.84179554111043309</v>
      </c>
      <c r="EP432" s="13">
        <v>3</v>
      </c>
      <c r="EQ432" s="19">
        <f t="shared" ref="EQ432:EQ433" si="1649">EO432/ABS(EN432)</f>
        <v>5.9170395883867029E-2</v>
      </c>
      <c r="ER432" s="12">
        <v>-56.100981767180912</v>
      </c>
      <c r="ES432" s="12">
        <v>3.5983168804300347</v>
      </c>
      <c r="ET432" s="13">
        <v>3</v>
      </c>
      <c r="EU432" s="19">
        <f t="shared" ref="EU432:EU433" si="1650">ES432/ABS(ER432)</f>
        <v>6.4139998393665382E-2</v>
      </c>
      <c r="EV432" s="19">
        <f>ER432-EN432</f>
        <v>-41.874348185708612</v>
      </c>
      <c r="EW432" s="12">
        <f t="shared" ref="EW432:EW433" si="1651">SQRT(((EP432-1)*EO432^2+(ET432-1)*ES432^2)/(EP432+ET432-2))</f>
        <v>2.6130924309160157</v>
      </c>
      <c r="EX432" s="19">
        <f t="shared" ref="EX432:EX433" si="1652">(((EP432+ET432)/(EP432*ET432))*(((EP432-1)*EO432^2)+(ET432-1)*ES432^2)/(EP432+ET432-2))</f>
        <v>4.5521680350070479</v>
      </c>
      <c r="EY432" s="19">
        <f t="shared" ref="EY432:EY433" si="1653">(EO432^2/EP432)+(ES432^2/ET432)</f>
        <v>4.5521680350070479</v>
      </c>
      <c r="FB432" s="12" t="s">
        <v>37</v>
      </c>
      <c r="FC432" s="12" t="s">
        <v>37</v>
      </c>
      <c r="FD432" s="11" t="s">
        <v>37</v>
      </c>
      <c r="FE432" s="12" t="s">
        <v>37</v>
      </c>
      <c r="FF432" s="20" t="s">
        <v>37</v>
      </c>
      <c r="FG432" s="11" t="s">
        <v>37</v>
      </c>
      <c r="FI432" s="12" t="s">
        <v>37</v>
      </c>
      <c r="FJ432" s="12" t="s">
        <v>37</v>
      </c>
      <c r="FK432" s="11" t="s">
        <v>37</v>
      </c>
      <c r="FL432" s="13" t="s">
        <v>37</v>
      </c>
      <c r="FM432" s="11" t="s">
        <v>37</v>
      </c>
      <c r="FN432" s="11" t="s">
        <v>37</v>
      </c>
      <c r="FP432" s="12" t="s">
        <v>37</v>
      </c>
      <c r="FQ432" s="12" t="s">
        <v>37</v>
      </c>
      <c r="FR432" s="11" t="s">
        <v>37</v>
      </c>
      <c r="FS432" s="13" t="s">
        <v>37</v>
      </c>
      <c r="FT432" s="11" t="s">
        <v>37</v>
      </c>
      <c r="FU432" s="11" t="s">
        <v>37</v>
      </c>
      <c r="FW432" s="12" t="s">
        <v>37</v>
      </c>
      <c r="FX432" s="12" t="s">
        <v>37</v>
      </c>
      <c r="FY432" s="11" t="s">
        <v>37</v>
      </c>
      <c r="FZ432" s="13" t="s">
        <v>37</v>
      </c>
      <c r="GA432" s="11" t="s">
        <v>37</v>
      </c>
      <c r="GB432" s="11" t="s">
        <v>37</v>
      </c>
      <c r="GE432" s="12" t="s">
        <v>37</v>
      </c>
      <c r="GF432" s="12" t="s">
        <v>37</v>
      </c>
      <c r="GG432" s="13" t="s">
        <v>37</v>
      </c>
      <c r="GH432" s="13"/>
      <c r="GI432" s="12" t="s">
        <v>37</v>
      </c>
      <c r="GJ432" s="12" t="s">
        <v>37</v>
      </c>
      <c r="GK432" s="13" t="s">
        <v>37</v>
      </c>
      <c r="GL432" s="13"/>
      <c r="GM432" s="13"/>
      <c r="GN432" s="13"/>
      <c r="GQ432" s="12" t="s">
        <v>37</v>
      </c>
      <c r="GR432" s="12" t="s">
        <v>37</v>
      </c>
      <c r="GS432" s="13" t="s">
        <v>37</v>
      </c>
      <c r="GT432" s="13"/>
      <c r="GU432" s="12" t="s">
        <v>37</v>
      </c>
      <c r="GV432" s="12" t="s">
        <v>37</v>
      </c>
      <c r="GW432" s="13" t="s">
        <v>37</v>
      </c>
      <c r="GX432" s="13"/>
      <c r="GY432" s="13"/>
      <c r="GZ432" s="13"/>
      <c r="HC432" s="12" t="s">
        <v>37</v>
      </c>
      <c r="HD432" s="12" t="s">
        <v>37</v>
      </c>
      <c r="HE432" s="13" t="s">
        <v>37</v>
      </c>
      <c r="HF432" s="13"/>
      <c r="HG432" s="12" t="s">
        <v>37</v>
      </c>
      <c r="HH432" s="12" t="s">
        <v>37</v>
      </c>
      <c r="HI432" s="13" t="s">
        <v>37</v>
      </c>
      <c r="HJ432" s="13"/>
      <c r="HK432" s="13"/>
      <c r="HL432" s="13"/>
      <c r="HN432" s="12" t="s">
        <v>37</v>
      </c>
      <c r="HO432" s="12" t="s">
        <v>37</v>
      </c>
      <c r="HP432" s="13" t="s">
        <v>37</v>
      </c>
      <c r="HQ432" s="13"/>
      <c r="HR432" s="12" t="s">
        <v>37</v>
      </c>
      <c r="HS432" s="12" t="s">
        <v>37</v>
      </c>
      <c r="HT432" s="13" t="s">
        <v>37</v>
      </c>
      <c r="HU432" s="13"/>
      <c r="HV432" s="13"/>
      <c r="HW432" s="13"/>
      <c r="HY432" s="12" t="s">
        <v>37</v>
      </c>
      <c r="HZ432" s="12" t="s">
        <v>37</v>
      </c>
      <c r="IA432" s="13" t="s">
        <v>37</v>
      </c>
      <c r="IB432" s="13"/>
      <c r="IC432" s="12" t="s">
        <v>37</v>
      </c>
      <c r="ID432" s="12" t="s">
        <v>37</v>
      </c>
      <c r="IE432" s="13" t="s">
        <v>37</v>
      </c>
      <c r="IF432" s="13"/>
      <c r="IG432" s="13"/>
      <c r="IH432" s="13"/>
      <c r="IK432" s="12" t="s">
        <v>37</v>
      </c>
      <c r="IL432" s="12" t="s">
        <v>37</v>
      </c>
      <c r="IM432" s="12" t="s">
        <v>37</v>
      </c>
      <c r="IN432" s="12"/>
      <c r="IO432" s="12" t="s">
        <v>37</v>
      </c>
      <c r="IP432" s="12" t="s">
        <v>37</v>
      </c>
      <c r="IQ432" s="12" t="s">
        <v>37</v>
      </c>
      <c r="IR432" s="12"/>
      <c r="IS432" s="12"/>
      <c r="IT432" s="12"/>
      <c r="IV432" s="32" t="s">
        <v>327</v>
      </c>
      <c r="IW432" s="12">
        <v>3.05</v>
      </c>
      <c r="IX432" s="50">
        <f>ABS(IW432)*IZ$474</f>
        <v>0.11166886501547056</v>
      </c>
      <c r="IY432" s="13">
        <v>3</v>
      </c>
      <c r="IZ432" s="13"/>
      <c r="JA432" s="12">
        <v>3.39</v>
      </c>
      <c r="JB432" s="50">
        <f>ABS(JA432)*JD$474</f>
        <v>9.4949861783532361E-2</v>
      </c>
      <c r="JC432" s="13">
        <v>3</v>
      </c>
      <c r="JD432" s="13"/>
      <c r="JE432" s="19">
        <f t="shared" ref="JE432:JE433" si="1654">LN(JA432/IW432)</f>
        <v>0.10568833077303878</v>
      </c>
      <c r="JF432" s="19">
        <f t="shared" ref="JF432:JF433" si="1655">JB432^2/(JC432*JA432^2)+IX432^2/(IY432*IW432^2)</f>
        <v>7.0832876411330761E-4</v>
      </c>
      <c r="JH432" s="12" t="s">
        <v>37</v>
      </c>
      <c r="JI432" s="12" t="s">
        <v>37</v>
      </c>
      <c r="JJ432" s="13" t="s">
        <v>37</v>
      </c>
      <c r="JK432" s="13"/>
      <c r="JL432" s="12" t="s">
        <v>37</v>
      </c>
      <c r="JM432" s="12" t="s">
        <v>37</v>
      </c>
      <c r="JN432" s="12" t="s">
        <v>37</v>
      </c>
      <c r="JO432" s="12"/>
      <c r="JP432" s="12"/>
      <c r="JQ432" s="12"/>
      <c r="JS432" s="12" t="s">
        <v>37</v>
      </c>
      <c r="JT432" s="12" t="s">
        <v>37</v>
      </c>
      <c r="JU432" s="13" t="s">
        <v>37</v>
      </c>
      <c r="JV432" s="13"/>
      <c r="JW432" s="12" t="s">
        <v>37</v>
      </c>
      <c r="JX432" s="12" t="s">
        <v>37</v>
      </c>
      <c r="JY432" s="12" t="s">
        <v>37</v>
      </c>
      <c r="JZ432" s="12"/>
      <c r="KA432" s="12"/>
      <c r="KB432" s="12"/>
      <c r="KE432" s="11" t="s">
        <v>37</v>
      </c>
      <c r="KF432" s="11" t="s">
        <v>37</v>
      </c>
      <c r="KG432" s="13" t="s">
        <v>37</v>
      </c>
      <c r="KH432" s="11" t="s">
        <v>37</v>
      </c>
      <c r="KI432" s="11" t="s">
        <v>37</v>
      </c>
      <c r="KJ432" s="11" t="s">
        <v>37</v>
      </c>
      <c r="KM432" s="12" t="s">
        <v>37</v>
      </c>
      <c r="KN432" s="12" t="s">
        <v>37</v>
      </c>
      <c r="KO432" s="11" t="s">
        <v>37</v>
      </c>
      <c r="KP432" s="11"/>
      <c r="KQ432" s="12" t="s">
        <v>37</v>
      </c>
      <c r="KR432" s="12" t="s">
        <v>37</v>
      </c>
      <c r="KS432" s="13" t="s">
        <v>37</v>
      </c>
      <c r="KT432" s="13"/>
      <c r="KU432" s="13"/>
      <c r="KV432" s="13"/>
      <c r="KX432" s="12" t="s">
        <v>37</v>
      </c>
      <c r="KY432" s="12" t="s">
        <v>37</v>
      </c>
      <c r="KZ432" s="13" t="s">
        <v>37</v>
      </c>
      <c r="LA432" s="13"/>
      <c r="LB432" s="12" t="s">
        <v>37</v>
      </c>
      <c r="LC432" s="12" t="s">
        <v>37</v>
      </c>
      <c r="LD432" s="13" t="s">
        <v>37</v>
      </c>
      <c r="LE432" s="13"/>
      <c r="LF432" s="13"/>
      <c r="LG432" s="13"/>
      <c r="LI432" s="12" t="s">
        <v>37</v>
      </c>
      <c r="LJ432" s="12" t="s">
        <v>37</v>
      </c>
      <c r="LK432" s="12" t="s">
        <v>37</v>
      </c>
      <c r="LL432" s="12"/>
      <c r="LM432" s="12" t="s">
        <v>37</v>
      </c>
      <c r="LN432" s="12" t="s">
        <v>37</v>
      </c>
      <c r="LO432" s="12" t="s">
        <v>37</v>
      </c>
      <c r="LP432" s="12"/>
      <c r="LQ432" s="12"/>
      <c r="LR432" s="12"/>
      <c r="LT432" s="12" t="s">
        <v>327</v>
      </c>
      <c r="LU432" s="12">
        <v>27.7</v>
      </c>
      <c r="LV432" s="50">
        <f>ABS(LU432)*LX$474</f>
        <v>3.9518630192636373</v>
      </c>
      <c r="LW432" s="13">
        <v>3</v>
      </c>
      <c r="LX432" s="13"/>
      <c r="LY432" s="12">
        <v>22.2</v>
      </c>
      <c r="LZ432" s="50">
        <f>ABS(LY432)*MB$474</f>
        <v>2.8824367860891216</v>
      </c>
      <c r="MA432" s="13">
        <v>3</v>
      </c>
      <c r="MB432" s="13"/>
      <c r="MC432" s="19">
        <f t="shared" ref="MC432:MC433" si="1656">LN(LY432/LU432)</f>
        <v>-0.22134012431505912</v>
      </c>
      <c r="MD432" s="19">
        <f t="shared" ref="MD432:MD433" si="1657">LZ432^2/(MA432*LY432^2)+LV432^2/(LW432*LU432^2)</f>
        <v>1.2404011544759081E-2</v>
      </c>
      <c r="MF432" s="12" t="s">
        <v>37</v>
      </c>
      <c r="MG432" s="12" t="s">
        <v>37</v>
      </c>
      <c r="MH432" s="12" t="s">
        <v>37</v>
      </c>
      <c r="MI432" s="12"/>
      <c r="MJ432" s="12" t="s">
        <v>37</v>
      </c>
      <c r="MK432" s="12" t="s">
        <v>37</v>
      </c>
      <c r="ML432" s="12" t="s">
        <v>37</v>
      </c>
      <c r="MM432" s="12"/>
      <c r="MN432" s="12"/>
      <c r="MO432" s="12"/>
      <c r="MQ432" s="12" t="s">
        <v>37</v>
      </c>
      <c r="MR432" s="12" t="s">
        <v>37</v>
      </c>
      <c r="MS432" s="12" t="s">
        <v>37</v>
      </c>
      <c r="MT432" s="12"/>
      <c r="MU432" s="12" t="s">
        <v>37</v>
      </c>
      <c r="MV432" s="12" t="s">
        <v>37</v>
      </c>
      <c r="MW432" s="12" t="s">
        <v>37</v>
      </c>
      <c r="MX432" s="12"/>
      <c r="MY432" s="12"/>
      <c r="MZ432" s="12"/>
      <c r="NC432" s="12" t="s">
        <v>37</v>
      </c>
      <c r="ND432" s="12" t="s">
        <v>37</v>
      </c>
      <c r="NE432" s="13" t="s">
        <v>37</v>
      </c>
      <c r="NF432" s="13"/>
      <c r="NG432" s="12" t="s">
        <v>37</v>
      </c>
      <c r="NH432" s="12" t="s">
        <v>37</v>
      </c>
      <c r="NI432" s="13" t="s">
        <v>37</v>
      </c>
      <c r="NJ432" s="13"/>
      <c r="NK432" s="13"/>
      <c r="NL432" s="13"/>
      <c r="NO432" s="12" t="s">
        <v>37</v>
      </c>
      <c r="NP432" s="12" t="s">
        <v>37</v>
      </c>
      <c r="NQ432" s="13" t="s">
        <v>37</v>
      </c>
      <c r="NR432" s="13"/>
      <c r="NS432" s="12" t="s">
        <v>37</v>
      </c>
      <c r="NT432" s="12" t="s">
        <v>37</v>
      </c>
      <c r="NU432" s="13" t="s">
        <v>37</v>
      </c>
      <c r="NV432" s="13"/>
      <c r="NW432" s="13"/>
      <c r="NX432" s="13"/>
      <c r="OA432" s="11" t="s">
        <v>37</v>
      </c>
      <c r="OB432" s="11" t="s">
        <v>37</v>
      </c>
      <c r="OC432" s="13" t="s">
        <v>37</v>
      </c>
      <c r="OE432" s="11" t="s">
        <v>37</v>
      </c>
      <c r="OF432" s="11" t="s">
        <v>37</v>
      </c>
      <c r="OG432" s="13" t="s">
        <v>37</v>
      </c>
      <c r="OM432" s="11" t="s">
        <v>37</v>
      </c>
      <c r="ON432" s="11" t="s">
        <v>37</v>
      </c>
      <c r="OO432" s="11" t="s">
        <v>37</v>
      </c>
      <c r="OP432" s="11" t="s">
        <v>37</v>
      </c>
      <c r="OQ432" s="11" t="s">
        <v>37</v>
      </c>
      <c r="OR432" s="11" t="s">
        <v>37</v>
      </c>
      <c r="OW432" s="12" t="s">
        <v>37</v>
      </c>
      <c r="OX432" s="12" t="s">
        <v>37</v>
      </c>
      <c r="OY432" s="13" t="s">
        <v>37</v>
      </c>
      <c r="OZ432" s="12" t="s">
        <v>37</v>
      </c>
      <c r="PA432" s="12" t="s">
        <v>37</v>
      </c>
      <c r="PB432" s="13" t="s">
        <v>37</v>
      </c>
      <c r="PG432" s="11" t="s">
        <v>37</v>
      </c>
      <c r="PH432" s="11" t="s">
        <v>37</v>
      </c>
      <c r="PI432" s="13" t="s">
        <v>37</v>
      </c>
      <c r="PJ432" s="11" t="s">
        <v>37</v>
      </c>
      <c r="PK432" s="11" t="s">
        <v>37</v>
      </c>
      <c r="PL432" s="13" t="s">
        <v>37</v>
      </c>
      <c r="PQ432" s="12" t="s">
        <v>37</v>
      </c>
      <c r="PR432" s="12" t="s">
        <v>37</v>
      </c>
      <c r="PS432" s="12" t="s">
        <v>37</v>
      </c>
      <c r="PT432" s="12" t="s">
        <v>37</v>
      </c>
      <c r="PU432" s="12" t="s">
        <v>37</v>
      </c>
      <c r="PV432" s="12" t="s">
        <v>37</v>
      </c>
      <c r="PW432" s="12"/>
      <c r="PX432" s="12"/>
      <c r="PZ432" s="12" t="s">
        <v>37</v>
      </c>
      <c r="QA432" s="12" t="s">
        <v>37</v>
      </c>
      <c r="QB432" s="11" t="s">
        <v>37</v>
      </c>
      <c r="QC432" s="11"/>
      <c r="QD432" s="12" t="s">
        <v>37</v>
      </c>
      <c r="QE432" s="12" t="s">
        <v>37</v>
      </c>
      <c r="QF432" s="12" t="s">
        <v>37</v>
      </c>
      <c r="QG432" s="12"/>
      <c r="QH432" s="12"/>
      <c r="QI432" s="12"/>
      <c r="QK432" s="12" t="s">
        <v>37</v>
      </c>
      <c r="QL432" s="12" t="s">
        <v>37</v>
      </c>
      <c r="QM432" s="12" t="s">
        <v>37</v>
      </c>
      <c r="QN432" s="12" t="s">
        <v>37</v>
      </c>
      <c r="QO432" s="12" t="s">
        <v>37</v>
      </c>
      <c r="QP432" s="12" t="s">
        <v>37</v>
      </c>
      <c r="QQ432" s="12"/>
      <c r="QR432" s="12"/>
      <c r="QU432" s="11" t="s">
        <v>37</v>
      </c>
      <c r="QV432" s="11" t="s">
        <v>37</v>
      </c>
      <c r="QW432" s="13" t="s">
        <v>37</v>
      </c>
      <c r="QX432" s="11" t="s">
        <v>37</v>
      </c>
      <c r="QY432" s="11" t="s">
        <v>37</v>
      </c>
      <c r="QZ432" s="13" t="s">
        <v>37</v>
      </c>
      <c r="RC432" s="12" t="s">
        <v>37</v>
      </c>
      <c r="RD432" s="12" t="s">
        <v>37</v>
      </c>
      <c r="RE432" s="13" t="s">
        <v>37</v>
      </c>
      <c r="RF432" s="12" t="s">
        <v>37</v>
      </c>
      <c r="RG432" s="12" t="s">
        <v>37</v>
      </c>
      <c r="RH432" s="13" t="s">
        <v>37</v>
      </c>
      <c r="RK432" s="11" t="s">
        <v>37</v>
      </c>
      <c r="RL432" s="11" t="s">
        <v>37</v>
      </c>
      <c r="RM432" s="11" t="s">
        <v>37</v>
      </c>
      <c r="RN432" s="11" t="s">
        <v>37</v>
      </c>
      <c r="RO432" s="11" t="s">
        <v>37</v>
      </c>
      <c r="RP432" s="11" t="s">
        <v>37</v>
      </c>
      <c r="RS432" s="11" t="s">
        <v>37</v>
      </c>
      <c r="RT432" s="11" t="s">
        <v>37</v>
      </c>
      <c r="RU432" s="11" t="s">
        <v>37</v>
      </c>
      <c r="RV432" s="11" t="s">
        <v>37</v>
      </c>
      <c r="RW432" s="11" t="s">
        <v>37</v>
      </c>
      <c r="RX432" s="11" t="s">
        <v>37</v>
      </c>
      <c r="SA432" s="11" t="s">
        <v>37</v>
      </c>
      <c r="SB432" s="11" t="s">
        <v>37</v>
      </c>
      <c r="SC432" s="13" t="s">
        <v>37</v>
      </c>
      <c r="SD432" s="11" t="s">
        <v>37</v>
      </c>
      <c r="SE432" s="11" t="s">
        <v>37</v>
      </c>
      <c r="SF432" s="13" t="s">
        <v>37</v>
      </c>
      <c r="SI432" s="12" t="s">
        <v>37</v>
      </c>
      <c r="SJ432" s="12" t="s">
        <v>37</v>
      </c>
      <c r="SK432" s="13" t="s">
        <v>37</v>
      </c>
      <c r="SL432" s="13"/>
      <c r="SM432" s="12" t="s">
        <v>37</v>
      </c>
      <c r="SN432" s="12" t="s">
        <v>37</v>
      </c>
      <c r="SO432" s="13" t="s">
        <v>37</v>
      </c>
      <c r="SP432" s="13"/>
      <c r="SQ432" s="13"/>
      <c r="SR432" s="13"/>
      <c r="SU432" s="12" t="s">
        <v>37</v>
      </c>
      <c r="SV432" s="12" t="s">
        <v>37</v>
      </c>
      <c r="SW432" s="11" t="s">
        <v>37</v>
      </c>
      <c r="SX432" s="12" t="s">
        <v>37</v>
      </c>
      <c r="SY432" s="12" t="s">
        <v>37</v>
      </c>
      <c r="SZ432" s="11" t="s">
        <v>37</v>
      </c>
      <c r="TE432" s="12" t="s">
        <v>37</v>
      </c>
      <c r="TF432" s="12" t="s">
        <v>37</v>
      </c>
      <c r="TG432" s="11" t="s">
        <v>37</v>
      </c>
      <c r="TH432" s="12" t="s">
        <v>37</v>
      </c>
      <c r="TI432" s="12" t="s">
        <v>37</v>
      </c>
      <c r="TJ432" s="11" t="s">
        <v>37</v>
      </c>
      <c r="TO432" s="12" t="s">
        <v>37</v>
      </c>
      <c r="TP432" s="12" t="s">
        <v>37</v>
      </c>
      <c r="TQ432" s="11" t="s">
        <v>37</v>
      </c>
      <c r="TR432" s="12" t="s">
        <v>37</v>
      </c>
      <c r="TS432" s="12" t="s">
        <v>37</v>
      </c>
      <c r="TT432" s="11" t="s">
        <v>37</v>
      </c>
      <c r="TY432" s="12" t="s">
        <v>37</v>
      </c>
      <c r="TZ432" s="12" t="s">
        <v>37</v>
      </c>
      <c r="UA432" s="12" t="s">
        <v>37</v>
      </c>
      <c r="UB432" s="12" t="s">
        <v>37</v>
      </c>
      <c r="UC432" s="12" t="s">
        <v>37</v>
      </c>
      <c r="UD432" s="12" t="s">
        <v>37</v>
      </c>
      <c r="UE432" s="12"/>
      <c r="UF432" s="12"/>
      <c r="UI432" s="12" t="s">
        <v>37</v>
      </c>
      <c r="UJ432" s="12" t="s">
        <v>37</v>
      </c>
      <c r="UK432" s="12" t="s">
        <v>37</v>
      </c>
      <c r="UL432" s="12" t="s">
        <v>37</v>
      </c>
      <c r="UM432" s="12" t="s">
        <v>37</v>
      </c>
      <c r="UN432" s="12" t="s">
        <v>37</v>
      </c>
      <c r="UO432" s="12"/>
      <c r="UP432" s="12"/>
      <c r="UR432" s="12" t="s">
        <v>37</v>
      </c>
      <c r="US432" s="12" t="s">
        <v>37</v>
      </c>
      <c r="UT432" s="12" t="s">
        <v>37</v>
      </c>
      <c r="UU432" s="12" t="s">
        <v>37</v>
      </c>
      <c r="UV432" s="12" t="s">
        <v>37</v>
      </c>
      <c r="UW432" s="12" t="s">
        <v>37</v>
      </c>
      <c r="UX432" s="12"/>
      <c r="UY432" s="12"/>
      <c r="VB432" s="12" t="s">
        <v>37</v>
      </c>
      <c r="VC432" s="12" t="s">
        <v>37</v>
      </c>
      <c r="VD432" s="12" t="s">
        <v>37</v>
      </c>
      <c r="VE432" s="12" t="s">
        <v>37</v>
      </c>
      <c r="VF432" s="12" t="s">
        <v>37</v>
      </c>
      <c r="VG432" s="12" t="s">
        <v>37</v>
      </c>
      <c r="VI432" s="12" t="s">
        <v>37</v>
      </c>
      <c r="VJ432" s="12" t="s">
        <v>37</v>
      </c>
      <c r="VK432" s="12" t="s">
        <v>37</v>
      </c>
      <c r="VL432" s="12" t="s">
        <v>37</v>
      </c>
      <c r="VM432" s="12" t="s">
        <v>37</v>
      </c>
      <c r="VN432" s="12" t="s">
        <v>37</v>
      </c>
      <c r="VQ432" s="13" t="s">
        <v>37</v>
      </c>
      <c r="VR432" s="13" t="s">
        <v>37</v>
      </c>
      <c r="VS432" s="13" t="s">
        <v>37</v>
      </c>
      <c r="VT432" s="13" t="s">
        <v>37</v>
      </c>
      <c r="VU432" s="13" t="s">
        <v>37</v>
      </c>
      <c r="VV432" s="13" t="s">
        <v>37</v>
      </c>
      <c r="WA432" s="13" t="s">
        <v>37</v>
      </c>
      <c r="WB432" s="13" t="s">
        <v>37</v>
      </c>
      <c r="WC432" s="13" t="s">
        <v>37</v>
      </c>
      <c r="WD432" s="13" t="s">
        <v>37</v>
      </c>
      <c r="WE432" s="13" t="s">
        <v>37</v>
      </c>
      <c r="WF432" s="13" t="s">
        <v>37</v>
      </c>
    </row>
    <row r="433" spans="1:604" ht="17.399999999999999" x14ac:dyDescent="0.4">
      <c r="A433" s="11">
        <v>98</v>
      </c>
      <c r="B433" s="16" t="s">
        <v>948</v>
      </c>
      <c r="C433" s="12" t="s">
        <v>26</v>
      </c>
      <c r="D433" s="12" t="s">
        <v>1038</v>
      </c>
      <c r="E433" s="14">
        <v>5.15</v>
      </c>
      <c r="F433" s="72">
        <v>121</v>
      </c>
      <c r="G433" s="14">
        <v>2.1</v>
      </c>
      <c r="H433" s="12" t="s">
        <v>136</v>
      </c>
      <c r="I433" s="29">
        <v>53.683</v>
      </c>
      <c r="J433" s="29">
        <v>8.8170000000000002</v>
      </c>
      <c r="K433" s="12" t="s">
        <v>949</v>
      </c>
      <c r="L433" s="12" t="s">
        <v>950</v>
      </c>
      <c r="M433" s="13" t="s">
        <v>37</v>
      </c>
      <c r="N433" s="14">
        <v>10.8</v>
      </c>
      <c r="O433" s="14">
        <v>929</v>
      </c>
      <c r="P433" s="14" t="s">
        <v>16</v>
      </c>
      <c r="Q433" s="75">
        <v>57</v>
      </c>
      <c r="R433" s="11" t="s">
        <v>999</v>
      </c>
      <c r="S433" s="12" t="s">
        <v>93</v>
      </c>
      <c r="T433" s="12" t="s">
        <v>138</v>
      </c>
      <c r="U433" s="12" t="s">
        <v>158</v>
      </c>
      <c r="V433" s="12" t="s">
        <v>275</v>
      </c>
      <c r="W433" s="23" t="s">
        <v>951</v>
      </c>
      <c r="X433" s="12" t="s">
        <v>280</v>
      </c>
      <c r="Y433" s="12" t="s">
        <v>69</v>
      </c>
      <c r="Z433" s="12" t="s">
        <v>37</v>
      </c>
      <c r="AA433" s="32" t="s">
        <v>327</v>
      </c>
      <c r="AB433" s="12">
        <v>3.05</v>
      </c>
      <c r="AC433" s="12" t="s">
        <v>37</v>
      </c>
      <c r="AD433" s="23"/>
      <c r="AE433" s="12" t="s">
        <v>37</v>
      </c>
      <c r="AH433" s="12" t="s">
        <v>37</v>
      </c>
      <c r="AJ433" s="23"/>
      <c r="AK433" s="23" t="s">
        <v>326</v>
      </c>
      <c r="AL433" s="32" t="s">
        <v>953</v>
      </c>
      <c r="AM433" s="12" t="s">
        <v>344</v>
      </c>
      <c r="AO433" s="12" t="s">
        <v>318</v>
      </c>
      <c r="AP433" s="12" t="s">
        <v>108</v>
      </c>
      <c r="AQ433" s="12" t="s">
        <v>73</v>
      </c>
      <c r="AT433" s="12" t="s">
        <v>37</v>
      </c>
      <c r="AU433" s="12" t="s">
        <v>37</v>
      </c>
      <c r="AV433" s="13" t="s">
        <v>37</v>
      </c>
      <c r="AX433" s="12" t="s">
        <v>37</v>
      </c>
      <c r="AY433" s="12" t="s">
        <v>37</v>
      </c>
      <c r="AZ433" s="13" t="s">
        <v>37</v>
      </c>
      <c r="BE433" s="12" t="s">
        <v>37</v>
      </c>
      <c r="BF433" s="12" t="s">
        <v>37</v>
      </c>
      <c r="BG433" s="13" t="s">
        <v>37</v>
      </c>
      <c r="BH433" s="13"/>
      <c r="BI433" s="12" t="s">
        <v>37</v>
      </c>
      <c r="BJ433" s="12" t="s">
        <v>37</v>
      </c>
      <c r="BK433" s="13" t="s">
        <v>37</v>
      </c>
      <c r="BL433" s="13"/>
      <c r="BM433" s="13"/>
      <c r="BN433" s="13"/>
      <c r="BP433" s="12" t="s">
        <v>37</v>
      </c>
      <c r="BQ433" s="12" t="s">
        <v>37</v>
      </c>
      <c r="BR433" s="13" t="s">
        <v>37</v>
      </c>
      <c r="BS433" s="13"/>
      <c r="BT433" s="12" t="s">
        <v>37</v>
      </c>
      <c r="BU433" s="12" t="s">
        <v>37</v>
      </c>
      <c r="BV433" s="12" t="s">
        <v>37</v>
      </c>
      <c r="BW433" s="12"/>
      <c r="BX433" s="12"/>
      <c r="BY433" s="12"/>
      <c r="BZ433" s="12" t="s">
        <v>47</v>
      </c>
      <c r="CA433" s="12">
        <v>-6290</v>
      </c>
      <c r="CB433" s="12">
        <v>1316.3586137523466</v>
      </c>
      <c r="CC433" s="13">
        <v>3</v>
      </c>
      <c r="CD433" s="19">
        <f t="shared" si="1627"/>
        <v>0.20927799900673238</v>
      </c>
      <c r="CE433" s="12">
        <v>-19210</v>
      </c>
      <c r="CF433" s="12">
        <v>3290.8965343808668</v>
      </c>
      <c r="CG433" s="13">
        <v>3</v>
      </c>
      <c r="CH433" s="19">
        <f t="shared" si="1628"/>
        <v>0.17131163635506855</v>
      </c>
      <c r="CI433" s="75">
        <f t="shared" si="1629"/>
        <v>-12920</v>
      </c>
      <c r="CJ433" s="12">
        <f t="shared" si="1630"/>
        <v>2506.2721320718547</v>
      </c>
      <c r="CK433" s="72">
        <f t="shared" si="1631"/>
        <v>4187600</v>
      </c>
      <c r="CL433" s="72">
        <f t="shared" si="1632"/>
        <v>4187600</v>
      </c>
      <c r="CM433" s="12" t="s">
        <v>47</v>
      </c>
      <c r="CN433" s="12">
        <v>5020</v>
      </c>
      <c r="CO433" s="12">
        <v>917.98692801150492</v>
      </c>
      <c r="CP433" s="13">
        <v>3</v>
      </c>
      <c r="CQ433" s="19">
        <f t="shared" si="1633"/>
        <v>0.1828659219146424</v>
      </c>
      <c r="CR433" s="12">
        <v>24030</v>
      </c>
      <c r="CS433" s="12">
        <v>2459.5121467478057</v>
      </c>
      <c r="CT433" s="13">
        <v>3</v>
      </c>
      <c r="CU433" s="19">
        <f>CS433/ABS(CR433)</f>
        <v>0.10235173311476511</v>
      </c>
      <c r="CV433" s="75">
        <f t="shared" si="1634"/>
        <v>19010</v>
      </c>
      <c r="CW433" s="12">
        <f t="shared" si="1635"/>
        <v>1856.3270186042114</v>
      </c>
      <c r="CX433" s="72">
        <f t="shared" si="1636"/>
        <v>2297300</v>
      </c>
      <c r="CY433" s="72">
        <f t="shared" si="1637"/>
        <v>2297300</v>
      </c>
      <c r="CZ433" s="12" t="s">
        <v>47</v>
      </c>
      <c r="DA433" s="12">
        <v>-1270</v>
      </c>
      <c r="DB433" s="12">
        <v>1593.4867429633669</v>
      </c>
      <c r="DC433" s="13">
        <v>3</v>
      </c>
      <c r="DD433" s="19">
        <f t="shared" ref="DD433" si="1658">DB433/ABS(DA433)</f>
        <v>1.2547139708372967</v>
      </c>
      <c r="DE433" s="12">
        <v>4820</v>
      </c>
      <c r="DF433" s="12">
        <v>4122.2809220139279</v>
      </c>
      <c r="DG433" s="13">
        <v>3</v>
      </c>
      <c r="DH433" s="19">
        <f>DF433/ABS(DE433)</f>
        <v>0.85524500456720498</v>
      </c>
      <c r="DI433" s="19">
        <f t="shared" si="1638"/>
        <v>6090</v>
      </c>
      <c r="DJ433" s="12">
        <f t="shared" si="1639"/>
        <v>3125.0919986457998</v>
      </c>
      <c r="DK433" s="72">
        <f t="shared" si="1640"/>
        <v>6510800</v>
      </c>
      <c r="DL433" s="72">
        <f t="shared" si="1641"/>
        <v>6510800</v>
      </c>
      <c r="DM433" s="15" t="s">
        <v>47</v>
      </c>
      <c r="DN433" s="12">
        <v>36.813333333333333</v>
      </c>
      <c r="DO433" s="12">
        <v>5.8889727457341818</v>
      </c>
      <c r="DP433" s="13">
        <v>3</v>
      </c>
      <c r="DQ433" s="19">
        <f t="shared" si="1642"/>
        <v>0.15996847371606795</v>
      </c>
      <c r="DR433" s="12">
        <v>0.97333333333333327</v>
      </c>
      <c r="DS433" s="12">
        <v>1.1777945491468365</v>
      </c>
      <c r="DT433" s="13">
        <v>3</v>
      </c>
      <c r="DU433" s="19">
        <f t="shared" si="1643"/>
        <v>1.2100628929590787</v>
      </c>
      <c r="DV433" s="19">
        <f t="shared" si="1625"/>
        <v>-35.839999999999996</v>
      </c>
      <c r="DW433" s="12">
        <f t="shared" si="1626"/>
        <v>4.2465986389109096</v>
      </c>
      <c r="DX433" s="72">
        <f t="shared" si="1611"/>
        <v>12.022399999999994</v>
      </c>
      <c r="DY433" s="72">
        <f t="shared" si="1612"/>
        <v>12.022399999999996</v>
      </c>
      <c r="DZ433" s="15" t="s">
        <v>47</v>
      </c>
      <c r="EA433" s="12">
        <v>0.11</v>
      </c>
      <c r="EB433" s="12">
        <v>0.65323059028311947</v>
      </c>
      <c r="EC433" s="13">
        <v>3</v>
      </c>
      <c r="ED433" s="52">
        <f>EB433/ABS(EA433)</f>
        <v>5.9384599116647223</v>
      </c>
      <c r="EE433" s="12">
        <v>4.0071428571428571</v>
      </c>
      <c r="EF433" s="12">
        <v>2.7490120674414609</v>
      </c>
      <c r="EG433" s="13">
        <v>3</v>
      </c>
      <c r="EH433" s="52">
        <f>EF433/ABS(EE433)</f>
        <v>0.68602796691943768</v>
      </c>
      <c r="EI433" s="19">
        <f t="shared" si="1645"/>
        <v>3.8971428571428572</v>
      </c>
      <c r="EJ433" s="12">
        <f t="shared" si="1646"/>
        <v>1.9979711648345186</v>
      </c>
      <c r="EK433" s="19">
        <f t="shared" si="1647"/>
        <v>2.6612591836734687</v>
      </c>
      <c r="EL433" s="19">
        <f t="shared" si="1648"/>
        <v>2.6612591836734691</v>
      </c>
      <c r="EM433" s="12" t="s">
        <v>39</v>
      </c>
      <c r="EN433" s="12">
        <v>-12.821300563236036</v>
      </c>
      <c r="EO433" s="12">
        <v>0.77828981054787205</v>
      </c>
      <c r="EP433" s="13">
        <v>3</v>
      </c>
      <c r="EQ433" s="19">
        <f t="shared" si="1649"/>
        <v>6.0702875399360839E-2</v>
      </c>
      <c r="ER433" s="12">
        <v>-49.305962854349943</v>
      </c>
      <c r="ES433" s="12">
        <v>4.302708385623629</v>
      </c>
      <c r="ET433" s="13">
        <v>3</v>
      </c>
      <c r="EU433" s="19">
        <f t="shared" si="1650"/>
        <v>8.7265477369012162E-2</v>
      </c>
      <c r="EV433" s="19">
        <f>ER433-EN433</f>
        <v>-36.484662291113906</v>
      </c>
      <c r="EW433" s="12">
        <f t="shared" si="1651"/>
        <v>3.0918468979655618</v>
      </c>
      <c r="EX433" s="19">
        <f t="shared" si="1652"/>
        <v>6.3730114936395115</v>
      </c>
      <c r="EY433" s="19">
        <f t="shared" si="1653"/>
        <v>6.3730114936395124</v>
      </c>
      <c r="FB433" s="12" t="s">
        <v>37</v>
      </c>
      <c r="FC433" s="12" t="s">
        <v>37</v>
      </c>
      <c r="FD433" s="11" t="s">
        <v>37</v>
      </c>
      <c r="FE433" s="12" t="s">
        <v>37</v>
      </c>
      <c r="FF433" s="20" t="s">
        <v>37</v>
      </c>
      <c r="FG433" s="11" t="s">
        <v>37</v>
      </c>
      <c r="FI433" s="12" t="s">
        <v>37</v>
      </c>
      <c r="FJ433" s="12" t="s">
        <v>37</v>
      </c>
      <c r="FK433" s="11" t="s">
        <v>37</v>
      </c>
      <c r="FL433" s="13" t="s">
        <v>37</v>
      </c>
      <c r="FM433" s="11" t="s">
        <v>37</v>
      </c>
      <c r="FN433" s="11" t="s">
        <v>37</v>
      </c>
      <c r="FP433" s="12" t="s">
        <v>37</v>
      </c>
      <c r="FQ433" s="12" t="s">
        <v>37</v>
      </c>
      <c r="FR433" s="11" t="s">
        <v>37</v>
      </c>
      <c r="FS433" s="13" t="s">
        <v>37</v>
      </c>
      <c r="FT433" s="11" t="s">
        <v>37</v>
      </c>
      <c r="FU433" s="11" t="s">
        <v>37</v>
      </c>
      <c r="FW433" s="12" t="s">
        <v>37</v>
      </c>
      <c r="FX433" s="12" t="s">
        <v>37</v>
      </c>
      <c r="FY433" s="11" t="s">
        <v>37</v>
      </c>
      <c r="FZ433" s="13" t="s">
        <v>37</v>
      </c>
      <c r="GA433" s="11" t="s">
        <v>37</v>
      </c>
      <c r="GB433" s="11" t="s">
        <v>37</v>
      </c>
      <c r="GE433" s="12" t="s">
        <v>37</v>
      </c>
      <c r="GF433" s="12" t="s">
        <v>37</v>
      </c>
      <c r="GG433" s="13" t="s">
        <v>37</v>
      </c>
      <c r="GH433" s="13"/>
      <c r="GI433" s="12" t="s">
        <v>37</v>
      </c>
      <c r="GJ433" s="12" t="s">
        <v>37</v>
      </c>
      <c r="GK433" s="13" t="s">
        <v>37</v>
      </c>
      <c r="GL433" s="13"/>
      <c r="GM433" s="13"/>
      <c r="GN433" s="13"/>
      <c r="GQ433" s="12" t="s">
        <v>37</v>
      </c>
      <c r="GR433" s="12" t="s">
        <v>37</v>
      </c>
      <c r="GS433" s="13" t="s">
        <v>37</v>
      </c>
      <c r="GT433" s="13"/>
      <c r="GU433" s="12" t="s">
        <v>37</v>
      </c>
      <c r="GV433" s="12" t="s">
        <v>37</v>
      </c>
      <c r="GW433" s="13" t="s">
        <v>37</v>
      </c>
      <c r="GX433" s="13"/>
      <c r="GY433" s="13"/>
      <c r="GZ433" s="13"/>
      <c r="HC433" s="12" t="s">
        <v>37</v>
      </c>
      <c r="HD433" s="12" t="s">
        <v>37</v>
      </c>
      <c r="HE433" s="13" t="s">
        <v>37</v>
      </c>
      <c r="HF433" s="13"/>
      <c r="HG433" s="12" t="s">
        <v>37</v>
      </c>
      <c r="HH433" s="12" t="s">
        <v>37</v>
      </c>
      <c r="HI433" s="13" t="s">
        <v>37</v>
      </c>
      <c r="HJ433" s="13"/>
      <c r="HK433" s="13"/>
      <c r="HL433" s="13"/>
      <c r="HN433" s="12" t="s">
        <v>37</v>
      </c>
      <c r="HO433" s="12" t="s">
        <v>37</v>
      </c>
      <c r="HP433" s="13" t="s">
        <v>37</v>
      </c>
      <c r="HQ433" s="13"/>
      <c r="HR433" s="12" t="s">
        <v>37</v>
      </c>
      <c r="HS433" s="12" t="s">
        <v>37</v>
      </c>
      <c r="HT433" s="13" t="s">
        <v>37</v>
      </c>
      <c r="HU433" s="13"/>
      <c r="HV433" s="13"/>
      <c r="HW433" s="13"/>
      <c r="HY433" s="12" t="s">
        <v>37</v>
      </c>
      <c r="HZ433" s="12" t="s">
        <v>37</v>
      </c>
      <c r="IA433" s="13" t="s">
        <v>37</v>
      </c>
      <c r="IB433" s="13"/>
      <c r="IC433" s="12" t="s">
        <v>37</v>
      </c>
      <c r="ID433" s="12" t="s">
        <v>37</v>
      </c>
      <c r="IE433" s="13" t="s">
        <v>37</v>
      </c>
      <c r="IF433" s="13"/>
      <c r="IG433" s="13"/>
      <c r="IH433" s="13"/>
      <c r="IK433" s="12" t="s">
        <v>37</v>
      </c>
      <c r="IL433" s="12" t="s">
        <v>37</v>
      </c>
      <c r="IM433" s="12" t="s">
        <v>37</v>
      </c>
      <c r="IN433" s="12"/>
      <c r="IO433" s="12" t="s">
        <v>37</v>
      </c>
      <c r="IP433" s="12" t="s">
        <v>37</v>
      </c>
      <c r="IQ433" s="12" t="s">
        <v>37</v>
      </c>
      <c r="IR433" s="12"/>
      <c r="IS433" s="12"/>
      <c r="IT433" s="12"/>
      <c r="IV433" s="32" t="s">
        <v>327</v>
      </c>
      <c r="IW433" s="12">
        <v>3.05</v>
      </c>
      <c r="IX433" s="50">
        <f>ABS(IW433)*IZ$474</f>
        <v>0.11166886501547056</v>
      </c>
      <c r="IY433" s="13">
        <v>3</v>
      </c>
      <c r="IZ433" s="13"/>
      <c r="JA433" s="12">
        <v>3.39</v>
      </c>
      <c r="JB433" s="50">
        <f>ABS(JA433)*JD$474</f>
        <v>9.4949861783532361E-2</v>
      </c>
      <c r="JC433" s="13">
        <v>3</v>
      </c>
      <c r="JD433" s="13"/>
      <c r="JE433" s="19">
        <f t="shared" si="1654"/>
        <v>0.10568833077303878</v>
      </c>
      <c r="JF433" s="19">
        <f t="shared" si="1655"/>
        <v>7.0832876411330761E-4</v>
      </c>
      <c r="JH433" s="12" t="s">
        <v>37</v>
      </c>
      <c r="JI433" s="12" t="s">
        <v>37</v>
      </c>
      <c r="JJ433" s="13" t="s">
        <v>37</v>
      </c>
      <c r="JK433" s="13"/>
      <c r="JL433" s="12" t="s">
        <v>37</v>
      </c>
      <c r="JM433" s="12" t="s">
        <v>37</v>
      </c>
      <c r="JN433" s="12" t="s">
        <v>37</v>
      </c>
      <c r="JO433" s="12"/>
      <c r="JP433" s="12"/>
      <c r="JQ433" s="12"/>
      <c r="JS433" s="12" t="s">
        <v>37</v>
      </c>
      <c r="JT433" s="12" t="s">
        <v>37</v>
      </c>
      <c r="JU433" s="13" t="s">
        <v>37</v>
      </c>
      <c r="JV433" s="13"/>
      <c r="JW433" s="12" t="s">
        <v>37</v>
      </c>
      <c r="JX433" s="12" t="s">
        <v>37</v>
      </c>
      <c r="JY433" s="12" t="s">
        <v>37</v>
      </c>
      <c r="JZ433" s="12"/>
      <c r="KA433" s="12"/>
      <c r="KB433" s="12"/>
      <c r="KE433" s="11" t="s">
        <v>37</v>
      </c>
      <c r="KF433" s="11" t="s">
        <v>37</v>
      </c>
      <c r="KG433" s="13" t="s">
        <v>37</v>
      </c>
      <c r="KH433" s="11" t="s">
        <v>37</v>
      </c>
      <c r="KI433" s="11" t="s">
        <v>37</v>
      </c>
      <c r="KJ433" s="11" t="s">
        <v>37</v>
      </c>
      <c r="KM433" s="12" t="s">
        <v>37</v>
      </c>
      <c r="KN433" s="12" t="s">
        <v>37</v>
      </c>
      <c r="KO433" s="11" t="s">
        <v>37</v>
      </c>
      <c r="KP433" s="11"/>
      <c r="KQ433" s="12" t="s">
        <v>37</v>
      </c>
      <c r="KR433" s="12" t="s">
        <v>37</v>
      </c>
      <c r="KS433" s="13" t="s">
        <v>37</v>
      </c>
      <c r="KT433" s="13"/>
      <c r="KU433" s="13"/>
      <c r="KV433" s="13"/>
      <c r="KX433" s="12" t="s">
        <v>37</v>
      </c>
      <c r="KY433" s="12" t="s">
        <v>37</v>
      </c>
      <c r="KZ433" s="13" t="s">
        <v>37</v>
      </c>
      <c r="LA433" s="13"/>
      <c r="LB433" s="12" t="s">
        <v>37</v>
      </c>
      <c r="LC433" s="12" t="s">
        <v>37</v>
      </c>
      <c r="LD433" s="13" t="s">
        <v>37</v>
      </c>
      <c r="LE433" s="13"/>
      <c r="LF433" s="13"/>
      <c r="LG433" s="13"/>
      <c r="LI433" s="12" t="s">
        <v>37</v>
      </c>
      <c r="LJ433" s="12" t="s">
        <v>37</v>
      </c>
      <c r="LK433" s="12" t="s">
        <v>37</v>
      </c>
      <c r="LL433" s="12"/>
      <c r="LM433" s="12" t="s">
        <v>37</v>
      </c>
      <c r="LN433" s="12" t="s">
        <v>37</v>
      </c>
      <c r="LO433" s="12" t="s">
        <v>37</v>
      </c>
      <c r="LP433" s="12"/>
      <c r="LQ433" s="12"/>
      <c r="LR433" s="12"/>
      <c r="LT433" s="12" t="s">
        <v>327</v>
      </c>
      <c r="LU433" s="12">
        <v>27.7</v>
      </c>
      <c r="LV433" s="50">
        <f>ABS(LU433)*LX$474</f>
        <v>3.9518630192636373</v>
      </c>
      <c r="LW433" s="13">
        <v>3</v>
      </c>
      <c r="LX433" s="13"/>
      <c r="LY433" s="12">
        <v>22.2</v>
      </c>
      <c r="LZ433" s="50">
        <f>ABS(LY433)*MB$474</f>
        <v>2.8824367860891216</v>
      </c>
      <c r="MA433" s="13">
        <v>3</v>
      </c>
      <c r="MB433" s="13"/>
      <c r="MC433" s="19">
        <f t="shared" si="1656"/>
        <v>-0.22134012431505912</v>
      </c>
      <c r="MD433" s="19">
        <f t="shared" si="1657"/>
        <v>1.2404011544759081E-2</v>
      </c>
      <c r="MF433" s="12" t="s">
        <v>37</v>
      </c>
      <c r="MG433" s="12" t="s">
        <v>37</v>
      </c>
      <c r="MH433" s="12" t="s">
        <v>37</v>
      </c>
      <c r="MI433" s="12"/>
      <c r="MJ433" s="12" t="s">
        <v>37</v>
      </c>
      <c r="MK433" s="12" t="s">
        <v>37</v>
      </c>
      <c r="ML433" s="12" t="s">
        <v>37</v>
      </c>
      <c r="MM433" s="12"/>
      <c r="MN433" s="12"/>
      <c r="MO433" s="12"/>
      <c r="MQ433" s="12" t="s">
        <v>37</v>
      </c>
      <c r="MR433" s="12" t="s">
        <v>37</v>
      </c>
      <c r="MS433" s="12" t="s">
        <v>37</v>
      </c>
      <c r="MT433" s="12"/>
      <c r="MU433" s="12" t="s">
        <v>37</v>
      </c>
      <c r="MV433" s="12" t="s">
        <v>37</v>
      </c>
      <c r="MW433" s="12" t="s">
        <v>37</v>
      </c>
      <c r="MX433" s="12"/>
      <c r="MY433" s="12"/>
      <c r="MZ433" s="12"/>
      <c r="NC433" s="12" t="s">
        <v>37</v>
      </c>
      <c r="ND433" s="12" t="s">
        <v>37</v>
      </c>
      <c r="NE433" s="13" t="s">
        <v>37</v>
      </c>
      <c r="NF433" s="13"/>
      <c r="NG433" s="12" t="s">
        <v>37</v>
      </c>
      <c r="NH433" s="12" t="s">
        <v>37</v>
      </c>
      <c r="NI433" s="13" t="s">
        <v>37</v>
      </c>
      <c r="NJ433" s="13"/>
      <c r="NK433" s="13"/>
      <c r="NL433" s="13"/>
      <c r="NO433" s="12" t="s">
        <v>37</v>
      </c>
      <c r="NP433" s="12" t="s">
        <v>37</v>
      </c>
      <c r="NQ433" s="13" t="s">
        <v>37</v>
      </c>
      <c r="NR433" s="13"/>
      <c r="NS433" s="12" t="s">
        <v>37</v>
      </c>
      <c r="NT433" s="12" t="s">
        <v>37</v>
      </c>
      <c r="NU433" s="13" t="s">
        <v>37</v>
      </c>
      <c r="NV433" s="13"/>
      <c r="NW433" s="13"/>
      <c r="NX433" s="13"/>
      <c r="OA433" s="11" t="s">
        <v>37</v>
      </c>
      <c r="OB433" s="11" t="s">
        <v>37</v>
      </c>
      <c r="OC433" s="13" t="s">
        <v>37</v>
      </c>
      <c r="OE433" s="11" t="s">
        <v>37</v>
      </c>
      <c r="OF433" s="11" t="s">
        <v>37</v>
      </c>
      <c r="OG433" s="13" t="s">
        <v>37</v>
      </c>
      <c r="OM433" s="11" t="s">
        <v>37</v>
      </c>
      <c r="ON433" s="11" t="s">
        <v>37</v>
      </c>
      <c r="OO433" s="11" t="s">
        <v>37</v>
      </c>
      <c r="OP433" s="11" t="s">
        <v>37</v>
      </c>
      <c r="OQ433" s="11" t="s">
        <v>37</v>
      </c>
      <c r="OR433" s="11" t="s">
        <v>37</v>
      </c>
      <c r="OW433" s="12" t="s">
        <v>37</v>
      </c>
      <c r="OX433" s="12" t="s">
        <v>37</v>
      </c>
      <c r="OY433" s="13" t="s">
        <v>37</v>
      </c>
      <c r="OZ433" s="12" t="s">
        <v>37</v>
      </c>
      <c r="PA433" s="12" t="s">
        <v>37</v>
      </c>
      <c r="PB433" s="13" t="s">
        <v>37</v>
      </c>
      <c r="PG433" s="11" t="s">
        <v>37</v>
      </c>
      <c r="PH433" s="11" t="s">
        <v>37</v>
      </c>
      <c r="PI433" s="13" t="s">
        <v>37</v>
      </c>
      <c r="PJ433" s="11" t="s">
        <v>37</v>
      </c>
      <c r="PK433" s="11" t="s">
        <v>37</v>
      </c>
      <c r="PL433" s="13" t="s">
        <v>37</v>
      </c>
      <c r="PQ433" s="12" t="s">
        <v>37</v>
      </c>
      <c r="PR433" s="12" t="s">
        <v>37</v>
      </c>
      <c r="PS433" s="12" t="s">
        <v>37</v>
      </c>
      <c r="PT433" s="12" t="s">
        <v>37</v>
      </c>
      <c r="PU433" s="12" t="s">
        <v>37</v>
      </c>
      <c r="PV433" s="12" t="s">
        <v>37</v>
      </c>
      <c r="PW433" s="12"/>
      <c r="PX433" s="12"/>
      <c r="PZ433" s="12" t="s">
        <v>37</v>
      </c>
      <c r="QA433" s="12" t="s">
        <v>37</v>
      </c>
      <c r="QB433" s="11" t="s">
        <v>37</v>
      </c>
      <c r="QC433" s="11"/>
      <c r="QD433" s="12" t="s">
        <v>37</v>
      </c>
      <c r="QE433" s="12" t="s">
        <v>37</v>
      </c>
      <c r="QF433" s="12" t="s">
        <v>37</v>
      </c>
      <c r="QG433" s="12"/>
      <c r="QH433" s="12"/>
      <c r="QI433" s="12"/>
      <c r="QK433" s="12" t="s">
        <v>37</v>
      </c>
      <c r="QL433" s="12" t="s">
        <v>37</v>
      </c>
      <c r="QM433" s="12" t="s">
        <v>37</v>
      </c>
      <c r="QN433" s="12" t="s">
        <v>37</v>
      </c>
      <c r="QO433" s="12" t="s">
        <v>37</v>
      </c>
      <c r="QP433" s="12" t="s">
        <v>37</v>
      </c>
      <c r="QQ433" s="12"/>
      <c r="QR433" s="12"/>
      <c r="QU433" s="11" t="s">
        <v>37</v>
      </c>
      <c r="QV433" s="11" t="s">
        <v>37</v>
      </c>
      <c r="QW433" s="13" t="s">
        <v>37</v>
      </c>
      <c r="QX433" s="11" t="s">
        <v>37</v>
      </c>
      <c r="QY433" s="11" t="s">
        <v>37</v>
      </c>
      <c r="QZ433" s="13" t="s">
        <v>37</v>
      </c>
      <c r="RC433" s="12" t="s">
        <v>37</v>
      </c>
      <c r="RD433" s="12" t="s">
        <v>37</v>
      </c>
      <c r="RE433" s="13" t="s">
        <v>37</v>
      </c>
      <c r="RF433" s="12" t="s">
        <v>37</v>
      </c>
      <c r="RG433" s="12" t="s">
        <v>37</v>
      </c>
      <c r="RH433" s="13" t="s">
        <v>37</v>
      </c>
      <c r="RK433" s="11" t="s">
        <v>37</v>
      </c>
      <c r="RL433" s="11" t="s">
        <v>37</v>
      </c>
      <c r="RM433" s="11" t="s">
        <v>37</v>
      </c>
      <c r="RN433" s="11" t="s">
        <v>37</v>
      </c>
      <c r="RO433" s="11" t="s">
        <v>37</v>
      </c>
      <c r="RP433" s="11" t="s">
        <v>37</v>
      </c>
      <c r="RS433" s="11" t="s">
        <v>37</v>
      </c>
      <c r="RT433" s="11" t="s">
        <v>37</v>
      </c>
      <c r="RU433" s="11" t="s">
        <v>37</v>
      </c>
      <c r="RV433" s="11" t="s">
        <v>37</v>
      </c>
      <c r="RW433" s="11" t="s">
        <v>37</v>
      </c>
      <c r="RX433" s="11" t="s">
        <v>37</v>
      </c>
      <c r="SA433" s="11" t="s">
        <v>37</v>
      </c>
      <c r="SB433" s="11" t="s">
        <v>37</v>
      </c>
      <c r="SC433" s="13" t="s">
        <v>37</v>
      </c>
      <c r="SD433" s="11" t="s">
        <v>37</v>
      </c>
      <c r="SE433" s="11" t="s">
        <v>37</v>
      </c>
      <c r="SF433" s="13" t="s">
        <v>37</v>
      </c>
      <c r="SI433" s="12" t="s">
        <v>37</v>
      </c>
      <c r="SJ433" s="12" t="s">
        <v>37</v>
      </c>
      <c r="SK433" s="13" t="s">
        <v>37</v>
      </c>
      <c r="SL433" s="13"/>
      <c r="SM433" s="12" t="s">
        <v>37</v>
      </c>
      <c r="SN433" s="12" t="s">
        <v>37</v>
      </c>
      <c r="SO433" s="13" t="s">
        <v>37</v>
      </c>
      <c r="SP433" s="13"/>
      <c r="SQ433" s="13"/>
      <c r="SR433" s="13"/>
      <c r="SU433" s="12" t="s">
        <v>37</v>
      </c>
      <c r="SV433" s="12" t="s">
        <v>37</v>
      </c>
      <c r="SW433" s="11" t="s">
        <v>37</v>
      </c>
      <c r="SX433" s="12" t="s">
        <v>37</v>
      </c>
      <c r="SY433" s="12" t="s">
        <v>37</v>
      </c>
      <c r="SZ433" s="11" t="s">
        <v>37</v>
      </c>
      <c r="TE433" s="12" t="s">
        <v>37</v>
      </c>
      <c r="TF433" s="12" t="s">
        <v>37</v>
      </c>
      <c r="TG433" s="11" t="s">
        <v>37</v>
      </c>
      <c r="TH433" s="12" t="s">
        <v>37</v>
      </c>
      <c r="TI433" s="12" t="s">
        <v>37</v>
      </c>
      <c r="TJ433" s="11" t="s">
        <v>37</v>
      </c>
      <c r="TO433" s="12" t="s">
        <v>37</v>
      </c>
      <c r="TP433" s="12" t="s">
        <v>37</v>
      </c>
      <c r="TQ433" s="11" t="s">
        <v>37</v>
      </c>
      <c r="TR433" s="12" t="s">
        <v>37</v>
      </c>
      <c r="TS433" s="12" t="s">
        <v>37</v>
      </c>
      <c r="TT433" s="11" t="s">
        <v>37</v>
      </c>
      <c r="TY433" s="12" t="s">
        <v>37</v>
      </c>
      <c r="TZ433" s="12" t="s">
        <v>37</v>
      </c>
      <c r="UA433" s="12" t="s">
        <v>37</v>
      </c>
      <c r="UB433" s="12" t="s">
        <v>37</v>
      </c>
      <c r="UC433" s="12" t="s">
        <v>37</v>
      </c>
      <c r="UD433" s="12" t="s">
        <v>37</v>
      </c>
      <c r="UE433" s="12"/>
      <c r="UF433" s="12"/>
      <c r="UI433" s="12" t="s">
        <v>37</v>
      </c>
      <c r="UJ433" s="12" t="s">
        <v>37</v>
      </c>
      <c r="UK433" s="12" t="s">
        <v>37</v>
      </c>
      <c r="UL433" s="12" t="s">
        <v>37</v>
      </c>
      <c r="UM433" s="12" t="s">
        <v>37</v>
      </c>
      <c r="UN433" s="12" t="s">
        <v>37</v>
      </c>
      <c r="UO433" s="12"/>
      <c r="UP433" s="12"/>
      <c r="UR433" s="12" t="s">
        <v>37</v>
      </c>
      <c r="US433" s="12" t="s">
        <v>37</v>
      </c>
      <c r="UT433" s="12" t="s">
        <v>37</v>
      </c>
      <c r="UU433" s="12" t="s">
        <v>37</v>
      </c>
      <c r="UV433" s="12" t="s">
        <v>37</v>
      </c>
      <c r="UW433" s="12" t="s">
        <v>37</v>
      </c>
      <c r="UX433" s="12"/>
      <c r="UY433" s="12"/>
      <c r="VB433" s="12" t="s">
        <v>37</v>
      </c>
      <c r="VC433" s="12" t="s">
        <v>37</v>
      </c>
      <c r="VD433" s="12" t="s">
        <v>37</v>
      </c>
      <c r="VE433" s="12" t="s">
        <v>37</v>
      </c>
      <c r="VF433" s="12" t="s">
        <v>37</v>
      </c>
      <c r="VG433" s="12" t="s">
        <v>37</v>
      </c>
      <c r="VI433" s="12" t="s">
        <v>37</v>
      </c>
      <c r="VJ433" s="12" t="s">
        <v>37</v>
      </c>
      <c r="VK433" s="12" t="s">
        <v>37</v>
      </c>
      <c r="VL433" s="12" t="s">
        <v>37</v>
      </c>
      <c r="VM433" s="12" t="s">
        <v>37</v>
      </c>
      <c r="VN433" s="12" t="s">
        <v>37</v>
      </c>
      <c r="VQ433" s="13" t="s">
        <v>37</v>
      </c>
      <c r="VR433" s="13" t="s">
        <v>37</v>
      </c>
      <c r="VS433" s="13" t="s">
        <v>37</v>
      </c>
      <c r="VT433" s="13" t="s">
        <v>37</v>
      </c>
      <c r="VU433" s="13" t="s">
        <v>37</v>
      </c>
      <c r="VV433" s="13" t="s">
        <v>37</v>
      </c>
      <c r="WA433" s="13" t="s">
        <v>37</v>
      </c>
      <c r="WB433" s="13" t="s">
        <v>37</v>
      </c>
      <c r="WC433" s="13" t="s">
        <v>37</v>
      </c>
      <c r="WD433" s="13" t="s">
        <v>37</v>
      </c>
      <c r="WE433" s="13" t="s">
        <v>37</v>
      </c>
      <c r="WF433" s="13" t="s">
        <v>37</v>
      </c>
    </row>
    <row r="434" spans="1:604" ht="17.399999999999999" x14ac:dyDescent="0.4">
      <c r="A434" s="11">
        <v>99</v>
      </c>
      <c r="B434" s="16" t="s">
        <v>954</v>
      </c>
      <c r="C434" s="12" t="s">
        <v>26</v>
      </c>
      <c r="D434" s="12" t="s">
        <v>1038</v>
      </c>
      <c r="E434" s="14">
        <v>6.5</v>
      </c>
      <c r="F434" s="72">
        <v>80</v>
      </c>
      <c r="G434" s="14">
        <v>0</v>
      </c>
      <c r="H434" s="12" t="s">
        <v>123</v>
      </c>
      <c r="I434" s="29">
        <v>62.667000000000002</v>
      </c>
      <c r="J434" s="29">
        <v>30.832999999999998</v>
      </c>
      <c r="K434" s="12" t="s">
        <v>955</v>
      </c>
      <c r="L434" s="12" t="s">
        <v>956</v>
      </c>
      <c r="M434" s="13" t="s">
        <v>37</v>
      </c>
      <c r="N434" s="14">
        <v>1.9</v>
      </c>
      <c r="O434" s="14">
        <v>791.02804142901948</v>
      </c>
      <c r="P434" s="14" t="s">
        <v>84</v>
      </c>
      <c r="Q434" s="75">
        <v>60</v>
      </c>
      <c r="R434" s="11" t="s">
        <v>37</v>
      </c>
      <c r="S434" s="12" t="s">
        <v>85</v>
      </c>
      <c r="T434" s="12" t="s">
        <v>138</v>
      </c>
      <c r="U434" s="12" t="s">
        <v>158</v>
      </c>
      <c r="V434" s="12" t="s">
        <v>275</v>
      </c>
      <c r="W434" s="23" t="s">
        <v>957</v>
      </c>
      <c r="X434" s="12" t="s">
        <v>280</v>
      </c>
      <c r="Y434" s="12" t="s">
        <v>69</v>
      </c>
      <c r="Z434" s="12" t="s">
        <v>37</v>
      </c>
      <c r="AA434" s="32" t="s">
        <v>345</v>
      </c>
      <c r="AB434" s="12">
        <v>5.3</v>
      </c>
      <c r="AC434" s="12" t="s">
        <v>42</v>
      </c>
      <c r="AD434" s="32" t="s">
        <v>345</v>
      </c>
      <c r="AE434" s="12">
        <v>490</v>
      </c>
      <c r="AF434" s="12" t="s">
        <v>42</v>
      </c>
      <c r="AG434" s="32" t="s">
        <v>345</v>
      </c>
      <c r="AH434" s="12">
        <v>26</v>
      </c>
      <c r="AJ434" s="12" t="str">
        <f>AD434</f>
        <v>0-10</v>
      </c>
      <c r="AK434" s="19">
        <f>AE434/AH434</f>
        <v>18.846153846153847</v>
      </c>
      <c r="AL434" s="32">
        <v>1991</v>
      </c>
      <c r="AM434" s="13" t="s">
        <v>344</v>
      </c>
      <c r="AO434" s="13" t="s">
        <v>318</v>
      </c>
      <c r="AP434" s="12" t="s">
        <v>108</v>
      </c>
      <c r="AQ434" s="12" t="s">
        <v>73</v>
      </c>
      <c r="AR434" s="12" t="s">
        <v>42</v>
      </c>
      <c r="AS434" s="32" t="s">
        <v>345</v>
      </c>
      <c r="AT434" s="12">
        <v>490</v>
      </c>
      <c r="AU434" s="50">
        <f>AT434*AW$474</f>
        <v>41.90830107612873</v>
      </c>
      <c r="AV434" s="13" t="s">
        <v>37</v>
      </c>
      <c r="AX434" s="12" t="s">
        <v>37</v>
      </c>
      <c r="AY434" s="13" t="s">
        <v>37</v>
      </c>
      <c r="AZ434" s="13" t="s">
        <v>37</v>
      </c>
      <c r="BE434" s="12" t="s">
        <v>37</v>
      </c>
      <c r="BF434" s="12" t="s">
        <v>37</v>
      </c>
      <c r="BG434" s="13" t="s">
        <v>37</v>
      </c>
      <c r="BH434" s="13"/>
      <c r="BI434" s="12" t="s">
        <v>37</v>
      </c>
      <c r="BJ434" s="12" t="s">
        <v>37</v>
      </c>
      <c r="BK434" s="13" t="s">
        <v>37</v>
      </c>
      <c r="BL434" s="13"/>
      <c r="BM434" s="13"/>
      <c r="BN434" s="13"/>
      <c r="BP434" s="12" t="s">
        <v>37</v>
      </c>
      <c r="BQ434" s="12" t="s">
        <v>37</v>
      </c>
      <c r="BR434" s="13" t="s">
        <v>37</v>
      </c>
      <c r="BS434" s="13"/>
      <c r="BT434" s="12" t="s">
        <v>37</v>
      </c>
      <c r="BU434" s="12" t="s">
        <v>37</v>
      </c>
      <c r="BV434" s="12" t="s">
        <v>37</v>
      </c>
      <c r="BW434" s="12"/>
      <c r="BX434" s="12"/>
      <c r="BY434" s="12"/>
      <c r="CA434" s="12" t="s">
        <v>37</v>
      </c>
      <c r="CB434" s="12" t="s">
        <v>37</v>
      </c>
      <c r="CC434" s="13" t="s">
        <v>37</v>
      </c>
      <c r="CD434" s="13"/>
      <c r="CE434" s="12" t="s">
        <v>37</v>
      </c>
      <c r="CF434" s="12" t="s">
        <v>37</v>
      </c>
      <c r="CG434" s="13" t="s">
        <v>37</v>
      </c>
      <c r="CH434" s="13"/>
      <c r="CI434" s="13"/>
      <c r="CJ434" s="13"/>
      <c r="CN434" s="12" t="s">
        <v>37</v>
      </c>
      <c r="CO434" s="12" t="s">
        <v>37</v>
      </c>
      <c r="CP434" s="13" t="s">
        <v>37</v>
      </c>
      <c r="CQ434" s="13"/>
      <c r="CR434" s="12" t="s">
        <v>37</v>
      </c>
      <c r="CS434" s="12" t="s">
        <v>37</v>
      </c>
      <c r="CT434" s="13" t="s">
        <v>37</v>
      </c>
      <c r="CU434" s="13"/>
      <c r="CV434" s="13"/>
      <c r="CW434" s="13"/>
      <c r="CX434" s="72"/>
      <c r="CY434" s="72"/>
      <c r="DA434" s="12" t="s">
        <v>37</v>
      </c>
      <c r="DB434" s="12" t="s">
        <v>37</v>
      </c>
      <c r="DC434" s="13" t="s">
        <v>37</v>
      </c>
      <c r="DD434" s="13"/>
      <c r="DE434" s="12" t="s">
        <v>37</v>
      </c>
      <c r="DF434" s="12" t="s">
        <v>37</v>
      </c>
      <c r="DG434" s="13" t="s">
        <v>37</v>
      </c>
      <c r="DH434" s="13"/>
      <c r="DI434" s="13"/>
      <c r="DJ434" s="13"/>
      <c r="DM434" s="12" t="s">
        <v>581</v>
      </c>
      <c r="DN434" s="12">
        <v>198.66666666666666</v>
      </c>
      <c r="DO434" s="50">
        <f>ABS(DN434)*DQ$474</f>
        <v>221.4893521131051</v>
      </c>
      <c r="DP434" s="13">
        <v>3</v>
      </c>
      <c r="DQ434" s="13"/>
      <c r="DR434" s="12">
        <v>2.8000000000000003</v>
      </c>
      <c r="DS434" s="50">
        <f>ABS(DR434)*DU$474</f>
        <v>10.464205624966828</v>
      </c>
      <c r="DT434" s="13">
        <v>3</v>
      </c>
      <c r="DU434" s="13"/>
      <c r="DV434" s="19">
        <f t="shared" si="1625"/>
        <v>-195.86666666666665</v>
      </c>
      <c r="DW434" s="12">
        <f t="shared" si="1626"/>
        <v>156.79131464919325</v>
      </c>
      <c r="DX434" s="72">
        <f t="shared" si="1611"/>
        <v>16389.010899614877</v>
      </c>
      <c r="DY434" s="72">
        <f t="shared" si="1612"/>
        <v>16389.010899614881</v>
      </c>
      <c r="DZ434" s="11" t="s">
        <v>47</v>
      </c>
      <c r="EA434" s="12">
        <v>0.31428571428571433</v>
      </c>
      <c r="EB434" s="50">
        <f>ABS(EA434)*ED$474</f>
        <v>1.8071356230047548</v>
      </c>
      <c r="EC434" s="13">
        <v>3</v>
      </c>
      <c r="ED434" s="13"/>
      <c r="EE434" s="12">
        <v>14.614285714285716</v>
      </c>
      <c r="EF434" s="50">
        <f>ABS(EE434)*EH$474</f>
        <v>21.821165534948449</v>
      </c>
      <c r="EG434" s="13">
        <v>3</v>
      </c>
      <c r="EH434" s="13"/>
      <c r="EI434" s="19">
        <f t="shared" si="1645"/>
        <v>14.3</v>
      </c>
      <c r="EJ434" s="12">
        <f t="shared" si="1646"/>
        <v>15.482716242048015</v>
      </c>
      <c r="EK434" s="19">
        <f t="shared" si="1647"/>
        <v>159.80966815451825</v>
      </c>
      <c r="EL434" s="19">
        <f t="shared" si="1648"/>
        <v>159.80966815451828</v>
      </c>
      <c r="EN434" s="12" t="s">
        <v>37</v>
      </c>
      <c r="EO434" s="12" t="s">
        <v>37</v>
      </c>
      <c r="EP434" s="13" t="s">
        <v>37</v>
      </c>
      <c r="EQ434" s="13"/>
      <c r="ER434" s="12" t="s">
        <v>37</v>
      </c>
      <c r="ES434" s="12" t="s">
        <v>37</v>
      </c>
      <c r="ET434" s="13" t="s">
        <v>37</v>
      </c>
      <c r="EU434" s="13"/>
      <c r="EV434" s="13"/>
      <c r="EW434" s="13"/>
      <c r="EX434" s="13"/>
      <c r="EY434" s="13"/>
      <c r="FB434" s="12" t="s">
        <v>37</v>
      </c>
      <c r="FC434" s="12" t="s">
        <v>37</v>
      </c>
      <c r="FD434" s="11" t="s">
        <v>37</v>
      </c>
      <c r="FE434" s="12" t="s">
        <v>37</v>
      </c>
      <c r="FF434" s="20" t="s">
        <v>37</v>
      </c>
      <c r="FG434" s="11" t="s">
        <v>37</v>
      </c>
      <c r="FI434" s="12" t="s">
        <v>37</v>
      </c>
      <c r="FJ434" s="12" t="s">
        <v>37</v>
      </c>
      <c r="FK434" s="11" t="s">
        <v>37</v>
      </c>
      <c r="FL434" s="13" t="s">
        <v>37</v>
      </c>
      <c r="FM434" s="11" t="s">
        <v>37</v>
      </c>
      <c r="FN434" s="11" t="s">
        <v>37</v>
      </c>
      <c r="FP434" s="12" t="s">
        <v>37</v>
      </c>
      <c r="FQ434" s="12" t="s">
        <v>37</v>
      </c>
      <c r="FR434" s="11" t="s">
        <v>37</v>
      </c>
      <c r="FS434" s="13" t="s">
        <v>37</v>
      </c>
      <c r="FT434" s="11" t="s">
        <v>37</v>
      </c>
      <c r="FU434" s="11" t="s">
        <v>37</v>
      </c>
      <c r="FW434" s="12" t="s">
        <v>37</v>
      </c>
      <c r="FX434" s="12" t="s">
        <v>37</v>
      </c>
      <c r="FY434" s="11" t="s">
        <v>37</v>
      </c>
      <c r="FZ434" s="13" t="s">
        <v>37</v>
      </c>
      <c r="GA434" s="11" t="s">
        <v>37</v>
      </c>
      <c r="GB434" s="11" t="s">
        <v>37</v>
      </c>
      <c r="GE434" s="12" t="s">
        <v>37</v>
      </c>
      <c r="GF434" s="12" t="s">
        <v>37</v>
      </c>
      <c r="GG434" s="13" t="s">
        <v>37</v>
      </c>
      <c r="GH434" s="13"/>
      <c r="GI434" s="12" t="s">
        <v>37</v>
      </c>
      <c r="GJ434" s="12" t="s">
        <v>37</v>
      </c>
      <c r="GK434" s="13" t="s">
        <v>37</v>
      </c>
      <c r="GL434" s="13"/>
      <c r="GM434" s="13"/>
      <c r="GN434" s="13"/>
      <c r="GQ434" s="12" t="s">
        <v>37</v>
      </c>
      <c r="GR434" s="12" t="s">
        <v>37</v>
      </c>
      <c r="GS434" s="13" t="s">
        <v>37</v>
      </c>
      <c r="GT434" s="13"/>
      <c r="GU434" s="12" t="s">
        <v>37</v>
      </c>
      <c r="GV434" s="12" t="s">
        <v>37</v>
      </c>
      <c r="GW434" s="13" t="s">
        <v>37</v>
      </c>
      <c r="GX434" s="13"/>
      <c r="GY434" s="13"/>
      <c r="GZ434" s="13"/>
      <c r="HC434" s="12" t="s">
        <v>37</v>
      </c>
      <c r="HD434" s="12" t="s">
        <v>37</v>
      </c>
      <c r="HE434" s="13" t="s">
        <v>37</v>
      </c>
      <c r="HF434" s="13"/>
      <c r="HG434" s="12" t="s">
        <v>37</v>
      </c>
      <c r="HH434" s="12" t="s">
        <v>37</v>
      </c>
      <c r="HI434" s="13" t="s">
        <v>37</v>
      </c>
      <c r="HJ434" s="13"/>
      <c r="HK434" s="13"/>
      <c r="HL434" s="13"/>
      <c r="HN434" s="12" t="s">
        <v>37</v>
      </c>
      <c r="HO434" s="12" t="s">
        <v>37</v>
      </c>
      <c r="HP434" s="13" t="s">
        <v>37</v>
      </c>
      <c r="HQ434" s="13"/>
      <c r="HR434" s="12" t="s">
        <v>37</v>
      </c>
      <c r="HS434" s="12" t="s">
        <v>37</v>
      </c>
      <c r="HT434" s="13" t="s">
        <v>37</v>
      </c>
      <c r="HU434" s="13"/>
      <c r="HV434" s="13"/>
      <c r="HW434" s="13"/>
      <c r="HY434" s="12" t="s">
        <v>37</v>
      </c>
      <c r="HZ434" s="12" t="s">
        <v>37</v>
      </c>
      <c r="IA434" s="13" t="s">
        <v>37</v>
      </c>
      <c r="IB434" s="13"/>
      <c r="IC434" s="12" t="s">
        <v>37</v>
      </c>
      <c r="ID434" s="12" t="s">
        <v>37</v>
      </c>
      <c r="IE434" s="13" t="s">
        <v>37</v>
      </c>
      <c r="IF434" s="13"/>
      <c r="IG434" s="13"/>
      <c r="IH434" s="13"/>
      <c r="IK434" s="12" t="s">
        <v>37</v>
      </c>
      <c r="IL434" s="12" t="s">
        <v>37</v>
      </c>
      <c r="IM434" s="12" t="s">
        <v>37</v>
      </c>
      <c r="IN434" s="12"/>
      <c r="IO434" s="12" t="s">
        <v>37</v>
      </c>
      <c r="IP434" s="12" t="s">
        <v>37</v>
      </c>
      <c r="IQ434" s="12" t="s">
        <v>37</v>
      </c>
      <c r="IR434" s="12"/>
      <c r="IS434" s="12"/>
      <c r="IT434" s="12"/>
      <c r="IV434" s="32" t="s">
        <v>345</v>
      </c>
      <c r="IW434" s="12">
        <v>5.3</v>
      </c>
      <c r="IX434" s="50">
        <f>ABS(IW434)*IZ$474</f>
        <v>0.19404753592852261</v>
      </c>
      <c r="IY434" s="13">
        <v>3</v>
      </c>
      <c r="IZ434" s="13"/>
      <c r="JA434" s="12" t="s">
        <v>37</v>
      </c>
      <c r="JB434" s="12" t="s">
        <v>37</v>
      </c>
      <c r="JC434" s="13">
        <v>3</v>
      </c>
      <c r="JD434" s="13"/>
      <c r="JE434" s="13"/>
      <c r="JF434" s="13"/>
      <c r="JH434" s="12" t="s">
        <v>37</v>
      </c>
      <c r="JI434" s="12" t="s">
        <v>37</v>
      </c>
      <c r="JJ434" s="13" t="s">
        <v>37</v>
      </c>
      <c r="JK434" s="13"/>
      <c r="JL434" s="12" t="s">
        <v>37</v>
      </c>
      <c r="JM434" s="12" t="s">
        <v>37</v>
      </c>
      <c r="JN434" s="12" t="s">
        <v>37</v>
      </c>
      <c r="JO434" s="12"/>
      <c r="JP434" s="12"/>
      <c r="JQ434" s="12"/>
      <c r="JS434" s="12" t="s">
        <v>37</v>
      </c>
      <c r="JT434" s="12" t="s">
        <v>37</v>
      </c>
      <c r="JU434" s="13" t="s">
        <v>37</v>
      </c>
      <c r="JV434" s="13"/>
      <c r="JW434" s="12" t="s">
        <v>37</v>
      </c>
      <c r="JX434" s="12" t="s">
        <v>37</v>
      </c>
      <c r="JY434" s="12" t="s">
        <v>37</v>
      </c>
      <c r="JZ434" s="12"/>
      <c r="KA434" s="12"/>
      <c r="KB434" s="12"/>
      <c r="KE434" s="11" t="s">
        <v>37</v>
      </c>
      <c r="KF434" s="11" t="s">
        <v>37</v>
      </c>
      <c r="KG434" s="13" t="s">
        <v>37</v>
      </c>
      <c r="KH434" s="11" t="s">
        <v>37</v>
      </c>
      <c r="KI434" s="11" t="s">
        <v>37</v>
      </c>
      <c r="KJ434" s="11" t="s">
        <v>37</v>
      </c>
      <c r="KK434" s="12" t="s">
        <v>42</v>
      </c>
      <c r="KL434" s="32" t="s">
        <v>345</v>
      </c>
      <c r="KM434" s="12">
        <v>26</v>
      </c>
      <c r="KN434" s="50">
        <f>ABS(KM434)*KP$474</f>
        <v>3.1016190760063465</v>
      </c>
      <c r="KO434" s="11" t="s">
        <v>37</v>
      </c>
      <c r="KP434" s="11"/>
      <c r="KQ434" s="12" t="s">
        <v>37</v>
      </c>
      <c r="KR434" s="12" t="s">
        <v>37</v>
      </c>
      <c r="KS434" s="13" t="s">
        <v>37</v>
      </c>
      <c r="KT434" s="13"/>
      <c r="KU434" s="13"/>
      <c r="KV434" s="13"/>
      <c r="KX434" s="12" t="s">
        <v>37</v>
      </c>
      <c r="KY434" s="12" t="s">
        <v>37</v>
      </c>
      <c r="KZ434" s="13" t="s">
        <v>37</v>
      </c>
      <c r="LA434" s="13"/>
      <c r="LB434" s="12" t="s">
        <v>37</v>
      </c>
      <c r="LC434" s="12" t="s">
        <v>37</v>
      </c>
      <c r="LD434" s="13" t="s">
        <v>37</v>
      </c>
      <c r="LE434" s="13"/>
      <c r="LF434" s="13"/>
      <c r="LG434" s="13"/>
      <c r="LI434" s="12" t="s">
        <v>37</v>
      </c>
      <c r="LJ434" s="12" t="s">
        <v>37</v>
      </c>
      <c r="LK434" s="12" t="s">
        <v>37</v>
      </c>
      <c r="LL434" s="12"/>
      <c r="LM434" s="12" t="s">
        <v>37</v>
      </c>
      <c r="LN434" s="12" t="s">
        <v>37</v>
      </c>
      <c r="LO434" s="12" t="s">
        <v>37</v>
      </c>
      <c r="LP434" s="12"/>
      <c r="LQ434" s="12"/>
      <c r="LR434" s="12"/>
      <c r="LT434" s="12" t="s">
        <v>501</v>
      </c>
      <c r="LU434" s="12">
        <v>18.846153846153847</v>
      </c>
      <c r="LV434" s="50">
        <f>ABS(LU434)*LX$474</f>
        <v>2.6887154671468791</v>
      </c>
      <c r="LW434" s="13">
        <v>3</v>
      </c>
      <c r="LX434" s="13"/>
      <c r="LY434" s="12" t="s">
        <v>37</v>
      </c>
      <c r="LZ434" s="12" t="s">
        <v>37</v>
      </c>
      <c r="MA434" s="12" t="s">
        <v>37</v>
      </c>
      <c r="MB434" s="13"/>
      <c r="MC434" s="13"/>
      <c r="MD434" s="13"/>
      <c r="MF434" s="12" t="s">
        <v>37</v>
      </c>
      <c r="MG434" s="12" t="s">
        <v>37</v>
      </c>
      <c r="MH434" s="12" t="s">
        <v>37</v>
      </c>
      <c r="MI434" s="12"/>
      <c r="MJ434" s="12" t="s">
        <v>37</v>
      </c>
      <c r="MK434" s="12" t="s">
        <v>37</v>
      </c>
      <c r="ML434" s="12" t="s">
        <v>37</v>
      </c>
      <c r="MM434" s="12"/>
      <c r="MN434" s="12"/>
      <c r="MO434" s="12"/>
      <c r="MQ434" s="12" t="s">
        <v>37</v>
      </c>
      <c r="MR434" s="12" t="s">
        <v>37</v>
      </c>
      <c r="MS434" s="12" t="s">
        <v>37</v>
      </c>
      <c r="MT434" s="12"/>
      <c r="MU434" s="12" t="s">
        <v>37</v>
      </c>
      <c r="MV434" s="12" t="s">
        <v>37</v>
      </c>
      <c r="MW434" s="12" t="s">
        <v>37</v>
      </c>
      <c r="MX434" s="12"/>
      <c r="MY434" s="12"/>
      <c r="MZ434" s="12"/>
      <c r="NC434" s="12" t="s">
        <v>37</v>
      </c>
      <c r="ND434" s="12" t="s">
        <v>37</v>
      </c>
      <c r="NE434" s="13" t="s">
        <v>37</v>
      </c>
      <c r="NF434" s="13"/>
      <c r="NG434" s="12" t="s">
        <v>37</v>
      </c>
      <c r="NH434" s="12" t="s">
        <v>37</v>
      </c>
      <c r="NI434" s="13" t="s">
        <v>37</v>
      </c>
      <c r="NJ434" s="13"/>
      <c r="NK434" s="13"/>
      <c r="NL434" s="13"/>
      <c r="NO434" s="12" t="s">
        <v>37</v>
      </c>
      <c r="NP434" s="12" t="s">
        <v>37</v>
      </c>
      <c r="NQ434" s="13" t="s">
        <v>37</v>
      </c>
      <c r="NR434" s="13"/>
      <c r="NS434" s="12" t="s">
        <v>37</v>
      </c>
      <c r="NT434" s="12" t="s">
        <v>37</v>
      </c>
      <c r="NU434" s="13" t="s">
        <v>37</v>
      </c>
      <c r="NV434" s="13"/>
      <c r="NW434" s="13"/>
      <c r="NX434" s="13"/>
      <c r="OA434" s="12" t="s">
        <v>37</v>
      </c>
      <c r="OB434" s="12" t="s">
        <v>37</v>
      </c>
      <c r="OC434" s="13" t="s">
        <v>37</v>
      </c>
      <c r="OE434" s="12" t="s">
        <v>37</v>
      </c>
      <c r="OF434" s="12" t="s">
        <v>37</v>
      </c>
      <c r="OG434" s="13" t="s">
        <v>37</v>
      </c>
      <c r="OM434" s="12" t="s">
        <v>37</v>
      </c>
      <c r="ON434" s="12" t="s">
        <v>37</v>
      </c>
      <c r="OO434" s="12" t="s">
        <v>37</v>
      </c>
      <c r="OP434" s="12" t="s">
        <v>37</v>
      </c>
      <c r="OQ434" s="12" t="s">
        <v>37</v>
      </c>
      <c r="OR434" s="12" t="s">
        <v>37</v>
      </c>
      <c r="OS434" s="12"/>
      <c r="OT434" s="12"/>
      <c r="OW434" s="12" t="s">
        <v>37</v>
      </c>
      <c r="OX434" s="12" t="s">
        <v>37</v>
      </c>
      <c r="OY434" s="13" t="s">
        <v>37</v>
      </c>
      <c r="OZ434" s="12" t="s">
        <v>37</v>
      </c>
      <c r="PA434" s="12" t="s">
        <v>37</v>
      </c>
      <c r="PB434" s="13" t="s">
        <v>37</v>
      </c>
      <c r="PG434" s="11" t="s">
        <v>37</v>
      </c>
      <c r="PH434" s="11" t="s">
        <v>37</v>
      </c>
      <c r="PI434" s="13" t="s">
        <v>37</v>
      </c>
      <c r="PJ434" s="11" t="s">
        <v>37</v>
      </c>
      <c r="PK434" s="11" t="s">
        <v>37</v>
      </c>
      <c r="PL434" s="13" t="s">
        <v>37</v>
      </c>
      <c r="PQ434" s="12" t="s">
        <v>37</v>
      </c>
      <c r="PR434" s="12" t="s">
        <v>37</v>
      </c>
      <c r="PS434" s="12" t="s">
        <v>37</v>
      </c>
      <c r="PT434" s="12" t="s">
        <v>37</v>
      </c>
      <c r="PU434" s="12" t="s">
        <v>37</v>
      </c>
      <c r="PV434" s="12" t="s">
        <v>37</v>
      </c>
      <c r="PW434" s="12"/>
      <c r="PX434" s="12"/>
      <c r="PZ434" s="12" t="s">
        <v>37</v>
      </c>
      <c r="QA434" s="12" t="s">
        <v>37</v>
      </c>
      <c r="QB434" s="11" t="s">
        <v>37</v>
      </c>
      <c r="QC434" s="11"/>
      <c r="QD434" s="12" t="s">
        <v>37</v>
      </c>
      <c r="QE434" s="12" t="s">
        <v>37</v>
      </c>
      <c r="QF434" s="12" t="s">
        <v>37</v>
      </c>
      <c r="QG434" s="12"/>
      <c r="QH434" s="12"/>
      <c r="QI434" s="12"/>
      <c r="QK434" s="12" t="s">
        <v>37</v>
      </c>
      <c r="QL434" s="12" t="s">
        <v>37</v>
      </c>
      <c r="QM434" s="12" t="s">
        <v>37</v>
      </c>
      <c r="QN434" s="12" t="s">
        <v>37</v>
      </c>
      <c r="QO434" s="12" t="s">
        <v>37</v>
      </c>
      <c r="QP434" s="12" t="s">
        <v>37</v>
      </c>
      <c r="QQ434" s="12"/>
      <c r="QR434" s="12"/>
      <c r="QU434" s="12" t="s">
        <v>37</v>
      </c>
      <c r="QV434" s="12" t="s">
        <v>37</v>
      </c>
      <c r="QW434" s="12" t="s">
        <v>37</v>
      </c>
      <c r="QX434" s="12" t="s">
        <v>37</v>
      </c>
      <c r="QY434" s="12" t="s">
        <v>37</v>
      </c>
      <c r="QZ434" s="12" t="s">
        <v>37</v>
      </c>
      <c r="RC434" s="12" t="s">
        <v>37</v>
      </c>
      <c r="RD434" s="12" t="s">
        <v>37</v>
      </c>
      <c r="RE434" s="13" t="s">
        <v>37</v>
      </c>
      <c r="RF434" s="12" t="s">
        <v>37</v>
      </c>
      <c r="RG434" s="12" t="s">
        <v>37</v>
      </c>
      <c r="RH434" s="13" t="s">
        <v>37</v>
      </c>
      <c r="RK434" s="12" t="s">
        <v>37</v>
      </c>
      <c r="RL434" s="12" t="s">
        <v>37</v>
      </c>
      <c r="RM434" s="11" t="s">
        <v>37</v>
      </c>
      <c r="RN434" s="12" t="s">
        <v>37</v>
      </c>
      <c r="RO434" s="12" t="s">
        <v>37</v>
      </c>
      <c r="RP434" s="11" t="s">
        <v>37</v>
      </c>
      <c r="RS434" s="12" t="s">
        <v>37</v>
      </c>
      <c r="RT434" s="12" t="s">
        <v>37</v>
      </c>
      <c r="RU434" s="12" t="s">
        <v>37</v>
      </c>
      <c r="RV434" s="12" t="s">
        <v>37</v>
      </c>
      <c r="RW434" s="12" t="s">
        <v>37</v>
      </c>
      <c r="RX434" s="12" t="s">
        <v>37</v>
      </c>
      <c r="SA434" s="12" t="s">
        <v>37</v>
      </c>
      <c r="SB434" s="12" t="s">
        <v>37</v>
      </c>
      <c r="SC434" s="12" t="s">
        <v>37</v>
      </c>
      <c r="SD434" s="12" t="s">
        <v>37</v>
      </c>
      <c r="SE434" s="12" t="s">
        <v>37</v>
      </c>
      <c r="SF434" s="12" t="s">
        <v>37</v>
      </c>
      <c r="SI434" s="12" t="s">
        <v>37</v>
      </c>
      <c r="SJ434" s="12" t="s">
        <v>37</v>
      </c>
      <c r="SK434" s="13" t="s">
        <v>37</v>
      </c>
      <c r="SL434" s="12"/>
      <c r="SM434" s="12" t="s">
        <v>37</v>
      </c>
      <c r="SN434" s="12" t="s">
        <v>37</v>
      </c>
      <c r="SO434" s="13" t="s">
        <v>37</v>
      </c>
      <c r="SP434" s="12"/>
      <c r="SQ434" s="12"/>
      <c r="SR434" s="12"/>
      <c r="SU434" s="12" t="s">
        <v>37</v>
      </c>
      <c r="SV434" s="12" t="s">
        <v>37</v>
      </c>
      <c r="SW434" s="11" t="s">
        <v>37</v>
      </c>
      <c r="SX434" s="12" t="s">
        <v>37</v>
      </c>
      <c r="SY434" s="12" t="s">
        <v>37</v>
      </c>
      <c r="SZ434" s="11" t="s">
        <v>37</v>
      </c>
      <c r="TE434" s="12" t="s">
        <v>37</v>
      </c>
      <c r="TF434" s="12" t="s">
        <v>37</v>
      </c>
      <c r="TG434" s="11" t="s">
        <v>37</v>
      </c>
      <c r="TH434" s="12" t="s">
        <v>37</v>
      </c>
      <c r="TI434" s="12" t="s">
        <v>37</v>
      </c>
      <c r="TJ434" s="11" t="s">
        <v>37</v>
      </c>
      <c r="TO434" s="12" t="s">
        <v>37</v>
      </c>
      <c r="TP434" s="12" t="s">
        <v>37</v>
      </c>
      <c r="TQ434" s="11" t="s">
        <v>37</v>
      </c>
      <c r="TR434" s="12" t="s">
        <v>37</v>
      </c>
      <c r="TS434" s="12" t="s">
        <v>37</v>
      </c>
      <c r="TT434" s="11" t="s">
        <v>37</v>
      </c>
      <c r="TY434" s="12" t="s">
        <v>37</v>
      </c>
      <c r="TZ434" s="12" t="s">
        <v>37</v>
      </c>
      <c r="UA434" s="12" t="s">
        <v>37</v>
      </c>
      <c r="UB434" s="12" t="s">
        <v>37</v>
      </c>
      <c r="UC434" s="12" t="s">
        <v>37</v>
      </c>
      <c r="UD434" s="12" t="s">
        <v>37</v>
      </c>
      <c r="UE434" s="12"/>
      <c r="UF434" s="12"/>
      <c r="UI434" s="12" t="s">
        <v>37</v>
      </c>
      <c r="UJ434" s="12" t="s">
        <v>37</v>
      </c>
      <c r="UK434" s="12" t="s">
        <v>37</v>
      </c>
      <c r="UL434" s="12" t="s">
        <v>37</v>
      </c>
      <c r="UM434" s="12" t="s">
        <v>37</v>
      </c>
      <c r="UN434" s="12" t="s">
        <v>37</v>
      </c>
      <c r="UO434" s="12"/>
      <c r="UP434" s="12"/>
      <c r="UR434" s="12" t="s">
        <v>37</v>
      </c>
      <c r="US434" s="12" t="s">
        <v>37</v>
      </c>
      <c r="UT434" s="12" t="s">
        <v>37</v>
      </c>
      <c r="UU434" s="12" t="s">
        <v>37</v>
      </c>
      <c r="UV434" s="12" t="s">
        <v>37</v>
      </c>
      <c r="UW434" s="12" t="s">
        <v>37</v>
      </c>
      <c r="UX434" s="12"/>
      <c r="UY434" s="12"/>
      <c r="VB434" s="12" t="s">
        <v>37</v>
      </c>
      <c r="VC434" s="12" t="s">
        <v>37</v>
      </c>
      <c r="VD434" s="12" t="s">
        <v>37</v>
      </c>
      <c r="VE434" s="12" t="s">
        <v>37</v>
      </c>
      <c r="VF434" s="12" t="s">
        <v>37</v>
      </c>
      <c r="VG434" s="12" t="s">
        <v>37</v>
      </c>
      <c r="VI434" s="12" t="s">
        <v>37</v>
      </c>
      <c r="VJ434" s="12" t="s">
        <v>37</v>
      </c>
      <c r="VK434" s="12" t="s">
        <v>37</v>
      </c>
      <c r="VL434" s="12" t="s">
        <v>37</v>
      </c>
      <c r="VM434" s="12" t="s">
        <v>37</v>
      </c>
      <c r="VN434" s="12" t="s">
        <v>37</v>
      </c>
      <c r="VQ434" s="13" t="s">
        <v>37</v>
      </c>
      <c r="VR434" s="13" t="s">
        <v>37</v>
      </c>
      <c r="VS434" s="13" t="s">
        <v>37</v>
      </c>
      <c r="VT434" s="13" t="s">
        <v>37</v>
      </c>
      <c r="VU434" s="13" t="s">
        <v>37</v>
      </c>
      <c r="VV434" s="13" t="s">
        <v>37</v>
      </c>
      <c r="WA434" s="13" t="s">
        <v>37</v>
      </c>
      <c r="WB434" s="13" t="s">
        <v>37</v>
      </c>
      <c r="WC434" s="13" t="s">
        <v>37</v>
      </c>
      <c r="WD434" s="13" t="s">
        <v>37</v>
      </c>
      <c r="WE434" s="13" t="s">
        <v>37</v>
      </c>
      <c r="WF434" s="13" t="s">
        <v>37</v>
      </c>
    </row>
    <row r="435" spans="1:604" ht="17.399999999999999" x14ac:dyDescent="0.4">
      <c r="A435" s="11">
        <v>99</v>
      </c>
      <c r="B435" s="16" t="s">
        <v>954</v>
      </c>
      <c r="C435" s="12" t="s">
        <v>26</v>
      </c>
      <c r="D435" s="12" t="s">
        <v>1038</v>
      </c>
      <c r="E435" s="14">
        <v>6.5</v>
      </c>
      <c r="F435" s="72">
        <v>80</v>
      </c>
      <c r="G435" s="14">
        <v>0</v>
      </c>
      <c r="H435" s="12" t="s">
        <v>123</v>
      </c>
      <c r="I435" s="29">
        <v>62.667000000000002</v>
      </c>
      <c r="J435" s="29">
        <v>30.832999999999998</v>
      </c>
      <c r="K435" s="12" t="s">
        <v>955</v>
      </c>
      <c r="L435" s="12" t="s">
        <v>956</v>
      </c>
      <c r="M435" s="13" t="s">
        <v>37</v>
      </c>
      <c r="N435" s="14">
        <v>1.9</v>
      </c>
      <c r="O435" s="14">
        <v>753.67482332059831</v>
      </c>
      <c r="P435" s="14" t="s">
        <v>84</v>
      </c>
      <c r="Q435" s="75">
        <v>61</v>
      </c>
      <c r="R435" s="11" t="s">
        <v>37</v>
      </c>
      <c r="S435" s="12" t="s">
        <v>85</v>
      </c>
      <c r="T435" s="12" t="s">
        <v>138</v>
      </c>
      <c r="U435" s="12" t="s">
        <v>158</v>
      </c>
      <c r="V435" s="12" t="s">
        <v>275</v>
      </c>
      <c r="W435" s="23" t="s">
        <v>957</v>
      </c>
      <c r="X435" s="12" t="s">
        <v>280</v>
      </c>
      <c r="Y435" s="12" t="s">
        <v>69</v>
      </c>
      <c r="Z435" s="12" t="s">
        <v>37</v>
      </c>
      <c r="AA435" s="32" t="s">
        <v>345</v>
      </c>
      <c r="AB435" s="12">
        <v>5.3</v>
      </c>
      <c r="AC435" s="12" t="s">
        <v>42</v>
      </c>
      <c r="AD435" s="32" t="s">
        <v>345</v>
      </c>
      <c r="AE435" s="12">
        <v>490</v>
      </c>
      <c r="AF435" s="12" t="s">
        <v>42</v>
      </c>
      <c r="AG435" s="32" t="s">
        <v>345</v>
      </c>
      <c r="AH435" s="12">
        <v>26</v>
      </c>
      <c r="AJ435" s="12" t="str">
        <f t="shared" ref="AJ435:AJ444" si="1659">AD435</f>
        <v>0-10</v>
      </c>
      <c r="AK435" s="19">
        <f t="shared" ref="AK435:AK444" si="1660">AE435/AH435</f>
        <v>18.846153846153847</v>
      </c>
      <c r="AL435" s="32">
        <v>1992</v>
      </c>
      <c r="AM435" s="13" t="s">
        <v>344</v>
      </c>
      <c r="AO435" s="13" t="s">
        <v>318</v>
      </c>
      <c r="AP435" s="12" t="s">
        <v>108</v>
      </c>
      <c r="AQ435" s="12" t="s">
        <v>73</v>
      </c>
      <c r="AR435" s="12" t="s">
        <v>42</v>
      </c>
      <c r="AS435" s="32" t="s">
        <v>345</v>
      </c>
      <c r="AT435" s="12">
        <v>490</v>
      </c>
      <c r="AU435" s="50">
        <f>AT435*AW$474</f>
        <v>41.90830107612873</v>
      </c>
      <c r="AV435" s="13" t="s">
        <v>37</v>
      </c>
      <c r="AX435" s="12" t="s">
        <v>37</v>
      </c>
      <c r="AY435" s="13" t="s">
        <v>37</v>
      </c>
      <c r="AZ435" s="13" t="s">
        <v>37</v>
      </c>
      <c r="BE435" s="12" t="s">
        <v>37</v>
      </c>
      <c r="BF435" s="12" t="s">
        <v>37</v>
      </c>
      <c r="BG435" s="13" t="s">
        <v>37</v>
      </c>
      <c r="BH435" s="13"/>
      <c r="BI435" s="12" t="s">
        <v>37</v>
      </c>
      <c r="BJ435" s="12" t="s">
        <v>37</v>
      </c>
      <c r="BK435" s="13" t="s">
        <v>37</v>
      </c>
      <c r="BL435" s="13"/>
      <c r="BM435" s="13"/>
      <c r="BN435" s="13"/>
      <c r="BP435" s="12" t="s">
        <v>37</v>
      </c>
      <c r="BQ435" s="12" t="s">
        <v>37</v>
      </c>
      <c r="BR435" s="13" t="s">
        <v>37</v>
      </c>
      <c r="BS435" s="13"/>
      <c r="BT435" s="12" t="s">
        <v>37</v>
      </c>
      <c r="BU435" s="12" t="s">
        <v>37</v>
      </c>
      <c r="BV435" s="12" t="s">
        <v>37</v>
      </c>
      <c r="BW435" s="12"/>
      <c r="BX435" s="12"/>
      <c r="BY435" s="12"/>
      <c r="CA435" s="12" t="s">
        <v>37</v>
      </c>
      <c r="CB435" s="12" t="s">
        <v>37</v>
      </c>
      <c r="CC435" s="13" t="s">
        <v>37</v>
      </c>
      <c r="CD435" s="13"/>
      <c r="CE435" s="12" t="s">
        <v>37</v>
      </c>
      <c r="CF435" s="12" t="s">
        <v>37</v>
      </c>
      <c r="CG435" s="13" t="s">
        <v>37</v>
      </c>
      <c r="CH435" s="13"/>
      <c r="CI435" s="13"/>
      <c r="CJ435" s="13"/>
      <c r="CN435" s="12" t="s">
        <v>37</v>
      </c>
      <c r="CO435" s="12" t="s">
        <v>37</v>
      </c>
      <c r="CP435" s="13" t="s">
        <v>37</v>
      </c>
      <c r="CQ435" s="13"/>
      <c r="CR435" s="12" t="s">
        <v>37</v>
      </c>
      <c r="CS435" s="12" t="s">
        <v>37</v>
      </c>
      <c r="CT435" s="13" t="s">
        <v>37</v>
      </c>
      <c r="CU435" s="13"/>
      <c r="CV435" s="13"/>
      <c r="CW435" s="13"/>
      <c r="CX435" s="72"/>
      <c r="CY435" s="72"/>
      <c r="DA435" s="12" t="s">
        <v>37</v>
      </c>
      <c r="DB435" s="12" t="s">
        <v>37</v>
      </c>
      <c r="DC435" s="13" t="s">
        <v>37</v>
      </c>
      <c r="DD435" s="13"/>
      <c r="DE435" s="12" t="s">
        <v>37</v>
      </c>
      <c r="DF435" s="12" t="s">
        <v>37</v>
      </c>
      <c r="DG435" s="13" t="s">
        <v>37</v>
      </c>
      <c r="DH435" s="13"/>
      <c r="DI435" s="13"/>
      <c r="DJ435" s="13"/>
      <c r="DM435" s="12" t="s">
        <v>581</v>
      </c>
      <c r="DN435" s="12">
        <v>345.33333333333331</v>
      </c>
      <c r="DO435" s="50">
        <f>ABS(DN435)*DQ$474</f>
        <v>385.00498118989412</v>
      </c>
      <c r="DP435" s="13">
        <v>3</v>
      </c>
      <c r="DQ435" s="13"/>
      <c r="DR435" s="12">
        <v>1.3333333333333333</v>
      </c>
      <c r="DS435" s="50">
        <f>ABS(DR435)*DU$474</f>
        <v>4.9829550595080132</v>
      </c>
      <c r="DT435" s="13">
        <v>3</v>
      </c>
      <c r="DU435" s="13"/>
      <c r="DV435" s="19">
        <f t="shared" si="1625"/>
        <v>-344</v>
      </c>
      <c r="DW435" s="12">
        <f t="shared" si="1626"/>
        <v>272.26243349216929</v>
      </c>
      <c r="DX435" s="72">
        <f t="shared" si="1611"/>
        <v>49417.888460718605</v>
      </c>
      <c r="DY435" s="72">
        <f t="shared" si="1612"/>
        <v>49417.888460718605</v>
      </c>
      <c r="DZ435" s="11" t="s">
        <v>47</v>
      </c>
      <c r="EA435" s="12">
        <v>0.31428571428571433</v>
      </c>
      <c r="EB435" s="50">
        <f>ABS(EA435)*ED$474</f>
        <v>1.8071356230047548</v>
      </c>
      <c r="EC435" s="13">
        <v>3</v>
      </c>
      <c r="ED435" s="13"/>
      <c r="EE435" s="12">
        <v>12.257142857142856</v>
      </c>
      <c r="EF435" s="50">
        <f>ABS(EE435)*EH$474</f>
        <v>18.301622706730956</v>
      </c>
      <c r="EG435" s="13">
        <v>3</v>
      </c>
      <c r="EH435" s="13"/>
      <c r="EI435" s="19">
        <f t="shared" si="1645"/>
        <v>11.942857142857141</v>
      </c>
      <c r="EJ435" s="12">
        <f t="shared" si="1646"/>
        <v>13.004136512269143</v>
      </c>
      <c r="EK435" s="19">
        <f t="shared" si="1647"/>
        <v>112.73837761982097</v>
      </c>
      <c r="EL435" s="19">
        <f t="shared" si="1648"/>
        <v>112.73837761982098</v>
      </c>
      <c r="EN435" s="12" t="s">
        <v>37</v>
      </c>
      <c r="EO435" s="12" t="s">
        <v>37</v>
      </c>
      <c r="EP435" s="13" t="s">
        <v>37</v>
      </c>
      <c r="EQ435" s="13"/>
      <c r="ER435" s="12" t="s">
        <v>37</v>
      </c>
      <c r="ES435" s="12" t="s">
        <v>37</v>
      </c>
      <c r="ET435" s="13" t="s">
        <v>37</v>
      </c>
      <c r="EU435" s="13"/>
      <c r="EV435" s="13"/>
      <c r="EW435" s="13"/>
      <c r="EX435" s="13"/>
      <c r="EY435" s="13"/>
      <c r="FB435" s="12" t="s">
        <v>37</v>
      </c>
      <c r="FC435" s="12" t="s">
        <v>37</v>
      </c>
      <c r="FD435" s="11" t="s">
        <v>37</v>
      </c>
      <c r="FE435" s="12" t="s">
        <v>37</v>
      </c>
      <c r="FF435" s="20" t="s">
        <v>37</v>
      </c>
      <c r="FG435" s="11" t="s">
        <v>37</v>
      </c>
      <c r="FI435" s="12" t="s">
        <v>37</v>
      </c>
      <c r="FJ435" s="12" t="s">
        <v>37</v>
      </c>
      <c r="FK435" s="11" t="s">
        <v>37</v>
      </c>
      <c r="FL435" s="13" t="s">
        <v>37</v>
      </c>
      <c r="FM435" s="11" t="s">
        <v>37</v>
      </c>
      <c r="FN435" s="11" t="s">
        <v>37</v>
      </c>
      <c r="FP435" s="12" t="s">
        <v>37</v>
      </c>
      <c r="FQ435" s="12" t="s">
        <v>37</v>
      </c>
      <c r="FR435" s="11" t="s">
        <v>37</v>
      </c>
      <c r="FS435" s="13" t="s">
        <v>37</v>
      </c>
      <c r="FT435" s="11" t="s">
        <v>37</v>
      </c>
      <c r="FU435" s="11" t="s">
        <v>37</v>
      </c>
      <c r="FW435" s="12" t="s">
        <v>37</v>
      </c>
      <c r="FX435" s="12" t="s">
        <v>37</v>
      </c>
      <c r="FY435" s="11" t="s">
        <v>37</v>
      </c>
      <c r="FZ435" s="13" t="s">
        <v>37</v>
      </c>
      <c r="GA435" s="11" t="s">
        <v>37</v>
      </c>
      <c r="GB435" s="11" t="s">
        <v>37</v>
      </c>
      <c r="GE435" s="12" t="s">
        <v>37</v>
      </c>
      <c r="GF435" s="12" t="s">
        <v>37</v>
      </c>
      <c r="GG435" s="13" t="s">
        <v>37</v>
      </c>
      <c r="GH435" s="13"/>
      <c r="GI435" s="12" t="s">
        <v>37</v>
      </c>
      <c r="GJ435" s="12" t="s">
        <v>37</v>
      </c>
      <c r="GK435" s="13" t="s">
        <v>37</v>
      </c>
      <c r="GL435" s="13"/>
      <c r="GM435" s="13"/>
      <c r="GN435" s="13"/>
      <c r="GQ435" s="12" t="s">
        <v>37</v>
      </c>
      <c r="GR435" s="12" t="s">
        <v>37</v>
      </c>
      <c r="GS435" s="13" t="s">
        <v>37</v>
      </c>
      <c r="GT435" s="13"/>
      <c r="GU435" s="12" t="s">
        <v>37</v>
      </c>
      <c r="GV435" s="12" t="s">
        <v>37</v>
      </c>
      <c r="GW435" s="13" t="s">
        <v>37</v>
      </c>
      <c r="GX435" s="13"/>
      <c r="GY435" s="13"/>
      <c r="GZ435" s="13"/>
      <c r="HC435" s="12" t="s">
        <v>37</v>
      </c>
      <c r="HD435" s="12" t="s">
        <v>37</v>
      </c>
      <c r="HE435" s="13" t="s">
        <v>37</v>
      </c>
      <c r="HF435" s="13"/>
      <c r="HG435" s="12" t="s">
        <v>37</v>
      </c>
      <c r="HH435" s="12" t="s">
        <v>37</v>
      </c>
      <c r="HI435" s="13" t="s">
        <v>37</v>
      </c>
      <c r="HJ435" s="13"/>
      <c r="HK435" s="13"/>
      <c r="HL435" s="13"/>
      <c r="HN435" s="12" t="s">
        <v>37</v>
      </c>
      <c r="HO435" s="12" t="s">
        <v>37</v>
      </c>
      <c r="HP435" s="13" t="s">
        <v>37</v>
      </c>
      <c r="HQ435" s="13"/>
      <c r="HR435" s="12" t="s">
        <v>37</v>
      </c>
      <c r="HS435" s="12" t="s">
        <v>37</v>
      </c>
      <c r="HT435" s="13" t="s">
        <v>37</v>
      </c>
      <c r="HU435" s="13"/>
      <c r="HV435" s="13"/>
      <c r="HW435" s="13"/>
      <c r="HY435" s="12" t="s">
        <v>37</v>
      </c>
      <c r="HZ435" s="12" t="s">
        <v>37</v>
      </c>
      <c r="IA435" s="13" t="s">
        <v>37</v>
      </c>
      <c r="IB435" s="13"/>
      <c r="IC435" s="12" t="s">
        <v>37</v>
      </c>
      <c r="ID435" s="12" t="s">
        <v>37</v>
      </c>
      <c r="IE435" s="13" t="s">
        <v>37</v>
      </c>
      <c r="IF435" s="13"/>
      <c r="IG435" s="13"/>
      <c r="IH435" s="13"/>
      <c r="IK435" s="12" t="s">
        <v>37</v>
      </c>
      <c r="IL435" s="12" t="s">
        <v>37</v>
      </c>
      <c r="IM435" s="12" t="s">
        <v>37</v>
      </c>
      <c r="IN435" s="12"/>
      <c r="IO435" s="12" t="s">
        <v>37</v>
      </c>
      <c r="IP435" s="12" t="s">
        <v>37</v>
      </c>
      <c r="IQ435" s="12" t="s">
        <v>37</v>
      </c>
      <c r="IR435" s="12"/>
      <c r="IS435" s="12"/>
      <c r="IT435" s="12"/>
      <c r="IV435" s="32" t="s">
        <v>345</v>
      </c>
      <c r="IW435" s="12">
        <v>5.3</v>
      </c>
      <c r="IX435" s="50">
        <f>ABS(IW435)*IZ$474</f>
        <v>0.19404753592852261</v>
      </c>
      <c r="IY435" s="13">
        <v>3</v>
      </c>
      <c r="IZ435" s="13"/>
      <c r="JA435" s="12" t="s">
        <v>37</v>
      </c>
      <c r="JB435" s="12" t="s">
        <v>37</v>
      </c>
      <c r="JC435" s="13">
        <v>3</v>
      </c>
      <c r="JD435" s="13"/>
      <c r="JE435" s="13"/>
      <c r="JF435" s="13"/>
      <c r="JH435" s="12" t="s">
        <v>37</v>
      </c>
      <c r="JI435" s="12" t="s">
        <v>37</v>
      </c>
      <c r="JJ435" s="13" t="s">
        <v>37</v>
      </c>
      <c r="JK435" s="13"/>
      <c r="JL435" s="12" t="s">
        <v>37</v>
      </c>
      <c r="JM435" s="12" t="s">
        <v>37</v>
      </c>
      <c r="JN435" s="12" t="s">
        <v>37</v>
      </c>
      <c r="JO435" s="12"/>
      <c r="JP435" s="12"/>
      <c r="JQ435" s="12"/>
      <c r="JS435" s="12" t="s">
        <v>37</v>
      </c>
      <c r="JT435" s="12" t="s">
        <v>37</v>
      </c>
      <c r="JU435" s="13" t="s">
        <v>37</v>
      </c>
      <c r="JV435" s="13"/>
      <c r="JW435" s="12" t="s">
        <v>37</v>
      </c>
      <c r="JX435" s="12" t="s">
        <v>37</v>
      </c>
      <c r="JY435" s="12" t="s">
        <v>37</v>
      </c>
      <c r="JZ435" s="12"/>
      <c r="KA435" s="12"/>
      <c r="KB435" s="12"/>
      <c r="KE435" s="11" t="s">
        <v>37</v>
      </c>
      <c r="KF435" s="11" t="s">
        <v>37</v>
      </c>
      <c r="KG435" s="13" t="s">
        <v>37</v>
      </c>
      <c r="KH435" s="11" t="s">
        <v>37</v>
      </c>
      <c r="KI435" s="11" t="s">
        <v>37</v>
      </c>
      <c r="KJ435" s="11" t="s">
        <v>37</v>
      </c>
      <c r="KK435" s="12" t="s">
        <v>42</v>
      </c>
      <c r="KL435" s="32" t="s">
        <v>345</v>
      </c>
      <c r="KM435" s="12">
        <v>26</v>
      </c>
      <c r="KN435" s="50">
        <f>ABS(KM435)*KP$474</f>
        <v>3.1016190760063465</v>
      </c>
      <c r="KO435" s="11" t="s">
        <v>37</v>
      </c>
      <c r="KP435" s="11"/>
      <c r="KQ435" s="12" t="s">
        <v>37</v>
      </c>
      <c r="KR435" s="12" t="s">
        <v>37</v>
      </c>
      <c r="KS435" s="13" t="s">
        <v>37</v>
      </c>
      <c r="KT435" s="13"/>
      <c r="KU435" s="13"/>
      <c r="KV435" s="13"/>
      <c r="KX435" s="12" t="s">
        <v>37</v>
      </c>
      <c r="KY435" s="12" t="s">
        <v>37</v>
      </c>
      <c r="KZ435" s="13" t="s">
        <v>37</v>
      </c>
      <c r="LA435" s="13"/>
      <c r="LB435" s="12" t="s">
        <v>37</v>
      </c>
      <c r="LC435" s="12" t="s">
        <v>37</v>
      </c>
      <c r="LD435" s="13" t="s">
        <v>37</v>
      </c>
      <c r="LE435" s="13"/>
      <c r="LF435" s="13"/>
      <c r="LG435" s="13"/>
      <c r="LI435" s="12" t="s">
        <v>37</v>
      </c>
      <c r="LJ435" s="12" t="s">
        <v>37</v>
      </c>
      <c r="LK435" s="12" t="s">
        <v>37</v>
      </c>
      <c r="LL435" s="12"/>
      <c r="LM435" s="12" t="s">
        <v>37</v>
      </c>
      <c r="LN435" s="12" t="s">
        <v>37</v>
      </c>
      <c r="LO435" s="12" t="s">
        <v>37</v>
      </c>
      <c r="LP435" s="12"/>
      <c r="LQ435" s="12"/>
      <c r="LR435" s="12"/>
      <c r="LT435" s="12" t="s">
        <v>501</v>
      </c>
      <c r="LU435" s="12">
        <v>18.846153846153847</v>
      </c>
      <c r="LV435" s="50">
        <f>ABS(LU435)*LX$474</f>
        <v>2.6887154671468791</v>
      </c>
      <c r="LW435" s="13">
        <v>3</v>
      </c>
      <c r="LX435" s="13"/>
      <c r="LY435" s="12" t="s">
        <v>37</v>
      </c>
      <c r="LZ435" s="12" t="s">
        <v>37</v>
      </c>
      <c r="MA435" s="12" t="s">
        <v>37</v>
      </c>
      <c r="MB435" s="13"/>
      <c r="MC435" s="13"/>
      <c r="MD435" s="13"/>
      <c r="MF435" s="12" t="s">
        <v>37</v>
      </c>
      <c r="MG435" s="12" t="s">
        <v>37</v>
      </c>
      <c r="MH435" s="12" t="s">
        <v>37</v>
      </c>
      <c r="MI435" s="12"/>
      <c r="MJ435" s="12" t="s">
        <v>37</v>
      </c>
      <c r="MK435" s="12" t="s">
        <v>37</v>
      </c>
      <c r="ML435" s="12" t="s">
        <v>37</v>
      </c>
      <c r="MM435" s="12"/>
      <c r="MN435" s="12"/>
      <c r="MO435" s="12"/>
      <c r="MQ435" s="12" t="s">
        <v>37</v>
      </c>
      <c r="MR435" s="12" t="s">
        <v>37</v>
      </c>
      <c r="MS435" s="12" t="s">
        <v>37</v>
      </c>
      <c r="MT435" s="12"/>
      <c r="MU435" s="12" t="s">
        <v>37</v>
      </c>
      <c r="MV435" s="12" t="s">
        <v>37</v>
      </c>
      <c r="MW435" s="12" t="s">
        <v>37</v>
      </c>
      <c r="MX435" s="12"/>
      <c r="MY435" s="12"/>
      <c r="MZ435" s="12"/>
      <c r="NC435" s="12" t="s">
        <v>37</v>
      </c>
      <c r="ND435" s="12" t="s">
        <v>37</v>
      </c>
      <c r="NE435" s="13" t="s">
        <v>37</v>
      </c>
      <c r="NF435" s="13"/>
      <c r="NG435" s="12" t="s">
        <v>37</v>
      </c>
      <c r="NH435" s="12" t="s">
        <v>37</v>
      </c>
      <c r="NI435" s="13" t="s">
        <v>37</v>
      </c>
      <c r="NJ435" s="13"/>
      <c r="NK435" s="13"/>
      <c r="NL435" s="13"/>
      <c r="NO435" s="12" t="s">
        <v>37</v>
      </c>
      <c r="NP435" s="12" t="s">
        <v>37</v>
      </c>
      <c r="NQ435" s="13" t="s">
        <v>37</v>
      </c>
      <c r="NR435" s="13"/>
      <c r="NS435" s="12" t="s">
        <v>37</v>
      </c>
      <c r="NT435" s="12" t="s">
        <v>37</v>
      </c>
      <c r="NU435" s="13" t="s">
        <v>37</v>
      </c>
      <c r="NV435" s="13"/>
      <c r="NW435" s="13"/>
      <c r="NX435" s="13"/>
      <c r="OA435" s="12" t="s">
        <v>37</v>
      </c>
      <c r="OB435" s="12" t="s">
        <v>37</v>
      </c>
      <c r="OC435" s="13" t="s">
        <v>37</v>
      </c>
      <c r="OE435" s="12" t="s">
        <v>37</v>
      </c>
      <c r="OF435" s="12" t="s">
        <v>37</v>
      </c>
      <c r="OG435" s="13" t="s">
        <v>37</v>
      </c>
      <c r="OM435" s="12" t="s">
        <v>37</v>
      </c>
      <c r="ON435" s="12" t="s">
        <v>37</v>
      </c>
      <c r="OO435" s="12" t="s">
        <v>37</v>
      </c>
      <c r="OP435" s="12" t="s">
        <v>37</v>
      </c>
      <c r="OQ435" s="12" t="s">
        <v>37</v>
      </c>
      <c r="OR435" s="12" t="s">
        <v>37</v>
      </c>
      <c r="OS435" s="12"/>
      <c r="OT435" s="12"/>
      <c r="OW435" s="12" t="s">
        <v>37</v>
      </c>
      <c r="OX435" s="12" t="s">
        <v>37</v>
      </c>
      <c r="OY435" s="13" t="s">
        <v>37</v>
      </c>
      <c r="OZ435" s="12" t="s">
        <v>37</v>
      </c>
      <c r="PA435" s="12" t="s">
        <v>37</v>
      </c>
      <c r="PB435" s="13" t="s">
        <v>326</v>
      </c>
      <c r="PG435" s="11" t="s">
        <v>37</v>
      </c>
      <c r="PH435" s="11" t="s">
        <v>37</v>
      </c>
      <c r="PI435" s="13" t="s">
        <v>37</v>
      </c>
      <c r="PJ435" s="11" t="s">
        <v>37</v>
      </c>
      <c r="PK435" s="11" t="s">
        <v>37</v>
      </c>
      <c r="PL435" s="13" t="s">
        <v>37</v>
      </c>
      <c r="PQ435" s="12" t="s">
        <v>37</v>
      </c>
      <c r="PR435" s="12" t="s">
        <v>37</v>
      </c>
      <c r="PS435" s="12" t="s">
        <v>37</v>
      </c>
      <c r="PT435" s="12" t="s">
        <v>37</v>
      </c>
      <c r="PU435" s="12" t="s">
        <v>37</v>
      </c>
      <c r="PV435" s="12" t="s">
        <v>37</v>
      </c>
      <c r="PW435" s="12"/>
      <c r="PX435" s="12"/>
      <c r="PZ435" s="12" t="s">
        <v>37</v>
      </c>
      <c r="QA435" s="12" t="s">
        <v>37</v>
      </c>
      <c r="QB435" s="11" t="s">
        <v>37</v>
      </c>
      <c r="QC435" s="11"/>
      <c r="QD435" s="12" t="s">
        <v>37</v>
      </c>
      <c r="QE435" s="12" t="s">
        <v>37</v>
      </c>
      <c r="QF435" s="12" t="s">
        <v>37</v>
      </c>
      <c r="QG435" s="12"/>
      <c r="QH435" s="12"/>
      <c r="QI435" s="12"/>
      <c r="QK435" s="12" t="s">
        <v>37</v>
      </c>
      <c r="QL435" s="12" t="s">
        <v>37</v>
      </c>
      <c r="QM435" s="12" t="s">
        <v>37</v>
      </c>
      <c r="QN435" s="12" t="s">
        <v>37</v>
      </c>
      <c r="QO435" s="12" t="s">
        <v>37</v>
      </c>
      <c r="QP435" s="12" t="s">
        <v>37</v>
      </c>
      <c r="QQ435" s="12"/>
      <c r="QR435" s="12"/>
      <c r="QU435" s="12" t="s">
        <v>37</v>
      </c>
      <c r="QV435" s="12" t="s">
        <v>37</v>
      </c>
      <c r="QW435" s="12" t="s">
        <v>37</v>
      </c>
      <c r="QX435" s="12" t="s">
        <v>37</v>
      </c>
      <c r="QY435" s="12" t="s">
        <v>37</v>
      </c>
      <c r="QZ435" s="12" t="s">
        <v>37</v>
      </c>
      <c r="RC435" s="12" t="s">
        <v>37</v>
      </c>
      <c r="RD435" s="12" t="s">
        <v>37</v>
      </c>
      <c r="RE435" s="13" t="s">
        <v>37</v>
      </c>
      <c r="RF435" s="12" t="s">
        <v>37</v>
      </c>
      <c r="RG435" s="12" t="s">
        <v>37</v>
      </c>
      <c r="RH435" s="13" t="s">
        <v>37</v>
      </c>
      <c r="RK435" s="12" t="s">
        <v>37</v>
      </c>
      <c r="RL435" s="12" t="s">
        <v>37</v>
      </c>
      <c r="RM435" s="11" t="s">
        <v>37</v>
      </c>
      <c r="RN435" s="12" t="s">
        <v>37</v>
      </c>
      <c r="RO435" s="12" t="s">
        <v>37</v>
      </c>
      <c r="RP435" s="11" t="s">
        <v>37</v>
      </c>
      <c r="RS435" s="12" t="s">
        <v>37</v>
      </c>
      <c r="RT435" s="12" t="s">
        <v>37</v>
      </c>
      <c r="RU435" s="12" t="s">
        <v>37</v>
      </c>
      <c r="RV435" s="12" t="s">
        <v>37</v>
      </c>
      <c r="RW435" s="12" t="s">
        <v>37</v>
      </c>
      <c r="RX435" s="12" t="s">
        <v>37</v>
      </c>
      <c r="SA435" s="12" t="s">
        <v>37</v>
      </c>
      <c r="SB435" s="12" t="s">
        <v>37</v>
      </c>
      <c r="SC435" s="12" t="s">
        <v>37</v>
      </c>
      <c r="SD435" s="12" t="s">
        <v>37</v>
      </c>
      <c r="SE435" s="12" t="s">
        <v>37</v>
      </c>
      <c r="SF435" s="12" t="s">
        <v>37</v>
      </c>
      <c r="SI435" s="12" t="s">
        <v>37</v>
      </c>
      <c r="SJ435" s="12" t="s">
        <v>37</v>
      </c>
      <c r="SK435" s="13" t="s">
        <v>37</v>
      </c>
      <c r="SL435" s="12"/>
      <c r="SM435" s="12" t="s">
        <v>37</v>
      </c>
      <c r="SN435" s="12" t="s">
        <v>37</v>
      </c>
      <c r="SO435" s="13" t="s">
        <v>37</v>
      </c>
      <c r="SP435" s="12"/>
      <c r="SQ435" s="12"/>
      <c r="SR435" s="12"/>
      <c r="SU435" s="12" t="s">
        <v>37</v>
      </c>
      <c r="SV435" s="12" t="s">
        <v>37</v>
      </c>
      <c r="SW435" s="11" t="s">
        <v>37</v>
      </c>
      <c r="SX435" s="12" t="s">
        <v>37</v>
      </c>
      <c r="SY435" s="12" t="s">
        <v>37</v>
      </c>
      <c r="SZ435" s="11" t="s">
        <v>37</v>
      </c>
      <c r="TE435" s="12" t="s">
        <v>37</v>
      </c>
      <c r="TF435" s="12" t="s">
        <v>37</v>
      </c>
      <c r="TG435" s="11" t="s">
        <v>37</v>
      </c>
      <c r="TH435" s="12" t="s">
        <v>37</v>
      </c>
      <c r="TI435" s="12" t="s">
        <v>37</v>
      </c>
      <c r="TJ435" s="11" t="s">
        <v>37</v>
      </c>
      <c r="TO435" s="12" t="s">
        <v>37</v>
      </c>
      <c r="TP435" s="12" t="s">
        <v>37</v>
      </c>
      <c r="TQ435" s="11" t="s">
        <v>37</v>
      </c>
      <c r="TR435" s="12" t="s">
        <v>37</v>
      </c>
      <c r="TS435" s="12" t="s">
        <v>37</v>
      </c>
      <c r="TT435" s="11" t="s">
        <v>37</v>
      </c>
      <c r="TY435" s="12" t="s">
        <v>37</v>
      </c>
      <c r="TZ435" s="12" t="s">
        <v>37</v>
      </c>
      <c r="UA435" s="12" t="s">
        <v>37</v>
      </c>
      <c r="UB435" s="12" t="s">
        <v>37</v>
      </c>
      <c r="UC435" s="12" t="s">
        <v>37</v>
      </c>
      <c r="UD435" s="12" t="s">
        <v>37</v>
      </c>
      <c r="UE435" s="12"/>
      <c r="UF435" s="12"/>
      <c r="UI435" s="12" t="s">
        <v>37</v>
      </c>
      <c r="UJ435" s="12" t="s">
        <v>37</v>
      </c>
      <c r="UK435" s="12" t="s">
        <v>37</v>
      </c>
      <c r="UL435" s="12" t="s">
        <v>37</v>
      </c>
      <c r="UM435" s="12" t="s">
        <v>37</v>
      </c>
      <c r="UN435" s="12" t="s">
        <v>37</v>
      </c>
      <c r="UO435" s="12"/>
      <c r="UP435" s="12"/>
      <c r="UR435" s="12" t="s">
        <v>37</v>
      </c>
      <c r="US435" s="12" t="s">
        <v>37</v>
      </c>
      <c r="UT435" s="12" t="s">
        <v>37</v>
      </c>
      <c r="UU435" s="12" t="s">
        <v>37</v>
      </c>
      <c r="UV435" s="12" t="s">
        <v>37</v>
      </c>
      <c r="UW435" s="12" t="s">
        <v>37</v>
      </c>
      <c r="UX435" s="12"/>
      <c r="UY435" s="12"/>
      <c r="VB435" s="12" t="s">
        <v>37</v>
      </c>
      <c r="VC435" s="12" t="s">
        <v>37</v>
      </c>
      <c r="VD435" s="12" t="s">
        <v>37</v>
      </c>
      <c r="VE435" s="12" t="s">
        <v>37</v>
      </c>
      <c r="VF435" s="12" t="s">
        <v>37</v>
      </c>
      <c r="VG435" s="12" t="s">
        <v>37</v>
      </c>
      <c r="VI435" s="12" t="s">
        <v>37</v>
      </c>
      <c r="VJ435" s="12" t="s">
        <v>37</v>
      </c>
      <c r="VK435" s="12" t="s">
        <v>37</v>
      </c>
      <c r="VL435" s="12" t="s">
        <v>37</v>
      </c>
      <c r="VM435" s="12" t="s">
        <v>37</v>
      </c>
      <c r="VN435" s="12" t="s">
        <v>37</v>
      </c>
      <c r="VQ435" s="13" t="s">
        <v>37</v>
      </c>
      <c r="VR435" s="13" t="s">
        <v>37</v>
      </c>
      <c r="VS435" s="13" t="s">
        <v>37</v>
      </c>
      <c r="VT435" s="13" t="s">
        <v>37</v>
      </c>
      <c r="VU435" s="13" t="s">
        <v>37</v>
      </c>
      <c r="VV435" s="13" t="s">
        <v>37</v>
      </c>
      <c r="WA435" s="13" t="s">
        <v>37</v>
      </c>
      <c r="WB435" s="13" t="s">
        <v>37</v>
      </c>
      <c r="WC435" s="13" t="s">
        <v>37</v>
      </c>
      <c r="WD435" s="13" t="s">
        <v>37</v>
      </c>
      <c r="WE435" s="13" t="s">
        <v>37</v>
      </c>
      <c r="WF435" s="13" t="s">
        <v>37</v>
      </c>
    </row>
    <row r="436" spans="1:604" x14ac:dyDescent="0.3">
      <c r="A436" s="11">
        <v>100</v>
      </c>
      <c r="B436" s="16" t="s">
        <v>958</v>
      </c>
      <c r="C436" s="12" t="s">
        <v>26</v>
      </c>
      <c r="D436" s="12" t="s">
        <v>974</v>
      </c>
      <c r="E436" s="14" t="s">
        <v>37</v>
      </c>
      <c r="F436" s="72">
        <v>225</v>
      </c>
      <c r="G436" s="14">
        <v>0</v>
      </c>
      <c r="H436" s="12" t="s">
        <v>82</v>
      </c>
      <c r="I436" s="29">
        <v>34.502000000000002</v>
      </c>
      <c r="J436" s="29">
        <v>-90.424000000000007</v>
      </c>
      <c r="K436" s="12" t="s">
        <v>757</v>
      </c>
      <c r="L436" s="12" t="s">
        <v>758</v>
      </c>
      <c r="M436" s="13" t="s">
        <v>37</v>
      </c>
      <c r="N436" s="14" t="s">
        <v>37</v>
      </c>
      <c r="O436" s="14" t="s">
        <v>37</v>
      </c>
      <c r="P436" s="14" t="s">
        <v>16</v>
      </c>
      <c r="Q436" s="75" t="s">
        <v>37</v>
      </c>
      <c r="R436" s="11" t="s">
        <v>37</v>
      </c>
      <c r="S436" s="12" t="s">
        <v>37</v>
      </c>
      <c r="T436" s="12" t="s">
        <v>138</v>
      </c>
      <c r="U436" s="12" t="s">
        <v>158</v>
      </c>
      <c r="V436" s="12" t="s">
        <v>37</v>
      </c>
      <c r="W436" s="23" t="s">
        <v>556</v>
      </c>
      <c r="X436" s="12" t="s">
        <v>858</v>
      </c>
      <c r="Y436" s="12" t="s">
        <v>37</v>
      </c>
      <c r="Z436" s="12" t="s">
        <v>315</v>
      </c>
      <c r="AB436" s="12" t="s">
        <v>37</v>
      </c>
      <c r="AE436" s="12" t="s">
        <v>37</v>
      </c>
      <c r="AH436" s="12" t="s">
        <v>37</v>
      </c>
      <c r="AK436" s="12" t="s">
        <v>37</v>
      </c>
      <c r="AL436" s="32" t="s">
        <v>557</v>
      </c>
      <c r="AM436" s="12" t="s">
        <v>317</v>
      </c>
      <c r="AN436" s="32" t="s">
        <v>880</v>
      </c>
      <c r="AO436" s="12" t="s">
        <v>37</v>
      </c>
      <c r="AP436" s="12" t="s">
        <v>167</v>
      </c>
      <c r="AQ436" s="12" t="s">
        <v>73</v>
      </c>
      <c r="AT436" s="12" t="s">
        <v>37</v>
      </c>
      <c r="AU436" s="12" t="s">
        <v>37</v>
      </c>
      <c r="AV436" s="13" t="s">
        <v>37</v>
      </c>
      <c r="AX436" s="12" t="s">
        <v>37</v>
      </c>
      <c r="AY436" s="12" t="s">
        <v>37</v>
      </c>
      <c r="AZ436" s="13" t="s">
        <v>37</v>
      </c>
      <c r="BE436" s="12" t="s">
        <v>37</v>
      </c>
      <c r="BF436" s="12" t="s">
        <v>37</v>
      </c>
      <c r="BG436" s="13" t="s">
        <v>37</v>
      </c>
      <c r="BH436" s="13"/>
      <c r="BI436" s="12" t="s">
        <v>37</v>
      </c>
      <c r="BJ436" s="12" t="s">
        <v>37</v>
      </c>
      <c r="BK436" s="13" t="s">
        <v>37</v>
      </c>
      <c r="BL436" s="13"/>
      <c r="BM436" s="13"/>
      <c r="BN436" s="13"/>
      <c r="BP436" s="12" t="s">
        <v>37</v>
      </c>
      <c r="BQ436" s="12" t="s">
        <v>37</v>
      </c>
      <c r="BR436" s="13" t="s">
        <v>37</v>
      </c>
      <c r="BS436" s="13"/>
      <c r="BT436" s="12" t="s">
        <v>37</v>
      </c>
      <c r="BU436" s="12" t="s">
        <v>37</v>
      </c>
      <c r="BV436" s="12" t="s">
        <v>37</v>
      </c>
      <c r="BW436" s="12"/>
      <c r="BX436" s="12"/>
      <c r="BY436" s="12"/>
      <c r="CA436" s="12" t="s">
        <v>37</v>
      </c>
      <c r="CB436" s="12" t="s">
        <v>37</v>
      </c>
      <c r="CC436" s="13" t="s">
        <v>37</v>
      </c>
      <c r="CD436" s="13"/>
      <c r="CE436" s="12" t="s">
        <v>37</v>
      </c>
      <c r="CF436" s="12" t="s">
        <v>37</v>
      </c>
      <c r="CG436" s="13" t="s">
        <v>37</v>
      </c>
      <c r="CH436" s="13"/>
      <c r="CI436" s="13"/>
      <c r="CJ436" s="13"/>
      <c r="CN436" s="12" t="s">
        <v>37</v>
      </c>
      <c r="CO436" s="12" t="s">
        <v>37</v>
      </c>
      <c r="CP436" s="13" t="s">
        <v>37</v>
      </c>
      <c r="CQ436" s="13"/>
      <c r="CR436" s="12" t="s">
        <v>37</v>
      </c>
      <c r="CS436" s="12" t="s">
        <v>37</v>
      </c>
      <c r="CT436" s="13" t="s">
        <v>37</v>
      </c>
      <c r="CU436" s="13"/>
      <c r="CV436" s="13"/>
      <c r="CW436" s="13"/>
      <c r="CX436" s="72"/>
      <c r="CY436" s="72"/>
      <c r="DA436" s="12" t="s">
        <v>37</v>
      </c>
      <c r="DB436" s="12" t="s">
        <v>37</v>
      </c>
      <c r="DC436" s="13" t="s">
        <v>37</v>
      </c>
      <c r="DD436" s="13"/>
      <c r="DE436" s="12" t="s">
        <v>37</v>
      </c>
      <c r="DF436" s="12" t="s">
        <v>37</v>
      </c>
      <c r="DG436" s="13" t="s">
        <v>37</v>
      </c>
      <c r="DH436" s="13"/>
      <c r="DI436" s="13"/>
      <c r="DJ436" s="13"/>
      <c r="DM436" s="12" t="s">
        <v>581</v>
      </c>
      <c r="DN436" s="12">
        <f>1540.128/'[9]classes-1'!$I$106</f>
        <v>1745.8411157183666</v>
      </c>
      <c r="DO436" s="12">
        <f>SQRT((1/[2]Classes!$I$106)^2*(2356.07774643877)^2+(-DN436/([2]Classes!$I$106)^2)^2*([2]Classes!$J$106)^2)</f>
        <v>3724.2538477145881</v>
      </c>
      <c r="DP436" s="13">
        <v>34</v>
      </c>
      <c r="DQ436" s="19">
        <f t="shared" ref="DQ436:DQ438" si="1661">DO436/ABS(DN436)</f>
        <v>2.1332146517709649</v>
      </c>
      <c r="DR436" s="12">
        <f>5.856/'[9]classes-1'!$I$107</f>
        <v>-3.7758090112974552</v>
      </c>
      <c r="DS436" s="12">
        <f>SQRT((1/[2]Classes!$I$107)^2*(7.0272)^2+(-DR436/([2]Classes!$I$104)^2)^2*([2]Classes!$J$107)^2)</f>
        <v>115.31009388698878</v>
      </c>
      <c r="DT436" s="13">
        <v>9</v>
      </c>
      <c r="DU436" s="19">
        <f t="shared" ref="DU436:DU438" si="1662">DS436/ABS(DR436)</f>
        <v>30.539175456696515</v>
      </c>
      <c r="DV436" s="19">
        <f t="shared" si="1625"/>
        <v>-1749.6169247296641</v>
      </c>
      <c r="DW436" s="12">
        <f t="shared" si="1626"/>
        <v>3341.6024094450809</v>
      </c>
      <c r="DX436" s="72">
        <f>(((DP436+DT436)/(DP436*DT436))*(((DP436-1)*DO436^2)+(DT436-1)*DS436^2)/(DP436+DT436-2))</f>
        <v>1569121.5245123999</v>
      </c>
      <c r="DY436" s="72">
        <f t="shared" si="1612"/>
        <v>409420.51863898017</v>
      </c>
      <c r="DZ436" s="11" t="s">
        <v>47</v>
      </c>
      <c r="EA436" s="12">
        <f>0.745385142857143/'[10]classess-1'!$I$52</f>
        <v>3.5419581632883812</v>
      </c>
      <c r="EB436" s="12">
        <f>SQRT((1/[4]Classess!$I$52)^2*(2.45485740350996)^2+(-EA436/([4]Classess!$I$52)^2)^2*([4]Classess!$J$52)^2)</f>
        <v>380.03451144768485</v>
      </c>
      <c r="EC436" s="13">
        <v>34</v>
      </c>
      <c r="ED436" s="52">
        <f t="shared" ref="ED436:ED438" si="1663">EB436/ABS(EA436)</f>
        <v>107.29503114595173</v>
      </c>
      <c r="EE436" s="12">
        <f>5.604192/'[10]classess-1'!$I$53</f>
        <v>22.445963773156404</v>
      </c>
      <c r="EF436" s="12">
        <f>SQRT((1/[4]Classess!$I$53)^2*(1.51147542857143)^2+(-EE436/([4]Classess!$I$53)^2)^2*([4]Classess!$J$53)^2)</f>
        <v>202.87353243311873</v>
      </c>
      <c r="EG436" s="13">
        <v>9</v>
      </c>
      <c r="EH436" s="52">
        <f t="shared" ref="EH436:EH438" si="1664">EF436/ABS(EE436)</f>
        <v>9.038307932927319</v>
      </c>
      <c r="EI436" s="19">
        <f t="shared" si="1645"/>
        <v>18.904005609868022</v>
      </c>
      <c r="EJ436" s="12">
        <f t="shared" si="1646"/>
        <v>352.52839178887911</v>
      </c>
      <c r="EK436" s="19">
        <f t="shared" si="1647"/>
        <v>17463.658437065023</v>
      </c>
      <c r="EL436" s="19">
        <f t="shared" si="1648"/>
        <v>8820.9047533524244</v>
      </c>
      <c r="EN436" s="12" t="s">
        <v>37</v>
      </c>
      <c r="EO436" s="12" t="s">
        <v>37</v>
      </c>
      <c r="EP436" s="13" t="s">
        <v>37</v>
      </c>
      <c r="EQ436" s="13"/>
      <c r="ER436" s="12" t="s">
        <v>37</v>
      </c>
      <c r="ES436" s="12" t="s">
        <v>37</v>
      </c>
      <c r="ET436" s="13" t="s">
        <v>37</v>
      </c>
      <c r="EU436" s="13"/>
      <c r="EV436" s="13"/>
      <c r="EW436" s="13"/>
      <c r="EX436" s="13"/>
      <c r="EY436" s="13"/>
      <c r="FB436" s="12" t="s">
        <v>37</v>
      </c>
      <c r="FC436" s="12" t="s">
        <v>37</v>
      </c>
      <c r="FD436" s="11" t="s">
        <v>37</v>
      </c>
      <c r="FE436" s="12" t="s">
        <v>37</v>
      </c>
      <c r="FF436" s="20" t="s">
        <v>37</v>
      </c>
      <c r="FG436" s="11" t="s">
        <v>37</v>
      </c>
      <c r="FI436" s="12" t="s">
        <v>37</v>
      </c>
      <c r="FJ436" s="12" t="s">
        <v>37</v>
      </c>
      <c r="FK436" s="11" t="s">
        <v>37</v>
      </c>
      <c r="FL436" s="13" t="s">
        <v>37</v>
      </c>
      <c r="FM436" s="11" t="s">
        <v>37</v>
      </c>
      <c r="FN436" s="11" t="s">
        <v>37</v>
      </c>
      <c r="FP436" s="12" t="s">
        <v>37</v>
      </c>
      <c r="FQ436" s="12" t="s">
        <v>37</v>
      </c>
      <c r="FR436" s="11" t="s">
        <v>37</v>
      </c>
      <c r="FS436" s="13" t="s">
        <v>37</v>
      </c>
      <c r="FT436" s="11" t="s">
        <v>37</v>
      </c>
      <c r="FU436" s="11" t="s">
        <v>37</v>
      </c>
      <c r="FW436" s="12" t="s">
        <v>37</v>
      </c>
      <c r="FX436" s="12" t="s">
        <v>37</v>
      </c>
      <c r="FY436" s="11" t="s">
        <v>37</v>
      </c>
      <c r="FZ436" s="13" t="s">
        <v>37</v>
      </c>
      <c r="GA436" s="11" t="s">
        <v>37</v>
      </c>
      <c r="GB436" s="11" t="s">
        <v>37</v>
      </c>
      <c r="GC436" s="12" t="s">
        <v>101</v>
      </c>
      <c r="GD436" s="12" t="s">
        <v>345</v>
      </c>
      <c r="GE436" s="12">
        <v>100</v>
      </c>
      <c r="GF436" s="50">
        <f>ABS(GE436)*GH$474</f>
        <v>14.763481775793744</v>
      </c>
      <c r="GG436" s="13">
        <v>17</v>
      </c>
      <c r="GH436" s="13"/>
      <c r="GI436" s="12">
        <v>25.6</v>
      </c>
      <c r="GJ436" s="12">
        <v>6.1846584384264904</v>
      </c>
      <c r="GK436" s="13">
        <v>17</v>
      </c>
      <c r="GL436" s="19">
        <f t="shared" ref="GL436" si="1665">GJ436/GI436</f>
        <v>0.24158822025103477</v>
      </c>
      <c r="GM436" s="19">
        <f>LN(GI436/GE436)</f>
        <v>-1.3625778345025745</v>
      </c>
      <c r="GN436" s="19">
        <f>GJ436^2/(GK436*GI436^2)+GF436^2/(GG436*GE436^2)</f>
        <v>4.7153475046165811E-3</v>
      </c>
      <c r="GQ436" s="12" t="s">
        <v>37</v>
      </c>
      <c r="GR436" s="12" t="s">
        <v>37</v>
      </c>
      <c r="GS436" s="13" t="s">
        <v>37</v>
      </c>
      <c r="GT436" s="13"/>
      <c r="GU436" s="12" t="s">
        <v>37</v>
      </c>
      <c r="GV436" s="12" t="s">
        <v>37</v>
      </c>
      <c r="GW436" s="13" t="s">
        <v>37</v>
      </c>
      <c r="GX436" s="13"/>
      <c r="GY436" s="13"/>
      <c r="GZ436" s="13"/>
      <c r="HC436" s="12" t="s">
        <v>37</v>
      </c>
      <c r="HD436" s="12" t="s">
        <v>37</v>
      </c>
      <c r="HE436" s="13" t="s">
        <v>37</v>
      </c>
      <c r="HF436" s="13"/>
      <c r="HG436" s="12" t="s">
        <v>37</v>
      </c>
      <c r="HH436" s="12" t="s">
        <v>37</v>
      </c>
      <c r="HI436" s="13" t="s">
        <v>37</v>
      </c>
      <c r="HJ436" s="13"/>
      <c r="HK436" s="13"/>
      <c r="HL436" s="13"/>
      <c r="HN436" s="12" t="s">
        <v>37</v>
      </c>
      <c r="HO436" s="12" t="s">
        <v>37</v>
      </c>
      <c r="HP436" s="13" t="s">
        <v>37</v>
      </c>
      <c r="HQ436" s="13"/>
      <c r="HR436" s="12" t="s">
        <v>37</v>
      </c>
      <c r="HS436" s="12" t="s">
        <v>37</v>
      </c>
      <c r="HT436" s="13" t="s">
        <v>37</v>
      </c>
      <c r="HU436" s="13"/>
      <c r="HV436" s="13"/>
      <c r="HW436" s="13"/>
      <c r="HY436" s="12" t="s">
        <v>37</v>
      </c>
      <c r="HZ436" s="12" t="s">
        <v>37</v>
      </c>
      <c r="IA436" s="13" t="s">
        <v>37</v>
      </c>
      <c r="IB436" s="13"/>
      <c r="IC436" s="12" t="s">
        <v>37</v>
      </c>
      <c r="ID436" s="12" t="s">
        <v>37</v>
      </c>
      <c r="IE436" s="13" t="s">
        <v>37</v>
      </c>
      <c r="IF436" s="13"/>
      <c r="IG436" s="13"/>
      <c r="IH436" s="13"/>
      <c r="IK436" s="12" t="s">
        <v>37</v>
      </c>
      <c r="IL436" s="12" t="s">
        <v>37</v>
      </c>
      <c r="IM436" s="12" t="s">
        <v>37</v>
      </c>
      <c r="IN436" s="12"/>
      <c r="IO436" s="12" t="s">
        <v>37</v>
      </c>
      <c r="IP436" s="12" t="s">
        <v>37</v>
      </c>
      <c r="IQ436" s="12" t="s">
        <v>37</v>
      </c>
      <c r="IR436" s="12"/>
      <c r="IS436" s="12"/>
      <c r="IT436" s="12"/>
      <c r="IW436" s="12" t="s">
        <v>37</v>
      </c>
      <c r="IX436" s="12" t="s">
        <v>37</v>
      </c>
      <c r="IY436" s="13">
        <v>3</v>
      </c>
      <c r="IZ436" s="13"/>
      <c r="JA436" s="12" t="s">
        <v>37</v>
      </c>
      <c r="JB436" s="12" t="s">
        <v>37</v>
      </c>
      <c r="JC436" s="13">
        <v>3</v>
      </c>
      <c r="JD436" s="13"/>
      <c r="JE436" s="13"/>
      <c r="JF436" s="13"/>
      <c r="JH436" s="12" t="s">
        <v>37</v>
      </c>
      <c r="JI436" s="12" t="s">
        <v>37</v>
      </c>
      <c r="JJ436" s="13" t="s">
        <v>37</v>
      </c>
      <c r="JK436" s="13"/>
      <c r="JL436" s="12" t="s">
        <v>37</v>
      </c>
      <c r="JM436" s="12" t="s">
        <v>37</v>
      </c>
      <c r="JN436" s="12" t="s">
        <v>37</v>
      </c>
      <c r="JO436" s="12"/>
      <c r="JP436" s="12"/>
      <c r="JQ436" s="12"/>
      <c r="JS436" s="12" t="s">
        <v>37</v>
      </c>
      <c r="JT436" s="12" t="s">
        <v>37</v>
      </c>
      <c r="JU436" s="13" t="s">
        <v>37</v>
      </c>
      <c r="JV436" s="13"/>
      <c r="JW436" s="12" t="s">
        <v>37</v>
      </c>
      <c r="JX436" s="12" t="s">
        <v>37</v>
      </c>
      <c r="JY436" s="12" t="s">
        <v>37</v>
      </c>
      <c r="JZ436" s="12"/>
      <c r="KA436" s="12"/>
      <c r="KB436" s="12"/>
      <c r="KE436" s="12" t="s">
        <v>37</v>
      </c>
      <c r="KF436" s="12" t="s">
        <v>37</v>
      </c>
      <c r="KG436" s="13" t="s">
        <v>37</v>
      </c>
      <c r="KH436" s="12" t="s">
        <v>37</v>
      </c>
      <c r="KI436" s="12" t="s">
        <v>37</v>
      </c>
      <c r="KJ436" s="12" t="s">
        <v>37</v>
      </c>
      <c r="KM436" s="12" t="s">
        <v>37</v>
      </c>
      <c r="KN436" s="12" t="s">
        <v>37</v>
      </c>
      <c r="KO436" s="11" t="s">
        <v>37</v>
      </c>
      <c r="KP436" s="11"/>
      <c r="KQ436" s="12" t="s">
        <v>37</v>
      </c>
      <c r="KR436" s="12" t="s">
        <v>37</v>
      </c>
      <c r="KS436" s="12" t="s">
        <v>37</v>
      </c>
      <c r="KT436" s="12"/>
      <c r="KU436" s="12"/>
      <c r="KV436" s="12"/>
      <c r="KX436" s="12" t="s">
        <v>37</v>
      </c>
      <c r="KY436" s="12" t="s">
        <v>37</v>
      </c>
      <c r="KZ436" s="12" t="s">
        <v>37</v>
      </c>
      <c r="LA436" s="12"/>
      <c r="LB436" s="12" t="s">
        <v>37</v>
      </c>
      <c r="LC436" s="12" t="s">
        <v>37</v>
      </c>
      <c r="LD436" s="12" t="s">
        <v>37</v>
      </c>
      <c r="LE436" s="12"/>
      <c r="LF436" s="12"/>
      <c r="LG436" s="12"/>
      <c r="LI436" s="12" t="s">
        <v>37</v>
      </c>
      <c r="LJ436" s="12" t="s">
        <v>37</v>
      </c>
      <c r="LK436" s="12" t="s">
        <v>37</v>
      </c>
      <c r="LL436" s="12"/>
      <c r="LM436" s="12" t="s">
        <v>37</v>
      </c>
      <c r="LN436" s="12" t="s">
        <v>37</v>
      </c>
      <c r="LO436" s="12" t="s">
        <v>37</v>
      </c>
      <c r="LP436" s="12"/>
      <c r="LQ436" s="12"/>
      <c r="LR436" s="12"/>
      <c r="LU436" s="12" t="s">
        <v>37</v>
      </c>
      <c r="LV436" s="12" t="s">
        <v>37</v>
      </c>
      <c r="LW436" s="12" t="s">
        <v>37</v>
      </c>
      <c r="LX436" s="12"/>
      <c r="LY436" s="12" t="s">
        <v>37</v>
      </c>
      <c r="LZ436" s="12" t="s">
        <v>37</v>
      </c>
      <c r="MA436" s="12" t="s">
        <v>37</v>
      </c>
      <c r="MB436" s="12"/>
      <c r="MC436" s="12"/>
      <c r="MD436" s="12"/>
      <c r="MF436" s="12" t="s">
        <v>37</v>
      </c>
      <c r="MG436" s="12" t="s">
        <v>37</v>
      </c>
      <c r="MH436" s="12" t="s">
        <v>37</v>
      </c>
      <c r="MI436" s="12"/>
      <c r="MJ436" s="12" t="s">
        <v>37</v>
      </c>
      <c r="MK436" s="12" t="s">
        <v>37</v>
      </c>
      <c r="ML436" s="12" t="s">
        <v>37</v>
      </c>
      <c r="MM436" s="12"/>
      <c r="MN436" s="12"/>
      <c r="MO436" s="12"/>
      <c r="MQ436" s="12" t="s">
        <v>37</v>
      </c>
      <c r="MR436" s="12" t="s">
        <v>37</v>
      </c>
      <c r="MS436" s="12" t="s">
        <v>37</v>
      </c>
      <c r="MT436" s="12"/>
      <c r="MU436" s="12" t="s">
        <v>37</v>
      </c>
      <c r="MV436" s="12" t="s">
        <v>37</v>
      </c>
      <c r="MW436" s="12" t="s">
        <v>37</v>
      </c>
      <c r="MX436" s="12"/>
      <c r="MY436" s="12"/>
      <c r="MZ436" s="12"/>
      <c r="NC436" s="12" t="s">
        <v>37</v>
      </c>
      <c r="ND436" s="12" t="s">
        <v>37</v>
      </c>
      <c r="NE436" s="12" t="s">
        <v>37</v>
      </c>
      <c r="NF436" s="12"/>
      <c r="NG436" s="12" t="s">
        <v>37</v>
      </c>
      <c r="NH436" s="12" t="s">
        <v>37</v>
      </c>
      <c r="NI436" s="12" t="s">
        <v>37</v>
      </c>
      <c r="NJ436" s="12"/>
      <c r="NK436" s="12"/>
      <c r="NL436" s="12"/>
      <c r="NO436" s="12" t="s">
        <v>37</v>
      </c>
      <c r="NP436" s="12" t="s">
        <v>37</v>
      </c>
      <c r="NQ436" s="12" t="s">
        <v>37</v>
      </c>
      <c r="NR436" s="12"/>
      <c r="NS436" s="12" t="s">
        <v>37</v>
      </c>
      <c r="NT436" s="12" t="s">
        <v>37</v>
      </c>
      <c r="NU436" s="12" t="s">
        <v>37</v>
      </c>
      <c r="NV436" s="12"/>
      <c r="NW436" s="12"/>
      <c r="NX436" s="12"/>
      <c r="OA436" s="12" t="s">
        <v>37</v>
      </c>
      <c r="OB436" s="12" t="s">
        <v>37</v>
      </c>
      <c r="OC436" s="12" t="s">
        <v>37</v>
      </c>
      <c r="OD436" s="12"/>
      <c r="OE436" s="12" t="s">
        <v>37</v>
      </c>
      <c r="OF436" s="12" t="s">
        <v>37</v>
      </c>
      <c r="OG436" s="12" t="s">
        <v>37</v>
      </c>
      <c r="OH436" s="12"/>
      <c r="OI436" s="12"/>
      <c r="OJ436" s="12"/>
      <c r="OM436" s="12" t="s">
        <v>37</v>
      </c>
      <c r="ON436" s="12" t="s">
        <v>37</v>
      </c>
      <c r="OO436" s="12" t="s">
        <v>37</v>
      </c>
      <c r="OP436" s="12" t="s">
        <v>37</v>
      </c>
      <c r="OQ436" s="12" t="s">
        <v>37</v>
      </c>
      <c r="OR436" s="12" t="s">
        <v>37</v>
      </c>
      <c r="OS436" s="12"/>
      <c r="OT436" s="12"/>
      <c r="OW436" s="12" t="s">
        <v>37</v>
      </c>
      <c r="OX436" s="12" t="s">
        <v>37</v>
      </c>
      <c r="OY436" s="13" t="s">
        <v>37</v>
      </c>
      <c r="OZ436" s="12" t="s">
        <v>37</v>
      </c>
      <c r="PA436" s="12" t="s">
        <v>37</v>
      </c>
      <c r="PB436" s="13" t="s">
        <v>37</v>
      </c>
      <c r="PG436" s="12" t="s">
        <v>37</v>
      </c>
      <c r="PH436" s="12" t="s">
        <v>37</v>
      </c>
      <c r="PI436" s="12" t="s">
        <v>37</v>
      </c>
      <c r="PJ436" s="12" t="s">
        <v>37</v>
      </c>
      <c r="PK436" s="12" t="s">
        <v>37</v>
      </c>
      <c r="PL436" s="12" t="s">
        <v>37</v>
      </c>
      <c r="PM436" s="12"/>
      <c r="PN436" s="12"/>
      <c r="PQ436" s="12" t="s">
        <v>37</v>
      </c>
      <c r="PR436" s="12" t="s">
        <v>37</v>
      </c>
      <c r="PS436" s="12" t="s">
        <v>37</v>
      </c>
      <c r="PT436" s="12" t="s">
        <v>37</v>
      </c>
      <c r="PU436" s="12" t="s">
        <v>37</v>
      </c>
      <c r="PV436" s="12" t="s">
        <v>37</v>
      </c>
      <c r="PW436" s="12"/>
      <c r="PX436" s="12"/>
      <c r="PZ436" s="12" t="s">
        <v>37</v>
      </c>
      <c r="QA436" s="12" t="s">
        <v>37</v>
      </c>
      <c r="QB436" s="11" t="s">
        <v>37</v>
      </c>
      <c r="QC436" s="11"/>
      <c r="QD436" s="12" t="s">
        <v>37</v>
      </c>
      <c r="QE436" s="12" t="s">
        <v>37</v>
      </c>
      <c r="QF436" s="12" t="s">
        <v>37</v>
      </c>
      <c r="QG436" s="12"/>
      <c r="QH436" s="12"/>
      <c r="QI436" s="12"/>
      <c r="QK436" s="12" t="s">
        <v>37</v>
      </c>
      <c r="QL436" s="12" t="s">
        <v>37</v>
      </c>
      <c r="QM436" s="12" t="s">
        <v>37</v>
      </c>
      <c r="QN436" s="12" t="s">
        <v>37</v>
      </c>
      <c r="QO436" s="12" t="s">
        <v>37</v>
      </c>
      <c r="QP436" s="12" t="s">
        <v>37</v>
      </c>
      <c r="QQ436" s="12"/>
      <c r="QR436" s="12"/>
      <c r="QU436" s="12" t="s">
        <v>37</v>
      </c>
      <c r="QV436" s="12" t="s">
        <v>37</v>
      </c>
      <c r="QW436" s="12" t="s">
        <v>37</v>
      </c>
      <c r="QX436" s="12" t="s">
        <v>37</v>
      </c>
      <c r="QY436" s="12" t="s">
        <v>37</v>
      </c>
      <c r="QZ436" s="12" t="s">
        <v>37</v>
      </c>
      <c r="RC436" s="12" t="s">
        <v>37</v>
      </c>
      <c r="RD436" s="12" t="s">
        <v>37</v>
      </c>
      <c r="RE436" s="13" t="s">
        <v>37</v>
      </c>
      <c r="RF436" s="12" t="s">
        <v>37</v>
      </c>
      <c r="RG436" s="12" t="s">
        <v>37</v>
      </c>
      <c r="RH436" s="13" t="s">
        <v>37</v>
      </c>
      <c r="RK436" s="12" t="s">
        <v>37</v>
      </c>
      <c r="RL436" s="12" t="s">
        <v>37</v>
      </c>
      <c r="RM436" s="11" t="s">
        <v>37</v>
      </c>
      <c r="RN436" s="12" t="s">
        <v>37</v>
      </c>
      <c r="RO436" s="12" t="s">
        <v>37</v>
      </c>
      <c r="RP436" s="11" t="s">
        <v>37</v>
      </c>
      <c r="RS436" s="12" t="s">
        <v>37</v>
      </c>
      <c r="RT436" s="12" t="s">
        <v>37</v>
      </c>
      <c r="RU436" s="12" t="s">
        <v>37</v>
      </c>
      <c r="RV436" s="12" t="s">
        <v>37</v>
      </c>
      <c r="RW436" s="12" t="s">
        <v>37</v>
      </c>
      <c r="RX436" s="12" t="s">
        <v>37</v>
      </c>
      <c r="SA436" s="12" t="s">
        <v>37</v>
      </c>
      <c r="SB436" s="12" t="s">
        <v>37</v>
      </c>
      <c r="SC436" s="12" t="s">
        <v>37</v>
      </c>
      <c r="SD436" s="12" t="s">
        <v>37</v>
      </c>
      <c r="SE436" s="12" t="s">
        <v>37</v>
      </c>
      <c r="SF436" s="12" t="s">
        <v>37</v>
      </c>
      <c r="SI436" s="12" t="s">
        <v>37</v>
      </c>
      <c r="SJ436" s="12" t="s">
        <v>37</v>
      </c>
      <c r="SK436" s="13" t="s">
        <v>37</v>
      </c>
      <c r="SL436" s="12"/>
      <c r="SM436" s="12" t="s">
        <v>37</v>
      </c>
      <c r="SN436" s="12" t="s">
        <v>37</v>
      </c>
      <c r="SO436" s="13" t="s">
        <v>37</v>
      </c>
      <c r="SP436" s="12"/>
      <c r="SQ436" s="12"/>
      <c r="SR436" s="12"/>
      <c r="SU436" s="12" t="s">
        <v>37</v>
      </c>
      <c r="SV436" s="12" t="s">
        <v>37</v>
      </c>
      <c r="SW436" s="12" t="s">
        <v>37</v>
      </c>
      <c r="SX436" s="12" t="s">
        <v>37</v>
      </c>
      <c r="SY436" s="12" t="s">
        <v>37</v>
      </c>
      <c r="SZ436" s="12" t="s">
        <v>37</v>
      </c>
      <c r="TA436" s="12"/>
      <c r="TB436" s="12"/>
      <c r="TE436" s="12" t="s">
        <v>37</v>
      </c>
      <c r="TF436" s="12" t="s">
        <v>37</v>
      </c>
      <c r="TG436" s="11" t="s">
        <v>37</v>
      </c>
      <c r="TH436" s="12" t="s">
        <v>37</v>
      </c>
      <c r="TI436" s="12" t="s">
        <v>37</v>
      </c>
      <c r="TJ436" s="11" t="s">
        <v>37</v>
      </c>
      <c r="TO436" s="12" t="s">
        <v>37</v>
      </c>
      <c r="TP436" s="12" t="s">
        <v>37</v>
      </c>
      <c r="TQ436" s="11" t="s">
        <v>37</v>
      </c>
      <c r="TR436" s="12" t="s">
        <v>37</v>
      </c>
      <c r="TS436" s="12" t="s">
        <v>37</v>
      </c>
      <c r="TT436" s="11" t="s">
        <v>37</v>
      </c>
      <c r="TY436" s="12" t="s">
        <v>37</v>
      </c>
      <c r="TZ436" s="12" t="s">
        <v>37</v>
      </c>
      <c r="UA436" s="12" t="s">
        <v>37</v>
      </c>
      <c r="UB436" s="12" t="s">
        <v>37</v>
      </c>
      <c r="UC436" s="12" t="s">
        <v>37</v>
      </c>
      <c r="UD436" s="12" t="s">
        <v>37</v>
      </c>
      <c r="UE436" s="12"/>
      <c r="UF436" s="12"/>
      <c r="UG436" s="12" t="s">
        <v>127</v>
      </c>
      <c r="UH436" s="12" t="s">
        <v>345</v>
      </c>
      <c r="UI436" s="12">
        <v>362000000</v>
      </c>
      <c r="UJ436" s="12">
        <v>269000000</v>
      </c>
      <c r="UK436" s="13">
        <v>71</v>
      </c>
      <c r="UL436" s="12">
        <v>23000000</v>
      </c>
      <c r="UM436" s="12">
        <v>4000000</v>
      </c>
      <c r="UN436" s="13">
        <v>23</v>
      </c>
      <c r="UO436" s="19">
        <f>LN(UL436/UI436)</f>
        <v>-2.7561499958966214</v>
      </c>
      <c r="UP436" s="19">
        <f>UM436^2/(UN436*UL436^2)+UJ436^2/(UK436*UI436^2)</f>
        <v>9.0923363786983152E-3</v>
      </c>
      <c r="UR436" s="12" t="s">
        <v>37</v>
      </c>
      <c r="US436" s="12" t="s">
        <v>37</v>
      </c>
      <c r="UT436" s="12" t="s">
        <v>37</v>
      </c>
      <c r="UU436" s="12" t="s">
        <v>37</v>
      </c>
      <c r="UV436" s="12" t="s">
        <v>37</v>
      </c>
      <c r="UW436" s="12" t="s">
        <v>37</v>
      </c>
      <c r="UX436" s="12"/>
      <c r="UY436" s="12"/>
      <c r="VB436" s="12" t="s">
        <v>37</v>
      </c>
      <c r="VC436" s="12" t="s">
        <v>37</v>
      </c>
      <c r="VD436" s="12" t="s">
        <v>37</v>
      </c>
      <c r="VE436" s="12" t="s">
        <v>37</v>
      </c>
      <c r="VF436" s="12" t="s">
        <v>37</v>
      </c>
      <c r="VG436" s="12" t="s">
        <v>37</v>
      </c>
      <c r="VI436" s="12" t="s">
        <v>37</v>
      </c>
      <c r="VJ436" s="12" t="s">
        <v>37</v>
      </c>
      <c r="VK436" s="12" t="s">
        <v>37</v>
      </c>
      <c r="VL436" s="12" t="s">
        <v>37</v>
      </c>
      <c r="VM436" s="12" t="s">
        <v>37</v>
      </c>
      <c r="VN436" s="12" t="s">
        <v>37</v>
      </c>
      <c r="VQ436" s="13" t="s">
        <v>37</v>
      </c>
      <c r="VR436" s="13" t="s">
        <v>37</v>
      </c>
      <c r="VS436" s="13" t="s">
        <v>37</v>
      </c>
      <c r="VT436" s="13" t="s">
        <v>37</v>
      </c>
      <c r="VU436" s="13" t="s">
        <v>37</v>
      </c>
      <c r="VV436" s="13" t="s">
        <v>37</v>
      </c>
      <c r="WA436" s="13" t="s">
        <v>37</v>
      </c>
      <c r="WB436" s="13" t="s">
        <v>37</v>
      </c>
      <c r="WC436" s="13" t="s">
        <v>37</v>
      </c>
      <c r="WD436" s="13" t="s">
        <v>37</v>
      </c>
      <c r="WE436" s="13" t="s">
        <v>37</v>
      </c>
      <c r="WF436" s="13" t="s">
        <v>37</v>
      </c>
    </row>
    <row r="437" spans="1:604" x14ac:dyDescent="0.3">
      <c r="A437" s="11">
        <v>101</v>
      </c>
      <c r="B437" s="16" t="s">
        <v>959</v>
      </c>
      <c r="C437" s="12" t="s">
        <v>26</v>
      </c>
      <c r="D437" s="12" t="s">
        <v>974</v>
      </c>
      <c r="E437" s="14" t="s">
        <v>37</v>
      </c>
      <c r="F437" s="72">
        <v>40</v>
      </c>
      <c r="G437" s="14">
        <v>0</v>
      </c>
      <c r="H437" s="12" t="s">
        <v>79</v>
      </c>
      <c r="I437" s="29">
        <v>47.582999999999998</v>
      </c>
      <c r="J437" s="29">
        <v>133.517</v>
      </c>
      <c r="K437" s="12" t="s">
        <v>797</v>
      </c>
      <c r="L437" s="12" t="s">
        <v>798</v>
      </c>
      <c r="M437" s="13">
        <v>56</v>
      </c>
      <c r="N437" s="14">
        <v>2.2999999999999998</v>
      </c>
      <c r="O437" s="14">
        <v>431.6</v>
      </c>
      <c r="P437" s="14" t="s">
        <v>16</v>
      </c>
      <c r="Q437" s="75">
        <v>60</v>
      </c>
      <c r="R437" s="11" t="s">
        <v>37</v>
      </c>
      <c r="S437" s="12" t="s">
        <v>51</v>
      </c>
      <c r="T437" s="12" t="s">
        <v>138</v>
      </c>
      <c r="U437" s="12" t="s">
        <v>158</v>
      </c>
      <c r="V437" s="12" t="s">
        <v>275</v>
      </c>
      <c r="W437" s="83" t="s">
        <v>960</v>
      </c>
      <c r="X437" s="84" t="s">
        <v>961</v>
      </c>
      <c r="Y437" s="12" t="s">
        <v>37</v>
      </c>
      <c r="Z437" s="12" t="s">
        <v>315</v>
      </c>
      <c r="AA437" s="32" t="s">
        <v>345</v>
      </c>
      <c r="AB437" s="12">
        <v>5.68</v>
      </c>
      <c r="AC437" s="12" t="s">
        <v>42</v>
      </c>
      <c r="AD437" s="32" t="s">
        <v>345</v>
      </c>
      <c r="AE437" s="12">
        <v>128.1</v>
      </c>
      <c r="AF437" s="12" t="s">
        <v>42</v>
      </c>
      <c r="AG437" s="32" t="s">
        <v>345</v>
      </c>
      <c r="AH437" s="32" t="s">
        <v>968</v>
      </c>
      <c r="AJ437" s="12" t="str">
        <f t="shared" si="1659"/>
        <v>0-10</v>
      </c>
      <c r="AK437" s="19">
        <f t="shared" si="1660"/>
        <v>13.671291355389542</v>
      </c>
      <c r="AL437" s="32" t="s">
        <v>962</v>
      </c>
      <c r="AM437" s="12" t="s">
        <v>344</v>
      </c>
      <c r="AO437" s="13" t="s">
        <v>37</v>
      </c>
      <c r="AP437" s="12" t="s">
        <v>167</v>
      </c>
      <c r="AQ437" s="12" t="s">
        <v>73</v>
      </c>
      <c r="AR437" s="12" t="s">
        <v>42</v>
      </c>
      <c r="AS437" s="32" t="s">
        <v>345</v>
      </c>
      <c r="AT437" s="12">
        <v>128.1</v>
      </c>
      <c r="AU437" s="12">
        <v>24.2</v>
      </c>
      <c r="AV437" s="13">
        <v>3</v>
      </c>
      <c r="AW437" s="19">
        <f t="shared" ref="AW437:AW443" si="1666">AU437/AT437</f>
        <v>0.18891491022638565</v>
      </c>
      <c r="AX437" s="12">
        <v>26.55</v>
      </c>
      <c r="AY437" s="12">
        <v>5.99</v>
      </c>
      <c r="AZ437" s="13">
        <v>3</v>
      </c>
      <c r="BA437" s="19">
        <f t="shared" ref="BA437:BA443" si="1667">AY437/AX437</f>
        <v>0.22561205273069679</v>
      </c>
      <c r="BB437" s="52">
        <f t="shared" ref="BB437:BB446" si="1668">LN(AX437/AT437)</f>
        <v>-1.5737814612147407</v>
      </c>
      <c r="BC437" s="19">
        <f t="shared" ref="BC437:BC446" si="1669">AY437^2/(AZ437*AX437^2)+AU437^2/(AV437*AT437^2)</f>
        <v>2.8863213881067357E-2</v>
      </c>
      <c r="BE437" s="12" t="s">
        <v>37</v>
      </c>
      <c r="BF437" s="12" t="s">
        <v>37</v>
      </c>
      <c r="BG437" s="13" t="s">
        <v>37</v>
      </c>
      <c r="BH437" s="13"/>
      <c r="BI437" s="12" t="s">
        <v>37</v>
      </c>
      <c r="BJ437" s="12" t="s">
        <v>37</v>
      </c>
      <c r="BK437" s="13" t="s">
        <v>37</v>
      </c>
      <c r="BL437" s="13"/>
      <c r="BM437" s="13"/>
      <c r="BN437" s="13"/>
      <c r="BP437" s="12" t="s">
        <v>37</v>
      </c>
      <c r="BQ437" s="12" t="s">
        <v>37</v>
      </c>
      <c r="BR437" s="13" t="s">
        <v>37</v>
      </c>
      <c r="BS437" s="13"/>
      <c r="BT437" s="12" t="s">
        <v>37</v>
      </c>
      <c r="BU437" s="12" t="s">
        <v>37</v>
      </c>
      <c r="BV437" s="12" t="s">
        <v>37</v>
      </c>
      <c r="BW437" s="12"/>
      <c r="BX437" s="12"/>
      <c r="BY437" s="12"/>
      <c r="CA437" s="12" t="s">
        <v>37</v>
      </c>
      <c r="CB437" s="12" t="s">
        <v>37</v>
      </c>
      <c r="CC437" s="13" t="s">
        <v>37</v>
      </c>
      <c r="CD437" s="13"/>
      <c r="CE437" s="12" t="s">
        <v>37</v>
      </c>
      <c r="CF437" s="12" t="s">
        <v>37</v>
      </c>
      <c r="CG437" s="13" t="s">
        <v>37</v>
      </c>
      <c r="CH437" s="13"/>
      <c r="CI437" s="13"/>
      <c r="CJ437" s="13"/>
      <c r="CN437" s="12" t="s">
        <v>37</v>
      </c>
      <c r="CO437" s="12" t="s">
        <v>37</v>
      </c>
      <c r="CP437" s="13" t="s">
        <v>37</v>
      </c>
      <c r="CQ437" s="13"/>
      <c r="CR437" s="12" t="s">
        <v>37</v>
      </c>
      <c r="CS437" s="12" t="s">
        <v>37</v>
      </c>
      <c r="CT437" s="13" t="s">
        <v>37</v>
      </c>
      <c r="CU437" s="13"/>
      <c r="CV437" s="13"/>
      <c r="CW437" s="13"/>
      <c r="CX437" s="72"/>
      <c r="CY437" s="72"/>
      <c r="DA437" s="12" t="s">
        <v>37</v>
      </c>
      <c r="DB437" s="12" t="s">
        <v>37</v>
      </c>
      <c r="DC437" s="13" t="s">
        <v>37</v>
      </c>
      <c r="DD437" s="13"/>
      <c r="DE437" s="12" t="s">
        <v>37</v>
      </c>
      <c r="DF437" s="12" t="s">
        <v>37</v>
      </c>
      <c r="DG437" s="13" t="s">
        <v>37</v>
      </c>
      <c r="DH437" s="13"/>
      <c r="DI437" s="13"/>
      <c r="DJ437" s="13"/>
      <c r="DM437" s="11" t="s">
        <v>47</v>
      </c>
      <c r="DN437" s="12">
        <v>199.12</v>
      </c>
      <c r="DO437" s="12">
        <v>39.04</v>
      </c>
      <c r="DP437" s="13">
        <v>3</v>
      </c>
      <c r="DQ437" s="19">
        <f t="shared" si="1661"/>
        <v>0.19606267577340297</v>
      </c>
      <c r="DR437" s="12">
        <v>-1.37</v>
      </c>
      <c r="DS437" s="12">
        <v>0.68</v>
      </c>
      <c r="DT437" s="13">
        <v>3</v>
      </c>
      <c r="DU437" s="19">
        <f t="shared" si="1662"/>
        <v>0.49635036496350365</v>
      </c>
      <c r="DV437" s="19">
        <f t="shared" si="1625"/>
        <v>-200.49</v>
      </c>
      <c r="DW437" s="12">
        <f t="shared" si="1626"/>
        <v>27.609635999049317</v>
      </c>
      <c r="DX437" s="72">
        <f t="shared" si="1611"/>
        <v>508.19466666666659</v>
      </c>
      <c r="DY437" s="72">
        <f t="shared" si="1612"/>
        <v>508.19466666666665</v>
      </c>
      <c r="DZ437" s="11" t="s">
        <v>47</v>
      </c>
      <c r="EA437" s="12">
        <v>4.07</v>
      </c>
      <c r="EB437" s="12">
        <v>1.72</v>
      </c>
      <c r="EC437" s="13">
        <v>3</v>
      </c>
      <c r="ED437" s="52">
        <f t="shared" si="1663"/>
        <v>0.42260442260442255</v>
      </c>
      <c r="EE437" s="12">
        <v>4.9000000000000004</v>
      </c>
      <c r="EF437" s="12">
        <v>1.52</v>
      </c>
      <c r="EG437" s="13">
        <v>3</v>
      </c>
      <c r="EH437" s="52">
        <f t="shared" si="1664"/>
        <v>0.31020408163265306</v>
      </c>
      <c r="EI437" s="19">
        <f t="shared" si="1645"/>
        <v>0.83000000000000007</v>
      </c>
      <c r="EJ437" s="12">
        <f t="shared" si="1646"/>
        <v>1.6230834852218785</v>
      </c>
      <c r="EK437" s="19">
        <f t="shared" si="1647"/>
        <v>1.7562666666666664</v>
      </c>
      <c r="EL437" s="19">
        <f t="shared" si="1648"/>
        <v>1.7562666666666664</v>
      </c>
      <c r="EN437" s="12" t="s">
        <v>37</v>
      </c>
      <c r="EO437" s="12" t="s">
        <v>37</v>
      </c>
      <c r="EP437" s="13" t="s">
        <v>37</v>
      </c>
      <c r="EQ437" s="13"/>
      <c r="ER437" s="12" t="s">
        <v>37</v>
      </c>
      <c r="ES437" s="12" t="s">
        <v>37</v>
      </c>
      <c r="ET437" s="13" t="s">
        <v>37</v>
      </c>
      <c r="EU437" s="13"/>
      <c r="EV437" s="13"/>
      <c r="EW437" s="13"/>
      <c r="EX437" s="13"/>
      <c r="EY437" s="13"/>
      <c r="FB437" s="12" t="s">
        <v>37</v>
      </c>
      <c r="FC437" s="12" t="s">
        <v>37</v>
      </c>
      <c r="FD437" s="12" t="s">
        <v>37</v>
      </c>
      <c r="FE437" s="12" t="s">
        <v>37</v>
      </c>
      <c r="FF437" s="12" t="s">
        <v>37</v>
      </c>
      <c r="FG437" s="12" t="s">
        <v>37</v>
      </c>
      <c r="FI437" s="12" t="s">
        <v>37</v>
      </c>
      <c r="FJ437" s="12" t="s">
        <v>37</v>
      </c>
      <c r="FK437" s="12" t="s">
        <v>37</v>
      </c>
      <c r="FL437" s="12" t="s">
        <v>37</v>
      </c>
      <c r="FM437" s="12" t="s">
        <v>37</v>
      </c>
      <c r="FN437" s="12" t="s">
        <v>37</v>
      </c>
      <c r="FO437" s="12"/>
      <c r="FP437" s="12" t="s">
        <v>37</v>
      </c>
      <c r="FQ437" s="12" t="s">
        <v>37</v>
      </c>
      <c r="FR437" s="12" t="s">
        <v>37</v>
      </c>
      <c r="FS437" s="12" t="s">
        <v>37</v>
      </c>
      <c r="FT437" s="12" t="s">
        <v>37</v>
      </c>
      <c r="FU437" s="12" t="s">
        <v>37</v>
      </c>
      <c r="FW437" s="12" t="s">
        <v>37</v>
      </c>
      <c r="FX437" s="12" t="s">
        <v>37</v>
      </c>
      <c r="FY437" s="12" t="s">
        <v>37</v>
      </c>
      <c r="FZ437" s="12" t="s">
        <v>37</v>
      </c>
      <c r="GA437" s="12" t="s">
        <v>37</v>
      </c>
      <c r="GB437" s="12" t="s">
        <v>37</v>
      </c>
      <c r="GE437" s="12" t="s">
        <v>37</v>
      </c>
      <c r="GF437" s="12" t="s">
        <v>37</v>
      </c>
      <c r="GG437" s="13" t="s">
        <v>37</v>
      </c>
      <c r="GH437" s="13"/>
      <c r="GI437" s="12" t="s">
        <v>37</v>
      </c>
      <c r="GJ437" s="12" t="s">
        <v>37</v>
      </c>
      <c r="GK437" s="13" t="s">
        <v>37</v>
      </c>
      <c r="GL437" s="13"/>
      <c r="GM437" s="13"/>
      <c r="GN437" s="13"/>
      <c r="GQ437" s="12" t="s">
        <v>37</v>
      </c>
      <c r="GR437" s="12" t="s">
        <v>37</v>
      </c>
      <c r="GS437" s="13" t="s">
        <v>37</v>
      </c>
      <c r="GT437" s="13"/>
      <c r="GU437" s="12" t="s">
        <v>37</v>
      </c>
      <c r="GV437" s="12" t="s">
        <v>37</v>
      </c>
      <c r="GW437" s="13" t="s">
        <v>37</v>
      </c>
      <c r="GX437" s="13"/>
      <c r="GY437" s="13"/>
      <c r="GZ437" s="13"/>
      <c r="HC437" s="12" t="s">
        <v>37</v>
      </c>
      <c r="HD437" s="12" t="s">
        <v>37</v>
      </c>
      <c r="HE437" s="13" t="s">
        <v>37</v>
      </c>
      <c r="HF437" s="13"/>
      <c r="HG437" s="12" t="s">
        <v>37</v>
      </c>
      <c r="HH437" s="12" t="s">
        <v>37</v>
      </c>
      <c r="HI437" s="13" t="s">
        <v>37</v>
      </c>
      <c r="HJ437" s="13"/>
      <c r="HK437" s="13"/>
      <c r="HL437" s="13"/>
      <c r="HN437" s="12" t="s">
        <v>37</v>
      </c>
      <c r="HO437" s="12" t="s">
        <v>37</v>
      </c>
      <c r="HP437" s="13" t="s">
        <v>37</v>
      </c>
      <c r="HQ437" s="13"/>
      <c r="HR437" s="12" t="s">
        <v>37</v>
      </c>
      <c r="HS437" s="12" t="s">
        <v>37</v>
      </c>
      <c r="HT437" s="13" t="s">
        <v>37</v>
      </c>
      <c r="HU437" s="13"/>
      <c r="HV437" s="13"/>
      <c r="HW437" s="13"/>
      <c r="HY437" s="12" t="s">
        <v>37</v>
      </c>
      <c r="HZ437" s="12" t="s">
        <v>37</v>
      </c>
      <c r="IA437" s="13" t="s">
        <v>37</v>
      </c>
      <c r="IB437" s="13"/>
      <c r="IC437" s="12" t="s">
        <v>37</v>
      </c>
      <c r="ID437" s="12" t="s">
        <v>37</v>
      </c>
      <c r="IE437" s="13" t="s">
        <v>37</v>
      </c>
      <c r="IF437" s="13"/>
      <c r="IG437" s="13"/>
      <c r="IH437" s="13"/>
      <c r="IK437" s="12" t="s">
        <v>37</v>
      </c>
      <c r="IL437" s="12" t="s">
        <v>37</v>
      </c>
      <c r="IM437" s="12" t="s">
        <v>37</v>
      </c>
      <c r="IN437" s="12"/>
      <c r="IO437" s="12" t="s">
        <v>37</v>
      </c>
      <c r="IP437" s="12" t="s">
        <v>37</v>
      </c>
      <c r="IQ437" s="12" t="s">
        <v>37</v>
      </c>
      <c r="IR437" s="12"/>
      <c r="IS437" s="12"/>
      <c r="IT437" s="12"/>
      <c r="IV437" s="32" t="s">
        <v>345</v>
      </c>
      <c r="IW437" s="12">
        <v>5.68</v>
      </c>
      <c r="IX437" s="50">
        <f>ABS(IW437)*IZ$474</f>
        <v>0.20796037812717141</v>
      </c>
      <c r="IY437" s="13">
        <v>3</v>
      </c>
      <c r="IZ437" s="13"/>
      <c r="JA437" s="12">
        <v>6.34</v>
      </c>
      <c r="JB437" s="50">
        <f>ABS(JA437)*JD$474</f>
        <v>0.17757584770135548</v>
      </c>
      <c r="JC437" s="13">
        <v>3</v>
      </c>
      <c r="JD437" s="13"/>
      <c r="JE437" s="19">
        <f t="shared" ref="JE437:JE446" si="1670">LN(JA437/IW437)</f>
        <v>0.10992753571607454</v>
      </c>
      <c r="JF437" s="19">
        <f t="shared" ref="JF437:JF446" si="1671">JB437^2/(JC437*JA437^2)+IX437^2/(IY437*IW437^2)</f>
        <v>7.083287641133075E-4</v>
      </c>
      <c r="JH437" s="12" t="s">
        <v>37</v>
      </c>
      <c r="JI437" s="12" t="s">
        <v>37</v>
      </c>
      <c r="JJ437" s="13" t="s">
        <v>37</v>
      </c>
      <c r="JK437" s="13"/>
      <c r="JL437" s="12" t="s">
        <v>37</v>
      </c>
      <c r="JM437" s="12" t="s">
        <v>37</v>
      </c>
      <c r="JN437" s="12" t="s">
        <v>37</v>
      </c>
      <c r="JO437" s="12"/>
      <c r="JP437" s="12"/>
      <c r="JQ437" s="12"/>
      <c r="JS437" s="12" t="s">
        <v>37</v>
      </c>
      <c r="JT437" s="12" t="s">
        <v>37</v>
      </c>
      <c r="JU437" s="13" t="s">
        <v>37</v>
      </c>
      <c r="JV437" s="13"/>
      <c r="JW437" s="12" t="s">
        <v>37</v>
      </c>
      <c r="JX437" s="12" t="s">
        <v>37</v>
      </c>
      <c r="JY437" s="12" t="s">
        <v>37</v>
      </c>
      <c r="JZ437" s="12"/>
      <c r="KA437" s="12"/>
      <c r="KB437" s="12"/>
      <c r="KE437" s="11" t="s">
        <v>37</v>
      </c>
      <c r="KF437" s="11" t="s">
        <v>37</v>
      </c>
      <c r="KG437" s="13" t="s">
        <v>37</v>
      </c>
      <c r="KH437" s="11" t="s">
        <v>37</v>
      </c>
      <c r="KI437" s="11" t="s">
        <v>37</v>
      </c>
      <c r="KJ437" s="11" t="s">
        <v>37</v>
      </c>
      <c r="KK437" s="12" t="s">
        <v>42</v>
      </c>
      <c r="KL437" s="32" t="s">
        <v>345</v>
      </c>
      <c r="KM437" s="32" t="s">
        <v>963</v>
      </c>
      <c r="KN437" s="12">
        <v>5.14</v>
      </c>
      <c r="KO437" s="11">
        <v>3</v>
      </c>
      <c r="KP437" s="19">
        <f t="shared" ref="KP437:KP443" si="1672">KN437/KM437</f>
        <v>0.5485592315901815</v>
      </c>
      <c r="KQ437" s="12">
        <v>2.4</v>
      </c>
      <c r="KR437" s="12">
        <v>0.56999999999999995</v>
      </c>
      <c r="KS437" s="11">
        <v>3</v>
      </c>
      <c r="KT437" s="19">
        <f t="shared" ref="KT437:KT442" si="1673">KR437/KQ437</f>
        <v>0.23749999999999999</v>
      </c>
      <c r="KU437" s="19">
        <f t="shared" ref="KU437:KU446" si="1674">LN(KQ437/KM437)</f>
        <v>-1.3620443588964308</v>
      </c>
      <c r="KV437" s="19">
        <f t="shared" ref="KV437:KV446" si="1675">KR437^2/(KS437*KQ437^2)+KN437^2/(KO437*KM437^2)</f>
        <v>0.11910782685427011</v>
      </c>
      <c r="KX437" s="12" t="s">
        <v>37</v>
      </c>
      <c r="KY437" s="12" t="s">
        <v>37</v>
      </c>
      <c r="KZ437" s="13" t="s">
        <v>37</v>
      </c>
      <c r="LA437" s="13"/>
      <c r="LB437" s="12" t="s">
        <v>37</v>
      </c>
      <c r="LC437" s="12" t="s">
        <v>37</v>
      </c>
      <c r="LD437" s="13" t="s">
        <v>37</v>
      </c>
      <c r="LE437" s="13"/>
      <c r="LF437" s="13"/>
      <c r="LG437" s="13"/>
      <c r="LI437" s="12" t="s">
        <v>37</v>
      </c>
      <c r="LJ437" s="12" t="s">
        <v>37</v>
      </c>
      <c r="LK437" s="12" t="s">
        <v>37</v>
      </c>
      <c r="LL437" s="12"/>
      <c r="LM437" s="12" t="s">
        <v>37</v>
      </c>
      <c r="LN437" s="12" t="s">
        <v>37</v>
      </c>
      <c r="LO437" s="12" t="s">
        <v>37</v>
      </c>
      <c r="LP437" s="12"/>
      <c r="LQ437" s="12"/>
      <c r="LR437" s="12"/>
      <c r="LT437" s="12" t="s">
        <v>501</v>
      </c>
      <c r="LU437" s="12">
        <v>13.671291355389542</v>
      </c>
      <c r="LV437" s="12">
        <v>7.9317773176537978</v>
      </c>
      <c r="LW437" s="13">
        <v>3</v>
      </c>
      <c r="LX437" s="19">
        <f t="shared" ref="LX437:LX443" si="1676">LV437/LU437</f>
        <v>0.58017762268865014</v>
      </c>
      <c r="LY437" s="12">
        <v>11.0625</v>
      </c>
      <c r="LZ437" s="12">
        <v>3.6238265974576986</v>
      </c>
      <c r="MA437" s="13">
        <v>3</v>
      </c>
      <c r="MB437" s="19">
        <f t="shared" ref="MB437:MB443" si="1677">LZ437/LY437</f>
        <v>0.32757754553289931</v>
      </c>
      <c r="MC437" s="19">
        <f t="shared" ref="MC437:MC446" si="1678">LN(LY437/LU437)</f>
        <v>-0.21173710231830986</v>
      </c>
      <c r="MD437" s="19">
        <f t="shared" ref="MD437:MD446" si="1679">LZ437^2/(MA437*LY437^2)+LV437^2/(LW437*LU437^2)</f>
        <v>0.14797104073533746</v>
      </c>
      <c r="MF437" s="12" t="s">
        <v>37</v>
      </c>
      <c r="MG437" s="12" t="s">
        <v>37</v>
      </c>
      <c r="MH437" s="12" t="s">
        <v>37</v>
      </c>
      <c r="MI437" s="12"/>
      <c r="MJ437" s="12" t="s">
        <v>37</v>
      </c>
      <c r="MK437" s="12" t="s">
        <v>37</v>
      </c>
      <c r="ML437" s="12" t="s">
        <v>37</v>
      </c>
      <c r="MM437" s="12"/>
      <c r="MN437" s="12"/>
      <c r="MO437" s="12"/>
      <c r="MQ437" s="12" t="s">
        <v>37</v>
      </c>
      <c r="MR437" s="12" t="s">
        <v>37</v>
      </c>
      <c r="MS437" s="12" t="s">
        <v>37</v>
      </c>
      <c r="MT437" s="12"/>
      <c r="MU437" s="12" t="s">
        <v>37</v>
      </c>
      <c r="MV437" s="12" t="s">
        <v>37</v>
      </c>
      <c r="MW437" s="12" t="s">
        <v>37</v>
      </c>
      <c r="MX437" s="12"/>
      <c r="MY437" s="12"/>
      <c r="MZ437" s="12"/>
      <c r="NC437" s="12" t="s">
        <v>37</v>
      </c>
      <c r="ND437" s="12" t="s">
        <v>37</v>
      </c>
      <c r="NE437" s="12" t="s">
        <v>37</v>
      </c>
      <c r="NF437" s="12"/>
      <c r="NG437" s="12" t="s">
        <v>37</v>
      </c>
      <c r="NH437" s="12" t="s">
        <v>37</v>
      </c>
      <c r="NI437" s="12" t="s">
        <v>37</v>
      </c>
      <c r="NJ437" s="12"/>
      <c r="NK437" s="12"/>
      <c r="NL437" s="12"/>
      <c r="NO437" s="12" t="s">
        <v>37</v>
      </c>
      <c r="NP437" s="12" t="s">
        <v>37</v>
      </c>
      <c r="NQ437" s="12" t="s">
        <v>37</v>
      </c>
      <c r="NR437" s="12"/>
      <c r="NS437" s="12" t="s">
        <v>37</v>
      </c>
      <c r="NT437" s="12" t="s">
        <v>37</v>
      </c>
      <c r="NU437" s="12" t="s">
        <v>37</v>
      </c>
      <c r="NV437" s="12"/>
      <c r="NW437" s="12"/>
      <c r="NX437" s="12"/>
      <c r="OA437" s="12" t="s">
        <v>37</v>
      </c>
      <c r="OB437" s="12" t="s">
        <v>37</v>
      </c>
      <c r="OC437" s="12" t="s">
        <v>37</v>
      </c>
      <c r="OD437" s="12"/>
      <c r="OE437" s="12" t="s">
        <v>37</v>
      </c>
      <c r="OF437" s="12" t="s">
        <v>37</v>
      </c>
      <c r="OG437" s="12" t="s">
        <v>37</v>
      </c>
      <c r="OH437" s="12"/>
      <c r="OI437" s="12"/>
      <c r="OJ437" s="12"/>
      <c r="OM437" s="12" t="s">
        <v>37</v>
      </c>
      <c r="ON437" s="12" t="s">
        <v>37</v>
      </c>
      <c r="OO437" s="12" t="s">
        <v>37</v>
      </c>
      <c r="OP437" s="12" t="s">
        <v>37</v>
      </c>
      <c r="OQ437" s="12" t="s">
        <v>37</v>
      </c>
      <c r="OR437" s="12" t="s">
        <v>37</v>
      </c>
      <c r="OS437" s="12"/>
      <c r="OT437" s="12"/>
      <c r="OU437" s="12" t="s">
        <v>45</v>
      </c>
      <c r="OV437" s="12" t="s">
        <v>345</v>
      </c>
      <c r="OW437" s="12">
        <v>3</v>
      </c>
      <c r="OX437" s="12">
        <v>0.27</v>
      </c>
      <c r="OY437" s="13">
        <v>3</v>
      </c>
      <c r="OZ437" s="12">
        <v>0.68</v>
      </c>
      <c r="PA437" s="12">
        <v>0.37</v>
      </c>
      <c r="PB437" s="13">
        <v>3</v>
      </c>
      <c r="PC437" s="19">
        <f t="shared" ref="PC437:PC438" si="1680">LN(OZ437/OW437)</f>
        <v>-1.4842747694800942</v>
      </c>
      <c r="PD437" s="19">
        <f t="shared" ref="PD437:PD438" si="1681">PA437^2/(PB437*OZ437^2)+OX437^2/(OY437*OW437^2)</f>
        <v>0.10138800461361012</v>
      </c>
      <c r="PG437" s="12" t="s">
        <v>37</v>
      </c>
      <c r="PH437" s="12" t="s">
        <v>37</v>
      </c>
      <c r="PI437" s="12" t="s">
        <v>37</v>
      </c>
      <c r="PJ437" s="12" t="s">
        <v>37</v>
      </c>
      <c r="PK437" s="12" t="s">
        <v>37</v>
      </c>
      <c r="PL437" s="12" t="s">
        <v>37</v>
      </c>
      <c r="PM437" s="12"/>
      <c r="PN437" s="12"/>
      <c r="PQ437" s="12" t="s">
        <v>37</v>
      </c>
      <c r="PR437" s="12" t="s">
        <v>37</v>
      </c>
      <c r="PS437" s="12" t="s">
        <v>37</v>
      </c>
      <c r="PT437" s="12" t="s">
        <v>37</v>
      </c>
      <c r="PU437" s="12" t="s">
        <v>37</v>
      </c>
      <c r="PV437" s="12" t="s">
        <v>37</v>
      </c>
      <c r="PW437" s="12"/>
      <c r="PX437" s="12"/>
      <c r="PZ437" s="12" t="s">
        <v>37</v>
      </c>
      <c r="QA437" s="12" t="s">
        <v>37</v>
      </c>
      <c r="QB437" s="11" t="s">
        <v>37</v>
      </c>
      <c r="QC437" s="11"/>
      <c r="QD437" s="12" t="s">
        <v>37</v>
      </c>
      <c r="QE437" s="12" t="s">
        <v>37</v>
      </c>
      <c r="QF437" s="12" t="s">
        <v>37</v>
      </c>
      <c r="QG437" s="12"/>
      <c r="QH437" s="12"/>
      <c r="QI437" s="12"/>
      <c r="QK437" s="12" t="s">
        <v>37</v>
      </c>
      <c r="QL437" s="12" t="s">
        <v>37</v>
      </c>
      <c r="QM437" s="12" t="s">
        <v>37</v>
      </c>
      <c r="QN437" s="12" t="s">
        <v>37</v>
      </c>
      <c r="QO437" s="12" t="s">
        <v>37</v>
      </c>
      <c r="QP437" s="12" t="s">
        <v>37</v>
      </c>
      <c r="QQ437" s="12"/>
      <c r="QR437" s="12"/>
      <c r="QU437" s="12" t="s">
        <v>37</v>
      </c>
      <c r="QV437" s="12" t="s">
        <v>37</v>
      </c>
      <c r="QW437" s="12" t="s">
        <v>37</v>
      </c>
      <c r="QX437" s="12" t="s">
        <v>37</v>
      </c>
      <c r="QY437" s="12" t="s">
        <v>37</v>
      </c>
      <c r="QZ437" s="12" t="s">
        <v>37</v>
      </c>
      <c r="RC437" s="12" t="s">
        <v>37</v>
      </c>
      <c r="RD437" s="12" t="s">
        <v>37</v>
      </c>
      <c r="RE437" s="13" t="s">
        <v>37</v>
      </c>
      <c r="RF437" s="12" t="s">
        <v>37</v>
      </c>
      <c r="RG437" s="12" t="s">
        <v>37</v>
      </c>
      <c r="RH437" s="13" t="s">
        <v>37</v>
      </c>
      <c r="RK437" s="12" t="s">
        <v>37</v>
      </c>
      <c r="RL437" s="12" t="s">
        <v>37</v>
      </c>
      <c r="RM437" s="11" t="s">
        <v>37</v>
      </c>
      <c r="RN437" s="12" t="s">
        <v>37</v>
      </c>
      <c r="RO437" s="12" t="s">
        <v>37</v>
      </c>
      <c r="RP437" s="11" t="s">
        <v>37</v>
      </c>
      <c r="RS437" s="12" t="s">
        <v>37</v>
      </c>
      <c r="RT437" s="12" t="s">
        <v>37</v>
      </c>
      <c r="RU437" s="12" t="s">
        <v>37</v>
      </c>
      <c r="RV437" s="12" t="s">
        <v>37</v>
      </c>
      <c r="RW437" s="12" t="s">
        <v>37</v>
      </c>
      <c r="RX437" s="12" t="s">
        <v>37</v>
      </c>
      <c r="SA437" s="12" t="s">
        <v>37</v>
      </c>
      <c r="SB437" s="12" t="s">
        <v>37</v>
      </c>
      <c r="SC437" s="12" t="s">
        <v>37</v>
      </c>
      <c r="SD437" s="12" t="s">
        <v>37</v>
      </c>
      <c r="SE437" s="12" t="s">
        <v>37</v>
      </c>
      <c r="SF437" s="12" t="s">
        <v>37</v>
      </c>
      <c r="SI437" s="12" t="s">
        <v>37</v>
      </c>
      <c r="SJ437" s="12" t="s">
        <v>37</v>
      </c>
      <c r="SK437" s="13" t="s">
        <v>37</v>
      </c>
      <c r="SL437" s="12"/>
      <c r="SM437" s="12" t="s">
        <v>37</v>
      </c>
      <c r="SN437" s="12" t="s">
        <v>37</v>
      </c>
      <c r="SO437" s="13" t="s">
        <v>37</v>
      </c>
      <c r="SP437" s="12"/>
      <c r="SQ437" s="12"/>
      <c r="SR437" s="12"/>
      <c r="SU437" s="12" t="s">
        <v>37</v>
      </c>
      <c r="SV437" s="12" t="s">
        <v>37</v>
      </c>
      <c r="SW437" s="11" t="s">
        <v>37</v>
      </c>
      <c r="SX437" s="12" t="s">
        <v>37</v>
      </c>
      <c r="SY437" s="12" t="s">
        <v>37</v>
      </c>
      <c r="SZ437" s="11" t="s">
        <v>37</v>
      </c>
      <c r="TE437" s="12" t="s">
        <v>37</v>
      </c>
      <c r="TF437" s="12" t="s">
        <v>37</v>
      </c>
      <c r="TG437" s="11" t="s">
        <v>37</v>
      </c>
      <c r="TH437" s="12" t="s">
        <v>37</v>
      </c>
      <c r="TI437" s="12" t="s">
        <v>37</v>
      </c>
      <c r="TJ437" s="11" t="s">
        <v>37</v>
      </c>
      <c r="TO437" s="12" t="s">
        <v>37</v>
      </c>
      <c r="TP437" s="12" t="s">
        <v>37</v>
      </c>
      <c r="TQ437" s="11" t="s">
        <v>37</v>
      </c>
      <c r="TR437" s="12" t="s">
        <v>37</v>
      </c>
      <c r="TS437" s="12" t="s">
        <v>37</v>
      </c>
      <c r="TT437" s="11" t="s">
        <v>37</v>
      </c>
      <c r="TY437" s="12" t="s">
        <v>37</v>
      </c>
      <c r="TZ437" s="12" t="s">
        <v>37</v>
      </c>
      <c r="UA437" s="12" t="s">
        <v>37</v>
      </c>
      <c r="UB437" s="12" t="s">
        <v>37</v>
      </c>
      <c r="UC437" s="12" t="s">
        <v>37</v>
      </c>
      <c r="UD437" s="12" t="s">
        <v>37</v>
      </c>
      <c r="UE437" s="12"/>
      <c r="UF437" s="12"/>
      <c r="UI437" s="12" t="s">
        <v>37</v>
      </c>
      <c r="UJ437" s="12" t="s">
        <v>37</v>
      </c>
      <c r="UK437" s="12" t="s">
        <v>37</v>
      </c>
      <c r="UL437" s="12" t="s">
        <v>37</v>
      </c>
      <c r="UM437" s="12" t="s">
        <v>37</v>
      </c>
      <c r="UN437" s="12" t="s">
        <v>37</v>
      </c>
      <c r="UO437" s="12"/>
      <c r="UP437" s="12"/>
      <c r="UR437" s="12" t="s">
        <v>37</v>
      </c>
      <c r="US437" s="12" t="s">
        <v>37</v>
      </c>
      <c r="UT437" s="12" t="s">
        <v>37</v>
      </c>
      <c r="UU437" s="12" t="s">
        <v>37</v>
      </c>
      <c r="UV437" s="12" t="s">
        <v>37</v>
      </c>
      <c r="UW437" s="12" t="s">
        <v>37</v>
      </c>
      <c r="UX437" s="12"/>
      <c r="UY437" s="12"/>
      <c r="VB437" s="12" t="s">
        <v>37</v>
      </c>
      <c r="VC437" s="12" t="s">
        <v>37</v>
      </c>
      <c r="VD437" s="12" t="s">
        <v>37</v>
      </c>
      <c r="VE437" s="12" t="s">
        <v>37</v>
      </c>
      <c r="VF437" s="12" t="s">
        <v>37</v>
      </c>
      <c r="VG437" s="12" t="s">
        <v>37</v>
      </c>
      <c r="VI437" s="12" t="s">
        <v>37</v>
      </c>
      <c r="VJ437" s="12" t="s">
        <v>37</v>
      </c>
      <c r="VK437" s="12" t="s">
        <v>37</v>
      </c>
      <c r="VL437" s="12" t="s">
        <v>37</v>
      </c>
      <c r="VM437" s="12" t="s">
        <v>37</v>
      </c>
      <c r="VN437" s="12" t="s">
        <v>37</v>
      </c>
      <c r="VQ437" s="13" t="s">
        <v>37</v>
      </c>
      <c r="VR437" s="13" t="s">
        <v>37</v>
      </c>
      <c r="VS437" s="13" t="s">
        <v>37</v>
      </c>
      <c r="VT437" s="13" t="s">
        <v>37</v>
      </c>
      <c r="VU437" s="13" t="s">
        <v>37</v>
      </c>
      <c r="VV437" s="13" t="s">
        <v>37</v>
      </c>
      <c r="WA437" s="13" t="s">
        <v>37</v>
      </c>
      <c r="WB437" s="13" t="s">
        <v>37</v>
      </c>
      <c r="WC437" s="13" t="s">
        <v>37</v>
      </c>
      <c r="WD437" s="13" t="s">
        <v>37</v>
      </c>
      <c r="WE437" s="13" t="s">
        <v>37</v>
      </c>
      <c r="WF437" s="13" t="s">
        <v>37</v>
      </c>
    </row>
    <row r="438" spans="1:604" x14ac:dyDescent="0.3">
      <c r="A438" s="11">
        <v>101</v>
      </c>
      <c r="B438" s="16" t="s">
        <v>959</v>
      </c>
      <c r="C438" s="12" t="s">
        <v>26</v>
      </c>
      <c r="D438" s="12" t="s">
        <v>974</v>
      </c>
      <c r="E438" s="14" t="s">
        <v>37</v>
      </c>
      <c r="F438" s="72">
        <v>72</v>
      </c>
      <c r="G438" s="14">
        <v>0</v>
      </c>
      <c r="H438" s="12" t="s">
        <v>79</v>
      </c>
      <c r="I438" s="29">
        <v>47.582999999999998</v>
      </c>
      <c r="J438" s="29">
        <v>133.517</v>
      </c>
      <c r="K438" s="12" t="s">
        <v>797</v>
      </c>
      <c r="L438" s="12" t="s">
        <v>798</v>
      </c>
      <c r="M438" s="13">
        <v>56</v>
      </c>
      <c r="N438" s="14">
        <v>2.2999999999999998</v>
      </c>
      <c r="O438" s="14">
        <v>431.6</v>
      </c>
      <c r="P438" s="14" t="s">
        <v>16</v>
      </c>
      <c r="Q438" s="75">
        <v>60</v>
      </c>
      <c r="R438" s="11" t="s">
        <v>37</v>
      </c>
      <c r="S438" s="12" t="s">
        <v>51</v>
      </c>
      <c r="T438" s="12" t="s">
        <v>138</v>
      </c>
      <c r="U438" s="12" t="s">
        <v>158</v>
      </c>
      <c r="V438" s="12" t="s">
        <v>275</v>
      </c>
      <c r="W438" s="83" t="s">
        <v>960</v>
      </c>
      <c r="X438" s="84" t="s">
        <v>961</v>
      </c>
      <c r="Y438" s="12" t="s">
        <v>37</v>
      </c>
      <c r="Z438" s="12" t="s">
        <v>315</v>
      </c>
      <c r="AA438" s="32" t="s">
        <v>345</v>
      </c>
      <c r="AB438" s="12">
        <v>5.68</v>
      </c>
      <c r="AC438" s="12" t="s">
        <v>42</v>
      </c>
      <c r="AD438" s="32" t="s">
        <v>345</v>
      </c>
      <c r="AE438" s="12">
        <v>128.1</v>
      </c>
      <c r="AF438" s="12" t="s">
        <v>42</v>
      </c>
      <c r="AG438" s="32" t="s">
        <v>345</v>
      </c>
      <c r="AH438" s="32" t="s">
        <v>963</v>
      </c>
      <c r="AJ438" s="12" t="str">
        <f t="shared" si="1659"/>
        <v>0-10</v>
      </c>
      <c r="AK438" s="19">
        <f t="shared" si="1660"/>
        <v>13.671291355389542</v>
      </c>
      <c r="AL438" s="32" t="s">
        <v>962</v>
      </c>
      <c r="AM438" s="12" t="s">
        <v>344</v>
      </c>
      <c r="AO438" s="13" t="s">
        <v>37</v>
      </c>
      <c r="AP438" s="12" t="s">
        <v>167</v>
      </c>
      <c r="AQ438" s="12" t="s">
        <v>73</v>
      </c>
      <c r="AR438" s="12" t="s">
        <v>42</v>
      </c>
      <c r="AS438" s="32" t="s">
        <v>345</v>
      </c>
      <c r="AT438" s="12">
        <v>128.1</v>
      </c>
      <c r="AU438" s="12">
        <v>24.2</v>
      </c>
      <c r="AV438" s="13">
        <v>3</v>
      </c>
      <c r="AW438" s="19">
        <f t="shared" si="1666"/>
        <v>0.18891491022638565</v>
      </c>
      <c r="AX438" s="12">
        <v>34.99</v>
      </c>
      <c r="AY438" s="12">
        <v>11.13</v>
      </c>
      <c r="AZ438" s="13">
        <v>3</v>
      </c>
      <c r="BA438" s="19">
        <f t="shared" si="1667"/>
        <v>0.31809088310945988</v>
      </c>
      <c r="BB438" s="52">
        <f t="shared" si="1668"/>
        <v>-1.2977489025230917</v>
      </c>
      <c r="BC438" s="19">
        <f t="shared" si="1669"/>
        <v>4.5623551074399804E-2</v>
      </c>
      <c r="BE438" s="12" t="s">
        <v>37</v>
      </c>
      <c r="BF438" s="12" t="s">
        <v>37</v>
      </c>
      <c r="BG438" s="13" t="s">
        <v>37</v>
      </c>
      <c r="BH438" s="13"/>
      <c r="BI438" s="12" t="s">
        <v>37</v>
      </c>
      <c r="BJ438" s="12" t="s">
        <v>37</v>
      </c>
      <c r="BK438" s="13" t="s">
        <v>37</v>
      </c>
      <c r="BL438" s="13"/>
      <c r="BM438" s="13"/>
      <c r="BN438" s="13"/>
      <c r="BP438" s="12" t="s">
        <v>37</v>
      </c>
      <c r="BQ438" s="12" t="s">
        <v>37</v>
      </c>
      <c r="BR438" s="13" t="s">
        <v>37</v>
      </c>
      <c r="BS438" s="13"/>
      <c r="BT438" s="12" t="s">
        <v>37</v>
      </c>
      <c r="BU438" s="12" t="s">
        <v>37</v>
      </c>
      <c r="BV438" s="12" t="s">
        <v>37</v>
      </c>
      <c r="BW438" s="12"/>
      <c r="BX438" s="12"/>
      <c r="BY438" s="12"/>
      <c r="CA438" s="12" t="s">
        <v>37</v>
      </c>
      <c r="CB438" s="12" t="s">
        <v>37</v>
      </c>
      <c r="CC438" s="13" t="s">
        <v>37</v>
      </c>
      <c r="CD438" s="13"/>
      <c r="CE438" s="12" t="s">
        <v>37</v>
      </c>
      <c r="CF438" s="12" t="s">
        <v>37</v>
      </c>
      <c r="CG438" s="13" t="s">
        <v>37</v>
      </c>
      <c r="CH438" s="13"/>
      <c r="CI438" s="13"/>
      <c r="CJ438" s="13"/>
      <c r="CN438" s="12" t="s">
        <v>37</v>
      </c>
      <c r="CO438" s="12" t="s">
        <v>37</v>
      </c>
      <c r="CP438" s="13" t="s">
        <v>37</v>
      </c>
      <c r="CQ438" s="13"/>
      <c r="CR438" s="12" t="s">
        <v>37</v>
      </c>
      <c r="CS438" s="12" t="s">
        <v>37</v>
      </c>
      <c r="CT438" s="13" t="s">
        <v>37</v>
      </c>
      <c r="CU438" s="13"/>
      <c r="CV438" s="13"/>
      <c r="CW438" s="13"/>
      <c r="CX438" s="72"/>
      <c r="CY438" s="72"/>
      <c r="DA438" s="12" t="s">
        <v>37</v>
      </c>
      <c r="DB438" s="12" t="s">
        <v>37</v>
      </c>
      <c r="DC438" s="13" t="s">
        <v>37</v>
      </c>
      <c r="DD438" s="13"/>
      <c r="DE438" s="12" t="s">
        <v>37</v>
      </c>
      <c r="DF438" s="12" t="s">
        <v>37</v>
      </c>
      <c r="DG438" s="13" t="s">
        <v>37</v>
      </c>
      <c r="DH438" s="13"/>
      <c r="DI438" s="13"/>
      <c r="DJ438" s="13"/>
      <c r="DM438" s="11" t="s">
        <v>47</v>
      </c>
      <c r="DN438" s="12">
        <v>199.12</v>
      </c>
      <c r="DO438" s="12">
        <v>39.04</v>
      </c>
      <c r="DP438" s="13">
        <v>3</v>
      </c>
      <c r="DQ438" s="19">
        <f t="shared" si="1661"/>
        <v>0.19606267577340297</v>
      </c>
      <c r="DR438" s="12">
        <v>94.82</v>
      </c>
      <c r="DS438" s="12">
        <v>9.86</v>
      </c>
      <c r="DT438" s="13">
        <v>3</v>
      </c>
      <c r="DU438" s="19">
        <f t="shared" si="1662"/>
        <v>0.10398650073824088</v>
      </c>
      <c r="DV438" s="19">
        <f t="shared" si="1625"/>
        <v>-104.30000000000001</v>
      </c>
      <c r="DW438" s="12">
        <f t="shared" si="1626"/>
        <v>28.472277745203314</v>
      </c>
      <c r="DX438" s="72">
        <f t="shared" si="1611"/>
        <v>540.44706666666661</v>
      </c>
      <c r="DY438" s="72">
        <f t="shared" si="1612"/>
        <v>540.44706666666661</v>
      </c>
      <c r="DZ438" s="11" t="s">
        <v>47</v>
      </c>
      <c r="EA438" s="12">
        <v>4.07</v>
      </c>
      <c r="EB438" s="12">
        <v>1.72</v>
      </c>
      <c r="EC438" s="13">
        <v>3</v>
      </c>
      <c r="ED438" s="52">
        <f t="shared" si="1663"/>
        <v>0.42260442260442255</v>
      </c>
      <c r="EE438" s="12">
        <v>2.09</v>
      </c>
      <c r="EF438" s="12">
        <v>0.79</v>
      </c>
      <c r="EG438" s="13">
        <v>3</v>
      </c>
      <c r="EH438" s="52">
        <f t="shared" si="1664"/>
        <v>0.3779904306220096</v>
      </c>
      <c r="EI438" s="19">
        <f t="shared" si="1645"/>
        <v>-1.9800000000000004</v>
      </c>
      <c r="EJ438" s="12">
        <f t="shared" si="1646"/>
        <v>1.3383758814324171</v>
      </c>
      <c r="EK438" s="19">
        <f t="shared" si="1647"/>
        <v>1.1941666666666664</v>
      </c>
      <c r="EL438" s="19">
        <f t="shared" si="1648"/>
        <v>1.1941666666666666</v>
      </c>
      <c r="EN438" s="12" t="s">
        <v>37</v>
      </c>
      <c r="EO438" s="12" t="s">
        <v>37</v>
      </c>
      <c r="EP438" s="13" t="s">
        <v>37</v>
      </c>
      <c r="EQ438" s="13"/>
      <c r="ER438" s="12" t="s">
        <v>37</v>
      </c>
      <c r="ES438" s="12" t="s">
        <v>37</v>
      </c>
      <c r="ET438" s="13" t="s">
        <v>37</v>
      </c>
      <c r="EU438" s="13"/>
      <c r="EV438" s="13"/>
      <c r="EW438" s="13"/>
      <c r="EX438" s="13"/>
      <c r="EY438" s="13"/>
      <c r="FB438" s="12" t="s">
        <v>37</v>
      </c>
      <c r="FC438" s="12" t="s">
        <v>37</v>
      </c>
      <c r="FD438" s="12" t="s">
        <v>37</v>
      </c>
      <c r="FE438" s="12" t="s">
        <v>37</v>
      </c>
      <c r="FF438" s="12" t="s">
        <v>37</v>
      </c>
      <c r="FG438" s="12" t="s">
        <v>37</v>
      </c>
      <c r="FI438" s="12" t="s">
        <v>37</v>
      </c>
      <c r="FJ438" s="12" t="s">
        <v>37</v>
      </c>
      <c r="FK438" s="12" t="s">
        <v>37</v>
      </c>
      <c r="FL438" s="12" t="s">
        <v>37</v>
      </c>
      <c r="FM438" s="12" t="s">
        <v>37</v>
      </c>
      <c r="FN438" s="12" t="s">
        <v>37</v>
      </c>
      <c r="FO438" s="12"/>
      <c r="FP438" s="12" t="s">
        <v>37</v>
      </c>
      <c r="FQ438" s="12" t="s">
        <v>37</v>
      </c>
      <c r="FR438" s="12" t="s">
        <v>37</v>
      </c>
      <c r="FS438" s="12" t="s">
        <v>37</v>
      </c>
      <c r="FT438" s="12" t="s">
        <v>37</v>
      </c>
      <c r="FU438" s="12" t="s">
        <v>37</v>
      </c>
      <c r="FW438" s="12" t="s">
        <v>37</v>
      </c>
      <c r="FX438" s="12" t="s">
        <v>37</v>
      </c>
      <c r="FY438" s="12" t="s">
        <v>37</v>
      </c>
      <c r="FZ438" s="12" t="s">
        <v>37</v>
      </c>
      <c r="GA438" s="12" t="s">
        <v>37</v>
      </c>
      <c r="GB438" s="12" t="s">
        <v>37</v>
      </c>
      <c r="GE438" s="12" t="s">
        <v>37</v>
      </c>
      <c r="GF438" s="12" t="s">
        <v>37</v>
      </c>
      <c r="GG438" s="13" t="s">
        <v>37</v>
      </c>
      <c r="GH438" s="13"/>
      <c r="GI438" s="12" t="s">
        <v>37</v>
      </c>
      <c r="GJ438" s="12" t="s">
        <v>37</v>
      </c>
      <c r="GK438" s="13" t="s">
        <v>37</v>
      </c>
      <c r="GL438" s="13"/>
      <c r="GM438" s="13"/>
      <c r="GN438" s="13"/>
      <c r="GQ438" s="12" t="s">
        <v>37</v>
      </c>
      <c r="GR438" s="12" t="s">
        <v>37</v>
      </c>
      <c r="GS438" s="13" t="s">
        <v>37</v>
      </c>
      <c r="GT438" s="13"/>
      <c r="GU438" s="12" t="s">
        <v>37</v>
      </c>
      <c r="GV438" s="12" t="s">
        <v>37</v>
      </c>
      <c r="GW438" s="13" t="s">
        <v>37</v>
      </c>
      <c r="GX438" s="13"/>
      <c r="GY438" s="13"/>
      <c r="GZ438" s="13"/>
      <c r="HC438" s="12" t="s">
        <v>37</v>
      </c>
      <c r="HD438" s="12" t="s">
        <v>37</v>
      </c>
      <c r="HE438" s="13" t="s">
        <v>37</v>
      </c>
      <c r="HF438" s="13"/>
      <c r="HG438" s="12" t="s">
        <v>37</v>
      </c>
      <c r="HH438" s="12" t="s">
        <v>37</v>
      </c>
      <c r="HI438" s="13" t="s">
        <v>37</v>
      </c>
      <c r="HJ438" s="13"/>
      <c r="HK438" s="13"/>
      <c r="HL438" s="13"/>
      <c r="HN438" s="12" t="s">
        <v>37</v>
      </c>
      <c r="HO438" s="12" t="s">
        <v>37</v>
      </c>
      <c r="HP438" s="13" t="s">
        <v>37</v>
      </c>
      <c r="HQ438" s="13"/>
      <c r="HR438" s="12" t="s">
        <v>37</v>
      </c>
      <c r="HS438" s="12" t="s">
        <v>37</v>
      </c>
      <c r="HT438" s="13" t="s">
        <v>37</v>
      </c>
      <c r="HU438" s="13"/>
      <c r="HV438" s="13"/>
      <c r="HW438" s="13"/>
      <c r="HY438" s="12" t="s">
        <v>37</v>
      </c>
      <c r="HZ438" s="12" t="s">
        <v>37</v>
      </c>
      <c r="IA438" s="13" t="s">
        <v>37</v>
      </c>
      <c r="IB438" s="13"/>
      <c r="IC438" s="12" t="s">
        <v>37</v>
      </c>
      <c r="ID438" s="12" t="s">
        <v>37</v>
      </c>
      <c r="IE438" s="13" t="s">
        <v>37</v>
      </c>
      <c r="IF438" s="13"/>
      <c r="IG438" s="13"/>
      <c r="IH438" s="13"/>
      <c r="IK438" s="12" t="s">
        <v>37</v>
      </c>
      <c r="IL438" s="12" t="s">
        <v>37</v>
      </c>
      <c r="IM438" s="12" t="s">
        <v>37</v>
      </c>
      <c r="IN438" s="12"/>
      <c r="IO438" s="12" t="s">
        <v>37</v>
      </c>
      <c r="IP438" s="12" t="s">
        <v>37</v>
      </c>
      <c r="IQ438" s="12" t="s">
        <v>37</v>
      </c>
      <c r="IR438" s="12"/>
      <c r="IS438" s="12"/>
      <c r="IT438" s="12"/>
      <c r="IV438" s="32" t="s">
        <v>345</v>
      </c>
      <c r="IW438" s="12">
        <v>5.68</v>
      </c>
      <c r="IX438" s="50">
        <f>ABS(IW438)*IZ$474</f>
        <v>0.20796037812717141</v>
      </c>
      <c r="IY438" s="13">
        <v>3</v>
      </c>
      <c r="IZ438" s="13"/>
      <c r="JA438" s="12">
        <v>5.85</v>
      </c>
      <c r="JB438" s="50">
        <f>ABS(JA438)*JD$474</f>
        <v>0.16385153139636113</v>
      </c>
      <c r="JC438" s="13">
        <v>3</v>
      </c>
      <c r="JD438" s="13"/>
      <c r="JE438" s="19">
        <f t="shared" si="1670"/>
        <v>2.9490428510705158E-2</v>
      </c>
      <c r="JF438" s="19">
        <f t="shared" si="1671"/>
        <v>7.0832876411330761E-4</v>
      </c>
      <c r="JH438" s="12" t="s">
        <v>37</v>
      </c>
      <c r="JI438" s="12" t="s">
        <v>37</v>
      </c>
      <c r="JJ438" s="13" t="s">
        <v>37</v>
      </c>
      <c r="JK438" s="13"/>
      <c r="JL438" s="12" t="s">
        <v>37</v>
      </c>
      <c r="JM438" s="12" t="s">
        <v>37</v>
      </c>
      <c r="JN438" s="12" t="s">
        <v>37</v>
      </c>
      <c r="JO438" s="12"/>
      <c r="JP438" s="12"/>
      <c r="JQ438" s="12"/>
      <c r="JS438" s="12" t="s">
        <v>37</v>
      </c>
      <c r="JT438" s="12" t="s">
        <v>37</v>
      </c>
      <c r="JU438" s="13" t="s">
        <v>37</v>
      </c>
      <c r="JV438" s="13"/>
      <c r="JW438" s="12" t="s">
        <v>37</v>
      </c>
      <c r="JX438" s="12" t="s">
        <v>37</v>
      </c>
      <c r="JY438" s="12" t="s">
        <v>37</v>
      </c>
      <c r="JZ438" s="12"/>
      <c r="KA438" s="12"/>
      <c r="KB438" s="12"/>
      <c r="KE438" s="11" t="s">
        <v>37</v>
      </c>
      <c r="KF438" s="11" t="s">
        <v>37</v>
      </c>
      <c r="KG438" s="13" t="s">
        <v>37</v>
      </c>
      <c r="KH438" s="11" t="s">
        <v>37</v>
      </c>
      <c r="KI438" s="11" t="s">
        <v>37</v>
      </c>
      <c r="KJ438" s="11" t="s">
        <v>37</v>
      </c>
      <c r="KK438" s="12" t="s">
        <v>42</v>
      </c>
      <c r="KL438" s="32" t="s">
        <v>345</v>
      </c>
      <c r="KM438" s="32" t="s">
        <v>963</v>
      </c>
      <c r="KN438" s="12">
        <v>5.14</v>
      </c>
      <c r="KO438" s="11">
        <v>3</v>
      </c>
      <c r="KP438" s="19">
        <f t="shared" si="1672"/>
        <v>0.5485592315901815</v>
      </c>
      <c r="KQ438" s="12">
        <v>3.33</v>
      </c>
      <c r="KR438" s="12">
        <v>1.04</v>
      </c>
      <c r="KS438" s="11">
        <v>3</v>
      </c>
      <c r="KT438" s="19">
        <f t="shared" si="1673"/>
        <v>0.31231231231231232</v>
      </c>
      <c r="KU438" s="19">
        <f t="shared" si="1674"/>
        <v>-1.0345407922579783</v>
      </c>
      <c r="KV438" s="19">
        <f t="shared" si="1675"/>
        <v>0.13281873699489122</v>
      </c>
      <c r="KX438" s="12" t="s">
        <v>37</v>
      </c>
      <c r="KY438" s="12" t="s">
        <v>37</v>
      </c>
      <c r="KZ438" s="13" t="s">
        <v>37</v>
      </c>
      <c r="LA438" s="13"/>
      <c r="LB438" s="12" t="s">
        <v>37</v>
      </c>
      <c r="LC438" s="12" t="s">
        <v>37</v>
      </c>
      <c r="LD438" s="13" t="s">
        <v>37</v>
      </c>
      <c r="LE438" s="13"/>
      <c r="LF438" s="13"/>
      <c r="LG438" s="13"/>
      <c r="LI438" s="12" t="s">
        <v>37</v>
      </c>
      <c r="LJ438" s="12" t="s">
        <v>37</v>
      </c>
      <c r="LK438" s="12" t="s">
        <v>37</v>
      </c>
      <c r="LL438" s="12"/>
      <c r="LM438" s="12" t="s">
        <v>37</v>
      </c>
      <c r="LN438" s="12" t="s">
        <v>37</v>
      </c>
      <c r="LO438" s="12" t="s">
        <v>37</v>
      </c>
      <c r="LP438" s="12"/>
      <c r="LQ438" s="12"/>
      <c r="LR438" s="12"/>
      <c r="LT438" s="12" t="s">
        <v>501</v>
      </c>
      <c r="LU438" s="12">
        <v>13.671291355389542</v>
      </c>
      <c r="LV438" s="12">
        <v>7.9317773176537978</v>
      </c>
      <c r="LW438" s="13">
        <v>3</v>
      </c>
      <c r="LX438" s="19">
        <f t="shared" si="1676"/>
        <v>0.58017762268865014</v>
      </c>
      <c r="LY438" s="12">
        <v>10.507507507507508</v>
      </c>
      <c r="LZ438" s="12">
        <v>4.6840482693569481</v>
      </c>
      <c r="MA438" s="13">
        <v>3</v>
      </c>
      <c r="MB438" s="19">
        <f t="shared" si="1677"/>
        <v>0.44578110137063837</v>
      </c>
      <c r="MC438" s="19">
        <f t="shared" si="1678"/>
        <v>-0.26320811026511348</v>
      </c>
      <c r="MD438" s="19">
        <f t="shared" si="1679"/>
        <v>0.17844228806929102</v>
      </c>
      <c r="MF438" s="12" t="s">
        <v>37</v>
      </c>
      <c r="MG438" s="12" t="s">
        <v>37</v>
      </c>
      <c r="MH438" s="12" t="s">
        <v>37</v>
      </c>
      <c r="MI438" s="12"/>
      <c r="MJ438" s="12" t="s">
        <v>37</v>
      </c>
      <c r="MK438" s="12" t="s">
        <v>37</v>
      </c>
      <c r="ML438" s="12" t="s">
        <v>37</v>
      </c>
      <c r="MM438" s="12"/>
      <c r="MN438" s="12"/>
      <c r="MO438" s="12"/>
      <c r="MQ438" s="12" t="s">
        <v>37</v>
      </c>
      <c r="MR438" s="12" t="s">
        <v>37</v>
      </c>
      <c r="MS438" s="12" t="s">
        <v>37</v>
      </c>
      <c r="MT438" s="12"/>
      <c r="MU438" s="12" t="s">
        <v>37</v>
      </c>
      <c r="MV438" s="12" t="s">
        <v>37</v>
      </c>
      <c r="MW438" s="12" t="s">
        <v>37</v>
      </c>
      <c r="MX438" s="12"/>
      <c r="MY438" s="12"/>
      <c r="MZ438" s="12"/>
      <c r="NC438" s="12" t="s">
        <v>37</v>
      </c>
      <c r="ND438" s="12" t="s">
        <v>37</v>
      </c>
      <c r="NE438" s="12" t="s">
        <v>37</v>
      </c>
      <c r="NF438" s="12"/>
      <c r="NG438" s="12" t="s">
        <v>37</v>
      </c>
      <c r="NH438" s="12" t="s">
        <v>37</v>
      </c>
      <c r="NI438" s="12" t="s">
        <v>37</v>
      </c>
      <c r="NJ438" s="12"/>
      <c r="NK438" s="12"/>
      <c r="NL438" s="12"/>
      <c r="NO438" s="12" t="s">
        <v>37</v>
      </c>
      <c r="NP438" s="12" t="s">
        <v>37</v>
      </c>
      <c r="NQ438" s="12" t="s">
        <v>37</v>
      </c>
      <c r="NR438" s="12"/>
      <c r="NS438" s="12" t="s">
        <v>37</v>
      </c>
      <c r="NT438" s="12" t="s">
        <v>37</v>
      </c>
      <c r="NU438" s="12" t="s">
        <v>37</v>
      </c>
      <c r="NV438" s="12"/>
      <c r="NW438" s="12"/>
      <c r="NX438" s="12"/>
      <c r="OA438" s="12" t="s">
        <v>37</v>
      </c>
      <c r="OB438" s="12" t="s">
        <v>37</v>
      </c>
      <c r="OC438" s="12" t="s">
        <v>37</v>
      </c>
      <c r="OD438" s="12"/>
      <c r="OE438" s="12" t="s">
        <v>37</v>
      </c>
      <c r="OF438" s="12" t="s">
        <v>37</v>
      </c>
      <c r="OG438" s="12" t="s">
        <v>37</v>
      </c>
      <c r="OH438" s="12"/>
      <c r="OI438" s="12"/>
      <c r="OJ438" s="12"/>
      <c r="OM438" s="12" t="s">
        <v>37</v>
      </c>
      <c r="ON438" s="12" t="s">
        <v>37</v>
      </c>
      <c r="OO438" s="12" t="s">
        <v>37</v>
      </c>
      <c r="OP438" s="12" t="s">
        <v>37</v>
      </c>
      <c r="OQ438" s="12" t="s">
        <v>37</v>
      </c>
      <c r="OR438" s="12" t="s">
        <v>37</v>
      </c>
      <c r="OS438" s="12"/>
      <c r="OT438" s="12"/>
      <c r="OU438" s="12" t="s">
        <v>45</v>
      </c>
      <c r="OV438" s="12" t="s">
        <v>345</v>
      </c>
      <c r="OW438" s="12">
        <v>3</v>
      </c>
      <c r="OX438" s="12">
        <v>0.27</v>
      </c>
      <c r="OY438" s="13">
        <v>3</v>
      </c>
      <c r="OZ438" s="12">
        <v>0.91</v>
      </c>
      <c r="PA438" s="12">
        <v>0.54</v>
      </c>
      <c r="PB438" s="13">
        <v>3</v>
      </c>
      <c r="PC438" s="19">
        <f t="shared" si="1680"/>
        <v>-1.1929229681393509</v>
      </c>
      <c r="PD438" s="19">
        <f t="shared" si="1681"/>
        <v>0.12007712836613935</v>
      </c>
      <c r="PG438" s="12" t="s">
        <v>37</v>
      </c>
      <c r="PH438" s="12" t="s">
        <v>37</v>
      </c>
      <c r="PI438" s="12" t="s">
        <v>37</v>
      </c>
      <c r="PJ438" s="12" t="s">
        <v>37</v>
      </c>
      <c r="PK438" s="12" t="s">
        <v>37</v>
      </c>
      <c r="PL438" s="12" t="s">
        <v>37</v>
      </c>
      <c r="PM438" s="12"/>
      <c r="PN438" s="12"/>
      <c r="PQ438" s="12" t="s">
        <v>37</v>
      </c>
      <c r="PR438" s="12" t="s">
        <v>37</v>
      </c>
      <c r="PS438" s="12" t="s">
        <v>37</v>
      </c>
      <c r="PT438" s="12" t="s">
        <v>37</v>
      </c>
      <c r="PU438" s="12" t="s">
        <v>37</v>
      </c>
      <c r="PV438" s="12" t="s">
        <v>37</v>
      </c>
      <c r="PW438" s="12"/>
      <c r="PX438" s="12"/>
      <c r="PZ438" s="12" t="s">
        <v>37</v>
      </c>
      <c r="QA438" s="12" t="s">
        <v>37</v>
      </c>
      <c r="QB438" s="11" t="s">
        <v>37</v>
      </c>
      <c r="QC438" s="11"/>
      <c r="QD438" s="12" t="s">
        <v>37</v>
      </c>
      <c r="QE438" s="12" t="s">
        <v>37</v>
      </c>
      <c r="QF438" s="12" t="s">
        <v>37</v>
      </c>
      <c r="QG438" s="12"/>
      <c r="QH438" s="12"/>
      <c r="QI438" s="12"/>
      <c r="QK438" s="12" t="s">
        <v>37</v>
      </c>
      <c r="QL438" s="12" t="s">
        <v>37</v>
      </c>
      <c r="QM438" s="12" t="s">
        <v>37</v>
      </c>
      <c r="QN438" s="12" t="s">
        <v>37</v>
      </c>
      <c r="QO438" s="12" t="s">
        <v>37</v>
      </c>
      <c r="QP438" s="12" t="s">
        <v>37</v>
      </c>
      <c r="QQ438" s="12"/>
      <c r="QR438" s="12"/>
      <c r="QU438" s="12" t="s">
        <v>37</v>
      </c>
      <c r="QV438" s="12" t="s">
        <v>37</v>
      </c>
      <c r="QW438" s="12" t="s">
        <v>37</v>
      </c>
      <c r="QX438" s="12" t="s">
        <v>37</v>
      </c>
      <c r="QY438" s="12" t="s">
        <v>37</v>
      </c>
      <c r="QZ438" s="12" t="s">
        <v>37</v>
      </c>
      <c r="RC438" s="12" t="s">
        <v>37</v>
      </c>
      <c r="RD438" s="12" t="s">
        <v>37</v>
      </c>
      <c r="RE438" s="13" t="s">
        <v>37</v>
      </c>
      <c r="RF438" s="12" t="s">
        <v>37</v>
      </c>
      <c r="RG438" s="12" t="s">
        <v>37</v>
      </c>
      <c r="RH438" s="13" t="s">
        <v>37</v>
      </c>
      <c r="RK438" s="12" t="s">
        <v>37</v>
      </c>
      <c r="RL438" s="12" t="s">
        <v>37</v>
      </c>
      <c r="RM438" s="11" t="s">
        <v>37</v>
      </c>
      <c r="RN438" s="12" t="s">
        <v>37</v>
      </c>
      <c r="RO438" s="12" t="s">
        <v>37</v>
      </c>
      <c r="RP438" s="11" t="s">
        <v>37</v>
      </c>
      <c r="RS438" s="12" t="s">
        <v>37</v>
      </c>
      <c r="RT438" s="12" t="s">
        <v>37</v>
      </c>
      <c r="RU438" s="12" t="s">
        <v>37</v>
      </c>
      <c r="RV438" s="12" t="s">
        <v>37</v>
      </c>
      <c r="RW438" s="12" t="s">
        <v>37</v>
      </c>
      <c r="RX438" s="12" t="s">
        <v>37</v>
      </c>
      <c r="SA438" s="12" t="s">
        <v>37</v>
      </c>
      <c r="SB438" s="12" t="s">
        <v>37</v>
      </c>
      <c r="SC438" s="12" t="s">
        <v>37</v>
      </c>
      <c r="SD438" s="12" t="s">
        <v>37</v>
      </c>
      <c r="SE438" s="12" t="s">
        <v>37</v>
      </c>
      <c r="SF438" s="12" t="s">
        <v>37</v>
      </c>
      <c r="SI438" s="12" t="s">
        <v>37</v>
      </c>
      <c r="SJ438" s="12" t="s">
        <v>37</v>
      </c>
      <c r="SK438" s="13" t="s">
        <v>37</v>
      </c>
      <c r="SL438" s="12"/>
      <c r="SM438" s="12" t="s">
        <v>37</v>
      </c>
      <c r="SN438" s="12" t="s">
        <v>37</v>
      </c>
      <c r="SO438" s="13" t="s">
        <v>37</v>
      </c>
      <c r="SP438" s="12"/>
      <c r="SQ438" s="12"/>
      <c r="SR438" s="12"/>
      <c r="SU438" s="12" t="s">
        <v>37</v>
      </c>
      <c r="SV438" s="12" t="s">
        <v>37</v>
      </c>
      <c r="SW438" s="11" t="s">
        <v>37</v>
      </c>
      <c r="SX438" s="12" t="s">
        <v>37</v>
      </c>
      <c r="SY438" s="12" t="s">
        <v>37</v>
      </c>
      <c r="SZ438" s="11" t="s">
        <v>37</v>
      </c>
      <c r="TE438" s="12" t="s">
        <v>37</v>
      </c>
      <c r="TF438" s="12" t="s">
        <v>37</v>
      </c>
      <c r="TG438" s="11" t="s">
        <v>37</v>
      </c>
      <c r="TH438" s="12" t="s">
        <v>37</v>
      </c>
      <c r="TI438" s="12" t="s">
        <v>37</v>
      </c>
      <c r="TJ438" s="11" t="s">
        <v>37</v>
      </c>
      <c r="TO438" s="12" t="s">
        <v>37</v>
      </c>
      <c r="TP438" s="12" t="s">
        <v>37</v>
      </c>
      <c r="TQ438" s="11" t="s">
        <v>37</v>
      </c>
      <c r="TR438" s="12" t="s">
        <v>37</v>
      </c>
      <c r="TS438" s="12" t="s">
        <v>37</v>
      </c>
      <c r="TT438" s="11" t="s">
        <v>37</v>
      </c>
      <c r="TY438" s="12" t="s">
        <v>37</v>
      </c>
      <c r="TZ438" s="12" t="s">
        <v>37</v>
      </c>
      <c r="UA438" s="12" t="s">
        <v>37</v>
      </c>
      <c r="UB438" s="12" t="s">
        <v>37</v>
      </c>
      <c r="UC438" s="12" t="s">
        <v>37</v>
      </c>
      <c r="UD438" s="12" t="s">
        <v>37</v>
      </c>
      <c r="UE438" s="12"/>
      <c r="UF438" s="12"/>
      <c r="UI438" s="12" t="s">
        <v>37</v>
      </c>
      <c r="UJ438" s="12" t="s">
        <v>37</v>
      </c>
      <c r="UK438" s="12" t="s">
        <v>37</v>
      </c>
      <c r="UL438" s="12" t="s">
        <v>37</v>
      </c>
      <c r="UM438" s="12" t="s">
        <v>37</v>
      </c>
      <c r="UN438" s="12" t="s">
        <v>37</v>
      </c>
      <c r="UO438" s="12"/>
      <c r="UP438" s="12"/>
      <c r="UR438" s="12" t="s">
        <v>37</v>
      </c>
      <c r="US438" s="12" t="s">
        <v>37</v>
      </c>
      <c r="UT438" s="12" t="s">
        <v>37</v>
      </c>
      <c r="UU438" s="12" t="s">
        <v>37</v>
      </c>
      <c r="UV438" s="12" t="s">
        <v>37</v>
      </c>
      <c r="UW438" s="12" t="s">
        <v>37</v>
      </c>
      <c r="UX438" s="12"/>
      <c r="UY438" s="12"/>
      <c r="VB438" s="12" t="s">
        <v>37</v>
      </c>
      <c r="VC438" s="12" t="s">
        <v>37</v>
      </c>
      <c r="VD438" s="12" t="s">
        <v>37</v>
      </c>
      <c r="VE438" s="12" t="s">
        <v>37</v>
      </c>
      <c r="VF438" s="12" t="s">
        <v>37</v>
      </c>
      <c r="VG438" s="12" t="s">
        <v>37</v>
      </c>
      <c r="VI438" s="12" t="s">
        <v>37</v>
      </c>
      <c r="VJ438" s="12" t="s">
        <v>37</v>
      </c>
      <c r="VK438" s="12" t="s">
        <v>37</v>
      </c>
      <c r="VL438" s="12" t="s">
        <v>37</v>
      </c>
      <c r="VM438" s="12" t="s">
        <v>37</v>
      </c>
      <c r="VN438" s="12" t="s">
        <v>37</v>
      </c>
      <c r="VQ438" s="13" t="s">
        <v>37</v>
      </c>
      <c r="VR438" s="13" t="s">
        <v>37</v>
      </c>
      <c r="VS438" s="13" t="s">
        <v>37</v>
      </c>
      <c r="VT438" s="13" t="s">
        <v>37</v>
      </c>
      <c r="VU438" s="13" t="s">
        <v>37</v>
      </c>
      <c r="VV438" s="13" t="s">
        <v>37</v>
      </c>
      <c r="WA438" s="13" t="s">
        <v>37</v>
      </c>
      <c r="WB438" s="13" t="s">
        <v>37</v>
      </c>
      <c r="WC438" s="13" t="s">
        <v>37</v>
      </c>
      <c r="WD438" s="13" t="s">
        <v>37</v>
      </c>
      <c r="WE438" s="13" t="s">
        <v>37</v>
      </c>
      <c r="WF438" s="13" t="s">
        <v>37</v>
      </c>
    </row>
    <row r="439" spans="1:604" ht="17.399999999999999" x14ac:dyDescent="0.3">
      <c r="A439" s="11">
        <v>102</v>
      </c>
      <c r="B439" s="16" t="s">
        <v>967</v>
      </c>
      <c r="C439" s="12" t="s">
        <v>26</v>
      </c>
      <c r="D439" s="12" t="s">
        <v>974</v>
      </c>
      <c r="E439" s="14">
        <v>4.8</v>
      </c>
      <c r="F439" s="72">
        <v>103</v>
      </c>
      <c r="G439" s="14">
        <v>0</v>
      </c>
      <c r="H439" s="12" t="s">
        <v>104</v>
      </c>
      <c r="I439" s="29">
        <v>2.8170000000000002</v>
      </c>
      <c r="J439" s="29">
        <v>111.85</v>
      </c>
      <c r="K439" s="12" t="s">
        <v>791</v>
      </c>
      <c r="L439" s="12" t="s">
        <v>964</v>
      </c>
      <c r="M439" s="13" t="s">
        <v>37</v>
      </c>
      <c r="N439" s="14">
        <v>27.4</v>
      </c>
      <c r="O439" s="14">
        <v>2163</v>
      </c>
      <c r="P439" s="14" t="s">
        <v>89</v>
      </c>
      <c r="Q439" s="75">
        <v>5</v>
      </c>
      <c r="R439" s="11" t="s">
        <v>1000</v>
      </c>
      <c r="S439" s="12" t="s">
        <v>105</v>
      </c>
      <c r="T439" s="12" t="s">
        <v>138</v>
      </c>
      <c r="U439" s="12" t="s">
        <v>158</v>
      </c>
      <c r="V439" s="12" t="s">
        <v>275</v>
      </c>
      <c r="W439" s="23" t="s">
        <v>49</v>
      </c>
      <c r="X439" s="12" t="s">
        <v>49</v>
      </c>
      <c r="Y439" s="12" t="s">
        <v>37</v>
      </c>
      <c r="Z439" s="12" t="s">
        <v>37</v>
      </c>
      <c r="AA439" s="32" t="s">
        <v>493</v>
      </c>
      <c r="AB439" s="12">
        <v>3.6</v>
      </c>
      <c r="AC439" s="12" t="s">
        <v>42</v>
      </c>
      <c r="AD439" s="32" t="s">
        <v>493</v>
      </c>
      <c r="AE439" s="12">
        <v>478.1</v>
      </c>
      <c r="AF439" s="12" t="s">
        <v>42</v>
      </c>
      <c r="AG439" s="32" t="s">
        <v>493</v>
      </c>
      <c r="AH439" s="12">
        <v>17.7</v>
      </c>
      <c r="AJ439" s="12" t="str">
        <f t="shared" si="1659"/>
        <v>0-25</v>
      </c>
      <c r="AK439" s="19">
        <f t="shared" si="1660"/>
        <v>27.011299435028253</v>
      </c>
      <c r="AL439" s="32" t="s">
        <v>965</v>
      </c>
      <c r="AM439" s="12" t="s">
        <v>344</v>
      </c>
      <c r="AO439" s="12" t="s">
        <v>37</v>
      </c>
      <c r="AP439" s="12" t="s">
        <v>238</v>
      </c>
      <c r="AQ439" s="12" t="s">
        <v>73</v>
      </c>
      <c r="AR439" s="12" t="s">
        <v>42</v>
      </c>
      <c r="AS439" s="32" t="s">
        <v>493</v>
      </c>
      <c r="AT439" s="12">
        <v>478.1</v>
      </c>
      <c r="AU439" s="12">
        <v>15.06884202584923</v>
      </c>
      <c r="AV439" s="13">
        <v>3</v>
      </c>
      <c r="AW439" s="19">
        <f t="shared" si="1666"/>
        <v>3.1518180351075571E-2</v>
      </c>
      <c r="AX439" s="12">
        <v>446.9</v>
      </c>
      <c r="AY439" s="12">
        <v>18.879353802500763</v>
      </c>
      <c r="AZ439" s="13">
        <v>3</v>
      </c>
      <c r="BA439" s="19">
        <f t="shared" si="1667"/>
        <v>4.22451416480214E-2</v>
      </c>
      <c r="BB439" s="52">
        <f t="shared" si="1668"/>
        <v>-6.7485059692652005E-2</v>
      </c>
      <c r="BC439" s="19">
        <f t="shared" si="1669"/>
        <v>9.2601589516810607E-4</v>
      </c>
      <c r="BE439" s="12" t="s">
        <v>37</v>
      </c>
      <c r="BF439" s="12" t="s">
        <v>37</v>
      </c>
      <c r="BG439" s="13" t="s">
        <v>37</v>
      </c>
      <c r="BH439" s="13"/>
      <c r="BI439" s="12" t="s">
        <v>37</v>
      </c>
      <c r="BJ439" s="12" t="s">
        <v>37</v>
      </c>
      <c r="BK439" s="13" t="s">
        <v>37</v>
      </c>
      <c r="BL439" s="13"/>
      <c r="BM439" s="13"/>
      <c r="BN439" s="13"/>
      <c r="BP439" s="12" t="s">
        <v>37</v>
      </c>
      <c r="BQ439" s="12" t="s">
        <v>37</v>
      </c>
      <c r="BR439" s="13" t="s">
        <v>37</v>
      </c>
      <c r="BS439" s="13"/>
      <c r="BT439" s="12" t="s">
        <v>37</v>
      </c>
      <c r="BU439" s="12" t="s">
        <v>37</v>
      </c>
      <c r="BV439" s="12" t="s">
        <v>37</v>
      </c>
      <c r="BW439" s="12"/>
      <c r="BX439" s="12"/>
      <c r="BY439" s="12"/>
      <c r="CA439" s="12" t="s">
        <v>37</v>
      </c>
      <c r="CB439" s="12" t="s">
        <v>37</v>
      </c>
      <c r="CC439" s="13" t="s">
        <v>37</v>
      </c>
      <c r="CD439" s="13"/>
      <c r="CE439" s="12" t="s">
        <v>37</v>
      </c>
      <c r="CF439" s="12" t="s">
        <v>37</v>
      </c>
      <c r="CG439" s="13" t="s">
        <v>37</v>
      </c>
      <c r="CH439" s="13"/>
      <c r="CI439" s="13"/>
      <c r="CJ439" s="13"/>
      <c r="CN439" s="12" t="s">
        <v>37</v>
      </c>
      <c r="CO439" s="12" t="s">
        <v>37</v>
      </c>
      <c r="CP439" s="13" t="s">
        <v>37</v>
      </c>
      <c r="CQ439" s="13"/>
      <c r="CR439" s="12" t="s">
        <v>37</v>
      </c>
      <c r="CS439" s="12" t="s">
        <v>37</v>
      </c>
      <c r="CT439" s="13" t="s">
        <v>37</v>
      </c>
      <c r="CU439" s="13"/>
      <c r="CV439" s="13"/>
      <c r="CW439" s="13"/>
      <c r="CX439" s="72"/>
      <c r="CY439" s="72"/>
      <c r="DA439" s="12" t="s">
        <v>37</v>
      </c>
      <c r="DB439" s="12" t="s">
        <v>37</v>
      </c>
      <c r="DC439" s="13" t="s">
        <v>37</v>
      </c>
      <c r="DD439" s="13"/>
      <c r="DE439" s="12" t="s">
        <v>37</v>
      </c>
      <c r="DF439" s="12" t="s">
        <v>37</v>
      </c>
      <c r="DG439" s="13" t="s">
        <v>37</v>
      </c>
      <c r="DH439" s="13"/>
      <c r="DI439" s="13"/>
      <c r="DJ439" s="13"/>
      <c r="DN439" s="12" t="s">
        <v>37</v>
      </c>
      <c r="DO439" s="12" t="s">
        <v>37</v>
      </c>
      <c r="DP439" s="13" t="s">
        <v>37</v>
      </c>
      <c r="DQ439" s="13"/>
      <c r="DR439" s="12" t="s">
        <v>37</v>
      </c>
      <c r="DS439" s="12" t="s">
        <v>37</v>
      </c>
      <c r="DT439" s="13" t="s">
        <v>37</v>
      </c>
      <c r="DU439" s="13"/>
      <c r="DV439" s="13"/>
      <c r="DW439" s="13"/>
      <c r="DZ439" s="11" t="s">
        <v>47</v>
      </c>
      <c r="EA439" s="12">
        <f>0.7*44/28</f>
        <v>1.0999999999999999</v>
      </c>
      <c r="EB439" s="50">
        <f>ABS(EA439)*ED$474</f>
        <v>6.3249746805166405</v>
      </c>
      <c r="EC439" s="13">
        <v>3</v>
      </c>
      <c r="ED439" s="13"/>
      <c r="EE439" s="12">
        <f>3.3*44/28</f>
        <v>5.1857142857142851</v>
      </c>
      <c r="EF439" s="50">
        <f>ABS(EE439)*EH$474</f>
        <v>7.7429942220784804</v>
      </c>
      <c r="EG439" s="13">
        <v>3</v>
      </c>
      <c r="EH439" s="13"/>
      <c r="EI439" s="19">
        <f t="shared" si="1645"/>
        <v>4.0857142857142854</v>
      </c>
      <c r="EJ439" s="12">
        <f t="shared" si="1646"/>
        <v>7.0696274382854609</v>
      </c>
      <c r="EK439" s="19">
        <f t="shared" si="1647"/>
        <v>33.319754744105765</v>
      </c>
      <c r="EL439" s="19">
        <f t="shared" si="1648"/>
        <v>33.319754744105772</v>
      </c>
      <c r="EM439" s="12" t="s">
        <v>39</v>
      </c>
      <c r="EN439" s="12">
        <v>-45.3</v>
      </c>
      <c r="EO439" s="12">
        <v>5.7157676649772942</v>
      </c>
      <c r="EP439" s="13">
        <v>3</v>
      </c>
      <c r="EQ439" s="19">
        <f t="shared" ref="EQ439:EQ444" si="1682">EO439/ABS(EN439)</f>
        <v>0.12617588664409038</v>
      </c>
      <c r="ER439" s="12">
        <v>-60.2</v>
      </c>
      <c r="ES439" s="12">
        <v>4.676537180435969</v>
      </c>
      <c r="ET439" s="13">
        <v>3</v>
      </c>
      <c r="EU439" s="19">
        <f t="shared" ref="EU439" si="1683">ES439/ABS(ER439)</f>
        <v>7.7683341867707117E-2</v>
      </c>
      <c r="EV439" s="19">
        <f>ER439-EN439</f>
        <v>-14.900000000000006</v>
      </c>
      <c r="EW439" s="12">
        <f t="shared" ref="EW439:EW440" si="1684">SQRT(((EP439-1)*EO439^2+(ET439-1)*ES439^2)/(EP439+ET439-2))</f>
        <v>5.2220685556587627</v>
      </c>
      <c r="EX439" s="19">
        <f t="shared" ref="EX439:EX440" si="1685">(((EP439+ET439)/(EP439*ET439))*(((EP439-1)*EO439^2)+(ET439-1)*ES439^2)/(EP439+ET439-2))</f>
        <v>18.179999999999996</v>
      </c>
      <c r="EY439" s="19">
        <f t="shared" ref="EY439:EY440" si="1686">(EO439^2/EP439)+(ES439^2/ET439)</f>
        <v>18.179999999999996</v>
      </c>
      <c r="FB439" s="12" t="s">
        <v>37</v>
      </c>
      <c r="FC439" s="12" t="s">
        <v>37</v>
      </c>
      <c r="FD439" s="12" t="s">
        <v>37</v>
      </c>
      <c r="FE439" s="12" t="s">
        <v>37</v>
      </c>
      <c r="FF439" s="12" t="s">
        <v>37</v>
      </c>
      <c r="FG439" s="12" t="s">
        <v>37</v>
      </c>
      <c r="FI439" s="12" t="s">
        <v>37</v>
      </c>
      <c r="FJ439" s="12" t="s">
        <v>37</v>
      </c>
      <c r="FK439" s="12" t="s">
        <v>37</v>
      </c>
      <c r="FL439" s="12" t="s">
        <v>37</v>
      </c>
      <c r="FM439" s="12" t="s">
        <v>37</v>
      </c>
      <c r="FN439" s="12" t="s">
        <v>37</v>
      </c>
      <c r="FO439" s="12"/>
      <c r="FP439" s="12" t="s">
        <v>37</v>
      </c>
      <c r="FQ439" s="12" t="s">
        <v>37</v>
      </c>
      <c r="FR439" s="12" t="s">
        <v>37</v>
      </c>
      <c r="FS439" s="12" t="s">
        <v>37</v>
      </c>
      <c r="FT439" s="12" t="s">
        <v>37</v>
      </c>
      <c r="FU439" s="12" t="s">
        <v>37</v>
      </c>
      <c r="FW439" s="12" t="s">
        <v>37</v>
      </c>
      <c r="FX439" s="12" t="s">
        <v>37</v>
      </c>
      <c r="FY439" s="12" t="s">
        <v>37</v>
      </c>
      <c r="FZ439" s="12" t="s">
        <v>37</v>
      </c>
      <c r="GA439" s="12" t="s">
        <v>37</v>
      </c>
      <c r="GB439" s="12" t="s">
        <v>37</v>
      </c>
      <c r="GC439" s="12" t="s">
        <v>90</v>
      </c>
      <c r="GD439" s="12" t="s">
        <v>330</v>
      </c>
      <c r="GE439" s="12">
        <v>57.6</v>
      </c>
      <c r="GF439" s="12">
        <v>3.4641016151377544</v>
      </c>
      <c r="GG439" s="13">
        <v>3</v>
      </c>
      <c r="GH439" s="19">
        <f t="shared" ref="GH439:GH442" si="1687">GF439/GE439</f>
        <v>6.0140653040586009E-2</v>
      </c>
      <c r="GI439" s="12">
        <v>60.4</v>
      </c>
      <c r="GJ439" s="12">
        <v>3.4641016151377544</v>
      </c>
      <c r="GK439" s="13">
        <v>3</v>
      </c>
      <c r="GL439" s="19">
        <f t="shared" ref="GL439:GL443" si="1688">GJ439/GI439</f>
        <v>5.7352675747313814E-2</v>
      </c>
      <c r="GM439" s="19">
        <f>LN(GI439/GE439)</f>
        <v>4.7466537238923752E-2</v>
      </c>
      <c r="GN439" s="19">
        <f t="shared" ref="GN439:GN443" si="1689">GJ439^2/(GK439*GI439^2)+GF439^2/(GG439*GE439^2)</f>
        <v>2.3020758545082218E-3</v>
      </c>
      <c r="GO439" s="12" t="s">
        <v>660</v>
      </c>
      <c r="GP439" s="12" t="s">
        <v>330</v>
      </c>
      <c r="GQ439" s="12">
        <v>25.9</v>
      </c>
      <c r="GR439" s="12">
        <v>0.17320508075688773</v>
      </c>
      <c r="GS439" s="13">
        <v>3</v>
      </c>
      <c r="GT439" s="19">
        <f>GR439/GQ439</f>
        <v>6.6874548554782913E-3</v>
      </c>
      <c r="GU439" s="12">
        <v>28</v>
      </c>
      <c r="GV439" s="12">
        <v>0.34641016151377546</v>
      </c>
      <c r="GW439" s="13">
        <v>3</v>
      </c>
      <c r="GX439" s="19">
        <f>GV439/GU439</f>
        <v>1.2371791482634838E-2</v>
      </c>
      <c r="GY439" s="19">
        <f>LN(GU439/GQ439)</f>
        <v>7.7961541469711917E-2</v>
      </c>
      <c r="GZ439" s="19">
        <f t="shared" ref="GZ439:GZ440" si="1690">GV439^2/(GW439*GU439^2)+GR439^2/(GS439*GQ439^2)</f>
        <v>6.5927758977952028E-5</v>
      </c>
      <c r="HA439" s="17" t="s">
        <v>63</v>
      </c>
      <c r="HB439" s="34" t="s">
        <v>345</v>
      </c>
      <c r="HC439" s="12">
        <v>0.15</v>
      </c>
      <c r="HD439" s="12">
        <v>6.9282032302755087E-3</v>
      </c>
      <c r="HE439" s="13">
        <v>3</v>
      </c>
      <c r="HF439" s="19">
        <f t="shared" ref="HF439:HF443" si="1691">HD439/HC439</f>
        <v>4.6188021535170057E-2</v>
      </c>
      <c r="HG439" s="12">
        <v>0.2</v>
      </c>
      <c r="HH439" s="12">
        <v>1.212435565298214E-2</v>
      </c>
      <c r="HI439" s="13">
        <v>3</v>
      </c>
      <c r="HJ439" s="19">
        <f>HH439/HG439</f>
        <v>6.0621778264910699E-2</v>
      </c>
      <c r="HK439" s="19">
        <f t="shared" ref="HK439:HK443" si="1692">LN(HG439/HC439)</f>
        <v>0.28768207245178101</v>
      </c>
      <c r="HL439" s="19">
        <f t="shared" ref="HL439:HL443" si="1693">HH439^2/(HI439*HG439^2)+HD439^2/(HE439*HC439^2)</f>
        <v>1.9361111111111107E-3</v>
      </c>
      <c r="HN439" s="12" t="s">
        <v>37</v>
      </c>
      <c r="HO439" s="12" t="s">
        <v>37</v>
      </c>
      <c r="HP439" s="13" t="s">
        <v>37</v>
      </c>
      <c r="HQ439" s="13"/>
      <c r="HR439" s="12" t="s">
        <v>37</v>
      </c>
      <c r="HS439" s="12" t="s">
        <v>37</v>
      </c>
      <c r="HT439" s="13" t="s">
        <v>37</v>
      </c>
      <c r="HU439" s="13"/>
      <c r="HV439" s="13"/>
      <c r="HW439" s="13"/>
      <c r="HY439" s="12" t="s">
        <v>37</v>
      </c>
      <c r="HZ439" s="12" t="s">
        <v>37</v>
      </c>
      <c r="IA439" s="13" t="s">
        <v>37</v>
      </c>
      <c r="IB439" s="13"/>
      <c r="IC439" s="12" t="s">
        <v>37</v>
      </c>
      <c r="ID439" s="12" t="s">
        <v>37</v>
      </c>
      <c r="IE439" s="13" t="s">
        <v>37</v>
      </c>
      <c r="IF439" s="13"/>
      <c r="IG439" s="13"/>
      <c r="IH439" s="13"/>
      <c r="IK439" s="12" t="s">
        <v>37</v>
      </c>
      <c r="IL439" s="12" t="s">
        <v>37</v>
      </c>
      <c r="IM439" s="12" t="s">
        <v>37</v>
      </c>
      <c r="IN439" s="12"/>
      <c r="IO439" s="12" t="s">
        <v>37</v>
      </c>
      <c r="IP439" s="12" t="s">
        <v>37</v>
      </c>
      <c r="IQ439" s="12" t="s">
        <v>37</v>
      </c>
      <c r="IR439" s="12"/>
      <c r="IS439" s="12"/>
      <c r="IT439" s="12"/>
      <c r="IV439" s="32" t="s">
        <v>493</v>
      </c>
      <c r="IW439" s="12">
        <v>3.6</v>
      </c>
      <c r="IX439" s="12">
        <v>3.4641016151377546E-2</v>
      </c>
      <c r="IY439" s="13">
        <v>3</v>
      </c>
      <c r="IZ439" s="19">
        <f t="shared" ref="IZ439" si="1694">IX439/IW439</f>
        <v>9.6225044864937624E-3</v>
      </c>
      <c r="JA439" s="12">
        <v>3.4</v>
      </c>
      <c r="JB439" s="12">
        <v>6.9282032302755092E-2</v>
      </c>
      <c r="JC439" s="13">
        <v>3</v>
      </c>
      <c r="JD439" s="13"/>
      <c r="JE439" s="19">
        <f t="shared" si="1670"/>
        <v>-5.7158413839948637E-2</v>
      </c>
      <c r="JF439" s="19">
        <f t="shared" si="1671"/>
        <v>1.6927250202913413E-4</v>
      </c>
      <c r="JH439" s="12" t="s">
        <v>37</v>
      </c>
      <c r="JI439" s="12" t="s">
        <v>37</v>
      </c>
      <c r="JJ439" s="13" t="s">
        <v>37</v>
      </c>
      <c r="JK439" s="13"/>
      <c r="JL439" s="12" t="s">
        <v>37</v>
      </c>
      <c r="JM439" s="12" t="s">
        <v>37</v>
      </c>
      <c r="JN439" s="12" t="s">
        <v>37</v>
      </c>
      <c r="JO439" s="12"/>
      <c r="JP439" s="12"/>
      <c r="JQ439" s="12"/>
      <c r="JS439" s="12" t="s">
        <v>37</v>
      </c>
      <c r="JT439" s="12" t="s">
        <v>37</v>
      </c>
      <c r="JU439" s="13" t="s">
        <v>37</v>
      </c>
      <c r="JV439" s="13"/>
      <c r="JW439" s="12" t="s">
        <v>37</v>
      </c>
      <c r="JX439" s="12" t="s">
        <v>37</v>
      </c>
      <c r="JY439" s="12" t="s">
        <v>37</v>
      </c>
      <c r="JZ439" s="12"/>
      <c r="KA439" s="12"/>
      <c r="KB439" s="12"/>
      <c r="KE439" s="11" t="s">
        <v>37</v>
      </c>
      <c r="KF439" s="11" t="s">
        <v>37</v>
      </c>
      <c r="KG439" s="13" t="s">
        <v>37</v>
      </c>
      <c r="KH439" s="11" t="s">
        <v>37</v>
      </c>
      <c r="KI439" s="11" t="s">
        <v>37</v>
      </c>
      <c r="KJ439" s="11" t="s">
        <v>37</v>
      </c>
      <c r="KK439" s="12" t="s">
        <v>42</v>
      </c>
      <c r="KL439" s="32" t="s">
        <v>493</v>
      </c>
      <c r="KM439" s="12">
        <v>17.7</v>
      </c>
      <c r="KN439" s="12">
        <v>0.69282032302755092</v>
      </c>
      <c r="KO439" s="11">
        <v>3</v>
      </c>
      <c r="KP439" s="19">
        <f t="shared" si="1672"/>
        <v>3.9142391131500053E-2</v>
      </c>
      <c r="KQ439" s="12">
        <v>19.600000000000001</v>
      </c>
      <c r="KR439" s="12">
        <v>1.2124355652982139</v>
      </c>
      <c r="KS439" s="13">
        <v>3</v>
      </c>
      <c r="KT439" s="19">
        <f t="shared" si="1673"/>
        <v>6.1858957413174175E-2</v>
      </c>
      <c r="KU439" s="19">
        <f t="shared" si="1674"/>
        <v>0.1019649266566883</v>
      </c>
      <c r="KV439" s="19">
        <f t="shared" si="1675"/>
        <v>1.7862191319120767E-3</v>
      </c>
      <c r="KX439" s="12" t="s">
        <v>37</v>
      </c>
      <c r="KY439" s="12" t="s">
        <v>37</v>
      </c>
      <c r="KZ439" s="13" t="s">
        <v>37</v>
      </c>
      <c r="LA439" s="13"/>
      <c r="LB439" s="12" t="s">
        <v>37</v>
      </c>
      <c r="LC439" s="12" t="s">
        <v>37</v>
      </c>
      <c r="LD439" s="13" t="s">
        <v>37</v>
      </c>
      <c r="LE439" s="13"/>
      <c r="LF439" s="13"/>
      <c r="LG439" s="13"/>
      <c r="LI439" s="12" t="s">
        <v>37</v>
      </c>
      <c r="LJ439" s="12" t="s">
        <v>37</v>
      </c>
      <c r="LK439" s="12" t="s">
        <v>37</v>
      </c>
      <c r="LL439" s="12"/>
      <c r="LM439" s="12" t="s">
        <v>37</v>
      </c>
      <c r="LN439" s="12" t="s">
        <v>37</v>
      </c>
      <c r="LO439" s="12" t="s">
        <v>37</v>
      </c>
      <c r="LP439" s="12"/>
      <c r="LQ439" s="12"/>
      <c r="LR439" s="12"/>
      <c r="LT439" s="12" t="s">
        <v>944</v>
      </c>
      <c r="LU439" s="12">
        <v>27.011299435028299</v>
      </c>
      <c r="LV439" s="12">
        <v>1.357441418374544</v>
      </c>
      <c r="LW439" s="13">
        <v>3</v>
      </c>
      <c r="LX439" s="19">
        <f t="shared" si="1676"/>
        <v>5.0254576668540857E-2</v>
      </c>
      <c r="LY439" s="12">
        <v>23.43</v>
      </c>
      <c r="LZ439" s="12">
        <f>1.14*SQRT(3)</f>
        <v>1.9745379206285198</v>
      </c>
      <c r="MA439" s="13">
        <v>3</v>
      </c>
      <c r="MB439" s="19">
        <f t="shared" si="1677"/>
        <v>8.427391893420913E-2</v>
      </c>
      <c r="MC439" s="19">
        <f t="shared" si="1678"/>
        <v>-0.14223802353257176</v>
      </c>
      <c r="MD439" s="19">
        <f t="shared" si="1679"/>
        <v>3.2092052962213015E-3</v>
      </c>
      <c r="MF439" s="12" t="s">
        <v>37</v>
      </c>
      <c r="MG439" s="12" t="s">
        <v>37</v>
      </c>
      <c r="MH439" s="12" t="s">
        <v>37</v>
      </c>
      <c r="MI439" s="12"/>
      <c r="MJ439" s="12" t="s">
        <v>37</v>
      </c>
      <c r="MK439" s="12" t="s">
        <v>37</v>
      </c>
      <c r="ML439" s="12" t="s">
        <v>37</v>
      </c>
      <c r="MM439" s="12"/>
      <c r="MN439" s="12"/>
      <c r="MO439" s="12"/>
      <c r="MQ439" s="12" t="s">
        <v>37</v>
      </c>
      <c r="MR439" s="12" t="s">
        <v>37</v>
      </c>
      <c r="MS439" s="12" t="s">
        <v>37</v>
      </c>
      <c r="MT439" s="12"/>
      <c r="MU439" s="12" t="s">
        <v>37</v>
      </c>
      <c r="MV439" s="12" t="s">
        <v>37</v>
      </c>
      <c r="MW439" s="12" t="s">
        <v>37</v>
      </c>
      <c r="MX439" s="12"/>
      <c r="MY439" s="12"/>
      <c r="MZ439" s="12"/>
      <c r="NA439" s="12" t="s">
        <v>45</v>
      </c>
      <c r="NB439" s="12" t="s">
        <v>493</v>
      </c>
      <c r="NC439" s="12">
        <v>54.9</v>
      </c>
      <c r="ND439" s="12">
        <v>21.304224933097192</v>
      </c>
      <c r="NE439" s="13">
        <v>3</v>
      </c>
      <c r="NF439" s="19">
        <f t="shared" ref="NF439:NF443" si="1695">ND439/NC439</f>
        <v>0.38805509896351897</v>
      </c>
      <c r="NG439" s="12">
        <v>58.2</v>
      </c>
      <c r="NH439" s="12">
        <v>22.343455417638516</v>
      </c>
      <c r="NI439" s="13">
        <v>3</v>
      </c>
      <c r="NJ439" s="19">
        <f t="shared" ref="NJ439:NJ443" si="1696">NH439/NG439</f>
        <v>0.38390816868794697</v>
      </c>
      <c r="NK439" s="19">
        <f t="shared" ref="NK439:NK443" si="1697">LN(NG439/NC439)</f>
        <v>5.8372006221907254E-2</v>
      </c>
      <c r="NL439" s="19">
        <f t="shared" ref="NL439:NL443" si="1698">NH439^2/(NI439*NG439^2)+ND439^2/(NE439*NC439^2)</f>
        <v>9.9324080605639894E-2</v>
      </c>
      <c r="NM439" s="12" t="s">
        <v>45</v>
      </c>
      <c r="NN439" s="12" t="s">
        <v>493</v>
      </c>
      <c r="NO439" s="12">
        <v>78.8</v>
      </c>
      <c r="NP439" s="12">
        <v>58.023702053557386</v>
      </c>
      <c r="NQ439" s="13">
        <v>3</v>
      </c>
      <c r="NR439" s="19">
        <f>NP439/NO439</f>
        <v>0.73634139661874853</v>
      </c>
      <c r="NS439" s="12">
        <v>198.4</v>
      </c>
      <c r="NT439" s="12">
        <v>175.629951887484</v>
      </c>
      <c r="NU439" s="13">
        <v>3</v>
      </c>
      <c r="NV439" s="19">
        <f>NT439/NS439</f>
        <v>0.88523161233610881</v>
      </c>
      <c r="NW439" s="19">
        <f t="shared" ref="NW439:NW444" si="1699">LN(NS439/NO439)</f>
        <v>0.92337219798693893</v>
      </c>
      <c r="NX439" s="19">
        <f t="shared" ref="NX439:NX443" si="1700">NT439^2/(NU439*NS439^2)+NP439^2/(NQ439*NO439^2)</f>
        <v>0.44194455328454529</v>
      </c>
      <c r="OA439" s="12" t="s">
        <v>37</v>
      </c>
      <c r="OB439" s="12" t="s">
        <v>37</v>
      </c>
      <c r="OC439" s="12" t="s">
        <v>37</v>
      </c>
      <c r="OD439" s="12"/>
      <c r="OE439" s="12" t="s">
        <v>37</v>
      </c>
      <c r="OF439" s="12" t="s">
        <v>37</v>
      </c>
      <c r="OG439" s="12" t="s">
        <v>37</v>
      </c>
      <c r="OH439" s="12"/>
      <c r="OI439" s="12"/>
      <c r="OJ439" s="12"/>
      <c r="OM439" s="12" t="s">
        <v>37</v>
      </c>
      <c r="ON439" s="12" t="s">
        <v>37</v>
      </c>
      <c r="OO439" s="12" t="s">
        <v>37</v>
      </c>
      <c r="OP439" s="12" t="s">
        <v>37</v>
      </c>
      <c r="OQ439" s="12" t="s">
        <v>37</v>
      </c>
      <c r="OR439" s="12" t="s">
        <v>37</v>
      </c>
      <c r="OS439" s="12"/>
      <c r="OT439" s="12"/>
      <c r="OW439" s="12" t="s">
        <v>37</v>
      </c>
      <c r="OX439" s="12" t="s">
        <v>37</v>
      </c>
      <c r="OY439" s="12" t="s">
        <v>37</v>
      </c>
      <c r="OZ439" s="12" t="s">
        <v>37</v>
      </c>
      <c r="PA439" s="12" t="s">
        <v>37</v>
      </c>
      <c r="PB439" s="12" t="s">
        <v>37</v>
      </c>
      <c r="PC439" s="12"/>
      <c r="PD439" s="12"/>
      <c r="PG439" s="12" t="s">
        <v>37</v>
      </c>
      <c r="PH439" s="12" t="s">
        <v>37</v>
      </c>
      <c r="PI439" s="12" t="s">
        <v>37</v>
      </c>
      <c r="PJ439" s="12" t="s">
        <v>37</v>
      </c>
      <c r="PK439" s="12" t="s">
        <v>37</v>
      </c>
      <c r="PL439" s="12" t="s">
        <v>37</v>
      </c>
      <c r="PM439" s="12"/>
      <c r="PN439" s="12"/>
      <c r="PQ439" s="12" t="s">
        <v>37</v>
      </c>
      <c r="PR439" s="12" t="s">
        <v>37</v>
      </c>
      <c r="PS439" s="12" t="s">
        <v>37</v>
      </c>
      <c r="PT439" s="12" t="s">
        <v>37</v>
      </c>
      <c r="PU439" s="12" t="s">
        <v>37</v>
      </c>
      <c r="PV439" s="12" t="s">
        <v>37</v>
      </c>
      <c r="PW439" s="12"/>
      <c r="PX439" s="12"/>
      <c r="PZ439" s="12" t="s">
        <v>37</v>
      </c>
      <c r="QA439" s="12" t="s">
        <v>37</v>
      </c>
      <c r="QB439" s="11" t="s">
        <v>37</v>
      </c>
      <c r="QC439" s="11"/>
      <c r="QD439" s="12" t="s">
        <v>37</v>
      </c>
      <c r="QE439" s="12" t="s">
        <v>37</v>
      </c>
      <c r="QF439" s="12" t="s">
        <v>37</v>
      </c>
      <c r="QG439" s="12"/>
      <c r="QH439" s="12"/>
      <c r="QI439" s="12"/>
      <c r="QK439" s="12" t="s">
        <v>37</v>
      </c>
      <c r="QL439" s="12" t="s">
        <v>37</v>
      </c>
      <c r="QM439" s="12" t="s">
        <v>37</v>
      </c>
      <c r="QN439" s="12" t="s">
        <v>37</v>
      </c>
      <c r="QO439" s="12" t="s">
        <v>37</v>
      </c>
      <c r="QP439" s="12" t="s">
        <v>37</v>
      </c>
      <c r="QQ439" s="12"/>
      <c r="QR439" s="12"/>
      <c r="QU439" s="12" t="s">
        <v>37</v>
      </c>
      <c r="QV439" s="12" t="s">
        <v>37</v>
      </c>
      <c r="QW439" s="12" t="s">
        <v>37</v>
      </c>
      <c r="QX439" s="12" t="s">
        <v>37</v>
      </c>
      <c r="QY439" s="12" t="s">
        <v>37</v>
      </c>
      <c r="QZ439" s="12" t="s">
        <v>37</v>
      </c>
      <c r="RC439" s="12" t="s">
        <v>37</v>
      </c>
      <c r="RD439" s="12" t="s">
        <v>37</v>
      </c>
      <c r="RE439" s="13" t="s">
        <v>37</v>
      </c>
      <c r="RF439" s="12" t="s">
        <v>37</v>
      </c>
      <c r="RG439" s="12" t="s">
        <v>37</v>
      </c>
      <c r="RH439" s="13" t="s">
        <v>37</v>
      </c>
      <c r="RK439" s="12" t="s">
        <v>37</v>
      </c>
      <c r="RL439" s="12" t="s">
        <v>37</v>
      </c>
      <c r="RM439" s="11" t="s">
        <v>37</v>
      </c>
      <c r="RN439" s="12" t="s">
        <v>37</v>
      </c>
      <c r="RO439" s="12" t="s">
        <v>37</v>
      </c>
      <c r="RP439" s="11" t="s">
        <v>37</v>
      </c>
      <c r="RS439" s="12" t="s">
        <v>37</v>
      </c>
      <c r="RT439" s="12" t="s">
        <v>37</v>
      </c>
      <c r="RU439" s="12" t="s">
        <v>37</v>
      </c>
      <c r="RV439" s="12" t="s">
        <v>37</v>
      </c>
      <c r="RW439" s="12" t="s">
        <v>37</v>
      </c>
      <c r="RX439" s="12" t="s">
        <v>37</v>
      </c>
      <c r="SA439" s="12" t="s">
        <v>37</v>
      </c>
      <c r="SB439" s="12" t="s">
        <v>37</v>
      </c>
      <c r="SC439" s="12" t="s">
        <v>37</v>
      </c>
      <c r="SD439" s="12" t="s">
        <v>37</v>
      </c>
      <c r="SE439" s="12" t="s">
        <v>37</v>
      </c>
      <c r="SF439" s="12" t="s">
        <v>37</v>
      </c>
      <c r="SI439" s="12" t="s">
        <v>37</v>
      </c>
      <c r="SJ439" s="12" t="s">
        <v>37</v>
      </c>
      <c r="SK439" s="13" t="s">
        <v>37</v>
      </c>
      <c r="SL439" s="12"/>
      <c r="SM439" s="12" t="s">
        <v>37</v>
      </c>
      <c r="SN439" s="12" t="s">
        <v>37</v>
      </c>
      <c r="SO439" s="13" t="s">
        <v>37</v>
      </c>
      <c r="SP439" s="12"/>
      <c r="SQ439" s="12"/>
      <c r="SR439" s="12"/>
      <c r="SU439" s="12" t="s">
        <v>37</v>
      </c>
      <c r="SV439" s="12" t="s">
        <v>37</v>
      </c>
      <c r="SW439" s="11" t="s">
        <v>37</v>
      </c>
      <c r="SX439" s="12" t="s">
        <v>37</v>
      </c>
      <c r="SY439" s="12" t="s">
        <v>37</v>
      </c>
      <c r="SZ439" s="11" t="s">
        <v>37</v>
      </c>
      <c r="TE439" s="12" t="s">
        <v>37</v>
      </c>
      <c r="TF439" s="12" t="s">
        <v>37</v>
      </c>
      <c r="TG439" s="11" t="s">
        <v>37</v>
      </c>
      <c r="TH439" s="12" t="s">
        <v>37</v>
      </c>
      <c r="TI439" s="12" t="s">
        <v>37</v>
      </c>
      <c r="TJ439" s="11" t="s">
        <v>37</v>
      </c>
      <c r="TO439" s="12" t="s">
        <v>37</v>
      </c>
      <c r="TP439" s="12" t="s">
        <v>37</v>
      </c>
      <c r="TQ439" s="11" t="s">
        <v>37</v>
      </c>
      <c r="TR439" s="12" t="s">
        <v>37</v>
      </c>
      <c r="TS439" s="12" t="s">
        <v>37</v>
      </c>
      <c r="TT439" s="11" t="s">
        <v>37</v>
      </c>
      <c r="TY439" s="12" t="s">
        <v>37</v>
      </c>
      <c r="TZ439" s="12" t="s">
        <v>37</v>
      </c>
      <c r="UA439" s="12" t="s">
        <v>37</v>
      </c>
      <c r="UB439" s="12" t="s">
        <v>37</v>
      </c>
      <c r="UC439" s="12" t="s">
        <v>37</v>
      </c>
      <c r="UD439" s="12" t="s">
        <v>37</v>
      </c>
      <c r="UE439" s="12"/>
      <c r="UF439" s="12"/>
      <c r="UI439" s="12" t="s">
        <v>37</v>
      </c>
      <c r="UJ439" s="12" t="s">
        <v>37</v>
      </c>
      <c r="UK439" s="12" t="s">
        <v>37</v>
      </c>
      <c r="UL439" s="12" t="s">
        <v>37</v>
      </c>
      <c r="UM439" s="12" t="s">
        <v>37</v>
      </c>
      <c r="UN439" s="12" t="s">
        <v>37</v>
      </c>
      <c r="UO439" s="12"/>
      <c r="UP439" s="12"/>
      <c r="UR439" s="12" t="s">
        <v>37</v>
      </c>
      <c r="US439" s="12" t="s">
        <v>37</v>
      </c>
      <c r="UT439" s="12" t="s">
        <v>37</v>
      </c>
      <c r="UU439" s="12" t="s">
        <v>37</v>
      </c>
      <c r="UV439" s="12" t="s">
        <v>37</v>
      </c>
      <c r="UW439" s="12" t="s">
        <v>37</v>
      </c>
      <c r="UX439" s="12"/>
      <c r="UY439" s="12"/>
      <c r="VB439" s="12" t="s">
        <v>37</v>
      </c>
      <c r="VC439" s="12" t="s">
        <v>37</v>
      </c>
      <c r="VD439" s="12" t="s">
        <v>37</v>
      </c>
      <c r="VE439" s="12" t="s">
        <v>37</v>
      </c>
      <c r="VF439" s="12" t="s">
        <v>37</v>
      </c>
      <c r="VG439" s="12" t="s">
        <v>37</v>
      </c>
      <c r="VI439" s="12" t="s">
        <v>37</v>
      </c>
      <c r="VJ439" s="12" t="s">
        <v>37</v>
      </c>
      <c r="VK439" s="12" t="s">
        <v>37</v>
      </c>
      <c r="VL439" s="12" t="s">
        <v>37</v>
      </c>
      <c r="VM439" s="12" t="s">
        <v>37</v>
      </c>
      <c r="VN439" s="12" t="s">
        <v>37</v>
      </c>
      <c r="VQ439" s="13" t="s">
        <v>37</v>
      </c>
      <c r="VR439" s="13" t="s">
        <v>37</v>
      </c>
      <c r="VS439" s="13" t="s">
        <v>37</v>
      </c>
      <c r="VT439" s="13" t="s">
        <v>37</v>
      </c>
      <c r="VU439" s="13" t="s">
        <v>37</v>
      </c>
      <c r="VV439" s="13" t="s">
        <v>37</v>
      </c>
      <c r="WA439" s="13" t="s">
        <v>37</v>
      </c>
      <c r="WB439" s="13" t="s">
        <v>37</v>
      </c>
      <c r="WC439" s="13" t="s">
        <v>37</v>
      </c>
      <c r="WD439" s="13" t="s">
        <v>37</v>
      </c>
      <c r="WE439" s="13" t="s">
        <v>37</v>
      </c>
      <c r="WF439" s="13" t="s">
        <v>37</v>
      </c>
    </row>
    <row r="440" spans="1:604" ht="17.399999999999999" x14ac:dyDescent="0.3">
      <c r="A440" s="11">
        <v>102</v>
      </c>
      <c r="B440" s="16" t="s">
        <v>967</v>
      </c>
      <c r="C440" s="12" t="s">
        <v>26</v>
      </c>
      <c r="D440" s="12" t="s">
        <v>119</v>
      </c>
      <c r="E440" s="14">
        <v>4.8</v>
      </c>
      <c r="F440" s="75">
        <v>0</v>
      </c>
      <c r="G440" s="14">
        <v>0</v>
      </c>
      <c r="H440" s="12" t="s">
        <v>104</v>
      </c>
      <c r="I440" s="29">
        <v>2.8170000000000002</v>
      </c>
      <c r="J440" s="29">
        <v>111.85</v>
      </c>
      <c r="K440" s="12" t="s">
        <v>791</v>
      </c>
      <c r="L440" s="12" t="s">
        <v>964</v>
      </c>
      <c r="M440" s="13" t="s">
        <v>37</v>
      </c>
      <c r="N440" s="14">
        <v>27.4</v>
      </c>
      <c r="O440" s="14">
        <v>2163</v>
      </c>
      <c r="P440" s="14" t="s">
        <v>89</v>
      </c>
      <c r="Q440" s="75">
        <v>5</v>
      </c>
      <c r="R440" s="11" t="s">
        <v>1000</v>
      </c>
      <c r="S440" s="12" t="s">
        <v>105</v>
      </c>
      <c r="T440" s="12" t="s">
        <v>141</v>
      </c>
      <c r="U440" s="12" t="s">
        <v>158</v>
      </c>
      <c r="V440" s="12" t="s">
        <v>275</v>
      </c>
      <c r="W440" s="23" t="s">
        <v>49</v>
      </c>
      <c r="X440" s="12" t="s">
        <v>49</v>
      </c>
      <c r="Y440" s="12" t="s">
        <v>37</v>
      </c>
      <c r="Z440" s="12" t="s">
        <v>37</v>
      </c>
      <c r="AA440" s="32" t="s">
        <v>493</v>
      </c>
      <c r="AB440" s="12">
        <v>3.6</v>
      </c>
      <c r="AC440" s="12" t="s">
        <v>42</v>
      </c>
      <c r="AD440" s="32" t="s">
        <v>493</v>
      </c>
      <c r="AE440" s="12">
        <v>478.1</v>
      </c>
      <c r="AF440" s="12" t="s">
        <v>42</v>
      </c>
      <c r="AG440" s="32" t="s">
        <v>493</v>
      </c>
      <c r="AH440" s="12">
        <v>17.7</v>
      </c>
      <c r="AJ440" s="12" t="str">
        <f t="shared" ref="AJ440" si="1701">AD440</f>
        <v>0-25</v>
      </c>
      <c r="AK440" s="19">
        <f t="shared" ref="AK440" si="1702">AE440/AH440</f>
        <v>27.011299435028253</v>
      </c>
      <c r="AL440" s="32" t="s">
        <v>965</v>
      </c>
      <c r="AM440" s="12" t="s">
        <v>344</v>
      </c>
      <c r="AO440" s="12" t="s">
        <v>37</v>
      </c>
      <c r="AP440" s="12" t="s">
        <v>238</v>
      </c>
      <c r="AQ440" s="12" t="s">
        <v>73</v>
      </c>
      <c r="AR440" s="12" t="s">
        <v>42</v>
      </c>
      <c r="AS440" s="32" t="s">
        <v>493</v>
      </c>
      <c r="AT440" s="12">
        <v>478.1</v>
      </c>
      <c r="AU440" s="12">
        <v>15.06884202584923</v>
      </c>
      <c r="AV440" s="13">
        <v>3</v>
      </c>
      <c r="AW440" s="19">
        <f>AU440/AT440</f>
        <v>3.1518180351075571E-2</v>
      </c>
      <c r="AX440" s="12">
        <v>445.9</v>
      </c>
      <c r="AY440" s="12">
        <f>9.6*SQRT(3)</f>
        <v>16.62768775266122</v>
      </c>
      <c r="AZ440" s="13">
        <v>3</v>
      </c>
      <c r="BA440" s="19">
        <f t="shared" si="1667"/>
        <v>3.7290172129762773E-2</v>
      </c>
      <c r="BB440" s="52">
        <f t="shared" si="1668"/>
        <v>-6.9725203998626778E-2</v>
      </c>
      <c r="BC440" s="19">
        <f t="shared" si="1669"/>
        <v>7.9465087670342084E-4</v>
      </c>
      <c r="BE440" s="12" t="s">
        <v>37</v>
      </c>
      <c r="BF440" s="12" t="s">
        <v>37</v>
      </c>
      <c r="BG440" s="13" t="s">
        <v>37</v>
      </c>
      <c r="BH440" s="13"/>
      <c r="BI440" s="12" t="s">
        <v>37</v>
      </c>
      <c r="BJ440" s="12" t="s">
        <v>37</v>
      </c>
      <c r="BK440" s="13" t="s">
        <v>37</v>
      </c>
      <c r="BL440" s="13"/>
      <c r="BM440" s="13"/>
      <c r="BN440" s="13"/>
      <c r="BP440" s="12" t="s">
        <v>37</v>
      </c>
      <c r="BQ440" s="12" t="s">
        <v>37</v>
      </c>
      <c r="BR440" s="13" t="s">
        <v>37</v>
      </c>
      <c r="BS440" s="13"/>
      <c r="BT440" s="12" t="s">
        <v>37</v>
      </c>
      <c r="BU440" s="12" t="s">
        <v>37</v>
      </c>
      <c r="BV440" s="12" t="s">
        <v>37</v>
      </c>
      <c r="BW440" s="12"/>
      <c r="BX440" s="12"/>
      <c r="BY440" s="12"/>
      <c r="CA440" s="12" t="s">
        <v>37</v>
      </c>
      <c r="CB440" s="12" t="s">
        <v>37</v>
      </c>
      <c r="CC440" s="13" t="s">
        <v>37</v>
      </c>
      <c r="CD440" s="13"/>
      <c r="CE440" s="12" t="s">
        <v>37</v>
      </c>
      <c r="CF440" s="12" t="s">
        <v>37</v>
      </c>
      <c r="CG440" s="13" t="s">
        <v>37</v>
      </c>
      <c r="CH440" s="13"/>
      <c r="CI440" s="13"/>
      <c r="CJ440" s="13"/>
      <c r="CN440" s="12" t="s">
        <v>37</v>
      </c>
      <c r="CO440" s="12" t="s">
        <v>37</v>
      </c>
      <c r="CP440" s="13" t="s">
        <v>37</v>
      </c>
      <c r="CQ440" s="13"/>
      <c r="CR440" s="12" t="s">
        <v>37</v>
      </c>
      <c r="CS440" s="12" t="s">
        <v>37</v>
      </c>
      <c r="CT440" s="13" t="s">
        <v>37</v>
      </c>
      <c r="CU440" s="13"/>
      <c r="CV440" s="13"/>
      <c r="CW440" s="13"/>
      <c r="CX440" s="72"/>
      <c r="CY440" s="72"/>
      <c r="DA440" s="12" t="s">
        <v>37</v>
      </c>
      <c r="DB440" s="12" t="s">
        <v>37</v>
      </c>
      <c r="DC440" s="13" t="s">
        <v>37</v>
      </c>
      <c r="DD440" s="13"/>
      <c r="DE440" s="12" t="s">
        <v>37</v>
      </c>
      <c r="DF440" s="12" t="s">
        <v>37</v>
      </c>
      <c r="DG440" s="13" t="s">
        <v>37</v>
      </c>
      <c r="DH440" s="13"/>
      <c r="DI440" s="13"/>
      <c r="DJ440" s="13"/>
      <c r="DN440" s="12" t="s">
        <v>37</v>
      </c>
      <c r="DO440" s="12" t="s">
        <v>37</v>
      </c>
      <c r="DP440" s="13" t="s">
        <v>37</v>
      </c>
      <c r="DQ440" s="13"/>
      <c r="DR440" s="12" t="s">
        <v>37</v>
      </c>
      <c r="DS440" s="12" t="s">
        <v>37</v>
      </c>
      <c r="DT440" s="13" t="s">
        <v>37</v>
      </c>
      <c r="DU440" s="13"/>
      <c r="DV440" s="13"/>
      <c r="DW440" s="13"/>
      <c r="DZ440" s="11" t="s">
        <v>47</v>
      </c>
      <c r="EA440" s="12">
        <f>0.7*44/28</f>
        <v>1.0999999999999999</v>
      </c>
      <c r="EB440" s="50">
        <f>ABS(EA440)*ED$474</f>
        <v>6.3249746805166405</v>
      </c>
      <c r="EC440" s="13">
        <v>3</v>
      </c>
      <c r="ED440" s="13"/>
      <c r="EE440" s="12">
        <f>1.2*44/28</f>
        <v>1.8857142857142857</v>
      </c>
      <c r="EF440" s="50">
        <f>ABS(EE440)*EH$474</f>
        <v>2.8156342625739934</v>
      </c>
      <c r="EG440" s="13">
        <v>3</v>
      </c>
      <c r="EH440" s="13"/>
      <c r="EI440" s="19">
        <f t="shared" si="1645"/>
        <v>0.78571428571428581</v>
      </c>
      <c r="EJ440" s="12">
        <f t="shared" si="1646"/>
        <v>4.8955643704151806</v>
      </c>
      <c r="EK440" s="19">
        <f t="shared" si="1647"/>
        <v>15.977700336585723</v>
      </c>
      <c r="EL440" s="19">
        <f t="shared" si="1648"/>
        <v>15.977700336585723</v>
      </c>
      <c r="EM440" s="12" t="s">
        <v>39</v>
      </c>
      <c r="EN440" s="12">
        <v>-45.3</v>
      </c>
      <c r="EO440" s="12">
        <v>5.7157676649772942</v>
      </c>
      <c r="EP440" s="13">
        <v>3</v>
      </c>
      <c r="EQ440" s="19">
        <f t="shared" ref="EQ440" si="1703">EO440/ABS(EN440)</f>
        <v>0.12617588664409038</v>
      </c>
      <c r="ER440" s="12">
        <v>-27.4</v>
      </c>
      <c r="ES440" s="12">
        <f>2.6*SQRT(3)</f>
        <v>4.5033320996790804</v>
      </c>
      <c r="ET440" s="13">
        <v>3</v>
      </c>
      <c r="EU440" s="19">
        <f t="shared" ref="EU440" si="1704">ES440/ABS(ER440)</f>
        <v>0.16435518611967448</v>
      </c>
      <c r="EV440" s="75">
        <f>ER440-EN440</f>
        <v>17.899999999999999</v>
      </c>
      <c r="EW440" s="12">
        <f t="shared" si="1684"/>
        <v>5.1453862828751733</v>
      </c>
      <c r="EX440" s="19">
        <f t="shared" si="1685"/>
        <v>17.649999999999991</v>
      </c>
      <c r="EY440" s="19">
        <f t="shared" si="1686"/>
        <v>17.649999999999991</v>
      </c>
      <c r="FB440" s="12" t="s">
        <v>37</v>
      </c>
      <c r="FC440" s="12" t="s">
        <v>37</v>
      </c>
      <c r="FD440" s="12" t="s">
        <v>37</v>
      </c>
      <c r="FE440" s="12" t="s">
        <v>37</v>
      </c>
      <c r="FF440" s="12" t="s">
        <v>37</v>
      </c>
      <c r="FG440" s="12" t="s">
        <v>37</v>
      </c>
      <c r="FI440" s="12" t="s">
        <v>37</v>
      </c>
      <c r="FJ440" s="12" t="s">
        <v>37</v>
      </c>
      <c r="FK440" s="12" t="s">
        <v>37</v>
      </c>
      <c r="FL440" s="12" t="s">
        <v>37</v>
      </c>
      <c r="FM440" s="12" t="s">
        <v>37</v>
      </c>
      <c r="FN440" s="12" t="s">
        <v>37</v>
      </c>
      <c r="FO440" s="12"/>
      <c r="FP440" s="12" t="s">
        <v>37</v>
      </c>
      <c r="FQ440" s="12" t="s">
        <v>37</v>
      </c>
      <c r="FR440" s="12" t="s">
        <v>37</v>
      </c>
      <c r="FS440" s="12" t="s">
        <v>37</v>
      </c>
      <c r="FT440" s="12" t="s">
        <v>37</v>
      </c>
      <c r="FU440" s="12" t="s">
        <v>37</v>
      </c>
      <c r="FW440" s="12" t="s">
        <v>37</v>
      </c>
      <c r="FX440" s="12" t="s">
        <v>37</v>
      </c>
      <c r="FY440" s="12" t="s">
        <v>37</v>
      </c>
      <c r="FZ440" s="12" t="s">
        <v>37</v>
      </c>
      <c r="GA440" s="12" t="s">
        <v>37</v>
      </c>
      <c r="GB440" s="12" t="s">
        <v>37</v>
      </c>
      <c r="GC440" s="12" t="s">
        <v>90</v>
      </c>
      <c r="GD440" s="12" t="s">
        <v>330</v>
      </c>
      <c r="GE440" s="12">
        <v>57.6</v>
      </c>
      <c r="GF440" s="12">
        <v>3.4641016151377544</v>
      </c>
      <c r="GG440" s="13">
        <v>3</v>
      </c>
      <c r="GH440" s="19">
        <f t="shared" ref="GH440" si="1705">GF440/GE440</f>
        <v>6.0140653040586009E-2</v>
      </c>
      <c r="GI440" s="12">
        <v>78.099999999999994</v>
      </c>
      <c r="GJ440" s="12">
        <f>1.9*SQRT(3)</f>
        <v>3.2908965343808667</v>
      </c>
      <c r="GK440" s="13">
        <v>3</v>
      </c>
      <c r="GL440" s="19">
        <f>GJ440/GI440</f>
        <v>4.2136959467104572E-2</v>
      </c>
      <c r="GM440" s="19">
        <f>LN(GI440/GE440)</f>
        <v>0.30446748914379468</v>
      </c>
      <c r="GN440" s="19">
        <f t="shared" si="1689"/>
        <v>1.7974738337601869E-3</v>
      </c>
      <c r="GO440" s="12" t="s">
        <v>660</v>
      </c>
      <c r="GP440" s="12" t="s">
        <v>330</v>
      </c>
      <c r="GQ440" s="12">
        <v>25.9</v>
      </c>
      <c r="GR440" s="12">
        <v>0.17320508075688773</v>
      </c>
      <c r="GS440" s="13">
        <v>3</v>
      </c>
      <c r="GT440" s="19">
        <f>GR440/GQ440</f>
        <v>6.6874548554782913E-3</v>
      </c>
      <c r="GU440" s="12">
        <v>28.2</v>
      </c>
      <c r="GV440" s="12">
        <f>0.2*SQRT(3)</f>
        <v>0.34641016151377546</v>
      </c>
      <c r="GW440" s="13">
        <v>3</v>
      </c>
      <c r="GX440" s="19">
        <f>GV440/GU440</f>
        <v>1.2284048280630335E-2</v>
      </c>
      <c r="GY440" s="19">
        <f t="shared" ref="GY440" si="1706">LN(GU440/GQ440)</f>
        <v>8.5079009238575878E-2</v>
      </c>
      <c r="GZ440" s="19">
        <f t="shared" si="1690"/>
        <v>6.5206631534972414E-5</v>
      </c>
      <c r="HA440" s="17" t="s">
        <v>63</v>
      </c>
      <c r="HB440" s="34" t="s">
        <v>345</v>
      </c>
      <c r="HC440" s="12">
        <v>0.15</v>
      </c>
      <c r="HD440" s="12">
        <v>6.9282032302755087E-3</v>
      </c>
      <c r="HE440" s="13">
        <v>3</v>
      </c>
      <c r="HF440" s="19">
        <f t="shared" ref="HF440" si="1707">HD440/HC440</f>
        <v>4.6188021535170057E-2</v>
      </c>
      <c r="HG440" s="12">
        <v>0.16</v>
      </c>
      <c r="HH440" s="12">
        <f>0.01*SQRT(3)</f>
        <v>1.7320508075688773E-2</v>
      </c>
      <c r="HI440" s="13">
        <v>3</v>
      </c>
      <c r="HJ440" s="19">
        <f>HH440/HG440</f>
        <v>0.10825317547305482</v>
      </c>
      <c r="HK440" s="19">
        <f t="shared" si="1692"/>
        <v>6.4538521137571164E-2</v>
      </c>
      <c r="HL440" s="19">
        <f t="shared" si="1693"/>
        <v>4.6173611111111111E-3</v>
      </c>
      <c r="HN440" s="12" t="s">
        <v>37</v>
      </c>
      <c r="HO440" s="12" t="s">
        <v>37</v>
      </c>
      <c r="HP440" s="13" t="s">
        <v>37</v>
      </c>
      <c r="HQ440" s="13"/>
      <c r="HR440" s="12" t="s">
        <v>37</v>
      </c>
      <c r="HS440" s="12" t="s">
        <v>37</v>
      </c>
      <c r="HT440" s="13" t="s">
        <v>37</v>
      </c>
      <c r="HU440" s="13"/>
      <c r="HV440" s="13"/>
      <c r="HW440" s="13"/>
      <c r="HY440" s="12" t="s">
        <v>37</v>
      </c>
      <c r="HZ440" s="12" t="s">
        <v>37</v>
      </c>
      <c r="IA440" s="13" t="s">
        <v>37</v>
      </c>
      <c r="IB440" s="13"/>
      <c r="IC440" s="12" t="s">
        <v>37</v>
      </c>
      <c r="ID440" s="12" t="s">
        <v>37</v>
      </c>
      <c r="IE440" s="13" t="s">
        <v>37</v>
      </c>
      <c r="IF440" s="13"/>
      <c r="IG440" s="13"/>
      <c r="IH440" s="13"/>
      <c r="IK440" s="12" t="s">
        <v>37</v>
      </c>
      <c r="IL440" s="12" t="s">
        <v>37</v>
      </c>
      <c r="IM440" s="12" t="s">
        <v>37</v>
      </c>
      <c r="IN440" s="12"/>
      <c r="IO440" s="12" t="s">
        <v>37</v>
      </c>
      <c r="IP440" s="12" t="s">
        <v>37</v>
      </c>
      <c r="IQ440" s="12" t="s">
        <v>37</v>
      </c>
      <c r="IR440" s="12"/>
      <c r="IS440" s="12"/>
      <c r="IT440" s="12"/>
      <c r="IV440" s="32" t="s">
        <v>493</v>
      </c>
      <c r="IW440" s="12">
        <v>3.6</v>
      </c>
      <c r="IX440" s="12">
        <v>3.4641016151377546E-2</v>
      </c>
      <c r="IY440" s="13">
        <v>3</v>
      </c>
      <c r="IZ440" s="19">
        <f t="shared" ref="IZ440" si="1708">IX440/IW440</f>
        <v>9.6225044864937624E-3</v>
      </c>
      <c r="JA440" s="12">
        <v>3.6</v>
      </c>
      <c r="JB440" s="12">
        <f>0.04*SQRT(3)</f>
        <v>6.9282032302755092E-2</v>
      </c>
      <c r="JC440" s="13">
        <v>3</v>
      </c>
      <c r="JD440" s="13"/>
      <c r="JE440" s="19">
        <f t="shared" si="1670"/>
        <v>0</v>
      </c>
      <c r="JF440" s="19">
        <f t="shared" si="1671"/>
        <v>1.5432098765432098E-4</v>
      </c>
      <c r="JH440" s="12" t="s">
        <v>37</v>
      </c>
      <c r="JI440" s="12" t="s">
        <v>37</v>
      </c>
      <c r="JJ440" s="13" t="s">
        <v>37</v>
      </c>
      <c r="JK440" s="13"/>
      <c r="JL440" s="12" t="s">
        <v>37</v>
      </c>
      <c r="JM440" s="12" t="s">
        <v>37</v>
      </c>
      <c r="JN440" s="12" t="s">
        <v>37</v>
      </c>
      <c r="JO440" s="12"/>
      <c r="JP440" s="12"/>
      <c r="JQ440" s="12"/>
      <c r="JS440" s="12" t="s">
        <v>37</v>
      </c>
      <c r="JT440" s="12" t="s">
        <v>37</v>
      </c>
      <c r="JU440" s="13" t="s">
        <v>37</v>
      </c>
      <c r="JV440" s="13"/>
      <c r="JW440" s="12" t="s">
        <v>37</v>
      </c>
      <c r="JX440" s="12" t="s">
        <v>37</v>
      </c>
      <c r="JY440" s="12" t="s">
        <v>37</v>
      </c>
      <c r="JZ440" s="12"/>
      <c r="KA440" s="12"/>
      <c r="KB440" s="12"/>
      <c r="KE440" s="11" t="s">
        <v>37</v>
      </c>
      <c r="KF440" s="11" t="s">
        <v>37</v>
      </c>
      <c r="KG440" s="13" t="s">
        <v>37</v>
      </c>
      <c r="KH440" s="11" t="s">
        <v>37</v>
      </c>
      <c r="KI440" s="11" t="s">
        <v>37</v>
      </c>
      <c r="KJ440" s="11" t="s">
        <v>37</v>
      </c>
      <c r="KK440" s="12" t="s">
        <v>42</v>
      </c>
      <c r="KL440" s="32" t="s">
        <v>493</v>
      </c>
      <c r="KM440" s="12">
        <v>17.7</v>
      </c>
      <c r="KN440" s="12">
        <v>0.69282032302755092</v>
      </c>
      <c r="KO440" s="11">
        <v>3</v>
      </c>
      <c r="KP440" s="19">
        <f t="shared" ref="KP440" si="1709">KN440/KM440</f>
        <v>3.9142391131500053E-2</v>
      </c>
      <c r="KQ440" s="12">
        <v>19.899999999999999</v>
      </c>
      <c r="KR440" s="12">
        <f>0.6*SQRT(3)</f>
        <v>1.0392304845413263</v>
      </c>
      <c r="KS440" s="13">
        <v>3</v>
      </c>
      <c r="KT440" s="19">
        <f t="shared" si="1673"/>
        <v>5.2222637414137005E-2</v>
      </c>
      <c r="KU440" s="19">
        <f t="shared" si="1674"/>
        <v>0.11715509215066322</v>
      </c>
      <c r="KV440" s="19">
        <f t="shared" si="1675"/>
        <v>1.4197768806599189E-3</v>
      </c>
      <c r="KX440" s="12" t="s">
        <v>37</v>
      </c>
      <c r="KY440" s="12" t="s">
        <v>37</v>
      </c>
      <c r="KZ440" s="13" t="s">
        <v>37</v>
      </c>
      <c r="LA440" s="13"/>
      <c r="LB440" s="12" t="s">
        <v>37</v>
      </c>
      <c r="LC440" s="12" t="s">
        <v>37</v>
      </c>
      <c r="LD440" s="13" t="s">
        <v>37</v>
      </c>
      <c r="LE440" s="13"/>
      <c r="LF440" s="13"/>
      <c r="LG440" s="13"/>
      <c r="LI440" s="12" t="s">
        <v>37</v>
      </c>
      <c r="LJ440" s="12" t="s">
        <v>37</v>
      </c>
      <c r="LK440" s="12" t="s">
        <v>37</v>
      </c>
      <c r="LL440" s="12"/>
      <c r="LM440" s="12" t="s">
        <v>37</v>
      </c>
      <c r="LN440" s="12" t="s">
        <v>37</v>
      </c>
      <c r="LO440" s="12" t="s">
        <v>37</v>
      </c>
      <c r="LP440" s="12"/>
      <c r="LQ440" s="12"/>
      <c r="LR440" s="12"/>
      <c r="LT440" s="12" t="s">
        <v>944</v>
      </c>
      <c r="LU440" s="12">
        <v>27.011299435028253</v>
      </c>
      <c r="LV440" s="12">
        <v>1.357441418374544</v>
      </c>
      <c r="LW440" s="13">
        <v>3</v>
      </c>
      <c r="LX440" s="19">
        <f t="shared" ref="LX440" si="1710">LV440/LU440</f>
        <v>5.0254576668540947E-2</v>
      </c>
      <c r="LY440" s="12">
        <v>22.63</v>
      </c>
      <c r="LZ440" s="12">
        <f>0.78*SQRT(3)</f>
        <v>1.3509996299037244</v>
      </c>
      <c r="MA440" s="13">
        <v>3</v>
      </c>
      <c r="MB440" s="19">
        <f t="shared" ref="MB440" si="1711">LZ440/LY440</f>
        <v>5.9699497565343547E-2</v>
      </c>
      <c r="MC440" s="19">
        <f t="shared" si="1678"/>
        <v>-0.17697881640682842</v>
      </c>
      <c r="MD440" s="19">
        <f t="shared" si="1679"/>
        <v>2.0298508285629064E-3</v>
      </c>
      <c r="MH440" s="12"/>
      <c r="MI440" s="12"/>
      <c r="ML440" s="12"/>
      <c r="MM440" s="12"/>
      <c r="MN440" s="12"/>
      <c r="MO440" s="12"/>
      <c r="MS440" s="12"/>
      <c r="MT440" s="12"/>
      <c r="MW440" s="12"/>
      <c r="MX440" s="12"/>
      <c r="MY440" s="12"/>
      <c r="MZ440" s="12"/>
      <c r="NA440" s="12" t="s">
        <v>45</v>
      </c>
      <c r="NB440" s="12" t="s">
        <v>493</v>
      </c>
      <c r="NC440" s="12">
        <v>54.9</v>
      </c>
      <c r="ND440" s="12">
        <v>21.304224933097192</v>
      </c>
      <c r="NE440" s="13">
        <v>3</v>
      </c>
      <c r="NF440" s="19">
        <f t="shared" ref="NF440" si="1712">ND440/NC440</f>
        <v>0.38805509896351897</v>
      </c>
      <c r="NG440" s="12">
        <v>37.5</v>
      </c>
      <c r="NH440" s="12">
        <f>6.9*SQRT(3)</f>
        <v>11.951150572225254</v>
      </c>
      <c r="NI440" s="13">
        <v>3</v>
      </c>
      <c r="NJ440" s="19">
        <f t="shared" si="1696"/>
        <v>0.31869734859267346</v>
      </c>
      <c r="NK440" s="19">
        <f t="shared" si="1697"/>
        <v>-0.38117241553911985</v>
      </c>
      <c r="NL440" s="19">
        <f t="shared" si="1698"/>
        <v>8.4051586610528847E-2</v>
      </c>
      <c r="NM440" s="12" t="s">
        <v>45</v>
      </c>
      <c r="NN440" s="12" t="s">
        <v>493</v>
      </c>
      <c r="NO440" s="12">
        <v>78.8</v>
      </c>
      <c r="NP440" s="12">
        <v>58.023702053557386</v>
      </c>
      <c r="NQ440" s="13">
        <v>3</v>
      </c>
      <c r="NR440" s="19">
        <f>NP440/NO440</f>
        <v>0.73634139661874853</v>
      </c>
      <c r="NS440" s="12">
        <v>102.2</v>
      </c>
      <c r="NT440" s="12">
        <f>57.2*SQRT(3)</f>
        <v>99.073306192939782</v>
      </c>
      <c r="NU440" s="13">
        <v>3</v>
      </c>
      <c r="NV440" s="19">
        <f>NT440/NS440</f>
        <v>0.9694061271324832</v>
      </c>
      <c r="NW440" s="19">
        <f t="shared" si="1699"/>
        <v>0.26001868090577068</v>
      </c>
      <c r="NX440" s="19">
        <f t="shared" si="1700"/>
        <v>0.49398229723214981</v>
      </c>
      <c r="OA440" s="12" t="s">
        <v>37</v>
      </c>
      <c r="OB440" s="12" t="s">
        <v>37</v>
      </c>
      <c r="OC440" s="12" t="s">
        <v>37</v>
      </c>
      <c r="OD440" s="12"/>
      <c r="OE440" s="12" t="s">
        <v>37</v>
      </c>
      <c r="OF440" s="12" t="s">
        <v>37</v>
      </c>
      <c r="OG440" s="12" t="s">
        <v>37</v>
      </c>
      <c r="OH440" s="12"/>
      <c r="OI440" s="12"/>
      <c r="OJ440" s="12"/>
      <c r="OM440" s="12" t="s">
        <v>37</v>
      </c>
      <c r="ON440" s="12" t="s">
        <v>37</v>
      </c>
      <c r="OO440" s="12" t="s">
        <v>37</v>
      </c>
      <c r="OP440" s="12" t="s">
        <v>37</v>
      </c>
      <c r="OQ440" s="12" t="s">
        <v>37</v>
      </c>
      <c r="OR440" s="12" t="s">
        <v>37</v>
      </c>
      <c r="OS440" s="12"/>
      <c r="OT440" s="12"/>
      <c r="OW440" s="12" t="s">
        <v>37</v>
      </c>
      <c r="OX440" s="12" t="s">
        <v>37</v>
      </c>
      <c r="OY440" s="12" t="s">
        <v>37</v>
      </c>
      <c r="OZ440" s="12" t="s">
        <v>37</v>
      </c>
      <c r="PA440" s="12" t="s">
        <v>37</v>
      </c>
      <c r="PB440" s="12" t="s">
        <v>37</v>
      </c>
      <c r="PC440" s="12"/>
      <c r="PD440" s="12"/>
      <c r="PG440" s="12" t="s">
        <v>37</v>
      </c>
      <c r="PH440" s="12" t="s">
        <v>37</v>
      </c>
      <c r="PI440" s="12" t="s">
        <v>37</v>
      </c>
      <c r="PJ440" s="12" t="s">
        <v>37</v>
      </c>
      <c r="PK440" s="12" t="s">
        <v>37</v>
      </c>
      <c r="PL440" s="12" t="s">
        <v>37</v>
      </c>
      <c r="PM440" s="12"/>
      <c r="PN440" s="12"/>
      <c r="PQ440" s="12" t="s">
        <v>37</v>
      </c>
      <c r="PR440" s="12" t="s">
        <v>37</v>
      </c>
      <c r="PS440" s="12" t="s">
        <v>37</v>
      </c>
      <c r="PT440" s="12" t="s">
        <v>37</v>
      </c>
      <c r="PU440" s="12" t="s">
        <v>37</v>
      </c>
      <c r="PV440" s="12" t="s">
        <v>37</v>
      </c>
      <c r="PW440" s="12"/>
      <c r="PX440" s="12"/>
      <c r="PZ440" s="12" t="s">
        <v>37</v>
      </c>
      <c r="QA440" s="12" t="s">
        <v>37</v>
      </c>
      <c r="QB440" s="11" t="s">
        <v>37</v>
      </c>
      <c r="QC440" s="11"/>
      <c r="QD440" s="12" t="s">
        <v>37</v>
      </c>
      <c r="QE440" s="12" t="s">
        <v>37</v>
      </c>
      <c r="QF440" s="12" t="s">
        <v>37</v>
      </c>
      <c r="QG440" s="12"/>
      <c r="QH440" s="12"/>
      <c r="QI440" s="12"/>
      <c r="QK440" s="12" t="s">
        <v>37</v>
      </c>
      <c r="QL440" s="12" t="s">
        <v>37</v>
      </c>
      <c r="QM440" s="12" t="s">
        <v>37</v>
      </c>
      <c r="QN440" s="12" t="s">
        <v>37</v>
      </c>
      <c r="QO440" s="12" t="s">
        <v>37</v>
      </c>
      <c r="QP440" s="12" t="s">
        <v>37</v>
      </c>
      <c r="QQ440" s="12"/>
      <c r="QR440" s="12"/>
      <c r="QU440" s="12" t="s">
        <v>37</v>
      </c>
      <c r="QV440" s="12" t="s">
        <v>37</v>
      </c>
      <c r="QW440" s="12" t="s">
        <v>37</v>
      </c>
      <c r="QX440" s="12" t="s">
        <v>37</v>
      </c>
      <c r="QY440" s="12" t="s">
        <v>37</v>
      </c>
      <c r="QZ440" s="12" t="s">
        <v>37</v>
      </c>
      <c r="RC440" s="12" t="s">
        <v>37</v>
      </c>
      <c r="RD440" s="12" t="s">
        <v>37</v>
      </c>
      <c r="RE440" s="13" t="s">
        <v>37</v>
      </c>
      <c r="RF440" s="12" t="s">
        <v>37</v>
      </c>
      <c r="RG440" s="12" t="s">
        <v>37</v>
      </c>
      <c r="RH440" s="13" t="s">
        <v>37</v>
      </c>
      <c r="RK440" s="12" t="s">
        <v>37</v>
      </c>
      <c r="RL440" s="12" t="s">
        <v>37</v>
      </c>
      <c r="RM440" s="11" t="s">
        <v>37</v>
      </c>
      <c r="RN440" s="12" t="s">
        <v>37</v>
      </c>
      <c r="RO440" s="12" t="s">
        <v>37</v>
      </c>
      <c r="RP440" s="11" t="s">
        <v>37</v>
      </c>
      <c r="RS440" s="12" t="s">
        <v>37</v>
      </c>
      <c r="RT440" s="12" t="s">
        <v>37</v>
      </c>
      <c r="RU440" s="12" t="s">
        <v>37</v>
      </c>
      <c r="RV440" s="12" t="s">
        <v>37</v>
      </c>
      <c r="RW440" s="12" t="s">
        <v>37</v>
      </c>
      <c r="RX440" s="12" t="s">
        <v>37</v>
      </c>
      <c r="SA440" s="12" t="s">
        <v>37</v>
      </c>
      <c r="SB440" s="12" t="s">
        <v>37</v>
      </c>
      <c r="SC440" s="12" t="s">
        <v>37</v>
      </c>
      <c r="SD440" s="12" t="s">
        <v>37</v>
      </c>
      <c r="SE440" s="12" t="s">
        <v>37</v>
      </c>
      <c r="SF440" s="12" t="s">
        <v>37</v>
      </c>
      <c r="SI440" s="12" t="s">
        <v>37</v>
      </c>
      <c r="SJ440" s="12" t="s">
        <v>37</v>
      </c>
      <c r="SK440" s="13" t="s">
        <v>37</v>
      </c>
      <c r="SL440" s="12"/>
      <c r="SM440" s="12" t="s">
        <v>37</v>
      </c>
      <c r="SN440" s="12" t="s">
        <v>37</v>
      </c>
      <c r="SO440" s="13" t="s">
        <v>37</v>
      </c>
      <c r="SP440" s="12"/>
      <c r="SQ440" s="12"/>
      <c r="SR440" s="12"/>
      <c r="SU440" s="12" t="s">
        <v>37</v>
      </c>
      <c r="SV440" s="12" t="s">
        <v>37</v>
      </c>
      <c r="SW440" s="11" t="s">
        <v>37</v>
      </c>
      <c r="SX440" s="12" t="s">
        <v>37</v>
      </c>
      <c r="SY440" s="12" t="s">
        <v>37</v>
      </c>
      <c r="SZ440" s="11" t="s">
        <v>37</v>
      </c>
      <c r="TE440" s="12" t="s">
        <v>37</v>
      </c>
      <c r="TF440" s="12" t="s">
        <v>37</v>
      </c>
      <c r="TG440" s="11" t="s">
        <v>37</v>
      </c>
      <c r="TH440" s="12" t="s">
        <v>37</v>
      </c>
      <c r="TI440" s="12" t="s">
        <v>37</v>
      </c>
      <c r="TJ440" s="11" t="s">
        <v>37</v>
      </c>
      <c r="TO440" s="12" t="s">
        <v>37</v>
      </c>
      <c r="TP440" s="12" t="s">
        <v>37</v>
      </c>
      <c r="TQ440" s="11" t="s">
        <v>37</v>
      </c>
      <c r="TR440" s="12" t="s">
        <v>37</v>
      </c>
      <c r="TS440" s="12" t="s">
        <v>37</v>
      </c>
      <c r="TT440" s="11" t="s">
        <v>37</v>
      </c>
      <c r="TY440" s="12" t="s">
        <v>37</v>
      </c>
      <c r="TZ440" s="12" t="s">
        <v>37</v>
      </c>
      <c r="UA440" s="12" t="s">
        <v>37</v>
      </c>
      <c r="UB440" s="12" t="s">
        <v>37</v>
      </c>
      <c r="UC440" s="12" t="s">
        <v>37</v>
      </c>
      <c r="UD440" s="12" t="s">
        <v>37</v>
      </c>
      <c r="UE440" s="12"/>
      <c r="UF440" s="12"/>
      <c r="UI440" s="12" t="s">
        <v>37</v>
      </c>
      <c r="UJ440" s="12" t="s">
        <v>37</v>
      </c>
      <c r="UK440" s="12" t="s">
        <v>37</v>
      </c>
      <c r="UL440" s="12" t="s">
        <v>37</v>
      </c>
      <c r="UM440" s="12" t="s">
        <v>37</v>
      </c>
      <c r="UN440" s="12" t="s">
        <v>37</v>
      </c>
      <c r="UO440" s="12"/>
      <c r="UP440" s="12"/>
      <c r="UR440" s="12" t="s">
        <v>37</v>
      </c>
      <c r="US440" s="12" t="s">
        <v>37</v>
      </c>
      <c r="UT440" s="12" t="s">
        <v>37</v>
      </c>
      <c r="UU440" s="12" t="s">
        <v>37</v>
      </c>
      <c r="UV440" s="12" t="s">
        <v>37</v>
      </c>
      <c r="UW440" s="12" t="s">
        <v>37</v>
      </c>
      <c r="UX440" s="12"/>
      <c r="UY440" s="12"/>
      <c r="VB440" s="12" t="s">
        <v>37</v>
      </c>
      <c r="VC440" s="12" t="s">
        <v>37</v>
      </c>
      <c r="VD440" s="12" t="s">
        <v>37</v>
      </c>
      <c r="VE440" s="12" t="s">
        <v>37</v>
      </c>
      <c r="VF440" s="12" t="s">
        <v>37</v>
      </c>
      <c r="VG440" s="12" t="s">
        <v>37</v>
      </c>
      <c r="VI440" s="12" t="s">
        <v>37</v>
      </c>
      <c r="VJ440" s="12" t="s">
        <v>37</v>
      </c>
      <c r="VK440" s="12" t="s">
        <v>37</v>
      </c>
      <c r="VL440" s="12" t="s">
        <v>37</v>
      </c>
      <c r="VM440" s="12" t="s">
        <v>37</v>
      </c>
      <c r="VN440" s="12" t="s">
        <v>37</v>
      </c>
      <c r="VQ440" s="13" t="s">
        <v>37</v>
      </c>
      <c r="VR440" s="13" t="s">
        <v>37</v>
      </c>
      <c r="VS440" s="13" t="s">
        <v>37</v>
      </c>
      <c r="VT440" s="13" t="s">
        <v>37</v>
      </c>
      <c r="VU440" s="13" t="s">
        <v>37</v>
      </c>
      <c r="VV440" s="13" t="s">
        <v>37</v>
      </c>
      <c r="WA440" s="13" t="s">
        <v>37</v>
      </c>
      <c r="WB440" s="13" t="s">
        <v>37</v>
      </c>
      <c r="WC440" s="13" t="s">
        <v>37</v>
      </c>
      <c r="WD440" s="13" t="s">
        <v>37</v>
      </c>
      <c r="WE440" s="13" t="s">
        <v>37</v>
      </c>
      <c r="WF440" s="13" t="s">
        <v>37</v>
      </c>
    </row>
    <row r="441" spans="1:604" ht="17.399999999999999" x14ac:dyDescent="0.4">
      <c r="A441" s="11">
        <v>103</v>
      </c>
      <c r="B441" s="12" t="s">
        <v>932</v>
      </c>
      <c r="C441" s="12" t="s">
        <v>26</v>
      </c>
      <c r="D441" s="12" t="s">
        <v>1039</v>
      </c>
      <c r="E441" s="14">
        <v>4</v>
      </c>
      <c r="F441" s="72">
        <v>135</v>
      </c>
      <c r="G441" s="14">
        <v>0</v>
      </c>
      <c r="H441" s="12" t="s">
        <v>96</v>
      </c>
      <c r="I441" s="29">
        <v>57.23</v>
      </c>
      <c r="J441" s="29">
        <v>9.84</v>
      </c>
      <c r="K441" s="12" t="s">
        <v>693</v>
      </c>
      <c r="L441" s="12" t="s">
        <v>97</v>
      </c>
      <c r="M441" s="13" t="s">
        <v>37</v>
      </c>
      <c r="N441" s="14">
        <v>9.3000000000000007</v>
      </c>
      <c r="O441" s="14">
        <v>925</v>
      </c>
      <c r="P441" s="14" t="s">
        <v>16</v>
      </c>
      <c r="Q441" s="75">
        <v>94</v>
      </c>
      <c r="R441" s="11" t="s">
        <v>37</v>
      </c>
      <c r="S441" s="12" t="s">
        <v>93</v>
      </c>
      <c r="T441" s="12" t="s">
        <v>138</v>
      </c>
      <c r="U441" s="12" t="s">
        <v>158</v>
      </c>
      <c r="V441" s="12" t="s">
        <v>275</v>
      </c>
      <c r="W441" s="23" t="s">
        <v>943</v>
      </c>
      <c r="X441" s="12" t="s">
        <v>280</v>
      </c>
      <c r="Y441" s="12" t="s">
        <v>69</v>
      </c>
      <c r="Z441" s="12" t="s">
        <v>37</v>
      </c>
      <c r="AA441" s="32" t="s">
        <v>493</v>
      </c>
      <c r="AB441" s="12">
        <v>3.4</v>
      </c>
      <c r="AC441" s="12" t="s">
        <v>42</v>
      </c>
      <c r="AD441" s="32" t="s">
        <v>493</v>
      </c>
      <c r="AE441" s="12">
        <v>410</v>
      </c>
      <c r="AF441" s="12" t="s">
        <v>42</v>
      </c>
      <c r="AG441" s="32" t="s">
        <v>493</v>
      </c>
      <c r="AH441" s="12">
        <v>13</v>
      </c>
      <c r="AJ441" s="12" t="str">
        <f t="shared" si="1659"/>
        <v>0-25</v>
      </c>
      <c r="AK441" s="19">
        <f t="shared" si="1660"/>
        <v>31.53846153846154</v>
      </c>
      <c r="AL441" s="32" t="s">
        <v>98</v>
      </c>
      <c r="AM441" s="20" t="s">
        <v>344</v>
      </c>
      <c r="AO441" s="20" t="s">
        <v>37</v>
      </c>
      <c r="AP441" s="12" t="s">
        <v>600</v>
      </c>
      <c r="AQ441" s="12" t="s">
        <v>73</v>
      </c>
      <c r="AR441" s="12" t="s">
        <v>42</v>
      </c>
      <c r="AS441" s="32" t="s">
        <v>493</v>
      </c>
      <c r="AT441" s="12">
        <v>410</v>
      </c>
      <c r="AU441" s="15">
        <v>20</v>
      </c>
      <c r="AV441" s="18">
        <v>2</v>
      </c>
      <c r="AW441" s="19">
        <f t="shared" si="1666"/>
        <v>4.878048780487805E-2</v>
      </c>
      <c r="AX441" s="15">
        <v>340</v>
      </c>
      <c r="AY441" s="15">
        <v>42.4</v>
      </c>
      <c r="AZ441" s="13">
        <v>2</v>
      </c>
      <c r="BA441" s="19">
        <f t="shared" si="1667"/>
        <v>0.12470588235294117</v>
      </c>
      <c r="BB441" s="52">
        <f t="shared" si="1668"/>
        <v>-0.18721154208814647</v>
      </c>
      <c r="BC441" s="19">
        <f t="shared" si="1669"/>
        <v>8.9655465419537297E-3</v>
      </c>
      <c r="BE441" s="12" t="s">
        <v>37</v>
      </c>
      <c r="BF441" s="12" t="s">
        <v>37</v>
      </c>
      <c r="BG441" s="13" t="s">
        <v>37</v>
      </c>
      <c r="BH441" s="13"/>
      <c r="BI441" s="12" t="s">
        <v>37</v>
      </c>
      <c r="BJ441" s="12" t="s">
        <v>37</v>
      </c>
      <c r="BK441" s="13" t="s">
        <v>37</v>
      </c>
      <c r="BL441" s="13"/>
      <c r="BM441" s="13"/>
      <c r="BN441" s="13"/>
      <c r="BP441" s="12" t="s">
        <v>37</v>
      </c>
      <c r="BQ441" s="12" t="s">
        <v>37</v>
      </c>
      <c r="BR441" s="13" t="s">
        <v>37</v>
      </c>
      <c r="BS441" s="13"/>
      <c r="BT441" s="12" t="s">
        <v>37</v>
      </c>
      <c r="BU441" s="12" t="s">
        <v>37</v>
      </c>
      <c r="BV441" s="12" t="s">
        <v>37</v>
      </c>
      <c r="BW441" s="12"/>
      <c r="BX441" s="12"/>
      <c r="BY441" s="12"/>
      <c r="CA441" s="12" t="s">
        <v>37</v>
      </c>
      <c r="CB441" s="12" t="s">
        <v>37</v>
      </c>
      <c r="CC441" s="13" t="s">
        <v>37</v>
      </c>
      <c r="CD441" s="13"/>
      <c r="CE441" s="12" t="s">
        <v>37</v>
      </c>
      <c r="CF441" s="12" t="s">
        <v>37</v>
      </c>
      <c r="CG441" s="13" t="s">
        <v>37</v>
      </c>
      <c r="CH441" s="13"/>
      <c r="CI441" s="13"/>
      <c r="CJ441" s="13"/>
      <c r="CN441" s="12" t="s">
        <v>37</v>
      </c>
      <c r="CO441" s="12" t="s">
        <v>37</v>
      </c>
      <c r="CP441" s="13" t="s">
        <v>37</v>
      </c>
      <c r="CQ441" s="13"/>
      <c r="CR441" s="12" t="s">
        <v>37</v>
      </c>
      <c r="CS441" s="12" t="s">
        <v>37</v>
      </c>
      <c r="CT441" s="13" t="s">
        <v>37</v>
      </c>
      <c r="CU441" s="13"/>
      <c r="CV441" s="13"/>
      <c r="CW441" s="13"/>
      <c r="CX441" s="72"/>
      <c r="CY441" s="72"/>
      <c r="DA441" s="12" t="s">
        <v>37</v>
      </c>
      <c r="DB441" s="12" t="s">
        <v>37</v>
      </c>
      <c r="DC441" s="13" t="s">
        <v>37</v>
      </c>
      <c r="DD441" s="13"/>
      <c r="DE441" s="12" t="s">
        <v>37</v>
      </c>
      <c r="DF441" s="12" t="s">
        <v>37</v>
      </c>
      <c r="DG441" s="13" t="s">
        <v>37</v>
      </c>
      <c r="DH441" s="13"/>
      <c r="DI441" s="13"/>
      <c r="DJ441" s="13"/>
      <c r="DM441" s="15" t="s">
        <v>47</v>
      </c>
      <c r="DN441" s="15">
        <v>172</v>
      </c>
      <c r="DO441" s="15">
        <v>22</v>
      </c>
      <c r="DP441" s="18">
        <v>6</v>
      </c>
      <c r="DQ441" s="19">
        <f t="shared" ref="DQ441:DQ444" si="1713">DO441/ABS(DN441)</f>
        <v>0.12790697674418605</v>
      </c>
      <c r="DR441" s="15">
        <v>1.5</v>
      </c>
      <c r="DS441" s="15">
        <v>1.6</v>
      </c>
      <c r="DT441" s="18">
        <v>6</v>
      </c>
      <c r="DU441" s="19">
        <f t="shared" ref="DU441:DU444" si="1714">DS441/ABS(DR441)</f>
        <v>1.0666666666666667</v>
      </c>
      <c r="DV441" s="19">
        <f t="shared" ref="DV441:DV444" si="1715">DR441-DN441</f>
        <v>-170.5</v>
      </c>
      <c r="DW441" s="12">
        <f t="shared" ref="DW441:DW446" si="1716">SQRT(((DP441-1)*DO441^2+(DT441-1)*DS441^2)/(DP441+DT441-2))</f>
        <v>15.597435686676192</v>
      </c>
      <c r="DX441" s="72">
        <f t="shared" si="1611"/>
        <v>81.093333333333334</v>
      </c>
      <c r="DY441" s="72">
        <f t="shared" si="1612"/>
        <v>81.093333333333334</v>
      </c>
      <c r="DZ441" s="11" t="s">
        <v>47</v>
      </c>
      <c r="EA441" s="15">
        <v>0.3</v>
      </c>
      <c r="EB441" s="15">
        <v>0.35</v>
      </c>
      <c r="EC441" s="18">
        <v>6</v>
      </c>
      <c r="ED441" s="52">
        <f t="shared" ref="ED441:ED444" si="1717">EB441/ABS(EA441)</f>
        <v>1.1666666666666667</v>
      </c>
      <c r="EE441" s="15">
        <v>3.7</v>
      </c>
      <c r="EF441" s="15">
        <v>1.05</v>
      </c>
      <c r="EG441" s="18">
        <v>6</v>
      </c>
      <c r="EH441" s="52">
        <f t="shared" ref="EH441:EH444" si="1718">EF441/ABS(EE441)</f>
        <v>0.28378378378378377</v>
      </c>
      <c r="EI441" s="19">
        <f t="shared" si="1645"/>
        <v>3.4000000000000004</v>
      </c>
      <c r="EJ441" s="12">
        <f t="shared" si="1646"/>
        <v>0.78262379212492639</v>
      </c>
      <c r="EK441" s="19">
        <f t="shared" si="1647"/>
        <v>0.20416666666666666</v>
      </c>
      <c r="EL441" s="19">
        <f t="shared" si="1648"/>
        <v>0.20416666666666666</v>
      </c>
      <c r="EM441" s="12" t="s">
        <v>39</v>
      </c>
      <c r="EN441" s="12">
        <v>-9</v>
      </c>
      <c r="EO441" s="12">
        <v>1.9</v>
      </c>
      <c r="EP441" s="13">
        <v>3</v>
      </c>
      <c r="EQ441" s="19">
        <f t="shared" si="1682"/>
        <v>0.21111111111111111</v>
      </c>
      <c r="ER441" s="12" t="s">
        <v>37</v>
      </c>
      <c r="ES441" s="12" t="s">
        <v>37</v>
      </c>
      <c r="ET441" s="13" t="s">
        <v>37</v>
      </c>
      <c r="EU441" s="13"/>
      <c r="EW441" s="12"/>
      <c r="EX441" s="12"/>
      <c r="EY441" s="12"/>
      <c r="FB441" s="11" t="s">
        <v>37</v>
      </c>
      <c r="FC441" s="11" t="s">
        <v>37</v>
      </c>
      <c r="FD441" s="11" t="s">
        <v>37</v>
      </c>
      <c r="FE441" s="12" t="s">
        <v>37</v>
      </c>
      <c r="FF441" s="20" t="s">
        <v>37</v>
      </c>
      <c r="FG441" s="11" t="s">
        <v>37</v>
      </c>
      <c r="FI441" s="11" t="s">
        <v>37</v>
      </c>
      <c r="FJ441" s="11" t="s">
        <v>37</v>
      </c>
      <c r="FK441" s="11" t="s">
        <v>37</v>
      </c>
      <c r="FL441" s="13" t="s">
        <v>37</v>
      </c>
      <c r="FM441" s="11" t="s">
        <v>37</v>
      </c>
      <c r="FN441" s="11" t="s">
        <v>37</v>
      </c>
      <c r="FP441" s="11" t="s">
        <v>37</v>
      </c>
      <c r="FQ441" s="11" t="s">
        <v>37</v>
      </c>
      <c r="FR441" s="11" t="s">
        <v>37</v>
      </c>
      <c r="FS441" s="13" t="s">
        <v>37</v>
      </c>
      <c r="FT441" s="11" t="s">
        <v>37</v>
      </c>
      <c r="FU441" s="11" t="s">
        <v>37</v>
      </c>
      <c r="FW441" s="11" t="s">
        <v>37</v>
      </c>
      <c r="FX441" s="11" t="s">
        <v>37</v>
      </c>
      <c r="FY441" s="11" t="s">
        <v>37</v>
      </c>
      <c r="FZ441" s="13" t="s">
        <v>37</v>
      </c>
      <c r="GA441" s="11" t="s">
        <v>37</v>
      </c>
      <c r="GB441" s="11" t="s">
        <v>37</v>
      </c>
      <c r="GC441" s="12" t="s">
        <v>101</v>
      </c>
      <c r="GD441" s="12" t="s">
        <v>372</v>
      </c>
      <c r="GE441" s="12">
        <v>87.11</v>
      </c>
      <c r="GF441" s="12">
        <v>1.71</v>
      </c>
      <c r="GG441" s="13">
        <v>3</v>
      </c>
      <c r="GH441" s="19">
        <f t="shared" si="1687"/>
        <v>1.9630352427964643E-2</v>
      </c>
      <c r="GI441" s="12">
        <v>70.849999999999994</v>
      </c>
      <c r="GJ441" s="12">
        <v>3.84</v>
      </c>
      <c r="GK441" s="13">
        <v>3</v>
      </c>
      <c r="GL441" s="19">
        <f t="shared" si="1688"/>
        <v>5.4199011997177138E-2</v>
      </c>
      <c r="GM441" s="19">
        <f t="shared" ref="GM441:GM446" si="1719">LN(GI441/GE441)</f>
        <v>-0.20660672169411123</v>
      </c>
      <c r="GN441" s="19">
        <f t="shared" si="1689"/>
        <v>1.1076278793054164E-3</v>
      </c>
      <c r="GQ441" s="12" t="s">
        <v>37</v>
      </c>
      <c r="GR441" s="12" t="s">
        <v>37</v>
      </c>
      <c r="GS441" s="13" t="s">
        <v>37</v>
      </c>
      <c r="GT441" s="13"/>
      <c r="GU441" s="12" t="s">
        <v>37</v>
      </c>
      <c r="GV441" s="12" t="s">
        <v>37</v>
      </c>
      <c r="GW441" s="13" t="s">
        <v>37</v>
      </c>
      <c r="GX441" s="13"/>
      <c r="GY441" s="13"/>
      <c r="GZ441" s="13"/>
      <c r="HA441" s="17" t="s">
        <v>63</v>
      </c>
      <c r="HB441" s="34" t="s">
        <v>330</v>
      </c>
      <c r="HC441" s="12">
        <v>0.1</v>
      </c>
      <c r="HD441" s="12">
        <v>0.02</v>
      </c>
      <c r="HE441" s="13">
        <v>2</v>
      </c>
      <c r="HF441" s="19">
        <f t="shared" si="1691"/>
        <v>0.19999999999999998</v>
      </c>
      <c r="HG441" s="12">
        <v>0.28000000000000003</v>
      </c>
      <c r="HH441" s="12">
        <v>4.2426406871192854E-2</v>
      </c>
      <c r="HI441" s="13">
        <v>2</v>
      </c>
      <c r="HJ441" s="19">
        <f t="shared" ref="HJ441:HJ443" si="1720">HH441/HG441</f>
        <v>0.15152288168283159</v>
      </c>
      <c r="HK441" s="19">
        <f t="shared" si="1692"/>
        <v>1.0296194171811583</v>
      </c>
      <c r="HL441" s="19">
        <f t="shared" si="1693"/>
        <v>3.147959183673469E-2</v>
      </c>
      <c r="HM441" s="32"/>
      <c r="HN441" s="12" t="s">
        <v>37</v>
      </c>
      <c r="HO441" s="12" t="s">
        <v>37</v>
      </c>
      <c r="HP441" s="13" t="s">
        <v>37</v>
      </c>
      <c r="HQ441" s="13"/>
      <c r="HR441" s="12" t="s">
        <v>37</v>
      </c>
      <c r="HS441" s="12" t="s">
        <v>37</v>
      </c>
      <c r="HT441" s="13" t="s">
        <v>37</v>
      </c>
      <c r="HU441" s="13"/>
      <c r="HV441" s="13"/>
      <c r="HW441" s="13"/>
      <c r="HY441" s="12" t="s">
        <v>37</v>
      </c>
      <c r="HZ441" s="12" t="s">
        <v>37</v>
      </c>
      <c r="IA441" s="13" t="s">
        <v>37</v>
      </c>
      <c r="IB441" s="13"/>
      <c r="IC441" s="12" t="s">
        <v>37</v>
      </c>
      <c r="ID441" s="12" t="s">
        <v>37</v>
      </c>
      <c r="IE441" s="13" t="s">
        <v>37</v>
      </c>
      <c r="IF441" s="13"/>
      <c r="IG441" s="13"/>
      <c r="IH441" s="13"/>
      <c r="IK441" s="12" t="s">
        <v>37</v>
      </c>
      <c r="IL441" s="12" t="s">
        <v>37</v>
      </c>
      <c r="IM441" s="12" t="s">
        <v>37</v>
      </c>
      <c r="IN441" s="12"/>
      <c r="IO441" s="12" t="s">
        <v>37</v>
      </c>
      <c r="IP441" s="12" t="s">
        <v>37</v>
      </c>
      <c r="IQ441" s="12" t="s">
        <v>37</v>
      </c>
      <c r="IR441" s="12"/>
      <c r="IS441" s="12"/>
      <c r="IT441" s="12"/>
      <c r="IV441" s="32" t="s">
        <v>493</v>
      </c>
      <c r="IW441" s="12">
        <v>3.4</v>
      </c>
      <c r="IX441" s="50">
        <f>ABS(IW441)*IZ$474</f>
        <v>0.12448332493527867</v>
      </c>
      <c r="IY441" s="13">
        <v>2</v>
      </c>
      <c r="IZ441" s="13"/>
      <c r="JA441" s="12">
        <v>4</v>
      </c>
      <c r="JB441" s="50">
        <f>ABS(JA441)*JD$474</f>
        <v>0.11203523514281104</v>
      </c>
      <c r="JC441" s="13">
        <v>3</v>
      </c>
      <c r="JD441" s="13"/>
      <c r="JE441" s="19">
        <f t="shared" si="1670"/>
        <v>0.16251892949777494</v>
      </c>
      <c r="JF441" s="19">
        <f t="shared" si="1671"/>
        <v>9.3174425123761814E-4</v>
      </c>
      <c r="JH441" s="12" t="s">
        <v>37</v>
      </c>
      <c r="JI441" s="12" t="s">
        <v>37</v>
      </c>
      <c r="JJ441" s="13" t="s">
        <v>37</v>
      </c>
      <c r="JK441" s="13"/>
      <c r="JL441" s="12" t="s">
        <v>37</v>
      </c>
      <c r="JM441" s="12" t="s">
        <v>37</v>
      </c>
      <c r="JN441" s="12" t="s">
        <v>37</v>
      </c>
      <c r="JO441" s="12"/>
      <c r="JP441" s="12"/>
      <c r="JQ441" s="12"/>
      <c r="JS441" s="12" t="s">
        <v>37</v>
      </c>
      <c r="JT441" s="12" t="s">
        <v>37</v>
      </c>
      <c r="JU441" s="13" t="s">
        <v>37</v>
      </c>
      <c r="JV441" s="13"/>
      <c r="JW441" s="12" t="s">
        <v>37</v>
      </c>
      <c r="JX441" s="12" t="s">
        <v>37</v>
      </c>
      <c r="JY441" s="12" t="s">
        <v>37</v>
      </c>
      <c r="JZ441" s="12"/>
      <c r="KA441" s="12"/>
      <c r="KB441" s="12"/>
      <c r="KE441" s="11" t="s">
        <v>37</v>
      </c>
      <c r="KF441" s="11" t="s">
        <v>37</v>
      </c>
      <c r="KG441" s="13" t="s">
        <v>37</v>
      </c>
      <c r="KH441" s="11" t="s">
        <v>37</v>
      </c>
      <c r="KI441" s="11" t="s">
        <v>37</v>
      </c>
      <c r="KJ441" s="11" t="s">
        <v>37</v>
      </c>
      <c r="KK441" s="12" t="s">
        <v>42</v>
      </c>
      <c r="KL441" s="32" t="s">
        <v>493</v>
      </c>
      <c r="KM441" s="12">
        <v>13</v>
      </c>
      <c r="KN441" s="12">
        <v>0.70710678118654757</v>
      </c>
      <c r="KO441" s="11">
        <v>2</v>
      </c>
      <c r="KP441" s="19">
        <f t="shared" si="1672"/>
        <v>5.4392829322042119E-2</v>
      </c>
      <c r="KQ441" s="12">
        <v>13.9</v>
      </c>
      <c r="KR441" s="12">
        <v>1.697056274847714</v>
      </c>
      <c r="KS441" s="13">
        <v>2</v>
      </c>
      <c r="KT441" s="19">
        <f t="shared" si="1673"/>
        <v>0.12209037948544706</v>
      </c>
      <c r="KU441" s="19">
        <f t="shared" si="1674"/>
        <v>6.693948267510931E-2</v>
      </c>
      <c r="KV441" s="19">
        <f t="shared" si="1675"/>
        <v>8.9323203222786366E-3</v>
      </c>
      <c r="KX441" s="12" t="s">
        <v>37</v>
      </c>
      <c r="KY441" s="12" t="s">
        <v>37</v>
      </c>
      <c r="KZ441" s="13" t="s">
        <v>37</v>
      </c>
      <c r="LA441" s="13"/>
      <c r="LB441" s="12" t="s">
        <v>37</v>
      </c>
      <c r="LC441" s="12" t="s">
        <v>37</v>
      </c>
      <c r="LD441" s="13" t="s">
        <v>37</v>
      </c>
      <c r="LE441" s="13"/>
      <c r="LF441" s="13"/>
      <c r="LG441" s="13"/>
      <c r="LI441" s="12" t="s">
        <v>37</v>
      </c>
      <c r="LJ441" s="12" t="s">
        <v>37</v>
      </c>
      <c r="LK441" s="12" t="s">
        <v>37</v>
      </c>
      <c r="LL441" s="12"/>
      <c r="LM441" s="12" t="s">
        <v>37</v>
      </c>
      <c r="LN441" s="12" t="s">
        <v>37</v>
      </c>
      <c r="LO441" s="12" t="s">
        <v>37</v>
      </c>
      <c r="LP441" s="12"/>
      <c r="LQ441" s="12"/>
      <c r="LR441" s="12"/>
      <c r="LT441" s="12" t="s">
        <v>944</v>
      </c>
      <c r="LU441" s="12">
        <v>31.53846153846154</v>
      </c>
      <c r="LV441" s="12">
        <v>2.3042760329728704</v>
      </c>
      <c r="LW441" s="13">
        <v>2</v>
      </c>
      <c r="LX441" s="19">
        <f t="shared" si="1676"/>
        <v>7.3062410801578812E-2</v>
      </c>
      <c r="LY441" s="12">
        <v>24.46043165467626</v>
      </c>
      <c r="LZ441" s="12">
        <v>4.2688616849034444</v>
      </c>
      <c r="MA441" s="13">
        <v>2</v>
      </c>
      <c r="MB441" s="19">
        <f t="shared" si="1677"/>
        <v>0.17452111005928786</v>
      </c>
      <c r="MC441" s="19">
        <f t="shared" si="1678"/>
        <v>-0.2541510247632558</v>
      </c>
      <c r="MD441" s="19">
        <f t="shared" si="1679"/>
        <v>1.7897866864232365E-2</v>
      </c>
      <c r="MF441" s="12" t="s">
        <v>37</v>
      </c>
      <c r="MG441" s="12" t="s">
        <v>37</v>
      </c>
      <c r="MH441" s="12" t="s">
        <v>37</v>
      </c>
      <c r="MI441" s="12"/>
      <c r="MJ441" s="12" t="s">
        <v>37</v>
      </c>
      <c r="MK441" s="12" t="s">
        <v>37</v>
      </c>
      <c r="ML441" s="12" t="s">
        <v>37</v>
      </c>
      <c r="MM441" s="12"/>
      <c r="MN441" s="12"/>
      <c r="MO441" s="12"/>
      <c r="MQ441" s="12" t="s">
        <v>37</v>
      </c>
      <c r="MR441" s="12" t="s">
        <v>37</v>
      </c>
      <c r="MS441" s="12" t="s">
        <v>37</v>
      </c>
      <c r="MT441" s="12"/>
      <c r="MU441" s="12" t="s">
        <v>37</v>
      </c>
      <c r="MV441" s="12" t="s">
        <v>37</v>
      </c>
      <c r="MW441" s="12" t="s">
        <v>37</v>
      </c>
      <c r="MX441" s="12"/>
      <c r="MY441" s="12"/>
      <c r="MZ441" s="12"/>
      <c r="NA441" s="12" t="s">
        <v>102</v>
      </c>
      <c r="NB441" s="12" t="s">
        <v>372</v>
      </c>
      <c r="NC441" s="12">
        <v>15.42</v>
      </c>
      <c r="ND441" s="12">
        <v>1.66</v>
      </c>
      <c r="NE441" s="13">
        <v>3</v>
      </c>
      <c r="NF441" s="19">
        <f t="shared" si="1695"/>
        <v>0.10765239948119325</v>
      </c>
      <c r="NG441" s="12">
        <v>19.95</v>
      </c>
      <c r="NH441" s="12">
        <v>5.8</v>
      </c>
      <c r="NI441" s="13">
        <v>3</v>
      </c>
      <c r="NJ441" s="19">
        <f t="shared" si="1696"/>
        <v>0.2907268170426065</v>
      </c>
      <c r="NK441" s="19">
        <f t="shared" si="1697"/>
        <v>0.25756377520068907</v>
      </c>
      <c r="NL441" s="19">
        <f t="shared" si="1698"/>
        <v>3.2037040420594541E-2</v>
      </c>
      <c r="NM441" s="12" t="s">
        <v>102</v>
      </c>
      <c r="NN441" s="12" t="s">
        <v>372</v>
      </c>
      <c r="NO441" s="12">
        <v>3.89</v>
      </c>
      <c r="NP441" s="12">
        <v>1.34</v>
      </c>
      <c r="NQ441" s="13">
        <v>3</v>
      </c>
      <c r="NR441" s="19">
        <f t="shared" ref="NR441:NR443" si="1721">NP441/NO441</f>
        <v>0.34447300771208228</v>
      </c>
      <c r="NS441" s="12">
        <v>20.87</v>
      </c>
      <c r="NT441" s="12">
        <v>9.15</v>
      </c>
      <c r="NU441" s="13">
        <v>3</v>
      </c>
      <c r="NV441" s="19">
        <f t="shared" ref="NV441:NV443" si="1722">NT441/NS441</f>
        <v>0.43842836607570673</v>
      </c>
      <c r="NW441" s="19">
        <f t="shared" si="1699"/>
        <v>1.6799035634587545</v>
      </c>
      <c r="NX441" s="19">
        <f t="shared" si="1700"/>
        <v>0.10362702840734075</v>
      </c>
      <c r="OA441" s="11" t="s">
        <v>37</v>
      </c>
      <c r="OB441" s="11" t="s">
        <v>37</v>
      </c>
      <c r="OC441" s="13" t="s">
        <v>37</v>
      </c>
      <c r="OE441" s="11" t="s">
        <v>37</v>
      </c>
      <c r="OF441" s="11" t="s">
        <v>37</v>
      </c>
      <c r="OG441" s="13" t="s">
        <v>37</v>
      </c>
      <c r="OM441" s="11" t="s">
        <v>37</v>
      </c>
      <c r="ON441" s="11" t="s">
        <v>37</v>
      </c>
      <c r="OO441" s="11" t="s">
        <v>37</v>
      </c>
      <c r="OP441" s="11" t="s">
        <v>37</v>
      </c>
      <c r="OQ441" s="11" t="s">
        <v>37</v>
      </c>
      <c r="OR441" s="11" t="s">
        <v>37</v>
      </c>
      <c r="OW441" s="11" t="s">
        <v>37</v>
      </c>
      <c r="OX441" s="11" t="s">
        <v>37</v>
      </c>
      <c r="OY441" s="13" t="s">
        <v>37</v>
      </c>
      <c r="OZ441" s="11" t="s">
        <v>37</v>
      </c>
      <c r="PA441" s="11" t="s">
        <v>37</v>
      </c>
      <c r="PB441" s="13" t="s">
        <v>37</v>
      </c>
      <c r="PG441" s="11" t="s">
        <v>37</v>
      </c>
      <c r="PH441" s="11" t="s">
        <v>37</v>
      </c>
      <c r="PI441" s="13" t="s">
        <v>37</v>
      </c>
      <c r="PJ441" s="11" t="s">
        <v>37</v>
      </c>
      <c r="PK441" s="11" t="s">
        <v>37</v>
      </c>
      <c r="PL441" s="13" t="s">
        <v>37</v>
      </c>
      <c r="PQ441" s="11" t="s">
        <v>37</v>
      </c>
      <c r="PR441" s="11" t="s">
        <v>37</v>
      </c>
      <c r="PS441" s="13" t="s">
        <v>37</v>
      </c>
      <c r="PT441" s="11" t="s">
        <v>37</v>
      </c>
      <c r="PU441" s="11" t="s">
        <v>37</v>
      </c>
      <c r="PV441" s="13" t="s">
        <v>37</v>
      </c>
      <c r="PZ441" s="12" t="s">
        <v>37</v>
      </c>
      <c r="QA441" s="12" t="s">
        <v>37</v>
      </c>
      <c r="QB441" s="11" t="s">
        <v>37</v>
      </c>
      <c r="QC441" s="11"/>
      <c r="QD441" s="12" t="s">
        <v>37</v>
      </c>
      <c r="QE441" s="12" t="s">
        <v>37</v>
      </c>
      <c r="QF441" s="12" t="s">
        <v>37</v>
      </c>
      <c r="QG441" s="12"/>
      <c r="QH441" s="12"/>
      <c r="QI441" s="12"/>
      <c r="QK441" s="11" t="s">
        <v>37</v>
      </c>
      <c r="QL441" s="11" t="s">
        <v>37</v>
      </c>
      <c r="QM441" s="13" t="s">
        <v>37</v>
      </c>
      <c r="QN441" s="11" t="s">
        <v>37</v>
      </c>
      <c r="QO441" s="11" t="s">
        <v>37</v>
      </c>
      <c r="QP441" s="13" t="s">
        <v>37</v>
      </c>
      <c r="QU441" s="11" t="s">
        <v>37</v>
      </c>
      <c r="QV441" s="11" t="s">
        <v>37</v>
      </c>
      <c r="QW441" s="13" t="s">
        <v>37</v>
      </c>
      <c r="QX441" s="11" t="s">
        <v>37</v>
      </c>
      <c r="QY441" s="11" t="s">
        <v>37</v>
      </c>
      <c r="QZ441" s="13" t="s">
        <v>37</v>
      </c>
      <c r="RC441" s="12" t="s">
        <v>37</v>
      </c>
      <c r="RD441" s="12" t="s">
        <v>37</v>
      </c>
      <c r="RE441" s="13" t="s">
        <v>37</v>
      </c>
      <c r="RF441" s="12" t="s">
        <v>37</v>
      </c>
      <c r="RG441" s="12" t="s">
        <v>37</v>
      </c>
      <c r="RH441" s="13" t="s">
        <v>37</v>
      </c>
      <c r="RK441" s="11" t="s">
        <v>37</v>
      </c>
      <c r="RL441" s="11" t="s">
        <v>37</v>
      </c>
      <c r="RM441" s="11" t="s">
        <v>37</v>
      </c>
      <c r="RN441" s="11" t="s">
        <v>37</v>
      </c>
      <c r="RO441" s="11" t="s">
        <v>37</v>
      </c>
      <c r="RP441" s="11" t="s">
        <v>37</v>
      </c>
      <c r="RS441" s="11" t="s">
        <v>37</v>
      </c>
      <c r="RT441" s="11" t="s">
        <v>37</v>
      </c>
      <c r="RU441" s="11" t="s">
        <v>37</v>
      </c>
      <c r="RV441" s="11" t="s">
        <v>37</v>
      </c>
      <c r="RW441" s="11" t="s">
        <v>37</v>
      </c>
      <c r="RX441" s="11" t="s">
        <v>37</v>
      </c>
      <c r="SA441" s="11" t="s">
        <v>37</v>
      </c>
      <c r="SB441" s="11" t="s">
        <v>37</v>
      </c>
      <c r="SC441" s="13" t="s">
        <v>37</v>
      </c>
      <c r="SD441" s="11" t="s">
        <v>37</v>
      </c>
      <c r="SE441" s="11" t="s">
        <v>37</v>
      </c>
      <c r="SF441" s="13" t="s">
        <v>37</v>
      </c>
      <c r="SI441" s="12" t="s">
        <v>37</v>
      </c>
      <c r="SJ441" s="11" t="s">
        <v>37</v>
      </c>
      <c r="SK441" s="13" t="s">
        <v>37</v>
      </c>
      <c r="SL441" s="13"/>
      <c r="SM441" s="11" t="s">
        <v>37</v>
      </c>
      <c r="SN441" s="11" t="s">
        <v>37</v>
      </c>
      <c r="SO441" s="13" t="s">
        <v>37</v>
      </c>
      <c r="SP441" s="13"/>
      <c r="SQ441" s="13"/>
      <c r="SR441" s="13"/>
      <c r="SU441" s="12" t="s">
        <v>37</v>
      </c>
      <c r="SV441" s="12" t="s">
        <v>37</v>
      </c>
      <c r="SW441" s="11" t="s">
        <v>37</v>
      </c>
      <c r="SX441" s="12" t="s">
        <v>37</v>
      </c>
      <c r="SY441" s="12" t="s">
        <v>37</v>
      </c>
      <c r="SZ441" s="11" t="s">
        <v>37</v>
      </c>
      <c r="TE441" s="12" t="s">
        <v>37</v>
      </c>
      <c r="TF441" s="12" t="s">
        <v>37</v>
      </c>
      <c r="TG441" s="11" t="s">
        <v>37</v>
      </c>
      <c r="TH441" s="12" t="s">
        <v>37</v>
      </c>
      <c r="TI441" s="12" t="s">
        <v>37</v>
      </c>
      <c r="TJ441" s="11" t="s">
        <v>37</v>
      </c>
      <c r="TO441" s="12" t="s">
        <v>37</v>
      </c>
      <c r="TP441" s="12" t="s">
        <v>37</v>
      </c>
      <c r="TQ441" s="11" t="s">
        <v>37</v>
      </c>
      <c r="TR441" s="12" t="s">
        <v>37</v>
      </c>
      <c r="TS441" s="12" t="s">
        <v>37</v>
      </c>
      <c r="TT441" s="11" t="s">
        <v>37</v>
      </c>
      <c r="TY441" s="12" t="s">
        <v>37</v>
      </c>
      <c r="TZ441" s="12" t="s">
        <v>37</v>
      </c>
      <c r="UA441" s="11" t="s">
        <v>37</v>
      </c>
      <c r="UB441" s="12" t="s">
        <v>37</v>
      </c>
      <c r="UC441" s="12" t="s">
        <v>37</v>
      </c>
      <c r="UD441" s="11" t="s">
        <v>37</v>
      </c>
      <c r="UI441" s="12" t="s">
        <v>37</v>
      </c>
      <c r="UJ441" s="12" t="s">
        <v>37</v>
      </c>
      <c r="UK441" s="13" t="s">
        <v>37</v>
      </c>
      <c r="UL441" s="12" t="s">
        <v>37</v>
      </c>
      <c r="UM441" s="12" t="s">
        <v>37</v>
      </c>
      <c r="UN441" s="13" t="s">
        <v>37</v>
      </c>
      <c r="UR441" s="12" t="s">
        <v>37</v>
      </c>
      <c r="US441" s="12" t="s">
        <v>37</v>
      </c>
      <c r="UT441" s="13" t="s">
        <v>37</v>
      </c>
      <c r="UU441" s="12" t="s">
        <v>37</v>
      </c>
      <c r="UV441" s="12" t="s">
        <v>37</v>
      </c>
      <c r="UW441" s="13" t="s">
        <v>37</v>
      </c>
      <c r="VB441" s="12" t="s">
        <v>37</v>
      </c>
      <c r="VC441" s="12" t="s">
        <v>37</v>
      </c>
      <c r="VD441" s="13" t="s">
        <v>37</v>
      </c>
      <c r="VE441" s="12" t="s">
        <v>37</v>
      </c>
      <c r="VF441" s="12" t="s">
        <v>37</v>
      </c>
      <c r="VG441" s="13" t="s">
        <v>37</v>
      </c>
      <c r="VI441" s="12" t="s">
        <v>37</v>
      </c>
      <c r="VJ441" s="12" t="s">
        <v>37</v>
      </c>
      <c r="VK441" s="13" t="s">
        <v>37</v>
      </c>
      <c r="VL441" s="12" t="s">
        <v>37</v>
      </c>
      <c r="VM441" s="12" t="s">
        <v>37</v>
      </c>
      <c r="VN441" s="13" t="s">
        <v>37</v>
      </c>
      <c r="VQ441" s="12" t="s">
        <v>37</v>
      </c>
      <c r="VR441" s="12" t="s">
        <v>37</v>
      </c>
      <c r="VS441" s="12" t="s">
        <v>37</v>
      </c>
      <c r="VT441" s="12" t="s">
        <v>37</v>
      </c>
      <c r="VU441" s="12" t="s">
        <v>37</v>
      </c>
      <c r="VV441" s="12" t="s">
        <v>37</v>
      </c>
      <c r="VW441" s="12"/>
      <c r="VX441" s="12"/>
      <c r="WA441" s="13" t="s">
        <v>37</v>
      </c>
      <c r="WB441" s="13" t="s">
        <v>37</v>
      </c>
      <c r="WC441" s="13" t="s">
        <v>37</v>
      </c>
      <c r="WD441" s="13" t="s">
        <v>37</v>
      </c>
      <c r="WE441" s="13" t="s">
        <v>37</v>
      </c>
      <c r="WF441" s="13" t="s">
        <v>37</v>
      </c>
    </row>
    <row r="442" spans="1:604" ht="17.399999999999999" x14ac:dyDescent="0.4">
      <c r="A442" s="11">
        <v>103</v>
      </c>
      <c r="B442" s="12" t="s">
        <v>932</v>
      </c>
      <c r="C442" s="12" t="s">
        <v>26</v>
      </c>
      <c r="D442" s="12" t="s">
        <v>974</v>
      </c>
      <c r="E442" s="14">
        <v>4</v>
      </c>
      <c r="F442" s="72">
        <v>112</v>
      </c>
      <c r="G442" s="14">
        <v>25</v>
      </c>
      <c r="H442" s="12" t="s">
        <v>96</v>
      </c>
      <c r="I442" s="29">
        <v>57.23</v>
      </c>
      <c r="J442" s="29">
        <v>9.84</v>
      </c>
      <c r="K442" s="12" t="s">
        <v>693</v>
      </c>
      <c r="L442" s="12" t="s">
        <v>97</v>
      </c>
      <c r="M442" s="13" t="s">
        <v>37</v>
      </c>
      <c r="N442" s="14">
        <v>9.3000000000000007</v>
      </c>
      <c r="O442" s="14">
        <v>925</v>
      </c>
      <c r="P442" s="14" t="s">
        <v>16</v>
      </c>
      <c r="Q442" s="75">
        <v>94</v>
      </c>
      <c r="R442" s="11" t="s">
        <v>37</v>
      </c>
      <c r="S442" s="12" t="s">
        <v>93</v>
      </c>
      <c r="T442" s="12" t="s">
        <v>138</v>
      </c>
      <c r="U442" s="12" t="s">
        <v>158</v>
      </c>
      <c r="V442" s="12" t="s">
        <v>275</v>
      </c>
      <c r="W442" s="23" t="s">
        <v>943</v>
      </c>
      <c r="X442" s="12" t="s">
        <v>280</v>
      </c>
      <c r="Y442" s="12" t="s">
        <v>69</v>
      </c>
      <c r="Z442" s="12" t="s">
        <v>37</v>
      </c>
      <c r="AA442" s="32" t="s">
        <v>493</v>
      </c>
      <c r="AB442" s="12">
        <v>3.4</v>
      </c>
      <c r="AC442" s="12" t="s">
        <v>42</v>
      </c>
      <c r="AD442" s="32" t="s">
        <v>493</v>
      </c>
      <c r="AE442" s="12">
        <v>410</v>
      </c>
      <c r="AF442" s="12" t="s">
        <v>42</v>
      </c>
      <c r="AG442" s="32" t="s">
        <v>493</v>
      </c>
      <c r="AH442" s="12">
        <v>13</v>
      </c>
      <c r="AJ442" s="12" t="str">
        <f t="shared" si="1659"/>
        <v>0-25</v>
      </c>
      <c r="AK442" s="19">
        <f t="shared" si="1660"/>
        <v>31.53846153846154</v>
      </c>
      <c r="AL442" s="32" t="s">
        <v>98</v>
      </c>
      <c r="AM442" s="20" t="s">
        <v>344</v>
      </c>
      <c r="AO442" s="20" t="s">
        <v>37</v>
      </c>
      <c r="AP442" s="12" t="s">
        <v>600</v>
      </c>
      <c r="AQ442" s="12" t="s">
        <v>73</v>
      </c>
      <c r="AR442" s="12" t="s">
        <v>42</v>
      </c>
      <c r="AS442" s="32" t="s">
        <v>493</v>
      </c>
      <c r="AT442" s="12">
        <v>410</v>
      </c>
      <c r="AU442" s="15">
        <v>20</v>
      </c>
      <c r="AV442" s="18">
        <v>2</v>
      </c>
      <c r="AW442" s="19">
        <f t="shared" si="1666"/>
        <v>4.878048780487805E-2</v>
      </c>
      <c r="AX442" s="15">
        <v>320</v>
      </c>
      <c r="AY442" s="15">
        <v>20</v>
      </c>
      <c r="AZ442" s="18">
        <v>2</v>
      </c>
      <c r="BA442" s="19">
        <f t="shared" si="1667"/>
        <v>6.25E-2</v>
      </c>
      <c r="BB442" s="52">
        <f t="shared" si="1668"/>
        <v>-0.24783616390458121</v>
      </c>
      <c r="BC442" s="19">
        <f t="shared" si="1669"/>
        <v>3.1428929952409283E-3</v>
      </c>
      <c r="BE442" s="12" t="s">
        <v>37</v>
      </c>
      <c r="BF442" s="12" t="s">
        <v>37</v>
      </c>
      <c r="BG442" s="13" t="s">
        <v>37</v>
      </c>
      <c r="BH442" s="13"/>
      <c r="BI442" s="12" t="s">
        <v>37</v>
      </c>
      <c r="BJ442" s="12" t="s">
        <v>37</v>
      </c>
      <c r="BK442" s="13" t="s">
        <v>37</v>
      </c>
      <c r="BL442" s="13"/>
      <c r="BM442" s="13"/>
      <c r="BN442" s="13"/>
      <c r="BP442" s="12" t="s">
        <v>37</v>
      </c>
      <c r="BQ442" s="12" t="s">
        <v>37</v>
      </c>
      <c r="BR442" s="13" t="s">
        <v>37</v>
      </c>
      <c r="BS442" s="13"/>
      <c r="BT442" s="12" t="s">
        <v>37</v>
      </c>
      <c r="BU442" s="12" t="s">
        <v>37</v>
      </c>
      <c r="BV442" s="12" t="s">
        <v>37</v>
      </c>
      <c r="BW442" s="12"/>
      <c r="BX442" s="12"/>
      <c r="BY442" s="12"/>
      <c r="CA442" s="12" t="s">
        <v>37</v>
      </c>
      <c r="CB442" s="12" t="s">
        <v>37</v>
      </c>
      <c r="CC442" s="13" t="s">
        <v>37</v>
      </c>
      <c r="CD442" s="13"/>
      <c r="CE442" s="12" t="s">
        <v>37</v>
      </c>
      <c r="CF442" s="12" t="s">
        <v>37</v>
      </c>
      <c r="CG442" s="13" t="s">
        <v>37</v>
      </c>
      <c r="CH442" s="13"/>
      <c r="CI442" s="13"/>
      <c r="CJ442" s="13"/>
      <c r="CN442" s="12" t="s">
        <v>37</v>
      </c>
      <c r="CO442" s="12" t="s">
        <v>37</v>
      </c>
      <c r="CP442" s="13" t="s">
        <v>37</v>
      </c>
      <c r="CQ442" s="13"/>
      <c r="CR442" s="12" t="s">
        <v>37</v>
      </c>
      <c r="CS442" s="12" t="s">
        <v>37</v>
      </c>
      <c r="CT442" s="13" t="s">
        <v>37</v>
      </c>
      <c r="CU442" s="13"/>
      <c r="CV442" s="13"/>
      <c r="CW442" s="13"/>
      <c r="CX442" s="72"/>
      <c r="CY442" s="72"/>
      <c r="DA442" s="12" t="s">
        <v>37</v>
      </c>
      <c r="DB442" s="12" t="s">
        <v>37</v>
      </c>
      <c r="DC442" s="13" t="s">
        <v>37</v>
      </c>
      <c r="DD442" s="13"/>
      <c r="DE442" s="12" t="s">
        <v>37</v>
      </c>
      <c r="DF442" s="12" t="s">
        <v>37</v>
      </c>
      <c r="DG442" s="13" t="s">
        <v>37</v>
      </c>
      <c r="DH442" s="13"/>
      <c r="DI442" s="13"/>
      <c r="DJ442" s="13"/>
      <c r="DM442" s="15" t="s">
        <v>47</v>
      </c>
      <c r="DN442" s="15">
        <v>172</v>
      </c>
      <c r="DO442" s="15">
        <v>22</v>
      </c>
      <c r="DP442" s="18">
        <v>6</v>
      </c>
      <c r="DQ442" s="19">
        <f t="shared" si="1713"/>
        <v>0.12790697674418605</v>
      </c>
      <c r="DR442" s="15">
        <v>-1.4</v>
      </c>
      <c r="DS442" s="15">
        <v>1.5</v>
      </c>
      <c r="DT442" s="18">
        <v>6</v>
      </c>
      <c r="DU442" s="19">
        <f t="shared" si="1714"/>
        <v>1.0714285714285714</v>
      </c>
      <c r="DV442" s="19">
        <f t="shared" si="1715"/>
        <v>-173.4</v>
      </c>
      <c r="DW442" s="12">
        <f t="shared" si="1716"/>
        <v>15.592466129512676</v>
      </c>
      <c r="DX442" s="72">
        <f t="shared" si="1611"/>
        <v>81.041666666666657</v>
      </c>
      <c r="DY442" s="72">
        <f t="shared" si="1612"/>
        <v>81.041666666666671</v>
      </c>
      <c r="DZ442" s="11" t="s">
        <v>47</v>
      </c>
      <c r="EA442" s="15">
        <v>0.3</v>
      </c>
      <c r="EB442" s="15">
        <v>0.35</v>
      </c>
      <c r="EC442" s="18">
        <v>6</v>
      </c>
      <c r="ED442" s="52">
        <f t="shared" si="1717"/>
        <v>1.1666666666666667</v>
      </c>
      <c r="EE442" s="15">
        <v>1.5</v>
      </c>
      <c r="EF442" s="15">
        <v>0.6</v>
      </c>
      <c r="EG442" s="18">
        <v>6</v>
      </c>
      <c r="EH442" s="52">
        <f t="shared" si="1718"/>
        <v>0.39999999999999997</v>
      </c>
      <c r="EI442" s="19">
        <f t="shared" si="1645"/>
        <v>1.2</v>
      </c>
      <c r="EJ442" s="12">
        <f t="shared" si="1646"/>
        <v>0.49117206760971249</v>
      </c>
      <c r="EK442" s="19">
        <f t="shared" si="1647"/>
        <v>8.041666666666665E-2</v>
      </c>
      <c r="EL442" s="19">
        <f t="shared" si="1648"/>
        <v>8.0416666666666664E-2</v>
      </c>
      <c r="EM442" s="12" t="s">
        <v>39</v>
      </c>
      <c r="EN442" s="12">
        <v>-9</v>
      </c>
      <c r="EO442" s="12">
        <v>1.9</v>
      </c>
      <c r="EP442" s="13">
        <v>3</v>
      </c>
      <c r="EQ442" s="19">
        <f t="shared" si="1682"/>
        <v>0.21111111111111111</v>
      </c>
      <c r="ER442" s="12" t="s">
        <v>37</v>
      </c>
      <c r="ES442" s="12" t="s">
        <v>37</v>
      </c>
      <c r="ET442" s="13" t="s">
        <v>37</v>
      </c>
      <c r="EU442" s="13"/>
      <c r="EV442" s="13"/>
      <c r="EW442" s="13"/>
      <c r="EX442" s="13"/>
      <c r="EY442" s="13"/>
      <c r="FB442" s="11" t="s">
        <v>37</v>
      </c>
      <c r="FC442" s="11" t="s">
        <v>37</v>
      </c>
      <c r="FD442" s="11" t="s">
        <v>37</v>
      </c>
      <c r="FE442" s="12" t="s">
        <v>37</v>
      </c>
      <c r="FF442" s="20" t="s">
        <v>37</v>
      </c>
      <c r="FG442" s="11" t="s">
        <v>37</v>
      </c>
      <c r="FI442" s="11" t="s">
        <v>37</v>
      </c>
      <c r="FJ442" s="11" t="s">
        <v>37</v>
      </c>
      <c r="FK442" s="11" t="s">
        <v>37</v>
      </c>
      <c r="FL442" s="13" t="s">
        <v>37</v>
      </c>
      <c r="FM442" s="11" t="s">
        <v>37</v>
      </c>
      <c r="FN442" s="11" t="s">
        <v>37</v>
      </c>
      <c r="FP442" s="11" t="s">
        <v>37</v>
      </c>
      <c r="FQ442" s="11" t="s">
        <v>37</v>
      </c>
      <c r="FR442" s="11" t="s">
        <v>37</v>
      </c>
      <c r="FS442" s="13" t="s">
        <v>37</v>
      </c>
      <c r="FT442" s="11" t="s">
        <v>37</v>
      </c>
      <c r="FU442" s="11" t="s">
        <v>37</v>
      </c>
      <c r="FW442" s="11" t="s">
        <v>37</v>
      </c>
      <c r="FX442" s="11" t="s">
        <v>37</v>
      </c>
      <c r="FY442" s="11" t="s">
        <v>37</v>
      </c>
      <c r="FZ442" s="13" t="s">
        <v>37</v>
      </c>
      <c r="GA442" s="11" t="s">
        <v>37</v>
      </c>
      <c r="GB442" s="11" t="s">
        <v>37</v>
      </c>
      <c r="GC442" s="12" t="s">
        <v>101</v>
      </c>
      <c r="GD442" s="12" t="s">
        <v>372</v>
      </c>
      <c r="GE442" s="12">
        <v>87.11</v>
      </c>
      <c r="GF442" s="12">
        <v>1.71</v>
      </c>
      <c r="GG442" s="13">
        <v>3</v>
      </c>
      <c r="GH442" s="19">
        <f t="shared" si="1687"/>
        <v>1.9630352427964643E-2</v>
      </c>
      <c r="GI442" s="12">
        <v>69.69</v>
      </c>
      <c r="GJ442" s="12">
        <v>5.0199999999999996</v>
      </c>
      <c r="GK442" s="13">
        <v>3</v>
      </c>
      <c r="GL442" s="19">
        <f t="shared" si="1688"/>
        <v>7.2033290285550292E-2</v>
      </c>
      <c r="GM442" s="19">
        <f t="shared" si="1719"/>
        <v>-0.22311485238037321</v>
      </c>
      <c r="GN442" s="19">
        <f t="shared" si="1689"/>
        <v>1.858048548602817E-3</v>
      </c>
      <c r="GQ442" s="12" t="s">
        <v>37</v>
      </c>
      <c r="GR442" s="12" t="s">
        <v>37</v>
      </c>
      <c r="GS442" s="13" t="s">
        <v>37</v>
      </c>
      <c r="GT442" s="13"/>
      <c r="GU442" s="12" t="s">
        <v>37</v>
      </c>
      <c r="GV442" s="12" t="s">
        <v>37</v>
      </c>
      <c r="GW442" s="13" t="s">
        <v>37</v>
      </c>
      <c r="GX442" s="13"/>
      <c r="GY442" s="13"/>
      <c r="GZ442" s="13"/>
      <c r="HA442" s="17" t="s">
        <v>63</v>
      </c>
      <c r="HB442" s="34" t="s">
        <v>330</v>
      </c>
      <c r="HC442" s="12">
        <v>0.1</v>
      </c>
      <c r="HD442" s="12">
        <v>0.02</v>
      </c>
      <c r="HE442" s="13">
        <v>2</v>
      </c>
      <c r="HF442" s="19">
        <f t="shared" si="1691"/>
        <v>0.19999999999999998</v>
      </c>
      <c r="HG442" s="12">
        <v>0.27</v>
      </c>
      <c r="HH442" s="12">
        <v>1.4142135623730952E-2</v>
      </c>
      <c r="HI442" s="13">
        <v>2</v>
      </c>
      <c r="HJ442" s="19">
        <f t="shared" si="1720"/>
        <v>5.2378280087892415E-2</v>
      </c>
      <c r="HK442" s="19">
        <f t="shared" si="1692"/>
        <v>0.99325177301028345</v>
      </c>
      <c r="HL442" s="19">
        <f t="shared" si="1693"/>
        <v>2.1371742112482852E-2</v>
      </c>
      <c r="HM442" s="32"/>
      <c r="HN442" s="12" t="s">
        <v>37</v>
      </c>
      <c r="HO442" s="12" t="s">
        <v>37</v>
      </c>
      <c r="HP442" s="13" t="s">
        <v>37</v>
      </c>
      <c r="HQ442" s="13"/>
      <c r="HR442" s="12" t="s">
        <v>37</v>
      </c>
      <c r="HS442" s="12" t="s">
        <v>37</v>
      </c>
      <c r="HT442" s="13" t="s">
        <v>37</v>
      </c>
      <c r="HU442" s="13"/>
      <c r="HV442" s="13"/>
      <c r="HW442" s="13"/>
      <c r="HY442" s="12" t="s">
        <v>37</v>
      </c>
      <c r="HZ442" s="12" t="s">
        <v>37</v>
      </c>
      <c r="IA442" s="13" t="s">
        <v>37</v>
      </c>
      <c r="IB442" s="13"/>
      <c r="IC442" s="12" t="s">
        <v>37</v>
      </c>
      <c r="ID442" s="12" t="s">
        <v>37</v>
      </c>
      <c r="IE442" s="13" t="s">
        <v>37</v>
      </c>
      <c r="IF442" s="13"/>
      <c r="IG442" s="13"/>
      <c r="IH442" s="13"/>
      <c r="IK442" s="12" t="s">
        <v>37</v>
      </c>
      <c r="IL442" s="12" t="s">
        <v>37</v>
      </c>
      <c r="IM442" s="13" t="s">
        <v>37</v>
      </c>
      <c r="IN442" s="13"/>
      <c r="IO442" s="12" t="s">
        <v>37</v>
      </c>
      <c r="IP442" s="12" t="s">
        <v>37</v>
      </c>
      <c r="IQ442" s="13" t="s">
        <v>37</v>
      </c>
      <c r="IR442" s="13"/>
      <c r="IS442" s="13"/>
      <c r="IT442" s="13"/>
      <c r="IV442" s="32" t="s">
        <v>493</v>
      </c>
      <c r="IW442" s="12">
        <v>3.4</v>
      </c>
      <c r="IX442" s="50">
        <f>ABS(IW442)*IZ$474</f>
        <v>0.12448332493527867</v>
      </c>
      <c r="IY442" s="13">
        <v>2</v>
      </c>
      <c r="IZ442" s="13"/>
      <c r="JA442" s="12">
        <v>4.8</v>
      </c>
      <c r="JB442" s="50">
        <f>ABS(JA442)*JD$474</f>
        <v>0.13444228217137325</v>
      </c>
      <c r="JC442" s="13">
        <v>4</v>
      </c>
      <c r="JD442" s="13"/>
      <c r="JE442" s="19">
        <f t="shared" si="1670"/>
        <v>0.34484048629172959</v>
      </c>
      <c r="JF442" s="19">
        <f t="shared" si="1671"/>
        <v>8.663698037714464E-4</v>
      </c>
      <c r="JH442" s="12" t="s">
        <v>37</v>
      </c>
      <c r="JI442" s="12" t="s">
        <v>37</v>
      </c>
      <c r="JJ442" s="13" t="s">
        <v>37</v>
      </c>
      <c r="JK442" s="13"/>
      <c r="JL442" s="12" t="s">
        <v>37</v>
      </c>
      <c r="JM442" s="12" t="s">
        <v>37</v>
      </c>
      <c r="JN442" s="12" t="s">
        <v>37</v>
      </c>
      <c r="JO442" s="12"/>
      <c r="JP442" s="12"/>
      <c r="JQ442" s="12"/>
      <c r="JS442" s="12" t="s">
        <v>37</v>
      </c>
      <c r="JT442" s="12" t="s">
        <v>37</v>
      </c>
      <c r="JU442" s="13" t="s">
        <v>37</v>
      </c>
      <c r="JV442" s="13"/>
      <c r="JW442" s="12" t="s">
        <v>37</v>
      </c>
      <c r="JX442" s="12" t="s">
        <v>37</v>
      </c>
      <c r="JY442" s="12" t="s">
        <v>37</v>
      </c>
      <c r="JZ442" s="12"/>
      <c r="KA442" s="12"/>
      <c r="KB442" s="12"/>
      <c r="KE442" s="11" t="s">
        <v>37</v>
      </c>
      <c r="KF442" s="11" t="s">
        <v>37</v>
      </c>
      <c r="KG442" s="13" t="s">
        <v>37</v>
      </c>
      <c r="KH442" s="11" t="s">
        <v>37</v>
      </c>
      <c r="KI442" s="11" t="s">
        <v>37</v>
      </c>
      <c r="KJ442" s="11" t="s">
        <v>37</v>
      </c>
      <c r="KK442" s="12" t="s">
        <v>42</v>
      </c>
      <c r="KL442" s="32" t="s">
        <v>493</v>
      </c>
      <c r="KM442" s="12">
        <v>13</v>
      </c>
      <c r="KN442" s="12">
        <v>0.70710678118654757</v>
      </c>
      <c r="KO442" s="11">
        <v>2</v>
      </c>
      <c r="KP442" s="19">
        <f t="shared" si="1672"/>
        <v>5.4392829322042119E-2</v>
      </c>
      <c r="KQ442" s="12">
        <v>13.4</v>
      </c>
      <c r="KR442" s="12">
        <v>0.14142135623730953</v>
      </c>
      <c r="KS442" s="13">
        <v>2</v>
      </c>
      <c r="KT442" s="19">
        <f t="shared" si="1673"/>
        <v>1.0553832555023099E-2</v>
      </c>
      <c r="KU442" s="19">
        <f t="shared" si="1674"/>
        <v>3.0305349495329058E-2</v>
      </c>
      <c r="KV442" s="19">
        <f t="shared" si="1675"/>
        <v>1.5349816316281354E-3</v>
      </c>
      <c r="KX442" s="11" t="s">
        <v>37</v>
      </c>
      <c r="KY442" s="11" t="s">
        <v>37</v>
      </c>
      <c r="KZ442" s="13" t="s">
        <v>37</v>
      </c>
      <c r="LA442" s="13"/>
      <c r="LB442" s="11" t="s">
        <v>37</v>
      </c>
      <c r="LC442" s="11" t="s">
        <v>37</v>
      </c>
      <c r="LD442" s="13" t="s">
        <v>37</v>
      </c>
      <c r="LE442" s="13"/>
      <c r="LF442" s="13"/>
      <c r="LG442" s="13"/>
      <c r="LI442" s="12" t="s">
        <v>37</v>
      </c>
      <c r="LJ442" s="12" t="s">
        <v>37</v>
      </c>
      <c r="LK442" s="12" t="s">
        <v>37</v>
      </c>
      <c r="LL442" s="12"/>
      <c r="LM442" s="12" t="s">
        <v>37</v>
      </c>
      <c r="LN442" s="12" t="s">
        <v>37</v>
      </c>
      <c r="LO442" s="12" t="s">
        <v>37</v>
      </c>
      <c r="LP442" s="12"/>
      <c r="LQ442" s="12"/>
      <c r="LR442" s="12"/>
      <c r="LT442" s="12" t="s">
        <v>944</v>
      </c>
      <c r="LU442" s="12">
        <v>31.53846153846154</v>
      </c>
      <c r="LV442" s="12">
        <v>2.3042760329728704</v>
      </c>
      <c r="LW442" s="13">
        <v>2</v>
      </c>
      <c r="LX442" s="19">
        <f t="shared" si="1676"/>
        <v>7.3062410801578812E-2</v>
      </c>
      <c r="LY442" s="12">
        <v>23.880597014925371</v>
      </c>
      <c r="LZ442" s="12">
        <v>1.5136669618497827</v>
      </c>
      <c r="MA442" s="13">
        <v>2</v>
      </c>
      <c r="MB442" s="19">
        <f t="shared" si="1677"/>
        <v>6.3384804027459649E-2</v>
      </c>
      <c r="MC442" s="19">
        <f t="shared" si="1678"/>
        <v>-0.27814151339991039</v>
      </c>
      <c r="MD442" s="19">
        <f t="shared" si="1679"/>
        <v>4.677874626869063E-3</v>
      </c>
      <c r="MF442" s="12" t="s">
        <v>37</v>
      </c>
      <c r="MG442" s="12" t="s">
        <v>37</v>
      </c>
      <c r="MH442" s="12" t="s">
        <v>37</v>
      </c>
      <c r="MI442" s="12"/>
      <c r="MJ442" s="12" t="s">
        <v>37</v>
      </c>
      <c r="MK442" s="12" t="s">
        <v>37</v>
      </c>
      <c r="ML442" s="12" t="s">
        <v>37</v>
      </c>
      <c r="MM442" s="12"/>
      <c r="MN442" s="12"/>
      <c r="MO442" s="12"/>
      <c r="MQ442" s="12" t="s">
        <v>37</v>
      </c>
      <c r="MR442" s="12" t="s">
        <v>37</v>
      </c>
      <c r="MS442" s="12" t="s">
        <v>37</v>
      </c>
      <c r="MT442" s="12"/>
      <c r="MU442" s="12" t="s">
        <v>37</v>
      </c>
      <c r="MV442" s="12" t="s">
        <v>37</v>
      </c>
      <c r="MW442" s="12" t="s">
        <v>37</v>
      </c>
      <c r="MX442" s="12"/>
      <c r="MY442" s="12"/>
      <c r="MZ442" s="12"/>
      <c r="NA442" s="12" t="s">
        <v>102</v>
      </c>
      <c r="NB442" s="12" t="s">
        <v>372</v>
      </c>
      <c r="NC442" s="12">
        <v>15.42</v>
      </c>
      <c r="ND442" s="12">
        <v>1.66</v>
      </c>
      <c r="NE442" s="13">
        <v>3</v>
      </c>
      <c r="NF442" s="19">
        <f t="shared" si="1695"/>
        <v>0.10765239948119325</v>
      </c>
      <c r="NG442" s="12">
        <v>22.14</v>
      </c>
      <c r="NH442" s="12">
        <v>5.2</v>
      </c>
      <c r="NI442" s="13">
        <v>3</v>
      </c>
      <c r="NJ442" s="19">
        <f t="shared" si="1696"/>
        <v>0.23486901535682023</v>
      </c>
      <c r="NK442" s="19">
        <f t="shared" si="1697"/>
        <v>0.36172055914530737</v>
      </c>
      <c r="NL442" s="19">
        <f t="shared" si="1698"/>
        <v>2.2250831162913556E-2</v>
      </c>
      <c r="NM442" s="12" t="s">
        <v>102</v>
      </c>
      <c r="NN442" s="12" t="s">
        <v>372</v>
      </c>
      <c r="NO442" s="12">
        <v>3.89</v>
      </c>
      <c r="NP442" s="12">
        <v>1.34</v>
      </c>
      <c r="NQ442" s="13">
        <v>3</v>
      </c>
      <c r="NR442" s="19">
        <f t="shared" si="1721"/>
        <v>0.34447300771208228</v>
      </c>
      <c r="NS442" s="12">
        <v>21.18</v>
      </c>
      <c r="NT442" s="12">
        <v>8.4499999999999993</v>
      </c>
      <c r="NU442" s="13">
        <v>3</v>
      </c>
      <c r="NV442" s="19">
        <f t="shared" si="1722"/>
        <v>0.398961284230406</v>
      </c>
      <c r="NW442" s="19">
        <f t="shared" si="1699"/>
        <v>1.6946481825429054</v>
      </c>
      <c r="NX442" s="19">
        <f t="shared" si="1700"/>
        <v>9.2610586452327698E-2</v>
      </c>
      <c r="OA442" s="11" t="s">
        <v>37</v>
      </c>
      <c r="OB442" s="11" t="s">
        <v>37</v>
      </c>
      <c r="OC442" s="13" t="s">
        <v>37</v>
      </c>
      <c r="OE442" s="11" t="s">
        <v>37</v>
      </c>
      <c r="OF442" s="11" t="s">
        <v>37</v>
      </c>
      <c r="OG442" s="13" t="s">
        <v>37</v>
      </c>
      <c r="OM442" s="11" t="s">
        <v>37</v>
      </c>
      <c r="ON442" s="11" t="s">
        <v>37</v>
      </c>
      <c r="OO442" s="11" t="s">
        <v>37</v>
      </c>
      <c r="OP442" s="11" t="s">
        <v>37</v>
      </c>
      <c r="OQ442" s="11" t="s">
        <v>37</v>
      </c>
      <c r="OR442" s="11" t="s">
        <v>37</v>
      </c>
      <c r="OW442" s="11" t="s">
        <v>37</v>
      </c>
      <c r="OX442" s="11" t="s">
        <v>37</v>
      </c>
      <c r="OY442" s="13" t="s">
        <v>37</v>
      </c>
      <c r="OZ442" s="11" t="s">
        <v>37</v>
      </c>
      <c r="PA442" s="11" t="s">
        <v>37</v>
      </c>
      <c r="PB442" s="13" t="s">
        <v>37</v>
      </c>
      <c r="PG442" s="11" t="s">
        <v>37</v>
      </c>
      <c r="PH442" s="11" t="s">
        <v>37</v>
      </c>
      <c r="PI442" s="13" t="s">
        <v>37</v>
      </c>
      <c r="PJ442" s="11" t="s">
        <v>37</v>
      </c>
      <c r="PK442" s="11" t="s">
        <v>37</v>
      </c>
      <c r="PL442" s="13" t="s">
        <v>37</v>
      </c>
      <c r="PQ442" s="11" t="s">
        <v>37</v>
      </c>
      <c r="PR442" s="11" t="s">
        <v>37</v>
      </c>
      <c r="PS442" s="13" t="s">
        <v>37</v>
      </c>
      <c r="PT442" s="11" t="s">
        <v>37</v>
      </c>
      <c r="PU442" s="11" t="s">
        <v>37</v>
      </c>
      <c r="PV442" s="13" t="s">
        <v>37</v>
      </c>
      <c r="PZ442" s="12" t="s">
        <v>37</v>
      </c>
      <c r="QA442" s="12" t="s">
        <v>37</v>
      </c>
      <c r="QB442" s="11" t="s">
        <v>37</v>
      </c>
      <c r="QC442" s="11"/>
      <c r="QD442" s="12" t="s">
        <v>37</v>
      </c>
      <c r="QE442" s="12" t="s">
        <v>37</v>
      </c>
      <c r="QF442" s="12" t="s">
        <v>37</v>
      </c>
      <c r="QG442" s="12"/>
      <c r="QH442" s="12"/>
      <c r="QI442" s="12"/>
      <c r="QK442" s="11" t="s">
        <v>37</v>
      </c>
      <c r="QL442" s="11" t="s">
        <v>37</v>
      </c>
      <c r="QM442" s="13" t="s">
        <v>37</v>
      </c>
      <c r="QN442" s="11" t="s">
        <v>37</v>
      </c>
      <c r="QO442" s="11" t="s">
        <v>37</v>
      </c>
      <c r="QP442" s="13" t="s">
        <v>37</v>
      </c>
      <c r="QU442" s="11" t="s">
        <v>37</v>
      </c>
      <c r="QV442" s="11" t="s">
        <v>37</v>
      </c>
      <c r="QW442" s="13" t="s">
        <v>37</v>
      </c>
      <c r="QX442" s="11" t="s">
        <v>37</v>
      </c>
      <c r="QY442" s="11" t="s">
        <v>37</v>
      </c>
      <c r="QZ442" s="13" t="s">
        <v>37</v>
      </c>
      <c r="RC442" s="12" t="s">
        <v>37</v>
      </c>
      <c r="RD442" s="12" t="s">
        <v>37</v>
      </c>
      <c r="RE442" s="13" t="s">
        <v>37</v>
      </c>
      <c r="RF442" s="12" t="s">
        <v>37</v>
      </c>
      <c r="RG442" s="12" t="s">
        <v>37</v>
      </c>
      <c r="RH442" s="13" t="s">
        <v>37</v>
      </c>
      <c r="RK442" s="11" t="s">
        <v>37</v>
      </c>
      <c r="RL442" s="11" t="s">
        <v>37</v>
      </c>
      <c r="RM442" s="11" t="s">
        <v>37</v>
      </c>
      <c r="RN442" s="11" t="s">
        <v>37</v>
      </c>
      <c r="RO442" s="11" t="s">
        <v>37</v>
      </c>
      <c r="RP442" s="11" t="s">
        <v>37</v>
      </c>
      <c r="RS442" s="11" t="s">
        <v>37</v>
      </c>
      <c r="RT442" s="11" t="s">
        <v>37</v>
      </c>
      <c r="RU442" s="11" t="s">
        <v>37</v>
      </c>
      <c r="RV442" s="11" t="s">
        <v>37</v>
      </c>
      <c r="RW442" s="11" t="s">
        <v>37</v>
      </c>
      <c r="RX442" s="11" t="s">
        <v>37</v>
      </c>
      <c r="SA442" s="11" t="s">
        <v>37</v>
      </c>
      <c r="SB442" s="11" t="s">
        <v>37</v>
      </c>
      <c r="SC442" s="13" t="s">
        <v>37</v>
      </c>
      <c r="SD442" s="11" t="s">
        <v>37</v>
      </c>
      <c r="SE442" s="11" t="s">
        <v>37</v>
      </c>
      <c r="SF442" s="13" t="s">
        <v>37</v>
      </c>
      <c r="SI442" s="12" t="s">
        <v>37</v>
      </c>
      <c r="SJ442" s="11" t="s">
        <v>37</v>
      </c>
      <c r="SK442" s="13" t="s">
        <v>37</v>
      </c>
      <c r="SL442" s="13"/>
      <c r="SM442" s="11" t="s">
        <v>37</v>
      </c>
      <c r="SN442" s="11" t="s">
        <v>37</v>
      </c>
      <c r="SO442" s="13" t="s">
        <v>37</v>
      </c>
      <c r="SP442" s="13"/>
      <c r="SQ442" s="13"/>
      <c r="SR442" s="13"/>
      <c r="SU442" s="12" t="s">
        <v>37</v>
      </c>
      <c r="SV442" s="12" t="s">
        <v>37</v>
      </c>
      <c r="SW442" s="11" t="s">
        <v>37</v>
      </c>
      <c r="SX442" s="12" t="s">
        <v>37</v>
      </c>
      <c r="SY442" s="12" t="s">
        <v>37</v>
      </c>
      <c r="SZ442" s="11" t="s">
        <v>37</v>
      </c>
      <c r="TE442" s="12" t="s">
        <v>37</v>
      </c>
      <c r="TF442" s="12" t="s">
        <v>37</v>
      </c>
      <c r="TG442" s="11" t="s">
        <v>37</v>
      </c>
      <c r="TH442" s="12" t="s">
        <v>37</v>
      </c>
      <c r="TI442" s="12" t="s">
        <v>37</v>
      </c>
      <c r="TJ442" s="11" t="s">
        <v>37</v>
      </c>
      <c r="TO442" s="12" t="s">
        <v>37</v>
      </c>
      <c r="TP442" s="12" t="s">
        <v>37</v>
      </c>
      <c r="TQ442" s="11" t="s">
        <v>37</v>
      </c>
      <c r="TR442" s="12" t="s">
        <v>37</v>
      </c>
      <c r="TS442" s="12" t="s">
        <v>37</v>
      </c>
      <c r="TT442" s="11" t="s">
        <v>37</v>
      </c>
      <c r="TY442" s="12" t="s">
        <v>37</v>
      </c>
      <c r="TZ442" s="12" t="s">
        <v>37</v>
      </c>
      <c r="UA442" s="11" t="s">
        <v>37</v>
      </c>
      <c r="UB442" s="12" t="s">
        <v>37</v>
      </c>
      <c r="UC442" s="12" t="s">
        <v>37</v>
      </c>
      <c r="UD442" s="11" t="s">
        <v>37</v>
      </c>
      <c r="UI442" s="12" t="s">
        <v>37</v>
      </c>
      <c r="UJ442" s="12" t="s">
        <v>37</v>
      </c>
      <c r="UK442" s="13" t="s">
        <v>37</v>
      </c>
      <c r="UL442" s="12" t="s">
        <v>37</v>
      </c>
      <c r="UM442" s="12" t="s">
        <v>37</v>
      </c>
      <c r="UN442" s="13" t="s">
        <v>37</v>
      </c>
      <c r="UR442" s="12" t="s">
        <v>37</v>
      </c>
      <c r="US442" s="12" t="s">
        <v>37</v>
      </c>
      <c r="UT442" s="13" t="s">
        <v>37</v>
      </c>
      <c r="UU442" s="12" t="s">
        <v>37</v>
      </c>
      <c r="UV442" s="12" t="s">
        <v>37</v>
      </c>
      <c r="UW442" s="13" t="s">
        <v>37</v>
      </c>
      <c r="VB442" s="12" t="s">
        <v>37</v>
      </c>
      <c r="VC442" s="12" t="s">
        <v>37</v>
      </c>
      <c r="VD442" s="13" t="s">
        <v>37</v>
      </c>
      <c r="VE442" s="12" t="s">
        <v>37</v>
      </c>
      <c r="VF442" s="12" t="s">
        <v>37</v>
      </c>
      <c r="VG442" s="13" t="s">
        <v>37</v>
      </c>
      <c r="VI442" s="12" t="s">
        <v>37</v>
      </c>
      <c r="VJ442" s="12" t="s">
        <v>37</v>
      </c>
      <c r="VK442" s="13" t="s">
        <v>37</v>
      </c>
      <c r="VL442" s="12" t="s">
        <v>37</v>
      </c>
      <c r="VM442" s="12" t="s">
        <v>37</v>
      </c>
      <c r="VN442" s="13" t="s">
        <v>37</v>
      </c>
      <c r="VQ442" s="12" t="s">
        <v>37</v>
      </c>
      <c r="VR442" s="12" t="s">
        <v>37</v>
      </c>
      <c r="VS442" s="12" t="s">
        <v>37</v>
      </c>
      <c r="VT442" s="12" t="s">
        <v>37</v>
      </c>
      <c r="VU442" s="12" t="s">
        <v>37</v>
      </c>
      <c r="VV442" s="12" t="s">
        <v>37</v>
      </c>
      <c r="VW442" s="12"/>
      <c r="VX442" s="12"/>
      <c r="WA442" s="13" t="s">
        <v>37</v>
      </c>
      <c r="WB442" s="13" t="s">
        <v>37</v>
      </c>
      <c r="WC442" s="13" t="s">
        <v>37</v>
      </c>
      <c r="WD442" s="13" t="s">
        <v>37</v>
      </c>
      <c r="WE442" s="13" t="s">
        <v>37</v>
      </c>
      <c r="WF442" s="13" t="s">
        <v>37</v>
      </c>
    </row>
    <row r="443" spans="1:604" s="90" customFormat="1" ht="17.399999999999999" x14ac:dyDescent="0.3">
      <c r="A443" s="89">
        <v>103</v>
      </c>
      <c r="B443" s="90" t="s">
        <v>932</v>
      </c>
      <c r="C443" s="90" t="s">
        <v>26</v>
      </c>
      <c r="D443" s="90" t="s">
        <v>974</v>
      </c>
      <c r="E443" s="88">
        <v>4</v>
      </c>
      <c r="F443" s="96">
        <v>126</v>
      </c>
      <c r="G443" s="88">
        <v>0</v>
      </c>
      <c r="H443" s="90" t="s">
        <v>96</v>
      </c>
      <c r="I443" s="99">
        <v>57.23</v>
      </c>
      <c r="J443" s="99">
        <v>9.84</v>
      </c>
      <c r="K443" s="90" t="s">
        <v>693</v>
      </c>
      <c r="L443" s="90" t="s">
        <v>97</v>
      </c>
      <c r="M443" s="91" t="s">
        <v>37</v>
      </c>
      <c r="N443" s="88">
        <v>9.3000000000000007</v>
      </c>
      <c r="O443" s="88">
        <v>925</v>
      </c>
      <c r="P443" s="88" t="s">
        <v>16</v>
      </c>
      <c r="Q443" s="92">
        <v>94</v>
      </c>
      <c r="R443" s="11" t="s">
        <v>1000</v>
      </c>
      <c r="S443" s="90" t="s">
        <v>93</v>
      </c>
      <c r="T443" s="90" t="s">
        <v>138</v>
      </c>
      <c r="U443" s="90" t="s">
        <v>158</v>
      </c>
      <c r="V443" s="90" t="s">
        <v>275</v>
      </c>
      <c r="W443" s="93" t="s">
        <v>943</v>
      </c>
      <c r="X443" s="90" t="s">
        <v>280</v>
      </c>
      <c r="Y443" s="90" t="s">
        <v>69</v>
      </c>
      <c r="Z443" s="90" t="s">
        <v>37</v>
      </c>
      <c r="AA443" s="94" t="s">
        <v>493</v>
      </c>
      <c r="AB443" s="90">
        <v>3.4</v>
      </c>
      <c r="AC443" s="90" t="s">
        <v>42</v>
      </c>
      <c r="AD443" s="94" t="s">
        <v>493</v>
      </c>
      <c r="AE443" s="90">
        <v>410</v>
      </c>
      <c r="AF443" s="90" t="s">
        <v>42</v>
      </c>
      <c r="AG443" s="94" t="s">
        <v>493</v>
      </c>
      <c r="AH443" s="90">
        <v>13</v>
      </c>
      <c r="AJ443" s="90" t="str">
        <f t="shared" si="1659"/>
        <v>0-25</v>
      </c>
      <c r="AK443" s="48">
        <f t="shared" si="1660"/>
        <v>31.53846153846154</v>
      </c>
      <c r="AL443" s="94" t="s">
        <v>98</v>
      </c>
      <c r="AM443" s="100" t="s">
        <v>344</v>
      </c>
      <c r="AN443" s="94"/>
      <c r="AO443" s="100" t="s">
        <v>37</v>
      </c>
      <c r="AP443" s="90" t="s">
        <v>600</v>
      </c>
      <c r="AQ443" s="90" t="s">
        <v>73</v>
      </c>
      <c r="AR443" s="90" t="s">
        <v>42</v>
      </c>
      <c r="AS443" s="94" t="s">
        <v>493</v>
      </c>
      <c r="AT443" s="90">
        <v>410</v>
      </c>
      <c r="AU443" s="101">
        <v>20</v>
      </c>
      <c r="AV443" s="103">
        <v>2</v>
      </c>
      <c r="AW443" s="48">
        <f t="shared" si="1666"/>
        <v>4.878048780487805E-2</v>
      </c>
      <c r="AX443" s="101">
        <v>330</v>
      </c>
      <c r="AY443" s="101">
        <v>20</v>
      </c>
      <c r="AZ443" s="91">
        <v>2</v>
      </c>
      <c r="BA443" s="48">
        <f t="shared" si="1667"/>
        <v>6.0606060606060608E-2</v>
      </c>
      <c r="BB443" s="102">
        <f t="shared" si="1668"/>
        <v>-0.2170645052378275</v>
      </c>
      <c r="BC443" s="48">
        <f t="shared" si="1669"/>
        <v>3.0263152863336737E-3</v>
      </c>
      <c r="BD443" s="94"/>
      <c r="BE443" s="90" t="s">
        <v>37</v>
      </c>
      <c r="BF443" s="90" t="s">
        <v>37</v>
      </c>
      <c r="BG443" s="91" t="s">
        <v>37</v>
      </c>
      <c r="BH443" s="91"/>
      <c r="BI443" s="90" t="s">
        <v>37</v>
      </c>
      <c r="BJ443" s="90" t="s">
        <v>37</v>
      </c>
      <c r="BK443" s="91" t="s">
        <v>37</v>
      </c>
      <c r="BL443" s="91"/>
      <c r="BM443" s="91"/>
      <c r="BN443" s="91"/>
      <c r="BP443" s="90" t="s">
        <v>37</v>
      </c>
      <c r="BQ443" s="90" t="s">
        <v>37</v>
      </c>
      <c r="BR443" s="91" t="s">
        <v>37</v>
      </c>
      <c r="BS443" s="91"/>
      <c r="BT443" s="90" t="s">
        <v>37</v>
      </c>
      <c r="BU443" s="90" t="s">
        <v>37</v>
      </c>
      <c r="BV443" s="90" t="s">
        <v>37</v>
      </c>
      <c r="CA443" s="90" t="s">
        <v>37</v>
      </c>
      <c r="CB443" s="90" t="s">
        <v>37</v>
      </c>
      <c r="CC443" s="91" t="s">
        <v>37</v>
      </c>
      <c r="CD443" s="91"/>
      <c r="CE443" s="90" t="s">
        <v>37</v>
      </c>
      <c r="CF443" s="90" t="s">
        <v>37</v>
      </c>
      <c r="CG443" s="91" t="s">
        <v>37</v>
      </c>
      <c r="CH443" s="91"/>
      <c r="CI443" s="91"/>
      <c r="CJ443" s="91"/>
      <c r="CK443" s="96"/>
      <c r="CL443" s="96"/>
      <c r="CN443" s="90" t="s">
        <v>37</v>
      </c>
      <c r="CO443" s="90" t="s">
        <v>37</v>
      </c>
      <c r="CP443" s="91" t="s">
        <v>37</v>
      </c>
      <c r="CQ443" s="91"/>
      <c r="CR443" s="90" t="s">
        <v>37</v>
      </c>
      <c r="CS443" s="90" t="s">
        <v>37</v>
      </c>
      <c r="CT443" s="91" t="s">
        <v>37</v>
      </c>
      <c r="CU443" s="91"/>
      <c r="CV443" s="91"/>
      <c r="CW443" s="91"/>
      <c r="CX443" s="96"/>
      <c r="CY443" s="96"/>
      <c r="DA443" s="90" t="s">
        <v>37</v>
      </c>
      <c r="DB443" s="90" t="s">
        <v>37</v>
      </c>
      <c r="DC443" s="91" t="s">
        <v>37</v>
      </c>
      <c r="DD443" s="91"/>
      <c r="DE443" s="90" t="s">
        <v>37</v>
      </c>
      <c r="DF443" s="90" t="s">
        <v>37</v>
      </c>
      <c r="DG443" s="91" t="s">
        <v>37</v>
      </c>
      <c r="DH443" s="91"/>
      <c r="DI443" s="91"/>
      <c r="DJ443" s="91"/>
      <c r="DK443" s="96"/>
      <c r="DL443" s="96"/>
      <c r="DM443" s="101" t="s">
        <v>47</v>
      </c>
      <c r="DN443" s="101">
        <v>172</v>
      </c>
      <c r="DO443" s="101">
        <v>22</v>
      </c>
      <c r="DP443" s="103">
        <v>6</v>
      </c>
      <c r="DQ443" s="48">
        <f t="shared" si="1713"/>
        <v>0.12790697674418605</v>
      </c>
      <c r="DR443" s="101">
        <v>-0.6</v>
      </c>
      <c r="DS443" s="101">
        <v>0.65</v>
      </c>
      <c r="DT443" s="103">
        <v>4</v>
      </c>
      <c r="DU443" s="48">
        <f t="shared" si="1714"/>
        <v>1.0833333333333335</v>
      </c>
      <c r="DV443" s="48">
        <f t="shared" si="1715"/>
        <v>-172.6</v>
      </c>
      <c r="DW443" s="90">
        <f t="shared" si="1716"/>
        <v>17.39708129256169</v>
      </c>
      <c r="DX443" s="96">
        <f t="shared" si="1611"/>
        <v>126.10768229166666</v>
      </c>
      <c r="DY443" s="96">
        <f t="shared" si="1612"/>
        <v>80.772291666666675</v>
      </c>
      <c r="DZ443" s="89" t="s">
        <v>47</v>
      </c>
      <c r="EA443" s="101">
        <v>0.3</v>
      </c>
      <c r="EB443" s="101">
        <v>0.35</v>
      </c>
      <c r="EC443" s="103">
        <v>6</v>
      </c>
      <c r="ED443" s="102">
        <f t="shared" si="1717"/>
        <v>1.1666666666666667</v>
      </c>
      <c r="EE443" s="101">
        <v>37.700000000000003</v>
      </c>
      <c r="EF443" s="101">
        <v>2.95</v>
      </c>
      <c r="EG443" s="103">
        <v>4</v>
      </c>
      <c r="EH443" s="102">
        <f t="shared" si="1718"/>
        <v>7.8249336870026526E-2</v>
      </c>
      <c r="EI443" s="48">
        <f t="shared" si="1645"/>
        <v>37.400000000000006</v>
      </c>
      <c r="EJ443" s="90">
        <f t="shared" si="1646"/>
        <v>1.8275666882497066</v>
      </c>
      <c r="EK443" s="48">
        <f t="shared" si="1647"/>
        <v>1.3916666666666668</v>
      </c>
      <c r="EL443" s="48">
        <f t="shared" si="1648"/>
        <v>2.1960416666666669</v>
      </c>
      <c r="EM443" s="90" t="s">
        <v>39</v>
      </c>
      <c r="EN443" s="90">
        <v>-9</v>
      </c>
      <c r="EO443" s="90">
        <v>1.9</v>
      </c>
      <c r="EP443" s="91">
        <v>3</v>
      </c>
      <c r="EQ443" s="48">
        <f t="shared" si="1682"/>
        <v>0.21111111111111111</v>
      </c>
      <c r="ER443" s="90">
        <v>-37.76</v>
      </c>
      <c r="ES443" s="90">
        <v>2.68</v>
      </c>
      <c r="ET443" s="91">
        <v>3</v>
      </c>
      <c r="EU443" s="48">
        <f t="shared" ref="EU443" si="1723">ES443/ABS(ER443)</f>
        <v>7.0974576271186446E-2</v>
      </c>
      <c r="EV443" s="48">
        <f t="shared" ref="EV443:EV444" si="1724">ER443-EN443</f>
        <v>-28.759999999999998</v>
      </c>
      <c r="EW443" s="90">
        <f t="shared" ref="EW443:EW446" si="1725">SQRT(((EP443-1)*EO443^2+(ET443-1)*ES443^2)/(EP443+ET443-2))</f>
        <v>2.3229722340140015</v>
      </c>
      <c r="EX443" s="48">
        <f t="shared" ref="EX443:EX446" si="1726">(((EP443+ET443)/(EP443*ET443))*(((EP443-1)*EO443^2)+(ET443-1)*ES443^2)/(EP443+ET443-2))</f>
        <v>3.5974666666666666</v>
      </c>
      <c r="EY443" s="48">
        <f t="shared" ref="EY443:EY446" si="1727">(EO443^2/EP443)+(ES443^2/ET443)</f>
        <v>3.5974666666666675</v>
      </c>
      <c r="FB443" s="89" t="s">
        <v>37</v>
      </c>
      <c r="FC443" s="89" t="s">
        <v>37</v>
      </c>
      <c r="FD443" s="89" t="s">
        <v>37</v>
      </c>
      <c r="FE443" s="90" t="s">
        <v>37</v>
      </c>
      <c r="FF443" s="100" t="s">
        <v>37</v>
      </c>
      <c r="FG443" s="89" t="s">
        <v>37</v>
      </c>
      <c r="FH443" s="94"/>
      <c r="FI443" s="89" t="s">
        <v>37</v>
      </c>
      <c r="FJ443" s="89" t="s">
        <v>37</v>
      </c>
      <c r="FK443" s="89" t="s">
        <v>37</v>
      </c>
      <c r="FL443" s="91" t="s">
        <v>37</v>
      </c>
      <c r="FM443" s="89" t="s">
        <v>37</v>
      </c>
      <c r="FN443" s="89" t="s">
        <v>37</v>
      </c>
      <c r="FO443" s="94"/>
      <c r="FP443" s="89" t="s">
        <v>37</v>
      </c>
      <c r="FQ443" s="89" t="s">
        <v>37</v>
      </c>
      <c r="FR443" s="89" t="s">
        <v>37</v>
      </c>
      <c r="FS443" s="91" t="s">
        <v>37</v>
      </c>
      <c r="FT443" s="89" t="s">
        <v>37</v>
      </c>
      <c r="FU443" s="89" t="s">
        <v>37</v>
      </c>
      <c r="FV443" s="94"/>
      <c r="FW443" s="89" t="s">
        <v>37</v>
      </c>
      <c r="FX443" s="89" t="s">
        <v>37</v>
      </c>
      <c r="FY443" s="89" t="s">
        <v>37</v>
      </c>
      <c r="FZ443" s="91" t="s">
        <v>37</v>
      </c>
      <c r="GA443" s="89" t="s">
        <v>37</v>
      </c>
      <c r="GB443" s="89" t="s">
        <v>37</v>
      </c>
      <c r="GC443" s="90" t="s">
        <v>101</v>
      </c>
      <c r="GD443" s="90" t="s">
        <v>372</v>
      </c>
      <c r="GE443" s="90">
        <v>87.11</v>
      </c>
      <c r="GF443" s="90">
        <v>1.71</v>
      </c>
      <c r="GG443" s="91">
        <v>3</v>
      </c>
      <c r="GH443" s="48">
        <f t="shared" ref="GH443:GH446" si="1728">GF443/GE443</f>
        <v>1.9630352427964643E-2</v>
      </c>
      <c r="GI443" s="90">
        <v>70.72</v>
      </c>
      <c r="GJ443" s="90">
        <v>4.8499999999999996</v>
      </c>
      <c r="GK443" s="91">
        <v>3</v>
      </c>
      <c r="GL443" s="48">
        <f t="shared" si="1688"/>
        <v>6.858031674208144E-2</v>
      </c>
      <c r="GM443" s="48">
        <f t="shared" si="1719"/>
        <v>-0.20844326950141268</v>
      </c>
      <c r="GN443" s="48">
        <f t="shared" si="1689"/>
        <v>1.696203526963438E-3</v>
      </c>
      <c r="GQ443" s="90" t="s">
        <v>37</v>
      </c>
      <c r="GR443" s="90" t="s">
        <v>37</v>
      </c>
      <c r="GS443" s="91" t="s">
        <v>37</v>
      </c>
      <c r="GT443" s="91"/>
      <c r="GU443" s="90" t="s">
        <v>37</v>
      </c>
      <c r="GV443" s="90" t="s">
        <v>37</v>
      </c>
      <c r="GW443" s="91" t="s">
        <v>37</v>
      </c>
      <c r="GX443" s="91"/>
      <c r="GY443" s="91"/>
      <c r="GZ443" s="91"/>
      <c r="HA443" s="97" t="s">
        <v>63</v>
      </c>
      <c r="HB443" s="98" t="s">
        <v>330</v>
      </c>
      <c r="HC443" s="90">
        <v>0.1</v>
      </c>
      <c r="HD443" s="90">
        <v>0.02</v>
      </c>
      <c r="HE443" s="91">
        <v>2</v>
      </c>
      <c r="HF443" s="48">
        <f t="shared" si="1691"/>
        <v>0.19999999999999998</v>
      </c>
      <c r="HG443" s="90">
        <v>0.28999999999999998</v>
      </c>
      <c r="HH443" s="90">
        <v>1.4142135623730952E-2</v>
      </c>
      <c r="HI443" s="91">
        <v>2</v>
      </c>
      <c r="HJ443" s="48">
        <f t="shared" si="1720"/>
        <v>4.8765984909417082E-2</v>
      </c>
      <c r="HK443" s="48">
        <f t="shared" si="1692"/>
        <v>1.0647107369924282</v>
      </c>
      <c r="HL443" s="48">
        <f t="shared" si="1693"/>
        <v>2.1189060642092743E-2</v>
      </c>
      <c r="HM443" s="94"/>
      <c r="HN443" s="90" t="s">
        <v>37</v>
      </c>
      <c r="HO443" s="90" t="s">
        <v>37</v>
      </c>
      <c r="HP443" s="91" t="s">
        <v>37</v>
      </c>
      <c r="HQ443" s="91"/>
      <c r="HR443" s="90" t="s">
        <v>37</v>
      </c>
      <c r="HS443" s="90" t="s">
        <v>37</v>
      </c>
      <c r="HT443" s="91" t="s">
        <v>37</v>
      </c>
      <c r="HU443" s="91"/>
      <c r="HV443" s="91"/>
      <c r="HW443" s="91"/>
      <c r="HX443" s="98"/>
      <c r="HY443" s="90" t="s">
        <v>37</v>
      </c>
      <c r="HZ443" s="90" t="s">
        <v>37</v>
      </c>
      <c r="IA443" s="91" t="s">
        <v>37</v>
      </c>
      <c r="IB443" s="91"/>
      <c r="IC443" s="90" t="s">
        <v>37</v>
      </c>
      <c r="ID443" s="90" t="s">
        <v>37</v>
      </c>
      <c r="IE443" s="91" t="s">
        <v>37</v>
      </c>
      <c r="IF443" s="91"/>
      <c r="IG443" s="91"/>
      <c r="IH443" s="91"/>
      <c r="IK443" s="90" t="s">
        <v>37</v>
      </c>
      <c r="IL443" s="90" t="s">
        <v>37</v>
      </c>
      <c r="IM443" s="91" t="s">
        <v>37</v>
      </c>
      <c r="IN443" s="91"/>
      <c r="IO443" s="90" t="s">
        <v>37</v>
      </c>
      <c r="IP443" s="90" t="s">
        <v>37</v>
      </c>
      <c r="IQ443" s="91" t="s">
        <v>37</v>
      </c>
      <c r="IR443" s="91"/>
      <c r="IS443" s="91"/>
      <c r="IT443" s="91"/>
      <c r="IV443" s="94" t="s">
        <v>493</v>
      </c>
      <c r="IW443" s="90">
        <v>3.4</v>
      </c>
      <c r="IX443" s="104">
        <f>ABS(IW443)*IZ$474</f>
        <v>0.12448332493527867</v>
      </c>
      <c r="IY443" s="91">
        <v>2</v>
      </c>
      <c r="IZ443" s="91"/>
      <c r="JA443" s="90">
        <v>4</v>
      </c>
      <c r="JB443" s="104">
        <f>ABS(JA443)*JD$474</f>
        <v>0.11203523514281104</v>
      </c>
      <c r="JC443" s="91">
        <v>5</v>
      </c>
      <c r="JD443" s="91"/>
      <c r="JE443" s="48">
        <f t="shared" si="1670"/>
        <v>0.16251892949777494</v>
      </c>
      <c r="JF443" s="48">
        <f t="shared" si="1671"/>
        <v>8.2714513529174335E-4</v>
      </c>
      <c r="JG443" s="94"/>
      <c r="JH443" s="90" t="s">
        <v>37</v>
      </c>
      <c r="JI443" s="90" t="s">
        <v>37</v>
      </c>
      <c r="JJ443" s="91" t="s">
        <v>37</v>
      </c>
      <c r="JK443" s="91"/>
      <c r="JL443" s="90" t="s">
        <v>37</v>
      </c>
      <c r="JM443" s="90" t="s">
        <v>37</v>
      </c>
      <c r="JN443" s="90" t="s">
        <v>37</v>
      </c>
      <c r="JR443" s="94"/>
      <c r="JS443" s="90" t="s">
        <v>37</v>
      </c>
      <c r="JT443" s="90" t="s">
        <v>37</v>
      </c>
      <c r="JU443" s="91" t="s">
        <v>37</v>
      </c>
      <c r="JV443" s="91"/>
      <c r="JW443" s="90" t="s">
        <v>37</v>
      </c>
      <c r="JX443" s="90" t="s">
        <v>37</v>
      </c>
      <c r="JY443" s="90" t="s">
        <v>37</v>
      </c>
      <c r="KE443" s="89" t="s">
        <v>37</v>
      </c>
      <c r="KF443" s="89" t="s">
        <v>37</v>
      </c>
      <c r="KG443" s="91" t="s">
        <v>37</v>
      </c>
      <c r="KH443" s="89" t="s">
        <v>37</v>
      </c>
      <c r="KI443" s="89" t="s">
        <v>37</v>
      </c>
      <c r="KJ443" s="89" t="s">
        <v>37</v>
      </c>
      <c r="KK443" s="90" t="s">
        <v>42</v>
      </c>
      <c r="KL443" s="94" t="s">
        <v>493</v>
      </c>
      <c r="KM443" s="90">
        <v>13</v>
      </c>
      <c r="KN443" s="90">
        <v>0.70710678118654757</v>
      </c>
      <c r="KO443" s="89">
        <v>2</v>
      </c>
      <c r="KP443" s="48">
        <f t="shared" si="1672"/>
        <v>5.4392829322042119E-2</v>
      </c>
      <c r="KQ443" s="90">
        <v>14.1</v>
      </c>
      <c r="KR443" s="90">
        <v>1.1313708498984762</v>
      </c>
      <c r="KS443" s="91">
        <v>2</v>
      </c>
      <c r="KT443" s="48">
        <f>KR443/KQ443</f>
        <v>8.0239067368686259E-2</v>
      </c>
      <c r="KU443" s="48">
        <f t="shared" si="1674"/>
        <v>8.1225439922585782E-2</v>
      </c>
      <c r="KV443" s="48">
        <f t="shared" si="1675"/>
        <v>4.6984439069266883E-3</v>
      </c>
      <c r="KW443" s="94"/>
      <c r="KX443" s="89" t="s">
        <v>37</v>
      </c>
      <c r="KY443" s="89" t="s">
        <v>37</v>
      </c>
      <c r="KZ443" s="91" t="s">
        <v>37</v>
      </c>
      <c r="LA443" s="91"/>
      <c r="LB443" s="89" t="s">
        <v>37</v>
      </c>
      <c r="LC443" s="89" t="s">
        <v>37</v>
      </c>
      <c r="LD443" s="91" t="s">
        <v>37</v>
      </c>
      <c r="LE443" s="91"/>
      <c r="LF443" s="91"/>
      <c r="LG443" s="91"/>
      <c r="LH443" s="94"/>
      <c r="LI443" s="90" t="s">
        <v>37</v>
      </c>
      <c r="LJ443" s="90" t="s">
        <v>37</v>
      </c>
      <c r="LK443" s="90" t="s">
        <v>37</v>
      </c>
      <c r="LM443" s="90" t="s">
        <v>37</v>
      </c>
      <c r="LN443" s="90" t="s">
        <v>37</v>
      </c>
      <c r="LO443" s="90" t="s">
        <v>37</v>
      </c>
      <c r="LT443" s="90" t="s">
        <v>944</v>
      </c>
      <c r="LU443" s="90">
        <v>31.53846153846154</v>
      </c>
      <c r="LV443" s="90">
        <v>2.3042760329728704</v>
      </c>
      <c r="LW443" s="91">
        <v>2</v>
      </c>
      <c r="LX443" s="48">
        <f t="shared" si="1676"/>
        <v>7.3062410801578812E-2</v>
      </c>
      <c r="LY443" s="90">
        <v>23.404255319148938</v>
      </c>
      <c r="LZ443" s="90">
        <v>2.3534258898303193</v>
      </c>
      <c r="MA443" s="91">
        <v>2</v>
      </c>
      <c r="MB443" s="48">
        <f t="shared" si="1677"/>
        <v>0.10055546983820454</v>
      </c>
      <c r="MC443" s="48">
        <f t="shared" si="1678"/>
        <v>-0.29828994516041346</v>
      </c>
      <c r="MD443" s="48">
        <f t="shared" si="1679"/>
        <v>7.724759193260362E-3</v>
      </c>
      <c r="MF443" s="90" t="s">
        <v>37</v>
      </c>
      <c r="MG443" s="90" t="s">
        <v>37</v>
      </c>
      <c r="MH443" s="90" t="s">
        <v>37</v>
      </c>
      <c r="MJ443" s="90" t="s">
        <v>37</v>
      </c>
      <c r="MK443" s="90" t="s">
        <v>37</v>
      </c>
      <c r="ML443" s="90" t="s">
        <v>37</v>
      </c>
      <c r="MQ443" s="90" t="s">
        <v>37</v>
      </c>
      <c r="MR443" s="90" t="s">
        <v>37</v>
      </c>
      <c r="MS443" s="90" t="s">
        <v>37</v>
      </c>
      <c r="MU443" s="90" t="s">
        <v>37</v>
      </c>
      <c r="MV443" s="90" t="s">
        <v>37</v>
      </c>
      <c r="MW443" s="90" t="s">
        <v>37</v>
      </c>
      <c r="NA443" s="90" t="s">
        <v>102</v>
      </c>
      <c r="NB443" s="90" t="s">
        <v>372</v>
      </c>
      <c r="NC443" s="90">
        <v>15.42</v>
      </c>
      <c r="ND443" s="90">
        <v>1.66</v>
      </c>
      <c r="NE443" s="91">
        <v>3</v>
      </c>
      <c r="NF443" s="48">
        <f t="shared" si="1695"/>
        <v>0.10765239948119325</v>
      </c>
      <c r="NG443" s="90">
        <v>17.14</v>
      </c>
      <c r="NH443" s="90">
        <v>3.94</v>
      </c>
      <c r="NI443" s="91">
        <v>3</v>
      </c>
      <c r="NJ443" s="48">
        <f t="shared" si="1696"/>
        <v>0.22987164527421236</v>
      </c>
      <c r="NK443" s="48">
        <f t="shared" si="1697"/>
        <v>0.10574954503445035</v>
      </c>
      <c r="NL443" s="48">
        <f t="shared" si="1698"/>
        <v>2.1476670805043913E-2</v>
      </c>
      <c r="NM443" s="90" t="s">
        <v>102</v>
      </c>
      <c r="NN443" s="90" t="s">
        <v>372</v>
      </c>
      <c r="NO443" s="90">
        <v>3.89</v>
      </c>
      <c r="NP443" s="90">
        <v>1.34</v>
      </c>
      <c r="NQ443" s="91">
        <v>3</v>
      </c>
      <c r="NR443" s="48">
        <f t="shared" si="1721"/>
        <v>0.34447300771208228</v>
      </c>
      <c r="NS443" s="90">
        <v>27.94</v>
      </c>
      <c r="NT443" s="90">
        <v>6</v>
      </c>
      <c r="NU443" s="91">
        <v>3</v>
      </c>
      <c r="NV443" s="48">
        <f t="shared" si="1722"/>
        <v>0.21474588403722261</v>
      </c>
      <c r="NW443" s="48">
        <f t="shared" si="1699"/>
        <v>1.9716501961984607</v>
      </c>
      <c r="NX443" s="48">
        <f t="shared" si="1700"/>
        <v>5.4925815917712187E-2</v>
      </c>
      <c r="OA443" s="89" t="s">
        <v>37</v>
      </c>
      <c r="OB443" s="89" t="s">
        <v>37</v>
      </c>
      <c r="OC443" s="91" t="s">
        <v>37</v>
      </c>
      <c r="OD443" s="91"/>
      <c r="OE443" s="89" t="s">
        <v>37</v>
      </c>
      <c r="OF443" s="89" t="s">
        <v>37</v>
      </c>
      <c r="OG443" s="91" t="s">
        <v>37</v>
      </c>
      <c r="OH443" s="91"/>
      <c r="OI443" s="91"/>
      <c r="OJ443" s="91"/>
      <c r="OM443" s="89" t="s">
        <v>37</v>
      </c>
      <c r="ON443" s="89" t="s">
        <v>37</v>
      </c>
      <c r="OO443" s="89" t="s">
        <v>37</v>
      </c>
      <c r="OP443" s="89" t="s">
        <v>37</v>
      </c>
      <c r="OQ443" s="89" t="s">
        <v>37</v>
      </c>
      <c r="OR443" s="89" t="s">
        <v>37</v>
      </c>
      <c r="OS443" s="89"/>
      <c r="OT443" s="89"/>
      <c r="OW443" s="89" t="s">
        <v>37</v>
      </c>
      <c r="OX443" s="89" t="s">
        <v>37</v>
      </c>
      <c r="OY443" s="91" t="s">
        <v>37</v>
      </c>
      <c r="OZ443" s="89" t="s">
        <v>37</v>
      </c>
      <c r="PA443" s="89" t="s">
        <v>37</v>
      </c>
      <c r="PB443" s="91" t="s">
        <v>37</v>
      </c>
      <c r="PC443" s="91"/>
      <c r="PD443" s="91"/>
      <c r="PG443" s="89" t="s">
        <v>37</v>
      </c>
      <c r="PH443" s="89" t="s">
        <v>37</v>
      </c>
      <c r="PI443" s="91" t="s">
        <v>37</v>
      </c>
      <c r="PJ443" s="89" t="s">
        <v>37</v>
      </c>
      <c r="PK443" s="89" t="s">
        <v>37</v>
      </c>
      <c r="PL443" s="91" t="s">
        <v>37</v>
      </c>
      <c r="PM443" s="91"/>
      <c r="PN443" s="91"/>
      <c r="PQ443" s="89" t="s">
        <v>37</v>
      </c>
      <c r="PR443" s="89" t="s">
        <v>37</v>
      </c>
      <c r="PS443" s="91" t="s">
        <v>37</v>
      </c>
      <c r="PT443" s="89" t="s">
        <v>37</v>
      </c>
      <c r="PU443" s="89" t="s">
        <v>37</v>
      </c>
      <c r="PV443" s="91" t="s">
        <v>37</v>
      </c>
      <c r="PW443" s="91"/>
      <c r="PX443" s="91"/>
      <c r="PZ443" s="90" t="s">
        <v>37</v>
      </c>
      <c r="QA443" s="90" t="s">
        <v>37</v>
      </c>
      <c r="QB443" s="89" t="s">
        <v>37</v>
      </c>
      <c r="QC443" s="89"/>
      <c r="QD443" s="90" t="s">
        <v>37</v>
      </c>
      <c r="QE443" s="90" t="s">
        <v>37</v>
      </c>
      <c r="QF443" s="90" t="s">
        <v>37</v>
      </c>
      <c r="QK443" s="89" t="s">
        <v>37</v>
      </c>
      <c r="QL443" s="89" t="s">
        <v>37</v>
      </c>
      <c r="QM443" s="91" t="s">
        <v>37</v>
      </c>
      <c r="QN443" s="89" t="s">
        <v>37</v>
      </c>
      <c r="QO443" s="89" t="s">
        <v>37</v>
      </c>
      <c r="QP443" s="91" t="s">
        <v>37</v>
      </c>
      <c r="QQ443" s="91"/>
      <c r="QR443" s="91"/>
      <c r="QU443" s="89" t="s">
        <v>37</v>
      </c>
      <c r="QV443" s="89" t="s">
        <v>37</v>
      </c>
      <c r="QW443" s="91" t="s">
        <v>37</v>
      </c>
      <c r="QX443" s="89" t="s">
        <v>37</v>
      </c>
      <c r="QY443" s="89" t="s">
        <v>37</v>
      </c>
      <c r="QZ443" s="91" t="s">
        <v>37</v>
      </c>
      <c r="RC443" s="90" t="s">
        <v>37</v>
      </c>
      <c r="RD443" s="90" t="s">
        <v>37</v>
      </c>
      <c r="RE443" s="91" t="s">
        <v>37</v>
      </c>
      <c r="RF443" s="90" t="s">
        <v>37</v>
      </c>
      <c r="RG443" s="90" t="s">
        <v>37</v>
      </c>
      <c r="RH443" s="91" t="s">
        <v>37</v>
      </c>
      <c r="RK443" s="89" t="s">
        <v>37</v>
      </c>
      <c r="RL443" s="89" t="s">
        <v>37</v>
      </c>
      <c r="RM443" s="89" t="s">
        <v>37</v>
      </c>
      <c r="RN443" s="89" t="s">
        <v>37</v>
      </c>
      <c r="RO443" s="89" t="s">
        <v>37</v>
      </c>
      <c r="RP443" s="89" t="s">
        <v>37</v>
      </c>
      <c r="RS443" s="89" t="s">
        <v>37</v>
      </c>
      <c r="RT443" s="89" t="s">
        <v>37</v>
      </c>
      <c r="RU443" s="89" t="s">
        <v>37</v>
      </c>
      <c r="RV443" s="89" t="s">
        <v>37</v>
      </c>
      <c r="RW443" s="89" t="s">
        <v>37</v>
      </c>
      <c r="RX443" s="89" t="s">
        <v>37</v>
      </c>
      <c r="SA443" s="89" t="s">
        <v>37</v>
      </c>
      <c r="SB443" s="89" t="s">
        <v>37</v>
      </c>
      <c r="SC443" s="91" t="s">
        <v>37</v>
      </c>
      <c r="SD443" s="89" t="s">
        <v>37</v>
      </c>
      <c r="SE443" s="89" t="s">
        <v>37</v>
      </c>
      <c r="SF443" s="91" t="s">
        <v>37</v>
      </c>
      <c r="SI443" s="90" t="s">
        <v>37</v>
      </c>
      <c r="SJ443" s="89" t="s">
        <v>37</v>
      </c>
      <c r="SK443" s="91" t="s">
        <v>37</v>
      </c>
      <c r="SL443" s="91"/>
      <c r="SM443" s="89" t="s">
        <v>37</v>
      </c>
      <c r="SN443" s="89" t="s">
        <v>37</v>
      </c>
      <c r="SO443" s="91" t="s">
        <v>37</v>
      </c>
      <c r="SP443" s="91"/>
      <c r="SQ443" s="91"/>
      <c r="SR443" s="91"/>
      <c r="SU443" s="90" t="s">
        <v>37</v>
      </c>
      <c r="SV443" s="90" t="s">
        <v>37</v>
      </c>
      <c r="SW443" s="89" t="s">
        <v>37</v>
      </c>
      <c r="SX443" s="90" t="s">
        <v>37</v>
      </c>
      <c r="SY443" s="90" t="s">
        <v>37</v>
      </c>
      <c r="SZ443" s="89" t="s">
        <v>37</v>
      </c>
      <c r="TA443" s="89"/>
      <c r="TB443" s="89"/>
      <c r="TE443" s="90" t="s">
        <v>37</v>
      </c>
      <c r="TF443" s="90" t="s">
        <v>37</v>
      </c>
      <c r="TG443" s="89" t="s">
        <v>37</v>
      </c>
      <c r="TH443" s="90" t="s">
        <v>37</v>
      </c>
      <c r="TI443" s="90" t="s">
        <v>37</v>
      </c>
      <c r="TJ443" s="89" t="s">
        <v>37</v>
      </c>
      <c r="TK443" s="89"/>
      <c r="TL443" s="89"/>
      <c r="TO443" s="90" t="s">
        <v>37</v>
      </c>
      <c r="TP443" s="90" t="s">
        <v>37</v>
      </c>
      <c r="TQ443" s="89" t="s">
        <v>37</v>
      </c>
      <c r="TR443" s="90" t="s">
        <v>37</v>
      </c>
      <c r="TS443" s="90" t="s">
        <v>37</v>
      </c>
      <c r="TT443" s="89" t="s">
        <v>37</v>
      </c>
      <c r="TU443" s="89"/>
      <c r="TV443" s="89"/>
      <c r="TY443" s="90" t="s">
        <v>37</v>
      </c>
      <c r="TZ443" s="90" t="s">
        <v>37</v>
      </c>
      <c r="UA443" s="89" t="s">
        <v>37</v>
      </c>
      <c r="UB443" s="90" t="s">
        <v>37</v>
      </c>
      <c r="UC443" s="90" t="s">
        <v>37</v>
      </c>
      <c r="UD443" s="89" t="s">
        <v>37</v>
      </c>
      <c r="UE443" s="89"/>
      <c r="UF443" s="89"/>
      <c r="UI443" s="90" t="s">
        <v>37</v>
      </c>
      <c r="UJ443" s="90" t="s">
        <v>37</v>
      </c>
      <c r="UK443" s="91" t="s">
        <v>37</v>
      </c>
      <c r="UL443" s="90" t="s">
        <v>37</v>
      </c>
      <c r="UM443" s="90" t="s">
        <v>37</v>
      </c>
      <c r="UN443" s="91" t="s">
        <v>37</v>
      </c>
      <c r="UO443" s="91"/>
      <c r="UP443" s="91"/>
      <c r="UR443" s="90" t="s">
        <v>37</v>
      </c>
      <c r="US443" s="90" t="s">
        <v>37</v>
      </c>
      <c r="UT443" s="91" t="s">
        <v>37</v>
      </c>
      <c r="UU443" s="90" t="s">
        <v>37</v>
      </c>
      <c r="UV443" s="90" t="s">
        <v>37</v>
      </c>
      <c r="UW443" s="91" t="s">
        <v>37</v>
      </c>
      <c r="UX443" s="91"/>
      <c r="UY443" s="91"/>
      <c r="VB443" s="90" t="s">
        <v>37</v>
      </c>
      <c r="VC443" s="90" t="s">
        <v>37</v>
      </c>
      <c r="VD443" s="91" t="s">
        <v>37</v>
      </c>
      <c r="VE443" s="90" t="s">
        <v>37</v>
      </c>
      <c r="VF443" s="90" t="s">
        <v>37</v>
      </c>
      <c r="VG443" s="91" t="s">
        <v>37</v>
      </c>
      <c r="VI443" s="90" t="s">
        <v>37</v>
      </c>
      <c r="VJ443" s="90" t="s">
        <v>37</v>
      </c>
      <c r="VK443" s="91" t="s">
        <v>37</v>
      </c>
      <c r="VL443" s="90" t="s">
        <v>37</v>
      </c>
      <c r="VM443" s="90" t="s">
        <v>37</v>
      </c>
      <c r="VN443" s="91" t="s">
        <v>37</v>
      </c>
      <c r="VQ443" s="90" t="s">
        <v>37</v>
      </c>
      <c r="VR443" s="90" t="s">
        <v>37</v>
      </c>
      <c r="VS443" s="90" t="s">
        <v>37</v>
      </c>
      <c r="VT443" s="90" t="s">
        <v>37</v>
      </c>
      <c r="VU443" s="90" t="s">
        <v>37</v>
      </c>
      <c r="VV443" s="90" t="s">
        <v>37</v>
      </c>
      <c r="WA443" s="91" t="s">
        <v>37</v>
      </c>
      <c r="WB443" s="91" t="s">
        <v>37</v>
      </c>
      <c r="WC443" s="91" t="s">
        <v>37</v>
      </c>
      <c r="WD443" s="91" t="s">
        <v>37</v>
      </c>
      <c r="WE443" s="91" t="s">
        <v>37</v>
      </c>
      <c r="WF443" s="91" t="s">
        <v>37</v>
      </c>
    </row>
    <row r="444" spans="1:604" s="90" customFormat="1" ht="17.399999999999999" x14ac:dyDescent="0.3">
      <c r="A444" s="89">
        <v>104</v>
      </c>
      <c r="B444" s="84" t="s">
        <v>323</v>
      </c>
      <c r="C444" s="90" t="s">
        <v>26</v>
      </c>
      <c r="D444" s="90" t="s">
        <v>974</v>
      </c>
      <c r="E444" s="88">
        <v>1.75</v>
      </c>
      <c r="F444" s="96">
        <v>125</v>
      </c>
      <c r="G444" s="88">
        <v>0</v>
      </c>
      <c r="H444" s="90" t="s">
        <v>123</v>
      </c>
      <c r="I444" s="99">
        <v>71.53</v>
      </c>
      <c r="J444" s="99">
        <v>47.02</v>
      </c>
      <c r="K444" s="90" t="s">
        <v>324</v>
      </c>
      <c r="L444" s="90" t="s">
        <v>325</v>
      </c>
      <c r="M444" s="91" t="s">
        <v>37</v>
      </c>
      <c r="N444" s="88" t="s">
        <v>37</v>
      </c>
      <c r="O444" s="88" t="s">
        <v>37</v>
      </c>
      <c r="P444" s="88" t="s">
        <v>84</v>
      </c>
      <c r="Q444" s="92">
        <v>81</v>
      </c>
      <c r="R444" s="11" t="s">
        <v>999</v>
      </c>
      <c r="S444" s="90" t="s">
        <v>93</v>
      </c>
      <c r="T444" s="90" t="s">
        <v>138</v>
      </c>
      <c r="U444" s="90" t="s">
        <v>158</v>
      </c>
      <c r="V444" s="90" t="s">
        <v>275</v>
      </c>
      <c r="W444" s="93" t="s">
        <v>107</v>
      </c>
      <c r="X444" s="90" t="s">
        <v>281</v>
      </c>
      <c r="Y444" s="90" t="s">
        <v>37</v>
      </c>
      <c r="Z444" s="90" t="s">
        <v>37</v>
      </c>
      <c r="AA444" s="94" t="s">
        <v>327</v>
      </c>
      <c r="AB444" s="90">
        <v>4.0999999999999996</v>
      </c>
      <c r="AC444" s="90" t="s">
        <v>42</v>
      </c>
      <c r="AD444" s="94" t="s">
        <v>327</v>
      </c>
      <c r="AE444" s="90">
        <v>574.24593967517399</v>
      </c>
      <c r="AF444" s="90" t="s">
        <v>42</v>
      </c>
      <c r="AG444" s="94" t="s">
        <v>327</v>
      </c>
      <c r="AH444" s="90">
        <v>4.7</v>
      </c>
      <c r="AJ444" s="90" t="str">
        <f t="shared" si="1659"/>
        <v>0-15</v>
      </c>
      <c r="AK444" s="48">
        <f t="shared" si="1660"/>
        <v>122.17998716493064</v>
      </c>
      <c r="AL444" s="94" t="s">
        <v>555</v>
      </c>
      <c r="AM444" s="90" t="s">
        <v>317</v>
      </c>
      <c r="AN444" s="94" t="s">
        <v>892</v>
      </c>
      <c r="AO444" s="90" t="s">
        <v>37</v>
      </c>
      <c r="AP444" s="90" t="s">
        <v>167</v>
      </c>
      <c r="AQ444" s="90" t="s">
        <v>73</v>
      </c>
      <c r="AR444" s="90" t="s">
        <v>42</v>
      </c>
      <c r="AS444" s="94" t="s">
        <v>327</v>
      </c>
      <c r="AT444" s="90">
        <v>574.24593967517399</v>
      </c>
      <c r="AU444" s="104">
        <f>AT444*AW$474</f>
        <v>49.113615778880913</v>
      </c>
      <c r="AV444" s="91">
        <v>10</v>
      </c>
      <c r="AW444" s="48"/>
      <c r="AX444" s="90">
        <v>237.81902552204176</v>
      </c>
      <c r="AY444" s="104">
        <f>AX444*BA$474</f>
        <v>16.792500302050534</v>
      </c>
      <c r="AZ444" s="91">
        <v>19</v>
      </c>
      <c r="BA444" s="48"/>
      <c r="BB444" s="102">
        <f t="shared" si="1668"/>
        <v>-0.88154778343028217</v>
      </c>
      <c r="BC444" s="48">
        <f t="shared" si="1669"/>
        <v>9.9390140326400069E-4</v>
      </c>
      <c r="BD444" s="94" t="s">
        <v>329</v>
      </c>
      <c r="BE444" s="90">
        <v>568.44547563805111</v>
      </c>
      <c r="BF444" s="104">
        <f>BE444*BH$474</f>
        <v>142.7022609814791</v>
      </c>
      <c r="BG444" s="91">
        <v>9</v>
      </c>
      <c r="BH444" s="91"/>
      <c r="BI444" s="90">
        <v>539.44315545243626</v>
      </c>
      <c r="BJ444" s="104">
        <f>BI444*BL$474</f>
        <v>37.794417899823706</v>
      </c>
      <c r="BK444" s="91">
        <v>18</v>
      </c>
      <c r="BL444" s="91"/>
      <c r="BM444" s="102">
        <f>LN(BI444/BE444)</f>
        <v>-5.2367985517315925E-2</v>
      </c>
      <c r="BN444" s="48">
        <f>BJ444^2/(BK444*BI444^2)+BF444^2/(BG444*BE444^2)</f>
        <v>7.275017778440712E-3</v>
      </c>
      <c r="BP444" s="90" t="s">
        <v>37</v>
      </c>
      <c r="BQ444" s="90" t="s">
        <v>37</v>
      </c>
      <c r="BR444" s="91" t="s">
        <v>37</v>
      </c>
      <c r="BS444" s="91"/>
      <c r="BT444" s="90" t="s">
        <v>37</v>
      </c>
      <c r="BU444" s="90" t="s">
        <v>37</v>
      </c>
      <c r="BV444" s="90" t="s">
        <v>37</v>
      </c>
      <c r="CA444" s="90" t="s">
        <v>37</v>
      </c>
      <c r="CB444" s="90" t="s">
        <v>37</v>
      </c>
      <c r="CC444" s="91" t="s">
        <v>37</v>
      </c>
      <c r="CD444" s="91"/>
      <c r="CE444" s="90" t="s">
        <v>37</v>
      </c>
      <c r="CF444" s="90" t="s">
        <v>37</v>
      </c>
      <c r="CG444" s="91" t="s">
        <v>37</v>
      </c>
      <c r="CH444" s="91"/>
      <c r="CI444" s="91"/>
      <c r="CJ444" s="91"/>
      <c r="CK444" s="96"/>
      <c r="CL444" s="96"/>
      <c r="CN444" s="90" t="s">
        <v>37</v>
      </c>
      <c r="CO444" s="90" t="s">
        <v>37</v>
      </c>
      <c r="CP444" s="91" t="s">
        <v>37</v>
      </c>
      <c r="CQ444" s="91"/>
      <c r="CR444" s="90" t="s">
        <v>37</v>
      </c>
      <c r="CS444" s="90" t="s">
        <v>37</v>
      </c>
      <c r="CT444" s="91" t="s">
        <v>37</v>
      </c>
      <c r="CU444" s="91"/>
      <c r="CV444" s="91"/>
      <c r="CW444" s="91"/>
      <c r="CX444" s="96"/>
      <c r="CY444" s="96"/>
      <c r="DA444" s="90" t="s">
        <v>37</v>
      </c>
      <c r="DB444" s="90" t="s">
        <v>37</v>
      </c>
      <c r="DC444" s="91" t="s">
        <v>37</v>
      </c>
      <c r="DD444" s="91"/>
      <c r="DE444" s="90" t="s">
        <v>37</v>
      </c>
      <c r="DF444" s="90" t="s">
        <v>37</v>
      </c>
      <c r="DG444" s="91" t="s">
        <v>37</v>
      </c>
      <c r="DH444" s="91"/>
      <c r="DI444" s="91"/>
      <c r="DJ444" s="91"/>
      <c r="DK444" s="96"/>
      <c r="DL444" s="96"/>
      <c r="DM444" s="101" t="s">
        <v>47</v>
      </c>
      <c r="DN444" s="90">
        <f>546.22416/'[9]classes-1'!$I$104</f>
        <v>1231.8452874333798</v>
      </c>
      <c r="DO444" s="90">
        <f>SQRT((1/[2]Classes!$I$104)^2*(678.814016078845)^2+(-DN444/([2]Classes!$I$106)^2)^2*([2]Classes!$J$106)^2)</f>
        <v>2386.9642276450431</v>
      </c>
      <c r="DP444" s="91">
        <v>46</v>
      </c>
      <c r="DQ444" s="48">
        <f t="shared" si="1713"/>
        <v>1.9377142990240437</v>
      </c>
      <c r="DR444" s="90">
        <f>163.90464/'[9]classes-1'!$I$105</f>
        <v>23.778911502590674</v>
      </c>
      <c r="DS444" s="90">
        <f>SQRT((1/[2]Classes!$I$105)^2*(212.518392008191)^2+(-DR444/([2]Classes!$I$105)^2)^2*([2]Classes!$J$105)^2)</f>
        <v>31.04286769933886</v>
      </c>
      <c r="DT444" s="91">
        <v>53</v>
      </c>
      <c r="DU444" s="48">
        <f t="shared" si="1714"/>
        <v>1.3054789196703469</v>
      </c>
      <c r="DV444" s="48">
        <f t="shared" si="1715"/>
        <v>-1208.066375930789</v>
      </c>
      <c r="DW444" s="90">
        <f t="shared" si="1716"/>
        <v>1625.9558025960503</v>
      </c>
      <c r="DX444" s="96">
        <f t="shared" si="1611"/>
        <v>107354.18167661232</v>
      </c>
      <c r="DY444" s="96">
        <f t="shared" si="1612"/>
        <v>123879.01321502711</v>
      </c>
      <c r="DZ444" s="89" t="s">
        <v>47</v>
      </c>
      <c r="EA444" s="90">
        <f>-0.074784/'[10]classess-1'!$I$50</f>
        <v>-0.35536232754524372</v>
      </c>
      <c r="EB444" s="90">
        <f>SQRT((1/[4]Classess!$I$50)^2*(0.688352403142459)^2+(-EA444/([4]Classess!$I$50)^2)^2*([4]Classess!$J$50)^2)</f>
        <v>38.250757143327704</v>
      </c>
      <c r="EC444" s="91">
        <v>46</v>
      </c>
      <c r="ED444" s="102">
        <f t="shared" si="1717"/>
        <v>107.63875115168962</v>
      </c>
      <c r="EE444" s="90">
        <f>5.04336/'[10]classess-1'!$I$51</f>
        <v>20.199714045305026</v>
      </c>
      <c r="EF444" s="90">
        <f>SQRT((1/[4]Classess!$I$51)^2*(5.97713092592091)^2+(-EE444/([4]Classess!$I$51)^2)^2*([4]Classess!$J$51)^2)</f>
        <v>184.05347959835046</v>
      </c>
      <c r="EG444" s="91">
        <v>53</v>
      </c>
      <c r="EH444" s="102">
        <f t="shared" si="1718"/>
        <v>9.1116873825810227</v>
      </c>
      <c r="EI444" s="48">
        <f t="shared" si="1645"/>
        <v>20.555076372850269</v>
      </c>
      <c r="EJ444" s="90">
        <f t="shared" si="1646"/>
        <v>137.25497205458004</v>
      </c>
      <c r="EK444" s="48">
        <f t="shared" si="1647"/>
        <v>764.993358497396</v>
      </c>
      <c r="EL444" s="48">
        <f t="shared" si="1648"/>
        <v>670.97080253157685</v>
      </c>
      <c r="EM444" s="90" t="s">
        <v>39</v>
      </c>
      <c r="EN444" s="90">
        <v>-15</v>
      </c>
      <c r="EO444" s="90">
        <v>13</v>
      </c>
      <c r="EP444" s="91">
        <v>9836</v>
      </c>
      <c r="EQ444" s="48">
        <f t="shared" si="1682"/>
        <v>0.8666666666666667</v>
      </c>
      <c r="ER444" s="90">
        <v>-55</v>
      </c>
      <c r="ES444" s="90">
        <v>15</v>
      </c>
      <c r="ET444" s="91">
        <v>14736</v>
      </c>
      <c r="EU444" s="48">
        <f>ES444/ABS(ER444)</f>
        <v>0.27272727272727271</v>
      </c>
      <c r="EV444" s="48">
        <f t="shared" si="1724"/>
        <v>-40</v>
      </c>
      <c r="EW444" s="90">
        <f t="shared" si="1725"/>
        <v>14.233202225221335</v>
      </c>
      <c r="EX444" s="48">
        <f t="shared" si="1726"/>
        <v>3.4343742038894766E-2</v>
      </c>
      <c r="EY444" s="48">
        <f t="shared" si="1727"/>
        <v>3.2450510853568558E-2</v>
      </c>
      <c r="FB444" s="90" t="s">
        <v>37</v>
      </c>
      <c r="FC444" s="90" t="s">
        <v>37</v>
      </c>
      <c r="FD444" s="89" t="s">
        <v>37</v>
      </c>
      <c r="FE444" s="90" t="s">
        <v>37</v>
      </c>
      <c r="FF444" s="100" t="s">
        <v>37</v>
      </c>
      <c r="FG444" s="89" t="s">
        <v>37</v>
      </c>
      <c r="FH444" s="94"/>
      <c r="FI444" s="90" t="s">
        <v>37</v>
      </c>
      <c r="FJ444" s="90" t="s">
        <v>37</v>
      </c>
      <c r="FK444" s="89" t="s">
        <v>37</v>
      </c>
      <c r="FL444" s="91" t="s">
        <v>37</v>
      </c>
      <c r="FM444" s="89" t="s">
        <v>37</v>
      </c>
      <c r="FN444" s="89" t="s">
        <v>37</v>
      </c>
      <c r="FO444" s="94"/>
      <c r="FP444" s="90" t="s">
        <v>37</v>
      </c>
      <c r="FQ444" s="90" t="s">
        <v>37</v>
      </c>
      <c r="FR444" s="89" t="s">
        <v>37</v>
      </c>
      <c r="FS444" s="91" t="s">
        <v>37</v>
      </c>
      <c r="FT444" s="89" t="s">
        <v>37</v>
      </c>
      <c r="FU444" s="89" t="s">
        <v>37</v>
      </c>
      <c r="FV444" s="94"/>
      <c r="FW444" s="90" t="s">
        <v>37</v>
      </c>
      <c r="FX444" s="90" t="s">
        <v>37</v>
      </c>
      <c r="FY444" s="89" t="s">
        <v>37</v>
      </c>
      <c r="FZ444" s="91" t="s">
        <v>37</v>
      </c>
      <c r="GA444" s="89" t="s">
        <v>37</v>
      </c>
      <c r="GB444" s="89" t="s">
        <v>37</v>
      </c>
      <c r="GC444" s="90" t="s">
        <v>101</v>
      </c>
      <c r="GD444" s="90" t="s">
        <v>327</v>
      </c>
      <c r="GE444" s="90">
        <v>83</v>
      </c>
      <c r="GF444" s="104">
        <f>ABS(GE444)*GH$474</f>
        <v>12.253689873908808</v>
      </c>
      <c r="GG444" s="91">
        <v>55</v>
      </c>
      <c r="GH444" s="91"/>
      <c r="GI444" s="90">
        <v>61</v>
      </c>
      <c r="GJ444" s="104">
        <f>ABS(GI444)*GL$474</f>
        <v>11.66707005113842</v>
      </c>
      <c r="GK444" s="91">
        <v>99</v>
      </c>
      <c r="GL444" s="91"/>
      <c r="GM444" s="48">
        <f t="shared" si="1719"/>
        <v>-0.30796674362328663</v>
      </c>
      <c r="GN444" s="91"/>
      <c r="GO444" s="90" t="s">
        <v>660</v>
      </c>
      <c r="GP444" s="90" t="s">
        <v>330</v>
      </c>
      <c r="GQ444" s="90">
        <v>12.1</v>
      </c>
      <c r="GR444" s="90">
        <v>4.5</v>
      </c>
      <c r="GS444" s="91">
        <v>6152</v>
      </c>
      <c r="GT444" s="48">
        <f>GR444/GQ444</f>
        <v>0.37190082644628103</v>
      </c>
      <c r="GU444" s="90">
        <v>12</v>
      </c>
      <c r="GV444" s="90">
        <v>3.6</v>
      </c>
      <c r="GW444" s="91">
        <v>14736</v>
      </c>
      <c r="GX444" s="48">
        <f>GV444/GU444</f>
        <v>0.3</v>
      </c>
      <c r="GY444" s="48">
        <f t="shared" ref="GY444:GY446" si="1729">LN(GU444/GQ444)</f>
        <v>-8.2988028146950658E-3</v>
      </c>
      <c r="GZ444" s="48">
        <f t="shared" ref="GZ444:GZ445" si="1730">GV444^2/(GW444*GU444^2)+GR444^2/(GS444*GQ444^2)</f>
        <v>2.8589648019133122E-5</v>
      </c>
      <c r="HA444" s="97" t="s">
        <v>63</v>
      </c>
      <c r="HB444" s="98" t="s">
        <v>327</v>
      </c>
      <c r="HC444" s="90">
        <v>5.0999999999999997E-2</v>
      </c>
      <c r="HD444" s="104">
        <f>ABS(HC444)*HF$474</f>
        <v>8.7929989004710378E-3</v>
      </c>
      <c r="HE444" s="91">
        <v>3</v>
      </c>
      <c r="HF444" s="91"/>
      <c r="HG444" s="90">
        <v>0.5</v>
      </c>
      <c r="HH444" s="104">
        <f>ABS(HG444)*HJ$474</f>
        <v>5.5927259983552538E-2</v>
      </c>
      <c r="HI444" s="91">
        <v>9</v>
      </c>
      <c r="HJ444" s="91"/>
      <c r="HK444" s="48">
        <f>LN(HG444/HC444)</f>
        <v>2.2827824656978661</v>
      </c>
      <c r="HL444" s="48">
        <f t="shared" ref="HL444" si="1731">HH444^2/(HI444*HG444^2)+HD444^2/(HE444*HC444^2)</f>
        <v>1.1298762351278469E-2</v>
      </c>
      <c r="HM444" s="98" t="s">
        <v>329</v>
      </c>
      <c r="HN444" s="90">
        <v>6.5000000000000002E-2</v>
      </c>
      <c r="HO444" s="104">
        <f>ABS(HN444)*HQ$474</f>
        <v>1.9418665674107237E-2</v>
      </c>
      <c r="HP444" s="91">
        <v>3</v>
      </c>
      <c r="HQ444" s="91"/>
      <c r="HR444" s="90">
        <v>0.15</v>
      </c>
      <c r="HS444" s="104">
        <f>ABS(HR444)*HU$474</f>
        <v>1.6293178403675682E-2</v>
      </c>
      <c r="HT444" s="91">
        <v>7</v>
      </c>
      <c r="HU444" s="91"/>
      <c r="HV444" s="48">
        <f t="shared" ref="HV444" si="1732">LN(HR444/HN444)</f>
        <v>0.8362480242006185</v>
      </c>
      <c r="HW444" s="48">
        <f t="shared" ref="HW444" si="1733">HS444^2/(HT444*HR444^2)+HO444^2/(HP444*HN444^2)</f>
        <v>3.1435771418926006E-2</v>
      </c>
      <c r="HX444" s="98"/>
      <c r="HY444" s="90" t="s">
        <v>37</v>
      </c>
      <c r="HZ444" s="90" t="s">
        <v>37</v>
      </c>
      <c r="IA444" s="91" t="s">
        <v>37</v>
      </c>
      <c r="IB444" s="91"/>
      <c r="IC444" s="90" t="s">
        <v>37</v>
      </c>
      <c r="ID444" s="90" t="s">
        <v>37</v>
      </c>
      <c r="IE444" s="91" t="s">
        <v>37</v>
      </c>
      <c r="IF444" s="91"/>
      <c r="IG444" s="91"/>
      <c r="IH444" s="91"/>
      <c r="IK444" s="90" t="s">
        <v>37</v>
      </c>
      <c r="IL444" s="90" t="s">
        <v>37</v>
      </c>
      <c r="IM444" s="90" t="s">
        <v>37</v>
      </c>
      <c r="IO444" s="90" t="s">
        <v>37</v>
      </c>
      <c r="IP444" s="90" t="s">
        <v>37</v>
      </c>
      <c r="IQ444" s="90" t="s">
        <v>37</v>
      </c>
      <c r="IV444" s="94" t="s">
        <v>327</v>
      </c>
      <c r="IW444" s="90">
        <v>4.0999999999999996</v>
      </c>
      <c r="IX444" s="104">
        <f>ABS(IW444)*IZ$474</f>
        <v>0.15011224477489485</v>
      </c>
      <c r="IY444" s="91">
        <v>4</v>
      </c>
      <c r="IZ444" s="91"/>
      <c r="JA444" s="90">
        <v>6.7</v>
      </c>
      <c r="JB444" s="104">
        <f>ABS(JA444)*JD$474</f>
        <v>0.18765901886420849</v>
      </c>
      <c r="JC444" s="91">
        <v>8</v>
      </c>
      <c r="JD444" s="91"/>
      <c r="JE444" s="48">
        <f t="shared" si="1670"/>
        <v>0.49112055268665833</v>
      </c>
      <c r="JF444" s="48">
        <f t="shared" si="1671"/>
        <v>4.3318490188572309E-4</v>
      </c>
      <c r="JG444" s="94" t="s">
        <v>329</v>
      </c>
      <c r="JH444" s="90">
        <v>3.9</v>
      </c>
      <c r="JI444" s="104">
        <f>ABS(JH444)*JK$474</f>
        <v>6.3714726135569416E-2</v>
      </c>
      <c r="JJ444" s="91">
        <v>3</v>
      </c>
      <c r="JK444" s="91"/>
      <c r="JL444" s="90">
        <v>4.8</v>
      </c>
      <c r="JM444" s="104">
        <f>ABS(JL444)*JO$474</f>
        <v>0.13678760223877287</v>
      </c>
      <c r="JN444" s="91">
        <v>6</v>
      </c>
      <c r="JO444" s="91"/>
      <c r="JP444" s="48">
        <f t="shared" ref="JP444" si="1734">LN(JL444/JH444)</f>
        <v>0.20763936477824455</v>
      </c>
      <c r="JQ444" s="48">
        <f t="shared" ref="JQ444" si="1735">JM444^2/(JN444*JL444^2)+JI444^2/(JJ444*JH444^2)</f>
        <v>2.243175102607337E-4</v>
      </c>
      <c r="JR444" s="94"/>
      <c r="JS444" s="90" t="s">
        <v>37</v>
      </c>
      <c r="JT444" s="90" t="s">
        <v>37</v>
      </c>
      <c r="JU444" s="91" t="s">
        <v>37</v>
      </c>
      <c r="JV444" s="91"/>
      <c r="JW444" s="90" t="s">
        <v>37</v>
      </c>
      <c r="JX444" s="90" t="s">
        <v>37</v>
      </c>
      <c r="JY444" s="90" t="s">
        <v>37</v>
      </c>
      <c r="KE444" s="90" t="s">
        <v>37</v>
      </c>
      <c r="KF444" s="90" t="s">
        <v>37</v>
      </c>
      <c r="KG444" s="91" t="s">
        <v>37</v>
      </c>
      <c r="KH444" s="90" t="s">
        <v>37</v>
      </c>
      <c r="KI444" s="90" t="s">
        <v>37</v>
      </c>
      <c r="KJ444" s="90" t="s">
        <v>37</v>
      </c>
      <c r="KK444" s="90" t="s">
        <v>42</v>
      </c>
      <c r="KL444" s="94" t="s">
        <v>327</v>
      </c>
      <c r="KM444" s="90">
        <v>4.7</v>
      </c>
      <c r="KN444" s="104">
        <f>ABS(KM444)*KP$474</f>
        <v>0.56067729450883963</v>
      </c>
      <c r="KO444" s="89">
        <v>4</v>
      </c>
      <c r="KP444" s="89"/>
      <c r="KQ444" s="90">
        <v>18</v>
      </c>
      <c r="KR444" s="104">
        <f>ABS(KQ444)*KT$474</f>
        <v>1.8979817430354615</v>
      </c>
      <c r="KS444" s="91">
        <v>4</v>
      </c>
      <c r="KT444" s="91"/>
      <c r="KU444" s="48">
        <f t="shared" si="1674"/>
        <v>1.3428092491801518</v>
      </c>
      <c r="KV444" s="48">
        <f t="shared" si="1675"/>
        <v>6.3372866721444938E-3</v>
      </c>
      <c r="KW444" s="94" t="s">
        <v>331</v>
      </c>
      <c r="KX444" s="90" t="s">
        <v>37</v>
      </c>
      <c r="KY444" s="90" t="s">
        <v>37</v>
      </c>
      <c r="KZ444" s="90" t="s">
        <v>37</v>
      </c>
      <c r="LB444" s="90">
        <v>25</v>
      </c>
      <c r="LC444" s="104">
        <f>ABS(LB444)*LE$474</f>
        <v>2.8842824454781084</v>
      </c>
      <c r="LD444" s="91">
        <v>4</v>
      </c>
      <c r="LE444" s="91"/>
      <c r="LF444" s="91"/>
      <c r="LG444" s="91"/>
      <c r="LH444" s="94"/>
      <c r="LI444" s="90" t="s">
        <v>37</v>
      </c>
      <c r="LJ444" s="90" t="s">
        <v>37</v>
      </c>
      <c r="LK444" s="90" t="s">
        <v>37</v>
      </c>
      <c r="LM444" s="90" t="s">
        <v>37</v>
      </c>
      <c r="LN444" s="90" t="s">
        <v>37</v>
      </c>
      <c r="LO444" s="90" t="s">
        <v>37</v>
      </c>
      <c r="LT444" s="90" t="s">
        <v>872</v>
      </c>
      <c r="LU444" s="90">
        <v>122.17998716493064</v>
      </c>
      <c r="LV444" s="104">
        <f>ABS(LU444)*LX$474</f>
        <v>17.430995414122574</v>
      </c>
      <c r="LW444" s="91">
        <v>4</v>
      </c>
      <c r="LX444" s="91"/>
      <c r="LY444" s="90">
        <v>13.212168084557876</v>
      </c>
      <c r="LZ444" s="104">
        <f>ABS(LY444)*MB$474</f>
        <v>1.7154612302217238</v>
      </c>
      <c r="MA444" s="91">
        <v>4</v>
      </c>
      <c r="MB444" s="91"/>
      <c r="MC444" s="48">
        <f t="shared" si="1678"/>
        <v>-2.2243570326104338</v>
      </c>
      <c r="MD444" s="48">
        <f t="shared" si="1679"/>
        <v>9.3030086585693117E-3</v>
      </c>
      <c r="MF444" s="90" t="s">
        <v>37</v>
      </c>
      <c r="MG444" s="90" t="s">
        <v>37</v>
      </c>
      <c r="MH444" s="90" t="s">
        <v>37</v>
      </c>
      <c r="MI444" s="91"/>
      <c r="MJ444" s="90">
        <v>21.57772621809745</v>
      </c>
      <c r="MK444" s="104">
        <f>ABS(MJ444)*MM$474</f>
        <v>1.8677980683042168</v>
      </c>
      <c r="ML444" s="91">
        <v>4</v>
      </c>
      <c r="MM444" s="91"/>
      <c r="MN444" s="91"/>
      <c r="MO444" s="91"/>
      <c r="MQ444" s="90" t="s">
        <v>37</v>
      </c>
      <c r="MR444" s="90" t="s">
        <v>37</v>
      </c>
      <c r="MS444" s="90" t="s">
        <v>37</v>
      </c>
      <c r="MU444" s="90" t="s">
        <v>37</v>
      </c>
      <c r="MV444" s="90" t="s">
        <v>37</v>
      </c>
      <c r="MW444" s="90" t="s">
        <v>37</v>
      </c>
      <c r="NA444" s="90" t="s">
        <v>102</v>
      </c>
      <c r="NB444" s="90" t="s">
        <v>327</v>
      </c>
      <c r="NC444" s="90">
        <v>9.6</v>
      </c>
      <c r="ND444" s="104">
        <f>ABS(NC444)*NF$474</f>
        <v>2.6604666214054755</v>
      </c>
      <c r="NE444" s="91">
        <v>4</v>
      </c>
      <c r="NF444" s="91"/>
      <c r="NG444" s="90">
        <v>4.4000000000000004</v>
      </c>
      <c r="NH444" s="104">
        <f>ABS(NG444)*NJ$474</f>
        <v>1.2363692375617894</v>
      </c>
      <c r="NI444" s="91">
        <v>2</v>
      </c>
      <c r="NJ444" s="91"/>
      <c r="NK444" s="91"/>
      <c r="NL444" s="91"/>
      <c r="NM444" s="90" t="s">
        <v>102</v>
      </c>
      <c r="NN444" s="90" t="s">
        <v>327</v>
      </c>
      <c r="NO444" s="90">
        <v>0.04</v>
      </c>
      <c r="NP444" s="104">
        <f>ABS(NO444)*NR$474</f>
        <v>3.3386573810554335E-2</v>
      </c>
      <c r="NQ444" s="91">
        <v>4</v>
      </c>
      <c r="NR444" s="91"/>
      <c r="NS444" s="90">
        <v>6.6</v>
      </c>
      <c r="NT444" s="104">
        <f>ABS(NS444)*NV$474</f>
        <v>3.847980667449248</v>
      </c>
      <c r="NU444" s="91">
        <v>2</v>
      </c>
      <c r="NV444" s="91"/>
      <c r="NW444" s="48">
        <f t="shared" si="1699"/>
        <v>5.1059454739005803</v>
      </c>
      <c r="NX444" s="48">
        <f>NT444^2/(NU444*NS444^2)+NP444^2/(NQ444*NO444^2)</f>
        <v>0.34412660164636727</v>
      </c>
      <c r="OA444" s="90" t="s">
        <v>37</v>
      </c>
      <c r="OB444" s="90" t="s">
        <v>37</v>
      </c>
      <c r="OC444" s="90" t="s">
        <v>37</v>
      </c>
      <c r="OE444" s="90" t="s">
        <v>37</v>
      </c>
      <c r="OF444" s="90" t="s">
        <v>37</v>
      </c>
      <c r="OG444" s="90" t="s">
        <v>37</v>
      </c>
      <c r="OM444" s="90" t="s">
        <v>37</v>
      </c>
      <c r="ON444" s="90" t="s">
        <v>37</v>
      </c>
      <c r="OO444" s="90" t="s">
        <v>37</v>
      </c>
      <c r="OP444" s="90" t="s">
        <v>37</v>
      </c>
      <c r="OQ444" s="90" t="s">
        <v>37</v>
      </c>
      <c r="OR444" s="90" t="s">
        <v>37</v>
      </c>
      <c r="OW444" s="90" t="s">
        <v>37</v>
      </c>
      <c r="OX444" s="90" t="s">
        <v>37</v>
      </c>
      <c r="OY444" s="91" t="s">
        <v>37</v>
      </c>
      <c r="OZ444" s="90" t="s">
        <v>37</v>
      </c>
      <c r="PA444" s="90" t="s">
        <v>37</v>
      </c>
      <c r="PB444" s="91" t="s">
        <v>37</v>
      </c>
      <c r="PC444" s="91"/>
      <c r="PD444" s="91"/>
      <c r="PG444" s="89" t="s">
        <v>37</v>
      </c>
      <c r="PH444" s="89" t="s">
        <v>37</v>
      </c>
      <c r="PI444" s="91" t="s">
        <v>37</v>
      </c>
      <c r="PJ444" s="89" t="s">
        <v>37</v>
      </c>
      <c r="PK444" s="89" t="s">
        <v>37</v>
      </c>
      <c r="PL444" s="91" t="s">
        <v>37</v>
      </c>
      <c r="PM444" s="91"/>
      <c r="PN444" s="91"/>
      <c r="PQ444" s="90" t="s">
        <v>37</v>
      </c>
      <c r="PR444" s="90" t="s">
        <v>37</v>
      </c>
      <c r="PS444" s="90" t="s">
        <v>37</v>
      </c>
      <c r="PT444" s="90" t="s">
        <v>37</v>
      </c>
      <c r="PU444" s="90" t="s">
        <v>37</v>
      </c>
      <c r="PV444" s="90" t="s">
        <v>37</v>
      </c>
      <c r="PZ444" s="90" t="s">
        <v>37</v>
      </c>
      <c r="QA444" s="90" t="s">
        <v>37</v>
      </c>
      <c r="QB444" s="89" t="s">
        <v>37</v>
      </c>
      <c r="QC444" s="89"/>
      <c r="QD444" s="90" t="s">
        <v>37</v>
      </c>
      <c r="QE444" s="90" t="s">
        <v>37</v>
      </c>
      <c r="QF444" s="90" t="s">
        <v>37</v>
      </c>
      <c r="QK444" s="90" t="s">
        <v>37</v>
      </c>
      <c r="QL444" s="90" t="s">
        <v>37</v>
      </c>
      <c r="QM444" s="90" t="s">
        <v>37</v>
      </c>
      <c r="QN444" s="90" t="s">
        <v>37</v>
      </c>
      <c r="QO444" s="90" t="s">
        <v>37</v>
      </c>
      <c r="QP444" s="90" t="s">
        <v>37</v>
      </c>
      <c r="QU444" s="90" t="s">
        <v>37</v>
      </c>
      <c r="QV444" s="90" t="s">
        <v>37</v>
      </c>
      <c r="QW444" s="90" t="s">
        <v>37</v>
      </c>
      <c r="QX444" s="90" t="s">
        <v>37</v>
      </c>
      <c r="QY444" s="90" t="s">
        <v>37</v>
      </c>
      <c r="QZ444" s="90" t="s">
        <v>37</v>
      </c>
      <c r="RC444" s="90" t="s">
        <v>37</v>
      </c>
      <c r="RD444" s="90" t="s">
        <v>37</v>
      </c>
      <c r="RE444" s="91" t="s">
        <v>37</v>
      </c>
      <c r="RF444" s="90" t="s">
        <v>37</v>
      </c>
      <c r="RG444" s="90" t="s">
        <v>37</v>
      </c>
      <c r="RH444" s="91" t="s">
        <v>37</v>
      </c>
      <c r="RK444" s="90" t="s">
        <v>37</v>
      </c>
      <c r="RL444" s="90" t="s">
        <v>37</v>
      </c>
      <c r="RM444" s="89" t="s">
        <v>37</v>
      </c>
      <c r="RN444" s="90" t="s">
        <v>37</v>
      </c>
      <c r="RO444" s="90" t="s">
        <v>37</v>
      </c>
      <c r="RP444" s="89" t="s">
        <v>37</v>
      </c>
      <c r="RS444" s="90" t="s">
        <v>37</v>
      </c>
      <c r="RT444" s="90" t="s">
        <v>37</v>
      </c>
      <c r="RU444" s="90" t="s">
        <v>37</v>
      </c>
      <c r="RV444" s="90" t="s">
        <v>37</v>
      </c>
      <c r="RW444" s="90" t="s">
        <v>37</v>
      </c>
      <c r="RX444" s="90" t="s">
        <v>37</v>
      </c>
      <c r="SA444" s="90" t="s">
        <v>37</v>
      </c>
      <c r="SB444" s="90" t="s">
        <v>37</v>
      </c>
      <c r="SC444" s="90" t="s">
        <v>37</v>
      </c>
      <c r="SD444" s="90" t="s">
        <v>37</v>
      </c>
      <c r="SE444" s="90" t="s">
        <v>37</v>
      </c>
      <c r="SF444" s="90" t="s">
        <v>37</v>
      </c>
      <c r="SG444" s="90" t="s">
        <v>45</v>
      </c>
      <c r="SH444" s="90" t="s">
        <v>327</v>
      </c>
      <c r="SI444" s="90">
        <v>370</v>
      </c>
      <c r="SJ444" s="104">
        <f>ABS(SI444)*SL$474</f>
        <v>114.77793858204488</v>
      </c>
      <c r="SK444" s="91">
        <v>6</v>
      </c>
      <c r="SL444" s="91"/>
      <c r="SM444" s="90">
        <v>1600</v>
      </c>
      <c r="SN444" s="104">
        <f>ABS(SM444)*SP$474</f>
        <v>435.09846949588058</v>
      </c>
      <c r="SO444" s="91">
        <v>6</v>
      </c>
      <c r="SP444" s="91"/>
      <c r="SQ444" s="48">
        <f>LN(SM444/SI444)</f>
        <v>1.4642559025896025</v>
      </c>
      <c r="SR444" s="48">
        <f>SN444^2/(SO444*SM444^2)+SJ444^2/(SK444*SI444^2)</f>
        <v>2.8363354635450495E-2</v>
      </c>
      <c r="SU444" s="90" t="s">
        <v>37</v>
      </c>
      <c r="SV444" s="90" t="s">
        <v>37</v>
      </c>
      <c r="SW444" s="90" t="s">
        <v>37</v>
      </c>
      <c r="SX444" s="90" t="s">
        <v>37</v>
      </c>
      <c r="SY444" s="90" t="s">
        <v>37</v>
      </c>
      <c r="SZ444" s="90" t="s">
        <v>37</v>
      </c>
      <c r="TE444" s="90" t="s">
        <v>37</v>
      </c>
      <c r="TF444" s="90" t="s">
        <v>37</v>
      </c>
      <c r="TG444" s="89" t="s">
        <v>37</v>
      </c>
      <c r="TH444" s="90" t="s">
        <v>37</v>
      </c>
      <c r="TI444" s="90" t="s">
        <v>37</v>
      </c>
      <c r="TJ444" s="89" t="s">
        <v>37</v>
      </c>
      <c r="TK444" s="89"/>
      <c r="TL444" s="89"/>
      <c r="TO444" s="90" t="s">
        <v>37</v>
      </c>
      <c r="TP444" s="90" t="s">
        <v>37</v>
      </c>
      <c r="TQ444" s="89" t="s">
        <v>37</v>
      </c>
      <c r="TR444" s="90" t="s">
        <v>37</v>
      </c>
      <c r="TS444" s="90" t="s">
        <v>37</v>
      </c>
      <c r="TT444" s="89" t="s">
        <v>37</v>
      </c>
      <c r="TU444" s="89"/>
      <c r="TV444" s="89"/>
      <c r="TY444" s="90" t="s">
        <v>37</v>
      </c>
      <c r="TZ444" s="90" t="s">
        <v>37</v>
      </c>
      <c r="UA444" s="90" t="s">
        <v>37</v>
      </c>
      <c r="UB444" s="90" t="s">
        <v>37</v>
      </c>
      <c r="UC444" s="90" t="s">
        <v>37</v>
      </c>
      <c r="UD444" s="90" t="s">
        <v>37</v>
      </c>
      <c r="UI444" s="90" t="s">
        <v>37</v>
      </c>
      <c r="UJ444" s="90" t="s">
        <v>37</v>
      </c>
      <c r="UK444" s="90" t="s">
        <v>37</v>
      </c>
      <c r="UL444" s="90" t="s">
        <v>37</v>
      </c>
      <c r="UM444" s="90" t="s">
        <v>37</v>
      </c>
      <c r="UN444" s="90" t="s">
        <v>37</v>
      </c>
      <c r="UR444" s="90" t="s">
        <v>37</v>
      </c>
      <c r="US444" s="90" t="s">
        <v>37</v>
      </c>
      <c r="UT444" s="90" t="s">
        <v>37</v>
      </c>
      <c r="UU444" s="90" t="s">
        <v>37</v>
      </c>
      <c r="UV444" s="90" t="s">
        <v>37</v>
      </c>
      <c r="UW444" s="90" t="s">
        <v>37</v>
      </c>
      <c r="VB444" s="90" t="s">
        <v>37</v>
      </c>
      <c r="VC444" s="90" t="s">
        <v>37</v>
      </c>
      <c r="VD444" s="90" t="s">
        <v>37</v>
      </c>
      <c r="VE444" s="90" t="s">
        <v>37</v>
      </c>
      <c r="VF444" s="90" t="s">
        <v>37</v>
      </c>
      <c r="VG444" s="90" t="s">
        <v>37</v>
      </c>
      <c r="VI444" s="90" t="s">
        <v>37</v>
      </c>
      <c r="VJ444" s="90" t="s">
        <v>37</v>
      </c>
      <c r="VK444" s="90" t="s">
        <v>37</v>
      </c>
      <c r="VL444" s="90" t="s">
        <v>37</v>
      </c>
      <c r="VM444" s="90" t="s">
        <v>37</v>
      </c>
      <c r="VN444" s="90" t="s">
        <v>37</v>
      </c>
      <c r="VQ444" s="91" t="s">
        <v>37</v>
      </c>
      <c r="VR444" s="91" t="s">
        <v>37</v>
      </c>
      <c r="VS444" s="91" t="s">
        <v>37</v>
      </c>
      <c r="VT444" s="91" t="s">
        <v>37</v>
      </c>
      <c r="VU444" s="91" t="s">
        <v>37</v>
      </c>
      <c r="VV444" s="91" t="s">
        <v>37</v>
      </c>
      <c r="VW444" s="91"/>
      <c r="VX444" s="91"/>
      <c r="WA444" s="91" t="s">
        <v>37</v>
      </c>
      <c r="WB444" s="91" t="s">
        <v>37</v>
      </c>
      <c r="WC444" s="91" t="s">
        <v>37</v>
      </c>
      <c r="WD444" s="91" t="s">
        <v>37</v>
      </c>
      <c r="WE444" s="91" t="s">
        <v>37</v>
      </c>
      <c r="WF444" s="91" t="s">
        <v>37</v>
      </c>
    </row>
    <row r="445" spans="1:604" s="90" customFormat="1" ht="17.399999999999999" x14ac:dyDescent="0.3">
      <c r="A445" s="89">
        <v>105</v>
      </c>
      <c r="B445" s="84" t="s">
        <v>631</v>
      </c>
      <c r="C445" s="90" t="s">
        <v>26</v>
      </c>
      <c r="D445" s="90" t="s">
        <v>974</v>
      </c>
      <c r="E445" s="88">
        <v>1.89</v>
      </c>
      <c r="F445" s="96">
        <v>250</v>
      </c>
      <c r="G445" s="88">
        <v>0</v>
      </c>
      <c r="H445" s="90" t="s">
        <v>104</v>
      </c>
      <c r="I445" s="99">
        <v>3.9</v>
      </c>
      <c r="J445" s="99">
        <v>103.333</v>
      </c>
      <c r="K445" s="99">
        <v>3.9</v>
      </c>
      <c r="L445" s="99">
        <v>103.333</v>
      </c>
      <c r="M445" s="91" t="s">
        <v>37</v>
      </c>
      <c r="N445" s="88">
        <v>28.5</v>
      </c>
      <c r="O445" s="88">
        <v>2000</v>
      </c>
      <c r="P445" s="88" t="s">
        <v>89</v>
      </c>
      <c r="Q445" s="92">
        <f>6/12</f>
        <v>0.5</v>
      </c>
      <c r="R445" s="11" t="s">
        <v>999</v>
      </c>
      <c r="S445" s="90" t="s">
        <v>105</v>
      </c>
      <c r="T445" s="90" t="s">
        <v>138</v>
      </c>
      <c r="U445" s="90" t="s">
        <v>158</v>
      </c>
      <c r="V445" s="90" t="s">
        <v>275</v>
      </c>
      <c r="W445" s="93" t="s">
        <v>632</v>
      </c>
      <c r="X445" s="90" t="s">
        <v>49</v>
      </c>
      <c r="Y445" s="90" t="s">
        <v>37</v>
      </c>
      <c r="Z445" s="90" t="s">
        <v>37</v>
      </c>
      <c r="AA445" s="94" t="s">
        <v>345</v>
      </c>
      <c r="AB445" s="90">
        <v>3.6</v>
      </c>
      <c r="AC445" s="90" t="s">
        <v>42</v>
      </c>
      <c r="AD445" s="94" t="s">
        <v>345</v>
      </c>
      <c r="AE445" s="90">
        <f>95.1/1.724*10</f>
        <v>551.62412993039436</v>
      </c>
      <c r="AF445" s="90" t="s">
        <v>42</v>
      </c>
      <c r="AG445" s="94" t="s">
        <v>345</v>
      </c>
      <c r="AH445" s="90">
        <v>12.75</v>
      </c>
      <c r="AJ445" s="90" t="str">
        <f t="shared" ref="AJ445:AJ446" si="1736">AD445</f>
        <v>0-10</v>
      </c>
      <c r="AK445" s="48">
        <f t="shared" ref="AK445:AK446" si="1737">AE445/AH445</f>
        <v>43.264637641599556</v>
      </c>
      <c r="AL445" s="94" t="s">
        <v>633</v>
      </c>
      <c r="AM445" s="90" t="s">
        <v>344</v>
      </c>
      <c r="AN445" s="94"/>
      <c r="AO445" s="90" t="s">
        <v>37</v>
      </c>
      <c r="AP445" s="90" t="s">
        <v>167</v>
      </c>
      <c r="AQ445" s="90" t="s">
        <v>975</v>
      </c>
      <c r="AR445" s="90" t="s">
        <v>42</v>
      </c>
      <c r="AS445" s="94" t="s">
        <v>345</v>
      </c>
      <c r="AT445" s="90">
        <f>95.1/1.724*10</f>
        <v>551.62412993039436</v>
      </c>
      <c r="AU445" s="90">
        <f>0.99/1.724*SQRT(5)*10</f>
        <v>12.840529569169325</v>
      </c>
      <c r="AV445" s="91">
        <v>5</v>
      </c>
      <c r="AW445" s="48">
        <f>AU445/AT445</f>
        <v>2.3277679261038822E-2</v>
      </c>
      <c r="AX445" s="90">
        <f>91.1/1.724*10</f>
        <v>528.4222737819025</v>
      </c>
      <c r="AY445" s="90">
        <f>1.69/1.724*SQRT(5)*10</f>
        <v>21.919691890804206</v>
      </c>
      <c r="AZ445" s="91">
        <v>5</v>
      </c>
      <c r="BA445" s="48">
        <f>AY445/AX445</f>
        <v>4.1481392776889635E-2</v>
      </c>
      <c r="BB445" s="102">
        <f t="shared" si="1668"/>
        <v>-4.2971165285431941E-2</v>
      </c>
      <c r="BC445" s="48">
        <f t="shared" si="1669"/>
        <v>4.5251125969807772E-4</v>
      </c>
      <c r="BE445" s="90" t="s">
        <v>326</v>
      </c>
      <c r="BF445" s="90" t="s">
        <v>326</v>
      </c>
      <c r="BG445" s="90" t="s">
        <v>326</v>
      </c>
      <c r="BH445" s="48"/>
      <c r="BI445" s="90" t="s">
        <v>326</v>
      </c>
      <c r="BJ445" s="90" t="s">
        <v>326</v>
      </c>
      <c r="BK445" s="90" t="s">
        <v>326</v>
      </c>
      <c r="BL445" s="48"/>
      <c r="BM445" s="48"/>
      <c r="BN445" s="48"/>
      <c r="BP445" s="90" t="s">
        <v>37</v>
      </c>
      <c r="BQ445" s="90" t="s">
        <v>37</v>
      </c>
      <c r="BR445" s="90" t="s">
        <v>37</v>
      </c>
      <c r="BS445" s="48"/>
      <c r="BT445" s="90" t="s">
        <v>37</v>
      </c>
      <c r="BU445" s="90" t="s">
        <v>37</v>
      </c>
      <c r="BV445" s="90" t="s">
        <v>37</v>
      </c>
      <c r="BW445" s="48"/>
      <c r="BX445" s="48"/>
      <c r="BY445" s="48"/>
      <c r="CA445" s="90" t="s">
        <v>37</v>
      </c>
      <c r="CB445" s="90" t="s">
        <v>37</v>
      </c>
      <c r="CC445" s="91" t="s">
        <v>37</v>
      </c>
      <c r="CD445" s="48"/>
      <c r="CE445" s="90" t="s">
        <v>37</v>
      </c>
      <c r="CF445" s="90" t="s">
        <v>37</v>
      </c>
      <c r="CG445" s="91" t="s">
        <v>37</v>
      </c>
      <c r="CH445" s="48"/>
      <c r="CI445" s="48"/>
      <c r="CK445" s="96"/>
      <c r="CL445" s="96"/>
      <c r="CN445" s="90" t="s">
        <v>37</v>
      </c>
      <c r="CO445" s="90" t="s">
        <v>37</v>
      </c>
      <c r="CP445" s="91" t="s">
        <v>37</v>
      </c>
      <c r="CQ445" s="48"/>
      <c r="CR445" s="90" t="s">
        <v>37</v>
      </c>
      <c r="CS445" s="90" t="s">
        <v>37</v>
      </c>
      <c r="CT445" s="91" t="s">
        <v>37</v>
      </c>
      <c r="CU445" s="48"/>
      <c r="CV445" s="48"/>
      <c r="CX445" s="96"/>
      <c r="CY445" s="96"/>
      <c r="DA445" s="90" t="s">
        <v>37</v>
      </c>
      <c r="DB445" s="90" t="s">
        <v>37</v>
      </c>
      <c r="DC445" s="91" t="s">
        <v>37</v>
      </c>
      <c r="DD445" s="48"/>
      <c r="DE445" s="90" t="s">
        <v>37</v>
      </c>
      <c r="DF445" s="90" t="s">
        <v>37</v>
      </c>
      <c r="DG445" s="91" t="s">
        <v>37</v>
      </c>
      <c r="DH445" s="48"/>
      <c r="DI445" s="48"/>
      <c r="DJ445" s="48"/>
      <c r="DK445" s="96"/>
      <c r="DL445" s="96"/>
      <c r="DM445" s="90" t="s">
        <v>47</v>
      </c>
      <c r="DN445" s="48">
        <f>14.78/34*10^3</f>
        <v>434.70588235294116</v>
      </c>
      <c r="DO445" s="90">
        <f>6.65*SQRT(5)/34*10^3</f>
        <v>437.34858971687066</v>
      </c>
      <c r="DP445" s="91">
        <v>5</v>
      </c>
      <c r="DQ445" s="48">
        <f>DO445/ABS(DN445)</f>
        <v>1.0060792997546417</v>
      </c>
      <c r="DR445" s="48">
        <f>2.68/34*10^3</f>
        <v>78.82352941176471</v>
      </c>
      <c r="DS445" s="90">
        <f>1.2*SQRT(5)/34*10^3</f>
        <v>78.92004626469847</v>
      </c>
      <c r="DT445" s="91">
        <v>5</v>
      </c>
      <c r="DU445" s="48">
        <f>DS445/ABS(DR445)</f>
        <v>1.0012244675372193</v>
      </c>
      <c r="DV445" s="48">
        <f>DR445-DN445</f>
        <v>-355.88235294117646</v>
      </c>
      <c r="DW445" s="90">
        <f t="shared" si="1716"/>
        <v>314.24684774056033</v>
      </c>
      <c r="DX445" s="96">
        <f t="shared" si="1611"/>
        <v>39500.432525951561</v>
      </c>
      <c r="DY445" s="96">
        <f t="shared" si="1612"/>
        <v>39500.432525951561</v>
      </c>
      <c r="DZ445" s="89"/>
      <c r="EA445" s="101" t="s">
        <v>37</v>
      </c>
      <c r="EB445" s="101" t="s">
        <v>37</v>
      </c>
      <c r="EC445" s="101" t="s">
        <v>37</v>
      </c>
      <c r="ED445" s="101"/>
      <c r="EE445" s="101" t="s">
        <v>37</v>
      </c>
      <c r="EF445" s="101" t="s">
        <v>37</v>
      </c>
      <c r="EG445" s="101" t="s">
        <v>37</v>
      </c>
      <c r="EH445" s="102"/>
      <c r="EI445" s="48"/>
      <c r="EK445" s="102"/>
      <c r="EL445" s="102"/>
      <c r="EM445" s="90" t="s">
        <v>39</v>
      </c>
      <c r="EN445" s="90">
        <v>6</v>
      </c>
      <c r="EO445" s="90">
        <v>22</v>
      </c>
      <c r="EP445" s="91">
        <v>5</v>
      </c>
      <c r="EQ445" s="48">
        <f t="shared" ref="EQ445:EQ446" si="1738">EO445/ABS(EN445)</f>
        <v>3.6666666666666665</v>
      </c>
      <c r="ER445" s="90">
        <v>-39</v>
      </c>
      <c r="ES445" s="90">
        <v>15</v>
      </c>
      <c r="ET445" s="91">
        <v>5</v>
      </c>
      <c r="EU445" s="48">
        <f t="shared" ref="EU445" si="1739">ES445/ABS(ER445)</f>
        <v>0.38461538461538464</v>
      </c>
      <c r="EV445" s="48">
        <f>ER445-EN445</f>
        <v>-45</v>
      </c>
      <c r="EW445" s="90">
        <f t="shared" si="1725"/>
        <v>18.828170383762732</v>
      </c>
      <c r="EX445" s="48">
        <f t="shared" si="1726"/>
        <v>141.80000000000001</v>
      </c>
      <c r="EY445" s="48">
        <f t="shared" si="1727"/>
        <v>141.80000000000001</v>
      </c>
      <c r="FB445" s="90" t="s">
        <v>37</v>
      </c>
      <c r="FC445" s="90" t="s">
        <v>37</v>
      </c>
      <c r="FD445" s="89" t="s">
        <v>37</v>
      </c>
      <c r="FE445" s="90" t="s">
        <v>37</v>
      </c>
      <c r="FF445" s="100" t="s">
        <v>37</v>
      </c>
      <c r="FG445" s="89" t="s">
        <v>37</v>
      </c>
      <c r="FH445" s="94"/>
      <c r="FI445" s="90" t="s">
        <v>37</v>
      </c>
      <c r="FJ445" s="90" t="s">
        <v>37</v>
      </c>
      <c r="FK445" s="89" t="s">
        <v>37</v>
      </c>
      <c r="FL445" s="91" t="s">
        <v>37</v>
      </c>
      <c r="FM445" s="89" t="s">
        <v>37</v>
      </c>
      <c r="FN445" s="89" t="s">
        <v>37</v>
      </c>
      <c r="FO445" s="94"/>
      <c r="FP445" s="90" t="s">
        <v>37</v>
      </c>
      <c r="FQ445" s="90" t="s">
        <v>37</v>
      </c>
      <c r="FR445" s="89" t="s">
        <v>37</v>
      </c>
      <c r="FS445" s="91" t="s">
        <v>37</v>
      </c>
      <c r="FT445" s="89" t="s">
        <v>37</v>
      </c>
      <c r="FU445" s="89" t="s">
        <v>37</v>
      </c>
      <c r="FV445" s="94"/>
      <c r="FW445" s="90" t="s">
        <v>37</v>
      </c>
      <c r="FX445" s="90" t="s">
        <v>37</v>
      </c>
      <c r="FY445" s="89" t="s">
        <v>37</v>
      </c>
      <c r="FZ445" s="91" t="s">
        <v>37</v>
      </c>
      <c r="GA445" s="89" t="s">
        <v>37</v>
      </c>
      <c r="GB445" s="89" t="s">
        <v>37</v>
      </c>
      <c r="GC445" s="90" t="s">
        <v>101</v>
      </c>
      <c r="GD445" s="90" t="s">
        <v>616</v>
      </c>
      <c r="GE445" s="90">
        <v>82.3</v>
      </c>
      <c r="GF445" s="90">
        <f>28*SQRT(GG445)</f>
        <v>62.609903369994115</v>
      </c>
      <c r="GG445" s="91">
        <v>5</v>
      </c>
      <c r="GH445" s="48">
        <f t="shared" si="1728"/>
        <v>0.7607521673146308</v>
      </c>
      <c r="GI445" s="90">
        <v>33.299999999999997</v>
      </c>
      <c r="GJ445" s="90">
        <f>9*SQRT(GK445)</f>
        <v>20.124611797498108</v>
      </c>
      <c r="GK445" s="91">
        <v>5</v>
      </c>
      <c r="GL445" s="48">
        <f>GJ445/GI445</f>
        <v>0.60434269662156481</v>
      </c>
      <c r="GM445" s="48">
        <f t="shared" si="1719"/>
        <v>-0.90481371069662597</v>
      </c>
      <c r="GN445" s="48">
        <f t="shared" ref="GN445:GN446" si="1740">GJ445^2/(GK445*GI445^2)+GF445^2/(GG445*GE445^2)</f>
        <v>0.18879479100674657</v>
      </c>
      <c r="GO445" s="90" t="s">
        <v>660</v>
      </c>
      <c r="GP445" s="90" t="s">
        <v>330</v>
      </c>
      <c r="GQ445" s="90">
        <v>26.1</v>
      </c>
      <c r="GR445" s="90">
        <v>0.52</v>
      </c>
      <c r="GS445" s="91">
        <v>5</v>
      </c>
      <c r="GT445" s="48">
        <f>GR445/GQ445</f>
        <v>1.9923371647509579E-2</v>
      </c>
      <c r="GU445" s="90">
        <v>29.8</v>
      </c>
      <c r="GV445" s="90">
        <v>0.49</v>
      </c>
      <c r="GW445" s="91">
        <v>5</v>
      </c>
      <c r="GX445" s="48">
        <f t="shared" ref="GX445:GX446" si="1741">GV445/GU445</f>
        <v>1.6442953020134227E-2</v>
      </c>
      <c r="GY445" s="48">
        <f t="shared" si="1729"/>
        <v>0.13257307918271091</v>
      </c>
      <c r="GZ445" s="48">
        <f t="shared" si="1730"/>
        <v>1.3346228836542596E-4</v>
      </c>
      <c r="HA445" s="97" t="s">
        <v>63</v>
      </c>
      <c r="HB445" s="98" t="s">
        <v>345</v>
      </c>
      <c r="HC445" s="90">
        <v>0.1</v>
      </c>
      <c r="HD445" s="90">
        <v>8.0000000000000002E-3</v>
      </c>
      <c r="HE445" s="91">
        <v>5</v>
      </c>
      <c r="HF445" s="48">
        <f>HD445/HC445</f>
        <v>0.08</v>
      </c>
      <c r="HG445" s="90">
        <v>0.12</v>
      </c>
      <c r="HH445" s="90">
        <f>0.01*SQRT(5)</f>
        <v>2.2360679774997897E-2</v>
      </c>
      <c r="HI445" s="91">
        <v>5</v>
      </c>
      <c r="HJ445" s="48">
        <f>HH445/HG445</f>
        <v>0.18633899812498247</v>
      </c>
      <c r="HK445" s="48">
        <f t="shared" ref="HK445:HK446" si="1742">LN(HG445/HC445)</f>
        <v>0.18232155679395459</v>
      </c>
      <c r="HL445" s="48">
        <f t="shared" ref="HL445:HL446" si="1743">HH445^2/(HI445*HG445^2)+HD445^2/(HE445*HC445^2)</f>
        <v>8.2244444444444439E-3</v>
      </c>
      <c r="HM445" s="98"/>
      <c r="HN445" s="90" t="s">
        <v>37</v>
      </c>
      <c r="HO445" s="90" t="s">
        <v>37</v>
      </c>
      <c r="HP445" s="91" t="s">
        <v>37</v>
      </c>
      <c r="HQ445" s="91"/>
      <c r="HR445" s="90" t="s">
        <v>37</v>
      </c>
      <c r="HS445" s="90" t="s">
        <v>37</v>
      </c>
      <c r="HT445" s="91" t="s">
        <v>37</v>
      </c>
      <c r="HU445" s="91"/>
      <c r="HV445" s="91"/>
      <c r="HW445" s="91"/>
      <c r="HX445" s="98"/>
      <c r="HY445" s="90" t="s">
        <v>37</v>
      </c>
      <c r="HZ445" s="90" t="s">
        <v>37</v>
      </c>
      <c r="IA445" s="91" t="s">
        <v>37</v>
      </c>
      <c r="IB445" s="91"/>
      <c r="IC445" s="90" t="s">
        <v>37</v>
      </c>
      <c r="ID445" s="90" t="s">
        <v>37</v>
      </c>
      <c r="IE445" s="91" t="s">
        <v>37</v>
      </c>
      <c r="IF445" s="91"/>
      <c r="IG445" s="91"/>
      <c r="IH445" s="91"/>
      <c r="IK445" s="90" t="s">
        <v>37</v>
      </c>
      <c r="IL445" s="90" t="s">
        <v>37</v>
      </c>
      <c r="IM445" s="90" t="s">
        <v>37</v>
      </c>
      <c r="IN445" s="48"/>
      <c r="IO445" s="90" t="s">
        <v>37</v>
      </c>
      <c r="IP445" s="90" t="s">
        <v>37</v>
      </c>
      <c r="IQ445" s="90" t="s">
        <v>37</v>
      </c>
      <c r="IR445" s="48"/>
      <c r="IS445" s="48"/>
      <c r="IT445" s="48"/>
      <c r="IV445" s="94" t="s">
        <v>345</v>
      </c>
      <c r="IW445" s="90">
        <v>3.6</v>
      </c>
      <c r="IX445" s="90">
        <v>0.06</v>
      </c>
      <c r="IY445" s="91">
        <v>5</v>
      </c>
      <c r="IZ445" s="48">
        <f t="shared" ref="IZ445:IZ449" si="1744">IX445/IW445</f>
        <v>1.6666666666666666E-2</v>
      </c>
      <c r="JA445" s="90">
        <v>3.7</v>
      </c>
      <c r="JB445" s="90">
        <v>0.08</v>
      </c>
      <c r="JC445" s="91">
        <v>5</v>
      </c>
      <c r="JD445" s="48">
        <f t="shared" ref="JD445:JD446" si="1745">JB445/JA445</f>
        <v>2.1621621621621619E-2</v>
      </c>
      <c r="JE445" s="48">
        <f t="shared" si="1670"/>
        <v>2.7398974188114562E-2</v>
      </c>
      <c r="JF445" s="48">
        <f t="shared" si="1671"/>
        <v>1.4905445986527067E-4</v>
      </c>
      <c r="JG445" s="94"/>
      <c r="JH445" s="90" t="s">
        <v>37</v>
      </c>
      <c r="JI445" s="90" t="s">
        <v>37</v>
      </c>
      <c r="JJ445" s="91" t="s">
        <v>37</v>
      </c>
      <c r="JK445" s="48"/>
      <c r="JL445" s="90" t="s">
        <v>37</v>
      </c>
      <c r="JM445" s="90" t="s">
        <v>37</v>
      </c>
      <c r="JN445" s="90" t="s">
        <v>37</v>
      </c>
      <c r="JO445" s="48"/>
      <c r="JP445" s="48"/>
      <c r="JQ445" s="48"/>
      <c r="JR445" s="94"/>
      <c r="JS445" s="90" t="s">
        <v>37</v>
      </c>
      <c r="JT445" s="90" t="s">
        <v>37</v>
      </c>
      <c r="JU445" s="91" t="s">
        <v>37</v>
      </c>
      <c r="JV445" s="48"/>
      <c r="JW445" s="90" t="s">
        <v>37</v>
      </c>
      <c r="JX445" s="90" t="s">
        <v>37</v>
      </c>
      <c r="JY445" s="90" t="s">
        <v>37</v>
      </c>
      <c r="JZ445" s="48"/>
      <c r="KA445" s="48"/>
      <c r="KB445" s="48"/>
      <c r="KE445" s="90" t="s">
        <v>37</v>
      </c>
      <c r="KF445" s="90" t="s">
        <v>37</v>
      </c>
      <c r="KG445" s="91" t="s">
        <v>37</v>
      </c>
      <c r="KH445" s="90" t="s">
        <v>37</v>
      </c>
      <c r="KI445" s="90" t="s">
        <v>37</v>
      </c>
      <c r="KJ445" s="90" t="s">
        <v>37</v>
      </c>
      <c r="KK445" s="90" t="s">
        <v>42</v>
      </c>
      <c r="KL445" s="94" t="s">
        <v>345</v>
      </c>
      <c r="KM445" s="90">
        <v>12.75</v>
      </c>
      <c r="KN445" s="90">
        <v>3</v>
      </c>
      <c r="KO445" s="89">
        <v>5</v>
      </c>
      <c r="KP445" s="48">
        <f t="shared" ref="KP445:KP449" si="1746">KN445/KM445</f>
        <v>0.23529411764705882</v>
      </c>
      <c r="KQ445" s="90">
        <v>13</v>
      </c>
      <c r="KR445" s="90">
        <v>1.25</v>
      </c>
      <c r="KS445" s="91">
        <v>5</v>
      </c>
      <c r="KT445" s="48">
        <f t="shared" ref="KT445:KT446" si="1747">KR445/KQ445</f>
        <v>9.6153846153846159E-2</v>
      </c>
      <c r="KU445" s="48">
        <f t="shared" si="1674"/>
        <v>1.9418085857101516E-2</v>
      </c>
      <c r="KV445" s="48">
        <f t="shared" si="1675"/>
        <v>1.2921776785897093E-2</v>
      </c>
      <c r="KW445" s="94"/>
      <c r="KX445" s="90" t="s">
        <v>37</v>
      </c>
      <c r="KY445" s="90" t="s">
        <v>37</v>
      </c>
      <c r="KZ445" s="91" t="s">
        <v>37</v>
      </c>
      <c r="LA445" s="48"/>
      <c r="LB445" s="90" t="s">
        <v>37</v>
      </c>
      <c r="LC445" s="90" t="s">
        <v>37</v>
      </c>
      <c r="LD445" s="91" t="s">
        <v>37</v>
      </c>
      <c r="LE445" s="48"/>
      <c r="LF445" s="48"/>
      <c r="LG445" s="48"/>
      <c r="LH445" s="94"/>
      <c r="LI445" s="90" t="s">
        <v>37</v>
      </c>
      <c r="LJ445" s="90" t="s">
        <v>37</v>
      </c>
      <c r="LK445" s="90" t="s">
        <v>37</v>
      </c>
      <c r="LL445" s="48"/>
      <c r="LM445" s="90" t="s">
        <v>37</v>
      </c>
      <c r="LN445" s="90" t="s">
        <v>37</v>
      </c>
      <c r="LO445" s="90" t="s">
        <v>37</v>
      </c>
      <c r="LP445" s="48"/>
      <c r="LQ445" s="48"/>
      <c r="LR445" s="48"/>
      <c r="LT445" s="90" t="str">
        <f t="shared" ref="LT445:LT446" si="1748">KL445</f>
        <v>0-10</v>
      </c>
      <c r="LU445" s="90">
        <f>AT445/KM445</f>
        <v>43.264637641599556</v>
      </c>
      <c r="LV445" s="90">
        <f>SQRT((1/KM445)^2*AU445^2+AT445^2*(-1/KM445^2)^2*KN445^2)</f>
        <v>10.229609730053276</v>
      </c>
      <c r="LW445" s="91">
        <f t="shared" ref="LW445:LW446" si="1749">KO445</f>
        <v>5</v>
      </c>
      <c r="LX445" s="48">
        <f>LV445/LU445</f>
        <v>0.23644274603186236</v>
      </c>
      <c r="LY445" s="90">
        <f>AX445/KQ445</f>
        <v>40.647867213992498</v>
      </c>
      <c r="LZ445" s="90">
        <f>SQRT((1/KQ445)^2*AY445^2+AX445^2*(-1/KQ445^2)^2*KR445^2)</f>
        <v>4.2566426511514894</v>
      </c>
      <c r="MA445" s="91">
        <f>KS445</f>
        <v>5</v>
      </c>
      <c r="MB445" s="48">
        <f>LZ445/LY445</f>
        <v>0.10471995071087507</v>
      </c>
      <c r="MC445" s="48">
        <f t="shared" si="1678"/>
        <v>-6.2389251142533547E-2</v>
      </c>
      <c r="MD445" s="48">
        <f t="shared" si="1679"/>
        <v>1.3374288045595173E-2</v>
      </c>
      <c r="MF445" s="90" t="s">
        <v>37</v>
      </c>
      <c r="MG445" s="90" t="s">
        <v>37</v>
      </c>
      <c r="MH445" s="90" t="s">
        <v>37</v>
      </c>
      <c r="MI445" s="48"/>
      <c r="MJ445" s="90" t="s">
        <v>37</v>
      </c>
      <c r="MK445" s="90" t="s">
        <v>37</v>
      </c>
      <c r="ML445" s="90" t="s">
        <v>37</v>
      </c>
      <c r="MM445" s="48"/>
      <c r="MN445" s="48"/>
      <c r="MO445" s="48"/>
      <c r="MQ445" s="90" t="s">
        <v>37</v>
      </c>
      <c r="MR445" s="90" t="s">
        <v>37</v>
      </c>
      <c r="MS445" s="90" t="s">
        <v>37</v>
      </c>
      <c r="MT445" s="48"/>
      <c r="MU445" s="90" t="s">
        <v>37</v>
      </c>
      <c r="MV445" s="90" t="s">
        <v>37</v>
      </c>
      <c r="MW445" s="90" t="s">
        <v>37</v>
      </c>
      <c r="MX445" s="48"/>
      <c r="MY445" s="48"/>
      <c r="MZ445" s="48"/>
      <c r="NC445" s="90" t="s">
        <v>37</v>
      </c>
      <c r="ND445" s="90" t="s">
        <v>37</v>
      </c>
      <c r="NE445" s="90" t="s">
        <v>37</v>
      </c>
      <c r="NF445" s="48"/>
      <c r="NG445" s="90" t="s">
        <v>37</v>
      </c>
      <c r="NH445" s="90" t="s">
        <v>37</v>
      </c>
      <c r="NI445" s="90" t="s">
        <v>37</v>
      </c>
      <c r="NJ445" s="48"/>
      <c r="NK445" s="48"/>
      <c r="NL445" s="48"/>
      <c r="NO445" s="90" t="s">
        <v>37</v>
      </c>
      <c r="NP445" s="90" t="s">
        <v>37</v>
      </c>
      <c r="NQ445" s="90" t="s">
        <v>37</v>
      </c>
      <c r="NR445" s="48"/>
      <c r="NS445" s="90" t="s">
        <v>37</v>
      </c>
      <c r="NT445" s="90" t="s">
        <v>37</v>
      </c>
      <c r="NU445" s="90" t="s">
        <v>37</v>
      </c>
      <c r="NV445" s="48"/>
      <c r="NW445" s="48"/>
      <c r="NX445" s="48"/>
      <c r="OA445" s="90" t="s">
        <v>37</v>
      </c>
      <c r="OB445" s="90" t="s">
        <v>37</v>
      </c>
      <c r="OC445" s="90" t="s">
        <v>37</v>
      </c>
      <c r="OE445" s="90" t="s">
        <v>37</v>
      </c>
      <c r="OF445" s="90" t="s">
        <v>37</v>
      </c>
      <c r="OG445" s="90" t="s">
        <v>37</v>
      </c>
      <c r="OM445" s="90" t="s">
        <v>37</v>
      </c>
      <c r="ON445" s="90" t="s">
        <v>37</v>
      </c>
      <c r="OO445" s="90" t="s">
        <v>37</v>
      </c>
      <c r="OP445" s="90" t="s">
        <v>37</v>
      </c>
      <c r="OQ445" s="90" t="s">
        <v>37</v>
      </c>
      <c r="OR445" s="90" t="s">
        <v>37</v>
      </c>
      <c r="OW445" s="90" t="s">
        <v>37</v>
      </c>
      <c r="OX445" s="90" t="s">
        <v>37</v>
      </c>
      <c r="OY445" s="91" t="s">
        <v>37</v>
      </c>
      <c r="OZ445" s="90" t="s">
        <v>37</v>
      </c>
      <c r="PA445" s="90" t="s">
        <v>37</v>
      </c>
      <c r="PB445" s="91" t="s">
        <v>37</v>
      </c>
      <c r="PC445" s="91"/>
      <c r="PD445" s="91"/>
      <c r="PG445" s="89" t="s">
        <v>37</v>
      </c>
      <c r="PH445" s="89" t="s">
        <v>37</v>
      </c>
      <c r="PI445" s="91" t="s">
        <v>37</v>
      </c>
      <c r="PJ445" s="89" t="s">
        <v>37</v>
      </c>
      <c r="PK445" s="89" t="s">
        <v>37</v>
      </c>
      <c r="PL445" s="91" t="s">
        <v>37</v>
      </c>
      <c r="PM445" s="91"/>
      <c r="PN445" s="91"/>
      <c r="PQ445" s="90" t="s">
        <v>37</v>
      </c>
      <c r="PR445" s="90" t="s">
        <v>37</v>
      </c>
      <c r="PS445" s="90" t="s">
        <v>37</v>
      </c>
      <c r="PT445" s="90" t="s">
        <v>37</v>
      </c>
      <c r="PU445" s="90" t="s">
        <v>37</v>
      </c>
      <c r="PV445" s="90" t="s">
        <v>37</v>
      </c>
      <c r="PZ445" s="90" t="s">
        <v>37</v>
      </c>
      <c r="QA445" s="90" t="s">
        <v>37</v>
      </c>
      <c r="QB445" s="89" t="s">
        <v>37</v>
      </c>
      <c r="QC445" s="48"/>
      <c r="QD445" s="90" t="s">
        <v>37</v>
      </c>
      <c r="QE445" s="90" t="s">
        <v>37</v>
      </c>
      <c r="QF445" s="90" t="s">
        <v>37</v>
      </c>
      <c r="QG445" s="48"/>
      <c r="QH445" s="48"/>
      <c r="QI445" s="48"/>
      <c r="QK445" s="90" t="s">
        <v>37</v>
      </c>
      <c r="QL445" s="90" t="s">
        <v>37</v>
      </c>
      <c r="QM445" s="90" t="s">
        <v>37</v>
      </c>
      <c r="QN445" s="90" t="s">
        <v>37</v>
      </c>
      <c r="QO445" s="90" t="s">
        <v>37</v>
      </c>
      <c r="QP445" s="90" t="s">
        <v>37</v>
      </c>
      <c r="QU445" s="90" t="s">
        <v>37</v>
      </c>
      <c r="QV445" s="90" t="s">
        <v>37</v>
      </c>
      <c r="QW445" s="90" t="s">
        <v>37</v>
      </c>
      <c r="QX445" s="90" t="s">
        <v>37</v>
      </c>
      <c r="QY445" s="90" t="s">
        <v>37</v>
      </c>
      <c r="QZ445" s="90" t="s">
        <v>37</v>
      </c>
      <c r="RC445" s="90" t="s">
        <v>37</v>
      </c>
      <c r="RD445" s="90" t="s">
        <v>37</v>
      </c>
      <c r="RE445" s="91" t="s">
        <v>37</v>
      </c>
      <c r="RF445" s="90" t="s">
        <v>37</v>
      </c>
      <c r="RG445" s="90" t="s">
        <v>37</v>
      </c>
      <c r="RH445" s="91" t="s">
        <v>37</v>
      </c>
      <c r="RK445" s="90" t="s">
        <v>37</v>
      </c>
      <c r="RL445" s="90" t="s">
        <v>37</v>
      </c>
      <c r="RM445" s="89" t="s">
        <v>37</v>
      </c>
      <c r="RN445" s="90" t="s">
        <v>37</v>
      </c>
      <c r="RO445" s="90" t="s">
        <v>37</v>
      </c>
      <c r="RP445" s="89" t="s">
        <v>37</v>
      </c>
      <c r="RS445" s="90" t="s">
        <v>37</v>
      </c>
      <c r="RT445" s="90" t="s">
        <v>37</v>
      </c>
      <c r="RU445" s="90" t="s">
        <v>37</v>
      </c>
      <c r="RV445" s="90" t="s">
        <v>37</v>
      </c>
      <c r="RW445" s="90" t="s">
        <v>37</v>
      </c>
      <c r="RX445" s="90" t="s">
        <v>37</v>
      </c>
      <c r="SA445" s="90" t="s">
        <v>37</v>
      </c>
      <c r="SB445" s="90" t="s">
        <v>37</v>
      </c>
      <c r="SC445" s="90" t="s">
        <v>37</v>
      </c>
      <c r="SD445" s="90" t="s">
        <v>37</v>
      </c>
      <c r="SE445" s="90" t="s">
        <v>37</v>
      </c>
      <c r="SF445" s="90" t="s">
        <v>37</v>
      </c>
      <c r="SI445" s="90" t="s">
        <v>37</v>
      </c>
      <c r="SJ445" s="90" t="s">
        <v>37</v>
      </c>
      <c r="SK445" s="91" t="s">
        <v>37</v>
      </c>
      <c r="SL445" s="48"/>
      <c r="SM445" s="90" t="s">
        <v>37</v>
      </c>
      <c r="SN445" s="90" t="s">
        <v>37</v>
      </c>
      <c r="SO445" s="91" t="s">
        <v>37</v>
      </c>
      <c r="SP445" s="48"/>
      <c r="SQ445" s="48"/>
      <c r="SR445" s="48"/>
      <c r="SU445" s="90" t="s">
        <v>37</v>
      </c>
      <c r="SV445" s="90" t="s">
        <v>37</v>
      </c>
      <c r="SW445" s="89" t="s">
        <v>37</v>
      </c>
      <c r="SX445" s="90" t="s">
        <v>37</v>
      </c>
      <c r="SY445" s="90" t="s">
        <v>37</v>
      </c>
      <c r="SZ445" s="89" t="s">
        <v>37</v>
      </c>
      <c r="TA445" s="89"/>
      <c r="TB445" s="89"/>
      <c r="TE445" s="90" t="s">
        <v>37</v>
      </c>
      <c r="TF445" s="90" t="s">
        <v>37</v>
      </c>
      <c r="TG445" s="89" t="s">
        <v>37</v>
      </c>
      <c r="TH445" s="90" t="s">
        <v>37</v>
      </c>
      <c r="TI445" s="90" t="s">
        <v>37</v>
      </c>
      <c r="TJ445" s="89" t="s">
        <v>37</v>
      </c>
      <c r="TK445" s="89"/>
      <c r="TL445" s="89"/>
      <c r="TO445" s="90" t="s">
        <v>37</v>
      </c>
      <c r="TP445" s="90" t="s">
        <v>37</v>
      </c>
      <c r="TQ445" s="89" t="s">
        <v>37</v>
      </c>
      <c r="TR445" s="90" t="s">
        <v>37</v>
      </c>
      <c r="TS445" s="90" t="s">
        <v>37</v>
      </c>
      <c r="TT445" s="89" t="s">
        <v>37</v>
      </c>
      <c r="TU445" s="89"/>
      <c r="TV445" s="89"/>
      <c r="TY445" s="90" t="s">
        <v>37</v>
      </c>
      <c r="TZ445" s="90" t="s">
        <v>37</v>
      </c>
      <c r="UA445" s="90" t="s">
        <v>37</v>
      </c>
      <c r="UB445" s="90" t="s">
        <v>37</v>
      </c>
      <c r="UC445" s="90" t="s">
        <v>37</v>
      </c>
      <c r="UD445" s="90" t="s">
        <v>37</v>
      </c>
      <c r="UI445" s="90" t="s">
        <v>37</v>
      </c>
      <c r="UJ445" s="90" t="s">
        <v>37</v>
      </c>
      <c r="UK445" s="90" t="s">
        <v>37</v>
      </c>
      <c r="UL445" s="90" t="s">
        <v>37</v>
      </c>
      <c r="UM445" s="90" t="s">
        <v>37</v>
      </c>
      <c r="UN445" s="90" t="s">
        <v>37</v>
      </c>
      <c r="UR445" s="90" t="s">
        <v>37</v>
      </c>
      <c r="US445" s="90" t="s">
        <v>37</v>
      </c>
      <c r="UT445" s="90" t="s">
        <v>37</v>
      </c>
      <c r="UU445" s="90" t="s">
        <v>37</v>
      </c>
      <c r="UV445" s="90" t="s">
        <v>37</v>
      </c>
      <c r="UW445" s="90" t="s">
        <v>37</v>
      </c>
      <c r="VB445" s="90" t="s">
        <v>37</v>
      </c>
      <c r="VC445" s="90" t="s">
        <v>37</v>
      </c>
      <c r="VD445" s="90" t="s">
        <v>37</v>
      </c>
      <c r="VE445" s="90" t="s">
        <v>37</v>
      </c>
      <c r="VF445" s="90" t="s">
        <v>37</v>
      </c>
      <c r="VG445" s="90" t="s">
        <v>37</v>
      </c>
      <c r="VI445" s="90" t="s">
        <v>37</v>
      </c>
      <c r="VJ445" s="90" t="s">
        <v>37</v>
      </c>
      <c r="VK445" s="90" t="s">
        <v>37</v>
      </c>
      <c r="VL445" s="90" t="s">
        <v>37</v>
      </c>
      <c r="VM445" s="90" t="s">
        <v>37</v>
      </c>
      <c r="VN445" s="90" t="s">
        <v>37</v>
      </c>
      <c r="VQ445" s="91" t="s">
        <v>37</v>
      </c>
      <c r="VR445" s="91" t="s">
        <v>37</v>
      </c>
      <c r="VS445" s="91" t="s">
        <v>37</v>
      </c>
      <c r="VT445" s="91" t="s">
        <v>37</v>
      </c>
      <c r="VU445" s="91" t="s">
        <v>37</v>
      </c>
      <c r="VV445" s="91" t="s">
        <v>37</v>
      </c>
      <c r="VW445" s="91"/>
      <c r="VX445" s="91"/>
      <c r="WA445" s="91" t="s">
        <v>37</v>
      </c>
      <c r="WB445" s="91" t="s">
        <v>37</v>
      </c>
      <c r="WC445" s="91" t="s">
        <v>37</v>
      </c>
      <c r="WD445" s="91" t="s">
        <v>37</v>
      </c>
      <c r="WE445" s="91" t="s">
        <v>37</v>
      </c>
      <c r="WF445" s="91" t="s">
        <v>37</v>
      </c>
    </row>
    <row r="446" spans="1:604" s="90" customFormat="1" ht="17.399999999999999" x14ac:dyDescent="0.3">
      <c r="A446" s="89">
        <v>105</v>
      </c>
      <c r="B446" s="84" t="s">
        <v>631</v>
      </c>
      <c r="C446" s="90" t="s">
        <v>26</v>
      </c>
      <c r="D446" s="90" t="s">
        <v>974</v>
      </c>
      <c r="E446" s="88">
        <v>1.89</v>
      </c>
      <c r="F446" s="96">
        <v>200</v>
      </c>
      <c r="G446" s="88">
        <v>0</v>
      </c>
      <c r="H446" s="90" t="s">
        <v>104</v>
      </c>
      <c r="I446" s="99">
        <v>3.9</v>
      </c>
      <c r="J446" s="99">
        <v>103.333</v>
      </c>
      <c r="K446" s="99">
        <v>3.9</v>
      </c>
      <c r="L446" s="99">
        <v>103.333</v>
      </c>
      <c r="M446" s="91" t="s">
        <v>37</v>
      </c>
      <c r="N446" s="88">
        <v>28.5</v>
      </c>
      <c r="O446" s="88">
        <v>2000</v>
      </c>
      <c r="P446" s="88" t="s">
        <v>89</v>
      </c>
      <c r="Q446" s="92">
        <v>12.5</v>
      </c>
      <c r="R446" s="11" t="s">
        <v>1000</v>
      </c>
      <c r="S446" s="90" t="s">
        <v>105</v>
      </c>
      <c r="T446" s="90" t="s">
        <v>138</v>
      </c>
      <c r="U446" s="90" t="s">
        <v>158</v>
      </c>
      <c r="V446" s="90" t="s">
        <v>275</v>
      </c>
      <c r="W446" s="93" t="s">
        <v>632</v>
      </c>
      <c r="X446" s="90" t="s">
        <v>49</v>
      </c>
      <c r="Y446" s="90" t="s">
        <v>37</v>
      </c>
      <c r="Z446" s="90" t="s">
        <v>37</v>
      </c>
      <c r="AA446" s="94" t="s">
        <v>345</v>
      </c>
      <c r="AB446" s="90">
        <v>3.6</v>
      </c>
      <c r="AC446" s="90" t="s">
        <v>42</v>
      </c>
      <c r="AD446" s="94" t="s">
        <v>345</v>
      </c>
      <c r="AE446" s="90">
        <f>95.1/1.724*10</f>
        <v>551.62412993039436</v>
      </c>
      <c r="AF446" s="90" t="s">
        <v>42</v>
      </c>
      <c r="AG446" s="94" t="s">
        <v>345</v>
      </c>
      <c r="AH446" s="90">
        <v>12.75</v>
      </c>
      <c r="AJ446" s="90" t="str">
        <f t="shared" si="1736"/>
        <v>0-10</v>
      </c>
      <c r="AK446" s="48">
        <f t="shared" si="1737"/>
        <v>43.264637641599556</v>
      </c>
      <c r="AL446" s="94" t="s">
        <v>633</v>
      </c>
      <c r="AM446" s="90" t="s">
        <v>344</v>
      </c>
      <c r="AN446" s="94"/>
      <c r="AO446" s="90" t="s">
        <v>37</v>
      </c>
      <c r="AP446" s="90" t="s">
        <v>167</v>
      </c>
      <c r="AQ446" s="90" t="s">
        <v>975</v>
      </c>
      <c r="AR446" s="90" t="s">
        <v>42</v>
      </c>
      <c r="AS446" s="94" t="s">
        <v>345</v>
      </c>
      <c r="AT446" s="90">
        <f>95.1/1.724*10</f>
        <v>551.62412993039436</v>
      </c>
      <c r="AU446" s="90">
        <f>0.99/1.724*SQRT(5)*10</f>
        <v>12.840529569169325</v>
      </c>
      <c r="AV446" s="91">
        <v>5</v>
      </c>
      <c r="AW446" s="48">
        <f>AU446/AT446</f>
        <v>2.3277679261038822E-2</v>
      </c>
      <c r="AX446" s="90">
        <f>81.3/1.724*10</f>
        <v>471.57772621809738</v>
      </c>
      <c r="AY446" s="90">
        <f>3.91/1.724*SQRT(5)*10</f>
        <v>50.713606682274815</v>
      </c>
      <c r="AZ446" s="91">
        <v>5</v>
      </c>
      <c r="BA446" s="48">
        <f>AY446/AX446</f>
        <v>0.10754029264482386</v>
      </c>
      <c r="BB446" s="102">
        <f t="shared" si="1668"/>
        <v>-0.15678295299757969</v>
      </c>
      <c r="BC446" s="48">
        <f t="shared" si="1669"/>
        <v>2.4213529787828303E-3</v>
      </c>
      <c r="BE446" s="90" t="s">
        <v>326</v>
      </c>
      <c r="BF446" s="90" t="s">
        <v>326</v>
      </c>
      <c r="BG446" s="90" t="s">
        <v>326</v>
      </c>
      <c r="BH446" s="48"/>
      <c r="BI446" s="90" t="s">
        <v>326</v>
      </c>
      <c r="BJ446" s="90" t="s">
        <v>326</v>
      </c>
      <c r="BK446" s="90" t="s">
        <v>326</v>
      </c>
      <c r="BL446" s="48"/>
      <c r="BM446" s="48"/>
      <c r="BN446" s="48"/>
      <c r="BP446" s="90" t="s">
        <v>37</v>
      </c>
      <c r="BQ446" s="90" t="s">
        <v>37</v>
      </c>
      <c r="BR446" s="90" t="s">
        <v>37</v>
      </c>
      <c r="BS446" s="48"/>
      <c r="BT446" s="90" t="s">
        <v>37</v>
      </c>
      <c r="BU446" s="90" t="s">
        <v>37</v>
      </c>
      <c r="BV446" s="90" t="s">
        <v>37</v>
      </c>
      <c r="BW446" s="48"/>
      <c r="BX446" s="48"/>
      <c r="BY446" s="48"/>
      <c r="CA446" s="90" t="s">
        <v>37</v>
      </c>
      <c r="CB446" s="90" t="s">
        <v>37</v>
      </c>
      <c r="CC446" s="91" t="s">
        <v>37</v>
      </c>
      <c r="CD446" s="48"/>
      <c r="CE446" s="90" t="s">
        <v>37</v>
      </c>
      <c r="CF446" s="90" t="s">
        <v>37</v>
      </c>
      <c r="CG446" s="91" t="s">
        <v>37</v>
      </c>
      <c r="CH446" s="48"/>
      <c r="CI446" s="48"/>
      <c r="CK446" s="96"/>
      <c r="CL446" s="96"/>
      <c r="CN446" s="90" t="s">
        <v>37</v>
      </c>
      <c r="CO446" s="90" t="s">
        <v>37</v>
      </c>
      <c r="CP446" s="91" t="s">
        <v>37</v>
      </c>
      <c r="CQ446" s="48"/>
      <c r="CR446" s="90" t="s">
        <v>37</v>
      </c>
      <c r="CS446" s="90" t="s">
        <v>37</v>
      </c>
      <c r="CT446" s="91" t="s">
        <v>37</v>
      </c>
      <c r="CU446" s="48"/>
      <c r="CV446" s="48"/>
      <c r="CX446" s="96"/>
      <c r="CY446" s="96"/>
      <c r="DA446" s="90" t="s">
        <v>37</v>
      </c>
      <c r="DB446" s="90" t="s">
        <v>37</v>
      </c>
      <c r="DC446" s="91" t="s">
        <v>37</v>
      </c>
      <c r="DD446" s="48"/>
      <c r="DE446" s="90" t="s">
        <v>37</v>
      </c>
      <c r="DF446" s="90" t="s">
        <v>37</v>
      </c>
      <c r="DG446" s="91" t="s">
        <v>37</v>
      </c>
      <c r="DH446" s="48"/>
      <c r="DI446" s="48"/>
      <c r="DJ446" s="48"/>
      <c r="DK446" s="96"/>
      <c r="DL446" s="96"/>
      <c r="DM446" s="90" t="s">
        <v>47</v>
      </c>
      <c r="DN446" s="48">
        <f>14.78/34*10^3</f>
        <v>434.70588235294116</v>
      </c>
      <c r="DO446" s="90">
        <f>6.65*SQRT(5)/34*10^3</f>
        <v>437.34858971687066</v>
      </c>
      <c r="DP446" s="91">
        <v>5</v>
      </c>
      <c r="DQ446" s="48">
        <f>DO446/ABS(DN446)</f>
        <v>1.0060792997546417</v>
      </c>
      <c r="DR446" s="48">
        <f>7.67/34*10^3</f>
        <v>225.58823529411765</v>
      </c>
      <c r="DS446" s="90">
        <f>3.43*SQRT(5)/34*10^3</f>
        <v>225.57979890659644</v>
      </c>
      <c r="DT446" s="91">
        <v>5</v>
      </c>
      <c r="DU446" s="48">
        <f>DS446/ABS(DR446)</f>
        <v>0.99996260271502979</v>
      </c>
      <c r="DV446" s="48">
        <f t="shared" ref="DV446" si="1750">DR446-DN446</f>
        <v>-209.11764705882351</v>
      </c>
      <c r="DW446" s="90">
        <f t="shared" si="1716"/>
        <v>347.96554039306545</v>
      </c>
      <c r="DX446" s="96">
        <f t="shared" si="1611"/>
        <v>48432.006920415239</v>
      </c>
      <c r="DY446" s="96">
        <f t="shared" si="1612"/>
        <v>48432.006920415231</v>
      </c>
      <c r="DZ446" s="89"/>
      <c r="EA446" s="101" t="s">
        <v>37</v>
      </c>
      <c r="EB446" s="101" t="s">
        <v>37</v>
      </c>
      <c r="EC446" s="101" t="s">
        <v>37</v>
      </c>
      <c r="ED446" s="101"/>
      <c r="EE446" s="101" t="s">
        <v>37</v>
      </c>
      <c r="EF446" s="101" t="s">
        <v>37</v>
      </c>
      <c r="EG446" s="101" t="s">
        <v>37</v>
      </c>
      <c r="EH446" s="102"/>
      <c r="EI446" s="48"/>
      <c r="EK446" s="102"/>
      <c r="EL446" s="102"/>
      <c r="EM446" s="90" t="s">
        <v>39</v>
      </c>
      <c r="EN446" s="90">
        <v>6</v>
      </c>
      <c r="EO446" s="90">
        <v>22</v>
      </c>
      <c r="EP446" s="91">
        <v>5</v>
      </c>
      <c r="EQ446" s="48">
        <f t="shared" si="1738"/>
        <v>3.6666666666666665</v>
      </c>
      <c r="ER446" s="90">
        <v>-21</v>
      </c>
      <c r="ES446" s="90">
        <v>18</v>
      </c>
      <c r="ET446" s="91">
        <v>5</v>
      </c>
      <c r="EU446" s="48">
        <f>ES446/ABS(ER446)</f>
        <v>0.8571428571428571</v>
      </c>
      <c r="EV446" s="48">
        <f>ER446-EN446</f>
        <v>-27</v>
      </c>
      <c r="EW446" s="90">
        <f t="shared" si="1725"/>
        <v>20.09975124224178</v>
      </c>
      <c r="EX446" s="48">
        <f t="shared" si="1726"/>
        <v>161.60000000000002</v>
      </c>
      <c r="EY446" s="48">
        <f t="shared" si="1727"/>
        <v>161.6</v>
      </c>
      <c r="FB446" s="90" t="s">
        <v>37</v>
      </c>
      <c r="FC446" s="90" t="s">
        <v>37</v>
      </c>
      <c r="FD446" s="89" t="s">
        <v>37</v>
      </c>
      <c r="FE446" s="90" t="s">
        <v>37</v>
      </c>
      <c r="FF446" s="100" t="s">
        <v>37</v>
      </c>
      <c r="FG446" s="89" t="s">
        <v>37</v>
      </c>
      <c r="FH446" s="94"/>
      <c r="FI446" s="90" t="s">
        <v>37</v>
      </c>
      <c r="FJ446" s="90" t="s">
        <v>37</v>
      </c>
      <c r="FK446" s="89" t="s">
        <v>37</v>
      </c>
      <c r="FL446" s="91" t="s">
        <v>37</v>
      </c>
      <c r="FM446" s="89" t="s">
        <v>37</v>
      </c>
      <c r="FN446" s="89" t="s">
        <v>37</v>
      </c>
      <c r="FO446" s="94"/>
      <c r="FP446" s="90" t="s">
        <v>37</v>
      </c>
      <c r="FQ446" s="90" t="s">
        <v>37</v>
      </c>
      <c r="FR446" s="89" t="s">
        <v>37</v>
      </c>
      <c r="FS446" s="91" t="s">
        <v>37</v>
      </c>
      <c r="FT446" s="89" t="s">
        <v>37</v>
      </c>
      <c r="FU446" s="89" t="s">
        <v>37</v>
      </c>
      <c r="FV446" s="94"/>
      <c r="FW446" s="90" t="s">
        <v>37</v>
      </c>
      <c r="FX446" s="90" t="s">
        <v>37</v>
      </c>
      <c r="FY446" s="89" t="s">
        <v>37</v>
      </c>
      <c r="FZ446" s="91" t="s">
        <v>37</v>
      </c>
      <c r="GA446" s="89" t="s">
        <v>37</v>
      </c>
      <c r="GB446" s="89" t="s">
        <v>37</v>
      </c>
      <c r="GC446" s="90" t="s">
        <v>101</v>
      </c>
      <c r="GD446" s="90" t="s">
        <v>616</v>
      </c>
      <c r="GE446" s="90">
        <v>82.3</v>
      </c>
      <c r="GF446" s="90">
        <f>28*SQRT(GG446)</f>
        <v>62.609903369994115</v>
      </c>
      <c r="GG446" s="91">
        <v>5</v>
      </c>
      <c r="GH446" s="48">
        <f t="shared" si="1728"/>
        <v>0.7607521673146308</v>
      </c>
      <c r="GI446" s="90">
        <v>56.6</v>
      </c>
      <c r="GJ446" s="90">
        <f>21*SQRT(GK446)</f>
        <v>46.957427527495582</v>
      </c>
      <c r="GK446" s="91">
        <v>5</v>
      </c>
      <c r="GL446" s="48">
        <f t="shared" ref="GL446" si="1751">GJ446/GI446</f>
        <v>0.82963652875433891</v>
      </c>
      <c r="GM446" s="48">
        <f t="shared" si="1719"/>
        <v>-0.37436212247388689</v>
      </c>
      <c r="GN446" s="48">
        <f t="shared" si="1740"/>
        <v>0.25340812598349144</v>
      </c>
      <c r="GO446" s="90" t="s">
        <v>660</v>
      </c>
      <c r="GP446" s="90" t="s">
        <v>330</v>
      </c>
      <c r="GQ446" s="90">
        <v>26.1</v>
      </c>
      <c r="GR446" s="90">
        <v>0.52</v>
      </c>
      <c r="GS446" s="91">
        <v>5</v>
      </c>
      <c r="GT446" s="48">
        <f t="shared" ref="GT446" si="1752">GR446/GQ446</f>
        <v>1.9923371647509579E-2</v>
      </c>
      <c r="GU446" s="90">
        <v>27.8</v>
      </c>
      <c r="GV446" s="90">
        <v>0.85</v>
      </c>
      <c r="GW446" s="91">
        <v>5</v>
      </c>
      <c r="GX446" s="48">
        <f t="shared" si="1741"/>
        <v>3.0575539568345321E-2</v>
      </c>
      <c r="GY446" s="48">
        <f t="shared" si="1729"/>
        <v>6.3100706367943543E-2</v>
      </c>
      <c r="GZ446" s="48">
        <f>GV446^2/(GW446*GU446^2)+GR446^2/(GS446*GQ446^2)</f>
        <v>2.663608715400478E-4</v>
      </c>
      <c r="HA446" s="97" t="s">
        <v>63</v>
      </c>
      <c r="HB446" s="98" t="s">
        <v>345</v>
      </c>
      <c r="HC446" s="90">
        <v>0.1</v>
      </c>
      <c r="HD446" s="90">
        <v>8.0000000000000002E-3</v>
      </c>
      <c r="HE446" s="91">
        <v>5</v>
      </c>
      <c r="HF446" s="48">
        <f>HD446/HC446</f>
        <v>0.08</v>
      </c>
      <c r="HG446" s="90">
        <v>0.12</v>
      </c>
      <c r="HH446" s="90">
        <f>0.018*SQRT(5)</f>
        <v>4.0249223594996213E-2</v>
      </c>
      <c r="HI446" s="91">
        <v>5</v>
      </c>
      <c r="HJ446" s="48">
        <f>HH446/HG446</f>
        <v>0.33541019662496846</v>
      </c>
      <c r="HK446" s="48">
        <f t="shared" si="1742"/>
        <v>0.18232155679395459</v>
      </c>
      <c r="HL446" s="48">
        <f t="shared" si="1743"/>
        <v>2.3779999999999999E-2</v>
      </c>
      <c r="HM446" s="98"/>
      <c r="HN446" s="90" t="s">
        <v>37</v>
      </c>
      <c r="HO446" s="90" t="s">
        <v>37</v>
      </c>
      <c r="HP446" s="91" t="s">
        <v>37</v>
      </c>
      <c r="HQ446" s="91"/>
      <c r="HR446" s="90" t="s">
        <v>37</v>
      </c>
      <c r="HS446" s="90" t="s">
        <v>37</v>
      </c>
      <c r="HT446" s="91" t="s">
        <v>37</v>
      </c>
      <c r="HU446" s="91"/>
      <c r="HV446" s="91"/>
      <c r="HW446" s="91"/>
      <c r="HX446" s="98"/>
      <c r="HY446" s="90" t="s">
        <v>37</v>
      </c>
      <c r="HZ446" s="90" t="s">
        <v>37</v>
      </c>
      <c r="IA446" s="91" t="s">
        <v>37</v>
      </c>
      <c r="IB446" s="91"/>
      <c r="IC446" s="90" t="s">
        <v>37</v>
      </c>
      <c r="ID446" s="90" t="s">
        <v>37</v>
      </c>
      <c r="IE446" s="91" t="s">
        <v>37</v>
      </c>
      <c r="IF446" s="91"/>
      <c r="IG446" s="91"/>
      <c r="IH446" s="91"/>
      <c r="IK446" s="90" t="s">
        <v>37</v>
      </c>
      <c r="IL446" s="90" t="s">
        <v>37</v>
      </c>
      <c r="IM446" s="90" t="s">
        <v>37</v>
      </c>
      <c r="IN446" s="48"/>
      <c r="IO446" s="90" t="s">
        <v>37</v>
      </c>
      <c r="IP446" s="90" t="s">
        <v>37</v>
      </c>
      <c r="IQ446" s="90" t="s">
        <v>37</v>
      </c>
      <c r="IR446" s="48"/>
      <c r="IS446" s="48"/>
      <c r="IT446" s="48"/>
      <c r="IV446" s="94" t="s">
        <v>345</v>
      </c>
      <c r="IW446" s="90">
        <v>3.6</v>
      </c>
      <c r="IX446" s="90">
        <v>0.06</v>
      </c>
      <c r="IY446" s="91">
        <v>5</v>
      </c>
      <c r="IZ446" s="48">
        <f t="shared" si="1744"/>
        <v>1.6666666666666666E-2</v>
      </c>
      <c r="JA446" s="90">
        <v>3.9</v>
      </c>
      <c r="JB446" s="90">
        <v>0.08</v>
      </c>
      <c r="JC446" s="91">
        <v>5</v>
      </c>
      <c r="JD446" s="48">
        <f t="shared" si="1745"/>
        <v>2.0512820512820513E-2</v>
      </c>
      <c r="JE446" s="48">
        <f t="shared" si="1670"/>
        <v>8.0042707673536356E-2</v>
      </c>
      <c r="JF446" s="48">
        <f t="shared" si="1671"/>
        <v>1.3971071663379357E-4</v>
      </c>
      <c r="JG446" s="94"/>
      <c r="JH446" s="90" t="s">
        <v>37</v>
      </c>
      <c r="JI446" s="90" t="s">
        <v>37</v>
      </c>
      <c r="JJ446" s="91" t="s">
        <v>37</v>
      </c>
      <c r="JK446" s="48"/>
      <c r="JL446" s="90" t="s">
        <v>37</v>
      </c>
      <c r="JM446" s="90" t="s">
        <v>37</v>
      </c>
      <c r="JN446" s="90" t="s">
        <v>37</v>
      </c>
      <c r="JO446" s="48"/>
      <c r="JP446" s="48"/>
      <c r="JQ446" s="48"/>
      <c r="JR446" s="94"/>
      <c r="JS446" s="90" t="s">
        <v>37</v>
      </c>
      <c r="JT446" s="90" t="s">
        <v>37</v>
      </c>
      <c r="JU446" s="91" t="s">
        <v>37</v>
      </c>
      <c r="JV446" s="48"/>
      <c r="JW446" s="90" t="s">
        <v>37</v>
      </c>
      <c r="JX446" s="90" t="s">
        <v>37</v>
      </c>
      <c r="JY446" s="90" t="s">
        <v>37</v>
      </c>
      <c r="JZ446" s="48"/>
      <c r="KA446" s="48"/>
      <c r="KB446" s="48"/>
      <c r="KE446" s="90" t="s">
        <v>37</v>
      </c>
      <c r="KF446" s="90" t="s">
        <v>37</v>
      </c>
      <c r="KG446" s="91" t="s">
        <v>37</v>
      </c>
      <c r="KH446" s="90" t="s">
        <v>37</v>
      </c>
      <c r="KI446" s="90" t="s">
        <v>37</v>
      </c>
      <c r="KJ446" s="90" t="s">
        <v>37</v>
      </c>
      <c r="KK446" s="90" t="s">
        <v>42</v>
      </c>
      <c r="KL446" s="94" t="s">
        <v>345</v>
      </c>
      <c r="KM446" s="90">
        <v>12.75</v>
      </c>
      <c r="KN446" s="90">
        <v>3</v>
      </c>
      <c r="KO446" s="89">
        <v>5</v>
      </c>
      <c r="KP446" s="48">
        <f t="shared" si="1746"/>
        <v>0.23529411764705882</v>
      </c>
      <c r="KQ446" s="90">
        <v>14.2</v>
      </c>
      <c r="KR446" s="90">
        <v>2.1</v>
      </c>
      <c r="KS446" s="91">
        <v>5</v>
      </c>
      <c r="KT446" s="48">
        <f t="shared" si="1747"/>
        <v>0.147887323943662</v>
      </c>
      <c r="KU446" s="48">
        <f t="shared" si="1674"/>
        <v>0.10771069300277993</v>
      </c>
      <c r="KV446" s="48">
        <f t="shared" si="1675"/>
        <v>1.5446796476505115E-2</v>
      </c>
      <c r="KW446" s="94"/>
      <c r="KX446" s="90" t="s">
        <v>37</v>
      </c>
      <c r="KY446" s="90" t="s">
        <v>37</v>
      </c>
      <c r="KZ446" s="91" t="s">
        <v>37</v>
      </c>
      <c r="LA446" s="48"/>
      <c r="LB446" s="90" t="s">
        <v>37</v>
      </c>
      <c r="LC446" s="90" t="s">
        <v>37</v>
      </c>
      <c r="LD446" s="91" t="s">
        <v>37</v>
      </c>
      <c r="LE446" s="48"/>
      <c r="LF446" s="48"/>
      <c r="LG446" s="48"/>
      <c r="LH446" s="94"/>
      <c r="LI446" s="90" t="s">
        <v>37</v>
      </c>
      <c r="LJ446" s="90" t="s">
        <v>37</v>
      </c>
      <c r="LK446" s="90" t="s">
        <v>37</v>
      </c>
      <c r="LL446" s="48"/>
      <c r="LM446" s="90" t="s">
        <v>37</v>
      </c>
      <c r="LN446" s="90" t="s">
        <v>37</v>
      </c>
      <c r="LO446" s="90" t="s">
        <v>37</v>
      </c>
      <c r="LP446" s="48"/>
      <c r="LQ446" s="48"/>
      <c r="LR446" s="48"/>
      <c r="LT446" s="90" t="str">
        <f t="shared" si="1748"/>
        <v>0-10</v>
      </c>
      <c r="LU446" s="90">
        <f>AT446/KM446</f>
        <v>43.264637641599556</v>
      </c>
      <c r="LV446" s="90">
        <f>SQRT((1/KM446)^2*AU446^2+AT446^2*(-1/KM446^2)^2*KN446^2)</f>
        <v>10.229609730053276</v>
      </c>
      <c r="LW446" s="91">
        <f t="shared" si="1749"/>
        <v>5</v>
      </c>
      <c r="LX446" s="48">
        <f>LV446/LU446</f>
        <v>0.23644274603186236</v>
      </c>
      <c r="LY446" s="90">
        <f>AX446/KQ446</f>
        <v>33.209699029443478</v>
      </c>
      <c r="LZ446" s="90">
        <f>SQRT((1/KQ446)^2*AY446^2+AX446^2*(-1/KQ446^2)^2*KR446^2)</f>
        <v>6.0725253809238522</v>
      </c>
      <c r="MA446" s="91">
        <f>KS446</f>
        <v>5</v>
      </c>
      <c r="MB446" s="48">
        <f t="shared" ref="MB446" si="1753">LZ446/LY446</f>
        <v>0.18285397213446575</v>
      </c>
      <c r="MC446" s="48">
        <f t="shared" si="1678"/>
        <v>-0.26449364600035952</v>
      </c>
      <c r="MD446" s="48">
        <f t="shared" si="1679"/>
        <v>1.786814945528795E-2</v>
      </c>
      <c r="MF446" s="90" t="s">
        <v>37</v>
      </c>
      <c r="MG446" s="90" t="s">
        <v>37</v>
      </c>
      <c r="MH446" s="90" t="s">
        <v>37</v>
      </c>
      <c r="MI446" s="48"/>
      <c r="MJ446" s="90" t="s">
        <v>37</v>
      </c>
      <c r="MK446" s="90" t="s">
        <v>37</v>
      </c>
      <c r="ML446" s="90" t="s">
        <v>37</v>
      </c>
      <c r="MM446" s="48"/>
      <c r="MN446" s="48"/>
      <c r="MO446" s="48"/>
      <c r="MQ446" s="90" t="s">
        <v>37</v>
      </c>
      <c r="MR446" s="90" t="s">
        <v>37</v>
      </c>
      <c r="MS446" s="90" t="s">
        <v>37</v>
      </c>
      <c r="MT446" s="48"/>
      <c r="MU446" s="90" t="s">
        <v>37</v>
      </c>
      <c r="MV446" s="90" t="s">
        <v>37</v>
      </c>
      <c r="MW446" s="90" t="s">
        <v>37</v>
      </c>
      <c r="MX446" s="48"/>
      <c r="MY446" s="48"/>
      <c r="MZ446" s="48"/>
      <c r="NC446" s="90" t="s">
        <v>37</v>
      </c>
      <c r="ND446" s="90" t="s">
        <v>37</v>
      </c>
      <c r="NE446" s="90" t="s">
        <v>37</v>
      </c>
      <c r="NF446" s="48"/>
      <c r="NG446" s="90" t="s">
        <v>37</v>
      </c>
      <c r="NH446" s="90" t="s">
        <v>37</v>
      </c>
      <c r="NI446" s="90" t="s">
        <v>37</v>
      </c>
      <c r="NJ446" s="48"/>
      <c r="NK446" s="48"/>
      <c r="NL446" s="48"/>
      <c r="NO446" s="90" t="s">
        <v>37</v>
      </c>
      <c r="NP446" s="90" t="s">
        <v>37</v>
      </c>
      <c r="NQ446" s="90" t="s">
        <v>37</v>
      </c>
      <c r="NR446" s="48"/>
      <c r="NS446" s="90" t="s">
        <v>37</v>
      </c>
      <c r="NT446" s="90" t="s">
        <v>37</v>
      </c>
      <c r="NU446" s="90" t="s">
        <v>37</v>
      </c>
      <c r="NV446" s="48"/>
      <c r="NW446" s="48"/>
      <c r="NX446" s="48"/>
      <c r="OA446" s="90" t="s">
        <v>37</v>
      </c>
      <c r="OB446" s="90" t="s">
        <v>37</v>
      </c>
      <c r="OC446" s="90" t="s">
        <v>37</v>
      </c>
      <c r="OE446" s="90" t="s">
        <v>37</v>
      </c>
      <c r="OF446" s="90" t="s">
        <v>37</v>
      </c>
      <c r="OG446" s="90" t="s">
        <v>37</v>
      </c>
      <c r="OM446" s="90" t="s">
        <v>37</v>
      </c>
      <c r="ON446" s="90" t="s">
        <v>37</v>
      </c>
      <c r="OO446" s="90" t="s">
        <v>37</v>
      </c>
      <c r="OP446" s="90" t="s">
        <v>37</v>
      </c>
      <c r="OQ446" s="90" t="s">
        <v>37</v>
      </c>
      <c r="OR446" s="90" t="s">
        <v>37</v>
      </c>
      <c r="OW446" s="90" t="s">
        <v>37</v>
      </c>
      <c r="OX446" s="90" t="s">
        <v>37</v>
      </c>
      <c r="OY446" s="91" t="s">
        <v>37</v>
      </c>
      <c r="OZ446" s="90" t="s">
        <v>37</v>
      </c>
      <c r="PA446" s="90" t="s">
        <v>37</v>
      </c>
      <c r="PB446" s="91" t="s">
        <v>37</v>
      </c>
      <c r="PC446" s="91"/>
      <c r="PD446" s="91"/>
      <c r="PG446" s="89" t="s">
        <v>37</v>
      </c>
      <c r="PH446" s="89" t="s">
        <v>37</v>
      </c>
      <c r="PI446" s="91" t="s">
        <v>37</v>
      </c>
      <c r="PJ446" s="89" t="s">
        <v>37</v>
      </c>
      <c r="PK446" s="89" t="s">
        <v>37</v>
      </c>
      <c r="PL446" s="91" t="s">
        <v>37</v>
      </c>
      <c r="PM446" s="91"/>
      <c r="PN446" s="91"/>
      <c r="PQ446" s="90" t="s">
        <v>37</v>
      </c>
      <c r="PR446" s="90" t="s">
        <v>37</v>
      </c>
      <c r="PS446" s="90" t="s">
        <v>37</v>
      </c>
      <c r="PT446" s="90" t="s">
        <v>37</v>
      </c>
      <c r="PU446" s="90" t="s">
        <v>37</v>
      </c>
      <c r="PV446" s="90" t="s">
        <v>37</v>
      </c>
      <c r="PZ446" s="90" t="s">
        <v>37</v>
      </c>
      <c r="QA446" s="90" t="s">
        <v>37</v>
      </c>
      <c r="QB446" s="89" t="s">
        <v>37</v>
      </c>
      <c r="QC446" s="48"/>
      <c r="QD446" s="90" t="s">
        <v>37</v>
      </c>
      <c r="QE446" s="90" t="s">
        <v>37</v>
      </c>
      <c r="QF446" s="90" t="s">
        <v>37</v>
      </c>
      <c r="QG446" s="48"/>
      <c r="QH446" s="48"/>
      <c r="QI446" s="48"/>
      <c r="QK446" s="90" t="s">
        <v>37</v>
      </c>
      <c r="QL446" s="90" t="s">
        <v>37</v>
      </c>
      <c r="QM446" s="90" t="s">
        <v>37</v>
      </c>
      <c r="QN446" s="90" t="s">
        <v>37</v>
      </c>
      <c r="QO446" s="90" t="s">
        <v>37</v>
      </c>
      <c r="QP446" s="90" t="s">
        <v>37</v>
      </c>
      <c r="QU446" s="90" t="s">
        <v>37</v>
      </c>
      <c r="QV446" s="90" t="s">
        <v>37</v>
      </c>
      <c r="QW446" s="90" t="s">
        <v>37</v>
      </c>
      <c r="QX446" s="90" t="s">
        <v>37</v>
      </c>
      <c r="QY446" s="90" t="s">
        <v>37</v>
      </c>
      <c r="QZ446" s="90" t="s">
        <v>37</v>
      </c>
      <c r="RC446" s="90" t="s">
        <v>37</v>
      </c>
      <c r="RD446" s="90" t="s">
        <v>37</v>
      </c>
      <c r="RE446" s="91" t="s">
        <v>37</v>
      </c>
      <c r="RF446" s="90" t="s">
        <v>37</v>
      </c>
      <c r="RG446" s="90" t="s">
        <v>37</v>
      </c>
      <c r="RH446" s="91" t="s">
        <v>37</v>
      </c>
      <c r="RK446" s="90" t="s">
        <v>37</v>
      </c>
      <c r="RL446" s="90" t="s">
        <v>37</v>
      </c>
      <c r="RM446" s="89" t="s">
        <v>37</v>
      </c>
      <c r="RN446" s="90" t="s">
        <v>37</v>
      </c>
      <c r="RO446" s="90" t="s">
        <v>37</v>
      </c>
      <c r="RP446" s="89" t="s">
        <v>37</v>
      </c>
      <c r="RS446" s="90" t="s">
        <v>37</v>
      </c>
      <c r="RT446" s="90" t="s">
        <v>37</v>
      </c>
      <c r="RU446" s="90" t="s">
        <v>37</v>
      </c>
      <c r="RV446" s="90" t="s">
        <v>37</v>
      </c>
      <c r="RW446" s="90" t="s">
        <v>37</v>
      </c>
      <c r="RX446" s="90" t="s">
        <v>37</v>
      </c>
      <c r="SA446" s="90" t="s">
        <v>37</v>
      </c>
      <c r="SB446" s="90" t="s">
        <v>37</v>
      </c>
      <c r="SC446" s="90" t="s">
        <v>37</v>
      </c>
      <c r="SD446" s="90" t="s">
        <v>37</v>
      </c>
      <c r="SE446" s="90" t="s">
        <v>37</v>
      </c>
      <c r="SF446" s="90" t="s">
        <v>37</v>
      </c>
      <c r="SI446" s="90" t="s">
        <v>37</v>
      </c>
      <c r="SJ446" s="90" t="s">
        <v>37</v>
      </c>
      <c r="SK446" s="91" t="s">
        <v>37</v>
      </c>
      <c r="SL446" s="48"/>
      <c r="SM446" s="90" t="s">
        <v>37</v>
      </c>
      <c r="SN446" s="90" t="s">
        <v>37</v>
      </c>
      <c r="SO446" s="91" t="s">
        <v>37</v>
      </c>
      <c r="SP446" s="48"/>
      <c r="SQ446" s="48"/>
      <c r="SR446" s="48"/>
      <c r="SU446" s="90" t="s">
        <v>37</v>
      </c>
      <c r="SV446" s="90" t="s">
        <v>37</v>
      </c>
      <c r="SW446" s="89" t="s">
        <v>37</v>
      </c>
      <c r="SX446" s="90" t="s">
        <v>37</v>
      </c>
      <c r="SY446" s="90" t="s">
        <v>37</v>
      </c>
      <c r="SZ446" s="89" t="s">
        <v>37</v>
      </c>
      <c r="TA446" s="89"/>
      <c r="TB446" s="89"/>
      <c r="TE446" s="90" t="s">
        <v>37</v>
      </c>
      <c r="TF446" s="90" t="s">
        <v>37</v>
      </c>
      <c r="TG446" s="89" t="s">
        <v>37</v>
      </c>
      <c r="TH446" s="90" t="s">
        <v>37</v>
      </c>
      <c r="TI446" s="90" t="s">
        <v>37</v>
      </c>
      <c r="TJ446" s="89" t="s">
        <v>37</v>
      </c>
      <c r="TK446" s="89"/>
      <c r="TL446" s="89"/>
      <c r="TO446" s="90" t="s">
        <v>37</v>
      </c>
      <c r="TP446" s="90" t="s">
        <v>37</v>
      </c>
      <c r="TQ446" s="89" t="s">
        <v>37</v>
      </c>
      <c r="TR446" s="90" t="s">
        <v>37</v>
      </c>
      <c r="TS446" s="90" t="s">
        <v>37</v>
      </c>
      <c r="TT446" s="89" t="s">
        <v>37</v>
      </c>
      <c r="TU446" s="89"/>
      <c r="TV446" s="89"/>
      <c r="TY446" s="90" t="s">
        <v>37</v>
      </c>
      <c r="TZ446" s="90" t="s">
        <v>37</v>
      </c>
      <c r="UA446" s="90" t="s">
        <v>37</v>
      </c>
      <c r="UB446" s="90" t="s">
        <v>37</v>
      </c>
      <c r="UC446" s="90" t="s">
        <v>37</v>
      </c>
      <c r="UD446" s="90" t="s">
        <v>37</v>
      </c>
      <c r="UI446" s="90" t="s">
        <v>37</v>
      </c>
      <c r="UJ446" s="90" t="s">
        <v>37</v>
      </c>
      <c r="UK446" s="90" t="s">
        <v>37</v>
      </c>
      <c r="UL446" s="90" t="s">
        <v>37</v>
      </c>
      <c r="UM446" s="90" t="s">
        <v>37</v>
      </c>
      <c r="UN446" s="90" t="s">
        <v>37</v>
      </c>
      <c r="UR446" s="90" t="s">
        <v>37</v>
      </c>
      <c r="US446" s="90" t="s">
        <v>37</v>
      </c>
      <c r="UT446" s="90" t="s">
        <v>37</v>
      </c>
      <c r="UU446" s="90" t="s">
        <v>37</v>
      </c>
      <c r="UV446" s="90" t="s">
        <v>37</v>
      </c>
      <c r="UW446" s="90" t="s">
        <v>37</v>
      </c>
      <c r="VB446" s="90" t="s">
        <v>37</v>
      </c>
      <c r="VC446" s="90" t="s">
        <v>37</v>
      </c>
      <c r="VD446" s="90" t="s">
        <v>37</v>
      </c>
      <c r="VE446" s="90" t="s">
        <v>37</v>
      </c>
      <c r="VF446" s="90" t="s">
        <v>37</v>
      </c>
      <c r="VG446" s="90" t="s">
        <v>37</v>
      </c>
      <c r="VI446" s="90" t="s">
        <v>37</v>
      </c>
      <c r="VJ446" s="90" t="s">
        <v>37</v>
      </c>
      <c r="VK446" s="90" t="s">
        <v>37</v>
      </c>
      <c r="VL446" s="90" t="s">
        <v>37</v>
      </c>
      <c r="VM446" s="90" t="s">
        <v>37</v>
      </c>
      <c r="VN446" s="90" t="s">
        <v>37</v>
      </c>
      <c r="VQ446" s="91" t="s">
        <v>37</v>
      </c>
      <c r="VR446" s="91" t="s">
        <v>37</v>
      </c>
      <c r="VS446" s="91" t="s">
        <v>37</v>
      </c>
      <c r="VT446" s="91" t="s">
        <v>37</v>
      </c>
      <c r="VU446" s="91" t="s">
        <v>37</v>
      </c>
      <c r="VV446" s="91" t="s">
        <v>37</v>
      </c>
      <c r="VW446" s="91"/>
      <c r="VX446" s="91"/>
      <c r="WA446" s="91" t="s">
        <v>37</v>
      </c>
      <c r="WB446" s="91" t="s">
        <v>37</v>
      </c>
      <c r="WC446" s="91" t="s">
        <v>37</v>
      </c>
      <c r="WD446" s="91" t="s">
        <v>37</v>
      </c>
      <c r="WE446" s="91" t="s">
        <v>37</v>
      </c>
      <c r="WF446" s="91" t="s">
        <v>37</v>
      </c>
    </row>
    <row r="447" spans="1:604" s="90" customFormat="1" ht="20.25" customHeight="1" x14ac:dyDescent="0.3">
      <c r="A447" s="89">
        <v>106</v>
      </c>
      <c r="B447" s="84" t="s">
        <v>984</v>
      </c>
      <c r="C447" s="90" t="s">
        <v>26</v>
      </c>
      <c r="D447" s="88" t="s">
        <v>1039</v>
      </c>
      <c r="E447" s="88" t="s">
        <v>37</v>
      </c>
      <c r="F447" s="88">
        <v>0</v>
      </c>
      <c r="G447" s="88">
        <v>0</v>
      </c>
      <c r="H447" s="90" t="s">
        <v>91</v>
      </c>
      <c r="I447" s="99">
        <v>48.26</v>
      </c>
      <c r="J447" s="99">
        <v>-58.67</v>
      </c>
      <c r="K447" s="90" t="s">
        <v>1001</v>
      </c>
      <c r="L447" s="90" t="s">
        <v>1002</v>
      </c>
      <c r="M447" s="91" t="s">
        <v>326</v>
      </c>
      <c r="N447" s="88">
        <v>5</v>
      </c>
      <c r="O447" s="90">
        <v>892.1</v>
      </c>
      <c r="P447" s="84" t="s">
        <v>84</v>
      </c>
      <c r="Q447" s="92">
        <v>35</v>
      </c>
      <c r="R447" s="11" t="s">
        <v>1000</v>
      </c>
      <c r="S447" s="90" t="s">
        <v>93</v>
      </c>
      <c r="T447" s="90" t="s">
        <v>141</v>
      </c>
      <c r="U447" s="90" t="s">
        <v>158</v>
      </c>
      <c r="V447" s="90" t="s">
        <v>274</v>
      </c>
      <c r="W447" s="93" t="s">
        <v>985</v>
      </c>
      <c r="X447" s="90" t="s">
        <v>281</v>
      </c>
      <c r="Y447" s="90" t="s">
        <v>37</v>
      </c>
      <c r="Z447" s="90" t="s">
        <v>37</v>
      </c>
      <c r="AA447" s="94"/>
      <c r="AB447" s="90" t="s">
        <v>37</v>
      </c>
      <c r="AD447" s="94"/>
      <c r="AE447" s="90" t="s">
        <v>37</v>
      </c>
      <c r="AG447" s="94"/>
      <c r="AH447" s="90" t="s">
        <v>37</v>
      </c>
      <c r="AK447" s="90" t="s">
        <v>37</v>
      </c>
      <c r="AL447" s="94" t="s">
        <v>986</v>
      </c>
      <c r="AM447" s="90" t="s">
        <v>317</v>
      </c>
      <c r="AN447" s="94" t="s">
        <v>880</v>
      </c>
      <c r="AO447" s="90" t="s">
        <v>37</v>
      </c>
      <c r="AP447" s="90" t="s">
        <v>167</v>
      </c>
      <c r="AQ447" s="90" t="s">
        <v>975</v>
      </c>
      <c r="AR447" s="95"/>
      <c r="AS447" s="95"/>
      <c r="AT447" s="95" t="s">
        <v>37</v>
      </c>
      <c r="AU447" s="95" t="s">
        <v>37</v>
      </c>
      <c r="AV447" s="106" t="s">
        <v>37</v>
      </c>
      <c r="AW447" s="95"/>
      <c r="AX447" s="95" t="s">
        <v>37</v>
      </c>
      <c r="AY447" s="95" t="s">
        <v>37</v>
      </c>
      <c r="AZ447" s="106" t="s">
        <v>37</v>
      </c>
      <c r="BA447" s="95"/>
      <c r="BB447" s="95"/>
      <c r="BC447" s="95"/>
      <c r="BD447" s="95"/>
      <c r="BE447" s="95" t="s">
        <v>37</v>
      </c>
      <c r="BF447" s="95" t="s">
        <v>37</v>
      </c>
      <c r="BG447" s="95" t="s">
        <v>37</v>
      </c>
      <c r="BH447" s="95"/>
      <c r="BI447" s="95" t="s">
        <v>37</v>
      </c>
      <c r="BJ447" s="95" t="s">
        <v>37</v>
      </c>
      <c r="BK447" s="95" t="s">
        <v>37</v>
      </c>
      <c r="BL447" s="95"/>
      <c r="BM447" s="95"/>
      <c r="BN447" s="95"/>
      <c r="BO447" s="95"/>
      <c r="BP447" s="95" t="s">
        <v>37</v>
      </c>
      <c r="BQ447" s="95" t="s">
        <v>37</v>
      </c>
      <c r="BR447" s="95" t="s">
        <v>37</v>
      </c>
      <c r="BS447" s="95"/>
      <c r="BT447" s="95" t="s">
        <v>37</v>
      </c>
      <c r="BU447" s="95" t="s">
        <v>37</v>
      </c>
      <c r="BV447" s="95" t="s">
        <v>37</v>
      </c>
      <c r="BW447" s="95"/>
      <c r="BX447" s="95"/>
      <c r="BY447" s="95"/>
      <c r="BZ447" s="90" t="s">
        <v>47</v>
      </c>
      <c r="CA447" s="95">
        <f>-0.093/10^6*10^4*3600*24*("2016-09-30"-"2016-05-01")/[7]Classess!$T$84</f>
        <v>-13830.844197002392</v>
      </c>
      <c r="CB447" s="95">
        <f>0.01/10^6*10^4*3600*24*("2016-09-30"-"2016-05-01")*SQRT(3)</f>
        <v>2274.6676845640554</v>
      </c>
      <c r="CC447" s="95">
        <v>3</v>
      </c>
      <c r="CD447" s="48">
        <f t="shared" ref="CD447:CD449" si="1754">CB447/ABS(CA447)</f>
        <v>0.16446340166690998</v>
      </c>
      <c r="CE447" s="95">
        <f>-0.468/10^6*10^4*3600*24*("2016-09-30"-"2016-05-01")/[7]Classess!$T$83</f>
        <v>-66220.372894871383</v>
      </c>
      <c r="CF447" s="95">
        <f>0.04/10^6*10^4*3600*24*("2016-09-30"-"2016-05-01")*SQRT(3)</f>
        <v>9098.6707382562217</v>
      </c>
      <c r="CG447" s="95">
        <v>3</v>
      </c>
      <c r="CH447" s="48">
        <f t="shared" ref="CH447:CH449" si="1755">CF447/ABS(CE447)</f>
        <v>0.13739987167847695</v>
      </c>
      <c r="CI447" s="92">
        <f t="shared" ref="CI447" si="1756">CE447-CA447</f>
        <v>-52389.528697868991</v>
      </c>
      <c r="CJ447" s="90">
        <f>SQRT(((CC447-1)*CB447^2+(CG447-1)*CF447^2)/(CC447+CG447-2))</f>
        <v>6631.7389227260755</v>
      </c>
      <c r="CK447" s="96">
        <f t="shared" ref="CK447" si="1757">(((CC447+CG447)/(CC447*CG447))*(((CC447-1)*CB447^2)+(CG447-1)*CF447^2)/(CC447+CG447-2))</f>
        <v>29319974.092800006</v>
      </c>
      <c r="CL447" s="96">
        <f t="shared" ref="CL447" si="1758">(CB447^2/CC447)+(CF447^2/CG447)</f>
        <v>29319974.092800006</v>
      </c>
      <c r="CM447" s="90" t="s">
        <v>47</v>
      </c>
      <c r="CN447" s="95">
        <f>0.048/10^6*10^4*3600*24*("2016-09-30"-"2016-05-01")/[7]Classess!$I$84</f>
        <v>8766.0655826625862</v>
      </c>
      <c r="CO447" s="95">
        <f>0.001/10^6*10^4*3600*24*("2016-09-30"-"2016-05-01")*SQRT(3)</f>
        <v>227.4667684564055</v>
      </c>
      <c r="CP447" s="95">
        <v>3</v>
      </c>
      <c r="CQ447" s="48">
        <f t="shared" ref="CQ447:CQ449" si="1759">CO447/ABS(CN447)</f>
        <v>2.5948558827381625E-2</v>
      </c>
      <c r="CR447" s="95">
        <f>0.275/10^6*10^4*3600*24*("2016-09-30"-"2016-05-01")/[7]Classess!$I$85</f>
        <v>41998.127476961054</v>
      </c>
      <c r="CS447" s="95">
        <f>0.03/10^6*10^4*3600*24*("2016-09-30"-"2016-05-01")*SQRT(3)</f>
        <v>6824.003053692164</v>
      </c>
      <c r="CT447" s="95">
        <v>3</v>
      </c>
      <c r="CU447" s="48">
        <f t="shared" ref="CU447:CU449" si="1760">CS447/ABS(CR447)</f>
        <v>0.16248350732864489</v>
      </c>
      <c r="CV447" s="92">
        <f t="shared" ref="CV447:CV453" si="1761">CR447-CN447</f>
        <v>33232.061894298466</v>
      </c>
      <c r="CW447" s="90">
        <f t="shared" ref="CW447:CW452" si="1762">SQRT(((CP447-1)*CO447^2+(CT447-1)*CS447^2)/(CP447+CT447-2))</f>
        <v>4827.9788114464618</v>
      </c>
      <c r="CX447" s="96">
        <f t="shared" ref="CX447:CX449" si="1763">(((CP447+CT447)/(CP447*CT447))*(((CP447-1)*CO447^2)+(CT447-1)*CS447^2)/(CP447+CT447-2))</f>
        <v>15539586.269183993</v>
      </c>
      <c r="CY447" s="96">
        <f t="shared" ref="CY447:CY453" si="1764">(CO447^2/CP447)+(CS447^2/CT447)</f>
        <v>15539586.269183995</v>
      </c>
      <c r="CZ447" s="90" t="s">
        <v>47</v>
      </c>
      <c r="DA447" s="95">
        <f>-0.05/10^6*10^4*3600*24*("2016-09-30"-"2016-05-01")/[7]Classess!$I$21</f>
        <v>-4783.7690721649478</v>
      </c>
      <c r="DB447" s="95">
        <f>SQRT((1/[7]Classess!$I$21)^2*(0.01/10^6*10^4*3600*24*("2016-09-30"-"2016-05-01")*SQRT(3))^2+(-DA415/([7]Classess!$I$21)^2)^2*([7]Classess!$J$21)^2)</f>
        <v>1766.9819161761379</v>
      </c>
      <c r="DC447" s="95">
        <v>3</v>
      </c>
      <c r="DD447" s="48">
        <f>DB447/ABS(DA447)</f>
        <v>0.36937023704960548</v>
      </c>
      <c r="DE447" s="95">
        <f>-0.188/10^6*10^4*3600*24*("2016-09-30"-"2016-05-01")/[7]Classess!$I$21</f>
        <v>-17986.9717113402</v>
      </c>
      <c r="DF447" s="95">
        <f>SQRT((1/[7]Classess!$I$22)^2*(0.02/10^6*10^4*3600*24*("2016-09-30"-"2016-05-01")*SQRT(3))^2+(-DA415/([7]Classess!$I$22)^2)^2*([7]Classess!$J$22)^2)</f>
        <v>3327.1138134409139</v>
      </c>
      <c r="DG447" s="95">
        <v>3</v>
      </c>
      <c r="DH447" s="48">
        <f t="shared" ref="DH447:DH449" si="1765">DF447/ABS(DE447)</f>
        <v>0.18497353900563912</v>
      </c>
      <c r="DI447" s="48">
        <f>DE447-DA447</f>
        <v>-13203.202639175252</v>
      </c>
      <c r="DJ447" s="90">
        <f t="shared" ref="DJ447:DJ452" si="1766">SQRT(((DC447-1)*DB447^2+(DG447-1)*DF447^2)/(DC447+DG447-2))</f>
        <v>2663.8235132683653</v>
      </c>
      <c r="DK447" s="96">
        <f t="shared" ref="DK447:DK449" si="1767">(((DC447+DG447)/(DC447*DG447))*(((DC447-1)*DB447^2)+(DG447-1)*DF447^2)/(DC447+DG447-2))</f>
        <v>4730637.1398942787</v>
      </c>
      <c r="DL447" s="96">
        <f t="shared" ref="DL447:DL453" si="1768">(DB447^2/DC447)+(DF447^2/DG447)</f>
        <v>4730637.1398942787</v>
      </c>
      <c r="DM447" s="89"/>
      <c r="DN447" s="90" t="s">
        <v>37</v>
      </c>
      <c r="DO447" s="90" t="s">
        <v>37</v>
      </c>
      <c r="DP447" s="91" t="s">
        <v>37</v>
      </c>
      <c r="DQ447" s="91"/>
      <c r="DR447" s="90" t="s">
        <v>37</v>
      </c>
      <c r="DS447" s="90" t="s">
        <v>37</v>
      </c>
      <c r="DT447" s="91" t="s">
        <v>37</v>
      </c>
      <c r="DU447" s="48"/>
      <c r="DV447" s="48"/>
      <c r="DW447" s="48"/>
      <c r="DX447" s="96"/>
      <c r="DY447" s="96"/>
      <c r="DZ447" s="89"/>
      <c r="EA447" s="101" t="s">
        <v>37</v>
      </c>
      <c r="EB447" s="101" t="s">
        <v>37</v>
      </c>
      <c r="EC447" s="101" t="s">
        <v>37</v>
      </c>
      <c r="ED447" s="101"/>
      <c r="EE447" s="101" t="s">
        <v>37</v>
      </c>
      <c r="EF447" s="101" t="s">
        <v>37</v>
      </c>
      <c r="EG447" s="101" t="s">
        <v>37</v>
      </c>
      <c r="EH447" s="48"/>
      <c r="EI447" s="48"/>
      <c r="EJ447" s="48"/>
      <c r="EK447" s="48"/>
      <c r="EL447" s="48"/>
      <c r="EM447" s="90" t="s">
        <v>39</v>
      </c>
      <c r="EN447" s="90">
        <v>-17.3</v>
      </c>
      <c r="EO447" s="90">
        <f>1.3*SQRT(EP447)</f>
        <v>2.2516660498395402</v>
      </c>
      <c r="EP447" s="91">
        <v>3</v>
      </c>
      <c r="EQ447" s="48">
        <f t="shared" ref="EQ447:EQ449" si="1769">EO447/ABS(EN447)</f>
        <v>0.13015410692714105</v>
      </c>
      <c r="ER447" s="90">
        <v>-21.9</v>
      </c>
      <c r="ES447" s="90">
        <f>2*SQRT(ET447)</f>
        <v>3.4641016151377544</v>
      </c>
      <c r="ET447" s="91">
        <v>3</v>
      </c>
      <c r="EU447" s="48">
        <f>ES447/ABS(ER447)</f>
        <v>0.15817815594236323</v>
      </c>
      <c r="EV447" s="48">
        <f>ER447-EN447</f>
        <v>-4.5999999999999979</v>
      </c>
      <c r="EW447" s="90">
        <f t="shared" ref="EW447" si="1770">SQRT(((EP447-1)*EO447^2+(ET447-1)*ES447^2)/(EP447+ET447-2))</f>
        <v>2.9214722315983082</v>
      </c>
      <c r="EX447" s="48">
        <f t="shared" ref="EX447" si="1771">(((EP447+ET447)/(EP447*ET447))*(((EP447-1)*EO447^2)+(ET447-1)*ES447^2)/(EP447+ET447-2))</f>
        <v>5.6899999999999986</v>
      </c>
      <c r="EY447" s="48">
        <f t="shared" ref="EY447" si="1772">(EO447^2/EP447)+(ES447^2/ET447)</f>
        <v>5.6899999999999995</v>
      </c>
      <c r="FB447" s="90" t="s">
        <v>37</v>
      </c>
      <c r="FC447" s="90" t="s">
        <v>37</v>
      </c>
      <c r="FD447" s="89" t="s">
        <v>37</v>
      </c>
      <c r="FE447" s="90" t="s">
        <v>37</v>
      </c>
      <c r="FF447" s="100" t="s">
        <v>37</v>
      </c>
      <c r="FG447" s="89" t="s">
        <v>37</v>
      </c>
      <c r="FH447" s="94"/>
      <c r="FI447" s="90" t="s">
        <v>37</v>
      </c>
      <c r="FJ447" s="90" t="s">
        <v>37</v>
      </c>
      <c r="FK447" s="89" t="s">
        <v>37</v>
      </c>
      <c r="FL447" s="91" t="s">
        <v>37</v>
      </c>
      <c r="FM447" s="89" t="s">
        <v>37</v>
      </c>
      <c r="FN447" s="89" t="s">
        <v>37</v>
      </c>
      <c r="FO447" s="94"/>
      <c r="FP447" s="90" t="s">
        <v>37</v>
      </c>
      <c r="FQ447" s="90" t="s">
        <v>37</v>
      </c>
      <c r="FR447" s="89" t="s">
        <v>37</v>
      </c>
      <c r="FS447" s="91" t="s">
        <v>37</v>
      </c>
      <c r="FT447" s="89" t="s">
        <v>37</v>
      </c>
      <c r="FU447" s="89" t="s">
        <v>37</v>
      </c>
      <c r="FV447" s="94"/>
      <c r="FW447" s="90" t="s">
        <v>37</v>
      </c>
      <c r="FX447" s="90" t="s">
        <v>37</v>
      </c>
      <c r="FY447" s="89" t="s">
        <v>37</v>
      </c>
      <c r="FZ447" s="91" t="s">
        <v>37</v>
      </c>
      <c r="GA447" s="89" t="s">
        <v>37</v>
      </c>
      <c r="GB447" s="89" t="s">
        <v>37</v>
      </c>
      <c r="GC447" s="90" t="s">
        <v>101</v>
      </c>
      <c r="GD447" s="90" t="s">
        <v>330</v>
      </c>
      <c r="GE447" s="90">
        <v>33.9</v>
      </c>
      <c r="GF447" s="90">
        <f>1.6*SQRT(GG447)</f>
        <v>3.9191835884530848</v>
      </c>
      <c r="GG447" s="91">
        <v>6</v>
      </c>
      <c r="GH447" s="48">
        <f t="shared" ref="GH447:GH449" si="1773">GF447/GE447</f>
        <v>0.11561013535259837</v>
      </c>
      <c r="GI447" s="90">
        <v>45.1</v>
      </c>
      <c r="GJ447" s="90">
        <f>1.9*SQRT(GK447)</f>
        <v>4.6540305112880374</v>
      </c>
      <c r="GK447" s="91">
        <v>6</v>
      </c>
      <c r="GL447" s="48">
        <f t="shared" ref="GL447:GL449" si="1774">GJ447/GI447</f>
        <v>0.10319358118155293</v>
      </c>
      <c r="GM447" s="48">
        <f t="shared" ref="GM447" si="1775">LN(GI447/GE447)</f>
        <v>0.28546723212222808</v>
      </c>
      <c r="GN447" s="48">
        <f>GJ447^2/(GK447*GI447^2)+GF447^2/(GG447*GE447^2)</f>
        <v>4.0024364322199793E-3</v>
      </c>
      <c r="GO447" s="90" t="s">
        <v>660</v>
      </c>
      <c r="GP447" s="90" t="s">
        <v>330</v>
      </c>
      <c r="GQ447" s="90">
        <v>11.5</v>
      </c>
      <c r="GR447" s="90">
        <f>0.3*SQRT(GS447)</f>
        <v>0.51961524227066314</v>
      </c>
      <c r="GS447" s="91">
        <v>3</v>
      </c>
      <c r="GT447" s="48">
        <f t="shared" ref="GT447:GT449" si="1776">GR447/GQ447</f>
        <v>4.5183934110492444E-2</v>
      </c>
      <c r="GU447" s="90">
        <v>14.6</v>
      </c>
      <c r="GV447" s="90">
        <f>0.4*SQRT(GW447)</f>
        <v>0.69282032302755092</v>
      </c>
      <c r="GW447" s="91">
        <v>3</v>
      </c>
      <c r="GX447" s="48">
        <f t="shared" ref="GX447:GX449" si="1777">GV447/GU447</f>
        <v>4.745344678270897E-2</v>
      </c>
      <c r="GY447" s="48">
        <f t="shared" ref="GY447" si="1778">LN(GU447/GQ447)</f>
        <v>0.23867449334508636</v>
      </c>
      <c r="GZ447" s="48">
        <f>GV447^2/(GW447*GU447^2)+GR447^2/(GS447*GQ447^2)</f>
        <v>1.431139171086905E-3</v>
      </c>
      <c r="HA447" s="97"/>
      <c r="HB447" s="98"/>
      <c r="HC447" s="90" t="s">
        <v>37</v>
      </c>
      <c r="HD447" s="90" t="s">
        <v>37</v>
      </c>
      <c r="HE447" s="90" t="s">
        <v>37</v>
      </c>
      <c r="HF447" s="48"/>
      <c r="HG447" s="90" t="s">
        <v>37</v>
      </c>
      <c r="HH447" s="90" t="s">
        <v>37</v>
      </c>
      <c r="HI447" s="90" t="s">
        <v>37</v>
      </c>
      <c r="HJ447" s="48"/>
      <c r="HK447" s="48"/>
      <c r="HL447" s="48"/>
      <c r="HM447" s="98"/>
      <c r="HN447" s="90" t="s">
        <v>37</v>
      </c>
      <c r="HO447" s="90" t="s">
        <v>37</v>
      </c>
      <c r="HP447" s="91" t="s">
        <v>37</v>
      </c>
      <c r="HQ447" s="91"/>
      <c r="HR447" s="90" t="s">
        <v>37</v>
      </c>
      <c r="HS447" s="90" t="s">
        <v>37</v>
      </c>
      <c r="HT447" s="91" t="s">
        <v>37</v>
      </c>
      <c r="HU447" s="48"/>
      <c r="HV447" s="48"/>
      <c r="HW447" s="48"/>
      <c r="HX447" s="98"/>
      <c r="HY447" s="90" t="s">
        <v>37</v>
      </c>
      <c r="HZ447" s="90" t="s">
        <v>37</v>
      </c>
      <c r="IA447" s="91" t="s">
        <v>37</v>
      </c>
      <c r="IB447" s="91"/>
      <c r="IC447" s="90" t="s">
        <v>37</v>
      </c>
      <c r="ID447" s="90" t="s">
        <v>37</v>
      </c>
      <c r="IE447" s="91" t="s">
        <v>37</v>
      </c>
      <c r="IF447" s="48"/>
      <c r="IG447" s="48"/>
      <c r="IH447" s="48"/>
      <c r="IK447" s="90" t="s">
        <v>37</v>
      </c>
      <c r="IL447" s="90" t="s">
        <v>37</v>
      </c>
      <c r="IM447" s="90" t="s">
        <v>37</v>
      </c>
      <c r="IN447" s="48"/>
      <c r="IO447" s="90" t="s">
        <v>37</v>
      </c>
      <c r="IP447" s="90" t="s">
        <v>37</v>
      </c>
      <c r="IQ447" s="90" t="s">
        <v>37</v>
      </c>
      <c r="IR447" s="48"/>
      <c r="IS447" s="48"/>
      <c r="IT447" s="48"/>
      <c r="IV447" s="94"/>
      <c r="IW447" s="90" t="s">
        <v>37</v>
      </c>
      <c r="IX447" s="90" t="s">
        <v>37</v>
      </c>
      <c r="IY447" s="90" t="s">
        <v>37</v>
      </c>
      <c r="IZ447" s="48"/>
      <c r="JA447" s="90" t="s">
        <v>37</v>
      </c>
      <c r="JB447" s="90" t="s">
        <v>37</v>
      </c>
      <c r="JC447" s="90" t="s">
        <v>37</v>
      </c>
      <c r="JD447" s="48"/>
      <c r="JE447" s="48"/>
      <c r="JF447" s="48"/>
      <c r="JG447" s="94"/>
      <c r="JH447" s="90" t="s">
        <v>37</v>
      </c>
      <c r="JI447" s="90" t="s">
        <v>37</v>
      </c>
      <c r="JJ447" s="90" t="s">
        <v>37</v>
      </c>
      <c r="JK447" s="48"/>
      <c r="JL447" s="90" t="s">
        <v>37</v>
      </c>
      <c r="JM447" s="90" t="s">
        <v>37</v>
      </c>
      <c r="JN447" s="90" t="s">
        <v>37</v>
      </c>
      <c r="JO447" s="48"/>
      <c r="JP447" s="48"/>
      <c r="JQ447" s="48"/>
      <c r="JR447" s="94"/>
      <c r="JS447" s="90" t="s">
        <v>37</v>
      </c>
      <c r="JT447" s="90" t="s">
        <v>37</v>
      </c>
      <c r="JU447" s="90" t="s">
        <v>37</v>
      </c>
      <c r="JV447" s="48"/>
      <c r="JW447" s="90" t="s">
        <v>37</v>
      </c>
      <c r="JX447" s="90" t="s">
        <v>37</v>
      </c>
      <c r="JY447" s="90" t="s">
        <v>37</v>
      </c>
      <c r="JZ447" s="48"/>
      <c r="KA447" s="48"/>
      <c r="KB447" s="48"/>
      <c r="KE447" s="90" t="s">
        <v>37</v>
      </c>
      <c r="KF447" s="90" t="s">
        <v>37</v>
      </c>
      <c r="KG447" s="90" t="s">
        <v>37</v>
      </c>
      <c r="KH447" s="90" t="s">
        <v>37</v>
      </c>
      <c r="KI447" s="90" t="s">
        <v>37</v>
      </c>
      <c r="KJ447" s="90" t="s">
        <v>37</v>
      </c>
      <c r="KL447" s="94"/>
      <c r="KM447" s="90" t="s">
        <v>37</v>
      </c>
      <c r="KN447" s="90" t="s">
        <v>37</v>
      </c>
      <c r="KO447" s="90" t="s">
        <v>37</v>
      </c>
      <c r="KP447" s="48"/>
      <c r="KQ447" s="90" t="s">
        <v>37</v>
      </c>
      <c r="KR447" s="90" t="s">
        <v>37</v>
      </c>
      <c r="KS447" s="90" t="s">
        <v>37</v>
      </c>
      <c r="KT447" s="48"/>
      <c r="KU447" s="48"/>
      <c r="KV447" s="48"/>
      <c r="KW447" s="94"/>
      <c r="KX447" s="90" t="s">
        <v>37</v>
      </c>
      <c r="KY447" s="90" t="s">
        <v>37</v>
      </c>
      <c r="KZ447" s="91" t="s">
        <v>37</v>
      </c>
      <c r="LA447" s="48"/>
      <c r="LB447" s="90" t="s">
        <v>37</v>
      </c>
      <c r="LC447" s="90" t="s">
        <v>37</v>
      </c>
      <c r="LD447" s="91" t="s">
        <v>37</v>
      </c>
      <c r="LE447" s="48"/>
      <c r="LF447" s="48"/>
      <c r="LG447" s="48"/>
      <c r="LH447" s="94"/>
      <c r="LI447" s="90" t="s">
        <v>37</v>
      </c>
      <c r="LJ447" s="90" t="s">
        <v>37</v>
      </c>
      <c r="LK447" s="90" t="s">
        <v>37</v>
      </c>
      <c r="LL447" s="48"/>
      <c r="LM447" s="90" t="s">
        <v>37</v>
      </c>
      <c r="LN447" s="90" t="s">
        <v>37</v>
      </c>
      <c r="LO447" s="90" t="s">
        <v>37</v>
      </c>
      <c r="LP447" s="48"/>
      <c r="LQ447" s="48"/>
      <c r="LR447" s="48"/>
      <c r="LU447" s="90" t="s">
        <v>37</v>
      </c>
      <c r="LV447" s="90" t="s">
        <v>37</v>
      </c>
      <c r="LW447" s="90" t="s">
        <v>37</v>
      </c>
      <c r="LX447" s="48"/>
      <c r="LY447" s="90" t="s">
        <v>37</v>
      </c>
      <c r="LZ447" s="90" t="s">
        <v>37</v>
      </c>
      <c r="MA447" s="90" t="s">
        <v>37</v>
      </c>
      <c r="MB447" s="48"/>
      <c r="MC447" s="48"/>
      <c r="MD447" s="48"/>
      <c r="MF447" s="90" t="s">
        <v>37</v>
      </c>
      <c r="MG447" s="90" t="s">
        <v>37</v>
      </c>
      <c r="MH447" s="90" t="s">
        <v>37</v>
      </c>
      <c r="MI447" s="48"/>
      <c r="MJ447" s="90" t="s">
        <v>37</v>
      </c>
      <c r="MK447" s="90" t="s">
        <v>37</v>
      </c>
      <c r="ML447" s="90" t="s">
        <v>37</v>
      </c>
      <c r="MM447" s="48"/>
      <c r="MN447" s="48"/>
      <c r="MO447" s="48"/>
      <c r="MQ447" s="90" t="s">
        <v>37</v>
      </c>
      <c r="MR447" s="90" t="s">
        <v>37</v>
      </c>
      <c r="MS447" s="90" t="s">
        <v>37</v>
      </c>
      <c r="MT447" s="48"/>
      <c r="MU447" s="90" t="s">
        <v>37</v>
      </c>
      <c r="MV447" s="90" t="s">
        <v>37</v>
      </c>
      <c r="MW447" s="90" t="s">
        <v>37</v>
      </c>
      <c r="MX447" s="48"/>
      <c r="MY447" s="48"/>
      <c r="MZ447" s="48"/>
      <c r="NC447" s="90" t="s">
        <v>37</v>
      </c>
      <c r="ND447" s="90" t="s">
        <v>37</v>
      </c>
      <c r="NE447" s="90" t="s">
        <v>37</v>
      </c>
      <c r="NF447" s="48"/>
      <c r="NG447" s="90" t="s">
        <v>37</v>
      </c>
      <c r="NH447" s="90" t="s">
        <v>37</v>
      </c>
      <c r="NI447" s="90" t="s">
        <v>37</v>
      </c>
      <c r="NJ447" s="48"/>
      <c r="NK447" s="48"/>
      <c r="NL447" s="48"/>
      <c r="NO447" s="90" t="s">
        <v>37</v>
      </c>
      <c r="NP447" s="90" t="s">
        <v>37</v>
      </c>
      <c r="NQ447" s="90" t="s">
        <v>37</v>
      </c>
      <c r="NR447" s="48"/>
      <c r="NS447" s="90" t="s">
        <v>37</v>
      </c>
      <c r="NT447" s="90" t="s">
        <v>37</v>
      </c>
      <c r="NU447" s="90" t="s">
        <v>37</v>
      </c>
      <c r="NV447" s="48"/>
      <c r="NW447" s="48"/>
      <c r="NX447" s="48"/>
      <c r="OA447" s="90" t="s">
        <v>37</v>
      </c>
      <c r="OB447" s="90" t="s">
        <v>37</v>
      </c>
      <c r="OC447" s="90" t="s">
        <v>37</v>
      </c>
      <c r="OE447" s="90" t="s">
        <v>37</v>
      </c>
      <c r="OF447" s="90" t="s">
        <v>37</v>
      </c>
      <c r="OG447" s="90" t="s">
        <v>37</v>
      </c>
      <c r="OM447" s="90" t="s">
        <v>37</v>
      </c>
      <c r="ON447" s="90" t="s">
        <v>37</v>
      </c>
      <c r="OO447" s="90" t="s">
        <v>37</v>
      </c>
      <c r="OP447" s="90" t="s">
        <v>37</v>
      </c>
      <c r="OQ447" s="90" t="s">
        <v>37</v>
      </c>
      <c r="OR447" s="90" t="s">
        <v>37</v>
      </c>
      <c r="OW447" s="90" t="s">
        <v>37</v>
      </c>
      <c r="OX447" s="90" t="s">
        <v>37</v>
      </c>
      <c r="OY447" s="91" t="s">
        <v>37</v>
      </c>
      <c r="OZ447" s="90" t="s">
        <v>37</v>
      </c>
      <c r="PA447" s="90" t="s">
        <v>37</v>
      </c>
      <c r="PB447" s="91" t="s">
        <v>37</v>
      </c>
      <c r="PC447" s="91"/>
      <c r="PD447" s="91"/>
      <c r="PG447" s="89" t="s">
        <v>37</v>
      </c>
      <c r="PH447" s="89" t="s">
        <v>37</v>
      </c>
      <c r="PI447" s="91" t="s">
        <v>37</v>
      </c>
      <c r="PJ447" s="89" t="s">
        <v>37</v>
      </c>
      <c r="PK447" s="89" t="s">
        <v>37</v>
      </c>
      <c r="PL447" s="91" t="s">
        <v>37</v>
      </c>
      <c r="PM447" s="91"/>
      <c r="PN447" s="91"/>
      <c r="PQ447" s="90" t="s">
        <v>37</v>
      </c>
      <c r="PR447" s="90" t="s">
        <v>37</v>
      </c>
      <c r="PS447" s="90" t="s">
        <v>37</v>
      </c>
      <c r="PT447" s="90" t="s">
        <v>37</v>
      </c>
      <c r="PU447" s="90" t="s">
        <v>37</v>
      </c>
      <c r="PV447" s="90" t="s">
        <v>37</v>
      </c>
      <c r="PZ447" s="90" t="s">
        <v>37</v>
      </c>
      <c r="QA447" s="90" t="s">
        <v>37</v>
      </c>
      <c r="QB447" s="89" t="s">
        <v>37</v>
      </c>
      <c r="QC447" s="48"/>
      <c r="QD447" s="90" t="s">
        <v>37</v>
      </c>
      <c r="QE447" s="90" t="s">
        <v>37</v>
      </c>
      <c r="QF447" s="90" t="s">
        <v>37</v>
      </c>
      <c r="QG447" s="48"/>
      <c r="QH447" s="48"/>
      <c r="QI447" s="48"/>
      <c r="QK447" s="90" t="s">
        <v>37</v>
      </c>
      <c r="QL447" s="90" t="s">
        <v>37</v>
      </c>
      <c r="QM447" s="90" t="s">
        <v>37</v>
      </c>
      <c r="QN447" s="90" t="s">
        <v>37</v>
      </c>
      <c r="QO447" s="90" t="s">
        <v>37</v>
      </c>
      <c r="QP447" s="90" t="s">
        <v>37</v>
      </c>
      <c r="QU447" s="90" t="s">
        <v>37</v>
      </c>
      <c r="QV447" s="90" t="s">
        <v>37</v>
      </c>
      <c r="QW447" s="90" t="s">
        <v>37</v>
      </c>
      <c r="QX447" s="90" t="s">
        <v>37</v>
      </c>
      <c r="QY447" s="90" t="s">
        <v>37</v>
      </c>
      <c r="QZ447" s="90" t="s">
        <v>37</v>
      </c>
      <c r="RC447" s="90" t="s">
        <v>37</v>
      </c>
      <c r="RD447" s="90" t="s">
        <v>37</v>
      </c>
      <c r="RE447" s="91" t="s">
        <v>37</v>
      </c>
      <c r="RF447" s="90" t="s">
        <v>37</v>
      </c>
      <c r="RG447" s="90" t="s">
        <v>37</v>
      </c>
      <c r="RH447" s="91" t="s">
        <v>37</v>
      </c>
      <c r="RK447" s="90" t="s">
        <v>37</v>
      </c>
      <c r="RL447" s="90" t="s">
        <v>37</v>
      </c>
      <c r="RM447" s="89" t="s">
        <v>37</v>
      </c>
      <c r="RN447" s="90" t="s">
        <v>37</v>
      </c>
      <c r="RO447" s="90" t="s">
        <v>37</v>
      </c>
      <c r="RP447" s="89" t="s">
        <v>37</v>
      </c>
      <c r="RS447" s="90" t="s">
        <v>37</v>
      </c>
      <c r="RT447" s="90" t="s">
        <v>37</v>
      </c>
      <c r="RU447" s="90" t="s">
        <v>37</v>
      </c>
      <c r="RV447" s="90" t="s">
        <v>37</v>
      </c>
      <c r="RW447" s="90" t="s">
        <v>37</v>
      </c>
      <c r="RX447" s="90" t="s">
        <v>37</v>
      </c>
      <c r="SA447" s="90" t="s">
        <v>37</v>
      </c>
      <c r="SB447" s="90" t="s">
        <v>37</v>
      </c>
      <c r="SC447" s="90" t="s">
        <v>37</v>
      </c>
      <c r="SD447" s="90" t="s">
        <v>37</v>
      </c>
      <c r="SE447" s="90" t="s">
        <v>37</v>
      </c>
      <c r="SF447" s="90" t="s">
        <v>37</v>
      </c>
      <c r="SI447" s="90" t="s">
        <v>37</v>
      </c>
      <c r="SJ447" s="90" t="s">
        <v>37</v>
      </c>
      <c r="SK447" s="91" t="s">
        <v>37</v>
      </c>
      <c r="SL447" s="48"/>
      <c r="SM447" s="90" t="s">
        <v>37</v>
      </c>
      <c r="SN447" s="90" t="s">
        <v>37</v>
      </c>
      <c r="SO447" s="91" t="s">
        <v>37</v>
      </c>
      <c r="SP447" s="48"/>
      <c r="SQ447" s="48"/>
      <c r="SR447" s="48"/>
      <c r="SU447" s="90" t="s">
        <v>37</v>
      </c>
      <c r="SV447" s="90" t="s">
        <v>37</v>
      </c>
      <c r="SW447" s="89" t="s">
        <v>37</v>
      </c>
      <c r="SX447" s="90" t="s">
        <v>37</v>
      </c>
      <c r="SY447" s="90" t="s">
        <v>37</v>
      </c>
      <c r="SZ447" s="89" t="s">
        <v>37</v>
      </c>
      <c r="TA447" s="89"/>
      <c r="TB447" s="89"/>
      <c r="TE447" s="90" t="s">
        <v>37</v>
      </c>
      <c r="TF447" s="90" t="s">
        <v>37</v>
      </c>
      <c r="TG447" s="89" t="s">
        <v>37</v>
      </c>
      <c r="TH447" s="90" t="s">
        <v>37</v>
      </c>
      <c r="TI447" s="90" t="s">
        <v>37</v>
      </c>
      <c r="TJ447" s="89" t="s">
        <v>37</v>
      </c>
      <c r="TK447" s="89"/>
      <c r="TL447" s="89"/>
      <c r="TO447" s="90" t="s">
        <v>37</v>
      </c>
      <c r="TP447" s="90" t="s">
        <v>37</v>
      </c>
      <c r="TQ447" s="89" t="s">
        <v>37</v>
      </c>
      <c r="TR447" s="90" t="s">
        <v>37</v>
      </c>
      <c r="TS447" s="90" t="s">
        <v>37</v>
      </c>
      <c r="TT447" s="89" t="s">
        <v>37</v>
      </c>
      <c r="TU447" s="89"/>
      <c r="TV447" s="89"/>
      <c r="TY447" s="90" t="s">
        <v>37</v>
      </c>
      <c r="TZ447" s="90" t="s">
        <v>37</v>
      </c>
      <c r="UA447" s="90" t="s">
        <v>37</v>
      </c>
      <c r="UB447" s="90" t="s">
        <v>37</v>
      </c>
      <c r="UC447" s="90" t="s">
        <v>37</v>
      </c>
      <c r="UD447" s="90" t="s">
        <v>37</v>
      </c>
      <c r="UI447" s="90" t="s">
        <v>37</v>
      </c>
      <c r="UJ447" s="90" t="s">
        <v>37</v>
      </c>
      <c r="UK447" s="90" t="s">
        <v>37</v>
      </c>
      <c r="UL447" s="90" t="s">
        <v>37</v>
      </c>
      <c r="UM447" s="90" t="s">
        <v>37</v>
      </c>
      <c r="UN447" s="90" t="s">
        <v>37</v>
      </c>
      <c r="UR447" s="90" t="s">
        <v>37</v>
      </c>
      <c r="US447" s="90" t="s">
        <v>37</v>
      </c>
      <c r="UT447" s="90" t="s">
        <v>37</v>
      </c>
      <c r="UU447" s="90" t="s">
        <v>37</v>
      </c>
      <c r="UV447" s="90" t="s">
        <v>37</v>
      </c>
      <c r="UW447" s="90" t="s">
        <v>37</v>
      </c>
      <c r="VB447" s="90" t="s">
        <v>37</v>
      </c>
      <c r="VC447" s="90" t="s">
        <v>37</v>
      </c>
      <c r="VD447" s="90" t="s">
        <v>37</v>
      </c>
      <c r="VE447" s="90" t="s">
        <v>37</v>
      </c>
      <c r="VF447" s="90" t="s">
        <v>37</v>
      </c>
      <c r="VG447" s="90" t="s">
        <v>37</v>
      </c>
      <c r="VI447" s="90" t="s">
        <v>37</v>
      </c>
      <c r="VJ447" s="90" t="s">
        <v>37</v>
      </c>
      <c r="VK447" s="90" t="s">
        <v>37</v>
      </c>
      <c r="VL447" s="90" t="s">
        <v>37</v>
      </c>
      <c r="VM447" s="90" t="s">
        <v>37</v>
      </c>
      <c r="VN447" s="90" t="s">
        <v>37</v>
      </c>
      <c r="VQ447" s="91" t="s">
        <v>37</v>
      </c>
      <c r="VR447" s="91" t="s">
        <v>37</v>
      </c>
      <c r="VS447" s="91" t="s">
        <v>37</v>
      </c>
      <c r="VT447" s="91" t="s">
        <v>37</v>
      </c>
      <c r="VU447" s="91" t="s">
        <v>37</v>
      </c>
      <c r="VV447" s="91" t="s">
        <v>37</v>
      </c>
      <c r="VW447" s="91"/>
      <c r="VX447" s="91"/>
      <c r="WA447" s="91" t="s">
        <v>37</v>
      </c>
      <c r="WB447" s="91" t="s">
        <v>37</v>
      </c>
      <c r="WC447" s="91" t="s">
        <v>37</v>
      </c>
      <c r="WD447" s="91" t="s">
        <v>37</v>
      </c>
      <c r="WE447" s="91" t="s">
        <v>37</v>
      </c>
      <c r="WF447" s="91" t="s">
        <v>37</v>
      </c>
    </row>
    <row r="448" spans="1:604" s="90" customFormat="1" ht="20.25" customHeight="1" x14ac:dyDescent="0.3">
      <c r="A448" s="89">
        <v>107</v>
      </c>
      <c r="B448" s="84" t="s">
        <v>987</v>
      </c>
      <c r="C448" s="90" t="s">
        <v>26</v>
      </c>
      <c r="D448" s="84" t="s">
        <v>54</v>
      </c>
      <c r="E448" s="88">
        <v>5</v>
      </c>
      <c r="F448" s="88">
        <v>0</v>
      </c>
      <c r="G448" s="88">
        <v>0</v>
      </c>
      <c r="H448" s="90" t="s">
        <v>136</v>
      </c>
      <c r="I448" s="84">
        <v>47.81</v>
      </c>
      <c r="J448" s="99">
        <v>11.45</v>
      </c>
      <c r="K448" s="90" t="s">
        <v>1003</v>
      </c>
      <c r="L448" s="90" t="s">
        <v>1004</v>
      </c>
      <c r="M448" s="91">
        <v>598</v>
      </c>
      <c r="N448" s="88">
        <v>7.6</v>
      </c>
      <c r="O448" s="88">
        <v>1209</v>
      </c>
      <c r="P448" s="84" t="s">
        <v>16</v>
      </c>
      <c r="Q448" s="92">
        <v>43</v>
      </c>
      <c r="R448" s="11" t="s">
        <v>1000</v>
      </c>
      <c r="S448" s="90" t="s">
        <v>93</v>
      </c>
      <c r="T448" s="90" t="s">
        <v>141</v>
      </c>
      <c r="U448" s="90" t="s">
        <v>158</v>
      </c>
      <c r="V448" s="90" t="s">
        <v>275</v>
      </c>
      <c r="W448" s="93" t="s">
        <v>988</v>
      </c>
      <c r="X448" s="90" t="s">
        <v>49</v>
      </c>
      <c r="Y448" s="90" t="s">
        <v>37</v>
      </c>
      <c r="Z448" s="90" t="s">
        <v>37</v>
      </c>
      <c r="AA448" s="94" t="s">
        <v>345</v>
      </c>
      <c r="AB448" s="90">
        <v>3.9</v>
      </c>
      <c r="AC448" s="90" t="s">
        <v>42</v>
      </c>
      <c r="AD448" s="94" t="s">
        <v>345</v>
      </c>
      <c r="AE448" s="90">
        <v>498</v>
      </c>
      <c r="AF448" s="90" t="s">
        <v>42</v>
      </c>
      <c r="AG448" s="94" t="s">
        <v>345</v>
      </c>
      <c r="AH448" s="90">
        <v>13</v>
      </c>
      <c r="AJ448" s="90" t="s">
        <v>501</v>
      </c>
      <c r="AK448" s="48">
        <v>38.307692307692307</v>
      </c>
      <c r="AL448" s="94" t="s">
        <v>989</v>
      </c>
      <c r="AM448" s="90" t="s">
        <v>344</v>
      </c>
      <c r="AN448" s="94"/>
      <c r="AO448" s="90" t="s">
        <v>37</v>
      </c>
      <c r="AP448" s="95" t="s">
        <v>370</v>
      </c>
      <c r="AQ448" s="90" t="s">
        <v>302</v>
      </c>
      <c r="AR448" s="90" t="s">
        <v>42</v>
      </c>
      <c r="AS448" s="94" t="s">
        <v>345</v>
      </c>
      <c r="AT448" s="90">
        <v>498</v>
      </c>
      <c r="AU448" s="104">
        <f>AT448*AW$474</f>
        <v>42.592518236555321</v>
      </c>
      <c r="AV448" s="91">
        <v>3</v>
      </c>
      <c r="AW448" s="48"/>
      <c r="AX448" s="90">
        <v>502</v>
      </c>
      <c r="AY448" s="104">
        <f>AX448*BA$474</f>
        <v>35.446428783924468</v>
      </c>
      <c r="AZ448" s="91">
        <v>3</v>
      </c>
      <c r="BA448" s="48"/>
      <c r="BB448" s="48"/>
      <c r="BC448" s="48"/>
      <c r="BD448" s="94"/>
      <c r="BE448" s="95" t="s">
        <v>37</v>
      </c>
      <c r="BF448" s="95" t="s">
        <v>37</v>
      </c>
      <c r="BG448" s="95" t="s">
        <v>37</v>
      </c>
      <c r="BH448" s="95"/>
      <c r="BI448" s="95" t="s">
        <v>37</v>
      </c>
      <c r="BJ448" s="95" t="s">
        <v>37</v>
      </c>
      <c r="BK448" s="95" t="s">
        <v>37</v>
      </c>
      <c r="BL448" s="95"/>
      <c r="BM448" s="95"/>
      <c r="BN448" s="95"/>
      <c r="BO448" s="95"/>
      <c r="BP448" s="95" t="s">
        <v>37</v>
      </c>
      <c r="BQ448" s="95" t="s">
        <v>37</v>
      </c>
      <c r="BR448" s="95" t="s">
        <v>37</v>
      </c>
      <c r="BS448" s="95"/>
      <c r="BT448" s="95" t="s">
        <v>37</v>
      </c>
      <c r="BU448" s="95" t="s">
        <v>37</v>
      </c>
      <c r="BV448" s="95" t="s">
        <v>37</v>
      </c>
      <c r="BW448" s="95"/>
      <c r="BX448" s="95"/>
      <c r="BY448" s="48"/>
      <c r="BZ448" s="90" t="s">
        <v>47</v>
      </c>
      <c r="CA448" s="90">
        <f>-890*10^4/10^3*44/12</f>
        <v>-32633.333333333332</v>
      </c>
      <c r="CB448" s="90">
        <v>3600</v>
      </c>
      <c r="CC448" s="91">
        <v>3</v>
      </c>
      <c r="CD448" s="48">
        <f t="shared" si="1754"/>
        <v>0.11031664964249234</v>
      </c>
      <c r="CE448" s="90">
        <f>-1798*10^4/10^3*44/12</f>
        <v>-65926.666666666672</v>
      </c>
      <c r="CF448" s="90">
        <v>5926</v>
      </c>
      <c r="CG448" s="91">
        <v>3</v>
      </c>
      <c r="CH448" s="48">
        <f t="shared" si="1755"/>
        <v>8.9887754070178974E-2</v>
      </c>
      <c r="CI448" s="92">
        <f t="shared" ref="CI448:CI450" si="1779">CE448-CA448</f>
        <v>-33293.333333333343</v>
      </c>
      <c r="CJ448" s="90">
        <f t="shared" ref="CJ448:CJ450" si="1780">SQRT(((CC448-1)*CB448^2+(CG448-1)*CF448^2)/(CC448+CG448-2))</f>
        <v>4902.9315720291261</v>
      </c>
      <c r="CK448" s="96">
        <f t="shared" ref="CK448:CK449" si="1781">(((CC448+CG448)/(CC448*CG448))*(((CC448-1)*CB448^2)+(CG448-1)*CF448^2)/(CC448+CG448-2))</f>
        <v>16025825.333333332</v>
      </c>
      <c r="CL448" s="96">
        <f t="shared" ref="CL448:CL450" si="1782">(CB448^2/CC448)+(CF448^2/CG448)</f>
        <v>16025825.333333334</v>
      </c>
      <c r="CM448" s="90" t="s">
        <v>47</v>
      </c>
      <c r="CN448" s="90">
        <f>837*10^4/10^3*44/12</f>
        <v>30690</v>
      </c>
      <c r="CO448" s="90">
        <v>3652</v>
      </c>
      <c r="CP448" s="91">
        <v>3</v>
      </c>
      <c r="CQ448" s="48">
        <f t="shared" si="1759"/>
        <v>0.11899641577060932</v>
      </c>
      <c r="CR448" s="90">
        <f>1668*10^4/10^3*44/12</f>
        <v>61160</v>
      </c>
      <c r="CS448" s="90">
        <v>6593</v>
      </c>
      <c r="CT448" s="91">
        <v>3</v>
      </c>
      <c r="CU448" s="48">
        <f t="shared" si="1760"/>
        <v>0.10779921517331589</v>
      </c>
      <c r="CV448" s="92">
        <f t="shared" si="1761"/>
        <v>30470</v>
      </c>
      <c r="CW448" s="90">
        <f t="shared" si="1762"/>
        <v>5329.3880042646551</v>
      </c>
      <c r="CX448" s="96">
        <f t="shared" si="1763"/>
        <v>18934917.666666664</v>
      </c>
      <c r="CY448" s="96">
        <f t="shared" si="1764"/>
        <v>18934917.666666668</v>
      </c>
      <c r="CZ448" s="90" t="s">
        <v>47</v>
      </c>
      <c r="DA448" s="90">
        <f>-53*10^4/10^3*44/12</f>
        <v>-1943.3333333333333</v>
      </c>
      <c r="DB448" s="90">
        <v>436</v>
      </c>
      <c r="DC448" s="91">
        <v>3</v>
      </c>
      <c r="DD448" s="48">
        <f t="shared" ref="DD448:DD449" si="1783">DB448/ABS(DA448)</f>
        <v>0.22435677530017153</v>
      </c>
      <c r="DE448" s="90">
        <f>-130*10^4/10^3*44/12</f>
        <v>-4766.666666666667</v>
      </c>
      <c r="DF448" s="90">
        <v>1203</v>
      </c>
      <c r="DG448" s="91">
        <v>3</v>
      </c>
      <c r="DH448" s="48">
        <f t="shared" si="1765"/>
        <v>0.25237762237762235</v>
      </c>
      <c r="DI448" s="48">
        <f t="shared" ref="DI448:DI453" si="1784">DE448-DA448</f>
        <v>-2823.3333333333339</v>
      </c>
      <c r="DJ448" s="90">
        <f t="shared" si="1766"/>
        <v>904.7941754896525</v>
      </c>
      <c r="DK448" s="96">
        <f t="shared" si="1767"/>
        <v>545768.33333333326</v>
      </c>
      <c r="DL448" s="96">
        <f t="shared" si="1768"/>
        <v>545768.33333333337</v>
      </c>
      <c r="DM448" s="89"/>
      <c r="DN448" s="90" t="s">
        <v>37</v>
      </c>
      <c r="DO448" s="90" t="s">
        <v>37</v>
      </c>
      <c r="DP448" s="91" t="s">
        <v>37</v>
      </c>
      <c r="DQ448" s="91"/>
      <c r="DR448" s="90" t="s">
        <v>37</v>
      </c>
      <c r="DS448" s="90" t="s">
        <v>37</v>
      </c>
      <c r="DT448" s="91" t="s">
        <v>37</v>
      </c>
      <c r="DU448" s="48"/>
      <c r="DV448" s="48"/>
      <c r="DW448" s="48"/>
      <c r="DX448" s="96"/>
      <c r="DY448" s="96"/>
      <c r="DZ448" s="89"/>
      <c r="EA448" s="101" t="s">
        <v>37</v>
      </c>
      <c r="EB448" s="101" t="s">
        <v>37</v>
      </c>
      <c r="EC448" s="101" t="s">
        <v>37</v>
      </c>
      <c r="ED448" s="101"/>
      <c r="EE448" s="101" t="s">
        <v>37</v>
      </c>
      <c r="EF448" s="101" t="s">
        <v>37</v>
      </c>
      <c r="EG448" s="101" t="s">
        <v>37</v>
      </c>
      <c r="EH448" s="48"/>
      <c r="EI448" s="48"/>
      <c r="EJ448" s="48"/>
      <c r="EK448" s="48"/>
      <c r="EL448" s="48"/>
      <c r="EM448" s="90" t="s">
        <v>39</v>
      </c>
      <c r="EN448" s="90">
        <v>-6</v>
      </c>
      <c r="EO448" s="90">
        <v>-3</v>
      </c>
      <c r="EP448" s="91">
        <v>3</v>
      </c>
      <c r="EQ448" s="48">
        <f t="shared" si="1769"/>
        <v>-0.5</v>
      </c>
      <c r="ER448" s="90">
        <v>-21.8</v>
      </c>
      <c r="ES448" s="90">
        <v>6.5</v>
      </c>
      <c r="ET448" s="91">
        <v>3</v>
      </c>
      <c r="EU448" s="48">
        <f t="shared" ref="EU448:EU449" si="1785">ES448/ABS(ER448)</f>
        <v>0.29816513761467889</v>
      </c>
      <c r="EV448" s="90">
        <f>ER448-EN448</f>
        <v>-15.8</v>
      </c>
      <c r="EW448" s="90">
        <f t="shared" ref="EW448:EW449" si="1786">SQRT(((EP448-1)*EO448^2+(ET448-1)*ES448^2)/(EP448+ET448-2))</f>
        <v>5.0621141828291467</v>
      </c>
      <c r="EX448" s="48">
        <f t="shared" ref="EX448:EX449" si="1787">(((EP448+ET448)/(EP448*ET448))*(((EP448-1)*EO448^2)+(ET448-1)*ES448^2)/(EP448+ET448-2))</f>
        <v>17.083333333333332</v>
      </c>
      <c r="EY448" s="48">
        <f t="shared" ref="EY448:EY449" si="1788">(EO448^2/EP448)+(ES448^2/ET448)</f>
        <v>17.083333333333336</v>
      </c>
      <c r="FB448" s="90" t="s">
        <v>37</v>
      </c>
      <c r="FC448" s="90" t="s">
        <v>37</v>
      </c>
      <c r="FD448" s="89" t="s">
        <v>37</v>
      </c>
      <c r="FE448" s="90" t="s">
        <v>37</v>
      </c>
      <c r="FF448" s="100" t="s">
        <v>37</v>
      </c>
      <c r="FG448" s="89" t="s">
        <v>37</v>
      </c>
      <c r="FH448" s="94"/>
      <c r="FI448" s="90" t="s">
        <v>37</v>
      </c>
      <c r="FJ448" s="90" t="s">
        <v>37</v>
      </c>
      <c r="FK448" s="89" t="s">
        <v>37</v>
      </c>
      <c r="FL448" s="91" t="s">
        <v>37</v>
      </c>
      <c r="FM448" s="89" t="s">
        <v>37</v>
      </c>
      <c r="FN448" s="89" t="s">
        <v>37</v>
      </c>
      <c r="FO448" s="94"/>
      <c r="FP448" s="90" t="s">
        <v>37</v>
      </c>
      <c r="FQ448" s="90" t="s">
        <v>37</v>
      </c>
      <c r="FR448" s="89" t="s">
        <v>37</v>
      </c>
      <c r="FS448" s="91" t="s">
        <v>37</v>
      </c>
      <c r="FT448" s="89" t="s">
        <v>37</v>
      </c>
      <c r="FU448" s="89" t="s">
        <v>37</v>
      </c>
      <c r="FV448" s="94"/>
      <c r="FW448" s="90" t="s">
        <v>37</v>
      </c>
      <c r="FX448" s="90" t="s">
        <v>37</v>
      </c>
      <c r="FY448" s="89" t="s">
        <v>37</v>
      </c>
      <c r="FZ448" s="91" t="s">
        <v>37</v>
      </c>
      <c r="GA448" s="89" t="s">
        <v>37</v>
      </c>
      <c r="GB448" s="89" t="s">
        <v>37</v>
      </c>
      <c r="GC448" s="90" t="s">
        <v>101</v>
      </c>
      <c r="GD448" s="90" t="s">
        <v>330</v>
      </c>
      <c r="GE448" s="90">
        <v>75.900000000000006</v>
      </c>
      <c r="GF448" s="90">
        <v>2.6</v>
      </c>
      <c r="GG448" s="91">
        <v>3</v>
      </c>
      <c r="GH448" s="48">
        <f t="shared" si="1773"/>
        <v>3.4255599472990776E-2</v>
      </c>
      <c r="GI448" s="48">
        <v>70.599999999999994</v>
      </c>
      <c r="GJ448" s="90">
        <v>6.2</v>
      </c>
      <c r="GK448" s="91">
        <v>3</v>
      </c>
      <c r="GL448" s="48">
        <f t="shared" si="1774"/>
        <v>8.7818696883852701E-2</v>
      </c>
      <c r="GM448" s="48">
        <f t="shared" ref="GM448:GM449" si="1789">LN(GI448/GE448)</f>
        <v>-7.2386539902388053E-2</v>
      </c>
      <c r="GN448" s="48">
        <f t="shared" ref="GN448:GN449" si="1790">GJ448^2/(GK448*GI448^2)+GF448^2/(GG448*GE448^2)</f>
        <v>2.9618565392106559E-3</v>
      </c>
      <c r="GO448" s="90" t="s">
        <v>660</v>
      </c>
      <c r="GP448" s="90" t="s">
        <v>330</v>
      </c>
      <c r="GQ448" s="90">
        <v>8.6</v>
      </c>
      <c r="GR448" s="90">
        <v>0.3</v>
      </c>
      <c r="GS448" s="91">
        <v>3</v>
      </c>
      <c r="GT448" s="48">
        <f t="shared" si="1776"/>
        <v>3.4883720930232558E-2</v>
      </c>
      <c r="GU448" s="90">
        <v>8.8000000000000007</v>
      </c>
      <c r="GV448" s="90">
        <v>0.4</v>
      </c>
      <c r="GW448" s="91">
        <v>3</v>
      </c>
      <c r="GX448" s="48">
        <f t="shared" si="1777"/>
        <v>4.5454545454545456E-2</v>
      </c>
      <c r="GY448" s="48">
        <f t="shared" ref="GY448:GY449" si="1791">LN(GU448/GQ448)</f>
        <v>2.2989518224698781E-2</v>
      </c>
      <c r="GZ448" s="48">
        <f t="shared" ref="GZ448:GZ449" si="1792">GV448^2/(GW448*GU448^2)+GR448^2/(GS448*GQ448^2)</f>
        <v>1.0943298961392279E-3</v>
      </c>
      <c r="HA448" s="97"/>
      <c r="HB448" s="98"/>
      <c r="HC448" s="90" t="s">
        <v>37</v>
      </c>
      <c r="HD448" s="90" t="s">
        <v>37</v>
      </c>
      <c r="HE448" s="90" t="s">
        <v>37</v>
      </c>
      <c r="HF448" s="48"/>
      <c r="HG448" s="90" t="s">
        <v>37</v>
      </c>
      <c r="HH448" s="90" t="s">
        <v>37</v>
      </c>
      <c r="HI448" s="90" t="s">
        <v>37</v>
      </c>
      <c r="HJ448" s="48"/>
      <c r="HK448" s="48"/>
      <c r="HL448" s="48"/>
      <c r="HM448" s="98"/>
      <c r="HN448" s="90" t="s">
        <v>37</v>
      </c>
      <c r="HO448" s="90" t="s">
        <v>37</v>
      </c>
      <c r="HP448" s="91" t="s">
        <v>37</v>
      </c>
      <c r="HQ448" s="91"/>
      <c r="HR448" s="90" t="s">
        <v>37</v>
      </c>
      <c r="HS448" s="90" t="s">
        <v>37</v>
      </c>
      <c r="HT448" s="91" t="s">
        <v>37</v>
      </c>
      <c r="HU448" s="48"/>
      <c r="HV448" s="48"/>
      <c r="HW448" s="48"/>
      <c r="HX448" s="98"/>
      <c r="HY448" s="90" t="s">
        <v>37</v>
      </c>
      <c r="HZ448" s="90" t="s">
        <v>37</v>
      </c>
      <c r="IA448" s="91" t="s">
        <v>37</v>
      </c>
      <c r="IB448" s="91"/>
      <c r="IC448" s="90" t="s">
        <v>37</v>
      </c>
      <c r="ID448" s="90" t="s">
        <v>37</v>
      </c>
      <c r="IE448" s="91" t="s">
        <v>37</v>
      </c>
      <c r="IF448" s="48"/>
      <c r="IG448" s="48"/>
      <c r="IH448" s="48"/>
      <c r="IK448" s="90" t="s">
        <v>37</v>
      </c>
      <c r="IL448" s="90" t="s">
        <v>37</v>
      </c>
      <c r="IM448" s="90" t="s">
        <v>37</v>
      </c>
      <c r="IN448" s="48"/>
      <c r="IO448" s="90" t="s">
        <v>37</v>
      </c>
      <c r="IP448" s="90" t="s">
        <v>37</v>
      </c>
      <c r="IQ448" s="90" t="s">
        <v>37</v>
      </c>
      <c r="IR448" s="48"/>
      <c r="IS448" s="48"/>
      <c r="IT448" s="48"/>
      <c r="IV448" s="94" t="s">
        <v>345</v>
      </c>
      <c r="IW448" s="90">
        <v>3.9</v>
      </c>
      <c r="IX448" s="90">
        <v>0.32</v>
      </c>
      <c r="IY448" s="91">
        <v>3</v>
      </c>
      <c r="IZ448" s="48">
        <f t="shared" si="1744"/>
        <v>8.2051282051282051E-2</v>
      </c>
      <c r="JA448" s="90">
        <v>4.2</v>
      </c>
      <c r="JB448" s="90">
        <v>0.35</v>
      </c>
      <c r="JC448" s="91">
        <v>3</v>
      </c>
      <c r="JD448" s="48">
        <f t="shared" ref="JD448:JD449" si="1793">JB448/JA448</f>
        <v>8.3333333333333329E-2</v>
      </c>
      <c r="JE448" s="48">
        <f t="shared" ref="JE448:JE449" si="1794">LN(JA448/IW448)</f>
        <v>7.4107972153722043E-2</v>
      </c>
      <c r="JF448" s="48">
        <f t="shared" ref="JF448:JF449" si="1795">JB448^2/(JC448*JA448^2)+IX448^2/(IY448*IW448^2)</f>
        <v>4.5589524435678281E-3</v>
      </c>
      <c r="JG448" s="94"/>
      <c r="JH448" s="90" t="s">
        <v>37</v>
      </c>
      <c r="JI448" s="90" t="s">
        <v>37</v>
      </c>
      <c r="JJ448" s="90" t="s">
        <v>37</v>
      </c>
      <c r="JK448" s="48"/>
      <c r="JL448" s="90" t="s">
        <v>37</v>
      </c>
      <c r="JM448" s="90" t="s">
        <v>37</v>
      </c>
      <c r="JN448" s="90" t="s">
        <v>37</v>
      </c>
      <c r="JO448" s="48"/>
      <c r="JP448" s="48"/>
      <c r="JQ448" s="48"/>
      <c r="JR448" s="94"/>
      <c r="JS448" s="90" t="s">
        <v>37</v>
      </c>
      <c r="JT448" s="90" t="s">
        <v>37</v>
      </c>
      <c r="JU448" s="90" t="s">
        <v>37</v>
      </c>
      <c r="JV448" s="48"/>
      <c r="JW448" s="90" t="s">
        <v>37</v>
      </c>
      <c r="JX448" s="90" t="s">
        <v>37</v>
      </c>
      <c r="JY448" s="90" t="s">
        <v>37</v>
      </c>
      <c r="JZ448" s="48"/>
      <c r="KA448" s="48"/>
      <c r="KB448" s="48"/>
      <c r="KE448" s="90" t="s">
        <v>37</v>
      </c>
      <c r="KF448" s="90" t="s">
        <v>37</v>
      </c>
      <c r="KG448" s="90" t="s">
        <v>37</v>
      </c>
      <c r="KH448" s="90" t="s">
        <v>37</v>
      </c>
      <c r="KI448" s="90" t="s">
        <v>37</v>
      </c>
      <c r="KJ448" s="90" t="s">
        <v>37</v>
      </c>
      <c r="KK448" s="90" t="s">
        <v>42</v>
      </c>
      <c r="KL448" s="94" t="s">
        <v>345</v>
      </c>
      <c r="KM448" s="90">
        <v>13</v>
      </c>
      <c r="KN448" s="90">
        <v>1</v>
      </c>
      <c r="KO448" s="91">
        <v>3</v>
      </c>
      <c r="KP448" s="48">
        <f t="shared" si="1746"/>
        <v>7.6923076923076927E-2</v>
      </c>
      <c r="KQ448" s="90">
        <v>23.1</v>
      </c>
      <c r="KR448" s="90">
        <v>2.6</v>
      </c>
      <c r="KS448" s="91">
        <v>3</v>
      </c>
      <c r="KT448" s="48">
        <f t="shared" ref="KT448:KT449" si="1796">KR448/KQ448</f>
        <v>0.11255411255411255</v>
      </c>
      <c r="KU448" s="48">
        <f t="shared" ref="KU448:KU449" si="1797">LN(KQ448/KM448)</f>
        <v>0.57488326006621115</v>
      </c>
      <c r="KV448" s="48">
        <f t="shared" ref="KV448:KV449" si="1798">KR448^2/(KS448*KQ448^2)+KN448^2/(KO448*KM448^2)</f>
        <v>6.1951960053858168E-3</v>
      </c>
      <c r="KW448" s="94"/>
      <c r="KX448" s="90" t="s">
        <v>37</v>
      </c>
      <c r="KY448" s="90" t="s">
        <v>37</v>
      </c>
      <c r="KZ448" s="91" t="s">
        <v>37</v>
      </c>
      <c r="LA448" s="48"/>
      <c r="LB448" s="90" t="s">
        <v>37</v>
      </c>
      <c r="LC448" s="90" t="s">
        <v>37</v>
      </c>
      <c r="LD448" s="91" t="s">
        <v>37</v>
      </c>
      <c r="LE448" s="48"/>
      <c r="LF448" s="48"/>
      <c r="LG448" s="48"/>
      <c r="LH448" s="94"/>
      <c r="LI448" s="90" t="s">
        <v>37</v>
      </c>
      <c r="LJ448" s="90" t="s">
        <v>37</v>
      </c>
      <c r="LK448" s="90" t="s">
        <v>37</v>
      </c>
      <c r="LL448" s="48"/>
      <c r="LM448" s="90" t="s">
        <v>37</v>
      </c>
      <c r="LN448" s="90" t="s">
        <v>37</v>
      </c>
      <c r="LO448" s="90" t="s">
        <v>37</v>
      </c>
      <c r="LP448" s="48"/>
      <c r="LQ448" s="48"/>
      <c r="LR448" s="48"/>
      <c r="LT448" s="90" t="str">
        <f t="shared" ref="LT448:LT449" si="1799">KL448</f>
        <v>0-10</v>
      </c>
      <c r="LU448" s="90">
        <f>AT448/KM448</f>
        <v>38.307692307692307</v>
      </c>
      <c r="LV448" s="90">
        <f t="shared" ref="LV448:LV449" si="1800">SQRT((1/KM448)^2*AU448^2+AT448^2*(-1/KM448^2)^2*KN448^2)</f>
        <v>4.4065590566737454</v>
      </c>
      <c r="LW448" s="91">
        <f t="shared" ref="LW448:LW449" si="1801">KO448</f>
        <v>3</v>
      </c>
      <c r="LX448" s="48">
        <f t="shared" ref="LX448:LX449" si="1802">LV448/LU448</f>
        <v>0.11503065810594115</v>
      </c>
      <c r="LY448" s="90">
        <f t="shared" ref="LY448:LY449" si="1803">AX448/KQ448</f>
        <v>21.731601731601732</v>
      </c>
      <c r="LZ448" s="90">
        <f t="shared" ref="LZ448:LZ449" si="1804">SQRT((1/KQ448)^2*AY448^2+AX448^2*(-1/KQ448^2)^2*KR448^2)</f>
        <v>2.8874633809070112</v>
      </c>
      <c r="MA448" s="91">
        <f t="shared" ref="MA448:MA449" si="1805">KS448</f>
        <v>3</v>
      </c>
      <c r="MB448" s="48">
        <f t="shared" ref="MB448:MB449" si="1806">LZ448/LY448</f>
        <v>0.13286933087440628</v>
      </c>
      <c r="MC448" s="48">
        <f t="shared" ref="MC448:MC449" si="1807">LN(LY448/LU448)</f>
        <v>-0.56688321739913483</v>
      </c>
      <c r="MD448" s="48">
        <f t="shared" ref="MD448:MD449" si="1808">LZ448^2/(MA448*LY448^2)+LV448^2/(LW448*LU448^2)</f>
        <v>1.0295437130432794E-2</v>
      </c>
      <c r="MF448" s="90" t="s">
        <v>37</v>
      </c>
      <c r="MG448" s="90" t="s">
        <v>37</v>
      </c>
      <c r="MH448" s="90" t="s">
        <v>37</v>
      </c>
      <c r="MI448" s="48"/>
      <c r="MJ448" s="90" t="s">
        <v>37</v>
      </c>
      <c r="MK448" s="90" t="s">
        <v>37</v>
      </c>
      <c r="ML448" s="90" t="s">
        <v>37</v>
      </c>
      <c r="MM448" s="48"/>
      <c r="MN448" s="48"/>
      <c r="MO448" s="48"/>
      <c r="MQ448" s="90" t="s">
        <v>37</v>
      </c>
      <c r="MR448" s="90" t="s">
        <v>37</v>
      </c>
      <c r="MS448" s="90" t="s">
        <v>37</v>
      </c>
      <c r="MT448" s="48"/>
      <c r="MU448" s="90" t="s">
        <v>37</v>
      </c>
      <c r="MV448" s="90" t="s">
        <v>37</v>
      </c>
      <c r="MW448" s="90" t="s">
        <v>37</v>
      </c>
      <c r="MX448" s="48"/>
      <c r="MY448" s="48"/>
      <c r="MZ448" s="48"/>
      <c r="NC448" s="90" t="s">
        <v>37</v>
      </c>
      <c r="ND448" s="90" t="s">
        <v>37</v>
      </c>
      <c r="NE448" s="90" t="s">
        <v>37</v>
      </c>
      <c r="NF448" s="48"/>
      <c r="NG448" s="90" t="s">
        <v>37</v>
      </c>
      <c r="NH448" s="90" t="s">
        <v>37</v>
      </c>
      <c r="NI448" s="90" t="s">
        <v>37</v>
      </c>
      <c r="NJ448" s="48"/>
      <c r="NK448" s="48"/>
      <c r="NL448" s="48"/>
      <c r="NO448" s="90" t="s">
        <v>37</v>
      </c>
      <c r="NP448" s="90" t="s">
        <v>37</v>
      </c>
      <c r="NQ448" s="90" t="s">
        <v>37</v>
      </c>
      <c r="NR448" s="48"/>
      <c r="NS448" s="90" t="s">
        <v>37</v>
      </c>
      <c r="NT448" s="90" t="s">
        <v>37</v>
      </c>
      <c r="NU448" s="90" t="s">
        <v>37</v>
      </c>
      <c r="NV448" s="48"/>
      <c r="NW448" s="48"/>
      <c r="NX448" s="48"/>
      <c r="OA448" s="90" t="s">
        <v>37</v>
      </c>
      <c r="OB448" s="90" t="s">
        <v>37</v>
      </c>
      <c r="OC448" s="90" t="s">
        <v>37</v>
      </c>
      <c r="OE448" s="90" t="s">
        <v>37</v>
      </c>
      <c r="OF448" s="90" t="s">
        <v>37</v>
      </c>
      <c r="OG448" s="90" t="s">
        <v>37</v>
      </c>
      <c r="OM448" s="90" t="s">
        <v>37</v>
      </c>
      <c r="ON448" s="90" t="s">
        <v>37</v>
      </c>
      <c r="OO448" s="90" t="s">
        <v>37</v>
      </c>
      <c r="OP448" s="90" t="s">
        <v>37</v>
      </c>
      <c r="OQ448" s="90" t="s">
        <v>37</v>
      </c>
      <c r="OR448" s="90" t="s">
        <v>37</v>
      </c>
      <c r="OW448" s="90" t="s">
        <v>37</v>
      </c>
      <c r="OX448" s="90" t="s">
        <v>37</v>
      </c>
      <c r="OY448" s="91" t="s">
        <v>37</v>
      </c>
      <c r="OZ448" s="90" t="s">
        <v>37</v>
      </c>
      <c r="PA448" s="90" t="s">
        <v>37</v>
      </c>
      <c r="PB448" s="91" t="s">
        <v>37</v>
      </c>
      <c r="PC448" s="91"/>
      <c r="PD448" s="91"/>
      <c r="PG448" s="89" t="s">
        <v>37</v>
      </c>
      <c r="PH448" s="89" t="s">
        <v>37</v>
      </c>
      <c r="PI448" s="91" t="s">
        <v>37</v>
      </c>
      <c r="PJ448" s="89" t="s">
        <v>37</v>
      </c>
      <c r="PK448" s="89" t="s">
        <v>37</v>
      </c>
      <c r="PL448" s="91" t="s">
        <v>37</v>
      </c>
      <c r="PM448" s="91"/>
      <c r="PN448" s="91"/>
      <c r="PQ448" s="90" t="s">
        <v>37</v>
      </c>
      <c r="PR448" s="90" t="s">
        <v>37</v>
      </c>
      <c r="PS448" s="90" t="s">
        <v>37</v>
      </c>
      <c r="PT448" s="90" t="s">
        <v>37</v>
      </c>
      <c r="PU448" s="90" t="s">
        <v>37</v>
      </c>
      <c r="PV448" s="90" t="s">
        <v>37</v>
      </c>
      <c r="PZ448" s="90" t="s">
        <v>37</v>
      </c>
      <c r="QA448" s="90" t="s">
        <v>37</v>
      </c>
      <c r="QB448" s="89" t="s">
        <v>37</v>
      </c>
      <c r="QC448" s="48"/>
      <c r="QD448" s="90" t="s">
        <v>37</v>
      </c>
      <c r="QE448" s="90" t="s">
        <v>37</v>
      </c>
      <c r="QF448" s="90" t="s">
        <v>37</v>
      </c>
      <c r="QG448" s="48"/>
      <c r="QH448" s="48"/>
      <c r="QI448" s="48"/>
      <c r="QK448" s="90" t="s">
        <v>37</v>
      </c>
      <c r="QL448" s="90" t="s">
        <v>37</v>
      </c>
      <c r="QM448" s="90" t="s">
        <v>37</v>
      </c>
      <c r="QN448" s="90" t="s">
        <v>37</v>
      </c>
      <c r="QO448" s="90" t="s">
        <v>37</v>
      </c>
      <c r="QP448" s="90" t="s">
        <v>37</v>
      </c>
      <c r="QU448" s="90" t="s">
        <v>37</v>
      </c>
      <c r="QV448" s="90" t="s">
        <v>37</v>
      </c>
      <c r="QW448" s="90" t="s">
        <v>37</v>
      </c>
      <c r="QX448" s="90" t="s">
        <v>37</v>
      </c>
      <c r="QY448" s="90" t="s">
        <v>37</v>
      </c>
      <c r="QZ448" s="90" t="s">
        <v>37</v>
      </c>
      <c r="RA448" s="90" t="s">
        <v>42</v>
      </c>
      <c r="RB448" s="90" t="s">
        <v>345</v>
      </c>
      <c r="RC448" s="90">
        <v>1.02</v>
      </c>
      <c r="RD448" s="90">
        <v>0.12</v>
      </c>
      <c r="RE448" s="91">
        <v>3</v>
      </c>
      <c r="RF448" s="90">
        <v>4.05</v>
      </c>
      <c r="RG448" s="90">
        <v>0.36</v>
      </c>
      <c r="RH448" s="91">
        <v>3</v>
      </c>
      <c r="RI448" s="90" t="s">
        <v>42</v>
      </c>
      <c r="RJ448" s="90" t="s">
        <v>345</v>
      </c>
      <c r="RK448" s="90">
        <v>1.8</v>
      </c>
      <c r="RL448" s="90">
        <v>0.36</v>
      </c>
      <c r="RM448" s="89">
        <v>3</v>
      </c>
      <c r="RN448" s="90">
        <v>3.02</v>
      </c>
      <c r="RO448" s="90">
        <v>0.68</v>
      </c>
      <c r="RP448" s="89">
        <v>3</v>
      </c>
      <c r="RS448" s="90" t="s">
        <v>37</v>
      </c>
      <c r="RT448" s="90" t="s">
        <v>37</v>
      </c>
      <c r="RU448" s="90" t="s">
        <v>37</v>
      </c>
      <c r="RV448" s="90" t="s">
        <v>37</v>
      </c>
      <c r="RW448" s="90" t="s">
        <v>37</v>
      </c>
      <c r="RX448" s="90" t="s">
        <v>37</v>
      </c>
      <c r="SA448" s="90" t="s">
        <v>37</v>
      </c>
      <c r="SB448" s="90" t="s">
        <v>37</v>
      </c>
      <c r="SC448" s="90" t="s">
        <v>37</v>
      </c>
      <c r="SD448" s="90" t="s">
        <v>37</v>
      </c>
      <c r="SE448" s="90" t="s">
        <v>37</v>
      </c>
      <c r="SF448" s="90" t="s">
        <v>37</v>
      </c>
      <c r="SG448" s="90" t="s">
        <v>45</v>
      </c>
      <c r="SH448" s="90" t="s">
        <v>345</v>
      </c>
      <c r="SI448" s="90">
        <v>5.4</v>
      </c>
      <c r="SJ448" s="90">
        <v>0.36</v>
      </c>
      <c r="SK448" s="91">
        <v>3</v>
      </c>
      <c r="SL448" s="48">
        <f>SJ448/SI448</f>
        <v>6.6666666666666666E-2</v>
      </c>
      <c r="SM448" s="90">
        <v>5.9</v>
      </c>
      <c r="SN448" s="90">
        <v>0.69</v>
      </c>
      <c r="SO448" s="91">
        <v>3</v>
      </c>
      <c r="SP448" s="48">
        <f>SN448/SM448</f>
        <v>0.11694915254237287</v>
      </c>
      <c r="SQ448" s="48"/>
      <c r="SR448" s="48"/>
      <c r="SU448" s="90" t="s">
        <v>37</v>
      </c>
      <c r="SV448" s="90" t="s">
        <v>37</v>
      </c>
      <c r="SW448" s="89" t="s">
        <v>37</v>
      </c>
      <c r="SX448" s="90" t="s">
        <v>37</v>
      </c>
      <c r="SY448" s="90" t="s">
        <v>37</v>
      </c>
      <c r="SZ448" s="89" t="s">
        <v>37</v>
      </c>
      <c r="TA448" s="89"/>
      <c r="TB448" s="89"/>
      <c r="TE448" s="90" t="s">
        <v>37</v>
      </c>
      <c r="TF448" s="90" t="s">
        <v>37</v>
      </c>
      <c r="TG448" s="89" t="s">
        <v>37</v>
      </c>
      <c r="TH448" s="90" t="s">
        <v>37</v>
      </c>
      <c r="TI448" s="90" t="s">
        <v>37</v>
      </c>
      <c r="TJ448" s="89" t="s">
        <v>37</v>
      </c>
      <c r="TK448" s="89"/>
      <c r="TL448" s="89"/>
      <c r="TO448" s="90" t="s">
        <v>37</v>
      </c>
      <c r="TP448" s="90" t="s">
        <v>37</v>
      </c>
      <c r="TQ448" s="89" t="s">
        <v>37</v>
      </c>
      <c r="TR448" s="90" t="s">
        <v>37</v>
      </c>
      <c r="TS448" s="90" t="s">
        <v>37</v>
      </c>
      <c r="TT448" s="89" t="s">
        <v>37</v>
      </c>
      <c r="TU448" s="89"/>
      <c r="TV448" s="89"/>
      <c r="TY448" s="90" t="s">
        <v>37</v>
      </c>
      <c r="TZ448" s="90" t="s">
        <v>37</v>
      </c>
      <c r="UA448" s="90" t="s">
        <v>37</v>
      </c>
      <c r="UB448" s="90" t="s">
        <v>37</v>
      </c>
      <c r="UC448" s="90" t="s">
        <v>37</v>
      </c>
      <c r="UD448" s="90" t="s">
        <v>37</v>
      </c>
      <c r="UI448" s="90" t="s">
        <v>37</v>
      </c>
      <c r="UJ448" s="90" t="s">
        <v>37</v>
      </c>
      <c r="UK448" s="90" t="s">
        <v>37</v>
      </c>
      <c r="UL448" s="90" t="s">
        <v>37</v>
      </c>
      <c r="UM448" s="90" t="s">
        <v>37</v>
      </c>
      <c r="UN448" s="90" t="s">
        <v>37</v>
      </c>
      <c r="UR448" s="90" t="s">
        <v>37</v>
      </c>
      <c r="US448" s="90" t="s">
        <v>37</v>
      </c>
      <c r="UT448" s="90" t="s">
        <v>37</v>
      </c>
      <c r="UU448" s="90" t="s">
        <v>37</v>
      </c>
      <c r="UV448" s="90" t="s">
        <v>37</v>
      </c>
      <c r="UW448" s="90" t="s">
        <v>37</v>
      </c>
      <c r="VB448" s="90" t="s">
        <v>37</v>
      </c>
      <c r="VC448" s="90" t="s">
        <v>37</v>
      </c>
      <c r="VD448" s="90" t="s">
        <v>37</v>
      </c>
      <c r="VE448" s="90" t="s">
        <v>37</v>
      </c>
      <c r="VF448" s="90" t="s">
        <v>37</v>
      </c>
      <c r="VG448" s="90" t="s">
        <v>37</v>
      </c>
      <c r="VI448" s="90" t="s">
        <v>37</v>
      </c>
      <c r="VJ448" s="90" t="s">
        <v>37</v>
      </c>
      <c r="VK448" s="90" t="s">
        <v>37</v>
      </c>
      <c r="VL448" s="90" t="s">
        <v>37</v>
      </c>
      <c r="VM448" s="90" t="s">
        <v>37</v>
      </c>
      <c r="VN448" s="90" t="s">
        <v>37</v>
      </c>
      <c r="VQ448" s="91" t="s">
        <v>37</v>
      </c>
      <c r="VR448" s="91" t="s">
        <v>37</v>
      </c>
      <c r="VS448" s="91" t="s">
        <v>37</v>
      </c>
      <c r="VT448" s="91" t="s">
        <v>37</v>
      </c>
      <c r="VU448" s="91" t="s">
        <v>37</v>
      </c>
      <c r="VV448" s="91" t="s">
        <v>37</v>
      </c>
      <c r="VW448" s="91"/>
      <c r="VX448" s="91"/>
      <c r="WA448" s="91" t="s">
        <v>37</v>
      </c>
      <c r="WB448" s="91" t="s">
        <v>37</v>
      </c>
      <c r="WC448" s="91" t="s">
        <v>37</v>
      </c>
      <c r="WD448" s="91" t="s">
        <v>37</v>
      </c>
      <c r="WE448" s="91" t="s">
        <v>37</v>
      </c>
      <c r="WF448" s="91" t="s">
        <v>37</v>
      </c>
    </row>
    <row r="449" spans="1:604" s="90" customFormat="1" ht="18.75" customHeight="1" x14ac:dyDescent="0.3">
      <c r="A449" s="89">
        <v>107</v>
      </c>
      <c r="B449" s="84" t="s">
        <v>987</v>
      </c>
      <c r="C449" s="90" t="s">
        <v>26</v>
      </c>
      <c r="D449" s="84" t="s">
        <v>54</v>
      </c>
      <c r="E449" s="88">
        <v>5</v>
      </c>
      <c r="F449" s="88">
        <v>0</v>
      </c>
      <c r="G449" s="88">
        <v>0</v>
      </c>
      <c r="H449" s="90" t="s">
        <v>136</v>
      </c>
      <c r="I449" s="84">
        <v>47.8</v>
      </c>
      <c r="J449" s="99">
        <v>11.33</v>
      </c>
      <c r="K449" s="90" t="s">
        <v>1005</v>
      </c>
      <c r="L449" s="90" t="s">
        <v>1006</v>
      </c>
      <c r="M449" s="91">
        <v>590</v>
      </c>
      <c r="N449" s="88">
        <v>9.6</v>
      </c>
      <c r="O449" s="88">
        <v>1092</v>
      </c>
      <c r="P449" s="84" t="s">
        <v>16</v>
      </c>
      <c r="Q449" s="92">
        <v>44</v>
      </c>
      <c r="R449" s="11" t="s">
        <v>1000</v>
      </c>
      <c r="S449" s="90" t="s">
        <v>93</v>
      </c>
      <c r="T449" s="90" t="s">
        <v>141</v>
      </c>
      <c r="U449" s="90" t="s">
        <v>158</v>
      </c>
      <c r="V449" s="90" t="s">
        <v>275</v>
      </c>
      <c r="W449" s="93" t="s">
        <v>988</v>
      </c>
      <c r="X449" s="90" t="s">
        <v>49</v>
      </c>
      <c r="Y449" s="90" t="s">
        <v>37</v>
      </c>
      <c r="Z449" s="90" t="s">
        <v>37</v>
      </c>
      <c r="AA449" s="94" t="s">
        <v>345</v>
      </c>
      <c r="AB449" s="90">
        <v>3.9</v>
      </c>
      <c r="AC449" s="90" t="s">
        <v>42</v>
      </c>
      <c r="AD449" s="94" t="s">
        <v>345</v>
      </c>
      <c r="AE449" s="90">
        <v>498</v>
      </c>
      <c r="AF449" s="90" t="s">
        <v>42</v>
      </c>
      <c r="AG449" s="94" t="s">
        <v>345</v>
      </c>
      <c r="AH449" s="90">
        <v>13</v>
      </c>
      <c r="AJ449" s="90" t="s">
        <v>501</v>
      </c>
      <c r="AK449" s="48">
        <v>38.307692307692307</v>
      </c>
      <c r="AL449" s="94" t="s">
        <v>990</v>
      </c>
      <c r="AM449" s="90" t="s">
        <v>344</v>
      </c>
      <c r="AN449" s="94"/>
      <c r="AO449" s="90" t="s">
        <v>37</v>
      </c>
      <c r="AP449" s="95" t="s">
        <v>370</v>
      </c>
      <c r="AQ449" s="90" t="s">
        <v>302</v>
      </c>
      <c r="AR449" s="90" t="s">
        <v>42</v>
      </c>
      <c r="AS449" s="94" t="s">
        <v>345</v>
      </c>
      <c r="AT449" s="90">
        <v>498</v>
      </c>
      <c r="AU449" s="104">
        <f>AT449*AW$474</f>
        <v>42.592518236555321</v>
      </c>
      <c r="AV449" s="91">
        <v>3</v>
      </c>
      <c r="AW449" s="48"/>
      <c r="AX449" s="90">
        <v>502</v>
      </c>
      <c r="AY449" s="104">
        <f>AX449*BA$474</f>
        <v>35.446428783924468</v>
      </c>
      <c r="AZ449" s="91">
        <v>3</v>
      </c>
      <c r="BA449" s="91"/>
      <c r="BB449" s="91"/>
      <c r="BC449" s="91"/>
      <c r="BD449" s="94"/>
      <c r="BE449" s="95" t="s">
        <v>37</v>
      </c>
      <c r="BF449" s="95" t="s">
        <v>37</v>
      </c>
      <c r="BG449" s="95" t="s">
        <v>37</v>
      </c>
      <c r="BH449" s="95"/>
      <c r="BI449" s="95" t="s">
        <v>37</v>
      </c>
      <c r="BJ449" s="95" t="s">
        <v>37</v>
      </c>
      <c r="BK449" s="95" t="s">
        <v>37</v>
      </c>
      <c r="BL449" s="95"/>
      <c r="BM449" s="95"/>
      <c r="BN449" s="95"/>
      <c r="BO449" s="95"/>
      <c r="BP449" s="95" t="s">
        <v>37</v>
      </c>
      <c r="BQ449" s="95" t="s">
        <v>37</v>
      </c>
      <c r="BR449" s="95" t="s">
        <v>37</v>
      </c>
      <c r="BS449" s="95"/>
      <c r="BT449" s="95" t="s">
        <v>37</v>
      </c>
      <c r="BU449" s="95" t="s">
        <v>37</v>
      </c>
      <c r="BV449" s="95" t="s">
        <v>37</v>
      </c>
      <c r="BW449" s="95"/>
      <c r="BX449" s="95"/>
      <c r="BY449" s="91"/>
      <c r="BZ449" s="90" t="s">
        <v>47</v>
      </c>
      <c r="CA449" s="90">
        <f>-999*10^4/10^3*44/12</f>
        <v>-36630</v>
      </c>
      <c r="CB449" s="90">
        <v>4321</v>
      </c>
      <c r="CC449" s="91">
        <v>3</v>
      </c>
      <c r="CD449" s="48">
        <f t="shared" si="1754"/>
        <v>0.11796341796341796</v>
      </c>
      <c r="CE449" s="90">
        <f>-2066*10^4/10^3*44/12</f>
        <v>-75753.333333333328</v>
      </c>
      <c r="CF449" s="90">
        <v>7859</v>
      </c>
      <c r="CG449" s="91">
        <v>3</v>
      </c>
      <c r="CH449" s="48">
        <f t="shared" si="1755"/>
        <v>0.1037446096981431</v>
      </c>
      <c r="CI449" s="92">
        <f t="shared" si="1779"/>
        <v>-39123.333333333328</v>
      </c>
      <c r="CJ449" s="90">
        <f t="shared" si="1780"/>
        <v>6341.7238192781624</v>
      </c>
      <c r="CK449" s="96">
        <f t="shared" si="1781"/>
        <v>26811640.666666664</v>
      </c>
      <c r="CL449" s="96">
        <f t="shared" si="1782"/>
        <v>26811640.666666664</v>
      </c>
      <c r="CM449" s="90" t="s">
        <v>47</v>
      </c>
      <c r="CN449" s="90">
        <f>926*10^4/10^3*44/12</f>
        <v>33953.333333333336</v>
      </c>
      <c r="CO449" s="90">
        <v>4126</v>
      </c>
      <c r="CP449" s="91">
        <v>3</v>
      </c>
      <c r="CQ449" s="48">
        <f t="shared" si="1759"/>
        <v>0.12151973296681719</v>
      </c>
      <c r="CR449" s="90">
        <f>1766*10^4/10^3*44/12</f>
        <v>64753.333333333336</v>
      </c>
      <c r="CS449" s="90">
        <v>9463</v>
      </c>
      <c r="CT449" s="91">
        <v>3</v>
      </c>
      <c r="CU449" s="48">
        <f t="shared" si="1760"/>
        <v>0.14613919489344177</v>
      </c>
      <c r="CV449" s="92">
        <f t="shared" si="1761"/>
        <v>30800</v>
      </c>
      <c r="CW449" s="90">
        <f t="shared" si="1762"/>
        <v>7299.7344129769544</v>
      </c>
      <c r="CX449" s="96">
        <f t="shared" si="1763"/>
        <v>35524081.666666664</v>
      </c>
      <c r="CY449" s="96">
        <f t="shared" si="1764"/>
        <v>35524081.666666664</v>
      </c>
      <c r="CZ449" s="90" t="s">
        <v>47</v>
      </c>
      <c r="DA449" s="90">
        <f>-73*10^4/10^3*44/12</f>
        <v>-2676.6666666666665</v>
      </c>
      <c r="DB449" s="90">
        <v>563</v>
      </c>
      <c r="DC449" s="91">
        <v>3</v>
      </c>
      <c r="DD449" s="48">
        <f t="shared" si="1783"/>
        <v>0.21033623910336241</v>
      </c>
      <c r="DE449" s="90">
        <f>-300*10^4/10^3*44/12</f>
        <v>-11000</v>
      </c>
      <c r="DF449" s="90">
        <v>2602</v>
      </c>
      <c r="DG449" s="91">
        <v>3</v>
      </c>
      <c r="DH449" s="48">
        <f t="shared" si="1765"/>
        <v>0.23654545454545456</v>
      </c>
      <c r="DI449" s="48">
        <f t="shared" si="1784"/>
        <v>-8323.3333333333339</v>
      </c>
      <c r="DJ449" s="90">
        <f t="shared" si="1766"/>
        <v>1882.4681936224049</v>
      </c>
      <c r="DK449" s="96">
        <f t="shared" si="1767"/>
        <v>2362457.6666666665</v>
      </c>
      <c r="DL449" s="96">
        <f t="shared" si="1768"/>
        <v>2362457.666666667</v>
      </c>
      <c r="DM449" s="89"/>
      <c r="DN449" s="90" t="s">
        <v>37</v>
      </c>
      <c r="DO449" s="90" t="s">
        <v>37</v>
      </c>
      <c r="DP449" s="91" t="s">
        <v>37</v>
      </c>
      <c r="DQ449" s="91"/>
      <c r="DR449" s="90" t="s">
        <v>37</v>
      </c>
      <c r="DS449" s="90" t="s">
        <v>37</v>
      </c>
      <c r="DT449" s="91" t="s">
        <v>37</v>
      </c>
      <c r="DU449" s="48"/>
      <c r="DV449" s="48"/>
      <c r="DW449" s="48"/>
      <c r="DX449" s="96"/>
      <c r="DY449" s="96"/>
      <c r="DZ449" s="89"/>
      <c r="EA449" s="101" t="s">
        <v>37</v>
      </c>
      <c r="EB449" s="101" t="s">
        <v>37</v>
      </c>
      <c r="EC449" s="101" t="s">
        <v>37</v>
      </c>
      <c r="ED449" s="101"/>
      <c r="EE449" s="101" t="s">
        <v>37</v>
      </c>
      <c r="EF449" s="101" t="s">
        <v>37</v>
      </c>
      <c r="EG449" s="101" t="s">
        <v>37</v>
      </c>
      <c r="EH449" s="91"/>
      <c r="EI449" s="91"/>
      <c r="EJ449" s="91"/>
      <c r="EK449" s="91"/>
      <c r="EL449" s="91"/>
      <c r="EM449" s="90" t="s">
        <v>39</v>
      </c>
      <c r="EN449" s="90">
        <v>-7</v>
      </c>
      <c r="EO449" s="90">
        <v>4</v>
      </c>
      <c r="EP449" s="91">
        <v>3</v>
      </c>
      <c r="EQ449" s="48">
        <f t="shared" si="1769"/>
        <v>0.5714285714285714</v>
      </c>
      <c r="ER449" s="90">
        <v>-22.6</v>
      </c>
      <c r="ES449" s="90">
        <v>5.6</v>
      </c>
      <c r="ET449" s="91">
        <v>3</v>
      </c>
      <c r="EU449" s="48">
        <f t="shared" si="1785"/>
        <v>0.247787610619469</v>
      </c>
      <c r="EV449" s="90">
        <f>ER449-EN449</f>
        <v>-15.600000000000001</v>
      </c>
      <c r="EW449" s="90">
        <f t="shared" si="1786"/>
        <v>4.8662100242385753</v>
      </c>
      <c r="EX449" s="48">
        <f t="shared" si="1787"/>
        <v>15.786666666666665</v>
      </c>
      <c r="EY449" s="48">
        <f t="shared" si="1788"/>
        <v>15.786666666666665</v>
      </c>
      <c r="FB449" s="90" t="s">
        <v>37</v>
      </c>
      <c r="FC449" s="90" t="s">
        <v>37</v>
      </c>
      <c r="FD449" s="89" t="s">
        <v>37</v>
      </c>
      <c r="FE449" s="90" t="s">
        <v>37</v>
      </c>
      <c r="FF449" s="100" t="s">
        <v>37</v>
      </c>
      <c r="FG449" s="89" t="s">
        <v>37</v>
      </c>
      <c r="FH449" s="94"/>
      <c r="FI449" s="90" t="s">
        <v>37</v>
      </c>
      <c r="FJ449" s="90" t="s">
        <v>37</v>
      </c>
      <c r="FK449" s="89" t="s">
        <v>37</v>
      </c>
      <c r="FL449" s="91" t="s">
        <v>37</v>
      </c>
      <c r="FM449" s="89" t="s">
        <v>37</v>
      </c>
      <c r="FN449" s="89" t="s">
        <v>37</v>
      </c>
      <c r="FO449" s="94"/>
      <c r="FP449" s="90" t="s">
        <v>37</v>
      </c>
      <c r="FQ449" s="90" t="s">
        <v>37</v>
      </c>
      <c r="FR449" s="89" t="s">
        <v>37</v>
      </c>
      <c r="FS449" s="91" t="s">
        <v>37</v>
      </c>
      <c r="FT449" s="89" t="s">
        <v>37</v>
      </c>
      <c r="FU449" s="89" t="s">
        <v>37</v>
      </c>
      <c r="FV449" s="94"/>
      <c r="FW449" s="90" t="s">
        <v>37</v>
      </c>
      <c r="FX449" s="90" t="s">
        <v>37</v>
      </c>
      <c r="FY449" s="89" t="s">
        <v>37</v>
      </c>
      <c r="FZ449" s="91" t="s">
        <v>37</v>
      </c>
      <c r="GA449" s="89" t="s">
        <v>37</v>
      </c>
      <c r="GB449" s="89" t="s">
        <v>37</v>
      </c>
      <c r="GC449" s="90" t="s">
        <v>101</v>
      </c>
      <c r="GD449" s="90" t="s">
        <v>330</v>
      </c>
      <c r="GE449" s="90">
        <v>74.599999999999994</v>
      </c>
      <c r="GF449" s="90">
        <v>3.2</v>
      </c>
      <c r="GG449" s="91">
        <v>3</v>
      </c>
      <c r="GH449" s="48">
        <f t="shared" si="1773"/>
        <v>4.2895442359249338E-2</v>
      </c>
      <c r="GI449" s="90">
        <v>69.5</v>
      </c>
      <c r="GJ449" s="90">
        <v>6.1</v>
      </c>
      <c r="GK449" s="91">
        <v>3</v>
      </c>
      <c r="GL449" s="48">
        <f t="shared" si="1774"/>
        <v>8.776978417266186E-2</v>
      </c>
      <c r="GM449" s="48">
        <f t="shared" si="1789"/>
        <v>-7.0813754638968648E-2</v>
      </c>
      <c r="GN449" s="48">
        <f t="shared" si="1790"/>
        <v>3.1811846629704425E-3</v>
      </c>
      <c r="GO449" s="90" t="s">
        <v>660</v>
      </c>
      <c r="GP449" s="90" t="s">
        <v>330</v>
      </c>
      <c r="GQ449" s="90">
        <v>8.9</v>
      </c>
      <c r="GR449" s="90">
        <v>0.6</v>
      </c>
      <c r="GS449" s="91">
        <v>3</v>
      </c>
      <c r="GT449" s="48">
        <f t="shared" si="1776"/>
        <v>6.741573033707865E-2</v>
      </c>
      <c r="GU449" s="90">
        <v>9.1999999999999993</v>
      </c>
      <c r="GV449" s="90">
        <v>0.6</v>
      </c>
      <c r="GW449" s="91">
        <v>3</v>
      </c>
      <c r="GX449" s="48">
        <f t="shared" si="1777"/>
        <v>6.5217391304347824E-2</v>
      </c>
      <c r="GY449" s="48">
        <f t="shared" si="1791"/>
        <v>3.3152207316900335E-2</v>
      </c>
      <c r="GZ449" s="48">
        <f t="shared" si="1792"/>
        <v>2.9327296084753767E-3</v>
      </c>
      <c r="HA449" s="97"/>
      <c r="HB449" s="98"/>
      <c r="HC449" s="90" t="s">
        <v>37</v>
      </c>
      <c r="HD449" s="90" t="s">
        <v>37</v>
      </c>
      <c r="HE449" s="90" t="s">
        <v>37</v>
      </c>
      <c r="HF449" s="48"/>
      <c r="HG449" s="90" t="s">
        <v>37</v>
      </c>
      <c r="HH449" s="90" t="s">
        <v>37</v>
      </c>
      <c r="HI449" s="90" t="s">
        <v>37</v>
      </c>
      <c r="HJ449" s="48"/>
      <c r="HK449" s="48"/>
      <c r="HL449" s="48"/>
      <c r="HM449" s="98"/>
      <c r="HN449" s="90" t="s">
        <v>37</v>
      </c>
      <c r="HO449" s="90" t="s">
        <v>37</v>
      </c>
      <c r="HP449" s="91" t="s">
        <v>37</v>
      </c>
      <c r="HQ449" s="91"/>
      <c r="HR449" s="90" t="s">
        <v>37</v>
      </c>
      <c r="HS449" s="90" t="s">
        <v>37</v>
      </c>
      <c r="HT449" s="91" t="s">
        <v>37</v>
      </c>
      <c r="HU449" s="48"/>
      <c r="HV449" s="48"/>
      <c r="HW449" s="48"/>
      <c r="HX449" s="98"/>
      <c r="HY449" s="90" t="s">
        <v>37</v>
      </c>
      <c r="HZ449" s="90" t="s">
        <v>37</v>
      </c>
      <c r="IA449" s="91" t="s">
        <v>37</v>
      </c>
      <c r="IB449" s="91"/>
      <c r="IC449" s="90" t="s">
        <v>37</v>
      </c>
      <c r="ID449" s="90" t="s">
        <v>37</v>
      </c>
      <c r="IE449" s="91" t="s">
        <v>37</v>
      </c>
      <c r="IF449" s="48"/>
      <c r="IG449" s="48"/>
      <c r="IH449" s="48"/>
      <c r="IK449" s="90" t="s">
        <v>37</v>
      </c>
      <c r="IL449" s="90" t="s">
        <v>37</v>
      </c>
      <c r="IM449" s="90" t="s">
        <v>37</v>
      </c>
      <c r="IN449" s="48"/>
      <c r="IO449" s="90" t="s">
        <v>37</v>
      </c>
      <c r="IP449" s="90" t="s">
        <v>37</v>
      </c>
      <c r="IQ449" s="90" t="s">
        <v>37</v>
      </c>
      <c r="IR449" s="48"/>
      <c r="IS449" s="48"/>
      <c r="IT449" s="48"/>
      <c r="IV449" s="94" t="s">
        <v>345</v>
      </c>
      <c r="IW449" s="90">
        <v>3.9</v>
      </c>
      <c r="IX449" s="90">
        <v>0.32</v>
      </c>
      <c r="IY449" s="91">
        <v>3</v>
      </c>
      <c r="IZ449" s="48">
        <f t="shared" si="1744"/>
        <v>8.2051282051282051E-2</v>
      </c>
      <c r="JA449" s="90">
        <v>4.2</v>
      </c>
      <c r="JB449" s="90">
        <v>0.35</v>
      </c>
      <c r="JC449" s="91">
        <v>3</v>
      </c>
      <c r="JD449" s="48">
        <f t="shared" si="1793"/>
        <v>8.3333333333333329E-2</v>
      </c>
      <c r="JE449" s="48">
        <f t="shared" si="1794"/>
        <v>7.4107972153722043E-2</v>
      </c>
      <c r="JF449" s="48">
        <f t="shared" si="1795"/>
        <v>4.5589524435678281E-3</v>
      </c>
      <c r="JG449" s="94"/>
      <c r="JH449" s="90" t="s">
        <v>37</v>
      </c>
      <c r="JI449" s="90" t="s">
        <v>37</v>
      </c>
      <c r="JJ449" s="90" t="s">
        <v>37</v>
      </c>
      <c r="JK449" s="48"/>
      <c r="JL449" s="90" t="s">
        <v>37</v>
      </c>
      <c r="JM449" s="90" t="s">
        <v>37</v>
      </c>
      <c r="JN449" s="90" t="s">
        <v>37</v>
      </c>
      <c r="JO449" s="48"/>
      <c r="JP449" s="48"/>
      <c r="JQ449" s="48"/>
      <c r="JR449" s="94"/>
      <c r="JS449" s="90" t="s">
        <v>37</v>
      </c>
      <c r="JT449" s="90" t="s">
        <v>37</v>
      </c>
      <c r="JU449" s="90" t="s">
        <v>37</v>
      </c>
      <c r="JV449" s="48"/>
      <c r="JW449" s="90" t="s">
        <v>37</v>
      </c>
      <c r="JX449" s="90" t="s">
        <v>37</v>
      </c>
      <c r="JY449" s="90" t="s">
        <v>37</v>
      </c>
      <c r="JZ449" s="48"/>
      <c r="KA449" s="48"/>
      <c r="KB449" s="48"/>
      <c r="KE449" s="90" t="s">
        <v>37</v>
      </c>
      <c r="KF449" s="90" t="s">
        <v>37</v>
      </c>
      <c r="KG449" s="90" t="s">
        <v>37</v>
      </c>
      <c r="KH449" s="90" t="s">
        <v>37</v>
      </c>
      <c r="KI449" s="90" t="s">
        <v>37</v>
      </c>
      <c r="KJ449" s="90" t="s">
        <v>37</v>
      </c>
      <c r="KK449" s="90" t="s">
        <v>42</v>
      </c>
      <c r="KL449" s="94" t="s">
        <v>345</v>
      </c>
      <c r="KM449" s="90">
        <v>13</v>
      </c>
      <c r="KN449" s="90">
        <v>1</v>
      </c>
      <c r="KO449" s="91">
        <v>3</v>
      </c>
      <c r="KP449" s="48">
        <f t="shared" si="1746"/>
        <v>7.6923076923076927E-2</v>
      </c>
      <c r="KQ449" s="90">
        <v>23.1</v>
      </c>
      <c r="KR449" s="90">
        <v>2.6</v>
      </c>
      <c r="KS449" s="91">
        <v>3</v>
      </c>
      <c r="KT449" s="48">
        <f t="shared" si="1796"/>
        <v>0.11255411255411255</v>
      </c>
      <c r="KU449" s="48">
        <f t="shared" si="1797"/>
        <v>0.57488326006621115</v>
      </c>
      <c r="KV449" s="48">
        <f t="shared" si="1798"/>
        <v>6.1951960053858168E-3</v>
      </c>
      <c r="KW449" s="94"/>
      <c r="KX449" s="90" t="s">
        <v>37</v>
      </c>
      <c r="KY449" s="90" t="s">
        <v>37</v>
      </c>
      <c r="KZ449" s="91" t="s">
        <v>37</v>
      </c>
      <c r="LA449" s="48"/>
      <c r="LB449" s="90" t="s">
        <v>37</v>
      </c>
      <c r="LC449" s="90" t="s">
        <v>37</v>
      </c>
      <c r="LD449" s="91" t="s">
        <v>37</v>
      </c>
      <c r="LE449" s="48"/>
      <c r="LF449" s="48"/>
      <c r="LG449" s="48"/>
      <c r="LH449" s="94"/>
      <c r="LI449" s="90" t="s">
        <v>37</v>
      </c>
      <c r="LJ449" s="90" t="s">
        <v>37</v>
      </c>
      <c r="LK449" s="90" t="s">
        <v>37</v>
      </c>
      <c r="LL449" s="48"/>
      <c r="LM449" s="90" t="s">
        <v>37</v>
      </c>
      <c r="LN449" s="90" t="s">
        <v>37</v>
      </c>
      <c r="LO449" s="90" t="s">
        <v>37</v>
      </c>
      <c r="LP449" s="48"/>
      <c r="LQ449" s="48"/>
      <c r="LR449" s="48"/>
      <c r="LT449" s="90" t="str">
        <f t="shared" si="1799"/>
        <v>0-10</v>
      </c>
      <c r="LU449" s="90">
        <f t="shared" ref="LU449" si="1809">AT449/KM449</f>
        <v>38.307692307692307</v>
      </c>
      <c r="LV449" s="90">
        <f t="shared" si="1800"/>
        <v>4.4065590566737454</v>
      </c>
      <c r="LW449" s="91">
        <f t="shared" si="1801"/>
        <v>3</v>
      </c>
      <c r="LX449" s="48">
        <f t="shared" si="1802"/>
        <v>0.11503065810594115</v>
      </c>
      <c r="LY449" s="90">
        <f t="shared" si="1803"/>
        <v>21.731601731601732</v>
      </c>
      <c r="LZ449" s="90">
        <f t="shared" si="1804"/>
        <v>2.8874633809070112</v>
      </c>
      <c r="MA449" s="91">
        <f t="shared" si="1805"/>
        <v>3</v>
      </c>
      <c r="MB449" s="48">
        <f t="shared" si="1806"/>
        <v>0.13286933087440628</v>
      </c>
      <c r="MC449" s="48">
        <f t="shared" si="1807"/>
        <v>-0.56688321739913483</v>
      </c>
      <c r="MD449" s="48">
        <f t="shared" si="1808"/>
        <v>1.0295437130432794E-2</v>
      </c>
      <c r="MF449" s="90" t="s">
        <v>37</v>
      </c>
      <c r="MG449" s="90" t="s">
        <v>37</v>
      </c>
      <c r="MH449" s="90" t="s">
        <v>37</v>
      </c>
      <c r="MI449" s="48"/>
      <c r="MJ449" s="90" t="s">
        <v>37</v>
      </c>
      <c r="MK449" s="90" t="s">
        <v>37</v>
      </c>
      <c r="ML449" s="90" t="s">
        <v>37</v>
      </c>
      <c r="MM449" s="48"/>
      <c r="MN449" s="48"/>
      <c r="MO449" s="48"/>
      <c r="MQ449" s="90" t="s">
        <v>37</v>
      </c>
      <c r="MR449" s="90" t="s">
        <v>37</v>
      </c>
      <c r="MS449" s="90" t="s">
        <v>37</v>
      </c>
      <c r="MT449" s="48"/>
      <c r="MU449" s="90" t="s">
        <v>37</v>
      </c>
      <c r="MV449" s="90" t="s">
        <v>37</v>
      </c>
      <c r="MW449" s="90" t="s">
        <v>37</v>
      </c>
      <c r="MX449" s="48"/>
      <c r="MY449" s="48"/>
      <c r="MZ449" s="48"/>
      <c r="NC449" s="90" t="s">
        <v>37</v>
      </c>
      <c r="ND449" s="90" t="s">
        <v>37</v>
      </c>
      <c r="NE449" s="90" t="s">
        <v>37</v>
      </c>
      <c r="NF449" s="48"/>
      <c r="NG449" s="90" t="s">
        <v>37</v>
      </c>
      <c r="NH449" s="90" t="s">
        <v>37</v>
      </c>
      <c r="NI449" s="90" t="s">
        <v>37</v>
      </c>
      <c r="NJ449" s="48"/>
      <c r="NK449" s="48"/>
      <c r="NL449" s="48"/>
      <c r="NO449" s="90" t="s">
        <v>37</v>
      </c>
      <c r="NP449" s="90" t="s">
        <v>37</v>
      </c>
      <c r="NQ449" s="90" t="s">
        <v>37</v>
      </c>
      <c r="NR449" s="48"/>
      <c r="NS449" s="90" t="s">
        <v>37</v>
      </c>
      <c r="NT449" s="90" t="s">
        <v>37</v>
      </c>
      <c r="NU449" s="90" t="s">
        <v>37</v>
      </c>
      <c r="NV449" s="48"/>
      <c r="NW449" s="48"/>
      <c r="NX449" s="48"/>
      <c r="OA449" s="90" t="s">
        <v>37</v>
      </c>
      <c r="OB449" s="90" t="s">
        <v>37</v>
      </c>
      <c r="OC449" s="90" t="s">
        <v>37</v>
      </c>
      <c r="OE449" s="90" t="s">
        <v>37</v>
      </c>
      <c r="OF449" s="90" t="s">
        <v>37</v>
      </c>
      <c r="OG449" s="90" t="s">
        <v>37</v>
      </c>
      <c r="OM449" s="90" t="s">
        <v>37</v>
      </c>
      <c r="ON449" s="90" t="s">
        <v>37</v>
      </c>
      <c r="OO449" s="90" t="s">
        <v>37</v>
      </c>
      <c r="OP449" s="90" t="s">
        <v>37</v>
      </c>
      <c r="OQ449" s="90" t="s">
        <v>37</v>
      </c>
      <c r="OR449" s="90" t="s">
        <v>37</v>
      </c>
      <c r="OW449" s="90" t="s">
        <v>37</v>
      </c>
      <c r="OX449" s="90" t="s">
        <v>37</v>
      </c>
      <c r="OY449" s="91" t="s">
        <v>37</v>
      </c>
      <c r="OZ449" s="90" t="s">
        <v>37</v>
      </c>
      <c r="PA449" s="90" t="s">
        <v>37</v>
      </c>
      <c r="PB449" s="91" t="s">
        <v>37</v>
      </c>
      <c r="PC449" s="91"/>
      <c r="PD449" s="91"/>
      <c r="PG449" s="89" t="s">
        <v>37</v>
      </c>
      <c r="PH449" s="89" t="s">
        <v>37</v>
      </c>
      <c r="PI449" s="91" t="s">
        <v>37</v>
      </c>
      <c r="PJ449" s="89" t="s">
        <v>37</v>
      </c>
      <c r="PK449" s="89" t="s">
        <v>37</v>
      </c>
      <c r="PL449" s="91" t="s">
        <v>37</v>
      </c>
      <c r="PM449" s="91"/>
      <c r="PN449" s="91"/>
      <c r="PQ449" s="90" t="s">
        <v>37</v>
      </c>
      <c r="PR449" s="90" t="s">
        <v>37</v>
      </c>
      <c r="PS449" s="90" t="s">
        <v>37</v>
      </c>
      <c r="PT449" s="90" t="s">
        <v>37</v>
      </c>
      <c r="PU449" s="90" t="s">
        <v>37</v>
      </c>
      <c r="PV449" s="90" t="s">
        <v>37</v>
      </c>
      <c r="PZ449" s="90" t="s">
        <v>37</v>
      </c>
      <c r="QA449" s="90" t="s">
        <v>37</v>
      </c>
      <c r="QB449" s="89" t="s">
        <v>37</v>
      </c>
      <c r="QC449" s="48"/>
      <c r="QD449" s="90" t="s">
        <v>37</v>
      </c>
      <c r="QE449" s="90" t="s">
        <v>37</v>
      </c>
      <c r="QF449" s="90" t="s">
        <v>37</v>
      </c>
      <c r="QG449" s="48"/>
      <c r="QH449" s="48"/>
      <c r="QI449" s="48"/>
      <c r="QK449" s="90" t="s">
        <v>37</v>
      </c>
      <c r="QL449" s="90" t="s">
        <v>37</v>
      </c>
      <c r="QM449" s="90" t="s">
        <v>37</v>
      </c>
      <c r="QN449" s="90" t="s">
        <v>37</v>
      </c>
      <c r="QO449" s="90" t="s">
        <v>37</v>
      </c>
      <c r="QP449" s="90" t="s">
        <v>37</v>
      </c>
      <c r="QU449" s="90" t="s">
        <v>37</v>
      </c>
      <c r="QV449" s="90" t="s">
        <v>37</v>
      </c>
      <c r="QW449" s="90" t="s">
        <v>37</v>
      </c>
      <c r="QX449" s="90" t="s">
        <v>37</v>
      </c>
      <c r="QY449" s="90" t="s">
        <v>37</v>
      </c>
      <c r="QZ449" s="90" t="s">
        <v>37</v>
      </c>
      <c r="RA449" s="90" t="s">
        <v>42</v>
      </c>
      <c r="RB449" s="90" t="s">
        <v>345</v>
      </c>
      <c r="RC449" s="90">
        <v>1.02</v>
      </c>
      <c r="RD449" s="90">
        <v>0.12</v>
      </c>
      <c r="RE449" s="91">
        <v>3</v>
      </c>
      <c r="RF449" s="90">
        <v>4.05</v>
      </c>
      <c r="RG449" s="90">
        <v>0.36</v>
      </c>
      <c r="RH449" s="91">
        <v>3</v>
      </c>
      <c r="RI449" s="90" t="s">
        <v>42</v>
      </c>
      <c r="RJ449" s="90" t="s">
        <v>345</v>
      </c>
      <c r="RK449" s="90">
        <v>1.8</v>
      </c>
      <c r="RL449" s="90">
        <v>0.36</v>
      </c>
      <c r="RM449" s="89">
        <v>3</v>
      </c>
      <c r="RN449" s="90">
        <v>3.02</v>
      </c>
      <c r="RO449" s="90">
        <v>0.68</v>
      </c>
      <c r="RP449" s="89">
        <v>3</v>
      </c>
      <c r="RS449" s="90" t="s">
        <v>37</v>
      </c>
      <c r="RT449" s="90" t="s">
        <v>37</v>
      </c>
      <c r="RU449" s="90" t="s">
        <v>37</v>
      </c>
      <c r="RV449" s="90" t="s">
        <v>37</v>
      </c>
      <c r="RW449" s="90" t="s">
        <v>37</v>
      </c>
      <c r="RX449" s="90" t="s">
        <v>37</v>
      </c>
      <c r="SA449" s="90" t="s">
        <v>37</v>
      </c>
      <c r="SB449" s="90" t="s">
        <v>37</v>
      </c>
      <c r="SC449" s="90" t="s">
        <v>37</v>
      </c>
      <c r="SD449" s="90" t="s">
        <v>37</v>
      </c>
      <c r="SE449" s="90" t="s">
        <v>37</v>
      </c>
      <c r="SF449" s="90" t="s">
        <v>37</v>
      </c>
      <c r="SG449" s="90" t="s">
        <v>45</v>
      </c>
      <c r="SH449" s="90" t="s">
        <v>345</v>
      </c>
      <c r="SI449" s="90">
        <v>5.4</v>
      </c>
      <c r="SJ449" s="90">
        <v>0.36</v>
      </c>
      <c r="SK449" s="91">
        <v>3</v>
      </c>
      <c r="SL449" s="48">
        <f>SJ449/SI449</f>
        <v>6.6666666666666666E-2</v>
      </c>
      <c r="SM449" s="90">
        <v>5.9</v>
      </c>
      <c r="SN449" s="90">
        <v>0.69</v>
      </c>
      <c r="SO449" s="91">
        <v>3</v>
      </c>
      <c r="SP449" s="48">
        <f>SN449/SM449</f>
        <v>0.11694915254237287</v>
      </c>
      <c r="SQ449" s="91"/>
      <c r="SR449" s="91"/>
      <c r="SU449" s="90" t="s">
        <v>37</v>
      </c>
      <c r="SV449" s="90" t="s">
        <v>37</v>
      </c>
      <c r="SW449" s="89" t="s">
        <v>37</v>
      </c>
      <c r="SX449" s="90" t="s">
        <v>37</v>
      </c>
      <c r="SY449" s="90" t="s">
        <v>37</v>
      </c>
      <c r="SZ449" s="89" t="s">
        <v>37</v>
      </c>
      <c r="TA449" s="89"/>
      <c r="TB449" s="89"/>
      <c r="TE449" s="90" t="s">
        <v>37</v>
      </c>
      <c r="TF449" s="90" t="s">
        <v>37</v>
      </c>
      <c r="TG449" s="89" t="s">
        <v>37</v>
      </c>
      <c r="TH449" s="90" t="s">
        <v>37</v>
      </c>
      <c r="TI449" s="90" t="s">
        <v>37</v>
      </c>
      <c r="TJ449" s="89" t="s">
        <v>37</v>
      </c>
      <c r="TK449" s="89"/>
      <c r="TL449" s="89"/>
      <c r="TO449" s="90" t="s">
        <v>37</v>
      </c>
      <c r="TP449" s="90" t="s">
        <v>37</v>
      </c>
      <c r="TQ449" s="89" t="s">
        <v>37</v>
      </c>
      <c r="TR449" s="90" t="s">
        <v>37</v>
      </c>
      <c r="TS449" s="90" t="s">
        <v>37</v>
      </c>
      <c r="TT449" s="89" t="s">
        <v>37</v>
      </c>
      <c r="TU449" s="89"/>
      <c r="TV449" s="89"/>
      <c r="TY449" s="90" t="s">
        <v>37</v>
      </c>
      <c r="TZ449" s="90" t="s">
        <v>37</v>
      </c>
      <c r="UA449" s="90" t="s">
        <v>37</v>
      </c>
      <c r="UB449" s="90" t="s">
        <v>37</v>
      </c>
      <c r="UC449" s="90" t="s">
        <v>37</v>
      </c>
      <c r="UD449" s="90" t="s">
        <v>37</v>
      </c>
      <c r="UI449" s="90" t="s">
        <v>37</v>
      </c>
      <c r="UJ449" s="90" t="s">
        <v>37</v>
      </c>
      <c r="UK449" s="90" t="s">
        <v>37</v>
      </c>
      <c r="UL449" s="90" t="s">
        <v>37</v>
      </c>
      <c r="UM449" s="90" t="s">
        <v>37</v>
      </c>
      <c r="UN449" s="90" t="s">
        <v>37</v>
      </c>
      <c r="UR449" s="90" t="s">
        <v>37</v>
      </c>
      <c r="US449" s="90" t="s">
        <v>37</v>
      </c>
      <c r="UT449" s="90" t="s">
        <v>37</v>
      </c>
      <c r="UU449" s="90" t="s">
        <v>37</v>
      </c>
      <c r="UV449" s="90" t="s">
        <v>37</v>
      </c>
      <c r="UW449" s="90" t="s">
        <v>37</v>
      </c>
      <c r="VB449" s="90" t="s">
        <v>37</v>
      </c>
      <c r="VC449" s="90" t="s">
        <v>37</v>
      </c>
      <c r="VD449" s="90" t="s">
        <v>37</v>
      </c>
      <c r="VE449" s="90" t="s">
        <v>37</v>
      </c>
      <c r="VF449" s="90" t="s">
        <v>37</v>
      </c>
      <c r="VG449" s="90" t="s">
        <v>37</v>
      </c>
      <c r="VI449" s="90" t="s">
        <v>37</v>
      </c>
      <c r="VJ449" s="90" t="s">
        <v>37</v>
      </c>
      <c r="VK449" s="90" t="s">
        <v>37</v>
      </c>
      <c r="VL449" s="90" t="s">
        <v>37</v>
      </c>
      <c r="VM449" s="90" t="s">
        <v>37</v>
      </c>
      <c r="VN449" s="90" t="s">
        <v>37</v>
      </c>
      <c r="VQ449" s="91" t="s">
        <v>37</v>
      </c>
      <c r="VR449" s="91" t="s">
        <v>37</v>
      </c>
      <c r="VS449" s="91" t="s">
        <v>37</v>
      </c>
      <c r="VT449" s="91" t="s">
        <v>37</v>
      </c>
      <c r="VU449" s="91" t="s">
        <v>37</v>
      </c>
      <c r="VV449" s="91" t="s">
        <v>37</v>
      </c>
      <c r="VW449" s="91"/>
      <c r="VX449" s="91"/>
      <c r="WA449" s="91" t="s">
        <v>37</v>
      </c>
      <c r="WB449" s="91" t="s">
        <v>37</v>
      </c>
      <c r="WC449" s="91" t="s">
        <v>37</v>
      </c>
      <c r="WD449" s="91" t="s">
        <v>37</v>
      </c>
      <c r="WE449" s="91" t="s">
        <v>37</v>
      </c>
      <c r="WF449" s="91" t="s">
        <v>37</v>
      </c>
    </row>
    <row r="450" spans="1:604" s="90" customFormat="1" ht="18.75" customHeight="1" x14ac:dyDescent="0.3">
      <c r="A450" s="89">
        <v>108</v>
      </c>
      <c r="B450" s="84" t="s">
        <v>991</v>
      </c>
      <c r="C450" s="90" t="s">
        <v>26</v>
      </c>
      <c r="D450" s="90" t="s">
        <v>830</v>
      </c>
      <c r="E450" s="88">
        <v>2.5</v>
      </c>
      <c r="F450" s="88">
        <v>0</v>
      </c>
      <c r="G450" s="88">
        <v>0</v>
      </c>
      <c r="H450" s="90" t="s">
        <v>88</v>
      </c>
      <c r="I450" s="99">
        <v>-2.3199999999999998</v>
      </c>
      <c r="J450" s="99">
        <v>113.9</v>
      </c>
      <c r="K450" s="90" t="s">
        <v>379</v>
      </c>
      <c r="L450" s="90" t="s">
        <v>380</v>
      </c>
      <c r="M450" s="91" t="s">
        <v>37</v>
      </c>
      <c r="N450" s="88">
        <v>26.1</v>
      </c>
      <c r="O450" s="88">
        <v>2561</v>
      </c>
      <c r="P450" s="88" t="s">
        <v>89</v>
      </c>
      <c r="Q450" s="92">
        <v>8</v>
      </c>
      <c r="R450" s="11" t="s">
        <v>999</v>
      </c>
      <c r="S450" s="90" t="s">
        <v>105</v>
      </c>
      <c r="T450" s="90" t="s">
        <v>141</v>
      </c>
      <c r="U450" s="90" t="s">
        <v>158</v>
      </c>
      <c r="V450" s="90" t="s">
        <v>275</v>
      </c>
      <c r="W450" s="93" t="s">
        <v>381</v>
      </c>
      <c r="X450" s="90" t="s">
        <v>49</v>
      </c>
      <c r="Y450" s="90" t="s">
        <v>37</v>
      </c>
      <c r="Z450" s="90" t="s">
        <v>37</v>
      </c>
      <c r="AA450" s="94"/>
      <c r="AB450" s="90" t="s">
        <v>37</v>
      </c>
      <c r="AD450" s="94"/>
      <c r="AE450" s="90" t="s">
        <v>37</v>
      </c>
      <c r="AG450" s="94"/>
      <c r="AH450" s="90" t="s">
        <v>37</v>
      </c>
      <c r="AK450" s="90" t="s">
        <v>37</v>
      </c>
      <c r="AL450" s="94" t="s">
        <v>992</v>
      </c>
      <c r="AM450" s="90" t="s">
        <v>344</v>
      </c>
      <c r="AN450" s="94"/>
      <c r="AO450" s="90" t="s">
        <v>37</v>
      </c>
      <c r="AP450" s="90" t="s">
        <v>370</v>
      </c>
      <c r="AQ450" s="90" t="s">
        <v>849</v>
      </c>
      <c r="AS450" s="94"/>
      <c r="AT450" s="90" t="s">
        <v>326</v>
      </c>
      <c r="AU450" s="90" t="s">
        <v>326</v>
      </c>
      <c r="AV450" s="91" t="s">
        <v>326</v>
      </c>
      <c r="AW450" s="48"/>
      <c r="AX450" s="90" t="s">
        <v>326</v>
      </c>
      <c r="AY450" s="90" t="s">
        <v>326</v>
      </c>
      <c r="AZ450" s="91" t="s">
        <v>326</v>
      </c>
      <c r="BA450" s="48"/>
      <c r="BB450" s="48"/>
      <c r="BC450" s="48"/>
      <c r="BD450" s="94"/>
      <c r="BE450" s="90" t="s">
        <v>326</v>
      </c>
      <c r="BF450" s="90" t="s">
        <v>326</v>
      </c>
      <c r="BG450" s="90" t="s">
        <v>326</v>
      </c>
      <c r="BH450" s="48"/>
      <c r="BI450" s="90" t="s">
        <v>326</v>
      </c>
      <c r="BJ450" s="90" t="s">
        <v>326</v>
      </c>
      <c r="BK450" s="90" t="s">
        <v>326</v>
      </c>
      <c r="BL450" s="48"/>
      <c r="BM450" s="48"/>
      <c r="BN450" s="48"/>
      <c r="BP450" s="90" t="s">
        <v>37</v>
      </c>
      <c r="BQ450" s="90" t="s">
        <v>37</v>
      </c>
      <c r="BR450" s="91" t="s">
        <v>37</v>
      </c>
      <c r="BS450" s="48"/>
      <c r="BT450" s="90" t="s">
        <v>37</v>
      </c>
      <c r="BU450" s="90" t="s">
        <v>37</v>
      </c>
      <c r="BV450" s="90" t="s">
        <v>37</v>
      </c>
      <c r="BW450" s="48"/>
      <c r="BX450" s="48"/>
      <c r="BY450" s="48"/>
      <c r="BZ450" s="90" t="s">
        <v>47</v>
      </c>
      <c r="CA450" s="90">
        <f>-3578*10^4/10^3*44/12</f>
        <v>-131193.33333333334</v>
      </c>
      <c r="CB450" s="104">
        <f>ABS(CA450)*CD$474</f>
        <v>31986.307025712227</v>
      </c>
      <c r="CC450" s="91">
        <v>1</v>
      </c>
      <c r="CD450" s="91"/>
      <c r="CE450" s="90">
        <f>-4201*10^4/10^3*44/12</f>
        <v>-154036.66666666666</v>
      </c>
      <c r="CF450" s="104">
        <f>ABS(CE450)*CH$474</f>
        <v>57343.090719192958</v>
      </c>
      <c r="CG450" s="91">
        <v>1</v>
      </c>
      <c r="CH450" s="91"/>
      <c r="CI450" s="92">
        <f t="shared" si="1779"/>
        <v>-22843.333333333314</v>
      </c>
      <c r="CJ450" s="90" t="e">
        <f t="shared" si="1780"/>
        <v>#DIV/0!</v>
      </c>
      <c r="CK450" s="96" t="e">
        <f>(((CC450+CG450)/(CC450*CG450))*(((CC450-1)*CB450^2)+(CG450-1)*CF450^2)/(CC450+CG450-2))</f>
        <v>#DIV/0!</v>
      </c>
      <c r="CL450" s="96">
        <f t="shared" si="1782"/>
        <v>4311353890.3727207</v>
      </c>
      <c r="CM450" s="90" t="s">
        <v>47</v>
      </c>
      <c r="CN450" s="90">
        <f>4007*10^4/10^3*44/12</f>
        <v>146923.33333333334</v>
      </c>
      <c r="CO450" s="104">
        <f>ABS(CN450)*CQ$474</f>
        <v>42259.163069444774</v>
      </c>
      <c r="CP450" s="91">
        <v>1</v>
      </c>
      <c r="CQ450" s="91"/>
      <c r="CR450" s="90">
        <f>4810*10^4/10^3*44/12</f>
        <v>176366.66666666666</v>
      </c>
      <c r="CS450" s="104">
        <f>ABS(CR450)*CU$474</f>
        <v>46277.056013406785</v>
      </c>
      <c r="CT450" s="91">
        <v>1</v>
      </c>
      <c r="CU450" s="91"/>
      <c r="CV450" s="92">
        <f t="shared" si="1761"/>
        <v>29443.333333333314</v>
      </c>
      <c r="CW450" s="90" t="e">
        <f t="shared" si="1762"/>
        <v>#DIV/0!</v>
      </c>
      <c r="CX450" s="96" t="e">
        <f>(((CP450+CT450)/(CP450*CT450))*(((CP450-1)*CO450^2)+(CT450-1)*CS450^2)/(CP450+CT450-2))</f>
        <v>#DIV/0!</v>
      </c>
      <c r="CY450" s="96">
        <f t="shared" si="1764"/>
        <v>3927402776.5979142</v>
      </c>
      <c r="CZ450" s="90" t="s">
        <v>47</v>
      </c>
      <c r="DA450" s="90">
        <f>429*10^4/10^3*44/12</f>
        <v>15730</v>
      </c>
      <c r="DB450" s="104">
        <f>ABS(DA450)*DD$474</f>
        <v>47184.597668134105</v>
      </c>
      <c r="DC450" s="91">
        <v>1</v>
      </c>
      <c r="DD450" s="91"/>
      <c r="DE450" s="90">
        <f>609*10^4/10^3*44/12</f>
        <v>22330</v>
      </c>
      <c r="DF450" s="104">
        <f>ABS(DE450)*DH$474</f>
        <v>21283.678596713551</v>
      </c>
      <c r="DG450" s="91">
        <v>1</v>
      </c>
      <c r="DH450" s="91"/>
      <c r="DI450" s="48">
        <f t="shared" si="1784"/>
        <v>6600</v>
      </c>
      <c r="DJ450" s="90" t="e">
        <f t="shared" si="1766"/>
        <v>#DIV/0!</v>
      </c>
      <c r="DK450" s="96" t="e">
        <f>(((DC450+DG450)/(DC450*DG450))*(((DC450-1)*DB450^2)+(DG450-1)*DF450^2)/(DC450+DG450-2))</f>
        <v>#DIV/0!</v>
      </c>
      <c r="DL450" s="96">
        <f t="shared" si="1768"/>
        <v>2679381231.7118888</v>
      </c>
      <c r="DM450" s="89"/>
      <c r="DN450" s="90" t="s">
        <v>37</v>
      </c>
      <c r="DO450" s="90" t="s">
        <v>37</v>
      </c>
      <c r="DP450" s="91" t="s">
        <v>37</v>
      </c>
      <c r="DQ450" s="91"/>
      <c r="DR450" s="90" t="s">
        <v>37</v>
      </c>
      <c r="DS450" s="90" t="s">
        <v>37</v>
      </c>
      <c r="DT450" s="91" t="s">
        <v>37</v>
      </c>
      <c r="DU450" s="48"/>
      <c r="DV450" s="48"/>
      <c r="DW450" s="48"/>
      <c r="DX450" s="96"/>
      <c r="DY450" s="96"/>
      <c r="DZ450" s="89"/>
      <c r="EA450" s="101" t="s">
        <v>37</v>
      </c>
      <c r="EB450" s="101" t="s">
        <v>37</v>
      </c>
      <c r="EC450" s="101" t="s">
        <v>37</v>
      </c>
      <c r="ED450" s="101"/>
      <c r="EE450" s="101" t="s">
        <v>37</v>
      </c>
      <c r="EF450" s="101" t="s">
        <v>37</v>
      </c>
      <c r="EG450" s="101" t="s">
        <v>37</v>
      </c>
      <c r="EH450" s="91"/>
      <c r="EI450" s="91"/>
      <c r="EJ450" s="91"/>
      <c r="EK450" s="91"/>
      <c r="EL450" s="91"/>
      <c r="EM450" s="90" t="s">
        <v>39</v>
      </c>
      <c r="EN450" s="90">
        <v>-22</v>
      </c>
      <c r="EO450" s="50">
        <f>ABS(EN450)*EQ$474</f>
        <v>8.964920772528453</v>
      </c>
      <c r="EP450" s="91">
        <v>1</v>
      </c>
      <c r="EQ450" s="48"/>
      <c r="ER450" s="90">
        <v>-77</v>
      </c>
      <c r="ES450" s="50">
        <f>ABS(ER450)*EU$474</f>
        <v>17.46468212020795</v>
      </c>
      <c r="ET450" s="91">
        <v>1</v>
      </c>
      <c r="EU450" s="48"/>
      <c r="EV450" s="90">
        <f t="shared" ref="EV450:EV461" si="1810">ER450-EN450</f>
        <v>-55</v>
      </c>
      <c r="EW450" s="90" t="e">
        <f t="shared" ref="EW450:EW453" si="1811">SQRT(((EP450-1)*EO450^2+(ET450-1)*ES450^2)/(EP450+ET450-2))</f>
        <v>#DIV/0!</v>
      </c>
      <c r="EX450" s="48" t="e">
        <f t="shared" ref="EX450:EX453" si="1812">(((EP450+ET450)/(EP450*ET450))*(((EP450-1)*EO450^2)+(ET450-1)*ES450^2)/(EP450+ET450-2))</f>
        <v>#DIV/0!</v>
      </c>
      <c r="EY450" s="48">
        <f t="shared" ref="EY450:EY453" si="1813">(EO450^2/EP450)+(ES450^2/ET450)</f>
        <v>385.38492601762346</v>
      </c>
      <c r="FB450" s="90" t="s">
        <v>37</v>
      </c>
      <c r="FC450" s="90" t="s">
        <v>37</v>
      </c>
      <c r="FD450" s="89" t="s">
        <v>37</v>
      </c>
      <c r="FE450" s="90" t="s">
        <v>37</v>
      </c>
      <c r="FF450" s="100" t="s">
        <v>37</v>
      </c>
      <c r="FG450" s="89" t="s">
        <v>37</v>
      </c>
      <c r="FH450" s="94"/>
      <c r="FI450" s="90" t="s">
        <v>37</v>
      </c>
      <c r="FJ450" s="90" t="s">
        <v>37</v>
      </c>
      <c r="FK450" s="89" t="s">
        <v>37</v>
      </c>
      <c r="FL450" s="91" t="s">
        <v>37</v>
      </c>
      <c r="FM450" s="89" t="s">
        <v>37</v>
      </c>
      <c r="FN450" s="89" t="s">
        <v>37</v>
      </c>
      <c r="FO450" s="94"/>
      <c r="FP450" s="90" t="s">
        <v>37</v>
      </c>
      <c r="FQ450" s="90" t="s">
        <v>37</v>
      </c>
      <c r="FR450" s="89" t="s">
        <v>37</v>
      </c>
      <c r="FS450" s="91" t="s">
        <v>37</v>
      </c>
      <c r="FT450" s="89" t="s">
        <v>37</v>
      </c>
      <c r="FU450" s="89" t="s">
        <v>37</v>
      </c>
      <c r="FV450" s="94"/>
      <c r="FW450" s="90" t="s">
        <v>37</v>
      </c>
      <c r="FX450" s="90" t="s">
        <v>37</v>
      </c>
      <c r="FY450" s="89" t="s">
        <v>37</v>
      </c>
      <c r="FZ450" s="91" t="s">
        <v>37</v>
      </c>
      <c r="GA450" s="89" t="s">
        <v>37</v>
      </c>
      <c r="GB450" s="89" t="s">
        <v>37</v>
      </c>
      <c r="GE450" s="90" t="s">
        <v>37</v>
      </c>
      <c r="GF450" s="90" t="s">
        <v>37</v>
      </c>
      <c r="GG450" s="90" t="s">
        <v>37</v>
      </c>
      <c r="GH450" s="91"/>
      <c r="GI450" s="90" t="s">
        <v>37</v>
      </c>
      <c r="GJ450" s="90" t="s">
        <v>37</v>
      </c>
      <c r="GK450" s="90" t="s">
        <v>37</v>
      </c>
      <c r="GL450" s="91"/>
      <c r="GM450" s="91"/>
      <c r="GN450" s="91"/>
      <c r="GQ450" s="90" t="s">
        <v>37</v>
      </c>
      <c r="GR450" s="90" t="s">
        <v>37</v>
      </c>
      <c r="GS450" s="90" t="s">
        <v>37</v>
      </c>
      <c r="GT450" s="91"/>
      <c r="GU450" s="90" t="s">
        <v>37</v>
      </c>
      <c r="GV450" s="90" t="s">
        <v>37</v>
      </c>
      <c r="GW450" s="90" t="s">
        <v>37</v>
      </c>
      <c r="GX450" s="91"/>
      <c r="GY450" s="91"/>
      <c r="GZ450" s="91"/>
      <c r="HA450" s="97"/>
      <c r="HB450" s="98"/>
      <c r="HC450" s="90" t="s">
        <v>37</v>
      </c>
      <c r="HD450" s="90" t="s">
        <v>37</v>
      </c>
      <c r="HE450" s="90" t="s">
        <v>37</v>
      </c>
      <c r="HF450" s="91"/>
      <c r="HG450" s="90" t="s">
        <v>37</v>
      </c>
      <c r="HH450" s="90" t="s">
        <v>37</v>
      </c>
      <c r="HI450" s="90" t="s">
        <v>37</v>
      </c>
      <c r="HJ450" s="91"/>
      <c r="HK450" s="91"/>
      <c r="HL450" s="91"/>
      <c r="HM450" s="98"/>
      <c r="HN450" s="90" t="s">
        <v>37</v>
      </c>
      <c r="HO450" s="90" t="s">
        <v>37</v>
      </c>
      <c r="HP450" s="90" t="s">
        <v>37</v>
      </c>
      <c r="HQ450" s="91"/>
      <c r="HR450" s="90" t="s">
        <v>37</v>
      </c>
      <c r="HS450" s="90" t="s">
        <v>37</v>
      </c>
      <c r="HT450" s="90" t="s">
        <v>37</v>
      </c>
      <c r="HU450" s="91"/>
      <c r="HV450" s="91"/>
      <c r="HW450" s="91"/>
      <c r="HX450" s="98"/>
      <c r="HY450" s="90" t="s">
        <v>37</v>
      </c>
      <c r="HZ450" s="90" t="s">
        <v>37</v>
      </c>
      <c r="IA450" s="90" t="s">
        <v>37</v>
      </c>
      <c r="IB450" s="91"/>
      <c r="IC450" s="90" t="s">
        <v>37</v>
      </c>
      <c r="ID450" s="90" t="s">
        <v>37</v>
      </c>
      <c r="IE450" s="90" t="s">
        <v>37</v>
      </c>
      <c r="IF450" s="91"/>
      <c r="IG450" s="91"/>
      <c r="IH450" s="91"/>
      <c r="IK450" s="90" t="s">
        <v>37</v>
      </c>
      <c r="IL450" s="90" t="s">
        <v>37</v>
      </c>
      <c r="IM450" s="90" t="s">
        <v>37</v>
      </c>
      <c r="IN450" s="91"/>
      <c r="IO450" s="90" t="s">
        <v>37</v>
      </c>
      <c r="IP450" s="90" t="s">
        <v>37</v>
      </c>
      <c r="IQ450" s="90" t="s">
        <v>37</v>
      </c>
      <c r="IR450" s="91"/>
      <c r="IS450" s="91"/>
      <c r="IT450" s="91"/>
      <c r="IV450" s="94"/>
      <c r="IW450" s="90" t="s">
        <v>37</v>
      </c>
      <c r="IX450" s="90" t="s">
        <v>37</v>
      </c>
      <c r="IY450" s="90" t="s">
        <v>37</v>
      </c>
      <c r="IZ450" s="91"/>
      <c r="JA450" s="90" t="s">
        <v>37</v>
      </c>
      <c r="JB450" s="90" t="s">
        <v>37</v>
      </c>
      <c r="JC450" s="90" t="s">
        <v>37</v>
      </c>
      <c r="JD450" s="91"/>
      <c r="JE450" s="91"/>
      <c r="JF450" s="91"/>
      <c r="JG450" s="94"/>
      <c r="JH450" s="90" t="s">
        <v>37</v>
      </c>
      <c r="JI450" s="90" t="s">
        <v>37</v>
      </c>
      <c r="JJ450" s="90" t="s">
        <v>37</v>
      </c>
      <c r="JK450" s="91"/>
      <c r="JL450" s="90" t="s">
        <v>37</v>
      </c>
      <c r="JM450" s="90" t="s">
        <v>37</v>
      </c>
      <c r="JN450" s="90" t="s">
        <v>37</v>
      </c>
      <c r="JO450" s="91"/>
      <c r="JP450" s="91"/>
      <c r="JQ450" s="91"/>
      <c r="JR450" s="94"/>
      <c r="JS450" s="90" t="s">
        <v>37</v>
      </c>
      <c r="JT450" s="90" t="s">
        <v>37</v>
      </c>
      <c r="JU450" s="90" t="s">
        <v>37</v>
      </c>
      <c r="JV450" s="91"/>
      <c r="JW450" s="90" t="s">
        <v>37</v>
      </c>
      <c r="JX450" s="90" t="s">
        <v>37</v>
      </c>
      <c r="JY450" s="90" t="s">
        <v>37</v>
      </c>
      <c r="JZ450" s="91"/>
      <c r="KA450" s="91"/>
      <c r="KB450" s="91"/>
      <c r="KE450" s="90" t="s">
        <v>37</v>
      </c>
      <c r="KF450" s="90" t="s">
        <v>37</v>
      </c>
      <c r="KG450" s="90" t="s">
        <v>37</v>
      </c>
      <c r="KH450" s="90" t="s">
        <v>37</v>
      </c>
      <c r="KI450" s="90" t="s">
        <v>37</v>
      </c>
      <c r="KJ450" s="90" t="s">
        <v>37</v>
      </c>
      <c r="KL450" s="94"/>
      <c r="KM450" s="90" t="s">
        <v>37</v>
      </c>
      <c r="KN450" s="90" t="s">
        <v>37</v>
      </c>
      <c r="KO450" s="90" t="s">
        <v>37</v>
      </c>
      <c r="KQ450" s="90" t="s">
        <v>37</v>
      </c>
      <c r="KR450" s="90" t="s">
        <v>37</v>
      </c>
      <c r="KS450" s="90" t="s">
        <v>37</v>
      </c>
      <c r="KW450" s="94"/>
      <c r="KX450" s="90" t="s">
        <v>37</v>
      </c>
      <c r="KY450" s="90" t="s">
        <v>37</v>
      </c>
      <c r="KZ450" s="90" t="s">
        <v>37</v>
      </c>
      <c r="LA450" s="91"/>
      <c r="LB450" s="90" t="s">
        <v>37</v>
      </c>
      <c r="LC450" s="90" t="s">
        <v>37</v>
      </c>
      <c r="LD450" s="90" t="s">
        <v>37</v>
      </c>
      <c r="LE450" s="91"/>
      <c r="LF450" s="91"/>
      <c r="LG450" s="91"/>
      <c r="LH450" s="94"/>
      <c r="LI450" s="90" t="s">
        <v>37</v>
      </c>
      <c r="LJ450" s="90" t="s">
        <v>37</v>
      </c>
      <c r="LK450" s="90" t="s">
        <v>37</v>
      </c>
      <c r="LL450" s="91"/>
      <c r="LM450" s="90" t="s">
        <v>37</v>
      </c>
      <c r="LN450" s="90" t="s">
        <v>37</v>
      </c>
      <c r="LO450" s="90" t="s">
        <v>37</v>
      </c>
      <c r="LP450" s="91"/>
      <c r="LQ450" s="91"/>
      <c r="LR450" s="91"/>
      <c r="LU450" s="90" t="s">
        <v>37</v>
      </c>
      <c r="LV450" s="90" t="s">
        <v>37</v>
      </c>
      <c r="LW450" s="90" t="s">
        <v>37</v>
      </c>
      <c r="LX450" s="91"/>
      <c r="LY450" s="90" t="s">
        <v>37</v>
      </c>
      <c r="LZ450" s="90" t="s">
        <v>37</v>
      </c>
      <c r="MA450" s="90" t="s">
        <v>37</v>
      </c>
      <c r="MB450" s="91"/>
      <c r="MC450" s="91"/>
      <c r="MD450" s="91"/>
      <c r="MF450" s="90" t="s">
        <v>37</v>
      </c>
      <c r="MG450" s="90" t="s">
        <v>37</v>
      </c>
      <c r="MH450" s="90" t="s">
        <v>37</v>
      </c>
      <c r="MI450" s="91"/>
      <c r="MJ450" s="90" t="s">
        <v>37</v>
      </c>
      <c r="MK450" s="90" t="s">
        <v>37</v>
      </c>
      <c r="ML450" s="90" t="s">
        <v>37</v>
      </c>
      <c r="MM450" s="91"/>
      <c r="MN450" s="91"/>
      <c r="MO450" s="91"/>
      <c r="MQ450" s="90" t="s">
        <v>37</v>
      </c>
      <c r="MR450" s="90" t="s">
        <v>37</v>
      </c>
      <c r="MS450" s="90" t="s">
        <v>37</v>
      </c>
      <c r="MT450" s="48"/>
      <c r="MU450" s="90" t="s">
        <v>37</v>
      </c>
      <c r="MV450" s="90" t="s">
        <v>37</v>
      </c>
      <c r="MW450" s="90" t="s">
        <v>37</v>
      </c>
      <c r="MX450" s="48"/>
      <c r="MY450" s="48"/>
      <c r="MZ450" s="48"/>
      <c r="NC450" s="90" t="s">
        <v>37</v>
      </c>
      <c r="ND450" s="90" t="s">
        <v>37</v>
      </c>
      <c r="NE450" s="90" t="s">
        <v>37</v>
      </c>
      <c r="NF450" s="48"/>
      <c r="NG450" s="90" t="s">
        <v>37</v>
      </c>
      <c r="NH450" s="90" t="s">
        <v>37</v>
      </c>
      <c r="NI450" s="90" t="s">
        <v>37</v>
      </c>
      <c r="NJ450" s="48"/>
      <c r="NK450" s="48"/>
      <c r="NL450" s="48"/>
      <c r="NO450" s="90" t="s">
        <v>37</v>
      </c>
      <c r="NP450" s="90" t="s">
        <v>37</v>
      </c>
      <c r="NQ450" s="90" t="s">
        <v>37</v>
      </c>
      <c r="NR450" s="48"/>
      <c r="NS450" s="90" t="s">
        <v>37</v>
      </c>
      <c r="NT450" s="90" t="s">
        <v>37</v>
      </c>
      <c r="NU450" s="90" t="s">
        <v>37</v>
      </c>
      <c r="NV450" s="48"/>
      <c r="NW450" s="48"/>
      <c r="NX450" s="48"/>
      <c r="OA450" s="90" t="s">
        <v>37</v>
      </c>
      <c r="OB450" s="90" t="s">
        <v>37</v>
      </c>
      <c r="OC450" s="90" t="s">
        <v>37</v>
      </c>
      <c r="OE450" s="90" t="s">
        <v>37</v>
      </c>
      <c r="OF450" s="90" t="s">
        <v>37</v>
      </c>
      <c r="OG450" s="90" t="s">
        <v>37</v>
      </c>
      <c r="OM450" s="90" t="s">
        <v>37</v>
      </c>
      <c r="ON450" s="90" t="s">
        <v>37</v>
      </c>
      <c r="OO450" s="90" t="s">
        <v>37</v>
      </c>
      <c r="OP450" s="90" t="s">
        <v>37</v>
      </c>
      <c r="OQ450" s="90" t="s">
        <v>37</v>
      </c>
      <c r="OR450" s="90" t="s">
        <v>37</v>
      </c>
      <c r="OW450" s="90" t="s">
        <v>37</v>
      </c>
      <c r="OX450" s="90" t="s">
        <v>37</v>
      </c>
      <c r="OY450" s="91" t="s">
        <v>37</v>
      </c>
      <c r="OZ450" s="90" t="s">
        <v>37</v>
      </c>
      <c r="PA450" s="90" t="s">
        <v>37</v>
      </c>
      <c r="PB450" s="91" t="s">
        <v>37</v>
      </c>
      <c r="PC450" s="91"/>
      <c r="PD450" s="91"/>
      <c r="PG450" s="89" t="s">
        <v>37</v>
      </c>
      <c r="PH450" s="89" t="s">
        <v>37</v>
      </c>
      <c r="PI450" s="91" t="s">
        <v>37</v>
      </c>
      <c r="PJ450" s="89" t="s">
        <v>37</v>
      </c>
      <c r="PK450" s="89" t="s">
        <v>37</v>
      </c>
      <c r="PL450" s="91" t="s">
        <v>37</v>
      </c>
      <c r="PM450" s="91"/>
      <c r="PN450" s="91"/>
      <c r="PQ450" s="90" t="s">
        <v>37</v>
      </c>
      <c r="PR450" s="90" t="s">
        <v>37</v>
      </c>
      <c r="PS450" s="90" t="s">
        <v>37</v>
      </c>
      <c r="PT450" s="90" t="s">
        <v>37</v>
      </c>
      <c r="PU450" s="90" t="s">
        <v>37</v>
      </c>
      <c r="PV450" s="90" t="s">
        <v>37</v>
      </c>
      <c r="PZ450" s="90" t="s">
        <v>37</v>
      </c>
      <c r="QA450" s="90" t="s">
        <v>37</v>
      </c>
      <c r="QB450" s="89" t="s">
        <v>37</v>
      </c>
      <c r="QC450" s="48"/>
      <c r="QD450" s="90" t="s">
        <v>37</v>
      </c>
      <c r="QE450" s="90" t="s">
        <v>37</v>
      </c>
      <c r="QF450" s="90" t="s">
        <v>37</v>
      </c>
      <c r="QG450" s="48"/>
      <c r="QH450" s="48"/>
      <c r="QI450" s="48"/>
      <c r="QK450" s="90" t="s">
        <v>37</v>
      </c>
      <c r="QL450" s="90" t="s">
        <v>37</v>
      </c>
      <c r="QM450" s="90" t="s">
        <v>37</v>
      </c>
      <c r="QN450" s="90" t="s">
        <v>37</v>
      </c>
      <c r="QO450" s="90" t="s">
        <v>37</v>
      </c>
      <c r="QP450" s="90" t="s">
        <v>37</v>
      </c>
      <c r="QU450" s="90" t="s">
        <v>37</v>
      </c>
      <c r="QV450" s="90" t="s">
        <v>37</v>
      </c>
      <c r="QW450" s="90" t="s">
        <v>37</v>
      </c>
      <c r="QX450" s="90" t="s">
        <v>37</v>
      </c>
      <c r="QY450" s="90" t="s">
        <v>37</v>
      </c>
      <c r="QZ450" s="90" t="s">
        <v>37</v>
      </c>
      <c r="RC450" s="90" t="s">
        <v>37</v>
      </c>
      <c r="RD450" s="90" t="s">
        <v>37</v>
      </c>
      <c r="RE450" s="90" t="s">
        <v>37</v>
      </c>
      <c r="RF450" s="90" t="s">
        <v>37</v>
      </c>
      <c r="RG450" s="90" t="s">
        <v>37</v>
      </c>
      <c r="RH450" s="90" t="s">
        <v>37</v>
      </c>
      <c r="RK450" s="90" t="s">
        <v>37</v>
      </c>
      <c r="RL450" s="90" t="s">
        <v>37</v>
      </c>
      <c r="RM450" s="90" t="s">
        <v>37</v>
      </c>
      <c r="RN450" s="90" t="s">
        <v>37</v>
      </c>
      <c r="RO450" s="90" t="s">
        <v>37</v>
      </c>
      <c r="RP450" s="90" t="s">
        <v>37</v>
      </c>
      <c r="RS450" s="90" t="s">
        <v>37</v>
      </c>
      <c r="RT450" s="90" t="s">
        <v>37</v>
      </c>
      <c r="RU450" s="90" t="s">
        <v>37</v>
      </c>
      <c r="RV450" s="90" t="s">
        <v>37</v>
      </c>
      <c r="RW450" s="90" t="s">
        <v>37</v>
      </c>
      <c r="RX450" s="90" t="s">
        <v>37</v>
      </c>
      <c r="SA450" s="90" t="s">
        <v>37</v>
      </c>
      <c r="SB450" s="90" t="s">
        <v>37</v>
      </c>
      <c r="SC450" s="90" t="s">
        <v>37</v>
      </c>
      <c r="SD450" s="90" t="s">
        <v>37</v>
      </c>
      <c r="SE450" s="90" t="s">
        <v>37</v>
      </c>
      <c r="SF450" s="90" t="s">
        <v>37</v>
      </c>
      <c r="SI450" s="90" t="s">
        <v>37</v>
      </c>
      <c r="SJ450" s="90" t="s">
        <v>37</v>
      </c>
      <c r="SK450" s="90" t="s">
        <v>37</v>
      </c>
      <c r="SL450" s="90" t="s">
        <v>37</v>
      </c>
      <c r="SM450" s="90" t="s">
        <v>37</v>
      </c>
      <c r="SN450" s="90" t="s">
        <v>37</v>
      </c>
      <c r="SO450" s="91"/>
      <c r="SP450" s="91"/>
      <c r="SQ450" s="91"/>
      <c r="SR450" s="91"/>
      <c r="SU450" s="90" t="s">
        <v>37</v>
      </c>
      <c r="SV450" s="90" t="s">
        <v>37</v>
      </c>
      <c r="SW450" s="89" t="s">
        <v>37</v>
      </c>
      <c r="SX450" s="90" t="s">
        <v>37</v>
      </c>
      <c r="SY450" s="90" t="s">
        <v>37</v>
      </c>
      <c r="SZ450" s="89" t="s">
        <v>37</v>
      </c>
      <c r="TA450" s="89"/>
      <c r="TB450" s="89"/>
      <c r="TE450" s="90" t="s">
        <v>37</v>
      </c>
      <c r="TF450" s="90" t="s">
        <v>37</v>
      </c>
      <c r="TG450" s="89" t="s">
        <v>37</v>
      </c>
      <c r="TH450" s="90" t="s">
        <v>37</v>
      </c>
      <c r="TI450" s="90" t="s">
        <v>37</v>
      </c>
      <c r="TJ450" s="89" t="s">
        <v>37</v>
      </c>
      <c r="TK450" s="89"/>
      <c r="TL450" s="89"/>
      <c r="TO450" s="90" t="s">
        <v>37</v>
      </c>
      <c r="TP450" s="90" t="s">
        <v>37</v>
      </c>
      <c r="TQ450" s="89" t="s">
        <v>37</v>
      </c>
      <c r="TR450" s="90" t="s">
        <v>37</v>
      </c>
      <c r="TS450" s="90" t="s">
        <v>37</v>
      </c>
      <c r="TT450" s="89" t="s">
        <v>37</v>
      </c>
      <c r="TU450" s="89"/>
      <c r="TV450" s="89"/>
      <c r="TY450" s="90" t="s">
        <v>37</v>
      </c>
      <c r="TZ450" s="90" t="s">
        <v>37</v>
      </c>
      <c r="UA450" s="90" t="s">
        <v>37</v>
      </c>
      <c r="UB450" s="90" t="s">
        <v>37</v>
      </c>
      <c r="UC450" s="90" t="s">
        <v>37</v>
      </c>
      <c r="UD450" s="90" t="s">
        <v>37</v>
      </c>
      <c r="UI450" s="90" t="s">
        <v>37</v>
      </c>
      <c r="UJ450" s="90" t="s">
        <v>37</v>
      </c>
      <c r="UK450" s="90" t="s">
        <v>37</v>
      </c>
      <c r="UL450" s="90" t="s">
        <v>37</v>
      </c>
      <c r="UM450" s="90" t="s">
        <v>37</v>
      </c>
      <c r="UN450" s="90" t="s">
        <v>37</v>
      </c>
      <c r="UR450" s="90" t="s">
        <v>37</v>
      </c>
      <c r="US450" s="90" t="s">
        <v>37</v>
      </c>
      <c r="UT450" s="90" t="s">
        <v>37</v>
      </c>
      <c r="UU450" s="90" t="s">
        <v>37</v>
      </c>
      <c r="UV450" s="90" t="s">
        <v>37</v>
      </c>
      <c r="UW450" s="90" t="s">
        <v>37</v>
      </c>
      <c r="VB450" s="90" t="s">
        <v>37</v>
      </c>
      <c r="VC450" s="90" t="s">
        <v>37</v>
      </c>
      <c r="VD450" s="90" t="s">
        <v>37</v>
      </c>
      <c r="VE450" s="90" t="s">
        <v>37</v>
      </c>
      <c r="VF450" s="90" t="s">
        <v>37</v>
      </c>
      <c r="VG450" s="90" t="s">
        <v>37</v>
      </c>
      <c r="VI450" s="90" t="s">
        <v>37</v>
      </c>
      <c r="VJ450" s="90" t="s">
        <v>37</v>
      </c>
      <c r="VK450" s="90" t="s">
        <v>37</v>
      </c>
      <c r="VL450" s="90" t="s">
        <v>37</v>
      </c>
      <c r="VM450" s="90" t="s">
        <v>37</v>
      </c>
      <c r="VN450" s="90" t="s">
        <v>37</v>
      </c>
      <c r="VQ450" s="91" t="s">
        <v>37</v>
      </c>
      <c r="VR450" s="91" t="s">
        <v>37</v>
      </c>
      <c r="VS450" s="91" t="s">
        <v>37</v>
      </c>
      <c r="VT450" s="91" t="s">
        <v>37</v>
      </c>
      <c r="VU450" s="91" t="s">
        <v>37</v>
      </c>
      <c r="VV450" s="91" t="s">
        <v>37</v>
      </c>
      <c r="VW450" s="91"/>
      <c r="VX450" s="91"/>
      <c r="WA450" s="91" t="s">
        <v>37</v>
      </c>
      <c r="WB450" s="91" t="s">
        <v>37</v>
      </c>
      <c r="WC450" s="91" t="s">
        <v>37</v>
      </c>
      <c r="WD450" s="91" t="s">
        <v>37</v>
      </c>
      <c r="WE450" s="91" t="s">
        <v>37</v>
      </c>
      <c r="WF450" s="91" t="s">
        <v>37</v>
      </c>
    </row>
    <row r="451" spans="1:604" s="90" customFormat="1" ht="18.75" customHeight="1" x14ac:dyDescent="0.3">
      <c r="A451" s="89">
        <v>108</v>
      </c>
      <c r="B451" s="84" t="s">
        <v>991</v>
      </c>
      <c r="C451" s="90" t="s">
        <v>26</v>
      </c>
      <c r="D451" s="90" t="s">
        <v>830</v>
      </c>
      <c r="E451" s="88">
        <v>2.5</v>
      </c>
      <c r="F451" s="88">
        <v>0</v>
      </c>
      <c r="G451" s="88">
        <v>0</v>
      </c>
      <c r="H451" s="90" t="s">
        <v>88</v>
      </c>
      <c r="I451" s="99">
        <v>-2.3199999999999998</v>
      </c>
      <c r="J451" s="99">
        <v>113.9</v>
      </c>
      <c r="K451" s="90" t="s">
        <v>379</v>
      </c>
      <c r="L451" s="90" t="s">
        <v>380</v>
      </c>
      <c r="M451" s="91" t="s">
        <v>37</v>
      </c>
      <c r="N451" s="88">
        <v>25.9</v>
      </c>
      <c r="O451" s="88">
        <v>2510</v>
      </c>
      <c r="P451" s="88" t="s">
        <v>89</v>
      </c>
      <c r="Q451" s="92">
        <v>9</v>
      </c>
      <c r="R451" s="11" t="s">
        <v>999</v>
      </c>
      <c r="S451" s="90" t="s">
        <v>105</v>
      </c>
      <c r="T451" s="90" t="s">
        <v>141</v>
      </c>
      <c r="U451" s="90" t="s">
        <v>158</v>
      </c>
      <c r="V451" s="90" t="s">
        <v>275</v>
      </c>
      <c r="W451" s="93" t="s">
        <v>381</v>
      </c>
      <c r="X451" s="90" t="s">
        <v>49</v>
      </c>
      <c r="Y451" s="90" t="s">
        <v>37</v>
      </c>
      <c r="Z451" s="90" t="s">
        <v>37</v>
      </c>
      <c r="AA451" s="94"/>
      <c r="AB451" s="90" t="s">
        <v>37</v>
      </c>
      <c r="AD451" s="94"/>
      <c r="AE451" s="90" t="s">
        <v>37</v>
      </c>
      <c r="AG451" s="94"/>
      <c r="AH451" s="90" t="s">
        <v>37</v>
      </c>
      <c r="AK451" s="90" t="s">
        <v>37</v>
      </c>
      <c r="AL451" s="94" t="s">
        <v>993</v>
      </c>
      <c r="AM451" s="90" t="s">
        <v>344</v>
      </c>
      <c r="AN451" s="94"/>
      <c r="AO451" s="90" t="s">
        <v>37</v>
      </c>
      <c r="AP451" s="90" t="s">
        <v>370</v>
      </c>
      <c r="AQ451" s="90" t="s">
        <v>849</v>
      </c>
      <c r="AS451" s="94"/>
      <c r="AT451" s="90" t="s">
        <v>326</v>
      </c>
      <c r="AU451" s="90" t="s">
        <v>326</v>
      </c>
      <c r="AV451" s="91" t="s">
        <v>326</v>
      </c>
      <c r="AW451" s="48"/>
      <c r="AX451" s="90" t="s">
        <v>326</v>
      </c>
      <c r="AY451" s="90" t="s">
        <v>326</v>
      </c>
      <c r="AZ451" s="91" t="s">
        <v>326</v>
      </c>
      <c r="BA451" s="48"/>
      <c r="BB451" s="48"/>
      <c r="BC451" s="48"/>
      <c r="BD451" s="94"/>
      <c r="BE451" s="90" t="s">
        <v>326</v>
      </c>
      <c r="BF451" s="90" t="s">
        <v>326</v>
      </c>
      <c r="BG451" s="90" t="s">
        <v>326</v>
      </c>
      <c r="BH451" s="48"/>
      <c r="BI451" s="90" t="s">
        <v>326</v>
      </c>
      <c r="BJ451" s="90" t="s">
        <v>326</v>
      </c>
      <c r="BK451" s="90" t="s">
        <v>326</v>
      </c>
      <c r="BL451" s="48"/>
      <c r="BM451" s="48"/>
      <c r="BN451" s="48"/>
      <c r="BP451" s="90" t="s">
        <v>37</v>
      </c>
      <c r="BQ451" s="90" t="s">
        <v>37</v>
      </c>
      <c r="BR451" s="91" t="s">
        <v>37</v>
      </c>
      <c r="BS451" s="48"/>
      <c r="BT451" s="90" t="s">
        <v>37</v>
      </c>
      <c r="BU451" s="90" t="s">
        <v>37</v>
      </c>
      <c r="BV451" s="90" t="s">
        <v>37</v>
      </c>
      <c r="BW451" s="48"/>
      <c r="BX451" s="48"/>
      <c r="BY451" s="48"/>
      <c r="BZ451" s="90" t="s">
        <v>47</v>
      </c>
      <c r="CA451" s="90">
        <f>-3780*10^4/10^3*44/12</f>
        <v>-138600</v>
      </c>
      <c r="CB451" s="104">
        <f>ABS(CA451)*CD$474</f>
        <v>33792.129837113527</v>
      </c>
      <c r="CC451" s="91">
        <v>1</v>
      </c>
      <c r="CD451" s="91"/>
      <c r="CE451" s="90">
        <f>-4164*10^4/10^3*44/12</f>
        <v>-152680</v>
      </c>
      <c r="CF451" s="104">
        <f>ABS(CE451)*CH$474</f>
        <v>56838.04564501773</v>
      </c>
      <c r="CG451" s="91">
        <v>1</v>
      </c>
      <c r="CH451" s="91"/>
      <c r="CI451" s="92">
        <f t="shared" ref="CI451:CI453" si="1814">CE451-CA451</f>
        <v>-14080</v>
      </c>
      <c r="CJ451" s="90" t="e">
        <f t="shared" ref="CJ451:CJ452" si="1815">SQRT(((CC451-1)*CB451^2+(CG451-1)*CF451^2)/(CC451+CG451-2))</f>
        <v>#DIV/0!</v>
      </c>
      <c r="CK451" s="96" t="e">
        <f t="shared" ref="CK451:CK453" si="1816">(((CC451+CG451)/(CC451*CG451))*(((CC451-1)*CB451^2)+(CG451-1)*CF451^2)/(CC451+CG451-2))</f>
        <v>#DIV/0!</v>
      </c>
      <c r="CL451" s="96">
        <f t="shared" ref="CL451:CL453" si="1817">(CB451^2/CC451)+(CF451^2/CG451)</f>
        <v>4372471471.6734571</v>
      </c>
      <c r="CM451" s="90" t="s">
        <v>47</v>
      </c>
      <c r="CN451" s="90">
        <f>4091*10^4/10^3*44/12</f>
        <v>150003.33333333334</v>
      </c>
      <c r="CO451" s="104">
        <f>ABS(CN451)*CQ$474</f>
        <v>43145.055182704913</v>
      </c>
      <c r="CP451" s="91">
        <v>1</v>
      </c>
      <c r="CQ451" s="91"/>
      <c r="CR451" s="90">
        <f>4741*10^4/10^3*44/12</f>
        <v>173836.66666666666</v>
      </c>
      <c r="CS451" s="104">
        <f>ABS(CR451)*CU$474</f>
        <v>45613.206353339207</v>
      </c>
      <c r="CT451" s="91">
        <v>1</v>
      </c>
      <c r="CU451" s="91"/>
      <c r="CV451" s="92">
        <f t="shared" si="1761"/>
        <v>23833.333333333314</v>
      </c>
      <c r="CW451" s="90" t="e">
        <f t="shared" si="1762"/>
        <v>#DIV/0!</v>
      </c>
      <c r="CX451" s="96" t="e">
        <f t="shared" ref="CX451:CX453" si="1818">(((CP451+CT451)/(CP451*CT451))*(((CP451-1)*CO451^2)+(CT451-1)*CS451^2)/(CP451+CT451-2))</f>
        <v>#DIV/0!</v>
      </c>
      <c r="CY451" s="96">
        <f t="shared" si="1764"/>
        <v>3942060380.5509562</v>
      </c>
      <c r="CZ451" s="90" t="s">
        <v>47</v>
      </c>
      <c r="DA451" s="90">
        <f>311*10^4/10^3*44/12</f>
        <v>11403.333333333334</v>
      </c>
      <c r="DB451" s="104">
        <f>ABS(DA451)*DD$474</f>
        <v>34206.08362421843</v>
      </c>
      <c r="DC451" s="91">
        <v>1</v>
      </c>
      <c r="DD451" s="91"/>
      <c r="DE451" s="90">
        <f>577*10^4/10^3*44/12</f>
        <v>21156.666666666668</v>
      </c>
      <c r="DF451" s="104">
        <f>ABS(DE451)*DH$474</f>
        <v>20165.32438473517</v>
      </c>
      <c r="DG451" s="91">
        <v>1</v>
      </c>
      <c r="DH451" s="91"/>
      <c r="DI451" s="48">
        <f t="shared" si="1784"/>
        <v>9753.3333333333339</v>
      </c>
      <c r="DJ451" s="90" t="e">
        <f t="shared" si="1766"/>
        <v>#DIV/0!</v>
      </c>
      <c r="DK451" s="96" t="e">
        <f t="shared" ref="DK451:DK453" si="1819">(((DC451+DG451)/(DC451*DG451))*(((DC451-1)*DB451^2)+(DG451-1)*DF451^2)/(DC451+DG451-2))</f>
        <v>#DIV/0!</v>
      </c>
      <c r="DL451" s="96">
        <f t="shared" si="1768"/>
        <v>1576696464.4486194</v>
      </c>
      <c r="DM451" s="89"/>
      <c r="DN451" s="90" t="s">
        <v>37</v>
      </c>
      <c r="DO451" s="90" t="s">
        <v>37</v>
      </c>
      <c r="DP451" s="91" t="s">
        <v>37</v>
      </c>
      <c r="DQ451" s="91"/>
      <c r="DR451" s="90" t="s">
        <v>37</v>
      </c>
      <c r="DS451" s="90" t="s">
        <v>37</v>
      </c>
      <c r="DT451" s="91" t="s">
        <v>37</v>
      </c>
      <c r="DU451" s="48"/>
      <c r="DV451" s="48"/>
      <c r="DW451" s="48"/>
      <c r="DX451" s="96"/>
      <c r="DY451" s="96"/>
      <c r="DZ451" s="89"/>
      <c r="EA451" s="101" t="s">
        <v>37</v>
      </c>
      <c r="EB451" s="101" t="s">
        <v>37</v>
      </c>
      <c r="EC451" s="101" t="s">
        <v>37</v>
      </c>
      <c r="ED451" s="101"/>
      <c r="EE451" s="101" t="s">
        <v>37</v>
      </c>
      <c r="EF451" s="101" t="s">
        <v>37</v>
      </c>
      <c r="EG451" s="101" t="s">
        <v>37</v>
      </c>
      <c r="EH451" s="91"/>
      <c r="EI451" s="91"/>
      <c r="EJ451" s="91"/>
      <c r="EK451" s="91"/>
      <c r="EL451" s="91"/>
      <c r="EM451" s="90" t="s">
        <v>39</v>
      </c>
      <c r="EN451" s="90">
        <v>-17</v>
      </c>
      <c r="EO451" s="50">
        <f>ABS(EN451)*EQ$474</f>
        <v>6.9274387787719869</v>
      </c>
      <c r="EP451" s="91">
        <v>1</v>
      </c>
      <c r="EQ451" s="48"/>
      <c r="ER451" s="90">
        <v>-73</v>
      </c>
      <c r="ES451" s="50">
        <f>ABS(ER451)*EU$474</f>
        <v>16.557425906171176</v>
      </c>
      <c r="ET451" s="91">
        <v>1</v>
      </c>
      <c r="EU451" s="48"/>
      <c r="EV451" s="90">
        <f t="shared" si="1810"/>
        <v>-56</v>
      </c>
      <c r="EW451" s="90" t="e">
        <f t="shared" si="1811"/>
        <v>#DIV/0!</v>
      </c>
      <c r="EX451" s="48" t="e">
        <f t="shared" si="1812"/>
        <v>#DIV/0!</v>
      </c>
      <c r="EY451" s="48">
        <f t="shared" si="1813"/>
        <v>322.13776067198233</v>
      </c>
      <c r="FB451" s="90" t="s">
        <v>37</v>
      </c>
      <c r="FC451" s="90" t="s">
        <v>37</v>
      </c>
      <c r="FD451" s="89" t="s">
        <v>37</v>
      </c>
      <c r="FE451" s="90" t="s">
        <v>37</v>
      </c>
      <c r="FF451" s="100" t="s">
        <v>37</v>
      </c>
      <c r="FG451" s="89" t="s">
        <v>37</v>
      </c>
      <c r="FH451" s="94"/>
      <c r="FI451" s="90" t="s">
        <v>37</v>
      </c>
      <c r="FJ451" s="90" t="s">
        <v>37</v>
      </c>
      <c r="FK451" s="89" t="s">
        <v>37</v>
      </c>
      <c r="FL451" s="91" t="s">
        <v>37</v>
      </c>
      <c r="FM451" s="89" t="s">
        <v>37</v>
      </c>
      <c r="FN451" s="89" t="s">
        <v>37</v>
      </c>
      <c r="FO451" s="94"/>
      <c r="FP451" s="90" t="s">
        <v>37</v>
      </c>
      <c r="FQ451" s="90" t="s">
        <v>37</v>
      </c>
      <c r="FR451" s="89" t="s">
        <v>37</v>
      </c>
      <c r="FS451" s="91" t="s">
        <v>37</v>
      </c>
      <c r="FT451" s="89" t="s">
        <v>37</v>
      </c>
      <c r="FU451" s="89" t="s">
        <v>37</v>
      </c>
      <c r="FV451" s="94"/>
      <c r="FW451" s="90" t="s">
        <v>37</v>
      </c>
      <c r="FX451" s="90" t="s">
        <v>37</v>
      </c>
      <c r="FY451" s="89" t="s">
        <v>37</v>
      </c>
      <c r="FZ451" s="91" t="s">
        <v>37</v>
      </c>
      <c r="GA451" s="89" t="s">
        <v>37</v>
      </c>
      <c r="GB451" s="89" t="s">
        <v>37</v>
      </c>
      <c r="GE451" s="90" t="s">
        <v>37</v>
      </c>
      <c r="GF451" s="90" t="s">
        <v>37</v>
      </c>
      <c r="GG451" s="90" t="s">
        <v>37</v>
      </c>
      <c r="GH451" s="91"/>
      <c r="GI451" s="90" t="s">
        <v>37</v>
      </c>
      <c r="GJ451" s="90" t="s">
        <v>37</v>
      </c>
      <c r="GK451" s="90" t="s">
        <v>37</v>
      </c>
      <c r="GL451" s="91"/>
      <c r="GM451" s="91"/>
      <c r="GN451" s="91"/>
      <c r="GQ451" s="90" t="s">
        <v>37</v>
      </c>
      <c r="GR451" s="90" t="s">
        <v>37</v>
      </c>
      <c r="GS451" s="90" t="s">
        <v>37</v>
      </c>
      <c r="GT451" s="91"/>
      <c r="GU451" s="90" t="s">
        <v>37</v>
      </c>
      <c r="GV451" s="90" t="s">
        <v>37</v>
      </c>
      <c r="GW451" s="90" t="s">
        <v>37</v>
      </c>
      <c r="GX451" s="91"/>
      <c r="GY451" s="91"/>
      <c r="GZ451" s="91"/>
      <c r="HA451" s="97"/>
      <c r="HB451" s="98"/>
      <c r="HC451" s="90" t="s">
        <v>37</v>
      </c>
      <c r="HD451" s="90" t="s">
        <v>37</v>
      </c>
      <c r="HE451" s="90" t="s">
        <v>37</v>
      </c>
      <c r="HF451" s="91"/>
      <c r="HG451" s="90" t="s">
        <v>37</v>
      </c>
      <c r="HH451" s="90" t="s">
        <v>37</v>
      </c>
      <c r="HI451" s="90" t="s">
        <v>37</v>
      </c>
      <c r="HJ451" s="91"/>
      <c r="HK451" s="91"/>
      <c r="HL451" s="91"/>
      <c r="HM451" s="98"/>
      <c r="HN451" s="90" t="s">
        <v>37</v>
      </c>
      <c r="HO451" s="90" t="s">
        <v>37</v>
      </c>
      <c r="HP451" s="90" t="s">
        <v>37</v>
      </c>
      <c r="HQ451" s="91"/>
      <c r="HR451" s="90" t="s">
        <v>37</v>
      </c>
      <c r="HS451" s="90" t="s">
        <v>37</v>
      </c>
      <c r="HT451" s="90" t="s">
        <v>37</v>
      </c>
      <c r="HU451" s="91"/>
      <c r="HV451" s="91"/>
      <c r="HW451" s="91"/>
      <c r="HX451" s="98"/>
      <c r="HY451" s="90" t="s">
        <v>37</v>
      </c>
      <c r="HZ451" s="90" t="s">
        <v>37</v>
      </c>
      <c r="IA451" s="90" t="s">
        <v>37</v>
      </c>
      <c r="IB451" s="91"/>
      <c r="IC451" s="90" t="s">
        <v>37</v>
      </c>
      <c r="ID451" s="90" t="s">
        <v>37</v>
      </c>
      <c r="IE451" s="90" t="s">
        <v>37</v>
      </c>
      <c r="IF451" s="91"/>
      <c r="IG451" s="91"/>
      <c r="IH451" s="91"/>
      <c r="IK451" s="90" t="s">
        <v>37</v>
      </c>
      <c r="IL451" s="90" t="s">
        <v>37</v>
      </c>
      <c r="IM451" s="90" t="s">
        <v>37</v>
      </c>
      <c r="IN451" s="91"/>
      <c r="IO451" s="90" t="s">
        <v>37</v>
      </c>
      <c r="IP451" s="90" t="s">
        <v>37</v>
      </c>
      <c r="IQ451" s="90" t="s">
        <v>37</v>
      </c>
      <c r="IR451" s="91"/>
      <c r="IS451" s="91"/>
      <c r="IT451" s="91"/>
      <c r="IV451" s="94"/>
      <c r="IW451" s="90" t="s">
        <v>37</v>
      </c>
      <c r="IX451" s="90" t="s">
        <v>37</v>
      </c>
      <c r="IY451" s="90" t="s">
        <v>37</v>
      </c>
      <c r="IZ451" s="91"/>
      <c r="JA451" s="90" t="s">
        <v>37</v>
      </c>
      <c r="JB451" s="90" t="s">
        <v>37</v>
      </c>
      <c r="JC451" s="90" t="s">
        <v>37</v>
      </c>
      <c r="JD451" s="91"/>
      <c r="JE451" s="91"/>
      <c r="JF451" s="91"/>
      <c r="JG451" s="94"/>
      <c r="JH451" s="90" t="s">
        <v>37</v>
      </c>
      <c r="JI451" s="90" t="s">
        <v>37</v>
      </c>
      <c r="JJ451" s="90" t="s">
        <v>37</v>
      </c>
      <c r="JK451" s="91"/>
      <c r="JL451" s="90" t="s">
        <v>37</v>
      </c>
      <c r="JM451" s="90" t="s">
        <v>37</v>
      </c>
      <c r="JN451" s="90" t="s">
        <v>37</v>
      </c>
      <c r="JO451" s="91"/>
      <c r="JP451" s="91"/>
      <c r="JQ451" s="91"/>
      <c r="JR451" s="94"/>
      <c r="JS451" s="90" t="s">
        <v>37</v>
      </c>
      <c r="JT451" s="90" t="s">
        <v>37</v>
      </c>
      <c r="JU451" s="90" t="s">
        <v>37</v>
      </c>
      <c r="JV451" s="91"/>
      <c r="JW451" s="90" t="s">
        <v>37</v>
      </c>
      <c r="JX451" s="90" t="s">
        <v>37</v>
      </c>
      <c r="JY451" s="90" t="s">
        <v>37</v>
      </c>
      <c r="JZ451" s="91"/>
      <c r="KA451" s="91"/>
      <c r="KB451" s="91"/>
      <c r="KE451" s="90" t="s">
        <v>37</v>
      </c>
      <c r="KF451" s="90" t="s">
        <v>37</v>
      </c>
      <c r="KG451" s="90" t="s">
        <v>37</v>
      </c>
      <c r="KH451" s="90" t="s">
        <v>37</v>
      </c>
      <c r="KI451" s="90" t="s">
        <v>37</v>
      </c>
      <c r="KJ451" s="90" t="s">
        <v>37</v>
      </c>
      <c r="KL451" s="94"/>
      <c r="KM451" s="90" t="s">
        <v>37</v>
      </c>
      <c r="KN451" s="90" t="s">
        <v>37</v>
      </c>
      <c r="KO451" s="90" t="s">
        <v>37</v>
      </c>
      <c r="KQ451" s="90" t="s">
        <v>37</v>
      </c>
      <c r="KR451" s="90" t="s">
        <v>37</v>
      </c>
      <c r="KS451" s="90" t="s">
        <v>37</v>
      </c>
      <c r="KW451" s="94"/>
      <c r="KX451" s="90" t="s">
        <v>37</v>
      </c>
      <c r="KY451" s="90" t="s">
        <v>37</v>
      </c>
      <c r="KZ451" s="90" t="s">
        <v>37</v>
      </c>
      <c r="LA451" s="91"/>
      <c r="LB451" s="90" t="s">
        <v>37</v>
      </c>
      <c r="LC451" s="90" t="s">
        <v>37</v>
      </c>
      <c r="LD451" s="90" t="s">
        <v>37</v>
      </c>
      <c r="LE451" s="91"/>
      <c r="LF451" s="91"/>
      <c r="LG451" s="91"/>
      <c r="LH451" s="94"/>
      <c r="LI451" s="90" t="s">
        <v>37</v>
      </c>
      <c r="LJ451" s="90" t="s">
        <v>37</v>
      </c>
      <c r="LK451" s="90" t="s">
        <v>37</v>
      </c>
      <c r="LL451" s="91"/>
      <c r="LM451" s="90" t="s">
        <v>37</v>
      </c>
      <c r="LN451" s="90" t="s">
        <v>37</v>
      </c>
      <c r="LO451" s="90" t="s">
        <v>37</v>
      </c>
      <c r="LP451" s="91"/>
      <c r="LQ451" s="91"/>
      <c r="LR451" s="91"/>
      <c r="LU451" s="90" t="s">
        <v>37</v>
      </c>
      <c r="LV451" s="90" t="s">
        <v>37</v>
      </c>
      <c r="LW451" s="90" t="s">
        <v>37</v>
      </c>
      <c r="LX451" s="91"/>
      <c r="LY451" s="90" t="s">
        <v>37</v>
      </c>
      <c r="LZ451" s="90" t="s">
        <v>37</v>
      </c>
      <c r="MA451" s="90" t="s">
        <v>37</v>
      </c>
      <c r="MB451" s="91"/>
      <c r="MC451" s="91"/>
      <c r="MD451" s="91"/>
      <c r="MF451" s="90" t="s">
        <v>37</v>
      </c>
      <c r="MG451" s="90" t="s">
        <v>37</v>
      </c>
      <c r="MH451" s="90" t="s">
        <v>37</v>
      </c>
      <c r="MI451" s="91"/>
      <c r="MJ451" s="90" t="s">
        <v>37</v>
      </c>
      <c r="MK451" s="90" t="s">
        <v>37</v>
      </c>
      <c r="ML451" s="90" t="s">
        <v>37</v>
      </c>
      <c r="MM451" s="91"/>
      <c r="MN451" s="91"/>
      <c r="MO451" s="91"/>
      <c r="MQ451" s="90" t="s">
        <v>37</v>
      </c>
      <c r="MR451" s="90" t="s">
        <v>37</v>
      </c>
      <c r="MS451" s="90" t="s">
        <v>37</v>
      </c>
      <c r="MT451" s="48"/>
      <c r="MU451" s="90" t="s">
        <v>37</v>
      </c>
      <c r="MV451" s="90" t="s">
        <v>37</v>
      </c>
      <c r="MW451" s="90" t="s">
        <v>37</v>
      </c>
      <c r="MX451" s="48"/>
      <c r="MY451" s="48"/>
      <c r="MZ451" s="48"/>
      <c r="NC451" s="90" t="s">
        <v>37</v>
      </c>
      <c r="ND451" s="90" t="s">
        <v>37</v>
      </c>
      <c r="NE451" s="90" t="s">
        <v>37</v>
      </c>
      <c r="NF451" s="48"/>
      <c r="NG451" s="90" t="s">
        <v>37</v>
      </c>
      <c r="NH451" s="90" t="s">
        <v>37</v>
      </c>
      <c r="NI451" s="90" t="s">
        <v>37</v>
      </c>
      <c r="NJ451" s="48"/>
      <c r="NK451" s="48"/>
      <c r="NL451" s="48"/>
      <c r="NO451" s="90" t="s">
        <v>37</v>
      </c>
      <c r="NP451" s="90" t="s">
        <v>37</v>
      </c>
      <c r="NQ451" s="90" t="s">
        <v>37</v>
      </c>
      <c r="NR451" s="48"/>
      <c r="NS451" s="90" t="s">
        <v>37</v>
      </c>
      <c r="NT451" s="90" t="s">
        <v>37</v>
      </c>
      <c r="NU451" s="90" t="s">
        <v>37</v>
      </c>
      <c r="NV451" s="48"/>
      <c r="NW451" s="48"/>
      <c r="NX451" s="48"/>
      <c r="OA451" s="90" t="s">
        <v>37</v>
      </c>
      <c r="OB451" s="90" t="s">
        <v>37</v>
      </c>
      <c r="OC451" s="90" t="s">
        <v>37</v>
      </c>
      <c r="OE451" s="90" t="s">
        <v>37</v>
      </c>
      <c r="OF451" s="90" t="s">
        <v>37</v>
      </c>
      <c r="OG451" s="90" t="s">
        <v>37</v>
      </c>
      <c r="OM451" s="90" t="s">
        <v>37</v>
      </c>
      <c r="ON451" s="90" t="s">
        <v>37</v>
      </c>
      <c r="OO451" s="90" t="s">
        <v>37</v>
      </c>
      <c r="OP451" s="90" t="s">
        <v>37</v>
      </c>
      <c r="OQ451" s="90" t="s">
        <v>37</v>
      </c>
      <c r="OR451" s="90" t="s">
        <v>37</v>
      </c>
      <c r="OW451" s="90" t="s">
        <v>37</v>
      </c>
      <c r="OX451" s="90" t="s">
        <v>37</v>
      </c>
      <c r="OY451" s="91" t="s">
        <v>37</v>
      </c>
      <c r="OZ451" s="90" t="s">
        <v>37</v>
      </c>
      <c r="PA451" s="90" t="s">
        <v>37</v>
      </c>
      <c r="PB451" s="91" t="s">
        <v>37</v>
      </c>
      <c r="PC451" s="91"/>
      <c r="PD451" s="91"/>
      <c r="PG451" s="89" t="s">
        <v>37</v>
      </c>
      <c r="PH451" s="89" t="s">
        <v>37</v>
      </c>
      <c r="PI451" s="91" t="s">
        <v>37</v>
      </c>
      <c r="PJ451" s="89" t="s">
        <v>37</v>
      </c>
      <c r="PK451" s="89" t="s">
        <v>37</v>
      </c>
      <c r="PL451" s="91" t="s">
        <v>37</v>
      </c>
      <c r="PM451" s="91"/>
      <c r="PN451" s="91"/>
      <c r="PQ451" s="90" t="s">
        <v>37</v>
      </c>
      <c r="PR451" s="90" t="s">
        <v>37</v>
      </c>
      <c r="PS451" s="90" t="s">
        <v>37</v>
      </c>
      <c r="PT451" s="90" t="s">
        <v>37</v>
      </c>
      <c r="PU451" s="90" t="s">
        <v>37</v>
      </c>
      <c r="PV451" s="90" t="s">
        <v>37</v>
      </c>
      <c r="PZ451" s="90" t="s">
        <v>37</v>
      </c>
      <c r="QA451" s="90" t="s">
        <v>37</v>
      </c>
      <c r="QB451" s="89" t="s">
        <v>37</v>
      </c>
      <c r="QC451" s="48"/>
      <c r="QD451" s="90" t="s">
        <v>37</v>
      </c>
      <c r="QE451" s="90" t="s">
        <v>37</v>
      </c>
      <c r="QF451" s="90" t="s">
        <v>37</v>
      </c>
      <c r="QG451" s="48"/>
      <c r="QH451" s="48"/>
      <c r="QI451" s="48"/>
      <c r="QK451" s="90" t="s">
        <v>37</v>
      </c>
      <c r="QL451" s="90" t="s">
        <v>37</v>
      </c>
      <c r="QM451" s="90" t="s">
        <v>37</v>
      </c>
      <c r="QN451" s="90" t="s">
        <v>37</v>
      </c>
      <c r="QO451" s="90" t="s">
        <v>37</v>
      </c>
      <c r="QP451" s="90" t="s">
        <v>37</v>
      </c>
      <c r="QU451" s="90" t="s">
        <v>37</v>
      </c>
      <c r="QV451" s="90" t="s">
        <v>37</v>
      </c>
      <c r="QW451" s="90" t="s">
        <v>37</v>
      </c>
      <c r="QX451" s="90" t="s">
        <v>37</v>
      </c>
      <c r="QY451" s="90" t="s">
        <v>37</v>
      </c>
      <c r="QZ451" s="90" t="s">
        <v>37</v>
      </c>
      <c r="RC451" s="90" t="s">
        <v>37</v>
      </c>
      <c r="RD451" s="90" t="s">
        <v>37</v>
      </c>
      <c r="RE451" s="90" t="s">
        <v>37</v>
      </c>
      <c r="RF451" s="90" t="s">
        <v>37</v>
      </c>
      <c r="RG451" s="90" t="s">
        <v>37</v>
      </c>
      <c r="RH451" s="90" t="s">
        <v>37</v>
      </c>
      <c r="RK451" s="90" t="s">
        <v>37</v>
      </c>
      <c r="RL451" s="90" t="s">
        <v>37</v>
      </c>
      <c r="RM451" s="90" t="s">
        <v>37</v>
      </c>
      <c r="RN451" s="90" t="s">
        <v>37</v>
      </c>
      <c r="RO451" s="90" t="s">
        <v>37</v>
      </c>
      <c r="RP451" s="90" t="s">
        <v>37</v>
      </c>
      <c r="RS451" s="90" t="s">
        <v>37</v>
      </c>
      <c r="RT451" s="90" t="s">
        <v>37</v>
      </c>
      <c r="RU451" s="90" t="s">
        <v>37</v>
      </c>
      <c r="RV451" s="90" t="s">
        <v>37</v>
      </c>
      <c r="RW451" s="90" t="s">
        <v>37</v>
      </c>
      <c r="RX451" s="90" t="s">
        <v>37</v>
      </c>
      <c r="SA451" s="90" t="s">
        <v>37</v>
      </c>
      <c r="SB451" s="90" t="s">
        <v>37</v>
      </c>
      <c r="SC451" s="90" t="s">
        <v>37</v>
      </c>
      <c r="SD451" s="90" t="s">
        <v>37</v>
      </c>
      <c r="SE451" s="90" t="s">
        <v>37</v>
      </c>
      <c r="SF451" s="90" t="s">
        <v>37</v>
      </c>
      <c r="SI451" s="90" t="s">
        <v>37</v>
      </c>
      <c r="SJ451" s="90" t="s">
        <v>37</v>
      </c>
      <c r="SK451" s="90" t="s">
        <v>37</v>
      </c>
      <c r="SL451" s="90" t="s">
        <v>37</v>
      </c>
      <c r="SM451" s="90" t="s">
        <v>37</v>
      </c>
      <c r="SN451" s="90" t="s">
        <v>37</v>
      </c>
      <c r="SO451" s="91"/>
      <c r="SP451" s="91"/>
      <c r="SQ451" s="91"/>
      <c r="SR451" s="91"/>
      <c r="SU451" s="90" t="s">
        <v>37</v>
      </c>
      <c r="SV451" s="90" t="s">
        <v>37</v>
      </c>
      <c r="SW451" s="89" t="s">
        <v>37</v>
      </c>
      <c r="SX451" s="90" t="s">
        <v>37</v>
      </c>
      <c r="SY451" s="90" t="s">
        <v>37</v>
      </c>
      <c r="SZ451" s="89" t="s">
        <v>37</v>
      </c>
      <c r="TA451" s="89"/>
      <c r="TB451" s="89"/>
      <c r="TE451" s="90" t="s">
        <v>37</v>
      </c>
      <c r="TF451" s="90" t="s">
        <v>37</v>
      </c>
      <c r="TG451" s="89" t="s">
        <v>37</v>
      </c>
      <c r="TH451" s="90" t="s">
        <v>37</v>
      </c>
      <c r="TI451" s="90" t="s">
        <v>37</v>
      </c>
      <c r="TJ451" s="89" t="s">
        <v>37</v>
      </c>
      <c r="TK451" s="89"/>
      <c r="TL451" s="89"/>
      <c r="TO451" s="90" t="s">
        <v>37</v>
      </c>
      <c r="TP451" s="90" t="s">
        <v>37</v>
      </c>
      <c r="TQ451" s="89" t="s">
        <v>37</v>
      </c>
      <c r="TR451" s="90" t="s">
        <v>37</v>
      </c>
      <c r="TS451" s="90" t="s">
        <v>37</v>
      </c>
      <c r="TT451" s="89" t="s">
        <v>37</v>
      </c>
      <c r="TU451" s="89"/>
      <c r="TV451" s="89"/>
      <c r="TY451" s="90" t="s">
        <v>37</v>
      </c>
      <c r="TZ451" s="90" t="s">
        <v>37</v>
      </c>
      <c r="UA451" s="90" t="s">
        <v>37</v>
      </c>
      <c r="UB451" s="90" t="s">
        <v>37</v>
      </c>
      <c r="UC451" s="90" t="s">
        <v>37</v>
      </c>
      <c r="UD451" s="90" t="s">
        <v>37</v>
      </c>
      <c r="UI451" s="90" t="s">
        <v>37</v>
      </c>
      <c r="UJ451" s="90" t="s">
        <v>37</v>
      </c>
      <c r="UK451" s="90" t="s">
        <v>37</v>
      </c>
      <c r="UL451" s="90" t="s">
        <v>37</v>
      </c>
      <c r="UM451" s="90" t="s">
        <v>37</v>
      </c>
      <c r="UN451" s="90" t="s">
        <v>37</v>
      </c>
      <c r="UR451" s="90" t="s">
        <v>37</v>
      </c>
      <c r="US451" s="90" t="s">
        <v>37</v>
      </c>
      <c r="UT451" s="90" t="s">
        <v>37</v>
      </c>
      <c r="UU451" s="90" t="s">
        <v>37</v>
      </c>
      <c r="UV451" s="90" t="s">
        <v>37</v>
      </c>
      <c r="UW451" s="90" t="s">
        <v>37</v>
      </c>
      <c r="VB451" s="90" t="s">
        <v>37</v>
      </c>
      <c r="VC451" s="90" t="s">
        <v>37</v>
      </c>
      <c r="VD451" s="90" t="s">
        <v>37</v>
      </c>
      <c r="VE451" s="90" t="s">
        <v>37</v>
      </c>
      <c r="VF451" s="90" t="s">
        <v>37</v>
      </c>
      <c r="VG451" s="90" t="s">
        <v>37</v>
      </c>
      <c r="VI451" s="90" t="s">
        <v>37</v>
      </c>
      <c r="VJ451" s="90" t="s">
        <v>37</v>
      </c>
      <c r="VK451" s="90" t="s">
        <v>37</v>
      </c>
      <c r="VL451" s="90" t="s">
        <v>37</v>
      </c>
      <c r="VM451" s="90" t="s">
        <v>37</v>
      </c>
      <c r="VN451" s="90" t="s">
        <v>37</v>
      </c>
      <c r="VQ451" s="91" t="s">
        <v>37</v>
      </c>
      <c r="VR451" s="91" t="s">
        <v>37</v>
      </c>
      <c r="VS451" s="91" t="s">
        <v>37</v>
      </c>
      <c r="VT451" s="91" t="s">
        <v>37</v>
      </c>
      <c r="VU451" s="91" t="s">
        <v>37</v>
      </c>
      <c r="VV451" s="91" t="s">
        <v>37</v>
      </c>
      <c r="VW451" s="91"/>
      <c r="VX451" s="91"/>
      <c r="WA451" s="91" t="s">
        <v>37</v>
      </c>
      <c r="WB451" s="91" t="s">
        <v>37</v>
      </c>
      <c r="WC451" s="91" t="s">
        <v>37</v>
      </c>
      <c r="WD451" s="91" t="s">
        <v>37</v>
      </c>
      <c r="WE451" s="91" t="s">
        <v>37</v>
      </c>
      <c r="WF451" s="91" t="s">
        <v>37</v>
      </c>
    </row>
    <row r="452" spans="1:604" s="90" customFormat="1" ht="18.75" customHeight="1" x14ac:dyDescent="0.3">
      <c r="A452" s="89">
        <v>108</v>
      </c>
      <c r="B452" s="84" t="s">
        <v>991</v>
      </c>
      <c r="C452" s="90" t="s">
        <v>26</v>
      </c>
      <c r="D452" s="90" t="s">
        <v>830</v>
      </c>
      <c r="E452" s="88">
        <v>2.5</v>
      </c>
      <c r="F452" s="88">
        <v>0</v>
      </c>
      <c r="G452" s="88">
        <v>0</v>
      </c>
      <c r="H452" s="90" t="s">
        <v>88</v>
      </c>
      <c r="I452" s="99">
        <v>-2.3199999999999998</v>
      </c>
      <c r="J452" s="99">
        <v>113.9</v>
      </c>
      <c r="K452" s="90" t="s">
        <v>379</v>
      </c>
      <c r="L452" s="90" t="s">
        <v>380</v>
      </c>
      <c r="M452" s="91" t="s">
        <v>37</v>
      </c>
      <c r="N452" s="88">
        <v>26</v>
      </c>
      <c r="O452" s="88">
        <v>2360</v>
      </c>
      <c r="P452" s="88" t="s">
        <v>89</v>
      </c>
      <c r="Q452" s="92">
        <v>10</v>
      </c>
      <c r="R452" s="11" t="s">
        <v>999</v>
      </c>
      <c r="S452" s="90" t="s">
        <v>105</v>
      </c>
      <c r="T452" s="90" t="s">
        <v>141</v>
      </c>
      <c r="U452" s="90" t="s">
        <v>158</v>
      </c>
      <c r="V452" s="90" t="s">
        <v>275</v>
      </c>
      <c r="W452" s="93" t="s">
        <v>381</v>
      </c>
      <c r="X452" s="90" t="s">
        <v>49</v>
      </c>
      <c r="Y452" s="90" t="s">
        <v>37</v>
      </c>
      <c r="Z452" s="90" t="s">
        <v>37</v>
      </c>
      <c r="AA452" s="94"/>
      <c r="AB452" s="90" t="s">
        <v>37</v>
      </c>
      <c r="AD452" s="94"/>
      <c r="AE452" s="90" t="s">
        <v>37</v>
      </c>
      <c r="AG452" s="94"/>
      <c r="AH452" s="90" t="s">
        <v>37</v>
      </c>
      <c r="AK452" s="90" t="s">
        <v>37</v>
      </c>
      <c r="AL452" s="94" t="s">
        <v>994</v>
      </c>
      <c r="AM452" s="90" t="s">
        <v>344</v>
      </c>
      <c r="AN452" s="94"/>
      <c r="AO452" s="90" t="s">
        <v>37</v>
      </c>
      <c r="AP452" s="90" t="s">
        <v>370</v>
      </c>
      <c r="AQ452" s="90" t="s">
        <v>849</v>
      </c>
      <c r="AS452" s="94"/>
      <c r="AT452" s="90" t="s">
        <v>326</v>
      </c>
      <c r="AU452" s="90" t="s">
        <v>326</v>
      </c>
      <c r="AV452" s="91" t="s">
        <v>326</v>
      </c>
      <c r="AW452" s="48"/>
      <c r="AX452" s="90" t="s">
        <v>326</v>
      </c>
      <c r="AY452" s="90" t="s">
        <v>326</v>
      </c>
      <c r="AZ452" s="91" t="s">
        <v>326</v>
      </c>
      <c r="BA452" s="48"/>
      <c r="BB452" s="48"/>
      <c r="BC452" s="48"/>
      <c r="BD452" s="94"/>
      <c r="BE452" s="90" t="s">
        <v>326</v>
      </c>
      <c r="BF452" s="90" t="s">
        <v>326</v>
      </c>
      <c r="BG452" s="90" t="s">
        <v>326</v>
      </c>
      <c r="BH452" s="48"/>
      <c r="BI452" s="90" t="s">
        <v>326</v>
      </c>
      <c r="BJ452" s="90" t="s">
        <v>326</v>
      </c>
      <c r="BK452" s="90" t="s">
        <v>326</v>
      </c>
      <c r="BL452" s="48"/>
      <c r="BM452" s="48"/>
      <c r="BN452" s="48"/>
      <c r="BP452" s="90" t="s">
        <v>37</v>
      </c>
      <c r="BQ452" s="90" t="s">
        <v>37</v>
      </c>
      <c r="BR452" s="91" t="s">
        <v>37</v>
      </c>
      <c r="BS452" s="48"/>
      <c r="BT452" s="90" t="s">
        <v>37</v>
      </c>
      <c r="BU452" s="90" t="s">
        <v>37</v>
      </c>
      <c r="BV452" s="90" t="s">
        <v>37</v>
      </c>
      <c r="BW452" s="48"/>
      <c r="BX452" s="48"/>
      <c r="BY452" s="48"/>
      <c r="BZ452" s="90" t="s">
        <v>47</v>
      </c>
      <c r="CA452" s="90">
        <f>-3695*10^4/10^3*44/12</f>
        <v>-135483.33333333334</v>
      </c>
      <c r="CB452" s="104">
        <f>ABS(CA452)*CD$474</f>
        <v>33032.253901622884</v>
      </c>
      <c r="CC452" s="91">
        <v>1</v>
      </c>
      <c r="CD452" s="91"/>
      <c r="CE452" s="90">
        <f>-4109*10^4/10^3*44/12</f>
        <v>-150663.33333333334</v>
      </c>
      <c r="CF452" s="104">
        <f>ABS(CE452)*CH$474</f>
        <v>56087.302967189695</v>
      </c>
      <c r="CG452" s="91">
        <v>1</v>
      </c>
      <c r="CH452" s="91"/>
      <c r="CI452" s="92">
        <f t="shared" si="1814"/>
        <v>-15180</v>
      </c>
      <c r="CJ452" s="90" t="e">
        <f t="shared" si="1815"/>
        <v>#DIV/0!</v>
      </c>
      <c r="CK452" s="96" t="e">
        <f t="shared" si="1816"/>
        <v>#DIV/0!</v>
      </c>
      <c r="CL452" s="96">
        <f t="shared" si="1817"/>
        <v>4236915351.9546061</v>
      </c>
      <c r="CM452" s="90" t="s">
        <v>47</v>
      </c>
      <c r="CN452" s="90">
        <f>3813*10^4/10^3*44/12</f>
        <v>139810</v>
      </c>
      <c r="CO452" s="104">
        <f>ABS(CN452)*CQ$474</f>
        <v>40213.174141201132</v>
      </c>
      <c r="CP452" s="91">
        <v>1</v>
      </c>
      <c r="CQ452" s="91"/>
      <c r="CR452" s="90">
        <f>4537*10^4/10^3*44/12</f>
        <v>166356.66666666666</v>
      </c>
      <c r="CS452" s="104">
        <f>ABS(CR452)*CU$474</f>
        <v>43650.520401835049</v>
      </c>
      <c r="CT452" s="91">
        <v>1</v>
      </c>
      <c r="CU452" s="91"/>
      <c r="CV452" s="92">
        <f t="shared" si="1761"/>
        <v>26546.666666666657</v>
      </c>
      <c r="CW452" s="90" t="e">
        <f t="shared" si="1762"/>
        <v>#DIV/0!</v>
      </c>
      <c r="CX452" s="96" t="e">
        <f t="shared" si="1818"/>
        <v>#DIV/0!</v>
      </c>
      <c r="CY452" s="96">
        <f t="shared" si="1764"/>
        <v>3522467305.8615851</v>
      </c>
      <c r="CZ452" s="90" t="s">
        <v>47</v>
      </c>
      <c r="DA452" s="90">
        <f>118*10^4/10^3*44/12</f>
        <v>4326.666666666667</v>
      </c>
      <c r="DB452" s="104">
        <f>ABS(DA452)*DD$474</f>
        <v>12978.514043915675</v>
      </c>
      <c r="DC452" s="91">
        <v>1</v>
      </c>
      <c r="DD452" s="91"/>
      <c r="DE452" s="90">
        <f>428*10^4/10^3*44/12</f>
        <v>15693.333333333334</v>
      </c>
      <c r="DF452" s="104">
        <f>ABS(DE452)*DH$474</f>
        <v>14957.987585210836</v>
      </c>
      <c r="DG452" s="91">
        <v>1</v>
      </c>
      <c r="DH452" s="91"/>
      <c r="DI452" s="48">
        <f t="shared" si="1784"/>
        <v>11366.666666666668</v>
      </c>
      <c r="DJ452" s="90" t="e">
        <f t="shared" si="1766"/>
        <v>#DIV/0!</v>
      </c>
      <c r="DK452" s="96" t="e">
        <f t="shared" si="1819"/>
        <v>#DIV/0!</v>
      </c>
      <c r="DL452" s="96">
        <f t="shared" si="1768"/>
        <v>392183219.38743794</v>
      </c>
      <c r="DM452" s="89"/>
      <c r="DN452" s="90" t="s">
        <v>37</v>
      </c>
      <c r="DO452" s="90" t="s">
        <v>37</v>
      </c>
      <c r="DP452" s="91" t="s">
        <v>37</v>
      </c>
      <c r="DQ452" s="91"/>
      <c r="DR452" s="90" t="s">
        <v>37</v>
      </c>
      <c r="DS452" s="90" t="s">
        <v>37</v>
      </c>
      <c r="DT452" s="91" t="s">
        <v>37</v>
      </c>
      <c r="DU452" s="48"/>
      <c r="DV452" s="48"/>
      <c r="DW452" s="48"/>
      <c r="DX452" s="96"/>
      <c r="DY452" s="96"/>
      <c r="DZ452" s="89"/>
      <c r="EA452" s="101" t="s">
        <v>37</v>
      </c>
      <c r="EB452" s="101" t="s">
        <v>37</v>
      </c>
      <c r="EC452" s="101" t="s">
        <v>37</v>
      </c>
      <c r="ED452" s="101"/>
      <c r="EE452" s="101" t="s">
        <v>37</v>
      </c>
      <c r="EF452" s="101" t="s">
        <v>37</v>
      </c>
      <c r="EG452" s="101" t="s">
        <v>37</v>
      </c>
      <c r="EH452" s="91"/>
      <c r="EI452" s="91"/>
      <c r="EJ452" s="91"/>
      <c r="EK452" s="91"/>
      <c r="EL452" s="91"/>
      <c r="EM452" s="90" t="s">
        <v>39</v>
      </c>
      <c r="EN452" s="90">
        <v>-11</v>
      </c>
      <c r="EO452" s="50">
        <f>ABS(EN452)*EQ$474</f>
        <v>4.4824603862642265</v>
      </c>
      <c r="EP452" s="91">
        <v>1</v>
      </c>
      <c r="EQ452" s="48"/>
      <c r="ER452" s="90">
        <v>-59</v>
      </c>
      <c r="ES452" s="50">
        <f>ABS(ER452)*EU$474</f>
        <v>13.382029157042457</v>
      </c>
      <c r="ET452" s="91">
        <v>1</v>
      </c>
      <c r="EU452" s="48"/>
      <c r="EV452" s="90">
        <f t="shared" si="1810"/>
        <v>-48</v>
      </c>
      <c r="EW452" s="90" t="e">
        <f t="shared" si="1811"/>
        <v>#DIV/0!</v>
      </c>
      <c r="EX452" s="48" t="e">
        <f t="shared" si="1812"/>
        <v>#DIV/0!</v>
      </c>
      <c r="EY452" s="48">
        <f t="shared" si="1813"/>
        <v>199.17115547436248</v>
      </c>
      <c r="FB452" s="90" t="s">
        <v>37</v>
      </c>
      <c r="FC452" s="90" t="s">
        <v>37</v>
      </c>
      <c r="FD452" s="89" t="s">
        <v>37</v>
      </c>
      <c r="FE452" s="90" t="s">
        <v>37</v>
      </c>
      <c r="FF452" s="100" t="s">
        <v>37</v>
      </c>
      <c r="FG452" s="89" t="s">
        <v>37</v>
      </c>
      <c r="FH452" s="94"/>
      <c r="FI452" s="90" t="s">
        <v>37</v>
      </c>
      <c r="FJ452" s="90" t="s">
        <v>37</v>
      </c>
      <c r="FK452" s="89" t="s">
        <v>37</v>
      </c>
      <c r="FL452" s="91" t="s">
        <v>37</v>
      </c>
      <c r="FM452" s="89" t="s">
        <v>37</v>
      </c>
      <c r="FN452" s="89" t="s">
        <v>37</v>
      </c>
      <c r="FO452" s="94"/>
      <c r="FP452" s="90" t="s">
        <v>37</v>
      </c>
      <c r="FQ452" s="90" t="s">
        <v>37</v>
      </c>
      <c r="FR452" s="89" t="s">
        <v>37</v>
      </c>
      <c r="FS452" s="91" t="s">
        <v>37</v>
      </c>
      <c r="FT452" s="89" t="s">
        <v>37</v>
      </c>
      <c r="FU452" s="89" t="s">
        <v>37</v>
      </c>
      <c r="FV452" s="94"/>
      <c r="FW452" s="90" t="s">
        <v>37</v>
      </c>
      <c r="FX452" s="90" t="s">
        <v>37</v>
      </c>
      <c r="FY452" s="89" t="s">
        <v>37</v>
      </c>
      <c r="FZ452" s="91" t="s">
        <v>37</v>
      </c>
      <c r="GA452" s="89" t="s">
        <v>37</v>
      </c>
      <c r="GB452" s="89" t="s">
        <v>37</v>
      </c>
      <c r="GE452" s="90" t="s">
        <v>37</v>
      </c>
      <c r="GF452" s="90" t="s">
        <v>37</v>
      </c>
      <c r="GG452" s="90" t="s">
        <v>37</v>
      </c>
      <c r="GH452" s="91"/>
      <c r="GI452" s="90" t="s">
        <v>37</v>
      </c>
      <c r="GJ452" s="90" t="s">
        <v>37</v>
      </c>
      <c r="GK452" s="90" t="s">
        <v>37</v>
      </c>
      <c r="GL452" s="91"/>
      <c r="GM452" s="91"/>
      <c r="GN452" s="91"/>
      <c r="GQ452" s="90" t="s">
        <v>37</v>
      </c>
      <c r="GR452" s="90" t="s">
        <v>37</v>
      </c>
      <c r="GS452" s="90" t="s">
        <v>37</v>
      </c>
      <c r="GT452" s="91"/>
      <c r="GU452" s="90" t="s">
        <v>37</v>
      </c>
      <c r="GV452" s="90" t="s">
        <v>37</v>
      </c>
      <c r="GW452" s="90" t="s">
        <v>37</v>
      </c>
      <c r="GX452" s="91"/>
      <c r="GY452" s="91"/>
      <c r="GZ452" s="91"/>
      <c r="HA452" s="97"/>
      <c r="HB452" s="98"/>
      <c r="HC452" s="90" t="s">
        <v>37</v>
      </c>
      <c r="HD452" s="90" t="s">
        <v>37</v>
      </c>
      <c r="HE452" s="90" t="s">
        <v>37</v>
      </c>
      <c r="HF452" s="91"/>
      <c r="HG452" s="90" t="s">
        <v>37</v>
      </c>
      <c r="HH452" s="90" t="s">
        <v>37</v>
      </c>
      <c r="HI452" s="90" t="s">
        <v>37</v>
      </c>
      <c r="HJ452" s="91"/>
      <c r="HK452" s="91"/>
      <c r="HL452" s="91"/>
      <c r="HM452" s="98"/>
      <c r="HN452" s="90" t="s">
        <v>37</v>
      </c>
      <c r="HO452" s="90" t="s">
        <v>37</v>
      </c>
      <c r="HP452" s="90" t="s">
        <v>37</v>
      </c>
      <c r="HQ452" s="91"/>
      <c r="HR452" s="90" t="s">
        <v>37</v>
      </c>
      <c r="HS452" s="90" t="s">
        <v>37</v>
      </c>
      <c r="HT452" s="90" t="s">
        <v>37</v>
      </c>
      <c r="HU452" s="91"/>
      <c r="HV452" s="91"/>
      <c r="HW452" s="91"/>
      <c r="HX452" s="98"/>
      <c r="HY452" s="90" t="s">
        <v>37</v>
      </c>
      <c r="HZ452" s="90" t="s">
        <v>37</v>
      </c>
      <c r="IA452" s="90" t="s">
        <v>37</v>
      </c>
      <c r="IB452" s="91"/>
      <c r="IC452" s="90" t="s">
        <v>37</v>
      </c>
      <c r="ID452" s="90" t="s">
        <v>37</v>
      </c>
      <c r="IE452" s="90" t="s">
        <v>37</v>
      </c>
      <c r="IF452" s="91"/>
      <c r="IG452" s="91"/>
      <c r="IH452" s="91"/>
      <c r="IK452" s="90" t="s">
        <v>37</v>
      </c>
      <c r="IL452" s="90" t="s">
        <v>37</v>
      </c>
      <c r="IM452" s="90" t="s">
        <v>37</v>
      </c>
      <c r="IN452" s="91"/>
      <c r="IO452" s="90" t="s">
        <v>37</v>
      </c>
      <c r="IP452" s="90" t="s">
        <v>37</v>
      </c>
      <c r="IQ452" s="90" t="s">
        <v>37</v>
      </c>
      <c r="IR452" s="91"/>
      <c r="IS452" s="91"/>
      <c r="IT452" s="91"/>
      <c r="IV452" s="94"/>
      <c r="IW452" s="90" t="s">
        <v>37</v>
      </c>
      <c r="IX452" s="90" t="s">
        <v>37</v>
      </c>
      <c r="IY452" s="90" t="s">
        <v>37</v>
      </c>
      <c r="IZ452" s="91"/>
      <c r="JA452" s="90" t="s">
        <v>37</v>
      </c>
      <c r="JB452" s="90" t="s">
        <v>37</v>
      </c>
      <c r="JC452" s="90" t="s">
        <v>37</v>
      </c>
      <c r="JD452" s="91"/>
      <c r="JE452" s="91"/>
      <c r="JF452" s="91"/>
      <c r="JG452" s="94"/>
      <c r="JH452" s="90" t="s">
        <v>37</v>
      </c>
      <c r="JI452" s="90" t="s">
        <v>37</v>
      </c>
      <c r="JJ452" s="90" t="s">
        <v>37</v>
      </c>
      <c r="JK452" s="91"/>
      <c r="JL452" s="90" t="s">
        <v>37</v>
      </c>
      <c r="JM452" s="90" t="s">
        <v>37</v>
      </c>
      <c r="JN452" s="90" t="s">
        <v>37</v>
      </c>
      <c r="JO452" s="91"/>
      <c r="JP452" s="91"/>
      <c r="JQ452" s="91"/>
      <c r="JR452" s="94"/>
      <c r="JS452" s="90" t="s">
        <v>37</v>
      </c>
      <c r="JT452" s="90" t="s">
        <v>37</v>
      </c>
      <c r="JU452" s="90" t="s">
        <v>37</v>
      </c>
      <c r="JV452" s="91"/>
      <c r="JW452" s="90" t="s">
        <v>37</v>
      </c>
      <c r="JX452" s="90" t="s">
        <v>37</v>
      </c>
      <c r="JY452" s="90" t="s">
        <v>37</v>
      </c>
      <c r="JZ452" s="91"/>
      <c r="KA452" s="91"/>
      <c r="KB452" s="91"/>
      <c r="KE452" s="90" t="s">
        <v>37</v>
      </c>
      <c r="KF452" s="90" t="s">
        <v>37</v>
      </c>
      <c r="KG452" s="90" t="s">
        <v>37</v>
      </c>
      <c r="KH452" s="90" t="s">
        <v>37</v>
      </c>
      <c r="KI452" s="90" t="s">
        <v>37</v>
      </c>
      <c r="KJ452" s="90" t="s">
        <v>37</v>
      </c>
      <c r="KL452" s="94"/>
      <c r="KM452" s="90" t="s">
        <v>37</v>
      </c>
      <c r="KN452" s="90" t="s">
        <v>37</v>
      </c>
      <c r="KO452" s="90" t="s">
        <v>37</v>
      </c>
      <c r="KQ452" s="90" t="s">
        <v>37</v>
      </c>
      <c r="KR452" s="90" t="s">
        <v>37</v>
      </c>
      <c r="KS452" s="90" t="s">
        <v>37</v>
      </c>
      <c r="KW452" s="94"/>
      <c r="KX452" s="90" t="s">
        <v>37</v>
      </c>
      <c r="KY452" s="90" t="s">
        <v>37</v>
      </c>
      <c r="KZ452" s="90" t="s">
        <v>37</v>
      </c>
      <c r="LA452" s="91"/>
      <c r="LB452" s="90" t="s">
        <v>37</v>
      </c>
      <c r="LC452" s="90" t="s">
        <v>37</v>
      </c>
      <c r="LD452" s="90" t="s">
        <v>37</v>
      </c>
      <c r="LE452" s="91"/>
      <c r="LF452" s="91"/>
      <c r="LG452" s="91"/>
      <c r="LH452" s="94"/>
      <c r="LI452" s="90" t="s">
        <v>37</v>
      </c>
      <c r="LJ452" s="90" t="s">
        <v>37</v>
      </c>
      <c r="LK452" s="90" t="s">
        <v>37</v>
      </c>
      <c r="LL452" s="91"/>
      <c r="LM452" s="90" t="s">
        <v>37</v>
      </c>
      <c r="LN452" s="90" t="s">
        <v>37</v>
      </c>
      <c r="LO452" s="90" t="s">
        <v>37</v>
      </c>
      <c r="LP452" s="91"/>
      <c r="LQ452" s="91"/>
      <c r="LR452" s="91"/>
      <c r="LU452" s="90" t="s">
        <v>37</v>
      </c>
      <c r="LV452" s="90" t="s">
        <v>37</v>
      </c>
      <c r="LW452" s="90" t="s">
        <v>37</v>
      </c>
      <c r="LX452" s="91"/>
      <c r="LY452" s="90" t="s">
        <v>37</v>
      </c>
      <c r="LZ452" s="90" t="s">
        <v>37</v>
      </c>
      <c r="MA452" s="90" t="s">
        <v>37</v>
      </c>
      <c r="MB452" s="91"/>
      <c r="MC452" s="91"/>
      <c r="MD452" s="91"/>
      <c r="MF452" s="90" t="s">
        <v>37</v>
      </c>
      <c r="MG452" s="90" t="s">
        <v>37</v>
      </c>
      <c r="MH452" s="90" t="s">
        <v>37</v>
      </c>
      <c r="MI452" s="91"/>
      <c r="MJ452" s="90" t="s">
        <v>37</v>
      </c>
      <c r="MK452" s="90" t="s">
        <v>37</v>
      </c>
      <c r="ML452" s="90" t="s">
        <v>37</v>
      </c>
      <c r="MM452" s="91"/>
      <c r="MN452" s="91"/>
      <c r="MO452" s="91"/>
      <c r="MQ452" s="90" t="s">
        <v>37</v>
      </c>
      <c r="MR452" s="90" t="s">
        <v>37</v>
      </c>
      <c r="MS452" s="90" t="s">
        <v>37</v>
      </c>
      <c r="MT452" s="48"/>
      <c r="MU452" s="90" t="s">
        <v>37</v>
      </c>
      <c r="MV452" s="90" t="s">
        <v>37</v>
      </c>
      <c r="MW452" s="90" t="s">
        <v>37</v>
      </c>
      <c r="MX452" s="48"/>
      <c r="MY452" s="48"/>
      <c r="MZ452" s="48"/>
      <c r="NC452" s="90" t="s">
        <v>37</v>
      </c>
      <c r="ND452" s="90" t="s">
        <v>37</v>
      </c>
      <c r="NE452" s="90" t="s">
        <v>37</v>
      </c>
      <c r="NF452" s="48"/>
      <c r="NG452" s="90" t="s">
        <v>37</v>
      </c>
      <c r="NH452" s="90" t="s">
        <v>37</v>
      </c>
      <c r="NI452" s="90" t="s">
        <v>37</v>
      </c>
      <c r="NJ452" s="48"/>
      <c r="NK452" s="48"/>
      <c r="NL452" s="48"/>
      <c r="NO452" s="90" t="s">
        <v>37</v>
      </c>
      <c r="NP452" s="90" t="s">
        <v>37</v>
      </c>
      <c r="NQ452" s="90" t="s">
        <v>37</v>
      </c>
      <c r="NR452" s="48"/>
      <c r="NS452" s="90" t="s">
        <v>37</v>
      </c>
      <c r="NT452" s="90" t="s">
        <v>37</v>
      </c>
      <c r="NU452" s="90" t="s">
        <v>37</v>
      </c>
      <c r="NV452" s="48"/>
      <c r="NW452" s="48"/>
      <c r="NX452" s="48"/>
      <c r="OA452" s="90" t="s">
        <v>37</v>
      </c>
      <c r="OB452" s="90" t="s">
        <v>37</v>
      </c>
      <c r="OC452" s="90" t="s">
        <v>37</v>
      </c>
      <c r="OE452" s="90" t="s">
        <v>37</v>
      </c>
      <c r="OF452" s="90" t="s">
        <v>37</v>
      </c>
      <c r="OG452" s="90" t="s">
        <v>37</v>
      </c>
      <c r="OM452" s="90" t="s">
        <v>37</v>
      </c>
      <c r="ON452" s="90" t="s">
        <v>37</v>
      </c>
      <c r="OO452" s="90" t="s">
        <v>37</v>
      </c>
      <c r="OP452" s="90" t="s">
        <v>37</v>
      </c>
      <c r="OQ452" s="90" t="s">
        <v>37</v>
      </c>
      <c r="OR452" s="90" t="s">
        <v>37</v>
      </c>
      <c r="OW452" s="90" t="s">
        <v>37</v>
      </c>
      <c r="OX452" s="90" t="s">
        <v>37</v>
      </c>
      <c r="OY452" s="91" t="s">
        <v>37</v>
      </c>
      <c r="OZ452" s="90" t="s">
        <v>37</v>
      </c>
      <c r="PA452" s="90" t="s">
        <v>37</v>
      </c>
      <c r="PB452" s="91" t="s">
        <v>37</v>
      </c>
      <c r="PC452" s="91"/>
      <c r="PD452" s="91"/>
      <c r="PG452" s="89" t="s">
        <v>37</v>
      </c>
      <c r="PH452" s="89" t="s">
        <v>37</v>
      </c>
      <c r="PI452" s="91" t="s">
        <v>37</v>
      </c>
      <c r="PJ452" s="89" t="s">
        <v>37</v>
      </c>
      <c r="PK452" s="89" t="s">
        <v>37</v>
      </c>
      <c r="PL452" s="91" t="s">
        <v>37</v>
      </c>
      <c r="PM452" s="91"/>
      <c r="PN452" s="91"/>
      <c r="PQ452" s="90" t="s">
        <v>37</v>
      </c>
      <c r="PR452" s="90" t="s">
        <v>37</v>
      </c>
      <c r="PS452" s="90" t="s">
        <v>37</v>
      </c>
      <c r="PT452" s="90" t="s">
        <v>37</v>
      </c>
      <c r="PU452" s="90" t="s">
        <v>37</v>
      </c>
      <c r="PV452" s="90" t="s">
        <v>37</v>
      </c>
      <c r="PZ452" s="90" t="s">
        <v>37</v>
      </c>
      <c r="QA452" s="90" t="s">
        <v>37</v>
      </c>
      <c r="QB452" s="89" t="s">
        <v>37</v>
      </c>
      <c r="QC452" s="48"/>
      <c r="QD452" s="90" t="s">
        <v>37</v>
      </c>
      <c r="QE452" s="90" t="s">
        <v>37</v>
      </c>
      <c r="QF452" s="90" t="s">
        <v>37</v>
      </c>
      <c r="QG452" s="48"/>
      <c r="QH452" s="48"/>
      <c r="QI452" s="48"/>
      <c r="QK452" s="90" t="s">
        <v>37</v>
      </c>
      <c r="QL452" s="90" t="s">
        <v>37</v>
      </c>
      <c r="QM452" s="90" t="s">
        <v>37</v>
      </c>
      <c r="QN452" s="90" t="s">
        <v>37</v>
      </c>
      <c r="QO452" s="90" t="s">
        <v>37</v>
      </c>
      <c r="QP452" s="90" t="s">
        <v>37</v>
      </c>
      <c r="QU452" s="90" t="s">
        <v>37</v>
      </c>
      <c r="QV452" s="90" t="s">
        <v>37</v>
      </c>
      <c r="QW452" s="90" t="s">
        <v>37</v>
      </c>
      <c r="QX452" s="90" t="s">
        <v>37</v>
      </c>
      <c r="QY452" s="90" t="s">
        <v>37</v>
      </c>
      <c r="QZ452" s="90" t="s">
        <v>37</v>
      </c>
      <c r="RC452" s="90" t="s">
        <v>37</v>
      </c>
      <c r="RD452" s="90" t="s">
        <v>37</v>
      </c>
      <c r="RE452" s="90" t="s">
        <v>37</v>
      </c>
      <c r="RF452" s="90" t="s">
        <v>37</v>
      </c>
      <c r="RG452" s="90" t="s">
        <v>37</v>
      </c>
      <c r="RH452" s="90" t="s">
        <v>37</v>
      </c>
      <c r="RK452" s="90" t="s">
        <v>37</v>
      </c>
      <c r="RL452" s="90" t="s">
        <v>37</v>
      </c>
      <c r="RM452" s="90" t="s">
        <v>37</v>
      </c>
      <c r="RN452" s="90" t="s">
        <v>37</v>
      </c>
      <c r="RO452" s="90" t="s">
        <v>37</v>
      </c>
      <c r="RP452" s="90" t="s">
        <v>37</v>
      </c>
      <c r="RS452" s="90" t="s">
        <v>37</v>
      </c>
      <c r="RT452" s="90" t="s">
        <v>37</v>
      </c>
      <c r="RU452" s="90" t="s">
        <v>37</v>
      </c>
      <c r="RV452" s="90" t="s">
        <v>37</v>
      </c>
      <c r="RW452" s="90" t="s">
        <v>37</v>
      </c>
      <c r="RX452" s="90" t="s">
        <v>37</v>
      </c>
      <c r="SA452" s="90" t="s">
        <v>37</v>
      </c>
      <c r="SB452" s="90" t="s">
        <v>37</v>
      </c>
      <c r="SC452" s="90" t="s">
        <v>37</v>
      </c>
      <c r="SD452" s="90" t="s">
        <v>37</v>
      </c>
      <c r="SE452" s="90" t="s">
        <v>37</v>
      </c>
      <c r="SF452" s="90" t="s">
        <v>37</v>
      </c>
      <c r="SI452" s="90" t="s">
        <v>37</v>
      </c>
      <c r="SJ452" s="90" t="s">
        <v>37</v>
      </c>
      <c r="SK452" s="90" t="s">
        <v>37</v>
      </c>
      <c r="SL452" s="90" t="s">
        <v>37</v>
      </c>
      <c r="SM452" s="90" t="s">
        <v>37</v>
      </c>
      <c r="SN452" s="90" t="s">
        <v>37</v>
      </c>
      <c r="SO452" s="91"/>
      <c r="SP452" s="91"/>
      <c r="SQ452" s="91"/>
      <c r="SR452" s="91"/>
      <c r="SU452" s="90" t="s">
        <v>37</v>
      </c>
      <c r="SV452" s="90" t="s">
        <v>37</v>
      </c>
      <c r="SW452" s="89" t="s">
        <v>37</v>
      </c>
      <c r="SX452" s="90" t="s">
        <v>37</v>
      </c>
      <c r="SY452" s="90" t="s">
        <v>37</v>
      </c>
      <c r="SZ452" s="89" t="s">
        <v>37</v>
      </c>
      <c r="TA452" s="89"/>
      <c r="TB452" s="89"/>
      <c r="TE452" s="90" t="s">
        <v>37</v>
      </c>
      <c r="TF452" s="90" t="s">
        <v>37</v>
      </c>
      <c r="TG452" s="89" t="s">
        <v>37</v>
      </c>
      <c r="TH452" s="90" t="s">
        <v>37</v>
      </c>
      <c r="TI452" s="90" t="s">
        <v>37</v>
      </c>
      <c r="TJ452" s="89" t="s">
        <v>37</v>
      </c>
      <c r="TK452" s="89"/>
      <c r="TL452" s="89"/>
      <c r="TO452" s="90" t="s">
        <v>37</v>
      </c>
      <c r="TP452" s="90" t="s">
        <v>37</v>
      </c>
      <c r="TQ452" s="89" t="s">
        <v>37</v>
      </c>
      <c r="TR452" s="90" t="s">
        <v>37</v>
      </c>
      <c r="TS452" s="90" t="s">
        <v>37</v>
      </c>
      <c r="TT452" s="89" t="s">
        <v>37</v>
      </c>
      <c r="TU452" s="89"/>
      <c r="TV452" s="89"/>
      <c r="TY452" s="90" t="s">
        <v>37</v>
      </c>
      <c r="TZ452" s="90" t="s">
        <v>37</v>
      </c>
      <c r="UA452" s="90" t="s">
        <v>37</v>
      </c>
      <c r="UB452" s="90" t="s">
        <v>37</v>
      </c>
      <c r="UC452" s="90" t="s">
        <v>37</v>
      </c>
      <c r="UD452" s="90" t="s">
        <v>37</v>
      </c>
      <c r="UI452" s="90" t="s">
        <v>37</v>
      </c>
      <c r="UJ452" s="90" t="s">
        <v>37</v>
      </c>
      <c r="UK452" s="90" t="s">
        <v>37</v>
      </c>
      <c r="UL452" s="90" t="s">
        <v>37</v>
      </c>
      <c r="UM452" s="90" t="s">
        <v>37</v>
      </c>
      <c r="UN452" s="90" t="s">
        <v>37</v>
      </c>
      <c r="UR452" s="90" t="s">
        <v>37</v>
      </c>
      <c r="US452" s="90" t="s">
        <v>37</v>
      </c>
      <c r="UT452" s="90" t="s">
        <v>37</v>
      </c>
      <c r="UU452" s="90" t="s">
        <v>37</v>
      </c>
      <c r="UV452" s="90" t="s">
        <v>37</v>
      </c>
      <c r="UW452" s="90" t="s">
        <v>37</v>
      </c>
      <c r="VB452" s="90" t="s">
        <v>37</v>
      </c>
      <c r="VC452" s="90" t="s">
        <v>37</v>
      </c>
      <c r="VD452" s="90" t="s">
        <v>37</v>
      </c>
      <c r="VE452" s="90" t="s">
        <v>37</v>
      </c>
      <c r="VF452" s="90" t="s">
        <v>37</v>
      </c>
      <c r="VG452" s="90" t="s">
        <v>37</v>
      </c>
      <c r="VI452" s="90" t="s">
        <v>37</v>
      </c>
      <c r="VJ452" s="90" t="s">
        <v>37</v>
      </c>
      <c r="VK452" s="90" t="s">
        <v>37</v>
      </c>
      <c r="VL452" s="90" t="s">
        <v>37</v>
      </c>
      <c r="VM452" s="90" t="s">
        <v>37</v>
      </c>
      <c r="VN452" s="90" t="s">
        <v>37</v>
      </c>
      <c r="VQ452" s="91" t="s">
        <v>37</v>
      </c>
      <c r="VR452" s="91" t="s">
        <v>37</v>
      </c>
      <c r="VS452" s="91" t="s">
        <v>37</v>
      </c>
      <c r="VT452" s="91" t="s">
        <v>37</v>
      </c>
      <c r="VU452" s="91" t="s">
        <v>37</v>
      </c>
      <c r="VV452" s="91" t="s">
        <v>37</v>
      </c>
      <c r="VW452" s="91"/>
      <c r="VX452" s="91"/>
      <c r="WA452" s="91" t="s">
        <v>37</v>
      </c>
      <c r="WB452" s="91" t="s">
        <v>37</v>
      </c>
      <c r="WC452" s="91" t="s">
        <v>37</v>
      </c>
      <c r="WD452" s="91" t="s">
        <v>37</v>
      </c>
      <c r="WE452" s="91" t="s">
        <v>37</v>
      </c>
      <c r="WF452" s="91" t="s">
        <v>37</v>
      </c>
    </row>
    <row r="453" spans="1:604" s="90" customFormat="1" ht="18.75" customHeight="1" x14ac:dyDescent="0.3">
      <c r="A453" s="89">
        <v>108</v>
      </c>
      <c r="B453" s="84" t="s">
        <v>991</v>
      </c>
      <c r="C453" s="90" t="s">
        <v>26</v>
      </c>
      <c r="D453" s="90" t="s">
        <v>830</v>
      </c>
      <c r="E453" s="88">
        <v>2.5</v>
      </c>
      <c r="F453" s="88">
        <v>0</v>
      </c>
      <c r="G453" s="88">
        <v>0</v>
      </c>
      <c r="H453" s="90" t="s">
        <v>88</v>
      </c>
      <c r="I453" s="99">
        <v>-2.3199999999999998</v>
      </c>
      <c r="J453" s="99">
        <v>113.9</v>
      </c>
      <c r="K453" s="90" t="s">
        <v>379</v>
      </c>
      <c r="L453" s="90" t="s">
        <v>380</v>
      </c>
      <c r="M453" s="91" t="s">
        <v>37</v>
      </c>
      <c r="N453" s="88">
        <v>26</v>
      </c>
      <c r="O453" s="88">
        <v>2442</v>
      </c>
      <c r="P453" s="88" t="s">
        <v>89</v>
      </c>
      <c r="Q453" s="92">
        <v>11</v>
      </c>
      <c r="R453" s="11" t="s">
        <v>999</v>
      </c>
      <c r="S453" s="90" t="s">
        <v>105</v>
      </c>
      <c r="T453" s="90" t="s">
        <v>141</v>
      </c>
      <c r="U453" s="90" t="s">
        <v>158</v>
      </c>
      <c r="V453" s="90" t="s">
        <v>275</v>
      </c>
      <c r="W453" s="93" t="s">
        <v>381</v>
      </c>
      <c r="X453" s="90" t="s">
        <v>49</v>
      </c>
      <c r="Y453" s="90" t="s">
        <v>37</v>
      </c>
      <c r="Z453" s="90" t="s">
        <v>37</v>
      </c>
      <c r="AA453" s="94"/>
      <c r="AB453" s="90" t="s">
        <v>37</v>
      </c>
      <c r="AD453" s="94"/>
      <c r="AE453" s="90" t="s">
        <v>37</v>
      </c>
      <c r="AG453" s="94"/>
      <c r="AH453" s="90" t="s">
        <v>37</v>
      </c>
      <c r="AK453" s="90" t="s">
        <v>37</v>
      </c>
      <c r="AL453" s="94" t="s">
        <v>452</v>
      </c>
      <c r="AM453" s="90" t="s">
        <v>344</v>
      </c>
      <c r="AN453" s="94"/>
      <c r="AO453" s="90" t="s">
        <v>37</v>
      </c>
      <c r="AP453" s="90" t="s">
        <v>370</v>
      </c>
      <c r="AQ453" s="90" t="s">
        <v>849</v>
      </c>
      <c r="AS453" s="94"/>
      <c r="AT453" s="90" t="s">
        <v>326</v>
      </c>
      <c r="AU453" s="90" t="s">
        <v>326</v>
      </c>
      <c r="AV453" s="91" t="s">
        <v>326</v>
      </c>
      <c r="AW453" s="48"/>
      <c r="AX453" s="90" t="s">
        <v>326</v>
      </c>
      <c r="AY453" s="90" t="s">
        <v>326</v>
      </c>
      <c r="AZ453" s="91" t="s">
        <v>326</v>
      </c>
      <c r="BA453" s="48"/>
      <c r="BB453" s="48"/>
      <c r="BC453" s="48"/>
      <c r="BD453" s="94"/>
      <c r="BE453" s="90" t="s">
        <v>326</v>
      </c>
      <c r="BF453" s="90" t="s">
        <v>326</v>
      </c>
      <c r="BG453" s="90" t="s">
        <v>326</v>
      </c>
      <c r="BH453" s="48"/>
      <c r="BI453" s="90" t="s">
        <v>326</v>
      </c>
      <c r="BJ453" s="90" t="s">
        <v>326</v>
      </c>
      <c r="BK453" s="90" t="s">
        <v>326</v>
      </c>
      <c r="BL453" s="48"/>
      <c r="BM453" s="48"/>
      <c r="BN453" s="48"/>
      <c r="BP453" s="90" t="s">
        <v>37</v>
      </c>
      <c r="BQ453" s="90" t="s">
        <v>37</v>
      </c>
      <c r="BR453" s="91" t="s">
        <v>37</v>
      </c>
      <c r="BS453" s="48"/>
      <c r="BT453" s="90" t="s">
        <v>37</v>
      </c>
      <c r="BU453" s="90" t="s">
        <v>37</v>
      </c>
      <c r="BV453" s="90" t="s">
        <v>37</v>
      </c>
      <c r="BW453" s="48"/>
      <c r="BX453" s="48"/>
      <c r="BY453" s="48"/>
      <c r="BZ453" s="90" t="s">
        <v>47</v>
      </c>
      <c r="CA453" s="90">
        <f>-3665*10^4/10^3*44/12</f>
        <v>-134383.33333333334</v>
      </c>
      <c r="CB453" s="104">
        <f>ABS(CA453)*CD$474</f>
        <v>32764.062394979126</v>
      </c>
      <c r="CC453" s="91">
        <v>1</v>
      </c>
      <c r="CD453" s="91"/>
      <c r="CE453" s="90">
        <f>-4040*10^4/10^3*44/12</f>
        <v>-148133.33333333334</v>
      </c>
      <c r="CF453" s="104">
        <f>ABS(CE453)*CH$474</f>
        <v>55145.46215318724</v>
      </c>
      <c r="CG453" s="91">
        <v>1</v>
      </c>
      <c r="CH453" s="91"/>
      <c r="CI453" s="92">
        <f t="shared" si="1814"/>
        <v>-13750</v>
      </c>
      <c r="CJ453" s="90" t="e">
        <f>SQRT(((CC453-1)*CB453^2+(CG453-1)*CF453^2)/(CC453+CG453-2))</f>
        <v>#DIV/0!</v>
      </c>
      <c r="CK453" s="96" t="e">
        <f t="shared" si="1816"/>
        <v>#DIV/0!</v>
      </c>
      <c r="CL453" s="96">
        <f t="shared" si="1817"/>
        <v>4114505780.7106915</v>
      </c>
      <c r="CM453" s="90" t="s">
        <v>47</v>
      </c>
      <c r="CN453" s="90">
        <f>3716*10^4/10^3*44/12</f>
        <v>136253.33333333334</v>
      </c>
      <c r="CO453" s="104">
        <f>ABS(CN453)*CQ$474</f>
        <v>39190.179677079308</v>
      </c>
      <c r="CP453" s="91">
        <v>1</v>
      </c>
      <c r="CQ453" s="91"/>
      <c r="CR453" s="90">
        <f>4413*10^4/10^3*44/12</f>
        <v>161810</v>
      </c>
      <c r="CS453" s="104">
        <f>ABS(CR453)*CU$474</f>
        <v>42457.515215626641</v>
      </c>
      <c r="CT453" s="91">
        <v>1</v>
      </c>
      <c r="CU453" s="91"/>
      <c r="CV453" s="92">
        <f t="shared" si="1761"/>
        <v>25556.666666666657</v>
      </c>
      <c r="CW453" s="90" t="e">
        <f>SQRT(((CP453-1)*CO453^2+(CT453-1)*CS453^2)/(CP453+CT453-2))</f>
        <v>#DIV/0!</v>
      </c>
      <c r="CX453" s="96" t="e">
        <f t="shared" si="1818"/>
        <v>#DIV/0!</v>
      </c>
      <c r="CY453" s="96">
        <f t="shared" si="1764"/>
        <v>3338510781.4069281</v>
      </c>
      <c r="CZ453" s="90" t="s">
        <v>47</v>
      </c>
      <c r="DA453" s="90">
        <f>51*10^4/10^3*44/12</f>
        <v>1870</v>
      </c>
      <c r="DB453" s="104">
        <f>ABS(DA453)*DD$474</f>
        <v>5609.3577647432157</v>
      </c>
      <c r="DC453" s="91">
        <v>1</v>
      </c>
      <c r="DD453" s="91"/>
      <c r="DE453" s="90">
        <f>373*10^4/10^3*44/12</f>
        <v>13676.666666666666</v>
      </c>
      <c r="DF453" s="104">
        <f>ABS(DE453)*DH$474</f>
        <v>13035.816283372995</v>
      </c>
      <c r="DG453" s="91">
        <v>1</v>
      </c>
      <c r="DH453" s="91"/>
      <c r="DI453" s="48">
        <f t="shared" si="1784"/>
        <v>11806.666666666666</v>
      </c>
      <c r="DJ453" s="90" t="e">
        <f>SQRT(((DC453-1)*DB453^2+(DG453-1)*DF453^2)/(DC453+DG453-2))</f>
        <v>#DIV/0!</v>
      </c>
      <c r="DK453" s="96" t="e">
        <f t="shared" si="1819"/>
        <v>#DIV/0!</v>
      </c>
      <c r="DL453" s="96">
        <f t="shared" si="1768"/>
        <v>201397400.70673755</v>
      </c>
      <c r="DM453" s="89"/>
      <c r="DN453" s="90" t="s">
        <v>37</v>
      </c>
      <c r="DO453" s="90" t="s">
        <v>37</v>
      </c>
      <c r="DP453" s="91" t="s">
        <v>37</v>
      </c>
      <c r="DQ453" s="91"/>
      <c r="DR453" s="90" t="s">
        <v>37</v>
      </c>
      <c r="DS453" s="90" t="s">
        <v>37</v>
      </c>
      <c r="DT453" s="91" t="s">
        <v>37</v>
      </c>
      <c r="DU453" s="48"/>
      <c r="DV453" s="48"/>
      <c r="DW453" s="48"/>
      <c r="DX453" s="96"/>
      <c r="DY453" s="96"/>
      <c r="DZ453" s="89"/>
      <c r="EA453" s="101" t="s">
        <v>37</v>
      </c>
      <c r="EB453" s="101" t="s">
        <v>37</v>
      </c>
      <c r="EC453" s="101" t="s">
        <v>37</v>
      </c>
      <c r="ED453" s="101"/>
      <c r="EE453" s="101" t="s">
        <v>37</v>
      </c>
      <c r="EF453" s="101" t="s">
        <v>37</v>
      </c>
      <c r="EG453" s="101" t="s">
        <v>37</v>
      </c>
      <c r="EH453" s="91"/>
      <c r="EI453" s="91"/>
      <c r="EJ453" s="91"/>
      <c r="EK453" s="91"/>
      <c r="EL453" s="91"/>
      <c r="EM453" s="90" t="s">
        <v>39</v>
      </c>
      <c r="EN453" s="90">
        <v>10</v>
      </c>
      <c r="EO453" s="50">
        <f>ABS(EN453)*EQ$474</f>
        <v>4.0749639875129331</v>
      </c>
      <c r="EP453" s="91">
        <v>1</v>
      </c>
      <c r="EQ453" s="48"/>
      <c r="ER453" s="90">
        <v>-45</v>
      </c>
      <c r="ES453" s="50">
        <f>ABS(ER453)*EU$474</f>
        <v>10.206632407913737</v>
      </c>
      <c r="ET453" s="91">
        <v>1</v>
      </c>
      <c r="EU453" s="48"/>
      <c r="EV453" s="90">
        <f t="shared" si="1810"/>
        <v>-55</v>
      </c>
      <c r="EW453" s="90" t="e">
        <f t="shared" si="1811"/>
        <v>#DIV/0!</v>
      </c>
      <c r="EX453" s="48" t="e">
        <f t="shared" si="1812"/>
        <v>#DIV/0!</v>
      </c>
      <c r="EY453" s="48">
        <f t="shared" si="1813"/>
        <v>120.78067660980227</v>
      </c>
      <c r="FB453" s="90" t="s">
        <v>37</v>
      </c>
      <c r="FC453" s="90" t="s">
        <v>37</v>
      </c>
      <c r="FD453" s="89" t="s">
        <v>37</v>
      </c>
      <c r="FE453" s="90" t="s">
        <v>37</v>
      </c>
      <c r="FF453" s="100" t="s">
        <v>37</v>
      </c>
      <c r="FG453" s="89" t="s">
        <v>37</v>
      </c>
      <c r="FH453" s="94"/>
      <c r="FI453" s="90" t="s">
        <v>37</v>
      </c>
      <c r="FJ453" s="90" t="s">
        <v>37</v>
      </c>
      <c r="FK453" s="89" t="s">
        <v>37</v>
      </c>
      <c r="FL453" s="91" t="s">
        <v>37</v>
      </c>
      <c r="FM453" s="89" t="s">
        <v>37</v>
      </c>
      <c r="FN453" s="89" t="s">
        <v>37</v>
      </c>
      <c r="FO453" s="94"/>
      <c r="FP453" s="90" t="s">
        <v>37</v>
      </c>
      <c r="FQ453" s="90" t="s">
        <v>37</v>
      </c>
      <c r="FR453" s="89" t="s">
        <v>37</v>
      </c>
      <c r="FS453" s="91" t="s">
        <v>37</v>
      </c>
      <c r="FT453" s="89" t="s">
        <v>37</v>
      </c>
      <c r="FU453" s="89" t="s">
        <v>37</v>
      </c>
      <c r="FV453" s="94"/>
      <c r="FW453" s="90" t="s">
        <v>37</v>
      </c>
      <c r="FX453" s="90" t="s">
        <v>37</v>
      </c>
      <c r="FY453" s="89" t="s">
        <v>37</v>
      </c>
      <c r="FZ453" s="91" t="s">
        <v>37</v>
      </c>
      <c r="GA453" s="89" t="s">
        <v>37</v>
      </c>
      <c r="GB453" s="89" t="s">
        <v>37</v>
      </c>
      <c r="GE453" s="90" t="s">
        <v>37</v>
      </c>
      <c r="GF453" s="90" t="s">
        <v>37</v>
      </c>
      <c r="GG453" s="90" t="s">
        <v>37</v>
      </c>
      <c r="GH453" s="91"/>
      <c r="GI453" s="90" t="s">
        <v>37</v>
      </c>
      <c r="GJ453" s="90" t="s">
        <v>37</v>
      </c>
      <c r="GK453" s="90" t="s">
        <v>37</v>
      </c>
      <c r="GL453" s="91"/>
      <c r="GM453" s="91"/>
      <c r="GN453" s="91"/>
      <c r="GQ453" s="90" t="s">
        <v>37</v>
      </c>
      <c r="GR453" s="90" t="s">
        <v>37</v>
      </c>
      <c r="GS453" s="90" t="s">
        <v>37</v>
      </c>
      <c r="GT453" s="91"/>
      <c r="GU453" s="90" t="s">
        <v>37</v>
      </c>
      <c r="GV453" s="90" t="s">
        <v>37</v>
      </c>
      <c r="GW453" s="90" t="s">
        <v>37</v>
      </c>
      <c r="GX453" s="91"/>
      <c r="GY453" s="91"/>
      <c r="GZ453" s="91"/>
      <c r="HA453" s="97"/>
      <c r="HB453" s="98"/>
      <c r="HC453" s="90" t="s">
        <v>37</v>
      </c>
      <c r="HD453" s="90" t="s">
        <v>37</v>
      </c>
      <c r="HE453" s="90" t="s">
        <v>37</v>
      </c>
      <c r="HF453" s="91"/>
      <c r="HG453" s="90" t="s">
        <v>37</v>
      </c>
      <c r="HH453" s="90" t="s">
        <v>37</v>
      </c>
      <c r="HI453" s="90" t="s">
        <v>37</v>
      </c>
      <c r="HJ453" s="91"/>
      <c r="HK453" s="91"/>
      <c r="HL453" s="91"/>
      <c r="HM453" s="98"/>
      <c r="HN453" s="90" t="s">
        <v>37</v>
      </c>
      <c r="HO453" s="90" t="s">
        <v>37</v>
      </c>
      <c r="HP453" s="90" t="s">
        <v>37</v>
      </c>
      <c r="HQ453" s="91"/>
      <c r="HR453" s="90" t="s">
        <v>37</v>
      </c>
      <c r="HS453" s="90" t="s">
        <v>37</v>
      </c>
      <c r="HT453" s="90" t="s">
        <v>37</v>
      </c>
      <c r="HU453" s="91"/>
      <c r="HV453" s="91"/>
      <c r="HW453" s="91"/>
      <c r="HX453" s="98"/>
      <c r="HY453" s="90" t="s">
        <v>37</v>
      </c>
      <c r="HZ453" s="90" t="s">
        <v>37</v>
      </c>
      <c r="IA453" s="90" t="s">
        <v>37</v>
      </c>
      <c r="IB453" s="91"/>
      <c r="IC453" s="90" t="s">
        <v>37</v>
      </c>
      <c r="ID453" s="90" t="s">
        <v>37</v>
      </c>
      <c r="IE453" s="90" t="s">
        <v>37</v>
      </c>
      <c r="IF453" s="91"/>
      <c r="IG453" s="91"/>
      <c r="IH453" s="91"/>
      <c r="IK453" s="90" t="s">
        <v>37</v>
      </c>
      <c r="IL453" s="90" t="s">
        <v>37</v>
      </c>
      <c r="IM453" s="90" t="s">
        <v>37</v>
      </c>
      <c r="IN453" s="91"/>
      <c r="IO453" s="90" t="s">
        <v>37</v>
      </c>
      <c r="IP453" s="90" t="s">
        <v>37</v>
      </c>
      <c r="IQ453" s="90" t="s">
        <v>37</v>
      </c>
      <c r="IR453" s="91"/>
      <c r="IS453" s="91"/>
      <c r="IT453" s="91"/>
      <c r="IV453" s="94"/>
      <c r="IW453" s="90" t="s">
        <v>37</v>
      </c>
      <c r="IX453" s="90" t="s">
        <v>37</v>
      </c>
      <c r="IY453" s="90" t="s">
        <v>37</v>
      </c>
      <c r="IZ453" s="91"/>
      <c r="JA453" s="90" t="s">
        <v>37</v>
      </c>
      <c r="JB453" s="90" t="s">
        <v>37</v>
      </c>
      <c r="JC453" s="90" t="s">
        <v>37</v>
      </c>
      <c r="JD453" s="91"/>
      <c r="JE453" s="91"/>
      <c r="JF453" s="91"/>
      <c r="JG453" s="94"/>
      <c r="JH453" s="90" t="s">
        <v>37</v>
      </c>
      <c r="JI453" s="90" t="s">
        <v>37</v>
      </c>
      <c r="JJ453" s="90" t="s">
        <v>37</v>
      </c>
      <c r="JK453" s="91"/>
      <c r="JL453" s="90" t="s">
        <v>37</v>
      </c>
      <c r="JM453" s="90" t="s">
        <v>37</v>
      </c>
      <c r="JN453" s="90" t="s">
        <v>37</v>
      </c>
      <c r="JO453" s="91"/>
      <c r="JP453" s="91"/>
      <c r="JQ453" s="91"/>
      <c r="JR453" s="94"/>
      <c r="JS453" s="90" t="s">
        <v>37</v>
      </c>
      <c r="JT453" s="90" t="s">
        <v>37</v>
      </c>
      <c r="JU453" s="90" t="s">
        <v>37</v>
      </c>
      <c r="JV453" s="91"/>
      <c r="JW453" s="90" t="s">
        <v>37</v>
      </c>
      <c r="JX453" s="90" t="s">
        <v>37</v>
      </c>
      <c r="JY453" s="90" t="s">
        <v>37</v>
      </c>
      <c r="JZ453" s="91"/>
      <c r="KA453" s="91"/>
      <c r="KB453" s="91"/>
      <c r="KE453" s="90" t="s">
        <v>37</v>
      </c>
      <c r="KF453" s="90" t="s">
        <v>37</v>
      </c>
      <c r="KG453" s="90" t="s">
        <v>37</v>
      </c>
      <c r="KH453" s="90" t="s">
        <v>37</v>
      </c>
      <c r="KI453" s="90" t="s">
        <v>37</v>
      </c>
      <c r="KJ453" s="90" t="s">
        <v>37</v>
      </c>
      <c r="KL453" s="94"/>
      <c r="KM453" s="90" t="s">
        <v>37</v>
      </c>
      <c r="KN453" s="90" t="s">
        <v>37</v>
      </c>
      <c r="KO453" s="90" t="s">
        <v>37</v>
      </c>
      <c r="KQ453" s="90" t="s">
        <v>37</v>
      </c>
      <c r="KR453" s="90" t="s">
        <v>37</v>
      </c>
      <c r="KS453" s="90" t="s">
        <v>37</v>
      </c>
      <c r="KW453" s="94"/>
      <c r="KX453" s="90" t="s">
        <v>37</v>
      </c>
      <c r="KY453" s="90" t="s">
        <v>37</v>
      </c>
      <c r="KZ453" s="90" t="s">
        <v>37</v>
      </c>
      <c r="LA453" s="91"/>
      <c r="LB453" s="90" t="s">
        <v>37</v>
      </c>
      <c r="LC453" s="90" t="s">
        <v>37</v>
      </c>
      <c r="LD453" s="90" t="s">
        <v>37</v>
      </c>
      <c r="LE453" s="91"/>
      <c r="LF453" s="91"/>
      <c r="LG453" s="91"/>
      <c r="LH453" s="94"/>
      <c r="LI453" s="90" t="s">
        <v>37</v>
      </c>
      <c r="LJ453" s="90" t="s">
        <v>37</v>
      </c>
      <c r="LK453" s="90" t="s">
        <v>37</v>
      </c>
      <c r="LL453" s="91"/>
      <c r="LM453" s="90" t="s">
        <v>37</v>
      </c>
      <c r="LN453" s="90" t="s">
        <v>37</v>
      </c>
      <c r="LO453" s="90" t="s">
        <v>37</v>
      </c>
      <c r="LP453" s="91"/>
      <c r="LQ453" s="91"/>
      <c r="LR453" s="91"/>
      <c r="LU453" s="90" t="s">
        <v>37</v>
      </c>
      <c r="LV453" s="90" t="s">
        <v>37</v>
      </c>
      <c r="LW453" s="90" t="s">
        <v>37</v>
      </c>
      <c r="LX453" s="91"/>
      <c r="LY453" s="90" t="s">
        <v>37</v>
      </c>
      <c r="LZ453" s="90" t="s">
        <v>37</v>
      </c>
      <c r="MA453" s="90" t="s">
        <v>37</v>
      </c>
      <c r="MB453" s="91"/>
      <c r="MC453" s="91"/>
      <c r="MD453" s="91"/>
      <c r="MF453" s="90" t="s">
        <v>37</v>
      </c>
      <c r="MG453" s="90" t="s">
        <v>37</v>
      </c>
      <c r="MH453" s="90" t="s">
        <v>37</v>
      </c>
      <c r="MI453" s="91"/>
      <c r="MJ453" s="90" t="s">
        <v>37</v>
      </c>
      <c r="MK453" s="90" t="s">
        <v>37</v>
      </c>
      <c r="ML453" s="90" t="s">
        <v>37</v>
      </c>
      <c r="MM453" s="91"/>
      <c r="MN453" s="91"/>
      <c r="MO453" s="91"/>
      <c r="MQ453" s="90" t="s">
        <v>37</v>
      </c>
      <c r="MR453" s="90" t="s">
        <v>37</v>
      </c>
      <c r="MS453" s="90" t="s">
        <v>37</v>
      </c>
      <c r="MT453" s="48"/>
      <c r="MU453" s="90" t="s">
        <v>37</v>
      </c>
      <c r="MV453" s="90" t="s">
        <v>37</v>
      </c>
      <c r="MW453" s="90" t="s">
        <v>37</v>
      </c>
      <c r="MX453" s="48"/>
      <c r="MY453" s="48"/>
      <c r="MZ453" s="48"/>
      <c r="NC453" s="90" t="s">
        <v>37</v>
      </c>
      <c r="ND453" s="90" t="s">
        <v>37</v>
      </c>
      <c r="NE453" s="90" t="s">
        <v>37</v>
      </c>
      <c r="NF453" s="48"/>
      <c r="NG453" s="90" t="s">
        <v>37</v>
      </c>
      <c r="NH453" s="90" t="s">
        <v>37</v>
      </c>
      <c r="NI453" s="90" t="s">
        <v>37</v>
      </c>
      <c r="NJ453" s="48"/>
      <c r="NK453" s="48"/>
      <c r="NL453" s="48"/>
      <c r="NO453" s="90" t="s">
        <v>37</v>
      </c>
      <c r="NP453" s="90" t="s">
        <v>37</v>
      </c>
      <c r="NQ453" s="90" t="s">
        <v>37</v>
      </c>
      <c r="NR453" s="48"/>
      <c r="NS453" s="90" t="s">
        <v>37</v>
      </c>
      <c r="NT453" s="90" t="s">
        <v>37</v>
      </c>
      <c r="NU453" s="90" t="s">
        <v>37</v>
      </c>
      <c r="NV453" s="48"/>
      <c r="NW453" s="48"/>
      <c r="NX453" s="48"/>
      <c r="OA453" s="90" t="s">
        <v>37</v>
      </c>
      <c r="OB453" s="90" t="s">
        <v>37</v>
      </c>
      <c r="OC453" s="90" t="s">
        <v>37</v>
      </c>
      <c r="OE453" s="90" t="s">
        <v>37</v>
      </c>
      <c r="OF453" s="90" t="s">
        <v>37</v>
      </c>
      <c r="OG453" s="90" t="s">
        <v>37</v>
      </c>
      <c r="OM453" s="90" t="s">
        <v>37</v>
      </c>
      <c r="ON453" s="90" t="s">
        <v>37</v>
      </c>
      <c r="OO453" s="90" t="s">
        <v>37</v>
      </c>
      <c r="OP453" s="90" t="s">
        <v>37</v>
      </c>
      <c r="OQ453" s="90" t="s">
        <v>37</v>
      </c>
      <c r="OR453" s="90" t="s">
        <v>37</v>
      </c>
      <c r="OW453" s="90" t="s">
        <v>37</v>
      </c>
      <c r="OX453" s="90" t="s">
        <v>37</v>
      </c>
      <c r="OY453" s="91" t="s">
        <v>37</v>
      </c>
      <c r="OZ453" s="90" t="s">
        <v>37</v>
      </c>
      <c r="PA453" s="90" t="s">
        <v>37</v>
      </c>
      <c r="PB453" s="91" t="s">
        <v>37</v>
      </c>
      <c r="PC453" s="91"/>
      <c r="PD453" s="91"/>
      <c r="PG453" s="89" t="s">
        <v>37</v>
      </c>
      <c r="PH453" s="89" t="s">
        <v>37</v>
      </c>
      <c r="PI453" s="91" t="s">
        <v>37</v>
      </c>
      <c r="PJ453" s="89" t="s">
        <v>37</v>
      </c>
      <c r="PK453" s="89" t="s">
        <v>37</v>
      </c>
      <c r="PL453" s="91" t="s">
        <v>37</v>
      </c>
      <c r="PM453" s="91"/>
      <c r="PN453" s="91"/>
      <c r="PQ453" s="90" t="s">
        <v>37</v>
      </c>
      <c r="PR453" s="90" t="s">
        <v>37</v>
      </c>
      <c r="PS453" s="90" t="s">
        <v>37</v>
      </c>
      <c r="PT453" s="90" t="s">
        <v>37</v>
      </c>
      <c r="PU453" s="90" t="s">
        <v>37</v>
      </c>
      <c r="PV453" s="90" t="s">
        <v>37</v>
      </c>
      <c r="PZ453" s="90" t="s">
        <v>37</v>
      </c>
      <c r="QA453" s="90" t="s">
        <v>37</v>
      </c>
      <c r="QB453" s="89" t="s">
        <v>37</v>
      </c>
      <c r="QC453" s="48"/>
      <c r="QD453" s="90" t="s">
        <v>37</v>
      </c>
      <c r="QE453" s="90" t="s">
        <v>37</v>
      </c>
      <c r="QF453" s="90" t="s">
        <v>37</v>
      </c>
      <c r="QG453" s="48"/>
      <c r="QH453" s="48"/>
      <c r="QI453" s="48"/>
      <c r="QK453" s="90" t="s">
        <v>37</v>
      </c>
      <c r="QL453" s="90" t="s">
        <v>37</v>
      </c>
      <c r="QM453" s="90" t="s">
        <v>37</v>
      </c>
      <c r="QN453" s="90" t="s">
        <v>37</v>
      </c>
      <c r="QO453" s="90" t="s">
        <v>37</v>
      </c>
      <c r="QP453" s="90" t="s">
        <v>37</v>
      </c>
      <c r="QU453" s="90" t="s">
        <v>37</v>
      </c>
      <c r="QV453" s="90" t="s">
        <v>37</v>
      </c>
      <c r="QW453" s="90" t="s">
        <v>37</v>
      </c>
      <c r="QX453" s="90" t="s">
        <v>37</v>
      </c>
      <c r="QY453" s="90" t="s">
        <v>37</v>
      </c>
      <c r="QZ453" s="90" t="s">
        <v>37</v>
      </c>
      <c r="RC453" s="90" t="s">
        <v>37</v>
      </c>
      <c r="RD453" s="90" t="s">
        <v>37</v>
      </c>
      <c r="RE453" s="90" t="s">
        <v>37</v>
      </c>
      <c r="RF453" s="90" t="s">
        <v>37</v>
      </c>
      <c r="RG453" s="90" t="s">
        <v>37</v>
      </c>
      <c r="RH453" s="90" t="s">
        <v>37</v>
      </c>
      <c r="RK453" s="90" t="s">
        <v>37</v>
      </c>
      <c r="RL453" s="90" t="s">
        <v>37</v>
      </c>
      <c r="RM453" s="90" t="s">
        <v>37</v>
      </c>
      <c r="RN453" s="90" t="s">
        <v>37</v>
      </c>
      <c r="RO453" s="90" t="s">
        <v>37</v>
      </c>
      <c r="RP453" s="90" t="s">
        <v>37</v>
      </c>
      <c r="RS453" s="90" t="s">
        <v>37</v>
      </c>
      <c r="RT453" s="90" t="s">
        <v>37</v>
      </c>
      <c r="RU453" s="90" t="s">
        <v>37</v>
      </c>
      <c r="RV453" s="90" t="s">
        <v>37</v>
      </c>
      <c r="RW453" s="90" t="s">
        <v>37</v>
      </c>
      <c r="RX453" s="90" t="s">
        <v>37</v>
      </c>
      <c r="SA453" s="90" t="s">
        <v>37</v>
      </c>
      <c r="SB453" s="90" t="s">
        <v>37</v>
      </c>
      <c r="SC453" s="90" t="s">
        <v>37</v>
      </c>
      <c r="SD453" s="90" t="s">
        <v>37</v>
      </c>
      <c r="SE453" s="90" t="s">
        <v>37</v>
      </c>
      <c r="SF453" s="90" t="s">
        <v>37</v>
      </c>
      <c r="SI453" s="90" t="s">
        <v>37</v>
      </c>
      <c r="SJ453" s="90" t="s">
        <v>37</v>
      </c>
      <c r="SK453" s="90" t="s">
        <v>37</v>
      </c>
      <c r="SL453" s="90" t="s">
        <v>37</v>
      </c>
      <c r="SM453" s="90" t="s">
        <v>37</v>
      </c>
      <c r="SN453" s="90" t="s">
        <v>37</v>
      </c>
      <c r="SO453" s="91"/>
      <c r="SP453" s="91"/>
      <c r="SQ453" s="91"/>
      <c r="SR453" s="91"/>
      <c r="SU453" s="90" t="s">
        <v>37</v>
      </c>
      <c r="SV453" s="90" t="s">
        <v>37</v>
      </c>
      <c r="SW453" s="89" t="s">
        <v>37</v>
      </c>
      <c r="SX453" s="90" t="s">
        <v>37</v>
      </c>
      <c r="SY453" s="90" t="s">
        <v>37</v>
      </c>
      <c r="SZ453" s="89" t="s">
        <v>37</v>
      </c>
      <c r="TA453" s="89"/>
      <c r="TB453" s="89"/>
      <c r="TE453" s="90" t="s">
        <v>37</v>
      </c>
      <c r="TF453" s="90" t="s">
        <v>37</v>
      </c>
      <c r="TG453" s="89" t="s">
        <v>37</v>
      </c>
      <c r="TH453" s="90" t="s">
        <v>37</v>
      </c>
      <c r="TI453" s="90" t="s">
        <v>37</v>
      </c>
      <c r="TJ453" s="89" t="s">
        <v>37</v>
      </c>
      <c r="TK453" s="89"/>
      <c r="TL453" s="89"/>
      <c r="TO453" s="90" t="s">
        <v>37</v>
      </c>
      <c r="TP453" s="90" t="s">
        <v>37</v>
      </c>
      <c r="TQ453" s="89" t="s">
        <v>37</v>
      </c>
      <c r="TR453" s="90" t="s">
        <v>37</v>
      </c>
      <c r="TS453" s="90" t="s">
        <v>37</v>
      </c>
      <c r="TT453" s="89" t="s">
        <v>37</v>
      </c>
      <c r="TU453" s="89"/>
      <c r="TV453" s="89"/>
      <c r="TY453" s="90" t="s">
        <v>37</v>
      </c>
      <c r="TZ453" s="90" t="s">
        <v>37</v>
      </c>
      <c r="UA453" s="90" t="s">
        <v>37</v>
      </c>
      <c r="UB453" s="90" t="s">
        <v>37</v>
      </c>
      <c r="UC453" s="90" t="s">
        <v>37</v>
      </c>
      <c r="UD453" s="90" t="s">
        <v>37</v>
      </c>
      <c r="UI453" s="90" t="s">
        <v>37</v>
      </c>
      <c r="UJ453" s="90" t="s">
        <v>37</v>
      </c>
      <c r="UK453" s="90" t="s">
        <v>37</v>
      </c>
      <c r="UL453" s="90" t="s">
        <v>37</v>
      </c>
      <c r="UM453" s="90" t="s">
        <v>37</v>
      </c>
      <c r="UN453" s="90" t="s">
        <v>37</v>
      </c>
      <c r="UR453" s="90" t="s">
        <v>37</v>
      </c>
      <c r="US453" s="90" t="s">
        <v>37</v>
      </c>
      <c r="UT453" s="90" t="s">
        <v>37</v>
      </c>
      <c r="UU453" s="90" t="s">
        <v>37</v>
      </c>
      <c r="UV453" s="90" t="s">
        <v>37</v>
      </c>
      <c r="UW453" s="90" t="s">
        <v>37</v>
      </c>
      <c r="VB453" s="90" t="s">
        <v>37</v>
      </c>
      <c r="VC453" s="90" t="s">
        <v>37</v>
      </c>
      <c r="VD453" s="90" t="s">
        <v>37</v>
      </c>
      <c r="VE453" s="90" t="s">
        <v>37</v>
      </c>
      <c r="VF453" s="90" t="s">
        <v>37</v>
      </c>
      <c r="VG453" s="90" t="s">
        <v>37</v>
      </c>
      <c r="VI453" s="90" t="s">
        <v>37</v>
      </c>
      <c r="VJ453" s="90" t="s">
        <v>37</v>
      </c>
      <c r="VK453" s="90" t="s">
        <v>37</v>
      </c>
      <c r="VL453" s="90" t="s">
        <v>37</v>
      </c>
      <c r="VM453" s="90" t="s">
        <v>37</v>
      </c>
      <c r="VN453" s="90" t="s">
        <v>37</v>
      </c>
      <c r="VQ453" s="91" t="s">
        <v>37</v>
      </c>
      <c r="VR453" s="91" t="s">
        <v>37</v>
      </c>
      <c r="VS453" s="91" t="s">
        <v>37</v>
      </c>
      <c r="VT453" s="91" t="s">
        <v>37</v>
      </c>
      <c r="VU453" s="91" t="s">
        <v>37</v>
      </c>
      <c r="VV453" s="91" t="s">
        <v>37</v>
      </c>
      <c r="VW453" s="91"/>
      <c r="VX453" s="91"/>
      <c r="WA453" s="91" t="s">
        <v>37</v>
      </c>
      <c r="WB453" s="91" t="s">
        <v>37</v>
      </c>
      <c r="WC453" s="91" t="s">
        <v>37</v>
      </c>
      <c r="WD453" s="91" t="s">
        <v>37</v>
      </c>
      <c r="WE453" s="91" t="s">
        <v>37</v>
      </c>
      <c r="WF453" s="91" t="s">
        <v>37</v>
      </c>
    </row>
    <row r="454" spans="1:604" s="90" customFormat="1" ht="18.75" customHeight="1" x14ac:dyDescent="0.3">
      <c r="A454" s="89">
        <v>114</v>
      </c>
      <c r="B454" s="84" t="s">
        <v>1040</v>
      </c>
      <c r="C454" s="90" t="s">
        <v>26</v>
      </c>
      <c r="D454" s="12" t="s">
        <v>1039</v>
      </c>
      <c r="E454" s="88">
        <v>4</v>
      </c>
      <c r="F454" s="88">
        <v>0</v>
      </c>
      <c r="G454" s="88">
        <v>0</v>
      </c>
      <c r="H454" s="90" t="s">
        <v>996</v>
      </c>
      <c r="I454" s="84">
        <v>9.6890000000000001</v>
      </c>
      <c r="J454" s="99">
        <v>-77.238</v>
      </c>
      <c r="K454" s="90" t="s">
        <v>1007</v>
      </c>
      <c r="L454" s="90" t="s">
        <v>1008</v>
      </c>
      <c r="M454" s="91">
        <v>4200</v>
      </c>
      <c r="N454" s="88">
        <v>13.8</v>
      </c>
      <c r="O454" s="88">
        <v>632</v>
      </c>
      <c r="P454" s="84" t="s">
        <v>80</v>
      </c>
      <c r="Q454" s="92">
        <v>13</v>
      </c>
      <c r="R454" s="11" t="s">
        <v>999</v>
      </c>
      <c r="S454" s="90" t="s">
        <v>93</v>
      </c>
      <c r="T454" s="90" t="s">
        <v>37</v>
      </c>
      <c r="U454" s="90" t="s">
        <v>158</v>
      </c>
      <c r="V454" s="90" t="s">
        <v>275</v>
      </c>
      <c r="W454" s="93" t="s">
        <v>997</v>
      </c>
      <c r="X454" s="90" t="s">
        <v>283</v>
      </c>
      <c r="Y454" s="90" t="s">
        <v>37</v>
      </c>
      <c r="Z454" s="90" t="s">
        <v>37</v>
      </c>
      <c r="AA454" s="94"/>
      <c r="AB454" s="90" t="s">
        <v>37</v>
      </c>
      <c r="AD454" s="94"/>
      <c r="AE454" s="90" t="s">
        <v>37</v>
      </c>
      <c r="AG454" s="94"/>
      <c r="AH454" s="90" t="s">
        <v>37</v>
      </c>
      <c r="AK454" s="90" t="s">
        <v>37</v>
      </c>
      <c r="AL454" s="94" t="s">
        <v>998</v>
      </c>
      <c r="AM454" s="90" t="s">
        <v>344</v>
      </c>
      <c r="AN454" s="94"/>
      <c r="AO454" s="90" t="s">
        <v>37</v>
      </c>
      <c r="AP454" s="95" t="s">
        <v>238</v>
      </c>
      <c r="AQ454" s="90" t="s">
        <v>73</v>
      </c>
      <c r="AS454" s="94"/>
      <c r="AT454" s="90" t="s">
        <v>326</v>
      </c>
      <c r="AU454" s="90" t="s">
        <v>326</v>
      </c>
      <c r="AV454" s="91" t="s">
        <v>326</v>
      </c>
      <c r="AW454" s="48"/>
      <c r="AX454" s="90" t="s">
        <v>326</v>
      </c>
      <c r="AY454" s="90" t="s">
        <v>326</v>
      </c>
      <c r="AZ454" s="91" t="s">
        <v>326</v>
      </c>
      <c r="BA454" s="48"/>
      <c r="BB454" s="48"/>
      <c r="BC454" s="48"/>
      <c r="BD454" s="94"/>
      <c r="BE454" s="90" t="s">
        <v>326</v>
      </c>
      <c r="BF454" s="90" t="s">
        <v>326</v>
      </c>
      <c r="BG454" s="90" t="s">
        <v>326</v>
      </c>
      <c r="BH454" s="48"/>
      <c r="BI454" s="90" t="s">
        <v>326</v>
      </c>
      <c r="BJ454" s="90" t="s">
        <v>326</v>
      </c>
      <c r="BK454" s="90" t="s">
        <v>326</v>
      </c>
      <c r="BL454" s="48"/>
      <c r="BM454" s="48"/>
      <c r="BN454" s="48"/>
      <c r="BP454" s="90" t="s">
        <v>37</v>
      </c>
      <c r="BQ454" s="90" t="s">
        <v>37</v>
      </c>
      <c r="BR454" s="91" t="s">
        <v>37</v>
      </c>
      <c r="BS454" s="48"/>
      <c r="BT454" s="90" t="s">
        <v>37</v>
      </c>
      <c r="BU454" s="90" t="s">
        <v>37</v>
      </c>
      <c r="BV454" s="90" t="s">
        <v>37</v>
      </c>
      <c r="BW454" s="48"/>
      <c r="BX454" s="48"/>
      <c r="BY454" s="48"/>
      <c r="BZ454" s="90" t="s">
        <v>47</v>
      </c>
      <c r="CA454" s="90">
        <v>-160161.20218579238</v>
      </c>
      <c r="CB454" s="90">
        <v>10636.467274593098</v>
      </c>
      <c r="CC454" s="91">
        <v>3</v>
      </c>
      <c r="CD454" s="48">
        <f>CB454/ABS(CA454)</f>
        <v>6.6411010465908207E-2</v>
      </c>
      <c r="CE454" s="90">
        <v>-207277.44990892528</v>
      </c>
      <c r="CF454" s="90">
        <v>21272.601806047955</v>
      </c>
      <c r="CG454" s="91">
        <v>3</v>
      </c>
      <c r="CH454" s="48">
        <f>CF454/ABS(CE454)</f>
        <v>0.10262863526830743</v>
      </c>
      <c r="CI454" s="92">
        <f>CE454-CA454</f>
        <v>-47116.247723132896</v>
      </c>
      <c r="CJ454" s="90">
        <f>SQRT(((CC454-1)*CB454^2+(CG454-1)*CF454^2)/(CC454+CG454-2))</f>
        <v>16817.52097786955</v>
      </c>
      <c r="CK454" s="96">
        <f>(((CC454+CG454)/(CC454*CG454))*(((CC454-1)*CB454^2)+(CG454-1)*CF454^2)/(CC454+CG454-2))</f>
        <v>188552674.56072155</v>
      </c>
      <c r="CL454" s="96">
        <f>(CB454^2/CC454)+(CF454^2/CG454)</f>
        <v>188552674.56072158</v>
      </c>
      <c r="CM454" s="90" t="s">
        <v>47</v>
      </c>
      <c r="CN454" s="90">
        <f>DA454-CA454</f>
        <v>67306.558222944135</v>
      </c>
      <c r="CO454" s="90">
        <f>SQRT(CB454^2+DB454^2)</f>
        <v>13632.710832908837</v>
      </c>
      <c r="CP454" s="91">
        <v>3</v>
      </c>
      <c r="CQ454" s="48">
        <f>CO454/ABS(CN454)</f>
        <v>0.20254654513386752</v>
      </c>
      <c r="CR454" s="90">
        <f>DE454-CE454</f>
        <v>144420.60780366213</v>
      </c>
      <c r="CS454" s="90">
        <f>SQRT(CF454^2+DF454^2)</f>
        <v>24745.786342212687</v>
      </c>
      <c r="CT454" s="91">
        <v>3</v>
      </c>
      <c r="CU454" s="48">
        <f>CS454/ABS(CR454)</f>
        <v>0.17134525826019406</v>
      </c>
      <c r="CV454" s="92">
        <f>CR454-CN454</f>
        <v>77114.049580717998</v>
      </c>
      <c r="CW454" s="90">
        <f>SQRT(((CP454-1)*CO454^2+(CT454-1)*CS454^2)/(CP454+CT454-2))</f>
        <v>19977.546725613607</v>
      </c>
      <c r="CX454" s="96">
        <f>(((CP454+CT454)/(CP454*CT454))*(((CP454-1)*CO454^2)+(CT454-1)*CS454^2)/(CP454+CT454-2))</f>
        <v>266068248.78271657</v>
      </c>
      <c r="CY454" s="96">
        <f>(CO454^2/CP454)+(CS454^2/CT454)</f>
        <v>266068248.7827166</v>
      </c>
      <c r="CZ454" s="90" t="s">
        <v>47</v>
      </c>
      <c r="DA454" s="90">
        <v>-92854.643962848248</v>
      </c>
      <c r="DB454" s="90">
        <v>8527.3893173831366</v>
      </c>
      <c r="DC454" s="91">
        <v>3</v>
      </c>
      <c r="DD454" s="48">
        <f>DB454/ABS(DA454)</f>
        <v>9.183589482928825E-2</v>
      </c>
      <c r="DE454" s="90">
        <v>-62856.84210526316</v>
      </c>
      <c r="DF454" s="90">
        <v>12642.403019037374</v>
      </c>
      <c r="DG454" s="91">
        <v>3</v>
      </c>
      <c r="DH454" s="48">
        <f>DF454/ABS(DE454)</f>
        <v>0.20113010128421316</v>
      </c>
      <c r="DI454" s="48">
        <f>DE454-DA454</f>
        <v>29997.801857585087</v>
      </c>
      <c r="DJ454" s="90">
        <f>SQRT(((DC454-1)*DB454^2+(DG454-1)*DF454^2)/(DC454+DG454-2))</f>
        <v>10783.012627878754</v>
      </c>
      <c r="DK454" s="96">
        <f>(((DC454+DG454)/(DC454*DG454))*(((DC454-1)*DB454^2)+(DG454-1)*DF454^2)/(DC454+DG454-2))</f>
        <v>77515574.221995115</v>
      </c>
      <c r="DL454" s="96">
        <f>(DB454^2/DC454)+(DF454^2/DG454)</f>
        <v>77515574.221995115</v>
      </c>
      <c r="DM454" s="90" t="s">
        <v>47</v>
      </c>
      <c r="DN454" s="90">
        <v>26.051392891450497</v>
      </c>
      <c r="DO454" s="90">
        <v>12.515768654879148</v>
      </c>
      <c r="DP454" s="91">
        <v>3</v>
      </c>
      <c r="DQ454" s="48">
        <f>DO454/ABS(DN454)</f>
        <v>0.48042608343550613</v>
      </c>
      <c r="DR454" s="90">
        <v>-2.2790585975024058</v>
      </c>
      <c r="DS454" s="90">
        <v>1.8593013863594432</v>
      </c>
      <c r="DT454" s="91">
        <v>3</v>
      </c>
      <c r="DU454" s="48">
        <f>DS454/ABS(DR454)</f>
        <v>0.81581991283463717</v>
      </c>
      <c r="DV454" s="48">
        <f>DR454-DN454</f>
        <v>-28.330451488952903</v>
      </c>
      <c r="DW454" s="90">
        <f>SQRT(((DP454-1)*DO454^2+(DT454-1)*DS454^2)/(DP454+DT454-2))</f>
        <v>8.9471075400872859</v>
      </c>
      <c r="DX454" s="96">
        <f>(((DP454+DT454)/(DP454*DT454))*(((DP454-1)*DO454^2)+(DT454-1)*DS454^2)/(DP454+DT454-2))</f>
        <v>53.367155555924512</v>
      </c>
      <c r="DY454" s="96">
        <f>(DO454^2/DP454)+(DS454^2/DT454)</f>
        <v>53.367155555924512</v>
      </c>
      <c r="DZ454" s="89"/>
      <c r="EA454" s="101" t="s">
        <v>37</v>
      </c>
      <c r="EB454" s="101" t="s">
        <v>37</v>
      </c>
      <c r="EC454" s="101" t="s">
        <v>37</v>
      </c>
      <c r="ED454" s="101"/>
      <c r="EE454" s="101" t="s">
        <v>37</v>
      </c>
      <c r="EF454" s="101" t="s">
        <v>37</v>
      </c>
      <c r="EG454" s="101" t="s">
        <v>37</v>
      </c>
      <c r="EH454" s="91"/>
      <c r="EI454" s="91"/>
      <c r="EJ454" s="91"/>
      <c r="EK454" s="91"/>
      <c r="EL454" s="91"/>
      <c r="EM454" s="90" t="s">
        <v>39</v>
      </c>
      <c r="EN454" s="90">
        <v>-5.6149732620320822</v>
      </c>
      <c r="EO454" s="90">
        <v>0.89761221109140865</v>
      </c>
      <c r="EP454" s="91">
        <v>3</v>
      </c>
      <c r="EQ454" s="48">
        <f>EO454/ABS(EN454)</f>
        <v>0.15986046045151764</v>
      </c>
      <c r="ER454" s="90">
        <v>-132.2570532915361</v>
      </c>
      <c r="ES454" s="90">
        <v>8.6718103212007449</v>
      </c>
      <c r="ET454" s="91">
        <v>3</v>
      </c>
      <c r="EU454" s="48">
        <f>ES454/ABS(ER454)</f>
        <v>6.5567847652596267E-2</v>
      </c>
      <c r="EV454" s="90">
        <f>ER454-EN454</f>
        <v>-126.64208002950402</v>
      </c>
      <c r="EW454" s="90">
        <f>SQRT(((EP454-1)*EO454^2+(ET454-1)*ES454^2)/(EP454+ET454-2))</f>
        <v>6.1646574085014727</v>
      </c>
      <c r="EX454" s="48">
        <f>(((EP454+ET454)/(EP454*ET454))*(((EP454-1)*EO454^2)+(ET454-1)*ES454^2)/(EP454+ET454-2))</f>
        <v>25.335333976128059</v>
      </c>
      <c r="EY454" s="48">
        <f>(EO454^2/EP454)+(ES454^2/ET454)</f>
        <v>25.335333976128062</v>
      </c>
      <c r="FB454" s="90" t="s">
        <v>37</v>
      </c>
      <c r="FC454" s="90" t="s">
        <v>37</v>
      </c>
      <c r="FD454" s="89" t="s">
        <v>37</v>
      </c>
      <c r="FE454" s="90" t="s">
        <v>37</v>
      </c>
      <c r="FF454" s="100" t="s">
        <v>37</v>
      </c>
      <c r="FG454" s="89" t="s">
        <v>37</v>
      </c>
      <c r="FH454" s="94"/>
      <c r="FI454" s="90" t="s">
        <v>37</v>
      </c>
      <c r="FJ454" s="90" t="s">
        <v>37</v>
      </c>
      <c r="FK454" s="89" t="s">
        <v>37</v>
      </c>
      <c r="FL454" s="91" t="s">
        <v>37</v>
      </c>
      <c r="FM454" s="89" t="s">
        <v>37</v>
      </c>
      <c r="FN454" s="89" t="s">
        <v>37</v>
      </c>
      <c r="FO454" s="94"/>
      <c r="FP454" s="90" t="s">
        <v>37</v>
      </c>
      <c r="FQ454" s="90" t="s">
        <v>37</v>
      </c>
      <c r="FR454" s="89" t="s">
        <v>37</v>
      </c>
      <c r="FS454" s="91" t="s">
        <v>37</v>
      </c>
      <c r="FT454" s="89" t="s">
        <v>37</v>
      </c>
      <c r="FU454" s="89" t="s">
        <v>37</v>
      </c>
      <c r="FV454" s="94"/>
      <c r="FW454" s="90" t="s">
        <v>37</v>
      </c>
      <c r="FX454" s="90" t="s">
        <v>37</v>
      </c>
      <c r="FY454" s="89" t="s">
        <v>37</v>
      </c>
      <c r="FZ454" s="91" t="s">
        <v>37</v>
      </c>
      <c r="GA454" s="89" t="s">
        <v>37</v>
      </c>
      <c r="GB454" s="89" t="s">
        <v>37</v>
      </c>
      <c r="GE454" s="90" t="s">
        <v>37</v>
      </c>
      <c r="GF454" s="90" t="s">
        <v>37</v>
      </c>
      <c r="GG454" s="90" t="s">
        <v>37</v>
      </c>
      <c r="GH454" s="91"/>
      <c r="GI454" s="90" t="s">
        <v>37</v>
      </c>
      <c r="GJ454" s="90" t="s">
        <v>37</v>
      </c>
      <c r="GK454" s="90" t="s">
        <v>37</v>
      </c>
      <c r="GL454" s="91"/>
      <c r="GM454" s="91"/>
      <c r="GN454" s="91"/>
      <c r="GQ454" s="90" t="s">
        <v>37</v>
      </c>
      <c r="GR454" s="90" t="s">
        <v>37</v>
      </c>
      <c r="GS454" s="90" t="s">
        <v>37</v>
      </c>
      <c r="GT454" s="91"/>
      <c r="GU454" s="90" t="s">
        <v>37</v>
      </c>
      <c r="GV454" s="90" t="s">
        <v>37</v>
      </c>
      <c r="GW454" s="90" t="s">
        <v>37</v>
      </c>
      <c r="GX454" s="91"/>
      <c r="GY454" s="91"/>
      <c r="GZ454" s="91"/>
      <c r="HA454" s="97"/>
      <c r="HB454" s="98"/>
      <c r="HC454" s="90" t="s">
        <v>37</v>
      </c>
      <c r="HD454" s="90" t="s">
        <v>37</v>
      </c>
      <c r="HE454" s="90" t="s">
        <v>37</v>
      </c>
      <c r="HF454" s="91"/>
      <c r="HG454" s="90" t="s">
        <v>37</v>
      </c>
      <c r="HH454" s="90" t="s">
        <v>37</v>
      </c>
      <c r="HI454" s="90" t="s">
        <v>37</v>
      </c>
      <c r="HJ454" s="91"/>
      <c r="HK454" s="91"/>
      <c r="HL454" s="91"/>
      <c r="HM454" s="98"/>
      <c r="HN454" s="90" t="s">
        <v>37</v>
      </c>
      <c r="HO454" s="90" t="s">
        <v>37</v>
      </c>
      <c r="HP454" s="90" t="s">
        <v>37</v>
      </c>
      <c r="HQ454" s="91"/>
      <c r="HR454" s="90" t="s">
        <v>37</v>
      </c>
      <c r="HS454" s="90" t="s">
        <v>37</v>
      </c>
      <c r="HT454" s="90" t="s">
        <v>37</v>
      </c>
      <c r="HU454" s="91"/>
      <c r="HV454" s="91"/>
      <c r="HW454" s="91"/>
      <c r="HX454" s="98"/>
      <c r="HY454" s="90" t="s">
        <v>37</v>
      </c>
      <c r="HZ454" s="90" t="s">
        <v>37</v>
      </c>
      <c r="IA454" s="90" t="s">
        <v>37</v>
      </c>
      <c r="IB454" s="91"/>
      <c r="IC454" s="90" t="s">
        <v>37</v>
      </c>
      <c r="ID454" s="90" t="s">
        <v>37</v>
      </c>
      <c r="IE454" s="90" t="s">
        <v>37</v>
      </c>
      <c r="IF454" s="91"/>
      <c r="IG454" s="91"/>
      <c r="IH454" s="91"/>
      <c r="IK454" s="90" t="s">
        <v>37</v>
      </c>
      <c r="IL454" s="90" t="s">
        <v>37</v>
      </c>
      <c r="IM454" s="90" t="s">
        <v>37</v>
      </c>
      <c r="IN454" s="91"/>
      <c r="IO454" s="90" t="s">
        <v>37</v>
      </c>
      <c r="IP454" s="90" t="s">
        <v>37</v>
      </c>
      <c r="IQ454" s="90" t="s">
        <v>37</v>
      </c>
      <c r="IR454" s="91"/>
      <c r="IS454" s="91"/>
      <c r="IT454" s="91"/>
      <c r="IV454" s="94"/>
      <c r="IW454" s="90" t="s">
        <v>37</v>
      </c>
      <c r="IX454" s="90" t="s">
        <v>37</v>
      </c>
      <c r="IY454" s="90" t="s">
        <v>37</v>
      </c>
      <c r="IZ454" s="91"/>
      <c r="JA454" s="90" t="s">
        <v>37</v>
      </c>
      <c r="JB454" s="90" t="s">
        <v>37</v>
      </c>
      <c r="JC454" s="90" t="s">
        <v>37</v>
      </c>
      <c r="JD454" s="91"/>
      <c r="JE454" s="91"/>
      <c r="JF454" s="91"/>
      <c r="JG454" s="94"/>
      <c r="JH454" s="90" t="s">
        <v>37</v>
      </c>
      <c r="JI454" s="90" t="s">
        <v>37</v>
      </c>
      <c r="JJ454" s="90" t="s">
        <v>37</v>
      </c>
      <c r="JK454" s="91"/>
      <c r="JL454" s="90" t="s">
        <v>37</v>
      </c>
      <c r="JM454" s="90" t="s">
        <v>37</v>
      </c>
      <c r="JN454" s="90" t="s">
        <v>37</v>
      </c>
      <c r="JO454" s="91"/>
      <c r="JP454" s="91"/>
      <c r="JQ454" s="91"/>
      <c r="JR454" s="94"/>
      <c r="JS454" s="90" t="s">
        <v>37</v>
      </c>
      <c r="JT454" s="90" t="s">
        <v>37</v>
      </c>
      <c r="JU454" s="90" t="s">
        <v>37</v>
      </c>
      <c r="JV454" s="91"/>
      <c r="JW454" s="90" t="s">
        <v>37</v>
      </c>
      <c r="JX454" s="90" t="s">
        <v>37</v>
      </c>
      <c r="JY454" s="90" t="s">
        <v>37</v>
      </c>
      <c r="JZ454" s="91"/>
      <c r="KA454" s="91"/>
      <c r="KB454" s="91"/>
      <c r="KE454" s="90" t="s">
        <v>37</v>
      </c>
      <c r="KF454" s="90" t="s">
        <v>37</v>
      </c>
      <c r="KG454" s="90" t="s">
        <v>37</v>
      </c>
      <c r="KH454" s="90" t="s">
        <v>37</v>
      </c>
      <c r="KI454" s="90" t="s">
        <v>37</v>
      </c>
      <c r="KJ454" s="90" t="s">
        <v>37</v>
      </c>
      <c r="KL454" s="94"/>
      <c r="KM454" s="90" t="s">
        <v>37</v>
      </c>
      <c r="KN454" s="90" t="s">
        <v>37</v>
      </c>
      <c r="KO454" s="90" t="s">
        <v>37</v>
      </c>
      <c r="KQ454" s="90" t="s">
        <v>37</v>
      </c>
      <c r="KR454" s="90" t="s">
        <v>37</v>
      </c>
      <c r="KS454" s="90" t="s">
        <v>37</v>
      </c>
      <c r="KW454" s="94"/>
      <c r="KX454" s="90" t="s">
        <v>37</v>
      </c>
      <c r="KY454" s="90" t="s">
        <v>37</v>
      </c>
      <c r="KZ454" s="90" t="s">
        <v>37</v>
      </c>
      <c r="LA454" s="91"/>
      <c r="LB454" s="90" t="s">
        <v>37</v>
      </c>
      <c r="LC454" s="90" t="s">
        <v>37</v>
      </c>
      <c r="LD454" s="90" t="s">
        <v>37</v>
      </c>
      <c r="LE454" s="91"/>
      <c r="LF454" s="91"/>
      <c r="LG454" s="91"/>
      <c r="LH454" s="94"/>
      <c r="LI454" s="90" t="s">
        <v>37</v>
      </c>
      <c r="LJ454" s="90" t="s">
        <v>37</v>
      </c>
      <c r="LK454" s="90" t="s">
        <v>37</v>
      </c>
      <c r="LL454" s="91"/>
      <c r="LM454" s="90" t="s">
        <v>37</v>
      </c>
      <c r="LN454" s="90" t="s">
        <v>37</v>
      </c>
      <c r="LO454" s="90" t="s">
        <v>37</v>
      </c>
      <c r="LP454" s="91"/>
      <c r="LQ454" s="91"/>
      <c r="LR454" s="91"/>
      <c r="LU454" s="90" t="s">
        <v>37</v>
      </c>
      <c r="LV454" s="90" t="s">
        <v>37</v>
      </c>
      <c r="LW454" s="90" t="s">
        <v>37</v>
      </c>
      <c r="LX454" s="91"/>
      <c r="LY454" s="90" t="s">
        <v>37</v>
      </c>
      <c r="LZ454" s="90" t="s">
        <v>37</v>
      </c>
      <c r="MA454" s="90" t="s">
        <v>37</v>
      </c>
      <c r="MB454" s="91"/>
      <c r="MC454" s="91"/>
      <c r="MD454" s="91"/>
      <c r="MF454" s="90" t="s">
        <v>37</v>
      </c>
      <c r="MG454" s="90" t="s">
        <v>37</v>
      </c>
      <c r="MH454" s="90" t="s">
        <v>37</v>
      </c>
      <c r="MI454" s="91"/>
      <c r="MJ454" s="90" t="s">
        <v>37</v>
      </c>
      <c r="MK454" s="90" t="s">
        <v>37</v>
      </c>
      <c r="ML454" s="90" t="s">
        <v>37</v>
      </c>
      <c r="MM454" s="91"/>
      <c r="MN454" s="91"/>
      <c r="MO454" s="91"/>
      <c r="MQ454" s="90" t="s">
        <v>37</v>
      </c>
      <c r="MR454" s="90" t="s">
        <v>37</v>
      </c>
      <c r="MS454" s="90" t="s">
        <v>37</v>
      </c>
      <c r="MT454" s="48"/>
      <c r="MU454" s="90" t="s">
        <v>37</v>
      </c>
      <c r="MV454" s="90" t="s">
        <v>37</v>
      </c>
      <c r="MW454" s="90" t="s">
        <v>37</v>
      </c>
      <c r="MX454" s="48"/>
      <c r="MY454" s="48"/>
      <c r="MZ454" s="48"/>
      <c r="NC454" s="90" t="s">
        <v>37</v>
      </c>
      <c r="ND454" s="90" t="s">
        <v>37</v>
      </c>
      <c r="NE454" s="90" t="s">
        <v>37</v>
      </c>
      <c r="NF454" s="48"/>
      <c r="NG454" s="90" t="s">
        <v>37</v>
      </c>
      <c r="NH454" s="90" t="s">
        <v>37</v>
      </c>
      <c r="NI454" s="90" t="s">
        <v>37</v>
      </c>
      <c r="NJ454" s="48"/>
      <c r="NK454" s="48"/>
      <c r="NL454" s="48"/>
      <c r="NO454" s="90" t="s">
        <v>37</v>
      </c>
      <c r="NP454" s="90" t="s">
        <v>37</v>
      </c>
      <c r="NQ454" s="90" t="s">
        <v>37</v>
      </c>
      <c r="NR454" s="48"/>
      <c r="NS454" s="90" t="s">
        <v>37</v>
      </c>
      <c r="NT454" s="90" t="s">
        <v>37</v>
      </c>
      <c r="NU454" s="90" t="s">
        <v>37</v>
      </c>
      <c r="NV454" s="48"/>
      <c r="NW454" s="48"/>
      <c r="NX454" s="48"/>
      <c r="OA454" s="90" t="s">
        <v>37</v>
      </c>
      <c r="OB454" s="90" t="s">
        <v>37</v>
      </c>
      <c r="OC454" s="90" t="s">
        <v>37</v>
      </c>
      <c r="OE454" s="90" t="s">
        <v>37</v>
      </c>
      <c r="OF454" s="90" t="s">
        <v>37</v>
      </c>
      <c r="OG454" s="90" t="s">
        <v>37</v>
      </c>
      <c r="OM454" s="90" t="s">
        <v>37</v>
      </c>
      <c r="ON454" s="90" t="s">
        <v>37</v>
      </c>
      <c r="OO454" s="90" t="s">
        <v>37</v>
      </c>
      <c r="OP454" s="90" t="s">
        <v>37</v>
      </c>
      <c r="OQ454" s="90" t="s">
        <v>37</v>
      </c>
      <c r="OR454" s="90" t="s">
        <v>37</v>
      </c>
      <c r="OW454" s="90" t="s">
        <v>37</v>
      </c>
      <c r="OX454" s="90" t="s">
        <v>37</v>
      </c>
      <c r="OY454" s="91" t="s">
        <v>37</v>
      </c>
      <c r="OZ454" s="90" t="s">
        <v>37</v>
      </c>
      <c r="PA454" s="90" t="s">
        <v>37</v>
      </c>
      <c r="PB454" s="91" t="s">
        <v>37</v>
      </c>
      <c r="PC454" s="91"/>
      <c r="PD454" s="91"/>
      <c r="PG454" s="89" t="s">
        <v>37</v>
      </c>
      <c r="PH454" s="89" t="s">
        <v>37</v>
      </c>
      <c r="PI454" s="91" t="s">
        <v>37</v>
      </c>
      <c r="PJ454" s="89" t="s">
        <v>37</v>
      </c>
      <c r="PK454" s="89" t="s">
        <v>37</v>
      </c>
      <c r="PL454" s="91" t="s">
        <v>37</v>
      </c>
      <c r="PM454" s="91"/>
      <c r="PN454" s="91"/>
      <c r="PQ454" s="90" t="s">
        <v>37</v>
      </c>
      <c r="PR454" s="90" t="s">
        <v>37</v>
      </c>
      <c r="PS454" s="90" t="s">
        <v>37</v>
      </c>
      <c r="PT454" s="90" t="s">
        <v>37</v>
      </c>
      <c r="PU454" s="90" t="s">
        <v>37</v>
      </c>
      <c r="PV454" s="90" t="s">
        <v>37</v>
      </c>
      <c r="PZ454" s="90" t="s">
        <v>37</v>
      </c>
      <c r="QA454" s="90" t="s">
        <v>37</v>
      </c>
      <c r="QB454" s="89" t="s">
        <v>37</v>
      </c>
      <c r="QC454" s="48"/>
      <c r="QD454" s="90" t="s">
        <v>37</v>
      </c>
      <c r="QE454" s="90" t="s">
        <v>37</v>
      </c>
      <c r="QF454" s="90" t="s">
        <v>37</v>
      </c>
      <c r="QG454" s="48"/>
      <c r="QH454" s="48"/>
      <c r="QI454" s="48"/>
      <c r="QK454" s="90" t="s">
        <v>37</v>
      </c>
      <c r="QL454" s="90" t="s">
        <v>37</v>
      </c>
      <c r="QM454" s="90" t="s">
        <v>37</v>
      </c>
      <c r="QN454" s="90" t="s">
        <v>37</v>
      </c>
      <c r="QO454" s="90" t="s">
        <v>37</v>
      </c>
      <c r="QP454" s="90" t="s">
        <v>37</v>
      </c>
      <c r="QU454" s="90" t="s">
        <v>37</v>
      </c>
      <c r="QV454" s="90" t="s">
        <v>37</v>
      </c>
      <c r="QW454" s="90" t="s">
        <v>37</v>
      </c>
      <c r="QX454" s="90" t="s">
        <v>37</v>
      </c>
      <c r="QY454" s="90" t="s">
        <v>37</v>
      </c>
      <c r="QZ454" s="90" t="s">
        <v>37</v>
      </c>
      <c r="RC454" s="90" t="s">
        <v>37</v>
      </c>
      <c r="RD454" s="90" t="s">
        <v>37</v>
      </c>
      <c r="RE454" s="90" t="s">
        <v>37</v>
      </c>
      <c r="RF454" s="90" t="s">
        <v>37</v>
      </c>
      <c r="RG454" s="90" t="s">
        <v>37</v>
      </c>
      <c r="RH454" s="90" t="s">
        <v>37</v>
      </c>
      <c r="RK454" s="90" t="s">
        <v>37</v>
      </c>
      <c r="RL454" s="90" t="s">
        <v>37</v>
      </c>
      <c r="RM454" s="90" t="s">
        <v>37</v>
      </c>
      <c r="RN454" s="90" t="s">
        <v>37</v>
      </c>
      <c r="RO454" s="90" t="s">
        <v>37</v>
      </c>
      <c r="RP454" s="90" t="s">
        <v>37</v>
      </c>
      <c r="RS454" s="90" t="s">
        <v>37</v>
      </c>
      <c r="RT454" s="90" t="s">
        <v>37</v>
      </c>
      <c r="RU454" s="90" t="s">
        <v>37</v>
      </c>
      <c r="RV454" s="90" t="s">
        <v>37</v>
      </c>
      <c r="RW454" s="90" t="s">
        <v>37</v>
      </c>
      <c r="RX454" s="90" t="s">
        <v>37</v>
      </c>
      <c r="SA454" s="90" t="s">
        <v>37</v>
      </c>
      <c r="SB454" s="90" t="s">
        <v>37</v>
      </c>
      <c r="SC454" s="90" t="s">
        <v>37</v>
      </c>
      <c r="SD454" s="90" t="s">
        <v>37</v>
      </c>
      <c r="SE454" s="90" t="s">
        <v>37</v>
      </c>
      <c r="SF454" s="90" t="s">
        <v>37</v>
      </c>
      <c r="SI454" s="90" t="s">
        <v>37</v>
      </c>
      <c r="SJ454" s="90" t="s">
        <v>37</v>
      </c>
      <c r="SK454" s="90" t="s">
        <v>37</v>
      </c>
      <c r="SL454" s="90" t="s">
        <v>37</v>
      </c>
      <c r="SM454" s="90" t="s">
        <v>37</v>
      </c>
      <c r="SN454" s="90" t="s">
        <v>37</v>
      </c>
      <c r="SO454" s="91"/>
      <c r="SP454" s="91"/>
      <c r="SQ454" s="91"/>
      <c r="SR454" s="91"/>
      <c r="SU454" s="90" t="s">
        <v>37</v>
      </c>
      <c r="SV454" s="90" t="s">
        <v>37</v>
      </c>
      <c r="SW454" s="89" t="s">
        <v>37</v>
      </c>
      <c r="SX454" s="90" t="s">
        <v>37</v>
      </c>
      <c r="SY454" s="90" t="s">
        <v>37</v>
      </c>
      <c r="SZ454" s="89" t="s">
        <v>37</v>
      </c>
      <c r="TA454" s="89"/>
      <c r="TB454" s="89"/>
      <c r="TE454" s="90" t="s">
        <v>37</v>
      </c>
      <c r="TF454" s="90" t="s">
        <v>37</v>
      </c>
      <c r="TG454" s="89" t="s">
        <v>37</v>
      </c>
      <c r="TH454" s="90" t="s">
        <v>37</v>
      </c>
      <c r="TI454" s="90" t="s">
        <v>37</v>
      </c>
      <c r="TJ454" s="89" t="s">
        <v>37</v>
      </c>
      <c r="TK454" s="89"/>
      <c r="TL454" s="89"/>
      <c r="TO454" s="90" t="s">
        <v>37</v>
      </c>
      <c r="TP454" s="90" t="s">
        <v>37</v>
      </c>
      <c r="TQ454" s="89" t="s">
        <v>37</v>
      </c>
      <c r="TR454" s="90" t="s">
        <v>37</v>
      </c>
      <c r="TS454" s="90" t="s">
        <v>37</v>
      </c>
      <c r="TT454" s="89" t="s">
        <v>37</v>
      </c>
      <c r="TU454" s="89"/>
      <c r="TV454" s="89"/>
      <c r="TY454" s="90" t="s">
        <v>37</v>
      </c>
      <c r="TZ454" s="90" t="s">
        <v>37</v>
      </c>
      <c r="UA454" s="90" t="s">
        <v>37</v>
      </c>
      <c r="UB454" s="90" t="s">
        <v>37</v>
      </c>
      <c r="UC454" s="90" t="s">
        <v>37</v>
      </c>
      <c r="UD454" s="90" t="s">
        <v>37</v>
      </c>
      <c r="UI454" s="90" t="s">
        <v>37</v>
      </c>
      <c r="UJ454" s="90" t="s">
        <v>37</v>
      </c>
      <c r="UK454" s="90" t="s">
        <v>37</v>
      </c>
      <c r="UL454" s="90" t="s">
        <v>37</v>
      </c>
      <c r="UM454" s="90" t="s">
        <v>37</v>
      </c>
      <c r="UN454" s="90" t="s">
        <v>37</v>
      </c>
      <c r="UR454" s="90" t="s">
        <v>37</v>
      </c>
      <c r="US454" s="90" t="s">
        <v>37</v>
      </c>
      <c r="UT454" s="90" t="s">
        <v>37</v>
      </c>
      <c r="UU454" s="90" t="s">
        <v>37</v>
      </c>
      <c r="UV454" s="90" t="s">
        <v>37</v>
      </c>
      <c r="UW454" s="90" t="s">
        <v>37</v>
      </c>
      <c r="VB454" s="90" t="s">
        <v>37</v>
      </c>
      <c r="VC454" s="90" t="s">
        <v>37</v>
      </c>
      <c r="VD454" s="90" t="s">
        <v>37</v>
      </c>
      <c r="VE454" s="90" t="s">
        <v>37</v>
      </c>
      <c r="VF454" s="90" t="s">
        <v>37</v>
      </c>
      <c r="VG454" s="90" t="s">
        <v>37</v>
      </c>
      <c r="VI454" s="90" t="s">
        <v>37</v>
      </c>
      <c r="VJ454" s="90" t="s">
        <v>37</v>
      </c>
      <c r="VK454" s="90" t="s">
        <v>37</v>
      </c>
      <c r="VL454" s="90" t="s">
        <v>37</v>
      </c>
      <c r="VM454" s="90" t="s">
        <v>37</v>
      </c>
      <c r="VN454" s="90" t="s">
        <v>37</v>
      </c>
      <c r="VQ454" s="91" t="s">
        <v>37</v>
      </c>
      <c r="VR454" s="91" t="s">
        <v>37</v>
      </c>
      <c r="VS454" s="91" t="s">
        <v>37</v>
      </c>
      <c r="VT454" s="91" t="s">
        <v>37</v>
      </c>
      <c r="VU454" s="91" t="s">
        <v>37</v>
      </c>
      <c r="VV454" s="91" t="s">
        <v>37</v>
      </c>
      <c r="VW454" s="91"/>
      <c r="VX454" s="91"/>
      <c r="WA454" s="91" t="s">
        <v>37</v>
      </c>
      <c r="WB454" s="91" t="s">
        <v>37</v>
      </c>
      <c r="WC454" s="91" t="s">
        <v>37</v>
      </c>
      <c r="WD454" s="91" t="s">
        <v>37</v>
      </c>
      <c r="WE454" s="91" t="s">
        <v>37</v>
      </c>
      <c r="WF454" s="91" t="s">
        <v>37</v>
      </c>
    </row>
    <row r="455" spans="1:604" s="90" customFormat="1" ht="18.75" customHeight="1" x14ac:dyDescent="0.3">
      <c r="A455" s="89">
        <v>114</v>
      </c>
      <c r="B455" s="84" t="s">
        <v>995</v>
      </c>
      <c r="C455" s="90" t="s">
        <v>26</v>
      </c>
      <c r="D455" s="12" t="s">
        <v>1039</v>
      </c>
      <c r="E455" s="88">
        <v>4</v>
      </c>
      <c r="F455" s="88">
        <v>0</v>
      </c>
      <c r="G455" s="88">
        <v>0</v>
      </c>
      <c r="H455" s="90" t="s">
        <v>996</v>
      </c>
      <c r="I455" s="84">
        <v>9.6890000000000001</v>
      </c>
      <c r="J455" s="99">
        <v>-77.238</v>
      </c>
      <c r="K455" s="90" t="s">
        <v>1007</v>
      </c>
      <c r="L455" s="90" t="s">
        <v>1008</v>
      </c>
      <c r="M455" s="91">
        <v>4200</v>
      </c>
      <c r="N455" s="88">
        <v>13.8</v>
      </c>
      <c r="O455" s="88">
        <v>632</v>
      </c>
      <c r="P455" s="84" t="s">
        <v>80</v>
      </c>
      <c r="Q455" s="92">
        <v>13</v>
      </c>
      <c r="R455" s="11" t="s">
        <v>999</v>
      </c>
      <c r="S455" s="90" t="s">
        <v>93</v>
      </c>
      <c r="T455" s="90" t="s">
        <v>37</v>
      </c>
      <c r="U455" s="90" t="s">
        <v>158</v>
      </c>
      <c r="V455" s="90" t="s">
        <v>275</v>
      </c>
      <c r="W455" s="93" t="s">
        <v>997</v>
      </c>
      <c r="X455" s="90" t="s">
        <v>283</v>
      </c>
      <c r="Y455" s="90" t="s">
        <v>37</v>
      </c>
      <c r="Z455" s="90" t="s">
        <v>37</v>
      </c>
      <c r="AA455" s="94"/>
      <c r="AB455" s="90" t="s">
        <v>37</v>
      </c>
      <c r="AD455" s="94"/>
      <c r="AE455" s="90" t="s">
        <v>37</v>
      </c>
      <c r="AG455" s="94"/>
      <c r="AH455" s="90" t="s">
        <v>37</v>
      </c>
      <c r="AK455" s="90" t="s">
        <v>37</v>
      </c>
      <c r="AL455" s="94" t="s">
        <v>998</v>
      </c>
      <c r="AM455" s="90" t="s">
        <v>344</v>
      </c>
      <c r="AN455" s="94"/>
      <c r="AO455" s="90" t="s">
        <v>37</v>
      </c>
      <c r="AP455" s="95" t="s">
        <v>238</v>
      </c>
      <c r="AQ455" s="90" t="s">
        <v>73</v>
      </c>
      <c r="AS455" s="94"/>
      <c r="AT455" s="90" t="s">
        <v>326</v>
      </c>
      <c r="AU455" s="90" t="s">
        <v>326</v>
      </c>
      <c r="AV455" s="91" t="s">
        <v>326</v>
      </c>
      <c r="AW455" s="48"/>
      <c r="AX455" s="90" t="s">
        <v>326</v>
      </c>
      <c r="AY455" s="90" t="s">
        <v>326</v>
      </c>
      <c r="AZ455" s="91" t="s">
        <v>326</v>
      </c>
      <c r="BA455" s="48"/>
      <c r="BB455" s="48"/>
      <c r="BC455" s="48"/>
      <c r="BD455" s="94"/>
      <c r="BE455" s="90" t="s">
        <v>326</v>
      </c>
      <c r="BF455" s="90" t="s">
        <v>326</v>
      </c>
      <c r="BG455" s="90" t="s">
        <v>326</v>
      </c>
      <c r="BH455" s="48"/>
      <c r="BI455" s="90" t="s">
        <v>326</v>
      </c>
      <c r="BJ455" s="90" t="s">
        <v>326</v>
      </c>
      <c r="BK455" s="90" t="s">
        <v>326</v>
      </c>
      <c r="BL455" s="48"/>
      <c r="BM455" s="48"/>
      <c r="BN455" s="48"/>
      <c r="BP455" s="90" t="s">
        <v>37</v>
      </c>
      <c r="BQ455" s="90" t="s">
        <v>37</v>
      </c>
      <c r="BR455" s="91" t="s">
        <v>37</v>
      </c>
      <c r="BS455" s="48"/>
      <c r="BT455" s="90" t="s">
        <v>37</v>
      </c>
      <c r="BU455" s="90" t="s">
        <v>37</v>
      </c>
      <c r="BV455" s="90" t="s">
        <v>37</v>
      </c>
      <c r="BW455" s="48"/>
      <c r="BX455" s="48"/>
      <c r="BY455" s="48"/>
      <c r="BZ455" s="90" t="s">
        <v>47</v>
      </c>
      <c r="CA455" s="90">
        <v>-160161.20218579238</v>
      </c>
      <c r="CB455" s="90">
        <v>10636.467274593098</v>
      </c>
      <c r="CC455" s="91">
        <v>3</v>
      </c>
      <c r="CD455" s="48">
        <f>CB455/ABS(CA455)</f>
        <v>6.6411010465908207E-2</v>
      </c>
      <c r="CE455" s="90">
        <v>-129453.33333333317</v>
      </c>
      <c r="CF455" s="90">
        <v>6791.9062619830866</v>
      </c>
      <c r="CG455" s="91">
        <v>3</v>
      </c>
      <c r="CH455" s="48">
        <f>CF455/ABS(CE455)</f>
        <v>5.2466059290218574E-2</v>
      </c>
      <c r="CI455" s="92">
        <f>CE455-CA455</f>
        <v>30707.868852459214</v>
      </c>
      <c r="CJ455" s="90">
        <f>SQRT(((CC455-1)*CB455^2+(CG455-1)*CF455^2)/(CC455+CG455-2))</f>
        <v>8923.688328125736</v>
      </c>
      <c r="CK455" s="96">
        <f>(((CC455+CG455)/(CC455*CG455))*(((CC455-1)*CB455^2)+(CG455-1)*CF455^2)/(CC455+CG455-2))</f>
        <v>53088142.251685001</v>
      </c>
      <c r="CL455" s="96">
        <f>(CB455^2/CC455)+(CF455^2/CG455)</f>
        <v>53088142.251685001</v>
      </c>
      <c r="CM455" s="90" t="s">
        <v>47</v>
      </c>
      <c r="CN455" s="90">
        <f>DA455-CA455</f>
        <v>67306.558222944135</v>
      </c>
      <c r="CO455" s="90">
        <f>SQRT(CB455^2+DB455^2)</f>
        <v>13632.710832908837</v>
      </c>
      <c r="CP455" s="91">
        <v>3</v>
      </c>
      <c r="CQ455" s="48">
        <f>CO455/ABS(CN455)</f>
        <v>0.20254654513386752</v>
      </c>
      <c r="CR455" s="90">
        <f>DE455-CE455</f>
        <v>78968.070175438406</v>
      </c>
      <c r="CS455" s="90">
        <f>SQRT(CF455^2+DF455^2)</f>
        <v>7711.5970214802783</v>
      </c>
      <c r="CT455" s="91">
        <v>3</v>
      </c>
      <c r="CU455" s="48">
        <f>CS455/ABS(CR455)</f>
        <v>9.765462172683094E-2</v>
      </c>
      <c r="CV455" s="92">
        <f>CR455-CN455</f>
        <v>11661.511952494271</v>
      </c>
      <c r="CW455" s="90">
        <f>SQRT(((CP455-1)*CO455^2+(CT455-1)*CS455^2)/(CP455+CT455-2))</f>
        <v>11075.186979807913</v>
      </c>
      <c r="CX455" s="96">
        <f>(((CP455+CT455)/(CP455*CT455))*(((CP455-1)*CO455^2)+(CT455-1)*CS455^2)/(CP455+CT455-2))</f>
        <v>81773177.758471146</v>
      </c>
      <c r="CY455" s="96">
        <f>(CO455^2/CP455)+(CS455^2/CT455)</f>
        <v>81773177.758471146</v>
      </c>
      <c r="CZ455" s="90" t="s">
        <v>47</v>
      </c>
      <c r="DA455" s="90">
        <v>-92854.643962848248</v>
      </c>
      <c r="DB455" s="90">
        <v>8527.3893173831366</v>
      </c>
      <c r="DC455" s="91">
        <v>3</v>
      </c>
      <c r="DD455" s="48">
        <f>DB455/ABS(DA455)</f>
        <v>9.183589482928825E-2</v>
      </c>
      <c r="DE455" s="90">
        <v>-50485.263157894762</v>
      </c>
      <c r="DF455" s="90">
        <v>3652.2236993561119</v>
      </c>
      <c r="DG455" s="91">
        <v>3</v>
      </c>
      <c r="DH455" s="48">
        <f>DF455/ABS(DE455)</f>
        <v>7.2342372227190935E-2</v>
      </c>
      <c r="DI455" s="48">
        <f>DE455-DA455</f>
        <v>42369.380804953485</v>
      </c>
      <c r="DJ455" s="90">
        <f>SQRT(((DC455-1)*DB455^2+(DG455-1)*DF455^2)/(DC455+DG455-2))</f>
        <v>6559.5391042495685</v>
      </c>
      <c r="DK455" s="96">
        <f>(((DC455+DG455)/(DC455*DG455))*(((DC455-1)*DB455^2)+(DG455-1)*DF455^2)/(DC455+DG455-2))</f>
        <v>28685035.506786156</v>
      </c>
      <c r="DL455" s="96">
        <f>(DB455^2/DC455)+(DF455^2/DG455)</f>
        <v>28685035.50678616</v>
      </c>
      <c r="DM455" s="89"/>
      <c r="DN455" s="90" t="s">
        <v>37</v>
      </c>
      <c r="DO455" s="90" t="s">
        <v>37</v>
      </c>
      <c r="DP455" s="91" t="s">
        <v>37</v>
      </c>
      <c r="DQ455" s="91"/>
      <c r="DR455" s="90" t="s">
        <v>37</v>
      </c>
      <c r="DS455" s="90" t="s">
        <v>37</v>
      </c>
      <c r="DT455" s="91" t="s">
        <v>37</v>
      </c>
      <c r="DU455" s="48"/>
      <c r="DV455" s="48"/>
      <c r="DW455" s="48"/>
      <c r="DX455" s="96"/>
      <c r="DY455" s="96"/>
      <c r="DZ455" s="89"/>
      <c r="EA455" s="101" t="s">
        <v>37</v>
      </c>
      <c r="EB455" s="101" t="s">
        <v>37</v>
      </c>
      <c r="EC455" s="101" t="s">
        <v>37</v>
      </c>
      <c r="ED455" s="101"/>
      <c r="EE455" s="101" t="s">
        <v>37</v>
      </c>
      <c r="EF455" s="101" t="s">
        <v>37</v>
      </c>
      <c r="EG455" s="101" t="s">
        <v>37</v>
      </c>
      <c r="EH455" s="91"/>
      <c r="EI455" s="91"/>
      <c r="EJ455" s="91"/>
      <c r="EK455" s="91"/>
      <c r="EL455" s="91"/>
      <c r="EM455" s="90" t="s">
        <v>39</v>
      </c>
      <c r="EN455" s="90">
        <v>-5.6149732620320822</v>
      </c>
      <c r="EO455" s="90">
        <v>0.89761221109140865</v>
      </c>
      <c r="EP455" s="91">
        <v>3</v>
      </c>
      <c r="EQ455" s="48">
        <f>EO455/ABS(EN455)</f>
        <v>0.15986046045151764</v>
      </c>
      <c r="ER455" s="90">
        <v>-65.23510971786834</v>
      </c>
      <c r="ES455" s="90">
        <v>10.177520442006553</v>
      </c>
      <c r="ET455" s="91">
        <v>3</v>
      </c>
      <c r="EU455" s="48">
        <f>ES455/ABS(ER455)</f>
        <v>0.15601292748678955</v>
      </c>
      <c r="EV455" s="90">
        <f>ER455-EN455</f>
        <v>-59.62013645583626</v>
      </c>
      <c r="EW455" s="90">
        <f>SQRT(((EP455-1)*EO455^2+(ET455-1)*ES455^2)/(EP455+ET455-2))</f>
        <v>7.2245287053537854</v>
      </c>
      <c r="EX455" s="48">
        <f>(((EP455+ET455)/(EP455*ET455))*(((EP455-1)*EO455^2)+(ET455-1)*ES455^2)/(EP455+ET455-2))</f>
        <v>34.79587667632056</v>
      </c>
      <c r="EY455" s="48">
        <f>(EO455^2/EP455)+(ES455^2/ET455)</f>
        <v>34.79587667632056</v>
      </c>
      <c r="FB455" s="90" t="s">
        <v>37</v>
      </c>
      <c r="FC455" s="90" t="s">
        <v>37</v>
      </c>
      <c r="FD455" s="89" t="s">
        <v>37</v>
      </c>
      <c r="FE455" s="90" t="s">
        <v>37</v>
      </c>
      <c r="FF455" s="100" t="s">
        <v>37</v>
      </c>
      <c r="FG455" s="89" t="s">
        <v>37</v>
      </c>
      <c r="FH455" s="94"/>
      <c r="FI455" s="90" t="s">
        <v>37</v>
      </c>
      <c r="FJ455" s="90" t="s">
        <v>37</v>
      </c>
      <c r="FK455" s="89" t="s">
        <v>37</v>
      </c>
      <c r="FL455" s="91" t="s">
        <v>37</v>
      </c>
      <c r="FM455" s="89" t="s">
        <v>37</v>
      </c>
      <c r="FN455" s="89" t="s">
        <v>37</v>
      </c>
      <c r="FO455" s="94"/>
      <c r="FP455" s="90" t="s">
        <v>37</v>
      </c>
      <c r="FQ455" s="90" t="s">
        <v>37</v>
      </c>
      <c r="FR455" s="89" t="s">
        <v>37</v>
      </c>
      <c r="FS455" s="91" t="s">
        <v>37</v>
      </c>
      <c r="FT455" s="89" t="s">
        <v>37</v>
      </c>
      <c r="FU455" s="89" t="s">
        <v>37</v>
      </c>
      <c r="FV455" s="94"/>
      <c r="FW455" s="90" t="s">
        <v>37</v>
      </c>
      <c r="FX455" s="90" t="s">
        <v>37</v>
      </c>
      <c r="FY455" s="89" t="s">
        <v>37</v>
      </c>
      <c r="FZ455" s="91" t="s">
        <v>37</v>
      </c>
      <c r="GA455" s="89" t="s">
        <v>37</v>
      </c>
      <c r="GB455" s="89" t="s">
        <v>37</v>
      </c>
      <c r="GE455" s="90" t="s">
        <v>37</v>
      </c>
      <c r="GF455" s="90" t="s">
        <v>37</v>
      </c>
      <c r="GG455" s="90" t="s">
        <v>37</v>
      </c>
      <c r="GH455" s="91"/>
      <c r="GI455" s="90" t="s">
        <v>37</v>
      </c>
      <c r="GJ455" s="90" t="s">
        <v>37</v>
      </c>
      <c r="GK455" s="90" t="s">
        <v>37</v>
      </c>
      <c r="GL455" s="91"/>
      <c r="GM455" s="91"/>
      <c r="GN455" s="91"/>
      <c r="GQ455" s="90" t="s">
        <v>37</v>
      </c>
      <c r="GR455" s="90" t="s">
        <v>37</v>
      </c>
      <c r="GS455" s="90" t="s">
        <v>37</v>
      </c>
      <c r="GT455" s="91"/>
      <c r="GU455" s="90" t="s">
        <v>37</v>
      </c>
      <c r="GV455" s="90" t="s">
        <v>37</v>
      </c>
      <c r="GW455" s="90" t="s">
        <v>37</v>
      </c>
      <c r="GX455" s="91"/>
      <c r="GY455" s="91"/>
      <c r="GZ455" s="91"/>
      <c r="HA455" s="97"/>
      <c r="HB455" s="98"/>
      <c r="HC455" s="90" t="s">
        <v>37</v>
      </c>
      <c r="HD455" s="90" t="s">
        <v>37</v>
      </c>
      <c r="HE455" s="90" t="s">
        <v>37</v>
      </c>
      <c r="HF455" s="91"/>
      <c r="HG455" s="90" t="s">
        <v>37</v>
      </c>
      <c r="HH455" s="90" t="s">
        <v>37</v>
      </c>
      <c r="HI455" s="90" t="s">
        <v>37</v>
      </c>
      <c r="HJ455" s="91"/>
      <c r="HK455" s="91"/>
      <c r="HL455" s="91"/>
      <c r="HM455" s="98"/>
      <c r="HN455" s="90" t="s">
        <v>37</v>
      </c>
      <c r="HO455" s="90" t="s">
        <v>37</v>
      </c>
      <c r="HP455" s="90" t="s">
        <v>37</v>
      </c>
      <c r="HQ455" s="91"/>
      <c r="HR455" s="90" t="s">
        <v>37</v>
      </c>
      <c r="HS455" s="90" t="s">
        <v>37</v>
      </c>
      <c r="HT455" s="90" t="s">
        <v>37</v>
      </c>
      <c r="HU455" s="91"/>
      <c r="HV455" s="91"/>
      <c r="HW455" s="91"/>
      <c r="HX455" s="98"/>
      <c r="HY455" s="90" t="s">
        <v>37</v>
      </c>
      <c r="HZ455" s="90" t="s">
        <v>37</v>
      </c>
      <c r="IA455" s="90" t="s">
        <v>37</v>
      </c>
      <c r="IB455" s="91"/>
      <c r="IC455" s="90" t="s">
        <v>37</v>
      </c>
      <c r="ID455" s="90" t="s">
        <v>37</v>
      </c>
      <c r="IE455" s="90" t="s">
        <v>37</v>
      </c>
      <c r="IF455" s="91"/>
      <c r="IG455" s="91"/>
      <c r="IH455" s="91"/>
      <c r="IK455" s="90" t="s">
        <v>37</v>
      </c>
      <c r="IL455" s="90" t="s">
        <v>37</v>
      </c>
      <c r="IM455" s="90" t="s">
        <v>37</v>
      </c>
      <c r="IN455" s="91"/>
      <c r="IO455" s="90" t="s">
        <v>37</v>
      </c>
      <c r="IP455" s="90" t="s">
        <v>37</v>
      </c>
      <c r="IQ455" s="90" t="s">
        <v>37</v>
      </c>
      <c r="IR455" s="91"/>
      <c r="IS455" s="91"/>
      <c r="IT455" s="91"/>
      <c r="IV455" s="94"/>
      <c r="IW455" s="90" t="s">
        <v>37</v>
      </c>
      <c r="IX455" s="90" t="s">
        <v>37</v>
      </c>
      <c r="IY455" s="90" t="s">
        <v>37</v>
      </c>
      <c r="IZ455" s="91"/>
      <c r="JA455" s="90" t="s">
        <v>37</v>
      </c>
      <c r="JB455" s="90" t="s">
        <v>37</v>
      </c>
      <c r="JC455" s="90" t="s">
        <v>37</v>
      </c>
      <c r="JD455" s="91"/>
      <c r="JE455" s="91"/>
      <c r="JF455" s="91"/>
      <c r="JG455" s="94"/>
      <c r="JH455" s="90" t="s">
        <v>37</v>
      </c>
      <c r="JI455" s="90" t="s">
        <v>37</v>
      </c>
      <c r="JJ455" s="90" t="s">
        <v>37</v>
      </c>
      <c r="JK455" s="91"/>
      <c r="JL455" s="90" t="s">
        <v>37</v>
      </c>
      <c r="JM455" s="90" t="s">
        <v>37</v>
      </c>
      <c r="JN455" s="90" t="s">
        <v>37</v>
      </c>
      <c r="JO455" s="91"/>
      <c r="JP455" s="91"/>
      <c r="JQ455" s="91"/>
      <c r="JR455" s="94"/>
      <c r="JS455" s="90" t="s">
        <v>37</v>
      </c>
      <c r="JT455" s="90" t="s">
        <v>37</v>
      </c>
      <c r="JU455" s="90" t="s">
        <v>37</v>
      </c>
      <c r="JV455" s="91"/>
      <c r="JW455" s="90" t="s">
        <v>37</v>
      </c>
      <c r="JX455" s="90" t="s">
        <v>37</v>
      </c>
      <c r="JY455" s="90" t="s">
        <v>37</v>
      </c>
      <c r="JZ455" s="91"/>
      <c r="KA455" s="91"/>
      <c r="KB455" s="91"/>
      <c r="KE455" s="90" t="s">
        <v>37</v>
      </c>
      <c r="KF455" s="90" t="s">
        <v>37</v>
      </c>
      <c r="KG455" s="90" t="s">
        <v>37</v>
      </c>
      <c r="KH455" s="90" t="s">
        <v>37</v>
      </c>
      <c r="KI455" s="90" t="s">
        <v>37</v>
      </c>
      <c r="KJ455" s="90" t="s">
        <v>37</v>
      </c>
      <c r="KL455" s="94"/>
      <c r="KM455" s="90" t="s">
        <v>37</v>
      </c>
      <c r="KN455" s="90" t="s">
        <v>37</v>
      </c>
      <c r="KO455" s="90" t="s">
        <v>37</v>
      </c>
      <c r="KQ455" s="90" t="s">
        <v>37</v>
      </c>
      <c r="KR455" s="90" t="s">
        <v>37</v>
      </c>
      <c r="KS455" s="90" t="s">
        <v>37</v>
      </c>
      <c r="KW455" s="94"/>
      <c r="KX455" s="90" t="s">
        <v>37</v>
      </c>
      <c r="KY455" s="90" t="s">
        <v>37</v>
      </c>
      <c r="KZ455" s="90" t="s">
        <v>37</v>
      </c>
      <c r="LA455" s="91"/>
      <c r="LB455" s="90" t="s">
        <v>37</v>
      </c>
      <c r="LC455" s="90" t="s">
        <v>37</v>
      </c>
      <c r="LD455" s="90" t="s">
        <v>37</v>
      </c>
      <c r="LE455" s="91"/>
      <c r="LF455" s="91"/>
      <c r="LG455" s="91"/>
      <c r="LH455" s="94"/>
      <c r="LI455" s="90" t="s">
        <v>37</v>
      </c>
      <c r="LJ455" s="90" t="s">
        <v>37</v>
      </c>
      <c r="LK455" s="90" t="s">
        <v>37</v>
      </c>
      <c r="LL455" s="91"/>
      <c r="LM455" s="90" t="s">
        <v>37</v>
      </c>
      <c r="LN455" s="90" t="s">
        <v>37</v>
      </c>
      <c r="LO455" s="90" t="s">
        <v>37</v>
      </c>
      <c r="LP455" s="91"/>
      <c r="LQ455" s="91"/>
      <c r="LR455" s="91"/>
      <c r="LU455" s="90" t="s">
        <v>37</v>
      </c>
      <c r="LV455" s="90" t="s">
        <v>37</v>
      </c>
      <c r="LW455" s="90" t="s">
        <v>37</v>
      </c>
      <c r="LX455" s="91"/>
      <c r="LY455" s="90" t="s">
        <v>37</v>
      </c>
      <c r="LZ455" s="90" t="s">
        <v>37</v>
      </c>
      <c r="MA455" s="90" t="s">
        <v>37</v>
      </c>
      <c r="MB455" s="91"/>
      <c r="MC455" s="91"/>
      <c r="MD455" s="91"/>
      <c r="MF455" s="90" t="s">
        <v>37</v>
      </c>
      <c r="MG455" s="90" t="s">
        <v>37</v>
      </c>
      <c r="MH455" s="90" t="s">
        <v>37</v>
      </c>
      <c r="MI455" s="91"/>
      <c r="MJ455" s="90" t="s">
        <v>37</v>
      </c>
      <c r="MK455" s="90" t="s">
        <v>37</v>
      </c>
      <c r="ML455" s="90" t="s">
        <v>37</v>
      </c>
      <c r="MM455" s="91"/>
      <c r="MN455" s="91"/>
      <c r="MO455" s="91"/>
      <c r="MQ455" s="90" t="s">
        <v>37</v>
      </c>
      <c r="MR455" s="90" t="s">
        <v>37</v>
      </c>
      <c r="MS455" s="90" t="s">
        <v>37</v>
      </c>
      <c r="MT455" s="48"/>
      <c r="MU455" s="90" t="s">
        <v>37</v>
      </c>
      <c r="MV455" s="90" t="s">
        <v>37</v>
      </c>
      <c r="MW455" s="90" t="s">
        <v>37</v>
      </c>
      <c r="MX455" s="48"/>
      <c r="MY455" s="48"/>
      <c r="MZ455" s="48"/>
      <c r="NC455" s="90" t="s">
        <v>37</v>
      </c>
      <c r="ND455" s="90" t="s">
        <v>37</v>
      </c>
      <c r="NE455" s="90" t="s">
        <v>37</v>
      </c>
      <c r="NF455" s="48"/>
      <c r="NG455" s="90" t="s">
        <v>37</v>
      </c>
      <c r="NH455" s="90" t="s">
        <v>37</v>
      </c>
      <c r="NI455" s="90" t="s">
        <v>37</v>
      </c>
      <c r="NJ455" s="48"/>
      <c r="NK455" s="48"/>
      <c r="NL455" s="48"/>
      <c r="NO455" s="90" t="s">
        <v>37</v>
      </c>
      <c r="NP455" s="90" t="s">
        <v>37</v>
      </c>
      <c r="NQ455" s="90" t="s">
        <v>37</v>
      </c>
      <c r="NR455" s="48"/>
      <c r="NS455" s="90" t="s">
        <v>37</v>
      </c>
      <c r="NT455" s="90" t="s">
        <v>37</v>
      </c>
      <c r="NU455" s="90" t="s">
        <v>37</v>
      </c>
      <c r="NV455" s="48"/>
      <c r="NW455" s="48"/>
      <c r="NX455" s="48"/>
      <c r="OA455" s="90" t="s">
        <v>37</v>
      </c>
      <c r="OB455" s="90" t="s">
        <v>37</v>
      </c>
      <c r="OC455" s="90" t="s">
        <v>37</v>
      </c>
      <c r="OE455" s="90" t="s">
        <v>37</v>
      </c>
      <c r="OF455" s="90" t="s">
        <v>37</v>
      </c>
      <c r="OG455" s="90" t="s">
        <v>37</v>
      </c>
      <c r="OM455" s="90" t="s">
        <v>37</v>
      </c>
      <c r="ON455" s="90" t="s">
        <v>37</v>
      </c>
      <c r="OO455" s="90" t="s">
        <v>37</v>
      </c>
      <c r="OP455" s="90" t="s">
        <v>37</v>
      </c>
      <c r="OQ455" s="90" t="s">
        <v>37</v>
      </c>
      <c r="OR455" s="90" t="s">
        <v>37</v>
      </c>
      <c r="OW455" s="90" t="s">
        <v>37</v>
      </c>
      <c r="OX455" s="90" t="s">
        <v>37</v>
      </c>
      <c r="OY455" s="91" t="s">
        <v>37</v>
      </c>
      <c r="OZ455" s="90" t="s">
        <v>37</v>
      </c>
      <c r="PA455" s="90" t="s">
        <v>37</v>
      </c>
      <c r="PB455" s="91" t="s">
        <v>37</v>
      </c>
      <c r="PC455" s="91"/>
      <c r="PD455" s="91"/>
      <c r="PG455" s="89" t="s">
        <v>37</v>
      </c>
      <c r="PH455" s="89" t="s">
        <v>37</v>
      </c>
      <c r="PI455" s="91" t="s">
        <v>37</v>
      </c>
      <c r="PJ455" s="89" t="s">
        <v>37</v>
      </c>
      <c r="PK455" s="89" t="s">
        <v>37</v>
      </c>
      <c r="PL455" s="91" t="s">
        <v>37</v>
      </c>
      <c r="PM455" s="91"/>
      <c r="PN455" s="91"/>
      <c r="PQ455" s="90" t="s">
        <v>37</v>
      </c>
      <c r="PR455" s="90" t="s">
        <v>37</v>
      </c>
      <c r="PS455" s="90" t="s">
        <v>37</v>
      </c>
      <c r="PT455" s="90" t="s">
        <v>37</v>
      </c>
      <c r="PU455" s="90" t="s">
        <v>37</v>
      </c>
      <c r="PV455" s="90" t="s">
        <v>37</v>
      </c>
      <c r="PZ455" s="90" t="s">
        <v>37</v>
      </c>
      <c r="QA455" s="90" t="s">
        <v>37</v>
      </c>
      <c r="QB455" s="89" t="s">
        <v>37</v>
      </c>
      <c r="QC455" s="48"/>
      <c r="QD455" s="90" t="s">
        <v>37</v>
      </c>
      <c r="QE455" s="90" t="s">
        <v>37</v>
      </c>
      <c r="QF455" s="90" t="s">
        <v>37</v>
      </c>
      <c r="QG455" s="48"/>
      <c r="QH455" s="48"/>
      <c r="QI455" s="48"/>
      <c r="QK455" s="90" t="s">
        <v>37</v>
      </c>
      <c r="QL455" s="90" t="s">
        <v>37</v>
      </c>
      <c r="QM455" s="90" t="s">
        <v>37</v>
      </c>
      <c r="QN455" s="90" t="s">
        <v>37</v>
      </c>
      <c r="QO455" s="90" t="s">
        <v>37</v>
      </c>
      <c r="QP455" s="90" t="s">
        <v>37</v>
      </c>
      <c r="QU455" s="90" t="s">
        <v>37</v>
      </c>
      <c r="QV455" s="90" t="s">
        <v>37</v>
      </c>
      <c r="QW455" s="90" t="s">
        <v>37</v>
      </c>
      <c r="QX455" s="90" t="s">
        <v>37</v>
      </c>
      <c r="QY455" s="90" t="s">
        <v>37</v>
      </c>
      <c r="QZ455" s="90" t="s">
        <v>37</v>
      </c>
      <c r="RC455" s="90" t="s">
        <v>37</v>
      </c>
      <c r="RD455" s="90" t="s">
        <v>37</v>
      </c>
      <c r="RE455" s="90" t="s">
        <v>37</v>
      </c>
      <c r="RF455" s="90" t="s">
        <v>37</v>
      </c>
      <c r="RG455" s="90" t="s">
        <v>37</v>
      </c>
      <c r="RH455" s="90" t="s">
        <v>37</v>
      </c>
      <c r="RK455" s="90" t="s">
        <v>37</v>
      </c>
      <c r="RL455" s="90" t="s">
        <v>37</v>
      </c>
      <c r="RM455" s="90" t="s">
        <v>37</v>
      </c>
      <c r="RN455" s="90" t="s">
        <v>37</v>
      </c>
      <c r="RO455" s="90" t="s">
        <v>37</v>
      </c>
      <c r="RP455" s="90" t="s">
        <v>37</v>
      </c>
      <c r="RS455" s="90" t="s">
        <v>37</v>
      </c>
      <c r="RT455" s="90" t="s">
        <v>37</v>
      </c>
      <c r="RU455" s="90" t="s">
        <v>37</v>
      </c>
      <c r="RV455" s="90" t="s">
        <v>37</v>
      </c>
      <c r="RW455" s="90" t="s">
        <v>37</v>
      </c>
      <c r="RX455" s="90" t="s">
        <v>37</v>
      </c>
      <c r="SA455" s="90" t="s">
        <v>37</v>
      </c>
      <c r="SB455" s="90" t="s">
        <v>37</v>
      </c>
      <c r="SC455" s="90" t="s">
        <v>37</v>
      </c>
      <c r="SD455" s="90" t="s">
        <v>37</v>
      </c>
      <c r="SE455" s="90" t="s">
        <v>37</v>
      </c>
      <c r="SF455" s="90" t="s">
        <v>37</v>
      </c>
      <c r="SI455" s="90" t="s">
        <v>37</v>
      </c>
      <c r="SJ455" s="90" t="s">
        <v>37</v>
      </c>
      <c r="SK455" s="90" t="s">
        <v>37</v>
      </c>
      <c r="SL455" s="90" t="s">
        <v>37</v>
      </c>
      <c r="SM455" s="90" t="s">
        <v>37</v>
      </c>
      <c r="SN455" s="90" t="s">
        <v>37</v>
      </c>
      <c r="SO455" s="91"/>
      <c r="SP455" s="91"/>
      <c r="SQ455" s="91"/>
      <c r="SR455" s="91"/>
      <c r="SU455" s="90" t="s">
        <v>37</v>
      </c>
      <c r="SV455" s="90" t="s">
        <v>37</v>
      </c>
      <c r="SW455" s="89" t="s">
        <v>37</v>
      </c>
      <c r="SX455" s="90" t="s">
        <v>37</v>
      </c>
      <c r="SY455" s="90" t="s">
        <v>37</v>
      </c>
      <c r="SZ455" s="89" t="s">
        <v>37</v>
      </c>
      <c r="TA455" s="89"/>
      <c r="TB455" s="89"/>
      <c r="TE455" s="90" t="s">
        <v>37</v>
      </c>
      <c r="TF455" s="90" t="s">
        <v>37</v>
      </c>
      <c r="TG455" s="89" t="s">
        <v>37</v>
      </c>
      <c r="TH455" s="90" t="s">
        <v>37</v>
      </c>
      <c r="TI455" s="90" t="s">
        <v>37</v>
      </c>
      <c r="TJ455" s="89" t="s">
        <v>37</v>
      </c>
      <c r="TK455" s="89"/>
      <c r="TL455" s="89"/>
      <c r="TO455" s="90" t="s">
        <v>37</v>
      </c>
      <c r="TP455" s="90" t="s">
        <v>37</v>
      </c>
      <c r="TQ455" s="89" t="s">
        <v>37</v>
      </c>
      <c r="TR455" s="90" t="s">
        <v>37</v>
      </c>
      <c r="TS455" s="90" t="s">
        <v>37</v>
      </c>
      <c r="TT455" s="89" t="s">
        <v>37</v>
      </c>
      <c r="TU455" s="89"/>
      <c r="TV455" s="89"/>
      <c r="TY455" s="90" t="s">
        <v>37</v>
      </c>
      <c r="TZ455" s="90" t="s">
        <v>37</v>
      </c>
      <c r="UA455" s="90" t="s">
        <v>37</v>
      </c>
      <c r="UB455" s="90" t="s">
        <v>37</v>
      </c>
      <c r="UC455" s="90" t="s">
        <v>37</v>
      </c>
      <c r="UD455" s="90" t="s">
        <v>37</v>
      </c>
      <c r="UI455" s="90" t="s">
        <v>37</v>
      </c>
      <c r="UJ455" s="90" t="s">
        <v>37</v>
      </c>
      <c r="UK455" s="90" t="s">
        <v>37</v>
      </c>
      <c r="UL455" s="90" t="s">
        <v>37</v>
      </c>
      <c r="UM455" s="90" t="s">
        <v>37</v>
      </c>
      <c r="UN455" s="90" t="s">
        <v>37</v>
      </c>
      <c r="UR455" s="90" t="s">
        <v>37</v>
      </c>
      <c r="US455" s="90" t="s">
        <v>37</v>
      </c>
      <c r="UT455" s="90" t="s">
        <v>37</v>
      </c>
      <c r="UU455" s="90" t="s">
        <v>37</v>
      </c>
      <c r="UV455" s="90" t="s">
        <v>37</v>
      </c>
      <c r="UW455" s="90" t="s">
        <v>37</v>
      </c>
      <c r="VB455" s="90" t="s">
        <v>37</v>
      </c>
      <c r="VC455" s="90" t="s">
        <v>37</v>
      </c>
      <c r="VD455" s="90" t="s">
        <v>37</v>
      </c>
      <c r="VE455" s="90" t="s">
        <v>37</v>
      </c>
      <c r="VF455" s="90" t="s">
        <v>37</v>
      </c>
      <c r="VG455" s="90" t="s">
        <v>37</v>
      </c>
      <c r="VI455" s="90" t="s">
        <v>37</v>
      </c>
      <c r="VJ455" s="90" t="s">
        <v>37</v>
      </c>
      <c r="VK455" s="90" t="s">
        <v>37</v>
      </c>
      <c r="VL455" s="90" t="s">
        <v>37</v>
      </c>
      <c r="VM455" s="90" t="s">
        <v>37</v>
      </c>
      <c r="VN455" s="90" t="s">
        <v>37</v>
      </c>
      <c r="VQ455" s="91" t="s">
        <v>37</v>
      </c>
      <c r="VR455" s="91" t="s">
        <v>37</v>
      </c>
      <c r="VS455" s="91" t="s">
        <v>37</v>
      </c>
      <c r="VT455" s="91" t="s">
        <v>37</v>
      </c>
      <c r="VU455" s="91" t="s">
        <v>37</v>
      </c>
      <c r="VV455" s="91" t="s">
        <v>37</v>
      </c>
      <c r="VW455" s="91"/>
      <c r="VX455" s="91"/>
      <c r="WA455" s="91" t="s">
        <v>37</v>
      </c>
      <c r="WB455" s="91" t="s">
        <v>37</v>
      </c>
      <c r="WC455" s="91" t="s">
        <v>37</v>
      </c>
      <c r="WD455" s="91" t="s">
        <v>37</v>
      </c>
      <c r="WE455" s="91" t="s">
        <v>37</v>
      </c>
      <c r="WF455" s="91" t="s">
        <v>37</v>
      </c>
    </row>
    <row r="456" spans="1:604" s="90" customFormat="1" ht="18.75" customHeight="1" x14ac:dyDescent="0.3">
      <c r="A456" s="89">
        <v>110</v>
      </c>
      <c r="B456" s="84" t="s">
        <v>1009</v>
      </c>
      <c r="C456" s="90" t="s">
        <v>26</v>
      </c>
      <c r="D456" s="84" t="s">
        <v>830</v>
      </c>
      <c r="E456" s="88">
        <v>10</v>
      </c>
      <c r="F456" s="88">
        <v>0</v>
      </c>
      <c r="G456" s="88">
        <v>0</v>
      </c>
      <c r="H456" s="90" t="s">
        <v>1010</v>
      </c>
      <c r="I456" s="84">
        <v>1.383</v>
      </c>
      <c r="J456" s="99">
        <v>111.4</v>
      </c>
      <c r="K456" s="90" t="s">
        <v>1011</v>
      </c>
      <c r="L456" s="90" t="s">
        <v>1012</v>
      </c>
      <c r="M456" s="91">
        <v>10</v>
      </c>
      <c r="N456" s="14">
        <v>27.1</v>
      </c>
      <c r="O456" s="14">
        <v>2346</v>
      </c>
      <c r="P456" s="84" t="s">
        <v>840</v>
      </c>
      <c r="Q456" s="75">
        <v>14</v>
      </c>
      <c r="R456" s="11" t="s">
        <v>1000</v>
      </c>
      <c r="S456" s="90" t="s">
        <v>981</v>
      </c>
      <c r="T456" s="12" t="s">
        <v>1016</v>
      </c>
      <c r="U456" s="12" t="s">
        <v>983</v>
      </c>
      <c r="V456" s="90" t="s">
        <v>275</v>
      </c>
      <c r="W456" s="93" t="s">
        <v>1015</v>
      </c>
      <c r="X456" s="90" t="s">
        <v>982</v>
      </c>
      <c r="Y456" s="90" t="s">
        <v>37</v>
      </c>
      <c r="Z456" s="90" t="s">
        <v>37</v>
      </c>
      <c r="AA456" s="32"/>
      <c r="AB456" s="90" t="s">
        <v>37</v>
      </c>
      <c r="AD456" s="94"/>
      <c r="AE456" s="90" t="s">
        <v>37</v>
      </c>
      <c r="AG456" s="94"/>
      <c r="AH456" s="90" t="s">
        <v>37</v>
      </c>
      <c r="AK456" s="90" t="s">
        <v>37</v>
      </c>
      <c r="AL456" s="32" t="s">
        <v>1017</v>
      </c>
      <c r="AM456" s="90" t="s">
        <v>344</v>
      </c>
      <c r="AN456" s="32"/>
      <c r="AO456" s="90" t="s">
        <v>37</v>
      </c>
      <c r="AP456" s="90" t="s">
        <v>370</v>
      </c>
      <c r="AQ456" s="90" t="s">
        <v>849</v>
      </c>
      <c r="AS456" s="94"/>
      <c r="AT456" s="90" t="s">
        <v>326</v>
      </c>
      <c r="AU456" s="90" t="s">
        <v>326</v>
      </c>
      <c r="AV456" s="91" t="s">
        <v>326</v>
      </c>
      <c r="AW456" s="48"/>
      <c r="AX456" s="90" t="s">
        <v>326</v>
      </c>
      <c r="AY456" s="90" t="s">
        <v>326</v>
      </c>
      <c r="AZ456" s="91" t="s">
        <v>326</v>
      </c>
      <c r="BA456" s="48"/>
      <c r="BB456" s="48"/>
      <c r="BC456" s="48"/>
      <c r="BD456" s="94"/>
      <c r="BE456" s="90" t="s">
        <v>326</v>
      </c>
      <c r="BF456" s="90" t="s">
        <v>326</v>
      </c>
      <c r="BG456" s="90" t="s">
        <v>326</v>
      </c>
      <c r="BH456" s="48"/>
      <c r="BI456" s="90" t="s">
        <v>326</v>
      </c>
      <c r="BJ456" s="90" t="s">
        <v>326</v>
      </c>
      <c r="BK456" s="90" t="s">
        <v>326</v>
      </c>
      <c r="BL456" s="48"/>
      <c r="BM456" s="48"/>
      <c r="BN456" s="48"/>
      <c r="BP456" s="90" t="s">
        <v>37</v>
      </c>
      <c r="BQ456" s="90" t="s">
        <v>37</v>
      </c>
      <c r="BR456" s="91" t="s">
        <v>37</v>
      </c>
      <c r="BS456" s="48"/>
      <c r="BT456" s="90" t="s">
        <v>37</v>
      </c>
      <c r="BU456" s="90" t="s">
        <v>37</v>
      </c>
      <c r="BV456" s="90" t="s">
        <v>37</v>
      </c>
      <c r="BW456" s="48"/>
      <c r="BX456" s="48"/>
      <c r="BY456" s="48"/>
      <c r="CA456" s="90" t="s">
        <v>37</v>
      </c>
      <c r="CB456" s="90" t="s">
        <v>37</v>
      </c>
      <c r="CC456" s="91" t="s">
        <v>37</v>
      </c>
      <c r="CD456" s="48"/>
      <c r="CE456" s="90" t="s">
        <v>37</v>
      </c>
      <c r="CF456" s="90" t="s">
        <v>37</v>
      </c>
      <c r="CG456" s="91" t="s">
        <v>37</v>
      </c>
      <c r="CH456" s="48"/>
      <c r="CI456" s="92"/>
      <c r="CK456" s="96"/>
      <c r="CL456" s="96"/>
      <c r="CN456" s="90" t="s">
        <v>37</v>
      </c>
      <c r="CO456" s="90" t="s">
        <v>37</v>
      </c>
      <c r="CP456" s="91" t="s">
        <v>37</v>
      </c>
      <c r="CQ456" s="48"/>
      <c r="CR456" s="90" t="s">
        <v>37</v>
      </c>
      <c r="CS456" s="90" t="s">
        <v>37</v>
      </c>
      <c r="CT456" s="91" t="s">
        <v>37</v>
      </c>
      <c r="CU456" s="48"/>
      <c r="CV456" s="92"/>
      <c r="CX456" s="96"/>
      <c r="CY456" s="96"/>
      <c r="DA456" s="90" t="s">
        <v>37</v>
      </c>
      <c r="DB456" s="90" t="s">
        <v>37</v>
      </c>
      <c r="DC456" s="91" t="s">
        <v>37</v>
      </c>
      <c r="DD456" s="48"/>
      <c r="DE456" s="90" t="s">
        <v>37</v>
      </c>
      <c r="DF456" s="90" t="s">
        <v>37</v>
      </c>
      <c r="DG456" s="91" t="s">
        <v>37</v>
      </c>
      <c r="DH456" s="48"/>
      <c r="DI456" s="92"/>
      <c r="DK456" s="96"/>
      <c r="DL456" s="96"/>
      <c r="DM456" s="90" t="s">
        <v>47</v>
      </c>
      <c r="DN456" s="90">
        <f>88.7*16/12</f>
        <v>118.26666666666667</v>
      </c>
      <c r="DO456" s="50">
        <f t="shared" ref="DO456:DO461" si="1820">ABS(DN456)*DQ$474</f>
        <v>131.85305726464713</v>
      </c>
      <c r="DP456" s="91">
        <v>1</v>
      </c>
      <c r="DQ456" s="91"/>
      <c r="DR456" s="90">
        <f>43.5*16/12</f>
        <v>58</v>
      </c>
      <c r="DS456" s="50">
        <f t="shared" ref="DS456:DS461" si="1821">ABS(DR456)*DU$474</f>
        <v>216.75854508859857</v>
      </c>
      <c r="DT456" s="91">
        <v>1</v>
      </c>
      <c r="DU456" s="48"/>
      <c r="DV456" s="48">
        <f t="shared" ref="DV456:DV461" si="1822">DR456-DN456</f>
        <v>-60.266666666666666</v>
      </c>
      <c r="DW456" s="90" t="e">
        <f>SQRT(((DP456-1)*DO456^2+(DT456-1)*DS456^2)/(DP456+DT456-2))</f>
        <v>#DIV/0!</v>
      </c>
      <c r="DX456" s="96" t="e">
        <f>(((DP456+DT456)/(DP456*DT456))*(((DP456-1)*DO456^2)+(DT456-1)*DS456^2)/(DP456+DT456-2))</f>
        <v>#DIV/0!</v>
      </c>
      <c r="DY456" s="96">
        <f>(DO456^2/DP456)+(DS456^2/DT456)</f>
        <v>64369.495578960334</v>
      </c>
      <c r="DZ456" s="89"/>
      <c r="EA456" s="101" t="s">
        <v>37</v>
      </c>
      <c r="EB456" s="101" t="s">
        <v>37</v>
      </c>
      <c r="EC456" s="101" t="s">
        <v>37</v>
      </c>
      <c r="ED456" s="101"/>
      <c r="EE456" s="101" t="s">
        <v>37</v>
      </c>
      <c r="EF456" s="101" t="s">
        <v>37</v>
      </c>
      <c r="EG456" s="101" t="s">
        <v>37</v>
      </c>
      <c r="EH456" s="91"/>
      <c r="EI456" s="91"/>
      <c r="EJ456" s="91"/>
      <c r="EK456" s="91"/>
      <c r="EL456" s="91"/>
      <c r="EM456" s="90" t="s">
        <v>39</v>
      </c>
      <c r="EN456" s="90">
        <v>-7.6</v>
      </c>
      <c r="EO456" s="50">
        <f t="shared" ref="EO456:EO461" si="1823">ABS(EN456)*EQ$474</f>
        <v>3.0969726305098293</v>
      </c>
      <c r="EP456" s="91">
        <v>1</v>
      </c>
      <c r="EQ456" s="48"/>
      <c r="ER456" s="90">
        <v>-20.2</v>
      </c>
      <c r="ES456" s="50">
        <f t="shared" ref="ES456:ES461" si="1824">ABS(ER456)*EU$474</f>
        <v>4.5816438808857223</v>
      </c>
      <c r="ET456" s="91">
        <v>1</v>
      </c>
      <c r="EU456" s="48"/>
      <c r="EV456" s="90">
        <f t="shared" si="1810"/>
        <v>-12.6</v>
      </c>
      <c r="EW456" s="90" t="e">
        <f t="shared" ref="EW456:EW461" si="1825">SQRT(((EP456-1)*EO456^2+(ET456-1)*ES456^2)/(EP456+ET456-2))</f>
        <v>#DIV/0!</v>
      </c>
      <c r="EX456" s="48" t="e">
        <f t="shared" ref="EX456:EX461" si="1826">(((EP456+ET456)/(EP456*ET456))*(((EP456-1)*EO456^2)+(ET456-1)*ES456^2)/(EP456+ET456-2))</f>
        <v>#DIV/0!</v>
      </c>
      <c r="EY456" s="48">
        <f t="shared" ref="EY456:EY461" si="1827">(EO456^2/EP456)+(ES456^2/ET456)</f>
        <v>30.582700125384555</v>
      </c>
      <c r="FB456" s="90" t="s">
        <v>37</v>
      </c>
      <c r="FC456" s="90" t="s">
        <v>37</v>
      </c>
      <c r="FD456" s="89" t="s">
        <v>37</v>
      </c>
      <c r="FE456" s="90" t="s">
        <v>37</v>
      </c>
      <c r="FF456" s="100" t="s">
        <v>37</v>
      </c>
      <c r="FG456" s="89" t="s">
        <v>37</v>
      </c>
      <c r="FH456" s="94"/>
      <c r="FI456" s="90" t="s">
        <v>37</v>
      </c>
      <c r="FJ456" s="90" t="s">
        <v>37</v>
      </c>
      <c r="FK456" s="89" t="s">
        <v>37</v>
      </c>
      <c r="FL456" s="91" t="s">
        <v>37</v>
      </c>
      <c r="FM456" s="89" t="s">
        <v>37</v>
      </c>
      <c r="FN456" s="89" t="s">
        <v>37</v>
      </c>
      <c r="FO456" s="94"/>
      <c r="FP456" s="90" t="s">
        <v>37</v>
      </c>
      <c r="FQ456" s="90" t="s">
        <v>37</v>
      </c>
      <c r="FR456" s="89" t="s">
        <v>37</v>
      </c>
      <c r="FS456" s="91" t="s">
        <v>37</v>
      </c>
      <c r="FT456" s="89" t="s">
        <v>37</v>
      </c>
      <c r="FU456" s="89" t="s">
        <v>37</v>
      </c>
      <c r="FV456" s="94"/>
      <c r="FW456" s="90" t="s">
        <v>37</v>
      </c>
      <c r="FX456" s="90" t="s">
        <v>37</v>
      </c>
      <c r="FY456" s="89" t="s">
        <v>37</v>
      </c>
      <c r="FZ456" s="91" t="s">
        <v>37</v>
      </c>
      <c r="GA456" s="89" t="s">
        <v>37</v>
      </c>
      <c r="GB456" s="89" t="s">
        <v>37</v>
      </c>
      <c r="GE456" s="90" t="s">
        <v>37</v>
      </c>
      <c r="GF456" s="90" t="s">
        <v>37</v>
      </c>
      <c r="GG456" s="90" t="s">
        <v>37</v>
      </c>
      <c r="GH456" s="91"/>
      <c r="GI456" s="90" t="s">
        <v>37</v>
      </c>
      <c r="GJ456" s="90" t="s">
        <v>37</v>
      </c>
      <c r="GK456" s="90" t="s">
        <v>37</v>
      </c>
      <c r="GL456" s="91"/>
      <c r="GM456" s="91"/>
      <c r="GN456" s="91"/>
      <c r="GQ456" s="90" t="s">
        <v>37</v>
      </c>
      <c r="GR456" s="90" t="s">
        <v>37</v>
      </c>
      <c r="GS456" s="90" t="s">
        <v>37</v>
      </c>
      <c r="GT456" s="91"/>
      <c r="GU456" s="90" t="s">
        <v>37</v>
      </c>
      <c r="GV456" s="90" t="s">
        <v>37</v>
      </c>
      <c r="GW456" s="90" t="s">
        <v>37</v>
      </c>
      <c r="GX456" s="91"/>
      <c r="GY456" s="91"/>
      <c r="GZ456" s="91"/>
      <c r="HA456" s="97" t="s">
        <v>63</v>
      </c>
      <c r="HB456" s="98" t="s">
        <v>868</v>
      </c>
      <c r="HC456" s="90">
        <v>0.11</v>
      </c>
      <c r="HD456" s="104">
        <f t="shared" ref="HD456:HD461" si="1828">ABS(HC456)*HF$474</f>
        <v>1.8965291746114006E-2</v>
      </c>
      <c r="HE456" s="91">
        <v>3</v>
      </c>
      <c r="HF456" s="91"/>
      <c r="HG456" s="90">
        <v>0.12</v>
      </c>
      <c r="HH456" s="104">
        <f t="shared" ref="HH456:HH461" si="1829">ABS(HG456)*HJ$474</f>
        <v>1.3422542396052608E-2</v>
      </c>
      <c r="HI456" s="91">
        <v>3</v>
      </c>
      <c r="HJ456" s="91"/>
      <c r="HK456" s="48">
        <f t="shared" ref="HK456:HK461" si="1830">LN(HG456/HC456)</f>
        <v>8.7011376989629699E-2</v>
      </c>
      <c r="HL456" s="48">
        <f t="shared" ref="HL456:HL461" si="1831">HH456^2/(HI456*HG456^2)+HD456^2/(HE456*HC456^2)</f>
        <v>1.4079080937294361E-2</v>
      </c>
      <c r="HM456" s="98"/>
      <c r="HN456" s="90" t="s">
        <v>37</v>
      </c>
      <c r="HO456" s="90" t="s">
        <v>37</v>
      </c>
      <c r="HP456" s="90" t="s">
        <v>37</v>
      </c>
      <c r="HQ456" s="91"/>
      <c r="HR456" s="90" t="s">
        <v>37</v>
      </c>
      <c r="HS456" s="90" t="s">
        <v>37</v>
      </c>
      <c r="HT456" s="90" t="s">
        <v>37</v>
      </c>
      <c r="HU456" s="91"/>
      <c r="HV456" s="91"/>
      <c r="HW456" s="91"/>
      <c r="HX456" s="98"/>
      <c r="HY456" s="90" t="s">
        <v>37</v>
      </c>
      <c r="HZ456" s="90" t="s">
        <v>37</v>
      </c>
      <c r="IA456" s="90" t="s">
        <v>37</v>
      </c>
      <c r="IB456" s="91"/>
      <c r="IC456" s="90" t="s">
        <v>37</v>
      </c>
      <c r="ID456" s="90" t="s">
        <v>37</v>
      </c>
      <c r="IE456" s="90" t="s">
        <v>37</v>
      </c>
      <c r="IF456" s="91"/>
      <c r="IG456" s="91"/>
      <c r="IH456" s="91"/>
      <c r="IK456" s="90" t="s">
        <v>37</v>
      </c>
      <c r="IL456" s="90" t="s">
        <v>37</v>
      </c>
      <c r="IM456" s="90" t="s">
        <v>37</v>
      </c>
      <c r="IN456" s="91"/>
      <c r="IO456" s="90" t="s">
        <v>37</v>
      </c>
      <c r="IP456" s="90" t="s">
        <v>37</v>
      </c>
      <c r="IQ456" s="90" t="s">
        <v>37</v>
      </c>
      <c r="IR456" s="91"/>
      <c r="IS456" s="91"/>
      <c r="IT456" s="91"/>
      <c r="IV456" s="94"/>
      <c r="IW456" s="90" t="s">
        <v>37</v>
      </c>
      <c r="IX456" s="90" t="s">
        <v>37</v>
      </c>
      <c r="IY456" s="90" t="s">
        <v>37</v>
      </c>
      <c r="IZ456" s="91"/>
      <c r="JA456" s="90" t="s">
        <v>37</v>
      </c>
      <c r="JB456" s="90" t="s">
        <v>37</v>
      </c>
      <c r="JC456" s="90" t="s">
        <v>37</v>
      </c>
      <c r="JD456" s="91"/>
      <c r="JE456" s="91"/>
      <c r="JF456" s="91"/>
      <c r="JG456" s="94"/>
      <c r="JH456" s="90" t="s">
        <v>37</v>
      </c>
      <c r="JI456" s="90" t="s">
        <v>37</v>
      </c>
      <c r="JJ456" s="90" t="s">
        <v>37</v>
      </c>
      <c r="JK456" s="91"/>
      <c r="JL456" s="90" t="s">
        <v>37</v>
      </c>
      <c r="JM456" s="90" t="s">
        <v>37</v>
      </c>
      <c r="JN456" s="90" t="s">
        <v>37</v>
      </c>
      <c r="JO456" s="91"/>
      <c r="JP456" s="91"/>
      <c r="JQ456" s="91"/>
      <c r="JR456" s="94"/>
      <c r="JS456" s="90" t="s">
        <v>37</v>
      </c>
      <c r="JT456" s="90" t="s">
        <v>37</v>
      </c>
      <c r="JU456" s="90" t="s">
        <v>37</v>
      </c>
      <c r="JV456" s="91"/>
      <c r="JW456" s="90" t="s">
        <v>37</v>
      </c>
      <c r="JX456" s="90" t="s">
        <v>37</v>
      </c>
      <c r="JY456" s="90" t="s">
        <v>37</v>
      </c>
      <c r="JZ456" s="91"/>
      <c r="KA456" s="91"/>
      <c r="KB456" s="91"/>
      <c r="KE456" s="90" t="s">
        <v>37</v>
      </c>
      <c r="KF456" s="90" t="s">
        <v>37</v>
      </c>
      <c r="KG456" s="90" t="s">
        <v>37</v>
      </c>
      <c r="KH456" s="90" t="s">
        <v>37</v>
      </c>
      <c r="KI456" s="90" t="s">
        <v>37</v>
      </c>
      <c r="KJ456" s="90" t="s">
        <v>37</v>
      </c>
      <c r="KL456" s="94"/>
      <c r="KM456" s="90" t="s">
        <v>37</v>
      </c>
      <c r="KN456" s="90" t="s">
        <v>37</v>
      </c>
      <c r="KO456" s="90" t="s">
        <v>37</v>
      </c>
      <c r="KQ456" s="90" t="s">
        <v>37</v>
      </c>
      <c r="KR456" s="90" t="s">
        <v>37</v>
      </c>
      <c r="KS456" s="90" t="s">
        <v>37</v>
      </c>
      <c r="KW456" s="94"/>
      <c r="KX456" s="90" t="s">
        <v>37</v>
      </c>
      <c r="KY456" s="90" t="s">
        <v>37</v>
      </c>
      <c r="KZ456" s="90" t="s">
        <v>37</v>
      </c>
      <c r="LA456" s="91"/>
      <c r="LB456" s="90" t="s">
        <v>37</v>
      </c>
      <c r="LC456" s="90" t="s">
        <v>37</v>
      </c>
      <c r="LD456" s="90" t="s">
        <v>37</v>
      </c>
      <c r="LE456" s="91"/>
      <c r="LF456" s="91"/>
      <c r="LG456" s="91"/>
      <c r="LH456" s="94"/>
      <c r="LI456" s="90" t="s">
        <v>37</v>
      </c>
      <c r="LJ456" s="90" t="s">
        <v>37</v>
      </c>
      <c r="LK456" s="90" t="s">
        <v>37</v>
      </c>
      <c r="LL456" s="91"/>
      <c r="LM456" s="90" t="s">
        <v>37</v>
      </c>
      <c r="LN456" s="90" t="s">
        <v>37</v>
      </c>
      <c r="LO456" s="90" t="s">
        <v>37</v>
      </c>
      <c r="LP456" s="91"/>
      <c r="LQ456" s="91"/>
      <c r="LR456" s="91"/>
      <c r="LU456" s="90" t="s">
        <v>37</v>
      </c>
      <c r="LV456" s="90" t="s">
        <v>37</v>
      </c>
      <c r="LW456" s="90" t="s">
        <v>37</v>
      </c>
      <c r="LX456" s="91"/>
      <c r="LY456" s="90" t="s">
        <v>37</v>
      </c>
      <c r="LZ456" s="90" t="s">
        <v>37</v>
      </c>
      <c r="MA456" s="90" t="s">
        <v>37</v>
      </c>
      <c r="MB456" s="91"/>
      <c r="MC456" s="91"/>
      <c r="MD456" s="91"/>
      <c r="MF456" s="90" t="s">
        <v>37</v>
      </c>
      <c r="MG456" s="90" t="s">
        <v>37</v>
      </c>
      <c r="MH456" s="90" t="s">
        <v>37</v>
      </c>
      <c r="MI456" s="91"/>
      <c r="MJ456" s="90" t="s">
        <v>37</v>
      </c>
      <c r="MK456" s="90" t="s">
        <v>37</v>
      </c>
      <c r="ML456" s="90" t="s">
        <v>37</v>
      </c>
      <c r="MM456" s="91"/>
      <c r="MN456" s="91"/>
      <c r="MO456" s="91"/>
      <c r="MQ456" s="90" t="s">
        <v>37</v>
      </c>
      <c r="MR456" s="90" t="s">
        <v>37</v>
      </c>
      <c r="MS456" s="90" t="s">
        <v>37</v>
      </c>
      <c r="MT456" s="48"/>
      <c r="MU456" s="90" t="s">
        <v>37</v>
      </c>
      <c r="MV456" s="90" t="s">
        <v>37</v>
      </c>
      <c r="MW456" s="90" t="s">
        <v>37</v>
      </c>
      <c r="MX456" s="48"/>
      <c r="MY456" s="48"/>
      <c r="MZ456" s="48"/>
      <c r="NC456" s="90" t="s">
        <v>37</v>
      </c>
      <c r="ND456" s="90" t="s">
        <v>37</v>
      </c>
      <c r="NE456" s="90" t="s">
        <v>37</v>
      </c>
      <c r="NF456" s="48"/>
      <c r="NG456" s="90" t="s">
        <v>37</v>
      </c>
      <c r="NH456" s="90" t="s">
        <v>37</v>
      </c>
      <c r="NI456" s="90" t="s">
        <v>37</v>
      </c>
      <c r="NJ456" s="48"/>
      <c r="NK456" s="48"/>
      <c r="NL456" s="48"/>
      <c r="NO456" s="90" t="s">
        <v>37</v>
      </c>
      <c r="NP456" s="90" t="s">
        <v>37</v>
      </c>
      <c r="NQ456" s="90" t="s">
        <v>37</v>
      </c>
      <c r="NR456" s="48"/>
      <c r="NS456" s="90" t="s">
        <v>37</v>
      </c>
      <c r="NT456" s="90" t="s">
        <v>37</v>
      </c>
      <c r="NU456" s="90" t="s">
        <v>37</v>
      </c>
      <c r="NV456" s="48"/>
      <c r="NW456" s="48"/>
      <c r="NX456" s="48"/>
      <c r="OA456" s="90" t="s">
        <v>37</v>
      </c>
      <c r="OB456" s="90" t="s">
        <v>37</v>
      </c>
      <c r="OC456" s="90" t="s">
        <v>37</v>
      </c>
      <c r="OE456" s="90" t="s">
        <v>37</v>
      </c>
      <c r="OF456" s="90" t="s">
        <v>37</v>
      </c>
      <c r="OG456" s="90" t="s">
        <v>37</v>
      </c>
      <c r="OM456" s="90" t="s">
        <v>37</v>
      </c>
      <c r="ON456" s="90" t="s">
        <v>37</v>
      </c>
      <c r="OO456" s="90" t="s">
        <v>37</v>
      </c>
      <c r="OP456" s="90" t="s">
        <v>37</v>
      </c>
      <c r="OQ456" s="90" t="s">
        <v>37</v>
      </c>
      <c r="OR456" s="90" t="s">
        <v>37</v>
      </c>
      <c r="OW456" s="90" t="s">
        <v>37</v>
      </c>
      <c r="OX456" s="90" t="s">
        <v>37</v>
      </c>
      <c r="OY456" s="91" t="s">
        <v>37</v>
      </c>
      <c r="OZ456" s="90" t="s">
        <v>37</v>
      </c>
      <c r="PA456" s="90" t="s">
        <v>37</v>
      </c>
      <c r="PB456" s="91" t="s">
        <v>37</v>
      </c>
      <c r="PC456" s="91"/>
      <c r="PD456" s="91"/>
      <c r="PG456" s="89" t="s">
        <v>37</v>
      </c>
      <c r="PH456" s="89" t="s">
        <v>37</v>
      </c>
      <c r="PI456" s="91" t="s">
        <v>37</v>
      </c>
      <c r="PJ456" s="89" t="s">
        <v>37</v>
      </c>
      <c r="PK456" s="89" t="s">
        <v>37</v>
      </c>
      <c r="PL456" s="91" t="s">
        <v>37</v>
      </c>
      <c r="PM456" s="91"/>
      <c r="PN456" s="91"/>
      <c r="PQ456" s="90" t="s">
        <v>37</v>
      </c>
      <c r="PR456" s="90" t="s">
        <v>37</v>
      </c>
      <c r="PS456" s="90" t="s">
        <v>37</v>
      </c>
      <c r="PT456" s="90" t="s">
        <v>37</v>
      </c>
      <c r="PU456" s="90" t="s">
        <v>37</v>
      </c>
      <c r="PV456" s="90" t="s">
        <v>37</v>
      </c>
      <c r="PZ456" s="90" t="s">
        <v>37</v>
      </c>
      <c r="QA456" s="90" t="s">
        <v>37</v>
      </c>
      <c r="QB456" s="89" t="s">
        <v>37</v>
      </c>
      <c r="QC456" s="48"/>
      <c r="QD456" s="90" t="s">
        <v>37</v>
      </c>
      <c r="QE456" s="90" t="s">
        <v>37</v>
      </c>
      <c r="QF456" s="90" t="s">
        <v>37</v>
      </c>
      <c r="QG456" s="48"/>
      <c r="QH456" s="48"/>
      <c r="QI456" s="48"/>
      <c r="QK456" s="90" t="s">
        <v>37</v>
      </c>
      <c r="QL456" s="90" t="s">
        <v>37</v>
      </c>
      <c r="QM456" s="90" t="s">
        <v>37</v>
      </c>
      <c r="QN456" s="90" t="s">
        <v>37</v>
      </c>
      <c r="QO456" s="90" t="s">
        <v>37</v>
      </c>
      <c r="QP456" s="90" t="s">
        <v>37</v>
      </c>
      <c r="QU456" s="90" t="s">
        <v>37</v>
      </c>
      <c r="QV456" s="90" t="s">
        <v>37</v>
      </c>
      <c r="QW456" s="90" t="s">
        <v>37</v>
      </c>
      <c r="QX456" s="90" t="s">
        <v>37</v>
      </c>
      <c r="QY456" s="90" t="s">
        <v>37</v>
      </c>
      <c r="QZ456" s="90" t="s">
        <v>37</v>
      </c>
      <c r="RC456" s="90" t="s">
        <v>37</v>
      </c>
      <c r="RD456" s="90" t="s">
        <v>37</v>
      </c>
      <c r="RE456" s="90" t="s">
        <v>37</v>
      </c>
      <c r="RF456" s="90" t="s">
        <v>37</v>
      </c>
      <c r="RG456" s="90" t="s">
        <v>37</v>
      </c>
      <c r="RH456" s="90" t="s">
        <v>37</v>
      </c>
      <c r="RK456" s="90" t="s">
        <v>37</v>
      </c>
      <c r="RL456" s="90" t="s">
        <v>37</v>
      </c>
      <c r="RM456" s="90" t="s">
        <v>37</v>
      </c>
      <c r="RN456" s="90" t="s">
        <v>37</v>
      </c>
      <c r="RO456" s="90" t="s">
        <v>37</v>
      </c>
      <c r="RP456" s="90" t="s">
        <v>37</v>
      </c>
      <c r="RS456" s="90" t="s">
        <v>37</v>
      </c>
      <c r="RT456" s="90" t="s">
        <v>37</v>
      </c>
      <c r="RU456" s="90" t="s">
        <v>37</v>
      </c>
      <c r="RV456" s="90" t="s">
        <v>37</v>
      </c>
      <c r="RW456" s="90" t="s">
        <v>37</v>
      </c>
      <c r="RX456" s="90" t="s">
        <v>37</v>
      </c>
      <c r="SA456" s="90" t="s">
        <v>37</v>
      </c>
      <c r="SB456" s="90" t="s">
        <v>37</v>
      </c>
      <c r="SC456" s="90" t="s">
        <v>37</v>
      </c>
      <c r="SD456" s="90" t="s">
        <v>37</v>
      </c>
      <c r="SE456" s="90" t="s">
        <v>37</v>
      </c>
      <c r="SF456" s="90" t="s">
        <v>37</v>
      </c>
      <c r="SI456" s="90" t="s">
        <v>37</v>
      </c>
      <c r="SJ456" s="90" t="s">
        <v>37</v>
      </c>
      <c r="SK456" s="90" t="s">
        <v>37</v>
      </c>
      <c r="SL456" s="90" t="s">
        <v>37</v>
      </c>
      <c r="SM456" s="90" t="s">
        <v>37</v>
      </c>
      <c r="SN456" s="90" t="s">
        <v>37</v>
      </c>
      <c r="SO456" s="91"/>
      <c r="SP456" s="91"/>
      <c r="SQ456" s="91"/>
      <c r="SR456" s="91"/>
      <c r="SU456" s="90" t="s">
        <v>37</v>
      </c>
      <c r="SV456" s="90" t="s">
        <v>37</v>
      </c>
      <c r="SW456" s="89" t="s">
        <v>37</v>
      </c>
      <c r="SX456" s="90" t="s">
        <v>37</v>
      </c>
      <c r="SY456" s="90" t="s">
        <v>37</v>
      </c>
      <c r="SZ456" s="89" t="s">
        <v>37</v>
      </c>
      <c r="TA456" s="89"/>
      <c r="TB456" s="89"/>
      <c r="TE456" s="90" t="s">
        <v>37</v>
      </c>
      <c r="TF456" s="90" t="s">
        <v>37</v>
      </c>
      <c r="TG456" s="89" t="s">
        <v>37</v>
      </c>
      <c r="TH456" s="90" t="s">
        <v>37</v>
      </c>
      <c r="TI456" s="90" t="s">
        <v>37</v>
      </c>
      <c r="TJ456" s="89" t="s">
        <v>37</v>
      </c>
      <c r="TK456" s="89"/>
      <c r="TL456" s="89"/>
      <c r="TO456" s="90" t="s">
        <v>37</v>
      </c>
      <c r="TP456" s="90" t="s">
        <v>37</v>
      </c>
      <c r="TQ456" s="89" t="s">
        <v>37</v>
      </c>
      <c r="TR456" s="90" t="s">
        <v>37</v>
      </c>
      <c r="TS456" s="90" t="s">
        <v>37</v>
      </c>
      <c r="TT456" s="89" t="s">
        <v>37</v>
      </c>
      <c r="TU456" s="89"/>
      <c r="TV456" s="89"/>
      <c r="TY456" s="90" t="s">
        <v>37</v>
      </c>
      <c r="TZ456" s="90" t="s">
        <v>37</v>
      </c>
      <c r="UA456" s="90" t="s">
        <v>37</v>
      </c>
      <c r="UB456" s="90" t="s">
        <v>37</v>
      </c>
      <c r="UC456" s="90" t="s">
        <v>37</v>
      </c>
      <c r="UD456" s="90" t="s">
        <v>37</v>
      </c>
      <c r="UI456" s="90" t="s">
        <v>37</v>
      </c>
      <c r="UJ456" s="90" t="s">
        <v>37</v>
      </c>
      <c r="UK456" s="90" t="s">
        <v>37</v>
      </c>
      <c r="UL456" s="90" t="s">
        <v>37</v>
      </c>
      <c r="UM456" s="90" t="s">
        <v>37</v>
      </c>
      <c r="UN456" s="90" t="s">
        <v>37</v>
      </c>
      <c r="UR456" s="90" t="s">
        <v>37</v>
      </c>
      <c r="US456" s="90" t="s">
        <v>37</v>
      </c>
      <c r="UT456" s="90" t="s">
        <v>37</v>
      </c>
      <c r="UU456" s="90" t="s">
        <v>37</v>
      </c>
      <c r="UV456" s="90" t="s">
        <v>37</v>
      </c>
      <c r="UW456" s="90" t="s">
        <v>37</v>
      </c>
      <c r="VB456" s="90" t="s">
        <v>37</v>
      </c>
      <c r="VC456" s="90" t="s">
        <v>37</v>
      </c>
      <c r="VD456" s="90" t="s">
        <v>37</v>
      </c>
      <c r="VE456" s="90" t="s">
        <v>37</v>
      </c>
      <c r="VF456" s="90" t="s">
        <v>37</v>
      </c>
      <c r="VG456" s="90" t="s">
        <v>37</v>
      </c>
      <c r="VI456" s="90" t="s">
        <v>37</v>
      </c>
      <c r="VJ456" s="90" t="s">
        <v>37</v>
      </c>
      <c r="VK456" s="90" t="s">
        <v>37</v>
      </c>
      <c r="VL456" s="90" t="s">
        <v>37</v>
      </c>
      <c r="VM456" s="90" t="s">
        <v>37</v>
      </c>
      <c r="VN456" s="90" t="s">
        <v>37</v>
      </c>
      <c r="VQ456" s="91" t="s">
        <v>37</v>
      </c>
      <c r="VR456" s="91" t="s">
        <v>37</v>
      </c>
      <c r="VS456" s="91" t="s">
        <v>37</v>
      </c>
      <c r="VT456" s="91" t="s">
        <v>37</v>
      </c>
      <c r="VU456" s="91" t="s">
        <v>37</v>
      </c>
      <c r="VV456" s="91" t="s">
        <v>37</v>
      </c>
      <c r="VW456" s="91"/>
      <c r="VX456" s="91"/>
      <c r="WA456" s="91" t="s">
        <v>37</v>
      </c>
      <c r="WB456" s="91" t="s">
        <v>37</v>
      </c>
      <c r="WC456" s="91" t="s">
        <v>37</v>
      </c>
      <c r="WD456" s="91" t="s">
        <v>37</v>
      </c>
      <c r="WE456" s="91" t="s">
        <v>37</v>
      </c>
      <c r="WF456" s="91" t="s">
        <v>37</v>
      </c>
    </row>
    <row r="457" spans="1:604" s="90" customFormat="1" ht="18.75" customHeight="1" x14ac:dyDescent="0.3">
      <c r="A457" s="89">
        <v>110</v>
      </c>
      <c r="B457" s="84" t="s">
        <v>1009</v>
      </c>
      <c r="C457" s="90" t="s">
        <v>26</v>
      </c>
      <c r="D457" s="84" t="s">
        <v>830</v>
      </c>
      <c r="E457" s="88">
        <v>10</v>
      </c>
      <c r="F457" s="88">
        <v>0</v>
      </c>
      <c r="G457" s="88">
        <v>0</v>
      </c>
      <c r="H457" s="90" t="s">
        <v>1010</v>
      </c>
      <c r="I457" s="84">
        <v>1.383</v>
      </c>
      <c r="J457" s="99">
        <v>111.4</v>
      </c>
      <c r="K457" s="90" t="s">
        <v>1011</v>
      </c>
      <c r="L457" s="90" t="s">
        <v>1012</v>
      </c>
      <c r="M457" s="91">
        <v>10</v>
      </c>
      <c r="N457" s="40">
        <v>27.4</v>
      </c>
      <c r="O457" s="40">
        <v>2833</v>
      </c>
      <c r="P457" s="84" t="s">
        <v>840</v>
      </c>
      <c r="Q457" s="81">
        <v>15</v>
      </c>
      <c r="R457" s="11" t="s">
        <v>1000</v>
      </c>
      <c r="S457" s="90" t="s">
        <v>981</v>
      </c>
      <c r="T457" s="12" t="s">
        <v>1016</v>
      </c>
      <c r="U457" s="12" t="s">
        <v>983</v>
      </c>
      <c r="V457" s="90" t="s">
        <v>275</v>
      </c>
      <c r="W457" s="93" t="s">
        <v>1015</v>
      </c>
      <c r="X457" s="90" t="s">
        <v>982</v>
      </c>
      <c r="Y457" s="90" t="s">
        <v>37</v>
      </c>
      <c r="Z457" s="90" t="s">
        <v>37</v>
      </c>
      <c r="AA457" s="39"/>
      <c r="AB457" s="90" t="s">
        <v>37</v>
      </c>
      <c r="AD457" s="94"/>
      <c r="AE457" s="90" t="s">
        <v>37</v>
      </c>
      <c r="AG457" s="94"/>
      <c r="AH457" s="90" t="s">
        <v>37</v>
      </c>
      <c r="AK457" s="90" t="s">
        <v>37</v>
      </c>
      <c r="AL457" s="42" t="s">
        <v>1018</v>
      </c>
      <c r="AM457" s="90" t="s">
        <v>344</v>
      </c>
      <c r="AN457" s="42"/>
      <c r="AO457" s="90" t="s">
        <v>37</v>
      </c>
      <c r="AP457" s="90" t="s">
        <v>370</v>
      </c>
      <c r="AQ457" s="90" t="s">
        <v>849</v>
      </c>
      <c r="AR457" s="39"/>
      <c r="AS457" s="94"/>
      <c r="AT457" s="90" t="s">
        <v>326</v>
      </c>
      <c r="AU457" s="90" t="s">
        <v>326</v>
      </c>
      <c r="AV457" s="91" t="s">
        <v>326</v>
      </c>
      <c r="AW457" s="48"/>
      <c r="AX457" s="90" t="s">
        <v>326</v>
      </c>
      <c r="AY457" s="90" t="s">
        <v>326</v>
      </c>
      <c r="AZ457" s="91" t="s">
        <v>326</v>
      </c>
      <c r="BA457" s="48"/>
      <c r="BB457" s="48"/>
      <c r="BC457" s="48"/>
      <c r="BD457" s="94"/>
      <c r="BE457" s="90" t="s">
        <v>326</v>
      </c>
      <c r="BF457" s="90" t="s">
        <v>326</v>
      </c>
      <c r="BG457" s="90" t="s">
        <v>326</v>
      </c>
      <c r="BH457" s="48"/>
      <c r="BI457" s="90" t="s">
        <v>326</v>
      </c>
      <c r="BJ457" s="90" t="s">
        <v>326</v>
      </c>
      <c r="BK457" s="90" t="s">
        <v>326</v>
      </c>
      <c r="BL457" s="48"/>
      <c r="BM457" s="48"/>
      <c r="BN457" s="48"/>
      <c r="BP457" s="90" t="s">
        <v>37</v>
      </c>
      <c r="BQ457" s="90" t="s">
        <v>37</v>
      </c>
      <c r="BR457" s="91" t="s">
        <v>37</v>
      </c>
      <c r="BS457" s="48"/>
      <c r="BT457" s="90" t="s">
        <v>37</v>
      </c>
      <c r="BU457" s="90" t="s">
        <v>37</v>
      </c>
      <c r="BV457" s="90" t="s">
        <v>37</v>
      </c>
      <c r="BW457" s="48"/>
      <c r="BX457" s="48"/>
      <c r="BY457" s="48"/>
      <c r="CA457" s="90" t="s">
        <v>37</v>
      </c>
      <c r="CB457" s="90" t="s">
        <v>37</v>
      </c>
      <c r="CC457" s="91" t="s">
        <v>37</v>
      </c>
      <c r="CD457" s="48"/>
      <c r="CE457" s="90" t="s">
        <v>37</v>
      </c>
      <c r="CF457" s="90" t="s">
        <v>37</v>
      </c>
      <c r="CG457" s="91" t="s">
        <v>37</v>
      </c>
      <c r="CH457" s="48"/>
      <c r="CI457" s="92"/>
      <c r="CK457" s="96"/>
      <c r="CL457" s="96"/>
      <c r="CN457" s="90" t="s">
        <v>37</v>
      </c>
      <c r="CO457" s="90" t="s">
        <v>37</v>
      </c>
      <c r="CP457" s="91" t="s">
        <v>37</v>
      </c>
      <c r="CQ457" s="48"/>
      <c r="CR457" s="90" t="s">
        <v>37</v>
      </c>
      <c r="CS457" s="90" t="s">
        <v>37</v>
      </c>
      <c r="CT457" s="91" t="s">
        <v>37</v>
      </c>
      <c r="CU457" s="48"/>
      <c r="CV457" s="92"/>
      <c r="CX457" s="96"/>
      <c r="CY457" s="96"/>
      <c r="DA457" s="90" t="s">
        <v>37</v>
      </c>
      <c r="DB457" s="90" t="s">
        <v>37</v>
      </c>
      <c r="DC457" s="91" t="s">
        <v>37</v>
      </c>
      <c r="DD457" s="48"/>
      <c r="DE457" s="90" t="s">
        <v>37</v>
      </c>
      <c r="DF457" s="90" t="s">
        <v>37</v>
      </c>
      <c r="DG457" s="91" t="s">
        <v>37</v>
      </c>
      <c r="DH457" s="48"/>
      <c r="DI457" s="92"/>
      <c r="DK457" s="96"/>
      <c r="DL457" s="96"/>
      <c r="DM457" s="90" t="s">
        <v>47</v>
      </c>
      <c r="DN457" s="90">
        <f>86.3*16/12</f>
        <v>115.06666666666666</v>
      </c>
      <c r="DO457" s="50">
        <f t="shared" si="1820"/>
        <v>128.28544353933538</v>
      </c>
      <c r="DP457" s="91">
        <v>1</v>
      </c>
      <c r="DQ457" s="91"/>
      <c r="DR457" s="90">
        <f>47.5*16/12</f>
        <v>63.333333333333336</v>
      </c>
      <c r="DS457" s="50">
        <f t="shared" si="1821"/>
        <v>236.69036532663063</v>
      </c>
      <c r="DT457" s="91">
        <v>1</v>
      </c>
      <c r="DU457" s="48"/>
      <c r="DV457" s="48">
        <f t="shared" si="1822"/>
        <v>-51.733333333333327</v>
      </c>
      <c r="DW457" s="90" t="e">
        <f t="shared" ref="DW457:DW461" si="1832">SQRT(((DP457-1)*DO457^2+(DT457-1)*DS457^2)/(DP457+DT457-2))</f>
        <v>#DIV/0!</v>
      </c>
      <c r="DX457" s="96" t="e">
        <f t="shared" ref="DX457:DX461" si="1833">(((DP457+DT457)/(DP457*DT457))*(((DP457-1)*DO457^2)+(DT457-1)*DS457^2)/(DP457+DT457-2))</f>
        <v>#DIV/0!</v>
      </c>
      <c r="DY457" s="96">
        <f t="shared" ref="DY457:DY461" si="1834">(DO457^2/DP457)+(DS457^2/DT457)</f>
        <v>72479.484062537871</v>
      </c>
      <c r="DZ457" s="89"/>
      <c r="EA457" s="101" t="s">
        <v>37</v>
      </c>
      <c r="EB457" s="101" t="s">
        <v>37</v>
      </c>
      <c r="EC457" s="101" t="s">
        <v>37</v>
      </c>
      <c r="ED457" s="101"/>
      <c r="EE457" s="101" t="s">
        <v>37</v>
      </c>
      <c r="EF457" s="101" t="s">
        <v>37</v>
      </c>
      <c r="EG457" s="101" t="s">
        <v>37</v>
      </c>
      <c r="EH457" s="91"/>
      <c r="EI457" s="91"/>
      <c r="EJ457" s="91"/>
      <c r="EK457" s="91"/>
      <c r="EL457" s="91"/>
      <c r="EM457" s="90" t="s">
        <v>39</v>
      </c>
      <c r="EN457" s="90">
        <v>-2.4</v>
      </c>
      <c r="EO457" s="50">
        <f t="shared" si="1823"/>
        <v>0.97799135700310402</v>
      </c>
      <c r="EP457" s="91">
        <v>1</v>
      </c>
      <c r="EQ457" s="48"/>
      <c r="ER457" s="90">
        <v>-23.2</v>
      </c>
      <c r="ES457" s="50">
        <f t="shared" si="1824"/>
        <v>5.2620860414133048</v>
      </c>
      <c r="ET457" s="91">
        <v>1</v>
      </c>
      <c r="EU457" s="48"/>
      <c r="EV457" s="90">
        <f t="shared" si="1810"/>
        <v>-20.8</v>
      </c>
      <c r="EW457" s="90" t="e">
        <f t="shared" si="1825"/>
        <v>#DIV/0!</v>
      </c>
      <c r="EX457" s="48" t="e">
        <f t="shared" si="1826"/>
        <v>#DIV/0!</v>
      </c>
      <c r="EY457" s="48">
        <f t="shared" si="1827"/>
        <v>28.646016601609517</v>
      </c>
      <c r="FB457" s="90" t="s">
        <v>37</v>
      </c>
      <c r="FC457" s="90" t="s">
        <v>37</v>
      </c>
      <c r="FD457" s="89" t="s">
        <v>37</v>
      </c>
      <c r="FE457" s="90" t="s">
        <v>37</v>
      </c>
      <c r="FF457" s="100" t="s">
        <v>37</v>
      </c>
      <c r="FG457" s="89" t="s">
        <v>37</v>
      </c>
      <c r="FH457" s="94"/>
      <c r="FI457" s="90" t="s">
        <v>37</v>
      </c>
      <c r="FJ457" s="90" t="s">
        <v>37</v>
      </c>
      <c r="FK457" s="89" t="s">
        <v>37</v>
      </c>
      <c r="FL457" s="91" t="s">
        <v>37</v>
      </c>
      <c r="FM457" s="89" t="s">
        <v>37</v>
      </c>
      <c r="FN457" s="89" t="s">
        <v>37</v>
      </c>
      <c r="FO457" s="94"/>
      <c r="FP457" s="90" t="s">
        <v>37</v>
      </c>
      <c r="FQ457" s="90" t="s">
        <v>37</v>
      </c>
      <c r="FR457" s="89" t="s">
        <v>37</v>
      </c>
      <c r="FS457" s="91" t="s">
        <v>37</v>
      </c>
      <c r="FT457" s="89" t="s">
        <v>37</v>
      </c>
      <c r="FU457" s="89" t="s">
        <v>37</v>
      </c>
      <c r="FV457" s="94"/>
      <c r="FW457" s="90" t="s">
        <v>37</v>
      </c>
      <c r="FX457" s="90" t="s">
        <v>37</v>
      </c>
      <c r="FY457" s="89" t="s">
        <v>37</v>
      </c>
      <c r="FZ457" s="91" t="s">
        <v>37</v>
      </c>
      <c r="GA457" s="89" t="s">
        <v>37</v>
      </c>
      <c r="GB457" s="89" t="s">
        <v>37</v>
      </c>
      <c r="GE457" s="90" t="s">
        <v>37</v>
      </c>
      <c r="GF457" s="90" t="s">
        <v>37</v>
      </c>
      <c r="GG457" s="90" t="s">
        <v>37</v>
      </c>
      <c r="GH457" s="91"/>
      <c r="GI457" s="90" t="s">
        <v>37</v>
      </c>
      <c r="GJ457" s="90" t="s">
        <v>37</v>
      </c>
      <c r="GK457" s="90" t="s">
        <v>37</v>
      </c>
      <c r="GL457" s="91"/>
      <c r="GM457" s="91"/>
      <c r="GN457" s="91"/>
      <c r="GQ457" s="90" t="s">
        <v>37</v>
      </c>
      <c r="GR457" s="90" t="s">
        <v>37</v>
      </c>
      <c r="GS457" s="90" t="s">
        <v>37</v>
      </c>
      <c r="GT457" s="91"/>
      <c r="GU457" s="90" t="s">
        <v>37</v>
      </c>
      <c r="GV457" s="90" t="s">
        <v>37</v>
      </c>
      <c r="GW457" s="90" t="s">
        <v>37</v>
      </c>
      <c r="GX457" s="91"/>
      <c r="GY457" s="91"/>
      <c r="GZ457" s="91"/>
      <c r="HA457" s="97" t="s">
        <v>63</v>
      </c>
      <c r="HB457" s="98" t="s">
        <v>868</v>
      </c>
      <c r="HC457" s="90">
        <v>0.11</v>
      </c>
      <c r="HD457" s="104">
        <f t="shared" si="1828"/>
        <v>1.8965291746114006E-2</v>
      </c>
      <c r="HE457" s="91">
        <v>3</v>
      </c>
      <c r="HF457" s="91"/>
      <c r="HG457" s="90">
        <v>0.12</v>
      </c>
      <c r="HH457" s="104">
        <f t="shared" si="1829"/>
        <v>1.3422542396052608E-2</v>
      </c>
      <c r="HI457" s="91">
        <v>3</v>
      </c>
      <c r="HJ457" s="91"/>
      <c r="HK457" s="48">
        <f t="shared" si="1830"/>
        <v>8.7011376989629699E-2</v>
      </c>
      <c r="HL457" s="48">
        <f t="shared" si="1831"/>
        <v>1.4079080937294361E-2</v>
      </c>
      <c r="HM457" s="98"/>
      <c r="HN457" s="90" t="s">
        <v>37</v>
      </c>
      <c r="HO457" s="90" t="s">
        <v>37</v>
      </c>
      <c r="HP457" s="90" t="s">
        <v>37</v>
      </c>
      <c r="HQ457" s="91"/>
      <c r="HR457" s="90" t="s">
        <v>37</v>
      </c>
      <c r="HS457" s="90" t="s">
        <v>37</v>
      </c>
      <c r="HT457" s="90" t="s">
        <v>37</v>
      </c>
      <c r="HU457" s="91"/>
      <c r="HV457" s="91"/>
      <c r="HW457" s="91"/>
      <c r="HX457" s="98"/>
      <c r="HY457" s="90" t="s">
        <v>37</v>
      </c>
      <c r="HZ457" s="90" t="s">
        <v>37</v>
      </c>
      <c r="IA457" s="90" t="s">
        <v>37</v>
      </c>
      <c r="IB457" s="91"/>
      <c r="IC457" s="90" t="s">
        <v>37</v>
      </c>
      <c r="ID457" s="90" t="s">
        <v>37</v>
      </c>
      <c r="IE457" s="90" t="s">
        <v>37</v>
      </c>
      <c r="IF457" s="91"/>
      <c r="IG457" s="91"/>
      <c r="IH457" s="91"/>
      <c r="IK457" s="90" t="s">
        <v>37</v>
      </c>
      <c r="IL457" s="90" t="s">
        <v>37</v>
      </c>
      <c r="IM457" s="90" t="s">
        <v>37</v>
      </c>
      <c r="IN457" s="91"/>
      <c r="IO457" s="90" t="s">
        <v>37</v>
      </c>
      <c r="IP457" s="90" t="s">
        <v>37</v>
      </c>
      <c r="IQ457" s="90" t="s">
        <v>37</v>
      </c>
      <c r="IR457" s="91"/>
      <c r="IS457" s="91"/>
      <c r="IT457" s="91"/>
      <c r="IV457" s="94"/>
      <c r="IW457" s="90" t="s">
        <v>37</v>
      </c>
      <c r="IX457" s="90" t="s">
        <v>37</v>
      </c>
      <c r="IY457" s="90" t="s">
        <v>37</v>
      </c>
      <c r="IZ457" s="91"/>
      <c r="JA457" s="90" t="s">
        <v>37</v>
      </c>
      <c r="JB457" s="90" t="s">
        <v>37</v>
      </c>
      <c r="JC457" s="90" t="s">
        <v>37</v>
      </c>
      <c r="JD457" s="91"/>
      <c r="JE457" s="91"/>
      <c r="JF457" s="91"/>
      <c r="JG457" s="94"/>
      <c r="JH457" s="90" t="s">
        <v>37</v>
      </c>
      <c r="JI457" s="90" t="s">
        <v>37</v>
      </c>
      <c r="JJ457" s="90" t="s">
        <v>37</v>
      </c>
      <c r="JK457" s="91"/>
      <c r="JL457" s="90" t="s">
        <v>37</v>
      </c>
      <c r="JM457" s="90" t="s">
        <v>37</v>
      </c>
      <c r="JN457" s="90" t="s">
        <v>37</v>
      </c>
      <c r="JO457" s="91"/>
      <c r="JP457" s="91"/>
      <c r="JQ457" s="91"/>
      <c r="JR457" s="94"/>
      <c r="JS457" s="90" t="s">
        <v>37</v>
      </c>
      <c r="JT457" s="90" t="s">
        <v>37</v>
      </c>
      <c r="JU457" s="90" t="s">
        <v>37</v>
      </c>
      <c r="JV457" s="91"/>
      <c r="JW457" s="90" t="s">
        <v>37</v>
      </c>
      <c r="JX457" s="90" t="s">
        <v>37</v>
      </c>
      <c r="JY457" s="90" t="s">
        <v>37</v>
      </c>
      <c r="JZ457" s="91"/>
      <c r="KA457" s="91"/>
      <c r="KB457" s="91"/>
      <c r="KE457" s="90" t="s">
        <v>37</v>
      </c>
      <c r="KF457" s="90" t="s">
        <v>37</v>
      </c>
      <c r="KG457" s="90" t="s">
        <v>37</v>
      </c>
      <c r="KH457" s="90" t="s">
        <v>37</v>
      </c>
      <c r="KI457" s="90" t="s">
        <v>37</v>
      </c>
      <c r="KJ457" s="90" t="s">
        <v>37</v>
      </c>
      <c r="KL457" s="94"/>
      <c r="KM457" s="90" t="s">
        <v>37</v>
      </c>
      <c r="KN457" s="90" t="s">
        <v>37</v>
      </c>
      <c r="KO457" s="90" t="s">
        <v>37</v>
      </c>
      <c r="KQ457" s="90" t="s">
        <v>37</v>
      </c>
      <c r="KR457" s="90" t="s">
        <v>37</v>
      </c>
      <c r="KS457" s="90" t="s">
        <v>37</v>
      </c>
      <c r="KW457" s="94"/>
      <c r="KX457" s="90" t="s">
        <v>37</v>
      </c>
      <c r="KY457" s="90" t="s">
        <v>37</v>
      </c>
      <c r="KZ457" s="90" t="s">
        <v>37</v>
      </c>
      <c r="LA457" s="91"/>
      <c r="LB457" s="90" t="s">
        <v>37</v>
      </c>
      <c r="LC457" s="90" t="s">
        <v>37</v>
      </c>
      <c r="LD457" s="90" t="s">
        <v>37</v>
      </c>
      <c r="LE457" s="91"/>
      <c r="LF457" s="91"/>
      <c r="LG457" s="91"/>
      <c r="LH457" s="94"/>
      <c r="LI457" s="90" t="s">
        <v>37</v>
      </c>
      <c r="LJ457" s="90" t="s">
        <v>37</v>
      </c>
      <c r="LK457" s="90" t="s">
        <v>37</v>
      </c>
      <c r="LL457" s="91"/>
      <c r="LM457" s="90" t="s">
        <v>37</v>
      </c>
      <c r="LN457" s="90" t="s">
        <v>37</v>
      </c>
      <c r="LO457" s="90" t="s">
        <v>37</v>
      </c>
      <c r="LP457" s="91"/>
      <c r="LQ457" s="91"/>
      <c r="LR457" s="91"/>
      <c r="LU457" s="90" t="s">
        <v>37</v>
      </c>
      <c r="LV457" s="90" t="s">
        <v>37</v>
      </c>
      <c r="LW457" s="90" t="s">
        <v>37</v>
      </c>
      <c r="LX457" s="91"/>
      <c r="LY457" s="90" t="s">
        <v>37</v>
      </c>
      <c r="LZ457" s="90" t="s">
        <v>37</v>
      </c>
      <c r="MA457" s="90" t="s">
        <v>37</v>
      </c>
      <c r="MB457" s="91"/>
      <c r="MC457" s="91"/>
      <c r="MD457" s="91"/>
      <c r="MF457" s="90" t="s">
        <v>37</v>
      </c>
      <c r="MG457" s="90" t="s">
        <v>37</v>
      </c>
      <c r="MH457" s="90" t="s">
        <v>37</v>
      </c>
      <c r="MI457" s="91"/>
      <c r="MJ457" s="90" t="s">
        <v>37</v>
      </c>
      <c r="MK457" s="90" t="s">
        <v>37</v>
      </c>
      <c r="ML457" s="90" t="s">
        <v>37</v>
      </c>
      <c r="MM457" s="91"/>
      <c r="MN457" s="91"/>
      <c r="MO457" s="91"/>
      <c r="MQ457" s="90" t="s">
        <v>37</v>
      </c>
      <c r="MR457" s="90" t="s">
        <v>37</v>
      </c>
      <c r="MS457" s="90" t="s">
        <v>37</v>
      </c>
      <c r="MT457" s="48"/>
      <c r="MU457" s="90" t="s">
        <v>37</v>
      </c>
      <c r="MV457" s="90" t="s">
        <v>37</v>
      </c>
      <c r="MW457" s="90" t="s">
        <v>37</v>
      </c>
      <c r="MX457" s="48"/>
      <c r="MY457" s="48"/>
      <c r="MZ457" s="48"/>
      <c r="NC457" s="90" t="s">
        <v>37</v>
      </c>
      <c r="ND457" s="90" t="s">
        <v>37</v>
      </c>
      <c r="NE457" s="90" t="s">
        <v>37</v>
      </c>
      <c r="NF457" s="48"/>
      <c r="NG457" s="90" t="s">
        <v>37</v>
      </c>
      <c r="NH457" s="90" t="s">
        <v>37</v>
      </c>
      <c r="NI457" s="90" t="s">
        <v>37</v>
      </c>
      <c r="NJ457" s="48"/>
      <c r="NK457" s="48"/>
      <c r="NL457" s="48"/>
      <c r="NO457" s="90" t="s">
        <v>37</v>
      </c>
      <c r="NP457" s="90" t="s">
        <v>37</v>
      </c>
      <c r="NQ457" s="90" t="s">
        <v>37</v>
      </c>
      <c r="NR457" s="48"/>
      <c r="NS457" s="90" t="s">
        <v>37</v>
      </c>
      <c r="NT457" s="90" t="s">
        <v>37</v>
      </c>
      <c r="NU457" s="90" t="s">
        <v>37</v>
      </c>
      <c r="NV457" s="48"/>
      <c r="NW457" s="48"/>
      <c r="NX457" s="48"/>
      <c r="OA457" s="90" t="s">
        <v>37</v>
      </c>
      <c r="OB457" s="90" t="s">
        <v>37</v>
      </c>
      <c r="OC457" s="90" t="s">
        <v>37</v>
      </c>
      <c r="OE457" s="90" t="s">
        <v>37</v>
      </c>
      <c r="OF457" s="90" t="s">
        <v>37</v>
      </c>
      <c r="OG457" s="90" t="s">
        <v>37</v>
      </c>
      <c r="OM457" s="90" t="s">
        <v>37</v>
      </c>
      <c r="ON457" s="90" t="s">
        <v>37</v>
      </c>
      <c r="OO457" s="90" t="s">
        <v>37</v>
      </c>
      <c r="OP457" s="90" t="s">
        <v>37</v>
      </c>
      <c r="OQ457" s="90" t="s">
        <v>37</v>
      </c>
      <c r="OR457" s="90" t="s">
        <v>37</v>
      </c>
      <c r="OW457" s="90" t="s">
        <v>37</v>
      </c>
      <c r="OX457" s="90" t="s">
        <v>37</v>
      </c>
      <c r="OY457" s="91" t="s">
        <v>37</v>
      </c>
      <c r="OZ457" s="90" t="s">
        <v>37</v>
      </c>
      <c r="PA457" s="90" t="s">
        <v>37</v>
      </c>
      <c r="PB457" s="91" t="s">
        <v>37</v>
      </c>
      <c r="PC457" s="91"/>
      <c r="PD457" s="91"/>
      <c r="PG457" s="89" t="s">
        <v>37</v>
      </c>
      <c r="PH457" s="89" t="s">
        <v>37</v>
      </c>
      <c r="PI457" s="91" t="s">
        <v>37</v>
      </c>
      <c r="PJ457" s="89" t="s">
        <v>37</v>
      </c>
      <c r="PK457" s="89" t="s">
        <v>37</v>
      </c>
      <c r="PL457" s="91" t="s">
        <v>37</v>
      </c>
      <c r="PM457" s="91"/>
      <c r="PN457" s="91"/>
      <c r="PQ457" s="90" t="s">
        <v>37</v>
      </c>
      <c r="PR457" s="90" t="s">
        <v>37</v>
      </c>
      <c r="PS457" s="90" t="s">
        <v>37</v>
      </c>
      <c r="PT457" s="90" t="s">
        <v>37</v>
      </c>
      <c r="PU457" s="90" t="s">
        <v>37</v>
      </c>
      <c r="PV457" s="90" t="s">
        <v>37</v>
      </c>
      <c r="PZ457" s="90" t="s">
        <v>37</v>
      </c>
      <c r="QA457" s="90" t="s">
        <v>37</v>
      </c>
      <c r="QB457" s="89" t="s">
        <v>37</v>
      </c>
      <c r="QC457" s="48"/>
      <c r="QD457" s="90" t="s">
        <v>37</v>
      </c>
      <c r="QE457" s="90" t="s">
        <v>37</v>
      </c>
      <c r="QF457" s="90" t="s">
        <v>37</v>
      </c>
      <c r="QG457" s="48"/>
      <c r="QH457" s="48"/>
      <c r="QI457" s="48"/>
      <c r="QK457" s="90" t="s">
        <v>37</v>
      </c>
      <c r="QL457" s="90" t="s">
        <v>37</v>
      </c>
      <c r="QM457" s="90" t="s">
        <v>37</v>
      </c>
      <c r="QN457" s="90" t="s">
        <v>37</v>
      </c>
      <c r="QO457" s="90" t="s">
        <v>37</v>
      </c>
      <c r="QP457" s="90" t="s">
        <v>37</v>
      </c>
      <c r="QU457" s="90" t="s">
        <v>37</v>
      </c>
      <c r="QV457" s="90" t="s">
        <v>37</v>
      </c>
      <c r="QW457" s="90" t="s">
        <v>37</v>
      </c>
      <c r="QX457" s="90" t="s">
        <v>37</v>
      </c>
      <c r="QY457" s="90" t="s">
        <v>37</v>
      </c>
      <c r="QZ457" s="90" t="s">
        <v>37</v>
      </c>
      <c r="RC457" s="90" t="s">
        <v>37</v>
      </c>
      <c r="RD457" s="90" t="s">
        <v>37</v>
      </c>
      <c r="RE457" s="90" t="s">
        <v>37</v>
      </c>
      <c r="RF457" s="90" t="s">
        <v>37</v>
      </c>
      <c r="RG457" s="90" t="s">
        <v>37</v>
      </c>
      <c r="RH457" s="90" t="s">
        <v>37</v>
      </c>
      <c r="RK457" s="90" t="s">
        <v>37</v>
      </c>
      <c r="RL457" s="90" t="s">
        <v>37</v>
      </c>
      <c r="RM457" s="90" t="s">
        <v>37</v>
      </c>
      <c r="RN457" s="90" t="s">
        <v>37</v>
      </c>
      <c r="RO457" s="90" t="s">
        <v>37</v>
      </c>
      <c r="RP457" s="90" t="s">
        <v>37</v>
      </c>
      <c r="RS457" s="90" t="s">
        <v>37</v>
      </c>
      <c r="RT457" s="90" t="s">
        <v>37</v>
      </c>
      <c r="RU457" s="90" t="s">
        <v>37</v>
      </c>
      <c r="RV457" s="90" t="s">
        <v>37</v>
      </c>
      <c r="RW457" s="90" t="s">
        <v>37</v>
      </c>
      <c r="RX457" s="90" t="s">
        <v>37</v>
      </c>
      <c r="SA457" s="90" t="s">
        <v>37</v>
      </c>
      <c r="SB457" s="90" t="s">
        <v>37</v>
      </c>
      <c r="SC457" s="90" t="s">
        <v>37</v>
      </c>
      <c r="SD457" s="90" t="s">
        <v>37</v>
      </c>
      <c r="SE457" s="90" t="s">
        <v>37</v>
      </c>
      <c r="SF457" s="90" t="s">
        <v>37</v>
      </c>
      <c r="SI457" s="90" t="s">
        <v>37</v>
      </c>
      <c r="SJ457" s="90" t="s">
        <v>37</v>
      </c>
      <c r="SK457" s="90" t="s">
        <v>37</v>
      </c>
      <c r="SL457" s="90" t="s">
        <v>37</v>
      </c>
      <c r="SM457" s="90" t="s">
        <v>37</v>
      </c>
      <c r="SN457" s="90" t="s">
        <v>37</v>
      </c>
      <c r="SO457" s="91"/>
      <c r="SP457" s="91"/>
      <c r="SQ457" s="91"/>
      <c r="SR457" s="91"/>
      <c r="SU457" s="90" t="s">
        <v>37</v>
      </c>
      <c r="SV457" s="90" t="s">
        <v>37</v>
      </c>
      <c r="SW457" s="89" t="s">
        <v>37</v>
      </c>
      <c r="SX457" s="90" t="s">
        <v>37</v>
      </c>
      <c r="SY457" s="90" t="s">
        <v>37</v>
      </c>
      <c r="SZ457" s="89" t="s">
        <v>37</v>
      </c>
      <c r="TA457" s="89"/>
      <c r="TB457" s="89"/>
      <c r="TE457" s="90" t="s">
        <v>37</v>
      </c>
      <c r="TF457" s="90" t="s">
        <v>37</v>
      </c>
      <c r="TG457" s="89" t="s">
        <v>37</v>
      </c>
      <c r="TH457" s="90" t="s">
        <v>37</v>
      </c>
      <c r="TI457" s="90" t="s">
        <v>37</v>
      </c>
      <c r="TJ457" s="89" t="s">
        <v>37</v>
      </c>
      <c r="TK457" s="89"/>
      <c r="TL457" s="89"/>
      <c r="TO457" s="90" t="s">
        <v>37</v>
      </c>
      <c r="TP457" s="90" t="s">
        <v>37</v>
      </c>
      <c r="TQ457" s="89" t="s">
        <v>37</v>
      </c>
      <c r="TR457" s="90" t="s">
        <v>37</v>
      </c>
      <c r="TS457" s="90" t="s">
        <v>37</v>
      </c>
      <c r="TT457" s="89" t="s">
        <v>37</v>
      </c>
      <c r="TU457" s="89"/>
      <c r="TV457" s="89"/>
      <c r="TY457" s="90" t="s">
        <v>37</v>
      </c>
      <c r="TZ457" s="90" t="s">
        <v>37</v>
      </c>
      <c r="UA457" s="90" t="s">
        <v>37</v>
      </c>
      <c r="UB457" s="90" t="s">
        <v>37</v>
      </c>
      <c r="UC457" s="90" t="s">
        <v>37</v>
      </c>
      <c r="UD457" s="90" t="s">
        <v>37</v>
      </c>
      <c r="UI457" s="90" t="s">
        <v>37</v>
      </c>
      <c r="UJ457" s="90" t="s">
        <v>37</v>
      </c>
      <c r="UK457" s="90" t="s">
        <v>37</v>
      </c>
      <c r="UL457" s="90" t="s">
        <v>37</v>
      </c>
      <c r="UM457" s="90" t="s">
        <v>37</v>
      </c>
      <c r="UN457" s="90" t="s">
        <v>37</v>
      </c>
      <c r="UR457" s="90" t="s">
        <v>37</v>
      </c>
      <c r="US457" s="90" t="s">
        <v>37</v>
      </c>
      <c r="UT457" s="90" t="s">
        <v>37</v>
      </c>
      <c r="UU457" s="90" t="s">
        <v>37</v>
      </c>
      <c r="UV457" s="90" t="s">
        <v>37</v>
      </c>
      <c r="UW457" s="90" t="s">
        <v>37</v>
      </c>
      <c r="VB457" s="90" t="s">
        <v>37</v>
      </c>
      <c r="VC457" s="90" t="s">
        <v>37</v>
      </c>
      <c r="VD457" s="90" t="s">
        <v>37</v>
      </c>
      <c r="VE457" s="90" t="s">
        <v>37</v>
      </c>
      <c r="VF457" s="90" t="s">
        <v>37</v>
      </c>
      <c r="VG457" s="90" t="s">
        <v>37</v>
      </c>
      <c r="VI457" s="90" t="s">
        <v>37</v>
      </c>
      <c r="VJ457" s="90" t="s">
        <v>37</v>
      </c>
      <c r="VK457" s="90" t="s">
        <v>37</v>
      </c>
      <c r="VL457" s="90" t="s">
        <v>37</v>
      </c>
      <c r="VM457" s="90" t="s">
        <v>37</v>
      </c>
      <c r="VN457" s="90" t="s">
        <v>37</v>
      </c>
      <c r="VQ457" s="91" t="s">
        <v>37</v>
      </c>
      <c r="VR457" s="91" t="s">
        <v>37</v>
      </c>
      <c r="VS457" s="91" t="s">
        <v>37</v>
      </c>
      <c r="VT457" s="91" t="s">
        <v>37</v>
      </c>
      <c r="VU457" s="91" t="s">
        <v>37</v>
      </c>
      <c r="VV457" s="91" t="s">
        <v>37</v>
      </c>
      <c r="VW457" s="91"/>
      <c r="VX457" s="91"/>
      <c r="WA457" s="91" t="s">
        <v>37</v>
      </c>
      <c r="WB457" s="91" t="s">
        <v>37</v>
      </c>
      <c r="WC457" s="91" t="s">
        <v>37</v>
      </c>
      <c r="WD457" s="91" t="s">
        <v>37</v>
      </c>
      <c r="WE457" s="91" t="s">
        <v>37</v>
      </c>
      <c r="WF457" s="91" t="s">
        <v>37</v>
      </c>
    </row>
    <row r="458" spans="1:604" s="90" customFormat="1" ht="18.75" customHeight="1" x14ac:dyDescent="0.3">
      <c r="A458" s="89">
        <v>110</v>
      </c>
      <c r="B458" s="84" t="s">
        <v>1009</v>
      </c>
      <c r="C458" s="90" t="s">
        <v>26</v>
      </c>
      <c r="D458" s="84" t="s">
        <v>830</v>
      </c>
      <c r="E458" s="88">
        <v>10</v>
      </c>
      <c r="F458" s="88">
        <v>0</v>
      </c>
      <c r="G458" s="88">
        <v>0</v>
      </c>
      <c r="H458" s="90" t="s">
        <v>1010</v>
      </c>
      <c r="I458" s="84">
        <v>1.383</v>
      </c>
      <c r="J458" s="99">
        <v>111.4</v>
      </c>
      <c r="K458" s="90" t="s">
        <v>1011</v>
      </c>
      <c r="L458" s="90" t="s">
        <v>1012</v>
      </c>
      <c r="M458" s="91">
        <v>10</v>
      </c>
      <c r="N458" s="14">
        <v>27.2</v>
      </c>
      <c r="O458" s="14">
        <v>2503</v>
      </c>
      <c r="P458" s="84" t="s">
        <v>840</v>
      </c>
      <c r="Q458" s="75">
        <v>16</v>
      </c>
      <c r="R458" s="11" t="s">
        <v>1000</v>
      </c>
      <c r="S458" s="90" t="s">
        <v>981</v>
      </c>
      <c r="T458" s="12" t="s">
        <v>1016</v>
      </c>
      <c r="U458" s="12" t="s">
        <v>983</v>
      </c>
      <c r="V458" s="90" t="s">
        <v>275</v>
      </c>
      <c r="W458" s="93" t="s">
        <v>1015</v>
      </c>
      <c r="X458" s="90" t="s">
        <v>982</v>
      </c>
      <c r="Y458" s="90" t="s">
        <v>37</v>
      </c>
      <c r="Z458" s="90" t="s">
        <v>37</v>
      </c>
      <c r="AA458" s="32"/>
      <c r="AB458" s="90" t="s">
        <v>37</v>
      </c>
      <c r="AD458" s="94"/>
      <c r="AE458" s="90" t="s">
        <v>37</v>
      </c>
      <c r="AG458" s="94"/>
      <c r="AH458" s="90" t="s">
        <v>37</v>
      </c>
      <c r="AK458" s="90" t="s">
        <v>37</v>
      </c>
      <c r="AL458" s="32" t="s">
        <v>1019</v>
      </c>
      <c r="AM458" s="90" t="s">
        <v>344</v>
      </c>
      <c r="AN458" s="32"/>
      <c r="AO458" s="90" t="s">
        <v>37</v>
      </c>
      <c r="AP458" s="90" t="s">
        <v>370</v>
      </c>
      <c r="AQ458" s="90" t="s">
        <v>849</v>
      </c>
      <c r="AR458" s="12"/>
      <c r="AS458" s="94"/>
      <c r="AT458" s="90" t="s">
        <v>326</v>
      </c>
      <c r="AU458" s="90" t="s">
        <v>326</v>
      </c>
      <c r="AV458" s="91" t="s">
        <v>326</v>
      </c>
      <c r="AW458" s="48"/>
      <c r="AX458" s="90" t="s">
        <v>326</v>
      </c>
      <c r="AY458" s="90" t="s">
        <v>326</v>
      </c>
      <c r="AZ458" s="91" t="s">
        <v>326</v>
      </c>
      <c r="BA458" s="48"/>
      <c r="BB458" s="48"/>
      <c r="BC458" s="48"/>
      <c r="BD458" s="94"/>
      <c r="BE458" s="90" t="s">
        <v>326</v>
      </c>
      <c r="BF458" s="90" t="s">
        <v>326</v>
      </c>
      <c r="BG458" s="90" t="s">
        <v>326</v>
      </c>
      <c r="BH458" s="48"/>
      <c r="BI458" s="90" t="s">
        <v>326</v>
      </c>
      <c r="BJ458" s="90" t="s">
        <v>326</v>
      </c>
      <c r="BK458" s="90" t="s">
        <v>326</v>
      </c>
      <c r="BL458" s="48"/>
      <c r="BM458" s="48"/>
      <c r="BN458" s="48"/>
      <c r="BP458" s="90" t="s">
        <v>37</v>
      </c>
      <c r="BQ458" s="90" t="s">
        <v>37</v>
      </c>
      <c r="BR458" s="91" t="s">
        <v>37</v>
      </c>
      <c r="BS458" s="48"/>
      <c r="BT458" s="90" t="s">
        <v>37</v>
      </c>
      <c r="BU458" s="90" t="s">
        <v>37</v>
      </c>
      <c r="BV458" s="90" t="s">
        <v>37</v>
      </c>
      <c r="BW458" s="48"/>
      <c r="BX458" s="48"/>
      <c r="BY458" s="48"/>
      <c r="CA458" s="90" t="s">
        <v>37</v>
      </c>
      <c r="CB458" s="90" t="s">
        <v>37</v>
      </c>
      <c r="CC458" s="91" t="s">
        <v>37</v>
      </c>
      <c r="CD458" s="48"/>
      <c r="CE458" s="90" t="s">
        <v>37</v>
      </c>
      <c r="CF458" s="90" t="s">
        <v>37</v>
      </c>
      <c r="CG458" s="91" t="s">
        <v>37</v>
      </c>
      <c r="CH458" s="48"/>
      <c r="CI458" s="92"/>
      <c r="CK458" s="96"/>
      <c r="CL458" s="96"/>
      <c r="CN458" s="90" t="s">
        <v>37</v>
      </c>
      <c r="CO458" s="90" t="s">
        <v>37</v>
      </c>
      <c r="CP458" s="91" t="s">
        <v>37</v>
      </c>
      <c r="CQ458" s="48"/>
      <c r="CR458" s="90" t="s">
        <v>37</v>
      </c>
      <c r="CS458" s="90" t="s">
        <v>37</v>
      </c>
      <c r="CT458" s="91" t="s">
        <v>37</v>
      </c>
      <c r="CU458" s="48"/>
      <c r="CV458" s="92"/>
      <c r="CX458" s="96"/>
      <c r="CY458" s="96"/>
      <c r="DA458" s="90" t="s">
        <v>37</v>
      </c>
      <c r="DB458" s="90" t="s">
        <v>37</v>
      </c>
      <c r="DC458" s="91" t="s">
        <v>37</v>
      </c>
      <c r="DD458" s="48"/>
      <c r="DE458" s="90" t="s">
        <v>37</v>
      </c>
      <c r="DF458" s="90" t="s">
        <v>37</v>
      </c>
      <c r="DG458" s="91" t="s">
        <v>37</v>
      </c>
      <c r="DH458" s="48"/>
      <c r="DI458" s="92"/>
      <c r="DK458" s="96"/>
      <c r="DL458" s="96"/>
      <c r="DM458" s="90" t="s">
        <v>47</v>
      </c>
      <c r="DN458" s="90">
        <f>78.9*16/12</f>
        <v>105.2</v>
      </c>
      <c r="DO458" s="50">
        <f t="shared" si="1820"/>
        <v>117.28530121962412</v>
      </c>
      <c r="DP458" s="91">
        <v>1</v>
      </c>
      <c r="DQ458" s="91"/>
      <c r="DR458" s="90">
        <f>34.1*16/12</f>
        <v>45.466666666666669</v>
      </c>
      <c r="DS458" s="50">
        <f t="shared" si="1821"/>
        <v>169.91876752922326</v>
      </c>
      <c r="DT458" s="91">
        <v>1</v>
      </c>
      <c r="DU458" s="48"/>
      <c r="DV458" s="48">
        <f t="shared" si="1822"/>
        <v>-59.733333333333334</v>
      </c>
      <c r="DW458" s="90" t="e">
        <f t="shared" si="1832"/>
        <v>#DIV/0!</v>
      </c>
      <c r="DX458" s="96" t="e">
        <f t="shared" si="1833"/>
        <v>#DIV/0!</v>
      </c>
      <c r="DY458" s="96">
        <f t="shared" si="1834"/>
        <v>42628.229440828181</v>
      </c>
      <c r="DZ458" s="89"/>
      <c r="EA458" s="101" t="s">
        <v>37</v>
      </c>
      <c r="EB458" s="101" t="s">
        <v>37</v>
      </c>
      <c r="EC458" s="101" t="s">
        <v>37</v>
      </c>
      <c r="ED458" s="101"/>
      <c r="EE458" s="101" t="s">
        <v>37</v>
      </c>
      <c r="EF458" s="101" t="s">
        <v>37</v>
      </c>
      <c r="EG458" s="101" t="s">
        <v>37</v>
      </c>
      <c r="EH458" s="91"/>
      <c r="EI458" s="91"/>
      <c r="EJ458" s="91"/>
      <c r="EK458" s="91"/>
      <c r="EL458" s="91"/>
      <c r="EM458" s="90" t="s">
        <v>39</v>
      </c>
      <c r="EN458" s="90">
        <v>-4.8</v>
      </c>
      <c r="EO458" s="50">
        <f t="shared" si="1823"/>
        <v>1.955982714006208</v>
      </c>
      <c r="EP458" s="91">
        <v>1</v>
      </c>
      <c r="EQ458" s="48"/>
      <c r="ER458" s="90">
        <v>-19</v>
      </c>
      <c r="ES458" s="50">
        <f t="shared" si="1824"/>
        <v>4.3094670166746889</v>
      </c>
      <c r="ET458" s="91">
        <v>1</v>
      </c>
      <c r="EU458" s="48"/>
      <c r="EV458" s="90">
        <f t="shared" si="1810"/>
        <v>-14.2</v>
      </c>
      <c r="EW458" s="90" t="e">
        <f t="shared" si="1825"/>
        <v>#DIV/0!</v>
      </c>
      <c r="EX458" s="48" t="e">
        <f t="shared" si="1826"/>
        <v>#DIV/0!</v>
      </c>
      <c r="EY458" s="48">
        <f t="shared" si="1827"/>
        <v>22.397374345298132</v>
      </c>
      <c r="FB458" s="90" t="s">
        <v>37</v>
      </c>
      <c r="FC458" s="90" t="s">
        <v>37</v>
      </c>
      <c r="FD458" s="89" t="s">
        <v>37</v>
      </c>
      <c r="FE458" s="90" t="s">
        <v>37</v>
      </c>
      <c r="FF458" s="100" t="s">
        <v>37</v>
      </c>
      <c r="FG458" s="89" t="s">
        <v>37</v>
      </c>
      <c r="FH458" s="94"/>
      <c r="FI458" s="90" t="s">
        <v>37</v>
      </c>
      <c r="FJ458" s="90" t="s">
        <v>37</v>
      </c>
      <c r="FK458" s="89" t="s">
        <v>37</v>
      </c>
      <c r="FL458" s="91" t="s">
        <v>37</v>
      </c>
      <c r="FM458" s="89" t="s">
        <v>37</v>
      </c>
      <c r="FN458" s="89" t="s">
        <v>37</v>
      </c>
      <c r="FO458" s="94"/>
      <c r="FP458" s="90" t="s">
        <v>37</v>
      </c>
      <c r="FQ458" s="90" t="s">
        <v>37</v>
      </c>
      <c r="FR458" s="89" t="s">
        <v>37</v>
      </c>
      <c r="FS458" s="91" t="s">
        <v>37</v>
      </c>
      <c r="FT458" s="89" t="s">
        <v>37</v>
      </c>
      <c r="FU458" s="89" t="s">
        <v>37</v>
      </c>
      <c r="FV458" s="94"/>
      <c r="FW458" s="90" t="s">
        <v>37</v>
      </c>
      <c r="FX458" s="90" t="s">
        <v>37</v>
      </c>
      <c r="FY458" s="89" t="s">
        <v>37</v>
      </c>
      <c r="FZ458" s="91" t="s">
        <v>37</v>
      </c>
      <c r="GA458" s="89" t="s">
        <v>37</v>
      </c>
      <c r="GB458" s="89" t="s">
        <v>37</v>
      </c>
      <c r="GE458" s="90" t="s">
        <v>37</v>
      </c>
      <c r="GF458" s="90" t="s">
        <v>37</v>
      </c>
      <c r="GG458" s="90" t="s">
        <v>37</v>
      </c>
      <c r="GH458" s="91"/>
      <c r="GI458" s="90" t="s">
        <v>37</v>
      </c>
      <c r="GJ458" s="90" t="s">
        <v>37</v>
      </c>
      <c r="GK458" s="90" t="s">
        <v>37</v>
      </c>
      <c r="GL458" s="91"/>
      <c r="GM458" s="91"/>
      <c r="GN458" s="91"/>
      <c r="GQ458" s="90" t="s">
        <v>37</v>
      </c>
      <c r="GR458" s="90" t="s">
        <v>37</v>
      </c>
      <c r="GS458" s="90" t="s">
        <v>37</v>
      </c>
      <c r="GT458" s="91"/>
      <c r="GU458" s="90" t="s">
        <v>37</v>
      </c>
      <c r="GV458" s="90" t="s">
        <v>37</v>
      </c>
      <c r="GW458" s="90" t="s">
        <v>37</v>
      </c>
      <c r="GX458" s="91"/>
      <c r="GY458" s="91"/>
      <c r="GZ458" s="91"/>
      <c r="HA458" s="97" t="s">
        <v>63</v>
      </c>
      <c r="HB458" s="98" t="s">
        <v>868</v>
      </c>
      <c r="HC458" s="90">
        <v>0.11</v>
      </c>
      <c r="HD458" s="104">
        <f t="shared" si="1828"/>
        <v>1.8965291746114006E-2</v>
      </c>
      <c r="HE458" s="91">
        <v>3</v>
      </c>
      <c r="HF458" s="91"/>
      <c r="HG458" s="90">
        <v>0.12</v>
      </c>
      <c r="HH458" s="104">
        <f t="shared" si="1829"/>
        <v>1.3422542396052608E-2</v>
      </c>
      <c r="HI458" s="91">
        <v>3</v>
      </c>
      <c r="HJ458" s="91"/>
      <c r="HK458" s="48">
        <f t="shared" si="1830"/>
        <v>8.7011376989629699E-2</v>
      </c>
      <c r="HL458" s="48">
        <f t="shared" si="1831"/>
        <v>1.4079080937294361E-2</v>
      </c>
      <c r="HM458" s="98"/>
      <c r="HN458" s="90" t="s">
        <v>37</v>
      </c>
      <c r="HO458" s="90" t="s">
        <v>37</v>
      </c>
      <c r="HP458" s="90" t="s">
        <v>37</v>
      </c>
      <c r="HQ458" s="91"/>
      <c r="HR458" s="90" t="s">
        <v>37</v>
      </c>
      <c r="HS458" s="90" t="s">
        <v>37</v>
      </c>
      <c r="HT458" s="90" t="s">
        <v>37</v>
      </c>
      <c r="HU458" s="91"/>
      <c r="HV458" s="91"/>
      <c r="HW458" s="91"/>
      <c r="HX458" s="98"/>
      <c r="HY458" s="90" t="s">
        <v>37</v>
      </c>
      <c r="HZ458" s="90" t="s">
        <v>37</v>
      </c>
      <c r="IA458" s="90" t="s">
        <v>37</v>
      </c>
      <c r="IB458" s="91"/>
      <c r="IC458" s="90" t="s">
        <v>37</v>
      </c>
      <c r="ID458" s="90" t="s">
        <v>37</v>
      </c>
      <c r="IE458" s="90" t="s">
        <v>37</v>
      </c>
      <c r="IF458" s="91"/>
      <c r="IG458" s="91"/>
      <c r="IH458" s="91"/>
      <c r="IK458" s="90" t="s">
        <v>37</v>
      </c>
      <c r="IL458" s="90" t="s">
        <v>37</v>
      </c>
      <c r="IM458" s="90" t="s">
        <v>37</v>
      </c>
      <c r="IN458" s="91"/>
      <c r="IO458" s="90" t="s">
        <v>37</v>
      </c>
      <c r="IP458" s="90" t="s">
        <v>37</v>
      </c>
      <c r="IQ458" s="90" t="s">
        <v>37</v>
      </c>
      <c r="IR458" s="91"/>
      <c r="IS458" s="91"/>
      <c r="IT458" s="91"/>
      <c r="IV458" s="94"/>
      <c r="IW458" s="90" t="s">
        <v>37</v>
      </c>
      <c r="IX458" s="90" t="s">
        <v>37</v>
      </c>
      <c r="IY458" s="90" t="s">
        <v>37</v>
      </c>
      <c r="IZ458" s="91"/>
      <c r="JA458" s="90" t="s">
        <v>37</v>
      </c>
      <c r="JB458" s="90" t="s">
        <v>37</v>
      </c>
      <c r="JC458" s="90" t="s">
        <v>37</v>
      </c>
      <c r="JD458" s="91"/>
      <c r="JE458" s="91"/>
      <c r="JF458" s="91"/>
      <c r="JG458" s="94"/>
      <c r="JH458" s="90" t="s">
        <v>37</v>
      </c>
      <c r="JI458" s="90" t="s">
        <v>37</v>
      </c>
      <c r="JJ458" s="90" t="s">
        <v>37</v>
      </c>
      <c r="JK458" s="91"/>
      <c r="JL458" s="90" t="s">
        <v>37</v>
      </c>
      <c r="JM458" s="90" t="s">
        <v>37</v>
      </c>
      <c r="JN458" s="90" t="s">
        <v>37</v>
      </c>
      <c r="JO458" s="91"/>
      <c r="JP458" s="91"/>
      <c r="JQ458" s="91"/>
      <c r="JR458" s="94"/>
      <c r="JS458" s="90" t="s">
        <v>37</v>
      </c>
      <c r="JT458" s="90" t="s">
        <v>37</v>
      </c>
      <c r="JU458" s="90" t="s">
        <v>37</v>
      </c>
      <c r="JV458" s="91"/>
      <c r="JW458" s="90" t="s">
        <v>37</v>
      </c>
      <c r="JX458" s="90" t="s">
        <v>37</v>
      </c>
      <c r="JY458" s="90" t="s">
        <v>37</v>
      </c>
      <c r="JZ458" s="91"/>
      <c r="KA458" s="91"/>
      <c r="KB458" s="91"/>
      <c r="KE458" s="90" t="s">
        <v>37</v>
      </c>
      <c r="KF458" s="90" t="s">
        <v>37</v>
      </c>
      <c r="KG458" s="90" t="s">
        <v>37</v>
      </c>
      <c r="KH458" s="90" t="s">
        <v>37</v>
      </c>
      <c r="KI458" s="90" t="s">
        <v>37</v>
      </c>
      <c r="KJ458" s="90" t="s">
        <v>37</v>
      </c>
      <c r="KL458" s="94"/>
      <c r="KM458" s="90" t="s">
        <v>37</v>
      </c>
      <c r="KN458" s="90" t="s">
        <v>37</v>
      </c>
      <c r="KO458" s="90" t="s">
        <v>37</v>
      </c>
      <c r="KQ458" s="90" t="s">
        <v>37</v>
      </c>
      <c r="KR458" s="90" t="s">
        <v>37</v>
      </c>
      <c r="KS458" s="90" t="s">
        <v>37</v>
      </c>
      <c r="KW458" s="94"/>
      <c r="KX458" s="90" t="s">
        <v>37</v>
      </c>
      <c r="KY458" s="90" t="s">
        <v>37</v>
      </c>
      <c r="KZ458" s="90" t="s">
        <v>37</v>
      </c>
      <c r="LA458" s="91"/>
      <c r="LB458" s="90" t="s">
        <v>37</v>
      </c>
      <c r="LC458" s="90" t="s">
        <v>37</v>
      </c>
      <c r="LD458" s="90" t="s">
        <v>37</v>
      </c>
      <c r="LE458" s="91"/>
      <c r="LF458" s="91"/>
      <c r="LG458" s="91"/>
      <c r="LH458" s="94"/>
      <c r="LI458" s="90" t="s">
        <v>37</v>
      </c>
      <c r="LJ458" s="90" t="s">
        <v>37</v>
      </c>
      <c r="LK458" s="90" t="s">
        <v>37</v>
      </c>
      <c r="LL458" s="91"/>
      <c r="LM458" s="90" t="s">
        <v>37</v>
      </c>
      <c r="LN458" s="90" t="s">
        <v>37</v>
      </c>
      <c r="LO458" s="90" t="s">
        <v>37</v>
      </c>
      <c r="LP458" s="91"/>
      <c r="LQ458" s="91"/>
      <c r="LR458" s="91"/>
      <c r="LU458" s="90" t="s">
        <v>37</v>
      </c>
      <c r="LV458" s="90" t="s">
        <v>37</v>
      </c>
      <c r="LW458" s="90" t="s">
        <v>37</v>
      </c>
      <c r="LX458" s="91"/>
      <c r="LY458" s="90" t="s">
        <v>37</v>
      </c>
      <c r="LZ458" s="90" t="s">
        <v>37</v>
      </c>
      <c r="MA458" s="90" t="s">
        <v>37</v>
      </c>
      <c r="MB458" s="91"/>
      <c r="MC458" s="91"/>
      <c r="MD458" s="91"/>
      <c r="MF458" s="90" t="s">
        <v>37</v>
      </c>
      <c r="MG458" s="90" t="s">
        <v>37</v>
      </c>
      <c r="MH458" s="90" t="s">
        <v>37</v>
      </c>
      <c r="MI458" s="91"/>
      <c r="MJ458" s="90" t="s">
        <v>37</v>
      </c>
      <c r="MK458" s="90" t="s">
        <v>37</v>
      </c>
      <c r="ML458" s="90" t="s">
        <v>37</v>
      </c>
      <c r="MM458" s="91"/>
      <c r="MN458" s="91"/>
      <c r="MO458" s="91"/>
      <c r="MQ458" s="90" t="s">
        <v>37</v>
      </c>
      <c r="MR458" s="90" t="s">
        <v>37</v>
      </c>
      <c r="MS458" s="90" t="s">
        <v>37</v>
      </c>
      <c r="MT458" s="48"/>
      <c r="MU458" s="90" t="s">
        <v>37</v>
      </c>
      <c r="MV458" s="90" t="s">
        <v>37</v>
      </c>
      <c r="MW458" s="90" t="s">
        <v>37</v>
      </c>
      <c r="MX458" s="48"/>
      <c r="MY458" s="48"/>
      <c r="MZ458" s="48"/>
      <c r="NC458" s="90" t="s">
        <v>37</v>
      </c>
      <c r="ND458" s="90" t="s">
        <v>37</v>
      </c>
      <c r="NE458" s="90" t="s">
        <v>37</v>
      </c>
      <c r="NF458" s="48"/>
      <c r="NG458" s="90" t="s">
        <v>37</v>
      </c>
      <c r="NH458" s="90" t="s">
        <v>37</v>
      </c>
      <c r="NI458" s="90" t="s">
        <v>37</v>
      </c>
      <c r="NJ458" s="48"/>
      <c r="NK458" s="48"/>
      <c r="NL458" s="48"/>
      <c r="NO458" s="90" t="s">
        <v>37</v>
      </c>
      <c r="NP458" s="90" t="s">
        <v>37</v>
      </c>
      <c r="NQ458" s="90" t="s">
        <v>37</v>
      </c>
      <c r="NR458" s="48"/>
      <c r="NS458" s="90" t="s">
        <v>37</v>
      </c>
      <c r="NT458" s="90" t="s">
        <v>37</v>
      </c>
      <c r="NU458" s="90" t="s">
        <v>37</v>
      </c>
      <c r="NV458" s="48"/>
      <c r="NW458" s="48"/>
      <c r="NX458" s="48"/>
      <c r="OA458" s="90" t="s">
        <v>37</v>
      </c>
      <c r="OB458" s="90" t="s">
        <v>37</v>
      </c>
      <c r="OC458" s="90" t="s">
        <v>37</v>
      </c>
      <c r="OE458" s="90" t="s">
        <v>37</v>
      </c>
      <c r="OF458" s="90" t="s">
        <v>37</v>
      </c>
      <c r="OG458" s="90" t="s">
        <v>37</v>
      </c>
      <c r="OM458" s="90" t="s">
        <v>37</v>
      </c>
      <c r="ON458" s="90" t="s">
        <v>37</v>
      </c>
      <c r="OO458" s="90" t="s">
        <v>37</v>
      </c>
      <c r="OP458" s="90" t="s">
        <v>37</v>
      </c>
      <c r="OQ458" s="90" t="s">
        <v>37</v>
      </c>
      <c r="OR458" s="90" t="s">
        <v>37</v>
      </c>
      <c r="OW458" s="90" t="s">
        <v>37</v>
      </c>
      <c r="OX458" s="90" t="s">
        <v>37</v>
      </c>
      <c r="OY458" s="91" t="s">
        <v>37</v>
      </c>
      <c r="OZ458" s="90" t="s">
        <v>37</v>
      </c>
      <c r="PA458" s="90" t="s">
        <v>37</v>
      </c>
      <c r="PB458" s="91" t="s">
        <v>37</v>
      </c>
      <c r="PC458" s="91"/>
      <c r="PD458" s="91"/>
      <c r="PG458" s="89" t="s">
        <v>37</v>
      </c>
      <c r="PH458" s="89" t="s">
        <v>37</v>
      </c>
      <c r="PI458" s="91" t="s">
        <v>37</v>
      </c>
      <c r="PJ458" s="89" t="s">
        <v>37</v>
      </c>
      <c r="PK458" s="89" t="s">
        <v>37</v>
      </c>
      <c r="PL458" s="91" t="s">
        <v>37</v>
      </c>
      <c r="PM458" s="91"/>
      <c r="PN458" s="91"/>
      <c r="PQ458" s="90" t="s">
        <v>37</v>
      </c>
      <c r="PR458" s="90" t="s">
        <v>37</v>
      </c>
      <c r="PS458" s="90" t="s">
        <v>37</v>
      </c>
      <c r="PT458" s="90" t="s">
        <v>37</v>
      </c>
      <c r="PU458" s="90" t="s">
        <v>37</v>
      </c>
      <c r="PV458" s="90" t="s">
        <v>37</v>
      </c>
      <c r="PZ458" s="90" t="s">
        <v>37</v>
      </c>
      <c r="QA458" s="90" t="s">
        <v>37</v>
      </c>
      <c r="QB458" s="89" t="s">
        <v>37</v>
      </c>
      <c r="QC458" s="48"/>
      <c r="QD458" s="90" t="s">
        <v>37</v>
      </c>
      <c r="QE458" s="90" t="s">
        <v>37</v>
      </c>
      <c r="QF458" s="90" t="s">
        <v>37</v>
      </c>
      <c r="QG458" s="48"/>
      <c r="QH458" s="48"/>
      <c r="QI458" s="48"/>
      <c r="QK458" s="90" t="s">
        <v>37</v>
      </c>
      <c r="QL458" s="90" t="s">
        <v>37</v>
      </c>
      <c r="QM458" s="90" t="s">
        <v>37</v>
      </c>
      <c r="QN458" s="90" t="s">
        <v>37</v>
      </c>
      <c r="QO458" s="90" t="s">
        <v>37</v>
      </c>
      <c r="QP458" s="90" t="s">
        <v>37</v>
      </c>
      <c r="QU458" s="90" t="s">
        <v>37</v>
      </c>
      <c r="QV458" s="90" t="s">
        <v>37</v>
      </c>
      <c r="QW458" s="90" t="s">
        <v>37</v>
      </c>
      <c r="QX458" s="90" t="s">
        <v>37</v>
      </c>
      <c r="QY458" s="90" t="s">
        <v>37</v>
      </c>
      <c r="QZ458" s="90" t="s">
        <v>37</v>
      </c>
      <c r="RC458" s="90" t="s">
        <v>37</v>
      </c>
      <c r="RD458" s="90" t="s">
        <v>37</v>
      </c>
      <c r="RE458" s="90" t="s">
        <v>37</v>
      </c>
      <c r="RF458" s="90" t="s">
        <v>37</v>
      </c>
      <c r="RG458" s="90" t="s">
        <v>37</v>
      </c>
      <c r="RH458" s="90" t="s">
        <v>37</v>
      </c>
      <c r="RK458" s="90" t="s">
        <v>37</v>
      </c>
      <c r="RL458" s="90" t="s">
        <v>37</v>
      </c>
      <c r="RM458" s="90" t="s">
        <v>37</v>
      </c>
      <c r="RN458" s="90" t="s">
        <v>37</v>
      </c>
      <c r="RO458" s="90" t="s">
        <v>37</v>
      </c>
      <c r="RP458" s="90" t="s">
        <v>37</v>
      </c>
      <c r="RS458" s="90" t="s">
        <v>37</v>
      </c>
      <c r="RT458" s="90" t="s">
        <v>37</v>
      </c>
      <c r="RU458" s="90" t="s">
        <v>37</v>
      </c>
      <c r="RV458" s="90" t="s">
        <v>37</v>
      </c>
      <c r="RW458" s="90" t="s">
        <v>37</v>
      </c>
      <c r="RX458" s="90" t="s">
        <v>37</v>
      </c>
      <c r="SA458" s="90" t="s">
        <v>37</v>
      </c>
      <c r="SB458" s="90" t="s">
        <v>37</v>
      </c>
      <c r="SC458" s="90" t="s">
        <v>37</v>
      </c>
      <c r="SD458" s="90" t="s">
        <v>37</v>
      </c>
      <c r="SE458" s="90" t="s">
        <v>37</v>
      </c>
      <c r="SF458" s="90" t="s">
        <v>37</v>
      </c>
      <c r="SI458" s="90" t="s">
        <v>37</v>
      </c>
      <c r="SJ458" s="90" t="s">
        <v>37</v>
      </c>
      <c r="SK458" s="90" t="s">
        <v>37</v>
      </c>
      <c r="SL458" s="90" t="s">
        <v>37</v>
      </c>
      <c r="SM458" s="90" t="s">
        <v>37</v>
      </c>
      <c r="SN458" s="90" t="s">
        <v>37</v>
      </c>
      <c r="SO458" s="91"/>
      <c r="SP458" s="91"/>
      <c r="SQ458" s="91"/>
      <c r="SR458" s="91"/>
      <c r="SU458" s="90" t="s">
        <v>37</v>
      </c>
      <c r="SV458" s="90" t="s">
        <v>37</v>
      </c>
      <c r="SW458" s="89" t="s">
        <v>37</v>
      </c>
      <c r="SX458" s="90" t="s">
        <v>37</v>
      </c>
      <c r="SY458" s="90" t="s">
        <v>37</v>
      </c>
      <c r="SZ458" s="89" t="s">
        <v>37</v>
      </c>
      <c r="TA458" s="89"/>
      <c r="TB458" s="89"/>
      <c r="TE458" s="90" t="s">
        <v>37</v>
      </c>
      <c r="TF458" s="90" t="s">
        <v>37</v>
      </c>
      <c r="TG458" s="89" t="s">
        <v>37</v>
      </c>
      <c r="TH458" s="90" t="s">
        <v>37</v>
      </c>
      <c r="TI458" s="90" t="s">
        <v>37</v>
      </c>
      <c r="TJ458" s="89" t="s">
        <v>37</v>
      </c>
      <c r="TK458" s="89"/>
      <c r="TL458" s="89"/>
      <c r="TO458" s="90" t="s">
        <v>37</v>
      </c>
      <c r="TP458" s="90" t="s">
        <v>37</v>
      </c>
      <c r="TQ458" s="89" t="s">
        <v>37</v>
      </c>
      <c r="TR458" s="90" t="s">
        <v>37</v>
      </c>
      <c r="TS458" s="90" t="s">
        <v>37</v>
      </c>
      <c r="TT458" s="89" t="s">
        <v>37</v>
      </c>
      <c r="TU458" s="89"/>
      <c r="TV458" s="89"/>
      <c r="TY458" s="90" t="s">
        <v>37</v>
      </c>
      <c r="TZ458" s="90" t="s">
        <v>37</v>
      </c>
      <c r="UA458" s="90" t="s">
        <v>37</v>
      </c>
      <c r="UB458" s="90" t="s">
        <v>37</v>
      </c>
      <c r="UC458" s="90" t="s">
        <v>37</v>
      </c>
      <c r="UD458" s="90" t="s">
        <v>37</v>
      </c>
      <c r="UI458" s="90" t="s">
        <v>37</v>
      </c>
      <c r="UJ458" s="90" t="s">
        <v>37</v>
      </c>
      <c r="UK458" s="90" t="s">
        <v>37</v>
      </c>
      <c r="UL458" s="90" t="s">
        <v>37</v>
      </c>
      <c r="UM458" s="90" t="s">
        <v>37</v>
      </c>
      <c r="UN458" s="90" t="s">
        <v>37</v>
      </c>
      <c r="UR458" s="90" t="s">
        <v>37</v>
      </c>
      <c r="US458" s="90" t="s">
        <v>37</v>
      </c>
      <c r="UT458" s="90" t="s">
        <v>37</v>
      </c>
      <c r="UU458" s="90" t="s">
        <v>37</v>
      </c>
      <c r="UV458" s="90" t="s">
        <v>37</v>
      </c>
      <c r="UW458" s="90" t="s">
        <v>37</v>
      </c>
      <c r="VB458" s="90" t="s">
        <v>37</v>
      </c>
      <c r="VC458" s="90" t="s">
        <v>37</v>
      </c>
      <c r="VD458" s="90" t="s">
        <v>37</v>
      </c>
      <c r="VE458" s="90" t="s">
        <v>37</v>
      </c>
      <c r="VF458" s="90" t="s">
        <v>37</v>
      </c>
      <c r="VG458" s="90" t="s">
        <v>37</v>
      </c>
      <c r="VI458" s="90" t="s">
        <v>37</v>
      </c>
      <c r="VJ458" s="90" t="s">
        <v>37</v>
      </c>
      <c r="VK458" s="90" t="s">
        <v>37</v>
      </c>
      <c r="VL458" s="90" t="s">
        <v>37</v>
      </c>
      <c r="VM458" s="90" t="s">
        <v>37</v>
      </c>
      <c r="VN458" s="90" t="s">
        <v>37</v>
      </c>
      <c r="VQ458" s="91" t="s">
        <v>37</v>
      </c>
      <c r="VR458" s="91" t="s">
        <v>37</v>
      </c>
      <c r="VS458" s="91" t="s">
        <v>37</v>
      </c>
      <c r="VT458" s="91" t="s">
        <v>37</v>
      </c>
      <c r="VU458" s="91" t="s">
        <v>37</v>
      </c>
      <c r="VV458" s="91" t="s">
        <v>37</v>
      </c>
      <c r="VW458" s="91"/>
      <c r="VX458" s="91"/>
      <c r="WA458" s="91" t="s">
        <v>37</v>
      </c>
      <c r="WB458" s="91" t="s">
        <v>37</v>
      </c>
      <c r="WC458" s="91" t="s">
        <v>37</v>
      </c>
      <c r="WD458" s="91" t="s">
        <v>37</v>
      </c>
      <c r="WE458" s="91" t="s">
        <v>37</v>
      </c>
      <c r="WF458" s="91" t="s">
        <v>37</v>
      </c>
    </row>
    <row r="459" spans="1:604" s="90" customFormat="1" ht="18.75" customHeight="1" x14ac:dyDescent="0.3">
      <c r="A459" s="89">
        <v>110</v>
      </c>
      <c r="B459" s="84" t="s">
        <v>1009</v>
      </c>
      <c r="C459" s="90" t="s">
        <v>26</v>
      </c>
      <c r="D459" s="84" t="s">
        <v>829</v>
      </c>
      <c r="E459" s="88">
        <v>10</v>
      </c>
      <c r="F459" s="88">
        <v>0</v>
      </c>
      <c r="G459" s="88">
        <v>0</v>
      </c>
      <c r="H459" s="90" t="s">
        <v>1010</v>
      </c>
      <c r="I459" s="84">
        <v>2.1829999999999998</v>
      </c>
      <c r="J459" s="99">
        <v>111.833</v>
      </c>
      <c r="K459" s="90" t="s">
        <v>1013</v>
      </c>
      <c r="L459" s="90" t="s">
        <v>1014</v>
      </c>
      <c r="M459" s="91">
        <v>10</v>
      </c>
      <c r="N459" s="14">
        <v>27.1</v>
      </c>
      <c r="O459" s="14">
        <v>2346</v>
      </c>
      <c r="P459" s="84" t="s">
        <v>840</v>
      </c>
      <c r="Q459" s="75">
        <v>10</v>
      </c>
      <c r="R459" s="11" t="s">
        <v>999</v>
      </c>
      <c r="S459" s="90" t="s">
        <v>981</v>
      </c>
      <c r="T459" s="12" t="s">
        <v>1016</v>
      </c>
      <c r="U459" s="12" t="s">
        <v>983</v>
      </c>
      <c r="V459" s="90" t="s">
        <v>275</v>
      </c>
      <c r="W459" s="93" t="s">
        <v>1015</v>
      </c>
      <c r="X459" s="90" t="s">
        <v>982</v>
      </c>
      <c r="Y459" s="90" t="s">
        <v>37</v>
      </c>
      <c r="Z459" s="90" t="s">
        <v>37</v>
      </c>
      <c r="AA459" s="32"/>
      <c r="AB459" s="90" t="s">
        <v>37</v>
      </c>
      <c r="AD459" s="94"/>
      <c r="AE459" s="90" t="s">
        <v>37</v>
      </c>
      <c r="AG459" s="94"/>
      <c r="AH459" s="90" t="s">
        <v>37</v>
      </c>
      <c r="AK459" s="90" t="s">
        <v>37</v>
      </c>
      <c r="AL459" s="32" t="s">
        <v>1017</v>
      </c>
      <c r="AM459" s="90" t="s">
        <v>344</v>
      </c>
      <c r="AN459" s="32"/>
      <c r="AO459" s="90" t="s">
        <v>37</v>
      </c>
      <c r="AP459" s="90" t="s">
        <v>370</v>
      </c>
      <c r="AQ459" s="90" t="s">
        <v>849</v>
      </c>
      <c r="AR459" s="12"/>
      <c r="AS459" s="94"/>
      <c r="AT459" s="90" t="s">
        <v>326</v>
      </c>
      <c r="AU459" s="90" t="s">
        <v>326</v>
      </c>
      <c r="AV459" s="91" t="s">
        <v>326</v>
      </c>
      <c r="AW459" s="48"/>
      <c r="AX459" s="90" t="s">
        <v>326</v>
      </c>
      <c r="AY459" s="90" t="s">
        <v>326</v>
      </c>
      <c r="AZ459" s="91" t="s">
        <v>326</v>
      </c>
      <c r="BA459" s="48"/>
      <c r="BB459" s="48"/>
      <c r="BC459" s="48"/>
      <c r="BD459" s="94"/>
      <c r="BE459" s="90" t="s">
        <v>326</v>
      </c>
      <c r="BF459" s="90" t="s">
        <v>326</v>
      </c>
      <c r="BG459" s="90" t="s">
        <v>326</v>
      </c>
      <c r="BH459" s="48"/>
      <c r="BI459" s="90" t="s">
        <v>326</v>
      </c>
      <c r="BJ459" s="90" t="s">
        <v>326</v>
      </c>
      <c r="BK459" s="90" t="s">
        <v>326</v>
      </c>
      <c r="BL459" s="48"/>
      <c r="BM459" s="48"/>
      <c r="BN459" s="48"/>
      <c r="BP459" s="90" t="s">
        <v>37</v>
      </c>
      <c r="BQ459" s="90" t="s">
        <v>37</v>
      </c>
      <c r="BR459" s="91" t="s">
        <v>37</v>
      </c>
      <c r="BS459" s="48"/>
      <c r="BT459" s="90" t="s">
        <v>37</v>
      </c>
      <c r="BU459" s="90" t="s">
        <v>37</v>
      </c>
      <c r="BV459" s="90" t="s">
        <v>37</v>
      </c>
      <c r="BW459" s="48"/>
      <c r="BX459" s="48"/>
      <c r="BY459" s="48"/>
      <c r="CA459" s="90" t="s">
        <v>37</v>
      </c>
      <c r="CB459" s="90" t="s">
        <v>37</v>
      </c>
      <c r="CC459" s="91" t="s">
        <v>37</v>
      </c>
      <c r="CD459" s="48"/>
      <c r="CE459" s="90" t="s">
        <v>37</v>
      </c>
      <c r="CF459" s="90" t="s">
        <v>37</v>
      </c>
      <c r="CG459" s="91" t="s">
        <v>37</v>
      </c>
      <c r="CH459" s="48"/>
      <c r="CI459" s="92"/>
      <c r="CK459" s="96"/>
      <c r="CL459" s="96"/>
      <c r="CN459" s="90" t="s">
        <v>37</v>
      </c>
      <c r="CO459" s="90" t="s">
        <v>37</v>
      </c>
      <c r="CP459" s="91" t="s">
        <v>37</v>
      </c>
      <c r="CQ459" s="48"/>
      <c r="CR459" s="90" t="s">
        <v>37</v>
      </c>
      <c r="CS459" s="90" t="s">
        <v>37</v>
      </c>
      <c r="CT459" s="91" t="s">
        <v>37</v>
      </c>
      <c r="CU459" s="48"/>
      <c r="CV459" s="92"/>
      <c r="CX459" s="96"/>
      <c r="CY459" s="96"/>
      <c r="DA459" s="90" t="s">
        <v>37</v>
      </c>
      <c r="DB459" s="90" t="s">
        <v>37</v>
      </c>
      <c r="DC459" s="91" t="s">
        <v>37</v>
      </c>
      <c r="DD459" s="48"/>
      <c r="DE459" s="90" t="s">
        <v>37</v>
      </c>
      <c r="DF459" s="90" t="s">
        <v>37</v>
      </c>
      <c r="DG459" s="91" t="s">
        <v>37</v>
      </c>
      <c r="DH459" s="48"/>
      <c r="DI459" s="92"/>
      <c r="DK459" s="96"/>
      <c r="DL459" s="96"/>
      <c r="DM459" s="90" t="s">
        <v>47</v>
      </c>
      <c r="DN459" s="90">
        <f>88.7*16/12</f>
        <v>118.26666666666667</v>
      </c>
      <c r="DO459" s="50">
        <f t="shared" si="1820"/>
        <v>131.85305726464713</v>
      </c>
      <c r="DP459" s="91">
        <v>1</v>
      </c>
      <c r="DQ459" s="91"/>
      <c r="DR459" s="90">
        <f>19.6*16/12</f>
        <v>26.133333333333336</v>
      </c>
      <c r="DS459" s="50">
        <f t="shared" si="1821"/>
        <v>97.665919166357071</v>
      </c>
      <c r="DT459" s="91">
        <v>1</v>
      </c>
      <c r="DU459" s="48"/>
      <c r="DV459" s="48">
        <f t="shared" si="1822"/>
        <v>-92.133333333333326</v>
      </c>
      <c r="DW459" s="90" t="e">
        <f t="shared" si="1832"/>
        <v>#DIV/0!</v>
      </c>
      <c r="DX459" s="96" t="e">
        <f t="shared" si="1833"/>
        <v>#DIV/0!</v>
      </c>
      <c r="DY459" s="96">
        <f t="shared" si="1834"/>
        <v>26923.860476643709</v>
      </c>
      <c r="DZ459" s="89"/>
      <c r="EA459" s="101" t="s">
        <v>37</v>
      </c>
      <c r="EB459" s="101" t="s">
        <v>37</v>
      </c>
      <c r="EC459" s="101" t="s">
        <v>37</v>
      </c>
      <c r="ED459" s="101"/>
      <c r="EE459" s="101" t="s">
        <v>37</v>
      </c>
      <c r="EF459" s="101" t="s">
        <v>37</v>
      </c>
      <c r="EG459" s="101" t="s">
        <v>37</v>
      </c>
      <c r="EH459" s="91"/>
      <c r="EI459" s="91"/>
      <c r="EJ459" s="91"/>
      <c r="EK459" s="91"/>
      <c r="EL459" s="91"/>
      <c r="EM459" s="90" t="s">
        <v>39</v>
      </c>
      <c r="EN459" s="90">
        <v>-7.6</v>
      </c>
      <c r="EO459" s="50">
        <f t="shared" si="1823"/>
        <v>3.0969726305098293</v>
      </c>
      <c r="EP459" s="91">
        <v>1</v>
      </c>
      <c r="EQ459" s="48"/>
      <c r="ER459" s="90">
        <v>-66.400000000000006</v>
      </c>
      <c r="ES459" s="50">
        <f t="shared" si="1824"/>
        <v>15.060453153010494</v>
      </c>
      <c r="ET459" s="91">
        <v>1</v>
      </c>
      <c r="EU459" s="48"/>
      <c r="EV459" s="90">
        <f t="shared" si="1810"/>
        <v>-58.800000000000004</v>
      </c>
      <c r="EW459" s="90" t="e">
        <f t="shared" si="1825"/>
        <v>#DIV/0!</v>
      </c>
      <c r="EX459" s="48" t="e">
        <f t="shared" si="1826"/>
        <v>#DIV/0!</v>
      </c>
      <c r="EY459" s="48">
        <f t="shared" si="1827"/>
        <v>236.40848864815069</v>
      </c>
      <c r="FB459" s="90" t="s">
        <v>37</v>
      </c>
      <c r="FC459" s="90" t="s">
        <v>37</v>
      </c>
      <c r="FD459" s="89" t="s">
        <v>37</v>
      </c>
      <c r="FE459" s="90" t="s">
        <v>37</v>
      </c>
      <c r="FF459" s="100" t="s">
        <v>37</v>
      </c>
      <c r="FG459" s="89" t="s">
        <v>37</v>
      </c>
      <c r="FH459" s="94"/>
      <c r="FI459" s="90" t="s">
        <v>37</v>
      </c>
      <c r="FJ459" s="90" t="s">
        <v>37</v>
      </c>
      <c r="FK459" s="89" t="s">
        <v>37</v>
      </c>
      <c r="FL459" s="91" t="s">
        <v>37</v>
      </c>
      <c r="FM459" s="89" t="s">
        <v>37</v>
      </c>
      <c r="FN459" s="89" t="s">
        <v>37</v>
      </c>
      <c r="FO459" s="94"/>
      <c r="FP459" s="90" t="s">
        <v>37</v>
      </c>
      <c r="FQ459" s="90" t="s">
        <v>37</v>
      </c>
      <c r="FR459" s="89" t="s">
        <v>37</v>
      </c>
      <c r="FS459" s="91" t="s">
        <v>37</v>
      </c>
      <c r="FT459" s="89" t="s">
        <v>37</v>
      </c>
      <c r="FU459" s="89" t="s">
        <v>37</v>
      </c>
      <c r="FV459" s="94"/>
      <c r="FW459" s="90" t="s">
        <v>37</v>
      </c>
      <c r="FX459" s="90" t="s">
        <v>37</v>
      </c>
      <c r="FY459" s="89" t="s">
        <v>37</v>
      </c>
      <c r="FZ459" s="91" t="s">
        <v>37</v>
      </c>
      <c r="GA459" s="89" t="s">
        <v>37</v>
      </c>
      <c r="GB459" s="89" t="s">
        <v>37</v>
      </c>
      <c r="GE459" s="90" t="s">
        <v>37</v>
      </c>
      <c r="GF459" s="90" t="s">
        <v>37</v>
      </c>
      <c r="GG459" s="90" t="s">
        <v>37</v>
      </c>
      <c r="GH459" s="91"/>
      <c r="GI459" s="90" t="s">
        <v>37</v>
      </c>
      <c r="GJ459" s="90" t="s">
        <v>37</v>
      </c>
      <c r="GK459" s="90" t="s">
        <v>37</v>
      </c>
      <c r="GL459" s="91"/>
      <c r="GM459" s="91"/>
      <c r="GN459" s="91"/>
      <c r="GQ459" s="90" t="s">
        <v>37</v>
      </c>
      <c r="GR459" s="90" t="s">
        <v>37</v>
      </c>
      <c r="GS459" s="90" t="s">
        <v>37</v>
      </c>
      <c r="GT459" s="91"/>
      <c r="GU459" s="90" t="s">
        <v>37</v>
      </c>
      <c r="GV459" s="90" t="s">
        <v>37</v>
      </c>
      <c r="GW459" s="90" t="s">
        <v>37</v>
      </c>
      <c r="GX459" s="91"/>
      <c r="GY459" s="91"/>
      <c r="GZ459" s="91"/>
      <c r="HA459" s="97" t="s">
        <v>63</v>
      </c>
      <c r="HB459" s="98" t="s">
        <v>868</v>
      </c>
      <c r="HC459" s="90">
        <v>0.11</v>
      </c>
      <c r="HD459" s="104">
        <f t="shared" si="1828"/>
        <v>1.8965291746114006E-2</v>
      </c>
      <c r="HE459" s="91">
        <v>3</v>
      </c>
      <c r="HF459" s="91"/>
      <c r="HG459" s="90">
        <v>0.24</v>
      </c>
      <c r="HH459" s="104">
        <f t="shared" si="1829"/>
        <v>2.6845084792105216E-2</v>
      </c>
      <c r="HI459" s="91">
        <v>3</v>
      </c>
      <c r="HJ459" s="91"/>
      <c r="HK459" s="48">
        <f t="shared" si="1830"/>
        <v>0.78015855754957497</v>
      </c>
      <c r="HL459" s="48">
        <f t="shared" si="1831"/>
        <v>1.4079080937294361E-2</v>
      </c>
      <c r="HM459" s="98"/>
      <c r="HN459" s="90" t="s">
        <v>37</v>
      </c>
      <c r="HO459" s="90" t="s">
        <v>37</v>
      </c>
      <c r="HP459" s="90" t="s">
        <v>37</v>
      </c>
      <c r="HQ459" s="91"/>
      <c r="HR459" s="90" t="s">
        <v>37</v>
      </c>
      <c r="HS459" s="90" t="s">
        <v>37</v>
      </c>
      <c r="HT459" s="90" t="s">
        <v>37</v>
      </c>
      <c r="HU459" s="91"/>
      <c r="HV459" s="91"/>
      <c r="HW459" s="91"/>
      <c r="HX459" s="98"/>
      <c r="HY459" s="90" t="s">
        <v>37</v>
      </c>
      <c r="HZ459" s="90" t="s">
        <v>37</v>
      </c>
      <c r="IA459" s="90" t="s">
        <v>37</v>
      </c>
      <c r="IB459" s="91"/>
      <c r="IC459" s="90" t="s">
        <v>37</v>
      </c>
      <c r="ID459" s="90" t="s">
        <v>37</v>
      </c>
      <c r="IE459" s="90" t="s">
        <v>37</v>
      </c>
      <c r="IF459" s="91"/>
      <c r="IG459" s="91"/>
      <c r="IH459" s="91"/>
      <c r="IK459" s="90" t="s">
        <v>37</v>
      </c>
      <c r="IL459" s="90" t="s">
        <v>37</v>
      </c>
      <c r="IM459" s="90" t="s">
        <v>37</v>
      </c>
      <c r="IN459" s="91"/>
      <c r="IO459" s="90" t="s">
        <v>37</v>
      </c>
      <c r="IP459" s="90" t="s">
        <v>37</v>
      </c>
      <c r="IQ459" s="90" t="s">
        <v>37</v>
      </c>
      <c r="IR459" s="91"/>
      <c r="IS459" s="91"/>
      <c r="IT459" s="91"/>
      <c r="IV459" s="94"/>
      <c r="IW459" s="90" t="s">
        <v>37</v>
      </c>
      <c r="IX459" s="90" t="s">
        <v>37</v>
      </c>
      <c r="IY459" s="90" t="s">
        <v>37</v>
      </c>
      <c r="IZ459" s="91"/>
      <c r="JA459" s="90" t="s">
        <v>37</v>
      </c>
      <c r="JB459" s="90" t="s">
        <v>37</v>
      </c>
      <c r="JC459" s="90" t="s">
        <v>37</v>
      </c>
      <c r="JD459" s="91"/>
      <c r="JE459" s="91"/>
      <c r="JF459" s="91"/>
      <c r="JG459" s="94"/>
      <c r="JH459" s="90" t="s">
        <v>37</v>
      </c>
      <c r="JI459" s="90" t="s">
        <v>37</v>
      </c>
      <c r="JJ459" s="90" t="s">
        <v>37</v>
      </c>
      <c r="JK459" s="91"/>
      <c r="JL459" s="90" t="s">
        <v>37</v>
      </c>
      <c r="JM459" s="90" t="s">
        <v>37</v>
      </c>
      <c r="JN459" s="90" t="s">
        <v>37</v>
      </c>
      <c r="JO459" s="91"/>
      <c r="JP459" s="91"/>
      <c r="JQ459" s="91"/>
      <c r="JR459" s="94"/>
      <c r="JS459" s="90" t="s">
        <v>37</v>
      </c>
      <c r="JT459" s="90" t="s">
        <v>37</v>
      </c>
      <c r="JU459" s="90" t="s">
        <v>37</v>
      </c>
      <c r="JV459" s="91"/>
      <c r="JW459" s="90" t="s">
        <v>37</v>
      </c>
      <c r="JX459" s="90" t="s">
        <v>37</v>
      </c>
      <c r="JY459" s="90" t="s">
        <v>37</v>
      </c>
      <c r="JZ459" s="91"/>
      <c r="KA459" s="91"/>
      <c r="KB459" s="91"/>
      <c r="KE459" s="90" t="s">
        <v>37</v>
      </c>
      <c r="KF459" s="90" t="s">
        <v>37</v>
      </c>
      <c r="KG459" s="90" t="s">
        <v>37</v>
      </c>
      <c r="KH459" s="90" t="s">
        <v>37</v>
      </c>
      <c r="KI459" s="90" t="s">
        <v>37</v>
      </c>
      <c r="KJ459" s="90" t="s">
        <v>37</v>
      </c>
      <c r="KL459" s="94"/>
      <c r="KM459" s="90" t="s">
        <v>37</v>
      </c>
      <c r="KN459" s="90" t="s">
        <v>37</v>
      </c>
      <c r="KO459" s="90" t="s">
        <v>37</v>
      </c>
      <c r="KQ459" s="90" t="s">
        <v>37</v>
      </c>
      <c r="KR459" s="90" t="s">
        <v>37</v>
      </c>
      <c r="KS459" s="90" t="s">
        <v>37</v>
      </c>
      <c r="KW459" s="94"/>
      <c r="KX459" s="90" t="s">
        <v>37</v>
      </c>
      <c r="KY459" s="90" t="s">
        <v>37</v>
      </c>
      <c r="KZ459" s="90" t="s">
        <v>37</v>
      </c>
      <c r="LA459" s="91"/>
      <c r="LB459" s="90" t="s">
        <v>37</v>
      </c>
      <c r="LC459" s="90" t="s">
        <v>37</v>
      </c>
      <c r="LD459" s="90" t="s">
        <v>37</v>
      </c>
      <c r="LE459" s="91"/>
      <c r="LF459" s="91"/>
      <c r="LG459" s="91"/>
      <c r="LH459" s="94"/>
      <c r="LI459" s="90" t="s">
        <v>37</v>
      </c>
      <c r="LJ459" s="90" t="s">
        <v>37</v>
      </c>
      <c r="LK459" s="90" t="s">
        <v>37</v>
      </c>
      <c r="LL459" s="91"/>
      <c r="LM459" s="90" t="s">
        <v>37</v>
      </c>
      <c r="LN459" s="90" t="s">
        <v>37</v>
      </c>
      <c r="LO459" s="90" t="s">
        <v>37</v>
      </c>
      <c r="LP459" s="91"/>
      <c r="LQ459" s="91"/>
      <c r="LR459" s="91"/>
      <c r="LU459" s="90" t="s">
        <v>37</v>
      </c>
      <c r="LV459" s="90" t="s">
        <v>37</v>
      </c>
      <c r="LW459" s="90" t="s">
        <v>37</v>
      </c>
      <c r="LX459" s="91"/>
      <c r="LY459" s="90" t="s">
        <v>37</v>
      </c>
      <c r="LZ459" s="90" t="s">
        <v>37</v>
      </c>
      <c r="MA459" s="90" t="s">
        <v>37</v>
      </c>
      <c r="MB459" s="91"/>
      <c r="MC459" s="91"/>
      <c r="MD459" s="91"/>
      <c r="MF459" s="90" t="s">
        <v>37</v>
      </c>
      <c r="MG459" s="90" t="s">
        <v>37</v>
      </c>
      <c r="MH459" s="90" t="s">
        <v>37</v>
      </c>
      <c r="MI459" s="91"/>
      <c r="MJ459" s="90" t="s">
        <v>37</v>
      </c>
      <c r="MK459" s="90" t="s">
        <v>37</v>
      </c>
      <c r="ML459" s="90" t="s">
        <v>37</v>
      </c>
      <c r="MM459" s="91"/>
      <c r="MN459" s="91"/>
      <c r="MO459" s="91"/>
      <c r="MQ459" s="90" t="s">
        <v>37</v>
      </c>
      <c r="MR459" s="90" t="s">
        <v>37</v>
      </c>
      <c r="MS459" s="90" t="s">
        <v>37</v>
      </c>
      <c r="MT459" s="48"/>
      <c r="MU459" s="90" t="s">
        <v>37</v>
      </c>
      <c r="MV459" s="90" t="s">
        <v>37</v>
      </c>
      <c r="MW459" s="90" t="s">
        <v>37</v>
      </c>
      <c r="MX459" s="48"/>
      <c r="MY459" s="48"/>
      <c r="MZ459" s="48"/>
      <c r="NC459" s="90" t="s">
        <v>37</v>
      </c>
      <c r="ND459" s="90" t="s">
        <v>37</v>
      </c>
      <c r="NE459" s="90" t="s">
        <v>37</v>
      </c>
      <c r="NF459" s="48"/>
      <c r="NG459" s="90" t="s">
        <v>37</v>
      </c>
      <c r="NH459" s="90" t="s">
        <v>37</v>
      </c>
      <c r="NI459" s="90" t="s">
        <v>37</v>
      </c>
      <c r="NJ459" s="48"/>
      <c r="NK459" s="48"/>
      <c r="NL459" s="48"/>
      <c r="NO459" s="90" t="s">
        <v>37</v>
      </c>
      <c r="NP459" s="90" t="s">
        <v>37</v>
      </c>
      <c r="NQ459" s="90" t="s">
        <v>37</v>
      </c>
      <c r="NR459" s="48"/>
      <c r="NS459" s="90" t="s">
        <v>37</v>
      </c>
      <c r="NT459" s="90" t="s">
        <v>37</v>
      </c>
      <c r="NU459" s="90" t="s">
        <v>37</v>
      </c>
      <c r="NV459" s="48"/>
      <c r="NW459" s="48"/>
      <c r="NX459" s="48"/>
      <c r="OA459" s="90" t="s">
        <v>37</v>
      </c>
      <c r="OB459" s="90" t="s">
        <v>37</v>
      </c>
      <c r="OC459" s="90" t="s">
        <v>37</v>
      </c>
      <c r="OE459" s="90" t="s">
        <v>37</v>
      </c>
      <c r="OF459" s="90" t="s">
        <v>37</v>
      </c>
      <c r="OG459" s="90" t="s">
        <v>37</v>
      </c>
      <c r="OM459" s="90" t="s">
        <v>37</v>
      </c>
      <c r="ON459" s="90" t="s">
        <v>37</v>
      </c>
      <c r="OO459" s="90" t="s">
        <v>37</v>
      </c>
      <c r="OP459" s="90" t="s">
        <v>37</v>
      </c>
      <c r="OQ459" s="90" t="s">
        <v>37</v>
      </c>
      <c r="OR459" s="90" t="s">
        <v>37</v>
      </c>
      <c r="OW459" s="90" t="s">
        <v>37</v>
      </c>
      <c r="OX459" s="90" t="s">
        <v>37</v>
      </c>
      <c r="OY459" s="91" t="s">
        <v>37</v>
      </c>
      <c r="OZ459" s="90" t="s">
        <v>37</v>
      </c>
      <c r="PA459" s="90" t="s">
        <v>37</v>
      </c>
      <c r="PB459" s="91" t="s">
        <v>37</v>
      </c>
      <c r="PC459" s="91"/>
      <c r="PD459" s="91"/>
      <c r="PG459" s="89" t="s">
        <v>37</v>
      </c>
      <c r="PH459" s="89" t="s">
        <v>37</v>
      </c>
      <c r="PI459" s="91" t="s">
        <v>37</v>
      </c>
      <c r="PJ459" s="89" t="s">
        <v>37</v>
      </c>
      <c r="PK459" s="89" t="s">
        <v>37</v>
      </c>
      <c r="PL459" s="91" t="s">
        <v>37</v>
      </c>
      <c r="PM459" s="91"/>
      <c r="PN459" s="91"/>
      <c r="PQ459" s="90" t="s">
        <v>37</v>
      </c>
      <c r="PR459" s="90" t="s">
        <v>37</v>
      </c>
      <c r="PS459" s="90" t="s">
        <v>37</v>
      </c>
      <c r="PT459" s="90" t="s">
        <v>37</v>
      </c>
      <c r="PU459" s="90" t="s">
        <v>37</v>
      </c>
      <c r="PV459" s="90" t="s">
        <v>37</v>
      </c>
      <c r="PZ459" s="90" t="s">
        <v>37</v>
      </c>
      <c r="QA459" s="90" t="s">
        <v>37</v>
      </c>
      <c r="QB459" s="89" t="s">
        <v>37</v>
      </c>
      <c r="QC459" s="48"/>
      <c r="QD459" s="90" t="s">
        <v>37</v>
      </c>
      <c r="QE459" s="90" t="s">
        <v>37</v>
      </c>
      <c r="QF459" s="90" t="s">
        <v>37</v>
      </c>
      <c r="QG459" s="48"/>
      <c r="QH459" s="48"/>
      <c r="QI459" s="48"/>
      <c r="QK459" s="90" t="s">
        <v>37</v>
      </c>
      <c r="QL459" s="90" t="s">
        <v>37</v>
      </c>
      <c r="QM459" s="90" t="s">
        <v>37</v>
      </c>
      <c r="QN459" s="90" t="s">
        <v>37</v>
      </c>
      <c r="QO459" s="90" t="s">
        <v>37</v>
      </c>
      <c r="QP459" s="90" t="s">
        <v>37</v>
      </c>
      <c r="QU459" s="90" t="s">
        <v>37</v>
      </c>
      <c r="QV459" s="90" t="s">
        <v>37</v>
      </c>
      <c r="QW459" s="90" t="s">
        <v>37</v>
      </c>
      <c r="QX459" s="90" t="s">
        <v>37</v>
      </c>
      <c r="QY459" s="90" t="s">
        <v>37</v>
      </c>
      <c r="QZ459" s="90" t="s">
        <v>37</v>
      </c>
      <c r="RC459" s="90" t="s">
        <v>37</v>
      </c>
      <c r="RD459" s="90" t="s">
        <v>37</v>
      </c>
      <c r="RE459" s="90" t="s">
        <v>37</v>
      </c>
      <c r="RF459" s="90" t="s">
        <v>37</v>
      </c>
      <c r="RG459" s="90" t="s">
        <v>37</v>
      </c>
      <c r="RH459" s="90" t="s">
        <v>37</v>
      </c>
      <c r="RK459" s="90" t="s">
        <v>37</v>
      </c>
      <c r="RL459" s="90" t="s">
        <v>37</v>
      </c>
      <c r="RM459" s="90" t="s">
        <v>37</v>
      </c>
      <c r="RN459" s="90" t="s">
        <v>37</v>
      </c>
      <c r="RO459" s="90" t="s">
        <v>37</v>
      </c>
      <c r="RP459" s="90" t="s">
        <v>37</v>
      </c>
      <c r="RS459" s="90" t="s">
        <v>37</v>
      </c>
      <c r="RT459" s="90" t="s">
        <v>37</v>
      </c>
      <c r="RU459" s="90" t="s">
        <v>37</v>
      </c>
      <c r="RV459" s="90" t="s">
        <v>37</v>
      </c>
      <c r="RW459" s="90" t="s">
        <v>37</v>
      </c>
      <c r="RX459" s="90" t="s">
        <v>37</v>
      </c>
      <c r="SA459" s="90" t="s">
        <v>37</v>
      </c>
      <c r="SB459" s="90" t="s">
        <v>37</v>
      </c>
      <c r="SC459" s="90" t="s">
        <v>37</v>
      </c>
      <c r="SD459" s="90" t="s">
        <v>37</v>
      </c>
      <c r="SE459" s="90" t="s">
        <v>37</v>
      </c>
      <c r="SF459" s="90" t="s">
        <v>37</v>
      </c>
      <c r="SI459" s="90" t="s">
        <v>37</v>
      </c>
      <c r="SJ459" s="90" t="s">
        <v>37</v>
      </c>
      <c r="SK459" s="90" t="s">
        <v>37</v>
      </c>
      <c r="SL459" s="90" t="s">
        <v>37</v>
      </c>
      <c r="SM459" s="90" t="s">
        <v>37</v>
      </c>
      <c r="SN459" s="90" t="s">
        <v>37</v>
      </c>
      <c r="SO459" s="91"/>
      <c r="SP459" s="91"/>
      <c r="SQ459" s="91"/>
      <c r="SR459" s="91"/>
      <c r="SU459" s="90" t="s">
        <v>37</v>
      </c>
      <c r="SV459" s="90" t="s">
        <v>37</v>
      </c>
      <c r="SW459" s="89" t="s">
        <v>37</v>
      </c>
      <c r="SX459" s="90" t="s">
        <v>37</v>
      </c>
      <c r="SY459" s="90" t="s">
        <v>37</v>
      </c>
      <c r="SZ459" s="89" t="s">
        <v>37</v>
      </c>
      <c r="TA459" s="89"/>
      <c r="TB459" s="89"/>
      <c r="TE459" s="90" t="s">
        <v>37</v>
      </c>
      <c r="TF459" s="90" t="s">
        <v>37</v>
      </c>
      <c r="TG459" s="89" t="s">
        <v>37</v>
      </c>
      <c r="TH459" s="90" t="s">
        <v>37</v>
      </c>
      <c r="TI459" s="90" t="s">
        <v>37</v>
      </c>
      <c r="TJ459" s="89" t="s">
        <v>37</v>
      </c>
      <c r="TK459" s="89"/>
      <c r="TL459" s="89"/>
      <c r="TO459" s="90" t="s">
        <v>37</v>
      </c>
      <c r="TP459" s="90" t="s">
        <v>37</v>
      </c>
      <c r="TQ459" s="89" t="s">
        <v>37</v>
      </c>
      <c r="TR459" s="90" t="s">
        <v>37</v>
      </c>
      <c r="TS459" s="90" t="s">
        <v>37</v>
      </c>
      <c r="TT459" s="89" t="s">
        <v>37</v>
      </c>
      <c r="TU459" s="89"/>
      <c r="TV459" s="89"/>
      <c r="TY459" s="90" t="s">
        <v>37</v>
      </c>
      <c r="TZ459" s="90" t="s">
        <v>37</v>
      </c>
      <c r="UA459" s="90" t="s">
        <v>37</v>
      </c>
      <c r="UB459" s="90" t="s">
        <v>37</v>
      </c>
      <c r="UC459" s="90" t="s">
        <v>37</v>
      </c>
      <c r="UD459" s="90" t="s">
        <v>37</v>
      </c>
      <c r="UI459" s="90" t="s">
        <v>37</v>
      </c>
      <c r="UJ459" s="90" t="s">
        <v>37</v>
      </c>
      <c r="UK459" s="90" t="s">
        <v>37</v>
      </c>
      <c r="UL459" s="90" t="s">
        <v>37</v>
      </c>
      <c r="UM459" s="90" t="s">
        <v>37</v>
      </c>
      <c r="UN459" s="90" t="s">
        <v>37</v>
      </c>
      <c r="UR459" s="90" t="s">
        <v>37</v>
      </c>
      <c r="US459" s="90" t="s">
        <v>37</v>
      </c>
      <c r="UT459" s="90" t="s">
        <v>37</v>
      </c>
      <c r="UU459" s="90" t="s">
        <v>37</v>
      </c>
      <c r="UV459" s="90" t="s">
        <v>37</v>
      </c>
      <c r="UW459" s="90" t="s">
        <v>37</v>
      </c>
      <c r="VB459" s="90" t="s">
        <v>37</v>
      </c>
      <c r="VC459" s="90" t="s">
        <v>37</v>
      </c>
      <c r="VD459" s="90" t="s">
        <v>37</v>
      </c>
      <c r="VE459" s="90" t="s">
        <v>37</v>
      </c>
      <c r="VF459" s="90" t="s">
        <v>37</v>
      </c>
      <c r="VG459" s="90" t="s">
        <v>37</v>
      </c>
      <c r="VI459" s="90" t="s">
        <v>37</v>
      </c>
      <c r="VJ459" s="90" t="s">
        <v>37</v>
      </c>
      <c r="VK459" s="90" t="s">
        <v>37</v>
      </c>
      <c r="VL459" s="90" t="s">
        <v>37</v>
      </c>
      <c r="VM459" s="90" t="s">
        <v>37</v>
      </c>
      <c r="VN459" s="90" t="s">
        <v>37</v>
      </c>
      <c r="VQ459" s="91" t="s">
        <v>37</v>
      </c>
      <c r="VR459" s="91" t="s">
        <v>37</v>
      </c>
      <c r="VS459" s="91" t="s">
        <v>37</v>
      </c>
      <c r="VT459" s="91" t="s">
        <v>37</v>
      </c>
      <c r="VU459" s="91" t="s">
        <v>37</v>
      </c>
      <c r="VV459" s="91" t="s">
        <v>37</v>
      </c>
      <c r="VW459" s="91"/>
      <c r="VX459" s="91"/>
      <c r="WA459" s="91" t="s">
        <v>37</v>
      </c>
      <c r="WB459" s="91" t="s">
        <v>37</v>
      </c>
      <c r="WC459" s="91" t="s">
        <v>37</v>
      </c>
      <c r="WD459" s="91" t="s">
        <v>37</v>
      </c>
      <c r="WE459" s="91" t="s">
        <v>37</v>
      </c>
      <c r="WF459" s="91" t="s">
        <v>37</v>
      </c>
    </row>
    <row r="460" spans="1:604" s="90" customFormat="1" ht="18.75" customHeight="1" x14ac:dyDescent="0.3">
      <c r="A460" s="89">
        <v>110</v>
      </c>
      <c r="B460" s="84" t="s">
        <v>1009</v>
      </c>
      <c r="C460" s="90" t="s">
        <v>26</v>
      </c>
      <c r="D460" s="84" t="s">
        <v>829</v>
      </c>
      <c r="E460" s="88">
        <v>10</v>
      </c>
      <c r="F460" s="88">
        <v>0</v>
      </c>
      <c r="G460" s="88">
        <v>0</v>
      </c>
      <c r="H460" s="90" t="s">
        <v>1010</v>
      </c>
      <c r="I460" s="84">
        <v>2.1829999999999998</v>
      </c>
      <c r="J460" s="99">
        <v>111.833</v>
      </c>
      <c r="K460" s="90" t="s">
        <v>1013</v>
      </c>
      <c r="L460" s="90" t="s">
        <v>1014</v>
      </c>
      <c r="M460" s="91">
        <v>10</v>
      </c>
      <c r="N460" s="40">
        <v>27.4</v>
      </c>
      <c r="O460" s="40">
        <v>2833</v>
      </c>
      <c r="P460" s="84" t="s">
        <v>840</v>
      </c>
      <c r="Q460" s="75">
        <v>11</v>
      </c>
      <c r="R460" s="11" t="s">
        <v>999</v>
      </c>
      <c r="S460" s="90" t="s">
        <v>981</v>
      </c>
      <c r="T460" s="12" t="s">
        <v>1016</v>
      </c>
      <c r="U460" s="12" t="s">
        <v>983</v>
      </c>
      <c r="V460" s="90" t="s">
        <v>275</v>
      </c>
      <c r="W460" s="93" t="s">
        <v>1015</v>
      </c>
      <c r="X460" s="90" t="s">
        <v>982</v>
      </c>
      <c r="Y460" s="90" t="s">
        <v>37</v>
      </c>
      <c r="Z460" s="90" t="s">
        <v>37</v>
      </c>
      <c r="AA460" s="32"/>
      <c r="AB460" s="90" t="s">
        <v>37</v>
      </c>
      <c r="AD460" s="94"/>
      <c r="AE460" s="90" t="s">
        <v>37</v>
      </c>
      <c r="AG460" s="94"/>
      <c r="AH460" s="90" t="s">
        <v>37</v>
      </c>
      <c r="AK460" s="90" t="s">
        <v>37</v>
      </c>
      <c r="AL460" s="42" t="s">
        <v>1018</v>
      </c>
      <c r="AM460" s="90" t="s">
        <v>344</v>
      </c>
      <c r="AN460" s="32"/>
      <c r="AO460" s="90" t="s">
        <v>37</v>
      </c>
      <c r="AP460" s="90" t="s">
        <v>370</v>
      </c>
      <c r="AQ460" s="90" t="s">
        <v>849</v>
      </c>
      <c r="AR460" s="12"/>
      <c r="AS460" s="94"/>
      <c r="AT460" s="90" t="s">
        <v>326</v>
      </c>
      <c r="AU460" s="90" t="s">
        <v>326</v>
      </c>
      <c r="AV460" s="91" t="s">
        <v>326</v>
      </c>
      <c r="AW460" s="48"/>
      <c r="AX460" s="90" t="s">
        <v>326</v>
      </c>
      <c r="AY460" s="90" t="s">
        <v>326</v>
      </c>
      <c r="AZ460" s="91" t="s">
        <v>326</v>
      </c>
      <c r="BA460" s="48"/>
      <c r="BB460" s="48"/>
      <c r="BC460" s="48"/>
      <c r="BD460" s="94"/>
      <c r="BE460" s="90" t="s">
        <v>326</v>
      </c>
      <c r="BF460" s="90" t="s">
        <v>326</v>
      </c>
      <c r="BG460" s="90" t="s">
        <v>326</v>
      </c>
      <c r="BH460" s="48"/>
      <c r="BI460" s="90" t="s">
        <v>326</v>
      </c>
      <c r="BJ460" s="90" t="s">
        <v>326</v>
      </c>
      <c r="BK460" s="90" t="s">
        <v>326</v>
      </c>
      <c r="BL460" s="48"/>
      <c r="BM460" s="48"/>
      <c r="BN460" s="48"/>
      <c r="BP460" s="90" t="s">
        <v>37</v>
      </c>
      <c r="BQ460" s="90" t="s">
        <v>37</v>
      </c>
      <c r="BR460" s="91" t="s">
        <v>37</v>
      </c>
      <c r="BS460" s="48"/>
      <c r="BT460" s="90" t="s">
        <v>37</v>
      </c>
      <c r="BU460" s="90" t="s">
        <v>37</v>
      </c>
      <c r="BV460" s="90" t="s">
        <v>37</v>
      </c>
      <c r="BW460" s="48"/>
      <c r="BX460" s="48"/>
      <c r="BY460" s="48"/>
      <c r="CA460" s="90" t="s">
        <v>37</v>
      </c>
      <c r="CB460" s="90" t="s">
        <v>37</v>
      </c>
      <c r="CC460" s="91" t="s">
        <v>37</v>
      </c>
      <c r="CD460" s="48"/>
      <c r="CE460" s="90" t="s">
        <v>37</v>
      </c>
      <c r="CF460" s="90" t="s">
        <v>37</v>
      </c>
      <c r="CG460" s="91" t="s">
        <v>37</v>
      </c>
      <c r="CH460" s="48"/>
      <c r="CI460" s="92"/>
      <c r="CK460" s="96"/>
      <c r="CL460" s="96"/>
      <c r="CN460" s="90" t="s">
        <v>37</v>
      </c>
      <c r="CO460" s="90" t="s">
        <v>37</v>
      </c>
      <c r="CP460" s="91" t="s">
        <v>37</v>
      </c>
      <c r="CQ460" s="48"/>
      <c r="CR460" s="90" t="s">
        <v>37</v>
      </c>
      <c r="CS460" s="90" t="s">
        <v>37</v>
      </c>
      <c r="CT460" s="91" t="s">
        <v>37</v>
      </c>
      <c r="CU460" s="48"/>
      <c r="CV460" s="92"/>
      <c r="CX460" s="96"/>
      <c r="CY460" s="96"/>
      <c r="DA460" s="90" t="s">
        <v>37</v>
      </c>
      <c r="DB460" s="90" t="s">
        <v>37</v>
      </c>
      <c r="DC460" s="91" t="s">
        <v>37</v>
      </c>
      <c r="DD460" s="48"/>
      <c r="DE460" s="90" t="s">
        <v>37</v>
      </c>
      <c r="DF460" s="90" t="s">
        <v>37</v>
      </c>
      <c r="DG460" s="91" t="s">
        <v>37</v>
      </c>
      <c r="DH460" s="48"/>
      <c r="DI460" s="92"/>
      <c r="DK460" s="96"/>
      <c r="DL460" s="96"/>
      <c r="DM460" s="90" t="s">
        <v>47</v>
      </c>
      <c r="DN460" s="90">
        <f>86.3*16/12</f>
        <v>115.06666666666666</v>
      </c>
      <c r="DO460" s="50">
        <f t="shared" si="1820"/>
        <v>128.28544353933538</v>
      </c>
      <c r="DP460" s="91">
        <v>1</v>
      </c>
      <c r="DQ460" s="91"/>
      <c r="DR460" s="90">
        <f>23.8*16/12</f>
        <v>31.733333333333334</v>
      </c>
      <c r="DS460" s="50">
        <f t="shared" si="1821"/>
        <v>118.59433041629072</v>
      </c>
      <c r="DT460" s="91">
        <v>1</v>
      </c>
      <c r="DU460" s="48"/>
      <c r="DV460" s="48">
        <f t="shared" si="1822"/>
        <v>-83.333333333333329</v>
      </c>
      <c r="DW460" s="90" t="e">
        <f t="shared" si="1832"/>
        <v>#DIV/0!</v>
      </c>
      <c r="DX460" s="96" t="e">
        <f t="shared" si="1833"/>
        <v>#DIV/0!</v>
      </c>
      <c r="DY460" s="96">
        <f t="shared" si="1834"/>
        <v>30521.770230972339</v>
      </c>
      <c r="DZ460" s="89"/>
      <c r="EA460" s="101" t="s">
        <v>37</v>
      </c>
      <c r="EB460" s="101" t="s">
        <v>37</v>
      </c>
      <c r="EC460" s="101" t="s">
        <v>37</v>
      </c>
      <c r="ED460" s="101"/>
      <c r="EE460" s="101" t="s">
        <v>37</v>
      </c>
      <c r="EF460" s="101" t="s">
        <v>37</v>
      </c>
      <c r="EG460" s="101" t="s">
        <v>37</v>
      </c>
      <c r="EH460" s="91"/>
      <c r="EI460" s="91"/>
      <c r="EJ460" s="91"/>
      <c r="EK460" s="91"/>
      <c r="EL460" s="91"/>
      <c r="EM460" s="90" t="s">
        <v>39</v>
      </c>
      <c r="EN460" s="90">
        <v>-2.4</v>
      </c>
      <c r="EO460" s="50">
        <f t="shared" si="1823"/>
        <v>0.97799135700310402</v>
      </c>
      <c r="EP460" s="91">
        <v>1</v>
      </c>
      <c r="EQ460" s="48"/>
      <c r="ER460" s="90">
        <v>-61.5</v>
      </c>
      <c r="ES460" s="50">
        <f t="shared" si="1824"/>
        <v>13.949064290815441</v>
      </c>
      <c r="ET460" s="91">
        <v>1</v>
      </c>
      <c r="EU460" s="48"/>
      <c r="EV460" s="90">
        <f t="shared" si="1810"/>
        <v>-59.1</v>
      </c>
      <c r="EW460" s="90" t="e">
        <f t="shared" si="1825"/>
        <v>#DIV/0!</v>
      </c>
      <c r="EX460" s="48" t="e">
        <f t="shared" si="1826"/>
        <v>#DIV/0!</v>
      </c>
      <c r="EY460" s="48">
        <f t="shared" si="1827"/>
        <v>195.53286168367526</v>
      </c>
      <c r="FB460" s="90" t="s">
        <v>37</v>
      </c>
      <c r="FC460" s="90" t="s">
        <v>37</v>
      </c>
      <c r="FD460" s="89" t="s">
        <v>37</v>
      </c>
      <c r="FE460" s="90" t="s">
        <v>37</v>
      </c>
      <c r="FF460" s="100" t="s">
        <v>37</v>
      </c>
      <c r="FG460" s="89" t="s">
        <v>37</v>
      </c>
      <c r="FH460" s="94"/>
      <c r="FI460" s="90" t="s">
        <v>37</v>
      </c>
      <c r="FJ460" s="90" t="s">
        <v>37</v>
      </c>
      <c r="FK460" s="89" t="s">
        <v>37</v>
      </c>
      <c r="FL460" s="91" t="s">
        <v>37</v>
      </c>
      <c r="FM460" s="89" t="s">
        <v>37</v>
      </c>
      <c r="FN460" s="89" t="s">
        <v>37</v>
      </c>
      <c r="FO460" s="94"/>
      <c r="FP460" s="90" t="s">
        <v>37</v>
      </c>
      <c r="FQ460" s="90" t="s">
        <v>37</v>
      </c>
      <c r="FR460" s="89" t="s">
        <v>37</v>
      </c>
      <c r="FS460" s="91" t="s">
        <v>37</v>
      </c>
      <c r="FT460" s="89" t="s">
        <v>37</v>
      </c>
      <c r="FU460" s="89" t="s">
        <v>37</v>
      </c>
      <c r="FV460" s="94"/>
      <c r="FW460" s="90" t="s">
        <v>37</v>
      </c>
      <c r="FX460" s="90" t="s">
        <v>37</v>
      </c>
      <c r="FY460" s="89" t="s">
        <v>37</v>
      </c>
      <c r="FZ460" s="91" t="s">
        <v>37</v>
      </c>
      <c r="GA460" s="89" t="s">
        <v>37</v>
      </c>
      <c r="GB460" s="89" t="s">
        <v>37</v>
      </c>
      <c r="GE460" s="90" t="s">
        <v>37</v>
      </c>
      <c r="GF460" s="90" t="s">
        <v>37</v>
      </c>
      <c r="GG460" s="90" t="s">
        <v>37</v>
      </c>
      <c r="GH460" s="91"/>
      <c r="GI460" s="90" t="s">
        <v>37</v>
      </c>
      <c r="GJ460" s="90" t="s">
        <v>37</v>
      </c>
      <c r="GK460" s="90" t="s">
        <v>37</v>
      </c>
      <c r="GL460" s="91"/>
      <c r="GM460" s="91"/>
      <c r="GN460" s="91"/>
      <c r="GQ460" s="90" t="s">
        <v>37</v>
      </c>
      <c r="GR460" s="90" t="s">
        <v>37</v>
      </c>
      <c r="GS460" s="90" t="s">
        <v>37</v>
      </c>
      <c r="GT460" s="91"/>
      <c r="GU460" s="90" t="s">
        <v>37</v>
      </c>
      <c r="GV460" s="90" t="s">
        <v>37</v>
      </c>
      <c r="GW460" s="90" t="s">
        <v>37</v>
      </c>
      <c r="GX460" s="91"/>
      <c r="GY460" s="91"/>
      <c r="GZ460" s="91"/>
      <c r="HA460" s="97" t="s">
        <v>63</v>
      </c>
      <c r="HB460" s="98" t="s">
        <v>868</v>
      </c>
      <c r="HC460" s="90">
        <v>0.11</v>
      </c>
      <c r="HD460" s="104">
        <f t="shared" si="1828"/>
        <v>1.8965291746114006E-2</v>
      </c>
      <c r="HE460" s="91">
        <v>3</v>
      </c>
      <c r="HF460" s="91"/>
      <c r="HG460" s="90">
        <v>0.24</v>
      </c>
      <c r="HH460" s="104">
        <f t="shared" si="1829"/>
        <v>2.6845084792105216E-2</v>
      </c>
      <c r="HI460" s="91">
        <v>3</v>
      </c>
      <c r="HJ460" s="91"/>
      <c r="HK460" s="48">
        <f t="shared" si="1830"/>
        <v>0.78015855754957497</v>
      </c>
      <c r="HL460" s="48">
        <f t="shared" si="1831"/>
        <v>1.4079080937294361E-2</v>
      </c>
      <c r="HM460" s="98"/>
      <c r="HN460" s="90" t="s">
        <v>37</v>
      </c>
      <c r="HO460" s="90" t="s">
        <v>37</v>
      </c>
      <c r="HP460" s="90" t="s">
        <v>37</v>
      </c>
      <c r="HQ460" s="91"/>
      <c r="HR460" s="90" t="s">
        <v>37</v>
      </c>
      <c r="HS460" s="90" t="s">
        <v>37</v>
      </c>
      <c r="HT460" s="90" t="s">
        <v>37</v>
      </c>
      <c r="HU460" s="91"/>
      <c r="HV460" s="91"/>
      <c r="HW460" s="91"/>
      <c r="HX460" s="98"/>
      <c r="HY460" s="90" t="s">
        <v>37</v>
      </c>
      <c r="HZ460" s="90" t="s">
        <v>37</v>
      </c>
      <c r="IA460" s="90" t="s">
        <v>37</v>
      </c>
      <c r="IB460" s="91"/>
      <c r="IC460" s="90" t="s">
        <v>37</v>
      </c>
      <c r="ID460" s="90" t="s">
        <v>37</v>
      </c>
      <c r="IE460" s="90" t="s">
        <v>37</v>
      </c>
      <c r="IF460" s="91"/>
      <c r="IG460" s="91"/>
      <c r="IH460" s="91"/>
      <c r="IK460" s="90" t="s">
        <v>37</v>
      </c>
      <c r="IL460" s="90" t="s">
        <v>37</v>
      </c>
      <c r="IM460" s="90" t="s">
        <v>37</v>
      </c>
      <c r="IN460" s="91"/>
      <c r="IO460" s="90" t="s">
        <v>37</v>
      </c>
      <c r="IP460" s="90" t="s">
        <v>37</v>
      </c>
      <c r="IQ460" s="90" t="s">
        <v>37</v>
      </c>
      <c r="IR460" s="91"/>
      <c r="IS460" s="91"/>
      <c r="IT460" s="91"/>
      <c r="IV460" s="94"/>
      <c r="IW460" s="90" t="s">
        <v>37</v>
      </c>
      <c r="IX460" s="90" t="s">
        <v>37</v>
      </c>
      <c r="IY460" s="90" t="s">
        <v>37</v>
      </c>
      <c r="IZ460" s="91"/>
      <c r="JA460" s="90" t="s">
        <v>37</v>
      </c>
      <c r="JB460" s="90" t="s">
        <v>37</v>
      </c>
      <c r="JC460" s="90" t="s">
        <v>37</v>
      </c>
      <c r="JD460" s="91"/>
      <c r="JE460" s="91"/>
      <c r="JF460" s="91"/>
      <c r="JG460" s="94"/>
      <c r="JH460" s="90" t="s">
        <v>37</v>
      </c>
      <c r="JI460" s="90" t="s">
        <v>37</v>
      </c>
      <c r="JJ460" s="90" t="s">
        <v>37</v>
      </c>
      <c r="JK460" s="91"/>
      <c r="JL460" s="90" t="s">
        <v>37</v>
      </c>
      <c r="JM460" s="90" t="s">
        <v>37</v>
      </c>
      <c r="JN460" s="90" t="s">
        <v>37</v>
      </c>
      <c r="JO460" s="91"/>
      <c r="JP460" s="91"/>
      <c r="JQ460" s="91"/>
      <c r="JR460" s="94"/>
      <c r="JS460" s="90" t="s">
        <v>37</v>
      </c>
      <c r="JT460" s="90" t="s">
        <v>37</v>
      </c>
      <c r="JU460" s="90" t="s">
        <v>37</v>
      </c>
      <c r="JV460" s="91"/>
      <c r="JW460" s="90" t="s">
        <v>37</v>
      </c>
      <c r="JX460" s="90" t="s">
        <v>37</v>
      </c>
      <c r="JY460" s="90" t="s">
        <v>37</v>
      </c>
      <c r="JZ460" s="91"/>
      <c r="KA460" s="91"/>
      <c r="KB460" s="91"/>
      <c r="KE460" s="90" t="s">
        <v>37</v>
      </c>
      <c r="KF460" s="90" t="s">
        <v>37</v>
      </c>
      <c r="KG460" s="90" t="s">
        <v>37</v>
      </c>
      <c r="KH460" s="90" t="s">
        <v>37</v>
      </c>
      <c r="KI460" s="90" t="s">
        <v>37</v>
      </c>
      <c r="KJ460" s="90" t="s">
        <v>37</v>
      </c>
      <c r="KL460" s="94"/>
      <c r="KM460" s="90" t="s">
        <v>37</v>
      </c>
      <c r="KN460" s="90" t="s">
        <v>37</v>
      </c>
      <c r="KO460" s="90" t="s">
        <v>37</v>
      </c>
      <c r="KQ460" s="90" t="s">
        <v>37</v>
      </c>
      <c r="KR460" s="90" t="s">
        <v>37</v>
      </c>
      <c r="KS460" s="90" t="s">
        <v>37</v>
      </c>
      <c r="KW460" s="94"/>
      <c r="KX460" s="90" t="s">
        <v>37</v>
      </c>
      <c r="KY460" s="90" t="s">
        <v>37</v>
      </c>
      <c r="KZ460" s="90" t="s">
        <v>37</v>
      </c>
      <c r="LA460" s="91"/>
      <c r="LB460" s="90" t="s">
        <v>37</v>
      </c>
      <c r="LC460" s="90" t="s">
        <v>37</v>
      </c>
      <c r="LD460" s="90" t="s">
        <v>37</v>
      </c>
      <c r="LE460" s="91"/>
      <c r="LF460" s="91"/>
      <c r="LG460" s="91"/>
      <c r="LH460" s="94"/>
      <c r="LI460" s="90" t="s">
        <v>37</v>
      </c>
      <c r="LJ460" s="90" t="s">
        <v>37</v>
      </c>
      <c r="LK460" s="90" t="s">
        <v>37</v>
      </c>
      <c r="LL460" s="91"/>
      <c r="LM460" s="90" t="s">
        <v>37</v>
      </c>
      <c r="LN460" s="90" t="s">
        <v>37</v>
      </c>
      <c r="LO460" s="90" t="s">
        <v>37</v>
      </c>
      <c r="LP460" s="91"/>
      <c r="LQ460" s="91"/>
      <c r="LR460" s="91"/>
      <c r="LU460" s="90" t="s">
        <v>37</v>
      </c>
      <c r="LV460" s="90" t="s">
        <v>37</v>
      </c>
      <c r="LW460" s="90" t="s">
        <v>37</v>
      </c>
      <c r="LX460" s="91"/>
      <c r="LY460" s="90" t="s">
        <v>37</v>
      </c>
      <c r="LZ460" s="90" t="s">
        <v>37</v>
      </c>
      <c r="MA460" s="90" t="s">
        <v>37</v>
      </c>
      <c r="MB460" s="91"/>
      <c r="MC460" s="91"/>
      <c r="MD460" s="91"/>
      <c r="MF460" s="90" t="s">
        <v>37</v>
      </c>
      <c r="MG460" s="90" t="s">
        <v>37</v>
      </c>
      <c r="MH460" s="90" t="s">
        <v>37</v>
      </c>
      <c r="MI460" s="91"/>
      <c r="MJ460" s="90" t="s">
        <v>37</v>
      </c>
      <c r="MK460" s="90" t="s">
        <v>37</v>
      </c>
      <c r="ML460" s="90" t="s">
        <v>37</v>
      </c>
      <c r="MM460" s="91"/>
      <c r="MN460" s="91"/>
      <c r="MO460" s="91"/>
      <c r="MQ460" s="90" t="s">
        <v>37</v>
      </c>
      <c r="MR460" s="90" t="s">
        <v>37</v>
      </c>
      <c r="MS460" s="90" t="s">
        <v>37</v>
      </c>
      <c r="MT460" s="48"/>
      <c r="MU460" s="90" t="s">
        <v>37</v>
      </c>
      <c r="MV460" s="90" t="s">
        <v>37</v>
      </c>
      <c r="MW460" s="90" t="s">
        <v>37</v>
      </c>
      <c r="MX460" s="48"/>
      <c r="MY460" s="48"/>
      <c r="MZ460" s="48"/>
      <c r="NC460" s="90" t="s">
        <v>37</v>
      </c>
      <c r="ND460" s="90" t="s">
        <v>37</v>
      </c>
      <c r="NE460" s="90" t="s">
        <v>37</v>
      </c>
      <c r="NF460" s="48"/>
      <c r="NG460" s="90" t="s">
        <v>37</v>
      </c>
      <c r="NH460" s="90" t="s">
        <v>37</v>
      </c>
      <c r="NI460" s="90" t="s">
        <v>37</v>
      </c>
      <c r="NJ460" s="48"/>
      <c r="NK460" s="48"/>
      <c r="NL460" s="48"/>
      <c r="NO460" s="90" t="s">
        <v>37</v>
      </c>
      <c r="NP460" s="90" t="s">
        <v>37</v>
      </c>
      <c r="NQ460" s="90" t="s">
        <v>37</v>
      </c>
      <c r="NR460" s="48"/>
      <c r="NS460" s="90" t="s">
        <v>37</v>
      </c>
      <c r="NT460" s="90" t="s">
        <v>37</v>
      </c>
      <c r="NU460" s="90" t="s">
        <v>37</v>
      </c>
      <c r="NV460" s="48"/>
      <c r="NW460" s="48"/>
      <c r="NX460" s="48"/>
      <c r="OA460" s="90" t="s">
        <v>37</v>
      </c>
      <c r="OB460" s="90" t="s">
        <v>37</v>
      </c>
      <c r="OC460" s="90" t="s">
        <v>37</v>
      </c>
      <c r="OE460" s="90" t="s">
        <v>37</v>
      </c>
      <c r="OF460" s="90" t="s">
        <v>37</v>
      </c>
      <c r="OG460" s="90" t="s">
        <v>37</v>
      </c>
      <c r="OM460" s="90" t="s">
        <v>37</v>
      </c>
      <c r="ON460" s="90" t="s">
        <v>37</v>
      </c>
      <c r="OO460" s="90" t="s">
        <v>37</v>
      </c>
      <c r="OP460" s="90" t="s">
        <v>37</v>
      </c>
      <c r="OQ460" s="90" t="s">
        <v>37</v>
      </c>
      <c r="OR460" s="90" t="s">
        <v>37</v>
      </c>
      <c r="OW460" s="90" t="s">
        <v>37</v>
      </c>
      <c r="OX460" s="90" t="s">
        <v>37</v>
      </c>
      <c r="OY460" s="91" t="s">
        <v>37</v>
      </c>
      <c r="OZ460" s="90" t="s">
        <v>37</v>
      </c>
      <c r="PA460" s="90" t="s">
        <v>37</v>
      </c>
      <c r="PB460" s="91" t="s">
        <v>37</v>
      </c>
      <c r="PC460" s="91"/>
      <c r="PD460" s="91"/>
      <c r="PG460" s="89" t="s">
        <v>37</v>
      </c>
      <c r="PH460" s="89" t="s">
        <v>37</v>
      </c>
      <c r="PI460" s="91" t="s">
        <v>37</v>
      </c>
      <c r="PJ460" s="89" t="s">
        <v>37</v>
      </c>
      <c r="PK460" s="89" t="s">
        <v>37</v>
      </c>
      <c r="PL460" s="91" t="s">
        <v>37</v>
      </c>
      <c r="PM460" s="91"/>
      <c r="PN460" s="91"/>
      <c r="PQ460" s="90" t="s">
        <v>37</v>
      </c>
      <c r="PR460" s="90" t="s">
        <v>37</v>
      </c>
      <c r="PS460" s="90" t="s">
        <v>37</v>
      </c>
      <c r="PT460" s="90" t="s">
        <v>37</v>
      </c>
      <c r="PU460" s="90" t="s">
        <v>37</v>
      </c>
      <c r="PV460" s="90" t="s">
        <v>37</v>
      </c>
      <c r="PZ460" s="90" t="s">
        <v>37</v>
      </c>
      <c r="QA460" s="90" t="s">
        <v>37</v>
      </c>
      <c r="QB460" s="89" t="s">
        <v>37</v>
      </c>
      <c r="QC460" s="48"/>
      <c r="QD460" s="90" t="s">
        <v>37</v>
      </c>
      <c r="QE460" s="90" t="s">
        <v>37</v>
      </c>
      <c r="QF460" s="90" t="s">
        <v>37</v>
      </c>
      <c r="QG460" s="48"/>
      <c r="QH460" s="48"/>
      <c r="QI460" s="48"/>
      <c r="QK460" s="90" t="s">
        <v>37</v>
      </c>
      <c r="QL460" s="90" t="s">
        <v>37</v>
      </c>
      <c r="QM460" s="90" t="s">
        <v>37</v>
      </c>
      <c r="QN460" s="90" t="s">
        <v>37</v>
      </c>
      <c r="QO460" s="90" t="s">
        <v>37</v>
      </c>
      <c r="QP460" s="90" t="s">
        <v>37</v>
      </c>
      <c r="QU460" s="90" t="s">
        <v>37</v>
      </c>
      <c r="QV460" s="90" t="s">
        <v>37</v>
      </c>
      <c r="QW460" s="90" t="s">
        <v>37</v>
      </c>
      <c r="QX460" s="90" t="s">
        <v>37</v>
      </c>
      <c r="QY460" s="90" t="s">
        <v>37</v>
      </c>
      <c r="QZ460" s="90" t="s">
        <v>37</v>
      </c>
      <c r="RC460" s="90" t="s">
        <v>37</v>
      </c>
      <c r="RD460" s="90" t="s">
        <v>37</v>
      </c>
      <c r="RE460" s="90" t="s">
        <v>37</v>
      </c>
      <c r="RF460" s="90" t="s">
        <v>37</v>
      </c>
      <c r="RG460" s="90" t="s">
        <v>37</v>
      </c>
      <c r="RH460" s="90" t="s">
        <v>37</v>
      </c>
      <c r="RK460" s="90" t="s">
        <v>37</v>
      </c>
      <c r="RL460" s="90" t="s">
        <v>37</v>
      </c>
      <c r="RM460" s="90" t="s">
        <v>37</v>
      </c>
      <c r="RN460" s="90" t="s">
        <v>37</v>
      </c>
      <c r="RO460" s="90" t="s">
        <v>37</v>
      </c>
      <c r="RP460" s="90" t="s">
        <v>37</v>
      </c>
      <c r="RS460" s="90" t="s">
        <v>37</v>
      </c>
      <c r="RT460" s="90" t="s">
        <v>37</v>
      </c>
      <c r="RU460" s="90" t="s">
        <v>37</v>
      </c>
      <c r="RV460" s="90" t="s">
        <v>37</v>
      </c>
      <c r="RW460" s="90" t="s">
        <v>37</v>
      </c>
      <c r="RX460" s="90" t="s">
        <v>37</v>
      </c>
      <c r="SA460" s="90" t="s">
        <v>37</v>
      </c>
      <c r="SB460" s="90" t="s">
        <v>37</v>
      </c>
      <c r="SC460" s="90" t="s">
        <v>37</v>
      </c>
      <c r="SD460" s="90" t="s">
        <v>37</v>
      </c>
      <c r="SE460" s="90" t="s">
        <v>37</v>
      </c>
      <c r="SF460" s="90" t="s">
        <v>37</v>
      </c>
      <c r="SI460" s="90" t="s">
        <v>37</v>
      </c>
      <c r="SJ460" s="90" t="s">
        <v>37</v>
      </c>
      <c r="SK460" s="90" t="s">
        <v>37</v>
      </c>
      <c r="SL460" s="90" t="s">
        <v>37</v>
      </c>
      <c r="SM460" s="90" t="s">
        <v>37</v>
      </c>
      <c r="SN460" s="90" t="s">
        <v>37</v>
      </c>
      <c r="SO460" s="91"/>
      <c r="SP460" s="91"/>
      <c r="SQ460" s="91"/>
      <c r="SR460" s="91"/>
      <c r="SU460" s="90" t="s">
        <v>37</v>
      </c>
      <c r="SV460" s="90" t="s">
        <v>37</v>
      </c>
      <c r="SW460" s="89" t="s">
        <v>37</v>
      </c>
      <c r="SX460" s="90" t="s">
        <v>37</v>
      </c>
      <c r="SY460" s="90" t="s">
        <v>37</v>
      </c>
      <c r="SZ460" s="89" t="s">
        <v>37</v>
      </c>
      <c r="TA460" s="89"/>
      <c r="TB460" s="89"/>
      <c r="TE460" s="90" t="s">
        <v>37</v>
      </c>
      <c r="TF460" s="90" t="s">
        <v>37</v>
      </c>
      <c r="TG460" s="89" t="s">
        <v>37</v>
      </c>
      <c r="TH460" s="90" t="s">
        <v>37</v>
      </c>
      <c r="TI460" s="90" t="s">
        <v>37</v>
      </c>
      <c r="TJ460" s="89" t="s">
        <v>37</v>
      </c>
      <c r="TK460" s="89"/>
      <c r="TL460" s="89"/>
      <c r="TO460" s="90" t="s">
        <v>37</v>
      </c>
      <c r="TP460" s="90" t="s">
        <v>37</v>
      </c>
      <c r="TQ460" s="89" t="s">
        <v>37</v>
      </c>
      <c r="TR460" s="90" t="s">
        <v>37</v>
      </c>
      <c r="TS460" s="90" t="s">
        <v>37</v>
      </c>
      <c r="TT460" s="89" t="s">
        <v>37</v>
      </c>
      <c r="TU460" s="89"/>
      <c r="TV460" s="89"/>
      <c r="TY460" s="90" t="s">
        <v>37</v>
      </c>
      <c r="TZ460" s="90" t="s">
        <v>37</v>
      </c>
      <c r="UA460" s="90" t="s">
        <v>37</v>
      </c>
      <c r="UB460" s="90" t="s">
        <v>37</v>
      </c>
      <c r="UC460" s="90" t="s">
        <v>37</v>
      </c>
      <c r="UD460" s="90" t="s">
        <v>37</v>
      </c>
      <c r="UI460" s="90" t="s">
        <v>37</v>
      </c>
      <c r="UJ460" s="90" t="s">
        <v>37</v>
      </c>
      <c r="UK460" s="90" t="s">
        <v>37</v>
      </c>
      <c r="UL460" s="90" t="s">
        <v>37</v>
      </c>
      <c r="UM460" s="90" t="s">
        <v>37</v>
      </c>
      <c r="UN460" s="90" t="s">
        <v>37</v>
      </c>
      <c r="UR460" s="90" t="s">
        <v>37</v>
      </c>
      <c r="US460" s="90" t="s">
        <v>37</v>
      </c>
      <c r="UT460" s="90" t="s">
        <v>37</v>
      </c>
      <c r="UU460" s="90" t="s">
        <v>37</v>
      </c>
      <c r="UV460" s="90" t="s">
        <v>37</v>
      </c>
      <c r="UW460" s="90" t="s">
        <v>37</v>
      </c>
      <c r="VB460" s="90" t="s">
        <v>37</v>
      </c>
      <c r="VC460" s="90" t="s">
        <v>37</v>
      </c>
      <c r="VD460" s="90" t="s">
        <v>37</v>
      </c>
      <c r="VE460" s="90" t="s">
        <v>37</v>
      </c>
      <c r="VF460" s="90" t="s">
        <v>37</v>
      </c>
      <c r="VG460" s="90" t="s">
        <v>37</v>
      </c>
      <c r="VI460" s="90" t="s">
        <v>37</v>
      </c>
      <c r="VJ460" s="90" t="s">
        <v>37</v>
      </c>
      <c r="VK460" s="90" t="s">
        <v>37</v>
      </c>
      <c r="VL460" s="90" t="s">
        <v>37</v>
      </c>
      <c r="VM460" s="90" t="s">
        <v>37</v>
      </c>
      <c r="VN460" s="90" t="s">
        <v>37</v>
      </c>
      <c r="VQ460" s="91" t="s">
        <v>37</v>
      </c>
      <c r="VR460" s="91" t="s">
        <v>37</v>
      </c>
      <c r="VS460" s="91" t="s">
        <v>37</v>
      </c>
      <c r="VT460" s="91" t="s">
        <v>37</v>
      </c>
      <c r="VU460" s="91" t="s">
        <v>37</v>
      </c>
      <c r="VV460" s="91" t="s">
        <v>37</v>
      </c>
      <c r="VW460" s="91"/>
      <c r="VX460" s="91"/>
      <c r="WA460" s="91" t="s">
        <v>37</v>
      </c>
      <c r="WB460" s="91" t="s">
        <v>37</v>
      </c>
      <c r="WC460" s="91" t="s">
        <v>37</v>
      </c>
      <c r="WD460" s="91" t="s">
        <v>37</v>
      </c>
      <c r="WE460" s="91" t="s">
        <v>37</v>
      </c>
      <c r="WF460" s="91" t="s">
        <v>37</v>
      </c>
    </row>
    <row r="461" spans="1:604" s="90" customFormat="1" ht="18.75" customHeight="1" x14ac:dyDescent="0.3">
      <c r="A461" s="89">
        <v>110</v>
      </c>
      <c r="B461" s="84" t="s">
        <v>1009</v>
      </c>
      <c r="C461" s="90" t="s">
        <v>26</v>
      </c>
      <c r="D461" s="84" t="s">
        <v>829</v>
      </c>
      <c r="E461" s="88">
        <v>10</v>
      </c>
      <c r="F461" s="88">
        <v>0</v>
      </c>
      <c r="G461" s="88">
        <v>0</v>
      </c>
      <c r="H461" s="90" t="s">
        <v>1010</v>
      </c>
      <c r="I461" s="84">
        <v>2.1829999999999998</v>
      </c>
      <c r="J461" s="99">
        <v>111.833</v>
      </c>
      <c r="K461" s="90" t="s">
        <v>1013</v>
      </c>
      <c r="L461" s="90" t="s">
        <v>1014</v>
      </c>
      <c r="M461" s="91">
        <v>10</v>
      </c>
      <c r="N461" s="14">
        <v>27.2</v>
      </c>
      <c r="O461" s="14">
        <v>2503</v>
      </c>
      <c r="P461" s="84" t="s">
        <v>840</v>
      </c>
      <c r="Q461" s="75">
        <v>12</v>
      </c>
      <c r="R461" s="11" t="s">
        <v>999</v>
      </c>
      <c r="S461" s="90" t="s">
        <v>981</v>
      </c>
      <c r="T461" s="12" t="s">
        <v>1016</v>
      </c>
      <c r="U461" s="12" t="s">
        <v>983</v>
      </c>
      <c r="V461" s="90" t="s">
        <v>275</v>
      </c>
      <c r="W461" s="93" t="s">
        <v>1015</v>
      </c>
      <c r="X461" s="90" t="s">
        <v>982</v>
      </c>
      <c r="Y461" s="90" t="s">
        <v>37</v>
      </c>
      <c r="Z461" s="90" t="s">
        <v>37</v>
      </c>
      <c r="AA461" s="32"/>
      <c r="AB461" s="90" t="s">
        <v>37</v>
      </c>
      <c r="AD461" s="94"/>
      <c r="AE461" s="90" t="s">
        <v>37</v>
      </c>
      <c r="AG461" s="94"/>
      <c r="AH461" s="90" t="s">
        <v>37</v>
      </c>
      <c r="AK461" s="90" t="s">
        <v>37</v>
      </c>
      <c r="AL461" s="32" t="s">
        <v>1019</v>
      </c>
      <c r="AM461" s="90" t="s">
        <v>344</v>
      </c>
      <c r="AN461" s="32"/>
      <c r="AO461" s="90" t="s">
        <v>37</v>
      </c>
      <c r="AP461" s="90" t="s">
        <v>370</v>
      </c>
      <c r="AQ461" s="90" t="s">
        <v>849</v>
      </c>
      <c r="AR461" s="12"/>
      <c r="AS461" s="94"/>
      <c r="AT461" s="90" t="s">
        <v>326</v>
      </c>
      <c r="AU461" s="90" t="s">
        <v>326</v>
      </c>
      <c r="AV461" s="91" t="s">
        <v>326</v>
      </c>
      <c r="AW461" s="48"/>
      <c r="AX461" s="90" t="s">
        <v>326</v>
      </c>
      <c r="AY461" s="90" t="s">
        <v>326</v>
      </c>
      <c r="AZ461" s="91" t="s">
        <v>326</v>
      </c>
      <c r="BA461" s="48"/>
      <c r="BB461" s="48"/>
      <c r="BC461" s="48"/>
      <c r="BD461" s="94"/>
      <c r="BE461" s="90" t="s">
        <v>326</v>
      </c>
      <c r="BF461" s="90" t="s">
        <v>326</v>
      </c>
      <c r="BG461" s="90" t="s">
        <v>326</v>
      </c>
      <c r="BH461" s="48"/>
      <c r="BI461" s="90" t="s">
        <v>326</v>
      </c>
      <c r="BJ461" s="90" t="s">
        <v>326</v>
      </c>
      <c r="BK461" s="90" t="s">
        <v>326</v>
      </c>
      <c r="BL461" s="48"/>
      <c r="BM461" s="48"/>
      <c r="BN461" s="48"/>
      <c r="BP461" s="90" t="s">
        <v>37</v>
      </c>
      <c r="BQ461" s="90" t="s">
        <v>37</v>
      </c>
      <c r="BR461" s="91" t="s">
        <v>37</v>
      </c>
      <c r="BS461" s="48"/>
      <c r="BT461" s="90" t="s">
        <v>37</v>
      </c>
      <c r="BU461" s="90" t="s">
        <v>37</v>
      </c>
      <c r="BV461" s="90" t="s">
        <v>37</v>
      </c>
      <c r="BW461" s="48"/>
      <c r="BX461" s="48"/>
      <c r="BY461" s="48"/>
      <c r="CA461" s="90" t="s">
        <v>37</v>
      </c>
      <c r="CB461" s="90" t="s">
        <v>37</v>
      </c>
      <c r="CC461" s="91" t="s">
        <v>37</v>
      </c>
      <c r="CD461" s="48"/>
      <c r="CE461" s="90" t="s">
        <v>37</v>
      </c>
      <c r="CF461" s="90" t="s">
        <v>37</v>
      </c>
      <c r="CG461" s="91" t="s">
        <v>37</v>
      </c>
      <c r="CH461" s="48"/>
      <c r="CI461" s="92"/>
      <c r="CK461" s="96"/>
      <c r="CL461" s="96"/>
      <c r="CN461" s="90" t="s">
        <v>37</v>
      </c>
      <c r="CO461" s="90" t="s">
        <v>37</v>
      </c>
      <c r="CP461" s="91" t="s">
        <v>37</v>
      </c>
      <c r="CQ461" s="48"/>
      <c r="CR461" s="90" t="s">
        <v>37</v>
      </c>
      <c r="CS461" s="90" t="s">
        <v>37</v>
      </c>
      <c r="CT461" s="91" t="s">
        <v>37</v>
      </c>
      <c r="CU461" s="48"/>
      <c r="CV461" s="92"/>
      <c r="CX461" s="96"/>
      <c r="CY461" s="96"/>
      <c r="DA461" s="90" t="s">
        <v>37</v>
      </c>
      <c r="DB461" s="90" t="s">
        <v>37</v>
      </c>
      <c r="DC461" s="91" t="s">
        <v>37</v>
      </c>
      <c r="DD461" s="48"/>
      <c r="DE461" s="90" t="s">
        <v>37</v>
      </c>
      <c r="DF461" s="90" t="s">
        <v>37</v>
      </c>
      <c r="DG461" s="91" t="s">
        <v>37</v>
      </c>
      <c r="DH461" s="48"/>
      <c r="DI461" s="92"/>
      <c r="DK461" s="96"/>
      <c r="DL461" s="96"/>
      <c r="DM461" s="90" t="s">
        <v>47</v>
      </c>
      <c r="DN461" s="90">
        <f>78.9*16/12</f>
        <v>105.2</v>
      </c>
      <c r="DO461" s="50">
        <f t="shared" si="1820"/>
        <v>117.28530121962412</v>
      </c>
      <c r="DP461" s="91">
        <v>1</v>
      </c>
      <c r="DQ461" s="91"/>
      <c r="DR461" s="90">
        <f>22.3*16/12</f>
        <v>29.733333333333334</v>
      </c>
      <c r="DS461" s="50">
        <f t="shared" si="1821"/>
        <v>111.11989782702869</v>
      </c>
      <c r="DT461" s="91">
        <v>1</v>
      </c>
      <c r="DU461" s="48"/>
      <c r="DV461" s="48">
        <f t="shared" si="1822"/>
        <v>-75.466666666666669</v>
      </c>
      <c r="DW461" s="90" t="e">
        <f t="shared" si="1832"/>
        <v>#DIV/0!</v>
      </c>
      <c r="DX461" s="96" t="e">
        <f t="shared" si="1833"/>
        <v>#DIV/0!</v>
      </c>
      <c r="DY461" s="96">
        <f t="shared" si="1834"/>
        <v>26103.473575267257</v>
      </c>
      <c r="DZ461" s="89"/>
      <c r="EA461" s="101" t="s">
        <v>37</v>
      </c>
      <c r="EB461" s="101" t="s">
        <v>37</v>
      </c>
      <c r="EC461" s="101" t="s">
        <v>37</v>
      </c>
      <c r="ED461" s="101"/>
      <c r="EE461" s="101" t="s">
        <v>37</v>
      </c>
      <c r="EF461" s="101" t="s">
        <v>37</v>
      </c>
      <c r="EG461" s="101" t="s">
        <v>37</v>
      </c>
      <c r="EH461" s="91"/>
      <c r="EI461" s="91"/>
      <c r="EJ461" s="91"/>
      <c r="EK461" s="91"/>
      <c r="EL461" s="91"/>
      <c r="EM461" s="90" t="s">
        <v>39</v>
      </c>
      <c r="EN461" s="90">
        <v>-4.8</v>
      </c>
      <c r="EO461" s="50">
        <f t="shared" si="1823"/>
        <v>1.955982714006208</v>
      </c>
      <c r="EP461" s="91">
        <v>1</v>
      </c>
      <c r="EQ461" s="48"/>
      <c r="ER461" s="90">
        <v>-58.5</v>
      </c>
      <c r="ES461" s="50">
        <f t="shared" si="1824"/>
        <v>13.268622130287859</v>
      </c>
      <c r="ET461" s="91">
        <v>1</v>
      </c>
      <c r="EU461" s="48"/>
      <c r="EV461" s="90">
        <f t="shared" si="1810"/>
        <v>-53.7</v>
      </c>
      <c r="EW461" s="90" t="e">
        <f t="shared" si="1825"/>
        <v>#DIV/0!</v>
      </c>
      <c r="EX461" s="48" t="e">
        <f t="shared" si="1826"/>
        <v>#DIV/0!</v>
      </c>
      <c r="EY461" s="48">
        <f t="shared" si="1827"/>
        <v>179.88220161385584</v>
      </c>
      <c r="FB461" s="90" t="s">
        <v>37</v>
      </c>
      <c r="FC461" s="90" t="s">
        <v>37</v>
      </c>
      <c r="FD461" s="89" t="s">
        <v>37</v>
      </c>
      <c r="FE461" s="90" t="s">
        <v>37</v>
      </c>
      <c r="FF461" s="100" t="s">
        <v>37</v>
      </c>
      <c r="FG461" s="89" t="s">
        <v>37</v>
      </c>
      <c r="FH461" s="94"/>
      <c r="FI461" s="90" t="s">
        <v>37</v>
      </c>
      <c r="FJ461" s="90" t="s">
        <v>37</v>
      </c>
      <c r="FK461" s="89" t="s">
        <v>37</v>
      </c>
      <c r="FL461" s="91" t="s">
        <v>37</v>
      </c>
      <c r="FM461" s="89" t="s">
        <v>37</v>
      </c>
      <c r="FN461" s="89" t="s">
        <v>37</v>
      </c>
      <c r="FO461" s="94"/>
      <c r="FP461" s="90" t="s">
        <v>37</v>
      </c>
      <c r="FQ461" s="90" t="s">
        <v>37</v>
      </c>
      <c r="FR461" s="89" t="s">
        <v>37</v>
      </c>
      <c r="FS461" s="91" t="s">
        <v>37</v>
      </c>
      <c r="FT461" s="89" t="s">
        <v>37</v>
      </c>
      <c r="FU461" s="89" t="s">
        <v>37</v>
      </c>
      <c r="FV461" s="94"/>
      <c r="FW461" s="90" t="s">
        <v>37</v>
      </c>
      <c r="FX461" s="90" t="s">
        <v>37</v>
      </c>
      <c r="FY461" s="89" t="s">
        <v>37</v>
      </c>
      <c r="FZ461" s="91" t="s">
        <v>37</v>
      </c>
      <c r="GA461" s="89" t="s">
        <v>37</v>
      </c>
      <c r="GB461" s="89" t="s">
        <v>37</v>
      </c>
      <c r="GE461" s="90" t="s">
        <v>37</v>
      </c>
      <c r="GF461" s="90" t="s">
        <v>37</v>
      </c>
      <c r="GG461" s="90" t="s">
        <v>37</v>
      </c>
      <c r="GH461" s="91"/>
      <c r="GI461" s="90" t="s">
        <v>37</v>
      </c>
      <c r="GJ461" s="90" t="s">
        <v>37</v>
      </c>
      <c r="GK461" s="90" t="s">
        <v>37</v>
      </c>
      <c r="GL461" s="91"/>
      <c r="GM461" s="91"/>
      <c r="GN461" s="91"/>
      <c r="GQ461" s="90" t="s">
        <v>37</v>
      </c>
      <c r="GR461" s="90" t="s">
        <v>37</v>
      </c>
      <c r="GS461" s="90" t="s">
        <v>37</v>
      </c>
      <c r="GT461" s="91"/>
      <c r="GU461" s="90" t="s">
        <v>37</v>
      </c>
      <c r="GV461" s="90" t="s">
        <v>37</v>
      </c>
      <c r="GW461" s="90" t="s">
        <v>37</v>
      </c>
      <c r="GX461" s="91"/>
      <c r="GY461" s="91"/>
      <c r="GZ461" s="91"/>
      <c r="HA461" s="97" t="s">
        <v>63</v>
      </c>
      <c r="HB461" s="98" t="s">
        <v>868</v>
      </c>
      <c r="HC461" s="90">
        <v>0.11</v>
      </c>
      <c r="HD461" s="104">
        <f t="shared" si="1828"/>
        <v>1.8965291746114006E-2</v>
      </c>
      <c r="HE461" s="91">
        <v>3</v>
      </c>
      <c r="HF461" s="91"/>
      <c r="HG461" s="90">
        <v>0.24</v>
      </c>
      <c r="HH461" s="104">
        <f t="shared" si="1829"/>
        <v>2.6845084792105216E-2</v>
      </c>
      <c r="HI461" s="91">
        <v>3</v>
      </c>
      <c r="HJ461" s="91"/>
      <c r="HK461" s="48">
        <f t="shared" si="1830"/>
        <v>0.78015855754957497</v>
      </c>
      <c r="HL461" s="48">
        <f t="shared" si="1831"/>
        <v>1.4079080937294361E-2</v>
      </c>
      <c r="HM461" s="98"/>
      <c r="HN461" s="90" t="s">
        <v>37</v>
      </c>
      <c r="HO461" s="90" t="s">
        <v>37</v>
      </c>
      <c r="HP461" s="90" t="s">
        <v>37</v>
      </c>
      <c r="HQ461" s="91"/>
      <c r="HR461" s="90" t="s">
        <v>37</v>
      </c>
      <c r="HS461" s="90" t="s">
        <v>37</v>
      </c>
      <c r="HT461" s="90" t="s">
        <v>37</v>
      </c>
      <c r="HU461" s="91"/>
      <c r="HV461" s="91"/>
      <c r="HW461" s="91"/>
      <c r="HX461" s="98"/>
      <c r="HY461" s="90" t="s">
        <v>37</v>
      </c>
      <c r="HZ461" s="90" t="s">
        <v>37</v>
      </c>
      <c r="IA461" s="90" t="s">
        <v>37</v>
      </c>
      <c r="IB461" s="91"/>
      <c r="IC461" s="90" t="s">
        <v>37</v>
      </c>
      <c r="ID461" s="90" t="s">
        <v>37</v>
      </c>
      <c r="IE461" s="90" t="s">
        <v>37</v>
      </c>
      <c r="IF461" s="91"/>
      <c r="IG461" s="91"/>
      <c r="IH461" s="91"/>
      <c r="IK461" s="90" t="s">
        <v>37</v>
      </c>
      <c r="IL461" s="90" t="s">
        <v>37</v>
      </c>
      <c r="IM461" s="90" t="s">
        <v>37</v>
      </c>
      <c r="IN461" s="91"/>
      <c r="IO461" s="90" t="s">
        <v>37</v>
      </c>
      <c r="IP461" s="90" t="s">
        <v>37</v>
      </c>
      <c r="IQ461" s="90" t="s">
        <v>37</v>
      </c>
      <c r="IR461" s="91"/>
      <c r="IS461" s="91"/>
      <c r="IT461" s="91"/>
      <c r="IV461" s="94"/>
      <c r="IW461" s="90" t="s">
        <v>37</v>
      </c>
      <c r="IX461" s="90" t="s">
        <v>37</v>
      </c>
      <c r="IY461" s="90" t="s">
        <v>37</v>
      </c>
      <c r="IZ461" s="91"/>
      <c r="JA461" s="90" t="s">
        <v>37</v>
      </c>
      <c r="JB461" s="90" t="s">
        <v>37</v>
      </c>
      <c r="JC461" s="90" t="s">
        <v>37</v>
      </c>
      <c r="JD461" s="91"/>
      <c r="JE461" s="91"/>
      <c r="JF461" s="91"/>
      <c r="JG461" s="94"/>
      <c r="JH461" s="90" t="s">
        <v>37</v>
      </c>
      <c r="JI461" s="90" t="s">
        <v>37</v>
      </c>
      <c r="JJ461" s="90" t="s">
        <v>37</v>
      </c>
      <c r="JK461" s="91"/>
      <c r="JL461" s="90" t="s">
        <v>37</v>
      </c>
      <c r="JM461" s="90" t="s">
        <v>37</v>
      </c>
      <c r="JN461" s="90" t="s">
        <v>37</v>
      </c>
      <c r="JO461" s="91"/>
      <c r="JP461" s="91"/>
      <c r="JQ461" s="91"/>
      <c r="JR461" s="94"/>
      <c r="JS461" s="90" t="s">
        <v>37</v>
      </c>
      <c r="JT461" s="90" t="s">
        <v>37</v>
      </c>
      <c r="JU461" s="90" t="s">
        <v>37</v>
      </c>
      <c r="JV461" s="91"/>
      <c r="JW461" s="90" t="s">
        <v>37</v>
      </c>
      <c r="JX461" s="90" t="s">
        <v>37</v>
      </c>
      <c r="JY461" s="90" t="s">
        <v>37</v>
      </c>
      <c r="JZ461" s="91"/>
      <c r="KA461" s="91"/>
      <c r="KB461" s="91"/>
      <c r="KE461" s="90" t="s">
        <v>37</v>
      </c>
      <c r="KF461" s="90" t="s">
        <v>37</v>
      </c>
      <c r="KG461" s="90" t="s">
        <v>37</v>
      </c>
      <c r="KH461" s="90" t="s">
        <v>37</v>
      </c>
      <c r="KI461" s="90" t="s">
        <v>37</v>
      </c>
      <c r="KJ461" s="90" t="s">
        <v>37</v>
      </c>
      <c r="KL461" s="94"/>
      <c r="KM461" s="90" t="s">
        <v>37</v>
      </c>
      <c r="KN461" s="90" t="s">
        <v>37</v>
      </c>
      <c r="KO461" s="90" t="s">
        <v>37</v>
      </c>
      <c r="KQ461" s="90" t="s">
        <v>37</v>
      </c>
      <c r="KR461" s="90" t="s">
        <v>37</v>
      </c>
      <c r="KS461" s="90" t="s">
        <v>37</v>
      </c>
      <c r="KW461" s="94"/>
      <c r="KX461" s="90" t="s">
        <v>37</v>
      </c>
      <c r="KY461" s="90" t="s">
        <v>37</v>
      </c>
      <c r="KZ461" s="90" t="s">
        <v>37</v>
      </c>
      <c r="LA461" s="91"/>
      <c r="LB461" s="90" t="s">
        <v>37</v>
      </c>
      <c r="LC461" s="90" t="s">
        <v>37</v>
      </c>
      <c r="LD461" s="90" t="s">
        <v>37</v>
      </c>
      <c r="LE461" s="91"/>
      <c r="LF461" s="91"/>
      <c r="LG461" s="91"/>
      <c r="LH461" s="94"/>
      <c r="LI461" s="90" t="s">
        <v>37</v>
      </c>
      <c r="LJ461" s="90" t="s">
        <v>37</v>
      </c>
      <c r="LK461" s="90" t="s">
        <v>37</v>
      </c>
      <c r="LL461" s="91"/>
      <c r="LM461" s="90" t="s">
        <v>37</v>
      </c>
      <c r="LN461" s="90" t="s">
        <v>37</v>
      </c>
      <c r="LO461" s="90" t="s">
        <v>37</v>
      </c>
      <c r="LP461" s="91"/>
      <c r="LQ461" s="91"/>
      <c r="LR461" s="91"/>
      <c r="LU461" s="90" t="s">
        <v>37</v>
      </c>
      <c r="LV461" s="90" t="s">
        <v>37</v>
      </c>
      <c r="LW461" s="90" t="s">
        <v>37</v>
      </c>
      <c r="LX461" s="91"/>
      <c r="LY461" s="90" t="s">
        <v>37</v>
      </c>
      <c r="LZ461" s="90" t="s">
        <v>37</v>
      </c>
      <c r="MA461" s="90" t="s">
        <v>37</v>
      </c>
      <c r="MB461" s="91"/>
      <c r="MC461" s="91"/>
      <c r="MD461" s="91"/>
      <c r="MF461" s="90" t="s">
        <v>37</v>
      </c>
      <c r="MG461" s="90" t="s">
        <v>37</v>
      </c>
      <c r="MH461" s="90" t="s">
        <v>37</v>
      </c>
      <c r="MI461" s="91"/>
      <c r="MJ461" s="90" t="s">
        <v>37</v>
      </c>
      <c r="MK461" s="90" t="s">
        <v>37</v>
      </c>
      <c r="ML461" s="90" t="s">
        <v>37</v>
      </c>
      <c r="MM461" s="91"/>
      <c r="MN461" s="91"/>
      <c r="MO461" s="91"/>
      <c r="MQ461" s="90" t="s">
        <v>37</v>
      </c>
      <c r="MR461" s="90" t="s">
        <v>37</v>
      </c>
      <c r="MS461" s="90" t="s">
        <v>37</v>
      </c>
      <c r="MT461" s="48"/>
      <c r="MU461" s="90" t="s">
        <v>37</v>
      </c>
      <c r="MV461" s="90" t="s">
        <v>37</v>
      </c>
      <c r="MW461" s="90" t="s">
        <v>37</v>
      </c>
      <c r="MX461" s="48"/>
      <c r="MY461" s="48"/>
      <c r="MZ461" s="48"/>
      <c r="NC461" s="90" t="s">
        <v>37</v>
      </c>
      <c r="ND461" s="90" t="s">
        <v>37</v>
      </c>
      <c r="NE461" s="90" t="s">
        <v>37</v>
      </c>
      <c r="NF461" s="48"/>
      <c r="NG461" s="90" t="s">
        <v>37</v>
      </c>
      <c r="NH461" s="90" t="s">
        <v>37</v>
      </c>
      <c r="NI461" s="90" t="s">
        <v>37</v>
      </c>
      <c r="NJ461" s="48"/>
      <c r="NK461" s="48"/>
      <c r="NL461" s="48"/>
      <c r="NO461" s="90" t="s">
        <v>37</v>
      </c>
      <c r="NP461" s="90" t="s">
        <v>37</v>
      </c>
      <c r="NQ461" s="90" t="s">
        <v>37</v>
      </c>
      <c r="NR461" s="48"/>
      <c r="NS461" s="90" t="s">
        <v>37</v>
      </c>
      <c r="NT461" s="90" t="s">
        <v>37</v>
      </c>
      <c r="NU461" s="90" t="s">
        <v>37</v>
      </c>
      <c r="NV461" s="48"/>
      <c r="NW461" s="48"/>
      <c r="NX461" s="48"/>
      <c r="OA461" s="90" t="s">
        <v>37</v>
      </c>
      <c r="OB461" s="90" t="s">
        <v>37</v>
      </c>
      <c r="OC461" s="90" t="s">
        <v>37</v>
      </c>
      <c r="OE461" s="90" t="s">
        <v>37</v>
      </c>
      <c r="OF461" s="90" t="s">
        <v>37</v>
      </c>
      <c r="OG461" s="90" t="s">
        <v>37</v>
      </c>
      <c r="OM461" s="90" t="s">
        <v>37</v>
      </c>
      <c r="ON461" s="90" t="s">
        <v>37</v>
      </c>
      <c r="OO461" s="90" t="s">
        <v>37</v>
      </c>
      <c r="OP461" s="90" t="s">
        <v>37</v>
      </c>
      <c r="OQ461" s="90" t="s">
        <v>37</v>
      </c>
      <c r="OR461" s="90" t="s">
        <v>37</v>
      </c>
      <c r="OW461" s="90" t="s">
        <v>37</v>
      </c>
      <c r="OX461" s="90" t="s">
        <v>37</v>
      </c>
      <c r="OY461" s="91" t="s">
        <v>37</v>
      </c>
      <c r="OZ461" s="90" t="s">
        <v>37</v>
      </c>
      <c r="PA461" s="90" t="s">
        <v>37</v>
      </c>
      <c r="PB461" s="91" t="s">
        <v>37</v>
      </c>
      <c r="PC461" s="91"/>
      <c r="PD461" s="91"/>
      <c r="PG461" s="89" t="s">
        <v>37</v>
      </c>
      <c r="PH461" s="89" t="s">
        <v>37</v>
      </c>
      <c r="PI461" s="91" t="s">
        <v>37</v>
      </c>
      <c r="PJ461" s="89" t="s">
        <v>37</v>
      </c>
      <c r="PK461" s="89" t="s">
        <v>37</v>
      </c>
      <c r="PL461" s="91" t="s">
        <v>37</v>
      </c>
      <c r="PM461" s="91"/>
      <c r="PN461" s="91"/>
      <c r="PQ461" s="90" t="s">
        <v>37</v>
      </c>
      <c r="PR461" s="90" t="s">
        <v>37</v>
      </c>
      <c r="PS461" s="90" t="s">
        <v>37</v>
      </c>
      <c r="PT461" s="90" t="s">
        <v>37</v>
      </c>
      <c r="PU461" s="90" t="s">
        <v>37</v>
      </c>
      <c r="PV461" s="90" t="s">
        <v>37</v>
      </c>
      <c r="PZ461" s="90" t="s">
        <v>37</v>
      </c>
      <c r="QA461" s="90" t="s">
        <v>37</v>
      </c>
      <c r="QB461" s="89" t="s">
        <v>37</v>
      </c>
      <c r="QC461" s="48"/>
      <c r="QD461" s="90" t="s">
        <v>37</v>
      </c>
      <c r="QE461" s="90" t="s">
        <v>37</v>
      </c>
      <c r="QF461" s="90" t="s">
        <v>37</v>
      </c>
      <c r="QG461" s="48"/>
      <c r="QH461" s="48"/>
      <c r="QI461" s="48"/>
      <c r="QK461" s="90" t="s">
        <v>37</v>
      </c>
      <c r="QL461" s="90" t="s">
        <v>37</v>
      </c>
      <c r="QM461" s="90" t="s">
        <v>37</v>
      </c>
      <c r="QN461" s="90" t="s">
        <v>37</v>
      </c>
      <c r="QO461" s="90" t="s">
        <v>37</v>
      </c>
      <c r="QP461" s="90" t="s">
        <v>37</v>
      </c>
      <c r="QU461" s="90" t="s">
        <v>37</v>
      </c>
      <c r="QV461" s="90" t="s">
        <v>37</v>
      </c>
      <c r="QW461" s="90" t="s">
        <v>37</v>
      </c>
      <c r="QX461" s="90" t="s">
        <v>37</v>
      </c>
      <c r="QY461" s="90" t="s">
        <v>37</v>
      </c>
      <c r="QZ461" s="90" t="s">
        <v>37</v>
      </c>
      <c r="RC461" s="90" t="s">
        <v>37</v>
      </c>
      <c r="RD461" s="90" t="s">
        <v>37</v>
      </c>
      <c r="RE461" s="90" t="s">
        <v>37</v>
      </c>
      <c r="RF461" s="90" t="s">
        <v>37</v>
      </c>
      <c r="RG461" s="90" t="s">
        <v>37</v>
      </c>
      <c r="RH461" s="90" t="s">
        <v>37</v>
      </c>
      <c r="RK461" s="90" t="s">
        <v>37</v>
      </c>
      <c r="RL461" s="90" t="s">
        <v>37</v>
      </c>
      <c r="RM461" s="90" t="s">
        <v>37</v>
      </c>
      <c r="RN461" s="90" t="s">
        <v>37</v>
      </c>
      <c r="RO461" s="90" t="s">
        <v>37</v>
      </c>
      <c r="RP461" s="90" t="s">
        <v>37</v>
      </c>
      <c r="RS461" s="90" t="s">
        <v>37</v>
      </c>
      <c r="RT461" s="90" t="s">
        <v>37</v>
      </c>
      <c r="RU461" s="90" t="s">
        <v>37</v>
      </c>
      <c r="RV461" s="90" t="s">
        <v>37</v>
      </c>
      <c r="RW461" s="90" t="s">
        <v>37</v>
      </c>
      <c r="RX461" s="90" t="s">
        <v>37</v>
      </c>
      <c r="SA461" s="90" t="s">
        <v>37</v>
      </c>
      <c r="SB461" s="90" t="s">
        <v>37</v>
      </c>
      <c r="SC461" s="90" t="s">
        <v>37</v>
      </c>
      <c r="SD461" s="90" t="s">
        <v>37</v>
      </c>
      <c r="SE461" s="90" t="s">
        <v>37</v>
      </c>
      <c r="SF461" s="90" t="s">
        <v>37</v>
      </c>
      <c r="SI461" s="90" t="s">
        <v>37</v>
      </c>
      <c r="SJ461" s="90" t="s">
        <v>37</v>
      </c>
      <c r="SK461" s="90" t="s">
        <v>37</v>
      </c>
      <c r="SL461" s="90" t="s">
        <v>37</v>
      </c>
      <c r="SM461" s="90" t="s">
        <v>37</v>
      </c>
      <c r="SN461" s="90" t="s">
        <v>37</v>
      </c>
      <c r="SO461" s="91"/>
      <c r="SP461" s="91"/>
      <c r="SQ461" s="91"/>
      <c r="SR461" s="91"/>
      <c r="SU461" s="90" t="s">
        <v>37</v>
      </c>
      <c r="SV461" s="90" t="s">
        <v>37</v>
      </c>
      <c r="SW461" s="89" t="s">
        <v>37</v>
      </c>
      <c r="SX461" s="90" t="s">
        <v>37</v>
      </c>
      <c r="SY461" s="90" t="s">
        <v>37</v>
      </c>
      <c r="SZ461" s="89" t="s">
        <v>37</v>
      </c>
      <c r="TA461" s="89"/>
      <c r="TB461" s="89"/>
      <c r="TE461" s="90" t="s">
        <v>37</v>
      </c>
      <c r="TF461" s="90" t="s">
        <v>37</v>
      </c>
      <c r="TG461" s="89" t="s">
        <v>37</v>
      </c>
      <c r="TH461" s="90" t="s">
        <v>37</v>
      </c>
      <c r="TI461" s="90" t="s">
        <v>37</v>
      </c>
      <c r="TJ461" s="89" t="s">
        <v>37</v>
      </c>
      <c r="TK461" s="89"/>
      <c r="TL461" s="89"/>
      <c r="TO461" s="90" t="s">
        <v>37</v>
      </c>
      <c r="TP461" s="90" t="s">
        <v>37</v>
      </c>
      <c r="TQ461" s="89" t="s">
        <v>37</v>
      </c>
      <c r="TR461" s="90" t="s">
        <v>37</v>
      </c>
      <c r="TS461" s="90" t="s">
        <v>37</v>
      </c>
      <c r="TT461" s="89" t="s">
        <v>37</v>
      </c>
      <c r="TU461" s="89"/>
      <c r="TV461" s="89"/>
      <c r="TY461" s="90" t="s">
        <v>37</v>
      </c>
      <c r="TZ461" s="90" t="s">
        <v>37</v>
      </c>
      <c r="UA461" s="90" t="s">
        <v>37</v>
      </c>
      <c r="UB461" s="90" t="s">
        <v>37</v>
      </c>
      <c r="UC461" s="90" t="s">
        <v>37</v>
      </c>
      <c r="UD461" s="90" t="s">
        <v>37</v>
      </c>
      <c r="UI461" s="90" t="s">
        <v>37</v>
      </c>
      <c r="UJ461" s="90" t="s">
        <v>37</v>
      </c>
      <c r="UK461" s="90" t="s">
        <v>37</v>
      </c>
      <c r="UL461" s="90" t="s">
        <v>37</v>
      </c>
      <c r="UM461" s="90" t="s">
        <v>37</v>
      </c>
      <c r="UN461" s="90" t="s">
        <v>37</v>
      </c>
      <c r="UR461" s="90" t="s">
        <v>37</v>
      </c>
      <c r="US461" s="90" t="s">
        <v>37</v>
      </c>
      <c r="UT461" s="90" t="s">
        <v>37</v>
      </c>
      <c r="UU461" s="90" t="s">
        <v>37</v>
      </c>
      <c r="UV461" s="90" t="s">
        <v>37</v>
      </c>
      <c r="UW461" s="90" t="s">
        <v>37</v>
      </c>
      <c r="VB461" s="90" t="s">
        <v>37</v>
      </c>
      <c r="VC461" s="90" t="s">
        <v>37</v>
      </c>
      <c r="VD461" s="90" t="s">
        <v>37</v>
      </c>
      <c r="VE461" s="90" t="s">
        <v>37</v>
      </c>
      <c r="VF461" s="90" t="s">
        <v>37</v>
      </c>
      <c r="VG461" s="90" t="s">
        <v>37</v>
      </c>
      <c r="VI461" s="90" t="s">
        <v>37</v>
      </c>
      <c r="VJ461" s="90" t="s">
        <v>37</v>
      </c>
      <c r="VK461" s="90" t="s">
        <v>37</v>
      </c>
      <c r="VL461" s="90" t="s">
        <v>37</v>
      </c>
      <c r="VM461" s="90" t="s">
        <v>37</v>
      </c>
      <c r="VN461" s="90" t="s">
        <v>37</v>
      </c>
      <c r="VQ461" s="91" t="s">
        <v>37</v>
      </c>
      <c r="VR461" s="91" t="s">
        <v>37</v>
      </c>
      <c r="VS461" s="91" t="s">
        <v>37</v>
      </c>
      <c r="VT461" s="91" t="s">
        <v>37</v>
      </c>
      <c r="VU461" s="91" t="s">
        <v>37</v>
      </c>
      <c r="VV461" s="91" t="s">
        <v>37</v>
      </c>
      <c r="VW461" s="91"/>
      <c r="VX461" s="91"/>
      <c r="WA461" s="91" t="s">
        <v>37</v>
      </c>
      <c r="WB461" s="91" t="s">
        <v>37</v>
      </c>
      <c r="WC461" s="91" t="s">
        <v>37</v>
      </c>
      <c r="WD461" s="91" t="s">
        <v>37</v>
      </c>
      <c r="WE461" s="91" t="s">
        <v>37</v>
      </c>
      <c r="WF461" s="91" t="s">
        <v>37</v>
      </c>
    </row>
    <row r="462" spans="1:604" s="90" customFormat="1" ht="18.75" customHeight="1" x14ac:dyDescent="0.3">
      <c r="A462" s="89">
        <v>111</v>
      </c>
      <c r="B462" s="84" t="s">
        <v>1020</v>
      </c>
      <c r="C462" s="90" t="s">
        <v>26</v>
      </c>
      <c r="D462" s="84" t="s">
        <v>973</v>
      </c>
      <c r="E462" s="88"/>
      <c r="F462" s="88">
        <v>0</v>
      </c>
      <c r="G462" s="88">
        <v>0</v>
      </c>
      <c r="H462" s="84" t="s">
        <v>82</v>
      </c>
      <c r="I462" s="107">
        <v>37.201000000000001</v>
      </c>
      <c r="J462" s="107">
        <v>-122.02630000000001</v>
      </c>
      <c r="K462" s="84" t="s">
        <v>1021</v>
      </c>
      <c r="L462" s="88" t="s">
        <v>1022</v>
      </c>
      <c r="M462" s="91" t="s">
        <v>37</v>
      </c>
      <c r="N462" s="88"/>
      <c r="P462" s="84" t="s">
        <v>679</v>
      </c>
      <c r="Q462" s="92">
        <v>2</v>
      </c>
      <c r="R462" s="11"/>
      <c r="S462" s="90" t="s">
        <v>980</v>
      </c>
      <c r="U462" s="12" t="s">
        <v>158</v>
      </c>
      <c r="V462" s="84" t="s">
        <v>842</v>
      </c>
      <c r="W462" s="83" t="s">
        <v>1023</v>
      </c>
      <c r="X462" s="84" t="s">
        <v>283</v>
      </c>
      <c r="Y462" s="90" t="s">
        <v>37</v>
      </c>
      <c r="Z462" s="90" t="s">
        <v>37</v>
      </c>
      <c r="AA462" s="94"/>
      <c r="AB462" s="90" t="s">
        <v>37</v>
      </c>
      <c r="AD462" s="94"/>
      <c r="AE462" s="90" t="s">
        <v>37</v>
      </c>
      <c r="AG462" s="94"/>
      <c r="AH462" s="90" t="s">
        <v>37</v>
      </c>
      <c r="AK462" s="90" t="s">
        <v>37</v>
      </c>
      <c r="AL462" s="94">
        <v>2004</v>
      </c>
      <c r="AM462" s="90" t="s">
        <v>344</v>
      </c>
      <c r="AN462" s="94"/>
      <c r="AO462" s="90" t="s">
        <v>37</v>
      </c>
      <c r="AP462" s="95" t="s">
        <v>597</v>
      </c>
      <c r="AQ462" s="90" t="s">
        <v>849</v>
      </c>
      <c r="AS462" s="94"/>
      <c r="AT462" s="90" t="s">
        <v>326</v>
      </c>
      <c r="AU462" s="90" t="s">
        <v>326</v>
      </c>
      <c r="AV462" s="91" t="s">
        <v>326</v>
      </c>
      <c r="AW462" s="48"/>
      <c r="AX462" s="90" t="s">
        <v>326</v>
      </c>
      <c r="AY462" s="90" t="s">
        <v>326</v>
      </c>
      <c r="AZ462" s="91" t="s">
        <v>326</v>
      </c>
      <c r="BA462" s="48"/>
      <c r="BB462" s="48"/>
      <c r="BC462" s="48"/>
      <c r="BD462" s="94"/>
      <c r="BE462" s="90" t="s">
        <v>326</v>
      </c>
      <c r="BF462" s="90" t="s">
        <v>326</v>
      </c>
      <c r="BG462" s="90" t="s">
        <v>326</v>
      </c>
      <c r="BH462" s="48"/>
      <c r="BI462" s="90" t="s">
        <v>326</v>
      </c>
      <c r="BJ462" s="90" t="s">
        <v>326</v>
      </c>
      <c r="BK462" s="90" t="s">
        <v>326</v>
      </c>
      <c r="BL462" s="48"/>
      <c r="BM462" s="48"/>
      <c r="BN462" s="48"/>
      <c r="BP462" s="90" t="s">
        <v>37</v>
      </c>
      <c r="BQ462" s="90" t="s">
        <v>37</v>
      </c>
      <c r="BR462" s="91" t="s">
        <v>37</v>
      </c>
      <c r="BS462" s="48"/>
      <c r="BT462" s="90" t="s">
        <v>37</v>
      </c>
      <c r="BU462" s="90" t="s">
        <v>37</v>
      </c>
      <c r="BV462" s="90" t="s">
        <v>37</v>
      </c>
      <c r="BW462" s="48"/>
      <c r="BX462" s="48"/>
      <c r="BY462" s="48"/>
      <c r="BZ462" s="84" t="s">
        <v>581</v>
      </c>
      <c r="CA462" s="48">
        <f>CA466</f>
        <v>-51700</v>
      </c>
      <c r="CB462" s="104">
        <f t="shared" ref="CB462:CB469" si="1835">ABS(CA462)*CD$474</f>
        <v>12605.000812256634</v>
      </c>
      <c r="CC462" s="91">
        <v>1</v>
      </c>
      <c r="CD462" s="48"/>
      <c r="CE462" s="48">
        <f>CE466</f>
        <v>-15510</v>
      </c>
      <c r="CF462" s="104">
        <f t="shared" ref="CF462:CF467" si="1836">ABS(CE462)*CH$474</f>
        <v>5773.8936858411389</v>
      </c>
      <c r="CG462" s="91">
        <v>1</v>
      </c>
      <c r="CH462" s="48"/>
      <c r="CI462" s="92">
        <f t="shared" ref="CI462:CI467" si="1837">CE462-CA462</f>
        <v>36190</v>
      </c>
      <c r="CJ462" s="90" t="e">
        <f t="shared" ref="CJ462:CJ467" si="1838">SQRT(((CC462-1)*CB462^2+(CG462-1)*CF462^2)/(CC462+CG462-2))</f>
        <v>#DIV/0!</v>
      </c>
      <c r="CK462" s="96" t="e">
        <f t="shared" ref="CK462:CK467" si="1839">(((CC462+CG462)/(CC462*CG462))*(((CC462-1)*CB462^2)+(CG462-1)*CF462^2)/(CC462+CG462-2))</f>
        <v>#DIV/0!</v>
      </c>
      <c r="CL462" s="96">
        <f t="shared" ref="CL462:CL467" si="1840">(CB462^2/CC462)+(CF462^2/CG462)</f>
        <v>192223893.77238658</v>
      </c>
      <c r="CM462" s="90" t="s">
        <v>47</v>
      </c>
      <c r="CN462" s="90">
        <f>CN466</f>
        <v>39196.666666666664</v>
      </c>
      <c r="CO462" s="104">
        <f t="shared" ref="CO462:CO469" si="1841">ABS(CN462)*CQ$474</f>
        <v>11274.031774703384</v>
      </c>
      <c r="CP462" s="91">
        <v>1</v>
      </c>
      <c r="CQ462" s="48"/>
      <c r="CR462" s="90">
        <f>CR466</f>
        <v>35236.666666666664</v>
      </c>
      <c r="CS462" s="104">
        <f t="shared" ref="CS462:CS469" si="1842">ABS(CR462)*CU$474</f>
        <v>9245.7901931151609</v>
      </c>
      <c r="CT462" s="91">
        <v>1</v>
      </c>
      <c r="CU462" s="48"/>
      <c r="CV462" s="92">
        <f t="shared" ref="CV462:CV467" si="1843">CR462-CN462</f>
        <v>-3960</v>
      </c>
      <c r="CW462" s="90" t="e">
        <f t="shared" ref="CW462:CW467" si="1844">SQRT(((CP462-1)*CO462^2+(CT462-1)*CS462^2)/(CP462+CT462-2))</f>
        <v>#DIV/0!</v>
      </c>
      <c r="CX462" s="96" t="e">
        <f t="shared" ref="CX462:CX467" si="1845">(((CP462+CT462)/(CP462*CT462))*(((CP462-1)*CO462^2)+(CT462-1)*CS462^2)/(CP462+CT462-2))</f>
        <v>#DIV/0!</v>
      </c>
      <c r="CY462" s="96">
        <f t="shared" ref="CY462:CY467" si="1846">(CO462^2/CP462)+(CS462^2/CT462)</f>
        <v>212588428.75212604</v>
      </c>
      <c r="CZ462" s="90" t="s">
        <v>47</v>
      </c>
      <c r="DA462" s="90">
        <f>CN462+CA462</f>
        <v>-12503.333333333336</v>
      </c>
      <c r="DB462" s="104">
        <f t="shared" ref="DB462:DB469" si="1847">ABS(DA462)*DD$474</f>
        <v>37505.705838773269</v>
      </c>
      <c r="DC462" s="91">
        <v>1</v>
      </c>
      <c r="DD462" s="48"/>
      <c r="DE462" s="90">
        <f>CR462+CE462</f>
        <v>19726.666666666664</v>
      </c>
      <c r="DF462" s="104">
        <f t="shared" ref="DF462:DF469" si="1848">ABS(DE462)*DH$474</f>
        <v>18802.330188886517</v>
      </c>
      <c r="DG462" s="91">
        <v>1</v>
      </c>
      <c r="DH462" s="48"/>
      <c r="DI462" s="48">
        <f>DE462-DA462</f>
        <v>32230</v>
      </c>
      <c r="DJ462" s="90" t="e">
        <f t="shared" ref="DJ462:DJ467" si="1849">SQRT(((DC462-1)*DB462^2+(DG462-1)*DF462^2)/(DC462+DG462-2))</f>
        <v>#DIV/0!</v>
      </c>
      <c r="DK462" s="96" t="e">
        <f t="shared" ref="DK462:DK467" si="1850">(((DC462+DG462)/(DC462*DG462))*(((DC462-1)*DB462^2)+(DG462-1)*DF462^2)/(DC462+DG462-2))</f>
        <v>#DIV/0!</v>
      </c>
      <c r="DL462" s="96">
        <f t="shared" ref="DL462:DL467" si="1851">(DB462^2/DC462)+(DF462^2/DG462)</f>
        <v>1760205590.9965045</v>
      </c>
      <c r="DM462" s="89"/>
      <c r="DP462" s="91"/>
      <c r="DQ462" s="91"/>
      <c r="DT462" s="91"/>
      <c r="DU462" s="48"/>
      <c r="DV462" s="48"/>
      <c r="DW462" s="48"/>
      <c r="DX462" s="96"/>
      <c r="DY462" s="96"/>
      <c r="DZ462" s="89"/>
      <c r="EA462" s="101"/>
      <c r="EB462" s="101"/>
      <c r="EC462" s="101"/>
      <c r="ED462" s="101"/>
      <c r="EE462" s="101"/>
      <c r="EF462" s="101"/>
      <c r="EG462" s="101"/>
      <c r="EH462" s="91"/>
      <c r="EI462" s="91"/>
      <c r="EJ462" s="91"/>
      <c r="EK462" s="91"/>
      <c r="EL462" s="91"/>
      <c r="EP462" s="91"/>
      <c r="EQ462" s="48"/>
      <c r="ET462" s="91"/>
      <c r="EU462" s="48"/>
      <c r="EX462" s="48"/>
      <c r="EY462" s="48"/>
      <c r="FD462" s="89"/>
      <c r="FF462" s="100"/>
      <c r="FG462" s="89"/>
      <c r="FH462" s="94"/>
      <c r="FK462" s="89"/>
      <c r="FL462" s="91"/>
      <c r="FM462" s="89"/>
      <c r="FN462" s="89"/>
      <c r="FO462" s="94"/>
      <c r="FR462" s="89"/>
      <c r="FS462" s="91"/>
      <c r="FT462" s="89"/>
      <c r="FU462" s="89"/>
      <c r="FV462" s="94"/>
      <c r="FY462" s="89"/>
      <c r="FZ462" s="91"/>
      <c r="GA462" s="89"/>
      <c r="GB462" s="89"/>
      <c r="GH462" s="91"/>
      <c r="GL462" s="91"/>
      <c r="GM462" s="91"/>
      <c r="GN462" s="91"/>
      <c r="GT462" s="91"/>
      <c r="GX462" s="91"/>
      <c r="GY462" s="91"/>
      <c r="GZ462" s="91"/>
      <c r="HA462" s="97"/>
      <c r="HB462" s="98"/>
      <c r="HF462" s="91"/>
      <c r="HJ462" s="91"/>
      <c r="HK462" s="91"/>
      <c r="HL462" s="91"/>
      <c r="HM462" s="98"/>
      <c r="HQ462" s="91"/>
      <c r="HU462" s="91"/>
      <c r="HV462" s="91"/>
      <c r="HW462" s="91"/>
      <c r="HX462" s="98"/>
      <c r="IB462" s="91"/>
      <c r="IF462" s="91"/>
      <c r="IG462" s="91"/>
      <c r="IH462" s="91"/>
      <c r="IN462" s="91"/>
      <c r="IR462" s="91"/>
      <c r="IS462" s="91"/>
      <c r="IT462" s="91"/>
      <c r="IV462" s="94"/>
      <c r="IZ462" s="91"/>
      <c r="JD462" s="91"/>
      <c r="JE462" s="91"/>
      <c r="JF462" s="91"/>
      <c r="JG462" s="94"/>
      <c r="JK462" s="91"/>
      <c r="JO462" s="91"/>
      <c r="JP462" s="91"/>
      <c r="JQ462" s="91"/>
      <c r="JR462" s="94"/>
      <c r="JV462" s="91"/>
      <c r="JZ462" s="91"/>
      <c r="KA462" s="91"/>
      <c r="KB462" s="91"/>
      <c r="KL462" s="94"/>
      <c r="KW462" s="94"/>
      <c r="LA462" s="91"/>
      <c r="LE462" s="91"/>
      <c r="LF462" s="91"/>
      <c r="LG462" s="91"/>
      <c r="LH462" s="94"/>
      <c r="LL462" s="91"/>
      <c r="LP462" s="91"/>
      <c r="LQ462" s="91"/>
      <c r="LR462" s="91"/>
      <c r="LX462" s="91"/>
      <c r="MB462" s="91"/>
      <c r="MC462" s="91"/>
      <c r="MD462" s="91"/>
      <c r="MI462" s="91"/>
      <c r="MM462" s="91"/>
      <c r="MN462" s="91"/>
      <c r="MO462" s="91"/>
      <c r="MT462" s="48"/>
      <c r="MX462" s="48"/>
      <c r="MY462" s="48"/>
      <c r="MZ462" s="48"/>
      <c r="NF462" s="48"/>
      <c r="NJ462" s="48"/>
      <c r="NK462" s="48"/>
      <c r="NL462" s="48"/>
      <c r="NR462" s="48"/>
      <c r="NV462" s="48"/>
      <c r="NW462" s="48"/>
      <c r="NX462" s="48"/>
      <c r="OY462" s="91"/>
      <c r="PB462" s="91"/>
      <c r="PC462" s="91"/>
      <c r="PD462" s="91"/>
      <c r="PG462" s="89"/>
      <c r="PH462" s="89"/>
      <c r="PI462" s="91"/>
      <c r="PJ462" s="89"/>
      <c r="PK462" s="89"/>
      <c r="PL462" s="91"/>
      <c r="PM462" s="91"/>
      <c r="PN462" s="91"/>
      <c r="QB462" s="89"/>
      <c r="QC462" s="48"/>
      <c r="QG462" s="48"/>
      <c r="QH462" s="48"/>
      <c r="QI462" s="48"/>
      <c r="SO462" s="91"/>
      <c r="SP462" s="91"/>
      <c r="SQ462" s="91"/>
      <c r="SR462" s="91"/>
      <c r="SW462" s="89"/>
      <c r="SZ462" s="89"/>
      <c r="TA462" s="89"/>
      <c r="TB462" s="89"/>
      <c r="TG462" s="89"/>
      <c r="TJ462" s="89"/>
      <c r="TK462" s="89"/>
      <c r="TL462" s="89"/>
      <c r="TQ462" s="89"/>
      <c r="TT462" s="89"/>
      <c r="TU462" s="89"/>
      <c r="TV462" s="89"/>
      <c r="VQ462" s="91"/>
      <c r="VR462" s="91"/>
      <c r="VS462" s="91"/>
      <c r="VT462" s="91"/>
      <c r="VU462" s="91"/>
      <c r="VV462" s="91"/>
      <c r="VW462" s="91"/>
      <c r="VX462" s="91"/>
      <c r="WA462" s="91"/>
      <c r="WB462" s="91"/>
      <c r="WC462" s="91"/>
      <c r="WD462" s="91"/>
      <c r="WE462" s="91"/>
      <c r="WF462" s="91"/>
    </row>
    <row r="463" spans="1:604" ht="18.75" customHeight="1" x14ac:dyDescent="0.3">
      <c r="A463" s="89">
        <v>111</v>
      </c>
      <c r="B463" s="84" t="s">
        <v>1020</v>
      </c>
      <c r="C463" s="90" t="s">
        <v>26</v>
      </c>
      <c r="D463" s="84" t="s">
        <v>973</v>
      </c>
      <c r="F463" s="88">
        <v>0</v>
      </c>
      <c r="G463" s="88">
        <v>0</v>
      </c>
      <c r="H463" s="84" t="s">
        <v>82</v>
      </c>
      <c r="I463" s="107">
        <v>37.201000000000001</v>
      </c>
      <c r="J463" s="107">
        <v>-122.02630000000001</v>
      </c>
      <c r="K463" s="84" t="s">
        <v>1021</v>
      </c>
      <c r="L463" s="88" t="s">
        <v>1022</v>
      </c>
      <c r="M463" s="91" t="s">
        <v>37</v>
      </c>
      <c r="N463" s="12"/>
      <c r="P463" s="84" t="s">
        <v>679</v>
      </c>
      <c r="Q463" s="75">
        <v>3</v>
      </c>
      <c r="R463" s="12"/>
      <c r="S463" s="90" t="s">
        <v>980</v>
      </c>
      <c r="U463" s="12" t="s">
        <v>158</v>
      </c>
      <c r="V463" s="84" t="s">
        <v>842</v>
      </c>
      <c r="W463" s="83" t="s">
        <v>1023</v>
      </c>
      <c r="X463" s="84" t="s">
        <v>283</v>
      </c>
      <c r="Y463" s="90" t="s">
        <v>37</v>
      </c>
      <c r="Z463" s="90" t="s">
        <v>37</v>
      </c>
      <c r="AA463" s="12"/>
      <c r="AB463" s="90" t="s">
        <v>37</v>
      </c>
      <c r="AC463" s="90"/>
      <c r="AD463" s="94"/>
      <c r="AE463" s="90" t="s">
        <v>37</v>
      </c>
      <c r="AF463" s="90"/>
      <c r="AG463" s="94"/>
      <c r="AH463" s="90" t="s">
        <v>37</v>
      </c>
      <c r="AI463" s="90"/>
      <c r="AJ463" s="90"/>
      <c r="AK463" s="90" t="s">
        <v>37</v>
      </c>
      <c r="AL463" s="13">
        <v>2005</v>
      </c>
      <c r="AM463" s="90" t="s">
        <v>344</v>
      </c>
      <c r="AN463" s="12"/>
      <c r="AO463" s="90" t="s">
        <v>37</v>
      </c>
      <c r="AP463" s="95" t="s">
        <v>597</v>
      </c>
      <c r="AQ463" s="90" t="s">
        <v>849</v>
      </c>
      <c r="AS463" s="94"/>
      <c r="AT463" s="90" t="s">
        <v>326</v>
      </c>
      <c r="AU463" s="90" t="s">
        <v>326</v>
      </c>
      <c r="AV463" s="91" t="s">
        <v>326</v>
      </c>
      <c r="AW463" s="48"/>
      <c r="AX463" s="90" t="s">
        <v>326</v>
      </c>
      <c r="AY463" s="90" t="s">
        <v>326</v>
      </c>
      <c r="AZ463" s="91" t="s">
        <v>326</v>
      </c>
      <c r="BA463" s="48"/>
      <c r="BB463" s="48"/>
      <c r="BC463" s="48"/>
      <c r="BD463" s="94"/>
      <c r="BE463" s="90" t="s">
        <v>326</v>
      </c>
      <c r="BF463" s="90" t="s">
        <v>326</v>
      </c>
      <c r="BG463" s="90" t="s">
        <v>326</v>
      </c>
      <c r="BH463" s="48"/>
      <c r="BI463" s="90" t="s">
        <v>326</v>
      </c>
      <c r="BJ463" s="90" t="s">
        <v>326</v>
      </c>
      <c r="BK463" s="90" t="s">
        <v>326</v>
      </c>
      <c r="BP463" s="90" t="s">
        <v>37</v>
      </c>
      <c r="BQ463" s="90" t="s">
        <v>37</v>
      </c>
      <c r="BR463" s="91" t="s">
        <v>37</v>
      </c>
      <c r="BS463" s="48"/>
      <c r="BT463" s="90" t="s">
        <v>37</v>
      </c>
      <c r="BU463" s="90" t="s">
        <v>37</v>
      </c>
      <c r="BV463" s="90" t="s">
        <v>37</v>
      </c>
      <c r="BZ463" s="84" t="s">
        <v>581</v>
      </c>
      <c r="CA463" s="48">
        <f>CA467</f>
        <v>-52030</v>
      </c>
      <c r="CB463" s="104">
        <f t="shared" si="1835"/>
        <v>12685.458264249761</v>
      </c>
      <c r="CC463" s="91">
        <v>1</v>
      </c>
      <c r="CD463" s="13"/>
      <c r="CE463" s="48">
        <f>CE467</f>
        <v>-33366.666666666664</v>
      </c>
      <c r="CF463" s="104">
        <f t="shared" si="1836"/>
        <v>12421.378851336727</v>
      </c>
      <c r="CG463" s="91">
        <v>1</v>
      </c>
      <c r="CH463" s="13"/>
      <c r="CI463" s="92">
        <f t="shared" si="1837"/>
        <v>18663.333333333336</v>
      </c>
      <c r="CJ463" s="90" t="e">
        <f t="shared" si="1838"/>
        <v>#DIV/0!</v>
      </c>
      <c r="CK463" s="96" t="e">
        <f t="shared" si="1839"/>
        <v>#DIV/0!</v>
      </c>
      <c r="CL463" s="96">
        <f t="shared" si="1840"/>
        <v>315211503.94245785</v>
      </c>
      <c r="CM463" s="90" t="s">
        <v>47</v>
      </c>
      <c r="CN463" s="90">
        <f>CN467</f>
        <v>53753.333333333336</v>
      </c>
      <c r="CO463" s="104">
        <f t="shared" si="1841"/>
        <v>15460.926643325691</v>
      </c>
      <c r="CP463" s="91">
        <v>1</v>
      </c>
      <c r="CQ463" s="13"/>
      <c r="CR463" s="90">
        <f>CR467</f>
        <v>42936.666666666664</v>
      </c>
      <c r="CS463" s="104">
        <f t="shared" si="1842"/>
        <v>11266.202202016497</v>
      </c>
      <c r="CT463" s="91">
        <v>1</v>
      </c>
      <c r="CU463" s="13"/>
      <c r="CV463" s="92">
        <f t="shared" si="1843"/>
        <v>-10816.666666666672</v>
      </c>
      <c r="CW463" s="90" t="e">
        <f t="shared" si="1844"/>
        <v>#DIV/0!</v>
      </c>
      <c r="CX463" s="96" t="e">
        <f t="shared" si="1845"/>
        <v>#DIV/0!</v>
      </c>
      <c r="CY463" s="96">
        <f t="shared" si="1846"/>
        <v>365967564.72701955</v>
      </c>
      <c r="CZ463" s="90" t="s">
        <v>47</v>
      </c>
      <c r="DA463" s="90">
        <f t="shared" ref="DA463:DA467" si="1852">CN463+CA463</f>
        <v>1723.3333333333358</v>
      </c>
      <c r="DB463" s="104">
        <f t="shared" si="1847"/>
        <v>5169.4081361359113</v>
      </c>
      <c r="DC463" s="91">
        <v>1</v>
      </c>
      <c r="DD463" s="13"/>
      <c r="DE463" s="90">
        <f t="shared" ref="DE463:DE467" si="1853">CR463+CE463</f>
        <v>9570</v>
      </c>
      <c r="DF463" s="104">
        <f t="shared" si="1848"/>
        <v>9121.5765414486632</v>
      </c>
      <c r="DG463" s="91">
        <v>1</v>
      </c>
      <c r="DH463" s="13"/>
      <c r="DI463" s="48">
        <f t="shared" ref="DI463:DI467" si="1854">DE463-DA463</f>
        <v>7846.6666666666642</v>
      </c>
      <c r="DJ463" s="90" t="e">
        <f t="shared" si="1849"/>
        <v>#DIV/0!</v>
      </c>
      <c r="DK463" s="96" t="e">
        <f t="shared" si="1850"/>
        <v>#DIV/0!</v>
      </c>
      <c r="DL463" s="96">
        <f t="shared" si="1851"/>
        <v>109925939.07945472</v>
      </c>
      <c r="DN463" s="90"/>
      <c r="DO463" s="90"/>
      <c r="DP463" s="91"/>
      <c r="DQ463" s="91"/>
      <c r="DR463" s="90"/>
      <c r="DS463" s="90"/>
      <c r="DT463" s="91"/>
      <c r="DU463" s="48"/>
      <c r="DV463" s="47"/>
      <c r="DW463" s="47"/>
      <c r="DX463" s="74"/>
      <c r="DY463" s="74"/>
      <c r="EA463" s="101"/>
      <c r="EB463" s="101"/>
      <c r="EC463" s="101"/>
      <c r="ED463" s="101"/>
      <c r="EE463" s="101"/>
      <c r="EF463" s="101"/>
      <c r="EG463" s="101"/>
      <c r="EH463" s="13"/>
      <c r="EI463" s="13"/>
      <c r="EJ463" s="13"/>
      <c r="EK463" s="13"/>
      <c r="EL463" s="13"/>
      <c r="EM463" s="90"/>
      <c r="EQ463" s="48"/>
      <c r="EU463" s="48"/>
      <c r="EV463" s="13"/>
      <c r="EW463" s="13"/>
      <c r="EX463" s="13"/>
      <c r="EY463" s="13"/>
      <c r="GH463" s="13"/>
      <c r="GL463" s="13"/>
      <c r="GM463" s="13"/>
      <c r="GN463" s="13"/>
      <c r="GT463" s="13"/>
      <c r="GX463" s="13"/>
      <c r="GY463" s="13"/>
      <c r="GZ463" s="13"/>
      <c r="HF463" s="13"/>
      <c r="HJ463" s="13"/>
      <c r="HK463" s="13"/>
      <c r="HL463" s="13"/>
      <c r="HQ463" s="13"/>
      <c r="HU463" s="13"/>
      <c r="HV463" s="13"/>
      <c r="HW463" s="13"/>
      <c r="IB463" s="13"/>
      <c r="IF463" s="13"/>
      <c r="IG463" s="13"/>
      <c r="IH463" s="13"/>
      <c r="IN463" s="13"/>
      <c r="IR463" s="13"/>
      <c r="IS463" s="13"/>
      <c r="IT463" s="13"/>
      <c r="IZ463" s="13"/>
      <c r="JD463" s="13"/>
      <c r="JE463" s="13"/>
      <c r="JF463" s="13"/>
      <c r="JK463" s="13"/>
      <c r="JO463" s="13"/>
      <c r="JP463" s="13"/>
      <c r="JQ463" s="13"/>
      <c r="JV463" s="13"/>
      <c r="JZ463" s="13"/>
      <c r="KA463" s="13"/>
      <c r="KB463" s="13"/>
      <c r="KO463" s="12"/>
      <c r="KP463" s="12"/>
      <c r="KS463" s="12"/>
      <c r="KT463" s="12"/>
      <c r="KU463" s="12"/>
      <c r="KV463" s="12"/>
      <c r="LA463" s="13"/>
      <c r="LE463" s="13"/>
      <c r="LF463" s="13"/>
      <c r="LG463" s="13"/>
      <c r="LL463" s="13"/>
      <c r="LP463" s="13"/>
      <c r="LQ463" s="13"/>
      <c r="LR463" s="13"/>
      <c r="LX463" s="13"/>
      <c r="MB463" s="13"/>
      <c r="MC463" s="13"/>
      <c r="MD463" s="13"/>
      <c r="MI463" s="13"/>
      <c r="MM463" s="13"/>
      <c r="MN463" s="13"/>
      <c r="MO463" s="13"/>
      <c r="MT463" s="13"/>
      <c r="MX463" s="13"/>
      <c r="MY463" s="13"/>
      <c r="MZ463" s="13"/>
      <c r="NF463" s="13"/>
      <c r="NJ463" s="13"/>
      <c r="NK463" s="13"/>
      <c r="NL463" s="13"/>
      <c r="NR463" s="13"/>
      <c r="NV463" s="13"/>
      <c r="NW463" s="13"/>
      <c r="NX463" s="13"/>
      <c r="QC463" s="11"/>
      <c r="QG463" s="13"/>
      <c r="QH463" s="13"/>
      <c r="QI463" s="13"/>
      <c r="SL463" s="13"/>
      <c r="SP463" s="13"/>
      <c r="SQ463" s="13"/>
      <c r="SR463" s="13"/>
    </row>
    <row r="464" spans="1:604" s="39" customFormat="1" ht="18" customHeight="1" x14ac:dyDescent="0.3">
      <c r="A464" s="89">
        <v>111</v>
      </c>
      <c r="B464" s="84" t="s">
        <v>1020</v>
      </c>
      <c r="C464" s="90" t="s">
        <v>26</v>
      </c>
      <c r="D464" s="84" t="s">
        <v>973</v>
      </c>
      <c r="F464" s="88">
        <v>0</v>
      </c>
      <c r="G464" s="88">
        <v>0</v>
      </c>
      <c r="H464" s="84" t="s">
        <v>82</v>
      </c>
      <c r="I464" s="107">
        <v>37.201000000000001</v>
      </c>
      <c r="J464" s="107">
        <v>-122.02630000000001</v>
      </c>
      <c r="K464" s="84" t="s">
        <v>1021</v>
      </c>
      <c r="L464" s="88" t="s">
        <v>1022</v>
      </c>
      <c r="M464" s="91" t="s">
        <v>37</v>
      </c>
      <c r="P464" s="84" t="s">
        <v>679</v>
      </c>
      <c r="Q464" s="81">
        <v>2</v>
      </c>
      <c r="S464" s="90" t="s">
        <v>980</v>
      </c>
      <c r="U464" s="12" t="s">
        <v>158</v>
      </c>
      <c r="V464" s="84" t="s">
        <v>842</v>
      </c>
      <c r="W464" s="83" t="s">
        <v>1023</v>
      </c>
      <c r="X464" s="84" t="s">
        <v>283</v>
      </c>
      <c r="Y464" s="90" t="s">
        <v>37</v>
      </c>
      <c r="Z464" s="90" t="s">
        <v>37</v>
      </c>
      <c r="AB464" s="90" t="s">
        <v>37</v>
      </c>
      <c r="AC464" s="90"/>
      <c r="AD464" s="94"/>
      <c r="AE464" s="90" t="s">
        <v>37</v>
      </c>
      <c r="AF464" s="90"/>
      <c r="AG464" s="94"/>
      <c r="AH464" s="90" t="s">
        <v>37</v>
      </c>
      <c r="AI464" s="90"/>
      <c r="AJ464" s="90"/>
      <c r="AK464" s="90" t="s">
        <v>37</v>
      </c>
      <c r="AL464" s="41">
        <v>2006</v>
      </c>
      <c r="AM464" s="90" t="s">
        <v>344</v>
      </c>
      <c r="AO464" s="90" t="s">
        <v>37</v>
      </c>
      <c r="AP464" s="95" t="s">
        <v>597</v>
      </c>
      <c r="AQ464" s="90" t="s">
        <v>849</v>
      </c>
      <c r="AS464" s="42"/>
      <c r="AT464" s="90" t="s">
        <v>326</v>
      </c>
      <c r="AU464" s="90" t="s">
        <v>326</v>
      </c>
      <c r="AV464" s="91" t="s">
        <v>326</v>
      </c>
      <c r="AW464" s="48"/>
      <c r="AX464" s="90" t="s">
        <v>326</v>
      </c>
      <c r="AY464" s="90" t="s">
        <v>326</v>
      </c>
      <c r="AZ464" s="91" t="s">
        <v>326</v>
      </c>
      <c r="BA464" s="48"/>
      <c r="BB464" s="48"/>
      <c r="BC464" s="48"/>
      <c r="BD464" s="94"/>
      <c r="BE464" s="90" t="s">
        <v>326</v>
      </c>
      <c r="BF464" s="90" t="s">
        <v>326</v>
      </c>
      <c r="BG464" s="90" t="s">
        <v>326</v>
      </c>
      <c r="BH464" s="48"/>
      <c r="BI464" s="90" t="s">
        <v>326</v>
      </c>
      <c r="BJ464" s="90" t="s">
        <v>326</v>
      </c>
      <c r="BK464" s="90" t="s">
        <v>326</v>
      </c>
      <c r="BP464" s="90" t="s">
        <v>37</v>
      </c>
      <c r="BQ464" s="90" t="s">
        <v>37</v>
      </c>
      <c r="BR464" s="91" t="s">
        <v>37</v>
      </c>
      <c r="BS464" s="48"/>
      <c r="BT464" s="90" t="s">
        <v>37</v>
      </c>
      <c r="BU464" s="90" t="s">
        <v>37</v>
      </c>
      <c r="BV464" s="90" t="s">
        <v>37</v>
      </c>
      <c r="BZ464" s="84" t="s">
        <v>581</v>
      </c>
      <c r="CA464" s="48">
        <f>CA466</f>
        <v>-51700</v>
      </c>
      <c r="CB464" s="104">
        <f t="shared" si="1835"/>
        <v>12605.000812256634</v>
      </c>
      <c r="CC464" s="91">
        <v>1</v>
      </c>
      <c r="CE464" s="48">
        <f>CE466</f>
        <v>-15510</v>
      </c>
      <c r="CF464" s="104">
        <f t="shared" si="1836"/>
        <v>5773.8936858411389</v>
      </c>
      <c r="CG464" s="41">
        <v>1</v>
      </c>
      <c r="CI464" s="92">
        <f t="shared" si="1837"/>
        <v>36190</v>
      </c>
      <c r="CJ464" s="90" t="e">
        <f t="shared" si="1838"/>
        <v>#DIV/0!</v>
      </c>
      <c r="CK464" s="96" t="e">
        <f t="shared" si="1839"/>
        <v>#DIV/0!</v>
      </c>
      <c r="CL464" s="96">
        <f t="shared" si="1840"/>
        <v>192223893.77238658</v>
      </c>
      <c r="CM464" s="90" t="s">
        <v>47</v>
      </c>
      <c r="CN464" s="39">
        <f>CN466</f>
        <v>39196.666666666664</v>
      </c>
      <c r="CO464" s="104">
        <f t="shared" si="1841"/>
        <v>11274.031774703384</v>
      </c>
      <c r="CP464" s="91">
        <v>1</v>
      </c>
      <c r="CR464" s="39">
        <f>CR466</f>
        <v>35236.666666666664</v>
      </c>
      <c r="CS464" s="104">
        <f t="shared" si="1842"/>
        <v>9245.7901931151609</v>
      </c>
      <c r="CT464" s="91">
        <v>1</v>
      </c>
      <c r="CV464" s="92">
        <f t="shared" si="1843"/>
        <v>-3960</v>
      </c>
      <c r="CW464" s="90" t="e">
        <f t="shared" si="1844"/>
        <v>#DIV/0!</v>
      </c>
      <c r="CX464" s="96" t="e">
        <f t="shared" si="1845"/>
        <v>#DIV/0!</v>
      </c>
      <c r="CY464" s="96">
        <f t="shared" si="1846"/>
        <v>212588428.75212604</v>
      </c>
      <c r="CZ464" s="90" t="s">
        <v>47</v>
      </c>
      <c r="DA464" s="90">
        <f t="shared" si="1852"/>
        <v>-12503.333333333336</v>
      </c>
      <c r="DB464" s="104">
        <f t="shared" si="1847"/>
        <v>37505.705838773269</v>
      </c>
      <c r="DC464" s="91">
        <v>1</v>
      </c>
      <c r="DE464" s="90">
        <f t="shared" si="1853"/>
        <v>19726.666666666664</v>
      </c>
      <c r="DF464" s="104">
        <f t="shared" si="1848"/>
        <v>18802.330188886517</v>
      </c>
      <c r="DG464" s="91">
        <v>1</v>
      </c>
      <c r="DI464" s="48">
        <f t="shared" si="1854"/>
        <v>32230</v>
      </c>
      <c r="DJ464" s="90" t="e">
        <f t="shared" si="1849"/>
        <v>#DIV/0!</v>
      </c>
      <c r="DK464" s="96" t="e">
        <f t="shared" si="1850"/>
        <v>#DIV/0!</v>
      </c>
      <c r="DL464" s="96">
        <f t="shared" si="1851"/>
        <v>1760205590.9965045</v>
      </c>
    </row>
    <row r="465" spans="1:606" ht="18.75" customHeight="1" x14ac:dyDescent="0.3">
      <c r="A465" s="89">
        <v>111</v>
      </c>
      <c r="B465" s="84" t="s">
        <v>1020</v>
      </c>
      <c r="C465" s="90" t="s">
        <v>26</v>
      </c>
      <c r="D465" s="84" t="s">
        <v>973</v>
      </c>
      <c r="F465" s="88">
        <v>0</v>
      </c>
      <c r="G465" s="88">
        <v>0</v>
      </c>
      <c r="H465" s="84" t="s">
        <v>82</v>
      </c>
      <c r="I465" s="107">
        <v>37.201000000000001</v>
      </c>
      <c r="J465" s="107">
        <v>-122.02630000000001</v>
      </c>
      <c r="K465" s="84" t="s">
        <v>1021</v>
      </c>
      <c r="L465" s="88" t="s">
        <v>1022</v>
      </c>
      <c r="M465" s="91" t="s">
        <v>37</v>
      </c>
      <c r="N465" s="12"/>
      <c r="P465" s="84" t="s">
        <v>679</v>
      </c>
      <c r="Q465" s="75">
        <v>3</v>
      </c>
      <c r="R465" s="12"/>
      <c r="S465" s="90" t="s">
        <v>980</v>
      </c>
      <c r="U465" s="12" t="s">
        <v>158</v>
      </c>
      <c r="V465" s="84" t="s">
        <v>842</v>
      </c>
      <c r="W465" s="83" t="s">
        <v>1023</v>
      </c>
      <c r="X465" s="84" t="s">
        <v>283</v>
      </c>
      <c r="Y465" s="90" t="s">
        <v>37</v>
      </c>
      <c r="Z465" s="90" t="s">
        <v>37</v>
      </c>
      <c r="AA465" s="12"/>
      <c r="AB465" s="90" t="s">
        <v>37</v>
      </c>
      <c r="AC465" s="90"/>
      <c r="AD465" s="94"/>
      <c r="AE465" s="90" t="s">
        <v>37</v>
      </c>
      <c r="AF465" s="90"/>
      <c r="AG465" s="94"/>
      <c r="AH465" s="90" t="s">
        <v>37</v>
      </c>
      <c r="AI465" s="90"/>
      <c r="AJ465" s="90"/>
      <c r="AK465" s="90" t="s">
        <v>37</v>
      </c>
      <c r="AL465" s="13">
        <v>2007</v>
      </c>
      <c r="AM465" s="90" t="s">
        <v>344</v>
      </c>
      <c r="AN465" s="12"/>
      <c r="AO465" s="90" t="s">
        <v>37</v>
      </c>
      <c r="AP465" s="95" t="s">
        <v>597</v>
      </c>
      <c r="AQ465" s="90" t="s">
        <v>849</v>
      </c>
      <c r="AT465" s="90" t="s">
        <v>326</v>
      </c>
      <c r="AU465" s="90" t="s">
        <v>326</v>
      </c>
      <c r="AV465" s="91" t="s">
        <v>326</v>
      </c>
      <c r="AW465" s="48"/>
      <c r="AX465" s="90" t="s">
        <v>326</v>
      </c>
      <c r="AY465" s="90" t="s">
        <v>326</v>
      </c>
      <c r="AZ465" s="91" t="s">
        <v>326</v>
      </c>
      <c r="BA465" s="48"/>
      <c r="BB465" s="48"/>
      <c r="BC465" s="48"/>
      <c r="BD465" s="94"/>
      <c r="BE465" s="90" t="s">
        <v>326</v>
      </c>
      <c r="BF465" s="90" t="s">
        <v>326</v>
      </c>
      <c r="BG465" s="90" t="s">
        <v>326</v>
      </c>
      <c r="BH465" s="48"/>
      <c r="BI465" s="90" t="s">
        <v>326</v>
      </c>
      <c r="BJ465" s="90" t="s">
        <v>326</v>
      </c>
      <c r="BK465" s="90" t="s">
        <v>326</v>
      </c>
      <c r="BP465" s="90" t="s">
        <v>37</v>
      </c>
      <c r="BQ465" s="90" t="s">
        <v>37</v>
      </c>
      <c r="BR465" s="91" t="s">
        <v>37</v>
      </c>
      <c r="BS465" s="48"/>
      <c r="BT465" s="90" t="s">
        <v>37</v>
      </c>
      <c r="BU465" s="90" t="s">
        <v>37</v>
      </c>
      <c r="BV465" s="90" t="s">
        <v>37</v>
      </c>
      <c r="BZ465" s="84" t="s">
        <v>581</v>
      </c>
      <c r="CA465" s="48">
        <f>CA467</f>
        <v>-52030</v>
      </c>
      <c r="CB465" s="104">
        <f t="shared" si="1835"/>
        <v>12685.458264249761</v>
      </c>
      <c r="CC465" s="91">
        <v>1</v>
      </c>
      <c r="CE465" s="48">
        <f>CE467</f>
        <v>-33366.666666666664</v>
      </c>
      <c r="CF465" s="104">
        <f t="shared" si="1836"/>
        <v>12421.378851336727</v>
      </c>
      <c r="CG465" s="13">
        <v>1</v>
      </c>
      <c r="CI465" s="92">
        <f t="shared" si="1837"/>
        <v>18663.333333333336</v>
      </c>
      <c r="CJ465" s="90" t="e">
        <f t="shared" si="1838"/>
        <v>#DIV/0!</v>
      </c>
      <c r="CK465" s="96" t="e">
        <f t="shared" si="1839"/>
        <v>#DIV/0!</v>
      </c>
      <c r="CL465" s="96">
        <f t="shared" si="1840"/>
        <v>315211503.94245785</v>
      </c>
      <c r="CM465" s="90" t="s">
        <v>47</v>
      </c>
      <c r="CN465" s="39">
        <f>CN467</f>
        <v>53753.333333333336</v>
      </c>
      <c r="CO465" s="104">
        <f t="shared" si="1841"/>
        <v>15460.926643325691</v>
      </c>
      <c r="CP465" s="91">
        <v>1</v>
      </c>
      <c r="CR465" s="39">
        <f>CR467</f>
        <v>42936.666666666664</v>
      </c>
      <c r="CS465" s="104">
        <f t="shared" si="1842"/>
        <v>11266.202202016497</v>
      </c>
      <c r="CT465" s="91">
        <v>1</v>
      </c>
      <c r="CV465" s="92">
        <f t="shared" si="1843"/>
        <v>-10816.666666666672</v>
      </c>
      <c r="CW465" s="90" t="e">
        <f t="shared" si="1844"/>
        <v>#DIV/0!</v>
      </c>
      <c r="CX465" s="96" t="e">
        <f t="shared" si="1845"/>
        <v>#DIV/0!</v>
      </c>
      <c r="CY465" s="96">
        <f t="shared" si="1846"/>
        <v>365967564.72701955</v>
      </c>
      <c r="CZ465" s="90" t="s">
        <v>47</v>
      </c>
      <c r="DA465" s="90">
        <f t="shared" si="1852"/>
        <v>1723.3333333333358</v>
      </c>
      <c r="DB465" s="104">
        <f t="shared" si="1847"/>
        <v>5169.4081361359113</v>
      </c>
      <c r="DC465" s="91">
        <v>1</v>
      </c>
      <c r="DE465" s="90">
        <f t="shared" si="1853"/>
        <v>9570</v>
      </c>
      <c r="DF465" s="104">
        <f t="shared" si="1848"/>
        <v>9121.5765414486632</v>
      </c>
      <c r="DG465" s="91">
        <v>1</v>
      </c>
      <c r="DI465" s="48">
        <f t="shared" si="1854"/>
        <v>7846.6666666666642</v>
      </c>
      <c r="DJ465" s="90" t="e">
        <f t="shared" si="1849"/>
        <v>#DIV/0!</v>
      </c>
      <c r="DK465" s="96" t="e">
        <f t="shared" si="1850"/>
        <v>#DIV/0!</v>
      </c>
      <c r="DL465" s="96">
        <f t="shared" si="1851"/>
        <v>109925939.07945472</v>
      </c>
    </row>
    <row r="466" spans="1:606" x14ac:dyDescent="0.3">
      <c r="A466" s="89">
        <v>111</v>
      </c>
      <c r="B466" s="84" t="s">
        <v>1020</v>
      </c>
      <c r="C466" s="90" t="s">
        <v>26</v>
      </c>
      <c r="D466" s="84" t="s">
        <v>973</v>
      </c>
      <c r="F466" s="88">
        <v>0</v>
      </c>
      <c r="G466" s="88">
        <v>0</v>
      </c>
      <c r="H466" s="84" t="s">
        <v>82</v>
      </c>
      <c r="I466" s="107">
        <v>37.201000000000001</v>
      </c>
      <c r="J466" s="107">
        <v>-122.02630000000001</v>
      </c>
      <c r="K466" s="84" t="s">
        <v>1021</v>
      </c>
      <c r="L466" s="88" t="s">
        <v>1022</v>
      </c>
      <c r="M466" s="91" t="s">
        <v>37</v>
      </c>
      <c r="N466" s="12"/>
      <c r="P466" s="84" t="s">
        <v>679</v>
      </c>
      <c r="Q466" s="75">
        <v>2</v>
      </c>
      <c r="R466" s="12"/>
      <c r="S466" s="90" t="s">
        <v>980</v>
      </c>
      <c r="U466" s="12" t="s">
        <v>158</v>
      </c>
      <c r="V466" s="84" t="s">
        <v>842</v>
      </c>
      <c r="W466" s="83" t="s">
        <v>1023</v>
      </c>
      <c r="X466" s="84" t="s">
        <v>283</v>
      </c>
      <c r="Y466" s="90" t="s">
        <v>37</v>
      </c>
      <c r="Z466" s="90" t="s">
        <v>37</v>
      </c>
      <c r="AA466" s="12"/>
      <c r="AB466" s="90" t="s">
        <v>37</v>
      </c>
      <c r="AC466" s="90"/>
      <c r="AD466" s="94"/>
      <c r="AE466" s="90" t="s">
        <v>37</v>
      </c>
      <c r="AF466" s="90"/>
      <c r="AG466" s="94"/>
      <c r="AH466" s="90" t="s">
        <v>37</v>
      </c>
      <c r="AI466" s="90"/>
      <c r="AJ466" s="90"/>
      <c r="AK466" s="90" t="s">
        <v>37</v>
      </c>
      <c r="AL466" s="13">
        <v>2008</v>
      </c>
      <c r="AM466" s="90" t="s">
        <v>344</v>
      </c>
      <c r="AN466" s="12"/>
      <c r="AO466" s="90" t="s">
        <v>37</v>
      </c>
      <c r="AP466" s="95" t="s">
        <v>597</v>
      </c>
      <c r="AQ466" s="90" t="s">
        <v>849</v>
      </c>
      <c r="AT466" s="90" t="s">
        <v>326</v>
      </c>
      <c r="AU466" s="90" t="s">
        <v>326</v>
      </c>
      <c r="AV466" s="91" t="s">
        <v>326</v>
      </c>
      <c r="AW466" s="48"/>
      <c r="AX466" s="90" t="s">
        <v>326</v>
      </c>
      <c r="AY466" s="90" t="s">
        <v>326</v>
      </c>
      <c r="AZ466" s="91" t="s">
        <v>326</v>
      </c>
      <c r="BA466" s="48"/>
      <c r="BB466" s="48"/>
      <c r="BC466" s="48"/>
      <c r="BD466" s="94"/>
      <c r="BE466" s="90" t="s">
        <v>326</v>
      </c>
      <c r="BF466" s="90" t="s">
        <v>326</v>
      </c>
      <c r="BG466" s="90" t="s">
        <v>326</v>
      </c>
      <c r="BH466" s="48"/>
      <c r="BI466" s="90" t="s">
        <v>326</v>
      </c>
      <c r="BJ466" s="90" t="s">
        <v>326</v>
      </c>
      <c r="BK466" s="90" t="s">
        <v>326</v>
      </c>
      <c r="BP466" s="90" t="s">
        <v>37</v>
      </c>
      <c r="BQ466" s="90" t="s">
        <v>37</v>
      </c>
      <c r="BR466" s="91" t="s">
        <v>37</v>
      </c>
      <c r="BS466" s="48"/>
      <c r="BT466" s="90" t="s">
        <v>37</v>
      </c>
      <c r="BU466" s="90" t="s">
        <v>37</v>
      </c>
      <c r="BV466" s="90" t="s">
        <v>37</v>
      </c>
      <c r="BZ466" s="84" t="s">
        <v>581</v>
      </c>
      <c r="CA466" s="48">
        <f>-14100*44/12</f>
        <v>-51700</v>
      </c>
      <c r="CB466" s="104">
        <f t="shared" si="1835"/>
        <v>12605.000812256634</v>
      </c>
      <c r="CC466" s="91">
        <v>1</v>
      </c>
      <c r="CE466" s="48">
        <f>-4230*44/12</f>
        <v>-15510</v>
      </c>
      <c r="CF466" s="104">
        <f t="shared" si="1836"/>
        <v>5773.8936858411389</v>
      </c>
      <c r="CG466" s="13">
        <v>1</v>
      </c>
      <c r="CI466" s="92">
        <f t="shared" si="1837"/>
        <v>36190</v>
      </c>
      <c r="CJ466" s="90" t="e">
        <f t="shared" si="1838"/>
        <v>#DIV/0!</v>
      </c>
      <c r="CK466" s="96" t="e">
        <f t="shared" si="1839"/>
        <v>#DIV/0!</v>
      </c>
      <c r="CL466" s="96">
        <f t="shared" si="1840"/>
        <v>192223893.77238658</v>
      </c>
      <c r="CM466" s="90" t="s">
        <v>47</v>
      </c>
      <c r="CN466" s="12">
        <v>39196.666666666664</v>
      </c>
      <c r="CO466" s="104">
        <f t="shared" si="1841"/>
        <v>11274.031774703384</v>
      </c>
      <c r="CP466" s="91">
        <v>1</v>
      </c>
      <c r="CR466" s="12">
        <v>35236.666666666664</v>
      </c>
      <c r="CS466" s="104">
        <f t="shared" si="1842"/>
        <v>9245.7901931151609</v>
      </c>
      <c r="CT466" s="91">
        <v>1</v>
      </c>
      <c r="CV466" s="92">
        <f t="shared" si="1843"/>
        <v>-3960</v>
      </c>
      <c r="CW466" s="90" t="e">
        <f t="shared" si="1844"/>
        <v>#DIV/0!</v>
      </c>
      <c r="CX466" s="96" t="e">
        <f t="shared" si="1845"/>
        <v>#DIV/0!</v>
      </c>
      <c r="CY466" s="96">
        <f t="shared" si="1846"/>
        <v>212588428.75212604</v>
      </c>
      <c r="CZ466" s="90" t="s">
        <v>47</v>
      </c>
      <c r="DA466" s="90">
        <f t="shared" si="1852"/>
        <v>-12503.333333333336</v>
      </c>
      <c r="DB466" s="104">
        <f t="shared" si="1847"/>
        <v>37505.705838773269</v>
      </c>
      <c r="DC466" s="91">
        <v>1</v>
      </c>
      <c r="DE466" s="90">
        <f t="shared" si="1853"/>
        <v>19726.666666666664</v>
      </c>
      <c r="DF466" s="104">
        <f t="shared" si="1848"/>
        <v>18802.330188886517</v>
      </c>
      <c r="DG466" s="91">
        <v>1</v>
      </c>
      <c r="DI466" s="48">
        <f t="shared" si="1854"/>
        <v>32230</v>
      </c>
      <c r="DJ466" s="90" t="e">
        <f t="shared" si="1849"/>
        <v>#DIV/0!</v>
      </c>
      <c r="DK466" s="96" t="e">
        <f t="shared" si="1850"/>
        <v>#DIV/0!</v>
      </c>
      <c r="DL466" s="96">
        <f t="shared" si="1851"/>
        <v>1760205590.9965045</v>
      </c>
    </row>
    <row r="467" spans="1:606" x14ac:dyDescent="0.3">
      <c r="A467" s="89">
        <v>111</v>
      </c>
      <c r="B467" s="84" t="s">
        <v>1020</v>
      </c>
      <c r="C467" s="90" t="s">
        <v>26</v>
      </c>
      <c r="D467" s="84" t="s">
        <v>973</v>
      </c>
      <c r="F467" s="88">
        <v>0</v>
      </c>
      <c r="G467" s="88">
        <v>0</v>
      </c>
      <c r="H467" s="84" t="s">
        <v>82</v>
      </c>
      <c r="I467" s="107">
        <v>37.201000000000001</v>
      </c>
      <c r="J467" s="107">
        <v>-122.02630000000001</v>
      </c>
      <c r="K467" s="84" t="s">
        <v>1021</v>
      </c>
      <c r="L467" s="88" t="s">
        <v>1022</v>
      </c>
      <c r="M467" s="91" t="s">
        <v>37</v>
      </c>
      <c r="N467" s="12"/>
      <c r="P467" s="84" t="s">
        <v>679</v>
      </c>
      <c r="Q467" s="75">
        <v>3</v>
      </c>
      <c r="R467" s="12"/>
      <c r="S467" s="90" t="s">
        <v>980</v>
      </c>
      <c r="U467" s="12" t="s">
        <v>158</v>
      </c>
      <c r="V467" s="84" t="s">
        <v>842</v>
      </c>
      <c r="W467" s="83" t="s">
        <v>1023</v>
      </c>
      <c r="X467" s="84" t="s">
        <v>283</v>
      </c>
      <c r="Y467" s="90" t="s">
        <v>37</v>
      </c>
      <c r="Z467" s="90" t="s">
        <v>37</v>
      </c>
      <c r="AA467" s="12"/>
      <c r="AB467" s="90" t="s">
        <v>37</v>
      </c>
      <c r="AC467" s="90"/>
      <c r="AD467" s="94"/>
      <c r="AE467" s="90" t="s">
        <v>37</v>
      </c>
      <c r="AF467" s="90"/>
      <c r="AG467" s="94"/>
      <c r="AH467" s="90" t="s">
        <v>37</v>
      </c>
      <c r="AI467" s="90"/>
      <c r="AJ467" s="90"/>
      <c r="AK467" s="90" t="s">
        <v>37</v>
      </c>
      <c r="AL467" s="13">
        <v>2009</v>
      </c>
      <c r="AM467" s="90" t="s">
        <v>344</v>
      </c>
      <c r="AN467" s="12"/>
      <c r="AO467" s="90" t="s">
        <v>37</v>
      </c>
      <c r="AP467" s="95" t="s">
        <v>597</v>
      </c>
      <c r="AQ467" s="90" t="s">
        <v>849</v>
      </c>
      <c r="AT467" s="90" t="s">
        <v>326</v>
      </c>
      <c r="AU467" s="90" t="s">
        <v>326</v>
      </c>
      <c r="AV467" s="91" t="s">
        <v>326</v>
      </c>
      <c r="AW467" s="48"/>
      <c r="AX467" s="90" t="s">
        <v>326</v>
      </c>
      <c r="AY467" s="90" t="s">
        <v>326</v>
      </c>
      <c r="AZ467" s="91" t="s">
        <v>326</v>
      </c>
      <c r="BA467" s="48"/>
      <c r="BB467" s="48"/>
      <c r="BC467" s="48"/>
      <c r="BD467" s="94"/>
      <c r="BE467" s="90" t="s">
        <v>326</v>
      </c>
      <c r="BF467" s="90" t="s">
        <v>326</v>
      </c>
      <c r="BG467" s="90" t="s">
        <v>326</v>
      </c>
      <c r="BH467" s="48"/>
      <c r="BI467" s="90" t="s">
        <v>326</v>
      </c>
      <c r="BJ467" s="90" t="s">
        <v>326</v>
      </c>
      <c r="BK467" s="90" t="s">
        <v>326</v>
      </c>
      <c r="BP467" s="90" t="s">
        <v>37</v>
      </c>
      <c r="BQ467" s="90" t="s">
        <v>37</v>
      </c>
      <c r="BR467" s="91" t="s">
        <v>37</v>
      </c>
      <c r="BS467" s="48"/>
      <c r="BT467" s="90" t="s">
        <v>37</v>
      </c>
      <c r="BU467" s="90" t="s">
        <v>37</v>
      </c>
      <c r="BV467" s="90" t="s">
        <v>37</v>
      </c>
      <c r="BZ467" s="84" t="s">
        <v>581</v>
      </c>
      <c r="CA467" s="48">
        <f>-14190*44/12</f>
        <v>-52030</v>
      </c>
      <c r="CB467" s="104">
        <f t="shared" si="1835"/>
        <v>12685.458264249761</v>
      </c>
      <c r="CC467" s="91">
        <v>1</v>
      </c>
      <c r="CE467" s="48">
        <f>-9100*44/12</f>
        <v>-33366.666666666664</v>
      </c>
      <c r="CF467" s="104">
        <f t="shared" si="1836"/>
        <v>12421.378851336727</v>
      </c>
      <c r="CG467" s="13">
        <v>1</v>
      </c>
      <c r="CI467" s="92">
        <f t="shared" si="1837"/>
        <v>18663.333333333336</v>
      </c>
      <c r="CJ467" s="90" t="e">
        <f t="shared" si="1838"/>
        <v>#DIV/0!</v>
      </c>
      <c r="CK467" s="96" t="e">
        <f t="shared" si="1839"/>
        <v>#DIV/0!</v>
      </c>
      <c r="CL467" s="96">
        <f t="shared" si="1840"/>
        <v>315211503.94245785</v>
      </c>
      <c r="CM467" s="90" t="s">
        <v>47</v>
      </c>
      <c r="CN467" s="12">
        <v>53753.333333333336</v>
      </c>
      <c r="CO467" s="104">
        <f t="shared" si="1841"/>
        <v>15460.926643325691</v>
      </c>
      <c r="CP467" s="91">
        <v>1</v>
      </c>
      <c r="CR467" s="12">
        <v>42936.666666666664</v>
      </c>
      <c r="CS467" s="104">
        <f t="shared" si="1842"/>
        <v>11266.202202016497</v>
      </c>
      <c r="CT467" s="91">
        <v>1</v>
      </c>
      <c r="CV467" s="92">
        <f t="shared" si="1843"/>
        <v>-10816.666666666672</v>
      </c>
      <c r="CW467" s="90" t="e">
        <f t="shared" si="1844"/>
        <v>#DIV/0!</v>
      </c>
      <c r="CX467" s="96" t="e">
        <f t="shared" si="1845"/>
        <v>#DIV/0!</v>
      </c>
      <c r="CY467" s="96">
        <f t="shared" si="1846"/>
        <v>365967564.72701955</v>
      </c>
      <c r="CZ467" s="90" t="s">
        <v>47</v>
      </c>
      <c r="DA467" s="90">
        <f t="shared" si="1852"/>
        <v>1723.3333333333358</v>
      </c>
      <c r="DB467" s="104">
        <f t="shared" si="1847"/>
        <v>5169.4081361359113</v>
      </c>
      <c r="DC467" s="91">
        <v>1</v>
      </c>
      <c r="DE467" s="90">
        <f t="shared" si="1853"/>
        <v>9570</v>
      </c>
      <c r="DF467" s="104">
        <f t="shared" si="1848"/>
        <v>9121.5765414486632</v>
      </c>
      <c r="DG467" s="91">
        <v>1</v>
      </c>
      <c r="DI467" s="48">
        <f t="shared" si="1854"/>
        <v>7846.6666666666642</v>
      </c>
      <c r="DJ467" s="90" t="e">
        <f t="shared" si="1849"/>
        <v>#DIV/0!</v>
      </c>
      <c r="DK467" s="96" t="e">
        <f t="shared" si="1850"/>
        <v>#DIV/0!</v>
      </c>
      <c r="DL467" s="96">
        <f t="shared" si="1851"/>
        <v>109925939.07945472</v>
      </c>
    </row>
    <row r="468" spans="1:606" x14ac:dyDescent="0.3">
      <c r="A468" s="13">
        <v>112</v>
      </c>
      <c r="B468" s="84" t="s">
        <v>1024</v>
      </c>
      <c r="C468" s="90" t="s">
        <v>26</v>
      </c>
      <c r="D468" s="12" t="s">
        <v>1050</v>
      </c>
      <c r="F468" s="88">
        <v>0</v>
      </c>
      <c r="G468" s="88">
        <v>0</v>
      </c>
      <c r="H468" s="12" t="s">
        <v>1025</v>
      </c>
      <c r="I468" s="107">
        <v>-41.866999999999997</v>
      </c>
      <c r="J468" s="107">
        <v>-73.667000000000002</v>
      </c>
      <c r="K468" s="84" t="s">
        <v>1029</v>
      </c>
      <c r="L468" s="88" t="s">
        <v>1030</v>
      </c>
      <c r="M468" s="91" t="s">
        <v>37</v>
      </c>
      <c r="O468" s="14">
        <v>2250</v>
      </c>
      <c r="P468" s="84" t="s">
        <v>679</v>
      </c>
      <c r="Q468" s="75">
        <v>40</v>
      </c>
      <c r="R468" s="12"/>
      <c r="S468" s="84" t="s">
        <v>85</v>
      </c>
      <c r="T468" s="84" t="s">
        <v>138</v>
      </c>
      <c r="U468" s="12" t="s">
        <v>158</v>
      </c>
      <c r="V468" s="84" t="s">
        <v>275</v>
      </c>
      <c r="W468" s="83" t="s">
        <v>1026</v>
      </c>
      <c r="X468" s="84" t="s">
        <v>281</v>
      </c>
      <c r="Y468" s="90" t="s">
        <v>37</v>
      </c>
      <c r="Z468" s="90" t="s">
        <v>37</v>
      </c>
      <c r="AA468" s="12"/>
      <c r="AB468" s="90" t="s">
        <v>37</v>
      </c>
      <c r="AC468" s="90"/>
      <c r="AD468" s="94"/>
      <c r="AE468" s="90" t="s">
        <v>37</v>
      </c>
      <c r="AF468" s="90"/>
      <c r="AG468" s="94"/>
      <c r="AH468" s="90" t="s">
        <v>37</v>
      </c>
      <c r="AI468" s="90"/>
      <c r="AJ468" s="90"/>
      <c r="AK468" s="90" t="s">
        <v>37</v>
      </c>
      <c r="AL468" s="84" t="s">
        <v>1027</v>
      </c>
      <c r="AM468" s="84" t="s">
        <v>1028</v>
      </c>
      <c r="AN468" s="84"/>
      <c r="AO468" s="90" t="s">
        <v>37</v>
      </c>
      <c r="AP468" s="95" t="s">
        <v>597</v>
      </c>
      <c r="AQ468" s="90" t="s">
        <v>849</v>
      </c>
      <c r="AT468" s="90" t="s">
        <v>326</v>
      </c>
      <c r="AU468" s="90" t="s">
        <v>326</v>
      </c>
      <c r="AV468" s="91" t="s">
        <v>326</v>
      </c>
      <c r="AW468" s="48"/>
      <c r="AX468" s="90" t="s">
        <v>326</v>
      </c>
      <c r="AY468" s="90" t="s">
        <v>326</v>
      </c>
      <c r="AZ468" s="91" t="s">
        <v>326</v>
      </c>
      <c r="BA468" s="48"/>
      <c r="BB468" s="48"/>
      <c r="BC468" s="48"/>
      <c r="BD468" s="94"/>
      <c r="BE468" s="90" t="s">
        <v>326</v>
      </c>
      <c r="BF468" s="90" t="s">
        <v>326</v>
      </c>
      <c r="BG468" s="90" t="s">
        <v>326</v>
      </c>
      <c r="BH468" s="48"/>
      <c r="BI468" s="90" t="s">
        <v>326</v>
      </c>
      <c r="BJ468" s="90" t="s">
        <v>326</v>
      </c>
      <c r="BK468" s="90" t="s">
        <v>326</v>
      </c>
      <c r="BP468" s="90" t="s">
        <v>37</v>
      </c>
      <c r="BQ468" s="90" t="s">
        <v>37</v>
      </c>
      <c r="BR468" s="91" t="s">
        <v>37</v>
      </c>
      <c r="BS468" s="48"/>
      <c r="BT468" s="90" t="s">
        <v>37</v>
      </c>
      <c r="BU468" s="90" t="s">
        <v>37</v>
      </c>
      <c r="BV468" s="90" t="s">
        <v>37</v>
      </c>
      <c r="BZ468" s="84" t="s">
        <v>581</v>
      </c>
      <c r="CA468" s="48">
        <v>-38630</v>
      </c>
      <c r="CB468" s="104">
        <f t="shared" si="1835"/>
        <v>9418.3980924076168</v>
      </c>
      <c r="CC468" s="91">
        <v>1</v>
      </c>
      <c r="CE468" s="48">
        <v>-35990</v>
      </c>
      <c r="CF468" s="48">
        <v>880</v>
      </c>
      <c r="CG468" s="91">
        <v>1</v>
      </c>
      <c r="CI468" s="92">
        <f t="shared" ref="CI468" si="1855">CE468-CA468</f>
        <v>2640</v>
      </c>
      <c r="CJ468" s="90" t="e">
        <f t="shared" ref="CJ468" si="1856">SQRT(((CC468-1)*CB468^2+(CG468-1)*CF468^2)/(CC468+CG468-2))</f>
        <v>#DIV/0!</v>
      </c>
      <c r="CK468" s="96" t="e">
        <f t="shared" ref="CK468" si="1857">(((CC468+CG468)/(CC468*CG468))*(((CC468-1)*CB468^2)+(CG468-1)*CF468^2)/(CC468+CG468-2))</f>
        <v>#DIV/0!</v>
      </c>
      <c r="CL468" s="96">
        <f t="shared" ref="CL468" si="1858">(CB468^2/CC468)+(CF468^2/CG468)</f>
        <v>89480622.627067432</v>
      </c>
      <c r="CM468" s="90" t="s">
        <v>47</v>
      </c>
      <c r="CN468" s="12">
        <v>37280</v>
      </c>
      <c r="CO468" s="12">
        <v>1760</v>
      </c>
      <c r="CP468" s="13">
        <v>1</v>
      </c>
      <c r="CR468" s="12">
        <v>35670</v>
      </c>
      <c r="CS468" s="12">
        <v>670</v>
      </c>
      <c r="CT468" s="13">
        <v>1</v>
      </c>
      <c r="CV468" s="92">
        <f t="shared" ref="CV468" si="1859">CR468-CN468</f>
        <v>-1610</v>
      </c>
      <c r="CW468" s="90" t="e">
        <f t="shared" ref="CW468" si="1860">SQRT(((CP468-1)*CO468^2+(CT468-1)*CS468^2)/(CP468+CT468-2))</f>
        <v>#DIV/0!</v>
      </c>
      <c r="CX468" s="96" t="e">
        <f t="shared" ref="CX468" si="1861">(((CP468+CT468)/(CP468*CT468))*(((CP468-1)*CO468^2)+(CT468-1)*CS468^2)/(CP468+CT468-2))</f>
        <v>#DIV/0!</v>
      </c>
      <c r="CY468" s="96">
        <f t="shared" ref="CY468" si="1862">(CO468^2/CP468)+(CS468^2/CT468)</f>
        <v>3546500</v>
      </c>
      <c r="CZ468" s="12" t="s">
        <v>581</v>
      </c>
      <c r="DA468" s="12">
        <v>-1350</v>
      </c>
      <c r="DB468" s="12">
        <v>2670</v>
      </c>
      <c r="DC468" s="13">
        <v>1</v>
      </c>
      <c r="DD468" s="48">
        <f t="shared" ref="DD468:DD472" si="1863">DB468/ABS(DA468)</f>
        <v>1.9777777777777779</v>
      </c>
      <c r="DE468" s="12">
        <v>-320</v>
      </c>
      <c r="DF468" s="12">
        <v>1110</v>
      </c>
      <c r="DG468" s="13">
        <v>1</v>
      </c>
      <c r="DH468" s="48">
        <f>DF468/ABS(DE468)</f>
        <v>3.46875</v>
      </c>
      <c r="DI468" s="92">
        <f t="shared" ref="DI468" si="1864">DE468-DA468</f>
        <v>1030</v>
      </c>
      <c r="DJ468" s="90" t="e">
        <f t="shared" ref="DJ468" si="1865">SQRT(((DC468-1)*DB468^2+(DG468-1)*DF468^2)/(DC468+DG468-2))</f>
        <v>#DIV/0!</v>
      </c>
      <c r="DK468" s="96" t="e">
        <f t="shared" ref="DK468" si="1866">(((DC468+DG468)/(DC468*DG468))*(((DC468-1)*DB468^2)+(DG468-1)*DF468^2)/(DC468+DG468-2))</f>
        <v>#DIV/0!</v>
      </c>
      <c r="DL468" s="96">
        <f t="shared" ref="DL468" si="1867">(DB468^2/DC468)+(DF468^2/DG468)</f>
        <v>8361000</v>
      </c>
    </row>
    <row r="469" spans="1:606" x14ac:dyDescent="0.3">
      <c r="A469" s="11">
        <v>113</v>
      </c>
      <c r="B469" s="16" t="s">
        <v>1031</v>
      </c>
      <c r="C469" s="90" t="s">
        <v>26</v>
      </c>
      <c r="D469" s="84" t="s">
        <v>829</v>
      </c>
      <c r="F469" s="88">
        <v>0</v>
      </c>
      <c r="G469" s="88">
        <v>0</v>
      </c>
      <c r="H469" s="84" t="s">
        <v>79</v>
      </c>
      <c r="I469" s="107">
        <v>37.764000000000003</v>
      </c>
      <c r="J469" s="107">
        <v>118.99</v>
      </c>
      <c r="K469" s="84" t="s">
        <v>1032</v>
      </c>
      <c r="L469" s="88" t="s">
        <v>1033</v>
      </c>
      <c r="M469" s="91" t="s">
        <v>37</v>
      </c>
      <c r="N469" s="88">
        <v>12.5</v>
      </c>
      <c r="O469" s="88">
        <v>580</v>
      </c>
      <c r="P469" s="14" t="s">
        <v>679</v>
      </c>
      <c r="S469" s="12" t="s">
        <v>980</v>
      </c>
      <c r="U469" s="12" t="s">
        <v>983</v>
      </c>
      <c r="V469" s="12" t="s">
        <v>1034</v>
      </c>
      <c r="W469" s="93" t="s">
        <v>1035</v>
      </c>
      <c r="X469" s="90" t="s">
        <v>856</v>
      </c>
      <c r="Y469" s="90" t="s">
        <v>37</v>
      </c>
      <c r="Z469" s="90" t="s">
        <v>37</v>
      </c>
      <c r="AA469" s="12"/>
      <c r="AB469" s="90" t="s">
        <v>37</v>
      </c>
      <c r="AC469" s="90"/>
      <c r="AD469" s="94"/>
      <c r="AE469" s="90" t="s">
        <v>37</v>
      </c>
      <c r="AF469" s="90"/>
      <c r="AG469" s="94"/>
      <c r="AH469" s="90" t="s">
        <v>37</v>
      </c>
      <c r="AI469" s="90"/>
      <c r="AJ469" s="90"/>
      <c r="AK469" s="90" t="s">
        <v>37</v>
      </c>
      <c r="AL469" s="32" t="s">
        <v>1036</v>
      </c>
      <c r="AM469" s="12" t="s">
        <v>1037</v>
      </c>
      <c r="AO469" s="90" t="s">
        <v>37</v>
      </c>
      <c r="AP469" s="90" t="s">
        <v>597</v>
      </c>
      <c r="AQ469" s="90" t="s">
        <v>849</v>
      </c>
      <c r="AT469" s="90" t="s">
        <v>326</v>
      </c>
      <c r="AU469" s="90" t="s">
        <v>326</v>
      </c>
      <c r="AV469" s="91" t="s">
        <v>326</v>
      </c>
      <c r="AW469" s="48"/>
      <c r="AX469" s="90" t="s">
        <v>326</v>
      </c>
      <c r="AY469" s="90" t="s">
        <v>326</v>
      </c>
      <c r="AZ469" s="91" t="s">
        <v>326</v>
      </c>
      <c r="BA469" s="48"/>
      <c r="BB469" s="48"/>
      <c r="BC469" s="48"/>
      <c r="BD469" s="94"/>
      <c r="BE469" s="90" t="s">
        <v>326</v>
      </c>
      <c r="BF469" s="90" t="s">
        <v>326</v>
      </c>
      <c r="BG469" s="90" t="s">
        <v>326</v>
      </c>
      <c r="BH469" s="48"/>
      <c r="BI469" s="90" t="s">
        <v>326</v>
      </c>
      <c r="BJ469" s="90" t="s">
        <v>326</v>
      </c>
      <c r="BK469" s="90" t="s">
        <v>326</v>
      </c>
      <c r="BP469" s="90" t="s">
        <v>37</v>
      </c>
      <c r="BQ469" s="90" t="s">
        <v>37</v>
      </c>
      <c r="BR469" s="91" t="s">
        <v>37</v>
      </c>
      <c r="BS469" s="48"/>
      <c r="BT469" s="90" t="s">
        <v>37</v>
      </c>
      <c r="BU469" s="90" t="s">
        <v>37</v>
      </c>
      <c r="BV469" s="90" t="s">
        <v>37</v>
      </c>
      <c r="BZ469" s="12" t="s">
        <v>581</v>
      </c>
      <c r="CA469" s="12">
        <v>-21404.3</v>
      </c>
      <c r="CB469" s="104">
        <f t="shared" si="1835"/>
        <v>5218.5922415045388</v>
      </c>
      <c r="CC469" s="13">
        <v>1</v>
      </c>
      <c r="CE469" s="12">
        <v>-19205.5</v>
      </c>
      <c r="CF469" s="104">
        <f t="shared" ref="CF469" si="1868">ABS(CE469)*CH$474</f>
        <v>7149.6141317486772</v>
      </c>
      <c r="CG469" s="13">
        <v>1</v>
      </c>
      <c r="CI469" s="92">
        <f t="shared" ref="CI469" si="1869">CE469-CA469</f>
        <v>2198.7999999999993</v>
      </c>
      <c r="CJ469" s="90" t="e">
        <f t="shared" ref="CJ469" si="1870">SQRT(((CC469-1)*CB469^2+(CG469-1)*CF469^2)/(CC469+CG469-2))</f>
        <v>#DIV/0!</v>
      </c>
      <c r="CK469" s="96" t="e">
        <f t="shared" ref="CK469" si="1871">(((CC469+CG469)/(CC469*CG469))*(((CC469-1)*CB469^2)+(CG469-1)*CF469^2)/(CC469+CG469-2))</f>
        <v>#DIV/0!</v>
      </c>
      <c r="CL469" s="96">
        <f t="shared" ref="CL469" si="1872">(CB469^2/CC469)+(CF469^2/CG469)</f>
        <v>78350687.21599175</v>
      </c>
      <c r="CM469" s="12" t="s">
        <v>581</v>
      </c>
      <c r="CN469" s="12">
        <v>15413.8</v>
      </c>
      <c r="CO469" s="104">
        <f t="shared" si="1841"/>
        <v>4433.4298231717758</v>
      </c>
      <c r="CP469" s="13">
        <v>1</v>
      </c>
      <c r="CR469" s="12">
        <v>13847.5</v>
      </c>
      <c r="CS469" s="104">
        <f t="shared" si="1842"/>
        <v>3633.4617263975647</v>
      </c>
      <c r="CT469" s="13">
        <v>1</v>
      </c>
      <c r="CV469" s="92">
        <f t="shared" ref="CV469" si="1873">CR469-CN469</f>
        <v>-1566.2999999999993</v>
      </c>
      <c r="CW469" s="90" t="e">
        <f t="shared" ref="CW469" si="1874">SQRT(((CP469-1)*CO469^2+(CT469-1)*CS469^2)/(CP469+CT469-2))</f>
        <v>#DIV/0!</v>
      </c>
      <c r="CX469" s="96" t="e">
        <f t="shared" ref="CX469" si="1875">(((CP469+CT469)/(CP469*CT469))*(((CP469-1)*CO469^2)+(CT469-1)*CS469^2)/(CP469+CT469-2))</f>
        <v>#DIV/0!</v>
      </c>
      <c r="CY469" s="96">
        <f t="shared" ref="CY469" si="1876">(CO469^2/CP469)+(CS469^2/CT469)</f>
        <v>32857344.114184894</v>
      </c>
      <c r="CZ469" s="12" t="s">
        <v>581</v>
      </c>
      <c r="DA469" s="12">
        <v>-5990.5</v>
      </c>
      <c r="DB469" s="104">
        <f t="shared" si="1847"/>
        <v>17969.442614809748</v>
      </c>
      <c r="DC469" s="13">
        <v>1</v>
      </c>
      <c r="DE469" s="12">
        <v>-5358</v>
      </c>
      <c r="DF469" s="104">
        <f t="shared" si="1848"/>
        <v>5106.9390918580921</v>
      </c>
      <c r="DG469" s="13">
        <v>1</v>
      </c>
      <c r="DI469" s="92">
        <f t="shared" ref="DI469" si="1877">DE469-DA469</f>
        <v>632.5</v>
      </c>
      <c r="DJ469" s="90" t="e">
        <f t="shared" ref="DJ469" si="1878">SQRT(((DC469-1)*DB469^2+(DG469-1)*DF469^2)/(DC469+DG469-2))</f>
        <v>#DIV/0!</v>
      </c>
      <c r="DK469" s="96" t="e">
        <f t="shared" ref="DK469" si="1879">(((DC469+DG469)/(DC469*DG469))*(((DC469-1)*DB469^2)+(DG469-1)*DF469^2)/(DC469+DG469-2))</f>
        <v>#DIV/0!</v>
      </c>
      <c r="DL469" s="96">
        <f t="shared" ref="DL469" si="1880">(DB469^2/DC469)+(DF469^2/DG469)</f>
        <v>348981694.77488893</v>
      </c>
    </row>
    <row r="470" spans="1:606" ht="17.399999999999999" x14ac:dyDescent="0.3">
      <c r="A470" s="11">
        <v>115</v>
      </c>
      <c r="B470" s="12" t="s">
        <v>1053</v>
      </c>
      <c r="C470" s="90" t="s">
        <v>26</v>
      </c>
      <c r="D470" s="84" t="s">
        <v>829</v>
      </c>
      <c r="E470" s="14">
        <v>9</v>
      </c>
      <c r="F470" s="88">
        <v>0</v>
      </c>
      <c r="G470" s="88">
        <v>0</v>
      </c>
      <c r="H470" s="12" t="s">
        <v>88</v>
      </c>
      <c r="I470" s="29">
        <v>0.3952</v>
      </c>
      <c r="J470" s="29">
        <v>102.764</v>
      </c>
      <c r="M470" s="91" t="s">
        <v>37</v>
      </c>
      <c r="N470" s="14">
        <v>26.6</v>
      </c>
      <c r="O470" s="14">
        <v>2020</v>
      </c>
      <c r="P470" s="14" t="s">
        <v>89</v>
      </c>
      <c r="Q470" s="75">
        <v>19</v>
      </c>
      <c r="S470" s="12" t="s">
        <v>105</v>
      </c>
      <c r="T470" s="84" t="s">
        <v>138</v>
      </c>
      <c r="U470" s="12" t="s">
        <v>983</v>
      </c>
      <c r="V470" s="12" t="s">
        <v>1034</v>
      </c>
      <c r="W470" s="23" t="s">
        <v>1054</v>
      </c>
      <c r="X470" s="12" t="s">
        <v>49</v>
      </c>
      <c r="Y470" s="90" t="s">
        <v>37</v>
      </c>
      <c r="Z470" s="90" t="s">
        <v>37</v>
      </c>
      <c r="AB470" s="90" t="s">
        <v>37</v>
      </c>
      <c r="AC470" s="90" t="s">
        <v>42</v>
      </c>
      <c r="AD470" s="94" t="s">
        <v>1055</v>
      </c>
      <c r="AE470" s="12">
        <v>502</v>
      </c>
      <c r="AF470" s="90" t="s">
        <v>42</v>
      </c>
      <c r="AG470" s="94" t="s">
        <v>1055</v>
      </c>
      <c r="AH470" s="12">
        <v>13</v>
      </c>
      <c r="AK470" s="12">
        <f>AE470/AH470</f>
        <v>38.615384615384613</v>
      </c>
      <c r="AL470" s="32" t="s">
        <v>1056</v>
      </c>
      <c r="AM470" s="12" t="s">
        <v>1037</v>
      </c>
      <c r="AO470" s="90" t="s">
        <v>37</v>
      </c>
      <c r="AP470" s="90" t="s">
        <v>597</v>
      </c>
      <c r="AQ470" s="90" t="s">
        <v>849</v>
      </c>
      <c r="AT470" s="12">
        <v>502</v>
      </c>
      <c r="AU470" s="15">
        <v>20</v>
      </c>
      <c r="AV470" s="18">
        <v>5</v>
      </c>
      <c r="AW470" s="48">
        <f>AU470/AT470</f>
        <v>3.9840637450199202E-2</v>
      </c>
      <c r="AX470" s="15">
        <v>554</v>
      </c>
      <c r="AY470" s="15">
        <v>50</v>
      </c>
      <c r="AZ470" s="13">
        <v>5</v>
      </c>
      <c r="BA470" s="48">
        <f>AY470/AX470</f>
        <v>9.0252707581227443E-2</v>
      </c>
      <c r="BH470" s="13"/>
      <c r="BL470" s="13"/>
      <c r="BM470" s="13"/>
      <c r="BN470" s="13"/>
      <c r="BS470" s="13"/>
      <c r="BV470" s="12"/>
      <c r="BW470" s="12"/>
      <c r="BX470" s="12"/>
      <c r="BY470" s="12"/>
      <c r="CD470" s="13"/>
      <c r="CH470" s="13"/>
      <c r="CI470" s="13"/>
      <c r="CJ470" s="13"/>
      <c r="CQ470" s="13"/>
      <c r="CU470" s="13"/>
      <c r="CV470" s="13"/>
      <c r="CW470" s="13"/>
      <c r="CX470" s="13"/>
      <c r="CY470" s="13"/>
      <c r="CZ470" s="12" t="s">
        <v>581</v>
      </c>
      <c r="DA470" s="12">
        <v>11900</v>
      </c>
      <c r="DB470" s="12">
        <v>3700</v>
      </c>
      <c r="DC470" s="13">
        <v>3</v>
      </c>
      <c r="DD470" s="48">
        <f t="shared" si="1863"/>
        <v>0.31092436974789917</v>
      </c>
      <c r="DE470" s="12">
        <v>38700</v>
      </c>
      <c r="DF470" s="12">
        <v>4100</v>
      </c>
      <c r="DG470" s="13">
        <v>3</v>
      </c>
      <c r="DH470" s="48">
        <f t="shared" ref="DH470:DH472" si="1881">DF470/ABS(DE470)</f>
        <v>0.10594315245478036</v>
      </c>
      <c r="DI470" s="92">
        <f t="shared" ref="DI470:DI472" si="1882">DE470-DA470</f>
        <v>26800</v>
      </c>
      <c r="DJ470" s="90">
        <f t="shared" ref="DJ470:DJ472" si="1883">SQRT(((DC470-1)*DB470^2+(DG470-1)*DF470^2)/(DC470+DG470-2))</f>
        <v>3905.1248379533272</v>
      </c>
      <c r="DK470" s="96">
        <f t="shared" ref="DK470:DK472" si="1884">(((DC470+DG470)/(DC470*DG470))*(((DC470-1)*DB470^2)+(DG470-1)*DF470^2)/(DC470+DG470-2))</f>
        <v>10166666.666666666</v>
      </c>
      <c r="DL470" s="96">
        <f t="shared" ref="DL470:DL472" si="1885">(DB470^2/DC470)+(DF470^2/DG470)</f>
        <v>10166666.666666666</v>
      </c>
      <c r="DM470" s="90" t="s">
        <v>47</v>
      </c>
      <c r="DN470" s="15">
        <v>92.5</v>
      </c>
      <c r="DO470" s="15">
        <v>6.5</v>
      </c>
      <c r="DP470" s="18">
        <v>3</v>
      </c>
      <c r="DQ470" s="48">
        <f t="shared" ref="DQ470:DQ472" si="1886">DO470/ABS(DN470)</f>
        <v>7.0270270270270274E-2</v>
      </c>
      <c r="DR470" s="15">
        <v>37.200000000000003</v>
      </c>
      <c r="DS470" s="15">
        <v>3.6</v>
      </c>
      <c r="DT470" s="18">
        <v>3</v>
      </c>
      <c r="DU470" s="48">
        <f t="shared" ref="DU470:DU472" si="1887">DS470/ABS(DR470)</f>
        <v>9.6774193548387094E-2</v>
      </c>
      <c r="DV470" s="48">
        <f t="shared" ref="DV470:DV472" si="1888">DR470-DN470</f>
        <v>-55.3</v>
      </c>
      <c r="DW470" s="90">
        <f t="shared" ref="DW470:DW472" si="1889">SQRT(((DP470-1)*DO470^2+(DT470-1)*DS470^2)/(DP470+DT470-2))</f>
        <v>5.2540460599427563</v>
      </c>
      <c r="DX470" s="96">
        <f t="shared" ref="DX470:DX472" si="1890">(((DP470+DT470)/(DP470*DT470))*(((DP470-1)*DO470^2)+(DT470-1)*DS470^2)/(DP470+DT470-2))</f>
        <v>18.403333333333332</v>
      </c>
      <c r="DY470" s="96">
        <f t="shared" ref="DY470:DY472" si="1891">(DO470^2/DP470)+(DS470^2/DT470)</f>
        <v>18.403333333333336</v>
      </c>
      <c r="DZ470" s="15"/>
      <c r="EA470" s="15"/>
      <c r="EB470" s="15"/>
      <c r="EC470" s="18"/>
      <c r="ED470" s="18"/>
      <c r="EE470" s="15"/>
      <c r="EF470" s="15"/>
      <c r="EG470" s="18"/>
      <c r="EH470" s="18"/>
      <c r="EI470" s="52"/>
      <c r="EJ470" s="18"/>
      <c r="EK470" s="18"/>
      <c r="EL470" s="18"/>
      <c r="EM470" s="90" t="s">
        <v>39</v>
      </c>
      <c r="EN470" s="12">
        <v>-15</v>
      </c>
      <c r="EO470" s="12">
        <v>16</v>
      </c>
      <c r="EP470" s="13">
        <v>5</v>
      </c>
      <c r="EQ470" s="48">
        <f t="shared" ref="EQ470:EQ472" si="1892">EO470/ABS(EN470)</f>
        <v>1.0666666666666667</v>
      </c>
      <c r="ER470" s="12">
        <v>-67</v>
      </c>
      <c r="ES470" s="12">
        <v>10</v>
      </c>
      <c r="ET470" s="13">
        <v>5</v>
      </c>
      <c r="EU470" s="48">
        <f t="shared" ref="EU470:EU472" si="1893">ES470/ABS(ER470)</f>
        <v>0.14925373134328357</v>
      </c>
      <c r="EV470" s="90">
        <f t="shared" ref="EV470:EV471" si="1894">ER470-EN470</f>
        <v>-52</v>
      </c>
      <c r="EW470" s="90">
        <f t="shared" ref="EW470:EW472" si="1895">SQRT(((EP470-1)*EO470^2+(ET470-1)*ES470^2)/(EP470+ET470-2))</f>
        <v>13.341664064126334</v>
      </c>
      <c r="EX470" s="48">
        <f t="shared" ref="EX470:EX472" si="1896">(((EP470+ET470)/(EP470*ET470))*(((EP470-1)*EO470^2)+(ET470-1)*ES470^2)/(EP470+ET470-2))</f>
        <v>71.2</v>
      </c>
      <c r="EY470" s="48">
        <f t="shared" ref="EY470:EY471" si="1897">(EO470^2/EP470)+(ES470^2/ET470)</f>
        <v>71.2</v>
      </c>
      <c r="FB470" s="11"/>
      <c r="FC470" s="11"/>
      <c r="FI470" s="11"/>
      <c r="FJ470" s="11"/>
      <c r="FP470" s="11"/>
      <c r="FQ470" s="11"/>
      <c r="FW470" s="11"/>
      <c r="FX470" s="11"/>
      <c r="GH470" s="13"/>
      <c r="GL470" s="13"/>
      <c r="GM470" s="13"/>
      <c r="GN470" s="13"/>
      <c r="GO470" s="90" t="s">
        <v>660</v>
      </c>
      <c r="GP470" s="90" t="s">
        <v>1059</v>
      </c>
      <c r="GQ470" s="12">
        <v>26.2</v>
      </c>
      <c r="GR470" s="12">
        <v>0.2</v>
      </c>
      <c r="GS470" s="91">
        <v>5</v>
      </c>
      <c r="GT470" s="48">
        <f t="shared" ref="GT470:GT472" si="1898">GR470/GQ470</f>
        <v>7.6335877862595426E-3</v>
      </c>
      <c r="GU470" s="12">
        <v>27.7</v>
      </c>
      <c r="GV470" s="12">
        <v>0.2</v>
      </c>
      <c r="GW470" s="91">
        <v>5</v>
      </c>
      <c r="GX470" s="48">
        <f t="shared" ref="GX470:GX472" si="1899">GV470/GU470</f>
        <v>7.2202166064981952E-3</v>
      </c>
      <c r="GY470" s="48">
        <f t="shared" ref="GY470:GY472" si="1900">LN(GU470/GQ470)</f>
        <v>5.5673002426241576E-2</v>
      </c>
      <c r="GZ470" s="48">
        <f t="shared" ref="GZ470:GZ472" si="1901">GV470^2/(GW470*GU470^2)+GR470^2/(GS470*GQ470^2)</f>
        <v>2.2080638067056638E-5</v>
      </c>
      <c r="HA470" s="97" t="s">
        <v>63</v>
      </c>
      <c r="HB470" s="98" t="s">
        <v>1055</v>
      </c>
      <c r="HC470" s="12">
        <v>0.08</v>
      </c>
      <c r="HD470" s="12">
        <v>0.03</v>
      </c>
      <c r="HE470" s="13">
        <v>5</v>
      </c>
      <c r="HF470" s="48">
        <f t="shared" ref="HF470:HF472" si="1902">HD470/HC470</f>
        <v>0.375</v>
      </c>
      <c r="HG470" s="12">
        <v>0.09</v>
      </c>
      <c r="HH470" s="12">
        <v>0.03</v>
      </c>
      <c r="HI470" s="13">
        <v>5</v>
      </c>
      <c r="HJ470" s="48">
        <f t="shared" ref="HJ470:HJ472" si="1903">HH470/HG470</f>
        <v>0.33333333333333331</v>
      </c>
      <c r="HK470" s="48">
        <f t="shared" ref="HK470:HK472" si="1904">LN(HG470/HC470)</f>
        <v>0.11778303565638346</v>
      </c>
      <c r="HL470" s="48">
        <f t="shared" ref="HL470:HL472" si="1905">HH470^2/(HI470*HG470^2)+HD470^2/(HE470*HC470^2)</f>
        <v>5.0347222222222224E-2</v>
      </c>
      <c r="HM470" s="32"/>
      <c r="HQ470" s="13"/>
      <c r="HU470" s="13"/>
      <c r="HV470" s="13"/>
      <c r="HW470" s="13"/>
      <c r="IB470" s="13"/>
      <c r="IF470" s="13"/>
      <c r="IG470" s="13"/>
      <c r="IH470" s="13"/>
      <c r="IN470" s="13"/>
      <c r="IR470" s="13"/>
      <c r="IS470" s="13"/>
      <c r="IT470" s="13"/>
      <c r="IZ470" s="13"/>
      <c r="JD470" s="13"/>
      <c r="JE470" s="13"/>
      <c r="JF470" s="13"/>
      <c r="JK470" s="13"/>
      <c r="JN470" s="12"/>
      <c r="JO470" s="12"/>
      <c r="JP470" s="12"/>
      <c r="JQ470" s="12"/>
      <c r="JV470" s="13"/>
      <c r="JY470" s="12"/>
      <c r="JZ470" s="12"/>
      <c r="KA470" s="12"/>
      <c r="KB470" s="12"/>
      <c r="KE470" s="11"/>
      <c r="KF470" s="11"/>
      <c r="KH470" s="11"/>
      <c r="KI470" s="11"/>
      <c r="KJ470" s="11"/>
      <c r="KK470" s="90" t="s">
        <v>42</v>
      </c>
      <c r="KL470" s="94" t="s">
        <v>1055</v>
      </c>
      <c r="KM470" s="12">
        <v>13</v>
      </c>
      <c r="KN470" s="12">
        <v>2</v>
      </c>
      <c r="KO470" s="11">
        <v>5</v>
      </c>
      <c r="KP470" s="48">
        <f t="shared" ref="KP470:KP472" si="1906">KN470/KM470</f>
        <v>0.15384615384615385</v>
      </c>
      <c r="KQ470" s="12">
        <v>15</v>
      </c>
      <c r="KR470" s="12">
        <v>3</v>
      </c>
      <c r="KS470" s="13">
        <v>5</v>
      </c>
      <c r="KT470" s="48">
        <f t="shared" ref="KT470:KT472" si="1907">KR470/KQ470</f>
        <v>0.2</v>
      </c>
      <c r="KU470" s="48">
        <f t="shared" ref="KU470:KU472" si="1908">LN(KQ470/KM470)</f>
        <v>0.14310084364067324</v>
      </c>
      <c r="KV470" s="48">
        <f t="shared" ref="KV470:KV472" si="1909">KR470^2/(KS470*KQ470^2)+KN470^2/(KO470*KM470^2)</f>
        <v>1.2733727810650887E-2</v>
      </c>
      <c r="KX470" s="11"/>
      <c r="KY470" s="11"/>
      <c r="LA470" s="13"/>
      <c r="LB470" s="11"/>
      <c r="LC470" s="11"/>
      <c r="LE470" s="13"/>
      <c r="LF470" s="13"/>
      <c r="LG470" s="13"/>
      <c r="LK470" s="12"/>
      <c r="LL470" s="12"/>
      <c r="LO470" s="12"/>
      <c r="LP470" s="12"/>
      <c r="LQ470" s="12"/>
      <c r="LR470" s="12"/>
      <c r="LT470" s="90" t="str">
        <f t="shared" ref="LT470" si="1910">KL470</f>
        <v>0-50</v>
      </c>
      <c r="LU470" s="90">
        <f>AT470/KM470</f>
        <v>38.615384615384613</v>
      </c>
      <c r="LV470" s="90">
        <f t="shared" ref="LV470" si="1911">SQRT((1/KM470)^2*AU470^2+AT470^2*(-1/KM470^2)^2*KN470^2)</f>
        <v>6.1367993295930958</v>
      </c>
      <c r="LW470" s="91">
        <f t="shared" ref="LW470" si="1912">KO470</f>
        <v>5</v>
      </c>
      <c r="LX470" s="48">
        <f t="shared" ref="LX470" si="1913">LV470/LU470</f>
        <v>0.15892109817671365</v>
      </c>
      <c r="LY470" s="90">
        <f t="shared" ref="LY470" si="1914">AX470/KQ470</f>
        <v>36.93333333333333</v>
      </c>
      <c r="LZ470" s="90">
        <f t="shared" ref="LZ470" si="1915">SQRT((1/KQ470)^2*AY470^2+AX470^2*(-1/KQ470^2)^2*KR470^2)</f>
        <v>8.103946912187638</v>
      </c>
      <c r="MA470" s="91">
        <f t="shared" ref="MA470" si="1916">KS470</f>
        <v>5</v>
      </c>
      <c r="MB470" s="48">
        <f t="shared" ref="MB470" si="1917">LZ470/LY470</f>
        <v>0.21942094527583858</v>
      </c>
      <c r="MC470" s="48">
        <f t="shared" ref="MC470" si="1918">LN(LY470/LU470)</f>
        <v>-4.4536276585118745E-2</v>
      </c>
      <c r="MD470" s="48">
        <f t="shared" ref="MD470" si="1919">LZ470^2/(MA470*LY470^2)+LV470^2/(LW470*LU470^2)</f>
        <v>1.4680293334287043E-2</v>
      </c>
      <c r="ME470" s="13"/>
      <c r="MF470" s="13"/>
      <c r="MH470" s="12"/>
      <c r="MI470" s="12"/>
      <c r="ML470" s="12"/>
      <c r="MM470" s="12"/>
      <c r="MN470" s="12"/>
      <c r="MO470" s="12"/>
      <c r="MS470" s="12"/>
      <c r="MT470" s="12"/>
      <c r="MW470" s="12"/>
      <c r="MX470" s="12"/>
      <c r="MY470" s="12"/>
      <c r="MZ470" s="12"/>
      <c r="NA470" s="12" t="s">
        <v>45</v>
      </c>
      <c r="NB470" s="12" t="s">
        <v>1055</v>
      </c>
      <c r="NC470" s="12">
        <v>0.47499999999999998</v>
      </c>
      <c r="ND470" s="12">
        <v>0.13</v>
      </c>
      <c r="NE470" s="13">
        <v>5</v>
      </c>
      <c r="NF470" s="19">
        <f t="shared" ref="NF470" si="1920">ND470/NC470</f>
        <v>0.27368421052631581</v>
      </c>
      <c r="NG470" s="12">
        <v>0.65400000000000003</v>
      </c>
      <c r="NH470" s="12">
        <v>0.184</v>
      </c>
      <c r="NI470" s="13">
        <v>5</v>
      </c>
      <c r="NJ470" s="19">
        <f t="shared" ref="NJ470" si="1921">NH470/NG470</f>
        <v>0.28134556574923547</v>
      </c>
      <c r="NK470" s="19">
        <f t="shared" ref="NK470" si="1922">LN(NG470/NC470)</f>
        <v>0.31979254742255764</v>
      </c>
      <c r="NL470" s="19">
        <f t="shared" ref="NL470" si="1923">NH470^2/(NI470*NG470^2)+ND470^2/(NE470*NC470^2)</f>
        <v>3.0811674891634024E-2</v>
      </c>
      <c r="NM470" s="90" t="s">
        <v>102</v>
      </c>
      <c r="NN470" s="90" t="s">
        <v>1055</v>
      </c>
      <c r="NO470" s="12">
        <v>1.167</v>
      </c>
      <c r="NP470" s="12">
        <v>0.50900000000000001</v>
      </c>
      <c r="NQ470" s="13">
        <v>5</v>
      </c>
      <c r="NR470" s="19">
        <f>NP470/NO470</f>
        <v>0.43616109682947729</v>
      </c>
      <c r="NS470" s="12">
        <v>1.5880000000000001</v>
      </c>
      <c r="NT470" s="12">
        <v>0.72499999999999998</v>
      </c>
      <c r="NU470" s="13">
        <v>5</v>
      </c>
      <c r="NV470" s="19">
        <f>NT470/NS470</f>
        <v>0.45654911838790929</v>
      </c>
      <c r="NW470" s="19">
        <f t="shared" ref="NW470" si="1924">LN(NS470/NO470)</f>
        <v>0.3080390095205251</v>
      </c>
      <c r="NX470" s="19">
        <f t="shared" ref="NX470" si="1925">NT470^2/(NU470*NS470^2)+NP470^2/(NQ470*NO470^2)</f>
        <v>7.9734719977653967E-2</v>
      </c>
      <c r="NY470" s="13"/>
      <c r="NZ470" s="13"/>
      <c r="OC470" s="11"/>
      <c r="OD470" s="11"/>
      <c r="OE470" s="11"/>
      <c r="OF470" s="13"/>
      <c r="OG470" s="11"/>
      <c r="OH470" s="11"/>
      <c r="OI470" s="11"/>
      <c r="OJ470" s="11"/>
      <c r="OK470" s="11"/>
      <c r="OL470" s="13"/>
      <c r="OP470" s="11"/>
      <c r="OQ470" s="11"/>
      <c r="OU470" s="11"/>
      <c r="OV470" s="11"/>
      <c r="OY470" s="11"/>
      <c r="OZ470" s="11"/>
      <c r="PA470" s="13"/>
      <c r="PB470" s="11"/>
      <c r="PC470" s="11"/>
      <c r="PD470" s="11"/>
      <c r="PE470" s="11"/>
      <c r="PF470" s="13"/>
      <c r="PI470" s="11"/>
      <c r="PJ470" s="11"/>
      <c r="PK470" s="13"/>
      <c r="PL470" s="11"/>
      <c r="PM470" s="11"/>
      <c r="PN470" s="11"/>
      <c r="PO470" s="11"/>
      <c r="PP470" s="13"/>
      <c r="PS470" s="11"/>
      <c r="PT470" s="11"/>
      <c r="PU470" s="13"/>
      <c r="PV470" s="11"/>
      <c r="PW470" s="11"/>
      <c r="PX470" s="11"/>
      <c r="PY470" s="11"/>
      <c r="PZ470" s="13"/>
      <c r="QB470" s="12"/>
      <c r="QC470" s="12"/>
      <c r="QD470" s="11"/>
      <c r="QE470" s="11"/>
      <c r="QF470" s="12"/>
      <c r="QG470" s="12"/>
      <c r="QH470" s="12"/>
      <c r="QI470" s="12"/>
      <c r="QM470" s="11"/>
      <c r="QN470" s="11"/>
      <c r="QO470" s="13"/>
      <c r="QP470" s="11"/>
      <c r="QQ470" s="11"/>
      <c r="QR470" s="11"/>
      <c r="QS470" s="11"/>
      <c r="QT470" s="13"/>
      <c r="QW470" s="11"/>
      <c r="QX470" s="11"/>
      <c r="QY470" s="13"/>
      <c r="QZ470" s="11"/>
      <c r="RA470" s="11"/>
      <c r="RB470" s="13"/>
      <c r="RG470" s="13"/>
      <c r="RJ470" s="13"/>
      <c r="RN470" s="11"/>
      <c r="RO470" s="13"/>
      <c r="RQ470" s="11"/>
      <c r="RR470" s="13"/>
      <c r="RV470" s="11"/>
      <c r="RW470" s="11"/>
      <c r="RY470" s="11"/>
      <c r="RZ470" s="11"/>
      <c r="SC470" s="11"/>
      <c r="SD470" s="11"/>
      <c r="SE470" s="13"/>
      <c r="SF470" s="11"/>
      <c r="SG470" s="11"/>
      <c r="SH470" s="13"/>
      <c r="SL470" s="11"/>
      <c r="SM470" s="13"/>
      <c r="SN470" s="13"/>
      <c r="SP470" s="11"/>
      <c r="SQ470" s="11"/>
      <c r="SR470" s="11"/>
      <c r="SS470" s="13"/>
      <c r="ST470" s="13"/>
      <c r="SW470" s="12"/>
      <c r="SY470" s="11"/>
      <c r="SZ470" s="12"/>
      <c r="TA470" s="12"/>
      <c r="TB470" s="12"/>
      <c r="TD470" s="11"/>
      <c r="TG470" s="12"/>
      <c r="TI470" s="11"/>
      <c r="TJ470" s="12"/>
      <c r="TK470" s="12"/>
      <c r="TL470" s="12"/>
      <c r="TN470" s="11"/>
      <c r="TQ470" s="12"/>
      <c r="TS470" s="11"/>
      <c r="TT470" s="12"/>
      <c r="TU470" s="12"/>
      <c r="TV470" s="12"/>
      <c r="TX470" s="11"/>
      <c r="UA470" s="12"/>
      <c r="UC470" s="11"/>
      <c r="UD470" s="12"/>
      <c r="UE470" s="12"/>
      <c r="UF470" s="12"/>
      <c r="UH470" s="11"/>
      <c r="UK470" s="12"/>
      <c r="UM470" s="13"/>
      <c r="UN470" s="12"/>
      <c r="UO470" s="12"/>
      <c r="UP470" s="12"/>
      <c r="UR470" s="13"/>
      <c r="UT470" s="12"/>
      <c r="UV470" s="13"/>
      <c r="UW470" s="12"/>
      <c r="UX470" s="12"/>
      <c r="UY470" s="12"/>
      <c r="VA470" s="13"/>
      <c r="VD470" s="12"/>
      <c r="VF470" s="13"/>
      <c r="VG470" s="12"/>
      <c r="VI470" s="13"/>
      <c r="VK470" s="12"/>
      <c r="VM470" s="13"/>
      <c r="VN470" s="12"/>
      <c r="VP470" s="13"/>
      <c r="VQ470" s="12"/>
      <c r="VR470" s="12"/>
      <c r="VS470" s="12"/>
      <c r="VT470" s="12"/>
      <c r="VU470" s="12"/>
      <c r="VV470" s="12"/>
      <c r="VW470" s="12"/>
      <c r="VX470" s="12"/>
      <c r="WA470" s="12"/>
      <c r="WB470" s="12"/>
      <c r="WG470" s="13"/>
      <c r="WH470" s="13"/>
    </row>
    <row r="471" spans="1:606" ht="17.399999999999999" x14ac:dyDescent="0.3">
      <c r="A471" s="11">
        <v>115</v>
      </c>
      <c r="B471" s="12" t="s">
        <v>1053</v>
      </c>
      <c r="C471" s="90" t="s">
        <v>26</v>
      </c>
      <c r="D471" s="84" t="s">
        <v>829</v>
      </c>
      <c r="E471" s="14">
        <v>9</v>
      </c>
      <c r="F471" s="88">
        <v>0</v>
      </c>
      <c r="G471" s="88">
        <v>0</v>
      </c>
      <c r="H471" s="12" t="s">
        <v>88</v>
      </c>
      <c r="I471" s="29">
        <v>0.3952</v>
      </c>
      <c r="J471" s="29">
        <v>102.764</v>
      </c>
      <c r="M471" s="91" t="s">
        <v>37</v>
      </c>
      <c r="N471" s="14">
        <v>26.9</v>
      </c>
      <c r="O471" s="14">
        <v>1756</v>
      </c>
      <c r="P471" s="14" t="s">
        <v>89</v>
      </c>
      <c r="Q471" s="75">
        <v>20</v>
      </c>
      <c r="S471" s="12" t="s">
        <v>105</v>
      </c>
      <c r="T471" s="84" t="s">
        <v>138</v>
      </c>
      <c r="U471" s="12" t="s">
        <v>983</v>
      </c>
      <c r="V471" s="12" t="s">
        <v>1034</v>
      </c>
      <c r="W471" s="23" t="s">
        <v>1054</v>
      </c>
      <c r="X471" s="12" t="s">
        <v>49</v>
      </c>
      <c r="Y471" s="90" t="s">
        <v>37</v>
      </c>
      <c r="Z471" s="90" t="s">
        <v>37</v>
      </c>
      <c r="AB471" s="90" t="s">
        <v>37</v>
      </c>
      <c r="AC471" s="90" t="s">
        <v>42</v>
      </c>
      <c r="AD471" s="94" t="s">
        <v>1055</v>
      </c>
      <c r="AE471" s="12">
        <v>502</v>
      </c>
      <c r="AF471" s="90" t="s">
        <v>42</v>
      </c>
      <c r="AG471" s="94" t="s">
        <v>1055</v>
      </c>
      <c r="AH471" s="12">
        <v>13</v>
      </c>
      <c r="AK471" s="12">
        <f t="shared" ref="AK471:AK472" si="1926">AE471/AH471</f>
        <v>38.615384615384613</v>
      </c>
      <c r="AL471" s="32" t="s">
        <v>1057</v>
      </c>
      <c r="AM471" s="12" t="s">
        <v>1037</v>
      </c>
      <c r="AO471" s="90" t="s">
        <v>37</v>
      </c>
      <c r="AP471" s="90" t="s">
        <v>597</v>
      </c>
      <c r="AQ471" s="90" t="s">
        <v>849</v>
      </c>
      <c r="AT471" s="12">
        <v>502</v>
      </c>
      <c r="AU471" s="15">
        <v>20</v>
      </c>
      <c r="AV471" s="18">
        <v>5</v>
      </c>
      <c r="AW471" s="48">
        <f t="shared" ref="AW471:AW472" si="1927">AU471/AT471</f>
        <v>3.9840637450199202E-2</v>
      </c>
      <c r="AX471" s="15">
        <v>554</v>
      </c>
      <c r="AY471" s="15">
        <v>50</v>
      </c>
      <c r="AZ471" s="13">
        <v>5</v>
      </c>
      <c r="BA471" s="48">
        <f t="shared" ref="BA471:BA472" si="1928">AY471/AX471</f>
        <v>9.0252707581227443E-2</v>
      </c>
      <c r="BH471" s="13"/>
      <c r="BL471" s="13"/>
      <c r="BM471" s="13"/>
      <c r="BN471" s="13"/>
      <c r="BS471" s="13"/>
      <c r="BV471" s="12"/>
      <c r="BW471" s="12"/>
      <c r="BX471" s="12"/>
      <c r="BY471" s="12"/>
      <c r="CD471" s="13"/>
      <c r="CH471" s="13"/>
      <c r="CI471" s="13"/>
      <c r="CJ471" s="13"/>
      <c r="CQ471" s="13"/>
      <c r="CU471" s="13"/>
      <c r="CV471" s="13"/>
      <c r="CW471" s="13"/>
      <c r="CX471" s="13"/>
      <c r="CY471" s="13"/>
      <c r="CZ471" s="12" t="s">
        <v>581</v>
      </c>
      <c r="DA471" s="12">
        <v>9100</v>
      </c>
      <c r="DB471" s="12">
        <v>3700</v>
      </c>
      <c r="DC471" s="13">
        <v>3</v>
      </c>
      <c r="DD471" s="48">
        <f t="shared" si="1863"/>
        <v>0.40659340659340659</v>
      </c>
      <c r="DE471" s="12">
        <v>40900</v>
      </c>
      <c r="DF471" s="12">
        <v>4100</v>
      </c>
      <c r="DG471" s="13">
        <v>3</v>
      </c>
      <c r="DH471" s="48">
        <f t="shared" si="1881"/>
        <v>0.10024449877750612</v>
      </c>
      <c r="DI471" s="92">
        <f t="shared" si="1882"/>
        <v>31800</v>
      </c>
      <c r="DJ471" s="90">
        <f t="shared" si="1883"/>
        <v>3905.1248379533272</v>
      </c>
      <c r="DK471" s="96">
        <f t="shared" si="1884"/>
        <v>10166666.666666666</v>
      </c>
      <c r="DL471" s="96">
        <f t="shared" si="1885"/>
        <v>10166666.666666666</v>
      </c>
      <c r="DM471" s="90" t="s">
        <v>47</v>
      </c>
      <c r="DN471" s="15">
        <v>88.8</v>
      </c>
      <c r="DO471" s="15">
        <v>5.7</v>
      </c>
      <c r="DP471" s="18">
        <v>3</v>
      </c>
      <c r="DQ471" s="48">
        <f t="shared" si="1886"/>
        <v>6.41891891891892E-2</v>
      </c>
      <c r="DR471" s="15">
        <v>44.5</v>
      </c>
      <c r="DS471" s="15">
        <v>6.6</v>
      </c>
      <c r="DT471" s="18">
        <v>3</v>
      </c>
      <c r="DU471" s="48">
        <f t="shared" si="1887"/>
        <v>0.14831460674157301</v>
      </c>
      <c r="DV471" s="48">
        <f t="shared" si="1888"/>
        <v>-44.3</v>
      </c>
      <c r="DW471" s="90">
        <f t="shared" si="1889"/>
        <v>6.1664414373283396</v>
      </c>
      <c r="DX471" s="96">
        <f t="shared" si="1890"/>
        <v>25.349999999999998</v>
      </c>
      <c r="DY471" s="96">
        <f t="shared" si="1891"/>
        <v>25.349999999999998</v>
      </c>
      <c r="DZ471" s="15"/>
      <c r="EA471" s="15"/>
      <c r="EB471" s="15"/>
      <c r="EC471" s="18"/>
      <c r="ED471" s="18"/>
      <c r="EE471" s="15"/>
      <c r="EF471" s="15"/>
      <c r="EG471" s="18"/>
      <c r="EH471" s="18"/>
      <c r="EI471" s="52"/>
      <c r="EJ471" s="18"/>
      <c r="EK471" s="18"/>
      <c r="EL471" s="18"/>
      <c r="EM471" s="90" t="s">
        <v>39</v>
      </c>
      <c r="EN471" s="12">
        <v>-21</v>
      </c>
      <c r="EO471" s="12">
        <v>20</v>
      </c>
      <c r="EP471" s="13">
        <v>5</v>
      </c>
      <c r="EQ471" s="48">
        <f t="shared" si="1892"/>
        <v>0.95238095238095233</v>
      </c>
      <c r="ER471" s="12">
        <v>-74</v>
      </c>
      <c r="ES471" s="12">
        <v>23</v>
      </c>
      <c r="ET471" s="13">
        <v>5</v>
      </c>
      <c r="EU471" s="48">
        <f t="shared" si="1893"/>
        <v>0.3108108108108108</v>
      </c>
      <c r="EV471" s="90">
        <f t="shared" si="1894"/>
        <v>-53</v>
      </c>
      <c r="EW471" s="90">
        <f t="shared" si="1895"/>
        <v>21.552262062252307</v>
      </c>
      <c r="EX471" s="48">
        <f t="shared" si="1896"/>
        <v>185.8</v>
      </c>
      <c r="EY471" s="48">
        <f t="shared" si="1897"/>
        <v>185.8</v>
      </c>
      <c r="FB471" s="11"/>
      <c r="FC471" s="11"/>
      <c r="FI471" s="11"/>
      <c r="FJ471" s="11"/>
      <c r="FP471" s="11"/>
      <c r="FQ471" s="11"/>
      <c r="FW471" s="11"/>
      <c r="FX471" s="11"/>
      <c r="GH471" s="13"/>
      <c r="GL471" s="13"/>
      <c r="GM471" s="13"/>
      <c r="GN471" s="13"/>
      <c r="GO471" s="90" t="s">
        <v>660</v>
      </c>
      <c r="GP471" s="90" t="s">
        <v>1059</v>
      </c>
      <c r="GQ471" s="12">
        <v>25.7</v>
      </c>
      <c r="GR471" s="12">
        <v>0.1</v>
      </c>
      <c r="GS471" s="13">
        <v>5</v>
      </c>
      <c r="GT471" s="48">
        <f t="shared" si="1898"/>
        <v>3.891050583657588E-3</v>
      </c>
      <c r="GU471" s="12">
        <v>27.2</v>
      </c>
      <c r="GV471" s="12">
        <v>0.1</v>
      </c>
      <c r="GW471" s="13">
        <v>5</v>
      </c>
      <c r="GX471" s="48">
        <f t="shared" si="1899"/>
        <v>3.6764705882352945E-3</v>
      </c>
      <c r="GY471" s="48">
        <f t="shared" si="1900"/>
        <v>5.6725981400777531E-2</v>
      </c>
      <c r="GZ471" s="48">
        <f t="shared" si="1901"/>
        <v>5.7313421261482462E-6</v>
      </c>
      <c r="HA471" s="97" t="s">
        <v>63</v>
      </c>
      <c r="HB471" s="98" t="s">
        <v>1055</v>
      </c>
      <c r="HC471" s="12">
        <v>0.08</v>
      </c>
      <c r="HD471" s="12">
        <v>0.03</v>
      </c>
      <c r="HE471" s="13">
        <v>5</v>
      </c>
      <c r="HF471" s="48">
        <f t="shared" si="1902"/>
        <v>0.375</v>
      </c>
      <c r="HG471" s="12">
        <v>0.09</v>
      </c>
      <c r="HH471" s="12">
        <v>0.03</v>
      </c>
      <c r="HI471" s="13">
        <v>5</v>
      </c>
      <c r="HJ471" s="48">
        <f t="shared" si="1903"/>
        <v>0.33333333333333331</v>
      </c>
      <c r="HK471" s="48">
        <f t="shared" si="1904"/>
        <v>0.11778303565638346</v>
      </c>
      <c r="HL471" s="48">
        <f t="shared" si="1905"/>
        <v>5.0347222222222224E-2</v>
      </c>
      <c r="HM471" s="32"/>
      <c r="HQ471" s="13"/>
      <c r="HU471" s="13"/>
      <c r="HV471" s="13"/>
      <c r="HW471" s="13"/>
      <c r="IB471" s="13"/>
      <c r="IF471" s="13"/>
      <c r="IG471" s="13"/>
      <c r="IH471" s="13"/>
      <c r="IN471" s="13"/>
      <c r="IR471" s="13"/>
      <c r="IS471" s="13"/>
      <c r="IT471" s="13"/>
      <c r="IZ471" s="13"/>
      <c r="JD471" s="13"/>
      <c r="JE471" s="13"/>
      <c r="JF471" s="13"/>
      <c r="JK471" s="13"/>
      <c r="JN471" s="12"/>
      <c r="JO471" s="12"/>
      <c r="JP471" s="12"/>
      <c r="JQ471" s="12"/>
      <c r="JV471" s="13"/>
      <c r="JY471" s="12"/>
      <c r="JZ471" s="12"/>
      <c r="KA471" s="12"/>
      <c r="KB471" s="12"/>
      <c r="KE471" s="11"/>
      <c r="KF471" s="11"/>
      <c r="KH471" s="11"/>
      <c r="KI471" s="11"/>
      <c r="KJ471" s="11"/>
      <c r="KK471" s="90" t="s">
        <v>42</v>
      </c>
      <c r="KL471" s="94" t="s">
        <v>1055</v>
      </c>
      <c r="KM471" s="12">
        <v>13</v>
      </c>
      <c r="KN471" s="12">
        <v>2</v>
      </c>
      <c r="KO471" s="11">
        <v>5</v>
      </c>
      <c r="KP471" s="48">
        <f t="shared" si="1906"/>
        <v>0.15384615384615385</v>
      </c>
      <c r="KQ471" s="12">
        <v>15</v>
      </c>
      <c r="KR471" s="12">
        <v>3</v>
      </c>
      <c r="KS471" s="13">
        <v>5</v>
      </c>
      <c r="KT471" s="48">
        <f t="shared" si="1907"/>
        <v>0.2</v>
      </c>
      <c r="KU471" s="48">
        <f t="shared" si="1908"/>
        <v>0.14310084364067324</v>
      </c>
      <c r="KV471" s="48">
        <f t="shared" si="1909"/>
        <v>1.2733727810650887E-2</v>
      </c>
      <c r="KX471" s="11"/>
      <c r="KY471" s="11"/>
      <c r="LA471" s="13"/>
      <c r="LB471" s="11"/>
      <c r="LC471" s="11"/>
      <c r="LE471" s="13"/>
      <c r="LF471" s="13"/>
      <c r="LG471" s="13"/>
      <c r="LK471" s="12"/>
      <c r="LL471" s="12"/>
      <c r="LO471" s="12"/>
      <c r="LP471" s="12"/>
      <c r="LQ471" s="12"/>
      <c r="LR471" s="12"/>
      <c r="LT471" s="90" t="str">
        <f t="shared" ref="LT471:LT472" si="1929">KL471</f>
        <v>0-50</v>
      </c>
      <c r="LU471" s="90">
        <f t="shared" ref="LU471:LU472" si="1930">AT471/KM471</f>
        <v>38.615384615384613</v>
      </c>
      <c r="LV471" s="90">
        <f t="shared" ref="LV471:LV472" si="1931">SQRT((1/KM471)^2*AU471^2+AT471^2*(-1/KM471^2)^2*KN471^2)</f>
        <v>6.1367993295930958</v>
      </c>
      <c r="LW471" s="91">
        <f t="shared" ref="LW471:LW472" si="1932">KO471</f>
        <v>5</v>
      </c>
      <c r="LX471" s="48">
        <f t="shared" ref="LX471:LX472" si="1933">LV471/LU471</f>
        <v>0.15892109817671365</v>
      </c>
      <c r="LY471" s="90">
        <f t="shared" ref="LY471:LY472" si="1934">AX471/KQ471</f>
        <v>36.93333333333333</v>
      </c>
      <c r="LZ471" s="90">
        <f t="shared" ref="LZ471:LZ472" si="1935">SQRT((1/KQ471)^2*AY471^2+AX471^2*(-1/KQ471^2)^2*KR471^2)</f>
        <v>8.103946912187638</v>
      </c>
      <c r="MA471" s="91">
        <f t="shared" ref="MA471:MA472" si="1936">KS471</f>
        <v>5</v>
      </c>
      <c r="MB471" s="48">
        <f t="shared" ref="MB471:MB472" si="1937">LZ471/LY471</f>
        <v>0.21942094527583858</v>
      </c>
      <c r="MC471" s="48">
        <f t="shared" ref="MC471:MC472" si="1938">LN(LY471/LU471)</f>
        <v>-4.4536276585118745E-2</v>
      </c>
      <c r="MD471" s="48">
        <f t="shared" ref="MD471:MD472" si="1939">LZ471^2/(MA471*LY471^2)+LV471^2/(LW471*LU471^2)</f>
        <v>1.4680293334287043E-2</v>
      </c>
      <c r="ME471" s="13"/>
      <c r="MF471" s="13"/>
      <c r="MH471" s="12"/>
      <c r="MI471" s="12"/>
      <c r="ML471" s="12"/>
      <c r="MM471" s="12"/>
      <c r="MN471" s="12"/>
      <c r="MO471" s="12"/>
      <c r="MS471" s="12"/>
      <c r="MT471" s="12"/>
      <c r="MW471" s="12"/>
      <c r="MX471" s="12"/>
      <c r="MY471" s="12"/>
      <c r="MZ471" s="12"/>
      <c r="NA471" s="12" t="s">
        <v>45</v>
      </c>
      <c r="NB471" s="12" t="s">
        <v>1055</v>
      </c>
      <c r="NC471" s="12">
        <v>0.47499999999999998</v>
      </c>
      <c r="ND471" s="12">
        <v>0.13</v>
      </c>
      <c r="NE471" s="13">
        <v>5</v>
      </c>
      <c r="NF471" s="19">
        <f t="shared" ref="NF471:NF472" si="1940">ND471/NC471</f>
        <v>0.27368421052631581</v>
      </c>
      <c r="NG471" s="12">
        <v>0.65400000000000003</v>
      </c>
      <c r="NH471" s="12">
        <v>0.184</v>
      </c>
      <c r="NI471" s="13">
        <v>5</v>
      </c>
      <c r="NJ471" s="19">
        <f t="shared" ref="NJ471:NJ472" si="1941">NH471/NG471</f>
        <v>0.28134556574923547</v>
      </c>
      <c r="NK471" s="19">
        <f t="shared" ref="NK471:NK472" si="1942">LN(NG471/NC471)</f>
        <v>0.31979254742255764</v>
      </c>
      <c r="NL471" s="19">
        <f t="shared" ref="NL471:NL472" si="1943">NH471^2/(NI471*NG471^2)+ND471^2/(NE471*NC471^2)</f>
        <v>3.0811674891634024E-2</v>
      </c>
      <c r="NM471" s="90" t="s">
        <v>102</v>
      </c>
      <c r="NN471" s="90" t="s">
        <v>1055</v>
      </c>
      <c r="NO471" s="12">
        <v>1.167</v>
      </c>
      <c r="NP471" s="12">
        <v>0.50900000000000001</v>
      </c>
      <c r="NQ471" s="13">
        <v>5</v>
      </c>
      <c r="NR471" s="19">
        <f t="shared" ref="NR471:NR472" si="1944">NP471/NO471</f>
        <v>0.43616109682947729</v>
      </c>
      <c r="NS471" s="12">
        <v>1.5880000000000001</v>
      </c>
      <c r="NT471" s="12">
        <v>0.72499999999999998</v>
      </c>
      <c r="NU471" s="13">
        <v>5</v>
      </c>
      <c r="NV471" s="19">
        <f t="shared" ref="NV471:NV472" si="1945">NT471/NS471</f>
        <v>0.45654911838790929</v>
      </c>
      <c r="NW471" s="19">
        <f t="shared" ref="NW471:NW472" si="1946">LN(NS471/NO471)</f>
        <v>0.3080390095205251</v>
      </c>
      <c r="NX471" s="19">
        <f t="shared" ref="NX471:NX472" si="1947">NT471^2/(NU471*NS471^2)+NP471^2/(NQ471*NO471^2)</f>
        <v>7.9734719977653967E-2</v>
      </c>
      <c r="NY471" s="13"/>
      <c r="NZ471" s="13"/>
      <c r="OC471" s="11"/>
      <c r="OD471" s="11"/>
      <c r="OE471" s="11"/>
      <c r="OF471" s="13"/>
      <c r="OG471" s="11"/>
      <c r="OH471" s="11"/>
      <c r="OI471" s="11"/>
      <c r="OJ471" s="11"/>
      <c r="OK471" s="11"/>
      <c r="OL471" s="13"/>
      <c r="OP471" s="11"/>
      <c r="OQ471" s="11"/>
      <c r="OU471" s="11"/>
      <c r="OV471" s="11"/>
      <c r="OY471" s="11"/>
      <c r="OZ471" s="11"/>
      <c r="PA471" s="13"/>
      <c r="PB471" s="11"/>
      <c r="PC471" s="11"/>
      <c r="PD471" s="11"/>
      <c r="PE471" s="11"/>
      <c r="PF471" s="13"/>
      <c r="PI471" s="11"/>
      <c r="PJ471" s="11"/>
      <c r="PK471" s="13"/>
      <c r="PL471" s="11"/>
      <c r="PM471" s="11"/>
      <c r="PN471" s="11"/>
      <c r="PO471" s="11"/>
      <c r="PP471" s="13"/>
      <c r="PS471" s="11"/>
      <c r="PT471" s="11"/>
      <c r="PU471" s="13"/>
      <c r="PV471" s="11"/>
      <c r="PW471" s="11"/>
      <c r="PX471" s="11"/>
      <c r="PY471" s="11"/>
      <c r="PZ471" s="13"/>
      <c r="QB471" s="12"/>
      <c r="QC471" s="12"/>
      <c r="QD471" s="11"/>
      <c r="QE471" s="11"/>
      <c r="QF471" s="12"/>
      <c r="QG471" s="12"/>
      <c r="QH471" s="12"/>
      <c r="QI471" s="12"/>
      <c r="QM471" s="11"/>
      <c r="QN471" s="11"/>
      <c r="QO471" s="13"/>
      <c r="QP471" s="11"/>
      <c r="QQ471" s="11"/>
      <c r="QR471" s="11"/>
      <c r="QS471" s="11"/>
      <c r="QT471" s="13"/>
      <c r="QW471" s="11"/>
      <c r="QX471" s="11"/>
      <c r="QY471" s="13"/>
      <c r="QZ471" s="11"/>
      <c r="RA471" s="11"/>
      <c r="RB471" s="13"/>
      <c r="RG471" s="13"/>
      <c r="RJ471" s="13"/>
      <c r="RN471" s="11"/>
      <c r="RO471" s="13"/>
      <c r="RQ471" s="11"/>
      <c r="RR471" s="13"/>
      <c r="RV471" s="11"/>
      <c r="RW471" s="11"/>
      <c r="RY471" s="11"/>
      <c r="RZ471" s="11"/>
      <c r="SC471" s="11"/>
      <c r="SD471" s="11"/>
      <c r="SE471" s="13"/>
      <c r="SF471" s="11"/>
      <c r="SG471" s="11"/>
      <c r="SH471" s="13"/>
      <c r="SL471" s="11"/>
      <c r="SM471" s="13"/>
      <c r="SN471" s="13"/>
      <c r="SP471" s="11"/>
      <c r="SQ471" s="11"/>
      <c r="SR471" s="11"/>
      <c r="SS471" s="13"/>
      <c r="ST471" s="13"/>
      <c r="SW471" s="12"/>
      <c r="SY471" s="11"/>
      <c r="SZ471" s="12"/>
      <c r="TA471" s="12"/>
      <c r="TB471" s="12"/>
      <c r="TD471" s="11"/>
      <c r="TG471" s="12"/>
      <c r="TI471" s="11"/>
      <c r="TJ471" s="12"/>
      <c r="TK471" s="12"/>
      <c r="TL471" s="12"/>
      <c r="TN471" s="11"/>
      <c r="TQ471" s="12"/>
      <c r="TS471" s="11"/>
      <c r="TT471" s="12"/>
      <c r="TU471" s="12"/>
      <c r="TV471" s="12"/>
      <c r="TX471" s="11"/>
      <c r="UA471" s="12"/>
      <c r="UC471" s="11"/>
      <c r="UD471" s="12"/>
      <c r="UE471" s="12"/>
      <c r="UF471" s="12"/>
      <c r="UH471" s="11"/>
      <c r="UK471" s="12"/>
      <c r="UM471" s="13"/>
      <c r="UN471" s="12"/>
      <c r="UO471" s="12"/>
      <c r="UP471" s="12"/>
      <c r="UR471" s="13"/>
      <c r="UT471" s="12"/>
      <c r="UV471" s="13"/>
      <c r="UW471" s="12"/>
      <c r="UX471" s="12"/>
      <c r="UY471" s="12"/>
      <c r="VA471" s="13"/>
      <c r="VD471" s="12"/>
      <c r="VF471" s="13"/>
      <c r="VG471" s="12"/>
      <c r="VI471" s="13"/>
      <c r="VK471" s="12"/>
      <c r="VM471" s="13"/>
      <c r="VN471" s="12"/>
      <c r="VP471" s="13"/>
      <c r="VQ471" s="12"/>
      <c r="VR471" s="12"/>
      <c r="VS471" s="12"/>
      <c r="VT471" s="12"/>
      <c r="VU471" s="12"/>
      <c r="VV471" s="12"/>
      <c r="VW471" s="12"/>
      <c r="VX471" s="12"/>
      <c r="WA471" s="12"/>
      <c r="WB471" s="12"/>
      <c r="WG471" s="13"/>
      <c r="WH471" s="13"/>
    </row>
    <row r="472" spans="1:606" ht="17.399999999999999" x14ac:dyDescent="0.3">
      <c r="A472" s="11">
        <v>115</v>
      </c>
      <c r="B472" s="12" t="s">
        <v>1053</v>
      </c>
      <c r="C472" s="90" t="s">
        <v>26</v>
      </c>
      <c r="D472" s="84" t="s">
        <v>829</v>
      </c>
      <c r="E472" s="14">
        <v>9</v>
      </c>
      <c r="F472" s="88">
        <v>0</v>
      </c>
      <c r="G472" s="88">
        <v>0</v>
      </c>
      <c r="H472" s="12" t="s">
        <v>88</v>
      </c>
      <c r="I472" s="29">
        <v>0.3952</v>
      </c>
      <c r="J472" s="29">
        <v>102.764</v>
      </c>
      <c r="M472" s="91" t="s">
        <v>37</v>
      </c>
      <c r="N472" s="14">
        <v>27</v>
      </c>
      <c r="O472" s="14">
        <v>1496</v>
      </c>
      <c r="P472" s="14" t="s">
        <v>89</v>
      </c>
      <c r="Q472" s="75">
        <v>21</v>
      </c>
      <c r="S472" s="12" t="s">
        <v>105</v>
      </c>
      <c r="T472" s="84" t="s">
        <v>138</v>
      </c>
      <c r="U472" s="12" t="s">
        <v>983</v>
      </c>
      <c r="V472" s="12" t="s">
        <v>1034</v>
      </c>
      <c r="W472" s="23" t="s">
        <v>1054</v>
      </c>
      <c r="X472" s="12" t="s">
        <v>49</v>
      </c>
      <c r="Y472" s="90" t="s">
        <v>37</v>
      </c>
      <c r="Z472" s="90" t="s">
        <v>37</v>
      </c>
      <c r="AB472" s="90" t="s">
        <v>37</v>
      </c>
      <c r="AC472" s="90" t="s">
        <v>42</v>
      </c>
      <c r="AD472" s="94" t="s">
        <v>1055</v>
      </c>
      <c r="AE472" s="12">
        <v>502</v>
      </c>
      <c r="AF472" s="90" t="s">
        <v>42</v>
      </c>
      <c r="AG472" s="94" t="s">
        <v>1055</v>
      </c>
      <c r="AH472" s="12">
        <v>13</v>
      </c>
      <c r="AK472" s="12">
        <f t="shared" si="1926"/>
        <v>38.615384615384613</v>
      </c>
      <c r="AL472" s="32" t="s">
        <v>1058</v>
      </c>
      <c r="AM472" s="12" t="s">
        <v>1037</v>
      </c>
      <c r="AO472" s="90" t="s">
        <v>37</v>
      </c>
      <c r="AP472" s="90" t="s">
        <v>597</v>
      </c>
      <c r="AQ472" s="90" t="s">
        <v>849</v>
      </c>
      <c r="AT472" s="12">
        <v>502</v>
      </c>
      <c r="AU472" s="15">
        <v>20</v>
      </c>
      <c r="AV472" s="18">
        <v>5</v>
      </c>
      <c r="AW472" s="48">
        <f t="shared" si="1927"/>
        <v>3.9840637450199202E-2</v>
      </c>
      <c r="AX472" s="15">
        <v>554</v>
      </c>
      <c r="AY472" s="15">
        <v>50</v>
      </c>
      <c r="AZ472" s="13">
        <v>5</v>
      </c>
      <c r="BA472" s="48">
        <f t="shared" si="1928"/>
        <v>9.0252707581227443E-2</v>
      </c>
      <c r="BH472" s="13"/>
      <c r="BL472" s="13"/>
      <c r="BM472" s="13"/>
      <c r="BN472" s="13"/>
      <c r="BS472" s="13"/>
      <c r="BV472" s="12"/>
      <c r="BW472" s="12"/>
      <c r="BX472" s="12"/>
      <c r="BY472" s="12"/>
      <c r="CD472" s="13"/>
      <c r="CH472" s="13"/>
      <c r="CI472" s="13"/>
      <c r="CJ472" s="13"/>
      <c r="CQ472" s="13"/>
      <c r="CU472" s="13"/>
      <c r="CV472" s="13"/>
      <c r="CW472" s="13"/>
      <c r="CX472" s="13"/>
      <c r="CY472" s="13"/>
      <c r="CZ472" s="12" t="s">
        <v>581</v>
      </c>
      <c r="DA472" s="12">
        <v>25600</v>
      </c>
      <c r="DB472" s="12">
        <v>4100</v>
      </c>
      <c r="DC472" s="13">
        <v>3</v>
      </c>
      <c r="DD472" s="48">
        <f t="shared" si="1863"/>
        <v>0.16015625</v>
      </c>
      <c r="DE472" s="12">
        <v>43100</v>
      </c>
      <c r="DF472" s="12">
        <v>4400</v>
      </c>
      <c r="DG472" s="13">
        <v>3</v>
      </c>
      <c r="DH472" s="48">
        <f t="shared" si="1881"/>
        <v>0.10208816705336426</v>
      </c>
      <c r="DI472" s="92">
        <f t="shared" si="1882"/>
        <v>17500</v>
      </c>
      <c r="DJ472" s="90">
        <f t="shared" si="1883"/>
        <v>4252.6462349929834</v>
      </c>
      <c r="DK472" s="96">
        <f t="shared" si="1884"/>
        <v>12056666.666666666</v>
      </c>
      <c r="DL472" s="96">
        <f t="shared" si="1885"/>
        <v>12056666.666666666</v>
      </c>
      <c r="DM472" s="90" t="s">
        <v>47</v>
      </c>
      <c r="DN472" s="15">
        <v>37.5</v>
      </c>
      <c r="DO472" s="15">
        <v>3.8</v>
      </c>
      <c r="DP472" s="18">
        <v>3</v>
      </c>
      <c r="DQ472" s="48">
        <f t="shared" si="1886"/>
        <v>0.10133333333333333</v>
      </c>
      <c r="DR472" s="15">
        <v>32.1</v>
      </c>
      <c r="DS472" s="15">
        <v>6.6</v>
      </c>
      <c r="DT472" s="18">
        <v>3</v>
      </c>
      <c r="DU472" s="48">
        <f t="shared" si="1887"/>
        <v>0.20560747663551399</v>
      </c>
      <c r="DV472" s="48">
        <f t="shared" si="1888"/>
        <v>-5.3999999999999986</v>
      </c>
      <c r="DW472" s="90">
        <f t="shared" si="1889"/>
        <v>5.3851648071345037</v>
      </c>
      <c r="DX472" s="96">
        <f t="shared" si="1890"/>
        <v>19.333333333333329</v>
      </c>
      <c r="DY472" s="96">
        <f t="shared" si="1891"/>
        <v>19.333333333333332</v>
      </c>
      <c r="DZ472" s="89" t="s">
        <v>47</v>
      </c>
      <c r="EA472" s="101">
        <v>0.2</v>
      </c>
      <c r="EB472" s="101">
        <v>0.2</v>
      </c>
      <c r="EC472" s="103">
        <v>3</v>
      </c>
      <c r="ED472" s="102">
        <f t="shared" ref="ED472" si="1948">EB472/ABS(EA472)</f>
        <v>1</v>
      </c>
      <c r="EE472" s="101">
        <v>1.1000000000000001</v>
      </c>
      <c r="EF472" s="101">
        <v>0.6</v>
      </c>
      <c r="EG472" s="103">
        <v>5</v>
      </c>
      <c r="EH472" s="102">
        <f t="shared" ref="EH472" si="1949">EF472/ABS(EE472)</f>
        <v>0.54545454545454541</v>
      </c>
      <c r="EI472" s="48">
        <f t="shared" ref="EI472" si="1950">EE472-EA472</f>
        <v>0.90000000000000013</v>
      </c>
      <c r="EJ472" s="90">
        <f t="shared" ref="EJ472" si="1951">SQRT(((EC472-1)*EB472^2+(EG472-1)*EF472^2)/(EC472+EG472-2))</f>
        <v>0.50332229568471665</v>
      </c>
      <c r="EK472" s="48">
        <f t="shared" ref="EK472" si="1952">(((EC472+EG472)/(EC472*EG472))*(((EC472-1)*EB472^2)+(EG472-1)*EF472^2)/(EC472+EG472-2))</f>
        <v>0.1351111111111111</v>
      </c>
      <c r="EL472" s="48">
        <f t="shared" ref="EL472" si="1953">(EB472^2/EC472)+(EF472^2/EG472)</f>
        <v>8.533333333333333E-2</v>
      </c>
      <c r="EM472" s="90" t="s">
        <v>39</v>
      </c>
      <c r="EN472" s="12">
        <v>-47</v>
      </c>
      <c r="EO472" s="12">
        <v>18</v>
      </c>
      <c r="EP472" s="13">
        <v>5</v>
      </c>
      <c r="EQ472" s="48">
        <f t="shared" si="1892"/>
        <v>0.38297872340425532</v>
      </c>
      <c r="ER472" s="12">
        <v>-73</v>
      </c>
      <c r="ES472" s="12">
        <v>14</v>
      </c>
      <c r="ET472" s="13">
        <v>5</v>
      </c>
      <c r="EU472" s="48">
        <f t="shared" si="1893"/>
        <v>0.19178082191780821</v>
      </c>
      <c r="EV472" s="90">
        <f>ER472-EN472</f>
        <v>-26</v>
      </c>
      <c r="EW472" s="90">
        <f t="shared" si="1895"/>
        <v>16.124515496597098</v>
      </c>
      <c r="EX472" s="48">
        <f t="shared" si="1896"/>
        <v>104</v>
      </c>
      <c r="EY472" s="48">
        <f>(EO472^2/EP472)+(ES472^2/ET472)</f>
        <v>104</v>
      </c>
      <c r="FB472" s="11"/>
      <c r="FC472" s="11"/>
      <c r="FI472" s="11"/>
      <c r="FJ472" s="11"/>
      <c r="FP472" s="11"/>
      <c r="FQ472" s="11"/>
      <c r="FW472" s="11"/>
      <c r="FX472" s="11"/>
      <c r="GH472" s="13"/>
      <c r="GL472" s="13"/>
      <c r="GM472" s="13"/>
      <c r="GN472" s="13"/>
      <c r="GO472" s="90" t="s">
        <v>660</v>
      </c>
      <c r="GP472" s="90" t="s">
        <v>1059</v>
      </c>
      <c r="GQ472" s="12">
        <v>25.7</v>
      </c>
      <c r="GR472" s="12">
        <v>0.1</v>
      </c>
      <c r="GS472" s="13">
        <v>5</v>
      </c>
      <c r="GT472" s="48">
        <f t="shared" si="1898"/>
        <v>3.891050583657588E-3</v>
      </c>
      <c r="GU472" s="12">
        <v>27.5</v>
      </c>
      <c r="GV472" s="12">
        <v>0.1</v>
      </c>
      <c r="GW472" s="13">
        <v>5</v>
      </c>
      <c r="GX472" s="48">
        <f t="shared" si="1899"/>
        <v>3.6363636363636364E-3</v>
      </c>
      <c r="GY472" s="48">
        <f t="shared" si="1900"/>
        <v>6.7695012771351468E-2</v>
      </c>
      <c r="GZ472" s="48">
        <f t="shared" si="1901"/>
        <v>5.6726830280899648E-6</v>
      </c>
      <c r="HA472" s="97" t="s">
        <v>63</v>
      </c>
      <c r="HB472" s="98" t="s">
        <v>1055</v>
      </c>
      <c r="HC472" s="12">
        <v>0.08</v>
      </c>
      <c r="HD472" s="12">
        <v>0.03</v>
      </c>
      <c r="HE472" s="13">
        <v>5</v>
      </c>
      <c r="HF472" s="48">
        <f t="shared" si="1902"/>
        <v>0.375</v>
      </c>
      <c r="HG472" s="12">
        <v>0.09</v>
      </c>
      <c r="HH472" s="12">
        <v>0.03</v>
      </c>
      <c r="HI472" s="13">
        <v>5</v>
      </c>
      <c r="HJ472" s="48">
        <f t="shared" si="1903"/>
        <v>0.33333333333333331</v>
      </c>
      <c r="HK472" s="48">
        <f t="shared" si="1904"/>
        <v>0.11778303565638346</v>
      </c>
      <c r="HL472" s="48">
        <f t="shared" si="1905"/>
        <v>5.0347222222222224E-2</v>
      </c>
      <c r="HM472" s="32"/>
      <c r="HQ472" s="13"/>
      <c r="HU472" s="13"/>
      <c r="HV472" s="13"/>
      <c r="HW472" s="13"/>
      <c r="IB472" s="13"/>
      <c r="IF472" s="13"/>
      <c r="IG472" s="13"/>
      <c r="IH472" s="13"/>
      <c r="IN472" s="13"/>
      <c r="IR472" s="13"/>
      <c r="IS472" s="13"/>
      <c r="IT472" s="13"/>
      <c r="IZ472" s="13"/>
      <c r="JD472" s="13"/>
      <c r="JE472" s="13"/>
      <c r="JF472" s="13"/>
      <c r="JK472" s="13"/>
      <c r="JN472" s="12"/>
      <c r="JO472" s="12"/>
      <c r="JP472" s="12"/>
      <c r="JQ472" s="12"/>
      <c r="JV472" s="13"/>
      <c r="JY472" s="12"/>
      <c r="JZ472" s="12"/>
      <c r="KA472" s="12"/>
      <c r="KB472" s="12"/>
      <c r="KE472" s="11"/>
      <c r="KF472" s="11"/>
      <c r="KH472" s="11"/>
      <c r="KI472" s="11"/>
      <c r="KJ472" s="11"/>
      <c r="KK472" s="90" t="s">
        <v>42</v>
      </c>
      <c r="KL472" s="94" t="s">
        <v>1055</v>
      </c>
      <c r="KM472" s="12">
        <v>13</v>
      </c>
      <c r="KN472" s="12">
        <v>2</v>
      </c>
      <c r="KO472" s="11">
        <v>5</v>
      </c>
      <c r="KP472" s="48">
        <f t="shared" si="1906"/>
        <v>0.15384615384615385</v>
      </c>
      <c r="KQ472" s="12">
        <v>15</v>
      </c>
      <c r="KR472" s="12">
        <v>3</v>
      </c>
      <c r="KS472" s="13">
        <v>5</v>
      </c>
      <c r="KT472" s="48">
        <f t="shared" si="1907"/>
        <v>0.2</v>
      </c>
      <c r="KU472" s="48">
        <f t="shared" si="1908"/>
        <v>0.14310084364067324</v>
      </c>
      <c r="KV472" s="48">
        <f t="shared" si="1909"/>
        <v>1.2733727810650887E-2</v>
      </c>
      <c r="KX472" s="11"/>
      <c r="KY472" s="11"/>
      <c r="LA472" s="13"/>
      <c r="LB472" s="11"/>
      <c r="LC472" s="11"/>
      <c r="LE472" s="13"/>
      <c r="LF472" s="13"/>
      <c r="LG472" s="13"/>
      <c r="LK472" s="12"/>
      <c r="LL472" s="12"/>
      <c r="LO472" s="12"/>
      <c r="LP472" s="12"/>
      <c r="LQ472" s="12"/>
      <c r="LR472" s="12"/>
      <c r="LT472" s="90" t="str">
        <f t="shared" si="1929"/>
        <v>0-50</v>
      </c>
      <c r="LU472" s="90">
        <f t="shared" si="1930"/>
        <v>38.615384615384613</v>
      </c>
      <c r="LV472" s="90">
        <f t="shared" si="1931"/>
        <v>6.1367993295930958</v>
      </c>
      <c r="LW472" s="91">
        <f t="shared" si="1932"/>
        <v>5</v>
      </c>
      <c r="LX472" s="48">
        <f t="shared" si="1933"/>
        <v>0.15892109817671365</v>
      </c>
      <c r="LY472" s="90">
        <f t="shared" si="1934"/>
        <v>36.93333333333333</v>
      </c>
      <c r="LZ472" s="90">
        <f t="shared" si="1935"/>
        <v>8.103946912187638</v>
      </c>
      <c r="MA472" s="91">
        <f t="shared" si="1936"/>
        <v>5</v>
      </c>
      <c r="MB472" s="48">
        <f t="shared" si="1937"/>
        <v>0.21942094527583858</v>
      </c>
      <c r="MC472" s="48">
        <f t="shared" si="1938"/>
        <v>-4.4536276585118745E-2</v>
      </c>
      <c r="MD472" s="48">
        <f t="shared" si="1939"/>
        <v>1.4680293334287043E-2</v>
      </c>
      <c r="ME472" s="13"/>
      <c r="MF472" s="13"/>
      <c r="MH472" s="12"/>
      <c r="MI472" s="12"/>
      <c r="ML472" s="12"/>
      <c r="MM472" s="12"/>
      <c r="MN472" s="12"/>
      <c r="MO472" s="12"/>
      <c r="MS472" s="12"/>
      <c r="MT472" s="12"/>
      <c r="MW472" s="12"/>
      <c r="MX472" s="12"/>
      <c r="MY472" s="12"/>
      <c r="MZ472" s="12"/>
      <c r="NA472" s="12" t="s">
        <v>45</v>
      </c>
      <c r="NB472" s="12" t="s">
        <v>1055</v>
      </c>
      <c r="NC472" s="12">
        <v>0.47499999999999998</v>
      </c>
      <c r="ND472" s="12">
        <v>0.13</v>
      </c>
      <c r="NE472" s="13">
        <v>5</v>
      </c>
      <c r="NF472" s="19">
        <f t="shared" si="1940"/>
        <v>0.27368421052631581</v>
      </c>
      <c r="NG472" s="12">
        <v>0.65400000000000003</v>
      </c>
      <c r="NH472" s="12">
        <v>0.184</v>
      </c>
      <c r="NI472" s="13">
        <v>5</v>
      </c>
      <c r="NJ472" s="19">
        <f t="shared" si="1941"/>
        <v>0.28134556574923547</v>
      </c>
      <c r="NK472" s="19">
        <f t="shared" si="1942"/>
        <v>0.31979254742255764</v>
      </c>
      <c r="NL472" s="19">
        <f t="shared" si="1943"/>
        <v>3.0811674891634024E-2</v>
      </c>
      <c r="NM472" s="90" t="s">
        <v>102</v>
      </c>
      <c r="NN472" s="90" t="s">
        <v>1055</v>
      </c>
      <c r="NO472" s="12">
        <v>1.167</v>
      </c>
      <c r="NP472" s="12">
        <v>0.50900000000000001</v>
      </c>
      <c r="NQ472" s="13">
        <v>5</v>
      </c>
      <c r="NR472" s="19">
        <f t="shared" si="1944"/>
        <v>0.43616109682947729</v>
      </c>
      <c r="NS472" s="12">
        <v>1.5880000000000001</v>
      </c>
      <c r="NT472" s="12">
        <v>0.72499999999999998</v>
      </c>
      <c r="NU472" s="13">
        <v>5</v>
      </c>
      <c r="NV472" s="19">
        <f t="shared" si="1945"/>
        <v>0.45654911838790929</v>
      </c>
      <c r="NW472" s="19">
        <f t="shared" si="1946"/>
        <v>0.3080390095205251</v>
      </c>
      <c r="NX472" s="19">
        <f t="shared" si="1947"/>
        <v>7.9734719977653967E-2</v>
      </c>
      <c r="NY472" s="13"/>
      <c r="NZ472" s="13"/>
      <c r="OC472" s="11"/>
      <c r="OD472" s="11"/>
      <c r="OE472" s="11"/>
      <c r="OF472" s="13"/>
      <c r="OG472" s="11"/>
      <c r="OH472" s="11"/>
      <c r="OI472" s="11"/>
      <c r="OJ472" s="11"/>
      <c r="OK472" s="11"/>
      <c r="OL472" s="13"/>
      <c r="OP472" s="11"/>
      <c r="OQ472" s="11"/>
      <c r="OU472" s="11"/>
      <c r="OV472" s="11"/>
      <c r="OY472" s="11"/>
      <c r="OZ472" s="11"/>
      <c r="PA472" s="13"/>
      <c r="PB472" s="11"/>
      <c r="PC472" s="11"/>
      <c r="PD472" s="11"/>
      <c r="PE472" s="11"/>
      <c r="PF472" s="13"/>
      <c r="PI472" s="11"/>
      <c r="PJ472" s="11"/>
      <c r="PK472" s="13"/>
      <c r="PL472" s="11"/>
      <c r="PM472" s="11"/>
      <c r="PN472" s="11"/>
      <c r="PO472" s="11"/>
      <c r="PP472" s="13"/>
      <c r="PS472" s="11"/>
      <c r="PT472" s="11"/>
      <c r="PU472" s="13"/>
      <c r="PV472" s="11"/>
      <c r="PW472" s="11"/>
      <c r="PX472" s="11"/>
      <c r="PY472" s="11"/>
      <c r="PZ472" s="13"/>
      <c r="QB472" s="12"/>
      <c r="QC472" s="12"/>
      <c r="QD472" s="11"/>
      <c r="QE472" s="11"/>
      <c r="QF472" s="12"/>
      <c r="QG472" s="12"/>
      <c r="QH472" s="12"/>
      <c r="QI472" s="12"/>
      <c r="QM472" s="11"/>
      <c r="QN472" s="11"/>
      <c r="QO472" s="13"/>
      <c r="QP472" s="11"/>
      <c r="QQ472" s="11"/>
      <c r="QR472" s="11"/>
      <c r="QS472" s="11"/>
      <c r="QT472" s="13"/>
      <c r="QW472" s="11"/>
      <c r="QX472" s="11"/>
      <c r="QY472" s="13"/>
      <c r="QZ472" s="11"/>
      <c r="RA472" s="11"/>
      <c r="RB472" s="13"/>
      <c r="RG472" s="13"/>
      <c r="RJ472" s="13"/>
      <c r="RN472" s="11"/>
      <c r="RO472" s="13"/>
      <c r="RQ472" s="11"/>
      <c r="RR472" s="13"/>
      <c r="RV472" s="11"/>
      <c r="RW472" s="11"/>
      <c r="RY472" s="11"/>
      <c r="RZ472" s="11"/>
      <c r="SC472" s="11"/>
      <c r="SD472" s="11"/>
      <c r="SE472" s="13"/>
      <c r="SF472" s="11"/>
      <c r="SG472" s="11"/>
      <c r="SH472" s="13"/>
      <c r="SL472" s="11"/>
      <c r="SM472" s="13"/>
      <c r="SN472" s="13"/>
      <c r="SP472" s="11"/>
      <c r="SQ472" s="11"/>
      <c r="SR472" s="11"/>
      <c r="SS472" s="13"/>
      <c r="ST472" s="13"/>
      <c r="SW472" s="12"/>
      <c r="SY472" s="11"/>
      <c r="SZ472" s="12"/>
      <c r="TA472" s="12"/>
      <c r="TB472" s="12"/>
      <c r="TD472" s="11"/>
      <c r="TG472" s="12"/>
      <c r="TI472" s="11"/>
      <c r="TJ472" s="12"/>
      <c r="TK472" s="12"/>
      <c r="TL472" s="12"/>
      <c r="TN472" s="11"/>
      <c r="TQ472" s="12"/>
      <c r="TS472" s="11"/>
      <c r="TT472" s="12"/>
      <c r="TU472" s="12"/>
      <c r="TV472" s="12"/>
      <c r="TX472" s="11"/>
      <c r="UA472" s="12"/>
      <c r="UC472" s="11"/>
      <c r="UD472" s="12"/>
      <c r="UE472" s="12"/>
      <c r="UF472" s="12"/>
      <c r="UH472" s="11"/>
      <c r="UK472" s="12"/>
      <c r="UM472" s="13"/>
      <c r="UN472" s="12"/>
      <c r="UO472" s="12"/>
      <c r="UP472" s="12"/>
      <c r="UR472" s="13"/>
      <c r="UT472" s="12"/>
      <c r="UV472" s="13"/>
      <c r="UW472" s="12"/>
      <c r="UX472" s="12"/>
      <c r="UY472" s="12"/>
      <c r="VA472" s="13"/>
      <c r="VD472" s="12"/>
      <c r="VF472" s="13"/>
      <c r="VG472" s="12"/>
      <c r="VI472" s="13"/>
      <c r="VK472" s="12"/>
      <c r="VM472" s="13"/>
      <c r="VN472" s="12"/>
      <c r="VP472" s="13"/>
      <c r="VQ472" s="12"/>
      <c r="VR472" s="12"/>
      <c r="VS472" s="12"/>
      <c r="VT472" s="12"/>
      <c r="VU472" s="12"/>
      <c r="VV472" s="12"/>
      <c r="VW472" s="12"/>
      <c r="VX472" s="12"/>
      <c r="WA472" s="12"/>
      <c r="WB472" s="12"/>
      <c r="WG472" s="13"/>
      <c r="WH472" s="13"/>
    </row>
    <row r="473" spans="1:606" x14ac:dyDescent="0.3">
      <c r="B473" s="12"/>
      <c r="E473" s="14"/>
      <c r="AK473" s="12"/>
      <c r="AM473" s="20"/>
      <c r="AO473" s="20"/>
      <c r="AP473" s="20"/>
      <c r="AQ473" s="20"/>
      <c r="BH473" s="13"/>
      <c r="BL473" s="13"/>
      <c r="BM473" s="13"/>
      <c r="BN473" s="13"/>
      <c r="BS473" s="13"/>
      <c r="BV473" s="12"/>
      <c r="BW473" s="12"/>
      <c r="BX473" s="12"/>
      <c r="BY473" s="12"/>
      <c r="CD473" s="13"/>
      <c r="CH473" s="13"/>
      <c r="CI473" s="13"/>
      <c r="CJ473" s="13"/>
      <c r="CQ473" s="13"/>
      <c r="CU473" s="13"/>
      <c r="CV473" s="13"/>
      <c r="CW473" s="13"/>
      <c r="CX473" s="13"/>
      <c r="CY473" s="13"/>
      <c r="DD473" s="13"/>
      <c r="DH473" s="13"/>
      <c r="DI473" s="13"/>
      <c r="DJ473" s="13"/>
      <c r="DM473" s="15"/>
      <c r="DN473" s="15"/>
      <c r="DO473" s="15"/>
      <c r="DP473" s="18"/>
      <c r="DQ473" s="18"/>
      <c r="DR473" s="15"/>
      <c r="DS473" s="15"/>
      <c r="DT473" s="18"/>
      <c r="DU473" s="18"/>
      <c r="DV473" s="18"/>
      <c r="DW473" s="18"/>
      <c r="DX473" s="73"/>
      <c r="DY473" s="73"/>
      <c r="DZ473" s="15"/>
      <c r="EA473" s="15"/>
      <c r="EB473" s="15"/>
      <c r="EC473" s="15"/>
      <c r="ED473" s="15"/>
      <c r="EE473" s="15"/>
      <c r="EF473" s="15"/>
      <c r="EG473" s="15"/>
      <c r="EH473" s="15"/>
      <c r="EI473" s="52"/>
      <c r="EJ473" s="15"/>
      <c r="EK473" s="15"/>
      <c r="EL473" s="15"/>
      <c r="EQ473" s="13"/>
      <c r="EU473" s="13"/>
      <c r="EV473" s="13"/>
      <c r="EW473" s="13"/>
      <c r="EX473" s="13"/>
      <c r="EY473" s="13"/>
      <c r="FB473" s="11"/>
      <c r="FC473" s="11"/>
      <c r="FI473" s="11"/>
      <c r="FJ473" s="11"/>
      <c r="FP473" s="11"/>
      <c r="FQ473" s="11"/>
      <c r="FW473" s="11"/>
      <c r="FX473" s="11"/>
      <c r="GH473" s="13"/>
      <c r="GL473" s="13"/>
      <c r="GM473" s="13"/>
      <c r="GN473" s="13"/>
      <c r="GT473" s="13"/>
      <c r="GX473" s="13"/>
      <c r="GY473" s="13"/>
      <c r="GZ473" s="13"/>
      <c r="HA473" s="12"/>
      <c r="HB473" s="32"/>
      <c r="HF473" s="13"/>
      <c r="HJ473" s="13"/>
      <c r="HK473" s="13"/>
      <c r="HL473" s="13"/>
      <c r="HM473" s="32"/>
      <c r="HQ473" s="13"/>
      <c r="HU473" s="13"/>
      <c r="HV473" s="13"/>
      <c r="HW473" s="13"/>
      <c r="IB473" s="13"/>
      <c r="IF473" s="13"/>
      <c r="IG473" s="13"/>
      <c r="IH473" s="13"/>
      <c r="IN473" s="13"/>
      <c r="IR473" s="13"/>
      <c r="IS473" s="13"/>
      <c r="IT473" s="13"/>
      <c r="IZ473" s="13"/>
      <c r="JD473" s="13"/>
      <c r="JE473" s="13"/>
      <c r="JF473" s="13"/>
      <c r="JK473" s="13"/>
      <c r="JN473" s="12"/>
      <c r="JO473" s="12"/>
      <c r="JP473" s="12"/>
      <c r="JQ473" s="12"/>
      <c r="JV473" s="13"/>
      <c r="JY473" s="12"/>
      <c r="JZ473" s="12"/>
      <c r="KA473" s="12"/>
      <c r="KB473" s="12"/>
      <c r="KE473" s="11"/>
      <c r="KF473" s="11"/>
      <c r="KH473" s="11"/>
      <c r="KI473" s="11"/>
      <c r="KJ473" s="11"/>
      <c r="KP473" s="11"/>
      <c r="KT473" s="13"/>
      <c r="KU473" s="13"/>
      <c r="KV473" s="13"/>
      <c r="LA473" s="13"/>
      <c r="LE473" s="13"/>
      <c r="LF473" s="13"/>
      <c r="LG473" s="13"/>
      <c r="LK473" s="12"/>
      <c r="LL473" s="12"/>
      <c r="LO473" s="12"/>
      <c r="LP473" s="12"/>
      <c r="LQ473" s="12"/>
      <c r="LR473" s="12"/>
      <c r="LX473" s="13"/>
      <c r="LY473" s="13"/>
      <c r="MA473" s="12"/>
      <c r="MB473" s="12"/>
      <c r="MC473" s="12"/>
      <c r="MD473" s="12"/>
      <c r="MH473" s="12"/>
      <c r="MI473" s="12"/>
      <c r="ML473" s="12"/>
      <c r="MM473" s="12"/>
      <c r="MN473" s="12"/>
      <c r="MO473" s="12"/>
      <c r="MS473" s="12"/>
      <c r="MT473" s="12"/>
      <c r="MW473" s="12"/>
      <c r="MX473" s="12"/>
      <c r="MY473" s="12"/>
      <c r="MZ473" s="12"/>
      <c r="NE473" s="12"/>
      <c r="NF473" s="12"/>
      <c r="NG473" s="13"/>
      <c r="NH473" s="13"/>
      <c r="NI473" s="12"/>
      <c r="NJ473" s="12"/>
      <c r="NK473" s="12"/>
      <c r="NL473" s="12"/>
      <c r="NM473" s="13"/>
      <c r="NN473" s="13"/>
      <c r="NQ473" s="12"/>
      <c r="NR473" s="12"/>
      <c r="NS473" s="13"/>
      <c r="NT473" s="13"/>
      <c r="NU473" s="12"/>
      <c r="NV473" s="12"/>
      <c r="NW473" s="12"/>
      <c r="NX473" s="12"/>
      <c r="NY473" s="13"/>
      <c r="NZ473" s="13"/>
      <c r="OC473" s="11"/>
      <c r="OD473" s="11"/>
      <c r="OE473" s="11"/>
      <c r="OF473" s="13"/>
      <c r="OG473" s="11"/>
      <c r="OH473" s="11"/>
      <c r="OI473" s="11"/>
      <c r="OJ473" s="11"/>
      <c r="OK473" s="11"/>
      <c r="OL473" s="13"/>
      <c r="OP473" s="11"/>
      <c r="OQ473" s="11"/>
      <c r="OU473" s="11"/>
      <c r="OV473" s="11"/>
      <c r="OY473" s="11"/>
      <c r="OZ473" s="11"/>
      <c r="PA473" s="13"/>
      <c r="PB473" s="11"/>
      <c r="PC473" s="11"/>
      <c r="PD473" s="11"/>
      <c r="PE473" s="11"/>
      <c r="PF473" s="13"/>
      <c r="PI473" s="11"/>
      <c r="PJ473" s="11"/>
      <c r="PK473" s="13"/>
      <c r="PL473" s="11"/>
      <c r="PM473" s="11"/>
      <c r="PN473" s="11"/>
      <c r="PO473" s="11"/>
      <c r="PP473" s="13"/>
      <c r="PS473" s="11"/>
      <c r="PT473" s="11"/>
      <c r="PU473" s="13"/>
      <c r="PV473" s="11"/>
      <c r="PW473" s="11"/>
      <c r="PX473" s="11"/>
      <c r="PY473" s="11"/>
      <c r="PZ473" s="13"/>
      <c r="QB473" s="12"/>
      <c r="QC473" s="12"/>
      <c r="QD473" s="11"/>
      <c r="QE473" s="11"/>
      <c r="QF473" s="12"/>
      <c r="QG473" s="12"/>
      <c r="QH473" s="12"/>
      <c r="QI473" s="12"/>
      <c r="QM473" s="11"/>
      <c r="QN473" s="11"/>
      <c r="QO473" s="13"/>
      <c r="QP473" s="11"/>
      <c r="QQ473" s="11"/>
      <c r="QR473" s="11"/>
      <c r="QS473" s="11"/>
      <c r="QT473" s="13"/>
      <c r="QW473" s="11"/>
      <c r="QX473" s="11"/>
      <c r="QY473" s="13"/>
      <c r="QZ473" s="11"/>
      <c r="RA473" s="11"/>
      <c r="RB473" s="13"/>
      <c r="RG473" s="13"/>
      <c r="RJ473" s="13"/>
      <c r="RN473" s="11"/>
      <c r="RO473" s="13"/>
      <c r="RQ473" s="11"/>
      <c r="RR473" s="13"/>
      <c r="RV473" s="11"/>
      <c r="RW473" s="11"/>
      <c r="RY473" s="11"/>
      <c r="RZ473" s="11"/>
      <c r="SC473" s="11"/>
      <c r="SD473" s="11"/>
      <c r="SE473" s="13"/>
      <c r="SF473" s="11"/>
      <c r="SG473" s="11"/>
      <c r="SH473" s="13"/>
      <c r="SL473" s="11"/>
      <c r="SM473" s="13"/>
      <c r="SN473" s="13"/>
      <c r="SP473" s="11"/>
      <c r="SQ473" s="11"/>
      <c r="SR473" s="11"/>
      <c r="SS473" s="13"/>
      <c r="ST473" s="13"/>
      <c r="SW473" s="12"/>
      <c r="SY473" s="11"/>
      <c r="SZ473" s="12"/>
      <c r="TA473" s="12"/>
      <c r="TB473" s="12"/>
      <c r="TD473" s="11"/>
      <c r="TG473" s="12"/>
      <c r="TI473" s="11"/>
      <c r="TJ473" s="12"/>
      <c r="TK473" s="12"/>
      <c r="TL473" s="12"/>
      <c r="TN473" s="11"/>
      <c r="TQ473" s="12"/>
      <c r="TS473" s="11"/>
      <c r="TT473" s="12"/>
      <c r="TU473" s="12"/>
      <c r="TV473" s="12"/>
      <c r="TX473" s="11"/>
      <c r="UA473" s="12"/>
      <c r="UC473" s="11"/>
      <c r="UD473" s="12"/>
      <c r="UE473" s="12"/>
      <c r="UF473" s="12"/>
      <c r="UH473" s="11"/>
      <c r="UK473" s="12"/>
      <c r="UM473" s="13"/>
      <c r="UN473" s="12"/>
      <c r="UO473" s="12"/>
      <c r="UP473" s="12"/>
      <c r="UR473" s="13"/>
      <c r="UT473" s="12"/>
      <c r="UV473" s="13"/>
      <c r="UW473" s="12"/>
      <c r="UX473" s="12"/>
      <c r="UY473" s="12"/>
      <c r="VA473" s="13"/>
      <c r="VD473" s="12"/>
      <c r="VF473" s="13"/>
      <c r="VG473" s="12"/>
      <c r="VI473" s="13"/>
      <c r="VK473" s="12"/>
      <c r="VM473" s="13"/>
      <c r="VN473" s="12"/>
      <c r="VP473" s="13"/>
      <c r="VQ473" s="12"/>
      <c r="VR473" s="12"/>
      <c r="VS473" s="12"/>
      <c r="VT473" s="12"/>
      <c r="VU473" s="12"/>
      <c r="VV473" s="12"/>
      <c r="VW473" s="12"/>
      <c r="VX473" s="12"/>
      <c r="WA473" s="12"/>
      <c r="WB473" s="12"/>
      <c r="WG473" s="13"/>
      <c r="WH473" s="13"/>
    </row>
    <row r="474" spans="1:606" x14ac:dyDescent="0.3">
      <c r="B474" s="12"/>
      <c r="E474" s="14"/>
      <c r="AK474" s="12"/>
      <c r="AM474" s="20"/>
      <c r="AO474" s="20"/>
      <c r="AP474" s="20"/>
      <c r="AQ474" s="20"/>
      <c r="AW474" s="47">
        <f>AVERAGEA(AW2:AW455)</f>
        <v>8.5527145053323941E-2</v>
      </c>
      <c r="AX474" s="39"/>
      <c r="AY474" s="39"/>
      <c r="AZ474" s="41"/>
      <c r="BA474" s="47">
        <f>AVERAGEA(BA2:BA455)</f>
        <v>7.0610415904232005E-2</v>
      </c>
      <c r="BB474" s="47"/>
      <c r="BC474" s="47"/>
      <c r="BD474" s="42"/>
      <c r="BE474" s="39"/>
      <c r="BF474" s="39"/>
      <c r="BG474" s="41"/>
      <c r="BH474" s="47">
        <f>AVERAGEA(BH2:BH455)</f>
        <v>0.25103948768578566</v>
      </c>
      <c r="BI474" s="39"/>
      <c r="BJ474" s="39"/>
      <c r="BK474" s="41"/>
      <c r="BL474" s="47">
        <f>AVERAGEA(BL2:BL455)</f>
        <v>7.0061910171286088E-2</v>
      </c>
      <c r="BM474" s="47"/>
      <c r="BN474" s="47"/>
      <c r="BO474" s="39"/>
      <c r="BP474" s="39"/>
      <c r="BQ474" s="39"/>
      <c r="BR474" s="41"/>
      <c r="BS474" s="47">
        <f>AVERAGEA(BS2:BS455)</f>
        <v>0.34799803813830088</v>
      </c>
      <c r="BT474" s="39"/>
      <c r="BU474" s="39"/>
      <c r="BV474" s="41"/>
      <c r="BW474" s="47">
        <f>AVERAGEA(BW2:BW455)</f>
        <v>8.3968626707913635E-2</v>
      </c>
      <c r="BX474" s="47"/>
      <c r="BY474" s="47"/>
      <c r="BZ474" s="39"/>
      <c r="CA474" s="39"/>
      <c r="CB474" s="39"/>
      <c r="CC474" s="41"/>
      <c r="CD474" s="47">
        <f>AVERAGEA(CD2:CD469)</f>
        <v>0.2438104605852347</v>
      </c>
      <c r="CE474" s="39"/>
      <c r="CF474" s="39"/>
      <c r="CG474" s="41"/>
      <c r="CH474" s="47">
        <f>AVERAGEA(CH2:CH469)</f>
        <v>0.37226909644365819</v>
      </c>
      <c r="CI474" s="47"/>
      <c r="CJ474" s="47"/>
      <c r="CK474" s="74"/>
      <c r="CL474" s="74"/>
      <c r="CM474" s="39"/>
      <c r="CN474" s="39"/>
      <c r="CO474" s="39"/>
      <c r="CP474" s="41"/>
      <c r="CQ474" s="47">
        <f>AVERAGEA(CQ2:CQ469)</f>
        <v>0.28762730950004384</v>
      </c>
      <c r="CR474" s="39"/>
      <c r="CS474" s="39"/>
      <c r="CT474" s="41"/>
      <c r="CU474" s="47">
        <f>AVERAGEA(CU2:CU469)</f>
        <v>0.26239116998718648</v>
      </c>
      <c r="CV474" s="47"/>
      <c r="CW474" s="47"/>
      <c r="CX474" s="47"/>
      <c r="CY474" s="47"/>
      <c r="CZ474" s="39"/>
      <c r="DA474" s="39"/>
      <c r="DB474" s="39"/>
      <c r="DC474" s="41"/>
      <c r="DD474" s="47">
        <f>AVERAGEA(DD2:DD469)</f>
        <v>2.9996565586862114</v>
      </c>
      <c r="DE474" s="39"/>
      <c r="DF474" s="39"/>
      <c r="DG474" s="41"/>
      <c r="DH474" s="47">
        <f>AVERAGEA(DH2:DH469)</f>
        <v>0.9531427942997559</v>
      </c>
      <c r="DI474" s="47"/>
      <c r="DJ474" s="47"/>
      <c r="DK474" s="74"/>
      <c r="DL474" s="74"/>
      <c r="DM474" s="38"/>
      <c r="DN474" s="47"/>
      <c r="DO474" s="39"/>
      <c r="DP474" s="41"/>
      <c r="DQ474" s="47">
        <f>AVERAGEA(DQ2:DQ469)</f>
        <v>1.1148792891599251</v>
      </c>
      <c r="DR474" s="47"/>
      <c r="DS474" s="39"/>
      <c r="DT474" s="41"/>
      <c r="DU474" s="47">
        <f>AVERAGEA(DU2:DU469)</f>
        <v>3.7372162946310099</v>
      </c>
      <c r="DV474" s="47"/>
      <c r="DW474" s="47"/>
      <c r="DX474" s="74"/>
      <c r="DY474" s="74"/>
      <c r="DZ474" s="38"/>
      <c r="EA474" s="47"/>
      <c r="EB474" s="47"/>
      <c r="EC474" s="74"/>
      <c r="ED474" s="47">
        <f>AVERAGEA(ED2:ED469)</f>
        <v>5.7499769822878557</v>
      </c>
      <c r="EE474" s="39"/>
      <c r="EF474" s="39"/>
      <c r="EG474" s="41"/>
      <c r="EH474" s="47">
        <f>AVERAGEA(EH2:EH469)</f>
        <v>1.4931393816680267</v>
      </c>
      <c r="EI474" s="47"/>
      <c r="EJ474" s="47"/>
      <c r="EK474" s="47"/>
      <c r="EL474" s="47"/>
      <c r="EM474" s="39"/>
      <c r="EN474" s="39"/>
      <c r="EO474" s="39"/>
      <c r="EP474" s="41"/>
      <c r="EQ474" s="47">
        <f>AVERAGEA(EQ2:EQ469)</f>
        <v>0.40749639875129334</v>
      </c>
      <c r="ER474" s="39"/>
      <c r="ES474" s="39"/>
      <c r="ET474" s="41"/>
      <c r="EU474" s="47">
        <f>AVERAGEA(EU2:EU469)</f>
        <v>0.22681405350919417</v>
      </c>
      <c r="EV474" s="47"/>
      <c r="EW474" s="47"/>
      <c r="EX474" s="47"/>
      <c r="EY474" s="47"/>
      <c r="EZ474" s="39"/>
      <c r="FA474" s="39"/>
      <c r="FB474" s="39"/>
      <c r="FC474" s="39"/>
      <c r="FD474" s="38"/>
      <c r="FE474" s="39"/>
      <c r="FF474" s="43"/>
      <c r="FG474" s="38"/>
      <c r="FH474" s="42"/>
      <c r="FI474" s="39"/>
      <c r="FJ474" s="39"/>
      <c r="FK474" s="38"/>
      <c r="FL474" s="41"/>
      <c r="FM474" s="38"/>
      <c r="FN474" s="38"/>
      <c r="FO474" s="42"/>
      <c r="FP474" s="39"/>
      <c r="FQ474" s="39"/>
      <c r="FR474" s="38"/>
      <c r="FS474" s="41"/>
      <c r="FT474" s="38"/>
      <c r="FU474" s="38"/>
      <c r="FV474" s="42"/>
      <c r="FW474" s="39"/>
      <c r="FX474" s="39"/>
      <c r="FY474" s="38"/>
      <c r="FZ474" s="41"/>
      <c r="GA474" s="38"/>
      <c r="GB474" s="38"/>
      <c r="GC474" s="39"/>
      <c r="GD474" s="39"/>
      <c r="GE474" s="39"/>
      <c r="GF474" s="39"/>
      <c r="GG474" s="41"/>
      <c r="GH474" s="47">
        <f>AVERAGEA(GH2:GH455)</f>
        <v>0.14763481775793744</v>
      </c>
      <c r="GI474" s="39"/>
      <c r="GJ474" s="39"/>
      <c r="GK474" s="41"/>
      <c r="GL474" s="47">
        <f>AVERAGEA(GL2:GL455)</f>
        <v>0.19126344346128557</v>
      </c>
      <c r="GM474" s="47"/>
      <c r="GN474" s="47"/>
      <c r="GO474" s="39"/>
      <c r="GP474" s="39"/>
      <c r="GQ474" s="39"/>
      <c r="GR474" s="39"/>
      <c r="GS474" s="41"/>
      <c r="GT474" s="47">
        <f>AVERAGEA(GT2:GT455)</f>
        <v>9.5529557540820376E-2</v>
      </c>
      <c r="GU474" s="39"/>
      <c r="GV474" s="39"/>
      <c r="GW474" s="41"/>
      <c r="GX474" s="47">
        <f>AVERAGEA(GX2:GX455)</f>
        <v>0.10643618230443669</v>
      </c>
      <c r="GY474" s="47"/>
      <c r="GZ474" s="47"/>
      <c r="HA474" s="44"/>
      <c r="HB474" s="45"/>
      <c r="HC474" s="39"/>
      <c r="HD474" s="39"/>
      <c r="HE474" s="41"/>
      <c r="HF474" s="47">
        <f>AVERAGEA(HF2:HF455)</f>
        <v>0.17241174314649096</v>
      </c>
      <c r="HG474" s="39"/>
      <c r="HH474" s="39"/>
      <c r="HI474" s="41"/>
      <c r="HJ474" s="47">
        <f>AVERAGEA(HJ2:HJ455)</f>
        <v>0.11185451996710508</v>
      </c>
      <c r="HK474" s="47"/>
      <c r="HL474" s="47"/>
      <c r="HM474" s="45"/>
      <c r="HN474" s="39"/>
      <c r="HO474" s="39"/>
      <c r="HP474" s="41"/>
      <c r="HQ474" s="47">
        <f>AVERAGEA(HQ2:HQ455)</f>
        <v>0.29874870267857284</v>
      </c>
      <c r="HR474" s="39"/>
      <c r="HS474" s="39"/>
      <c r="HT474" s="41"/>
      <c r="HU474" s="47">
        <f>AVERAGEA(HU2:HU455)</f>
        <v>0.10862118935783788</v>
      </c>
      <c r="HV474" s="47"/>
      <c r="HW474" s="47"/>
      <c r="HX474" s="45"/>
      <c r="HY474" s="39"/>
      <c r="HZ474" s="39"/>
      <c r="IA474" s="41"/>
      <c r="IB474" s="47">
        <f>AVERAGEA(IB2:IB455)</f>
        <v>0.30520588918222574</v>
      </c>
      <c r="IC474" s="39"/>
      <c r="ID474" s="39"/>
      <c r="IE474" s="41"/>
      <c r="IF474" s="47">
        <f>AVERAGEA(IF2:IF455)</f>
        <v>0.14609457610490659</v>
      </c>
      <c r="IG474" s="47"/>
      <c r="IH474" s="47"/>
      <c r="II474" s="39"/>
      <c r="IJ474" s="39"/>
      <c r="IK474" s="39"/>
      <c r="IL474" s="39"/>
      <c r="IM474" s="41"/>
      <c r="IN474" s="47">
        <f>AVERAGEA(IN2:IN455)</f>
        <v>0.59736842105263166</v>
      </c>
      <c r="IO474" s="39"/>
      <c r="IP474" s="39"/>
      <c r="IQ474" s="41"/>
      <c r="IR474" s="47">
        <f>AVERAGEA(IR2:IR455)</f>
        <v>0.5382395382395383</v>
      </c>
      <c r="IS474" s="47"/>
      <c r="IT474" s="47"/>
      <c r="IU474" s="39"/>
      <c r="IV474" s="42"/>
      <c r="IW474" s="39"/>
      <c r="IX474" s="39"/>
      <c r="IY474" s="41"/>
      <c r="IZ474" s="47">
        <f>AVERAGEA(IZ2:IZ455)</f>
        <v>3.6612742628023137E-2</v>
      </c>
      <c r="JA474" s="39"/>
      <c r="JB474" s="39"/>
      <c r="JC474" s="41"/>
      <c r="JD474" s="47">
        <f>AVERAGEA(JD2:JD455)</f>
        <v>2.8008808785702759E-2</v>
      </c>
      <c r="JE474" s="47"/>
      <c r="JF474" s="47"/>
      <c r="JG474" s="42"/>
      <c r="JH474" s="39"/>
      <c r="JI474" s="39"/>
      <c r="JJ474" s="41"/>
      <c r="JK474" s="47">
        <f>AVERAGEA(JK2:JK455)</f>
        <v>1.6337109265530621E-2</v>
      </c>
      <c r="JL474" s="39"/>
      <c r="JM474" s="39"/>
      <c r="JN474" s="41"/>
      <c r="JO474" s="47">
        <f>AVERAGEA(JO2:JO455)</f>
        <v>2.8497417133077685E-2</v>
      </c>
      <c r="JP474" s="47"/>
      <c r="JQ474" s="47"/>
      <c r="JR474" s="42"/>
      <c r="JS474" s="39"/>
      <c r="JT474" s="39"/>
      <c r="JU474" s="41"/>
      <c r="JV474" s="47">
        <f>AVERAGEA(JV2:JV455)</f>
        <v>1.6495721976846449E-2</v>
      </c>
      <c r="JW474" s="39"/>
      <c r="JX474" s="39"/>
      <c r="JY474" s="41"/>
      <c r="JZ474" s="47">
        <f>AVERAGEA(JZ2:JZ455)</f>
        <v>8.2478609884232244E-3</v>
      </c>
      <c r="KA474" s="47"/>
      <c r="KB474" s="47"/>
      <c r="KC474" s="39"/>
      <c r="KD474" s="39"/>
      <c r="KE474" s="39"/>
      <c r="KF474" s="39"/>
      <c r="KG474" s="41"/>
      <c r="KH474" s="39"/>
      <c r="KI474" s="39"/>
      <c r="KJ474" s="39"/>
      <c r="KK474" s="39"/>
      <c r="KL474" s="42"/>
      <c r="KM474" s="39"/>
      <c r="KN474" s="39"/>
      <c r="KO474" s="38"/>
      <c r="KP474" s="47">
        <f>AVERAGEA(KP2:KP455)</f>
        <v>0.11929304138485948</v>
      </c>
      <c r="KQ474" s="39"/>
      <c r="KR474" s="39"/>
      <c r="KS474" s="41"/>
      <c r="KT474" s="47">
        <f>AVERAGEA(KT2:KT455)</f>
        <v>0.10544343016863675</v>
      </c>
      <c r="KU474" s="47"/>
      <c r="KV474" s="47"/>
      <c r="KW474" s="42"/>
      <c r="KX474" s="39"/>
      <c r="KY474" s="39"/>
      <c r="KZ474" s="41"/>
      <c r="LA474" s="47">
        <f>AVERAGEA(LA2:LA455)</f>
        <v>7.375841823830187E-2</v>
      </c>
      <c r="LB474" s="39"/>
      <c r="LC474" s="39"/>
      <c r="LD474" s="41"/>
      <c r="LE474" s="47">
        <f>AVERAGEA(LE2:LE455)</f>
        <v>0.11537129781912434</v>
      </c>
      <c r="LF474" s="47"/>
      <c r="LG474" s="47"/>
      <c r="LH474" s="42"/>
      <c r="LI474" s="39"/>
      <c r="LJ474" s="39"/>
      <c r="LK474" s="41"/>
      <c r="LL474" s="47">
        <f>AVERAGEA(LL2:LL455)</f>
        <v>0.40836970259754019</v>
      </c>
      <c r="LM474" s="39"/>
      <c r="LN474" s="39"/>
      <c r="LO474" s="41"/>
      <c r="LP474" s="47">
        <f>AVERAGEA(LP2:LP455)</f>
        <v>0.28278380531736774</v>
      </c>
      <c r="LQ474" s="47"/>
      <c r="LR474" s="47"/>
      <c r="LS474" s="39"/>
      <c r="LT474" s="39"/>
      <c r="LU474" s="39"/>
      <c r="LV474" s="39"/>
      <c r="LW474" s="41"/>
      <c r="LX474" s="47">
        <f>AVERAGEA(LX2:LX455)</f>
        <v>0.14266653499146706</v>
      </c>
      <c r="LY474" s="39"/>
      <c r="LZ474" s="39"/>
      <c r="MA474" s="41"/>
      <c r="MB474" s="47">
        <f>AVERAGEA(MB2:MB455)</f>
        <v>0.12983949486887936</v>
      </c>
      <c r="MC474" s="47"/>
      <c r="MD474" s="47"/>
      <c r="ME474" s="39"/>
      <c r="MF474" s="39"/>
      <c r="MG474" s="39"/>
      <c r="MH474" s="41"/>
      <c r="MI474" s="47">
        <f>AVERAGEA(MI2:MI455)</f>
        <v>5.7085024168154121E-2</v>
      </c>
      <c r="MJ474" s="39"/>
      <c r="MK474" s="39"/>
      <c r="ML474" s="41"/>
      <c r="MM474" s="47">
        <f>AVERAGEA(MM2:MM455)</f>
        <v>8.6561394348292187E-2</v>
      </c>
      <c r="MN474" s="47"/>
      <c r="MO474" s="47"/>
      <c r="MP474" s="39"/>
      <c r="MQ474" s="39"/>
      <c r="MR474" s="39"/>
      <c r="MS474" s="41"/>
      <c r="MT474" s="47">
        <f>AVERAGEA(MT2:MT455)</f>
        <v>0.5033449823593551</v>
      </c>
      <c r="MU474" s="39"/>
      <c r="MV474" s="39"/>
      <c r="MW474" s="41"/>
      <c r="MX474" s="47">
        <f>AVERAGEA(MX2:MX455)</f>
        <v>0.33779399038990504</v>
      </c>
      <c r="MY474" s="47"/>
      <c r="MZ474" s="47"/>
      <c r="NA474" s="39"/>
      <c r="NB474" s="39"/>
      <c r="NC474" s="39"/>
      <c r="ND474" s="39"/>
      <c r="NE474" s="41"/>
      <c r="NF474" s="47">
        <f>AVERAGEA(NF2:NF455)</f>
        <v>0.27713193972973704</v>
      </c>
      <c r="NG474" s="39"/>
      <c r="NH474" s="39"/>
      <c r="NI474" s="41"/>
      <c r="NJ474" s="47">
        <f>AVERAGEA(NJ2:NJ455)</f>
        <v>0.28099300853677028</v>
      </c>
      <c r="NK474" s="47"/>
      <c r="NL474" s="47"/>
      <c r="NM474" s="39"/>
      <c r="NN474" s="39"/>
      <c r="NO474" s="39"/>
      <c r="NP474" s="39"/>
      <c r="NQ474" s="41"/>
      <c r="NR474" s="47">
        <f>AVERAGEA(NR2:NR455)</f>
        <v>0.83466434526385835</v>
      </c>
      <c r="NS474" s="39"/>
      <c r="NT474" s="39"/>
      <c r="NU474" s="41"/>
      <c r="NV474" s="47">
        <f>AVERAGEA(NV2:NV455)</f>
        <v>0.58302737385594672</v>
      </c>
      <c r="NW474" s="47"/>
      <c r="NX474" s="47"/>
      <c r="NY474" s="39"/>
      <c r="NZ474" s="39"/>
      <c r="OA474" s="39"/>
      <c r="OB474" s="39"/>
      <c r="OC474" s="41"/>
      <c r="OD474" s="47">
        <f>AVERAGEA(OD2:OD455)</f>
        <v>3.5048380076146628E-2</v>
      </c>
      <c r="OE474" s="39"/>
      <c r="OF474" s="39"/>
      <c r="OG474" s="41"/>
      <c r="OH474" s="47">
        <f>AVERAGEA(OH2:OH455)</f>
        <v>6.0338144912060993E-2</v>
      </c>
      <c r="OI474" s="47"/>
      <c r="OJ474" s="47"/>
      <c r="OK474" s="39"/>
      <c r="OL474" s="39"/>
      <c r="OM474" s="39"/>
      <c r="ON474" s="39"/>
      <c r="OO474" s="38"/>
      <c r="OP474" s="39"/>
      <c r="OQ474" s="39"/>
      <c r="OR474" s="38"/>
      <c r="OS474" s="38"/>
      <c r="OT474" s="38"/>
      <c r="OU474" s="39"/>
      <c r="OV474" s="39"/>
      <c r="OW474" s="39"/>
      <c r="OX474" s="39"/>
      <c r="OY474" s="41"/>
      <c r="OZ474" s="39"/>
      <c r="PA474" s="39"/>
      <c r="PB474" s="41"/>
      <c r="PC474" s="41"/>
      <c r="PD474" s="41"/>
      <c r="PE474" s="39"/>
      <c r="PF474" s="39"/>
      <c r="PG474" s="39"/>
      <c r="PH474" s="39"/>
      <c r="PI474" s="41"/>
      <c r="PJ474" s="39"/>
      <c r="PK474" s="39"/>
      <c r="PL474" s="41"/>
      <c r="PM474" s="41"/>
      <c r="PN474" s="41"/>
      <c r="PO474" s="39"/>
      <c r="PP474" s="39"/>
      <c r="PQ474" s="39"/>
      <c r="PR474" s="39"/>
      <c r="PS474" s="41"/>
      <c r="PT474" s="39"/>
      <c r="PU474" s="39"/>
      <c r="PV474" s="41"/>
      <c r="PW474" s="41"/>
      <c r="PX474" s="41"/>
      <c r="PY474" s="39"/>
      <c r="PZ474" s="39"/>
      <c r="QA474" s="39"/>
      <c r="QB474" s="38"/>
      <c r="QC474" s="47">
        <f>AVERAGEA(QC2:QC455)</f>
        <v>0.23949156361181301</v>
      </c>
      <c r="QD474" s="39"/>
      <c r="QE474" s="39"/>
      <c r="QF474" s="41"/>
      <c r="QG474" s="47">
        <f>AVERAGEA(QG2:QG455)</f>
        <v>0.19371721926231494</v>
      </c>
      <c r="QH474" s="47"/>
      <c r="QI474" s="47"/>
      <c r="QJ474" s="39"/>
      <c r="QK474" s="39"/>
      <c r="QL474" s="39"/>
      <c r="QM474" s="41"/>
      <c r="QN474" s="39"/>
      <c r="QO474" s="39"/>
      <c r="QP474" s="41"/>
      <c r="QQ474" s="41"/>
      <c r="QR474" s="41"/>
      <c r="QS474" s="39"/>
      <c r="QT474" s="39"/>
      <c r="QU474" s="39"/>
      <c r="QV474" s="39"/>
      <c r="QW474" s="41"/>
      <c r="QX474" s="39"/>
      <c r="QY474" s="39"/>
      <c r="QZ474" s="41"/>
      <c r="RA474" s="39"/>
      <c r="RB474" s="39"/>
      <c r="RC474" s="39"/>
      <c r="RD474" s="39"/>
      <c r="RE474" s="41"/>
      <c r="RF474" s="39"/>
      <c r="RG474" s="39"/>
      <c r="RH474" s="41"/>
      <c r="RI474" s="39"/>
      <c r="RJ474" s="39"/>
      <c r="RK474" s="39"/>
      <c r="RL474" s="39"/>
      <c r="RM474" s="38"/>
      <c r="RN474" s="39"/>
      <c r="RO474" s="39"/>
      <c r="RP474" s="38"/>
      <c r="RQ474" s="39"/>
      <c r="RR474" s="39"/>
      <c r="RS474" s="39"/>
      <c r="RT474" s="39"/>
      <c r="RU474" s="38"/>
      <c r="RV474" s="39"/>
      <c r="RW474" s="39"/>
      <c r="RX474" s="38"/>
      <c r="RY474" s="39"/>
      <c r="RZ474" s="39"/>
      <c r="SA474" s="39"/>
      <c r="SB474" s="39"/>
      <c r="SC474" s="41"/>
      <c r="SD474" s="39"/>
      <c r="SE474" s="39"/>
      <c r="SF474" s="41"/>
      <c r="SG474" s="39"/>
      <c r="SH474" s="39"/>
      <c r="SI474" s="39"/>
      <c r="SJ474" s="39"/>
      <c r="SK474" s="41"/>
      <c r="SL474" s="47">
        <f>AVERAGEA(SL2:SL455)</f>
        <v>0.31021064481633753</v>
      </c>
      <c r="SM474" s="39"/>
      <c r="SN474" s="39"/>
      <c r="SO474" s="41"/>
      <c r="SP474" s="47">
        <f>AVERAGEA(SP2:SP455)</f>
        <v>0.27193654343492535</v>
      </c>
      <c r="SQ474" s="47"/>
      <c r="SR474" s="47"/>
      <c r="SS474" s="39"/>
      <c r="ST474" s="39"/>
      <c r="SU474" s="39"/>
      <c r="SV474" s="39"/>
      <c r="SW474" s="38"/>
      <c r="SX474" s="39"/>
      <c r="SY474" s="39"/>
      <c r="SZ474" s="38"/>
      <c r="TA474" s="38"/>
      <c r="TB474" s="38"/>
      <c r="TC474" s="39"/>
      <c r="TD474" s="39"/>
      <c r="TE474" s="39"/>
      <c r="TF474" s="39"/>
      <c r="TG474" s="38"/>
      <c r="TH474" s="39"/>
      <c r="TI474" s="39"/>
      <c r="TJ474" s="38"/>
      <c r="TK474" s="38"/>
      <c r="TL474" s="38"/>
      <c r="TM474" s="39"/>
      <c r="TN474" s="39"/>
      <c r="TO474" s="39"/>
      <c r="TP474" s="39"/>
      <c r="TQ474" s="38"/>
      <c r="TR474" s="39"/>
      <c r="TS474" s="39"/>
      <c r="TT474" s="38"/>
      <c r="TU474" s="38"/>
      <c r="TV474" s="38"/>
      <c r="TW474" s="39"/>
      <c r="TX474" s="39"/>
      <c r="TY474" s="39"/>
      <c r="TZ474" s="39"/>
      <c r="UA474" s="38"/>
      <c r="UB474" s="39"/>
      <c r="UC474" s="39"/>
      <c r="UD474" s="38"/>
      <c r="UE474" s="38"/>
      <c r="UF474" s="38"/>
      <c r="UG474" s="39"/>
      <c r="UH474" s="39"/>
      <c r="UI474" s="39"/>
      <c r="UJ474" s="39"/>
      <c r="UK474" s="41"/>
      <c r="UL474" s="39"/>
      <c r="UM474" s="39"/>
      <c r="UN474" s="41"/>
      <c r="UO474" s="41"/>
      <c r="UP474" s="41"/>
      <c r="UQ474" s="39"/>
      <c r="UR474" s="39"/>
      <c r="US474" s="39"/>
      <c r="UT474" s="41"/>
      <c r="UU474" s="39"/>
      <c r="UV474" s="39"/>
      <c r="UW474" s="41"/>
      <c r="UX474" s="41"/>
      <c r="UY474" s="41"/>
      <c r="UZ474" s="39"/>
      <c r="VA474" s="39"/>
      <c r="VB474" s="39"/>
      <c r="VC474" s="39"/>
      <c r="VD474" s="41"/>
      <c r="VE474" s="39"/>
      <c r="VF474" s="39"/>
      <c r="VG474" s="41"/>
      <c r="VH474" s="39"/>
      <c r="VI474" s="39"/>
      <c r="VJ474" s="39"/>
      <c r="VK474" s="41"/>
      <c r="VL474" s="39"/>
      <c r="VM474" s="39"/>
      <c r="VN474" s="41"/>
      <c r="VO474" s="39"/>
      <c r="VP474" s="39"/>
      <c r="VQ474" s="41"/>
      <c r="VR474" s="41"/>
      <c r="VS474" s="41"/>
      <c r="VT474" s="41"/>
      <c r="VU474" s="41"/>
      <c r="VV474" s="41"/>
      <c r="VW474" s="41"/>
      <c r="VX474" s="41"/>
      <c r="VY474" s="39"/>
      <c r="VZ474" s="39"/>
      <c r="WA474" s="41"/>
      <c r="WB474" s="41"/>
      <c r="WC474" s="41"/>
      <c r="WD474" s="41"/>
      <c r="WE474" s="41"/>
      <c r="WF474" s="41"/>
      <c r="WG474" s="39"/>
      <c r="WH474" s="39"/>
    </row>
    <row r="475" spans="1:606" x14ac:dyDescent="0.3">
      <c r="B475" s="12"/>
      <c r="E475" s="14"/>
      <c r="AK475" s="12"/>
      <c r="AM475" s="20"/>
      <c r="AO475" s="20"/>
      <c r="AP475" s="20"/>
      <c r="AQ475" s="20"/>
      <c r="BH475" s="13"/>
      <c r="BL475" s="13"/>
      <c r="BM475" s="13"/>
      <c r="BN475" s="13"/>
      <c r="BS475" s="13"/>
      <c r="BV475" s="12"/>
      <c r="BW475" s="12"/>
      <c r="BX475" s="12"/>
      <c r="BY475" s="12"/>
      <c r="CB475" s="50" t="s">
        <v>941</v>
      </c>
      <c r="CH475" s="13"/>
      <c r="CI475" s="13"/>
      <c r="CJ475" s="13"/>
      <c r="CQ475" s="13"/>
      <c r="CU475" s="13"/>
      <c r="CV475" s="13"/>
      <c r="CW475" s="13"/>
      <c r="CX475" s="13"/>
      <c r="CY475" s="13"/>
      <c r="DD475" s="13"/>
      <c r="DH475" s="13"/>
      <c r="DI475" s="13"/>
      <c r="DJ475" s="13"/>
      <c r="DM475" s="15"/>
      <c r="DN475" s="12"/>
      <c r="DO475" s="15"/>
      <c r="DP475" s="18"/>
      <c r="DQ475" s="18"/>
      <c r="DR475" s="12"/>
      <c r="DS475" s="15"/>
      <c r="DT475" s="18"/>
      <c r="DU475" s="18"/>
      <c r="DV475" s="18"/>
      <c r="DW475" s="18"/>
      <c r="DX475" s="73"/>
      <c r="DY475" s="73"/>
      <c r="DZ475" s="12"/>
      <c r="EA475" s="15"/>
      <c r="EB475" s="15"/>
      <c r="EC475" s="15"/>
      <c r="ED475" s="15"/>
      <c r="EE475" s="15"/>
      <c r="EF475" s="15"/>
      <c r="EG475" s="15"/>
      <c r="EH475" s="15"/>
      <c r="EI475" s="52"/>
      <c r="EJ475" s="15"/>
      <c r="EK475" s="15"/>
      <c r="EL475" s="15"/>
      <c r="EQ475" s="13"/>
      <c r="EU475" s="13"/>
      <c r="EV475" s="13"/>
      <c r="EW475" s="13"/>
      <c r="EX475" s="13"/>
      <c r="EY475" s="13"/>
      <c r="FB475" s="11"/>
      <c r="FC475" s="11"/>
      <c r="FI475" s="11"/>
      <c r="FJ475" s="11"/>
      <c r="FP475" s="11"/>
      <c r="FQ475" s="11"/>
      <c r="FW475" s="11"/>
      <c r="FX475" s="11"/>
      <c r="GH475" s="13"/>
      <c r="GL475" s="13"/>
      <c r="GM475" s="13"/>
      <c r="GN475" s="13"/>
      <c r="GT475" s="13"/>
      <c r="GX475" s="13"/>
      <c r="GY475" s="13"/>
      <c r="GZ475" s="13"/>
      <c r="HA475" s="12"/>
      <c r="HB475" s="32"/>
      <c r="HF475" s="13"/>
      <c r="HJ475" s="13"/>
      <c r="HK475" s="13"/>
      <c r="HL475" s="13"/>
      <c r="HM475" s="32"/>
      <c r="HQ475" s="13"/>
      <c r="HU475" s="13"/>
      <c r="HV475" s="13"/>
      <c r="HW475" s="13"/>
      <c r="IB475" s="13"/>
      <c r="IF475" s="13"/>
      <c r="IG475" s="13"/>
      <c r="IH475" s="13"/>
      <c r="IN475" s="13"/>
      <c r="IR475" s="13"/>
      <c r="IS475" s="13"/>
      <c r="IT475" s="13"/>
      <c r="IZ475" s="13"/>
      <c r="JD475" s="13"/>
      <c r="JE475" s="13"/>
      <c r="JF475" s="13"/>
      <c r="JK475" s="13"/>
      <c r="JN475" s="12"/>
      <c r="JO475" s="12"/>
      <c r="JP475" s="12"/>
      <c r="JQ475" s="12"/>
      <c r="JV475" s="13"/>
      <c r="JY475" s="12"/>
      <c r="JZ475" s="12"/>
      <c r="KA475" s="12"/>
      <c r="KB475" s="12"/>
      <c r="KE475" s="11"/>
      <c r="KF475" s="11"/>
      <c r="KH475" s="11"/>
      <c r="KI475" s="11"/>
      <c r="KJ475" s="11"/>
      <c r="KP475" s="11"/>
      <c r="KT475" s="13"/>
      <c r="KU475" s="13"/>
      <c r="KV475" s="13"/>
      <c r="LA475" s="13"/>
      <c r="LE475" s="13"/>
      <c r="LF475" s="13"/>
      <c r="LG475" s="13"/>
      <c r="LK475" s="12"/>
      <c r="LL475" s="12"/>
      <c r="LO475" s="12"/>
      <c r="LP475" s="12"/>
      <c r="LQ475" s="12"/>
      <c r="LR475" s="12"/>
      <c r="LX475" s="13"/>
      <c r="LY475" s="13"/>
      <c r="MA475" s="12"/>
      <c r="MB475" s="12"/>
      <c r="MC475" s="12"/>
      <c r="MD475" s="12"/>
      <c r="MH475" s="12"/>
      <c r="MI475" s="12"/>
      <c r="ML475" s="12"/>
      <c r="MM475" s="12"/>
      <c r="MN475" s="12"/>
      <c r="MO475" s="12"/>
      <c r="MS475" s="12"/>
      <c r="MT475" s="12"/>
      <c r="MW475" s="12"/>
      <c r="MX475" s="12"/>
      <c r="MY475" s="12"/>
      <c r="MZ475" s="12"/>
      <c r="NE475" s="12"/>
      <c r="NF475" s="12"/>
      <c r="NG475" s="13"/>
      <c r="NH475" s="13"/>
      <c r="NI475" s="12"/>
      <c r="NJ475" s="12"/>
      <c r="NK475" s="12"/>
      <c r="NL475" s="12"/>
      <c r="NM475" s="13"/>
      <c r="NN475" s="13"/>
      <c r="NQ475" s="12"/>
      <c r="NR475" s="12"/>
      <c r="NS475" s="13"/>
      <c r="NT475" s="13"/>
      <c r="NU475" s="12"/>
      <c r="NV475" s="12"/>
      <c r="NW475" s="12"/>
      <c r="NX475" s="12"/>
      <c r="NY475" s="13"/>
      <c r="NZ475" s="13"/>
      <c r="OC475" s="11"/>
      <c r="OD475" s="11"/>
      <c r="OE475" s="11"/>
      <c r="OF475" s="13"/>
      <c r="OG475" s="11"/>
      <c r="OH475" s="11"/>
      <c r="OI475" s="11"/>
      <c r="OJ475" s="11"/>
      <c r="OK475" s="11"/>
      <c r="OL475" s="13"/>
      <c r="OP475" s="11"/>
      <c r="OQ475" s="11"/>
      <c r="OU475" s="11"/>
      <c r="OV475" s="11"/>
      <c r="OY475" s="11"/>
      <c r="OZ475" s="11"/>
      <c r="PA475" s="13"/>
      <c r="PB475" s="11"/>
      <c r="PC475" s="11"/>
      <c r="PD475" s="11"/>
      <c r="PE475" s="11"/>
      <c r="PF475" s="13"/>
      <c r="PI475" s="11"/>
      <c r="PJ475" s="11"/>
      <c r="PK475" s="13"/>
      <c r="PL475" s="11"/>
      <c r="PM475" s="11"/>
      <c r="PN475" s="11"/>
      <c r="PO475" s="11"/>
      <c r="PP475" s="13"/>
      <c r="PS475" s="11"/>
      <c r="PT475" s="11"/>
      <c r="PU475" s="13"/>
      <c r="PV475" s="11"/>
      <c r="PW475" s="11"/>
      <c r="PX475" s="11"/>
      <c r="PY475" s="11"/>
      <c r="PZ475" s="13"/>
      <c r="QB475" s="12"/>
      <c r="QC475" s="12"/>
      <c r="QD475" s="11"/>
      <c r="QE475" s="11"/>
      <c r="QF475" s="12"/>
      <c r="QG475" s="12"/>
      <c r="QH475" s="12"/>
      <c r="QI475" s="12"/>
      <c r="QM475" s="11"/>
      <c r="QN475" s="11"/>
      <c r="QO475" s="13"/>
      <c r="QP475" s="11"/>
      <c r="QQ475" s="11"/>
      <c r="QR475" s="11"/>
      <c r="QS475" s="11"/>
      <c r="QT475" s="13"/>
      <c r="QW475" s="11"/>
      <c r="QX475" s="11"/>
      <c r="QY475" s="13"/>
      <c r="QZ475" s="11"/>
      <c r="RA475" s="11"/>
      <c r="RB475" s="13"/>
      <c r="RG475" s="13"/>
      <c r="RJ475" s="13"/>
      <c r="RN475" s="11"/>
      <c r="RO475" s="13"/>
      <c r="RQ475" s="11"/>
      <c r="RR475" s="13"/>
      <c r="RV475" s="11"/>
      <c r="RW475" s="11"/>
      <c r="RY475" s="11"/>
      <c r="RZ475" s="11"/>
      <c r="SC475" s="11"/>
      <c r="SD475" s="11"/>
      <c r="SE475" s="13"/>
      <c r="SF475" s="11"/>
      <c r="SG475" s="11"/>
      <c r="SH475" s="13"/>
      <c r="SL475" s="11"/>
      <c r="SM475" s="13"/>
      <c r="SN475" s="13"/>
      <c r="SP475" s="11"/>
      <c r="SQ475" s="11"/>
      <c r="SR475" s="11"/>
      <c r="SS475" s="13"/>
      <c r="ST475" s="13"/>
      <c r="SW475" s="12"/>
      <c r="SY475" s="11"/>
      <c r="SZ475" s="12"/>
      <c r="TA475" s="12"/>
      <c r="TB475" s="12"/>
      <c r="TD475" s="11"/>
      <c r="TG475" s="12"/>
      <c r="TI475" s="11"/>
      <c r="TJ475" s="12"/>
      <c r="TK475" s="12"/>
      <c r="TL475" s="12"/>
      <c r="TN475" s="11"/>
      <c r="TQ475" s="12"/>
      <c r="TS475" s="11"/>
      <c r="TT475" s="12"/>
      <c r="TU475" s="12"/>
      <c r="TV475" s="12"/>
      <c r="TX475" s="11"/>
      <c r="UA475" s="12"/>
      <c r="UC475" s="11"/>
      <c r="UD475" s="12"/>
      <c r="UE475" s="12"/>
      <c r="UF475" s="12"/>
      <c r="UH475" s="11"/>
      <c r="UK475" s="12"/>
      <c r="UM475" s="13"/>
      <c r="UN475" s="12"/>
      <c r="UO475" s="12"/>
      <c r="UP475" s="12"/>
      <c r="UR475" s="13"/>
      <c r="UT475" s="12"/>
      <c r="UV475" s="13"/>
      <c r="UW475" s="12"/>
      <c r="UX475" s="12"/>
      <c r="UY475" s="12"/>
      <c r="VA475" s="13"/>
      <c r="VD475" s="12"/>
      <c r="VF475" s="13"/>
      <c r="VG475" s="12"/>
      <c r="VI475" s="13"/>
      <c r="VK475" s="12"/>
      <c r="VM475" s="13"/>
      <c r="VN475" s="12"/>
      <c r="VP475" s="13"/>
      <c r="VQ475" s="12"/>
      <c r="VR475" s="12"/>
      <c r="VS475" s="12"/>
      <c r="VT475" s="12"/>
      <c r="VU475" s="12"/>
      <c r="VV475" s="12"/>
      <c r="VW475" s="12"/>
      <c r="VX475" s="12"/>
      <c r="WA475" s="12"/>
      <c r="WB475" s="12"/>
      <c r="WG475" s="13"/>
      <c r="WH475" s="13"/>
    </row>
    <row r="476" spans="1:606" x14ac:dyDescent="0.3">
      <c r="B476" s="12"/>
      <c r="E476" s="14"/>
      <c r="AK476" s="12"/>
      <c r="AM476" s="20"/>
      <c r="AO476" s="20"/>
      <c r="AP476" s="20"/>
      <c r="AQ476" s="20"/>
      <c r="BH476" s="13"/>
      <c r="BL476" s="13"/>
      <c r="BM476" s="13"/>
      <c r="BN476" s="13"/>
      <c r="BS476" s="13"/>
      <c r="BV476" s="12"/>
      <c r="BW476" s="12"/>
      <c r="BX476" s="12"/>
      <c r="BY476" s="12"/>
      <c r="CB476" s="12" t="s">
        <v>942</v>
      </c>
      <c r="CH476" s="13"/>
      <c r="CI476" s="13"/>
      <c r="CJ476" s="13"/>
      <c r="CQ476" s="13"/>
      <c r="CU476" s="13"/>
      <c r="CV476" s="13"/>
      <c r="CW476" s="13"/>
      <c r="CX476" s="13"/>
      <c r="CY476" s="13"/>
      <c r="DD476" s="13"/>
      <c r="DH476" s="13"/>
      <c r="DI476" s="13"/>
      <c r="DJ476" s="13"/>
      <c r="DM476" s="15"/>
      <c r="DN476" s="12"/>
      <c r="DO476" s="15"/>
      <c r="DP476" s="18"/>
      <c r="DQ476" s="18"/>
      <c r="DR476" s="12"/>
      <c r="DS476" s="15"/>
      <c r="DT476" s="18"/>
      <c r="DU476" s="18"/>
      <c r="DV476" s="18"/>
      <c r="DW476" s="18"/>
      <c r="DX476" s="73"/>
      <c r="DY476" s="73"/>
      <c r="DZ476" s="12"/>
      <c r="EA476" s="15"/>
      <c r="EB476" s="15"/>
      <c r="EC476" s="15"/>
      <c r="ED476" s="15"/>
      <c r="EE476" s="15"/>
      <c r="EF476" s="15"/>
      <c r="EG476" s="15"/>
      <c r="EH476" s="15"/>
      <c r="EI476" s="52"/>
      <c r="EJ476" s="15"/>
      <c r="EK476" s="15"/>
      <c r="EL476" s="15"/>
      <c r="EQ476" s="13"/>
      <c r="EU476" s="13"/>
      <c r="EV476" s="13"/>
      <c r="EW476" s="13"/>
      <c r="EX476" s="13"/>
      <c r="EY476" s="13"/>
      <c r="FB476" s="11"/>
      <c r="FC476" s="11"/>
      <c r="FI476" s="11"/>
      <c r="FJ476" s="11"/>
      <c r="FP476" s="11"/>
      <c r="FQ476" s="11"/>
      <c r="FW476" s="11"/>
      <c r="FX476" s="11"/>
      <c r="GH476" s="13"/>
      <c r="GL476" s="13"/>
      <c r="GM476" s="13"/>
      <c r="GN476" s="13"/>
      <c r="GT476" s="13"/>
      <c r="GX476" s="13"/>
      <c r="GY476" s="13"/>
      <c r="GZ476" s="13"/>
      <c r="HA476" s="12"/>
      <c r="HB476" s="32"/>
      <c r="HF476" s="13"/>
      <c r="HJ476" s="13"/>
      <c r="HK476" s="13"/>
      <c r="HL476" s="13"/>
      <c r="HM476" s="32"/>
      <c r="HQ476" s="13"/>
      <c r="HU476" s="13"/>
      <c r="HV476" s="13"/>
      <c r="HW476" s="13"/>
      <c r="IB476" s="13"/>
      <c r="IF476" s="13"/>
      <c r="IG476" s="13"/>
      <c r="IH476" s="13"/>
      <c r="IN476" s="13"/>
      <c r="IR476" s="13"/>
      <c r="IS476" s="13"/>
      <c r="IT476" s="13"/>
      <c r="IZ476" s="13"/>
      <c r="JD476" s="13"/>
      <c r="JE476" s="13"/>
      <c r="JF476" s="13"/>
      <c r="JK476" s="13"/>
      <c r="JN476" s="12"/>
      <c r="JO476" s="12"/>
      <c r="JP476" s="12"/>
      <c r="JQ476" s="12"/>
      <c r="JV476" s="13"/>
      <c r="JY476" s="12"/>
      <c r="JZ476" s="12"/>
      <c r="KA476" s="12"/>
      <c r="KB476" s="12"/>
      <c r="KE476" s="11"/>
      <c r="KF476" s="11"/>
      <c r="KH476" s="11"/>
      <c r="KI476" s="11"/>
      <c r="KJ476" s="11"/>
      <c r="KP476" s="11"/>
      <c r="KT476" s="13"/>
      <c r="KU476" s="13"/>
      <c r="KV476" s="13"/>
      <c r="LA476" s="13"/>
      <c r="LE476" s="13"/>
      <c r="LF476" s="13"/>
      <c r="LG476" s="13"/>
      <c r="LK476" s="12"/>
      <c r="LL476" s="12"/>
      <c r="LO476" s="12"/>
      <c r="LP476" s="12"/>
      <c r="LQ476" s="12"/>
      <c r="LR476" s="12"/>
      <c r="LX476" s="13"/>
      <c r="LY476" s="13"/>
      <c r="MA476" s="12"/>
      <c r="MB476" s="12"/>
      <c r="MC476" s="12"/>
      <c r="MD476" s="12"/>
      <c r="MH476" s="12"/>
      <c r="MI476" s="12"/>
      <c r="ML476" s="12"/>
      <c r="MM476" s="12"/>
      <c r="MN476" s="12"/>
      <c r="MO476" s="12"/>
      <c r="MS476" s="12"/>
      <c r="MT476" s="12"/>
      <c r="MW476" s="12"/>
      <c r="MX476" s="12"/>
      <c r="MY476" s="12"/>
      <c r="MZ476" s="12"/>
      <c r="NE476" s="12"/>
      <c r="NF476" s="12"/>
      <c r="NG476" s="13"/>
      <c r="NH476" s="13"/>
      <c r="NI476" s="12"/>
      <c r="NJ476" s="12"/>
      <c r="NK476" s="12"/>
      <c r="NL476" s="12"/>
      <c r="NM476" s="13"/>
      <c r="NN476" s="13"/>
      <c r="NQ476" s="12"/>
      <c r="NR476" s="12"/>
      <c r="NS476" s="13"/>
      <c r="NT476" s="13"/>
      <c r="NU476" s="12"/>
      <c r="NV476" s="12"/>
      <c r="NW476" s="12"/>
      <c r="NX476" s="12"/>
      <c r="NY476" s="13"/>
      <c r="NZ476" s="13"/>
      <c r="OC476" s="11"/>
      <c r="OD476" s="11"/>
      <c r="OE476" s="11"/>
      <c r="OF476" s="13"/>
      <c r="OG476" s="11"/>
      <c r="OH476" s="11"/>
      <c r="OI476" s="11"/>
      <c r="OJ476" s="11"/>
      <c r="OK476" s="11"/>
      <c r="OL476" s="13"/>
      <c r="OP476" s="11"/>
      <c r="OQ476" s="11"/>
      <c r="OU476" s="11"/>
      <c r="OV476" s="11"/>
      <c r="OY476" s="11"/>
      <c r="OZ476" s="11"/>
      <c r="PA476" s="13"/>
      <c r="PB476" s="11"/>
      <c r="PC476" s="11"/>
      <c r="PD476" s="11"/>
      <c r="PE476" s="11"/>
      <c r="PF476" s="13"/>
      <c r="PI476" s="11"/>
      <c r="PJ476" s="11"/>
      <c r="PK476" s="13"/>
      <c r="PL476" s="11"/>
      <c r="PM476" s="11"/>
      <c r="PN476" s="11"/>
      <c r="PO476" s="11"/>
      <c r="PP476" s="13"/>
      <c r="PS476" s="11"/>
      <c r="PT476" s="11"/>
      <c r="PU476" s="13"/>
      <c r="PV476" s="11"/>
      <c r="PW476" s="11"/>
      <c r="PX476" s="11"/>
      <c r="PY476" s="11"/>
      <c r="PZ476" s="13"/>
      <c r="QB476" s="12"/>
      <c r="QC476" s="12"/>
      <c r="QD476" s="11"/>
      <c r="QE476" s="11"/>
      <c r="QF476" s="12"/>
      <c r="QG476" s="12"/>
      <c r="QH476" s="12"/>
      <c r="QI476" s="12"/>
      <c r="QM476" s="11"/>
      <c r="QN476" s="11"/>
      <c r="QO476" s="13"/>
      <c r="QP476" s="11"/>
      <c r="QQ476" s="11"/>
      <c r="QR476" s="11"/>
      <c r="QS476" s="11"/>
      <c r="QT476" s="13"/>
      <c r="QW476" s="11"/>
      <c r="QX476" s="11"/>
      <c r="QY476" s="13"/>
      <c r="QZ476" s="11"/>
      <c r="RA476" s="11"/>
      <c r="RB476" s="13"/>
      <c r="RG476" s="13"/>
      <c r="RJ476" s="13"/>
      <c r="RN476" s="11"/>
      <c r="RO476" s="13"/>
      <c r="RQ476" s="11"/>
      <c r="RR476" s="13"/>
      <c r="RV476" s="11"/>
      <c r="RW476" s="11"/>
      <c r="RY476" s="11"/>
      <c r="RZ476" s="11"/>
      <c r="SC476" s="11"/>
      <c r="SD476" s="11"/>
      <c r="SE476" s="13"/>
      <c r="SF476" s="11"/>
      <c r="SG476" s="11"/>
      <c r="SH476" s="13"/>
      <c r="SL476" s="11"/>
      <c r="SM476" s="13"/>
      <c r="SN476" s="13"/>
      <c r="SP476" s="11"/>
      <c r="SQ476" s="11"/>
      <c r="SR476" s="11"/>
      <c r="SS476" s="13"/>
      <c r="ST476" s="13"/>
      <c r="SW476" s="12"/>
      <c r="SY476" s="11"/>
      <c r="SZ476" s="12"/>
      <c r="TA476" s="12"/>
      <c r="TB476" s="12"/>
      <c r="TD476" s="11"/>
      <c r="TG476" s="12"/>
      <c r="TI476" s="11"/>
      <c r="TJ476" s="12"/>
      <c r="TK476" s="12"/>
      <c r="TL476" s="12"/>
      <c r="TN476" s="11"/>
      <c r="TQ476" s="12"/>
      <c r="TS476" s="11"/>
      <c r="TT476" s="12"/>
      <c r="TU476" s="12"/>
      <c r="TV476" s="12"/>
      <c r="TX476" s="11"/>
      <c r="UA476" s="12"/>
      <c r="UC476" s="11"/>
      <c r="UD476" s="12"/>
      <c r="UE476" s="12"/>
      <c r="UF476" s="12"/>
      <c r="UH476" s="11"/>
      <c r="UK476" s="12"/>
      <c r="UM476" s="13"/>
      <c r="UN476" s="12"/>
      <c r="UO476" s="12"/>
      <c r="UP476" s="12"/>
      <c r="UR476" s="13"/>
      <c r="UT476" s="12"/>
      <c r="UV476" s="13"/>
      <c r="UW476" s="12"/>
      <c r="UX476" s="12"/>
      <c r="UY476" s="12"/>
      <c r="VA476" s="13"/>
      <c r="VD476" s="12"/>
      <c r="VF476" s="13"/>
      <c r="VG476" s="12"/>
      <c r="VI476" s="13"/>
      <c r="VK476" s="12"/>
      <c r="VM476" s="13"/>
      <c r="VN476" s="12"/>
      <c r="VP476" s="13"/>
      <c r="VQ476" s="12"/>
      <c r="VR476" s="12"/>
      <c r="VS476" s="12"/>
      <c r="VT476" s="12"/>
      <c r="VU476" s="12"/>
      <c r="VV476" s="12"/>
      <c r="VW476" s="12"/>
      <c r="VX476" s="12"/>
      <c r="WA476" s="12"/>
      <c r="WB476" s="12"/>
      <c r="WG476" s="13"/>
      <c r="WH476" s="13"/>
    </row>
    <row r="477" spans="1:606" x14ac:dyDescent="0.3">
      <c r="B477" s="12"/>
      <c r="E477" s="14"/>
      <c r="AK477" s="12"/>
      <c r="AM477" s="20"/>
      <c r="AO477" s="20"/>
      <c r="AP477" s="20"/>
      <c r="AQ477" s="20"/>
      <c r="BH477" s="13"/>
      <c r="BL477" s="13"/>
      <c r="BM477" s="13"/>
      <c r="BN477" s="13"/>
      <c r="BS477" s="13"/>
      <c r="BV477" s="12"/>
      <c r="BW477" s="12"/>
      <c r="BX477" s="12"/>
      <c r="BY477" s="12"/>
      <c r="CD477" s="13"/>
      <c r="CH477" s="13"/>
      <c r="CI477" s="13"/>
      <c r="CJ477" s="13"/>
      <c r="CQ477" s="13"/>
      <c r="CU477" s="13"/>
      <c r="CV477" s="13"/>
      <c r="CW477" s="13"/>
      <c r="CX477" s="13"/>
      <c r="CY477" s="13"/>
      <c r="DD477" s="13"/>
      <c r="DH477" s="13"/>
      <c r="DI477" s="13"/>
      <c r="DJ477" s="13"/>
      <c r="DM477" s="15"/>
      <c r="DN477" s="15"/>
      <c r="DO477" s="15"/>
      <c r="DP477" s="18"/>
      <c r="DQ477" s="18"/>
      <c r="DR477" s="15"/>
      <c r="DS477" s="15"/>
      <c r="DT477" s="18"/>
      <c r="DU477" s="18"/>
      <c r="DV477" s="18"/>
      <c r="DW477" s="18"/>
      <c r="DX477" s="73"/>
      <c r="DY477" s="73"/>
      <c r="DZ477" s="15"/>
      <c r="EA477" s="15"/>
      <c r="EB477" s="15"/>
      <c r="EC477" s="15"/>
      <c r="ED477" s="15"/>
      <c r="EE477" s="15"/>
      <c r="EF477" s="15"/>
      <c r="EG477" s="15"/>
      <c r="EH477" s="15"/>
      <c r="EI477" s="52"/>
      <c r="EJ477" s="15"/>
      <c r="EK477" s="15"/>
      <c r="EL477" s="15"/>
      <c r="EQ477" s="13"/>
      <c r="EU477" s="13"/>
      <c r="EV477" s="13"/>
      <c r="EW477" s="13"/>
      <c r="EX477" s="13"/>
      <c r="EY477" s="13"/>
      <c r="FB477" s="11"/>
      <c r="FC477" s="11"/>
      <c r="FI477" s="11"/>
      <c r="FJ477" s="11"/>
      <c r="FP477" s="11"/>
      <c r="FQ477" s="11"/>
      <c r="FW477" s="11"/>
      <c r="FX477" s="11"/>
      <c r="GH477" s="13"/>
      <c r="GL477" s="13"/>
      <c r="GM477" s="13"/>
      <c r="GN477" s="13"/>
      <c r="GT477" s="13"/>
      <c r="GX477" s="13"/>
      <c r="GY477" s="13"/>
      <c r="GZ477" s="13"/>
      <c r="HA477" s="12"/>
      <c r="HB477" s="32"/>
      <c r="HF477" s="13"/>
      <c r="HJ477" s="13"/>
      <c r="HK477" s="13"/>
      <c r="HL477" s="13"/>
      <c r="HM477" s="32"/>
      <c r="HQ477" s="13"/>
      <c r="HU477" s="13"/>
      <c r="HV477" s="13"/>
      <c r="HW477" s="13"/>
      <c r="IB477" s="13"/>
      <c r="IF477" s="13"/>
      <c r="IG477" s="13"/>
      <c r="IH477" s="13"/>
      <c r="IN477" s="13"/>
      <c r="IR477" s="13"/>
      <c r="IS477" s="13"/>
      <c r="IT477" s="13"/>
      <c r="IZ477" s="13"/>
      <c r="JD477" s="13"/>
      <c r="JE477" s="13"/>
      <c r="JF477" s="13"/>
      <c r="JK477" s="13"/>
      <c r="JN477" s="12"/>
      <c r="JO477" s="12"/>
      <c r="JP477" s="12"/>
      <c r="JQ477" s="12"/>
      <c r="JV477" s="13"/>
      <c r="JY477" s="12"/>
      <c r="JZ477" s="12"/>
      <c r="KA477" s="12"/>
      <c r="KB477" s="12"/>
      <c r="KE477" s="11"/>
      <c r="KF477" s="11"/>
      <c r="KH477" s="11"/>
      <c r="KI477" s="11"/>
      <c r="KJ477" s="11"/>
      <c r="KP477" s="11"/>
      <c r="KT477" s="13"/>
      <c r="KU477" s="13"/>
      <c r="KV477" s="13"/>
      <c r="LA477" s="13"/>
      <c r="LE477" s="13"/>
      <c r="LF477" s="13"/>
      <c r="LG477" s="13"/>
      <c r="LK477" s="12"/>
      <c r="LL477" s="12"/>
      <c r="LO477" s="12"/>
      <c r="LP477" s="12"/>
      <c r="LQ477" s="12"/>
      <c r="LR477" s="12"/>
      <c r="LX477" s="13"/>
      <c r="LY477" s="13"/>
      <c r="MA477" s="12"/>
      <c r="MB477" s="12"/>
      <c r="MC477" s="12"/>
      <c r="MD477" s="12"/>
      <c r="MH477" s="12"/>
      <c r="MI477" s="12"/>
      <c r="ML477" s="12"/>
      <c r="MM477" s="12"/>
      <c r="MN477" s="12"/>
      <c r="MO477" s="12"/>
      <c r="MS477" s="12"/>
      <c r="MT477" s="12"/>
      <c r="MW477" s="12"/>
      <c r="MX477" s="12"/>
      <c r="MY477" s="12"/>
      <c r="MZ477" s="12"/>
      <c r="NE477" s="12"/>
      <c r="NF477" s="12"/>
      <c r="NG477" s="13"/>
      <c r="NH477" s="13"/>
      <c r="NI477" s="12"/>
      <c r="NJ477" s="12"/>
      <c r="NK477" s="12"/>
      <c r="NL477" s="12"/>
      <c r="NM477" s="13"/>
      <c r="NN477" s="13"/>
      <c r="NQ477" s="12"/>
      <c r="NR477" s="12"/>
      <c r="NS477" s="13"/>
      <c r="NT477" s="13"/>
      <c r="NU477" s="12"/>
      <c r="NV477" s="12"/>
      <c r="NW477" s="12"/>
      <c r="NX477" s="12"/>
      <c r="NY477" s="13"/>
      <c r="NZ477" s="13"/>
      <c r="OC477" s="11"/>
      <c r="OD477" s="11"/>
      <c r="OE477" s="11"/>
      <c r="OF477" s="13"/>
      <c r="OG477" s="11"/>
      <c r="OH477" s="11"/>
      <c r="OI477" s="11"/>
      <c r="OJ477" s="11"/>
      <c r="OK477" s="11"/>
      <c r="OL477" s="13"/>
      <c r="OP477" s="11"/>
      <c r="OQ477" s="11"/>
      <c r="OU477" s="11"/>
      <c r="OV477" s="11"/>
      <c r="OY477" s="11"/>
      <c r="OZ477" s="11"/>
      <c r="PA477" s="13"/>
      <c r="PB477" s="11"/>
      <c r="PC477" s="11"/>
      <c r="PD477" s="11"/>
      <c r="PE477" s="11"/>
      <c r="PF477" s="13"/>
      <c r="PI477" s="11"/>
      <c r="PJ477" s="11"/>
      <c r="PK477" s="13"/>
      <c r="PL477" s="11"/>
      <c r="PM477" s="11"/>
      <c r="PN477" s="11"/>
      <c r="PO477" s="11"/>
      <c r="PP477" s="13"/>
      <c r="PS477" s="11"/>
      <c r="PT477" s="11"/>
      <c r="PU477" s="13"/>
      <c r="PV477" s="11"/>
      <c r="PW477" s="11"/>
      <c r="PX477" s="11"/>
      <c r="PY477" s="11"/>
      <c r="PZ477" s="13"/>
      <c r="QB477" s="12"/>
      <c r="QC477" s="12"/>
      <c r="QD477" s="11"/>
      <c r="QE477" s="11"/>
      <c r="QF477" s="12"/>
      <c r="QG477" s="12"/>
      <c r="QH477" s="12"/>
      <c r="QI477" s="12"/>
      <c r="QM477" s="11"/>
      <c r="QN477" s="11"/>
      <c r="QO477" s="13"/>
      <c r="QP477" s="11"/>
      <c r="QQ477" s="11"/>
      <c r="QR477" s="11"/>
      <c r="QS477" s="11"/>
      <c r="QT477" s="13"/>
      <c r="QW477" s="11"/>
      <c r="QX477" s="11"/>
      <c r="QY477" s="13"/>
      <c r="QZ477" s="11"/>
      <c r="RA477" s="11"/>
      <c r="RB477" s="13"/>
      <c r="RG477" s="13"/>
      <c r="RJ477" s="13"/>
      <c r="RN477" s="11"/>
      <c r="RO477" s="13"/>
      <c r="RQ477" s="11"/>
      <c r="RR477" s="13"/>
      <c r="RV477" s="11"/>
      <c r="RW477" s="11"/>
      <c r="RY477" s="11"/>
      <c r="RZ477" s="11"/>
      <c r="SC477" s="11"/>
      <c r="SD477" s="11"/>
      <c r="SE477" s="13"/>
      <c r="SF477" s="11"/>
      <c r="SG477" s="11"/>
      <c r="SH477" s="13"/>
      <c r="SL477" s="11"/>
      <c r="SM477" s="13"/>
      <c r="SN477" s="13"/>
      <c r="SP477" s="11"/>
      <c r="SQ477" s="11"/>
      <c r="SR477" s="11"/>
      <c r="SS477" s="13"/>
      <c r="ST477" s="13"/>
      <c r="SW477" s="12"/>
      <c r="SY477" s="11"/>
      <c r="SZ477" s="12"/>
      <c r="TA477" s="12"/>
      <c r="TB477" s="12"/>
      <c r="TD477" s="11"/>
      <c r="TG477" s="12"/>
      <c r="TI477" s="11"/>
      <c r="TJ477" s="12"/>
      <c r="TK477" s="12"/>
      <c r="TL477" s="12"/>
      <c r="TN477" s="11"/>
      <c r="TQ477" s="12"/>
      <c r="TS477" s="11"/>
      <c r="TT477" s="12"/>
      <c r="TU477" s="12"/>
      <c r="TV477" s="12"/>
      <c r="TX477" s="11"/>
      <c r="UA477" s="12"/>
      <c r="UC477" s="11"/>
      <c r="UD477" s="12"/>
      <c r="UE477" s="12"/>
      <c r="UF477" s="12"/>
      <c r="UH477" s="11"/>
      <c r="UK477" s="12"/>
      <c r="UM477" s="13"/>
      <c r="UN477" s="12"/>
      <c r="UO477" s="12"/>
      <c r="UP477" s="12"/>
      <c r="UR477" s="13"/>
      <c r="UT477" s="12"/>
      <c r="UV477" s="13"/>
      <c r="UW477" s="12"/>
      <c r="UX477" s="12"/>
      <c r="UY477" s="12"/>
      <c r="VA477" s="13"/>
      <c r="VD477" s="12"/>
      <c r="VF477" s="13"/>
      <c r="VG477" s="12"/>
      <c r="VI477" s="13"/>
      <c r="VK477" s="12"/>
      <c r="VM477" s="13"/>
      <c r="VN477" s="12"/>
      <c r="VP477" s="13"/>
      <c r="VQ477" s="12"/>
      <c r="VR477" s="12"/>
      <c r="VS477" s="12"/>
      <c r="VT477" s="12"/>
      <c r="VU477" s="12"/>
      <c r="VV477" s="12"/>
      <c r="VW477" s="12"/>
      <c r="VX477" s="12"/>
      <c r="WA477" s="12"/>
      <c r="WB477" s="12"/>
      <c r="WG477" s="13"/>
      <c r="WH477" s="13"/>
    </row>
    <row r="478" spans="1:606" x14ac:dyDescent="0.3">
      <c r="B478" s="12"/>
      <c r="E478" s="14"/>
      <c r="AK478" s="12"/>
      <c r="AM478" s="20"/>
      <c r="AO478" s="20"/>
      <c r="AP478" s="20"/>
      <c r="AQ478" s="20"/>
      <c r="BH478" s="13"/>
      <c r="BL478" s="13"/>
      <c r="BM478" s="13"/>
      <c r="BN478" s="13"/>
      <c r="BS478" s="13"/>
      <c r="BV478" s="12"/>
      <c r="BW478" s="12"/>
      <c r="BX478" s="12"/>
      <c r="BY478" s="12"/>
      <c r="CD478" s="13"/>
      <c r="CH478" s="13"/>
      <c r="CI478" s="13"/>
      <c r="CJ478" s="13"/>
      <c r="CQ478" s="13"/>
      <c r="CU478" s="13"/>
      <c r="CV478" s="13"/>
      <c r="CW478" s="13"/>
      <c r="CX478" s="13"/>
      <c r="CY478" s="13"/>
      <c r="DD478" s="13"/>
      <c r="DH478" s="13"/>
      <c r="DI478" s="13"/>
      <c r="DJ478" s="13"/>
      <c r="DM478" s="15"/>
      <c r="DN478" s="15"/>
      <c r="DO478" s="15"/>
      <c r="DP478" s="18"/>
      <c r="DQ478" s="18"/>
      <c r="DR478" s="15"/>
      <c r="DS478" s="15"/>
      <c r="DT478" s="18"/>
      <c r="DU478" s="18"/>
      <c r="DV478" s="18"/>
      <c r="DW478" s="18"/>
      <c r="DX478" s="73"/>
      <c r="DY478" s="73"/>
      <c r="DZ478" s="15"/>
      <c r="EA478" s="15"/>
      <c r="EB478" s="15"/>
      <c r="EC478" s="15"/>
      <c r="ED478" s="15"/>
      <c r="EE478" s="15"/>
      <c r="EF478" s="15"/>
      <c r="EG478" s="15"/>
      <c r="EH478" s="15"/>
      <c r="EI478" s="52"/>
      <c r="EJ478" s="15"/>
      <c r="EK478" s="15"/>
      <c r="EL478" s="15"/>
      <c r="EQ478" s="13"/>
      <c r="EU478" s="13"/>
      <c r="EV478" s="13"/>
      <c r="EW478" s="13"/>
      <c r="EX478" s="13"/>
      <c r="EY478" s="13"/>
      <c r="FB478" s="11"/>
      <c r="FC478" s="11"/>
      <c r="FI478" s="11"/>
      <c r="FJ478" s="11"/>
      <c r="FP478" s="11"/>
      <c r="FQ478" s="11"/>
      <c r="FW478" s="11"/>
      <c r="FX478" s="11"/>
      <c r="GH478" s="13"/>
      <c r="GL478" s="13"/>
      <c r="GM478" s="13"/>
      <c r="GN478" s="13"/>
      <c r="GT478" s="13"/>
      <c r="GX478" s="13"/>
      <c r="GY478" s="13"/>
      <c r="GZ478" s="13"/>
      <c r="HF478" s="13"/>
      <c r="HJ478" s="13"/>
      <c r="HK478" s="13"/>
      <c r="HL478" s="13"/>
      <c r="HQ478" s="13"/>
      <c r="HU478" s="13"/>
      <c r="HV478" s="13"/>
      <c r="HW478" s="13"/>
      <c r="IB478" s="13"/>
      <c r="IF478" s="13"/>
      <c r="IG478" s="13"/>
      <c r="IH478" s="13"/>
      <c r="IN478" s="13"/>
      <c r="IR478" s="13"/>
      <c r="IS478" s="13"/>
      <c r="IT478" s="13"/>
      <c r="IZ478" s="13"/>
      <c r="JD478" s="13"/>
      <c r="JE478" s="13"/>
      <c r="JF478" s="13"/>
      <c r="JK478" s="13"/>
      <c r="JN478" s="12"/>
      <c r="JO478" s="12"/>
      <c r="JP478" s="12"/>
      <c r="JQ478" s="12"/>
      <c r="JV478" s="13"/>
      <c r="JY478" s="12"/>
      <c r="JZ478" s="12"/>
      <c r="KA478" s="12"/>
      <c r="KB478" s="12"/>
      <c r="KE478" s="11"/>
      <c r="KF478" s="11"/>
      <c r="KH478" s="11"/>
      <c r="KI478" s="11"/>
      <c r="KJ478" s="11"/>
      <c r="KP478" s="11"/>
      <c r="KT478" s="13"/>
      <c r="KU478" s="13"/>
      <c r="KV478" s="13"/>
      <c r="LA478" s="13"/>
      <c r="LE478" s="13"/>
      <c r="LF478" s="13"/>
      <c r="LG478" s="13"/>
      <c r="LK478" s="12"/>
      <c r="LL478" s="12"/>
      <c r="LO478" s="12"/>
      <c r="LP478" s="12"/>
      <c r="LQ478" s="12"/>
      <c r="LR478" s="12"/>
      <c r="LX478" s="13"/>
      <c r="LY478" s="13"/>
      <c r="MA478" s="12"/>
      <c r="MB478" s="12"/>
      <c r="MC478" s="12"/>
      <c r="MD478" s="12"/>
      <c r="MH478" s="12"/>
      <c r="MI478" s="12"/>
      <c r="ML478" s="12"/>
      <c r="MM478" s="12"/>
      <c r="MN478" s="12"/>
      <c r="MO478" s="12"/>
      <c r="MS478" s="12"/>
      <c r="MT478" s="12"/>
      <c r="MW478" s="12"/>
      <c r="MX478" s="12"/>
      <c r="MY478" s="12"/>
      <c r="MZ478" s="12"/>
      <c r="NE478" s="12"/>
      <c r="NF478" s="12"/>
      <c r="NG478" s="13"/>
      <c r="NH478" s="13"/>
      <c r="NI478" s="12"/>
      <c r="NJ478" s="12"/>
      <c r="NK478" s="12"/>
      <c r="NL478" s="12"/>
      <c r="NM478" s="13"/>
      <c r="NN478" s="13"/>
      <c r="NQ478" s="12"/>
      <c r="NR478" s="12"/>
      <c r="NS478" s="13"/>
      <c r="NT478" s="13"/>
      <c r="NU478" s="12"/>
      <c r="NV478" s="12"/>
      <c r="NW478" s="12"/>
      <c r="NX478" s="12"/>
      <c r="NY478" s="13"/>
      <c r="NZ478" s="13"/>
      <c r="OC478" s="11"/>
      <c r="OD478" s="11"/>
      <c r="OE478" s="11"/>
      <c r="OF478" s="13"/>
      <c r="OG478" s="11"/>
      <c r="OH478" s="11"/>
      <c r="OI478" s="11"/>
      <c r="OJ478" s="11"/>
      <c r="OK478" s="11"/>
      <c r="OL478" s="13"/>
      <c r="OP478" s="11"/>
      <c r="OQ478" s="11"/>
      <c r="OU478" s="11"/>
      <c r="OV478" s="11"/>
      <c r="OY478" s="11"/>
      <c r="OZ478" s="11"/>
      <c r="PA478" s="13"/>
      <c r="PB478" s="11"/>
      <c r="PC478" s="11"/>
      <c r="PD478" s="11"/>
      <c r="PE478" s="11"/>
      <c r="PF478" s="13"/>
      <c r="PI478" s="11"/>
      <c r="PJ478" s="11"/>
      <c r="PK478" s="13"/>
      <c r="PL478" s="11"/>
      <c r="PM478" s="11"/>
      <c r="PN478" s="11"/>
      <c r="PO478" s="11"/>
      <c r="PP478" s="13"/>
      <c r="PS478" s="11"/>
      <c r="PT478" s="11"/>
      <c r="PU478" s="13"/>
      <c r="PV478" s="11"/>
      <c r="PW478" s="11"/>
      <c r="PX478" s="11"/>
      <c r="PY478" s="11"/>
      <c r="PZ478" s="13"/>
      <c r="QB478" s="12"/>
      <c r="QC478" s="12"/>
      <c r="QD478" s="11"/>
      <c r="QE478" s="11"/>
      <c r="QF478" s="12"/>
      <c r="QG478" s="12"/>
      <c r="QH478" s="12"/>
      <c r="QI478" s="12"/>
      <c r="QM478" s="11"/>
      <c r="QN478" s="11"/>
      <c r="QO478" s="13"/>
      <c r="QP478" s="11"/>
      <c r="QQ478" s="11"/>
      <c r="QR478" s="11"/>
      <c r="QS478" s="11"/>
      <c r="QT478" s="13"/>
      <c r="QW478" s="11"/>
      <c r="QX478" s="11"/>
      <c r="QY478" s="13"/>
      <c r="QZ478" s="11"/>
      <c r="RA478" s="11"/>
      <c r="RB478" s="13"/>
      <c r="RG478" s="13"/>
      <c r="RJ478" s="13"/>
      <c r="RN478" s="11"/>
      <c r="RO478" s="13"/>
      <c r="RQ478" s="11"/>
      <c r="RR478" s="13"/>
      <c r="RV478" s="11"/>
      <c r="RW478" s="11"/>
      <c r="RY478" s="11"/>
      <c r="RZ478" s="11"/>
      <c r="SC478" s="11"/>
      <c r="SD478" s="11"/>
      <c r="SE478" s="13"/>
      <c r="SF478" s="11"/>
      <c r="SG478" s="11"/>
      <c r="SH478" s="13"/>
      <c r="SL478" s="11"/>
      <c r="SM478" s="13"/>
      <c r="SN478" s="13"/>
      <c r="SP478" s="11"/>
      <c r="SQ478" s="11"/>
      <c r="SR478" s="11"/>
      <c r="SS478" s="13"/>
      <c r="ST478" s="13"/>
      <c r="SW478" s="12"/>
      <c r="SY478" s="11"/>
      <c r="SZ478" s="12"/>
      <c r="TA478" s="12"/>
      <c r="TB478" s="12"/>
      <c r="TD478" s="11"/>
      <c r="TG478" s="12"/>
      <c r="TI478" s="11"/>
      <c r="TJ478" s="12"/>
      <c r="TK478" s="12"/>
      <c r="TL478" s="12"/>
      <c r="TN478" s="11"/>
      <c r="TQ478" s="12"/>
      <c r="TS478" s="11"/>
      <c r="TT478" s="12"/>
      <c r="TU478" s="12"/>
      <c r="TV478" s="12"/>
      <c r="TX478" s="11"/>
      <c r="UA478" s="12"/>
      <c r="UC478" s="11"/>
      <c r="UD478" s="12"/>
      <c r="UE478" s="12"/>
      <c r="UF478" s="12"/>
      <c r="UH478" s="11"/>
      <c r="UK478" s="12"/>
      <c r="UM478" s="13"/>
      <c r="UN478" s="12"/>
      <c r="UO478" s="12"/>
      <c r="UP478" s="12"/>
      <c r="UR478" s="13"/>
      <c r="UT478" s="12"/>
      <c r="UV478" s="13"/>
      <c r="UW478" s="12"/>
      <c r="UX478" s="12"/>
      <c r="UY478" s="12"/>
      <c r="VA478" s="13"/>
      <c r="VD478" s="12"/>
      <c r="VF478" s="13"/>
      <c r="VG478" s="12"/>
      <c r="VI478" s="13"/>
      <c r="VK478" s="12"/>
      <c r="VM478" s="13"/>
      <c r="VN478" s="12"/>
      <c r="VP478" s="13"/>
      <c r="VQ478" s="12"/>
      <c r="VR478" s="12"/>
      <c r="VS478" s="12"/>
      <c r="VT478" s="12"/>
      <c r="VU478" s="12"/>
      <c r="VV478" s="12"/>
      <c r="VW478" s="12"/>
      <c r="VX478" s="12"/>
      <c r="WA478" s="12"/>
      <c r="WB478" s="12"/>
      <c r="WG478" s="13"/>
      <c r="WH478" s="13"/>
    </row>
    <row r="479" spans="1:606" x14ac:dyDescent="0.3">
      <c r="E479" s="14"/>
      <c r="AK479" s="12"/>
      <c r="BH479" s="13"/>
      <c r="BL479" s="13"/>
      <c r="BM479" s="13"/>
      <c r="BN479" s="13"/>
      <c r="BS479" s="13"/>
      <c r="BV479" s="12"/>
      <c r="BW479" s="12"/>
      <c r="BX479" s="12"/>
      <c r="BY479" s="12"/>
      <c r="CD479" s="13"/>
      <c r="CH479" s="13"/>
      <c r="CI479" s="13"/>
      <c r="CJ479" s="13"/>
      <c r="CQ479" s="13"/>
      <c r="CU479" s="13"/>
      <c r="CV479" s="13"/>
      <c r="CW479" s="13"/>
      <c r="CX479" s="13"/>
      <c r="CY479" s="13"/>
      <c r="DD479" s="13"/>
      <c r="DH479" s="13"/>
      <c r="DI479" s="13"/>
      <c r="DJ479" s="13"/>
      <c r="DM479" s="15"/>
      <c r="DN479" s="12"/>
      <c r="DQ479" s="13"/>
      <c r="DR479" s="12"/>
      <c r="DU479" s="13"/>
      <c r="DV479" s="13"/>
      <c r="DW479" s="13"/>
      <c r="DZ479" s="15"/>
      <c r="EA479" s="12"/>
      <c r="EB479" s="12"/>
      <c r="EC479" s="13"/>
      <c r="ED479" s="13"/>
      <c r="EE479" s="12"/>
      <c r="EF479" s="12"/>
      <c r="EH479" s="13"/>
      <c r="EJ479" s="13"/>
      <c r="EK479" s="13"/>
      <c r="EL479" s="13"/>
      <c r="EQ479" s="13"/>
      <c r="EU479" s="13"/>
      <c r="EV479" s="13"/>
      <c r="EW479" s="13"/>
      <c r="EX479" s="13"/>
      <c r="EY479" s="13"/>
      <c r="GH479" s="13"/>
      <c r="GL479" s="13"/>
      <c r="GM479" s="13"/>
      <c r="GN479" s="13"/>
      <c r="GT479" s="13"/>
      <c r="GX479" s="13"/>
      <c r="GY479" s="13"/>
      <c r="GZ479" s="13"/>
      <c r="HF479" s="13"/>
      <c r="HJ479" s="13"/>
      <c r="HK479" s="13"/>
      <c r="HL479" s="13"/>
      <c r="HQ479" s="13"/>
      <c r="HU479" s="13"/>
      <c r="HV479" s="13"/>
      <c r="HW479" s="13"/>
      <c r="IB479" s="13"/>
      <c r="IF479" s="13"/>
      <c r="IG479" s="13"/>
      <c r="IH479" s="13"/>
      <c r="IM479" s="12"/>
      <c r="IN479" s="12"/>
      <c r="IQ479" s="12"/>
      <c r="IR479" s="12"/>
      <c r="IS479" s="12"/>
      <c r="IT479" s="12"/>
      <c r="IZ479" s="13"/>
      <c r="JD479" s="13"/>
      <c r="JE479" s="13"/>
      <c r="JF479" s="13"/>
      <c r="JK479" s="13"/>
      <c r="JN479" s="12"/>
      <c r="JO479" s="12"/>
      <c r="JP479" s="12"/>
      <c r="JQ479" s="12"/>
      <c r="JV479" s="13"/>
      <c r="JY479" s="12"/>
      <c r="JZ479" s="12"/>
      <c r="KA479" s="12"/>
      <c r="KB479" s="12"/>
      <c r="KE479" s="11"/>
      <c r="KF479" s="11"/>
      <c r="KH479" s="11"/>
      <c r="KI479" s="11"/>
      <c r="KJ479" s="11"/>
      <c r="KP479" s="11"/>
      <c r="KT479" s="13"/>
      <c r="KU479" s="13"/>
      <c r="KV479" s="13"/>
      <c r="LA479" s="13"/>
      <c r="LE479" s="13"/>
      <c r="LF479" s="13"/>
      <c r="LG479" s="13"/>
      <c r="LK479" s="12"/>
      <c r="LL479" s="12"/>
      <c r="LO479" s="12"/>
      <c r="LP479" s="12"/>
      <c r="LQ479" s="12"/>
      <c r="LR479" s="12"/>
      <c r="LX479" s="13"/>
      <c r="LY479" s="13"/>
      <c r="MA479" s="12"/>
      <c r="MB479" s="13"/>
      <c r="MC479" s="13"/>
      <c r="MD479" s="13"/>
      <c r="ME479" s="13"/>
      <c r="MF479" s="13"/>
      <c r="MH479" s="12"/>
      <c r="MI479" s="12"/>
      <c r="ML479" s="12"/>
      <c r="MM479" s="12"/>
      <c r="MN479" s="12"/>
      <c r="MO479" s="12"/>
      <c r="MS479" s="12"/>
      <c r="MT479" s="12"/>
      <c r="MW479" s="12"/>
      <c r="MX479" s="12"/>
      <c r="MY479" s="12"/>
      <c r="MZ479" s="12"/>
      <c r="NE479" s="12"/>
      <c r="NF479" s="12"/>
      <c r="NG479" s="13"/>
      <c r="NH479" s="13"/>
      <c r="NI479" s="12"/>
      <c r="NJ479" s="12"/>
      <c r="NK479" s="12"/>
      <c r="NL479" s="12"/>
      <c r="NM479" s="13"/>
      <c r="NN479" s="13"/>
      <c r="NQ479" s="12"/>
      <c r="NR479" s="12"/>
      <c r="NS479" s="13"/>
      <c r="NT479" s="13"/>
      <c r="NU479" s="12"/>
      <c r="NV479" s="12"/>
      <c r="NW479" s="12"/>
      <c r="NX479" s="12"/>
      <c r="NY479" s="13"/>
      <c r="NZ479" s="13"/>
      <c r="OC479" s="11"/>
      <c r="OD479" s="11"/>
      <c r="OE479" s="11"/>
      <c r="OF479" s="13"/>
      <c r="OG479" s="11"/>
      <c r="OH479" s="11"/>
      <c r="OI479" s="11"/>
      <c r="OJ479" s="11"/>
      <c r="OK479" s="11"/>
      <c r="OL479" s="13"/>
      <c r="OP479" s="11"/>
      <c r="OQ479" s="11"/>
      <c r="OU479" s="11"/>
      <c r="OV479" s="11"/>
      <c r="OY479" s="12"/>
      <c r="PA479" s="13"/>
      <c r="PB479" s="12"/>
      <c r="PC479" s="12"/>
      <c r="PD479" s="12"/>
      <c r="PF479" s="13"/>
      <c r="PI479" s="11"/>
      <c r="PJ479" s="11"/>
      <c r="PK479" s="13"/>
      <c r="PL479" s="11"/>
      <c r="PM479" s="11"/>
      <c r="PN479" s="11"/>
      <c r="PO479" s="11"/>
      <c r="PP479" s="13"/>
      <c r="PS479" s="12"/>
      <c r="PV479" s="12"/>
      <c r="PW479" s="12"/>
      <c r="PX479" s="12"/>
      <c r="QB479" s="12"/>
      <c r="QC479" s="12"/>
      <c r="QD479" s="11"/>
      <c r="QE479" s="11"/>
      <c r="QF479" s="12"/>
      <c r="QG479" s="12"/>
      <c r="QH479" s="12"/>
      <c r="QI479" s="12"/>
      <c r="QM479" s="12"/>
      <c r="QP479" s="12"/>
      <c r="QQ479" s="12"/>
      <c r="QR479" s="12"/>
      <c r="QW479" s="11"/>
      <c r="QX479" s="11"/>
      <c r="QY479" s="13"/>
      <c r="QZ479" s="11"/>
      <c r="RA479" s="11"/>
      <c r="RB479" s="13"/>
      <c r="RG479" s="13"/>
      <c r="RJ479" s="13"/>
      <c r="RN479" s="11"/>
      <c r="RO479" s="13"/>
      <c r="RQ479" s="11"/>
      <c r="RR479" s="13"/>
      <c r="RV479" s="11"/>
      <c r="RW479" s="11"/>
      <c r="RY479" s="11"/>
      <c r="RZ479" s="11"/>
      <c r="SC479" s="11"/>
      <c r="SD479" s="11"/>
      <c r="SE479" s="13"/>
      <c r="SF479" s="11"/>
      <c r="SG479" s="11"/>
      <c r="SH479" s="13"/>
      <c r="SL479" s="12"/>
      <c r="SM479" s="13"/>
      <c r="SN479" s="13"/>
      <c r="SP479" s="12"/>
      <c r="SQ479" s="12"/>
      <c r="SR479" s="12"/>
      <c r="SS479" s="13"/>
      <c r="ST479" s="13"/>
      <c r="SW479" s="12"/>
      <c r="SY479" s="11"/>
      <c r="SZ479" s="12"/>
      <c r="TA479" s="12"/>
      <c r="TB479" s="12"/>
      <c r="TD479" s="11"/>
      <c r="TG479" s="12"/>
      <c r="TI479" s="11"/>
      <c r="TJ479" s="12"/>
      <c r="TK479" s="12"/>
      <c r="TL479" s="12"/>
      <c r="TN479" s="11"/>
      <c r="TQ479" s="12"/>
      <c r="TS479" s="11"/>
      <c r="TT479" s="12"/>
      <c r="TU479" s="12"/>
      <c r="TV479" s="12"/>
      <c r="TX479" s="11"/>
      <c r="UA479" s="12"/>
      <c r="UD479" s="12"/>
      <c r="UE479" s="12"/>
      <c r="UF479" s="12"/>
      <c r="UK479" s="12"/>
      <c r="UN479" s="12"/>
      <c r="UO479" s="12"/>
      <c r="UP479" s="12"/>
      <c r="UT479" s="12"/>
      <c r="UW479" s="12"/>
      <c r="UX479" s="12"/>
      <c r="UY479" s="12"/>
      <c r="VD479" s="12"/>
      <c r="VG479" s="12"/>
      <c r="VK479" s="12"/>
      <c r="VN479" s="12"/>
      <c r="VQ479" s="12"/>
      <c r="VR479" s="12"/>
      <c r="VY479" s="13"/>
      <c r="VZ479" s="13"/>
      <c r="WA479" s="12"/>
      <c r="WB479" s="12"/>
      <c r="WG479" s="13"/>
      <c r="WH479" s="13"/>
    </row>
    <row r="480" spans="1:606" x14ac:dyDescent="0.3">
      <c r="E480" s="14"/>
      <c r="AK480" s="12"/>
      <c r="BH480" s="13"/>
      <c r="BL480" s="13"/>
      <c r="BM480" s="13"/>
      <c r="BN480" s="13"/>
      <c r="BS480" s="13"/>
      <c r="BV480" s="12"/>
      <c r="BW480" s="12"/>
      <c r="BX480" s="12"/>
      <c r="BY480" s="12"/>
      <c r="CD480" s="13"/>
      <c r="CH480" s="13"/>
      <c r="CI480" s="13"/>
      <c r="CJ480" s="13"/>
      <c r="CQ480" s="13"/>
      <c r="CU480" s="13"/>
      <c r="CV480" s="13"/>
      <c r="CW480" s="13"/>
      <c r="CX480" s="13"/>
      <c r="CY480" s="13"/>
      <c r="DD480" s="13"/>
      <c r="DH480" s="13"/>
      <c r="DI480" s="13"/>
      <c r="DJ480" s="13"/>
      <c r="DM480" s="15"/>
      <c r="DN480" s="12"/>
      <c r="DQ480" s="13"/>
      <c r="DR480" s="12"/>
      <c r="DU480" s="13"/>
      <c r="DV480" s="13"/>
      <c r="DW480" s="13"/>
      <c r="DZ480" s="15"/>
      <c r="EA480" s="12"/>
      <c r="EB480" s="12"/>
      <c r="EC480" s="13"/>
      <c r="ED480" s="13"/>
      <c r="EE480" s="12"/>
      <c r="EF480" s="12"/>
      <c r="EH480" s="13"/>
      <c r="EJ480" s="13"/>
      <c r="EK480" s="13"/>
      <c r="EL480" s="13"/>
      <c r="EQ480" s="13"/>
      <c r="EU480" s="13"/>
      <c r="EV480" s="13"/>
      <c r="EW480" s="13"/>
      <c r="EX480" s="13"/>
      <c r="EY480" s="13"/>
      <c r="GH480" s="13"/>
      <c r="GL480" s="13"/>
      <c r="GM480" s="13"/>
      <c r="GN480" s="13"/>
      <c r="GT480" s="13"/>
      <c r="GX480" s="13"/>
      <c r="GY480" s="13"/>
      <c r="GZ480" s="13"/>
      <c r="HF480" s="13"/>
      <c r="HJ480" s="13"/>
      <c r="HK480" s="13"/>
      <c r="HL480" s="13"/>
      <c r="HQ480" s="13"/>
      <c r="HU480" s="13"/>
      <c r="HV480" s="13"/>
      <c r="HW480" s="13"/>
      <c r="IB480" s="13"/>
      <c r="IF480" s="13"/>
      <c r="IG480" s="13"/>
      <c r="IH480" s="13"/>
      <c r="IM480" s="12"/>
      <c r="IN480" s="12"/>
      <c r="IQ480" s="12"/>
      <c r="IR480" s="12"/>
      <c r="IS480" s="12"/>
      <c r="IT480" s="12"/>
      <c r="IZ480" s="13"/>
      <c r="JD480" s="13"/>
      <c r="JE480" s="13"/>
      <c r="JF480" s="13"/>
      <c r="JK480" s="13"/>
      <c r="JN480" s="12"/>
      <c r="JO480" s="12"/>
      <c r="JP480" s="12"/>
      <c r="JQ480" s="12"/>
      <c r="JV480" s="13"/>
      <c r="JY480" s="12"/>
      <c r="JZ480" s="12"/>
      <c r="KA480" s="12"/>
      <c r="KB480" s="12"/>
      <c r="KE480" s="11"/>
      <c r="KF480" s="11"/>
      <c r="KH480" s="11"/>
      <c r="KI480" s="11"/>
      <c r="KJ480" s="11"/>
      <c r="KP480" s="11"/>
      <c r="KT480" s="13"/>
      <c r="KU480" s="13"/>
      <c r="KV480" s="13"/>
      <c r="LA480" s="13"/>
      <c r="LE480" s="13"/>
      <c r="LF480" s="13"/>
      <c r="LG480" s="13"/>
      <c r="LK480" s="12"/>
      <c r="LL480" s="12"/>
      <c r="LO480" s="12"/>
      <c r="LP480" s="12"/>
      <c r="LQ480" s="12"/>
      <c r="LR480" s="12"/>
      <c r="LX480" s="13"/>
      <c r="LY480" s="13"/>
      <c r="MA480" s="12"/>
      <c r="MB480" s="13"/>
      <c r="MC480" s="13"/>
      <c r="MD480" s="13"/>
      <c r="ME480" s="13"/>
      <c r="MF480" s="13"/>
      <c r="MH480" s="12"/>
      <c r="MI480" s="12"/>
      <c r="ML480" s="12"/>
      <c r="MM480" s="12"/>
      <c r="MN480" s="12"/>
      <c r="MO480" s="12"/>
      <c r="MS480" s="12"/>
      <c r="MT480" s="12"/>
      <c r="MW480" s="12"/>
      <c r="MX480" s="12"/>
      <c r="MY480" s="12"/>
      <c r="MZ480" s="12"/>
      <c r="NE480" s="12"/>
      <c r="NF480" s="12"/>
      <c r="NG480" s="13"/>
      <c r="NH480" s="13"/>
      <c r="NI480" s="12"/>
      <c r="NJ480" s="12"/>
      <c r="NK480" s="12"/>
      <c r="NL480" s="12"/>
      <c r="NM480" s="13"/>
      <c r="NN480" s="13"/>
      <c r="NQ480" s="12"/>
      <c r="NR480" s="12"/>
      <c r="NS480" s="13"/>
      <c r="NT480" s="13"/>
      <c r="NU480" s="12"/>
      <c r="NV480" s="12"/>
      <c r="NW480" s="12"/>
      <c r="NX480" s="12"/>
      <c r="NY480" s="13"/>
      <c r="NZ480" s="13"/>
      <c r="OC480" s="11"/>
      <c r="OD480" s="11"/>
      <c r="OE480" s="11"/>
      <c r="OF480" s="13"/>
      <c r="OG480" s="11"/>
      <c r="OH480" s="11"/>
      <c r="OI480" s="11"/>
      <c r="OJ480" s="11"/>
      <c r="OK480" s="11"/>
      <c r="OL480" s="13"/>
      <c r="OP480" s="11"/>
      <c r="OQ480" s="11"/>
      <c r="OU480" s="11"/>
      <c r="OV480" s="11"/>
      <c r="OY480" s="12"/>
      <c r="PA480" s="13"/>
      <c r="PB480" s="12"/>
      <c r="PC480" s="12"/>
      <c r="PD480" s="12"/>
      <c r="PF480" s="13"/>
      <c r="PI480" s="11"/>
      <c r="PJ480" s="11"/>
      <c r="PK480" s="13"/>
      <c r="PL480" s="11"/>
      <c r="PM480" s="11"/>
      <c r="PN480" s="11"/>
      <c r="PO480" s="11"/>
      <c r="PP480" s="13"/>
      <c r="PS480" s="12"/>
      <c r="PV480" s="12"/>
      <c r="PW480" s="12"/>
      <c r="PX480" s="12"/>
      <c r="QB480" s="12"/>
      <c r="QC480" s="12"/>
      <c r="QD480" s="11"/>
      <c r="QE480" s="11"/>
      <c r="QF480" s="12"/>
      <c r="QG480" s="12"/>
      <c r="QH480" s="12"/>
      <c r="QI480" s="12"/>
      <c r="QM480" s="12"/>
      <c r="QP480" s="12"/>
      <c r="QQ480" s="12"/>
      <c r="QR480" s="12"/>
      <c r="QW480" s="11"/>
      <c r="QX480" s="11"/>
      <c r="QY480" s="13"/>
      <c r="QZ480" s="11"/>
      <c r="RA480" s="11"/>
      <c r="RB480" s="13"/>
      <c r="RG480" s="13"/>
      <c r="RJ480" s="13"/>
      <c r="RN480" s="11"/>
      <c r="RO480" s="13"/>
      <c r="RQ480" s="11"/>
      <c r="RR480" s="13"/>
      <c r="RV480" s="11"/>
      <c r="RW480" s="11"/>
      <c r="RY480" s="11"/>
      <c r="RZ480" s="11"/>
      <c r="SC480" s="11"/>
      <c r="SD480" s="11"/>
      <c r="SE480" s="13"/>
      <c r="SF480" s="11"/>
      <c r="SG480" s="11"/>
      <c r="SH480" s="13"/>
      <c r="SL480" s="12"/>
      <c r="SM480" s="13"/>
      <c r="SN480" s="13"/>
      <c r="SP480" s="12"/>
      <c r="SQ480" s="12"/>
      <c r="SR480" s="12"/>
      <c r="SS480" s="13"/>
      <c r="ST480" s="13"/>
      <c r="SW480" s="12"/>
      <c r="SY480" s="11"/>
      <c r="SZ480" s="12"/>
      <c r="TA480" s="12"/>
      <c r="TB480" s="12"/>
      <c r="TD480" s="11"/>
      <c r="TG480" s="12"/>
      <c r="TI480" s="11"/>
      <c r="TJ480" s="12"/>
      <c r="TK480" s="12"/>
      <c r="TL480" s="12"/>
      <c r="TN480" s="11"/>
      <c r="TQ480" s="12"/>
      <c r="TS480" s="11"/>
      <c r="TT480" s="12"/>
      <c r="TU480" s="12"/>
      <c r="TV480" s="12"/>
      <c r="TX480" s="11"/>
      <c r="UA480" s="12"/>
      <c r="UD480" s="12"/>
      <c r="UE480" s="12"/>
      <c r="UF480" s="12"/>
      <c r="UK480" s="12"/>
      <c r="UN480" s="12"/>
      <c r="UO480" s="12"/>
      <c r="UP480" s="12"/>
      <c r="UT480" s="12"/>
      <c r="UW480" s="12"/>
      <c r="UX480" s="12"/>
      <c r="UY480" s="12"/>
      <c r="VD480" s="12"/>
      <c r="VG480" s="12"/>
      <c r="VK480" s="12"/>
      <c r="VN480" s="12"/>
      <c r="VQ480" s="12"/>
      <c r="VR480" s="12"/>
      <c r="VY480" s="13"/>
      <c r="VZ480" s="13"/>
      <c r="WA480" s="12"/>
      <c r="WB480" s="12"/>
      <c r="WG480" s="13"/>
      <c r="WH480" s="13"/>
    </row>
    <row r="481" spans="5:606" x14ac:dyDescent="0.3">
      <c r="E481" s="14"/>
      <c r="AK481" s="12"/>
      <c r="AM481" s="13"/>
      <c r="AO481" s="13"/>
      <c r="AY481" s="13"/>
      <c r="BH481" s="13"/>
      <c r="BL481" s="13"/>
      <c r="BM481" s="13"/>
      <c r="BN481" s="13"/>
      <c r="BS481" s="13"/>
      <c r="BV481" s="12"/>
      <c r="BW481" s="12"/>
      <c r="BX481" s="12"/>
      <c r="BY481" s="12"/>
      <c r="CD481" s="13"/>
      <c r="CH481" s="13"/>
      <c r="CI481" s="13"/>
      <c r="CJ481" s="13"/>
      <c r="CQ481" s="13"/>
      <c r="CU481" s="13"/>
      <c r="CV481" s="13"/>
      <c r="CW481" s="13"/>
      <c r="CX481" s="13"/>
      <c r="CY481" s="13"/>
      <c r="DD481" s="13"/>
      <c r="DH481" s="13"/>
      <c r="DI481" s="13"/>
      <c r="DJ481" s="13"/>
      <c r="DM481" s="12"/>
      <c r="DN481" s="12"/>
      <c r="DQ481" s="13"/>
      <c r="DR481" s="12"/>
      <c r="DU481" s="13"/>
      <c r="DV481" s="13"/>
      <c r="DW481" s="13"/>
      <c r="EA481" s="12"/>
      <c r="EB481" s="12"/>
      <c r="EC481" s="13"/>
      <c r="ED481" s="13"/>
      <c r="EE481" s="12"/>
      <c r="EF481" s="12"/>
      <c r="EH481" s="13"/>
      <c r="EJ481" s="13"/>
      <c r="EK481" s="13"/>
      <c r="EL481" s="13"/>
      <c r="EQ481" s="13"/>
      <c r="EU481" s="13"/>
      <c r="EV481" s="13"/>
      <c r="EW481" s="13"/>
      <c r="EX481" s="13"/>
      <c r="EY481" s="13"/>
      <c r="GH481" s="13"/>
      <c r="GL481" s="13"/>
      <c r="GM481" s="13"/>
      <c r="GN481" s="13"/>
      <c r="GT481" s="13"/>
      <c r="GX481" s="13"/>
      <c r="GY481" s="13"/>
      <c r="GZ481" s="13"/>
      <c r="HF481" s="13"/>
      <c r="HJ481" s="13"/>
      <c r="HK481" s="13"/>
      <c r="HL481" s="13"/>
      <c r="HQ481" s="13"/>
      <c r="HU481" s="13"/>
      <c r="HV481" s="13"/>
      <c r="HW481" s="13"/>
      <c r="IB481" s="13"/>
      <c r="IF481" s="13"/>
      <c r="IG481" s="13"/>
      <c r="IH481" s="13"/>
      <c r="IM481" s="12"/>
      <c r="IN481" s="12"/>
      <c r="IQ481" s="12"/>
      <c r="IR481" s="12"/>
      <c r="IS481" s="12"/>
      <c r="IT481" s="12"/>
      <c r="IZ481" s="13"/>
      <c r="JD481" s="13"/>
      <c r="JE481" s="13"/>
      <c r="JF481" s="13"/>
      <c r="JK481" s="13"/>
      <c r="JN481" s="12"/>
      <c r="JO481" s="12"/>
      <c r="JP481" s="12"/>
      <c r="JQ481" s="12"/>
      <c r="JV481" s="13"/>
      <c r="JY481" s="12"/>
      <c r="JZ481" s="12"/>
      <c r="KA481" s="12"/>
      <c r="KB481" s="12"/>
      <c r="KE481" s="11"/>
      <c r="KF481" s="11"/>
      <c r="KH481" s="11"/>
      <c r="KI481" s="11"/>
      <c r="KJ481" s="11"/>
      <c r="KP481" s="11"/>
      <c r="KT481" s="13"/>
      <c r="KU481" s="13"/>
      <c r="KV481" s="13"/>
      <c r="LA481" s="13"/>
      <c r="LE481" s="13"/>
      <c r="LF481" s="13"/>
      <c r="LG481" s="13"/>
      <c r="LK481" s="12"/>
      <c r="LL481" s="12"/>
      <c r="LO481" s="12"/>
      <c r="LP481" s="12"/>
      <c r="LQ481" s="12"/>
      <c r="LR481" s="12"/>
      <c r="LX481" s="13"/>
      <c r="LY481" s="13"/>
      <c r="MA481" s="12"/>
      <c r="MB481" s="13"/>
      <c r="MC481" s="13"/>
      <c r="MD481" s="13"/>
      <c r="ME481" s="13"/>
      <c r="MF481" s="13"/>
      <c r="MH481" s="12"/>
      <c r="MI481" s="12"/>
      <c r="ML481" s="12"/>
      <c r="MM481" s="12"/>
      <c r="MN481" s="12"/>
      <c r="MO481" s="12"/>
      <c r="MS481" s="12"/>
      <c r="MT481" s="12"/>
      <c r="MW481" s="12"/>
      <c r="MX481" s="12"/>
      <c r="MY481" s="12"/>
      <c r="MZ481" s="12"/>
      <c r="NE481" s="12"/>
      <c r="NF481" s="12"/>
      <c r="NG481" s="13"/>
      <c r="NH481" s="13"/>
      <c r="NI481" s="12"/>
      <c r="NJ481" s="12"/>
      <c r="NK481" s="12"/>
      <c r="NL481" s="12"/>
      <c r="NM481" s="13"/>
      <c r="NN481" s="13"/>
      <c r="NQ481" s="12"/>
      <c r="NR481" s="12"/>
      <c r="NS481" s="13"/>
      <c r="NT481" s="13"/>
      <c r="NU481" s="12"/>
      <c r="NV481" s="12"/>
      <c r="NW481" s="12"/>
      <c r="NX481" s="12"/>
      <c r="NY481" s="13"/>
      <c r="NZ481" s="13"/>
      <c r="OC481" s="12"/>
      <c r="OD481" s="12"/>
      <c r="OF481" s="13"/>
      <c r="OG481" s="12"/>
      <c r="OH481" s="12"/>
      <c r="OI481" s="12"/>
      <c r="OJ481" s="12"/>
      <c r="OL481" s="13"/>
      <c r="OO481" s="12"/>
      <c r="OR481" s="12"/>
      <c r="OS481" s="12"/>
      <c r="OT481" s="12"/>
      <c r="OY481" s="12"/>
      <c r="PA481" s="13"/>
      <c r="PB481" s="12"/>
      <c r="PC481" s="12"/>
      <c r="PD481" s="12"/>
      <c r="PF481" s="13"/>
      <c r="PI481" s="11"/>
      <c r="PJ481" s="11"/>
      <c r="PK481" s="13"/>
      <c r="PL481" s="11"/>
      <c r="PM481" s="11"/>
      <c r="PN481" s="11"/>
      <c r="PO481" s="11"/>
      <c r="PP481" s="13"/>
      <c r="PS481" s="12"/>
      <c r="PV481" s="12"/>
      <c r="PW481" s="12"/>
      <c r="PX481" s="12"/>
      <c r="QB481" s="12"/>
      <c r="QC481" s="12"/>
      <c r="QD481" s="11"/>
      <c r="QE481" s="11"/>
      <c r="QF481" s="12"/>
      <c r="QG481" s="12"/>
      <c r="QH481" s="12"/>
      <c r="QI481" s="12"/>
      <c r="QM481" s="12"/>
      <c r="QP481" s="12"/>
      <c r="QQ481" s="12"/>
      <c r="QR481" s="12"/>
      <c r="QW481" s="12"/>
      <c r="QZ481" s="12"/>
      <c r="RU481" s="12"/>
      <c r="RX481" s="12"/>
      <c r="SC481" s="12"/>
      <c r="SF481" s="12"/>
      <c r="SL481" s="12"/>
      <c r="SP481" s="12"/>
      <c r="SQ481" s="12"/>
      <c r="SR481" s="12"/>
      <c r="SW481" s="12"/>
      <c r="SY481" s="11"/>
      <c r="SZ481" s="12"/>
      <c r="TA481" s="12"/>
      <c r="TB481" s="12"/>
      <c r="TD481" s="11"/>
      <c r="TG481" s="12"/>
      <c r="TI481" s="11"/>
      <c r="TJ481" s="12"/>
      <c r="TK481" s="12"/>
      <c r="TL481" s="12"/>
      <c r="TN481" s="11"/>
      <c r="TQ481" s="12"/>
      <c r="TS481" s="11"/>
      <c r="TT481" s="12"/>
      <c r="TU481" s="12"/>
      <c r="TV481" s="12"/>
      <c r="TX481" s="11"/>
      <c r="UA481" s="12"/>
      <c r="UD481" s="12"/>
      <c r="UE481" s="12"/>
      <c r="UF481" s="12"/>
      <c r="UK481" s="12"/>
      <c r="UN481" s="12"/>
      <c r="UO481" s="12"/>
      <c r="UP481" s="12"/>
      <c r="UT481" s="12"/>
      <c r="UW481" s="12"/>
      <c r="UX481" s="12"/>
      <c r="UY481" s="12"/>
      <c r="VD481" s="12"/>
      <c r="VG481" s="12"/>
      <c r="VK481" s="12"/>
      <c r="VN481" s="12"/>
      <c r="VQ481" s="12"/>
      <c r="VR481" s="12"/>
      <c r="VY481" s="13"/>
      <c r="VZ481" s="13"/>
      <c r="WA481" s="12"/>
      <c r="WB481" s="12"/>
      <c r="WG481" s="13"/>
      <c r="WH481" s="13"/>
    </row>
    <row r="482" spans="5:606" x14ac:dyDescent="0.3">
      <c r="E482" s="14"/>
      <c r="AK482" s="12"/>
      <c r="AM482" s="13"/>
      <c r="AO482" s="13"/>
      <c r="AY482" s="13"/>
      <c r="BH482" s="13"/>
      <c r="BL482" s="13"/>
      <c r="BM482" s="13"/>
      <c r="BN482" s="13"/>
      <c r="BS482" s="13"/>
      <c r="BV482" s="12"/>
      <c r="BW482" s="12"/>
      <c r="BX482" s="12"/>
      <c r="BY482" s="12"/>
      <c r="CD482" s="13"/>
      <c r="CH482" s="13"/>
      <c r="CI482" s="13"/>
      <c r="CJ482" s="13"/>
      <c r="CQ482" s="13"/>
      <c r="CU482" s="13"/>
      <c r="CV482" s="13"/>
      <c r="CW482" s="13"/>
      <c r="CX482" s="13"/>
      <c r="CY482" s="13"/>
      <c r="DD482" s="13"/>
      <c r="DH482" s="13"/>
      <c r="DI482" s="13"/>
      <c r="DJ482" s="13"/>
      <c r="DM482" s="12"/>
      <c r="DN482" s="12"/>
      <c r="DQ482" s="13"/>
      <c r="DR482" s="12"/>
      <c r="DU482" s="13"/>
      <c r="DV482" s="13"/>
      <c r="DW482" s="13"/>
      <c r="EA482" s="12"/>
      <c r="EB482" s="12"/>
      <c r="EC482" s="13"/>
      <c r="ED482" s="13"/>
      <c r="EE482" s="12"/>
      <c r="EF482" s="12"/>
      <c r="EH482" s="13"/>
      <c r="EJ482" s="13"/>
      <c r="EK482" s="13"/>
      <c r="EL482" s="13"/>
      <c r="EQ482" s="13"/>
      <c r="EU482" s="13"/>
      <c r="EV482" s="13"/>
      <c r="EW482" s="13"/>
      <c r="EX482" s="13"/>
      <c r="EY482" s="13"/>
      <c r="GH482" s="13"/>
      <c r="GL482" s="13"/>
      <c r="GM482" s="13"/>
      <c r="GN482" s="13"/>
      <c r="GT482" s="13"/>
      <c r="GX482" s="13"/>
      <c r="GY482" s="13"/>
      <c r="GZ482" s="13"/>
      <c r="HF482" s="13"/>
      <c r="HJ482" s="13"/>
      <c r="HK482" s="13"/>
      <c r="HL482" s="13"/>
      <c r="HQ482" s="13"/>
      <c r="HU482" s="13"/>
      <c r="HV482" s="13"/>
      <c r="HW482" s="13"/>
      <c r="IB482" s="13"/>
      <c r="IF482" s="13"/>
      <c r="IG482" s="13"/>
      <c r="IH482" s="13"/>
      <c r="IM482" s="12"/>
      <c r="IN482" s="12"/>
      <c r="IQ482" s="12"/>
      <c r="IR482" s="12"/>
      <c r="IS482" s="12"/>
      <c r="IT482" s="12"/>
      <c r="IZ482" s="13"/>
      <c r="JD482" s="13"/>
      <c r="JE482" s="13"/>
      <c r="JF482" s="13"/>
      <c r="JK482" s="13"/>
      <c r="JN482" s="12"/>
      <c r="JO482" s="12"/>
      <c r="JP482" s="12"/>
      <c r="JQ482" s="12"/>
      <c r="JV482" s="13"/>
      <c r="JY482" s="12"/>
      <c r="JZ482" s="12"/>
      <c r="KA482" s="12"/>
      <c r="KB482" s="12"/>
      <c r="KE482" s="11"/>
      <c r="KF482" s="11"/>
      <c r="KH482" s="11"/>
      <c r="KI482" s="11"/>
      <c r="KJ482" s="11"/>
      <c r="KP482" s="11"/>
      <c r="KT482" s="13"/>
      <c r="KU482" s="13"/>
      <c r="KV482" s="13"/>
      <c r="LA482" s="13"/>
      <c r="LE482" s="13"/>
      <c r="LF482" s="13"/>
      <c r="LG482" s="13"/>
      <c r="LK482" s="12"/>
      <c r="LL482" s="12"/>
      <c r="LO482" s="12"/>
      <c r="LP482" s="12"/>
      <c r="LQ482" s="12"/>
      <c r="LR482" s="12"/>
      <c r="LX482" s="13"/>
      <c r="LY482" s="13"/>
      <c r="MA482" s="12"/>
      <c r="MB482" s="13"/>
      <c r="MC482" s="13"/>
      <c r="MD482" s="13"/>
      <c r="ME482" s="13"/>
      <c r="MF482" s="13"/>
      <c r="MH482" s="12"/>
      <c r="MI482" s="12"/>
      <c r="ML482" s="12"/>
      <c r="MM482" s="12"/>
      <c r="MN482" s="12"/>
      <c r="MO482" s="12"/>
      <c r="MS482" s="12"/>
      <c r="MT482" s="12"/>
      <c r="MW482" s="12"/>
      <c r="MX482" s="12"/>
      <c r="MY482" s="12"/>
      <c r="MZ482" s="12"/>
      <c r="NE482" s="12"/>
      <c r="NF482" s="12"/>
      <c r="NG482" s="13"/>
      <c r="NH482" s="13"/>
      <c r="NI482" s="12"/>
      <c r="NJ482" s="12"/>
      <c r="NK482" s="12"/>
      <c r="NL482" s="12"/>
      <c r="NM482" s="13"/>
      <c r="NN482" s="13"/>
      <c r="NQ482" s="12"/>
      <c r="NR482" s="12"/>
      <c r="NS482" s="13"/>
      <c r="NT482" s="13"/>
      <c r="NU482" s="12"/>
      <c r="NV482" s="12"/>
      <c r="NW482" s="12"/>
      <c r="NX482" s="12"/>
      <c r="NY482" s="13"/>
      <c r="NZ482" s="13"/>
      <c r="OC482" s="12"/>
      <c r="OD482" s="12"/>
      <c r="OF482" s="13"/>
      <c r="OG482" s="12"/>
      <c r="OH482" s="12"/>
      <c r="OI482" s="12"/>
      <c r="OJ482" s="12"/>
      <c r="OL482" s="13"/>
      <c r="OO482" s="12"/>
      <c r="OR482" s="12"/>
      <c r="OS482" s="12"/>
      <c r="OT482" s="12"/>
      <c r="OY482" s="12"/>
      <c r="PA482" s="13"/>
      <c r="PB482" s="12"/>
      <c r="PC482" s="12"/>
      <c r="PD482" s="12"/>
      <c r="PF482" s="13"/>
      <c r="PI482" s="11"/>
      <c r="PJ482" s="11"/>
      <c r="PK482" s="13"/>
      <c r="PL482" s="11"/>
      <c r="PM482" s="11"/>
      <c r="PN482" s="11"/>
      <c r="PO482" s="11"/>
      <c r="PP482" s="13"/>
      <c r="PS482" s="12"/>
      <c r="PV482" s="12"/>
      <c r="PW482" s="12"/>
      <c r="PX482" s="12"/>
      <c r="QB482" s="12"/>
      <c r="QC482" s="12"/>
      <c r="QD482" s="11"/>
      <c r="QE482" s="11"/>
      <c r="QF482" s="12"/>
      <c r="QG482" s="12"/>
      <c r="QH482" s="12"/>
      <c r="QI482" s="12"/>
      <c r="QM482" s="12"/>
      <c r="QP482" s="12"/>
      <c r="QQ482" s="12"/>
      <c r="QR482" s="12"/>
      <c r="QW482" s="12"/>
      <c r="QZ482" s="12"/>
      <c r="RU482" s="12"/>
      <c r="RX482" s="12"/>
      <c r="SC482" s="12"/>
      <c r="SF482" s="12"/>
      <c r="SL482" s="12"/>
      <c r="SP482" s="12"/>
      <c r="SQ482" s="12"/>
      <c r="SR482" s="12"/>
      <c r="SW482" s="12"/>
      <c r="SY482" s="11"/>
      <c r="SZ482" s="12"/>
      <c r="TA482" s="12"/>
      <c r="TB482" s="12"/>
      <c r="TD482" s="11"/>
      <c r="TG482" s="12"/>
      <c r="TI482" s="11"/>
      <c r="TJ482" s="12"/>
      <c r="TK482" s="12"/>
      <c r="TL482" s="12"/>
      <c r="TN482" s="11"/>
      <c r="TQ482" s="12"/>
      <c r="TS482" s="11"/>
      <c r="TT482" s="12"/>
      <c r="TU482" s="12"/>
      <c r="TV482" s="12"/>
      <c r="TX482" s="11"/>
      <c r="UA482" s="12"/>
      <c r="UD482" s="12"/>
      <c r="UE482" s="12"/>
      <c r="UF482" s="12"/>
      <c r="UK482" s="12"/>
      <c r="UN482" s="12"/>
      <c r="UO482" s="12"/>
      <c r="UP482" s="12"/>
      <c r="UT482" s="12"/>
      <c r="UW482" s="12"/>
      <c r="UX482" s="12"/>
      <c r="UY482" s="12"/>
      <c r="VD482" s="12"/>
      <c r="VG482" s="12"/>
      <c r="VK482" s="12"/>
      <c r="VN482" s="12"/>
      <c r="VQ482" s="12"/>
      <c r="VR482" s="12"/>
      <c r="VY482" s="13"/>
      <c r="VZ482" s="13"/>
      <c r="WA482" s="12"/>
      <c r="WB482" s="12"/>
      <c r="WG482" s="13"/>
      <c r="WH482" s="13"/>
    </row>
    <row r="483" spans="5:606" x14ac:dyDescent="0.3">
      <c r="E483" s="14"/>
      <c r="AK483" s="12"/>
      <c r="BH483" s="13"/>
      <c r="BL483" s="13"/>
      <c r="BM483" s="13"/>
      <c r="BN483" s="13"/>
      <c r="BS483" s="13"/>
      <c r="BV483" s="12"/>
      <c r="BW483" s="12"/>
      <c r="BX483" s="12"/>
      <c r="BY483" s="12"/>
      <c r="CD483" s="13"/>
      <c r="CH483" s="13"/>
      <c r="CI483" s="13"/>
      <c r="CJ483" s="13"/>
      <c r="CQ483" s="13"/>
      <c r="CU483" s="13"/>
      <c r="CV483" s="13"/>
      <c r="CW483" s="13"/>
      <c r="CX483" s="13"/>
      <c r="CY483" s="13"/>
      <c r="DD483" s="13"/>
      <c r="DH483" s="13"/>
      <c r="DI483" s="13"/>
      <c r="DJ483" s="13"/>
      <c r="DN483" s="12"/>
      <c r="DQ483" s="13"/>
      <c r="DR483" s="12"/>
      <c r="DU483" s="13"/>
      <c r="DV483" s="13"/>
      <c r="DW483" s="13"/>
      <c r="EA483" s="12"/>
      <c r="EB483" s="12"/>
      <c r="EC483" s="13"/>
      <c r="ED483" s="13"/>
      <c r="EE483" s="12"/>
      <c r="EF483" s="12"/>
      <c r="EH483" s="13"/>
      <c r="EJ483" s="13"/>
      <c r="EK483" s="13"/>
      <c r="EL483" s="13"/>
      <c r="EQ483" s="13"/>
      <c r="EU483" s="13"/>
      <c r="EV483" s="13"/>
      <c r="EW483" s="13"/>
      <c r="EX483" s="13"/>
      <c r="EY483" s="13"/>
      <c r="GH483" s="13"/>
      <c r="GL483" s="13"/>
      <c r="GM483" s="13"/>
      <c r="GN483" s="13"/>
      <c r="GT483" s="13"/>
      <c r="GX483" s="13"/>
      <c r="GY483" s="13"/>
      <c r="GZ483" s="13"/>
      <c r="HF483" s="13"/>
      <c r="HJ483" s="13"/>
      <c r="HK483" s="13"/>
      <c r="HL483" s="13"/>
      <c r="HQ483" s="13"/>
      <c r="HU483" s="13"/>
      <c r="HV483" s="13"/>
      <c r="HW483" s="13"/>
      <c r="IB483" s="13"/>
      <c r="IF483" s="13"/>
      <c r="IG483" s="13"/>
      <c r="IH483" s="13"/>
      <c r="IM483" s="12"/>
      <c r="IN483" s="12"/>
      <c r="IQ483" s="12"/>
      <c r="IR483" s="12"/>
      <c r="IS483" s="12"/>
      <c r="IT483" s="12"/>
      <c r="IZ483" s="13"/>
      <c r="JD483" s="13"/>
      <c r="JE483" s="13"/>
      <c r="JF483" s="13"/>
      <c r="JK483" s="13"/>
      <c r="JO483" s="13"/>
      <c r="JP483" s="13"/>
      <c r="JQ483" s="13"/>
      <c r="JV483" s="13"/>
      <c r="JY483" s="12"/>
      <c r="JZ483" s="12"/>
      <c r="KA483" s="12"/>
      <c r="KB483" s="12"/>
      <c r="KP483" s="11"/>
      <c r="KT483" s="13"/>
      <c r="KU483" s="13"/>
      <c r="KV483" s="13"/>
      <c r="KZ483" s="12"/>
      <c r="LA483" s="12"/>
      <c r="LE483" s="13"/>
      <c r="LF483" s="13"/>
      <c r="LG483" s="13"/>
      <c r="LK483" s="12"/>
      <c r="LL483" s="12"/>
      <c r="LO483" s="12"/>
      <c r="LP483" s="12"/>
      <c r="LQ483" s="12"/>
      <c r="LR483" s="12"/>
      <c r="LX483" s="13"/>
      <c r="LY483" s="13"/>
      <c r="MA483" s="12"/>
      <c r="MB483" s="13"/>
      <c r="MC483" s="13"/>
      <c r="MD483" s="13"/>
      <c r="ME483" s="13"/>
      <c r="MF483" s="13"/>
      <c r="MH483" s="12"/>
      <c r="MI483" s="12"/>
      <c r="MJ483" s="13"/>
      <c r="MK483" s="13"/>
      <c r="ML483" s="12"/>
      <c r="MM483" s="12"/>
      <c r="MN483" s="12"/>
      <c r="MO483" s="12"/>
      <c r="MP483" s="13"/>
      <c r="MQ483" s="13"/>
      <c r="MS483" s="12"/>
      <c r="MT483" s="12"/>
      <c r="MW483" s="12"/>
      <c r="MX483" s="12"/>
      <c r="MY483" s="12"/>
      <c r="MZ483" s="12"/>
      <c r="NE483" s="12"/>
      <c r="NF483" s="12"/>
      <c r="NG483" s="13"/>
      <c r="NH483" s="13"/>
      <c r="NI483" s="12"/>
      <c r="NJ483" s="12"/>
      <c r="NK483" s="12"/>
      <c r="NL483" s="12"/>
      <c r="NM483" s="13"/>
      <c r="NN483" s="13"/>
      <c r="NQ483" s="12"/>
      <c r="NR483" s="12"/>
      <c r="NS483" s="13"/>
      <c r="NT483" s="13"/>
      <c r="NU483" s="12"/>
      <c r="NV483" s="12"/>
      <c r="NW483" s="12"/>
      <c r="NX483" s="12"/>
      <c r="NY483" s="13"/>
      <c r="NZ483" s="13"/>
      <c r="OC483" s="12"/>
      <c r="OD483" s="12"/>
      <c r="OG483" s="12"/>
      <c r="OH483" s="12"/>
      <c r="OI483" s="12"/>
      <c r="OJ483" s="12"/>
      <c r="OO483" s="12"/>
      <c r="OR483" s="12"/>
      <c r="OS483" s="12"/>
      <c r="OT483" s="12"/>
      <c r="OY483" s="12"/>
      <c r="PA483" s="13"/>
      <c r="PB483" s="12"/>
      <c r="PC483" s="12"/>
      <c r="PD483" s="12"/>
      <c r="PF483" s="13"/>
      <c r="PI483" s="11"/>
      <c r="PJ483" s="11"/>
      <c r="PK483" s="13"/>
      <c r="PL483" s="11"/>
      <c r="PM483" s="11"/>
      <c r="PN483" s="11"/>
      <c r="PO483" s="11"/>
      <c r="PP483" s="13"/>
      <c r="PS483" s="12"/>
      <c r="PV483" s="12"/>
      <c r="PW483" s="12"/>
      <c r="PX483" s="12"/>
      <c r="QB483" s="12"/>
      <c r="QC483" s="12"/>
      <c r="QD483" s="11"/>
      <c r="QE483" s="11"/>
      <c r="QF483" s="12"/>
      <c r="QG483" s="12"/>
      <c r="QH483" s="12"/>
      <c r="QI483" s="12"/>
      <c r="QM483" s="12"/>
      <c r="QP483" s="12"/>
      <c r="QQ483" s="12"/>
      <c r="QR483" s="12"/>
      <c r="QW483" s="12"/>
      <c r="QZ483" s="12"/>
      <c r="RU483" s="12"/>
      <c r="RX483" s="12"/>
      <c r="SC483" s="12"/>
      <c r="SF483" s="12"/>
      <c r="SL483" s="12"/>
      <c r="SM483" s="13"/>
      <c r="SN483" s="13"/>
      <c r="SP483" s="12"/>
      <c r="SQ483" s="12"/>
      <c r="SR483" s="12"/>
      <c r="SS483" s="13"/>
      <c r="ST483" s="13"/>
      <c r="SW483" s="12"/>
      <c r="SZ483" s="12"/>
      <c r="TA483" s="12"/>
      <c r="TB483" s="12"/>
      <c r="TG483" s="12"/>
      <c r="TI483" s="11"/>
      <c r="TJ483" s="12"/>
      <c r="TK483" s="12"/>
      <c r="TL483" s="12"/>
      <c r="TN483" s="11"/>
      <c r="TQ483" s="12"/>
      <c r="TS483" s="11"/>
      <c r="TT483" s="12"/>
      <c r="TU483" s="12"/>
      <c r="TV483" s="12"/>
      <c r="TX483" s="11"/>
      <c r="UA483" s="12"/>
      <c r="UD483" s="12"/>
      <c r="UE483" s="12"/>
      <c r="UF483" s="12"/>
      <c r="UK483" s="12"/>
      <c r="UN483" s="12"/>
      <c r="UO483" s="12"/>
      <c r="UP483" s="12"/>
      <c r="UT483" s="12"/>
      <c r="UW483" s="12"/>
      <c r="UX483" s="12"/>
      <c r="UY483" s="12"/>
      <c r="VD483" s="12"/>
      <c r="VG483" s="12"/>
      <c r="VK483" s="12"/>
      <c r="VN483" s="12"/>
      <c r="VQ483" s="12"/>
      <c r="VR483" s="12"/>
      <c r="VY483" s="13"/>
      <c r="VZ483" s="13"/>
      <c r="WA483" s="12"/>
      <c r="WB483" s="12"/>
      <c r="WG483" s="13"/>
      <c r="WH483" s="13"/>
    </row>
    <row r="484" spans="5:606" x14ac:dyDescent="0.3">
      <c r="E484" s="14"/>
      <c r="AK484" s="12"/>
      <c r="BH484" s="13"/>
      <c r="BL484" s="13"/>
      <c r="BM484" s="13"/>
      <c r="BN484" s="13"/>
      <c r="BS484" s="13"/>
      <c r="BV484" s="12"/>
      <c r="BW484" s="12"/>
      <c r="BX484" s="12"/>
      <c r="BY484" s="12"/>
      <c r="CD484" s="13"/>
      <c r="CH484" s="13"/>
      <c r="CI484" s="13"/>
      <c r="CJ484" s="13"/>
      <c r="CQ484" s="13"/>
      <c r="CU484" s="13"/>
      <c r="CV484" s="13"/>
      <c r="CW484" s="13"/>
      <c r="CX484" s="13"/>
      <c r="CY484" s="13"/>
      <c r="DD484" s="13"/>
      <c r="DH484" s="13"/>
      <c r="DI484" s="13"/>
      <c r="DJ484" s="13"/>
      <c r="DN484" s="12"/>
      <c r="DQ484" s="13"/>
      <c r="DR484" s="12"/>
      <c r="DU484" s="13"/>
      <c r="DV484" s="13"/>
      <c r="DW484" s="13"/>
      <c r="EA484" s="12"/>
      <c r="EB484" s="12"/>
      <c r="EC484" s="13"/>
      <c r="ED484" s="13"/>
      <c r="EE484" s="12"/>
      <c r="EF484" s="12"/>
      <c r="EH484" s="13"/>
      <c r="EJ484" s="13"/>
      <c r="EK484" s="13"/>
      <c r="EL484" s="13"/>
      <c r="EQ484" s="13"/>
      <c r="EU484" s="13"/>
      <c r="EV484" s="13"/>
      <c r="EW484" s="13"/>
      <c r="EX484" s="13"/>
      <c r="EY484" s="13"/>
      <c r="GH484" s="13"/>
      <c r="GL484" s="13"/>
      <c r="GM484" s="13"/>
      <c r="GN484" s="13"/>
      <c r="GT484" s="13"/>
      <c r="GX484" s="13"/>
      <c r="GY484" s="13"/>
      <c r="GZ484" s="13"/>
      <c r="HF484" s="13"/>
      <c r="HJ484" s="13"/>
      <c r="HK484" s="13"/>
      <c r="HL484" s="13"/>
      <c r="HQ484" s="13"/>
      <c r="HU484" s="13"/>
      <c r="HV484" s="13"/>
      <c r="HW484" s="13"/>
      <c r="IB484" s="13"/>
      <c r="IF484" s="13"/>
      <c r="IG484" s="13"/>
      <c r="IH484" s="13"/>
      <c r="IM484" s="12"/>
      <c r="IN484" s="12"/>
      <c r="IQ484" s="12"/>
      <c r="IR484" s="12"/>
      <c r="IS484" s="12"/>
      <c r="IT484" s="12"/>
      <c r="IZ484" s="13"/>
      <c r="JD484" s="13"/>
      <c r="JE484" s="13"/>
      <c r="JF484" s="13"/>
      <c r="JK484" s="13"/>
      <c r="JN484" s="12"/>
      <c r="JO484" s="12"/>
      <c r="JP484" s="12"/>
      <c r="JQ484" s="12"/>
      <c r="JV484" s="13"/>
      <c r="JY484" s="12"/>
      <c r="JZ484" s="12"/>
      <c r="KA484" s="12"/>
      <c r="KB484" s="12"/>
      <c r="KP484" s="11"/>
      <c r="KS484" s="12"/>
      <c r="KT484" s="12"/>
      <c r="KU484" s="12"/>
      <c r="KV484" s="12"/>
      <c r="KZ484" s="12"/>
      <c r="LA484" s="12"/>
      <c r="LD484" s="12"/>
      <c r="LE484" s="12"/>
      <c r="LF484" s="12"/>
      <c r="LG484" s="12"/>
      <c r="LK484" s="12"/>
      <c r="LL484" s="12"/>
      <c r="LO484" s="12"/>
      <c r="LP484" s="12"/>
      <c r="LQ484" s="12"/>
      <c r="LR484" s="12"/>
      <c r="LW484" s="12"/>
      <c r="LX484" s="12"/>
      <c r="MA484" s="12"/>
      <c r="MB484" s="12"/>
      <c r="MC484" s="12"/>
      <c r="MD484" s="12"/>
      <c r="MH484" s="12"/>
      <c r="MI484" s="12"/>
      <c r="ML484" s="12"/>
      <c r="MM484" s="12"/>
      <c r="MN484" s="12"/>
      <c r="MO484" s="12"/>
      <c r="MS484" s="12"/>
      <c r="MT484" s="12"/>
      <c r="MW484" s="12"/>
      <c r="MX484" s="12"/>
      <c r="MY484" s="12"/>
      <c r="MZ484" s="12"/>
      <c r="NE484" s="12"/>
      <c r="NF484" s="12"/>
      <c r="NI484" s="12"/>
      <c r="NJ484" s="12"/>
      <c r="NK484" s="12"/>
      <c r="NL484" s="12"/>
      <c r="NQ484" s="12"/>
      <c r="NR484" s="12"/>
      <c r="NU484" s="12"/>
      <c r="NV484" s="12"/>
      <c r="NW484" s="12"/>
      <c r="NX484" s="12"/>
      <c r="OC484" s="12"/>
      <c r="OD484" s="12"/>
      <c r="OG484" s="12"/>
      <c r="OH484" s="12"/>
      <c r="OI484" s="12"/>
      <c r="OJ484" s="12"/>
      <c r="OO484" s="12"/>
      <c r="OR484" s="12"/>
      <c r="OS484" s="12"/>
      <c r="OT484" s="12"/>
      <c r="OY484" s="12"/>
      <c r="PA484" s="13"/>
      <c r="PB484" s="12"/>
      <c r="PC484" s="12"/>
      <c r="PD484" s="12"/>
      <c r="PF484" s="13"/>
      <c r="PI484" s="12"/>
      <c r="PL484" s="12"/>
      <c r="PM484" s="12"/>
      <c r="PN484" s="12"/>
      <c r="PS484" s="12"/>
      <c r="PV484" s="12"/>
      <c r="PW484" s="12"/>
      <c r="PX484" s="12"/>
      <c r="QB484" s="12"/>
      <c r="QC484" s="12"/>
      <c r="QD484" s="11"/>
      <c r="QE484" s="11"/>
      <c r="QF484" s="12"/>
      <c r="QG484" s="12"/>
      <c r="QH484" s="12"/>
      <c r="QI484" s="12"/>
      <c r="QM484" s="12"/>
      <c r="QP484" s="12"/>
      <c r="QQ484" s="12"/>
      <c r="QR484" s="12"/>
      <c r="QW484" s="12"/>
      <c r="QZ484" s="12"/>
      <c r="RU484" s="12"/>
      <c r="RX484" s="12"/>
      <c r="SC484" s="12"/>
      <c r="SF484" s="12"/>
      <c r="SL484" s="12"/>
      <c r="SP484" s="12"/>
      <c r="SQ484" s="12"/>
      <c r="SR484" s="12"/>
      <c r="SW484" s="12"/>
      <c r="SZ484" s="12"/>
      <c r="TA484" s="12"/>
      <c r="TB484" s="12"/>
      <c r="TG484" s="12"/>
      <c r="TI484" s="11"/>
      <c r="TJ484" s="12"/>
      <c r="TK484" s="12"/>
      <c r="TL484" s="12"/>
      <c r="TN484" s="11"/>
      <c r="TQ484" s="12"/>
      <c r="TS484" s="11"/>
      <c r="TT484" s="12"/>
      <c r="TU484" s="12"/>
      <c r="TV484" s="12"/>
      <c r="TX484" s="11"/>
      <c r="UA484" s="12"/>
      <c r="UD484" s="12"/>
      <c r="UE484" s="12"/>
      <c r="UF484" s="12"/>
      <c r="UK484" s="12"/>
      <c r="UM484" s="13"/>
      <c r="UN484" s="12"/>
      <c r="UO484" s="12"/>
      <c r="UP484" s="12"/>
      <c r="UR484" s="13"/>
      <c r="UT484" s="12"/>
      <c r="UW484" s="12"/>
      <c r="UX484" s="12"/>
      <c r="UY484" s="12"/>
      <c r="VD484" s="12"/>
      <c r="VG484" s="12"/>
      <c r="VK484" s="12"/>
      <c r="VN484" s="12"/>
      <c r="VQ484" s="12"/>
      <c r="VR484" s="12"/>
      <c r="VY484" s="13"/>
      <c r="VZ484" s="13"/>
      <c r="WA484" s="12"/>
      <c r="WB484" s="12"/>
      <c r="WG484" s="13"/>
      <c r="WH484" s="13"/>
    </row>
    <row r="485" spans="5:606" x14ac:dyDescent="0.3">
      <c r="E485" s="14"/>
      <c r="AK485" s="12"/>
      <c r="BH485" s="13"/>
      <c r="BL485" s="13"/>
      <c r="BM485" s="13"/>
      <c r="BN485" s="13"/>
      <c r="BS485" s="13"/>
      <c r="BV485" s="12"/>
      <c r="BW485" s="12"/>
      <c r="BX485" s="12"/>
      <c r="BY485" s="12"/>
      <c r="CD485" s="13"/>
      <c r="CH485" s="13"/>
      <c r="CI485" s="13"/>
      <c r="CJ485" s="13"/>
      <c r="CQ485" s="13"/>
      <c r="CU485" s="13"/>
      <c r="CV485" s="13"/>
      <c r="CW485" s="13"/>
      <c r="CX485" s="13"/>
      <c r="CY485" s="13"/>
      <c r="DD485" s="13"/>
      <c r="DH485" s="13"/>
      <c r="DI485" s="13"/>
      <c r="DJ485" s="13"/>
      <c r="DN485" s="12"/>
      <c r="DQ485" s="13"/>
      <c r="DR485" s="12"/>
      <c r="DU485" s="13"/>
      <c r="DV485" s="13"/>
      <c r="DW485" s="13"/>
      <c r="EA485" s="12"/>
      <c r="EB485" s="12"/>
      <c r="EC485" s="13"/>
      <c r="ED485" s="13"/>
      <c r="EE485" s="12"/>
      <c r="EF485" s="12"/>
      <c r="EH485" s="13"/>
      <c r="EJ485" s="13"/>
      <c r="EK485" s="13"/>
      <c r="EL485" s="13"/>
      <c r="EQ485" s="13"/>
      <c r="EU485" s="13"/>
      <c r="EV485" s="13"/>
      <c r="EW485" s="13"/>
      <c r="EX485" s="13"/>
      <c r="EY485" s="13"/>
      <c r="GH485" s="13"/>
      <c r="GL485" s="13"/>
      <c r="GM485" s="13"/>
      <c r="GN485" s="13"/>
      <c r="GT485" s="13"/>
      <c r="GX485" s="13"/>
      <c r="GY485" s="13"/>
      <c r="GZ485" s="13"/>
      <c r="HF485" s="13"/>
      <c r="HJ485" s="13"/>
      <c r="HK485" s="13"/>
      <c r="HL485" s="13"/>
      <c r="HQ485" s="13"/>
      <c r="HU485" s="13"/>
      <c r="HV485" s="13"/>
      <c r="HW485" s="13"/>
      <c r="IB485" s="13"/>
      <c r="IF485" s="13"/>
      <c r="IG485" s="13"/>
      <c r="IH485" s="13"/>
      <c r="IM485" s="12"/>
      <c r="IN485" s="12"/>
      <c r="IQ485" s="12"/>
      <c r="IR485" s="12"/>
      <c r="IS485" s="12"/>
      <c r="IT485" s="12"/>
      <c r="IZ485" s="13"/>
      <c r="JD485" s="13"/>
      <c r="JE485" s="13"/>
      <c r="JF485" s="13"/>
      <c r="JK485" s="13"/>
      <c r="JN485" s="12"/>
      <c r="JO485" s="12"/>
      <c r="JP485" s="12"/>
      <c r="JQ485" s="12"/>
      <c r="JV485" s="13"/>
      <c r="JY485" s="12"/>
      <c r="JZ485" s="12"/>
      <c r="KA485" s="12"/>
      <c r="KB485" s="12"/>
      <c r="KP485" s="11"/>
      <c r="KT485" s="13"/>
      <c r="KU485" s="13"/>
      <c r="KV485" s="13"/>
      <c r="KZ485" s="12"/>
      <c r="LA485" s="12"/>
      <c r="LD485" s="12"/>
      <c r="LE485" s="12"/>
      <c r="LF485" s="12"/>
      <c r="LG485" s="12"/>
      <c r="LK485" s="12"/>
      <c r="LL485" s="12"/>
      <c r="LO485" s="12"/>
      <c r="LP485" s="12"/>
      <c r="LQ485" s="12"/>
      <c r="LR485" s="12"/>
      <c r="LX485" s="13"/>
      <c r="LY485" s="13"/>
      <c r="MA485" s="12"/>
      <c r="MB485" s="13"/>
      <c r="MC485" s="13"/>
      <c r="MD485" s="13"/>
      <c r="ME485" s="13"/>
      <c r="MF485" s="13"/>
      <c r="MH485" s="12"/>
      <c r="MI485" s="12"/>
      <c r="ML485" s="12"/>
      <c r="MM485" s="12"/>
      <c r="MN485" s="12"/>
      <c r="MO485" s="12"/>
      <c r="MS485" s="12"/>
      <c r="MT485" s="12"/>
      <c r="MW485" s="12"/>
      <c r="MX485" s="12"/>
      <c r="MY485" s="12"/>
      <c r="MZ485" s="12"/>
      <c r="NE485" s="12"/>
      <c r="NF485" s="12"/>
      <c r="NI485" s="12"/>
      <c r="NJ485" s="12"/>
      <c r="NK485" s="12"/>
      <c r="NL485" s="12"/>
      <c r="NQ485" s="12"/>
      <c r="NR485" s="12"/>
      <c r="NU485" s="12"/>
      <c r="NV485" s="12"/>
      <c r="NW485" s="12"/>
      <c r="NX485" s="12"/>
      <c r="OC485" s="12"/>
      <c r="OD485" s="12"/>
      <c r="OF485" s="13"/>
      <c r="OG485" s="12"/>
      <c r="OH485" s="12"/>
      <c r="OI485" s="12"/>
      <c r="OJ485" s="12"/>
      <c r="OL485" s="13"/>
      <c r="OO485" s="12"/>
      <c r="OR485" s="12"/>
      <c r="OS485" s="12"/>
      <c r="OT485" s="12"/>
      <c r="OY485" s="12"/>
      <c r="PA485" s="13"/>
      <c r="PB485" s="12"/>
      <c r="PC485" s="12"/>
      <c r="PD485" s="12"/>
      <c r="PF485" s="13"/>
      <c r="PI485" s="12"/>
      <c r="PL485" s="12"/>
      <c r="PM485" s="12"/>
      <c r="PN485" s="12"/>
      <c r="PS485" s="12"/>
      <c r="PV485" s="12"/>
      <c r="PW485" s="12"/>
      <c r="PX485" s="12"/>
      <c r="QB485" s="12"/>
      <c r="QC485" s="12"/>
      <c r="QD485" s="11"/>
      <c r="QE485" s="11"/>
      <c r="QF485" s="12"/>
      <c r="QG485" s="12"/>
      <c r="QH485" s="12"/>
      <c r="QI485" s="12"/>
      <c r="QJ485" s="11"/>
      <c r="QK485" s="11"/>
      <c r="QM485" s="12"/>
      <c r="QP485" s="12"/>
      <c r="QQ485" s="12"/>
      <c r="QR485" s="12"/>
      <c r="QW485" s="12"/>
      <c r="QZ485" s="12"/>
      <c r="RU485" s="12"/>
      <c r="RX485" s="12"/>
      <c r="SC485" s="12"/>
      <c r="SF485" s="12"/>
      <c r="SL485" s="12"/>
      <c r="SP485" s="12"/>
      <c r="SQ485" s="12"/>
      <c r="SR485" s="12"/>
      <c r="SW485" s="12"/>
      <c r="SZ485" s="12"/>
      <c r="TA485" s="12"/>
      <c r="TB485" s="12"/>
      <c r="TG485" s="12"/>
      <c r="TI485" s="11"/>
      <c r="TJ485" s="12"/>
      <c r="TK485" s="12"/>
      <c r="TL485" s="12"/>
      <c r="TN485" s="11"/>
      <c r="TQ485" s="12"/>
      <c r="TS485" s="11"/>
      <c r="TT485" s="12"/>
      <c r="TU485" s="12"/>
      <c r="TV485" s="12"/>
      <c r="TX485" s="11"/>
      <c r="UA485" s="12"/>
      <c r="UD485" s="12"/>
      <c r="UE485" s="12"/>
      <c r="UF485" s="12"/>
      <c r="UK485" s="12"/>
      <c r="UN485" s="12"/>
      <c r="UO485" s="12"/>
      <c r="UP485" s="12"/>
      <c r="UT485" s="12"/>
      <c r="UW485" s="12"/>
      <c r="UX485" s="12"/>
      <c r="UY485" s="12"/>
      <c r="VD485" s="12"/>
      <c r="VG485" s="12"/>
      <c r="VK485" s="12"/>
      <c r="VN485" s="12"/>
      <c r="VQ485" s="12"/>
      <c r="VR485" s="12"/>
      <c r="VY485" s="13"/>
      <c r="VZ485" s="13"/>
      <c r="WA485" s="12"/>
      <c r="WB485" s="12"/>
      <c r="WG485" s="13"/>
      <c r="WH485" s="13"/>
    </row>
    <row r="486" spans="5:606" x14ac:dyDescent="0.3">
      <c r="E486" s="14"/>
      <c r="AK486" s="12"/>
      <c r="BH486" s="13"/>
      <c r="BL486" s="13"/>
      <c r="BM486" s="13"/>
      <c r="BN486" s="13"/>
      <c r="BS486" s="13"/>
      <c r="BV486" s="12"/>
      <c r="BW486" s="12"/>
      <c r="BX486" s="12"/>
      <c r="BY486" s="12"/>
      <c r="CD486" s="13"/>
      <c r="CH486" s="13"/>
      <c r="CI486" s="13"/>
      <c r="CJ486" s="13"/>
      <c r="CQ486" s="13"/>
      <c r="CU486" s="13"/>
      <c r="CV486" s="13"/>
      <c r="CW486" s="13"/>
      <c r="CX486" s="13"/>
      <c r="CY486" s="13"/>
      <c r="DD486" s="13"/>
      <c r="DH486" s="13"/>
      <c r="DI486" s="13"/>
      <c r="DJ486" s="13"/>
      <c r="DN486" s="12"/>
      <c r="DQ486" s="13"/>
      <c r="DR486" s="12"/>
      <c r="DU486" s="13"/>
      <c r="DV486" s="13"/>
      <c r="DW486" s="13"/>
      <c r="EA486" s="12"/>
      <c r="EB486" s="12"/>
      <c r="EC486" s="13"/>
      <c r="ED486" s="13"/>
      <c r="EE486" s="12"/>
      <c r="EF486" s="12"/>
      <c r="EH486" s="13"/>
      <c r="EJ486" s="13"/>
      <c r="EK486" s="13"/>
      <c r="EL486" s="13"/>
      <c r="EQ486" s="13"/>
      <c r="EU486" s="13"/>
      <c r="EV486" s="13"/>
      <c r="EW486" s="13"/>
      <c r="EX486" s="13"/>
      <c r="EY486" s="13"/>
      <c r="GH486" s="13"/>
      <c r="GL486" s="13"/>
      <c r="GM486" s="13"/>
      <c r="GN486" s="13"/>
      <c r="GT486" s="13"/>
      <c r="GX486" s="13"/>
      <c r="GY486" s="13"/>
      <c r="GZ486" s="13"/>
      <c r="HF486" s="13"/>
      <c r="HJ486" s="13"/>
      <c r="HK486" s="13"/>
      <c r="HL486" s="13"/>
      <c r="HQ486" s="13"/>
      <c r="HU486" s="13"/>
      <c r="HV486" s="13"/>
      <c r="HW486" s="13"/>
      <c r="IB486" s="13"/>
      <c r="IF486" s="13"/>
      <c r="IG486" s="13"/>
      <c r="IH486" s="13"/>
      <c r="IM486" s="12"/>
      <c r="IN486" s="12"/>
      <c r="IQ486" s="12"/>
      <c r="IR486" s="12"/>
      <c r="IS486" s="12"/>
      <c r="IT486" s="12"/>
      <c r="IZ486" s="13"/>
      <c r="JD486" s="13"/>
      <c r="JE486" s="13"/>
      <c r="JF486" s="13"/>
      <c r="JK486" s="13"/>
      <c r="JN486" s="12"/>
      <c r="JO486" s="12"/>
      <c r="JP486" s="12"/>
      <c r="JQ486" s="12"/>
      <c r="JV486" s="13"/>
      <c r="JY486" s="12"/>
      <c r="JZ486" s="12"/>
      <c r="KA486" s="12"/>
      <c r="KB486" s="12"/>
      <c r="KP486" s="11"/>
      <c r="KT486" s="13"/>
      <c r="KU486" s="13"/>
      <c r="KV486" s="13"/>
      <c r="KZ486" s="12"/>
      <c r="LA486" s="12"/>
      <c r="LD486" s="12"/>
      <c r="LE486" s="12"/>
      <c r="LF486" s="12"/>
      <c r="LG486" s="12"/>
      <c r="LK486" s="12"/>
      <c r="LL486" s="12"/>
      <c r="LO486" s="12"/>
      <c r="LP486" s="12"/>
      <c r="LQ486" s="12"/>
      <c r="LR486" s="12"/>
      <c r="LX486" s="13"/>
      <c r="LY486" s="13"/>
      <c r="MA486" s="12"/>
      <c r="MB486" s="13"/>
      <c r="MC486" s="13"/>
      <c r="MD486" s="13"/>
      <c r="ME486" s="13"/>
      <c r="MF486" s="13"/>
      <c r="MH486" s="12"/>
      <c r="MI486" s="12"/>
      <c r="ML486" s="12"/>
      <c r="MM486" s="12"/>
      <c r="MN486" s="12"/>
      <c r="MO486" s="12"/>
      <c r="MS486" s="12"/>
      <c r="MT486" s="12"/>
      <c r="MW486" s="12"/>
      <c r="MX486" s="12"/>
      <c r="MY486" s="12"/>
      <c r="MZ486" s="12"/>
      <c r="NE486" s="12"/>
      <c r="NF486" s="12"/>
      <c r="NI486" s="12"/>
      <c r="NJ486" s="12"/>
      <c r="NK486" s="12"/>
      <c r="NL486" s="12"/>
      <c r="NQ486" s="12"/>
      <c r="NR486" s="12"/>
      <c r="NU486" s="12"/>
      <c r="NV486" s="12"/>
      <c r="NW486" s="12"/>
      <c r="NX486" s="12"/>
      <c r="OC486" s="12"/>
      <c r="OD486" s="12"/>
      <c r="OF486" s="13"/>
      <c r="OG486" s="12"/>
      <c r="OH486" s="12"/>
      <c r="OI486" s="12"/>
      <c r="OJ486" s="12"/>
      <c r="OL486" s="13"/>
      <c r="OO486" s="12"/>
      <c r="OR486" s="12"/>
      <c r="OS486" s="12"/>
      <c r="OT486" s="12"/>
      <c r="OY486" s="12"/>
      <c r="PA486" s="13"/>
      <c r="PB486" s="12"/>
      <c r="PC486" s="12"/>
      <c r="PD486" s="12"/>
      <c r="PF486" s="13"/>
      <c r="PI486" s="12"/>
      <c r="PL486" s="12"/>
      <c r="PM486" s="12"/>
      <c r="PN486" s="12"/>
      <c r="PS486" s="12"/>
      <c r="PV486" s="12"/>
      <c r="PW486" s="12"/>
      <c r="PX486" s="12"/>
      <c r="QB486" s="12"/>
      <c r="QC486" s="12"/>
      <c r="QD486" s="11"/>
      <c r="QE486" s="11"/>
      <c r="QF486" s="12"/>
      <c r="QG486" s="12"/>
      <c r="QH486" s="12"/>
      <c r="QI486" s="12"/>
      <c r="QJ486" s="11"/>
      <c r="QK486" s="11"/>
      <c r="QM486" s="12"/>
      <c r="QP486" s="12"/>
      <c r="QQ486" s="12"/>
      <c r="QR486" s="12"/>
      <c r="QW486" s="12"/>
      <c r="QZ486" s="12"/>
      <c r="RU486" s="12"/>
      <c r="RX486" s="12"/>
      <c r="SC486" s="12"/>
      <c r="SF486" s="12"/>
      <c r="SL486" s="12"/>
      <c r="SP486" s="12"/>
      <c r="SQ486" s="12"/>
      <c r="SR486" s="12"/>
      <c r="SW486" s="12"/>
      <c r="SZ486" s="12"/>
      <c r="TA486" s="12"/>
      <c r="TB486" s="12"/>
      <c r="TG486" s="12"/>
      <c r="TI486" s="11"/>
      <c r="TJ486" s="12"/>
      <c r="TK486" s="12"/>
      <c r="TL486" s="12"/>
      <c r="TN486" s="11"/>
      <c r="TQ486" s="12"/>
      <c r="TS486" s="11"/>
      <c r="TT486" s="12"/>
      <c r="TU486" s="12"/>
      <c r="TV486" s="12"/>
      <c r="TX486" s="11"/>
      <c r="UA486" s="12"/>
      <c r="UD486" s="12"/>
      <c r="UE486" s="12"/>
      <c r="UF486" s="12"/>
      <c r="UK486" s="12"/>
      <c r="UN486" s="12"/>
      <c r="UO486" s="12"/>
      <c r="UP486" s="12"/>
      <c r="UT486" s="12"/>
      <c r="UW486" s="12"/>
      <c r="UX486" s="12"/>
      <c r="UY486" s="12"/>
      <c r="VD486" s="12"/>
      <c r="VG486" s="12"/>
      <c r="VK486" s="12"/>
      <c r="VN486" s="12"/>
      <c r="VQ486" s="12"/>
      <c r="VR486" s="12"/>
      <c r="VY486" s="13"/>
      <c r="VZ486" s="13"/>
      <c r="WA486" s="12"/>
      <c r="WB486" s="12"/>
      <c r="WG486" s="13"/>
      <c r="WH486" s="13"/>
    </row>
    <row r="487" spans="5:606" x14ac:dyDescent="0.3">
      <c r="E487" s="14"/>
      <c r="AK487" s="12"/>
      <c r="BH487" s="13"/>
      <c r="BL487" s="13"/>
      <c r="BM487" s="13"/>
      <c r="BN487" s="13"/>
      <c r="BS487" s="13"/>
      <c r="BV487" s="12"/>
      <c r="BW487" s="12"/>
      <c r="BX487" s="12"/>
      <c r="BY487" s="12"/>
      <c r="CD487" s="13"/>
      <c r="CH487" s="13"/>
      <c r="CI487" s="13"/>
      <c r="CJ487" s="13"/>
      <c r="CQ487" s="13"/>
      <c r="CU487" s="13"/>
      <c r="CV487" s="13"/>
      <c r="CW487" s="13"/>
      <c r="CX487" s="13"/>
      <c r="CY487" s="13"/>
      <c r="DD487" s="13"/>
      <c r="DH487" s="13"/>
      <c r="DI487" s="13"/>
      <c r="DJ487" s="13"/>
      <c r="DN487" s="12"/>
      <c r="DQ487" s="13"/>
      <c r="DR487" s="12"/>
      <c r="DU487" s="13"/>
      <c r="DV487" s="13"/>
      <c r="DW487" s="13"/>
      <c r="EA487" s="12"/>
      <c r="EB487" s="12"/>
      <c r="EC487" s="13"/>
      <c r="ED487" s="13"/>
      <c r="EE487" s="12"/>
      <c r="EF487" s="12"/>
      <c r="EH487" s="13"/>
      <c r="EJ487" s="13"/>
      <c r="EK487" s="13"/>
      <c r="EL487" s="13"/>
      <c r="EQ487" s="13"/>
      <c r="EU487" s="13"/>
      <c r="EV487" s="13"/>
      <c r="EW487" s="13"/>
      <c r="EX487" s="13"/>
      <c r="EY487" s="13"/>
      <c r="GH487" s="13"/>
      <c r="GL487" s="13"/>
      <c r="GM487" s="13"/>
      <c r="GN487" s="13"/>
      <c r="GT487" s="13"/>
      <c r="GX487" s="13"/>
      <c r="GY487" s="13"/>
      <c r="GZ487" s="13"/>
      <c r="HF487" s="13"/>
      <c r="HJ487" s="13"/>
      <c r="HK487" s="13"/>
      <c r="HL487" s="13"/>
      <c r="HQ487" s="13"/>
      <c r="HU487" s="13"/>
      <c r="HV487" s="13"/>
      <c r="HW487" s="13"/>
      <c r="IB487" s="13"/>
      <c r="IF487" s="13"/>
      <c r="IG487" s="13"/>
      <c r="IH487" s="13"/>
      <c r="IM487" s="12"/>
      <c r="IN487" s="12"/>
      <c r="IQ487" s="12"/>
      <c r="IR487" s="12"/>
      <c r="IS487" s="12"/>
      <c r="IT487" s="12"/>
      <c r="IZ487" s="13"/>
      <c r="JD487" s="13"/>
      <c r="JE487" s="13"/>
      <c r="JF487" s="13"/>
      <c r="JK487" s="13"/>
      <c r="JN487" s="12"/>
      <c r="JO487" s="12"/>
      <c r="JP487" s="12"/>
      <c r="JQ487" s="12"/>
      <c r="JV487" s="13"/>
      <c r="JY487" s="12"/>
      <c r="JZ487" s="12"/>
      <c r="KA487" s="12"/>
      <c r="KB487" s="12"/>
      <c r="KP487" s="11"/>
      <c r="KT487" s="13"/>
      <c r="KU487" s="13"/>
      <c r="KV487" s="13"/>
      <c r="KZ487" s="12"/>
      <c r="LA487" s="12"/>
      <c r="LD487" s="12"/>
      <c r="LE487" s="12"/>
      <c r="LF487" s="12"/>
      <c r="LG487" s="12"/>
      <c r="LK487" s="12"/>
      <c r="LL487" s="12"/>
      <c r="LO487" s="12"/>
      <c r="LP487" s="12"/>
      <c r="LQ487" s="12"/>
      <c r="LR487" s="12"/>
      <c r="LX487" s="13"/>
      <c r="LY487" s="13"/>
      <c r="MA487" s="12"/>
      <c r="MB487" s="13"/>
      <c r="MC487" s="13"/>
      <c r="MD487" s="13"/>
      <c r="ME487" s="13"/>
      <c r="MF487" s="13"/>
      <c r="MH487" s="12"/>
      <c r="MI487" s="12"/>
      <c r="ML487" s="12"/>
      <c r="MM487" s="12"/>
      <c r="MN487" s="12"/>
      <c r="MO487" s="12"/>
      <c r="MS487" s="12"/>
      <c r="MT487" s="12"/>
      <c r="MW487" s="12"/>
      <c r="MX487" s="12"/>
      <c r="MY487" s="12"/>
      <c r="MZ487" s="12"/>
      <c r="NE487" s="12"/>
      <c r="NF487" s="12"/>
      <c r="NI487" s="12"/>
      <c r="NJ487" s="12"/>
      <c r="NK487" s="12"/>
      <c r="NL487" s="12"/>
      <c r="NQ487" s="12"/>
      <c r="NR487" s="12"/>
      <c r="NU487" s="12"/>
      <c r="NV487" s="12"/>
      <c r="NW487" s="12"/>
      <c r="NX487" s="12"/>
      <c r="OC487" s="12"/>
      <c r="OD487" s="12"/>
      <c r="OF487" s="13"/>
      <c r="OG487" s="12"/>
      <c r="OH487" s="12"/>
      <c r="OI487" s="12"/>
      <c r="OJ487" s="12"/>
      <c r="OL487" s="13"/>
      <c r="OO487" s="12"/>
      <c r="OR487" s="12"/>
      <c r="OS487" s="12"/>
      <c r="OT487" s="12"/>
      <c r="OY487" s="12"/>
      <c r="PA487" s="13"/>
      <c r="PB487" s="12"/>
      <c r="PC487" s="12"/>
      <c r="PD487" s="12"/>
      <c r="PF487" s="13"/>
      <c r="PI487" s="12"/>
      <c r="PL487" s="12"/>
      <c r="PM487" s="12"/>
      <c r="PN487" s="12"/>
      <c r="PS487" s="12"/>
      <c r="PV487" s="12"/>
      <c r="PW487" s="12"/>
      <c r="PX487" s="12"/>
      <c r="QB487" s="12"/>
      <c r="QC487" s="12"/>
      <c r="QD487" s="11"/>
      <c r="QE487" s="11"/>
      <c r="QF487" s="12"/>
      <c r="QG487" s="12"/>
      <c r="QH487" s="12"/>
      <c r="QI487" s="12"/>
      <c r="QJ487" s="11"/>
      <c r="QK487" s="11"/>
      <c r="QM487" s="12"/>
      <c r="QP487" s="12"/>
      <c r="QQ487" s="12"/>
      <c r="QR487" s="12"/>
      <c r="QW487" s="12"/>
      <c r="QZ487" s="12"/>
      <c r="RU487" s="12"/>
      <c r="RX487" s="12"/>
      <c r="SC487" s="12"/>
      <c r="SF487" s="12"/>
      <c r="SL487" s="12"/>
      <c r="SP487" s="12"/>
      <c r="SQ487" s="12"/>
      <c r="SR487" s="12"/>
      <c r="SW487" s="12"/>
      <c r="SZ487" s="12"/>
      <c r="TA487" s="12"/>
      <c r="TB487" s="12"/>
      <c r="TG487" s="12"/>
      <c r="TI487" s="11"/>
      <c r="TJ487" s="12"/>
      <c r="TK487" s="12"/>
      <c r="TL487" s="12"/>
      <c r="TN487" s="11"/>
      <c r="TQ487" s="12"/>
      <c r="TS487" s="11"/>
      <c r="TT487" s="12"/>
      <c r="TU487" s="12"/>
      <c r="TV487" s="12"/>
      <c r="TX487" s="11"/>
      <c r="UA487" s="12"/>
      <c r="UD487" s="12"/>
      <c r="UE487" s="12"/>
      <c r="UF487" s="12"/>
      <c r="UK487" s="12"/>
      <c r="UN487" s="12"/>
      <c r="UO487" s="12"/>
      <c r="UP487" s="12"/>
      <c r="UT487" s="12"/>
      <c r="UW487" s="12"/>
      <c r="UX487" s="12"/>
      <c r="UY487" s="12"/>
      <c r="VD487" s="12"/>
      <c r="VG487" s="12"/>
      <c r="VK487" s="12"/>
      <c r="VN487" s="12"/>
      <c r="VQ487" s="12"/>
      <c r="VR487" s="12"/>
      <c r="VY487" s="13"/>
      <c r="VZ487" s="13"/>
      <c r="WA487" s="12"/>
      <c r="WB487" s="12"/>
      <c r="WG487" s="13"/>
      <c r="WH487" s="13"/>
    </row>
    <row r="488" spans="5:606" x14ac:dyDescent="0.3">
      <c r="E488" s="14"/>
      <c r="AK488" s="12"/>
      <c r="BH488" s="13"/>
      <c r="BL488" s="13"/>
      <c r="BM488" s="13"/>
      <c r="BN488" s="13"/>
      <c r="BS488" s="13"/>
      <c r="BV488" s="12"/>
      <c r="BW488" s="12"/>
      <c r="BX488" s="12"/>
      <c r="BY488" s="12"/>
      <c r="CD488" s="13"/>
      <c r="CH488" s="13"/>
      <c r="CI488" s="13"/>
      <c r="CJ488" s="13"/>
      <c r="CQ488" s="13"/>
      <c r="CU488" s="13"/>
      <c r="CV488" s="13"/>
      <c r="CW488" s="13"/>
      <c r="CX488" s="13"/>
      <c r="CY488" s="13"/>
      <c r="DD488" s="13"/>
      <c r="DH488" s="13"/>
      <c r="DI488" s="13"/>
      <c r="DJ488" s="13"/>
      <c r="DN488" s="12"/>
      <c r="DQ488" s="13"/>
      <c r="DR488" s="12"/>
      <c r="DU488" s="13"/>
      <c r="DV488" s="13"/>
      <c r="DW488" s="13"/>
      <c r="EA488" s="12"/>
      <c r="EB488" s="12"/>
      <c r="EC488" s="13"/>
      <c r="ED488" s="13"/>
      <c r="EE488" s="12"/>
      <c r="EF488" s="12"/>
      <c r="EH488" s="13"/>
      <c r="EJ488" s="13"/>
      <c r="EK488" s="13"/>
      <c r="EL488" s="13"/>
      <c r="EQ488" s="13"/>
      <c r="EU488" s="13"/>
      <c r="EV488" s="13"/>
      <c r="EW488" s="13"/>
      <c r="EX488" s="13"/>
      <c r="EY488" s="13"/>
      <c r="GH488" s="13"/>
      <c r="GL488" s="13"/>
      <c r="GM488" s="13"/>
      <c r="GN488" s="13"/>
      <c r="GT488" s="13"/>
      <c r="GX488" s="13"/>
      <c r="GY488" s="13"/>
      <c r="GZ488" s="13"/>
      <c r="HF488" s="13"/>
      <c r="HJ488" s="13"/>
      <c r="HK488" s="13"/>
      <c r="HL488" s="13"/>
      <c r="HQ488" s="13"/>
      <c r="HU488" s="13"/>
      <c r="HV488" s="13"/>
      <c r="HW488" s="13"/>
      <c r="IB488" s="13"/>
      <c r="IF488" s="13"/>
      <c r="IG488" s="13"/>
      <c r="IH488" s="13"/>
      <c r="IM488" s="12"/>
      <c r="IN488" s="12"/>
      <c r="IQ488" s="12"/>
      <c r="IR488" s="12"/>
      <c r="IS488" s="12"/>
      <c r="IT488" s="12"/>
      <c r="IZ488" s="13"/>
      <c r="JD488" s="13"/>
      <c r="JE488" s="13"/>
      <c r="JF488" s="13"/>
      <c r="JK488" s="13"/>
      <c r="JN488" s="12"/>
      <c r="JO488" s="12"/>
      <c r="JP488" s="12"/>
      <c r="JQ488" s="12"/>
      <c r="JV488" s="13"/>
      <c r="JY488" s="12"/>
      <c r="JZ488" s="12"/>
      <c r="KA488" s="12"/>
      <c r="KB488" s="12"/>
      <c r="KP488" s="11"/>
      <c r="KT488" s="13"/>
      <c r="KU488" s="13"/>
      <c r="KV488" s="13"/>
      <c r="KZ488" s="12"/>
      <c r="LA488" s="12"/>
      <c r="LD488" s="12"/>
      <c r="LE488" s="12"/>
      <c r="LF488" s="12"/>
      <c r="LG488" s="12"/>
      <c r="LK488" s="12"/>
      <c r="LL488" s="12"/>
      <c r="LO488" s="12"/>
      <c r="LP488" s="12"/>
      <c r="LQ488" s="12"/>
      <c r="LR488" s="12"/>
      <c r="LX488" s="13"/>
      <c r="LY488" s="13"/>
      <c r="MA488" s="12"/>
      <c r="MB488" s="13"/>
      <c r="MC488" s="13"/>
      <c r="MD488" s="13"/>
      <c r="ME488" s="13"/>
      <c r="MF488" s="13"/>
      <c r="MH488" s="12"/>
      <c r="MI488" s="12"/>
      <c r="ML488" s="12"/>
      <c r="MM488" s="12"/>
      <c r="MN488" s="12"/>
      <c r="MO488" s="12"/>
      <c r="MS488" s="12"/>
      <c r="MT488" s="12"/>
      <c r="MW488" s="12"/>
      <c r="MX488" s="12"/>
      <c r="MY488" s="12"/>
      <c r="MZ488" s="12"/>
      <c r="NE488" s="12"/>
      <c r="NF488" s="12"/>
      <c r="NI488" s="12"/>
      <c r="NJ488" s="12"/>
      <c r="NK488" s="12"/>
      <c r="NL488" s="12"/>
      <c r="NQ488" s="12"/>
      <c r="NR488" s="12"/>
      <c r="NU488" s="12"/>
      <c r="NV488" s="12"/>
      <c r="NW488" s="12"/>
      <c r="NX488" s="12"/>
      <c r="OC488" s="12"/>
      <c r="OD488" s="12"/>
      <c r="OF488" s="13"/>
      <c r="OG488" s="12"/>
      <c r="OH488" s="12"/>
      <c r="OI488" s="12"/>
      <c r="OJ488" s="12"/>
      <c r="OL488" s="13"/>
      <c r="OO488" s="12"/>
      <c r="OR488" s="12"/>
      <c r="OS488" s="12"/>
      <c r="OT488" s="12"/>
      <c r="OY488" s="12"/>
      <c r="PA488" s="13"/>
      <c r="PB488" s="12"/>
      <c r="PC488" s="12"/>
      <c r="PD488" s="12"/>
      <c r="PF488" s="13"/>
      <c r="PI488" s="12"/>
      <c r="PL488" s="12"/>
      <c r="PM488" s="12"/>
      <c r="PN488" s="12"/>
      <c r="PS488" s="12"/>
      <c r="PV488" s="12"/>
      <c r="PW488" s="12"/>
      <c r="PX488" s="12"/>
      <c r="QB488" s="12"/>
      <c r="QC488" s="12"/>
      <c r="QD488" s="11"/>
      <c r="QE488" s="11"/>
      <c r="QF488" s="12"/>
      <c r="QG488" s="12"/>
      <c r="QH488" s="12"/>
      <c r="QI488" s="12"/>
      <c r="QJ488" s="11"/>
      <c r="QK488" s="11"/>
      <c r="QM488" s="12"/>
      <c r="QP488" s="12"/>
      <c r="QQ488" s="12"/>
      <c r="QR488" s="12"/>
      <c r="QW488" s="12"/>
      <c r="QZ488" s="12"/>
      <c r="RU488" s="12"/>
      <c r="RX488" s="12"/>
      <c r="SC488" s="12"/>
      <c r="SF488" s="12"/>
      <c r="SL488" s="12"/>
      <c r="SP488" s="12"/>
      <c r="SQ488" s="12"/>
      <c r="SR488" s="12"/>
      <c r="SW488" s="12"/>
      <c r="SZ488" s="12"/>
      <c r="TA488" s="12"/>
      <c r="TB488" s="12"/>
      <c r="TG488" s="12"/>
      <c r="TI488" s="11"/>
      <c r="TJ488" s="12"/>
      <c r="TK488" s="12"/>
      <c r="TL488" s="12"/>
      <c r="TN488" s="11"/>
      <c r="TQ488" s="12"/>
      <c r="TS488" s="11"/>
      <c r="TT488" s="12"/>
      <c r="TU488" s="12"/>
      <c r="TV488" s="12"/>
      <c r="TX488" s="11"/>
      <c r="UA488" s="12"/>
      <c r="UD488" s="12"/>
      <c r="UE488" s="12"/>
      <c r="UF488" s="12"/>
      <c r="UK488" s="12"/>
      <c r="UN488" s="12"/>
      <c r="UO488" s="12"/>
      <c r="UP488" s="12"/>
      <c r="UT488" s="12"/>
      <c r="UW488" s="12"/>
      <c r="UX488" s="12"/>
      <c r="UY488" s="12"/>
      <c r="VD488" s="12"/>
      <c r="VG488" s="12"/>
      <c r="VK488" s="12"/>
      <c r="VN488" s="12"/>
      <c r="VQ488" s="12"/>
      <c r="VR488" s="12"/>
      <c r="VY488" s="13"/>
      <c r="VZ488" s="13"/>
      <c r="WA488" s="12"/>
      <c r="WB488" s="12"/>
      <c r="WG488" s="13"/>
      <c r="WH488" s="13"/>
    </row>
    <row r="489" spans="5:606" x14ac:dyDescent="0.3">
      <c r="E489" s="14"/>
      <c r="W489" s="83"/>
      <c r="X489" s="84"/>
      <c r="AK489" s="12"/>
      <c r="AO489" s="13"/>
      <c r="BH489" s="13"/>
      <c r="BL489" s="13"/>
      <c r="BM489" s="13"/>
      <c r="BN489" s="13"/>
      <c r="BS489" s="13"/>
      <c r="BV489" s="12"/>
      <c r="BW489" s="12"/>
      <c r="BX489" s="12"/>
      <c r="BY489" s="12"/>
      <c r="CD489" s="13"/>
      <c r="CH489" s="13"/>
      <c r="CI489" s="13"/>
      <c r="CJ489" s="13"/>
      <c r="CQ489" s="13"/>
      <c r="CU489" s="13"/>
      <c r="CV489" s="13"/>
      <c r="CW489" s="13"/>
      <c r="CX489" s="13"/>
      <c r="CY489" s="13"/>
      <c r="DD489" s="13"/>
      <c r="DH489" s="13"/>
      <c r="DI489" s="13"/>
      <c r="DJ489" s="13"/>
      <c r="DN489" s="12"/>
      <c r="DQ489" s="13"/>
      <c r="DR489" s="12"/>
      <c r="DU489" s="13"/>
      <c r="DV489" s="13"/>
      <c r="DW489" s="13"/>
      <c r="EA489" s="12"/>
      <c r="EB489" s="12"/>
      <c r="EC489" s="13"/>
      <c r="ED489" s="13"/>
      <c r="EE489" s="12"/>
      <c r="EF489" s="12"/>
      <c r="EH489" s="13"/>
      <c r="EJ489" s="13"/>
      <c r="EK489" s="13"/>
      <c r="EL489" s="13"/>
      <c r="EQ489" s="13"/>
      <c r="EU489" s="13"/>
      <c r="EV489" s="13"/>
      <c r="EW489" s="13"/>
      <c r="EX489" s="13"/>
      <c r="EY489" s="13"/>
      <c r="FD489" s="12"/>
      <c r="FF489" s="12"/>
      <c r="FG489" s="12"/>
      <c r="FK489" s="12"/>
      <c r="FL489" s="12"/>
      <c r="FM489" s="12"/>
      <c r="FN489" s="12"/>
      <c r="FO489" s="12"/>
      <c r="FR489" s="12"/>
      <c r="FS489" s="12"/>
      <c r="FT489" s="12"/>
      <c r="FU489" s="12"/>
      <c r="FY489" s="12"/>
      <c r="FZ489" s="12"/>
      <c r="GA489" s="12"/>
      <c r="GB489" s="12"/>
      <c r="GH489" s="13"/>
      <c r="GL489" s="13"/>
      <c r="GM489" s="13"/>
      <c r="GN489" s="13"/>
      <c r="GT489" s="13"/>
      <c r="GX489" s="13"/>
      <c r="GY489" s="13"/>
      <c r="GZ489" s="13"/>
      <c r="HF489" s="13"/>
      <c r="HJ489" s="13"/>
      <c r="HK489" s="13"/>
      <c r="HL489" s="13"/>
      <c r="HQ489" s="13"/>
      <c r="HU489" s="13"/>
      <c r="HV489" s="13"/>
      <c r="HW489" s="13"/>
      <c r="IB489" s="13"/>
      <c r="IF489" s="13"/>
      <c r="IG489" s="13"/>
      <c r="IH489" s="13"/>
      <c r="IM489" s="12"/>
      <c r="IN489" s="12"/>
      <c r="IQ489" s="12"/>
      <c r="IR489" s="12"/>
      <c r="IS489" s="12"/>
      <c r="IT489" s="12"/>
      <c r="IZ489" s="13"/>
      <c r="JD489" s="13"/>
      <c r="JE489" s="13"/>
      <c r="JF489" s="13"/>
      <c r="JK489" s="13"/>
      <c r="JN489" s="12"/>
      <c r="JO489" s="12"/>
      <c r="JP489" s="12"/>
      <c r="JQ489" s="12"/>
      <c r="JV489" s="13"/>
      <c r="JY489" s="12"/>
      <c r="JZ489" s="12"/>
      <c r="KA489" s="12"/>
      <c r="KB489" s="12"/>
      <c r="KE489" s="11"/>
      <c r="KF489" s="11"/>
      <c r="KH489" s="11"/>
      <c r="KI489" s="11"/>
      <c r="KJ489" s="11"/>
      <c r="KM489" s="32"/>
      <c r="KP489" s="11"/>
      <c r="KS489" s="11"/>
      <c r="KT489" s="11"/>
      <c r="KU489" s="11"/>
      <c r="KV489" s="11"/>
      <c r="LA489" s="13"/>
      <c r="LE489" s="13"/>
      <c r="LF489" s="13"/>
      <c r="LG489" s="13"/>
      <c r="LK489" s="12"/>
      <c r="LL489" s="12"/>
      <c r="LO489" s="12"/>
      <c r="LP489" s="12"/>
      <c r="LQ489" s="12"/>
      <c r="LR489" s="12"/>
      <c r="LX489" s="13"/>
      <c r="LY489" s="13"/>
      <c r="MA489" s="12"/>
      <c r="MB489" s="13"/>
      <c r="MC489" s="13"/>
      <c r="MD489" s="13"/>
      <c r="ME489" s="13"/>
      <c r="MF489" s="13"/>
      <c r="MH489" s="12"/>
      <c r="MI489" s="12"/>
      <c r="ML489" s="12"/>
      <c r="MM489" s="12"/>
      <c r="MN489" s="12"/>
      <c r="MO489" s="12"/>
      <c r="MS489" s="12"/>
      <c r="MT489" s="12"/>
      <c r="MW489" s="12"/>
      <c r="MX489" s="12"/>
      <c r="MY489" s="12"/>
      <c r="MZ489" s="12"/>
      <c r="NE489" s="12"/>
      <c r="NF489" s="12"/>
      <c r="NI489" s="12"/>
      <c r="NJ489" s="12"/>
      <c r="NK489" s="12"/>
      <c r="NL489" s="12"/>
      <c r="NQ489" s="12"/>
      <c r="NR489" s="12"/>
      <c r="NU489" s="12"/>
      <c r="NV489" s="12"/>
      <c r="NW489" s="12"/>
      <c r="NX489" s="12"/>
      <c r="OC489" s="12"/>
      <c r="OD489" s="12"/>
      <c r="OG489" s="12"/>
      <c r="OH489" s="12"/>
      <c r="OI489" s="12"/>
      <c r="OJ489" s="12"/>
      <c r="OO489" s="12"/>
      <c r="OR489" s="12"/>
      <c r="OS489" s="12"/>
      <c r="OT489" s="12"/>
      <c r="OY489" s="12"/>
      <c r="PA489" s="13"/>
      <c r="PB489" s="12"/>
      <c r="PC489" s="12"/>
      <c r="PD489" s="12"/>
      <c r="PF489" s="13"/>
      <c r="PI489" s="12"/>
      <c r="PL489" s="12"/>
      <c r="PM489" s="12"/>
      <c r="PN489" s="12"/>
      <c r="PS489" s="12"/>
      <c r="PV489" s="12"/>
      <c r="PW489" s="12"/>
      <c r="PX489" s="12"/>
      <c r="QB489" s="12"/>
      <c r="QC489" s="12"/>
      <c r="QD489" s="11"/>
      <c r="QE489" s="11"/>
      <c r="QF489" s="12"/>
      <c r="QG489" s="12"/>
      <c r="QH489" s="12"/>
      <c r="QI489" s="12"/>
      <c r="QM489" s="12"/>
      <c r="QP489" s="12"/>
      <c r="QQ489" s="12"/>
      <c r="QR489" s="12"/>
      <c r="QW489" s="12"/>
      <c r="QZ489" s="12"/>
      <c r="RU489" s="12"/>
      <c r="RX489" s="12"/>
      <c r="SC489" s="12"/>
      <c r="SF489" s="12"/>
      <c r="SL489" s="12"/>
      <c r="SP489" s="12"/>
      <c r="SQ489" s="12"/>
      <c r="SR489" s="12"/>
      <c r="SW489" s="12"/>
      <c r="SY489" s="11"/>
      <c r="SZ489" s="12"/>
      <c r="TA489" s="12"/>
      <c r="TB489" s="12"/>
      <c r="TD489" s="11"/>
      <c r="TG489" s="12"/>
      <c r="TI489" s="11"/>
      <c r="TJ489" s="12"/>
      <c r="TK489" s="12"/>
      <c r="TL489" s="12"/>
      <c r="TN489" s="11"/>
      <c r="TQ489" s="12"/>
      <c r="TS489" s="11"/>
      <c r="TT489" s="12"/>
      <c r="TU489" s="12"/>
      <c r="TV489" s="12"/>
      <c r="TX489" s="11"/>
      <c r="UA489" s="12"/>
      <c r="UD489" s="12"/>
      <c r="UE489" s="12"/>
      <c r="UF489" s="12"/>
      <c r="UK489" s="12"/>
      <c r="UN489" s="12"/>
      <c r="UO489" s="12"/>
      <c r="UP489" s="12"/>
      <c r="UT489" s="12"/>
      <c r="UW489" s="12"/>
      <c r="UX489" s="12"/>
      <c r="UY489" s="12"/>
      <c r="VD489" s="12"/>
      <c r="VG489" s="12"/>
      <c r="VK489" s="12"/>
      <c r="VN489" s="12"/>
      <c r="VQ489" s="12"/>
      <c r="VR489" s="12"/>
      <c r="VY489" s="13"/>
      <c r="VZ489" s="13"/>
      <c r="WA489" s="12"/>
      <c r="WB489" s="12"/>
      <c r="WG489" s="13"/>
      <c r="WH489" s="13"/>
    </row>
    <row r="490" spans="5:606" x14ac:dyDescent="0.3">
      <c r="E490" s="14"/>
      <c r="W490" s="83"/>
      <c r="X490" s="84"/>
      <c r="AK490" s="12"/>
      <c r="AO490" s="13"/>
      <c r="BH490" s="13"/>
      <c r="BL490" s="13"/>
      <c r="BM490" s="13"/>
      <c r="BN490" s="13"/>
      <c r="BS490" s="13"/>
      <c r="BV490" s="12"/>
      <c r="BW490" s="12"/>
      <c r="BX490" s="12"/>
      <c r="BY490" s="12"/>
      <c r="CD490" s="13"/>
      <c r="CH490" s="13"/>
      <c r="CI490" s="13"/>
      <c r="CJ490" s="13"/>
      <c r="CQ490" s="13"/>
      <c r="CU490" s="13"/>
      <c r="CV490" s="13"/>
      <c r="CW490" s="13"/>
      <c r="CX490" s="13"/>
      <c r="CY490" s="13"/>
      <c r="DD490" s="13"/>
      <c r="DH490" s="13"/>
      <c r="DI490" s="13"/>
      <c r="DJ490" s="13"/>
      <c r="DN490" s="12"/>
      <c r="DQ490" s="13"/>
      <c r="DR490" s="12"/>
      <c r="DU490" s="13"/>
      <c r="DV490" s="13"/>
      <c r="DW490" s="13"/>
      <c r="EA490" s="12"/>
      <c r="EB490" s="12"/>
      <c r="EC490" s="13"/>
      <c r="ED490" s="13"/>
      <c r="EE490" s="12"/>
      <c r="EF490" s="12"/>
      <c r="EH490" s="13"/>
      <c r="EJ490" s="13"/>
      <c r="EK490" s="13"/>
      <c r="EL490" s="13"/>
      <c r="EQ490" s="13"/>
      <c r="EU490" s="13"/>
      <c r="EV490" s="13"/>
      <c r="EW490" s="13"/>
      <c r="EX490" s="13"/>
      <c r="EY490" s="13"/>
      <c r="FD490" s="12"/>
      <c r="FF490" s="12"/>
      <c r="FG490" s="12"/>
      <c r="FK490" s="12"/>
      <c r="FL490" s="12"/>
      <c r="FM490" s="12"/>
      <c r="FN490" s="12"/>
      <c r="FO490" s="12"/>
      <c r="FR490" s="12"/>
      <c r="FS490" s="12"/>
      <c r="FT490" s="12"/>
      <c r="FU490" s="12"/>
      <c r="FY490" s="12"/>
      <c r="FZ490" s="12"/>
      <c r="GA490" s="12"/>
      <c r="GB490" s="12"/>
      <c r="GH490" s="13"/>
      <c r="GL490" s="13"/>
      <c r="GM490" s="13"/>
      <c r="GN490" s="13"/>
      <c r="GT490" s="13"/>
      <c r="GX490" s="13"/>
      <c r="GY490" s="13"/>
      <c r="GZ490" s="13"/>
      <c r="HF490" s="13"/>
      <c r="HJ490" s="13"/>
      <c r="HK490" s="13"/>
      <c r="HL490" s="13"/>
      <c r="HQ490" s="13"/>
      <c r="HU490" s="13"/>
      <c r="HV490" s="13"/>
      <c r="HW490" s="13"/>
      <c r="IB490" s="13"/>
      <c r="IF490" s="13"/>
      <c r="IG490" s="13"/>
      <c r="IH490" s="13"/>
      <c r="IM490" s="12"/>
      <c r="IN490" s="12"/>
      <c r="IQ490" s="12"/>
      <c r="IR490" s="12"/>
      <c r="IS490" s="12"/>
      <c r="IT490" s="12"/>
      <c r="IZ490" s="13"/>
      <c r="JD490" s="13"/>
      <c r="JE490" s="13"/>
      <c r="JF490" s="13"/>
      <c r="JK490" s="13"/>
      <c r="JN490" s="12"/>
      <c r="JO490" s="12"/>
      <c r="JP490" s="12"/>
      <c r="JQ490" s="12"/>
      <c r="JV490" s="13"/>
      <c r="JY490" s="12"/>
      <c r="JZ490" s="12"/>
      <c r="KA490" s="12"/>
      <c r="KB490" s="12"/>
      <c r="KE490" s="11"/>
      <c r="KF490" s="11"/>
      <c r="KH490" s="11"/>
      <c r="KI490" s="11"/>
      <c r="KJ490" s="11"/>
      <c r="KM490" s="32"/>
      <c r="KP490" s="11"/>
      <c r="KS490" s="11"/>
      <c r="KT490" s="11"/>
      <c r="KU490" s="11"/>
      <c r="KV490" s="11"/>
      <c r="LA490" s="13"/>
      <c r="LE490" s="13"/>
      <c r="LF490" s="13"/>
      <c r="LG490" s="13"/>
      <c r="LK490" s="12"/>
      <c r="LL490" s="12"/>
      <c r="LO490" s="12"/>
      <c r="LP490" s="12"/>
      <c r="LQ490" s="12"/>
      <c r="LR490" s="12"/>
      <c r="LX490" s="13"/>
      <c r="LY490" s="13"/>
      <c r="MA490" s="12"/>
      <c r="MB490" s="13"/>
      <c r="MC490" s="13"/>
      <c r="MD490" s="13"/>
      <c r="ME490" s="13"/>
      <c r="MF490" s="13"/>
      <c r="MH490" s="12"/>
      <c r="MI490" s="12"/>
      <c r="ML490" s="12"/>
      <c r="MM490" s="12"/>
      <c r="MN490" s="12"/>
      <c r="MO490" s="12"/>
      <c r="MS490" s="12"/>
      <c r="MT490" s="12"/>
      <c r="MW490" s="12"/>
      <c r="MX490" s="12"/>
      <c r="MY490" s="12"/>
      <c r="MZ490" s="12"/>
      <c r="NE490" s="12"/>
      <c r="NF490" s="12"/>
      <c r="NI490" s="12"/>
      <c r="NJ490" s="12"/>
      <c r="NK490" s="12"/>
      <c r="NL490" s="12"/>
      <c r="NQ490" s="12"/>
      <c r="NR490" s="12"/>
      <c r="NU490" s="12"/>
      <c r="NV490" s="12"/>
      <c r="NW490" s="12"/>
      <c r="NX490" s="12"/>
      <c r="OC490" s="12"/>
      <c r="OD490" s="12"/>
      <c r="OG490" s="12"/>
      <c r="OH490" s="12"/>
      <c r="OI490" s="12"/>
      <c r="OJ490" s="12"/>
      <c r="OO490" s="12"/>
      <c r="OR490" s="12"/>
      <c r="OS490" s="12"/>
      <c r="OT490" s="12"/>
      <c r="OY490" s="12"/>
      <c r="PA490" s="13"/>
      <c r="PB490" s="12"/>
      <c r="PC490" s="12"/>
      <c r="PD490" s="12"/>
      <c r="PF490" s="13"/>
      <c r="PI490" s="12"/>
      <c r="PL490" s="12"/>
      <c r="PM490" s="12"/>
      <c r="PN490" s="12"/>
      <c r="PS490" s="12"/>
      <c r="PV490" s="12"/>
      <c r="PW490" s="12"/>
      <c r="PX490" s="12"/>
      <c r="QB490" s="12"/>
      <c r="QC490" s="12"/>
      <c r="QD490" s="11"/>
      <c r="QE490" s="11"/>
      <c r="QF490" s="12"/>
      <c r="QG490" s="12"/>
      <c r="QH490" s="12"/>
      <c r="QI490" s="12"/>
      <c r="QM490" s="12"/>
      <c r="QP490" s="12"/>
      <c r="QQ490" s="12"/>
      <c r="QR490" s="12"/>
      <c r="QW490" s="12"/>
      <c r="QZ490" s="12"/>
      <c r="RU490" s="12"/>
      <c r="RX490" s="12"/>
      <c r="SC490" s="12"/>
      <c r="SF490" s="12"/>
      <c r="SL490" s="12"/>
      <c r="SP490" s="12"/>
      <c r="SQ490" s="12"/>
      <c r="SR490" s="12"/>
      <c r="SW490" s="12"/>
      <c r="SY490" s="11"/>
      <c r="SZ490" s="12"/>
      <c r="TA490" s="12"/>
      <c r="TB490" s="12"/>
      <c r="TD490" s="11"/>
      <c r="TG490" s="12"/>
      <c r="TI490" s="11"/>
      <c r="TJ490" s="12"/>
      <c r="TK490" s="12"/>
      <c r="TL490" s="12"/>
      <c r="TN490" s="11"/>
      <c r="TQ490" s="12"/>
      <c r="TS490" s="11"/>
      <c r="TT490" s="12"/>
      <c r="TU490" s="12"/>
      <c r="TV490" s="12"/>
      <c r="TX490" s="11"/>
      <c r="UA490" s="12"/>
      <c r="UD490" s="12"/>
      <c r="UE490" s="12"/>
      <c r="UF490" s="12"/>
      <c r="UK490" s="12"/>
      <c r="UN490" s="12"/>
      <c r="UO490" s="12"/>
      <c r="UP490" s="12"/>
      <c r="UT490" s="12"/>
      <c r="UW490" s="12"/>
      <c r="UX490" s="12"/>
      <c r="UY490" s="12"/>
      <c r="VD490" s="12"/>
      <c r="VG490" s="12"/>
      <c r="VK490" s="12"/>
      <c r="VN490" s="12"/>
      <c r="VQ490" s="12"/>
      <c r="VR490" s="12"/>
      <c r="VY490" s="13"/>
      <c r="VZ490" s="13"/>
      <c r="WA490" s="12"/>
      <c r="WB490" s="12"/>
      <c r="WG490" s="13"/>
      <c r="WH490" s="13"/>
    </row>
    <row r="491" spans="5:606" x14ac:dyDescent="0.3">
      <c r="E491" s="14"/>
      <c r="AK491" s="12"/>
      <c r="BH491" s="13"/>
      <c r="BL491" s="13"/>
      <c r="BM491" s="13"/>
      <c r="BN491" s="13"/>
      <c r="BS491" s="13"/>
      <c r="BV491" s="12"/>
      <c r="BW491" s="12"/>
      <c r="BX491" s="12"/>
      <c r="BY491" s="12"/>
      <c r="CD491" s="13"/>
      <c r="CH491" s="13"/>
      <c r="CI491" s="13"/>
      <c r="CJ491" s="13"/>
      <c r="CQ491" s="13"/>
      <c r="CU491" s="13"/>
      <c r="CV491" s="13"/>
      <c r="CW491" s="13"/>
      <c r="CX491" s="13"/>
      <c r="CY491" s="13"/>
      <c r="DD491" s="13"/>
      <c r="DH491" s="13"/>
      <c r="DI491" s="13"/>
      <c r="DJ491" s="13"/>
      <c r="DN491" s="12"/>
      <c r="DQ491" s="13"/>
      <c r="DR491" s="12"/>
      <c r="DU491" s="13"/>
      <c r="DV491" s="13"/>
      <c r="DW491" s="13"/>
      <c r="EA491" s="12"/>
      <c r="EB491" s="12"/>
      <c r="EC491" s="13"/>
      <c r="ED491" s="13"/>
      <c r="EE491" s="12"/>
      <c r="EF491" s="12"/>
      <c r="EH491" s="13"/>
      <c r="EJ491" s="13"/>
      <c r="EK491" s="13"/>
      <c r="EL491" s="13"/>
      <c r="EQ491" s="13"/>
      <c r="EU491" s="13"/>
      <c r="EV491" s="13"/>
      <c r="EW491" s="13"/>
      <c r="EX491" s="13"/>
      <c r="EY491" s="13"/>
      <c r="FD491" s="12"/>
      <c r="FF491" s="12"/>
      <c r="FG491" s="12"/>
      <c r="FK491" s="12"/>
      <c r="FL491" s="12"/>
      <c r="FM491" s="12"/>
      <c r="FN491" s="12"/>
      <c r="FO491" s="12"/>
      <c r="FR491" s="12"/>
      <c r="FS491" s="12"/>
      <c r="FT491" s="12"/>
      <c r="FU491" s="12"/>
      <c r="FY491" s="12"/>
      <c r="FZ491" s="12"/>
      <c r="GA491" s="12"/>
      <c r="GB491" s="12"/>
      <c r="GH491" s="13"/>
      <c r="GL491" s="13"/>
      <c r="GM491" s="13"/>
      <c r="GN491" s="13"/>
      <c r="GT491" s="13"/>
      <c r="GX491" s="13"/>
      <c r="GY491" s="13"/>
      <c r="GZ491" s="13"/>
      <c r="HF491" s="13"/>
      <c r="HJ491" s="13"/>
      <c r="HK491" s="13"/>
      <c r="HL491" s="13"/>
      <c r="HQ491" s="13"/>
      <c r="HU491" s="13"/>
      <c r="HV491" s="13"/>
      <c r="HW491" s="13"/>
      <c r="IB491" s="13"/>
      <c r="IF491" s="13"/>
      <c r="IG491" s="13"/>
      <c r="IH491" s="13"/>
      <c r="IM491" s="12"/>
      <c r="IN491" s="12"/>
      <c r="IQ491" s="12"/>
      <c r="IR491" s="12"/>
      <c r="IS491" s="12"/>
      <c r="IT491" s="12"/>
      <c r="IZ491" s="13"/>
      <c r="JD491" s="13"/>
      <c r="JE491" s="13"/>
      <c r="JF491" s="13"/>
      <c r="JK491" s="13"/>
      <c r="JN491" s="12"/>
      <c r="JO491" s="12"/>
      <c r="JP491" s="12"/>
      <c r="JQ491" s="12"/>
      <c r="JV491" s="13"/>
      <c r="JY491" s="12"/>
      <c r="JZ491" s="12"/>
      <c r="KA491" s="12"/>
      <c r="KB491" s="12"/>
      <c r="KE491" s="11"/>
      <c r="KF491" s="11"/>
      <c r="KH491" s="11"/>
      <c r="KI491" s="11"/>
      <c r="KJ491" s="11"/>
      <c r="KP491" s="11"/>
      <c r="KT491" s="13"/>
      <c r="KU491" s="13"/>
      <c r="KV491" s="13"/>
      <c r="LA491" s="13"/>
      <c r="LE491" s="13"/>
      <c r="LF491" s="13"/>
      <c r="LG491" s="13"/>
      <c r="LK491" s="12"/>
      <c r="LL491" s="12"/>
      <c r="LO491" s="12"/>
      <c r="LP491" s="12"/>
      <c r="LQ491" s="12"/>
      <c r="LR491" s="12"/>
      <c r="LX491" s="13"/>
      <c r="LY491" s="13"/>
      <c r="MA491" s="12"/>
      <c r="MB491" s="13"/>
      <c r="MC491" s="13"/>
      <c r="MD491" s="13"/>
      <c r="ME491" s="13"/>
      <c r="MF491" s="13"/>
      <c r="MH491" s="12"/>
      <c r="MI491" s="12"/>
      <c r="ML491" s="12"/>
      <c r="MM491" s="12"/>
      <c r="MN491" s="12"/>
      <c r="MO491" s="12"/>
      <c r="MS491" s="12"/>
      <c r="MT491" s="12"/>
      <c r="MW491" s="12"/>
      <c r="MX491" s="12"/>
      <c r="MY491" s="12"/>
      <c r="MZ491" s="12"/>
      <c r="NE491" s="12"/>
      <c r="NF491" s="12"/>
      <c r="NG491" s="13"/>
      <c r="NH491" s="13"/>
      <c r="NI491" s="12"/>
      <c r="NJ491" s="12"/>
      <c r="NK491" s="12"/>
      <c r="NL491" s="12"/>
      <c r="NM491" s="13"/>
      <c r="NN491" s="13"/>
      <c r="NQ491" s="12"/>
      <c r="NR491" s="12"/>
      <c r="NS491" s="13"/>
      <c r="NT491" s="13"/>
      <c r="NU491" s="12"/>
      <c r="NV491" s="12"/>
      <c r="NW491" s="12"/>
      <c r="NX491" s="12"/>
      <c r="NY491" s="13"/>
      <c r="NZ491" s="13"/>
      <c r="OC491" s="12"/>
      <c r="OD491" s="12"/>
      <c r="OG491" s="12"/>
      <c r="OH491" s="12"/>
      <c r="OI491" s="12"/>
      <c r="OJ491" s="12"/>
      <c r="OO491" s="12"/>
      <c r="OR491" s="12"/>
      <c r="OS491" s="12"/>
      <c r="OT491" s="12"/>
      <c r="OY491" s="12"/>
      <c r="PB491" s="12"/>
      <c r="PC491" s="12"/>
      <c r="PD491" s="12"/>
      <c r="PI491" s="12"/>
      <c r="PL491" s="12"/>
      <c r="PM491" s="12"/>
      <c r="PN491" s="12"/>
      <c r="PS491" s="12"/>
      <c r="PV491" s="12"/>
      <c r="PW491" s="12"/>
      <c r="PX491" s="12"/>
      <c r="QB491" s="12"/>
      <c r="QC491" s="12"/>
      <c r="QD491" s="11"/>
      <c r="QE491" s="11"/>
      <c r="QF491" s="12"/>
      <c r="QG491" s="12"/>
      <c r="QH491" s="12"/>
      <c r="QI491" s="12"/>
      <c r="QM491" s="12"/>
      <c r="QP491" s="12"/>
      <c r="QQ491" s="12"/>
      <c r="QR491" s="12"/>
      <c r="QW491" s="12"/>
      <c r="QZ491" s="12"/>
      <c r="RU491" s="12"/>
      <c r="RX491" s="12"/>
      <c r="SC491" s="12"/>
      <c r="SF491" s="12"/>
      <c r="SL491" s="12"/>
      <c r="SP491" s="12"/>
      <c r="SQ491" s="12"/>
      <c r="SR491" s="12"/>
      <c r="SW491" s="12"/>
      <c r="SY491" s="11"/>
      <c r="SZ491" s="12"/>
      <c r="TA491" s="12"/>
      <c r="TB491" s="12"/>
      <c r="TD491" s="11"/>
      <c r="TG491" s="12"/>
      <c r="TI491" s="11"/>
      <c r="TJ491" s="12"/>
      <c r="TK491" s="12"/>
      <c r="TL491" s="12"/>
      <c r="TN491" s="11"/>
      <c r="TQ491" s="12"/>
      <c r="TS491" s="11"/>
      <c r="TT491" s="12"/>
      <c r="TU491" s="12"/>
      <c r="TV491" s="12"/>
      <c r="TX491" s="11"/>
      <c r="UA491" s="12"/>
      <c r="UD491" s="12"/>
      <c r="UE491" s="12"/>
      <c r="UF491" s="12"/>
      <c r="UK491" s="12"/>
      <c r="UN491" s="12"/>
      <c r="UO491" s="12"/>
      <c r="UP491" s="12"/>
      <c r="UT491" s="12"/>
      <c r="UW491" s="12"/>
      <c r="UX491" s="12"/>
      <c r="UY491" s="12"/>
      <c r="VD491" s="12"/>
      <c r="VG491" s="12"/>
      <c r="VK491" s="12"/>
      <c r="VN491" s="12"/>
      <c r="VQ491" s="12"/>
      <c r="VR491" s="12"/>
      <c r="VY491" s="13"/>
      <c r="VZ491" s="13"/>
      <c r="WA491" s="12"/>
      <c r="WB491" s="12"/>
      <c r="WG491" s="13"/>
      <c r="WH491" s="13"/>
    </row>
    <row r="492" spans="5:606" x14ac:dyDescent="0.3">
      <c r="E492" s="40"/>
      <c r="K492" s="29"/>
      <c r="L492" s="29"/>
      <c r="AK492" s="12"/>
      <c r="BD492" s="12"/>
      <c r="BG492" s="12"/>
      <c r="BK492" s="12"/>
      <c r="BR492" s="12"/>
      <c r="BV492" s="12"/>
      <c r="CJ492" s="12"/>
      <c r="CW492" s="12"/>
      <c r="CX492" s="12"/>
      <c r="CY492" s="12"/>
      <c r="DM492" s="12"/>
      <c r="DW492" s="12"/>
      <c r="EG492" s="72"/>
      <c r="EH492" s="52"/>
      <c r="EW492" s="12"/>
      <c r="EX492" s="12"/>
      <c r="EY492" s="12"/>
      <c r="HQ492" s="13"/>
      <c r="HU492" s="13"/>
      <c r="HV492" s="13"/>
      <c r="HW492" s="13"/>
      <c r="IB492" s="13"/>
      <c r="IF492" s="13"/>
      <c r="IG492" s="13"/>
      <c r="IH492" s="13"/>
      <c r="IM492" s="12"/>
      <c r="IQ492" s="12"/>
      <c r="JN492" s="12"/>
      <c r="JY492" s="12"/>
      <c r="LK492" s="12"/>
      <c r="LO492" s="12"/>
      <c r="LX492" s="13"/>
      <c r="LY492" s="19"/>
      <c r="MA492" s="12"/>
      <c r="MB492" s="13"/>
      <c r="MC492" s="13"/>
      <c r="MD492" s="13"/>
      <c r="ME492" s="13"/>
      <c r="MF492" s="19"/>
      <c r="MH492" s="12"/>
      <c r="MI492" s="12"/>
      <c r="MK492" s="19"/>
      <c r="ML492" s="12"/>
      <c r="MM492" s="12"/>
      <c r="MN492" s="12"/>
      <c r="MO492" s="12"/>
      <c r="MQ492" s="19"/>
      <c r="MS492" s="12"/>
      <c r="MT492" s="12"/>
      <c r="MV492" s="19"/>
      <c r="MW492" s="12"/>
      <c r="MX492" s="12"/>
      <c r="MY492" s="12"/>
      <c r="MZ492" s="12"/>
      <c r="NB492" s="19"/>
      <c r="NE492" s="12"/>
      <c r="NF492" s="12"/>
      <c r="NH492" s="19"/>
      <c r="NI492" s="12"/>
      <c r="NJ492" s="12"/>
      <c r="NK492" s="12"/>
      <c r="NL492" s="12"/>
      <c r="NN492" s="19"/>
      <c r="NQ492" s="12"/>
      <c r="NR492" s="12"/>
      <c r="NT492" s="19"/>
      <c r="NU492" s="12"/>
      <c r="NV492" s="12"/>
      <c r="NW492" s="12"/>
      <c r="NX492" s="12"/>
      <c r="NZ492" s="19"/>
      <c r="OC492" s="12"/>
      <c r="OD492" s="12"/>
      <c r="OG492" s="12"/>
      <c r="OH492" s="12"/>
      <c r="OI492" s="12"/>
      <c r="OJ492" s="12"/>
      <c r="OO492" s="12"/>
      <c r="OR492" s="12"/>
      <c r="OS492" s="12"/>
      <c r="OT492" s="12"/>
      <c r="OY492" s="12"/>
      <c r="PA492" s="13"/>
      <c r="PB492" s="12"/>
      <c r="PC492" s="12"/>
      <c r="PD492" s="12"/>
      <c r="PF492" s="13"/>
      <c r="PI492" s="11"/>
      <c r="PJ492" s="11"/>
      <c r="PK492" s="13"/>
      <c r="PL492" s="11"/>
      <c r="PM492" s="11"/>
      <c r="PN492" s="11"/>
      <c r="PO492" s="11"/>
      <c r="PP492" s="13"/>
      <c r="PS492" s="12"/>
      <c r="PV492" s="12"/>
      <c r="PW492" s="12"/>
      <c r="PX492" s="12"/>
      <c r="QB492" s="12"/>
      <c r="QC492" s="12"/>
      <c r="QD492" s="11"/>
      <c r="QE492" s="19"/>
      <c r="QF492" s="12"/>
      <c r="QG492" s="12"/>
      <c r="QH492" s="12"/>
      <c r="QI492" s="12"/>
      <c r="QK492" s="19"/>
      <c r="QM492" s="12"/>
      <c r="QP492" s="12"/>
      <c r="QQ492" s="12"/>
      <c r="QR492" s="12"/>
      <c r="QW492" s="12"/>
      <c r="QZ492" s="12"/>
      <c r="RU492" s="12"/>
      <c r="RX492" s="12"/>
      <c r="SC492" s="12"/>
      <c r="SF492" s="12"/>
      <c r="SL492" s="12"/>
      <c r="SN492" s="19"/>
      <c r="SP492" s="12"/>
      <c r="SQ492" s="12"/>
      <c r="SR492" s="12"/>
      <c r="ST492" s="19"/>
      <c r="SW492" s="12"/>
      <c r="SY492" s="11"/>
      <c r="SZ492" s="12"/>
      <c r="TA492" s="12"/>
      <c r="TB492" s="12"/>
      <c r="TD492" s="11"/>
      <c r="TG492" s="12"/>
      <c r="TI492" s="11"/>
      <c r="TJ492" s="12"/>
      <c r="TK492" s="12"/>
      <c r="TL492" s="12"/>
      <c r="TN492" s="11"/>
      <c r="TQ492" s="12"/>
      <c r="TS492" s="11"/>
      <c r="TT492" s="12"/>
      <c r="TU492" s="12"/>
      <c r="TV492" s="12"/>
      <c r="TX492" s="11"/>
      <c r="UA492" s="12"/>
      <c r="UD492" s="12"/>
      <c r="UE492" s="12"/>
      <c r="UF492" s="12"/>
      <c r="UK492" s="12"/>
      <c r="UN492" s="12"/>
      <c r="UO492" s="12"/>
      <c r="UP492" s="12"/>
      <c r="UT492" s="12"/>
      <c r="UW492" s="12"/>
      <c r="UX492" s="12"/>
      <c r="UY492" s="12"/>
      <c r="VD492" s="12"/>
      <c r="VG492" s="12"/>
      <c r="VK492" s="12"/>
      <c r="VN492" s="12"/>
      <c r="VQ492" s="12"/>
      <c r="VR492" s="12"/>
      <c r="VY492" s="13"/>
      <c r="VZ492" s="13"/>
      <c r="WA492" s="12"/>
      <c r="WB492" s="12"/>
      <c r="WG492" s="13"/>
      <c r="WH492" s="13"/>
    </row>
    <row r="493" spans="5:606" x14ac:dyDescent="0.3">
      <c r="E493" s="40"/>
      <c r="K493" s="29"/>
      <c r="L493" s="29"/>
      <c r="AK493" s="12"/>
      <c r="BD493" s="12"/>
      <c r="BG493" s="12"/>
      <c r="BK493" s="12"/>
      <c r="BR493" s="12"/>
      <c r="BV493" s="12"/>
      <c r="CJ493" s="12"/>
      <c r="CW493" s="12"/>
      <c r="CX493" s="12"/>
      <c r="CY493" s="12"/>
      <c r="DM493" s="12"/>
      <c r="DW493" s="12"/>
      <c r="EG493" s="72"/>
      <c r="EH493" s="52"/>
      <c r="EW493" s="12"/>
      <c r="EX493" s="12"/>
      <c r="EY493" s="12"/>
      <c r="HQ493" s="13"/>
      <c r="HU493" s="13"/>
      <c r="HV493" s="13"/>
      <c r="HW493" s="13"/>
      <c r="IB493" s="13"/>
      <c r="IF493" s="13"/>
      <c r="IG493" s="13"/>
      <c r="IH493" s="13"/>
      <c r="IM493" s="12"/>
      <c r="IQ493" s="12"/>
      <c r="JN493" s="12"/>
      <c r="JY493" s="12"/>
      <c r="LK493" s="12"/>
      <c r="LO493" s="12"/>
      <c r="LX493" s="13"/>
      <c r="LY493" s="19"/>
      <c r="MA493" s="12"/>
      <c r="MB493" s="13"/>
      <c r="MC493" s="13"/>
      <c r="MD493" s="13"/>
      <c r="ME493" s="13"/>
      <c r="MF493" s="19"/>
      <c r="MH493" s="12"/>
      <c r="MI493" s="12"/>
      <c r="MK493" s="19"/>
      <c r="ML493" s="12"/>
      <c r="MM493" s="12"/>
      <c r="MN493" s="12"/>
      <c r="MO493" s="12"/>
      <c r="MQ493" s="19"/>
      <c r="MS493" s="12"/>
      <c r="MT493" s="12"/>
      <c r="MV493" s="19"/>
      <c r="MW493" s="12"/>
      <c r="MX493" s="12"/>
      <c r="MY493" s="12"/>
      <c r="MZ493" s="12"/>
      <c r="NB493" s="19"/>
      <c r="NE493" s="12"/>
      <c r="NF493" s="12"/>
      <c r="NH493" s="19"/>
      <c r="NI493" s="12"/>
      <c r="NJ493" s="12"/>
      <c r="NK493" s="12"/>
      <c r="NL493" s="12"/>
      <c r="NN493" s="19"/>
      <c r="NQ493" s="12"/>
      <c r="NR493" s="12"/>
      <c r="NT493" s="19"/>
      <c r="NU493" s="12"/>
      <c r="NV493" s="12"/>
      <c r="NW493" s="12"/>
      <c r="NX493" s="12"/>
      <c r="NZ493" s="19"/>
      <c r="OC493" s="12"/>
      <c r="OD493" s="12"/>
      <c r="OG493" s="12"/>
      <c r="OH493" s="12"/>
      <c r="OI493" s="12"/>
      <c r="OJ493" s="12"/>
      <c r="OO493" s="12"/>
      <c r="OR493" s="12"/>
      <c r="OS493" s="12"/>
      <c r="OT493" s="12"/>
      <c r="OY493" s="12"/>
      <c r="PA493" s="13"/>
      <c r="PB493" s="12"/>
      <c r="PC493" s="12"/>
      <c r="PD493" s="12"/>
      <c r="PF493" s="13"/>
      <c r="PI493" s="11"/>
      <c r="PJ493" s="11"/>
      <c r="PK493" s="13"/>
      <c r="PL493" s="11"/>
      <c r="PM493" s="11"/>
      <c r="PN493" s="11"/>
      <c r="PO493" s="11"/>
      <c r="PP493" s="13"/>
      <c r="PS493" s="12"/>
      <c r="PV493" s="12"/>
      <c r="PW493" s="12"/>
      <c r="PX493" s="12"/>
      <c r="QB493" s="12"/>
      <c r="QC493" s="12"/>
      <c r="QD493" s="11"/>
      <c r="QE493" s="19"/>
      <c r="QF493" s="12"/>
      <c r="QG493" s="12"/>
      <c r="QH493" s="12"/>
      <c r="QI493" s="12"/>
      <c r="QK493" s="19"/>
      <c r="QM493" s="12"/>
      <c r="QP493" s="12"/>
      <c r="QQ493" s="12"/>
      <c r="QR493" s="12"/>
      <c r="QW493" s="12"/>
      <c r="QZ493" s="12"/>
      <c r="RU493" s="12"/>
      <c r="RX493" s="12"/>
      <c r="SC493" s="12"/>
      <c r="SF493" s="12"/>
      <c r="SL493" s="12"/>
      <c r="SN493" s="19"/>
      <c r="SP493" s="12"/>
      <c r="SQ493" s="12"/>
      <c r="SR493" s="12"/>
      <c r="ST493" s="19"/>
      <c r="SW493" s="12"/>
      <c r="SY493" s="11"/>
      <c r="SZ493" s="12"/>
      <c r="TA493" s="12"/>
      <c r="TB493" s="12"/>
      <c r="TD493" s="11"/>
      <c r="TG493" s="12"/>
      <c r="TI493" s="11"/>
      <c r="TJ493" s="12"/>
      <c r="TK493" s="12"/>
      <c r="TL493" s="12"/>
      <c r="TN493" s="11"/>
      <c r="TQ493" s="12"/>
      <c r="TS493" s="11"/>
      <c r="TT493" s="12"/>
      <c r="TU493" s="12"/>
      <c r="TV493" s="12"/>
      <c r="TX493" s="11"/>
      <c r="UA493" s="12"/>
      <c r="UD493" s="12"/>
      <c r="UE493" s="12"/>
      <c r="UF493" s="12"/>
      <c r="UK493" s="12"/>
      <c r="UN493" s="12"/>
      <c r="UO493" s="12"/>
      <c r="UP493" s="12"/>
      <c r="UT493" s="12"/>
      <c r="UW493" s="12"/>
      <c r="UX493" s="12"/>
      <c r="UY493" s="12"/>
      <c r="VD493" s="12"/>
      <c r="VG493" s="12"/>
      <c r="VK493" s="12"/>
      <c r="VN493" s="12"/>
      <c r="VQ493" s="12"/>
      <c r="VR493" s="12"/>
      <c r="VY493" s="13"/>
      <c r="VZ493" s="13"/>
      <c r="WA493" s="12"/>
      <c r="WB493" s="12"/>
      <c r="WG493" s="13"/>
      <c r="WH493" s="13"/>
    </row>
    <row r="497" spans="118:123" x14ac:dyDescent="0.3">
      <c r="DN497" s="20"/>
      <c r="DO497" s="20"/>
      <c r="DP497" s="20"/>
      <c r="DQ497" s="20"/>
      <c r="DR497" s="20"/>
      <c r="DS497" s="20"/>
    </row>
  </sheetData>
  <autoFilter ref="A1:WF493" xr:uid="{7A6852A3-0DE8-4911-B0FD-D951FF080A5F}"/>
  <phoneticPr fontId="1" type="noConversion"/>
  <pageMargins left="0.7" right="0.7" top="0.75" bottom="0.75" header="0.3" footer="0.3"/>
  <pageSetup paperSize="9" orientation="portrait" horizontalDpi="1200" verticalDpi="12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2D0F4-0581-4B7C-8AD8-80239039E64B}">
  <dimension ref="A1:AV3264"/>
  <sheetViews>
    <sheetView workbookViewId="0">
      <pane xSplit="1" ySplit="5" topLeftCell="B6" activePane="bottomRight" state="frozen"/>
      <selection pane="topRight" activeCell="B1" sqref="B1"/>
      <selection pane="bottomLeft" activeCell="A6" sqref="A6"/>
      <selection pane="bottomRight" activeCell="T362" sqref="T362:AA362"/>
    </sheetView>
  </sheetViews>
  <sheetFormatPr defaultColWidth="9.109375" defaultRowHeight="14.4" x14ac:dyDescent="0.3"/>
  <cols>
    <col min="1" max="1" width="9.109375" style="110"/>
    <col min="2" max="2" width="11.33203125" style="24" bestFit="1" customWidth="1"/>
    <col min="3" max="3" width="9.6640625" style="24" bestFit="1" customWidth="1"/>
    <col min="4" max="4" width="9.21875" style="46" bestFit="1" customWidth="1"/>
    <col min="5" max="5" width="11.33203125" style="24" bestFit="1" customWidth="1"/>
    <col min="6" max="6" width="9.6640625" style="24" bestFit="1" customWidth="1"/>
    <col min="7" max="7" width="9.21875" style="46" bestFit="1" customWidth="1"/>
    <col min="8" max="8" width="10.6640625" style="24" bestFit="1" customWidth="1"/>
    <col min="9" max="9" width="9.6640625" style="24" bestFit="1" customWidth="1"/>
    <col min="10" max="10" width="9.21875" style="46" bestFit="1" customWidth="1"/>
    <col min="11" max="11" width="10.6640625" style="24" bestFit="1" customWidth="1"/>
    <col min="12" max="12" width="9.6640625" style="24" bestFit="1" customWidth="1"/>
    <col min="13" max="13" width="9.21875" style="46" bestFit="1" customWidth="1"/>
    <col min="14" max="14" width="10.21875" style="24" bestFit="1" customWidth="1"/>
    <col min="15" max="15" width="9.6640625" style="24" bestFit="1" customWidth="1"/>
    <col min="16" max="16" width="9.21875" style="46" bestFit="1" customWidth="1"/>
    <col min="17" max="17" width="10.21875" style="24" bestFit="1" customWidth="1"/>
    <col min="18" max="18" width="9.6640625" style="24" bestFit="1" customWidth="1"/>
    <col min="19" max="19" width="9.21875" style="46" bestFit="1" customWidth="1"/>
    <col min="20" max="21" width="9.21875" style="113" bestFit="1" customWidth="1"/>
    <col min="22" max="22" width="9.21875" style="46" bestFit="1" customWidth="1"/>
    <col min="23" max="24" width="9.21875" style="113" bestFit="1" customWidth="1"/>
    <col min="25" max="25" width="9.21875" style="46" bestFit="1" customWidth="1"/>
    <col min="26" max="27" width="9.21875" style="113" bestFit="1" customWidth="1"/>
    <col min="28" max="28" width="9.21875" style="46" bestFit="1" customWidth="1"/>
    <col min="29" max="30" width="9.21875" style="113" bestFit="1" customWidth="1"/>
    <col min="31" max="31" width="9.21875" style="46" bestFit="1" customWidth="1"/>
    <col min="32" max="33" width="9.21875" style="113" bestFit="1" customWidth="1"/>
    <col min="34" max="34" width="9.21875" style="110" bestFit="1" customWidth="1"/>
    <col min="35" max="36" width="9.21875" style="113" bestFit="1" customWidth="1"/>
    <col min="37" max="37" width="9.21875" style="110" bestFit="1" customWidth="1"/>
    <col min="38" max="38" width="9.109375" style="110"/>
    <col min="39" max="39" width="9.44140625" style="110" bestFit="1" customWidth="1"/>
    <col min="40" max="41" width="9.109375" style="110"/>
    <col min="42" max="42" width="9.109375" style="26"/>
    <col min="43" max="44" width="9.109375" style="110"/>
    <col min="45" max="45" width="9.109375" style="26"/>
    <col min="46" max="47" width="9.109375" style="110"/>
    <col min="48" max="48" width="9.109375" style="26"/>
    <col min="49" max="16384" width="9.109375" style="110"/>
  </cols>
  <sheetData>
    <row r="1" spans="1:37" x14ac:dyDescent="0.3">
      <c r="B1" s="24" t="s">
        <v>860</v>
      </c>
      <c r="AH1" s="46"/>
      <c r="AK1" s="46"/>
    </row>
    <row r="2" spans="1:37" ht="15.6" x14ac:dyDescent="0.35">
      <c r="B2" s="24" t="s">
        <v>834</v>
      </c>
      <c r="H2" s="24" t="s">
        <v>836</v>
      </c>
      <c r="N2" s="24" t="s">
        <v>835</v>
      </c>
      <c r="T2" s="113" t="s">
        <v>837</v>
      </c>
      <c r="Z2" s="113" t="s">
        <v>838</v>
      </c>
      <c r="AF2" s="113" t="s">
        <v>859</v>
      </c>
      <c r="AH2" s="77"/>
      <c r="AK2" s="77"/>
    </row>
    <row r="3" spans="1:37" x14ac:dyDescent="0.3">
      <c r="B3" s="24" t="s">
        <v>861</v>
      </c>
      <c r="E3" s="24" t="s">
        <v>862</v>
      </c>
      <c r="H3" s="24" t="s">
        <v>861</v>
      </c>
      <c r="K3" s="24" t="s">
        <v>862</v>
      </c>
      <c r="N3" s="24" t="s">
        <v>861</v>
      </c>
      <c r="Q3" s="24" t="s">
        <v>862</v>
      </c>
      <c r="T3" s="113" t="s">
        <v>861</v>
      </c>
      <c r="W3" s="113" t="s">
        <v>862</v>
      </c>
      <c r="Z3" s="113" t="s">
        <v>861</v>
      </c>
      <c r="AC3" s="113" t="s">
        <v>862</v>
      </c>
      <c r="AF3" s="113" t="s">
        <v>861</v>
      </c>
      <c r="AH3" s="77"/>
      <c r="AI3" s="113" t="s">
        <v>862</v>
      </c>
      <c r="AK3" s="77"/>
    </row>
    <row r="4" spans="1:37" ht="15.6" x14ac:dyDescent="0.3">
      <c r="B4" s="13" t="s">
        <v>47</v>
      </c>
      <c r="C4" s="13"/>
      <c r="D4" s="72"/>
      <c r="E4" s="13"/>
      <c r="F4" s="13"/>
      <c r="G4" s="72"/>
      <c r="H4" s="13" t="s">
        <v>47</v>
      </c>
      <c r="I4" s="13"/>
      <c r="J4" s="72"/>
      <c r="K4" s="13"/>
      <c r="L4" s="13"/>
      <c r="M4" s="72"/>
      <c r="N4" s="13" t="s">
        <v>47</v>
      </c>
      <c r="O4" s="13"/>
      <c r="P4" s="72"/>
      <c r="Q4" s="13"/>
      <c r="R4" s="13"/>
      <c r="S4" s="72"/>
      <c r="T4" s="12" t="s">
        <v>47</v>
      </c>
      <c r="U4" s="12"/>
      <c r="V4" s="72"/>
      <c r="W4" s="12"/>
      <c r="X4" s="12"/>
      <c r="Y4" s="72"/>
      <c r="Z4" s="12" t="s">
        <v>47</v>
      </c>
      <c r="AA4" s="12"/>
      <c r="AB4" s="72"/>
      <c r="AC4" s="12"/>
      <c r="AD4" s="12"/>
      <c r="AE4" s="72"/>
      <c r="AF4" s="113" t="s">
        <v>39</v>
      </c>
      <c r="AH4" s="77"/>
      <c r="AK4" s="77"/>
    </row>
    <row r="5" spans="1:37" x14ac:dyDescent="0.3">
      <c r="B5" s="24" t="s">
        <v>831</v>
      </c>
      <c r="C5" s="24" t="s">
        <v>873</v>
      </c>
      <c r="D5" s="76" t="s">
        <v>839</v>
      </c>
      <c r="E5" s="24" t="s">
        <v>831</v>
      </c>
      <c r="F5" s="24" t="s">
        <v>873</v>
      </c>
      <c r="G5" s="76" t="s">
        <v>839</v>
      </c>
      <c r="H5" s="24" t="s">
        <v>831</v>
      </c>
      <c r="I5" s="24" t="s">
        <v>873</v>
      </c>
      <c r="J5" s="76" t="s">
        <v>839</v>
      </c>
      <c r="K5" s="24" t="s">
        <v>831</v>
      </c>
      <c r="L5" s="24" t="s">
        <v>873</v>
      </c>
      <c r="M5" s="76" t="s">
        <v>839</v>
      </c>
      <c r="N5" s="24" t="s">
        <v>831</v>
      </c>
      <c r="O5" s="24" t="s">
        <v>873</v>
      </c>
      <c r="P5" s="76" t="s">
        <v>839</v>
      </c>
      <c r="Q5" s="24" t="s">
        <v>831</v>
      </c>
      <c r="R5" s="24" t="s">
        <v>873</v>
      </c>
      <c r="S5" s="76" t="s">
        <v>839</v>
      </c>
      <c r="T5" s="113" t="s">
        <v>831</v>
      </c>
      <c r="U5" s="113" t="s">
        <v>873</v>
      </c>
      <c r="V5" s="76" t="s">
        <v>839</v>
      </c>
      <c r="W5" s="113" t="s">
        <v>831</v>
      </c>
      <c r="X5" s="113" t="s">
        <v>873</v>
      </c>
      <c r="Y5" s="76" t="s">
        <v>839</v>
      </c>
      <c r="Z5" s="113" t="s">
        <v>831</v>
      </c>
      <c r="AA5" s="113" t="s">
        <v>873</v>
      </c>
      <c r="AB5" s="76" t="s">
        <v>839</v>
      </c>
      <c r="AC5" s="113" t="s">
        <v>831</v>
      </c>
      <c r="AD5" s="113" t="s">
        <v>873</v>
      </c>
      <c r="AE5" s="76" t="s">
        <v>839</v>
      </c>
      <c r="AF5" s="113" t="s">
        <v>831</v>
      </c>
      <c r="AG5" s="113" t="s">
        <v>873</v>
      </c>
      <c r="AH5" s="76" t="s">
        <v>839</v>
      </c>
      <c r="AI5" s="113" t="s">
        <v>831</v>
      </c>
      <c r="AJ5" s="113" t="s">
        <v>873</v>
      </c>
      <c r="AK5" s="76" t="s">
        <v>839</v>
      </c>
    </row>
    <row r="6" spans="1:37" x14ac:dyDescent="0.3">
      <c r="A6" s="78" t="s">
        <v>833</v>
      </c>
      <c r="B6" s="24">
        <f>'Data_in-situ'!CA30</f>
        <v>-40736.294508300089</v>
      </c>
      <c r="C6" s="24">
        <f>'Data_in-situ'!CB30</f>
        <v>9264.5737614785212</v>
      </c>
      <c r="D6" s="46">
        <f>'Data_in-situ'!CC30</f>
        <v>6</v>
      </c>
      <c r="E6" s="24">
        <f>'Data_in-situ'!CE30</f>
        <v>-30951.137650990822</v>
      </c>
      <c r="F6" s="24">
        <f>'Data_in-situ'!CF30</f>
        <v>7720.4781345655592</v>
      </c>
      <c r="G6" s="46">
        <f>'Data_in-situ'!CG30</f>
        <v>6</v>
      </c>
      <c r="H6" s="24">
        <f>'Data_in-situ'!CN30</f>
        <v>23661.813178740125</v>
      </c>
      <c r="I6" s="24">
        <f>'Data_in-situ'!CO30</f>
        <v>8127.2621692012581</v>
      </c>
      <c r="J6" s="46">
        <f>'Data_in-situ'!CP30</f>
        <v>6</v>
      </c>
      <c r="K6" s="24">
        <f>'Data_in-situ'!CR30</f>
        <v>17959.926513784052</v>
      </c>
      <c r="L6" s="24">
        <f>'Data_in-situ'!CS30</f>
        <v>6049.9193018093547</v>
      </c>
      <c r="M6" s="46">
        <f>'Data_in-situ'!CT30</f>
        <v>6</v>
      </c>
      <c r="N6" s="24">
        <f>'Data_in-situ'!DA2</f>
        <v>-2080</v>
      </c>
      <c r="O6" s="24">
        <f>'Data_in-situ'!DB2</f>
        <v>200</v>
      </c>
      <c r="P6" s="46">
        <f>'Data_in-situ'!DC2</f>
        <v>4</v>
      </c>
      <c r="Q6" s="24">
        <f>'Data_in-situ'!DE2</f>
        <v>-720</v>
      </c>
      <c r="R6" s="24">
        <f>'Data_in-situ'!DF2</f>
        <v>580</v>
      </c>
      <c r="S6" s="46">
        <f>'Data_in-situ'!DG2</f>
        <v>4</v>
      </c>
      <c r="T6" s="113">
        <f>'Data_in-situ'!DN2</f>
        <v>155.93</v>
      </c>
      <c r="U6" s="113">
        <f>'Data_in-situ'!DO2</f>
        <v>91.89</v>
      </c>
      <c r="V6" s="46">
        <f>'Data_in-situ'!DP2</f>
        <v>3</v>
      </c>
      <c r="W6" s="113">
        <f>'Data_in-situ'!DR2</f>
        <v>-0.52095000000000002</v>
      </c>
      <c r="X6" s="113">
        <f>'Data_in-situ'!DS2</f>
        <v>0.42061931719786716</v>
      </c>
      <c r="Y6" s="46">
        <f>'Data_in-situ'!DT2</f>
        <v>3</v>
      </c>
      <c r="Z6" s="113">
        <f>'Data_in-situ'!EA8</f>
        <v>9.3216878849518445E-2</v>
      </c>
      <c r="AA6" s="113">
        <f>'Data_in-situ'!EB8</f>
        <v>0.20553512952136199</v>
      </c>
      <c r="AB6" s="46">
        <f>'Data_in-situ'!EC8</f>
        <v>3</v>
      </c>
      <c r="AC6" s="113">
        <f>'Data_in-situ'!EE8</f>
        <v>1.1634570510397673</v>
      </c>
      <c r="AD6" s="113">
        <f>'Data_in-situ'!EF8</f>
        <v>0.38922612585728023</v>
      </c>
      <c r="AE6" s="46">
        <f>'Data_in-situ'!EG8</f>
        <v>3</v>
      </c>
      <c r="AF6" s="113">
        <f>'Data_in-situ'!EN14</f>
        <v>11.41</v>
      </c>
      <c r="AG6" s="113">
        <f>'Data_in-situ'!EO14</f>
        <v>3.1216542489519883</v>
      </c>
      <c r="AH6" s="110">
        <f>'Data_in-situ'!EP14</f>
        <v>4</v>
      </c>
      <c r="AI6" s="113">
        <f>'Data_in-situ'!ER14</f>
        <v>-91.8</v>
      </c>
      <c r="AJ6" s="113">
        <f>'Data_in-situ'!ES14</f>
        <v>9.6999999999999993</v>
      </c>
      <c r="AK6" s="110">
        <f>'Data_in-situ'!ET14</f>
        <v>4</v>
      </c>
    </row>
    <row r="7" spans="1:37" x14ac:dyDescent="0.3">
      <c r="B7" s="24">
        <f>'Data_in-situ'!CA31</f>
        <v>-29498.69602325177</v>
      </c>
      <c r="C7" s="24">
        <f>'Data_in-situ'!CB31</f>
        <v>5661.6839653480265</v>
      </c>
      <c r="D7" s="46">
        <f>'Data_in-situ'!CC31</f>
        <v>6</v>
      </c>
      <c r="E7" s="24">
        <f>'Data_in-situ'!CE31</f>
        <v>-23758.267633507035</v>
      </c>
      <c r="F7" s="24">
        <f>'Data_in-situ'!CF31</f>
        <v>4117.5883384349272</v>
      </c>
      <c r="G7" s="46">
        <f>'Data_in-situ'!CG31</f>
        <v>6</v>
      </c>
      <c r="H7" s="24">
        <f>'Data_in-situ'!CN31</f>
        <v>24809.052605588167</v>
      </c>
      <c r="I7" s="24">
        <f>'Data_in-situ'!CO31</f>
        <v>6528.4178481847057</v>
      </c>
      <c r="J7" s="46">
        <f>'Data_in-situ'!CP31</f>
        <v>6</v>
      </c>
      <c r="K7" s="24">
        <f>'Data_in-situ'!CR31</f>
        <v>21625.217639046135</v>
      </c>
      <c r="L7" s="24">
        <f>'Data_in-situ'!CS31</f>
        <v>4944.4422331318983</v>
      </c>
      <c r="M7" s="46">
        <f>'Data_in-situ'!CT31</f>
        <v>6</v>
      </c>
      <c r="N7" s="24">
        <f>'Data_in-situ'!DA3</f>
        <v>-2080</v>
      </c>
      <c r="O7" s="24">
        <f>'Data_in-situ'!DB3</f>
        <v>200</v>
      </c>
      <c r="P7" s="46">
        <f>'Data_in-situ'!DC3</f>
        <v>4</v>
      </c>
      <c r="Q7" s="24">
        <f>'Data_in-situ'!DE3</f>
        <v>-1200</v>
      </c>
      <c r="R7" s="24">
        <f>'Data_in-situ'!DF3</f>
        <v>800</v>
      </c>
      <c r="S7" s="46">
        <f>'Data_in-situ'!DG3</f>
        <v>4</v>
      </c>
      <c r="T7" s="113">
        <f>'Data_in-situ'!DN3</f>
        <v>155.93</v>
      </c>
      <c r="U7" s="113">
        <f>'Data_in-situ'!DO3</f>
        <v>91.89</v>
      </c>
      <c r="V7" s="46">
        <f>'Data_in-situ'!DP3</f>
        <v>3</v>
      </c>
      <c r="W7" s="113">
        <f>'Data_in-situ'!DR3</f>
        <v>-0.50150000000000006</v>
      </c>
      <c r="X7" s="113">
        <f>'Data_in-situ'!DS3</f>
        <v>0.69631979003903077</v>
      </c>
      <c r="Y7" s="46">
        <f>'Data_in-situ'!DT3</f>
        <v>3</v>
      </c>
      <c r="Z7" s="113">
        <f>'Data_in-situ'!EA9</f>
        <v>9.3216878849518445E-2</v>
      </c>
      <c r="AA7" s="113">
        <f>'Data_in-situ'!EB9</f>
        <v>0.20553512952136199</v>
      </c>
      <c r="AB7" s="46">
        <f>'Data_in-situ'!EC9</f>
        <v>3</v>
      </c>
      <c r="AC7" s="113">
        <f>'Data_in-situ'!EE9</f>
        <v>1.6177151825214293</v>
      </c>
      <c r="AD7" s="113">
        <f>'Data_in-situ'!EF9</f>
        <v>0.53878192787841905</v>
      </c>
      <c r="AE7" s="46">
        <f>'Data_in-situ'!EG9</f>
        <v>3</v>
      </c>
      <c r="AF7" s="113">
        <f>'Data_in-situ'!EN15</f>
        <v>5.6550000000000002</v>
      </c>
      <c r="AG7" s="113">
        <f>'Data_in-situ'!EO15</f>
        <v>3.8089383363346805</v>
      </c>
      <c r="AH7" s="110">
        <f>'Data_in-situ'!EP15</f>
        <v>4</v>
      </c>
      <c r="AI7" s="113">
        <f>'Data_in-situ'!ER15</f>
        <v>-105</v>
      </c>
      <c r="AJ7" s="113">
        <f>'Data_in-situ'!ES15</f>
        <v>8.1</v>
      </c>
      <c r="AK7" s="110">
        <f>'Data_in-situ'!ET15</f>
        <v>4</v>
      </c>
    </row>
    <row r="8" spans="1:37" x14ac:dyDescent="0.3">
      <c r="B8" s="24">
        <f>'Data_in-situ'!CA35</f>
        <v>-9117.2313953462108</v>
      </c>
      <c r="C8" s="24">
        <f>'Data_in-situ'!CB35</f>
        <v>2424.3247606001519</v>
      </c>
      <c r="D8" s="46">
        <f>'Data_in-situ'!CC35</f>
        <v>3</v>
      </c>
      <c r="E8" s="24">
        <f>'Data_in-situ'!CE35</f>
        <v>-4187.6052363562967</v>
      </c>
      <c r="F8" s="24">
        <f>'Data_in-situ'!CF35</f>
        <v>3018.5350952743552</v>
      </c>
      <c r="G8" s="46">
        <f>'Data_in-situ'!CG35</f>
        <v>3</v>
      </c>
      <c r="H8" s="24">
        <f>'Data_in-situ'!CN35</f>
        <v>12663.516770662041</v>
      </c>
      <c r="I8" s="24">
        <f>'Data_in-situ'!CO35</f>
        <v>2211.9149588307</v>
      </c>
      <c r="J8" s="46">
        <f>'Data_in-situ'!CP35</f>
        <v>3</v>
      </c>
      <c r="K8" s="24">
        <f>'Data_in-situ'!CR35</f>
        <v>8364.4600190841793</v>
      </c>
      <c r="L8" s="24">
        <f>'Data_in-situ'!CS35</f>
        <v>6024.8326143304821</v>
      </c>
      <c r="M8" s="46">
        <f>'Data_in-situ'!CT35</f>
        <v>3</v>
      </c>
      <c r="N8" s="24">
        <f>'Data_in-situ'!DA30</f>
        <v>-17074.481329559963</v>
      </c>
      <c r="O8" s="24">
        <f>'Data_in-situ'!DB30</f>
        <v>1832.3959637482985</v>
      </c>
      <c r="P8" s="46">
        <f>'Data_in-situ'!DC30</f>
        <v>6</v>
      </c>
      <c r="Q8" s="24">
        <f>'Data_in-situ'!DE30</f>
        <v>-12991.21113720677</v>
      </c>
      <c r="R8" s="24">
        <f>'Data_in-situ'!DF30</f>
        <v>15856.449105704574</v>
      </c>
      <c r="S8" s="46">
        <f>'Data_in-situ'!DG30</f>
        <v>6</v>
      </c>
      <c r="T8" s="113">
        <f>'Data_in-situ'!DN4</f>
        <v>155.93</v>
      </c>
      <c r="U8" s="113">
        <f>'Data_in-situ'!DO4</f>
        <v>91.89</v>
      </c>
      <c r="V8" s="46">
        <f>'Data_in-situ'!DP4</f>
        <v>3</v>
      </c>
      <c r="W8" s="113">
        <f>'Data_in-situ'!DR4</f>
        <v>-0.61299999999999999</v>
      </c>
      <c r="X8" s="113">
        <f>'Data_in-situ'!DS4</f>
        <v>0.52600000000000002</v>
      </c>
      <c r="Y8" s="46">
        <f>'Data_in-situ'!DT4</f>
        <v>3</v>
      </c>
      <c r="Z8" s="113">
        <f>'Data_in-situ'!EA10</f>
        <v>0.10912682734488738</v>
      </c>
      <c r="AA8" s="113">
        <f>'Data_in-situ'!EB10</f>
        <v>0.23951135746402341</v>
      </c>
      <c r="AB8" s="46">
        <f>'Data_in-situ'!EC10</f>
        <v>3</v>
      </c>
      <c r="AC8" s="113">
        <f>'Data_in-situ'!EE10</f>
        <v>1.8711108749125607</v>
      </c>
      <c r="AD8" s="113">
        <f>'Data_in-situ'!EF10</f>
        <v>1.1438689414400234</v>
      </c>
      <c r="AE8" s="46">
        <f>'Data_in-situ'!EG10</f>
        <v>3</v>
      </c>
      <c r="AF8" s="113">
        <f>'Data_in-situ'!EN17</f>
        <v>-31.375000000000004</v>
      </c>
      <c r="AG8" s="113">
        <f>'Data_in-situ'!EO17</f>
        <v>10.767974391685748</v>
      </c>
      <c r="AH8" s="110">
        <f>'Data_in-situ'!EP17</f>
        <v>4</v>
      </c>
      <c r="AI8" s="113">
        <f>'Data_in-situ'!ER17</f>
        <v>-57.38</v>
      </c>
      <c r="AJ8" s="113">
        <f>'Data_in-situ'!ES17</f>
        <v>9.4499999999999993</v>
      </c>
      <c r="AK8" s="110">
        <f>'Data_in-situ'!ET17</f>
        <v>4</v>
      </c>
    </row>
    <row r="9" spans="1:37" x14ac:dyDescent="0.3">
      <c r="B9" s="24">
        <f>'Data_in-situ'!CA36</f>
        <v>-9117.2313953462108</v>
      </c>
      <c r="C9" s="24">
        <f>'Data_in-situ'!CB36</f>
        <v>2424.3247606001519</v>
      </c>
      <c r="D9" s="46">
        <f>'Data_in-situ'!CC36</f>
        <v>3</v>
      </c>
      <c r="E9" s="24">
        <f>'Data_in-situ'!CE36</f>
        <v>-11061.598737544933</v>
      </c>
      <c r="F9" s="24">
        <f>'Data_in-situ'!CF36</f>
        <v>1546.857501085957</v>
      </c>
      <c r="G9" s="46">
        <f>'Data_in-situ'!CG36</f>
        <v>3</v>
      </c>
      <c r="H9" s="24">
        <f>'Data_in-situ'!CN36</f>
        <v>12663.516770662041</v>
      </c>
      <c r="I9" s="24">
        <f>'Data_in-situ'!CO36</f>
        <v>2211.9149588307</v>
      </c>
      <c r="J9" s="46">
        <f>'Data_in-situ'!CP36</f>
        <v>3</v>
      </c>
      <c r="K9" s="24">
        <f>'Data_in-situ'!CR36</f>
        <v>13557.778602361719</v>
      </c>
      <c r="L9" s="24">
        <f>'Data_in-situ'!CS36</f>
        <v>1534.7793518535277</v>
      </c>
      <c r="M9" s="46">
        <f>'Data_in-situ'!CT36</f>
        <v>3</v>
      </c>
      <c r="N9" s="24">
        <f>'Data_in-situ'!DA31</f>
        <v>-4689.643417663603</v>
      </c>
      <c r="O9" s="24">
        <f>'Data_in-situ'!DB31</f>
        <v>822.55847950944644</v>
      </c>
      <c r="P9" s="46">
        <f>'Data_in-situ'!DC31</f>
        <v>6</v>
      </c>
      <c r="Q9" s="24">
        <f>'Data_in-situ'!DE31</f>
        <v>-2133.0499944609001</v>
      </c>
      <c r="R9" s="24">
        <f>'Data_in-situ'!DF31</f>
        <v>2649.3488808970865</v>
      </c>
      <c r="S9" s="46">
        <f>'Data_in-situ'!DG31</f>
        <v>6</v>
      </c>
      <c r="T9" s="113">
        <f>'Data_in-situ'!DN5</f>
        <v>155.93</v>
      </c>
      <c r="U9" s="113">
        <f>'Data_in-situ'!DO5</f>
        <v>91.89</v>
      </c>
      <c r="V9" s="46">
        <f>'Data_in-situ'!DP5</f>
        <v>3</v>
      </c>
      <c r="W9" s="113">
        <f>'Data_in-situ'!DR5</f>
        <v>-0.35</v>
      </c>
      <c r="X9" s="113">
        <f>'Data_in-situ'!DS5</f>
        <v>0.70099999999999996</v>
      </c>
      <c r="Y9" s="46">
        <f>'Data_in-situ'!DT5</f>
        <v>3</v>
      </c>
      <c r="Z9" s="113">
        <f>'Data_in-situ'!EA11</f>
        <v>0.10912682734488738</v>
      </c>
      <c r="AA9" s="113">
        <f>'Data_in-situ'!EB11</f>
        <v>0.23951135746402341</v>
      </c>
      <c r="AB9" s="46">
        <f>'Data_in-situ'!EC11</f>
        <v>3</v>
      </c>
      <c r="AC9" s="113">
        <f>'Data_in-situ'!EE11</f>
        <v>0.2673015535589372</v>
      </c>
      <c r="AD9" s="113">
        <f>'Data_in-situ'!EF11</f>
        <v>0.16021073937933927</v>
      </c>
      <c r="AE9" s="46">
        <f>'Data_in-situ'!EG11</f>
        <v>3</v>
      </c>
      <c r="AF9" s="113">
        <f>'Data_in-situ'!EN18</f>
        <v>-6.17</v>
      </c>
      <c r="AG9" s="113">
        <f>'Data_in-situ'!EO18</f>
        <v>1.6</v>
      </c>
      <c r="AH9" s="110">
        <f>'Data_in-situ'!EP18</f>
        <v>3</v>
      </c>
      <c r="AI9" s="113">
        <f>'Data_in-situ'!ER18</f>
        <v>-32.340000000000003</v>
      </c>
      <c r="AJ9" s="113">
        <f>'Data_in-situ'!ES18</f>
        <v>1.06</v>
      </c>
      <c r="AK9" s="110">
        <f>'Data_in-situ'!ET18</f>
        <v>3</v>
      </c>
    </row>
    <row r="10" spans="1:37" x14ac:dyDescent="0.3">
      <c r="B10" s="24">
        <f>'Data_in-situ'!CA37</f>
        <v>-10940.677674415452</v>
      </c>
      <c r="C10" s="24">
        <f>'Data_in-situ'!CB37</f>
        <v>3587.5182834567399</v>
      </c>
      <c r="D10" s="46">
        <f>'Data_in-situ'!CC37</f>
        <v>3</v>
      </c>
      <c r="E10" s="24">
        <f>'Data_in-situ'!CE37</f>
        <v>-1303.6884226392244</v>
      </c>
      <c r="F10" s="24">
        <f>'Data_in-situ'!CF37</f>
        <v>1460.696181049753</v>
      </c>
      <c r="G10" s="46">
        <f>'Data_in-situ'!CG37</f>
        <v>3</v>
      </c>
      <c r="H10" s="24">
        <f>'Data_in-situ'!CN37</f>
        <v>12156.97609983556</v>
      </c>
      <c r="I10" s="24">
        <f>'Data_in-situ'!CO37</f>
        <v>3352.7816659818532</v>
      </c>
      <c r="J10" s="46">
        <f>'Data_in-situ'!CP37</f>
        <v>3</v>
      </c>
      <c r="K10" s="24">
        <f>'Data_in-situ'!CR37</f>
        <v>7583.1643030158775</v>
      </c>
      <c r="L10" s="24">
        <f>'Data_in-situ'!CS37</f>
        <v>4282.3014654243434</v>
      </c>
      <c r="M10" s="46">
        <f>'Data_in-situ'!CT37</f>
        <v>3</v>
      </c>
      <c r="N10" s="24">
        <f>'Data_in-situ'!DA32</f>
        <v>8950.3333333333303</v>
      </c>
      <c r="O10" s="24">
        <f>'Data_in-situ'!DB32</f>
        <v>4633.1130043536723</v>
      </c>
      <c r="P10" s="46">
        <f>'Data_in-situ'!DC32</f>
        <v>6</v>
      </c>
      <c r="Q10" s="24">
        <f>'Data_in-situ'!DE32</f>
        <v>19004.333333333336</v>
      </c>
      <c r="R10" s="24">
        <f>'Data_in-situ'!DF32</f>
        <v>11808.648436162748</v>
      </c>
      <c r="S10" s="46">
        <f>'Data_in-situ'!DG32</f>
        <v>6</v>
      </c>
      <c r="T10" s="113">
        <f>'Data_in-situ'!DN6</f>
        <v>155.93</v>
      </c>
      <c r="U10" s="113">
        <f>'Data_in-situ'!DO6</f>
        <v>91.89</v>
      </c>
      <c r="V10" s="46">
        <f>'Data_in-situ'!DP6</f>
        <v>3</v>
      </c>
      <c r="W10" s="113">
        <f>'Data_in-situ'!DR6</f>
        <v>-0.96399999999999997</v>
      </c>
      <c r="X10" s="113">
        <f>'Data_in-situ'!DS6</f>
        <v>0.26300000000000001</v>
      </c>
      <c r="Y10" s="46">
        <f>'Data_in-situ'!DT6</f>
        <v>3</v>
      </c>
      <c r="Z10" s="113">
        <f>'Data_in-situ'!EA12</f>
        <v>0.10912682734488738</v>
      </c>
      <c r="AA10" s="113">
        <f>'Data_in-situ'!EB12</f>
        <v>0.23951135746402341</v>
      </c>
      <c r="AB10" s="46">
        <f>'Data_in-situ'!EC12</f>
        <v>3</v>
      </c>
      <c r="AC10" s="113">
        <f>'Data_in-situ'!EE12</f>
        <v>1.6305394767095169</v>
      </c>
      <c r="AD10" s="113">
        <f>'Data_in-situ'!EF12</f>
        <v>0.96616422362470822</v>
      </c>
      <c r="AE10" s="46">
        <f>'Data_in-situ'!EG12</f>
        <v>3</v>
      </c>
      <c r="AF10" s="113">
        <f>'Data_in-situ'!EN19</f>
        <v>-6.17</v>
      </c>
      <c r="AG10" s="113">
        <f>'Data_in-situ'!EO19</f>
        <v>1.6</v>
      </c>
      <c r="AH10" s="110">
        <f>'Data_in-situ'!EP19</f>
        <v>3</v>
      </c>
      <c r="AI10" s="113">
        <f>'Data_in-situ'!ER19</f>
        <v>-37.89</v>
      </c>
      <c r="AJ10" s="113">
        <f>'Data_in-situ'!ES19</f>
        <v>1.4</v>
      </c>
      <c r="AK10" s="110">
        <f>'Data_in-situ'!ET19</f>
        <v>3</v>
      </c>
    </row>
    <row r="11" spans="1:37" x14ac:dyDescent="0.3">
      <c r="B11" s="24">
        <f>'Data_in-situ'!CA38</f>
        <v>-10940.677674415452</v>
      </c>
      <c r="C11" s="24">
        <f>'Data_in-situ'!CB38</f>
        <v>3587.5182834567399</v>
      </c>
      <c r="D11" s="46">
        <f>'Data_in-situ'!CC38</f>
        <v>3</v>
      </c>
      <c r="E11" s="24">
        <f>'Data_in-situ'!CE38</f>
        <v>-13155.401355723083</v>
      </c>
      <c r="F11" s="24">
        <f>'Data_in-situ'!CF38</f>
        <v>4763.1397208144126</v>
      </c>
      <c r="G11" s="46">
        <f>'Data_in-situ'!CG38</f>
        <v>3</v>
      </c>
      <c r="H11" s="24">
        <f>'Data_in-situ'!CN38</f>
        <v>12156.97609983556</v>
      </c>
      <c r="I11" s="24">
        <f>'Data_in-situ'!CO38</f>
        <v>3352.7816659818532</v>
      </c>
      <c r="J11" s="46">
        <f>'Data_in-situ'!CP38</f>
        <v>3</v>
      </c>
      <c r="K11" s="24">
        <f>'Data_in-situ'!CR38</f>
        <v>16131.458608233776</v>
      </c>
      <c r="L11" s="24">
        <f>'Data_in-situ'!CS38</f>
        <v>7799.7123045882036</v>
      </c>
      <c r="M11" s="46">
        <f>'Data_in-situ'!CT38</f>
        <v>3</v>
      </c>
      <c r="N11" s="24">
        <f>'Data_in-situ'!DA35</f>
        <v>3546.2853753158306</v>
      </c>
      <c r="O11" s="24">
        <f>'Data_in-situ'!DB35</f>
        <v>5941.7227544878542</v>
      </c>
      <c r="P11" s="46">
        <f>'Data_in-situ'!DC35</f>
        <v>3</v>
      </c>
      <c r="Q11" s="24">
        <f>'Data_in-situ'!DE35</f>
        <v>4176.8547827278826</v>
      </c>
      <c r="R11" s="24">
        <f>'Data_in-situ'!DF35</f>
        <v>748.67399248676202</v>
      </c>
      <c r="S11" s="46">
        <f>'Data_in-situ'!DG35</f>
        <v>3</v>
      </c>
      <c r="T11" s="113">
        <f>'Data_in-situ'!DN7</f>
        <v>155.93</v>
      </c>
      <c r="U11" s="113">
        <f>'Data_in-situ'!DO7</f>
        <v>91.89</v>
      </c>
      <c r="V11" s="46">
        <f>'Data_in-situ'!DP7</f>
        <v>3</v>
      </c>
      <c r="W11" s="113">
        <f>'Data_in-situ'!DR7</f>
        <v>0.35</v>
      </c>
      <c r="X11" s="113">
        <f>'Data_in-situ'!DS7</f>
        <v>1.927</v>
      </c>
      <c r="Y11" s="46">
        <f>'Data_in-situ'!DT7</f>
        <v>3</v>
      </c>
      <c r="Z11" s="113">
        <f>'Data_in-situ'!EA13</f>
        <v>0.10912682734488738</v>
      </c>
      <c r="AA11" s="113">
        <f>'Data_in-situ'!EB13</f>
        <v>0.23951135746402341</v>
      </c>
      <c r="AB11" s="46">
        <f>'Data_in-situ'!EC13</f>
        <v>3</v>
      </c>
      <c r="AC11" s="113">
        <f>'Data_in-situ'!EE13</f>
        <v>2.1116822731156044</v>
      </c>
      <c r="AD11" s="113">
        <f>'Data_in-situ'!EF13</f>
        <v>0.9849415206790767</v>
      </c>
      <c r="AE11" s="46">
        <f>'Data_in-situ'!EG13</f>
        <v>3</v>
      </c>
      <c r="AF11" s="113">
        <f>'Data_in-situ'!EN20</f>
        <v>-20.329999999999998</v>
      </c>
      <c r="AG11" s="113">
        <f>'Data_in-situ'!EO20</f>
        <v>2.57</v>
      </c>
      <c r="AH11" s="110">
        <f>'Data_in-situ'!EP20</f>
        <v>3</v>
      </c>
      <c r="AI11" s="113">
        <f>'Data_in-situ'!ER20</f>
        <v>-32.340000000000003</v>
      </c>
      <c r="AJ11" s="113">
        <f>'Data_in-situ'!ES20</f>
        <v>1.06</v>
      </c>
      <c r="AK11" s="110">
        <f>'Data_in-situ'!ET20</f>
        <v>3</v>
      </c>
    </row>
    <row r="12" spans="1:37" x14ac:dyDescent="0.3">
      <c r="B12" s="24">
        <f>'Data_in-situ'!CA39</f>
        <v>-11180.604816398249</v>
      </c>
      <c r="C12" s="24">
        <f>'Data_in-situ'!CB39</f>
        <v>6822.7682537892761</v>
      </c>
      <c r="D12" s="46">
        <f>'Data_in-situ'!CC39</f>
        <v>3</v>
      </c>
      <c r="E12" s="24">
        <f>'Data_in-situ'!CE39</f>
        <v>-2014.7911986242559</v>
      </c>
      <c r="F12" s="24">
        <f>'Data_in-situ'!CF39</f>
        <v>1143.1535329954588</v>
      </c>
      <c r="G12" s="46">
        <f>'Data_in-situ'!CG39</f>
        <v>3</v>
      </c>
      <c r="H12" s="24">
        <f>'Data_in-situ'!CN39</f>
        <v>12213.258396594058</v>
      </c>
      <c r="I12" s="24">
        <f>'Data_in-situ'!CO39</f>
        <v>5829.3069078214994</v>
      </c>
      <c r="J12" s="46">
        <f>'Data_in-situ'!CP39</f>
        <v>3</v>
      </c>
      <c r="K12" s="24">
        <f>'Data_in-situ'!CR39</f>
        <v>13236.068601627712</v>
      </c>
      <c r="L12" s="24">
        <f>'Data_in-situ'!CS39</f>
        <v>2169.8026552469478</v>
      </c>
      <c r="M12" s="46">
        <f>'Data_in-situ'!CT39</f>
        <v>3</v>
      </c>
      <c r="N12" s="24">
        <f>'Data_in-situ'!DA36</f>
        <v>3546.2853753158306</v>
      </c>
      <c r="O12" s="24">
        <f>'Data_in-situ'!DB36</f>
        <v>5941.7227544878542</v>
      </c>
      <c r="P12" s="46">
        <f>'Data_in-situ'!DC36</f>
        <v>3</v>
      </c>
      <c r="Q12" s="24">
        <f>'Data_in-situ'!DE36</f>
        <v>2496.179864816786</v>
      </c>
      <c r="R12" s="24">
        <f>'Data_in-situ'!DF36</f>
        <v>441.86562565211784</v>
      </c>
      <c r="S12" s="46">
        <f>'Data_in-situ'!DG36</f>
        <v>3</v>
      </c>
      <c r="T12" s="113">
        <f>'Data_in-situ'!DN8</f>
        <v>77.679769199310513</v>
      </c>
      <c r="U12" s="113">
        <f>'Data_in-situ'!DO8</f>
        <v>41.109363664076781</v>
      </c>
      <c r="V12" s="46">
        <f>'Data_in-situ'!DP8</f>
        <v>3</v>
      </c>
      <c r="W12" s="113">
        <f>'Data_in-situ'!DR8</f>
        <v>1.3178677201023323</v>
      </c>
      <c r="X12" s="113">
        <f>'Data_in-situ'!DS8</f>
        <v>0.99682589896901586</v>
      </c>
      <c r="Y12" s="46">
        <f>'Data_in-situ'!DT8</f>
        <v>3</v>
      </c>
      <c r="Z12" s="113">
        <f>'Data_in-situ'!EA33</f>
        <v>0.3</v>
      </c>
      <c r="AA12" s="113">
        <f>'Data_in-situ'!EB33</f>
        <v>0.35</v>
      </c>
      <c r="AB12" s="46">
        <f>'Data_in-situ'!EC33</f>
        <v>6</v>
      </c>
      <c r="AC12" s="113">
        <f>'Data_in-situ'!EE33</f>
        <v>3</v>
      </c>
      <c r="AD12" s="113">
        <f>'Data_in-situ'!EF33</f>
        <v>0.95</v>
      </c>
      <c r="AE12" s="46">
        <f>'Data_in-situ'!EG33</f>
        <v>6</v>
      </c>
      <c r="AF12" s="113">
        <f>'Data_in-situ'!EN21</f>
        <v>-20.329999999999998</v>
      </c>
      <c r="AG12" s="113">
        <f>'Data_in-situ'!EO21</f>
        <v>2.57</v>
      </c>
      <c r="AH12" s="110">
        <f>'Data_in-situ'!EP21</f>
        <v>3</v>
      </c>
      <c r="AI12" s="113">
        <f>'Data_in-situ'!ER21</f>
        <v>-37.89</v>
      </c>
      <c r="AJ12" s="113">
        <f>'Data_in-situ'!ES21</f>
        <v>1.4</v>
      </c>
      <c r="AK12" s="110">
        <f>'Data_in-situ'!ET21</f>
        <v>3</v>
      </c>
    </row>
    <row r="13" spans="1:37" x14ac:dyDescent="0.3">
      <c r="B13" s="24">
        <f>'Data_in-situ'!CA40</f>
        <v>-11180.604816398249</v>
      </c>
      <c r="C13" s="24">
        <f>'Data_in-situ'!CB40</f>
        <v>6822.7682537892761</v>
      </c>
      <c r="D13" s="46">
        <f>'Data_in-situ'!CC40</f>
        <v>3</v>
      </c>
      <c r="E13" s="24">
        <f>'Data_in-situ'!CE40</f>
        <v>-13708.481292600329</v>
      </c>
      <c r="F13" s="24">
        <f>'Data_in-situ'!CF40</f>
        <v>4128.0544247058242</v>
      </c>
      <c r="G13" s="46">
        <f>'Data_in-situ'!CG40</f>
        <v>3</v>
      </c>
      <c r="H13" s="24">
        <f>'Data_in-situ'!CN40</f>
        <v>12213.258396594058</v>
      </c>
      <c r="I13" s="24">
        <f>'Data_in-situ'!CO40</f>
        <v>5829.3069078214994</v>
      </c>
      <c r="J13" s="46">
        <f>'Data_in-situ'!CP40</f>
        <v>3</v>
      </c>
      <c r="K13" s="24">
        <f>'Data_in-situ'!CR40</f>
        <v>16774.878609701791</v>
      </c>
      <c r="L13" s="24">
        <f>'Data_in-situ'!CS40</f>
        <v>6880.9051275668298</v>
      </c>
      <c r="M13" s="46">
        <f>'Data_in-situ'!CT40</f>
        <v>3</v>
      </c>
      <c r="N13" s="24">
        <f>'Data_in-situ'!DA37</f>
        <v>1216.2984254201074</v>
      </c>
      <c r="O13" s="24">
        <f>'Data_in-situ'!DB37</f>
        <v>2060.9133169618808</v>
      </c>
      <c r="P13" s="46">
        <f>'Data_in-situ'!DC37</f>
        <v>3</v>
      </c>
      <c r="Q13" s="24">
        <f>'Data_in-situ'!DE37</f>
        <v>6279.4758803766526</v>
      </c>
      <c r="R13" s="24">
        <f>'Data_in-situ'!DF37</f>
        <v>947.48073610146616</v>
      </c>
      <c r="S13" s="46">
        <f>'Data_in-situ'!DG37</f>
        <v>3</v>
      </c>
      <c r="T13" s="113">
        <f>'Data_in-situ'!DN9</f>
        <v>77.679769199310513</v>
      </c>
      <c r="U13" s="113">
        <f>'Data_in-situ'!DO9</f>
        <v>41.109363664076781</v>
      </c>
      <c r="V13" s="46">
        <f>'Data_in-situ'!DP9</f>
        <v>3</v>
      </c>
      <c r="W13" s="113">
        <f>'Data_in-situ'!DR9</f>
        <v>-1.0998745633936757</v>
      </c>
      <c r="X13" s="113">
        <f>'Data_in-situ'!DS9</f>
        <v>0.82147395233930254</v>
      </c>
      <c r="Y13" s="46">
        <f>'Data_in-situ'!DT9</f>
        <v>3</v>
      </c>
      <c r="Z13" s="113">
        <f>'Data_in-situ'!EA84</f>
        <v>-0.10183500000000001</v>
      </c>
      <c r="AA13" s="113">
        <f>'Data_in-situ'!EB84</f>
        <v>6.3291E-2</v>
      </c>
      <c r="AB13" s="46">
        <f>'Data_in-situ'!EC84</f>
        <v>3</v>
      </c>
      <c r="AC13" s="113">
        <f>'Data_in-situ'!EE84</f>
        <v>2.9631794999999999</v>
      </c>
      <c r="AD13" s="113">
        <f>'Data_in-situ'!EF84</f>
        <v>0.67948399999999998</v>
      </c>
      <c r="AE13" s="46">
        <f>'Data_in-situ'!EG84</f>
        <v>3</v>
      </c>
      <c r="AF13" s="113">
        <f>'Data_in-situ'!EN22</f>
        <v>-6.17</v>
      </c>
      <c r="AG13" s="113">
        <f>'Data_in-situ'!EO22</f>
        <v>1.6</v>
      </c>
      <c r="AH13" s="110">
        <f>'Data_in-situ'!EP22</f>
        <v>3</v>
      </c>
      <c r="AI13" s="113">
        <f>'Data_in-situ'!ER22</f>
        <v>-40</v>
      </c>
      <c r="AJ13" s="113">
        <f>'Data_in-situ'!ES22</f>
        <v>0</v>
      </c>
      <c r="AK13" s="110">
        <f>'Data_in-situ'!ET22</f>
        <v>3</v>
      </c>
    </row>
    <row r="14" spans="1:37" x14ac:dyDescent="0.3">
      <c r="B14" s="24">
        <f>'Data_in-situ'!CA41</f>
        <v>-7247.1260453614086</v>
      </c>
      <c r="C14" s="24">
        <f>'Data_in-situ'!CB41</f>
        <v>2100.9616035887611</v>
      </c>
      <c r="D14" s="46">
        <f>'Data_in-situ'!CC41</f>
        <v>3</v>
      </c>
      <c r="E14" s="24">
        <f>'Data_in-situ'!CE41</f>
        <v>-4029.5823972485118</v>
      </c>
      <c r="F14" s="24">
        <f>'Data_in-situ'!CF41</f>
        <v>3302.4435397646589</v>
      </c>
      <c r="G14" s="46">
        <f>'Data_in-situ'!CG41</f>
        <v>3</v>
      </c>
      <c r="H14" s="24">
        <f>'Data_in-situ'!CN41</f>
        <v>6440.2877983621229</v>
      </c>
      <c r="I14" s="24">
        <f>'Data_in-situ'!CO41</f>
        <v>2181.3507268282779</v>
      </c>
      <c r="J14" s="46">
        <f>'Data_in-situ'!CP41</f>
        <v>3</v>
      </c>
      <c r="K14" s="24">
        <f>'Data_in-situ'!CR41</f>
        <v>16039.541465166916</v>
      </c>
      <c r="L14" s="24">
        <f>'Data_in-situ'!CS41</f>
        <v>7252.7203244742068</v>
      </c>
      <c r="M14" s="46">
        <f>'Data_in-situ'!CT41</f>
        <v>3</v>
      </c>
      <c r="N14" s="24">
        <f>'Data_in-situ'!DA38</f>
        <v>1216.2984254201074</v>
      </c>
      <c r="O14" s="24">
        <f>'Data_in-situ'!DB38</f>
        <v>2060.9133169618808</v>
      </c>
      <c r="P14" s="46">
        <f>'Data_in-situ'!DC38</f>
        <v>3</v>
      </c>
      <c r="Q14" s="24">
        <f>'Data_in-situ'!DE38</f>
        <v>2976.0572525106927</v>
      </c>
      <c r="R14" s="24">
        <f>'Data_in-situ'!DF38</f>
        <v>692.55442504565758</v>
      </c>
      <c r="S14" s="46">
        <f>'Data_in-situ'!DG38</f>
        <v>3</v>
      </c>
      <c r="T14" s="113">
        <f>'Data_in-situ'!DN10</f>
        <v>80.930473720608589</v>
      </c>
      <c r="U14" s="113">
        <f>'Data_in-situ'!DO10</f>
        <v>80.92749494901247</v>
      </c>
      <c r="V14" s="46">
        <f>'Data_in-situ'!DP10</f>
        <v>3</v>
      </c>
      <c r="W14" s="113">
        <f>'Data_in-situ'!DR10</f>
        <v>-0.14922022827514225</v>
      </c>
      <c r="X14" s="113">
        <f>'Data_in-situ'!DS10</f>
        <v>1.9242287674114169</v>
      </c>
      <c r="Y14" s="46">
        <f>'Data_in-situ'!DT10</f>
        <v>3</v>
      </c>
      <c r="Z14" s="113">
        <f>'Data_in-situ'!EA85</f>
        <v>2.8688999999999999E-2</v>
      </c>
      <c r="AA14" s="113">
        <f>'Data_in-situ'!EB85</f>
        <v>4.7267500000000004E-2</v>
      </c>
      <c r="AB14" s="46">
        <f>'Data_in-situ'!EC85</f>
        <v>3</v>
      </c>
      <c r="AC14" s="113">
        <f>'Data_in-situ'!EE85</f>
        <v>0.80300000000000005</v>
      </c>
      <c r="AD14" s="113">
        <f>'Data_in-situ'!EF85</f>
        <v>0.225132</v>
      </c>
      <c r="AE14" s="46">
        <f>'Data_in-situ'!EG85</f>
        <v>3</v>
      </c>
      <c r="AF14" s="113">
        <f>'Data_in-situ'!EN23</f>
        <v>-6.17</v>
      </c>
      <c r="AG14" s="113">
        <f>'Data_in-situ'!EO23</f>
        <v>1.6</v>
      </c>
      <c r="AH14" s="110">
        <f>'Data_in-situ'!EP23</f>
        <v>3</v>
      </c>
      <c r="AI14" s="113">
        <f>'Data_in-situ'!ER23</f>
        <v>-14.475524475524482</v>
      </c>
      <c r="AJ14" s="113">
        <f>'Data_in-situ'!ES23</f>
        <v>3.4828674393339902</v>
      </c>
      <c r="AK14" s="110">
        <f>'Data_in-situ'!ET23</f>
        <v>3</v>
      </c>
    </row>
    <row r="15" spans="1:37" x14ac:dyDescent="0.3">
      <c r="B15" s="24">
        <f>'Data_in-situ'!CA42</f>
        <v>-7247.1260453614086</v>
      </c>
      <c r="C15" s="24">
        <f>'Data_in-situ'!CB42</f>
        <v>2100.9616035887611</v>
      </c>
      <c r="D15" s="46">
        <f>'Data_in-situ'!CC42</f>
        <v>3</v>
      </c>
      <c r="E15" s="24">
        <f>'Data_in-situ'!CE42</f>
        <v>-4582.6623341257582</v>
      </c>
      <c r="F15" s="24">
        <f>'Data_in-situ'!CF42</f>
        <v>1206.6620626063177</v>
      </c>
      <c r="G15" s="46">
        <f>'Data_in-situ'!CG42</f>
        <v>3</v>
      </c>
      <c r="H15" s="24">
        <f>'Data_in-situ'!CN42</f>
        <v>6440.2877983621229</v>
      </c>
      <c r="I15" s="24">
        <f>'Data_in-situ'!CO42</f>
        <v>2181.3507268282779</v>
      </c>
      <c r="J15" s="46">
        <f>'Data_in-situ'!CP42</f>
        <v>3</v>
      </c>
      <c r="K15" s="24">
        <f>'Data_in-situ'!CR42</f>
        <v>24633.794341918241</v>
      </c>
      <c r="L15" s="24">
        <f>'Data_in-situ'!CS42</f>
        <v>2489.5274353362884</v>
      </c>
      <c r="M15" s="46">
        <f>'Data_in-situ'!CT42</f>
        <v>3</v>
      </c>
      <c r="N15" s="24">
        <f>'Data_in-situ'!DA39</f>
        <v>1032.6535801958089</v>
      </c>
      <c r="O15" s="24">
        <f>'Data_in-situ'!DB39</f>
        <v>1588.5865996086475</v>
      </c>
      <c r="P15" s="46">
        <f>'Data_in-situ'!DC39</f>
        <v>3</v>
      </c>
      <c r="Q15" s="24">
        <f>'Data_in-situ'!DE39</f>
        <v>11221.277403003456</v>
      </c>
      <c r="R15" s="24">
        <f>'Data_in-situ'!DF39</f>
        <v>1545.6282146126041</v>
      </c>
      <c r="S15" s="46">
        <f>'Data_in-situ'!DG39</f>
        <v>3</v>
      </c>
      <c r="T15" s="113">
        <f>'Data_in-situ'!DN11</f>
        <v>80.930473720608589</v>
      </c>
      <c r="U15" s="113">
        <f>'Data_in-situ'!DO11</f>
        <v>80.92749494901247</v>
      </c>
      <c r="V15" s="46">
        <f>'Data_in-situ'!DP11</f>
        <v>3</v>
      </c>
      <c r="W15" s="113">
        <f>'Data_in-situ'!DR11</f>
        <v>2.5012626262626263</v>
      </c>
      <c r="X15" s="113">
        <f>'Data_in-situ'!DS11</f>
        <v>2.3831947437160079</v>
      </c>
      <c r="Y15" s="46">
        <f>'Data_in-situ'!DT11</f>
        <v>3</v>
      </c>
      <c r="Z15" s="113">
        <f>'Data_in-situ'!EA86</f>
        <v>-1.4600000000000002E-2</v>
      </c>
      <c r="AA15" s="113">
        <f>'Data_in-situ'!EB86</f>
        <v>8.8257000000000002E-2</v>
      </c>
      <c r="AB15" s="46">
        <f>'Data_in-situ'!EC86</f>
        <v>3</v>
      </c>
      <c r="AC15" s="113">
        <f>'Data_in-situ'!EE86</f>
        <v>7.8840000000000004E-3</v>
      </c>
      <c r="AD15" s="113">
        <f>'Data_in-situ'!EF86</f>
        <v>4.9822500000000006E-2</v>
      </c>
      <c r="AE15" s="46">
        <f>'Data_in-situ'!EG86</f>
        <v>3</v>
      </c>
      <c r="AF15" s="113">
        <f>'Data_in-situ'!EN24</f>
        <v>-6.17</v>
      </c>
      <c r="AG15" s="113">
        <f>'Data_in-situ'!EO24</f>
        <v>1.6</v>
      </c>
      <c r="AH15" s="110">
        <f>'Data_in-situ'!EP24</f>
        <v>3</v>
      </c>
      <c r="AI15" s="113">
        <f>'Data_in-situ'!ER24</f>
        <v>-40</v>
      </c>
      <c r="AJ15" s="113">
        <f>'Data_in-situ'!ES24</f>
        <v>0</v>
      </c>
      <c r="AK15" s="110">
        <f>'Data_in-situ'!ET24</f>
        <v>3</v>
      </c>
    </row>
    <row r="16" spans="1:37" x14ac:dyDescent="0.3">
      <c r="B16" s="24">
        <f>'Data_in-situ'!CA43</f>
        <v>-7369.2686191596349</v>
      </c>
      <c r="C16" s="24">
        <f>'Data_in-situ'!CB43</f>
        <v>746.95892899118678</v>
      </c>
      <c r="D16" s="46">
        <f>'Data_in-situ'!CC43</f>
        <v>3</v>
      </c>
      <c r="E16" s="24">
        <f>'Data_in-situ'!CE43</f>
        <v>-3516.0081701482113</v>
      </c>
      <c r="F16" s="24">
        <f>'Data_in-situ'!CF43</f>
        <v>4890.1567800361299</v>
      </c>
      <c r="G16" s="46">
        <f>'Data_in-situ'!CG43</f>
        <v>3</v>
      </c>
      <c r="H16" s="24">
        <f>'Data_in-situ'!CN43</f>
        <v>11939.302764655935</v>
      </c>
      <c r="I16" s="24">
        <f>'Data_in-situ'!CO43</f>
        <v>4483.7070147716358</v>
      </c>
      <c r="J16" s="46">
        <f>'Data_in-situ'!CP43</f>
        <v>3</v>
      </c>
      <c r="K16" s="24">
        <f>'Data_in-situ'!CR43</f>
        <v>16131.458608233776</v>
      </c>
      <c r="L16" s="24">
        <f>'Data_in-situ'!CS43</f>
        <v>7799.7123045882036</v>
      </c>
      <c r="M16" s="46">
        <f>'Data_in-situ'!CT43</f>
        <v>3</v>
      </c>
      <c r="N16" s="24">
        <f>'Data_in-situ'!DA40</f>
        <v>1032.6535801958089</v>
      </c>
      <c r="O16" s="24">
        <f>'Data_in-situ'!DB40</f>
        <v>1588.5865996086475</v>
      </c>
      <c r="P16" s="46">
        <f>'Data_in-situ'!DC40</f>
        <v>3</v>
      </c>
      <c r="Q16" s="24">
        <f>'Data_in-situ'!DE40</f>
        <v>3066.3973171014622</v>
      </c>
      <c r="R16" s="24">
        <f>'Data_in-situ'!DF40</f>
        <v>896.27712667386777</v>
      </c>
      <c r="S16" s="46">
        <f>'Data_in-situ'!DG40</f>
        <v>3</v>
      </c>
      <c r="T16" s="113">
        <f>'Data_in-situ'!DN12</f>
        <v>80.930473720608589</v>
      </c>
      <c r="U16" s="113">
        <f>'Data_in-situ'!DO12</f>
        <v>80.92749494901247</v>
      </c>
      <c r="V16" s="46">
        <f>'Data_in-situ'!DP12</f>
        <v>3</v>
      </c>
      <c r="W16" s="113">
        <f>'Data_in-situ'!DR12</f>
        <v>-2.9015044386833213</v>
      </c>
      <c r="X16" s="113">
        <f>'Data_in-situ'!DS12</f>
        <v>2.2386157093008641</v>
      </c>
      <c r="Y16" s="46">
        <f>'Data_in-situ'!DT12</f>
        <v>3</v>
      </c>
      <c r="Z16" s="113">
        <f>'Data_in-situ'!EA87</f>
        <v>7.3730000000000004E-2</v>
      </c>
      <c r="AA16" s="113">
        <f>'Data_in-situ'!EB87</f>
        <v>3.5076500000000004E-2</v>
      </c>
      <c r="AB16" s="46">
        <f>'Data_in-situ'!EC87</f>
        <v>3</v>
      </c>
      <c r="AC16" s="113">
        <f>'Data_in-situ'!EE87</f>
        <v>8.0263499999999988E-2</v>
      </c>
      <c r="AD16" s="113">
        <f>'Data_in-situ'!EF87</f>
        <v>2.8396999999999999E-2</v>
      </c>
      <c r="AE16" s="46">
        <f>'Data_in-situ'!EG87</f>
        <v>3</v>
      </c>
      <c r="AF16" s="113">
        <f>'Data_in-situ'!EN25</f>
        <v>-6.17</v>
      </c>
      <c r="AG16" s="113">
        <f>'Data_in-situ'!EO25</f>
        <v>1.6</v>
      </c>
      <c r="AH16" s="110">
        <f>'Data_in-situ'!EP25</f>
        <v>3</v>
      </c>
      <c r="AI16" s="113">
        <f>'Data_in-situ'!ER25</f>
        <v>-31.710108073744415</v>
      </c>
      <c r="AJ16" s="113">
        <f>'Data_in-situ'!ES25</f>
        <v>5.4726041682006299</v>
      </c>
      <c r="AK16" s="110">
        <f>'Data_in-situ'!ET25</f>
        <v>3</v>
      </c>
    </row>
    <row r="17" spans="2:37" x14ac:dyDescent="0.3">
      <c r="B17" s="24">
        <f>'Data_in-situ'!CA44</f>
        <v>-7369.2686191596349</v>
      </c>
      <c r="C17" s="24">
        <f>'Data_in-situ'!CB44</f>
        <v>746.95892899118678</v>
      </c>
      <c r="D17" s="46">
        <f>'Data_in-situ'!CC44</f>
        <v>3</v>
      </c>
      <c r="E17" s="24">
        <f>'Data_in-situ'!CE44</f>
        <v>-4661.6737536796509</v>
      </c>
      <c r="F17" s="24">
        <f>'Data_in-situ'!CF44</f>
        <v>1270.1705922171766</v>
      </c>
      <c r="G17" s="46">
        <f>'Data_in-situ'!CG44</f>
        <v>3</v>
      </c>
      <c r="H17" s="24">
        <f>'Data_in-situ'!CN44</f>
        <v>11939.302764655935</v>
      </c>
      <c r="I17" s="24">
        <f>'Data_in-situ'!CO44</f>
        <v>4483.7070147716358</v>
      </c>
      <c r="J17" s="46">
        <f>'Data_in-situ'!CP44</f>
        <v>3</v>
      </c>
      <c r="K17" s="24">
        <f>'Data_in-situ'!CR44</f>
        <v>23300.995767448785</v>
      </c>
      <c r="L17" s="24">
        <f>'Data_in-situ'!CS44</f>
        <v>3584.4542083747219</v>
      </c>
      <c r="M17" s="46">
        <f>'Data_in-situ'!CT44</f>
        <v>3</v>
      </c>
      <c r="N17" s="24">
        <f>'Data_in-situ'!DA41</f>
        <v>-806.83824699928573</v>
      </c>
      <c r="O17" s="24">
        <f>'Data_in-situ'!DB41</f>
        <v>461.4050593199143</v>
      </c>
      <c r="P17" s="46">
        <f>'Data_in-situ'!DC41</f>
        <v>3</v>
      </c>
      <c r="Q17" s="24">
        <f>'Data_in-situ'!DE41</f>
        <v>12009.959067918404</v>
      </c>
      <c r="R17" s="24">
        <f>'Data_in-situ'!DF41</f>
        <v>2892.3831674824651</v>
      </c>
      <c r="S17" s="46">
        <f>'Data_in-situ'!DG41</f>
        <v>3</v>
      </c>
      <c r="T17" s="113">
        <f>'Data_in-situ'!DN13</f>
        <v>80.930473720608589</v>
      </c>
      <c r="U17" s="113">
        <f>'Data_in-situ'!DO13</f>
        <v>80.92749494901247</v>
      </c>
      <c r="V17" s="46">
        <f>'Data_in-situ'!DP13</f>
        <v>3</v>
      </c>
      <c r="W17" s="113">
        <f>'Data_in-situ'!DR13</f>
        <v>1.1401515151515151</v>
      </c>
      <c r="X17" s="113">
        <f>'Data_in-situ'!DS13</f>
        <v>0.60565777356465134</v>
      </c>
      <c r="Y17" s="46">
        <f>'Data_in-situ'!DT13</f>
        <v>3</v>
      </c>
      <c r="Z17" s="113">
        <f>'Data_in-situ'!EA90</f>
        <v>0.12316304575332541</v>
      </c>
      <c r="AA17" s="113">
        <f>'Data_in-situ'!EB90</f>
        <v>1.532860435877279</v>
      </c>
      <c r="AB17" s="46">
        <f>'Data_in-situ'!EC90</f>
        <v>3</v>
      </c>
      <c r="AC17" s="113">
        <f>'Data_in-situ'!EE90</f>
        <v>0.37414709355805537</v>
      </c>
      <c r="AD17" s="113">
        <f>'Data_in-situ'!EF90</f>
        <v>1.1112977251351353</v>
      </c>
      <c r="AE17" s="46">
        <f>'Data_in-situ'!EG90</f>
        <v>3</v>
      </c>
      <c r="AF17" s="113">
        <f>'Data_in-situ'!EN26</f>
        <v>-20.329999999999998</v>
      </c>
      <c r="AG17" s="113">
        <f>'Data_in-situ'!EO26</f>
        <v>2.57</v>
      </c>
      <c r="AH17" s="110">
        <f>'Data_in-situ'!EP26</f>
        <v>3</v>
      </c>
      <c r="AI17" s="113">
        <f>'Data_in-situ'!ER26</f>
        <v>-40</v>
      </c>
      <c r="AJ17" s="113">
        <f>'Data_in-situ'!ES26</f>
        <v>0</v>
      </c>
      <c r="AK17" s="110">
        <f>'Data_in-situ'!ET26</f>
        <v>3</v>
      </c>
    </row>
    <row r="18" spans="2:37" x14ac:dyDescent="0.3">
      <c r="B18" s="24">
        <f>'Data_in-situ'!CA45</f>
        <v>-7939.2672968846891</v>
      </c>
      <c r="C18" s="24">
        <f>'Data_in-situ'!CB45</f>
        <v>2111.9731212798092</v>
      </c>
      <c r="D18" s="46">
        <f>'Data_in-situ'!CC45</f>
        <v>3</v>
      </c>
      <c r="E18" s="24">
        <f>'Data_in-situ'!CE45</f>
        <v>-3674.0310092559957</v>
      </c>
      <c r="F18" s="24">
        <f>'Data_in-situ'!CF45</f>
        <v>3492.9691285972353</v>
      </c>
      <c r="G18" s="46">
        <f>'Data_in-situ'!CG45</f>
        <v>3</v>
      </c>
      <c r="H18" s="24">
        <f>'Data_in-situ'!CN45</f>
        <v>12286.087492260051</v>
      </c>
      <c r="I18" s="24">
        <f>'Data_in-situ'!CO45</f>
        <v>4228.1100433523952</v>
      </c>
      <c r="J18" s="46">
        <f>'Data_in-situ'!CP45</f>
        <v>3</v>
      </c>
      <c r="K18" s="24">
        <f>'Data_in-situ'!CR45</f>
        <v>22335.865765246766</v>
      </c>
      <c r="L18" s="24">
        <f>'Data_in-situ'!CS45</f>
        <v>5098.0031695624621</v>
      </c>
      <c r="M18" s="46">
        <f>'Data_in-situ'!CT45</f>
        <v>3</v>
      </c>
      <c r="N18" s="24">
        <f>'Data_in-situ'!DA42</f>
        <v>-806.83824699928573</v>
      </c>
      <c r="O18" s="24">
        <f>'Data_in-situ'!DB42</f>
        <v>461.4050593199143</v>
      </c>
      <c r="P18" s="46">
        <f>'Data_in-situ'!DC42</f>
        <v>3</v>
      </c>
      <c r="Q18" s="24">
        <f>'Data_in-situ'!DE42</f>
        <v>20051.132007792483</v>
      </c>
      <c r="R18" s="24">
        <f>'Data_in-situ'!DF42</f>
        <v>2691.1988636577989</v>
      </c>
      <c r="S18" s="46">
        <f>'Data_in-situ'!DG42</f>
        <v>3</v>
      </c>
      <c r="T18" s="113">
        <f>'Data_in-situ'!DN14</f>
        <v>1212.2979432249506</v>
      </c>
      <c r="U18" s="113">
        <f>'Data_in-situ'!DO14</f>
        <v>324.6860048502561</v>
      </c>
      <c r="V18" s="46">
        <f>'Data_in-situ'!DP14</f>
        <v>9</v>
      </c>
      <c r="W18" s="113">
        <f>'Data_in-situ'!DR14</f>
        <v>4.8030530526021593</v>
      </c>
      <c r="X18" s="113">
        <f>'Data_in-situ'!DS14</f>
        <v>10.100613157809143</v>
      </c>
      <c r="Y18" s="46">
        <f>'Data_in-situ'!DT14</f>
        <v>9</v>
      </c>
      <c r="Z18" s="113">
        <f>'Data_in-situ'!EA91</f>
        <v>1.5714285714285715E-2</v>
      </c>
      <c r="AA18" s="113">
        <f>'Data_in-situ'!EB91</f>
        <v>9.0356781150237736E-2</v>
      </c>
      <c r="AB18" s="46">
        <f>'Data_in-situ'!EC91</f>
        <v>3</v>
      </c>
      <c r="AC18" s="113">
        <f>'Data_in-situ'!EE91</f>
        <v>1.0214285714285716</v>
      </c>
      <c r="AD18" s="113">
        <f>'Data_in-situ'!EF91</f>
        <v>1.5251352255609132</v>
      </c>
      <c r="AE18" s="46">
        <f>'Data_in-situ'!EG91</f>
        <v>3</v>
      </c>
      <c r="AF18" s="113">
        <f>'Data_in-situ'!EN27</f>
        <v>-20.329999999999998</v>
      </c>
      <c r="AG18" s="113">
        <f>'Data_in-situ'!EO27</f>
        <v>2.57</v>
      </c>
      <c r="AH18" s="110">
        <f>'Data_in-situ'!EP27</f>
        <v>3</v>
      </c>
      <c r="AI18" s="113">
        <f>'Data_in-situ'!ER27</f>
        <v>-14.475524475524482</v>
      </c>
      <c r="AJ18" s="113">
        <f>'Data_in-situ'!ES27</f>
        <v>3.4828674393339902</v>
      </c>
      <c r="AK18" s="110">
        <f>'Data_in-situ'!ET27</f>
        <v>3</v>
      </c>
    </row>
    <row r="19" spans="2:37" x14ac:dyDescent="0.3">
      <c r="B19" s="24">
        <f>'Data_in-situ'!CA46</f>
        <v>-7939.2672968846891</v>
      </c>
      <c r="C19" s="24">
        <f>'Data_in-situ'!CB46</f>
        <v>2111.9731212798092</v>
      </c>
      <c r="D19" s="46">
        <f>'Data_in-situ'!CC46</f>
        <v>3</v>
      </c>
      <c r="E19" s="24">
        <f>'Data_in-situ'!CE46</f>
        <v>-4859.2023025643821</v>
      </c>
      <c r="F19" s="24">
        <f>'Data_in-situ'!CF46</f>
        <v>1397.1876514388941</v>
      </c>
      <c r="G19" s="46">
        <f>'Data_in-situ'!CG46</f>
        <v>3</v>
      </c>
      <c r="H19" s="24">
        <f>'Data_in-situ'!CN46</f>
        <v>12286.087492260051</v>
      </c>
      <c r="I19" s="24">
        <f>'Data_in-situ'!CO46</f>
        <v>2603.8497140452123</v>
      </c>
      <c r="J19" s="46">
        <f>'Data_in-situ'!CP46</f>
        <v>3</v>
      </c>
      <c r="K19" s="24">
        <f>'Data_in-situ'!CR46</f>
        <v>23071.202909781641</v>
      </c>
      <c r="L19" s="24">
        <f>'Data_in-situ'!CS46</f>
        <v>3447.7118721915385</v>
      </c>
      <c r="M19" s="46">
        <f>'Data_in-situ'!CT46</f>
        <v>3</v>
      </c>
      <c r="N19" s="24">
        <f>'Data_in-situ'!DA43</f>
        <v>4570.0341454963</v>
      </c>
      <c r="O19" s="24">
        <f>'Data_in-situ'!DB43</f>
        <v>2072.5073882436504</v>
      </c>
      <c r="P19" s="46">
        <f>'Data_in-situ'!DC43</f>
        <v>3</v>
      </c>
      <c r="Q19" s="24">
        <f>'Data_in-situ'!DE43</f>
        <v>12615.450438085565</v>
      </c>
      <c r="R19" s="24">
        <f>'Data_in-situ'!DF43</f>
        <v>3401.8688612922183</v>
      </c>
      <c r="S19" s="46">
        <f>'Data_in-situ'!DG43</f>
        <v>3</v>
      </c>
      <c r="T19" s="113">
        <f>'Data_in-situ'!DN15</f>
        <v>2106.5008889916066</v>
      </c>
      <c r="U19" s="113">
        <f>'Data_in-situ'!DO15</f>
        <v>550.27007995085796</v>
      </c>
      <c r="V19" s="46">
        <f>'Data_in-situ'!DP15</f>
        <v>12</v>
      </c>
      <c r="W19" s="113">
        <f>'Data_in-situ'!DR15</f>
        <v>-0.36946561943093542</v>
      </c>
      <c r="X19" s="113">
        <f>'Data_in-situ'!DS15</f>
        <v>0.8584618328302922</v>
      </c>
      <c r="Y19" s="46">
        <f>'Data_in-situ'!DT15</f>
        <v>12</v>
      </c>
      <c r="Z19" s="113">
        <f>'Data_in-situ'!EA92</f>
        <v>2.357142857142857E-2</v>
      </c>
      <c r="AA19" s="113">
        <f>'Data_in-situ'!EB92</f>
        <v>0.13553517172535659</v>
      </c>
      <c r="AB19" s="46">
        <f>'Data_in-situ'!EC92</f>
        <v>3</v>
      </c>
      <c r="AC19" s="113">
        <f>'Data_in-situ'!EE92</f>
        <v>2.1214285714285714</v>
      </c>
      <c r="AD19" s="113">
        <f>'Data_in-situ'!EF92</f>
        <v>3.1675885453957426</v>
      </c>
      <c r="AE19" s="46">
        <f>'Data_in-situ'!EG92</f>
        <v>3</v>
      </c>
      <c r="AF19" s="113">
        <f>'Data_in-situ'!EN28</f>
        <v>-20.329999999999998</v>
      </c>
      <c r="AG19" s="113">
        <f>'Data_in-situ'!EO28</f>
        <v>2.57</v>
      </c>
      <c r="AH19" s="110">
        <f>'Data_in-situ'!EP28</f>
        <v>3</v>
      </c>
      <c r="AI19" s="113">
        <f>'Data_in-situ'!ER28</f>
        <v>-40</v>
      </c>
      <c r="AJ19" s="113">
        <f>'Data_in-situ'!ES28</f>
        <v>0</v>
      </c>
      <c r="AK19" s="110">
        <f>'Data_in-situ'!ET28</f>
        <v>3</v>
      </c>
    </row>
    <row r="20" spans="2:37" x14ac:dyDescent="0.3">
      <c r="B20" s="24">
        <f>'Data_in-situ'!CA47</f>
        <v>-8294.385041352898</v>
      </c>
      <c r="C20" s="24">
        <f>'Data_in-situ'!CB47</f>
        <v>1642.4661972156998</v>
      </c>
      <c r="D20" s="46">
        <f>'Data_in-situ'!CC47</f>
        <v>3</v>
      </c>
      <c r="E20" s="24">
        <f>'Data_in-situ'!CE47</f>
        <v>-4116.4949587577939</v>
      </c>
      <c r="F20" s="24">
        <f>'Data_in-situ'!CF47</f>
        <v>2228.1690065442513</v>
      </c>
      <c r="G20" s="46">
        <f>'Data_in-situ'!CG47</f>
        <v>3</v>
      </c>
      <c r="H20" s="24">
        <f>'Data_in-situ'!CN47</f>
        <v>9925.2960228500779</v>
      </c>
      <c r="I20" s="24">
        <f>'Data_in-situ'!CO47</f>
        <v>1567.0081026388868</v>
      </c>
      <c r="J20" s="46">
        <f>'Data_in-situ'!CP47</f>
        <v>3</v>
      </c>
      <c r="K20" s="24">
        <f>'Data_in-situ'!CR47</f>
        <v>11818.246669821412</v>
      </c>
      <c r="L20" s="24">
        <f>'Data_in-situ'!CS47</f>
        <v>4651.0454986548657</v>
      </c>
      <c r="M20" s="46">
        <f>'Data_in-situ'!CT47</f>
        <v>3</v>
      </c>
      <c r="N20" s="24">
        <f>'Data_in-situ'!DA44</f>
        <v>4570.0341454963</v>
      </c>
      <c r="O20" s="24">
        <f>'Data_in-situ'!DB44</f>
        <v>2072.5073882436504</v>
      </c>
      <c r="P20" s="46">
        <f>'Data_in-situ'!DC44</f>
        <v>3</v>
      </c>
      <c r="Q20" s="24">
        <f>'Data_in-situ'!DE44</f>
        <v>18639.322013769135</v>
      </c>
      <c r="R20" s="24">
        <f>'Data_in-situ'!DF44</f>
        <v>3134.054571327079</v>
      </c>
      <c r="S20" s="46">
        <f>'Data_in-situ'!DG44</f>
        <v>3</v>
      </c>
      <c r="T20" s="113">
        <f>'Data_in-situ'!DN16</f>
        <v>382.09999892536933</v>
      </c>
      <c r="U20" s="113">
        <f>'Data_in-situ'!DO16</f>
        <v>116.45849359259256</v>
      </c>
      <c r="V20" s="46">
        <f>'Data_in-situ'!DP16</f>
        <v>9</v>
      </c>
      <c r="W20" s="113">
        <f>'Data_in-situ'!DR16</f>
        <v>31.035112032198569</v>
      </c>
      <c r="X20" s="113">
        <f>'Data_in-situ'!DS16</f>
        <v>65.358501102872523</v>
      </c>
      <c r="Y20" s="46">
        <f>'Data_in-situ'!DT16</f>
        <v>9</v>
      </c>
      <c r="Z20" s="113">
        <f>'Data_in-situ'!EA93</f>
        <v>2.357142857142857E-2</v>
      </c>
      <c r="AA20" s="113">
        <f>'Data_in-situ'!EB93</f>
        <v>0.13553517172535659</v>
      </c>
      <c r="AB20" s="46">
        <f>'Data_in-situ'!EC93</f>
        <v>3</v>
      </c>
      <c r="AC20" s="113">
        <f>'Data_in-situ'!EE93</f>
        <v>0.80142857142857149</v>
      </c>
      <c r="AD20" s="113">
        <f>'Data_in-situ'!EF93</f>
        <v>1.1966445615939472</v>
      </c>
      <c r="AE20" s="46">
        <f>'Data_in-situ'!EG93</f>
        <v>3</v>
      </c>
      <c r="AF20" s="113">
        <f>'Data_in-situ'!EN29</f>
        <v>-20.329999999999998</v>
      </c>
      <c r="AG20" s="113">
        <f>'Data_in-situ'!EO29</f>
        <v>2.57</v>
      </c>
      <c r="AH20" s="110">
        <f>'Data_in-situ'!EP29</f>
        <v>3</v>
      </c>
      <c r="AI20" s="113">
        <f>'Data_in-situ'!ER29</f>
        <v>-31.710108073744415</v>
      </c>
      <c r="AJ20" s="113">
        <f>'Data_in-situ'!ES29</f>
        <v>5.4726041682006299</v>
      </c>
      <c r="AK20" s="110">
        <f>'Data_in-situ'!ET29</f>
        <v>3</v>
      </c>
    </row>
    <row r="21" spans="2:37" x14ac:dyDescent="0.3">
      <c r="B21" s="24">
        <f>'Data_in-situ'!CA48</f>
        <v>-8294.385041352898</v>
      </c>
      <c r="C21" s="24">
        <f>'Data_in-situ'!CB48</f>
        <v>1642.4661972156998</v>
      </c>
      <c r="D21" s="46">
        <f>'Data_in-situ'!CC48</f>
        <v>3</v>
      </c>
      <c r="E21" s="24">
        <f>'Data_in-situ'!CE48</f>
        <v>-7951.7092639037292</v>
      </c>
      <c r="F21" s="24">
        <f>'Data_in-situ'!CF48</f>
        <v>991.198558307697</v>
      </c>
      <c r="G21" s="46">
        <f>'Data_in-situ'!CG48</f>
        <v>3</v>
      </c>
      <c r="H21" s="24">
        <f>'Data_in-situ'!CN48</f>
        <v>9925.2960228500779</v>
      </c>
      <c r="I21" s="24">
        <f>'Data_in-situ'!CO48</f>
        <v>1567.0081026388868</v>
      </c>
      <c r="J21" s="46">
        <f>'Data_in-situ'!CP48</f>
        <v>3</v>
      </c>
      <c r="K21" s="24">
        <f>'Data_in-situ'!CR48</f>
        <v>18874.266157348848</v>
      </c>
      <c r="L21" s="24">
        <f>'Data_in-situ'!CS48</f>
        <v>1436.9763260046241</v>
      </c>
      <c r="M21" s="46">
        <f>'Data_in-situ'!CT48</f>
        <v>3</v>
      </c>
      <c r="N21" s="24">
        <f>'Data_in-situ'!DA45</f>
        <v>4346.8201953753614</v>
      </c>
      <c r="O21" s="24">
        <f>'Data_in-situ'!DB45</f>
        <v>1600.2428388061255</v>
      </c>
      <c r="P21" s="46">
        <f>'Data_in-situ'!DC45</f>
        <v>3</v>
      </c>
      <c r="Q21" s="24">
        <f>'Data_in-situ'!DE45</f>
        <v>18661.834755990771</v>
      </c>
      <c r="R21" s="24">
        <f>'Data_in-situ'!DF45</f>
        <v>3804.3746385120953</v>
      </c>
      <c r="S21" s="46">
        <f>'Data_in-situ'!DG45</f>
        <v>3</v>
      </c>
      <c r="T21" s="113">
        <f>'Data_in-situ'!DN17</f>
        <v>60.942159705621961</v>
      </c>
      <c r="U21" s="113">
        <f>'Data_in-situ'!DO17</f>
        <v>16.400357502575496</v>
      </c>
      <c r="V21" s="46">
        <f>'Data_in-situ'!DP17</f>
        <v>12</v>
      </c>
      <c r="W21" s="113">
        <f>'Data_in-situ'!DR17</f>
        <v>31.035112032198569</v>
      </c>
      <c r="X21" s="113">
        <f>'Data_in-situ'!DS17</f>
        <v>65.358501102872523</v>
      </c>
      <c r="Y21" s="46">
        <f>'Data_in-situ'!DT17</f>
        <v>12</v>
      </c>
      <c r="Z21" s="113">
        <f>'Data_in-situ'!EA94</f>
        <v>1.5714285714285715E-2</v>
      </c>
      <c r="AA21" s="113">
        <f>'Data_in-situ'!EB94</f>
        <v>9.0356781150237736E-2</v>
      </c>
      <c r="AB21" s="46">
        <f>'Data_in-situ'!EC94</f>
        <v>3</v>
      </c>
      <c r="AC21" s="113">
        <f>'Data_in-situ'!EE94</f>
        <v>1.7285714285714286E-2</v>
      </c>
      <c r="AD21" s="113">
        <f>'Data_in-situ'!EF94</f>
        <v>2.5809980740261605E-2</v>
      </c>
      <c r="AE21" s="46">
        <f>'Data_in-situ'!EG94</f>
        <v>3</v>
      </c>
      <c r="AF21" s="113">
        <f>'Data_in-situ'!EN32</f>
        <v>-15.3</v>
      </c>
      <c r="AG21" s="113">
        <f>'Data_in-situ'!EO32</f>
        <v>3.2</v>
      </c>
      <c r="AH21" s="110">
        <f>'Data_in-situ'!EP32</f>
        <v>6</v>
      </c>
      <c r="AI21" s="113">
        <f>'Data_in-situ'!ER32</f>
        <v>-47.7</v>
      </c>
      <c r="AJ21" s="113">
        <f>'Data_in-situ'!ES32</f>
        <v>6.2</v>
      </c>
      <c r="AK21" s="110">
        <f>'Data_in-situ'!ET32</f>
        <v>6</v>
      </c>
    </row>
    <row r="22" spans="2:37" x14ac:dyDescent="0.3">
      <c r="B22" s="24">
        <f>'Data_in-situ'!CA49</f>
        <v>-9369.2576901028933</v>
      </c>
      <c r="C22" s="24">
        <f>'Data_in-situ'!CB49</f>
        <v>2035.7162873934246</v>
      </c>
      <c r="D22" s="46">
        <f>'Data_in-situ'!CC49</f>
        <v>3</v>
      </c>
      <c r="E22" s="24">
        <f>'Data_in-situ'!CE49</f>
        <v>-2299.2323090182686</v>
      </c>
      <c r="F22" s="24">
        <f>'Data_in-situ'!CF49</f>
        <v>2342.6341654926264</v>
      </c>
      <c r="G22" s="46">
        <f>'Data_in-situ'!CG49</f>
        <v>3</v>
      </c>
      <c r="H22" s="24">
        <f>'Data_in-situ'!CN49</f>
        <v>12061.199832356524</v>
      </c>
      <c r="I22" s="24">
        <f>'Data_in-situ'!CO49</f>
        <v>2723.4693933324475</v>
      </c>
      <c r="J22" s="46">
        <f>'Data_in-situ'!CP49</f>
        <v>3</v>
      </c>
      <c r="K22" s="24">
        <f>'Data_in-situ'!CR49</f>
        <v>11429.896740363933</v>
      </c>
      <c r="L22" s="24">
        <f>'Data_in-situ'!CS49</f>
        <v>4226.8745195225956</v>
      </c>
      <c r="M22" s="46">
        <f>'Data_in-situ'!CT49</f>
        <v>3</v>
      </c>
      <c r="N22" s="24">
        <f>'Data_in-situ'!DA46</f>
        <v>4346.8201953753614</v>
      </c>
      <c r="O22" s="24">
        <f>'Data_in-situ'!DB46</f>
        <v>1600.2428388061255</v>
      </c>
      <c r="P22" s="46">
        <f>'Data_in-situ'!DC46</f>
        <v>3</v>
      </c>
      <c r="Q22" s="24">
        <f>'Data_in-situ'!DE46</f>
        <v>18212.000607217258</v>
      </c>
      <c r="R22" s="24">
        <f>'Data_in-situ'!DF46</f>
        <v>4028.2334522837918</v>
      </c>
      <c r="S22" s="46">
        <f>'Data_in-situ'!DG46</f>
        <v>3</v>
      </c>
      <c r="T22" s="113">
        <f>'Data_in-situ'!DN18</f>
        <v>76.598647152414557</v>
      </c>
      <c r="U22" s="113">
        <f>'Data_in-situ'!DO18</f>
        <v>97.385019539931207</v>
      </c>
      <c r="V22" s="46">
        <f>'Data_in-situ'!DP18</f>
        <v>3</v>
      </c>
      <c r="W22" s="113">
        <f>'Data_in-situ'!DR18</f>
        <v>1.2881413805511519</v>
      </c>
      <c r="X22" s="113">
        <f>'Data_in-situ'!DS18</f>
        <v>5.0439358355151063</v>
      </c>
      <c r="Y22" s="46">
        <f>'Data_in-situ'!DT18</f>
        <v>3</v>
      </c>
      <c r="Z22" s="113">
        <f>'Data_in-situ'!EA95</f>
        <v>1.8857142857142857E-2</v>
      </c>
      <c r="AA22" s="113">
        <f>'Data_in-situ'!EB95</f>
        <v>0.10842813738028528</v>
      </c>
      <c r="AB22" s="46">
        <f>'Data_in-situ'!EC95</f>
        <v>3</v>
      </c>
      <c r="AC22" s="113">
        <f>'Data_in-situ'!EE95</f>
        <v>2.0428571428571428E-2</v>
      </c>
      <c r="AD22" s="113">
        <f>'Data_in-situ'!EF95</f>
        <v>3.0502704511218261E-2</v>
      </c>
      <c r="AE22" s="46">
        <f>'Data_in-situ'!EG95</f>
        <v>3</v>
      </c>
      <c r="AF22" s="113">
        <f>'Data_in-situ'!EN33</f>
        <v>-9</v>
      </c>
      <c r="AG22" s="113">
        <f>'Data_in-situ'!EO33</f>
        <v>1.9</v>
      </c>
      <c r="AH22" s="110">
        <f>'Data_in-situ'!EP33</f>
        <v>3</v>
      </c>
      <c r="AI22" s="113">
        <f>'Data_in-situ'!ER33</f>
        <v>-34.51</v>
      </c>
      <c r="AJ22" s="113">
        <f>'Data_in-situ'!ES33</f>
        <v>4.08</v>
      </c>
      <c r="AK22" s="110">
        <f>'Data_in-situ'!ET33</f>
        <v>3</v>
      </c>
    </row>
    <row r="23" spans="2:37" x14ac:dyDescent="0.3">
      <c r="B23" s="24">
        <f>'Data_in-situ'!CA50</f>
        <v>-9369.2576901028933</v>
      </c>
      <c r="C23" s="24">
        <f>'Data_in-situ'!CB50</f>
        <v>2035.7162873934246</v>
      </c>
      <c r="D23" s="46">
        <f>'Data_in-situ'!CC50</f>
        <v>3</v>
      </c>
      <c r="E23" s="24">
        <f>'Data_in-situ'!CE50</f>
        <v>-9078.4121067422348</v>
      </c>
      <c r="F23" s="24">
        <f>'Data_in-situ'!CF50</f>
        <v>2550.7669434897421</v>
      </c>
      <c r="G23" s="46">
        <f>'Data_in-situ'!CG50</f>
        <v>3</v>
      </c>
      <c r="H23" s="24">
        <f>'Data_in-situ'!CN50</f>
        <v>12061.199832356524</v>
      </c>
      <c r="I23" s="24">
        <f>'Data_in-situ'!CO50</f>
        <v>2723.4693933324475</v>
      </c>
      <c r="J23" s="46">
        <f>'Data_in-situ'!CP50</f>
        <v>3</v>
      </c>
      <c r="K23" s="24">
        <f>'Data_in-situ'!CR50</f>
        <v>19572.836444656983</v>
      </c>
      <c r="L23" s="24">
        <f>'Data_in-situ'!CS50</f>
        <v>4405.6978485162454</v>
      </c>
      <c r="M23" s="46">
        <f>'Data_in-situ'!CT50</f>
        <v>3</v>
      </c>
      <c r="N23" s="24">
        <f>'Data_in-situ'!DA47</f>
        <v>1587.3797452740284</v>
      </c>
      <c r="O23" s="24">
        <f>'Data_in-situ'!DB47</f>
        <v>3333.5525389363561</v>
      </c>
      <c r="P23" s="46">
        <f>'Data_in-situ'!DC47</f>
        <v>3</v>
      </c>
      <c r="Q23" s="24">
        <f>'Data_in-situ'!DE47</f>
        <v>7701.7517110636172</v>
      </c>
      <c r="R23" s="24">
        <f>'Data_in-situ'!DF47</f>
        <v>1365.154161423319</v>
      </c>
      <c r="S23" s="46">
        <f>'Data_in-situ'!DG47</f>
        <v>3</v>
      </c>
      <c r="T23" s="113">
        <f>'Data_in-situ'!DN19</f>
        <v>76.598647152414557</v>
      </c>
      <c r="U23" s="113">
        <f>'Data_in-situ'!DO19</f>
        <v>97.385019539931207</v>
      </c>
      <c r="V23" s="46">
        <f>'Data_in-situ'!DP19</f>
        <v>3</v>
      </c>
      <c r="W23" s="113">
        <f>'Data_in-situ'!DR19</f>
        <v>-0.99087798503934754</v>
      </c>
      <c r="X23" s="113">
        <f>'Data_in-situ'!DS19</f>
        <v>2.1111905341845492</v>
      </c>
      <c r="Y23" s="46">
        <f>'Data_in-situ'!DT19</f>
        <v>3</v>
      </c>
      <c r="Z23" s="113">
        <f>'Data_in-situ'!EA96</f>
        <v>1.257142857142857E-2</v>
      </c>
      <c r="AA23" s="113">
        <f>'Data_in-situ'!EB96</f>
        <v>7.2285424920190175E-2</v>
      </c>
      <c r="AB23" s="46">
        <f>'Data_in-situ'!EC96</f>
        <v>3</v>
      </c>
      <c r="AC23" s="113">
        <f>'Data_in-situ'!EE96</f>
        <v>1.4142857142857141E-2</v>
      </c>
      <c r="AD23" s="113">
        <f>'Data_in-situ'!EF96</f>
        <v>2.1117256969304946E-2</v>
      </c>
      <c r="AE23" s="46">
        <f>'Data_in-situ'!EG96</f>
        <v>3</v>
      </c>
      <c r="AF23" s="113">
        <f>'Data_in-situ'!EN35</f>
        <v>-38</v>
      </c>
      <c r="AG23" s="113">
        <f>'Data_in-situ'!EO35</f>
        <v>7.6</v>
      </c>
      <c r="AH23" s="110">
        <f>'Data_in-situ'!EP35</f>
        <v>3</v>
      </c>
      <c r="AI23" s="113">
        <f>'Data_in-situ'!ER35</f>
        <v>-73</v>
      </c>
      <c r="AJ23" s="113">
        <f>'Data_in-situ'!ES35</f>
        <v>10.3</v>
      </c>
      <c r="AK23" s="110">
        <f>'Data_in-situ'!ET35</f>
        <v>3</v>
      </c>
    </row>
    <row r="24" spans="2:37" x14ac:dyDescent="0.3">
      <c r="B24" s="24">
        <f>'Data_in-situ'!CA51</f>
        <v>-9754.4163078122838</v>
      </c>
      <c r="C24" s="24">
        <f>'Data_in-situ'!CB51</f>
        <v>3932.1332121217479</v>
      </c>
      <c r="D24" s="46">
        <f>'Data_in-situ'!CC51</f>
        <v>3</v>
      </c>
      <c r="E24" s="24">
        <f>'Data_in-situ'!CE51</f>
        <v>-2761.4491134085392</v>
      </c>
      <c r="F24" s="24">
        <f>'Data_in-situ'!CF51</f>
        <v>1692.9192981356198</v>
      </c>
      <c r="G24" s="46">
        <f>'Data_in-situ'!CG51</f>
        <v>3</v>
      </c>
      <c r="H24" s="24">
        <f>'Data_in-situ'!CN51</f>
        <v>12245.303198687096</v>
      </c>
      <c r="I24" s="24">
        <f>'Data_in-situ'!CO51</f>
        <v>3757.3069479498581</v>
      </c>
      <c r="J24" s="46">
        <f>'Data_in-situ'!CP51</f>
        <v>3</v>
      </c>
      <c r="K24" s="24">
        <f>'Data_in-situ'!CR51</f>
        <v>17330.977325256288</v>
      </c>
      <c r="L24" s="24">
        <f>'Data_in-situ'!CS51</f>
        <v>2585.939777312642</v>
      </c>
      <c r="M24" s="46">
        <f>'Data_in-situ'!CT51</f>
        <v>3</v>
      </c>
      <c r="N24" s="24">
        <f>'Data_in-situ'!DA48</f>
        <v>1456.7860366045747</v>
      </c>
      <c r="O24" s="24">
        <f>'Data_in-situ'!DB48</f>
        <v>3333.5525389363561</v>
      </c>
      <c r="P24" s="46">
        <f>'Data_in-situ'!DC48</f>
        <v>3</v>
      </c>
      <c r="Q24" s="24">
        <f>'Data_in-situ'!DE48</f>
        <v>10922.55689344512</v>
      </c>
      <c r="R24" s="24">
        <f>'Data_in-situ'!DF48</f>
        <v>1312.0511177126614</v>
      </c>
      <c r="S24" s="46">
        <f>'Data_in-situ'!DG48</f>
        <v>3</v>
      </c>
      <c r="T24" s="113">
        <f>'Data_in-situ'!DN20</f>
        <v>3.3104450261339187</v>
      </c>
      <c r="U24" s="113">
        <f>'Data_in-situ'!DO20</f>
        <v>3.2225601192052182</v>
      </c>
      <c r="V24" s="46">
        <f>'Data_in-situ'!DP20</f>
        <v>3</v>
      </c>
      <c r="W24" s="113">
        <f>'Data_in-situ'!DR20</f>
        <v>0.97256818109938847</v>
      </c>
      <c r="X24" s="113">
        <f>'Data_in-situ'!DS20</f>
        <v>5.0056318929545522</v>
      </c>
      <c r="Y24" s="46">
        <f>'Data_in-situ'!DT20</f>
        <v>3</v>
      </c>
      <c r="Z24" s="113">
        <f>'Data_in-situ'!EA97</f>
        <v>1.257142857142857E-2</v>
      </c>
      <c r="AA24" s="113">
        <f>'Data_in-situ'!EB97</f>
        <v>7.2285424920190175E-2</v>
      </c>
      <c r="AB24" s="46">
        <f>'Data_in-situ'!EC97</f>
        <v>3</v>
      </c>
      <c r="AC24" s="113">
        <f>'Data_in-situ'!EE97</f>
        <v>1.4142857142857141E-2</v>
      </c>
      <c r="AD24" s="113">
        <f>'Data_in-situ'!EF97</f>
        <v>2.1117256969304946E-2</v>
      </c>
      <c r="AE24" s="46">
        <f>'Data_in-situ'!EG97</f>
        <v>3</v>
      </c>
      <c r="AF24" s="113">
        <f>'Data_in-situ'!EN36</f>
        <v>-38</v>
      </c>
      <c r="AG24" s="113">
        <f>'Data_in-situ'!EO36</f>
        <v>7.6</v>
      </c>
      <c r="AH24" s="110">
        <f>'Data_in-situ'!EP36</f>
        <v>3</v>
      </c>
      <c r="AI24" s="113">
        <f>'Data_in-situ'!ER36</f>
        <v>-112</v>
      </c>
      <c r="AJ24" s="113">
        <f>'Data_in-situ'!ES36</f>
        <v>15.2</v>
      </c>
      <c r="AK24" s="110">
        <f>'Data_in-situ'!ET36</f>
        <v>3</v>
      </c>
    </row>
    <row r="25" spans="2:37" x14ac:dyDescent="0.3">
      <c r="B25" s="24">
        <f>'Data_in-situ'!CA52</f>
        <v>-9754.4163078122838</v>
      </c>
      <c r="C25" s="24">
        <f>'Data_in-situ'!CB52</f>
        <v>3932.1332121217479</v>
      </c>
      <c r="D25" s="46">
        <f>'Data_in-situ'!CC52</f>
        <v>3</v>
      </c>
      <c r="E25" s="24">
        <f>'Data_in-situ'!CE52</f>
        <v>-9460.8273773830751</v>
      </c>
      <c r="F25" s="24">
        <f>'Data_in-situ'!CF52</f>
        <v>2248.9137051770867</v>
      </c>
      <c r="G25" s="46">
        <f>'Data_in-situ'!CG52</f>
        <v>3</v>
      </c>
      <c r="H25" s="24">
        <f>'Data_in-situ'!CN52</f>
        <v>12245.303198687096</v>
      </c>
      <c r="I25" s="24">
        <f>'Data_in-situ'!CO52</f>
        <v>3459.6241558518745</v>
      </c>
      <c r="J25" s="46">
        <f>'Data_in-situ'!CP52</f>
        <v>3</v>
      </c>
      <c r="K25" s="24">
        <f>'Data_in-situ'!CR52</f>
        <v>19797.114273740117</v>
      </c>
      <c r="L25" s="24">
        <f>'Data_in-situ'!CS52</f>
        <v>3942.244199118858</v>
      </c>
      <c r="M25" s="46">
        <f>'Data_in-situ'!CT52</f>
        <v>3</v>
      </c>
      <c r="N25" s="24">
        <f>'Data_in-situ'!DA49</f>
        <v>2691.9421422536325</v>
      </c>
      <c r="O25" s="24">
        <f>'Data_in-situ'!DB49</f>
        <v>1470.8979553996573</v>
      </c>
      <c r="P25" s="46">
        <f>'Data_in-situ'!DC49</f>
        <v>3</v>
      </c>
      <c r="Q25" s="24">
        <f>'Data_in-situ'!DE49</f>
        <v>9130.6644313456636</v>
      </c>
      <c r="R25" s="24">
        <f>'Data_in-situ'!DF49</f>
        <v>1617.1067844170707</v>
      </c>
      <c r="S25" s="46">
        <f>'Data_in-situ'!DG49</f>
        <v>3</v>
      </c>
      <c r="T25" s="113">
        <f>'Data_in-situ'!DN21</f>
        <v>3.3104450261339187</v>
      </c>
      <c r="U25" s="113">
        <f>'Data_in-situ'!DO21</f>
        <v>3.2225601192052182</v>
      </c>
      <c r="V25" s="46">
        <f>'Data_in-situ'!DP21</f>
        <v>3</v>
      </c>
      <c r="W25" s="113">
        <f>'Data_in-situ'!DR21</f>
        <v>-0.74812937007645264</v>
      </c>
      <c r="X25" s="113">
        <f>'Data_in-situ'!DS21</f>
        <v>2.0565387107113464</v>
      </c>
      <c r="Y25" s="46">
        <f>'Data_in-situ'!DT21</f>
        <v>3</v>
      </c>
      <c r="Z25" s="113">
        <f>'Data_in-situ'!EA98</f>
        <v>-9.6326468671612098E-2</v>
      </c>
      <c r="AA25" s="113">
        <f>'Data_in-situ'!EB98</f>
        <v>5.4029389318036893E-2</v>
      </c>
      <c r="AB25" s="46">
        <f>'Data_in-situ'!EC98</f>
        <v>3</v>
      </c>
      <c r="AC25" s="113">
        <f>'Data_in-situ'!EE98</f>
        <v>1.5454704465443767</v>
      </c>
      <c r="AD25" s="113">
        <f>'Data_in-situ'!EF98</f>
        <v>0.28931759999999995</v>
      </c>
      <c r="AE25" s="46">
        <f>'Data_in-situ'!EG98</f>
        <v>3</v>
      </c>
      <c r="AF25" s="113">
        <f>'Data_in-situ'!EN37</f>
        <v>-47</v>
      </c>
      <c r="AG25" s="113">
        <f>'Data_in-situ'!EO37</f>
        <v>6.8</v>
      </c>
      <c r="AH25" s="110">
        <f>'Data_in-situ'!EP37</f>
        <v>3</v>
      </c>
      <c r="AI25" s="113">
        <f>'Data_in-situ'!ER37</f>
        <v>-82</v>
      </c>
      <c r="AJ25" s="113">
        <f>'Data_in-situ'!ES37</f>
        <v>12.3</v>
      </c>
      <c r="AK25" s="110">
        <f>'Data_in-situ'!ET37</f>
        <v>3</v>
      </c>
    </row>
    <row r="26" spans="2:37" x14ac:dyDescent="0.3">
      <c r="B26" s="24">
        <f>'Data_in-situ'!CA71</f>
        <v>-9117.231395346209</v>
      </c>
      <c r="C26" s="24">
        <f>'Data_in-situ'!CB71</f>
        <v>2424.3247606001519</v>
      </c>
      <c r="D26" s="46">
        <f>'Data_in-situ'!CC71</f>
        <v>3</v>
      </c>
      <c r="E26" s="24">
        <f>'Data_in-situ'!CE71</f>
        <v>-11061.598737544935</v>
      </c>
      <c r="F26" s="24">
        <f>'Data_in-situ'!CF71</f>
        <v>12004.393621698095</v>
      </c>
      <c r="G26" s="46">
        <f>'Data_in-situ'!CG71</f>
        <v>3</v>
      </c>
      <c r="H26" s="24">
        <f>'Data_in-situ'!CN71</f>
        <v>12663.516770662041</v>
      </c>
      <c r="I26" s="24">
        <f>'Data_in-situ'!CO71</f>
        <v>2011.7619468526057</v>
      </c>
      <c r="J26" s="46">
        <f>'Data_in-situ'!CP71</f>
        <v>3</v>
      </c>
      <c r="K26" s="24">
        <f>'Data_in-situ'!CR71</f>
        <v>13557.778602361721</v>
      </c>
      <c r="L26" s="24">
        <f>'Data_in-situ'!CS71</f>
        <v>1534.7793518535277</v>
      </c>
      <c r="M26" s="46">
        <f>'Data_in-situ'!CT71</f>
        <v>3</v>
      </c>
      <c r="N26" s="24">
        <f>'Data_in-situ'!DA50</f>
        <v>2691.9421422536325</v>
      </c>
      <c r="O26" s="24">
        <f>'Data_in-situ'!DB50</f>
        <v>1470.8979553996573</v>
      </c>
      <c r="P26" s="46">
        <f>'Data_in-situ'!DC50</f>
        <v>3</v>
      </c>
      <c r="Q26" s="24">
        <f>'Data_in-situ'!DE50</f>
        <v>10494.424337914745</v>
      </c>
      <c r="R26" s="24">
        <f>'Data_in-situ'!DF50</f>
        <v>1546.8515977021152</v>
      </c>
      <c r="S26" s="46">
        <f>'Data_in-situ'!DG50</f>
        <v>3</v>
      </c>
      <c r="T26" s="113">
        <f>'Data_in-situ'!DN22</f>
        <v>69.189192430383997</v>
      </c>
      <c r="U26" s="113">
        <f>'Data_in-situ'!DO22</f>
        <v>105.7403076411135</v>
      </c>
      <c r="V26" s="46">
        <f>'Data_in-situ'!DP22</f>
        <v>3</v>
      </c>
      <c r="W26" s="113">
        <f>'Data_in-situ'!DR22</f>
        <v>0.20126042349248477</v>
      </c>
      <c r="X26" s="113">
        <f>'Data_in-situ'!DS22</f>
        <v>3.7673237667559927</v>
      </c>
      <c r="Y26" s="46">
        <f>'Data_in-situ'!DT22</f>
        <v>3</v>
      </c>
      <c r="Z26" s="113">
        <f>'Data_in-situ'!EA99</f>
        <v>-0.40440266730939189</v>
      </c>
      <c r="AA26" s="113">
        <f>'Data_in-situ'!EB99</f>
        <v>1.1600159999999999</v>
      </c>
      <c r="AB26" s="46">
        <f>'Data_in-situ'!EC99</f>
        <v>24</v>
      </c>
      <c r="AC26" s="113">
        <f>'Data_in-situ'!EE99</f>
        <v>0.41440059292199383</v>
      </c>
      <c r="AD26" s="113">
        <f>'Data_in-situ'!EF99</f>
        <v>1.3178879999999999</v>
      </c>
      <c r="AE26" s="46">
        <f>'Data_in-situ'!EG99</f>
        <v>15</v>
      </c>
      <c r="AF26" s="113">
        <f>'Data_in-situ'!EN38</f>
        <v>-47</v>
      </c>
      <c r="AG26" s="113">
        <f>'Data_in-situ'!EO38</f>
        <v>6.8</v>
      </c>
      <c r="AH26" s="110">
        <f>'Data_in-situ'!EP38</f>
        <v>3</v>
      </c>
      <c r="AI26" s="113">
        <f>'Data_in-situ'!ER38</f>
        <v>-120</v>
      </c>
      <c r="AJ26" s="113">
        <f>'Data_in-situ'!ES38</f>
        <v>11.8</v>
      </c>
      <c r="AK26" s="110">
        <f>'Data_in-situ'!ET38</f>
        <v>3</v>
      </c>
    </row>
    <row r="27" spans="2:37" x14ac:dyDescent="0.3">
      <c r="B27" s="24">
        <f>'Data_in-situ'!CA72</f>
        <v>-10940.677674415452</v>
      </c>
      <c r="C27" s="24">
        <f>'Data_in-situ'!CB72</f>
        <v>3587.5182834567408</v>
      </c>
      <c r="D27" s="46">
        <f>'Data_in-situ'!CC72</f>
        <v>3</v>
      </c>
      <c r="E27" s="24">
        <f>'Data_in-situ'!CE72</f>
        <v>-13155.401355723083</v>
      </c>
      <c r="F27" s="24">
        <f>'Data_in-situ'!CF72</f>
        <v>5176.9391284347485</v>
      </c>
      <c r="G27" s="46">
        <f>'Data_in-situ'!CG72</f>
        <v>3</v>
      </c>
      <c r="H27" s="24">
        <f>'Data_in-situ'!CN72</f>
        <v>12156.97609983556</v>
      </c>
      <c r="I27" s="24">
        <f>'Data_in-situ'!CO72</f>
        <v>3352.7816659818532</v>
      </c>
      <c r="J27" s="46">
        <f>'Data_in-situ'!CP72</f>
        <v>3</v>
      </c>
      <c r="K27" s="24">
        <f>'Data_in-situ'!CR72</f>
        <v>16499.127180501211</v>
      </c>
      <c r="L27" s="24">
        <f>'Data_in-situ'!CS72</f>
        <v>2145.4857374487219</v>
      </c>
      <c r="M27" s="46">
        <f>'Data_in-situ'!CT72</f>
        <v>3</v>
      </c>
      <c r="N27" s="24">
        <f>'Data_in-situ'!DA51</f>
        <v>2490.8868908748118</v>
      </c>
      <c r="O27" s="24">
        <f>'Data_in-situ'!DB51</f>
        <v>1134.5350284056235</v>
      </c>
      <c r="P27" s="46">
        <f>'Data_in-situ'!DC51</f>
        <v>3</v>
      </c>
      <c r="Q27" s="24">
        <f>'Data_in-situ'!DE51</f>
        <v>14569.528211847748</v>
      </c>
      <c r="R27" s="24">
        <f>'Data_in-situ'!DF51</f>
        <v>1911.412784772738</v>
      </c>
      <c r="S27" s="46">
        <f>'Data_in-situ'!DG51</f>
        <v>3</v>
      </c>
      <c r="T27" s="113">
        <f>'Data_in-situ'!DN23</f>
        <v>69.189192430383997</v>
      </c>
      <c r="U27" s="113">
        <f>'Data_in-situ'!DO23</f>
        <v>105.7403076411135</v>
      </c>
      <c r="V27" s="46">
        <f>'Data_in-situ'!DP23</f>
        <v>3</v>
      </c>
      <c r="W27" s="113">
        <f>'Data_in-situ'!DR23</f>
        <v>3.6083118783295469</v>
      </c>
      <c r="X27" s="113">
        <f>'Data_in-situ'!DS23</f>
        <v>8.7762753596190368</v>
      </c>
      <c r="Y27" s="46">
        <f>'Data_in-situ'!DT23</f>
        <v>3</v>
      </c>
      <c r="Z27" s="113">
        <f>'Data_in-situ'!EA104</f>
        <v>2.2785714285714288E-2</v>
      </c>
      <c r="AA27" s="113">
        <f>'Data_in-situ'!EB104</f>
        <v>0.13101733266784471</v>
      </c>
      <c r="AB27" s="46">
        <f>'Data_in-situ'!EC104</f>
        <v>3</v>
      </c>
      <c r="AC27" s="113">
        <f>'Data_in-situ'!EE104</f>
        <v>2.1057142857142859</v>
      </c>
      <c r="AD27" s="113">
        <f>'Data_in-situ'!EF104</f>
        <v>3.1441249265409592</v>
      </c>
      <c r="AE27" s="46">
        <f>'Data_in-situ'!EG104</f>
        <v>3</v>
      </c>
      <c r="AF27" s="113">
        <f>'Data_in-situ'!EN39</f>
        <v>-56</v>
      </c>
      <c r="AG27" s="113">
        <f>'Data_in-situ'!EO39</f>
        <v>10.1</v>
      </c>
      <c r="AH27" s="110">
        <f>'Data_in-situ'!EP39</f>
        <v>3</v>
      </c>
      <c r="AI27" s="113">
        <f>'Data_in-situ'!ER39</f>
        <v>-91</v>
      </c>
      <c r="AJ27" s="113">
        <f>'Data_in-situ'!ES39</f>
        <v>11.3</v>
      </c>
      <c r="AK27" s="110">
        <f>'Data_in-situ'!ET39</f>
        <v>3</v>
      </c>
    </row>
    <row r="28" spans="2:37" x14ac:dyDescent="0.3">
      <c r="B28" s="24">
        <f>'Data_in-situ'!CA73</f>
        <v>-7247.1260453614077</v>
      </c>
      <c r="C28" s="24">
        <f>'Data_in-situ'!CB73</f>
        <v>2100.9616035887616</v>
      </c>
      <c r="D28" s="46">
        <f>'Data_in-situ'!CC73</f>
        <v>3</v>
      </c>
      <c r="E28" s="24">
        <f>'Data_in-situ'!CE73</f>
        <v>-4582.6623341257582</v>
      </c>
      <c r="F28" s="24">
        <f>'Data_in-situ'!CF73</f>
        <v>1321.5627260440792</v>
      </c>
      <c r="G28" s="46">
        <f>'Data_in-situ'!CG73</f>
        <v>3</v>
      </c>
      <c r="H28" s="24">
        <f>'Data_in-situ'!CN73</f>
        <v>6440.2877983621229</v>
      </c>
      <c r="I28" s="24">
        <f>'Data_in-situ'!CO73</f>
        <v>2181.3507268282779</v>
      </c>
      <c r="J28" s="46">
        <f>'Data_in-situ'!CP73</f>
        <v>3</v>
      </c>
      <c r="K28" s="24">
        <f>'Data_in-situ'!CR73</f>
        <v>24633.794341918241</v>
      </c>
      <c r="L28" s="24">
        <f>'Data_in-situ'!CS73</f>
        <v>2489.5274353362884</v>
      </c>
      <c r="M28" s="46">
        <f>'Data_in-situ'!CT73</f>
        <v>3</v>
      </c>
      <c r="N28" s="24">
        <f>'Data_in-situ'!DA52</f>
        <v>2490.8868908748118</v>
      </c>
      <c r="O28" s="24">
        <f>'Data_in-situ'!DB52</f>
        <v>1134.5350284056235</v>
      </c>
      <c r="P28" s="46">
        <f>'Data_in-situ'!DC52</f>
        <v>3</v>
      </c>
      <c r="Q28" s="24">
        <f>'Data_in-situ'!DE52</f>
        <v>10336.286896357044</v>
      </c>
      <c r="R28" s="24">
        <f>'Data_in-situ'!DF52</f>
        <v>1988.9291863416881</v>
      </c>
      <c r="S28" s="46">
        <f>'Data_in-situ'!DG52</f>
        <v>3</v>
      </c>
      <c r="T28" s="113">
        <f>'Data_in-situ'!DN24</f>
        <v>69.189192430383997</v>
      </c>
      <c r="U28" s="113">
        <f>'Data_in-situ'!DO24</f>
        <v>105.7403076411135</v>
      </c>
      <c r="V28" s="46">
        <f>'Data_in-situ'!DP24</f>
        <v>3</v>
      </c>
      <c r="W28" s="113">
        <f>'Data_in-situ'!DR24</f>
        <v>-2.3432463592339285</v>
      </c>
      <c r="X28" s="113">
        <f>'Data_in-situ'!DS24</f>
        <v>2.1725078783546201</v>
      </c>
      <c r="Y28" s="46">
        <f>'Data_in-situ'!DT24</f>
        <v>3</v>
      </c>
      <c r="Z28" s="113">
        <f>'Data_in-situ'!EA105</f>
        <v>9.1928571428571401E-2</v>
      </c>
      <c r="AA28" s="113">
        <f>'Data_in-situ'!EB105</f>
        <v>0.52858716972889053</v>
      </c>
      <c r="AB28" s="46">
        <f>'Data_in-situ'!EC105</f>
        <v>3</v>
      </c>
      <c r="AC28" s="113">
        <f>'Data_in-situ'!EE105</f>
        <v>0.87057142857142855</v>
      </c>
      <c r="AD28" s="113">
        <f>'Data_in-situ'!EF105</f>
        <v>1.2998844845549935</v>
      </c>
      <c r="AE28" s="46">
        <f>'Data_in-situ'!EG105</f>
        <v>3</v>
      </c>
      <c r="AF28" s="113">
        <f>'Data_in-situ'!EN40</f>
        <v>-56</v>
      </c>
      <c r="AG28" s="113">
        <f>'Data_in-situ'!EO40</f>
        <v>10.1</v>
      </c>
      <c r="AH28" s="110">
        <f>'Data_in-situ'!EP40</f>
        <v>3</v>
      </c>
      <c r="AI28" s="113">
        <f>'Data_in-situ'!ER40</f>
        <v>-128</v>
      </c>
      <c r="AJ28" s="113">
        <f>'Data_in-situ'!ES40</f>
        <v>14.2</v>
      </c>
      <c r="AK28" s="110">
        <f>'Data_in-situ'!ET40</f>
        <v>3</v>
      </c>
    </row>
    <row r="29" spans="2:37" x14ac:dyDescent="0.3">
      <c r="B29" s="24">
        <f>'Data_in-situ'!CA74</f>
        <v>-7369.268619159634</v>
      </c>
      <c r="C29" s="24">
        <f>'Data_in-situ'!CB74</f>
        <v>746.95892899118678</v>
      </c>
      <c r="D29" s="46">
        <f>'Data_in-situ'!CC74</f>
        <v>3</v>
      </c>
      <c r="E29" s="24">
        <f>'Data_in-situ'!CE74</f>
        <v>-4661.6737536796509</v>
      </c>
      <c r="F29" s="24">
        <f>'Data_in-situ'!CF74</f>
        <v>1389.6358486823906</v>
      </c>
      <c r="G29" s="46">
        <f>'Data_in-situ'!CG74</f>
        <v>3</v>
      </c>
      <c r="H29" s="24">
        <f>'Data_in-situ'!CN74</f>
        <v>11939.302764655935</v>
      </c>
      <c r="I29" s="24">
        <f>'Data_in-situ'!CO74</f>
        <v>4483.7070147716368</v>
      </c>
      <c r="J29" s="46">
        <f>'Data_in-situ'!CP74</f>
        <v>3</v>
      </c>
      <c r="K29" s="24">
        <f>'Data_in-situ'!CR74</f>
        <v>23300.995767448785</v>
      </c>
      <c r="L29" s="24">
        <f>'Data_in-situ'!CS74</f>
        <v>3584.4542083747219</v>
      </c>
      <c r="M29" s="46">
        <f>'Data_in-situ'!CT74</f>
        <v>3</v>
      </c>
      <c r="N29" s="24">
        <f>'Data_in-situ'!DA71</f>
        <v>3546.2853753158324</v>
      </c>
      <c r="O29" s="24">
        <f>'Data_in-situ'!DB71</f>
        <v>5941.722754487856</v>
      </c>
      <c r="P29" s="46">
        <f>'Data_in-situ'!DC71</f>
        <v>3</v>
      </c>
      <c r="Q29" s="24">
        <f>'Data_in-situ'!DE71</f>
        <v>2496.179864816786</v>
      </c>
      <c r="R29" s="24">
        <f>'Data_in-situ'!DF71</f>
        <v>441.8656256521171</v>
      </c>
      <c r="S29" s="46">
        <f>'Data_in-situ'!DG71</f>
        <v>3</v>
      </c>
      <c r="T29" s="113">
        <f>'Data_in-situ'!DN25</f>
        <v>69.189192430383997</v>
      </c>
      <c r="U29" s="113">
        <f>'Data_in-situ'!DO25</f>
        <v>105.7403076411135</v>
      </c>
      <c r="V29" s="46">
        <f>'Data_in-situ'!DP25</f>
        <v>3</v>
      </c>
      <c r="W29" s="113">
        <f>'Data_in-situ'!DR25</f>
        <v>1.9694770013193148</v>
      </c>
      <c r="X29" s="113">
        <f>'Data_in-situ'!DS25</f>
        <v>4.4704507627185972</v>
      </c>
      <c r="Y29" s="46">
        <f>'Data_in-situ'!DT25</f>
        <v>3</v>
      </c>
      <c r="Z29" s="113">
        <f>'Data_in-situ'!EA106</f>
        <v>5.3428571428571429E-2</v>
      </c>
      <c r="AA29" s="113">
        <f>'Data_in-situ'!EB106</f>
        <v>0.30721305591080827</v>
      </c>
      <c r="AB29" s="46">
        <f>'Data_in-situ'!EC106</f>
        <v>3</v>
      </c>
      <c r="AC29" s="113">
        <f>'Data_in-situ'!EE106</f>
        <v>5.7985714285714279E-2</v>
      </c>
      <c r="AD29" s="113">
        <f>'Data_in-situ'!EF106</f>
        <v>8.6580753574150279E-2</v>
      </c>
      <c r="AE29" s="46">
        <f>'Data_in-situ'!EG106</f>
        <v>3</v>
      </c>
      <c r="AF29" s="113">
        <f>'Data_in-situ'!EN41</f>
        <v>-38</v>
      </c>
      <c r="AG29" s="113">
        <f>'Data_in-situ'!EO41</f>
        <v>7.6</v>
      </c>
      <c r="AH29" s="110">
        <f>'Data_in-situ'!EP41</f>
        <v>3</v>
      </c>
      <c r="AI29" s="113">
        <f>'Data_in-situ'!ER41</f>
        <v>-73</v>
      </c>
      <c r="AJ29" s="113">
        <f>'Data_in-situ'!ES41</f>
        <v>10.3</v>
      </c>
      <c r="AK29" s="110">
        <f>'Data_in-situ'!ET41</f>
        <v>3</v>
      </c>
    </row>
    <row r="30" spans="2:37" x14ac:dyDescent="0.3">
      <c r="B30" s="24">
        <f>'Data_in-situ'!CA75</f>
        <v>-8294.3850413528962</v>
      </c>
      <c r="C30" s="24">
        <f>'Data_in-situ'!CB75</f>
        <v>1642.4661972156998</v>
      </c>
      <c r="D30" s="46">
        <f>'Data_in-situ'!CC75</f>
        <v>3</v>
      </c>
      <c r="E30" s="24">
        <f>'Data_in-situ'!CE75</f>
        <v>-8210.866720040498</v>
      </c>
      <c r="F30" s="24">
        <f>'Data_in-situ'!CF75</f>
        <v>6747.5626737645262</v>
      </c>
      <c r="G30" s="46">
        <f>'Data_in-situ'!CG75</f>
        <v>3</v>
      </c>
      <c r="H30" s="24">
        <f>'Data_in-situ'!CN75</f>
        <v>9925.2960228500779</v>
      </c>
      <c r="I30" s="24">
        <f>'Data_in-situ'!CO75</f>
        <v>1480.0009145095366</v>
      </c>
      <c r="J30" s="46">
        <f>'Data_in-situ'!CP75</f>
        <v>3</v>
      </c>
      <c r="K30" s="24">
        <f>'Data_in-situ'!CR75</f>
        <v>18431.22552776659</v>
      </c>
      <c r="L30" s="24">
        <f>'Data_in-situ'!CS75</f>
        <v>1392.33025401075</v>
      </c>
      <c r="M30" s="46">
        <f>'Data_in-situ'!CT75</f>
        <v>3</v>
      </c>
      <c r="N30" s="24">
        <f>'Data_in-situ'!DA72</f>
        <v>1216.2984254201074</v>
      </c>
      <c r="O30" s="24">
        <f>'Data_in-situ'!DB72</f>
        <v>2060.9133169618799</v>
      </c>
      <c r="P30" s="46">
        <f>'Data_in-situ'!DC72</f>
        <v>3</v>
      </c>
      <c r="Q30" s="24">
        <f>'Data_in-situ'!DE72</f>
        <v>3343.7258247781283</v>
      </c>
      <c r="R30" s="24">
        <f>'Data_in-situ'!DF72</f>
        <v>717.82293341401112</v>
      </c>
      <c r="S30" s="46">
        <f>'Data_in-situ'!DG72</f>
        <v>3</v>
      </c>
      <c r="T30" s="113">
        <f>'Data_in-situ'!DN26</f>
        <v>3.3518255889605926</v>
      </c>
      <c r="U30" s="113">
        <f>'Data_in-situ'!DO26</f>
        <v>3.2126569880661773</v>
      </c>
      <c r="V30" s="46">
        <f>'Data_in-situ'!DP26</f>
        <v>3</v>
      </c>
      <c r="W30" s="113">
        <f>'Data_in-situ'!DR26</f>
        <v>0.1571071677160551</v>
      </c>
      <c r="X30" s="113">
        <f>'Data_in-situ'!DS26</f>
        <v>2.9406674446616683</v>
      </c>
      <c r="Y30" s="46">
        <f>'Data_in-situ'!DT26</f>
        <v>3</v>
      </c>
      <c r="Z30" s="113">
        <f>'Data_in-situ'!EA107</f>
        <v>0.24042857142857144</v>
      </c>
      <c r="AA30" s="113">
        <f>'Data_in-situ'!EB107</f>
        <v>1.3824587515986373</v>
      </c>
      <c r="AB30" s="46">
        <f>'Data_in-situ'!EC107</f>
        <v>3</v>
      </c>
      <c r="AC30" s="113">
        <f>'Data_in-situ'!EE107</f>
        <v>0.88314285714285712</v>
      </c>
      <c r="AD30" s="113">
        <f>'Data_in-situ'!EF107</f>
        <v>1.3186553796388201</v>
      </c>
      <c r="AE30" s="46">
        <f>'Data_in-situ'!EG107</f>
        <v>3</v>
      </c>
      <c r="AF30" s="113">
        <f>'Data_in-situ'!EN42</f>
        <v>-38</v>
      </c>
      <c r="AG30" s="113">
        <f>'Data_in-situ'!EO42</f>
        <v>7.6</v>
      </c>
      <c r="AH30" s="110">
        <f>'Data_in-situ'!EP42</f>
        <v>3</v>
      </c>
      <c r="AI30" s="113">
        <f>'Data_in-situ'!ER42</f>
        <v>-112</v>
      </c>
      <c r="AJ30" s="113">
        <f>'Data_in-situ'!ES42</f>
        <v>15.2</v>
      </c>
      <c r="AK30" s="110">
        <f>'Data_in-situ'!ET42</f>
        <v>3</v>
      </c>
    </row>
    <row r="31" spans="2:37" x14ac:dyDescent="0.3">
      <c r="B31" s="24">
        <f>'Data_in-situ'!CA76</f>
        <v>-9369.2576901028915</v>
      </c>
      <c r="C31" s="24">
        <f>'Data_in-situ'!CB76</f>
        <v>2035.7162873934251</v>
      </c>
      <c r="D31" s="46">
        <f>'Data_in-situ'!CC76</f>
        <v>3</v>
      </c>
      <c r="E31" s="24">
        <f>'Data_in-situ'!CE76</f>
        <v>-9418.1612108239733</v>
      </c>
      <c r="F31" s="24">
        <f>'Data_in-situ'!CF76</f>
        <v>2962.8630952565604</v>
      </c>
      <c r="G31" s="46">
        <f>'Data_in-situ'!CG76</f>
        <v>3</v>
      </c>
      <c r="H31" s="24">
        <f>'Data_in-situ'!CN76</f>
        <v>12061.199832356524</v>
      </c>
      <c r="I31" s="24">
        <f>'Data_in-situ'!CO76</f>
        <v>2723.4693933324479</v>
      </c>
      <c r="J31" s="46">
        <f>'Data_in-situ'!CP76</f>
        <v>3</v>
      </c>
      <c r="K31" s="24">
        <f>'Data_in-situ'!CR76</f>
        <v>19491.949358758146</v>
      </c>
      <c r="L31" s="24">
        <f>'Data_in-situ'!CS76</f>
        <v>1982.6669401893841</v>
      </c>
      <c r="M31" s="46">
        <f>'Data_in-situ'!CT76</f>
        <v>3</v>
      </c>
      <c r="N31" s="24">
        <f>'Data_in-situ'!DA73</f>
        <v>-806.83824699928482</v>
      </c>
      <c r="O31" s="24">
        <f>'Data_in-situ'!DB73</f>
        <v>1429.0549882340658</v>
      </c>
      <c r="P31" s="46">
        <f>'Data_in-situ'!DC73</f>
        <v>3</v>
      </c>
      <c r="Q31" s="24">
        <f>'Data_in-situ'!DE73</f>
        <v>20051.132007792483</v>
      </c>
      <c r="R31" s="24">
        <f>'Data_in-situ'!DF73</f>
        <v>2691.1988636577994</v>
      </c>
      <c r="S31" s="46">
        <f>'Data_in-situ'!DG73</f>
        <v>3</v>
      </c>
      <c r="T31" s="113">
        <f>'Data_in-situ'!DN27</f>
        <v>3.3518255889605926</v>
      </c>
      <c r="U31" s="113">
        <f>'Data_in-situ'!DO27</f>
        <v>3.2126569880661773</v>
      </c>
      <c r="V31" s="46">
        <f>'Data_in-situ'!DP27</f>
        <v>3</v>
      </c>
      <c r="W31" s="113">
        <f>'Data_in-situ'!DR27</f>
        <v>2.8167070783378438</v>
      </c>
      <c r="X31" s="113">
        <f>'Data_in-situ'!DS27</f>
        <v>12.110678472354174</v>
      </c>
      <c r="Y31" s="46">
        <f>'Data_in-situ'!DT27</f>
        <v>3</v>
      </c>
      <c r="Z31" s="113">
        <f>'Data_in-situ'!EA108</f>
        <v>1.9171428571428568E-2</v>
      </c>
      <c r="AA31" s="113">
        <f>'Data_in-situ'!EB108</f>
        <v>0.11023527300329002</v>
      </c>
      <c r="AB31" s="46">
        <f>'Data_in-situ'!EC108</f>
        <v>3</v>
      </c>
      <c r="AC31" s="113">
        <f>'Data_in-situ'!EE108</f>
        <v>3.0642857142857142E-2</v>
      </c>
      <c r="AD31" s="113">
        <f>'Data_in-situ'!EF108</f>
        <v>4.5754056766827388E-2</v>
      </c>
      <c r="AE31" s="46">
        <f>'Data_in-situ'!EG108</f>
        <v>3</v>
      </c>
      <c r="AF31" s="113">
        <f>'Data_in-situ'!EN43</f>
        <v>-44</v>
      </c>
      <c r="AG31" s="113">
        <f>'Data_in-situ'!EO43</f>
        <v>6.8</v>
      </c>
      <c r="AH31" s="110">
        <f>'Data_in-situ'!EP43</f>
        <v>3</v>
      </c>
      <c r="AI31" s="113">
        <f>'Data_in-situ'!ER43</f>
        <v>-79</v>
      </c>
      <c r="AJ31" s="113">
        <f>'Data_in-situ'!ES43</f>
        <v>12.3</v>
      </c>
      <c r="AK31" s="110">
        <f>'Data_in-situ'!ET43</f>
        <v>3</v>
      </c>
    </row>
    <row r="32" spans="2:37" x14ac:dyDescent="0.3">
      <c r="B32" s="24">
        <f>'Data_in-situ'!CA128</f>
        <v>-30804.409295502097</v>
      </c>
      <c r="C32" s="24">
        <f>'Data_in-situ'!CB128</f>
        <v>7508.6897887327168</v>
      </c>
      <c r="D32" s="46">
        <f>'Data_in-situ'!CC128</f>
        <v>48</v>
      </c>
      <c r="E32" s="24">
        <f>'Data_in-situ'!CE128</f>
        <v>-23917.078756679508</v>
      </c>
      <c r="F32" s="24">
        <f>'Data_in-situ'!CF128</f>
        <v>4465.2242350151555</v>
      </c>
      <c r="G32" s="46">
        <f>'Data_in-situ'!CG128</f>
        <v>48</v>
      </c>
      <c r="H32" s="24">
        <f>'Data_in-situ'!CN128</f>
        <v>25786.496613792402</v>
      </c>
      <c r="I32" s="24">
        <f>'Data_in-situ'!CO128</f>
        <v>7450.7457504082913</v>
      </c>
      <c r="J32" s="46">
        <f>'Data_in-situ'!CP128</f>
        <v>48</v>
      </c>
      <c r="K32" s="24">
        <f>'Data_in-situ'!CR128</f>
        <v>19674.213717161841</v>
      </c>
      <c r="L32" s="24">
        <f>'Data_in-situ'!CS128</f>
        <v>4051.362841738935</v>
      </c>
      <c r="M32" s="46">
        <f>'Data_in-situ'!CT128</f>
        <v>48</v>
      </c>
      <c r="N32" s="24">
        <f>'Data_in-situ'!DA74</f>
        <v>4570.0341454963009</v>
      </c>
      <c r="O32" s="24">
        <f>'Data_in-situ'!DB74</f>
        <v>7489.8905028845447</v>
      </c>
      <c r="P32" s="46">
        <f>'Data_in-situ'!DC74</f>
        <v>3</v>
      </c>
      <c r="Q32" s="24">
        <f>'Data_in-situ'!DE74</f>
        <v>18639.322013769135</v>
      </c>
      <c r="R32" s="24">
        <f>'Data_in-situ'!DF74</f>
        <v>3134.0545713270785</v>
      </c>
      <c r="S32" s="46">
        <f>'Data_in-situ'!DG74</f>
        <v>3</v>
      </c>
      <c r="T32" s="113">
        <f>'Data_in-situ'!DN28</f>
        <v>3.3518255889605926</v>
      </c>
      <c r="U32" s="113">
        <f>'Data_in-situ'!DO28</f>
        <v>3.2126569880661773</v>
      </c>
      <c r="V32" s="46">
        <f>'Data_in-situ'!DP28</f>
        <v>3</v>
      </c>
      <c r="W32" s="113">
        <f>'Data_in-situ'!DR28</f>
        <v>-1.8291763098369263</v>
      </c>
      <c r="X32" s="113">
        <f>'Data_in-situ'!DS28</f>
        <v>1.6561975194588527</v>
      </c>
      <c r="Y32" s="46">
        <f>'Data_in-situ'!DT28</f>
        <v>3</v>
      </c>
      <c r="Z32" s="113">
        <f>'Data_in-situ'!EA109</f>
        <v>4.7771428571428562E-2</v>
      </c>
      <c r="AA32" s="113">
        <f>'Data_in-situ'!EB109</f>
        <v>0.27468461469672267</v>
      </c>
      <c r="AB32" s="46">
        <f>'Data_in-situ'!EC109</f>
        <v>3</v>
      </c>
      <c r="AC32" s="113">
        <f>'Data_in-situ'!EE109</f>
        <v>0.21685714285714286</v>
      </c>
      <c r="AD32" s="113">
        <f>'Data_in-situ'!EF109</f>
        <v>0.32379794019600922</v>
      </c>
      <c r="AE32" s="46">
        <f>'Data_in-situ'!EG109</f>
        <v>3</v>
      </c>
      <c r="AF32" s="113">
        <f>'Data_in-situ'!EN44</f>
        <v>-44</v>
      </c>
      <c r="AG32" s="113">
        <f>'Data_in-situ'!EO44</f>
        <v>6.8</v>
      </c>
      <c r="AH32" s="110">
        <f>'Data_in-situ'!EP44</f>
        <v>3</v>
      </c>
      <c r="AI32" s="113">
        <f>'Data_in-situ'!ER44</f>
        <v>-116</v>
      </c>
      <c r="AJ32" s="113">
        <f>'Data_in-situ'!ES44</f>
        <v>11.8</v>
      </c>
      <c r="AK32" s="110">
        <f>'Data_in-situ'!ET44</f>
        <v>3</v>
      </c>
    </row>
    <row r="33" spans="2:37" x14ac:dyDescent="0.3">
      <c r="B33" s="24">
        <f>'Data_in-situ'!CA129</f>
        <v>-30804.409295502097</v>
      </c>
      <c r="C33" s="24">
        <f>'Data_in-situ'!CB129</f>
        <v>7508.6897887327168</v>
      </c>
      <c r="D33" s="46">
        <f>'Data_in-situ'!CC129</f>
        <v>48</v>
      </c>
      <c r="E33" s="24">
        <f>'Data_in-situ'!CE129</f>
        <v>-22424.619825270362</v>
      </c>
      <c r="F33" s="24">
        <f>'Data_in-situ'!CF129</f>
        <v>7078.0868325420652</v>
      </c>
      <c r="G33" s="46">
        <f>'Data_in-situ'!CG129</f>
        <v>48</v>
      </c>
      <c r="H33" s="24">
        <f>'Data_in-situ'!CN129</f>
        <v>25786.496613792402</v>
      </c>
      <c r="I33" s="24">
        <f>'Data_in-situ'!CO129</f>
        <v>7450.7457504082913</v>
      </c>
      <c r="J33" s="46">
        <f>'Data_in-situ'!CP129</f>
        <v>48</v>
      </c>
      <c r="K33" s="24">
        <f>'Data_in-situ'!CR129</f>
        <v>34101.631064272638</v>
      </c>
      <c r="L33" s="24">
        <f>'Data_in-situ'!CS129</f>
        <v>6764.0540443406962</v>
      </c>
      <c r="M33" s="46">
        <f>'Data_in-situ'!CT129</f>
        <v>48</v>
      </c>
      <c r="N33" s="24">
        <f>'Data_in-situ'!DA75</f>
        <v>1630.9109814971816</v>
      </c>
      <c r="O33" s="24">
        <f>'Data_in-situ'!DB75</f>
        <v>3386.2554087633621</v>
      </c>
      <c r="P33" s="46">
        <f>'Data_in-situ'!DC75</f>
        <v>3</v>
      </c>
      <c r="Q33" s="24">
        <f>'Data_in-situ'!DE75</f>
        <v>10220.358807726092</v>
      </c>
      <c r="R33" s="24">
        <f>'Data_in-situ'!DF75</f>
        <v>1209.7052702050512</v>
      </c>
      <c r="S33" s="46">
        <f>'Data_in-situ'!DG75</f>
        <v>3</v>
      </c>
      <c r="T33" s="113">
        <f>'Data_in-situ'!DN29</f>
        <v>3.3518255889605926</v>
      </c>
      <c r="U33" s="113">
        <f>'Data_in-situ'!DO29</f>
        <v>3.2126569880661773</v>
      </c>
      <c r="V33" s="46">
        <f>'Data_in-situ'!DP29</f>
        <v>3</v>
      </c>
      <c r="W33" s="113">
        <f>'Data_in-situ'!DR29</f>
        <v>1.5374058555071104</v>
      </c>
      <c r="X33" s="113">
        <f>'Data_in-situ'!DS29</f>
        <v>3.4762119230029214</v>
      </c>
      <c r="Y33" s="46">
        <f>'Data_in-situ'!DT29</f>
        <v>3</v>
      </c>
      <c r="Z33" s="113">
        <f>'Data_in-situ'!EA110</f>
        <v>5.4528571428571426E-2</v>
      </c>
      <c r="AA33" s="113">
        <f>'Data_in-situ'!EB110</f>
        <v>0.3135380305913249</v>
      </c>
      <c r="AB33" s="46">
        <f>'Data_in-situ'!EC110</f>
        <v>3</v>
      </c>
      <c r="AC33" s="113">
        <f>'Data_in-situ'!EE110</f>
        <v>3.5828571428571425E-2</v>
      </c>
      <c r="AD33" s="113">
        <f>'Data_in-situ'!EF110</f>
        <v>5.3497050988905864E-2</v>
      </c>
      <c r="AE33" s="46">
        <f>'Data_in-situ'!EG110</f>
        <v>3</v>
      </c>
      <c r="AF33" s="113">
        <f>'Data_in-situ'!EN45</f>
        <v>-50</v>
      </c>
      <c r="AG33" s="113">
        <f>'Data_in-situ'!EO45</f>
        <v>6.8</v>
      </c>
      <c r="AH33" s="110">
        <f>'Data_in-situ'!EP45</f>
        <v>3</v>
      </c>
      <c r="AI33" s="113">
        <f>'Data_in-situ'!ER45</f>
        <v>-85</v>
      </c>
      <c r="AJ33" s="113">
        <f>'Data_in-situ'!ES45</f>
        <v>12.3</v>
      </c>
      <c r="AK33" s="110">
        <f>'Data_in-situ'!ET45</f>
        <v>3</v>
      </c>
    </row>
    <row r="34" spans="2:37" x14ac:dyDescent="0.3">
      <c r="B34" s="24">
        <f>'Data_in-situ'!CA130</f>
        <v>-39843.491213361398</v>
      </c>
      <c r="C34" s="24">
        <f>'Data_in-situ'!CB130</f>
        <v>12909.471724359584</v>
      </c>
      <c r="D34" s="46">
        <f>'Data_in-situ'!CC130</f>
        <v>66</v>
      </c>
      <c r="E34" s="24">
        <f>'Data_in-situ'!CE130</f>
        <v>-35035.77220338145</v>
      </c>
      <c r="F34" s="24">
        <f>'Data_in-situ'!CF130</f>
        <v>6481.9820713073177</v>
      </c>
      <c r="G34" s="46">
        <f>'Data_in-situ'!CG130</f>
        <v>66</v>
      </c>
      <c r="H34" s="24">
        <f>'Data_in-situ'!CN130</f>
        <v>35408.568959456847</v>
      </c>
      <c r="I34" s="24">
        <f>'Data_in-situ'!CO130</f>
        <v>12878.668982057387</v>
      </c>
      <c r="J34" s="46">
        <f>'Data_in-situ'!CP130</f>
        <v>66</v>
      </c>
      <c r="K34" s="24">
        <f>'Data_in-situ'!CR130</f>
        <v>26888.134502472181</v>
      </c>
      <c r="L34" s="24">
        <f>'Data_in-situ'!CS130</f>
        <v>6047.8746396959068</v>
      </c>
      <c r="M34" s="46">
        <f>'Data_in-situ'!CT130</f>
        <v>66</v>
      </c>
      <c r="N34" s="24">
        <f>'Data_in-situ'!DA76</f>
        <v>2691.9421422536325</v>
      </c>
      <c r="O34" s="24">
        <f>'Data_in-situ'!DB76</f>
        <v>3491.7953924879967</v>
      </c>
      <c r="P34" s="46">
        <f>'Data_in-situ'!DC76</f>
        <v>3</v>
      </c>
      <c r="Q34" s="24">
        <f>'Data_in-situ'!DE76</f>
        <v>10073.788147934172</v>
      </c>
      <c r="R34" s="24">
        <f>'Data_in-situ'!DF76</f>
        <v>1436.3793028165639</v>
      </c>
      <c r="S34" s="46">
        <f>'Data_in-situ'!DG76</f>
        <v>3</v>
      </c>
      <c r="T34" s="113">
        <f>'Data_in-situ'!DN30</f>
        <v>155.37117670145557</v>
      </c>
      <c r="U34" s="113">
        <f>'Data_in-situ'!DO30</f>
        <v>42.709219724301029</v>
      </c>
      <c r="V34" s="46">
        <f>'Data_in-situ'!DP30</f>
        <v>6</v>
      </c>
      <c r="W34" s="113">
        <f>'Data_in-situ'!DR30</f>
        <v>185.22204309442213</v>
      </c>
      <c r="X34" s="113">
        <f>'Data_in-situ'!DS30</f>
        <v>44.646673389917268</v>
      </c>
      <c r="Y34" s="46">
        <f>'Data_in-situ'!DT30</f>
        <v>6</v>
      </c>
      <c r="Z34" s="113">
        <f>'Data_in-situ'!EA111</f>
        <v>8.4699999999999998E-2</v>
      </c>
      <c r="AA34" s="113">
        <f>'Data_in-situ'!EB111</f>
        <v>0.48702305039978139</v>
      </c>
      <c r="AB34" s="46">
        <f>'Data_in-situ'!EC111</f>
        <v>3</v>
      </c>
      <c r="AC34" s="113">
        <f>'Data_in-situ'!EE111</f>
        <v>6.1599999999999995E-2</v>
      </c>
      <c r="AD34" s="113">
        <f>'Data_in-situ'!EF111</f>
        <v>9.1977385910750442E-2</v>
      </c>
      <c r="AE34" s="46">
        <f>'Data_in-situ'!EG111</f>
        <v>3</v>
      </c>
      <c r="AF34" s="113">
        <f>'Data_in-situ'!EN46</f>
        <v>-50</v>
      </c>
      <c r="AG34" s="113">
        <f>'Data_in-situ'!EO46</f>
        <v>6.8</v>
      </c>
      <c r="AH34" s="110">
        <f>'Data_in-situ'!EP46</f>
        <v>3</v>
      </c>
      <c r="AI34" s="113">
        <f>'Data_in-situ'!ER46</f>
        <v>-120</v>
      </c>
      <c r="AJ34" s="113">
        <f>'Data_in-situ'!ES46</f>
        <v>11.8</v>
      </c>
      <c r="AK34" s="110">
        <f>'Data_in-situ'!ET46</f>
        <v>3</v>
      </c>
    </row>
    <row r="35" spans="2:37" x14ac:dyDescent="0.3">
      <c r="B35" s="24">
        <f>'Data_in-situ'!CA131</f>
        <v>-39843.491213361398</v>
      </c>
      <c r="C35" s="24">
        <f>'Data_in-situ'!CB131</f>
        <v>12909.471724359584</v>
      </c>
      <c r="D35" s="46">
        <f>'Data_in-situ'!CC131</f>
        <v>66</v>
      </c>
      <c r="E35" s="24">
        <f>'Data_in-situ'!CE131</f>
        <v>-47094.824204889017</v>
      </c>
      <c r="F35" s="24">
        <f>'Data_in-situ'!CF131</f>
        <v>13325.726368768714</v>
      </c>
      <c r="G35" s="46">
        <f>'Data_in-situ'!CG131</f>
        <v>66</v>
      </c>
      <c r="H35" s="24">
        <f>'Data_in-situ'!CN131</f>
        <v>35408.568959456847</v>
      </c>
      <c r="I35" s="24">
        <f>'Data_in-situ'!CO131</f>
        <v>12878.668982057387</v>
      </c>
      <c r="J35" s="46">
        <f>'Data_in-situ'!CP131</f>
        <v>66</v>
      </c>
      <c r="K35" s="24">
        <f>'Data_in-situ'!CR131</f>
        <v>52464.145688921722</v>
      </c>
      <c r="L35" s="24">
        <f>'Data_in-situ'!CS131</f>
        <v>12723.425553607172</v>
      </c>
      <c r="M35" s="46">
        <f>'Data_in-situ'!CT131</f>
        <v>66</v>
      </c>
      <c r="N35" s="24">
        <f>'Data_in-situ'!DA128</f>
        <v>-5017.9126817096931</v>
      </c>
      <c r="O35" s="24">
        <f>'Data_in-situ'!DB128</f>
        <v>931.02637244697166</v>
      </c>
      <c r="P35" s="46">
        <f>'Data_in-situ'!DC128</f>
        <v>48</v>
      </c>
      <c r="Q35" s="24">
        <f>'Data_in-situ'!DE128</f>
        <v>-4242.8650395176674</v>
      </c>
      <c r="R35" s="24">
        <f>'Data_in-situ'!DF128</f>
        <v>1877.4148698526124</v>
      </c>
      <c r="S35" s="46">
        <f>'Data_in-situ'!DG128</f>
        <v>48</v>
      </c>
      <c r="T35" s="113">
        <f>'Data_in-situ'!DN31</f>
        <v>12.121705834279082</v>
      </c>
      <c r="U35" s="113">
        <f>'Data_in-situ'!DO31</f>
        <v>3.2958824722656956</v>
      </c>
      <c r="V35" s="46">
        <f>'Data_in-situ'!DP31</f>
        <v>6</v>
      </c>
      <c r="W35" s="113">
        <f>'Data_in-situ'!DR31</f>
        <v>18.390311681684526</v>
      </c>
      <c r="X35" s="113">
        <f>'Data_in-situ'!DS31</f>
        <v>4.9126277024028253</v>
      </c>
      <c r="Y35" s="46">
        <f>'Data_in-situ'!DT31</f>
        <v>6</v>
      </c>
      <c r="Z35" s="113">
        <f>'Data_in-situ'!EA112</f>
        <v>1.8193831442341308</v>
      </c>
      <c r="AA35" s="113">
        <f>'Data_in-situ'!EB112</f>
        <v>10.461411201308758</v>
      </c>
      <c r="AB35" s="46">
        <f>'Data_in-situ'!EC112</f>
        <v>3</v>
      </c>
      <c r="AC35" s="113">
        <f>'Data_in-situ'!EE112</f>
        <v>1.4382096725045124</v>
      </c>
      <c r="AD35" s="113">
        <f>'Data_in-situ'!EF112</f>
        <v>2.1474475011123628</v>
      </c>
      <c r="AE35" s="46">
        <f>'Data_in-situ'!EG112</f>
        <v>3</v>
      </c>
      <c r="AF35" s="113">
        <f>'Data_in-situ'!EN47</f>
        <v>-38</v>
      </c>
      <c r="AG35" s="113">
        <f>'Data_in-situ'!EO47</f>
        <v>5.412566119688516</v>
      </c>
      <c r="AH35" s="110">
        <f>'Data_in-situ'!EP47</f>
        <v>3</v>
      </c>
      <c r="AI35" s="113">
        <f>'Data_in-situ'!ER47</f>
        <v>-73</v>
      </c>
      <c r="AJ35" s="113">
        <f>'Data_in-situ'!ES47</f>
        <v>7.3195252578292278</v>
      </c>
      <c r="AK35" s="110">
        <f>'Data_in-situ'!ET47</f>
        <v>3</v>
      </c>
    </row>
    <row r="36" spans="2:37" x14ac:dyDescent="0.3">
      <c r="B36" s="24">
        <f>'Data_in-situ'!CA132</f>
        <v>-16584.165556391476</v>
      </c>
      <c r="C36" s="24">
        <f>'Data_in-situ'!CB132</f>
        <v>3505.6021221629076</v>
      </c>
      <c r="D36" s="46">
        <f>'Data_in-situ'!CC132</f>
        <v>57</v>
      </c>
      <c r="E36" s="24">
        <f>'Data_in-situ'!CE132</f>
        <v>-18655.544302064984</v>
      </c>
      <c r="F36" s="24">
        <f>'Data_in-situ'!CF132</f>
        <v>9333.8389055230891</v>
      </c>
      <c r="G36" s="46">
        <f>'Data_in-situ'!CG132</f>
        <v>57</v>
      </c>
      <c r="H36" s="24">
        <f>'Data_in-situ'!CN132</f>
        <v>12315.894090129594</v>
      </c>
      <c r="I36" s="24">
        <f>'Data_in-situ'!CO132</f>
        <v>3346.1883831600085</v>
      </c>
      <c r="J36" s="46">
        <f>'Data_in-situ'!CP132</f>
        <v>57</v>
      </c>
      <c r="K36" s="24">
        <f>'Data_in-situ'!CR132</f>
        <v>12460.292931851514</v>
      </c>
      <c r="L36" s="24">
        <f>'Data_in-situ'!CS132</f>
        <v>2060.2193631794362</v>
      </c>
      <c r="M36" s="46">
        <f>'Data_in-situ'!CT132</f>
        <v>57</v>
      </c>
      <c r="N36" s="24">
        <f>'Data_in-situ'!DA129</f>
        <v>-5017.9126817096931</v>
      </c>
      <c r="O36" s="24">
        <f>'Data_in-situ'!DB129</f>
        <v>931.02637244697166</v>
      </c>
      <c r="P36" s="46">
        <f>'Data_in-situ'!DC129</f>
        <v>48</v>
      </c>
      <c r="Q36" s="24">
        <f>'Data_in-situ'!DE129</f>
        <v>11677.011239002279</v>
      </c>
      <c r="R36" s="24">
        <f>'Data_in-situ'!DF129</f>
        <v>2084.9187260523231</v>
      </c>
      <c r="S36" s="46">
        <f>'Data_in-situ'!DG129</f>
        <v>48</v>
      </c>
      <c r="T36" s="113">
        <f>'Data_in-situ'!DN32</f>
        <v>88</v>
      </c>
      <c r="U36" s="113">
        <f>'Data_in-situ'!DO32</f>
        <v>60.472215842392352</v>
      </c>
      <c r="V36" s="46">
        <f>'Data_in-situ'!DP32</f>
        <v>6</v>
      </c>
      <c r="W36" s="113">
        <f>'Data_in-situ'!DR32</f>
        <v>-2</v>
      </c>
      <c r="X36" s="113">
        <f>'Data_in-situ'!DS32</f>
        <v>5.9628479399994392</v>
      </c>
      <c r="Y36" s="46">
        <f>'Data_in-situ'!DT32</f>
        <v>6</v>
      </c>
      <c r="Z36" s="113">
        <f>'Data_in-situ'!EA113</f>
        <v>1.1072245992053424</v>
      </c>
      <c r="AA36" s="113">
        <f>'Data_in-situ'!EB113</f>
        <v>6.3665159596536158</v>
      </c>
      <c r="AB36" s="46">
        <f>'Data_in-situ'!EC113</f>
        <v>3</v>
      </c>
      <c r="AC36" s="113">
        <f>'Data_in-situ'!EE113</f>
        <v>6.6685966855719432</v>
      </c>
      <c r="AD36" s="113">
        <f>'Data_in-situ'!EF113</f>
        <v>9.9571443316883439</v>
      </c>
      <c r="AE36" s="46">
        <f>'Data_in-situ'!EG113</f>
        <v>3</v>
      </c>
      <c r="AF36" s="113">
        <f>'Data_in-situ'!EN48</f>
        <v>-38</v>
      </c>
      <c r="AG36" s="113">
        <f>'Data_in-situ'!EO48</f>
        <v>5.412566119688516</v>
      </c>
      <c r="AH36" s="110">
        <f>'Data_in-situ'!EP48</f>
        <v>3</v>
      </c>
      <c r="AI36" s="113">
        <f>'Data_in-situ'!ER48</f>
        <v>-112</v>
      </c>
      <c r="AJ36" s="113">
        <f>'Data_in-situ'!ES48</f>
        <v>10.756618055876112</v>
      </c>
      <c r="AK36" s="110">
        <f>'Data_in-situ'!ET48</f>
        <v>3</v>
      </c>
    </row>
    <row r="37" spans="2:37" x14ac:dyDescent="0.3">
      <c r="B37" s="24">
        <f>'Data_in-situ'!CA133</f>
        <v>-16584.165556391476</v>
      </c>
      <c r="C37" s="24">
        <f>'Data_in-situ'!CB133</f>
        <v>3505.6021221629076</v>
      </c>
      <c r="D37" s="46">
        <f>'Data_in-situ'!CC133</f>
        <v>57</v>
      </c>
      <c r="E37" s="24">
        <f>'Data_in-situ'!CE133</f>
        <v>-16893.314446670054</v>
      </c>
      <c r="F37" s="24">
        <f>'Data_in-situ'!CF133</f>
        <v>9325.4215781383391</v>
      </c>
      <c r="G37" s="46">
        <f>'Data_in-situ'!CG133</f>
        <v>57</v>
      </c>
      <c r="H37" s="24">
        <f>'Data_in-situ'!CN133</f>
        <v>12315.894090129594</v>
      </c>
      <c r="I37" s="24">
        <f>'Data_in-situ'!CO133</f>
        <v>3346.1883831600085</v>
      </c>
      <c r="J37" s="46">
        <f>'Data_in-situ'!CP133</f>
        <v>57</v>
      </c>
      <c r="K37" s="24">
        <f>'Data_in-situ'!CR133</f>
        <v>11148.593839338751</v>
      </c>
      <c r="L37" s="24">
        <f>'Data_in-situ'!CS133</f>
        <v>2042.0451589318177</v>
      </c>
      <c r="M37" s="46">
        <f>'Data_in-situ'!CT133</f>
        <v>57</v>
      </c>
      <c r="N37" s="24">
        <f>'Data_in-situ'!DA130</f>
        <v>-4434.9222539045541</v>
      </c>
      <c r="O37" s="24">
        <f>'Data_in-situ'!DB130</f>
        <v>891.2605974868037</v>
      </c>
      <c r="P37" s="46">
        <f>'Data_in-situ'!DC130</f>
        <v>66</v>
      </c>
      <c r="Q37" s="24">
        <f>'Data_in-situ'!DE130</f>
        <v>-8147.6377009092694</v>
      </c>
      <c r="R37" s="24">
        <f>'Data_in-situ'!DF130</f>
        <v>2332.2315312319697</v>
      </c>
      <c r="S37" s="46">
        <f>'Data_in-situ'!DG130</f>
        <v>66</v>
      </c>
      <c r="T37" s="113">
        <f>'Data_in-situ'!DN33</f>
        <v>172</v>
      </c>
      <c r="U37" s="113">
        <f>'Data_in-situ'!DO33</f>
        <v>22</v>
      </c>
      <c r="V37" s="46">
        <f>'Data_in-situ'!DP33</f>
        <v>6</v>
      </c>
      <c r="W37" s="113">
        <f>'Data_in-situ'!DR33</f>
        <v>-1.5</v>
      </c>
      <c r="X37" s="113">
        <f>'Data_in-situ'!DS33</f>
        <v>0.6</v>
      </c>
      <c r="Y37" s="46">
        <f>'Data_in-situ'!DT33</f>
        <v>6</v>
      </c>
      <c r="Z37" s="113">
        <f>'Data_in-situ'!EA114</f>
        <v>0.53231951884872231</v>
      </c>
      <c r="AA37" s="113">
        <f>'Data_in-situ'!EB114</f>
        <v>3.0608249806026997</v>
      </c>
      <c r="AB37" s="46">
        <f>'Data_in-situ'!EC114</f>
        <v>3</v>
      </c>
      <c r="AC37" s="113">
        <f>'Data_in-situ'!EE114</f>
        <v>2.1039743148589367</v>
      </c>
      <c r="AD37" s="113">
        <f>'Data_in-situ'!EF114</f>
        <v>3.141526907533883</v>
      </c>
      <c r="AE37" s="46">
        <f>'Data_in-situ'!EG114</f>
        <v>3</v>
      </c>
      <c r="AF37" s="113">
        <f>'Data_in-situ'!EN49</f>
        <v>-45.680000000000007</v>
      </c>
      <c r="AG37" s="113">
        <f>'Data_in-situ'!EO49</f>
        <v>4.842822317616041</v>
      </c>
      <c r="AH37" s="110">
        <f>'Data_in-situ'!EP49</f>
        <v>3</v>
      </c>
      <c r="AI37" s="113">
        <f>'Data_in-situ'!ER49</f>
        <v>-80.650000000000006</v>
      </c>
      <c r="AJ37" s="113">
        <f>'Data_in-situ'!ES49</f>
        <v>8.7407922981844166</v>
      </c>
      <c r="AK37" s="110">
        <f>'Data_in-situ'!ET49</f>
        <v>3</v>
      </c>
    </row>
    <row r="38" spans="2:37" x14ac:dyDescent="0.3">
      <c r="B38" s="24">
        <f>'Data_in-situ'!CA199</f>
        <v>-17120.448467345523</v>
      </c>
      <c r="C38" s="24">
        <f>'Data_in-situ'!CB199</f>
        <v>4174.1444262492878</v>
      </c>
      <c r="D38" s="46">
        <f>'Data_in-situ'!CC199</f>
        <v>1</v>
      </c>
      <c r="E38" s="24">
        <f>'Data_in-situ'!CE199</f>
        <v>-14041.350510064822</v>
      </c>
      <c r="F38" s="24">
        <f>'Data_in-situ'!CF199</f>
        <v>5227.1608672305301</v>
      </c>
      <c r="G38" s="46">
        <f>'Data_in-situ'!CG199</f>
        <v>1</v>
      </c>
      <c r="H38" s="24">
        <f>'Data_in-situ'!CN199</f>
        <v>12896.16741487473</v>
      </c>
      <c r="I38" s="24">
        <f>'Data_in-situ'!CO199</f>
        <v>3709.2899364025543</v>
      </c>
      <c r="J38" s="46">
        <f>'Data_in-situ'!CP199</f>
        <v>1</v>
      </c>
      <c r="K38" s="24">
        <f>'Data_in-situ'!CR199</f>
        <v>14385.676578962597</v>
      </c>
      <c r="L38" s="24">
        <f>'Data_in-situ'!CS199</f>
        <v>3774.6745086112619</v>
      </c>
      <c r="M38" s="46">
        <f>'Data_in-situ'!CT199</f>
        <v>1</v>
      </c>
      <c r="N38" s="24">
        <f>'Data_in-situ'!DA131</f>
        <v>-4434.9222539045541</v>
      </c>
      <c r="O38" s="24">
        <f>'Data_in-situ'!DB131</f>
        <v>891.2605974868037</v>
      </c>
      <c r="P38" s="46">
        <f>'Data_in-situ'!DC131</f>
        <v>66</v>
      </c>
      <c r="Q38" s="24">
        <f>'Data_in-situ'!DE131</f>
        <v>5369.3214840327073</v>
      </c>
      <c r="R38" s="24">
        <f>'Data_in-situ'!DF131</f>
        <v>3960.9879370068538</v>
      </c>
      <c r="S38" s="46">
        <f>'Data_in-situ'!DG131</f>
        <v>66</v>
      </c>
      <c r="T38" s="113">
        <f>'Data_in-situ'!DN34</f>
        <v>218.59000000000026</v>
      </c>
      <c r="U38" s="113">
        <f>'Data_in-situ'!DO34</f>
        <v>226.1967612500232</v>
      </c>
      <c r="V38" s="46">
        <f>'Data_in-situ'!DP34</f>
        <v>25</v>
      </c>
      <c r="W38" s="113">
        <f>'Data_in-situ'!DR34</f>
        <v>-1.3730769230769226</v>
      </c>
      <c r="X38" s="113">
        <f>'Data_in-situ'!DS34</f>
        <v>0.50491400638738226</v>
      </c>
      <c r="Y38" s="46">
        <f>'Data_in-situ'!DT34</f>
        <v>75</v>
      </c>
      <c r="Z38" s="113">
        <f>'Data_in-situ'!EA115</f>
        <v>0.58480172493239913</v>
      </c>
      <c r="AA38" s="113">
        <f>'Data_in-situ'!EB115</f>
        <v>3.3625964575635288</v>
      </c>
      <c r="AB38" s="46">
        <f>'Data_in-situ'!EC115</f>
        <v>3</v>
      </c>
      <c r="AC38" s="113">
        <f>'Data_in-situ'!EE115</f>
        <v>2.8250547138481497</v>
      </c>
      <c r="AD38" s="113">
        <f>'Data_in-situ'!EF115</f>
        <v>4.2182004486135707</v>
      </c>
      <c r="AE38" s="46">
        <f>'Data_in-situ'!EG115</f>
        <v>3</v>
      </c>
      <c r="AF38" s="113">
        <f>'Data_in-situ'!EN50</f>
        <v>-45.680000000000007</v>
      </c>
      <c r="AG38" s="113">
        <f>'Data_in-situ'!EO50</f>
        <v>4.842822317616041</v>
      </c>
      <c r="AH38" s="110">
        <f>'Data_in-situ'!EP50</f>
        <v>3</v>
      </c>
      <c r="AI38" s="113">
        <f>'Data_in-situ'!ER50</f>
        <v>-118.08000000000001</v>
      </c>
      <c r="AJ38" s="113">
        <f>'Data_in-situ'!ES50</f>
        <v>8.3505324381143513</v>
      </c>
      <c r="AK38" s="110">
        <f>'Data_in-situ'!ET50</f>
        <v>3</v>
      </c>
    </row>
    <row r="39" spans="2:37" x14ac:dyDescent="0.3">
      <c r="B39" s="24">
        <f>'Data_in-situ'!CA200</f>
        <v>-15725.784017121432</v>
      </c>
      <c r="C39" s="24">
        <f>'Data_in-situ'!CB200</f>
        <v>3834.1106442782989</v>
      </c>
      <c r="D39" s="46">
        <f>'Data_in-situ'!CC200</f>
        <v>1</v>
      </c>
      <c r="E39" s="24">
        <f>'Data_in-situ'!CE200</f>
        <v>-16611.232720206455</v>
      </c>
      <c r="F39" s="24">
        <f>'Data_in-situ'!CF200</f>
        <v>6183.8485955665874</v>
      </c>
      <c r="G39" s="46">
        <f>'Data_in-situ'!CG200</f>
        <v>1</v>
      </c>
      <c r="H39" s="24">
        <f>'Data_in-situ'!CN200</f>
        <v>12587.493371634213</v>
      </c>
      <c r="I39" s="24">
        <f>'Data_in-situ'!CO200</f>
        <v>3620.5068518327839</v>
      </c>
      <c r="J39" s="46">
        <f>'Data_in-situ'!CP200</f>
        <v>1</v>
      </c>
      <c r="K39" s="24">
        <f>'Data_in-situ'!CR200</f>
        <v>17012.76988978263</v>
      </c>
      <c r="L39" s="24">
        <f>'Data_in-situ'!CS200</f>
        <v>4464.0005961028419</v>
      </c>
      <c r="M39" s="46">
        <f>'Data_in-situ'!CT200</f>
        <v>1</v>
      </c>
      <c r="N39" s="24">
        <f>'Data_in-situ'!DA132</f>
        <v>-4268.271466261881</v>
      </c>
      <c r="O39" s="24">
        <f>'Data_in-situ'!DB132</f>
        <v>1045.11699982255</v>
      </c>
      <c r="P39" s="46">
        <f>'Data_in-situ'!DC132</f>
        <v>57</v>
      </c>
      <c r="Q39" s="24">
        <f>'Data_in-situ'!DE132</f>
        <v>-6195.2513702134684</v>
      </c>
      <c r="R39" s="24">
        <f>'Data_in-situ'!DF132</f>
        <v>9103.6281168464357</v>
      </c>
      <c r="S39" s="46">
        <f>'Data_in-situ'!DG132</f>
        <v>57</v>
      </c>
      <c r="T39" s="113">
        <f>'Data_in-situ'!DN53</f>
        <v>5.3866851938273443</v>
      </c>
      <c r="U39" s="113">
        <f>'Data_in-situ'!DO53</f>
        <v>4.268024043852261</v>
      </c>
      <c r="V39" s="46">
        <f>'Data_in-situ'!DP53</f>
        <v>3</v>
      </c>
      <c r="W39" s="113">
        <f>'Data_in-situ'!DR53</f>
        <v>3.9980588354062441</v>
      </c>
      <c r="X39" s="113">
        <f>'Data_in-situ'!DS53</f>
        <v>4.3503115567651003</v>
      </c>
      <c r="Y39" s="46">
        <f>'Data_in-situ'!DT53</f>
        <v>3</v>
      </c>
      <c r="Z39" s="113">
        <f>'Data_in-situ'!EA116</f>
        <v>7.2261696923095198E-2</v>
      </c>
      <c r="AA39" s="113">
        <f>'Data_in-situ'!EB116</f>
        <v>0.41550309400885854</v>
      </c>
      <c r="AB39" s="46">
        <f>'Data_in-situ'!EC116</f>
        <v>3</v>
      </c>
      <c r="AC39" s="113">
        <f>'Data_in-situ'!EE116</f>
        <v>1.5614749500456337</v>
      </c>
      <c r="AD39" s="113">
        <f>'Data_in-situ'!EF116</f>
        <v>2.3314997414012506</v>
      </c>
      <c r="AE39" s="46">
        <f>'Data_in-situ'!EG116</f>
        <v>3</v>
      </c>
      <c r="AF39" s="113">
        <f>'Data_in-situ'!EN51</f>
        <v>-53.36</v>
      </c>
      <c r="AG39" s="113">
        <f>'Data_in-situ'!EO51</f>
        <v>6.3986248522631799</v>
      </c>
      <c r="AH39" s="110">
        <f>'Data_in-situ'!EP51</f>
        <v>3</v>
      </c>
      <c r="AI39" s="113">
        <f>'Data_in-situ'!ER51</f>
        <v>-88.300000000000011</v>
      </c>
      <c r="AJ39" s="113">
        <f>'Data_in-situ'!ES51</f>
        <v>8.3224065029293062</v>
      </c>
      <c r="AK39" s="110">
        <f>'Data_in-situ'!ET51</f>
        <v>3</v>
      </c>
    </row>
    <row r="40" spans="2:37" x14ac:dyDescent="0.3">
      <c r="B40" s="24">
        <f>'Data_in-situ'!CA222</f>
        <v>-17643.02413085182</v>
      </c>
      <c r="C40" s="24">
        <f>'Data_in-situ'!CB222</f>
        <v>3122.5184951907863</v>
      </c>
      <c r="D40" s="46">
        <f>'Data_in-situ'!CC222</f>
        <v>3</v>
      </c>
      <c r="E40" s="24">
        <f>'Data_in-situ'!CE222</f>
        <v>-18545.337897111574</v>
      </c>
      <c r="F40" s="24">
        <f>'Data_in-situ'!CF222</f>
        <v>1220.592996774214</v>
      </c>
      <c r="G40" s="46">
        <f>'Data_in-situ'!CG222</f>
        <v>3</v>
      </c>
      <c r="H40" s="24">
        <f>'Data_in-situ'!CN222</f>
        <v>12120.970993298208</v>
      </c>
      <c r="I40" s="24">
        <f>'Data_in-situ'!CO222</f>
        <v>2737.6911459160037</v>
      </c>
      <c r="J40" s="46">
        <f>'Data_in-situ'!CP222</f>
        <v>3</v>
      </c>
      <c r="K40" s="24">
        <f>'Data_in-situ'!CR222</f>
        <v>14804.615301473419</v>
      </c>
      <c r="L40" s="24">
        <f>'Data_in-situ'!CS222</f>
        <v>2182.1730906862158</v>
      </c>
      <c r="M40" s="46">
        <f>'Data_in-situ'!CT222</f>
        <v>3</v>
      </c>
      <c r="N40" s="24">
        <f>'Data_in-situ'!DA133</f>
        <v>-4268.271466261881</v>
      </c>
      <c r="O40" s="24">
        <f>'Data_in-situ'!DB133</f>
        <v>1045.11699982255</v>
      </c>
      <c r="P40" s="46">
        <f>'Data_in-situ'!DC133</f>
        <v>57</v>
      </c>
      <c r="Q40" s="24">
        <f>'Data_in-situ'!DE133</f>
        <v>-5744.7206073313027</v>
      </c>
      <c r="R40" s="24">
        <f>'Data_in-situ'!DF133</f>
        <v>9099.0955143295014</v>
      </c>
      <c r="S40" s="46">
        <f>'Data_in-situ'!DG133</f>
        <v>57</v>
      </c>
      <c r="T40" s="113">
        <f>'Data_in-situ'!DN54</f>
        <v>5.3866851938273443</v>
      </c>
      <c r="U40" s="113">
        <f>'Data_in-situ'!DO54</f>
        <v>4.268024043852261</v>
      </c>
      <c r="V40" s="46">
        <f>'Data_in-situ'!DP54</f>
        <v>3</v>
      </c>
      <c r="W40" s="113">
        <f>'Data_in-situ'!DR54</f>
        <v>2.6938792153004636</v>
      </c>
      <c r="X40" s="113">
        <f>'Data_in-situ'!DS54</f>
        <v>4.3447601701580973</v>
      </c>
      <c r="Y40" s="46">
        <f>'Data_in-situ'!DT54</f>
        <v>3</v>
      </c>
      <c r="Z40" s="113">
        <f>'Data_in-situ'!EA117</f>
        <v>1.0679983859531741</v>
      </c>
      <c r="AA40" s="113">
        <f>'Data_in-situ'!EB117</f>
        <v>6.1409661363513326</v>
      </c>
      <c r="AB40" s="46">
        <f>'Data_in-situ'!EC117</f>
        <v>3</v>
      </c>
      <c r="AC40" s="113">
        <f>'Data_in-situ'!EE117</f>
        <v>1.9745850203174469</v>
      </c>
      <c r="AD40" s="113">
        <f>'Data_in-situ'!EF117</f>
        <v>2.9483306562877405</v>
      </c>
      <c r="AE40" s="46">
        <f>'Data_in-situ'!EG117</f>
        <v>3</v>
      </c>
      <c r="AF40" s="113">
        <f>'Data_in-situ'!EN52</f>
        <v>-53.36</v>
      </c>
      <c r="AG40" s="113">
        <f>'Data_in-situ'!EO52</f>
        <v>6.3986248522631799</v>
      </c>
      <c r="AH40" s="110">
        <f>'Data_in-situ'!EP52</f>
        <v>3</v>
      </c>
      <c r="AI40" s="113">
        <f>'Data_in-situ'!ER52</f>
        <v>-124.16</v>
      </c>
      <c r="AJ40" s="113">
        <f>'Data_in-situ'!ES52</f>
        <v>9.3061459262145689</v>
      </c>
      <c r="AK40" s="110">
        <f>'Data_in-situ'!ET52</f>
        <v>3</v>
      </c>
    </row>
    <row r="41" spans="2:37" x14ac:dyDescent="0.3">
      <c r="B41" s="24">
        <f>'Data_in-situ'!CA223</f>
        <v>-16723.603637465083</v>
      </c>
      <c r="C41" s="24">
        <f>'Data_in-situ'!CB223</f>
        <v>2362.7967430320127</v>
      </c>
      <c r="D41" s="46">
        <f>'Data_in-situ'!CC223</f>
        <v>3</v>
      </c>
      <c r="E41" s="24">
        <f>'Data_in-situ'!CE223</f>
        <v>-16792.689257373804</v>
      </c>
      <c r="F41" s="24">
        <f>'Data_in-situ'!CF223</f>
        <v>2297.5736170821519</v>
      </c>
      <c r="G41" s="46">
        <f>'Data_in-situ'!CG223</f>
        <v>3</v>
      </c>
      <c r="H41" s="24">
        <f>'Data_in-situ'!CN223</f>
        <v>10565.625157874983</v>
      </c>
      <c r="I41" s="24">
        <f>'Data_in-situ'!CO223</f>
        <v>3177.8813752357983</v>
      </c>
      <c r="J41" s="46">
        <f>'Data_in-situ'!CP223</f>
        <v>3</v>
      </c>
      <c r="K41" s="24">
        <f>'Data_in-situ'!CR223</f>
        <v>13251.044559960765</v>
      </c>
      <c r="L41" s="24">
        <f>'Data_in-situ'!CS223</f>
        <v>2768.2995631046829</v>
      </c>
      <c r="M41" s="46">
        <f>'Data_in-situ'!CT223</f>
        <v>3</v>
      </c>
      <c r="N41" s="24">
        <f>'Data_in-situ'!DA135</f>
        <v>2000</v>
      </c>
      <c r="O41" s="24">
        <f>'Data_in-situ'!DB135</f>
        <v>5999.3131173724232</v>
      </c>
      <c r="P41" s="46">
        <f>'Data_in-situ'!DC135</f>
        <v>3</v>
      </c>
      <c r="Q41" s="24">
        <f>'Data_in-situ'!DE135</f>
        <v>-6800</v>
      </c>
      <c r="R41" s="24">
        <f>'Data_in-situ'!DF135</f>
        <v>6481.3710012383399</v>
      </c>
      <c r="S41" s="46">
        <f>'Data_in-situ'!DG135</f>
        <v>3</v>
      </c>
      <c r="T41" s="113">
        <f>'Data_in-situ'!DN55</f>
        <v>4.9255681733440708</v>
      </c>
      <c r="U41" s="113">
        <f>'Data_in-situ'!DO55</f>
        <v>6.4838403831872826</v>
      </c>
      <c r="V41" s="46">
        <f>'Data_in-situ'!DP55</f>
        <v>3</v>
      </c>
      <c r="W41" s="113">
        <f>'Data_in-situ'!DR55</f>
        <v>4.361518729534084</v>
      </c>
      <c r="X41" s="113">
        <f>'Data_in-situ'!DS55</f>
        <v>5.0347578591510027</v>
      </c>
      <c r="Y41" s="46">
        <f>'Data_in-situ'!DT55</f>
        <v>3</v>
      </c>
      <c r="Z41" s="113">
        <f>'Data_in-situ'!EA118</f>
        <v>0.35237503307278556</v>
      </c>
      <c r="AA41" s="113">
        <f>'Data_in-situ'!EB118</f>
        <v>2.0261483293014391</v>
      </c>
      <c r="AB41" s="46">
        <f>'Data_in-situ'!EC118</f>
        <v>3</v>
      </c>
      <c r="AC41" s="113">
        <f>'Data_in-situ'!EE118</f>
        <v>2.9072916465010485</v>
      </c>
      <c r="AD41" s="113">
        <f>'Data_in-situ'!EF118</f>
        <v>4.3409916513851954</v>
      </c>
      <c r="AE41" s="46">
        <f>'Data_in-situ'!EG118</f>
        <v>3</v>
      </c>
      <c r="AF41" s="113">
        <f>'Data_in-situ'!EN53</f>
        <v>-38</v>
      </c>
      <c r="AG41" s="113">
        <f>'Data_in-situ'!EO53</f>
        <v>7.6</v>
      </c>
      <c r="AH41" s="110">
        <f>'Data_in-situ'!EP53</f>
        <v>3</v>
      </c>
      <c r="AI41" s="113">
        <f>'Data_in-situ'!ER53</f>
        <v>-73</v>
      </c>
      <c r="AJ41" s="113">
        <f>'Data_in-situ'!ES53</f>
        <v>10.3</v>
      </c>
      <c r="AK41" s="110">
        <f>'Data_in-situ'!ET53</f>
        <v>3</v>
      </c>
    </row>
    <row r="42" spans="2:37" x14ac:dyDescent="0.3">
      <c r="B42" s="24">
        <f>'Data_in-situ'!CA224</f>
        <v>-13221.293435196718</v>
      </c>
      <c r="C42" s="24">
        <f>'Data_in-situ'!CB224</f>
        <v>5835.686028701105</v>
      </c>
      <c r="D42" s="46">
        <f>'Data_in-situ'!CC224</f>
        <v>3</v>
      </c>
      <c r="E42" s="24">
        <f>'Data_in-situ'!CE224</f>
        <v>-13858.019355218201</v>
      </c>
      <c r="F42" s="24">
        <f>'Data_in-situ'!CF224</f>
        <v>8055.4344954724056</v>
      </c>
      <c r="G42" s="46">
        <f>'Data_in-situ'!CG224</f>
        <v>3</v>
      </c>
      <c r="H42" s="24">
        <f>'Data_in-situ'!CN224</f>
        <v>9278.44239752473</v>
      </c>
      <c r="I42" s="24">
        <f>'Data_in-situ'!CO224</f>
        <v>3665.2968271222612</v>
      </c>
      <c r="J42" s="46">
        <f>'Data_in-situ'!CP224</f>
        <v>3</v>
      </c>
      <c r="K42" s="24">
        <f>'Data_in-situ'!CR224</f>
        <v>8910.18513514601</v>
      </c>
      <c r="L42" s="24">
        <f>'Data_in-situ'!CS224</f>
        <v>4926.3065430817614</v>
      </c>
      <c r="M42" s="46">
        <f>'Data_in-situ'!CT224</f>
        <v>3</v>
      </c>
      <c r="N42" s="24">
        <f>'Data_in-situ'!DA136</f>
        <v>2000</v>
      </c>
      <c r="O42" s="24">
        <f>'Data_in-situ'!DB136</f>
        <v>5999.3131173724232</v>
      </c>
      <c r="P42" s="46">
        <f>'Data_in-situ'!DC136</f>
        <v>3</v>
      </c>
      <c r="Q42" s="24">
        <f>'Data_in-situ'!DE136</f>
        <v>-6800</v>
      </c>
      <c r="R42" s="24">
        <f>'Data_in-situ'!DF136</f>
        <v>6481.3710012383399</v>
      </c>
      <c r="S42" s="46">
        <f>'Data_in-situ'!DG136</f>
        <v>3</v>
      </c>
      <c r="T42" s="113">
        <f>'Data_in-situ'!DN56</f>
        <v>4.9255681733440708</v>
      </c>
      <c r="U42" s="113">
        <f>'Data_in-situ'!DO56</f>
        <v>6.4838403831872826</v>
      </c>
      <c r="V42" s="46">
        <f>'Data_in-situ'!DP56</f>
        <v>3</v>
      </c>
      <c r="W42" s="113">
        <f>'Data_in-situ'!DR56</f>
        <v>2.5655992526671083</v>
      </c>
      <c r="X42" s="113">
        <f>'Data_in-situ'!DS56</f>
        <v>2.1677925245184233</v>
      </c>
      <c r="Y42" s="46">
        <f>'Data_in-situ'!DT56</f>
        <v>3</v>
      </c>
      <c r="Z42" s="113">
        <f>'Data_in-situ'!EA119</f>
        <v>0.2322697401099488</v>
      </c>
      <c r="AA42" s="113">
        <f>'Data_in-situ'!EB119</f>
        <v>1.3355456593141879</v>
      </c>
      <c r="AB42" s="46">
        <f>'Data_in-situ'!EC119</f>
        <v>3</v>
      </c>
      <c r="AC42" s="113">
        <f>'Data_in-situ'!EE119</f>
        <v>3.1939260341842504</v>
      </c>
      <c r="AD42" s="113">
        <f>'Data_in-situ'!EF119</f>
        <v>4.7689767437752844</v>
      </c>
      <c r="AE42" s="46">
        <f>'Data_in-situ'!EG119</f>
        <v>3</v>
      </c>
      <c r="AF42" s="113">
        <f>'Data_in-situ'!EN54</f>
        <v>-38</v>
      </c>
      <c r="AG42" s="113">
        <f>'Data_in-situ'!EO54</f>
        <v>7.6</v>
      </c>
      <c r="AH42" s="110">
        <f>'Data_in-situ'!EP54</f>
        <v>3</v>
      </c>
      <c r="AI42" s="113">
        <f>'Data_in-situ'!ER54</f>
        <v>-112</v>
      </c>
      <c r="AJ42" s="113">
        <f>'Data_in-situ'!ES54</f>
        <v>15.2</v>
      </c>
      <c r="AK42" s="110">
        <f>'Data_in-situ'!ET54</f>
        <v>3</v>
      </c>
    </row>
    <row r="43" spans="2:37" x14ac:dyDescent="0.3">
      <c r="B43" s="24">
        <f>'Data_in-situ'!CA225</f>
        <v>-12433.234643422073</v>
      </c>
      <c r="C43" s="24">
        <f>'Data_in-situ'!CB225</f>
        <v>4080.0979371640278</v>
      </c>
      <c r="D43" s="46">
        <f>'Data_in-situ'!CC225</f>
        <v>3</v>
      </c>
      <c r="E43" s="24">
        <f>'Data_in-situ'!CE225</f>
        <v>-12839.064123912327</v>
      </c>
      <c r="F43" s="24">
        <f>'Data_in-situ'!CF225</f>
        <v>6079.7463275012169</v>
      </c>
      <c r="G43" s="46">
        <f>'Data_in-situ'!CG225</f>
        <v>3</v>
      </c>
      <c r="H43" s="24">
        <f>'Data_in-situ'!CN225</f>
        <v>8581.2184023350092</v>
      </c>
      <c r="I43" s="24">
        <f>'Data_in-situ'!CO225</f>
        <v>3466.4725308910288</v>
      </c>
      <c r="J43" s="46">
        <f>'Data_in-situ'!CP225</f>
        <v>3</v>
      </c>
      <c r="K43" s="24">
        <f>'Data_in-situ'!CR225</f>
        <v>7630.773936253252</v>
      </c>
      <c r="L43" s="24">
        <f>'Data_in-situ'!CS225</f>
        <v>3659.7826622477482</v>
      </c>
      <c r="M43" s="46">
        <f>'Data_in-situ'!CT225</f>
        <v>3</v>
      </c>
      <c r="N43" s="24">
        <f>'Data_in-situ'!DA137</f>
        <v>2000</v>
      </c>
      <c r="O43" s="24">
        <f>'Data_in-situ'!DB137</f>
        <v>5999.3131173724232</v>
      </c>
      <c r="P43" s="46">
        <f>'Data_in-situ'!DC137</f>
        <v>3</v>
      </c>
      <c r="Q43" s="24">
        <f>'Data_in-situ'!DE137</f>
        <v>-8000</v>
      </c>
      <c r="R43" s="24">
        <f>'Data_in-situ'!DF137</f>
        <v>7625.1423543980472</v>
      </c>
      <c r="S43" s="46">
        <f>'Data_in-situ'!DG137</f>
        <v>3</v>
      </c>
      <c r="T43" s="113">
        <f>'Data_in-situ'!DN57</f>
        <v>6.958675036383962</v>
      </c>
      <c r="U43" s="113">
        <f>'Data_in-situ'!DO57</f>
        <v>1.1532569524351295</v>
      </c>
      <c r="V43" s="46">
        <f>'Data_in-situ'!DP57</f>
        <v>3</v>
      </c>
      <c r="W43" s="113">
        <f>'Data_in-situ'!DR57</f>
        <v>1.1758996574724245</v>
      </c>
      <c r="X43" s="113">
        <f>'Data_in-situ'!DS57</f>
        <v>1.4564673447344252</v>
      </c>
      <c r="Y43" s="46">
        <f>'Data_in-situ'!DT57</f>
        <v>3</v>
      </c>
      <c r="Z43" s="113">
        <f>'Data_in-situ'!EA120</f>
        <v>7.2775325769365226E-2</v>
      </c>
      <c r="AA43" s="113">
        <f>'Data_in-situ'!EB120</f>
        <v>0.41845644805235027</v>
      </c>
      <c r="AB43" s="46">
        <f>'Data_in-situ'!EC120</f>
        <v>3</v>
      </c>
      <c r="AC43" s="113">
        <f>'Data_in-situ'!EE120</f>
        <v>1.917612896672684</v>
      </c>
      <c r="AD43" s="113">
        <f>'Data_in-situ'!EF120</f>
        <v>2.8632633348164851</v>
      </c>
      <c r="AE43" s="46">
        <f>'Data_in-situ'!EG120</f>
        <v>3</v>
      </c>
      <c r="AF43" s="113">
        <f>'Data_in-situ'!EN55</f>
        <v>-47</v>
      </c>
      <c r="AG43" s="113">
        <f>'Data_in-situ'!EO55</f>
        <v>6.8</v>
      </c>
      <c r="AH43" s="110">
        <f>'Data_in-situ'!EP55</f>
        <v>3</v>
      </c>
      <c r="AI43" s="113">
        <f>'Data_in-situ'!ER55</f>
        <v>-82</v>
      </c>
      <c r="AJ43" s="113">
        <f>'Data_in-situ'!ES55</f>
        <v>12.3</v>
      </c>
      <c r="AK43" s="110">
        <f>'Data_in-situ'!ET55</f>
        <v>3</v>
      </c>
    </row>
    <row r="44" spans="2:37" x14ac:dyDescent="0.3">
      <c r="B44" s="24">
        <f>'Data_in-situ'!CA246</f>
        <v>-129103.33333333334</v>
      </c>
      <c r="C44" s="24">
        <f>'Data_in-situ'!CB246</f>
        <v>31476.743163089086</v>
      </c>
      <c r="D44" s="46">
        <f>'Data_in-situ'!CC246</f>
        <v>1</v>
      </c>
      <c r="E44" s="24">
        <f>'Data_in-situ'!CE246</f>
        <v>-116380</v>
      </c>
      <c r="F44" s="24">
        <f>'Data_in-situ'!CF246</f>
        <v>43324.677444112938</v>
      </c>
      <c r="G44" s="46">
        <f>'Data_in-situ'!CG246</f>
        <v>1</v>
      </c>
      <c r="H44" s="24">
        <f>'Data_in-situ'!CN246</f>
        <v>136436.66666666666</v>
      </c>
      <c r="I44" s="24">
        <f>'Data_in-situ'!CO246</f>
        <v>39242.911350487644</v>
      </c>
      <c r="J44" s="46">
        <f>'Data_in-situ'!CP246</f>
        <v>1</v>
      </c>
      <c r="K44" s="24">
        <f>'Data_in-situ'!CR246</f>
        <v>134603.33333333334</v>
      </c>
      <c r="L44" s="24">
        <f>'Data_in-situ'!CS246</f>
        <v>35318.726117508595</v>
      </c>
      <c r="M44" s="46">
        <f>'Data_in-situ'!CT246</f>
        <v>1</v>
      </c>
      <c r="N44" s="24">
        <f>'Data_in-situ'!DA138</f>
        <v>2000</v>
      </c>
      <c r="O44" s="24">
        <f>'Data_in-situ'!DB138</f>
        <v>5999.3131173724232</v>
      </c>
      <c r="P44" s="46">
        <f>'Data_in-situ'!DC138</f>
        <v>3</v>
      </c>
      <c r="Q44" s="24">
        <f>'Data_in-situ'!DE138</f>
        <v>-8000</v>
      </c>
      <c r="R44" s="24">
        <f>'Data_in-situ'!DF138</f>
        <v>7625.1423543980472</v>
      </c>
      <c r="S44" s="46">
        <f>'Data_in-situ'!DG138</f>
        <v>3</v>
      </c>
      <c r="T44" s="113">
        <f>'Data_in-situ'!DN58</f>
        <v>6.958675036383962</v>
      </c>
      <c r="U44" s="113">
        <f>'Data_in-situ'!DO58</f>
        <v>1.1532569524351295</v>
      </c>
      <c r="V44" s="46">
        <f>'Data_in-situ'!DP58</f>
        <v>3</v>
      </c>
      <c r="W44" s="113">
        <f>'Data_in-situ'!DR58</f>
        <v>1.090379682383521</v>
      </c>
      <c r="X44" s="113">
        <f>'Data_in-situ'!DS58</f>
        <v>2.1822665028157022</v>
      </c>
      <c r="Y44" s="46">
        <f>'Data_in-situ'!DT58</f>
        <v>3</v>
      </c>
      <c r="Z44" s="113">
        <f>'Data_in-situ'!EA121</f>
        <v>0.31634988548724063</v>
      </c>
      <c r="AA44" s="113">
        <f>'Data_in-situ'!EB121</f>
        <v>1.8190045599010327</v>
      </c>
      <c r="AB44" s="46">
        <f>'Data_in-situ'!EC121</f>
        <v>3</v>
      </c>
      <c r="AC44" s="113">
        <f>'Data_in-situ'!EE121</f>
        <v>3.5426919892100956</v>
      </c>
      <c r="AD44" s="113">
        <f>'Data_in-situ'!EF121</f>
        <v>5.2897329262094335</v>
      </c>
      <c r="AE44" s="46">
        <f>'Data_in-situ'!EG121</f>
        <v>3</v>
      </c>
      <c r="AF44" s="113">
        <f>'Data_in-situ'!EN56</f>
        <v>-47</v>
      </c>
      <c r="AG44" s="113">
        <f>'Data_in-situ'!EO56</f>
        <v>6.8</v>
      </c>
      <c r="AH44" s="110">
        <f>'Data_in-situ'!EP56</f>
        <v>3</v>
      </c>
      <c r="AI44" s="113">
        <f>'Data_in-situ'!ER56</f>
        <v>-120</v>
      </c>
      <c r="AJ44" s="113">
        <f>'Data_in-situ'!ES56</f>
        <v>11.8</v>
      </c>
      <c r="AK44" s="110">
        <f>'Data_in-situ'!ET56</f>
        <v>3</v>
      </c>
    </row>
    <row r="45" spans="2:37" x14ac:dyDescent="0.3">
      <c r="B45" s="24">
        <f>'Data_in-situ'!CA247</f>
        <v>-130313.33333333334</v>
      </c>
      <c r="C45" s="24">
        <f>'Data_in-situ'!CB247</f>
        <v>31771.753820397222</v>
      </c>
      <c r="D45" s="46">
        <f>'Data_in-situ'!CC247</f>
        <v>1</v>
      </c>
      <c r="E45" s="24">
        <f>'Data_in-situ'!CE247</f>
        <v>-121146.66666666666</v>
      </c>
      <c r="F45" s="24">
        <f>'Data_in-situ'!CF247</f>
        <v>45099.160137161038</v>
      </c>
      <c r="G45" s="46">
        <f>'Data_in-situ'!CG247</f>
        <v>1</v>
      </c>
      <c r="H45" s="24">
        <f>'Data_in-situ'!CN247</f>
        <v>132953.33333333334</v>
      </c>
      <c r="I45" s="24">
        <f>'Data_in-situ'!CO247</f>
        <v>38241.009555729164</v>
      </c>
      <c r="J45" s="46">
        <f>'Data_in-situ'!CP247</f>
        <v>1</v>
      </c>
      <c r="K45" s="24">
        <f>'Data_in-situ'!CR247</f>
        <v>128553.33333333334</v>
      </c>
      <c r="L45" s="24">
        <f>'Data_in-situ'!CS247</f>
        <v>33731.259539086117</v>
      </c>
      <c r="M45" s="46">
        <f>'Data_in-situ'!CT247</f>
        <v>1</v>
      </c>
      <c r="N45" s="24">
        <f>'Data_in-situ'!DA139</f>
        <v>2000</v>
      </c>
      <c r="O45" s="24">
        <f>'Data_in-situ'!DB139</f>
        <v>5999.3131173724232</v>
      </c>
      <c r="P45" s="46">
        <f>'Data_in-situ'!DC139</f>
        <v>3</v>
      </c>
      <c r="Q45" s="24">
        <f>'Data_in-situ'!DE139</f>
        <v>-2000</v>
      </c>
      <c r="R45" s="24">
        <f>'Data_in-situ'!DF139</f>
        <v>1906.2855885995118</v>
      </c>
      <c r="S45" s="46">
        <f>'Data_in-situ'!DG139</f>
        <v>3</v>
      </c>
      <c r="T45" s="113">
        <f>'Data_in-situ'!DN59</f>
        <v>10.866266106411475</v>
      </c>
      <c r="U45" s="113">
        <f>'Data_in-situ'!DO59</f>
        <v>5.3394122234557058</v>
      </c>
      <c r="V45" s="46">
        <f>'Data_in-situ'!DP59</f>
        <v>3</v>
      </c>
      <c r="W45" s="113">
        <f>'Data_in-situ'!DR59</f>
        <v>1.8694061542190537</v>
      </c>
      <c r="X45" s="113">
        <f>'Data_in-situ'!DS59</f>
        <v>2.1264618086738842</v>
      </c>
      <c r="Y45" s="46">
        <f>'Data_in-situ'!DT59</f>
        <v>3</v>
      </c>
      <c r="Z45" s="113">
        <f>'Data_in-situ'!EA122</f>
        <v>2.1678509076928559E-2</v>
      </c>
      <c r="AA45" s="113">
        <f>'Data_in-situ'!EB122</f>
        <v>0.12465092820265757</v>
      </c>
      <c r="AB45" s="46">
        <f>'Data_in-situ'!EC122</f>
        <v>3</v>
      </c>
      <c r="AC45" s="113">
        <f>'Data_in-situ'!EE122</f>
        <v>1.4195226818596671</v>
      </c>
      <c r="AD45" s="113">
        <f>'Data_in-situ'!EF122</f>
        <v>2.1195452194556825</v>
      </c>
      <c r="AE45" s="46">
        <f>'Data_in-situ'!EG122</f>
        <v>3</v>
      </c>
      <c r="AF45" s="113">
        <f>'Data_in-situ'!EN57</f>
        <v>-56</v>
      </c>
      <c r="AG45" s="113">
        <f>'Data_in-situ'!EO57</f>
        <v>10.1</v>
      </c>
      <c r="AH45" s="110">
        <f>'Data_in-situ'!EP57</f>
        <v>3</v>
      </c>
      <c r="AI45" s="113">
        <f>'Data_in-situ'!ER57</f>
        <v>-91</v>
      </c>
      <c r="AJ45" s="113">
        <f>'Data_in-situ'!ES57</f>
        <v>11.3</v>
      </c>
      <c r="AK45" s="110">
        <f>'Data_in-situ'!ET57</f>
        <v>3</v>
      </c>
    </row>
    <row r="46" spans="2:37" x14ac:dyDescent="0.3">
      <c r="B46" s="24">
        <f>'Data_in-situ'!CA248</f>
        <v>-120743.33333333334</v>
      </c>
      <c r="C46" s="24">
        <f>'Data_in-situ'!CB248</f>
        <v>29438.487712596525</v>
      </c>
      <c r="D46" s="46">
        <f>'Data_in-situ'!CC248</f>
        <v>1</v>
      </c>
      <c r="E46" s="24">
        <f>'Data_in-situ'!CE248</f>
        <v>-111613.33333333334</v>
      </c>
      <c r="F46" s="24">
        <f>'Data_in-situ'!CF248</f>
        <v>41550.194751064839</v>
      </c>
      <c r="G46" s="46">
        <f>'Data_in-situ'!CG248</f>
        <v>1</v>
      </c>
      <c r="H46" s="24">
        <f>'Data_in-situ'!CN248</f>
        <v>136986.66666666666</v>
      </c>
      <c r="I46" s="24">
        <f>'Data_in-situ'!CO248</f>
        <v>39401.106370712667</v>
      </c>
      <c r="J46" s="46">
        <f>'Data_in-situ'!CP248</f>
        <v>1</v>
      </c>
      <c r="K46" s="24">
        <f>'Data_in-situ'!CR248</f>
        <v>130093.33333333334</v>
      </c>
      <c r="L46" s="24">
        <f>'Data_in-situ'!CS248</f>
        <v>34135.341940866383</v>
      </c>
      <c r="M46" s="46">
        <f>'Data_in-situ'!CT248</f>
        <v>1</v>
      </c>
      <c r="N46" s="24">
        <f>'Data_in-situ'!DA140</f>
        <v>2000</v>
      </c>
      <c r="O46" s="24">
        <f>'Data_in-situ'!DB140</f>
        <v>5999.3131173724232</v>
      </c>
      <c r="P46" s="46">
        <f>'Data_in-situ'!DC140</f>
        <v>3</v>
      </c>
      <c r="Q46" s="24">
        <f>'Data_in-situ'!DE140</f>
        <v>-1999</v>
      </c>
      <c r="R46" s="24">
        <f>'Data_in-situ'!DF140</f>
        <v>1905.332445805212</v>
      </c>
      <c r="S46" s="46">
        <f>'Data_in-situ'!DG140</f>
        <v>3</v>
      </c>
      <c r="T46" s="113">
        <f>'Data_in-situ'!DN60</f>
        <v>10.866266106411475</v>
      </c>
      <c r="U46" s="113">
        <f>'Data_in-situ'!DO60</f>
        <v>5.3394122234557058</v>
      </c>
      <c r="V46" s="46">
        <f>'Data_in-situ'!DP60</f>
        <v>3</v>
      </c>
      <c r="W46" s="113">
        <f>'Data_in-situ'!DR60</f>
        <v>1.2247833424193799</v>
      </c>
      <c r="X46" s="113">
        <f>'Data_in-situ'!DS60</f>
        <v>3.4037999999999999</v>
      </c>
      <c r="Y46" s="46">
        <f>'Data_in-situ'!DT60</f>
        <v>3</v>
      </c>
      <c r="Z46" s="113">
        <f>'Data_in-situ'!EA123</f>
        <v>6.2823434467833755E-2</v>
      </c>
      <c r="AA46" s="113">
        <f>'Data_in-situ'!EB123</f>
        <v>0.36123330213831362</v>
      </c>
      <c r="AB46" s="46">
        <f>'Data_in-situ'!EC123</f>
        <v>3</v>
      </c>
      <c r="AC46" s="113">
        <f>'Data_in-situ'!EE123</f>
        <v>2.4682312753968088</v>
      </c>
      <c r="AD46" s="113">
        <f>'Data_in-situ'!EF123</f>
        <v>3.6854133203596762</v>
      </c>
      <c r="AE46" s="46">
        <f>'Data_in-situ'!EG123</f>
        <v>3</v>
      </c>
      <c r="AF46" s="113">
        <f>'Data_in-situ'!EN58</f>
        <v>-56</v>
      </c>
      <c r="AG46" s="113">
        <f>'Data_in-situ'!EO58</f>
        <v>10.1</v>
      </c>
      <c r="AH46" s="110">
        <f>'Data_in-situ'!EP58</f>
        <v>3</v>
      </c>
      <c r="AI46" s="113">
        <f>'Data_in-situ'!ER58</f>
        <v>-128</v>
      </c>
      <c r="AJ46" s="113">
        <f>'Data_in-situ'!ES58</f>
        <v>14.2</v>
      </c>
      <c r="AK46" s="110">
        <f>'Data_in-situ'!ET58</f>
        <v>3</v>
      </c>
    </row>
    <row r="47" spans="2:37" x14ac:dyDescent="0.3">
      <c r="B47" s="24">
        <f>'Data_in-situ'!CA249</f>
        <v>-128773.33333333334</v>
      </c>
      <c r="C47" s="24">
        <f>'Data_in-situ'!CB249</f>
        <v>31396.285711095959</v>
      </c>
      <c r="D47" s="46">
        <f>'Data_in-situ'!CC249</f>
        <v>1</v>
      </c>
      <c r="E47" s="24">
        <f>'Data_in-situ'!CE249</f>
        <v>-118946.66666666666</v>
      </c>
      <c r="F47" s="24">
        <f>'Data_in-situ'!CF249</f>
        <v>44280.168124984993</v>
      </c>
      <c r="G47" s="46">
        <f>'Data_in-situ'!CG249</f>
        <v>1</v>
      </c>
      <c r="H47" s="24">
        <f>'Data_in-situ'!CN249</f>
        <v>127783.33333333334</v>
      </c>
      <c r="I47" s="24">
        <f>'Data_in-situ'!CO249</f>
        <v>36753.97636561394</v>
      </c>
      <c r="J47" s="46">
        <f>'Data_in-situ'!CP249</f>
        <v>1</v>
      </c>
      <c r="K47" s="24">
        <f>'Data_in-situ'!CR249</f>
        <v>122870</v>
      </c>
      <c r="L47" s="24">
        <f>'Data_in-situ'!CS249</f>
        <v>32240.003056325604</v>
      </c>
      <c r="M47" s="46">
        <f>'Data_in-situ'!CT249</f>
        <v>1</v>
      </c>
      <c r="N47" s="24">
        <f>'Data_in-situ'!DA147</f>
        <v>-55</v>
      </c>
      <c r="O47" s="24">
        <f>'Data_in-situ'!DB147</f>
        <v>450</v>
      </c>
      <c r="P47" s="46">
        <f>'Data_in-situ'!DC147</f>
        <v>6</v>
      </c>
      <c r="Q47" s="24">
        <f>'Data_in-situ'!DE147</f>
        <v>-910</v>
      </c>
      <c r="R47" s="24">
        <f>'Data_in-situ'!DF147</f>
        <v>180</v>
      </c>
      <c r="S47" s="46">
        <f>'Data_in-situ'!DG147</f>
        <v>2</v>
      </c>
      <c r="T47" s="113">
        <f>'Data_in-situ'!DN61</f>
        <v>9.9527304602972393</v>
      </c>
      <c r="U47" s="113">
        <f>'Data_in-situ'!DO61</f>
        <v>3.6109447780902064</v>
      </c>
      <c r="V47" s="46">
        <f>'Data_in-situ'!DP61</f>
        <v>3</v>
      </c>
      <c r="W47" s="113">
        <f>'Data_in-situ'!DR61</f>
        <v>1.4557731833142631</v>
      </c>
      <c r="X47" s="113">
        <f>'Data_in-situ'!DS61</f>
        <v>2.2523897859272677</v>
      </c>
      <c r="Y47" s="46">
        <f>'Data_in-situ'!DT61</f>
        <v>3</v>
      </c>
      <c r="Z47" s="113">
        <f>'Data_in-situ'!EA124</f>
        <v>2.0013214586575439</v>
      </c>
      <c r="AA47" s="113">
        <f>'Data_in-situ'!EB124</f>
        <v>11.507552321439633</v>
      </c>
      <c r="AB47" s="46">
        <f>'Data_in-situ'!EC124</f>
        <v>3</v>
      </c>
      <c r="AC47" s="113">
        <f>'Data_in-situ'!EE124</f>
        <v>3.1161209570931105</v>
      </c>
      <c r="AD47" s="113">
        <f>'Data_in-situ'!EF124</f>
        <v>4.6528029190767866</v>
      </c>
      <c r="AE47" s="46">
        <f>'Data_in-situ'!EG124</f>
        <v>3</v>
      </c>
      <c r="AF47" s="113">
        <f>'Data_in-situ'!EN59</f>
        <v>-38</v>
      </c>
      <c r="AG47" s="113">
        <f>'Data_in-situ'!EO59</f>
        <v>7.6</v>
      </c>
      <c r="AH47" s="110">
        <f>'Data_in-situ'!EP59</f>
        <v>3</v>
      </c>
      <c r="AI47" s="113">
        <f>'Data_in-situ'!ER59</f>
        <v>-73</v>
      </c>
      <c r="AJ47" s="113">
        <f>'Data_in-situ'!ES59</f>
        <v>10.3</v>
      </c>
      <c r="AK47" s="110">
        <f>'Data_in-situ'!ET59</f>
        <v>3</v>
      </c>
    </row>
    <row r="48" spans="2:37" x14ac:dyDescent="0.3">
      <c r="B48" s="24">
        <f>'Data_in-situ'!CA271</f>
        <v>-40673.401413977677</v>
      </c>
      <c r="C48" s="24">
        <f>'Data_in-situ'!CB271</f>
        <v>10107.748850350723</v>
      </c>
      <c r="D48" s="46">
        <f>'Data_in-situ'!CC271</f>
        <v>8</v>
      </c>
      <c r="E48" s="24">
        <f>'Data_in-situ'!CE271</f>
        <v>-44668.814018586389</v>
      </c>
      <c r="F48" s="24">
        <f>'Data_in-situ'!CF271</f>
        <v>7435.5187362050165</v>
      </c>
      <c r="G48" s="46">
        <f>'Data_in-situ'!CG271</f>
        <v>8</v>
      </c>
      <c r="H48" s="24">
        <f>'Data_in-situ'!CN271</f>
        <v>25646.988483892328</v>
      </c>
      <c r="I48" s="24">
        <f>'Data_in-situ'!CO271</f>
        <v>7128.4662989719045</v>
      </c>
      <c r="J48" s="46">
        <f>'Data_in-situ'!CP271</f>
        <v>8</v>
      </c>
      <c r="K48" s="24">
        <f>'Data_in-situ'!CR271</f>
        <v>30448.252211184394</v>
      </c>
      <c r="L48" s="24">
        <f>'Data_in-situ'!CS271</f>
        <v>38699.412338334165</v>
      </c>
      <c r="M48" s="46">
        <f>'Data_in-situ'!CT271</f>
        <v>8</v>
      </c>
      <c r="N48" s="24">
        <f>'Data_in-situ'!DA148</f>
        <v>-100</v>
      </c>
      <c r="O48" s="24">
        <f>'Data_in-situ'!DB148</f>
        <v>270</v>
      </c>
      <c r="P48" s="46">
        <f>'Data_in-situ'!DC148</f>
        <v>16</v>
      </c>
      <c r="Q48" s="24">
        <f>'Data_in-situ'!DE148</f>
        <v>-910</v>
      </c>
      <c r="R48" s="24">
        <f>'Data_in-situ'!DF148</f>
        <v>180</v>
      </c>
      <c r="S48" s="46">
        <f>'Data_in-situ'!DG148</f>
        <v>2</v>
      </c>
      <c r="T48" s="113">
        <f>'Data_in-situ'!DN62</f>
        <v>9.9527304602972393</v>
      </c>
      <c r="U48" s="113">
        <f>'Data_in-situ'!DO62</f>
        <v>3.6109447780902064</v>
      </c>
      <c r="V48" s="46">
        <f>'Data_in-situ'!DP62</f>
        <v>3</v>
      </c>
      <c r="W48" s="113">
        <f>'Data_in-situ'!DR62</f>
        <v>1.0045372150544916</v>
      </c>
      <c r="X48" s="113">
        <f>'Data_in-situ'!DS62</f>
        <v>1.2391823776598332</v>
      </c>
      <c r="Y48" s="46">
        <f>'Data_in-situ'!DT62</f>
        <v>3</v>
      </c>
      <c r="Z48" s="113">
        <f>'Data_in-situ'!EA125</f>
        <v>2.0562742556670646</v>
      </c>
      <c r="AA48" s="113">
        <f>'Data_in-situ'!EB125</f>
        <v>11.823529639356714</v>
      </c>
      <c r="AB48" s="46">
        <f>'Data_in-situ'!EC125</f>
        <v>3</v>
      </c>
      <c r="AC48" s="113">
        <f>'Data_in-situ'!EE125</f>
        <v>3.9594792820583411</v>
      </c>
      <c r="AD48" s="113">
        <f>'Data_in-situ'!EF125</f>
        <v>5.9120544469399539</v>
      </c>
      <c r="AE48" s="46">
        <f>'Data_in-situ'!EG125</f>
        <v>3</v>
      </c>
      <c r="AF48" s="113">
        <f>'Data_in-situ'!EN60</f>
        <v>-38</v>
      </c>
      <c r="AG48" s="113">
        <f>'Data_in-situ'!EO60</f>
        <v>7.6</v>
      </c>
      <c r="AH48" s="110">
        <f>'Data_in-situ'!EP60</f>
        <v>3</v>
      </c>
      <c r="AI48" s="113">
        <f>'Data_in-situ'!ER60</f>
        <v>-112</v>
      </c>
      <c r="AJ48" s="113">
        <f>'Data_in-situ'!ES60</f>
        <v>15.2</v>
      </c>
      <c r="AK48" s="110">
        <f>'Data_in-situ'!ET60</f>
        <v>3</v>
      </c>
    </row>
    <row r="49" spans="2:37" x14ac:dyDescent="0.3">
      <c r="B49" s="24">
        <f>'Data_in-situ'!CA339</f>
        <v>-2994.9187190031953</v>
      </c>
      <c r="C49" s="24">
        <f>'Data_in-situ'!CB339</f>
        <v>676.52043369186902</v>
      </c>
      <c r="D49" s="46">
        <f>'Data_in-situ'!CC339</f>
        <v>3</v>
      </c>
      <c r="E49" s="24">
        <f>'Data_in-situ'!CE339</f>
        <v>-2403.5364233284786</v>
      </c>
      <c r="F49" s="24">
        <f>'Data_in-situ'!CF339</f>
        <v>338.39733243694133</v>
      </c>
      <c r="G49" s="46">
        <f>'Data_in-situ'!CG339</f>
        <v>3</v>
      </c>
      <c r="H49" s="24">
        <f>'Data_in-situ'!CN339</f>
        <v>3969.4505741620792</v>
      </c>
      <c r="I49" s="24">
        <f>'Data_in-situ'!CO339</f>
        <v>723.08718823658228</v>
      </c>
      <c r="J49" s="46">
        <f>'Data_in-situ'!CP339</f>
        <v>3</v>
      </c>
      <c r="K49" s="24">
        <f>'Data_in-situ'!CR339</f>
        <v>4246.5463132141167</v>
      </c>
      <c r="L49" s="24">
        <f>'Data_in-situ'!CS339</f>
        <v>528.2044209164568</v>
      </c>
      <c r="M49" s="46">
        <f>'Data_in-situ'!CT339</f>
        <v>3</v>
      </c>
      <c r="N49" s="24">
        <f>'Data_in-situ'!DA149</f>
        <v>-77.5</v>
      </c>
      <c r="O49" s="24">
        <f>'Data_in-situ'!DB149</f>
        <v>262.39283526803854</v>
      </c>
      <c r="P49" s="46">
        <f>'Data_in-situ'!DC149</f>
        <v>16</v>
      </c>
      <c r="Q49" s="24">
        <f>'Data_in-situ'!DE149</f>
        <v>1790</v>
      </c>
      <c r="R49" s="24">
        <f>'Data_in-situ'!DF149</f>
        <v>2340</v>
      </c>
      <c r="S49" s="46">
        <f>'Data_in-situ'!DG149</f>
        <v>4</v>
      </c>
      <c r="T49" s="113">
        <f>'Data_in-situ'!DN63</f>
        <v>10.24121540117542</v>
      </c>
      <c r="U49" s="113">
        <f>'Data_in-situ'!DO63</f>
        <v>7.0937907088882888</v>
      </c>
      <c r="V49" s="46">
        <f>'Data_in-situ'!DP63</f>
        <v>3</v>
      </c>
      <c r="W49" s="113">
        <f>'Data_in-situ'!DR63</f>
        <v>0.9615623609345133</v>
      </c>
      <c r="X49" s="113">
        <f>'Data_in-situ'!DS63</f>
        <v>1.1781116185620597</v>
      </c>
      <c r="Y49" s="46">
        <f>'Data_in-situ'!DT63</f>
        <v>3</v>
      </c>
      <c r="Z49" s="113">
        <f>'Data_in-situ'!EA126</f>
        <v>0.1445233938461904</v>
      </c>
      <c r="AA49" s="113">
        <f>'Data_in-situ'!EB126</f>
        <v>0.83100618801771708</v>
      </c>
      <c r="AB49" s="46">
        <f>'Data_in-situ'!EC126</f>
        <v>3</v>
      </c>
      <c r="AC49" s="113">
        <f>'Data_in-situ'!EE126</f>
        <v>2.2712362909754678</v>
      </c>
      <c r="AD49" s="113">
        <f>'Data_in-situ'!EF126</f>
        <v>3.3912723511290923</v>
      </c>
      <c r="AE49" s="46">
        <f>'Data_in-situ'!EG126</f>
        <v>3</v>
      </c>
      <c r="AF49" s="113">
        <f>'Data_in-situ'!EN61</f>
        <v>-44</v>
      </c>
      <c r="AG49" s="113">
        <f>'Data_in-situ'!EO61</f>
        <v>6.8</v>
      </c>
      <c r="AH49" s="110">
        <f>'Data_in-situ'!EP61</f>
        <v>3</v>
      </c>
      <c r="AI49" s="113">
        <f>'Data_in-situ'!ER61</f>
        <v>-79</v>
      </c>
      <c r="AJ49" s="113">
        <f>'Data_in-situ'!ES61</f>
        <v>12.3</v>
      </c>
      <c r="AK49" s="110">
        <f>'Data_in-situ'!ET61</f>
        <v>3</v>
      </c>
    </row>
    <row r="50" spans="2:37" x14ac:dyDescent="0.3">
      <c r="B50" s="24">
        <f>'Data_in-situ'!CA340</f>
        <v>-3247.736532945024</v>
      </c>
      <c r="C50" s="24">
        <f>'Data_in-situ'!CB340</f>
        <v>576.55145764577287</v>
      </c>
      <c r="D50" s="46">
        <f>'Data_in-situ'!CC340</f>
        <v>3</v>
      </c>
      <c r="E50" s="24">
        <f>'Data_in-situ'!CE340</f>
        <v>-2538.1344630348735</v>
      </c>
      <c r="F50" s="24">
        <f>'Data_in-situ'!CF340</f>
        <v>178.15163353403054</v>
      </c>
      <c r="G50" s="46">
        <f>'Data_in-situ'!CG340</f>
        <v>3</v>
      </c>
      <c r="H50" s="24">
        <f>'Data_in-situ'!CN340</f>
        <v>4869.5004136523185</v>
      </c>
      <c r="I50" s="24">
        <f>'Data_in-situ'!CO340</f>
        <v>764.57941069494359</v>
      </c>
      <c r="J50" s="46">
        <f>'Data_in-situ'!CP340</f>
        <v>3</v>
      </c>
      <c r="K50" s="24">
        <f>'Data_in-situ'!CR340</f>
        <v>4268.1023858700255</v>
      </c>
      <c r="L50" s="24">
        <f>'Data_in-situ'!CS340</f>
        <v>956.60990521947133</v>
      </c>
      <c r="M50" s="46">
        <f>'Data_in-situ'!CT340</f>
        <v>3</v>
      </c>
      <c r="N50" s="24">
        <f>'Data_in-situ'!DA150</f>
        <v>-77.5</v>
      </c>
      <c r="O50" s="24">
        <f>'Data_in-situ'!DB150</f>
        <v>262.39283526803854</v>
      </c>
      <c r="P50" s="46">
        <f>'Data_in-situ'!DC150</f>
        <v>16</v>
      </c>
      <c r="Q50" s="24">
        <f>'Data_in-situ'!DE150</f>
        <v>1700</v>
      </c>
      <c r="R50" s="24">
        <f>'Data_in-situ'!DF150</f>
        <v>2340</v>
      </c>
      <c r="S50" s="46">
        <f>'Data_in-situ'!DG150</f>
        <v>3</v>
      </c>
      <c r="T50" s="113">
        <f>'Data_in-situ'!DN64</f>
        <v>10.24121540117542</v>
      </c>
      <c r="U50" s="113">
        <f>'Data_in-situ'!DO64</f>
        <v>7.0937907088882888</v>
      </c>
      <c r="V50" s="46">
        <f>'Data_in-situ'!DP64</f>
        <v>3</v>
      </c>
      <c r="W50" s="113">
        <f>'Data_in-situ'!DR64</f>
        <v>0.45660782502476893</v>
      </c>
      <c r="X50" s="113">
        <f>'Data_in-situ'!DS64</f>
        <v>1.5313900415070829</v>
      </c>
      <c r="Y50" s="46">
        <f>'Data_in-situ'!DT64</f>
        <v>3</v>
      </c>
      <c r="Z50" s="113">
        <f>'Data_in-situ'!EA127</f>
        <v>0.25129373787133502</v>
      </c>
      <c r="AA50" s="113">
        <f>'Data_in-situ'!EB127</f>
        <v>1.4449332085532545</v>
      </c>
      <c r="AB50" s="46">
        <f>'Data_in-situ'!EC127</f>
        <v>3</v>
      </c>
      <c r="AC50" s="113">
        <f>'Data_in-situ'!EE127</f>
        <v>2.7150544029364894</v>
      </c>
      <c r="AD50" s="113">
        <f>'Data_in-situ'!EF127</f>
        <v>4.0539546523956433</v>
      </c>
      <c r="AE50" s="46">
        <f>'Data_in-situ'!EG127</f>
        <v>3</v>
      </c>
      <c r="AF50" s="113">
        <f>'Data_in-situ'!EN62</f>
        <v>-44</v>
      </c>
      <c r="AG50" s="113">
        <f>'Data_in-situ'!EO62</f>
        <v>6.8</v>
      </c>
      <c r="AH50" s="110">
        <f>'Data_in-situ'!EP62</f>
        <v>3</v>
      </c>
      <c r="AI50" s="113">
        <f>'Data_in-situ'!ER62</f>
        <v>-116</v>
      </c>
      <c r="AJ50" s="113">
        <f>'Data_in-situ'!ES62</f>
        <v>11.8</v>
      </c>
      <c r="AK50" s="110">
        <f>'Data_in-situ'!ET62</f>
        <v>3</v>
      </c>
    </row>
    <row r="51" spans="2:37" x14ac:dyDescent="0.3">
      <c r="B51" s="24">
        <f>'Data_in-situ'!CA341</f>
        <v>-4239.5602645629651</v>
      </c>
      <c r="C51" s="24">
        <f>'Data_in-situ'!CB341</f>
        <v>1115.0244091372156</v>
      </c>
      <c r="D51" s="46">
        <f>'Data_in-situ'!CC341</f>
        <v>3</v>
      </c>
      <c r="E51" s="24">
        <f>'Data_in-situ'!CE341</f>
        <v>-3364.9509926598698</v>
      </c>
      <c r="F51" s="24">
        <f>'Data_in-situ'!CF341</f>
        <v>1102.2450453899555</v>
      </c>
      <c r="G51" s="46">
        <f>'Data_in-situ'!CG341</f>
        <v>3</v>
      </c>
      <c r="H51" s="24">
        <f>'Data_in-situ'!CN341</f>
        <v>7477.3371280727561</v>
      </c>
      <c r="I51" s="24">
        <f>'Data_in-situ'!CO341</f>
        <v>1843.7169743300331</v>
      </c>
      <c r="J51" s="46">
        <f>'Data_in-situ'!CP341</f>
        <v>3</v>
      </c>
      <c r="K51" s="24">
        <f>'Data_in-situ'!CR341</f>
        <v>5971.0321256868547</v>
      </c>
      <c r="L51" s="24">
        <f>'Data_in-situ'!CS341</f>
        <v>1963.4643578324303</v>
      </c>
      <c r="M51" s="46">
        <f>'Data_in-situ'!CT341</f>
        <v>3</v>
      </c>
      <c r="N51" s="24">
        <f>'Data_in-situ'!DA151</f>
        <v>-77.5</v>
      </c>
      <c r="O51" s="24">
        <f>'Data_in-situ'!DB151</f>
        <v>262.39283526803854</v>
      </c>
      <c r="P51" s="46">
        <f>'Data_in-situ'!DC151</f>
        <v>16</v>
      </c>
      <c r="Q51" s="24">
        <f>'Data_in-situ'!DE151</f>
        <v>665</v>
      </c>
      <c r="R51" s="24">
        <f>'Data_in-situ'!DF151</f>
        <v>360</v>
      </c>
      <c r="S51" s="46">
        <f>'Data_in-situ'!DG151</f>
        <v>16</v>
      </c>
      <c r="T51" s="113">
        <f>'Data_in-situ'!DN65</f>
        <v>7.7977007953643627</v>
      </c>
      <c r="U51" s="113">
        <f>'Data_in-situ'!DO65</f>
        <v>3.3514104017873239</v>
      </c>
      <c r="V51" s="46">
        <f>'Data_in-situ'!DP65</f>
        <v>3</v>
      </c>
      <c r="W51" s="113">
        <f>'Data_in-situ'!DR65</f>
        <v>3.0401651288720082</v>
      </c>
      <c r="X51" s="113">
        <f>'Data_in-situ'!DS65</f>
        <v>2.576926227735012</v>
      </c>
      <c r="Y51" s="46">
        <f>'Data_in-situ'!DT65</f>
        <v>3</v>
      </c>
      <c r="Z51" s="113">
        <f>'Data_in-situ'!EA128</f>
        <v>0.61975925336567961</v>
      </c>
      <c r="AA51" s="113">
        <f>'Data_in-situ'!EB128</f>
        <v>0.31937151793647711</v>
      </c>
      <c r="AB51" s="46">
        <f>'Data_in-situ'!EC128</f>
        <v>18</v>
      </c>
      <c r="AC51" s="113">
        <f>'Data_in-situ'!EE128</f>
        <v>0.85760492742086802</v>
      </c>
      <c r="AD51" s="113">
        <f>'Data_in-situ'!EF128</f>
        <v>1.8545293886198424</v>
      </c>
      <c r="AE51" s="46">
        <f>'Data_in-situ'!EG128</f>
        <v>18</v>
      </c>
      <c r="AF51" s="113">
        <f>'Data_in-situ'!EN63</f>
        <v>-50</v>
      </c>
      <c r="AG51" s="113">
        <f>'Data_in-situ'!EO63</f>
        <v>6.8</v>
      </c>
      <c r="AH51" s="110">
        <f>'Data_in-situ'!EP63</f>
        <v>3</v>
      </c>
      <c r="AI51" s="113">
        <f>'Data_in-situ'!ER63</f>
        <v>-85</v>
      </c>
      <c r="AJ51" s="113">
        <f>'Data_in-situ'!ES63</f>
        <v>12.3</v>
      </c>
      <c r="AK51" s="110">
        <f>'Data_in-situ'!ET63</f>
        <v>3</v>
      </c>
    </row>
    <row r="52" spans="2:37" x14ac:dyDescent="0.3">
      <c r="B52" s="24">
        <f>'Data_in-situ'!CA342</f>
        <v>-2945.161089648047</v>
      </c>
      <c r="C52" s="24">
        <f>'Data_in-situ'!CB342</f>
        <v>96.327483684879894</v>
      </c>
      <c r="D52" s="46">
        <f>'Data_in-situ'!CC342</f>
        <v>3</v>
      </c>
      <c r="E52" s="24">
        <f>'Data_in-situ'!CE342</f>
        <v>-2329.5681312375768</v>
      </c>
      <c r="F52" s="24">
        <f>'Data_in-situ'!CF342</f>
        <v>936.72704913647306</v>
      </c>
      <c r="G52" s="46">
        <f>'Data_in-situ'!CG342</f>
        <v>3</v>
      </c>
      <c r="H52" s="24">
        <f>'Data_in-situ'!CN342</f>
        <v>2386.82655517393</v>
      </c>
      <c r="I52" s="24">
        <f>'Data_in-situ'!CO342</f>
        <v>98.565445597832763</v>
      </c>
      <c r="J52" s="46">
        <f>'Data_in-situ'!CP342</f>
        <v>3</v>
      </c>
      <c r="K52" s="24">
        <f>'Data_in-situ'!CR342</f>
        <v>2420.4945007500228</v>
      </c>
      <c r="L52" s="24">
        <f>'Data_in-situ'!CS342</f>
        <v>226.67580770330741</v>
      </c>
      <c r="M52" s="46">
        <f>'Data_in-situ'!CT342</f>
        <v>3</v>
      </c>
      <c r="N52" s="24">
        <f>'Data_in-situ'!DA168</f>
        <v>25.237137365721058</v>
      </c>
      <c r="O52" s="24">
        <f>'Data_in-situ'!DB168</f>
        <v>75.702744621550025</v>
      </c>
      <c r="P52" s="46">
        <f>'Data_in-situ'!DC168</f>
        <v>3</v>
      </c>
      <c r="Q52" s="24">
        <f>'Data_in-situ'!DE168</f>
        <v>227.90960825112143</v>
      </c>
      <c r="R52" s="24">
        <f>'Data_in-situ'!DF168</f>
        <v>217.23040085623657</v>
      </c>
      <c r="S52" s="46">
        <f>'Data_in-situ'!DG168</f>
        <v>3</v>
      </c>
      <c r="T52" s="113">
        <f>'Data_in-situ'!DN66</f>
        <v>7.7977007953643627</v>
      </c>
      <c r="U52" s="113">
        <f>'Data_in-situ'!DO66</f>
        <v>3.3514104017873239</v>
      </c>
      <c r="V52" s="46">
        <f>'Data_in-situ'!DP66</f>
        <v>3</v>
      </c>
      <c r="W52" s="113">
        <f>'Data_in-situ'!DR66</f>
        <v>1.9887131963175433</v>
      </c>
      <c r="X52" s="113">
        <f>'Data_in-situ'!DS66</f>
        <v>2.7881365985407487</v>
      </c>
      <c r="Y52" s="46">
        <f>'Data_in-situ'!DT66</f>
        <v>3</v>
      </c>
      <c r="Z52" s="113">
        <f>'Data_in-situ'!EA129</f>
        <v>0.61975925336567961</v>
      </c>
      <c r="AA52" s="113">
        <f>'Data_in-situ'!EB129</f>
        <v>0.31937151793647711</v>
      </c>
      <c r="AB52" s="46">
        <f>'Data_in-situ'!EC129</f>
        <v>18</v>
      </c>
      <c r="AC52" s="113">
        <f>'Data_in-situ'!EE129</f>
        <v>1.2578205602172745</v>
      </c>
      <c r="AD52" s="113">
        <f>'Data_in-situ'!EF129</f>
        <v>0.63959090137404107</v>
      </c>
      <c r="AE52" s="46">
        <f>'Data_in-situ'!EG129</f>
        <v>18</v>
      </c>
      <c r="AF52" s="113">
        <f>'Data_in-situ'!EN64</f>
        <v>-50</v>
      </c>
      <c r="AG52" s="113">
        <f>'Data_in-situ'!EO64</f>
        <v>6.8</v>
      </c>
      <c r="AH52" s="110">
        <f>'Data_in-situ'!EP64</f>
        <v>3</v>
      </c>
      <c r="AI52" s="113">
        <f>'Data_in-situ'!ER64</f>
        <v>-120</v>
      </c>
      <c r="AJ52" s="113">
        <f>'Data_in-situ'!ES64</f>
        <v>11.8</v>
      </c>
      <c r="AK52" s="110">
        <f>'Data_in-situ'!ET64</f>
        <v>3</v>
      </c>
    </row>
    <row r="53" spans="2:37" x14ac:dyDescent="0.3">
      <c r="B53" s="24">
        <f>'Data_in-situ'!CA343</f>
        <v>-2887.6945318012554</v>
      </c>
      <c r="C53" s="24">
        <f>'Data_in-situ'!CB343</f>
        <v>116.06106513063514</v>
      </c>
      <c r="D53" s="46">
        <f>'Data_in-situ'!CC343</f>
        <v>3</v>
      </c>
      <c r="E53" s="24">
        <f>'Data_in-situ'!CE343</f>
        <v>-2017.0650892422923</v>
      </c>
      <c r="F53" s="24">
        <f>'Data_in-situ'!CF343</f>
        <v>715.26564447368787</v>
      </c>
      <c r="G53" s="46">
        <f>'Data_in-situ'!CG343</f>
        <v>3</v>
      </c>
      <c r="H53" s="24">
        <f>'Data_in-situ'!CN343</f>
        <v>2301.5827496320044</v>
      </c>
      <c r="I53" s="24">
        <f>'Data_in-situ'!CO343</f>
        <v>97.898666178602923</v>
      </c>
      <c r="J53" s="46">
        <f>'Data_in-situ'!CP343</f>
        <v>3</v>
      </c>
      <c r="K53" s="24">
        <f>'Data_in-situ'!CR343</f>
        <v>2420.4945007500228</v>
      </c>
      <c r="L53" s="24">
        <f>'Data_in-situ'!CS343</f>
        <v>564.27419535299123</v>
      </c>
      <c r="M53" s="46">
        <f>'Data_in-situ'!CT343</f>
        <v>3</v>
      </c>
      <c r="N53" s="24">
        <f>'Data_in-situ'!DA169</f>
        <v>826.51624872736215</v>
      </c>
      <c r="O53" s="24">
        <f>'Data_in-situ'!DB169</f>
        <v>2479.2648863557561</v>
      </c>
      <c r="P53" s="46">
        <f>'Data_in-situ'!DC169</f>
        <v>3</v>
      </c>
      <c r="Q53" s="24">
        <f>'Data_in-situ'!DE169</f>
        <v>-2686.077525816791</v>
      </c>
      <c r="R53" s="24">
        <f>'Data_in-situ'!DF169</f>
        <v>2560.2154386627908</v>
      </c>
      <c r="S53" s="46">
        <f>'Data_in-situ'!DG169</f>
        <v>3</v>
      </c>
      <c r="T53" s="113">
        <f>'Data_in-situ'!DN67</f>
        <v>7.1375195796034658</v>
      </c>
      <c r="U53" s="113">
        <f>'Data_in-situ'!DO67</f>
        <v>3.9633493035082119</v>
      </c>
      <c r="V53" s="46">
        <f>'Data_in-situ'!DP67</f>
        <v>3</v>
      </c>
      <c r="W53" s="113">
        <f>'Data_in-situ'!DR67</f>
        <v>3.0539332337351648</v>
      </c>
      <c r="X53" s="113">
        <f>'Data_in-situ'!DS67</f>
        <v>2.9487867124895311</v>
      </c>
      <c r="Y53" s="46">
        <f>'Data_in-situ'!DT67</f>
        <v>3</v>
      </c>
      <c r="Z53" s="113">
        <f>'Data_in-situ'!EA130</f>
        <v>0.32108009511715851</v>
      </c>
      <c r="AA53" s="113">
        <f>'Data_in-situ'!EB130</f>
        <v>0.19494609457370263</v>
      </c>
      <c r="AB53" s="46">
        <f>'Data_in-situ'!EC130</f>
        <v>18</v>
      </c>
      <c r="AC53" s="113">
        <f>'Data_in-situ'!EE130</f>
        <v>1.0977343070987131</v>
      </c>
      <c r="AD53" s="113">
        <f>'Data_in-situ'!EF130</f>
        <v>0.53387084501368376</v>
      </c>
      <c r="AE53" s="46">
        <f>'Data_in-situ'!EG130</f>
        <v>18</v>
      </c>
      <c r="AF53" s="113">
        <f>'Data_in-situ'!EN65</f>
        <v>-38</v>
      </c>
      <c r="AG53" s="113">
        <f>'Data_in-situ'!EO65</f>
        <v>5.412566119688516</v>
      </c>
      <c r="AH53" s="110">
        <f>'Data_in-situ'!EP65</f>
        <v>3</v>
      </c>
      <c r="AI53" s="113">
        <f>'Data_in-situ'!ER65</f>
        <v>-73</v>
      </c>
      <c r="AJ53" s="113">
        <f>'Data_in-situ'!ES65</f>
        <v>7.3195252578292278</v>
      </c>
      <c r="AK53" s="110">
        <f>'Data_in-situ'!ET65</f>
        <v>3</v>
      </c>
    </row>
    <row r="54" spans="2:37" x14ac:dyDescent="0.3">
      <c r="B54" s="24">
        <f>'Data_in-situ'!CA344</f>
        <v>-2413.5954295652286</v>
      </c>
      <c r="C54" s="24">
        <f>'Data_in-situ'!CB344</f>
        <v>229.44356214196344</v>
      </c>
      <c r="D54" s="46">
        <f>'Data_in-situ'!CC344</f>
        <v>3</v>
      </c>
      <c r="E54" s="24">
        <f>'Data_in-situ'!CE344</f>
        <v>-1974.4510380611171</v>
      </c>
      <c r="F54" s="24">
        <f>'Data_in-situ'!CF344</f>
        <v>445.58850967321683</v>
      </c>
      <c r="G54" s="46">
        <f>'Data_in-situ'!CG344</f>
        <v>3</v>
      </c>
      <c r="H54" s="24">
        <f>'Data_in-situ'!CN344</f>
        <v>3307.4596550267315</v>
      </c>
      <c r="I54" s="24">
        <f>'Data_in-situ'!CO344</f>
        <v>917.36533177060426</v>
      </c>
      <c r="J54" s="46">
        <f>'Data_in-situ'!CP344</f>
        <v>3</v>
      </c>
      <c r="K54" s="24">
        <f>'Data_in-situ'!CR344</f>
        <v>2945.9965963075938</v>
      </c>
      <c r="L54" s="24">
        <f>'Data_in-situ'!CS344</f>
        <v>650.63940348918732</v>
      </c>
      <c r="M54" s="46">
        <f>'Data_in-situ'!CT344</f>
        <v>3</v>
      </c>
      <c r="N54" s="24">
        <f>'Data_in-situ'!DA170</f>
        <v>-870.68123911737575</v>
      </c>
      <c r="O54" s="24">
        <f>'Data_in-situ'!DB170</f>
        <v>2611.7446894434738</v>
      </c>
      <c r="P54" s="46">
        <f>'Data_in-situ'!DC170</f>
        <v>3</v>
      </c>
      <c r="Q54" s="24">
        <f>'Data_in-situ'!DE170</f>
        <v>-911.63843300448298</v>
      </c>
      <c r="R54" s="24">
        <f>'Data_in-situ'!DF170</f>
        <v>868.92160342494367</v>
      </c>
      <c r="S54" s="46">
        <f>'Data_in-situ'!DG170</f>
        <v>3</v>
      </c>
      <c r="T54" s="113">
        <f>'Data_in-situ'!DN68</f>
        <v>7.1375195796034658</v>
      </c>
      <c r="U54" s="113">
        <f>'Data_in-situ'!DO68</f>
        <v>3.9633493035082119</v>
      </c>
      <c r="V54" s="46">
        <f>'Data_in-situ'!DP68</f>
        <v>3</v>
      </c>
      <c r="W54" s="113">
        <f>'Data_in-situ'!DR68</f>
        <v>1.8162894746130522</v>
      </c>
      <c r="X54" s="113">
        <f>'Data_in-situ'!DS68</f>
        <v>1.2745561332707356</v>
      </c>
      <c r="Y54" s="46">
        <f>'Data_in-situ'!DT68</f>
        <v>3</v>
      </c>
      <c r="Z54" s="113">
        <f>'Data_in-situ'!EA131</f>
        <v>0.32108009511715851</v>
      </c>
      <c r="AA54" s="113">
        <f>'Data_in-situ'!EB131</f>
        <v>0.19494609457370263</v>
      </c>
      <c r="AB54" s="46">
        <f>'Data_in-situ'!EC131</f>
        <v>18</v>
      </c>
      <c r="AC54" s="113">
        <f>'Data_in-situ'!EE131</f>
        <v>0.69751867430230663</v>
      </c>
      <c r="AD54" s="113">
        <f>'Data_in-situ'!EF131</f>
        <v>0.31514419303530533</v>
      </c>
      <c r="AE54" s="46">
        <f>'Data_in-situ'!EG131</f>
        <v>18</v>
      </c>
      <c r="AF54" s="113">
        <f>'Data_in-situ'!EN66</f>
        <v>-38</v>
      </c>
      <c r="AG54" s="113">
        <f>'Data_in-situ'!EO66</f>
        <v>5.412566119688516</v>
      </c>
      <c r="AH54" s="110">
        <f>'Data_in-situ'!EP66</f>
        <v>3</v>
      </c>
      <c r="AI54" s="113">
        <f>'Data_in-situ'!ER66</f>
        <v>-112</v>
      </c>
      <c r="AJ54" s="113">
        <f>'Data_in-situ'!ES66</f>
        <v>10.756618055876112</v>
      </c>
      <c r="AK54" s="110">
        <f>'Data_in-situ'!ET66</f>
        <v>3</v>
      </c>
    </row>
    <row r="55" spans="2:37" x14ac:dyDescent="0.3">
      <c r="B55" s="24">
        <f>'Data_in-situ'!CA345</f>
        <v>-1544.0509482067121</v>
      </c>
      <c r="C55" s="24">
        <f>'Data_in-situ'!CB345</f>
        <v>837.60714709123818</v>
      </c>
      <c r="D55" s="46">
        <f>'Data_in-situ'!CC345</f>
        <v>3</v>
      </c>
      <c r="E55" s="24">
        <f>'Data_in-situ'!CE345</f>
        <v>-1178.558304384421</v>
      </c>
      <c r="F55" s="24">
        <f>'Data_in-situ'!CF345</f>
        <v>1103.8093288412595</v>
      </c>
      <c r="G55" s="46">
        <f>'Data_in-situ'!CG345</f>
        <v>3</v>
      </c>
      <c r="H55" s="24">
        <f>'Data_in-situ'!CN345</f>
        <v>821.95693707396595</v>
      </c>
      <c r="I55" s="24">
        <f>'Data_in-situ'!CO345</f>
        <v>860.95304933064097</v>
      </c>
      <c r="J55" s="46">
        <f>'Data_in-situ'!CP345</f>
        <v>3</v>
      </c>
      <c r="K55" s="24">
        <f>'Data_in-situ'!CR345</f>
        <v>1214.1076881752506</v>
      </c>
      <c r="L55" s="24">
        <f>'Data_in-situ'!CS345</f>
        <v>590.58610863952993</v>
      </c>
      <c r="M55" s="46">
        <f>'Data_in-situ'!CT345</f>
        <v>3</v>
      </c>
      <c r="N55" s="24">
        <f>'Data_in-situ'!DA171</f>
        <v>82.020696438593234</v>
      </c>
      <c r="O55" s="24">
        <f>'Data_in-situ'!DB171</f>
        <v>246.03392002003699</v>
      </c>
      <c r="P55" s="46">
        <f>'Data_in-situ'!DC171</f>
        <v>3</v>
      </c>
      <c r="Q55" s="24">
        <f>'Data_in-situ'!DE171</f>
        <v>-4541.9129072902078</v>
      </c>
      <c r="R55" s="24">
        <f>'Data_in-situ'!DF171</f>
        <v>4329.0915599207165</v>
      </c>
      <c r="S55" s="46">
        <f>'Data_in-situ'!DG171</f>
        <v>3</v>
      </c>
      <c r="T55" s="113">
        <f>'Data_in-situ'!DN69</f>
        <v>8.4029927968922031</v>
      </c>
      <c r="U55" s="113">
        <f>'Data_in-situ'!DO69</f>
        <v>3.1873816651232265</v>
      </c>
      <c r="V55" s="46">
        <f>'Data_in-situ'!DP69</f>
        <v>3</v>
      </c>
      <c r="W55" s="113">
        <f>'Data_in-situ'!DR69</f>
        <v>1.0794478740303646</v>
      </c>
      <c r="X55" s="113">
        <f>'Data_in-situ'!DS69</f>
        <v>0.96059962800413323</v>
      </c>
      <c r="Y55" s="46">
        <f>'Data_in-situ'!DT69</f>
        <v>3</v>
      </c>
      <c r="Z55" s="113">
        <f>'Data_in-situ'!EA132</f>
        <v>0.6346932112781053</v>
      </c>
      <c r="AA55" s="113">
        <f>'Data_in-situ'!EB132</f>
        <v>0.12856385073753784</v>
      </c>
      <c r="AB55" s="46">
        <f>'Data_in-situ'!EC132</f>
        <v>21</v>
      </c>
      <c r="AC55" s="113">
        <f>'Data_in-situ'!EE132</f>
        <v>0.75469233613036468</v>
      </c>
      <c r="AD55" s="113">
        <f>'Data_in-situ'!EF132</f>
        <v>0.35864660190524744</v>
      </c>
      <c r="AE55" s="46">
        <f>'Data_in-situ'!EG132</f>
        <v>21</v>
      </c>
      <c r="AF55" s="113">
        <f>'Data_in-situ'!EN67</f>
        <v>-45.680000000000007</v>
      </c>
      <c r="AG55" s="113">
        <f>'Data_in-situ'!EO67</f>
        <v>4.842822317616041</v>
      </c>
      <c r="AH55" s="110">
        <f>'Data_in-situ'!EP67</f>
        <v>3</v>
      </c>
      <c r="AI55" s="113">
        <f>'Data_in-situ'!ER67</f>
        <v>-80.650000000000006</v>
      </c>
      <c r="AJ55" s="113">
        <f>'Data_in-situ'!ES67</f>
        <v>8.7407922981844166</v>
      </c>
      <c r="AK55" s="110">
        <f>'Data_in-situ'!ET67</f>
        <v>3</v>
      </c>
    </row>
    <row r="56" spans="2:37" x14ac:dyDescent="0.3">
      <c r="B56" s="24">
        <f>'Data_in-situ'!CA346</f>
        <v>-998.69911894347672</v>
      </c>
      <c r="C56" s="24">
        <f>'Data_in-situ'!CB346</f>
        <v>642.0310889187042</v>
      </c>
      <c r="D56" s="46">
        <f>'Data_in-situ'!CC346</f>
        <v>3</v>
      </c>
      <c r="E56" s="24">
        <f>'Data_in-situ'!CE346</f>
        <v>-1433.3817215486201</v>
      </c>
      <c r="F56" s="24">
        <f>'Data_in-situ'!CF346</f>
        <v>1186.7128562544101</v>
      </c>
      <c r="G56" s="46">
        <f>'Data_in-situ'!CG346</f>
        <v>3</v>
      </c>
      <c r="H56" s="24">
        <f>'Data_in-situ'!CN346</f>
        <v>688.14999382936685</v>
      </c>
      <c r="I56" s="24">
        <f>'Data_in-situ'!CO346</f>
        <v>827.80955818446023</v>
      </c>
      <c r="J56" s="46">
        <f>'Data_in-situ'!CP346</f>
        <v>3</v>
      </c>
      <c r="K56" s="24">
        <f>'Data_in-situ'!CR346</f>
        <v>910.58076613143794</v>
      </c>
      <c r="L56" s="24">
        <f>'Data_in-situ'!CS346</f>
        <v>867.05035134873242</v>
      </c>
      <c r="M56" s="46">
        <f>'Data_in-situ'!CT346</f>
        <v>3</v>
      </c>
      <c r="N56" s="24">
        <f>'Data_in-situ'!DA197</f>
        <v>-6476.6640398246809</v>
      </c>
      <c r="O56" s="24">
        <f>'Data_in-situ'!DB197</f>
        <v>2851.847869896872</v>
      </c>
      <c r="P56" s="46">
        <f>'Data_in-situ'!DC197</f>
        <v>3</v>
      </c>
      <c r="Q56" s="24">
        <f>'Data_in-situ'!DE197</f>
        <v>303.7999143045227</v>
      </c>
      <c r="R56" s="24">
        <f>'Data_in-situ'!DF197</f>
        <v>833.8763402434389</v>
      </c>
      <c r="S56" s="46">
        <f>'Data_in-situ'!DG197</f>
        <v>3</v>
      </c>
      <c r="T56" s="113">
        <f>'Data_in-situ'!DN70</f>
        <v>8.4029927968922031</v>
      </c>
      <c r="U56" s="113">
        <f>'Data_in-situ'!DO70</f>
        <v>3.1873816651232265</v>
      </c>
      <c r="V56" s="46">
        <f>'Data_in-situ'!DP70</f>
        <v>3</v>
      </c>
      <c r="W56" s="113">
        <f>'Data_in-situ'!DR70</f>
        <v>0.78616919085132009</v>
      </c>
      <c r="X56" s="113">
        <f>'Data_in-situ'!DS70</f>
        <v>1.3520526050253143</v>
      </c>
      <c r="Y56" s="46">
        <f>'Data_in-situ'!DT70</f>
        <v>3</v>
      </c>
      <c r="Z56" s="113">
        <f>'Data_in-situ'!EA133</f>
        <v>0.6346932112781053</v>
      </c>
      <c r="AA56" s="113">
        <f>'Data_in-situ'!EB133</f>
        <v>0.12856385073753784</v>
      </c>
      <c r="AB56" s="46">
        <f>'Data_in-situ'!EC133</f>
        <v>21</v>
      </c>
      <c r="AC56" s="113">
        <f>'Data_in-situ'!EE133</f>
        <v>0.77756180086158733</v>
      </c>
      <c r="AD56" s="113">
        <f>'Data_in-situ'!EF133</f>
        <v>0.42421666014248416</v>
      </c>
      <c r="AE56" s="46">
        <f>'Data_in-situ'!EG133</f>
        <v>21</v>
      </c>
      <c r="AF56" s="113">
        <f>'Data_in-situ'!EN68</f>
        <v>-45.680000000000007</v>
      </c>
      <c r="AG56" s="113">
        <f>'Data_in-situ'!EO68</f>
        <v>4.842822317616041</v>
      </c>
      <c r="AH56" s="110">
        <f>'Data_in-situ'!EP68</f>
        <v>3</v>
      </c>
      <c r="AI56" s="113">
        <f>'Data_in-situ'!ER68</f>
        <v>-118.08000000000001</v>
      </c>
      <c r="AJ56" s="113">
        <f>'Data_in-situ'!ES68</f>
        <v>8.3505324381143513</v>
      </c>
      <c r="AK56" s="110">
        <f>'Data_in-situ'!ET68</f>
        <v>3</v>
      </c>
    </row>
    <row r="57" spans="2:37" x14ac:dyDescent="0.3">
      <c r="B57" s="24">
        <f>'Data_in-situ'!CA347</f>
        <v>-757.07836436037758</v>
      </c>
      <c r="C57" s="24">
        <f>'Data_in-situ'!CB347</f>
        <v>753.46149598311479</v>
      </c>
      <c r="D57" s="46">
        <f>'Data_in-situ'!CC347</f>
        <v>3</v>
      </c>
      <c r="E57" s="24">
        <f>'Data_in-situ'!CE347</f>
        <v>-1751.9109930038685</v>
      </c>
      <c r="F57" s="24">
        <f>'Data_in-situ'!CF347</f>
        <v>1655.7034599262597</v>
      </c>
      <c r="G57" s="46">
        <f>'Data_in-situ'!CG347</f>
        <v>3</v>
      </c>
      <c r="H57" s="24">
        <f>'Data_in-situ'!CN347</f>
        <v>764.61110425485197</v>
      </c>
      <c r="I57" s="24">
        <f>'Data_in-situ'!CO347</f>
        <v>794.72773935581358</v>
      </c>
      <c r="J57" s="46">
        <f>'Data_in-situ'!CP347</f>
        <v>3</v>
      </c>
      <c r="K57" s="24">
        <f>'Data_in-situ'!CR347</f>
        <v>1696.1798584801293</v>
      </c>
      <c r="L57" s="24">
        <f>'Data_in-situ'!CS347</f>
        <v>1486.728586277671</v>
      </c>
      <c r="M57" s="46">
        <f>'Data_in-situ'!CT347</f>
        <v>3</v>
      </c>
      <c r="N57" s="24">
        <f>'Data_in-situ'!DA198</f>
        <v>-5712.1472856207492</v>
      </c>
      <c r="O57" s="24">
        <f>'Data_in-situ'!DB198</f>
        <v>3273.2058172899874</v>
      </c>
      <c r="P57" s="46">
        <f>'Data_in-situ'!DC198</f>
        <v>3</v>
      </c>
      <c r="Q57" s="24">
        <f>'Data_in-situ'!DE198</f>
        <v>-61.395104632969371</v>
      </c>
      <c r="R57" s="24">
        <f>'Data_in-situ'!DF198</f>
        <v>529.41384138606963</v>
      </c>
      <c r="S57" s="46">
        <f>'Data_in-situ'!DG198</f>
        <v>3</v>
      </c>
      <c r="T57" s="113">
        <f>'Data_in-situ'!DN77</f>
        <v>107.85213477594468</v>
      </c>
      <c r="U57" s="113">
        <f>'Data_in-situ'!DO77</f>
        <v>101.11467674058741</v>
      </c>
      <c r="V57" s="46">
        <f>'Data_in-situ'!DP77</f>
        <v>6</v>
      </c>
      <c r="W57" s="113">
        <f>'Data_in-situ'!DR77</f>
        <v>11.097</v>
      </c>
      <c r="X57" s="113">
        <f>'Data_in-situ'!DS77</f>
        <v>12.912818417114034</v>
      </c>
      <c r="Y57" s="46">
        <f>'Data_in-situ'!DT77</f>
        <v>6</v>
      </c>
      <c r="Z57" s="113">
        <f>'Data_in-situ'!EA135</f>
        <v>0.2</v>
      </c>
      <c r="AA57" s="113">
        <f>'Data_in-situ'!EB135</f>
        <v>0.51961524227066314</v>
      </c>
      <c r="AB57" s="46">
        <f>'Data_in-situ'!EC135</f>
        <v>3</v>
      </c>
      <c r="AC57" s="113">
        <f>'Data_in-situ'!EE135</f>
        <v>0.9</v>
      </c>
      <c r="AD57" s="113">
        <f>'Data_in-situ'!EF135</f>
        <v>1.0392304845413263</v>
      </c>
      <c r="AE57" s="46">
        <f>'Data_in-situ'!EG135</f>
        <v>3</v>
      </c>
      <c r="AF57" s="113">
        <f>'Data_in-situ'!EN69</f>
        <v>-53.36</v>
      </c>
      <c r="AG57" s="113">
        <f>'Data_in-situ'!EO69</f>
        <v>6.3986248522631799</v>
      </c>
      <c r="AH57" s="110">
        <f>'Data_in-situ'!EP69</f>
        <v>3</v>
      </c>
      <c r="AI57" s="113">
        <f>'Data_in-situ'!ER69</f>
        <v>-88.300000000000011</v>
      </c>
      <c r="AJ57" s="113">
        <f>'Data_in-situ'!ES69</f>
        <v>8.3224065029293062</v>
      </c>
      <c r="AK57" s="110">
        <f>'Data_in-situ'!ET69</f>
        <v>3</v>
      </c>
    </row>
    <row r="58" spans="2:37" x14ac:dyDescent="0.3">
      <c r="B58" s="24">
        <f>'Data_in-situ'!CA348</f>
        <v>-3659.9602825374368</v>
      </c>
      <c r="C58" s="24">
        <f>'Data_in-situ'!CB348</f>
        <v>593.4851284595926</v>
      </c>
      <c r="D58" s="46">
        <f>'Data_in-situ'!CC348</f>
        <v>3</v>
      </c>
      <c r="E58" s="24">
        <f>'Data_in-situ'!CE348</f>
        <v>-2778.6457143135131</v>
      </c>
      <c r="F58" s="24">
        <f>'Data_in-situ'!CF348</f>
        <v>942.7176783399251</v>
      </c>
      <c r="G58" s="46">
        <f>'Data_in-situ'!CG348</f>
        <v>3</v>
      </c>
      <c r="H58" s="24">
        <f>'Data_in-situ'!CN348</f>
        <v>6251.1658250934079</v>
      </c>
      <c r="I58" s="24">
        <f>'Data_in-situ'!CO348</f>
        <v>266.97663228644535</v>
      </c>
      <c r="J58" s="46">
        <f>'Data_in-situ'!CP348</f>
        <v>3</v>
      </c>
      <c r="K58" s="24">
        <f>'Data_in-situ'!CR348</f>
        <v>7838.2827472249573</v>
      </c>
      <c r="L58" s="24">
        <f>'Data_in-situ'!CS348</f>
        <v>2291.0465602792738</v>
      </c>
      <c r="M58" s="46">
        <f>'Data_in-situ'!CT348</f>
        <v>3</v>
      </c>
      <c r="N58" s="24">
        <f>'Data_in-situ'!DA199</f>
        <v>-4224.281052470792</v>
      </c>
      <c r="O58" s="24">
        <f>'Data_in-situ'!DB199</f>
        <v>12671.392364777903</v>
      </c>
      <c r="P58" s="46">
        <f>'Data_in-situ'!DC199</f>
        <v>1</v>
      </c>
      <c r="Q58" s="24">
        <f>'Data_in-situ'!DE199</f>
        <v>344.32606889777549</v>
      </c>
      <c r="R58" s="24">
        <f>'Data_in-situ'!DF199</f>
        <v>328.19191145947599</v>
      </c>
      <c r="S58" s="46">
        <f>'Data_in-situ'!DG199</f>
        <v>1</v>
      </c>
      <c r="T58" s="113">
        <f>'Data_in-situ'!DN78</f>
        <v>107.85213477594468</v>
      </c>
      <c r="U58" s="113">
        <f>'Data_in-situ'!DO78</f>
        <v>101.11467674058741</v>
      </c>
      <c r="V58" s="46">
        <f>'Data_in-situ'!DP78</f>
        <v>6</v>
      </c>
      <c r="W58" s="113">
        <f>'Data_in-situ'!DR78</f>
        <v>23.372199999999999</v>
      </c>
      <c r="X58" s="113">
        <f>'Data_in-situ'!DS78</f>
        <v>23.116574134644171</v>
      </c>
      <c r="Y58" s="46">
        <f>'Data_in-situ'!DT78</f>
        <v>6</v>
      </c>
      <c r="Z58" s="113">
        <f>'Data_in-situ'!EA136</f>
        <v>0.3</v>
      </c>
      <c r="AA58" s="113">
        <f>'Data_in-situ'!EB136</f>
        <v>0.8660254037844386</v>
      </c>
      <c r="AB58" s="46">
        <f>'Data_in-situ'!EC136</f>
        <v>3</v>
      </c>
      <c r="AC58" s="113">
        <f>'Data_in-situ'!EE136</f>
        <v>0.7</v>
      </c>
      <c r="AD58" s="113">
        <f>'Data_in-situ'!EF136</f>
        <v>0.8660254037844386</v>
      </c>
      <c r="AE58" s="46">
        <f>'Data_in-situ'!EG136</f>
        <v>3</v>
      </c>
      <c r="AF58" s="113">
        <f>'Data_in-situ'!EN70</f>
        <v>-53.36</v>
      </c>
      <c r="AG58" s="113">
        <f>'Data_in-situ'!EO70</f>
        <v>6.3986248522631799</v>
      </c>
      <c r="AH58" s="110">
        <f>'Data_in-situ'!EP70</f>
        <v>3</v>
      </c>
      <c r="AI58" s="113">
        <f>'Data_in-situ'!ER70</f>
        <v>-124.16</v>
      </c>
      <c r="AJ58" s="113">
        <f>'Data_in-situ'!ES70</f>
        <v>9.3061459262145689</v>
      </c>
      <c r="AK58" s="110">
        <f>'Data_in-situ'!ET70</f>
        <v>3</v>
      </c>
    </row>
    <row r="59" spans="2:37" x14ac:dyDescent="0.3">
      <c r="B59" s="24">
        <f>'Data_in-situ'!CA349</f>
        <v>-4810.2335141920603</v>
      </c>
      <c r="C59" s="24">
        <f>'Data_in-situ'!CB349</f>
        <v>507.91046480105655</v>
      </c>
      <c r="D59" s="46">
        <f>'Data_in-situ'!CC349</f>
        <v>3</v>
      </c>
      <c r="E59" s="24">
        <f>'Data_in-situ'!CE349</f>
        <v>-5079.1058870940042</v>
      </c>
      <c r="F59" s="24">
        <f>'Data_in-situ'!CF349</f>
        <v>317.38779673465609</v>
      </c>
      <c r="G59" s="46">
        <f>'Data_in-situ'!CG349</f>
        <v>3</v>
      </c>
      <c r="H59" s="24">
        <f>'Data_in-situ'!CN349</f>
        <v>4762.0543630364182</v>
      </c>
      <c r="I59" s="24">
        <f>'Data_in-situ'!CO349</f>
        <v>997.80477562796057</v>
      </c>
      <c r="J59" s="46">
        <f>'Data_in-situ'!CP349</f>
        <v>3</v>
      </c>
      <c r="K59" s="24">
        <f>'Data_in-situ'!CR349</f>
        <v>6143.1273286938667</v>
      </c>
      <c r="L59" s="24">
        <f>'Data_in-situ'!CS349</f>
        <v>1144.5750412473667</v>
      </c>
      <c r="M59" s="46">
        <f>'Data_in-situ'!CT349</f>
        <v>3</v>
      </c>
      <c r="N59" s="24">
        <f>'Data_in-situ'!DA200</f>
        <v>-3138.2906454872195</v>
      </c>
      <c r="O59" s="24">
        <f>'Data_in-situ'!DB200</f>
        <v>9413.7941177993216</v>
      </c>
      <c r="P59" s="46">
        <f>'Data_in-situ'!DC200</f>
        <v>1</v>
      </c>
      <c r="Q59" s="24">
        <f>'Data_in-situ'!DE200</f>
        <v>401.53716957617513</v>
      </c>
      <c r="R59" s="24">
        <f>'Data_in-situ'!DF200</f>
        <v>382.72225982505051</v>
      </c>
      <c r="S59" s="46">
        <f>'Data_in-situ'!DG200</f>
        <v>1</v>
      </c>
      <c r="T59" s="113">
        <f>'Data_in-situ'!DN79</f>
        <v>345.6</v>
      </c>
      <c r="U59" s="113">
        <f>'Data_in-situ'!DO79</f>
        <v>358.40000000000003</v>
      </c>
      <c r="V59" s="46">
        <f>'Data_in-situ'!DP79</f>
        <v>4</v>
      </c>
      <c r="W59" s="113">
        <f>'Data_in-situ'!DR79</f>
        <v>-2.4</v>
      </c>
      <c r="X59" s="113">
        <f>'Data_in-situ'!DS79</f>
        <v>0.8</v>
      </c>
      <c r="Y59" s="46">
        <f>'Data_in-situ'!DT79</f>
        <v>4</v>
      </c>
      <c r="Z59" s="113">
        <f>'Data_in-situ'!EA137</f>
        <v>0.2</v>
      </c>
      <c r="AA59" s="113">
        <f>'Data_in-situ'!EB137</f>
        <v>0.51961524227066314</v>
      </c>
      <c r="AB59" s="46">
        <f>'Data_in-situ'!EC137</f>
        <v>3</v>
      </c>
      <c r="AC59" s="113">
        <f>'Data_in-situ'!EE137</f>
        <v>0.6</v>
      </c>
      <c r="AD59" s="113">
        <f>'Data_in-situ'!EF137</f>
        <v>0.51961524227066314</v>
      </c>
      <c r="AE59" s="46">
        <f>'Data_in-situ'!EG137</f>
        <v>3</v>
      </c>
      <c r="AF59" s="113">
        <f>'Data_in-situ'!EN71</f>
        <v>-38</v>
      </c>
      <c r="AG59" s="113">
        <f>'Data_in-situ'!EO71</f>
        <v>7.6</v>
      </c>
      <c r="AH59" s="110">
        <f>'Data_in-situ'!EP71</f>
        <v>3</v>
      </c>
      <c r="AI59" s="113">
        <f>'Data_in-situ'!ER71</f>
        <v>-112</v>
      </c>
      <c r="AJ59" s="113">
        <f>'Data_in-situ'!ES71</f>
        <v>15.2</v>
      </c>
      <c r="AK59" s="110">
        <f>'Data_in-situ'!ET71</f>
        <v>3</v>
      </c>
    </row>
    <row r="60" spans="2:37" x14ac:dyDescent="0.3">
      <c r="B60" s="24">
        <f>'Data_in-situ'!CA350</f>
        <v>-1686.1959873118906</v>
      </c>
      <c r="C60" s="24">
        <f>'Data_in-situ'!CB350</f>
        <v>951.52416117583982</v>
      </c>
      <c r="D60" s="46">
        <f>'Data_in-situ'!CC350</f>
        <v>3</v>
      </c>
      <c r="E60" s="24">
        <f>'Data_in-situ'!CE350</f>
        <v>-4019.3433355883844</v>
      </c>
      <c r="F60" s="24">
        <f>'Data_in-situ'!CF350</f>
        <v>183.63556153089817</v>
      </c>
      <c r="G60" s="46">
        <f>'Data_in-situ'!CG350</f>
        <v>3</v>
      </c>
      <c r="H60" s="24">
        <f>'Data_in-situ'!CN350</f>
        <v>2652.4797917890141</v>
      </c>
      <c r="I60" s="24">
        <f>'Data_in-situ'!CO350</f>
        <v>1183.1159884255349</v>
      </c>
      <c r="J60" s="46">
        <f>'Data_in-situ'!CP350</f>
        <v>3</v>
      </c>
      <c r="K60" s="24">
        <f>'Data_in-situ'!CR350</f>
        <v>3491.7303920170334</v>
      </c>
      <c r="L60" s="24">
        <f>'Data_in-situ'!CS350</f>
        <v>187.13801568192349</v>
      </c>
      <c r="M60" s="46">
        <f>'Data_in-situ'!CT350</f>
        <v>3</v>
      </c>
      <c r="N60" s="24">
        <f>'Data_in-situ'!DA201</f>
        <v>-2040</v>
      </c>
      <c r="O60" s="24">
        <f>'Data_in-situ'!DB201</f>
        <v>6119.2993797198715</v>
      </c>
      <c r="P60" s="46">
        <f>'Data_in-situ'!DC201</f>
        <v>3</v>
      </c>
      <c r="Q60" s="24">
        <f>'Data_in-situ'!DE201</f>
        <v>5060</v>
      </c>
      <c r="R60" s="24">
        <f>'Data_in-situ'!DF201</f>
        <v>698.59382571944718</v>
      </c>
      <c r="S60" s="46">
        <f>'Data_in-situ'!DG201</f>
        <v>3</v>
      </c>
      <c r="T60" s="113">
        <f>'Data_in-situ'!DN81</f>
        <v>131.4</v>
      </c>
      <c r="U60" s="113">
        <f>'Data_in-situ'!DO81</f>
        <v>146.49513859561415</v>
      </c>
      <c r="V60" s="46">
        <f>'Data_in-situ'!DP81</f>
        <v>3</v>
      </c>
      <c r="W60" s="113">
        <f>'Data_in-situ'!DR81</f>
        <v>38.799999999999997</v>
      </c>
      <c r="X60" s="113">
        <f>'Data_in-situ'!DS81</f>
        <v>145.00399223168318</v>
      </c>
      <c r="Y60" s="46">
        <f>'Data_in-situ'!DT81</f>
        <v>3</v>
      </c>
      <c r="Z60" s="113">
        <f>'Data_in-situ'!EA138</f>
        <v>0.3</v>
      </c>
      <c r="AA60" s="113">
        <f>'Data_in-situ'!EB138</f>
        <v>0.8660254037844386</v>
      </c>
      <c r="AB60" s="46">
        <f>'Data_in-situ'!EC138</f>
        <v>3</v>
      </c>
      <c r="AC60" s="113">
        <f>'Data_in-situ'!EE138</f>
        <v>0.4</v>
      </c>
      <c r="AD60" s="113">
        <f>'Data_in-situ'!EF138</f>
        <v>0.69282032302755092</v>
      </c>
      <c r="AE60" s="46">
        <f>'Data_in-situ'!EG138</f>
        <v>3</v>
      </c>
      <c r="AF60" s="113">
        <f>'Data_in-situ'!EN72</f>
        <v>-47</v>
      </c>
      <c r="AG60" s="113">
        <f>'Data_in-situ'!EO72</f>
        <v>6.8</v>
      </c>
      <c r="AH60" s="110">
        <f>'Data_in-situ'!EP72</f>
        <v>3</v>
      </c>
      <c r="AI60" s="113">
        <f>'Data_in-situ'!ER72</f>
        <v>-120</v>
      </c>
      <c r="AJ60" s="113">
        <f>'Data_in-situ'!ES72</f>
        <v>11.8</v>
      </c>
      <c r="AK60" s="110">
        <f>'Data_in-situ'!ET72</f>
        <v>3</v>
      </c>
    </row>
    <row r="61" spans="2:37" x14ac:dyDescent="0.3">
      <c r="B61" s="24">
        <f>'Data_in-situ'!CA351</f>
        <v>-7900.0449087308316</v>
      </c>
      <c r="C61" s="24">
        <f>'Data_in-situ'!CB351</f>
        <v>1770.2016517990935</v>
      </c>
      <c r="D61" s="46">
        <f>'Data_in-situ'!CC351</f>
        <v>3</v>
      </c>
      <c r="E61" s="24">
        <f>'Data_in-situ'!CE351</f>
        <v>-3744.7097475457695</v>
      </c>
      <c r="F61" s="24">
        <f>'Data_in-situ'!CF351</f>
        <v>2032.4000980341211</v>
      </c>
      <c r="G61" s="46">
        <f>'Data_in-situ'!CG351</f>
        <v>3</v>
      </c>
      <c r="H61" s="24">
        <f>'Data_in-situ'!CN351</f>
        <v>12362.931550325944</v>
      </c>
      <c r="I61" s="24">
        <f>'Data_in-situ'!CO351</f>
        <v>2275.2743302978161</v>
      </c>
      <c r="J61" s="46">
        <f>'Data_in-situ'!CP351</f>
        <v>3</v>
      </c>
      <c r="K61" s="24">
        <f>'Data_in-situ'!CR351</f>
        <v>15082.727310832692</v>
      </c>
      <c r="L61" s="24">
        <f>'Data_in-situ'!CS351</f>
        <v>2876.4150226571255</v>
      </c>
      <c r="M61" s="46">
        <f>'Data_in-situ'!CT351</f>
        <v>3</v>
      </c>
      <c r="N61" s="24">
        <f>'Data_in-situ'!DA202</f>
        <v>-4180</v>
      </c>
      <c r="O61" s="24">
        <f>'Data_in-situ'!DB202</f>
        <v>12538.564415308363</v>
      </c>
      <c r="P61" s="46">
        <f>'Data_in-situ'!DC202</f>
        <v>3</v>
      </c>
      <c r="Q61" s="24">
        <f>'Data_in-situ'!DE202</f>
        <v>1540</v>
      </c>
      <c r="R61" s="24">
        <f>'Data_in-situ'!DF202</f>
        <v>1460.696181049753</v>
      </c>
      <c r="S61" s="46">
        <f>'Data_in-situ'!DG202</f>
        <v>3</v>
      </c>
      <c r="T61" s="113">
        <f>'Data_in-situ'!DN82</f>
        <v>131.4</v>
      </c>
      <c r="U61" s="113">
        <f>'Data_in-situ'!DO82</f>
        <v>146.49513859561415</v>
      </c>
      <c r="V61" s="46">
        <f>'Data_in-situ'!DP82</f>
        <v>3</v>
      </c>
      <c r="W61" s="113">
        <f>'Data_in-situ'!DR82</f>
        <v>1.4000000000000001</v>
      </c>
      <c r="X61" s="113">
        <f>'Data_in-situ'!DS82</f>
        <v>5.2321028124834141</v>
      </c>
      <c r="Y61" s="46">
        <f>'Data_in-situ'!DT82</f>
        <v>3</v>
      </c>
      <c r="Z61" s="113">
        <f>'Data_in-situ'!EA139</f>
        <v>0.2</v>
      </c>
      <c r="AA61" s="113">
        <f>'Data_in-situ'!EB139</f>
        <v>0.51961524227066314</v>
      </c>
      <c r="AB61" s="46">
        <f>'Data_in-situ'!EC139</f>
        <v>3</v>
      </c>
      <c r="AC61" s="113">
        <f>'Data_in-situ'!EE139</f>
        <v>0.3</v>
      </c>
      <c r="AD61" s="113">
        <f>'Data_in-situ'!EF139</f>
        <v>0.51961524227066314</v>
      </c>
      <c r="AE61" s="46">
        <f>'Data_in-situ'!EG139</f>
        <v>3</v>
      </c>
      <c r="AF61" s="113">
        <f>'Data_in-situ'!EN73</f>
        <v>-38</v>
      </c>
      <c r="AG61" s="113">
        <f>'Data_in-situ'!EO73</f>
        <v>7.6</v>
      </c>
      <c r="AH61" s="110">
        <f>'Data_in-situ'!EP73</f>
        <v>3</v>
      </c>
      <c r="AI61" s="113">
        <f>'Data_in-situ'!ER73</f>
        <v>-112</v>
      </c>
      <c r="AJ61" s="113">
        <f>'Data_in-situ'!ES73</f>
        <v>15.2</v>
      </c>
      <c r="AK61" s="110">
        <f>'Data_in-situ'!ET73</f>
        <v>3</v>
      </c>
    </row>
    <row r="62" spans="2:37" x14ac:dyDescent="0.3">
      <c r="B62" s="24">
        <f>'Data_in-situ'!CA352</f>
        <v>-10050.787546565918</v>
      </c>
      <c r="C62" s="24">
        <f>'Data_in-situ'!CB352</f>
        <v>1612.547694762013</v>
      </c>
      <c r="D62" s="46">
        <f>'Data_in-situ'!CC352</f>
        <v>3</v>
      </c>
      <c r="E62" s="24">
        <f>'Data_in-situ'!CE352</f>
        <v>-12603.385992432437</v>
      </c>
      <c r="F62" s="24">
        <f>'Data_in-situ'!CF352</f>
        <v>2731.1470412581525</v>
      </c>
      <c r="G62" s="46">
        <f>'Data_in-situ'!CG352</f>
        <v>3</v>
      </c>
      <c r="H62" s="24">
        <f>'Data_in-situ'!CN352</f>
        <v>9984.9658644122937</v>
      </c>
      <c r="I62" s="24">
        <f>'Data_in-situ'!CO352</f>
        <v>333.56620847738458</v>
      </c>
      <c r="J62" s="46">
        <f>'Data_in-situ'!CP352</f>
        <v>3</v>
      </c>
      <c r="K62" s="24">
        <f>'Data_in-situ'!CR352</f>
        <v>15408.337460950899</v>
      </c>
      <c r="L62" s="24">
        <f>'Data_in-situ'!CS352</f>
        <v>3231.8122751183146</v>
      </c>
      <c r="M62" s="46">
        <f>'Data_in-situ'!CT352</f>
        <v>3</v>
      </c>
      <c r="N62" s="24">
        <f>'Data_in-situ'!DA213</f>
        <v>-5500</v>
      </c>
      <c r="O62" s="24">
        <f>'Data_in-situ'!DB213</f>
        <v>16498.111072774162</v>
      </c>
      <c r="P62" s="46">
        <f>'Data_in-situ'!DC213</f>
        <v>3</v>
      </c>
      <c r="Q62" s="24">
        <f>'Data_in-situ'!DE213</f>
        <v>-5500</v>
      </c>
      <c r="R62" s="24">
        <f>'Data_in-situ'!DF213</f>
        <v>5242.2853686486578</v>
      </c>
      <c r="S62" s="46">
        <f>'Data_in-situ'!DG213</f>
        <v>3</v>
      </c>
      <c r="T62" s="113">
        <f>'Data_in-situ'!DN83</f>
        <v>131.4</v>
      </c>
      <c r="U62" s="113">
        <f>'Data_in-situ'!DO83</f>
        <v>146.49513859561415</v>
      </c>
      <c r="V62" s="46">
        <f>'Data_in-situ'!DP83</f>
        <v>3</v>
      </c>
      <c r="W62" s="113">
        <f>'Data_in-situ'!DR83</f>
        <v>3.6</v>
      </c>
      <c r="X62" s="113">
        <f>'Data_in-situ'!DS83</f>
        <v>13.453978660671636</v>
      </c>
      <c r="Y62" s="46">
        <f>'Data_in-situ'!DT83</f>
        <v>3</v>
      </c>
      <c r="Z62" s="113">
        <f>'Data_in-situ'!EA140</f>
        <v>0.3</v>
      </c>
      <c r="AA62" s="113">
        <f>'Data_in-situ'!EB140</f>
        <v>0.8660254037844386</v>
      </c>
      <c r="AB62" s="46">
        <f>'Data_in-situ'!EC140</f>
        <v>3</v>
      </c>
      <c r="AC62" s="113">
        <f>'Data_in-situ'!EE140</f>
        <v>0.4</v>
      </c>
      <c r="AD62" s="113">
        <f>'Data_in-situ'!EF140</f>
        <v>1.0392304845413263</v>
      </c>
      <c r="AE62" s="46">
        <f>'Data_in-situ'!EG140</f>
        <v>3</v>
      </c>
      <c r="AF62" s="113">
        <f>'Data_in-situ'!EN74</f>
        <v>-44</v>
      </c>
      <c r="AG62" s="113">
        <f>'Data_in-situ'!EO74</f>
        <v>6.8</v>
      </c>
      <c r="AH62" s="110">
        <f>'Data_in-situ'!EP74</f>
        <v>3</v>
      </c>
      <c r="AI62" s="113">
        <f>'Data_in-situ'!ER74</f>
        <v>-116</v>
      </c>
      <c r="AJ62" s="113">
        <f>'Data_in-situ'!ES74</f>
        <v>11.8</v>
      </c>
      <c r="AK62" s="110">
        <f>'Data_in-situ'!ET74</f>
        <v>3</v>
      </c>
    </row>
    <row r="63" spans="2:37" x14ac:dyDescent="0.3">
      <c r="B63" s="24">
        <f>'Data_in-situ'!CA353</f>
        <v>-3420.20536553287</v>
      </c>
      <c r="C63" s="24">
        <f>'Data_in-situ'!CB353</f>
        <v>2581.3476538531618</v>
      </c>
      <c r="D63" s="46">
        <f>'Data_in-situ'!CC353</f>
        <v>3</v>
      </c>
      <c r="E63" s="24">
        <f>'Data_in-situ'!CE353</f>
        <v>-7240.463722401516</v>
      </c>
      <c r="F63" s="24">
        <f>'Data_in-situ'!CF353</f>
        <v>1430.8247194500545</v>
      </c>
      <c r="G63" s="46">
        <f>'Data_in-situ'!CG353</f>
        <v>3</v>
      </c>
      <c r="H63" s="24">
        <f>'Data_in-situ'!CN353</f>
        <v>3050.2701206745783</v>
      </c>
      <c r="I63" s="24">
        <f>'Data_in-situ'!CO353</f>
        <v>3364.4645178084379</v>
      </c>
      <c r="J63" s="46">
        <f>'Data_in-situ'!CP353</f>
        <v>3</v>
      </c>
      <c r="K63" s="24">
        <f>'Data_in-situ'!CR353</f>
        <v>7768.1278671058117</v>
      </c>
      <c r="L63" s="24">
        <f>'Data_in-situ'!CS353</f>
        <v>631.5369644231871</v>
      </c>
      <c r="M63" s="46">
        <f>'Data_in-situ'!CT353</f>
        <v>3</v>
      </c>
      <c r="N63" s="24">
        <f>'Data_in-situ'!DA214</f>
        <v>-5500</v>
      </c>
      <c r="O63" s="24">
        <f>'Data_in-situ'!DB214</f>
        <v>16498.111072774162</v>
      </c>
      <c r="P63" s="46">
        <f>'Data_in-situ'!DC214</f>
        <v>3</v>
      </c>
      <c r="Q63" s="24">
        <f>'Data_in-situ'!DE214</f>
        <v>-5500</v>
      </c>
      <c r="R63" s="24">
        <f>'Data_in-situ'!DF214</f>
        <v>5242.2853686486578</v>
      </c>
      <c r="S63" s="46">
        <f>'Data_in-situ'!DG214</f>
        <v>3</v>
      </c>
      <c r="T63" s="113">
        <f>'Data_in-situ'!DN84</f>
        <v>255.99999999999997</v>
      </c>
      <c r="U63" s="113">
        <f>'Data_in-situ'!DO84</f>
        <v>285.40909802494076</v>
      </c>
      <c r="V63" s="46">
        <f>'Data_in-situ'!DP84</f>
        <v>3</v>
      </c>
      <c r="W63" s="113">
        <f>'Data_in-situ'!DR84</f>
        <v>-0.4</v>
      </c>
      <c r="X63" s="113">
        <f>'Data_in-situ'!DS84</f>
        <v>1.494886517852404</v>
      </c>
      <c r="Y63" s="46">
        <f>'Data_in-situ'!DT84</f>
        <v>3</v>
      </c>
      <c r="Z63" s="113">
        <f>'Data_in-situ'!EA141</f>
        <v>1</v>
      </c>
      <c r="AA63" s="113">
        <f>'Data_in-situ'!EB141</f>
        <v>1.5811388300841898</v>
      </c>
      <c r="AB63" s="46">
        <f>'Data_in-situ'!EC141</f>
        <v>10</v>
      </c>
      <c r="AC63" s="113">
        <f>'Data_in-situ'!EE141</f>
        <v>2</v>
      </c>
      <c r="AD63" s="113">
        <f>'Data_in-situ'!EF141</f>
        <v>2.8460498941515415</v>
      </c>
      <c r="AE63" s="46">
        <f>'Data_in-situ'!EG141</f>
        <v>10</v>
      </c>
      <c r="AF63" s="113">
        <f>'Data_in-situ'!EN75</f>
        <v>-38</v>
      </c>
      <c r="AG63" s="113">
        <f>'Data_in-situ'!EO75</f>
        <v>5.412566119688516</v>
      </c>
      <c r="AH63" s="110">
        <f>'Data_in-situ'!EP75</f>
        <v>3</v>
      </c>
      <c r="AI63" s="113">
        <f>'Data_in-situ'!ER75</f>
        <v>-112</v>
      </c>
      <c r="AJ63" s="113">
        <f>'Data_in-situ'!ES75</f>
        <v>10.825132239377032</v>
      </c>
      <c r="AK63" s="110">
        <f>'Data_in-situ'!ET75</f>
        <v>3</v>
      </c>
    </row>
    <row r="64" spans="2:37" x14ac:dyDescent="0.3">
      <c r="B64" s="24">
        <f>'Data_in-situ'!CA354</f>
        <v>-5163.6593652646679</v>
      </c>
      <c r="C64" s="24">
        <f>'Data_in-situ'!CB354</f>
        <v>1258.9541681504393</v>
      </c>
      <c r="D64" s="46">
        <f>'Data_in-situ'!CC354</f>
        <v>3</v>
      </c>
      <c r="E64" s="24">
        <f>'Data_in-situ'!CE354</f>
        <v>-11281.753283847371</v>
      </c>
      <c r="F64" s="24">
        <f>'Data_in-situ'!CF354</f>
        <v>4199.848101278134</v>
      </c>
      <c r="G64" s="46">
        <f>'Data_in-situ'!CG354</f>
        <v>3</v>
      </c>
      <c r="H64" s="24">
        <f>'Data_in-situ'!CN354</f>
        <v>3223.0754152425534</v>
      </c>
      <c r="I64" s="24">
        <f>'Data_in-situ'!CO354</f>
        <v>927.04451000195218</v>
      </c>
      <c r="J64" s="46">
        <f>'Data_in-situ'!CP354</f>
        <v>3</v>
      </c>
      <c r="K64" s="24">
        <f>'Data_in-situ'!CR354</f>
        <v>10128.851360772116</v>
      </c>
      <c r="L64" s="24">
        <f>'Data_in-situ'!CS354</f>
        <v>2657.7211591793016</v>
      </c>
      <c r="M64" s="46">
        <f>'Data_in-situ'!CT354</f>
        <v>3</v>
      </c>
      <c r="N64" s="24">
        <f>'Data_in-situ'!DA222</f>
        <v>-5522.053137553612</v>
      </c>
      <c r="O64" s="24">
        <f>'Data_in-situ'!DB222</f>
        <v>3799.0509125782523</v>
      </c>
      <c r="P64" s="46">
        <f>'Data_in-situ'!DC222</f>
        <v>3</v>
      </c>
      <c r="Q64" s="24">
        <f>'Data_in-situ'!DE222</f>
        <v>-3740.7225956381553</v>
      </c>
      <c r="R64" s="24">
        <f>'Data_in-situ'!DF222</f>
        <v>3396.3473178087561</v>
      </c>
      <c r="S64" s="46">
        <f>'Data_in-situ'!DG222</f>
        <v>3</v>
      </c>
      <c r="T64" s="113">
        <f>'Data_in-situ'!DN85</f>
        <v>580</v>
      </c>
      <c r="U64" s="113">
        <f>'Data_in-situ'!DO85</f>
        <v>646.62998771275659</v>
      </c>
      <c r="V64" s="46">
        <f>'Data_in-situ'!DP85</f>
        <v>3</v>
      </c>
      <c r="W64" s="113">
        <f>'Data_in-situ'!DR85</f>
        <v>0.53333333333333333</v>
      </c>
      <c r="X64" s="113">
        <f>'Data_in-situ'!DS85</f>
        <v>1.9931820238032052</v>
      </c>
      <c r="Y64" s="46">
        <f>'Data_in-situ'!DT85</f>
        <v>3</v>
      </c>
      <c r="Z64" s="113">
        <f>'Data_in-situ'!EA142</f>
        <v>1</v>
      </c>
      <c r="AA64" s="113">
        <f>'Data_in-situ'!EB142</f>
        <v>1.5811388300841898</v>
      </c>
      <c r="AB64" s="46">
        <f>'Data_in-situ'!EC142</f>
        <v>10</v>
      </c>
      <c r="AC64" s="113">
        <f>'Data_in-situ'!EE142</f>
        <v>2</v>
      </c>
      <c r="AD64" s="113">
        <f>'Data_in-situ'!EF142</f>
        <v>4.4271887242357311</v>
      </c>
      <c r="AE64" s="46">
        <f>'Data_in-situ'!EG142</f>
        <v>10</v>
      </c>
      <c r="AF64" s="113">
        <f>'Data_in-situ'!EN76</f>
        <v>-45.680000000000007</v>
      </c>
      <c r="AG64" s="113">
        <f>'Data_in-situ'!EO76</f>
        <v>4.842822317616041</v>
      </c>
      <c r="AH64" s="110">
        <f>'Data_in-situ'!EP76</f>
        <v>3</v>
      </c>
      <c r="AI64" s="113">
        <f>'Data_in-situ'!ER76</f>
        <v>-118.24000000000001</v>
      </c>
      <c r="AJ64" s="113">
        <f>'Data_in-situ'!ES76</f>
        <v>8.4037210805690119</v>
      </c>
      <c r="AK64" s="110">
        <f>'Data_in-situ'!ET76</f>
        <v>3</v>
      </c>
    </row>
    <row r="65" spans="2:37" x14ac:dyDescent="0.3">
      <c r="B65" s="24">
        <f>'Data_in-situ'!CA355</f>
        <v>-6328.9988329119469</v>
      </c>
      <c r="C65" s="24">
        <f>'Data_in-situ'!CB355</f>
        <v>1543.0761204956746</v>
      </c>
      <c r="D65" s="46">
        <f>'Data_in-situ'!CC355</f>
        <v>3</v>
      </c>
      <c r="E65" s="24">
        <f>'Data_in-situ'!CE355</f>
        <v>-6508.7452571599624</v>
      </c>
      <c r="F65" s="24">
        <f>'Data_in-situ'!CF355</f>
        <v>2423.0047158648849</v>
      </c>
      <c r="G65" s="46">
        <f>'Data_in-situ'!CG355</f>
        <v>3</v>
      </c>
      <c r="H65" s="24">
        <f>'Data_in-situ'!CN355</f>
        <v>5111.9658604723854</v>
      </c>
      <c r="I65" s="24">
        <f>'Data_in-situ'!CO355</f>
        <v>1470.3409867037487</v>
      </c>
      <c r="J65" s="46">
        <f>'Data_in-situ'!CP355</f>
        <v>3</v>
      </c>
      <c r="K65" s="24">
        <f>'Data_in-situ'!CR355</f>
        <v>5566.4186230898367</v>
      </c>
      <c r="L65" s="24">
        <f>'Data_in-situ'!CS355</f>
        <v>1460.579095151006</v>
      </c>
      <c r="M65" s="46">
        <f>'Data_in-situ'!CT355</f>
        <v>3</v>
      </c>
      <c r="N65" s="24">
        <f>'Data_in-situ'!DA223</f>
        <v>-6157.9784795900996</v>
      </c>
      <c r="O65" s="24">
        <f>'Data_in-situ'!DB223</f>
        <v>2847.6279977138138</v>
      </c>
      <c r="P65" s="46">
        <f>'Data_in-situ'!DC223</f>
        <v>3</v>
      </c>
      <c r="Q65" s="24">
        <f>'Data_in-situ'!DE223</f>
        <v>-3541.6446974130395</v>
      </c>
      <c r="R65" s="24">
        <f>'Data_in-situ'!DF223</f>
        <v>2451.0546798159935</v>
      </c>
      <c r="S65" s="46">
        <f>'Data_in-situ'!DG223</f>
        <v>3</v>
      </c>
      <c r="T65" s="113">
        <f>'Data_in-situ'!DN86</f>
        <v>78.666666666666671</v>
      </c>
      <c r="U65" s="113">
        <f>'Data_in-situ'!DO86</f>
        <v>87.703837413914115</v>
      </c>
      <c r="V65" s="46">
        <f>'Data_in-situ'!DP86</f>
        <v>3</v>
      </c>
      <c r="W65" s="113">
        <f>'Data_in-situ'!DR86</f>
        <v>34.666666666666664</v>
      </c>
      <c r="X65" s="113">
        <f>'Data_in-situ'!DS86</f>
        <v>129.55683154720833</v>
      </c>
      <c r="Y65" s="46">
        <f>'Data_in-situ'!DT86</f>
        <v>3</v>
      </c>
      <c r="Z65" s="113">
        <f>'Data_in-situ'!EA143</f>
        <v>1</v>
      </c>
      <c r="AA65" s="113">
        <f>'Data_in-situ'!EB143</f>
        <v>1.5811388300841898</v>
      </c>
      <c r="AB65" s="46">
        <f>'Data_in-situ'!EC143</f>
        <v>10</v>
      </c>
      <c r="AC65" s="113">
        <f>'Data_in-situ'!EE143</f>
        <v>11</v>
      </c>
      <c r="AD65" s="113">
        <f>'Data_in-situ'!EF143</f>
        <v>13.914021704740872</v>
      </c>
      <c r="AE65" s="46">
        <f>'Data_in-situ'!EG143</f>
        <v>10</v>
      </c>
      <c r="AF65" s="113">
        <f>'Data_in-situ'!EN77</f>
        <v>-4.5</v>
      </c>
      <c r="AG65" s="113">
        <f>'Data_in-situ'!EO77</f>
        <v>2.7658633371878665</v>
      </c>
      <c r="AH65" s="110">
        <f>'Data_in-situ'!EP77</f>
        <v>2</v>
      </c>
      <c r="AI65" s="113">
        <f>'Data_in-situ'!ER77</f>
        <v>-18.45</v>
      </c>
      <c r="AJ65" s="113">
        <f>'Data_in-situ'!ES77</f>
        <v>8.9505586417832035</v>
      </c>
      <c r="AK65" s="110">
        <f>'Data_in-situ'!ET77</f>
        <v>2</v>
      </c>
    </row>
    <row r="66" spans="2:37" x14ac:dyDescent="0.3">
      <c r="B66" s="24">
        <f>'Data_in-situ'!CA356</f>
        <v>-6328.9988329119469</v>
      </c>
      <c r="C66" s="24">
        <f>'Data_in-situ'!CB356</f>
        <v>1543.0761204956746</v>
      </c>
      <c r="D66" s="46">
        <f>'Data_in-situ'!CC356</f>
        <v>3</v>
      </c>
      <c r="E66" s="24">
        <f>'Data_in-situ'!CE356</f>
        <v>-4475.6377749118492</v>
      </c>
      <c r="F66" s="24">
        <f>'Data_in-situ'!CF356</f>
        <v>1666.1416304755389</v>
      </c>
      <c r="G66" s="46">
        <f>'Data_in-situ'!CG356</f>
        <v>3</v>
      </c>
      <c r="H66" s="24">
        <f>'Data_in-situ'!CN356</f>
        <v>5111.9658604723854</v>
      </c>
      <c r="I66" s="24">
        <f>'Data_in-situ'!CO356</f>
        <v>1470.3409867037487</v>
      </c>
      <c r="J66" s="46">
        <f>'Data_in-situ'!CP356</f>
        <v>3</v>
      </c>
      <c r="K66" s="24">
        <f>'Data_in-situ'!CR356</f>
        <v>5547.6173892807064</v>
      </c>
      <c r="L66" s="24">
        <f>'Data_in-situ'!CS356</f>
        <v>1455.6458174146255</v>
      </c>
      <c r="M66" s="46">
        <f>'Data_in-situ'!CT356</f>
        <v>3</v>
      </c>
      <c r="N66" s="24">
        <f>'Data_in-situ'!DA224</f>
        <v>-3942.8510376719878</v>
      </c>
      <c r="O66" s="24">
        <f>'Data_in-situ'!DB224</f>
        <v>3165.2218188801453</v>
      </c>
      <c r="P66" s="46">
        <f>'Data_in-situ'!DC224</f>
        <v>3</v>
      </c>
      <c r="Q66" s="24">
        <f>'Data_in-situ'!DE224</f>
        <v>-4947.8342200721909</v>
      </c>
      <c r="R66" s="24">
        <f>'Data_in-situ'!DF224</f>
        <v>674.98350911365401</v>
      </c>
      <c r="S66" s="46">
        <f>'Data_in-situ'!DG224</f>
        <v>3</v>
      </c>
      <c r="T66" s="113">
        <f>'Data_in-situ'!DN87</f>
        <v>31.999999999999996</v>
      </c>
      <c r="U66" s="113">
        <f>'Data_in-situ'!DO87</f>
        <v>35.676137253117595</v>
      </c>
      <c r="V66" s="46">
        <f>'Data_in-situ'!DP87</f>
        <v>3</v>
      </c>
      <c r="W66" s="113">
        <f>'Data_in-situ'!DR87</f>
        <v>14.666666666666668</v>
      </c>
      <c r="X66" s="113">
        <f>'Data_in-situ'!DS87</f>
        <v>54.812505654588151</v>
      </c>
      <c r="Y66" s="46">
        <f>'Data_in-situ'!DT87</f>
        <v>3</v>
      </c>
      <c r="Z66" s="113">
        <f>'Data_in-situ'!EA144</f>
        <v>1</v>
      </c>
      <c r="AA66" s="113">
        <f>'Data_in-situ'!EB144</f>
        <v>1.5811388300841898</v>
      </c>
      <c r="AB66" s="46">
        <f>'Data_in-situ'!EC144</f>
        <v>10</v>
      </c>
      <c r="AC66" s="113">
        <f>'Data_in-situ'!EE144</f>
        <v>6</v>
      </c>
      <c r="AD66" s="113">
        <f>'Data_in-situ'!EF144</f>
        <v>8.538149682454625</v>
      </c>
      <c r="AE66" s="46">
        <f>'Data_in-situ'!EG144</f>
        <v>10</v>
      </c>
      <c r="AF66" s="113">
        <f>'Data_in-situ'!EN78</f>
        <v>-4.5</v>
      </c>
      <c r="AG66" s="113">
        <f>'Data_in-situ'!EO78</f>
        <v>2.7658633371878665</v>
      </c>
      <c r="AH66" s="110">
        <f>'Data_in-situ'!EP78</f>
        <v>2</v>
      </c>
      <c r="AI66" s="113">
        <f>'Data_in-situ'!ER78</f>
        <v>-14.3</v>
      </c>
      <c r="AJ66" s="113">
        <f>'Data_in-situ'!ES78</f>
        <v>4.2793106921559225</v>
      </c>
      <c r="AK66" s="110">
        <f>'Data_in-situ'!ET78</f>
        <v>2</v>
      </c>
    </row>
    <row r="67" spans="2:37" x14ac:dyDescent="0.3">
      <c r="B67" s="24">
        <f>'Data_in-situ'!CA357</f>
        <v>-6053.2911236122554</v>
      </c>
      <c r="C67" s="24">
        <f>'Data_in-situ'!CB357</f>
        <v>1475.8556969044168</v>
      </c>
      <c r="D67" s="46">
        <f>'Data_in-situ'!CC357</f>
        <v>3</v>
      </c>
      <c r="E67" s="24">
        <f>'Data_in-situ'!CE357</f>
        <v>-11865.719502913866</v>
      </c>
      <c r="F67" s="24">
        <f>'Data_in-situ'!CF357</f>
        <v>4417.2406780036381</v>
      </c>
      <c r="G67" s="46">
        <f>'Data_in-situ'!CG357</f>
        <v>3</v>
      </c>
      <c r="H67" s="24">
        <f>'Data_in-situ'!CN357</f>
        <v>4090.62426273851</v>
      </c>
      <c r="I67" s="24">
        <f>'Data_in-situ'!CO357</f>
        <v>1176.575250867078</v>
      </c>
      <c r="J67" s="46">
        <f>'Data_in-situ'!CP357</f>
        <v>3</v>
      </c>
      <c r="K67" s="24">
        <f>'Data_in-situ'!CR357</f>
        <v>9751.573269002236</v>
      </c>
      <c r="L67" s="24">
        <f>'Data_in-situ'!CS357</f>
        <v>2558.7267192692693</v>
      </c>
      <c r="M67" s="46">
        <f>'Data_in-situ'!CT357</f>
        <v>3</v>
      </c>
      <c r="N67" s="24">
        <f>'Data_in-situ'!DA225</f>
        <v>-3852.0162410870635</v>
      </c>
      <c r="O67" s="24">
        <f>'Data_in-situ'!DB225</f>
        <v>1523.8784102336624</v>
      </c>
      <c r="P67" s="46">
        <f>'Data_in-situ'!DC225</f>
        <v>3</v>
      </c>
      <c r="Q67" s="24">
        <f>'Data_in-situ'!DE225</f>
        <v>-5208.2901876590749</v>
      </c>
      <c r="R67" s="24">
        <f>'Data_in-situ'!DF225</f>
        <v>1132.6794776566101</v>
      </c>
      <c r="S67" s="46">
        <f>'Data_in-situ'!DG225</f>
        <v>3</v>
      </c>
      <c r="T67" s="113">
        <f>'Data_in-situ'!DN88</f>
        <v>17.100000000000001</v>
      </c>
      <c r="U67" s="113">
        <f>'Data_in-situ'!DO88</f>
        <v>7.9674337148168348</v>
      </c>
      <c r="V67" s="46">
        <f>'Data_in-situ'!DP88</f>
        <v>3</v>
      </c>
      <c r="W67" s="113">
        <f>'Data_in-situ'!DR88</f>
        <v>11.100000000000001</v>
      </c>
      <c r="X67" s="113">
        <f>'Data_in-situ'!DS88</f>
        <v>4.3301270189221928</v>
      </c>
      <c r="Y67" s="46">
        <f>'Data_in-situ'!DT88</f>
        <v>3</v>
      </c>
      <c r="Z67" s="113">
        <f>'Data_in-situ'!EA145</f>
        <v>-6.8828571428571433E-2</v>
      </c>
      <c r="AA67" s="113">
        <f>'Data_in-situ'!EB145</f>
        <v>0.39576270143804132</v>
      </c>
      <c r="AB67" s="46">
        <f>'Data_in-situ'!EC145</f>
        <v>4</v>
      </c>
      <c r="AC67" s="113">
        <f>'Data_in-situ'!EE145</f>
        <v>0.19271999999999997</v>
      </c>
      <c r="AD67" s="113">
        <f>'Data_in-situ'!EF145</f>
        <v>0.28775782163506208</v>
      </c>
      <c r="AE67" s="46">
        <f>'Data_in-situ'!EG145</f>
        <v>4</v>
      </c>
      <c r="AF67" s="113">
        <f>'Data_in-situ'!EN81</f>
        <v>-9</v>
      </c>
      <c r="AG67" s="113">
        <f>'Data_in-situ'!EO81</f>
        <v>3.6674675887616401</v>
      </c>
      <c r="AH67" s="110">
        <f>'Data_in-situ'!EP81</f>
        <v>3</v>
      </c>
      <c r="AI67" s="113">
        <f>'Data_in-situ'!ER81</f>
        <v>-15</v>
      </c>
      <c r="AJ67" s="113">
        <f>'Data_in-situ'!ES81</f>
        <v>3.4022108026379128</v>
      </c>
      <c r="AK67" s="110">
        <f>'Data_in-situ'!ET81</f>
        <v>3</v>
      </c>
    </row>
    <row r="68" spans="2:37" x14ac:dyDescent="0.3">
      <c r="B68" s="24">
        <f>'Data_in-situ'!CA358</f>
        <v>-8439.7813360929867</v>
      </c>
      <c r="C68" s="24">
        <f>'Data_in-situ'!CB358</f>
        <v>2057.7069747914984</v>
      </c>
      <c r="D68" s="46">
        <f>'Data_in-situ'!CC358</f>
        <v>3</v>
      </c>
      <c r="E68" s="24">
        <f>'Data_in-situ'!CE358</f>
        <v>-8092.5650763993508</v>
      </c>
      <c r="F68" s="24">
        <f>'Data_in-situ'!CF358</f>
        <v>3012.6118889026902</v>
      </c>
      <c r="G68" s="46">
        <f>'Data_in-situ'!CG358</f>
        <v>3</v>
      </c>
      <c r="H68" s="24">
        <f>'Data_in-situ'!CN358</f>
        <v>5436.6394443079935</v>
      </c>
      <c r="I68" s="24">
        <f>'Data_in-situ'!CO358</f>
        <v>1563.7259760881216</v>
      </c>
      <c r="J68" s="46">
        <f>'Data_in-situ'!CP358</f>
        <v>3</v>
      </c>
      <c r="K68" s="24">
        <f>'Data_in-situ'!CR358</f>
        <v>7258.5296659115611</v>
      </c>
      <c r="L68" s="24">
        <f>'Data_in-situ'!CS358</f>
        <v>1904.5740914252362</v>
      </c>
      <c r="M68" s="46">
        <f>'Data_in-situ'!CT358</f>
        <v>3</v>
      </c>
      <c r="N68" s="24">
        <f>'Data_in-situ'!DA226</f>
        <v>-4000</v>
      </c>
      <c r="O68" s="24">
        <f>'Data_in-situ'!DB226</f>
        <v>11998.626234744846</v>
      </c>
      <c r="P68" s="46">
        <f>'Data_in-situ'!DC226</f>
        <v>4</v>
      </c>
      <c r="Q68" s="24">
        <f>'Data_in-situ'!DE226</f>
        <v>2600</v>
      </c>
      <c r="R68" s="24">
        <f>'Data_in-situ'!DF226</f>
        <v>2478.1712651793655</v>
      </c>
      <c r="S68" s="46">
        <f>'Data_in-situ'!DG226</f>
        <v>4</v>
      </c>
      <c r="T68" s="113">
        <f>'Data_in-situ'!DN89</f>
        <v>17.3</v>
      </c>
      <c r="U68" s="113">
        <f>'Data_in-situ'!DO89</f>
        <v>8.1406387955737234</v>
      </c>
      <c r="V68" s="46">
        <f>'Data_in-situ'!DP89</f>
        <v>3</v>
      </c>
      <c r="W68" s="113">
        <f>'Data_in-situ'!DR89</f>
        <v>12.5</v>
      </c>
      <c r="X68" s="113">
        <f>'Data_in-situ'!DS89</f>
        <v>5.0229473419497435</v>
      </c>
      <c r="Y68" s="46">
        <f>'Data_in-situ'!DT89</f>
        <v>3</v>
      </c>
      <c r="Z68" s="113">
        <f>'Data_in-situ'!EA146</f>
        <v>-6.8828571428571433E-2</v>
      </c>
      <c r="AA68" s="113">
        <f>'Data_in-situ'!EB146</f>
        <v>0.39576270143804132</v>
      </c>
      <c r="AB68" s="46">
        <f>'Data_in-situ'!EC146</f>
        <v>4</v>
      </c>
      <c r="AC68" s="113">
        <f>'Data_in-situ'!EE146</f>
        <v>4.5977485714285713</v>
      </c>
      <c r="AD68" s="113">
        <f>'Data_in-situ'!EF146</f>
        <v>6.8650794590079105</v>
      </c>
      <c r="AE68" s="46">
        <f>'Data_in-situ'!EG146</f>
        <v>4</v>
      </c>
      <c r="AF68" s="113">
        <f>'Data_in-situ'!EN82</f>
        <v>-9</v>
      </c>
      <c r="AG68" s="113">
        <f>'Data_in-situ'!EO82</f>
        <v>3.6674675887616401</v>
      </c>
      <c r="AH68" s="110">
        <f>'Data_in-situ'!EP82</f>
        <v>3</v>
      </c>
      <c r="AI68" s="113">
        <f>'Data_in-situ'!ER82</f>
        <v>-21</v>
      </c>
      <c r="AJ68" s="113">
        <f>'Data_in-situ'!ES82</f>
        <v>4.7630951236930779</v>
      </c>
      <c r="AK68" s="110">
        <f>'Data_in-situ'!ET82</f>
        <v>3</v>
      </c>
    </row>
    <row r="69" spans="2:37" x14ac:dyDescent="0.3">
      <c r="B69" s="24">
        <f>'Data_in-situ'!CA359</f>
        <v>-8439.7813360929867</v>
      </c>
      <c r="C69" s="24">
        <f>'Data_in-situ'!CB359</f>
        <v>2057.7069747914984</v>
      </c>
      <c r="D69" s="46">
        <f>'Data_in-situ'!CC359</f>
        <v>3</v>
      </c>
      <c r="E69" s="24">
        <f>'Data_in-situ'!CE359</f>
        <v>-6425.7832666283757</v>
      </c>
      <c r="F69" s="24">
        <f>'Data_in-situ'!CF359</f>
        <v>2392.1205306105239</v>
      </c>
      <c r="G69" s="46">
        <f>'Data_in-situ'!CG359</f>
        <v>3</v>
      </c>
      <c r="H69" s="24">
        <f>'Data_in-situ'!CN359</f>
        <v>5436.6394443079935</v>
      </c>
      <c r="I69" s="24">
        <f>'Data_in-situ'!CO359</f>
        <v>1563.7259760881216</v>
      </c>
      <c r="J69" s="46">
        <f>'Data_in-situ'!CP359</f>
        <v>3</v>
      </c>
      <c r="K69" s="24">
        <f>'Data_in-situ'!CR359</f>
        <v>7678.4238876488043</v>
      </c>
      <c r="L69" s="24">
        <f>'Data_in-situ'!CS359</f>
        <v>2014.7506275377307</v>
      </c>
      <c r="M69" s="46">
        <f>'Data_in-situ'!CT359</f>
        <v>3</v>
      </c>
      <c r="N69" s="24">
        <f>'Data_in-situ'!DA227</f>
        <v>-2700</v>
      </c>
      <c r="O69" s="24">
        <f>'Data_in-situ'!DB227</f>
        <v>8099.0727084527707</v>
      </c>
      <c r="P69" s="46">
        <f>'Data_in-situ'!DC227</f>
        <v>4</v>
      </c>
      <c r="Q69" s="24">
        <f>'Data_in-situ'!DE227</f>
        <v>3900</v>
      </c>
      <c r="R69" s="24">
        <f>'Data_in-situ'!DF227</f>
        <v>3717.256897769048</v>
      </c>
      <c r="S69" s="46">
        <f>'Data_in-situ'!DG227</f>
        <v>4</v>
      </c>
      <c r="T69" s="113">
        <f>'Data_in-situ'!DN98</f>
        <v>29.564989329793384</v>
      </c>
      <c r="U69" s="113">
        <f>'Data_in-situ'!DO98</f>
        <v>10.677333333333335</v>
      </c>
      <c r="V69" s="46">
        <f>'Data_in-situ'!DP98</f>
        <v>3</v>
      </c>
      <c r="W69" s="113">
        <f>'Data_in-situ'!DR98</f>
        <v>7.9918819188191907</v>
      </c>
      <c r="X69" s="113">
        <f>'Data_in-situ'!DS98</f>
        <v>0.87360000000000004</v>
      </c>
      <c r="Y69" s="46">
        <f>'Data_in-situ'!DT98</f>
        <v>3</v>
      </c>
      <c r="Z69" s="113">
        <f>'Data_in-situ'!EA147</f>
        <v>0</v>
      </c>
      <c r="AA69" s="113">
        <f>'Data_in-situ'!EB147</f>
        <v>1.71</v>
      </c>
      <c r="AB69" s="46">
        <f>'Data_in-situ'!EC147</f>
        <v>7</v>
      </c>
      <c r="AC69" s="113">
        <f>'Data_in-situ'!EE147</f>
        <v>3.4241884673332552</v>
      </c>
      <c r="AD69" s="113">
        <f>'Data_in-situ'!EF147</f>
        <v>13.696753869332952</v>
      </c>
      <c r="AE69" s="46">
        <f>'Data_in-situ'!EG147</f>
        <v>44</v>
      </c>
      <c r="AF69" s="113">
        <f>'Data_in-situ'!EN83</f>
        <v>-9</v>
      </c>
      <c r="AG69" s="113">
        <f>'Data_in-situ'!EO83</f>
        <v>3.6674675887616401</v>
      </c>
      <c r="AH69" s="110">
        <f>'Data_in-situ'!EP83</f>
        <v>3</v>
      </c>
      <c r="AI69" s="113">
        <f>'Data_in-situ'!ER83</f>
        <v>-26</v>
      </c>
      <c r="AJ69" s="113">
        <f>'Data_in-situ'!ES83</f>
        <v>5.8971653912390485</v>
      </c>
      <c r="AK69" s="110">
        <f>'Data_in-situ'!ET83</f>
        <v>3</v>
      </c>
    </row>
    <row r="70" spans="2:37" x14ac:dyDescent="0.3">
      <c r="B70" s="24">
        <f>'Data_in-situ'!CA401</f>
        <v>-252.97619047619</v>
      </c>
      <c r="C70" s="24">
        <f>'Data_in-situ'!CB401</f>
        <v>61.678241517097945</v>
      </c>
      <c r="D70" s="46">
        <f>'Data_in-situ'!CC401</f>
        <v>1</v>
      </c>
      <c r="E70" s="24">
        <f>'Data_in-situ'!CE401</f>
        <v>-259.32892988544108</v>
      </c>
      <c r="F70" s="24">
        <f>'Data_in-situ'!CF401</f>
        <v>96.540146410153937</v>
      </c>
      <c r="G70" s="46">
        <f>'Data_in-situ'!CG401</f>
        <v>1</v>
      </c>
      <c r="H70" s="24">
        <f>'Data_in-situ'!CN401</f>
        <v>243.00271458600855</v>
      </c>
      <c r="I70" s="24">
        <f>'Data_in-situ'!CO401</f>
        <v>69.894216997580699</v>
      </c>
      <c r="J70" s="46">
        <f>'Data_in-situ'!CP401</f>
        <v>1</v>
      </c>
      <c r="K70" s="24">
        <f>'Data_in-situ'!CR401</f>
        <v>278.68155282729083</v>
      </c>
      <c r="L70" s="24">
        <f>'Data_in-situ'!CS401</f>
        <v>73.123578700198763</v>
      </c>
      <c r="M70" s="46">
        <f>'Data_in-situ'!CT401</f>
        <v>1</v>
      </c>
      <c r="N70" s="24">
        <f>'Data_in-situ'!DA228</f>
        <v>-2400</v>
      </c>
      <c r="O70" s="24">
        <f>'Data_in-situ'!DB228</f>
        <v>7199.1757408469075</v>
      </c>
      <c r="P70" s="46">
        <f>'Data_in-situ'!DC228</f>
        <v>4</v>
      </c>
      <c r="Q70" s="24">
        <f>'Data_in-situ'!DE228</f>
        <v>4200</v>
      </c>
      <c r="R70" s="24">
        <f>'Data_in-situ'!DF228</f>
        <v>4003.1997360589748</v>
      </c>
      <c r="S70" s="46">
        <f>'Data_in-situ'!DG228</f>
        <v>4</v>
      </c>
      <c r="T70" s="113">
        <f>'Data_in-situ'!DN99</f>
        <v>142.07619872372933</v>
      </c>
      <c r="U70" s="113">
        <f>'Data_in-situ'!DO99</f>
        <v>118.22720000000001</v>
      </c>
      <c r="V70" s="46">
        <f>'Data_in-situ'!DP99</f>
        <v>24</v>
      </c>
      <c r="W70" s="113">
        <f>'Data_in-situ'!DR99</f>
        <v>1.3426361623616241</v>
      </c>
      <c r="X70" s="113">
        <f>'Data_in-situ'!DS99</f>
        <v>1.8695039999999998</v>
      </c>
      <c r="Y70" s="46">
        <f>'Data_in-situ'!DT99</f>
        <v>15</v>
      </c>
      <c r="Z70" s="113">
        <f>'Data_in-situ'!EA148</f>
        <v>0.43</v>
      </c>
      <c r="AA70" s="113">
        <f>'Data_in-situ'!EB148</f>
        <v>0.86</v>
      </c>
      <c r="AB70" s="46">
        <f>'Data_in-situ'!EC148</f>
        <v>17</v>
      </c>
      <c r="AC70" s="113">
        <f>'Data_in-situ'!EE148</f>
        <v>3.4241884673332552</v>
      </c>
      <c r="AD70" s="113">
        <f>'Data_in-situ'!EF148</f>
        <v>13.696753869332952</v>
      </c>
      <c r="AE70" s="46">
        <f>'Data_in-situ'!EG148</f>
        <v>44</v>
      </c>
      <c r="AF70" s="113">
        <f>'Data_in-situ'!EN84</f>
        <v>-2.8</v>
      </c>
      <c r="AG70" s="113">
        <f>'Data_in-situ'!EO84</f>
        <v>0.72</v>
      </c>
      <c r="AH70" s="110">
        <f>'Data_in-situ'!EP84</f>
        <v>3</v>
      </c>
      <c r="AI70" s="113">
        <f>'Data_in-situ'!ER84</f>
        <v>-23.33</v>
      </c>
      <c r="AJ70" s="113">
        <f>'Data_in-situ'!ES84</f>
        <v>3.46</v>
      </c>
      <c r="AK70" s="110">
        <f>'Data_in-situ'!ET84</f>
        <v>3</v>
      </c>
    </row>
    <row r="71" spans="2:37" x14ac:dyDescent="0.3">
      <c r="B71" s="24">
        <f>'Data_in-situ'!CA402</f>
        <v>-270.83333333333297</v>
      </c>
      <c r="C71" s="24">
        <f>'Data_in-situ'!CB402</f>
        <v>66.031999741834312</v>
      </c>
      <c r="D71" s="46">
        <f>'Data_in-situ'!CC402</f>
        <v>1</v>
      </c>
      <c r="E71" s="24">
        <f>'Data_in-situ'!CE402</f>
        <v>-301.00679361702942</v>
      </c>
      <c r="F71" s="24">
        <f>'Data_in-situ'!CF402</f>
        <v>112.05552708321424</v>
      </c>
      <c r="G71" s="46">
        <f>'Data_in-situ'!CG402</f>
        <v>1</v>
      </c>
      <c r="H71" s="24">
        <f>'Data_in-situ'!CN402</f>
        <v>252.06998005563568</v>
      </c>
      <c r="I71" s="24">
        <f>'Data_in-situ'!CO402</f>
        <v>72.502210169132198</v>
      </c>
      <c r="J71" s="46">
        <f>'Data_in-situ'!CP402</f>
        <v>1</v>
      </c>
      <c r="K71" s="24">
        <f>'Data_in-situ'!CR402</f>
        <v>294.16386131769627</v>
      </c>
      <c r="L71" s="24">
        <f>'Data_in-situ'!CS402</f>
        <v>77.18599973909879</v>
      </c>
      <c r="M71" s="46">
        <f>'Data_in-situ'!CT402</f>
        <v>1</v>
      </c>
      <c r="N71" s="24">
        <f>'Data_in-situ'!DA229</f>
        <v>-2700</v>
      </c>
      <c r="O71" s="24">
        <f>'Data_in-situ'!DB229</f>
        <v>8099.0727084527707</v>
      </c>
      <c r="P71" s="46">
        <f>'Data_in-situ'!DC229</f>
        <v>4</v>
      </c>
      <c r="Q71" s="24">
        <f>'Data_in-situ'!DE229</f>
        <v>5300</v>
      </c>
      <c r="R71" s="24">
        <f>'Data_in-situ'!DF229</f>
        <v>5051.6568097887066</v>
      </c>
      <c r="S71" s="46">
        <f>'Data_in-situ'!DG229</f>
        <v>4</v>
      </c>
      <c r="T71" s="113">
        <f>'Data_in-situ'!DN100</f>
        <v>29.877540000000003</v>
      </c>
      <c r="U71" s="113">
        <f>'Data_in-situ'!DO100</f>
        <v>10.5768948600239</v>
      </c>
      <c r="V71" s="46">
        <f>'Data_in-situ'!DP100</f>
        <v>3</v>
      </c>
      <c r="W71" s="113">
        <f>'Data_in-situ'!DR100</f>
        <v>21.248370000000001</v>
      </c>
      <c r="X71" s="113">
        <f>'Data_in-situ'!DS100</f>
        <v>3.4542118170720228</v>
      </c>
      <c r="Y71" s="46">
        <f>'Data_in-situ'!DT100</f>
        <v>3</v>
      </c>
      <c r="Z71" s="113">
        <f>'Data_in-situ'!EA149</f>
        <v>0.215</v>
      </c>
      <c r="AA71" s="113">
        <f>'Data_in-situ'!EB149</f>
        <v>0.95703970659529058</v>
      </c>
      <c r="AB71" s="46">
        <f>'Data_in-situ'!EC149</f>
        <v>17</v>
      </c>
      <c r="AC71" s="113">
        <f>'Data_in-situ'!EE149</f>
        <v>12.840706752499663</v>
      </c>
      <c r="AD71" s="113">
        <f>'Data_in-situ'!EF149</f>
        <v>31.673743322832479</v>
      </c>
      <c r="AE71" s="46">
        <f>'Data_in-situ'!EG149</f>
        <v>14</v>
      </c>
      <c r="AF71" s="113">
        <f>'Data_in-situ'!EN85</f>
        <v>-5.04</v>
      </c>
      <c r="AG71" s="113">
        <f>'Data_in-situ'!EO85</f>
        <v>1.83</v>
      </c>
      <c r="AH71" s="110">
        <f>'Data_in-situ'!EP85</f>
        <v>3</v>
      </c>
      <c r="AI71" s="113">
        <f>'Data_in-situ'!ER85</f>
        <v>-37.299999999999997</v>
      </c>
      <c r="AJ71" s="113">
        <f>'Data_in-situ'!ES85</f>
        <v>7.39</v>
      </c>
      <c r="AK71" s="110">
        <f>'Data_in-situ'!ET85</f>
        <v>3</v>
      </c>
    </row>
    <row r="72" spans="2:37" x14ac:dyDescent="0.3">
      <c r="B72" s="24">
        <f>'Data_in-situ'!CA403</f>
        <v>-241.07142857142901</v>
      </c>
      <c r="C72" s="24">
        <f>'Data_in-situ'!CB403</f>
        <v>58.775736033940618</v>
      </c>
      <c r="D72" s="46">
        <f>'Data_in-situ'!CC403</f>
        <v>1</v>
      </c>
      <c r="E72" s="24">
        <f>'Data_in-situ'!CE403</f>
        <v>-271.67792654665266</v>
      </c>
      <c r="F72" s="24">
        <f>'Data_in-situ'!CF403</f>
        <v>101.13729623920892</v>
      </c>
      <c r="G72" s="46">
        <f>'Data_in-situ'!CG403</f>
        <v>1</v>
      </c>
      <c r="H72" s="24">
        <f>'Data_in-situ'!CN403</f>
        <v>217.61437127105197</v>
      </c>
      <c r="I72" s="24">
        <f>'Data_in-situ'!CO403</f>
        <v>62.591836117236312</v>
      </c>
      <c r="J72" s="46">
        <f>'Data_in-situ'!CP403</f>
        <v>1</v>
      </c>
      <c r="K72" s="24">
        <f>'Data_in-situ'!CR403</f>
        <v>295.88411781662973</v>
      </c>
      <c r="L72" s="24">
        <f>'Data_in-situ'!CS403</f>
        <v>77.637379854532</v>
      </c>
      <c r="M72" s="46">
        <f>'Data_in-situ'!CT403</f>
        <v>1</v>
      </c>
      <c r="N72" s="24">
        <f>'Data_in-situ'!DA230</f>
        <v>-2850</v>
      </c>
      <c r="O72" s="24">
        <f>'Data_in-situ'!DB230</f>
        <v>8549.0211922557028</v>
      </c>
      <c r="P72" s="46">
        <f>'Data_in-situ'!DC230</f>
        <v>4</v>
      </c>
      <c r="Q72" s="24">
        <f>'Data_in-situ'!DE230</f>
        <v>5150</v>
      </c>
      <c r="R72" s="24">
        <f>'Data_in-situ'!DF230</f>
        <v>4908.6853906437427</v>
      </c>
      <c r="S72" s="46">
        <f>'Data_in-situ'!DG230</f>
        <v>4</v>
      </c>
      <c r="T72" s="113">
        <f>'Data_in-situ'!DN101</f>
        <v>24.519000000000002</v>
      </c>
      <c r="U72" s="113">
        <f>'Data_in-situ'!DO101</f>
        <v>3.8585295126511601</v>
      </c>
      <c r="V72" s="46">
        <f>'Data_in-situ'!DP101</f>
        <v>3</v>
      </c>
      <c r="W72" s="113">
        <f>'Data_in-situ'!DR101</f>
        <v>2.714</v>
      </c>
      <c r="X72" s="113">
        <f>'Data_in-situ'!DS101</f>
        <v>1.8204276969987025</v>
      </c>
      <c r="Y72" s="46">
        <f>'Data_in-situ'!DT101</f>
        <v>3</v>
      </c>
      <c r="Z72" s="113">
        <f>'Data_in-situ'!EA150</f>
        <v>0.215</v>
      </c>
      <c r="AA72" s="113">
        <f>'Data_in-situ'!EB150</f>
        <v>0.95703970659529058</v>
      </c>
      <c r="AB72" s="46">
        <f>'Data_in-situ'!EC150</f>
        <v>17</v>
      </c>
      <c r="AC72" s="113">
        <f>'Data_in-situ'!EE150</f>
        <v>17.120942336666211</v>
      </c>
      <c r="AD72" s="113">
        <f>'Data_in-situ'!EF150</f>
        <v>30.817696205999184</v>
      </c>
      <c r="AE72" s="46">
        <f>'Data_in-situ'!EG150</f>
        <v>5</v>
      </c>
      <c r="AF72" s="113">
        <f>'Data_in-situ'!EN86</f>
        <v>-11.68</v>
      </c>
      <c r="AG72" s="113">
        <f>'Data_in-situ'!EO86</f>
        <v>1.82</v>
      </c>
      <c r="AH72" s="110">
        <f>'Data_in-situ'!EP86</f>
        <v>3</v>
      </c>
      <c r="AI72" s="113">
        <f>'Data_in-situ'!ER86</f>
        <v>-20.88</v>
      </c>
      <c r="AJ72" s="113">
        <f>'Data_in-situ'!ES86</f>
        <v>1.28</v>
      </c>
      <c r="AK72" s="110">
        <f>'Data_in-situ'!ET86</f>
        <v>3</v>
      </c>
    </row>
    <row r="73" spans="2:37" x14ac:dyDescent="0.3">
      <c r="B73" s="24">
        <f>'Data_in-situ'!CA404</f>
        <v>-1190.8947368421052</v>
      </c>
      <c r="C73" s="24">
        <f>'Data_in-situ'!CB404</f>
        <v>8.1728070175438585</v>
      </c>
      <c r="D73" s="46">
        <f>'Data_in-situ'!CC404</f>
        <v>4</v>
      </c>
      <c r="E73" s="24">
        <f>'Data_in-situ'!CE404</f>
        <v>-1647.1117744611581</v>
      </c>
      <c r="F73" s="24">
        <f>'Data_in-situ'!CF404</f>
        <v>42.213296514097145</v>
      </c>
      <c r="G73" s="46">
        <f>'Data_in-situ'!CG404</f>
        <v>4</v>
      </c>
      <c r="H73" s="24">
        <f>'Data_in-situ'!CN404</f>
        <v>1173.6539891420518</v>
      </c>
      <c r="I73" s="24">
        <f>'Data_in-situ'!CO404</f>
        <v>59.312279426335792</v>
      </c>
      <c r="J73" s="46">
        <f>'Data_in-situ'!CP404</f>
        <v>4</v>
      </c>
      <c r="K73" s="24">
        <f>'Data_in-situ'!CR404</f>
        <v>1113.3378134148315</v>
      </c>
      <c r="L73" s="24">
        <f>'Data_in-situ'!CS404</f>
        <v>77.030208091757075</v>
      </c>
      <c r="M73" s="46">
        <f>'Data_in-situ'!CT404</f>
        <v>4</v>
      </c>
      <c r="N73" s="24">
        <f>'Data_in-situ'!DA246</f>
        <v>7663.3333333333339</v>
      </c>
      <c r="O73" s="24">
        <f>'Data_in-situ'!DB246</f>
        <v>22987.368094732003</v>
      </c>
      <c r="P73" s="46">
        <f>'Data_in-situ'!DC246</f>
        <v>1</v>
      </c>
      <c r="Q73" s="24">
        <f>'Data_in-situ'!DE246</f>
        <v>18223.333333333332</v>
      </c>
      <c r="R73" s="24">
        <f>'Data_in-situ'!DF246</f>
        <v>17369.438854789216</v>
      </c>
      <c r="S73" s="46">
        <f>'Data_in-situ'!DG246</f>
        <v>1</v>
      </c>
      <c r="T73" s="113">
        <f>'Data_in-situ'!DN102</f>
        <v>37.001000000000005</v>
      </c>
      <c r="U73" s="113">
        <f>'Data_in-situ'!DO102</f>
        <v>14.229681127839795</v>
      </c>
      <c r="V73" s="46">
        <f>'Data_in-situ'!DP102</f>
        <v>3</v>
      </c>
      <c r="W73" s="113">
        <f>'Data_in-situ'!DR102</f>
        <v>17.568999999999999</v>
      </c>
      <c r="X73" s="113">
        <f>'Data_in-situ'!DS102</f>
        <v>3.3260057125627429</v>
      </c>
      <c r="Y73" s="46">
        <f>'Data_in-situ'!DT102</f>
        <v>3</v>
      </c>
      <c r="Z73" s="113">
        <f>'Data_in-situ'!EA151</f>
        <v>0.215</v>
      </c>
      <c r="AA73" s="113">
        <f>'Data_in-situ'!EB151</f>
        <v>0.95703970659529058</v>
      </c>
      <c r="AB73" s="46">
        <f>'Data_in-situ'!EC151</f>
        <v>17</v>
      </c>
      <c r="AC73" s="113">
        <f>'Data_in-situ'!EE151</f>
        <v>0.85604711683331214</v>
      </c>
      <c r="AD73" s="113">
        <f>'Data_in-situ'!EF151</f>
        <v>3.4241884673332414</v>
      </c>
      <c r="AE73" s="46">
        <f>'Data_in-situ'!EG151</f>
        <v>7</v>
      </c>
      <c r="AF73" s="113">
        <f>'Data_in-situ'!EN87</f>
        <v>-20.85</v>
      </c>
      <c r="AG73" s="113">
        <f>'Data_in-situ'!EO87</f>
        <v>5.42</v>
      </c>
      <c r="AH73" s="110">
        <f>'Data_in-situ'!EP87</f>
        <v>3</v>
      </c>
      <c r="AI73" s="113">
        <f>'Data_in-situ'!ER87</f>
        <v>-21.08</v>
      </c>
      <c r="AJ73" s="113">
        <f>'Data_in-situ'!ES87</f>
        <v>7.29</v>
      </c>
      <c r="AK73" s="110">
        <f>'Data_in-situ'!ET87</f>
        <v>3</v>
      </c>
    </row>
    <row r="74" spans="2:37" x14ac:dyDescent="0.3">
      <c r="B74" s="24">
        <f>'Data_in-situ'!CA405</f>
        <v>-1587.859649122807</v>
      </c>
      <c r="C74" s="24">
        <f>'Data_in-situ'!CB405</f>
        <v>7.4722807017543857</v>
      </c>
      <c r="D74" s="46">
        <f>'Data_in-situ'!CC405</f>
        <v>4</v>
      </c>
      <c r="E74" s="24">
        <f>'Data_in-situ'!CE405</f>
        <v>-1598.6673105064185</v>
      </c>
      <c r="F74" s="24">
        <f>'Data_in-situ'!CF405</f>
        <v>44.336749279956244</v>
      </c>
      <c r="G74" s="46">
        <f>'Data_in-situ'!CG405</f>
        <v>4</v>
      </c>
      <c r="H74" s="24">
        <f>'Data_in-situ'!CN405</f>
        <v>1001.8997468285809</v>
      </c>
      <c r="I74" s="24">
        <f>'Data_in-situ'!CO405</f>
        <v>31.53551699296025</v>
      </c>
      <c r="J74" s="46">
        <f>'Data_in-situ'!CP405</f>
        <v>4</v>
      </c>
      <c r="K74" s="24">
        <f>'Data_in-situ'!CR405</f>
        <v>1031.8740709698438</v>
      </c>
      <c r="L74" s="24">
        <f>'Data_in-situ'!CS405</f>
        <v>95.91547767591031</v>
      </c>
      <c r="M74" s="46">
        <f>'Data_in-situ'!CT405</f>
        <v>4</v>
      </c>
      <c r="N74" s="24">
        <f>'Data_in-situ'!DA247</f>
        <v>2640</v>
      </c>
      <c r="O74" s="24">
        <f>'Data_in-situ'!DB247</f>
        <v>7919.0933149315979</v>
      </c>
      <c r="P74" s="46">
        <f>'Data_in-situ'!DC247</f>
        <v>1</v>
      </c>
      <c r="Q74" s="24">
        <f>'Data_in-situ'!DE247</f>
        <v>7406.6666666666661</v>
      </c>
      <c r="R74" s="24">
        <f>'Data_in-situ'!DF247</f>
        <v>7059.610963113525</v>
      </c>
      <c r="S74" s="46">
        <f>'Data_in-situ'!DG247</f>
        <v>1</v>
      </c>
      <c r="T74" s="113">
        <f>'Data_in-situ'!DN103</f>
        <v>29.018000000000001</v>
      </c>
      <c r="U74" s="113">
        <f>'Data_in-situ'!DO103</f>
        <v>28.458867247309758</v>
      </c>
      <c r="V74" s="46">
        <f>'Data_in-situ'!DP103</f>
        <v>3</v>
      </c>
      <c r="W74" s="113">
        <f>'Data_in-situ'!DR103</f>
        <v>44.106000000000002</v>
      </c>
      <c r="X74" s="113">
        <f>'Data_in-situ'!DS103</f>
        <v>9.7564479704449827</v>
      </c>
      <c r="Y74" s="46">
        <f>'Data_in-situ'!DT103</f>
        <v>3</v>
      </c>
      <c r="Z74" s="113">
        <f>'Data_in-situ'!EA152</f>
        <v>4.2428571428571429</v>
      </c>
      <c r="AA74" s="113">
        <f>'Data_in-situ'!EB152</f>
        <v>2.9857142857142853</v>
      </c>
      <c r="AB74" s="46">
        <f>'Data_in-situ'!EC152</f>
        <v>7</v>
      </c>
      <c r="AC74" s="113">
        <f>'Data_in-situ'!EE152</f>
        <v>3.7714285714285714</v>
      </c>
      <c r="AD74" s="113">
        <f>'Data_in-situ'!EF152</f>
        <v>1.7285714285714289</v>
      </c>
      <c r="AE74" s="46">
        <f>'Data_in-situ'!EG152</f>
        <v>10</v>
      </c>
      <c r="AF74" s="113">
        <f>'Data_in-situ'!EN90</f>
        <v>-26.8</v>
      </c>
      <c r="AG74" s="113">
        <f>'Data_in-situ'!EO90</f>
        <v>10.920903486534662</v>
      </c>
      <c r="AH74" s="110">
        <f>'Data_in-situ'!EP90</f>
        <v>3</v>
      </c>
      <c r="AI74" s="113">
        <f>'Data_in-situ'!ER90</f>
        <v>-62.1</v>
      </c>
      <c r="AJ74" s="113">
        <f>'Data_in-situ'!ES90</f>
        <v>14.085152722920959</v>
      </c>
      <c r="AK74" s="110">
        <f>'Data_in-situ'!ET90</f>
        <v>3</v>
      </c>
    </row>
    <row r="75" spans="2:37" x14ac:dyDescent="0.3">
      <c r="B75" s="24">
        <f>'Data_in-situ'!CA406</f>
        <v>-1541.1578947368423</v>
      </c>
      <c r="C75" s="24">
        <f>'Data_in-situ'!CB406</f>
        <v>7.2387719298245612</v>
      </c>
      <c r="D75" s="46">
        <f>'Data_in-situ'!CC406</f>
        <v>4</v>
      </c>
      <c r="E75" s="24">
        <f>'Data_in-situ'!CE406</f>
        <v>-2325.3342698275173</v>
      </c>
      <c r="F75" s="24">
        <f>'Data_in-situ'!CF406</f>
        <v>61.965584260203691</v>
      </c>
      <c r="G75" s="46">
        <f>'Data_in-situ'!CG406</f>
        <v>4</v>
      </c>
      <c r="H75" s="24">
        <f>'Data_in-situ'!CN406</f>
        <v>1345.4082314555228</v>
      </c>
      <c r="I75" s="24">
        <f>'Data_in-situ'!CO406</f>
        <v>87.695812130506496</v>
      </c>
      <c r="J75" s="46">
        <f>'Data_in-situ'!CP406</f>
        <v>4</v>
      </c>
      <c r="K75" s="24">
        <f>'Data_in-situ'!CR406</f>
        <v>1031.8740709698438</v>
      </c>
      <c r="L75" s="24">
        <f>'Data_in-situ'!CS406</f>
        <v>302.96098741004602</v>
      </c>
      <c r="M75" s="46">
        <f>'Data_in-situ'!CT406</f>
        <v>4</v>
      </c>
      <c r="N75" s="24">
        <f>'Data_in-situ'!DA248</f>
        <v>16243.333333333332</v>
      </c>
      <c r="O75" s="24">
        <f>'Data_in-situ'!DB248</f>
        <v>48724.421368259689</v>
      </c>
      <c r="P75" s="46">
        <f>'Data_in-situ'!DC248</f>
        <v>1</v>
      </c>
      <c r="Q75" s="24">
        <f>'Data_in-situ'!DE248</f>
        <v>18480</v>
      </c>
      <c r="R75" s="24">
        <f>'Data_in-situ'!DF248</f>
        <v>17614.07883865949</v>
      </c>
      <c r="S75" s="46">
        <f>'Data_in-situ'!DG248</f>
        <v>1</v>
      </c>
      <c r="T75" s="113">
        <f>'Data_in-situ'!DN104</f>
        <v>277.33333333333331</v>
      </c>
      <c r="U75" s="113">
        <f>'Data_in-situ'!DO104</f>
        <v>309.19318952701917</v>
      </c>
      <c r="V75" s="46">
        <f>'Data_in-situ'!DP104</f>
        <v>3</v>
      </c>
      <c r="W75" s="113">
        <f>'Data_in-situ'!DR104</f>
        <v>0.04</v>
      </c>
      <c r="X75" s="113">
        <f>'Data_in-situ'!DS104</f>
        <v>0.1494886517852404</v>
      </c>
      <c r="Y75" s="46">
        <f>'Data_in-situ'!DT104</f>
        <v>3</v>
      </c>
      <c r="Z75" s="113">
        <f>'Data_in-situ'!EA153</f>
        <v>4.2428571428571429</v>
      </c>
      <c r="AA75" s="113">
        <f>'Data_in-situ'!EB153</f>
        <v>2.9857142857142853</v>
      </c>
      <c r="AB75" s="46">
        <f>'Data_in-situ'!EC153</f>
        <v>7</v>
      </c>
      <c r="AC75" s="113">
        <f>'Data_in-situ'!EE153</f>
        <v>7.8571428571428568</v>
      </c>
      <c r="AD75" s="113">
        <f>'Data_in-situ'!EF153</f>
        <v>4.2428571428571429</v>
      </c>
      <c r="AE75" s="46">
        <f>'Data_in-situ'!EG153</f>
        <v>8</v>
      </c>
      <c r="AF75" s="113">
        <f>'Data_in-situ'!EN91</f>
        <v>-27.34</v>
      </c>
      <c r="AG75" s="113">
        <f>'Data_in-situ'!EO91</f>
        <v>6.04</v>
      </c>
      <c r="AH75" s="110">
        <f>'Data_in-situ'!EP91</f>
        <v>3</v>
      </c>
      <c r="AI75" s="113">
        <f>'Data_in-situ'!ER91</f>
        <v>-42.07</v>
      </c>
      <c r="AJ75" s="113">
        <f>'Data_in-situ'!ES91</f>
        <v>2.04</v>
      </c>
      <c r="AK75" s="110">
        <f>'Data_in-situ'!ET91</f>
        <v>3</v>
      </c>
    </row>
    <row r="76" spans="2:37" x14ac:dyDescent="0.3">
      <c r="B76" s="24">
        <f>'Data_in-situ'!CA407</f>
        <v>-2129.6</v>
      </c>
      <c r="C76" s="24">
        <f>'Data_in-situ'!CB407</f>
        <v>6.8256410256410263</v>
      </c>
      <c r="D76" s="46">
        <f>'Data_in-situ'!CC407</f>
        <v>4</v>
      </c>
      <c r="E76" s="24">
        <f>'Data_in-situ'!CE407</f>
        <v>-2860.45927166603</v>
      </c>
      <c r="F76" s="24">
        <f>'Data_in-situ'!CF407</f>
        <v>83.041731299949717</v>
      </c>
      <c r="G76" s="46">
        <f>'Data_in-situ'!CG407</f>
        <v>4</v>
      </c>
      <c r="H76" s="24">
        <f>'Data_in-situ'!CN407</f>
        <v>1355.5373277970868</v>
      </c>
      <c r="I76" s="24">
        <f>'Data_in-situ'!CO407</f>
        <v>118.50504120960676</v>
      </c>
      <c r="J76" s="46">
        <f>'Data_in-situ'!CP407</f>
        <v>4</v>
      </c>
      <c r="K76" s="24">
        <f>'Data_in-situ'!CR407</f>
        <v>1460.4986850650098</v>
      </c>
      <c r="L76" s="24">
        <f>'Data_in-situ'!CS407</f>
        <v>101.18634540814155</v>
      </c>
      <c r="M76" s="46">
        <f>'Data_in-situ'!CT407</f>
        <v>4</v>
      </c>
      <c r="N76" s="24">
        <f>'Data_in-situ'!DA249</f>
        <v>-990</v>
      </c>
      <c r="O76" s="24">
        <f>'Data_in-situ'!DB249</f>
        <v>2969.6599930993493</v>
      </c>
      <c r="P76" s="46">
        <f>'Data_in-situ'!DC249</f>
        <v>1</v>
      </c>
      <c r="Q76" s="24">
        <f>'Data_in-situ'!DE249</f>
        <v>3923.333333333333</v>
      </c>
      <c r="R76" s="24">
        <f>'Data_in-situ'!DF249</f>
        <v>3739.4968963027086</v>
      </c>
      <c r="S76" s="46">
        <f>'Data_in-situ'!DG249</f>
        <v>1</v>
      </c>
      <c r="T76" s="113">
        <f>'Data_in-situ'!DN105</f>
        <v>326.66666666666663</v>
      </c>
      <c r="U76" s="113">
        <f>'Data_in-situ'!DO105</f>
        <v>364.19390112557551</v>
      </c>
      <c r="V76" s="46">
        <f>'Data_in-situ'!DP105</f>
        <v>3</v>
      </c>
      <c r="W76" s="113">
        <f>'Data_in-situ'!DR105</f>
        <v>-0.10666666666666666</v>
      </c>
      <c r="X76" s="113">
        <f>'Data_in-situ'!DS105</f>
        <v>0.39863640476064105</v>
      </c>
      <c r="Y76" s="46">
        <f>'Data_in-situ'!DT105</f>
        <v>3</v>
      </c>
      <c r="Z76" s="113">
        <f>'Data_in-situ'!EA154</f>
        <v>4.2428571428571429</v>
      </c>
      <c r="AA76" s="113">
        <f>'Data_in-situ'!EB154</f>
        <v>2.9857142857142853</v>
      </c>
      <c r="AB76" s="46">
        <f>'Data_in-situ'!EC154</f>
        <v>7</v>
      </c>
      <c r="AC76" s="113">
        <f>'Data_in-situ'!EE154</f>
        <v>1.8857142857142857</v>
      </c>
      <c r="AD76" s="113">
        <f>'Data_in-situ'!EF154</f>
        <v>2.8156342625739934</v>
      </c>
      <c r="AE76" s="46">
        <f>'Data_in-situ'!EG154</f>
        <v>1</v>
      </c>
      <c r="AF76" s="113">
        <f>'Data_in-situ'!EN92</f>
        <v>-2.62</v>
      </c>
      <c r="AG76" s="113">
        <f>'Data_in-situ'!EO92</f>
        <v>0.79</v>
      </c>
      <c r="AH76" s="110">
        <f>'Data_in-situ'!EP92</f>
        <v>3</v>
      </c>
      <c r="AI76" s="113">
        <f>'Data_in-situ'!ER92</f>
        <v>-21.88</v>
      </c>
      <c r="AJ76" s="113">
        <f>'Data_in-situ'!ES92</f>
        <v>3.76</v>
      </c>
      <c r="AK76" s="110">
        <f>'Data_in-situ'!ET92</f>
        <v>3</v>
      </c>
    </row>
    <row r="77" spans="2:37" x14ac:dyDescent="0.3">
      <c r="B77" s="24">
        <f>'Data_in-situ'!CA408</f>
        <v>-2259.2871794871794</v>
      </c>
      <c r="C77" s="24">
        <f>'Data_in-situ'!CB408</f>
        <v>13.651282051282053</v>
      </c>
      <c r="D77" s="46">
        <f>'Data_in-situ'!CC408</f>
        <v>4</v>
      </c>
      <c r="E77" s="24">
        <f>'Data_in-situ'!CE408</f>
        <v>-1940.0144565259704</v>
      </c>
      <c r="F77" s="24">
        <f>'Data_in-situ'!CF408</f>
        <v>56.070928981894077</v>
      </c>
      <c r="G77" s="46">
        <f>'Data_in-situ'!CG408</f>
        <v>4</v>
      </c>
      <c r="H77" s="24">
        <f>'Data_in-situ'!CN408</f>
        <v>1857.5881899441558</v>
      </c>
      <c r="I77" s="24">
        <f>'Data_in-situ'!CO408</f>
        <v>103.36331194089117</v>
      </c>
      <c r="J77" s="46">
        <f>'Data_in-situ'!CP408</f>
        <v>4</v>
      </c>
      <c r="K77" s="24">
        <f>'Data_in-situ'!CR408</f>
        <v>1587.498570722837</v>
      </c>
      <c r="L77" s="24">
        <f>'Data_in-situ'!CS408</f>
        <v>105.69113003255019</v>
      </c>
      <c r="M77" s="46">
        <f>'Data_in-situ'!CT408</f>
        <v>4</v>
      </c>
      <c r="N77" s="24">
        <f>'Data_in-situ'!DA270</f>
        <v>2799.2431805620463</v>
      </c>
      <c r="O77" s="24">
        <f>'Data_in-situ'!DB270</f>
        <v>1473.9559786073848</v>
      </c>
      <c r="P77" s="46">
        <f>'Data_in-situ'!DC270</f>
        <v>20</v>
      </c>
      <c r="Q77" s="24">
        <f>'Data_in-situ'!DE270</f>
        <v>6964.2392311529056</v>
      </c>
      <c r="R77" s="24">
        <f>'Data_in-situ'!DF270</f>
        <v>2472.9188125624614</v>
      </c>
      <c r="S77" s="46">
        <f>'Data_in-situ'!DG270</f>
        <v>20</v>
      </c>
      <c r="T77" s="113">
        <f>'Data_in-situ'!DN106</f>
        <v>100.8</v>
      </c>
      <c r="U77" s="113">
        <f>'Data_in-situ'!DO106</f>
        <v>112.37983234732044</v>
      </c>
      <c r="V77" s="46">
        <f>'Data_in-situ'!DP106</f>
        <v>3</v>
      </c>
      <c r="W77" s="113">
        <f>'Data_in-situ'!DR106</f>
        <v>1.0666666666666667</v>
      </c>
      <c r="X77" s="113">
        <f>'Data_in-situ'!DS106</f>
        <v>3.9863640476064104</v>
      </c>
      <c r="Y77" s="46">
        <f>'Data_in-situ'!DT106</f>
        <v>3</v>
      </c>
      <c r="Z77" s="113">
        <f>'Data_in-situ'!EA156</f>
        <v>-0.65249999999999997</v>
      </c>
      <c r="AA77" s="113">
        <f>'Data_in-situ'!EB156</f>
        <v>9.3070564627061342E-2</v>
      </c>
      <c r="AB77" s="46">
        <f>'Data_in-situ'!EC156</f>
        <v>4</v>
      </c>
      <c r="AC77" s="113">
        <f>'Data_in-situ'!EE156</f>
        <v>0.6623</v>
      </c>
      <c r="AD77" s="113">
        <f>'Data_in-situ'!EF156</f>
        <v>6.1265079776329362E-2</v>
      </c>
      <c r="AE77" s="46">
        <f>'Data_in-situ'!EG156</f>
        <v>4</v>
      </c>
      <c r="AF77" s="113">
        <f>'Data_in-situ'!EN93</f>
        <v>-6.51</v>
      </c>
      <c r="AG77" s="113">
        <f>'Data_in-situ'!EO93</f>
        <v>2.2799999999999998</v>
      </c>
      <c r="AH77" s="110">
        <f>'Data_in-situ'!EP93</f>
        <v>3</v>
      </c>
      <c r="AI77" s="113">
        <f>'Data_in-situ'!ER93</f>
        <v>-46.73</v>
      </c>
      <c r="AJ77" s="113">
        <f>'Data_in-situ'!ES93</f>
        <v>5.78</v>
      </c>
      <c r="AK77" s="110">
        <f>'Data_in-situ'!ET93</f>
        <v>3</v>
      </c>
    </row>
    <row r="78" spans="2:37" x14ac:dyDescent="0.3">
      <c r="B78" s="24">
        <f>'Data_in-situ'!CA412</f>
        <v>-27659.550451779181</v>
      </c>
      <c r="C78" s="24">
        <f>'Data_in-situ'!CB412</f>
        <v>2920.5942857142213</v>
      </c>
      <c r="D78" s="46">
        <f>'Data_in-situ'!CC412</f>
        <v>3</v>
      </c>
      <c r="E78" s="24">
        <f>'Data_in-situ'!CE412</f>
        <v>-19692.259359339321</v>
      </c>
      <c r="F78" s="24">
        <f>'Data_in-situ'!CF412</f>
        <v>1592.4436015993197</v>
      </c>
      <c r="G78" s="46">
        <f>'Data_in-situ'!CG412</f>
        <v>3</v>
      </c>
      <c r="H78" s="24">
        <f>'Data_in-situ'!CN412</f>
        <v>26436.559507179623</v>
      </c>
      <c r="I78" s="24">
        <f>'Data_in-situ'!CO412</f>
        <v>3571.7210373879325</v>
      </c>
      <c r="J78" s="46">
        <f>'Data_in-situ'!CP412</f>
        <v>3</v>
      </c>
      <c r="K78" s="24">
        <f>'Data_in-situ'!CR412</f>
        <v>20646.170885257681</v>
      </c>
      <c r="L78" s="24">
        <f>'Data_in-situ'!CS412</f>
        <v>1492.9781828658879</v>
      </c>
      <c r="M78" s="46">
        <f>'Data_in-situ'!CT412</f>
        <v>3</v>
      </c>
      <c r="N78" s="24">
        <f>'Data_in-situ'!DA271</f>
        <v>-15026.412930085349</v>
      </c>
      <c r="O78" s="24">
        <f>'Data_in-situ'!DB271</f>
        <v>12368.573830371251</v>
      </c>
      <c r="P78" s="46">
        <f>'Data_in-situ'!DC271</f>
        <v>8</v>
      </c>
      <c r="Q78" s="24">
        <f>'Data_in-situ'!DE271</f>
        <v>-14220.561807401995</v>
      </c>
      <c r="R78" s="24">
        <f>'Data_in-situ'!DF271</f>
        <v>39407.251289691172</v>
      </c>
      <c r="S78" s="46">
        <f>'Data_in-situ'!DG271</f>
        <v>8</v>
      </c>
      <c r="T78" s="113">
        <f>'Data_in-situ'!DN107</f>
        <v>93.066666666666677</v>
      </c>
      <c r="U78" s="113">
        <f>'Data_in-situ'!DO107</f>
        <v>103.75809917781704</v>
      </c>
      <c r="V78" s="46">
        <f>'Data_in-situ'!DP107</f>
        <v>3</v>
      </c>
      <c r="W78" s="113">
        <f>'Data_in-situ'!DR107</f>
        <v>0.13333333333333333</v>
      </c>
      <c r="X78" s="113">
        <f>'Data_in-situ'!DS107</f>
        <v>0.4982955059508013</v>
      </c>
      <c r="Y78" s="46">
        <f>'Data_in-situ'!DT107</f>
        <v>3</v>
      </c>
      <c r="Z78" s="113">
        <f>'Data_in-situ'!EA157</f>
        <v>-0.65249999999999997</v>
      </c>
      <c r="AA78" s="113">
        <f>'Data_in-situ'!EB157</f>
        <v>9.3070564627061342E-2</v>
      </c>
      <c r="AB78" s="46">
        <f>'Data_in-situ'!EC157</f>
        <v>4</v>
      </c>
      <c r="AC78" s="113">
        <f>'Data_in-situ'!EE157</f>
        <v>0.12470000000000003</v>
      </c>
      <c r="AD78" s="113">
        <f>'Data_in-situ'!EF157</f>
        <v>4.1450211097170543E-2</v>
      </c>
      <c r="AE78" s="46">
        <f>'Data_in-situ'!EG157</f>
        <v>4</v>
      </c>
      <c r="AF78" s="113">
        <f>'Data_in-situ'!EN94</f>
        <v>-10.75</v>
      </c>
      <c r="AG78" s="113">
        <f>'Data_in-situ'!EO94</f>
        <v>1.853</v>
      </c>
      <c r="AH78" s="110">
        <f>'Data_in-situ'!EP94</f>
        <v>3</v>
      </c>
      <c r="AI78" s="113">
        <f>'Data_in-situ'!ER94</f>
        <v>-20.14</v>
      </c>
      <c r="AJ78" s="113">
        <f>'Data_in-situ'!ES94</f>
        <v>1.87</v>
      </c>
      <c r="AK78" s="110">
        <f>'Data_in-situ'!ET94</f>
        <v>3</v>
      </c>
    </row>
    <row r="79" spans="2:37" x14ac:dyDescent="0.3">
      <c r="B79" s="24">
        <f>'Data_in-situ'!CA413</f>
        <v>-13417.445102313484</v>
      </c>
      <c r="C79" s="24">
        <f>'Data_in-situ'!CB413</f>
        <v>2513.9989496861413</v>
      </c>
      <c r="D79" s="46">
        <f>'Data_in-situ'!CC413</f>
        <v>3</v>
      </c>
      <c r="E79" s="24">
        <f>'Data_in-situ'!CE413</f>
        <v>-10261.140414323805</v>
      </c>
      <c r="F79" s="24">
        <f>'Data_in-situ'!CF413</f>
        <v>928.25974642230233</v>
      </c>
      <c r="G79" s="46">
        <f>'Data_in-situ'!CG413</f>
        <v>3</v>
      </c>
      <c r="H79" s="24">
        <f>'Data_in-situ'!CN413</f>
        <v>12328.007487080895</v>
      </c>
      <c r="I79" s="24">
        <f>'Data_in-situ'!CO413</f>
        <v>1844.6484474290598</v>
      </c>
      <c r="J79" s="46">
        <f>'Data_in-situ'!CP413</f>
        <v>3</v>
      </c>
      <c r="K79" s="24">
        <f>'Data_in-situ'!CR413</f>
        <v>10779.460950989149</v>
      </c>
      <c r="L79" s="24">
        <f>'Data_in-situ'!CS413</f>
        <v>1426.079653929331</v>
      </c>
      <c r="M79" s="46">
        <f>'Data_in-situ'!CT413</f>
        <v>3</v>
      </c>
      <c r="N79" s="24">
        <f>'Data_in-situ'!DA339</f>
        <v>974.5318551588839</v>
      </c>
      <c r="O79" s="24">
        <f>'Data_in-situ'!DB339</f>
        <v>469.46628575554143</v>
      </c>
      <c r="P79" s="46">
        <f>'Data_in-situ'!DC339</f>
        <v>3</v>
      </c>
      <c r="Q79" s="24">
        <f>'Data_in-situ'!DE339</f>
        <v>1843.0098898856381</v>
      </c>
      <c r="R79" s="24">
        <f>'Data_in-situ'!DF339</f>
        <v>320.75875891326473</v>
      </c>
      <c r="S79" s="46">
        <f>'Data_in-situ'!DG339</f>
        <v>3</v>
      </c>
      <c r="T79" s="113">
        <f>'Data_in-situ'!DN108</f>
        <v>24</v>
      </c>
      <c r="U79" s="113">
        <f>'Data_in-situ'!DO108</f>
        <v>26.757102939838202</v>
      </c>
      <c r="V79" s="46">
        <f>'Data_in-situ'!DP108</f>
        <v>3</v>
      </c>
      <c r="W79" s="113">
        <f>'Data_in-situ'!DR108</f>
        <v>7.8666666666666663</v>
      </c>
      <c r="X79" s="113">
        <f>'Data_in-situ'!DS108</f>
        <v>29.399434851097276</v>
      </c>
      <c r="Y79" s="46">
        <f>'Data_in-situ'!DT108</f>
        <v>3</v>
      </c>
      <c r="Z79" s="113">
        <f>'Data_in-situ'!EA158</f>
        <v>-0.65249999999999997</v>
      </c>
      <c r="AA79" s="113">
        <f>'Data_in-situ'!EB158</f>
        <v>9.3070564627061342E-2</v>
      </c>
      <c r="AB79" s="46">
        <f>'Data_in-situ'!EC158</f>
        <v>4</v>
      </c>
      <c r="AC79" s="113">
        <f>'Data_in-situ'!EE158</f>
        <v>0.42030000000000001</v>
      </c>
      <c r="AD79" s="113">
        <f>'Data_in-situ'!EF158</f>
        <v>2.773084924772409E-2</v>
      </c>
      <c r="AE79" s="46">
        <f>'Data_in-situ'!EG158</f>
        <v>4</v>
      </c>
      <c r="AF79" s="113">
        <f>'Data_in-situ'!EN95</f>
        <v>-24.62</v>
      </c>
      <c r="AG79" s="113">
        <f>'Data_in-situ'!EO95</f>
        <v>6.88</v>
      </c>
      <c r="AH79" s="110">
        <f>'Data_in-situ'!EP95</f>
        <v>3</v>
      </c>
      <c r="AI79" s="113">
        <f>'Data_in-situ'!ER95</f>
        <v>-23.22</v>
      </c>
      <c r="AJ79" s="113">
        <f>'Data_in-situ'!ES95</f>
        <v>6.41</v>
      </c>
      <c r="AK79" s="110">
        <f>'Data_in-situ'!ET95</f>
        <v>3</v>
      </c>
    </row>
    <row r="80" spans="2:37" x14ac:dyDescent="0.3">
      <c r="B80" s="24">
        <f>'Data_in-situ'!CA415</f>
        <v>-17995.009527856251</v>
      </c>
      <c r="C80" s="24">
        <f>'Data_in-situ'!CB415</f>
        <v>1848.1534882558306</v>
      </c>
      <c r="D80" s="46">
        <f>'Data_in-situ'!CC415</f>
        <v>3</v>
      </c>
      <c r="E80" s="24">
        <f>'Data_in-situ'!CE415</f>
        <v>-2054.5525514059905</v>
      </c>
      <c r="F80" s="24">
        <f>'Data_in-situ'!CF415</f>
        <v>2813.7544962882453</v>
      </c>
      <c r="G80" s="46">
        <f>'Data_in-situ'!CG415</f>
        <v>3</v>
      </c>
      <c r="H80" s="24">
        <f>'Data_in-situ'!CN415</f>
        <v>11579.692563738146</v>
      </c>
      <c r="I80" s="24">
        <f>'Data_in-situ'!CO415</f>
        <v>6378.0768142690904</v>
      </c>
      <c r="J80" s="46">
        <f>'Data_in-situ'!CP415</f>
        <v>3</v>
      </c>
      <c r="K80" s="24">
        <f>'Data_in-situ'!CR415</f>
        <v>3447.3943707861481</v>
      </c>
      <c r="L80" s="24">
        <f>'Data_in-situ'!CS415</f>
        <v>3117.4820932763982</v>
      </c>
      <c r="M80" s="46">
        <f>'Data_in-situ'!CT415</f>
        <v>3</v>
      </c>
      <c r="N80" s="24">
        <f>'Data_in-situ'!DA340</f>
        <v>1621.7638807072944</v>
      </c>
      <c r="O80" s="24">
        <f>'Data_in-situ'!DB340</f>
        <v>1098.3220496581039</v>
      </c>
      <c r="P80" s="46">
        <f>'Data_in-situ'!DC340</f>
        <v>3</v>
      </c>
      <c r="Q80" s="24">
        <f>'Data_in-situ'!DE340</f>
        <v>1729.967922835152</v>
      </c>
      <c r="R80" s="24">
        <f>'Data_in-situ'!DF340</f>
        <v>370.59428586838715</v>
      </c>
      <c r="S80" s="46">
        <f>'Data_in-situ'!DG340</f>
        <v>3</v>
      </c>
      <c r="T80" s="113">
        <f>'Data_in-situ'!DN109</f>
        <v>24.133333333333336</v>
      </c>
      <c r="U80" s="113">
        <f>'Data_in-situ'!DO109</f>
        <v>26.905753511726196</v>
      </c>
      <c r="V80" s="46">
        <f>'Data_in-situ'!DP109</f>
        <v>3</v>
      </c>
      <c r="W80" s="113">
        <f>'Data_in-situ'!DR109</f>
        <v>8.4</v>
      </c>
      <c r="X80" s="113">
        <f>'Data_in-situ'!DS109</f>
        <v>31.392616874900483</v>
      </c>
      <c r="Y80" s="46">
        <f>'Data_in-situ'!DT109</f>
        <v>3</v>
      </c>
      <c r="Z80" s="113">
        <f>'Data_in-situ'!EA159</f>
        <v>-0.36220000000000002</v>
      </c>
      <c r="AA80" s="113">
        <f>'Data_in-situ'!EB159</f>
        <v>0.55423680859358304</v>
      </c>
      <c r="AB80" s="46">
        <f>'Data_in-situ'!EC159</f>
        <v>4</v>
      </c>
      <c r="AC80" s="113">
        <f>'Data_in-situ'!EE159</f>
        <v>-2.8500000000000001E-2</v>
      </c>
      <c r="AD80" s="113">
        <f>'Data_in-situ'!EF159</f>
        <v>9.9569071503153028E-2</v>
      </c>
      <c r="AE80" s="46">
        <f>'Data_in-situ'!EG159</f>
        <v>4</v>
      </c>
      <c r="AF80" s="113">
        <f>'Data_in-situ'!EN96</f>
        <v>-6.95</v>
      </c>
      <c r="AG80" s="113">
        <f>'Data_in-situ'!EO96</f>
        <v>1.41</v>
      </c>
      <c r="AH80" s="110">
        <f>'Data_in-situ'!EP96</f>
        <v>3</v>
      </c>
      <c r="AI80" s="113">
        <f>'Data_in-situ'!ER96</f>
        <v>-21.5</v>
      </c>
      <c r="AJ80" s="113">
        <f>'Data_in-situ'!ES96</f>
        <v>1.76</v>
      </c>
      <c r="AK80" s="110">
        <f>'Data_in-situ'!ET96</f>
        <v>3</v>
      </c>
    </row>
    <row r="81" spans="2:37" x14ac:dyDescent="0.3">
      <c r="B81" s="24">
        <f>'Data_in-situ'!CA416</f>
        <v>-5231.5</v>
      </c>
      <c r="C81" s="24">
        <f>'Data_in-situ'!CB416</f>
        <v>774.59070169847246</v>
      </c>
      <c r="D81" s="46">
        <f>'Data_in-situ'!CC416</f>
        <v>5</v>
      </c>
      <c r="E81" s="24">
        <f>'Data_in-situ'!CE416</f>
        <v>-7422.0454386397278</v>
      </c>
      <c r="F81" s="24">
        <f>'Data_in-situ'!CF416</f>
        <v>3514.8314125090737</v>
      </c>
      <c r="G81" s="46">
        <f>'Data_in-situ'!CG416</f>
        <v>5</v>
      </c>
      <c r="H81" s="24">
        <f>'Data_in-situ'!CN416</f>
        <v>4243.1025450256775</v>
      </c>
      <c r="I81" s="24">
        <f>'Data_in-situ'!CO416</f>
        <v>1520.7492674654977</v>
      </c>
      <c r="J81" s="46">
        <f>'Data_in-situ'!CP416</f>
        <v>5</v>
      </c>
      <c r="K81" s="24">
        <f>'Data_in-situ'!CR416</f>
        <v>7080.9624577142204</v>
      </c>
      <c r="L81" s="24">
        <f>'Data_in-situ'!CS416</f>
        <v>2727.0864177083622</v>
      </c>
      <c r="M81" s="46">
        <f>'Data_in-situ'!CT416</f>
        <v>5</v>
      </c>
      <c r="N81" s="24">
        <f>'Data_in-situ'!DA341</f>
        <v>3237.7768635097909</v>
      </c>
      <c r="O81" s="24">
        <f>'Data_in-situ'!DB341</f>
        <v>1588.2056081972487</v>
      </c>
      <c r="P81" s="46">
        <f>'Data_in-situ'!DC341</f>
        <v>3</v>
      </c>
      <c r="Q81" s="24">
        <f>'Data_in-situ'!DE341</f>
        <v>2606.0811330269848</v>
      </c>
      <c r="R81" s="24">
        <f>'Data_in-situ'!DF341</f>
        <v>272.81038691279781</v>
      </c>
      <c r="S81" s="46">
        <f>'Data_in-situ'!DG341</f>
        <v>3</v>
      </c>
      <c r="T81" s="113">
        <f>'Data_in-situ'!DN110</f>
        <v>59.466666666666661</v>
      </c>
      <c r="U81" s="113">
        <f>'Data_in-situ'!DO110</f>
        <v>66.298155062043534</v>
      </c>
      <c r="V81" s="46">
        <f>'Data_in-situ'!DP110</f>
        <v>3</v>
      </c>
      <c r="W81" s="113">
        <f>'Data_in-situ'!DR110</f>
        <v>27.333333333333329</v>
      </c>
      <c r="X81" s="113">
        <f>'Data_in-situ'!DS110</f>
        <v>102.15057871991425</v>
      </c>
      <c r="Y81" s="46">
        <f>'Data_in-situ'!DT110</f>
        <v>3</v>
      </c>
      <c r="Z81" s="113">
        <f>'Data_in-situ'!EA160</f>
        <v>-0.36220000000000002</v>
      </c>
      <c r="AA81" s="113">
        <f>'Data_in-situ'!EB160</f>
        <v>0.55423680859358304</v>
      </c>
      <c r="AB81" s="46">
        <f>'Data_in-situ'!EC160</f>
        <v>4</v>
      </c>
      <c r="AC81" s="113">
        <f>'Data_in-situ'!EE160</f>
        <v>8.210000000000002E-2</v>
      </c>
      <c r="AD81" s="113">
        <f>'Data_in-situ'!EF160</f>
        <v>1.2639620247459968E-2</v>
      </c>
      <c r="AE81" s="46">
        <f>'Data_in-situ'!EG160</f>
        <v>4</v>
      </c>
      <c r="AF81" s="113">
        <f>'Data_in-situ'!EN97</f>
        <v>-14.43</v>
      </c>
      <c r="AG81" s="113">
        <f>'Data_in-situ'!EO97</f>
        <v>3.89</v>
      </c>
      <c r="AH81" s="110">
        <f>'Data_in-situ'!EP97</f>
        <v>3</v>
      </c>
      <c r="AI81" s="113">
        <f>'Data_in-situ'!ER97</f>
        <v>-28.3</v>
      </c>
      <c r="AJ81" s="113">
        <f>'Data_in-situ'!ES97</f>
        <v>4.55</v>
      </c>
      <c r="AK81" s="110">
        <f>'Data_in-situ'!ET97</f>
        <v>3</v>
      </c>
    </row>
    <row r="82" spans="2:37" x14ac:dyDescent="0.3">
      <c r="B82" s="24">
        <f>'Data_in-situ'!CA417</f>
        <v>-7616.0068848250821</v>
      </c>
      <c r="C82" s="24">
        <f>'Data_in-situ'!CB417</f>
        <v>1856.8621464095218</v>
      </c>
      <c r="D82" s="46">
        <f>'Data_in-situ'!CC417</f>
        <v>5</v>
      </c>
      <c r="E82" s="24">
        <f>'Data_in-situ'!CE417</f>
        <v>-11234.346432115035</v>
      </c>
      <c r="F82" s="24">
        <f>'Data_in-situ'!CF417</f>
        <v>2636.9713135995598</v>
      </c>
      <c r="G82" s="46">
        <f>'Data_in-situ'!CG417</f>
        <v>5</v>
      </c>
      <c r="H82" s="24">
        <f>'Data_in-situ'!CN417</f>
        <v>7943.3298263910074</v>
      </c>
      <c r="I82" s="24">
        <f>'Data_in-situ'!CO417</f>
        <v>2284.7185864362959</v>
      </c>
      <c r="J82" s="46">
        <f>'Data_in-situ'!CP417</f>
        <v>5</v>
      </c>
      <c r="K82" s="24">
        <f>'Data_in-situ'!CR417</f>
        <v>12092.326878238955</v>
      </c>
      <c r="L82" s="24">
        <f>'Data_in-situ'!CS417</f>
        <v>4450.7541788118779</v>
      </c>
      <c r="M82" s="46">
        <f>'Data_in-situ'!CT417</f>
        <v>5</v>
      </c>
      <c r="N82" s="24">
        <f>'Data_in-situ'!DA342</f>
        <v>-558.33453447411694</v>
      </c>
      <c r="O82" s="24">
        <f>'Data_in-situ'!DB342</f>
        <v>748.7456945126147</v>
      </c>
      <c r="P82" s="46">
        <f>'Data_in-situ'!DC342</f>
        <v>3</v>
      </c>
      <c r="Q82" s="24">
        <f>'Data_in-situ'!DE342</f>
        <v>90.926369512445945</v>
      </c>
      <c r="R82" s="24">
        <f>'Data_in-situ'!DF342</f>
        <v>382.25882942650333</v>
      </c>
      <c r="S82" s="46">
        <f>'Data_in-situ'!DG342</f>
        <v>3</v>
      </c>
      <c r="T82" s="113">
        <f>'Data_in-situ'!DN111</f>
        <v>50.8</v>
      </c>
      <c r="U82" s="113">
        <f>'Data_in-situ'!DO111</f>
        <v>56.635867889324189</v>
      </c>
      <c r="V82" s="46">
        <f>'Data_in-situ'!DP111</f>
        <v>3</v>
      </c>
      <c r="W82" s="113">
        <f>'Data_in-situ'!DR111</f>
        <v>28.133333333333329</v>
      </c>
      <c r="X82" s="113">
        <f>'Data_in-situ'!DS111</f>
        <v>105.14035175561906</v>
      </c>
      <c r="Y82" s="46">
        <f>'Data_in-situ'!DT111</f>
        <v>3</v>
      </c>
      <c r="Z82" s="113">
        <f>'Data_in-situ'!EA161</f>
        <v>-0.36220000000000002</v>
      </c>
      <c r="AA82" s="113">
        <f>'Data_in-situ'!EB161</f>
        <v>0.55423680859358304</v>
      </c>
      <c r="AB82" s="46">
        <f>'Data_in-situ'!EC161</f>
        <v>4</v>
      </c>
      <c r="AC82" s="113">
        <f>'Data_in-situ'!EE161</f>
        <v>0.3004</v>
      </c>
      <c r="AD82" s="113">
        <f>'Data_in-situ'!EF161</f>
        <v>2.3186418438387587E-2</v>
      </c>
      <c r="AE82" s="46">
        <f>'Data_in-situ'!EG161</f>
        <v>4</v>
      </c>
      <c r="AF82" s="113">
        <f>'Data_in-situ'!EN98</f>
        <v>3.3333333333333335</v>
      </c>
      <c r="AG82" s="113">
        <f>'Data_in-situ'!EO98</f>
        <v>1.5275252316519463</v>
      </c>
      <c r="AH82" s="110">
        <f>'Data_in-situ'!EP98</f>
        <v>3</v>
      </c>
      <c r="AI82" s="113">
        <f>'Data_in-situ'!ER98</f>
        <v>-18.100000000000001</v>
      </c>
      <c r="AJ82" s="113">
        <f>'Data_in-situ'!ES98</f>
        <v>5.6</v>
      </c>
      <c r="AK82" s="110">
        <f>'Data_in-situ'!ET98</f>
        <v>3</v>
      </c>
    </row>
    <row r="83" spans="2:37" x14ac:dyDescent="0.3">
      <c r="B83" s="24">
        <f>'Data_in-situ'!CA418</f>
        <v>-31496.666666666664</v>
      </c>
      <c r="C83" s="24">
        <f>'Data_in-situ'!CB418</f>
        <v>7679.2168068996079</v>
      </c>
      <c r="D83" s="46">
        <f>'Data_in-situ'!CC418</f>
        <v>1</v>
      </c>
      <c r="E83" s="24">
        <f>'Data_in-situ'!CE418</f>
        <v>-47703.333333333328</v>
      </c>
      <c r="F83" s="24">
        <f>'Data_in-situ'!CF418</f>
        <v>17758.476797350639</v>
      </c>
      <c r="G83" s="46">
        <f>'Data_in-situ'!CG418</f>
        <v>1</v>
      </c>
      <c r="H83" s="24">
        <f>'Data_in-situ'!CN418</f>
        <v>24456.666666666664</v>
      </c>
      <c r="I83" s="24">
        <f>'Data_in-situ'!CO418</f>
        <v>7034.4052326727378</v>
      </c>
      <c r="J83" s="46">
        <f>'Data_in-situ'!CP418</f>
        <v>1</v>
      </c>
      <c r="K83" s="24">
        <f>'Data_in-situ'!CR418</f>
        <v>44476.666666666672</v>
      </c>
      <c r="L83" s="24">
        <f>'Data_in-situ'!CS418</f>
        <v>11670.284603796765</v>
      </c>
      <c r="M83" s="46">
        <f>'Data_in-situ'!CT418</f>
        <v>1</v>
      </c>
      <c r="N83" s="24">
        <f>'Data_in-situ'!DA343</f>
        <v>-586.111782169251</v>
      </c>
      <c r="O83" s="24">
        <f>'Data_in-situ'!DB343</f>
        <v>363.91958912283872</v>
      </c>
      <c r="P83" s="46">
        <f>'Data_in-situ'!DC343</f>
        <v>3</v>
      </c>
      <c r="Q83" s="24">
        <f>'Data_in-situ'!DE343</f>
        <v>403.42941150773049</v>
      </c>
      <c r="R83" s="24">
        <f>'Data_in-situ'!DF343</f>
        <v>463.61307598966926</v>
      </c>
      <c r="S83" s="46">
        <f>'Data_in-situ'!DG343</f>
        <v>3</v>
      </c>
      <c r="Z83" s="113">
        <f>'Data_in-situ'!EA162</f>
        <v>2.1024738953323308</v>
      </c>
      <c r="AA83" s="113">
        <f>'Data_in-situ'!EB162</f>
        <v>12.089176504021989</v>
      </c>
      <c r="AB83" s="46">
        <f>'Data_in-situ'!EC162</f>
        <v>4</v>
      </c>
      <c r="AC83" s="113">
        <f>'Data_in-situ'!EE162</f>
        <v>6.8008768905024581</v>
      </c>
      <c r="AD83" s="113">
        <f>'Data_in-situ'!EF162</f>
        <v>10.154657115085213</v>
      </c>
      <c r="AE83" s="46">
        <f>'Data_in-situ'!EG162</f>
        <v>4</v>
      </c>
      <c r="AF83" s="113">
        <f>'Data_in-situ'!EN99</f>
        <v>6.52</v>
      </c>
      <c r="AG83" s="113">
        <f>'Data_in-situ'!EO99</f>
        <v>6.22</v>
      </c>
      <c r="AH83" s="110">
        <f>'Data_in-situ'!EP99</f>
        <v>4</v>
      </c>
      <c r="AI83" s="113">
        <f>'Data_in-situ'!ER99</f>
        <v>-36.47</v>
      </c>
      <c r="AJ83" s="113">
        <f>'Data_in-situ'!ES99</f>
        <v>14.77</v>
      </c>
      <c r="AK83" s="110">
        <f>'Data_in-situ'!ET99</f>
        <v>4</v>
      </c>
    </row>
    <row r="84" spans="2:37" x14ac:dyDescent="0.3">
      <c r="B84" s="24">
        <f>'Data_in-situ'!CA419</f>
        <v>-30323.333333333336</v>
      </c>
      <c r="C84" s="24">
        <f>'Data_in-situ'!CB419</f>
        <v>7393.145866479601</v>
      </c>
      <c r="D84" s="46">
        <f>'Data_in-situ'!CC419</f>
        <v>1</v>
      </c>
      <c r="E84" s="24">
        <f>'Data_in-situ'!CE419</f>
        <v>-45173.333333333328</v>
      </c>
      <c r="F84" s="24">
        <f>'Data_in-situ'!CF419</f>
        <v>16816.635983348184</v>
      </c>
      <c r="G84" s="46">
        <f>'Data_in-situ'!CG419</f>
        <v>1</v>
      </c>
      <c r="H84" s="24">
        <f>'Data_in-situ'!CN419</f>
        <v>22513.333333333336</v>
      </c>
      <c r="I84" s="24">
        <f>'Data_in-situ'!CO419</f>
        <v>6475.4494945443212</v>
      </c>
      <c r="J84" s="46">
        <f>'Data_in-situ'!CP419</f>
        <v>1</v>
      </c>
      <c r="K84" s="24">
        <f>'Data_in-situ'!CR419</f>
        <v>43303.333333333328</v>
      </c>
      <c r="L84" s="24">
        <f>'Data_in-situ'!CS419</f>
        <v>11362.412297678464</v>
      </c>
      <c r="M84" s="46">
        <f>'Data_in-situ'!CT419</f>
        <v>1</v>
      </c>
      <c r="N84" s="24">
        <f>'Data_in-situ'!DA344</f>
        <v>893.86422546150288</v>
      </c>
      <c r="O84" s="24">
        <f>'Data_in-situ'!DB344</f>
        <v>1145.1881990612055</v>
      </c>
      <c r="P84" s="46">
        <f>'Data_in-situ'!DC344</f>
        <v>3</v>
      </c>
      <c r="Q84" s="24">
        <f>'Data_in-situ'!DE344</f>
        <v>971.54555824647673</v>
      </c>
      <c r="R84" s="24">
        <f>'Data_in-situ'!DF344</f>
        <v>320.49742821623516</v>
      </c>
      <c r="S84" s="46">
        <f>'Data_in-situ'!DG344</f>
        <v>3</v>
      </c>
      <c r="Z84" s="113">
        <f>'Data_in-situ'!EA163</f>
        <v>0.69244345015682884</v>
      </c>
      <c r="AA84" s="113">
        <f>'Data_in-situ'!EB163</f>
        <v>3.9815338999377539</v>
      </c>
      <c r="AB84" s="46">
        <f>'Data_in-situ'!EC163</f>
        <v>4</v>
      </c>
      <c r="AC84" s="113">
        <f>'Data_in-situ'!EE163</f>
        <v>1.8900218026919515</v>
      </c>
      <c r="AD84" s="113">
        <f>'Data_in-situ'!EF163</f>
        <v>2.8220659858105499</v>
      </c>
      <c r="AE84" s="46">
        <f>'Data_in-situ'!EG163</f>
        <v>4</v>
      </c>
      <c r="AF84" s="113">
        <f>'Data_in-situ'!EN100</f>
        <v>-5.833333333333333</v>
      </c>
      <c r="AG84" s="113">
        <f>'Data_in-situ'!EO100</f>
        <v>5.3385391260156565</v>
      </c>
      <c r="AH84" s="110">
        <f>'Data_in-situ'!EP100</f>
        <v>4</v>
      </c>
      <c r="AI84" s="113">
        <f>'Data_in-situ'!ER100</f>
        <v>-19.5</v>
      </c>
      <c r="AJ84" s="113">
        <f>'Data_in-situ'!ES100</f>
        <v>4.0620192023179804</v>
      </c>
      <c r="AK84" s="110">
        <f>'Data_in-situ'!ET100</f>
        <v>4</v>
      </c>
    </row>
    <row r="85" spans="2:37" x14ac:dyDescent="0.3">
      <c r="B85" s="24">
        <f>'Data_in-situ'!CA432</f>
        <v>-7090</v>
      </c>
      <c r="C85" s="24">
        <f>'Data_in-situ'!CB432</f>
        <v>1524.2047106606119</v>
      </c>
      <c r="D85" s="46">
        <f>'Data_in-situ'!CC432</f>
        <v>3</v>
      </c>
      <c r="E85" s="24">
        <f>'Data_in-situ'!CE432</f>
        <v>-18490</v>
      </c>
      <c r="F85" s="24">
        <f>'Data_in-situ'!CF432</f>
        <v>3689.2682201217081</v>
      </c>
      <c r="G85" s="46">
        <f>'Data_in-situ'!CG432</f>
        <v>3</v>
      </c>
      <c r="H85" s="24">
        <f>'Data_in-situ'!CN432</f>
        <v>7020</v>
      </c>
      <c r="I85" s="24">
        <f>'Data_in-situ'!CO432</f>
        <v>1299.038105676658</v>
      </c>
      <c r="J85" s="46">
        <f>'Data_in-situ'!CP432</f>
        <v>3</v>
      </c>
      <c r="K85" s="24">
        <f>'Data_in-situ'!CR432</f>
        <v>23060</v>
      </c>
      <c r="L85" s="24">
        <f>'Data_in-situ'!CS432</f>
        <v>2424.871130596428</v>
      </c>
      <c r="M85" s="46">
        <f>'Data_in-situ'!CT432</f>
        <v>3</v>
      </c>
      <c r="N85" s="24">
        <f>'Data_in-situ'!DA345</f>
        <v>-722.09401113274612</v>
      </c>
      <c r="O85" s="24">
        <f>'Data_in-situ'!DB345</f>
        <v>355.55395504217751</v>
      </c>
      <c r="P85" s="46">
        <f>'Data_in-situ'!DC345</f>
        <v>3</v>
      </c>
      <c r="Q85" s="24">
        <f>'Data_in-situ'!DE345</f>
        <v>35.549383790829552</v>
      </c>
      <c r="R85" s="24">
        <f>'Data_in-situ'!DF345</f>
        <v>98.404402630841858</v>
      </c>
      <c r="S85" s="46">
        <f>'Data_in-situ'!DG345</f>
        <v>3</v>
      </c>
      <c r="Z85" s="113">
        <f>'Data_in-situ'!EA164</f>
        <v>0.69244345015682884</v>
      </c>
      <c r="AA85" s="113">
        <f>'Data_in-situ'!EB164</f>
        <v>3.9815338999377539</v>
      </c>
      <c r="AB85" s="46">
        <f>'Data_in-situ'!EC164</f>
        <v>4</v>
      </c>
      <c r="AC85" s="113">
        <f>'Data_in-situ'!EE164</f>
        <v>1.2029333397446536</v>
      </c>
      <c r="AD85" s="113">
        <f>'Data_in-situ'!EF164</f>
        <v>1.7961471430941864</v>
      </c>
      <c r="AE85" s="46">
        <f>'Data_in-situ'!EG164</f>
        <v>4</v>
      </c>
      <c r="AF85" s="113">
        <f>'Data_in-situ'!EN101</f>
        <v>-17.5</v>
      </c>
      <c r="AG85" s="113">
        <f>'Data_in-situ'!EO101</f>
        <v>4.9497474683058327</v>
      </c>
      <c r="AH85" s="110">
        <f>'Data_in-situ'!EP101</f>
        <v>4</v>
      </c>
      <c r="AI85" s="113">
        <f>'Data_in-situ'!ER101</f>
        <v>-34</v>
      </c>
      <c r="AJ85" s="113">
        <f>'Data_in-situ'!ES101</f>
        <v>11.313708498984761</v>
      </c>
      <c r="AK85" s="110">
        <f>'Data_in-situ'!ET101</f>
        <v>4</v>
      </c>
    </row>
    <row r="86" spans="2:37" x14ac:dyDescent="0.3">
      <c r="B86" s="24">
        <f>'Data_in-situ'!CA433</f>
        <v>-6290</v>
      </c>
      <c r="C86" s="24">
        <f>'Data_in-situ'!CB433</f>
        <v>1316.3586137523466</v>
      </c>
      <c r="D86" s="46">
        <f>'Data_in-situ'!CC433</f>
        <v>3</v>
      </c>
      <c r="E86" s="24">
        <f>'Data_in-situ'!CE433</f>
        <v>-19210</v>
      </c>
      <c r="F86" s="24">
        <f>'Data_in-situ'!CF433</f>
        <v>3290.8965343808668</v>
      </c>
      <c r="G86" s="46">
        <f>'Data_in-situ'!CG433</f>
        <v>3</v>
      </c>
      <c r="H86" s="24">
        <f>'Data_in-situ'!CN433</f>
        <v>5020</v>
      </c>
      <c r="I86" s="24">
        <f>'Data_in-situ'!CO433</f>
        <v>917.98692801150492</v>
      </c>
      <c r="J86" s="46">
        <f>'Data_in-situ'!CP433</f>
        <v>3</v>
      </c>
      <c r="K86" s="24">
        <f>'Data_in-situ'!CR433</f>
        <v>24030</v>
      </c>
      <c r="L86" s="24">
        <f>'Data_in-situ'!CS433</f>
        <v>2459.5121467478057</v>
      </c>
      <c r="M86" s="46">
        <f>'Data_in-situ'!CT433</f>
        <v>3</v>
      </c>
      <c r="N86" s="24">
        <f>'Data_in-situ'!DA346</f>
        <v>-310.54912511410987</v>
      </c>
      <c r="O86" s="24">
        <f>'Data_in-situ'!DB346</f>
        <v>752.08332336197429</v>
      </c>
      <c r="P86" s="46">
        <f>'Data_in-situ'!DC346</f>
        <v>3</v>
      </c>
      <c r="Q86" s="24">
        <f>'Data_in-situ'!DE346</f>
        <v>-522.80095541718219</v>
      </c>
      <c r="R86" s="24">
        <f>'Data_in-situ'!DF346</f>
        <v>196.66566541741983</v>
      </c>
      <c r="S86" s="46">
        <f>'Data_in-situ'!DG346</f>
        <v>3</v>
      </c>
      <c r="Z86" s="113">
        <f>'Data_in-situ'!EA165</f>
        <v>0.69244345015682884</v>
      </c>
      <c r="AA86" s="113">
        <f>'Data_in-situ'!EB165</f>
        <v>3.9815338999377539</v>
      </c>
      <c r="AB86" s="46">
        <f>'Data_in-situ'!EC165</f>
        <v>4</v>
      </c>
      <c r="AC86" s="113">
        <f>'Data_in-situ'!EE165</f>
        <v>1.5464775712183025</v>
      </c>
      <c r="AD86" s="113">
        <f>'Data_in-situ'!EF165</f>
        <v>2.3091065644523678</v>
      </c>
      <c r="AE86" s="46">
        <f>'Data_in-situ'!EG165</f>
        <v>4</v>
      </c>
      <c r="AF86" s="113">
        <f>'Data_in-situ'!EN102</f>
        <v>-10</v>
      </c>
      <c r="AG86" s="113">
        <f>'Data_in-situ'!EO102</f>
        <v>5.6568542494923806</v>
      </c>
      <c r="AH86" s="110">
        <f>'Data_in-situ'!EP102</f>
        <v>4</v>
      </c>
      <c r="AI86" s="113">
        <f>'Data_in-situ'!ER102</f>
        <v>-16.5</v>
      </c>
      <c r="AJ86" s="113">
        <f>'Data_in-situ'!ES102</f>
        <v>3.5355339059327378</v>
      </c>
      <c r="AK86" s="110">
        <f>'Data_in-situ'!ET102</f>
        <v>4</v>
      </c>
    </row>
    <row r="87" spans="2:37" x14ac:dyDescent="0.3">
      <c r="B87" s="24">
        <f>'Data_in-situ'!CA447</f>
        <v>-13830.844197002392</v>
      </c>
      <c r="C87" s="24">
        <f>'Data_in-situ'!CB447</f>
        <v>2274.6676845640554</v>
      </c>
      <c r="D87" s="46">
        <f>'Data_in-situ'!CC447</f>
        <v>3</v>
      </c>
      <c r="E87" s="24">
        <f>'Data_in-situ'!CE447</f>
        <v>-66220.372894871383</v>
      </c>
      <c r="F87" s="24">
        <f>'Data_in-situ'!CF447</f>
        <v>9098.6707382562217</v>
      </c>
      <c r="G87" s="46">
        <f>'Data_in-situ'!CG447</f>
        <v>3</v>
      </c>
      <c r="H87" s="24">
        <f>'Data_in-situ'!CN447</f>
        <v>8766.0655826625862</v>
      </c>
      <c r="I87" s="24">
        <f>'Data_in-situ'!CO447</f>
        <v>227.4667684564055</v>
      </c>
      <c r="J87" s="46">
        <f>'Data_in-situ'!CP447</f>
        <v>3</v>
      </c>
      <c r="K87" s="24">
        <f>'Data_in-situ'!CR447</f>
        <v>41998.127476961054</v>
      </c>
      <c r="L87" s="24">
        <f>'Data_in-situ'!CS447</f>
        <v>6824.003053692164</v>
      </c>
      <c r="M87" s="46">
        <f>'Data_in-situ'!CT447</f>
        <v>3</v>
      </c>
      <c r="N87" s="24">
        <f>'Data_in-situ'!DA347</f>
        <v>7.5327398944743891</v>
      </c>
      <c r="O87" s="24">
        <f>'Data_in-situ'!DB347</f>
        <v>385.89969557971807</v>
      </c>
      <c r="P87" s="46">
        <f>'Data_in-situ'!DC347</f>
        <v>3</v>
      </c>
      <c r="Q87" s="24">
        <f>'Data_in-situ'!DE347</f>
        <v>-55.731134523739229</v>
      </c>
      <c r="R87" s="24">
        <f>'Data_in-situ'!DF347</f>
        <v>131.30398661871592</v>
      </c>
      <c r="S87" s="46">
        <f>'Data_in-situ'!DG347</f>
        <v>3</v>
      </c>
      <c r="Z87" s="113">
        <f>'Data_in-situ'!EA166</f>
        <v>1.0757430488974113</v>
      </c>
      <c r="AA87" s="113">
        <f>'Data_in-situ'!EB166</f>
        <v>6.1854977700162745</v>
      </c>
      <c r="AB87" s="46">
        <f>'Data_in-situ'!EC166</f>
        <v>4</v>
      </c>
      <c r="AC87" s="113">
        <f>'Data_in-situ'!EE166</f>
        <v>1.0103547459252158</v>
      </c>
      <c r="AD87" s="113">
        <f>'Data_in-situ'!EF166</f>
        <v>1.508600460596133</v>
      </c>
      <c r="AE87" s="46">
        <f>'Data_in-situ'!EG166</f>
        <v>4</v>
      </c>
      <c r="AF87" s="113">
        <f>'Data_in-situ'!EN103</f>
        <v>10</v>
      </c>
      <c r="AG87" s="113">
        <f>'Data_in-situ'!EO103</f>
        <v>14.142135623730951</v>
      </c>
      <c r="AH87" s="110">
        <f>'Data_in-situ'!EP103</f>
        <v>4</v>
      </c>
      <c r="AI87" s="113">
        <f>'Data_in-situ'!ER103</f>
        <v>-8</v>
      </c>
      <c r="AJ87" s="113">
        <f>'Data_in-situ'!ES103</f>
        <v>2.8284271247461903</v>
      </c>
      <c r="AK87" s="110">
        <f>'Data_in-situ'!ET103</f>
        <v>4</v>
      </c>
    </row>
    <row r="88" spans="2:37" x14ac:dyDescent="0.3">
      <c r="B88" s="24">
        <f>'Data_in-situ'!CA448</f>
        <v>-32633.333333333332</v>
      </c>
      <c r="C88" s="24">
        <f>'Data_in-situ'!CB448</f>
        <v>3600</v>
      </c>
      <c r="D88" s="46">
        <f>'Data_in-situ'!CC448</f>
        <v>3</v>
      </c>
      <c r="E88" s="24">
        <f>'Data_in-situ'!CE448</f>
        <v>-65926.666666666672</v>
      </c>
      <c r="F88" s="24">
        <f>'Data_in-situ'!CF448</f>
        <v>5926</v>
      </c>
      <c r="G88" s="46">
        <f>'Data_in-situ'!CG448</f>
        <v>3</v>
      </c>
      <c r="H88" s="24">
        <f>'Data_in-situ'!CN448</f>
        <v>30690</v>
      </c>
      <c r="I88" s="24">
        <f>'Data_in-situ'!CO448</f>
        <v>3652</v>
      </c>
      <c r="J88" s="46">
        <f>'Data_in-situ'!CP448</f>
        <v>3</v>
      </c>
      <c r="K88" s="24">
        <f>'Data_in-situ'!CR448</f>
        <v>61160</v>
      </c>
      <c r="L88" s="24">
        <f>'Data_in-situ'!CS448</f>
        <v>6593</v>
      </c>
      <c r="M88" s="46">
        <f>'Data_in-situ'!CT448</f>
        <v>3</v>
      </c>
      <c r="N88" s="24">
        <f>'Data_in-situ'!DA348</f>
        <v>2591.2055425559711</v>
      </c>
      <c r="O88" s="24">
        <f>'Data_in-situ'!DB348</f>
        <v>1600.5466590475353</v>
      </c>
      <c r="P88" s="46">
        <f>'Data_in-situ'!DC348</f>
        <v>3</v>
      </c>
      <c r="Q88" s="24">
        <f>'Data_in-situ'!DE348</f>
        <v>5059.6370329114443</v>
      </c>
      <c r="R88" s="24">
        <f>'Data_in-situ'!DF348</f>
        <v>1113.5441452092068</v>
      </c>
      <c r="S88" s="46">
        <f>'Data_in-situ'!DG348</f>
        <v>3</v>
      </c>
      <c r="Z88" s="113">
        <f>'Data_in-situ'!EA168</f>
        <v>9.3513037184644965</v>
      </c>
      <c r="AA88" s="113">
        <f>'Data_in-situ'!EB168</f>
        <v>53.769781135553693</v>
      </c>
      <c r="AB88" s="46">
        <f>'Data_in-situ'!EC168</f>
        <v>3</v>
      </c>
      <c r="AC88" s="113">
        <f>'Data_in-situ'!EE168</f>
        <v>12.26580629480485</v>
      </c>
      <c r="AD88" s="113">
        <f>'Data_in-situ'!EF168</f>
        <v>18.314558426684705</v>
      </c>
      <c r="AE88" s="46">
        <f>'Data_in-situ'!EG168</f>
        <v>3</v>
      </c>
      <c r="AF88" s="113">
        <f>'Data_in-situ'!EN104</f>
        <v>-27.34</v>
      </c>
      <c r="AG88" s="113">
        <f>'Data_in-situ'!EO104</f>
        <v>6.04</v>
      </c>
      <c r="AH88" s="110">
        <f>'Data_in-situ'!EP104</f>
        <v>3</v>
      </c>
      <c r="AI88" s="113">
        <f>'Data_in-situ'!ER104</f>
        <v>-42.07</v>
      </c>
      <c r="AJ88" s="113">
        <f>'Data_in-situ'!ES104</f>
        <v>2.04</v>
      </c>
      <c r="AK88" s="110">
        <f>'Data_in-situ'!ET104</f>
        <v>3</v>
      </c>
    </row>
    <row r="89" spans="2:37" x14ac:dyDescent="0.3">
      <c r="B89" s="24">
        <f>'Data_in-situ'!CA449</f>
        <v>-36630</v>
      </c>
      <c r="C89" s="24">
        <f>'Data_in-situ'!CB449</f>
        <v>4321</v>
      </c>
      <c r="D89" s="46">
        <f>'Data_in-situ'!CC449</f>
        <v>3</v>
      </c>
      <c r="E89" s="24">
        <f>'Data_in-situ'!CE449</f>
        <v>-75753.333333333328</v>
      </c>
      <c r="F89" s="24">
        <f>'Data_in-situ'!CF449</f>
        <v>7859</v>
      </c>
      <c r="G89" s="46">
        <f>'Data_in-situ'!CG449</f>
        <v>3</v>
      </c>
      <c r="H89" s="24">
        <f>'Data_in-situ'!CN449</f>
        <v>33953.333333333336</v>
      </c>
      <c r="I89" s="24">
        <f>'Data_in-situ'!CO449</f>
        <v>4126</v>
      </c>
      <c r="J89" s="46">
        <f>'Data_in-situ'!CP449</f>
        <v>3</v>
      </c>
      <c r="K89" s="24">
        <f>'Data_in-situ'!CR449</f>
        <v>64753.333333333336</v>
      </c>
      <c r="L89" s="24">
        <f>'Data_in-situ'!CS449</f>
        <v>9463</v>
      </c>
      <c r="M89" s="46">
        <f>'Data_in-situ'!CT449</f>
        <v>3</v>
      </c>
      <c r="N89" s="24">
        <f>'Data_in-situ'!DA349</f>
        <v>-48.179151155642103</v>
      </c>
      <c r="O89" s="24">
        <f>'Data_in-situ'!DB349</f>
        <v>1897.3884326053135</v>
      </c>
      <c r="P89" s="46">
        <f>'Data_in-situ'!DC349</f>
        <v>3</v>
      </c>
      <c r="Q89" s="24">
        <f>'Data_in-situ'!DE349</f>
        <v>1064.0214415998626</v>
      </c>
      <c r="R89" s="24">
        <f>'Data_in-situ'!DF349</f>
        <v>385.19113146523358</v>
      </c>
      <c r="S89" s="46">
        <f>'Data_in-situ'!DG349</f>
        <v>3</v>
      </c>
      <c r="Z89" s="113">
        <f>'Data_in-situ'!EA169</f>
        <v>10.444427313037668</v>
      </c>
      <c r="AA89" s="113">
        <f>'Data_in-situ'!EB169</f>
        <v>60.055216643145187</v>
      </c>
      <c r="AB89" s="46">
        <f>'Data_in-situ'!EC169</f>
        <v>3</v>
      </c>
      <c r="AC89" s="113">
        <f>'Data_in-situ'!EE169</f>
        <v>19.289099302725344</v>
      </c>
      <c r="AD89" s="113">
        <f>'Data_in-situ'!EF169</f>
        <v>28.801313805804487</v>
      </c>
      <c r="AE89" s="46">
        <f>'Data_in-situ'!EG169</f>
        <v>3</v>
      </c>
      <c r="AF89" s="113">
        <f>'Data_in-situ'!EN105</f>
        <v>-27.34</v>
      </c>
      <c r="AG89" s="113">
        <f>'Data_in-situ'!EO105</f>
        <v>6.04</v>
      </c>
      <c r="AH89" s="110">
        <f>'Data_in-situ'!EP105</f>
        <v>3</v>
      </c>
      <c r="AI89" s="113">
        <f>'Data_in-situ'!ER105</f>
        <v>-42.07</v>
      </c>
      <c r="AJ89" s="113">
        <f>'Data_in-situ'!ES105</f>
        <v>2.04</v>
      </c>
      <c r="AK89" s="110">
        <f>'Data_in-situ'!ET105</f>
        <v>3</v>
      </c>
    </row>
    <row r="90" spans="2:37" x14ac:dyDescent="0.3">
      <c r="B90" s="24">
        <f>'Data_in-situ'!CA450</f>
        <v>-131193.33333333334</v>
      </c>
      <c r="C90" s="24">
        <f>'Data_in-situ'!CB450</f>
        <v>31986.307025712227</v>
      </c>
      <c r="D90" s="46">
        <f>'Data_in-situ'!CC450</f>
        <v>1</v>
      </c>
      <c r="E90" s="24">
        <f>'Data_in-situ'!CE450</f>
        <v>-154036.66666666666</v>
      </c>
      <c r="F90" s="24">
        <f>'Data_in-situ'!CF450</f>
        <v>57343.090719192958</v>
      </c>
      <c r="G90" s="46">
        <f>'Data_in-situ'!CG450</f>
        <v>1</v>
      </c>
      <c r="H90" s="24">
        <f>'Data_in-situ'!CN450</f>
        <v>146923.33333333334</v>
      </c>
      <c r="I90" s="24">
        <f>'Data_in-situ'!CO450</f>
        <v>42259.163069444774</v>
      </c>
      <c r="J90" s="46">
        <f>'Data_in-situ'!CP450</f>
        <v>1</v>
      </c>
      <c r="K90" s="24">
        <f>'Data_in-situ'!CR450</f>
        <v>176366.66666666666</v>
      </c>
      <c r="L90" s="24">
        <f>'Data_in-situ'!CS450</f>
        <v>46277.056013406785</v>
      </c>
      <c r="M90" s="46">
        <f>'Data_in-situ'!CT450</f>
        <v>1</v>
      </c>
      <c r="N90" s="24">
        <f>'Data_in-situ'!DA350</f>
        <v>966.28380447712357</v>
      </c>
      <c r="O90" s="24">
        <f>'Data_in-situ'!DB350</f>
        <v>2670.8132341684627</v>
      </c>
      <c r="P90" s="46">
        <f>'Data_in-situ'!DC350</f>
        <v>3</v>
      </c>
      <c r="Q90" s="24">
        <f>'Data_in-situ'!DE350</f>
        <v>-527.61294357135102</v>
      </c>
      <c r="R90" s="24">
        <f>'Data_in-situ'!DF350</f>
        <v>119.07629993106522</v>
      </c>
      <c r="S90" s="46">
        <f>'Data_in-situ'!DG350</f>
        <v>3</v>
      </c>
      <c r="Z90" s="113">
        <f>'Data_in-situ'!EA172</f>
        <v>0.74525790987535934</v>
      </c>
      <c r="AA90" s="113">
        <f>'Data_in-situ'!EB172</f>
        <v>0.23830443450184333</v>
      </c>
      <c r="AB90" s="46">
        <f>'Data_in-situ'!EC172</f>
        <v>3</v>
      </c>
      <c r="AC90" s="113">
        <f>'Data_in-situ'!EE172</f>
        <v>2.0509990412272292</v>
      </c>
      <c r="AD90" s="113">
        <f>'Data_in-situ'!EF172</f>
        <v>1.58486712384372</v>
      </c>
      <c r="AE90" s="46">
        <f>'Data_in-situ'!EG172</f>
        <v>3</v>
      </c>
      <c r="AF90" s="113">
        <f>'Data_in-situ'!EN106</f>
        <v>-2.62</v>
      </c>
      <c r="AG90" s="113">
        <f>'Data_in-situ'!EO106</f>
        <v>0.79</v>
      </c>
      <c r="AH90" s="110">
        <f>'Data_in-situ'!EP106</f>
        <v>3</v>
      </c>
      <c r="AI90" s="113">
        <f>'Data_in-situ'!ER106</f>
        <v>-21.88</v>
      </c>
      <c r="AJ90" s="113">
        <f>'Data_in-situ'!ES106</f>
        <v>3.76</v>
      </c>
      <c r="AK90" s="110">
        <f>'Data_in-situ'!ET106</f>
        <v>3</v>
      </c>
    </row>
    <row r="91" spans="2:37" x14ac:dyDescent="0.3">
      <c r="B91" s="24">
        <f>'Data_in-situ'!CA451</f>
        <v>-138600</v>
      </c>
      <c r="C91" s="24">
        <f>'Data_in-situ'!CB451</f>
        <v>33792.129837113527</v>
      </c>
      <c r="D91" s="46">
        <f>'Data_in-situ'!CC451</f>
        <v>1</v>
      </c>
      <c r="E91" s="24">
        <f>'Data_in-situ'!CE451</f>
        <v>-152680</v>
      </c>
      <c r="F91" s="24">
        <f>'Data_in-situ'!CF451</f>
        <v>56838.04564501773</v>
      </c>
      <c r="G91" s="46">
        <f>'Data_in-situ'!CG451</f>
        <v>1</v>
      </c>
      <c r="H91" s="24">
        <f>'Data_in-situ'!CN451</f>
        <v>150003.33333333334</v>
      </c>
      <c r="I91" s="24">
        <f>'Data_in-situ'!CO451</f>
        <v>43145.055182704913</v>
      </c>
      <c r="J91" s="46">
        <f>'Data_in-situ'!CP451</f>
        <v>1</v>
      </c>
      <c r="K91" s="24">
        <f>'Data_in-situ'!CR451</f>
        <v>173836.66666666666</v>
      </c>
      <c r="L91" s="24">
        <f>'Data_in-situ'!CS451</f>
        <v>45613.206353339207</v>
      </c>
      <c r="M91" s="46">
        <f>'Data_in-situ'!CT451</f>
        <v>1</v>
      </c>
      <c r="N91" s="24">
        <f>'Data_in-situ'!DA351</f>
        <v>4462.8866415951125</v>
      </c>
      <c r="O91" s="24">
        <f>'Data_in-situ'!DB351</f>
        <v>2118.4369604304802</v>
      </c>
      <c r="P91" s="46">
        <f>'Data_in-situ'!DC351</f>
        <v>3</v>
      </c>
      <c r="Q91" s="24">
        <f>'Data_in-situ'!DE351</f>
        <v>11338.017563286921</v>
      </c>
      <c r="R91" s="24">
        <f>'Data_in-situ'!DF351</f>
        <v>1981.8390153148923</v>
      </c>
      <c r="S91" s="46">
        <f>'Data_in-situ'!DG351</f>
        <v>3</v>
      </c>
      <c r="Z91" s="113">
        <f>'Data_in-situ'!EA201</f>
        <v>0</v>
      </c>
      <c r="AA91" s="113">
        <f>'Data_in-situ'!EB201</f>
        <v>0</v>
      </c>
      <c r="AB91" s="46">
        <f>'Data_in-situ'!EC201</f>
        <v>3</v>
      </c>
      <c r="AC91" s="113">
        <f>'Data_in-situ'!EE201</f>
        <v>0.03</v>
      </c>
      <c r="AD91" s="113">
        <f>'Data_in-situ'!EF201</f>
        <v>4.4794181450040799E-2</v>
      </c>
      <c r="AE91" s="46">
        <f>'Data_in-situ'!EG201</f>
        <v>3</v>
      </c>
      <c r="AF91" s="113">
        <f>'Data_in-situ'!EN107</f>
        <v>-6.51</v>
      </c>
      <c r="AG91" s="113">
        <f>'Data_in-situ'!EO107</f>
        <v>2.2799999999999998</v>
      </c>
      <c r="AH91" s="110">
        <f>'Data_in-situ'!EP107</f>
        <v>3</v>
      </c>
      <c r="AI91" s="113">
        <f>'Data_in-situ'!ER107</f>
        <v>-46.73</v>
      </c>
      <c r="AJ91" s="113">
        <f>'Data_in-situ'!ES107</f>
        <v>5.78</v>
      </c>
      <c r="AK91" s="110">
        <f>'Data_in-situ'!ET107</f>
        <v>3</v>
      </c>
    </row>
    <row r="92" spans="2:37" x14ac:dyDescent="0.3">
      <c r="B92" s="24">
        <f>'Data_in-situ'!CA452</f>
        <v>-135483.33333333334</v>
      </c>
      <c r="C92" s="24">
        <f>'Data_in-situ'!CB452</f>
        <v>33032.253901622884</v>
      </c>
      <c r="D92" s="46">
        <f>'Data_in-situ'!CC452</f>
        <v>1</v>
      </c>
      <c r="E92" s="24">
        <f>'Data_in-situ'!CE452</f>
        <v>-150663.33333333334</v>
      </c>
      <c r="F92" s="24">
        <f>'Data_in-situ'!CF452</f>
        <v>56087.302967189695</v>
      </c>
      <c r="G92" s="46">
        <f>'Data_in-situ'!CG452</f>
        <v>1</v>
      </c>
      <c r="H92" s="24">
        <f>'Data_in-situ'!CN452</f>
        <v>139810</v>
      </c>
      <c r="I92" s="24">
        <f>'Data_in-situ'!CO452</f>
        <v>40213.174141201132</v>
      </c>
      <c r="J92" s="46">
        <f>'Data_in-situ'!CP452</f>
        <v>1</v>
      </c>
      <c r="K92" s="24">
        <f>'Data_in-situ'!CR452</f>
        <v>166356.66666666666</v>
      </c>
      <c r="L92" s="24">
        <f>'Data_in-situ'!CS452</f>
        <v>43650.520401835049</v>
      </c>
      <c r="M92" s="46">
        <f>'Data_in-situ'!CT452</f>
        <v>1</v>
      </c>
      <c r="N92" s="24">
        <f>'Data_in-situ'!DA352</f>
        <v>-65.821682153624351</v>
      </c>
      <c r="O92" s="24">
        <f>'Data_in-situ'!DB352</f>
        <v>2444.1125484173954</v>
      </c>
      <c r="P92" s="46">
        <f>'Data_in-situ'!DC352</f>
        <v>3</v>
      </c>
      <c r="Q92" s="24">
        <f>'Data_in-situ'!DE352</f>
        <v>2804.9514685184622</v>
      </c>
      <c r="R92" s="24">
        <f>'Data_in-situ'!DF352</f>
        <v>528.03532028319501</v>
      </c>
      <c r="S92" s="46">
        <f>'Data_in-situ'!DG352</f>
        <v>3</v>
      </c>
      <c r="Z92" s="113">
        <f>'Data_in-situ'!EA202</f>
        <v>0</v>
      </c>
      <c r="AA92" s="113">
        <f>'Data_in-situ'!EB202</f>
        <v>0</v>
      </c>
      <c r="AB92" s="46">
        <f>'Data_in-situ'!EC202</f>
        <v>3</v>
      </c>
      <c r="AC92" s="113">
        <f>'Data_in-situ'!EE202</f>
        <v>0.05</v>
      </c>
      <c r="AD92" s="113">
        <f>'Data_in-situ'!EF202</f>
        <v>7.4656969083401345E-2</v>
      </c>
      <c r="AE92" s="46">
        <f>'Data_in-situ'!EG202</f>
        <v>3</v>
      </c>
      <c r="AF92" s="113">
        <f>'Data_in-situ'!EN108</f>
        <v>-10.75</v>
      </c>
      <c r="AG92" s="113">
        <f>'Data_in-situ'!EO108</f>
        <v>1.853</v>
      </c>
      <c r="AH92" s="110">
        <f>'Data_in-situ'!EP108</f>
        <v>3</v>
      </c>
      <c r="AI92" s="113">
        <f>'Data_in-situ'!ER108</f>
        <v>-20.14</v>
      </c>
      <c r="AJ92" s="113">
        <f>'Data_in-situ'!ES108</f>
        <v>1.87</v>
      </c>
      <c r="AK92" s="110">
        <f>'Data_in-situ'!ET108</f>
        <v>3</v>
      </c>
    </row>
    <row r="93" spans="2:37" x14ac:dyDescent="0.3">
      <c r="B93" s="24">
        <f>'Data_in-situ'!CA453</f>
        <v>-134383.33333333334</v>
      </c>
      <c r="C93" s="24">
        <f>'Data_in-situ'!CB453</f>
        <v>32764.062394979126</v>
      </c>
      <c r="D93" s="46">
        <f>'Data_in-situ'!CC453</f>
        <v>1</v>
      </c>
      <c r="E93" s="24">
        <f>'Data_in-situ'!CE453</f>
        <v>-148133.33333333334</v>
      </c>
      <c r="F93" s="24">
        <f>'Data_in-situ'!CF453</f>
        <v>55145.46215318724</v>
      </c>
      <c r="G93" s="46">
        <f>'Data_in-situ'!CG453</f>
        <v>1</v>
      </c>
      <c r="H93" s="24">
        <f>'Data_in-situ'!CN453</f>
        <v>136253.33333333334</v>
      </c>
      <c r="I93" s="24">
        <f>'Data_in-situ'!CO453</f>
        <v>39190.179677079308</v>
      </c>
      <c r="J93" s="46">
        <f>'Data_in-situ'!CP453</f>
        <v>1</v>
      </c>
      <c r="K93" s="24">
        <f>'Data_in-situ'!CR453</f>
        <v>161810</v>
      </c>
      <c r="L93" s="24">
        <f>'Data_in-situ'!CS453</f>
        <v>42457.515215626641</v>
      </c>
      <c r="M93" s="46">
        <f>'Data_in-situ'!CT453</f>
        <v>1</v>
      </c>
      <c r="N93" s="24">
        <f>'Data_in-situ'!DA353</f>
        <v>-369.93524485829175</v>
      </c>
      <c r="O93" s="24">
        <f>'Data_in-situ'!DB353</f>
        <v>430.23040896760483</v>
      </c>
      <c r="P93" s="46">
        <f>'Data_in-situ'!DC353</f>
        <v>3</v>
      </c>
      <c r="Q93" s="24">
        <f>'Data_in-situ'!DE353</f>
        <v>527.66414470429572</v>
      </c>
      <c r="R93" s="24">
        <f>'Data_in-situ'!DF353</f>
        <v>650.28157743771067</v>
      </c>
      <c r="S93" s="46">
        <f>'Data_in-situ'!DG353</f>
        <v>3</v>
      </c>
      <c r="Z93" s="113">
        <f>'Data_in-situ'!EA203</f>
        <v>0.80142857142857149</v>
      </c>
      <c r="AA93" s="113">
        <f>'Data_in-situ'!EB203</f>
        <v>0.1905255888325765</v>
      </c>
      <c r="AB93" s="46">
        <f>'Data_in-situ'!EC203</f>
        <v>3</v>
      </c>
      <c r="AC93" s="113">
        <f>'Data_in-situ'!EE203</f>
        <v>1.5242857142857142</v>
      </c>
      <c r="AD93" s="113">
        <f>'Data_in-situ'!EF203</f>
        <v>0.3538332364033564</v>
      </c>
      <c r="AE93" s="46">
        <f>'Data_in-situ'!EG203</f>
        <v>3</v>
      </c>
      <c r="AF93" s="113">
        <f>'Data_in-situ'!EN109</f>
        <v>-24.62</v>
      </c>
      <c r="AG93" s="113">
        <f>'Data_in-situ'!EO109</f>
        <v>6.88</v>
      </c>
      <c r="AH93" s="110">
        <f>'Data_in-situ'!EP109</f>
        <v>3</v>
      </c>
      <c r="AI93" s="113">
        <f>'Data_in-situ'!ER109</f>
        <v>-23.22</v>
      </c>
      <c r="AJ93" s="113">
        <f>'Data_in-situ'!ES109</f>
        <v>6.41</v>
      </c>
      <c r="AK93" s="110">
        <f>'Data_in-situ'!ET109</f>
        <v>3</v>
      </c>
    </row>
    <row r="94" spans="2:37" x14ac:dyDescent="0.3">
      <c r="B94" s="24">
        <f>'Data_in-situ'!CA454</f>
        <v>-160161.20218579238</v>
      </c>
      <c r="C94" s="24">
        <f>'Data_in-situ'!CB454</f>
        <v>10636.467274593098</v>
      </c>
      <c r="D94" s="46">
        <f>'Data_in-situ'!CC454</f>
        <v>3</v>
      </c>
      <c r="E94" s="24">
        <f>'Data_in-situ'!CE454</f>
        <v>-207277.44990892528</v>
      </c>
      <c r="F94" s="24">
        <f>'Data_in-situ'!CF454</f>
        <v>21272.601806047955</v>
      </c>
      <c r="G94" s="46">
        <f>'Data_in-situ'!CG454</f>
        <v>3</v>
      </c>
      <c r="H94" s="24">
        <f>'Data_in-situ'!CN454</f>
        <v>67306.558222944135</v>
      </c>
      <c r="I94" s="24">
        <f>'Data_in-situ'!CO454</f>
        <v>13632.710832908837</v>
      </c>
      <c r="J94" s="46">
        <f>'Data_in-situ'!CP454</f>
        <v>3</v>
      </c>
      <c r="K94" s="24">
        <f>'Data_in-situ'!CR454</f>
        <v>144420.60780366213</v>
      </c>
      <c r="L94" s="24">
        <f>'Data_in-situ'!CS454</f>
        <v>24745.786342212687</v>
      </c>
      <c r="M94" s="46">
        <f>'Data_in-situ'!CT454</f>
        <v>3</v>
      </c>
      <c r="N94" s="24">
        <f>'Data_in-situ'!DA354</f>
        <v>-1940.5839500221145</v>
      </c>
      <c r="O94" s="24">
        <f>'Data_in-situ'!DB354</f>
        <v>5821.085373365031</v>
      </c>
      <c r="P94" s="46">
        <f>'Data_in-situ'!DC354</f>
        <v>3</v>
      </c>
      <c r="Q94" s="24">
        <f>'Data_in-situ'!DE354</f>
        <v>-1152.9019230752547</v>
      </c>
      <c r="R94" s="24">
        <f>'Data_in-situ'!DF354</f>
        <v>1098.8801605135104</v>
      </c>
      <c r="S94" s="46">
        <f>'Data_in-situ'!DG354</f>
        <v>3</v>
      </c>
      <c r="Z94" s="113">
        <f>'Data_in-situ'!EA204</f>
        <v>0.80142857142857149</v>
      </c>
      <c r="AA94" s="113">
        <f>'Data_in-situ'!EB204</f>
        <v>0.1905255888325765</v>
      </c>
      <c r="AB94" s="46">
        <f>'Data_in-situ'!EC204</f>
        <v>3</v>
      </c>
      <c r="AC94" s="113">
        <f>'Data_in-situ'!EE204</f>
        <v>1.4614285714285715</v>
      </c>
      <c r="AD94" s="113">
        <f>'Data_in-situ'!EF204</f>
        <v>0.21774353009437314</v>
      </c>
      <c r="AE94" s="46">
        <f>'Data_in-situ'!EG204</f>
        <v>3</v>
      </c>
      <c r="AF94" s="113">
        <f>'Data_in-situ'!EN110</f>
        <v>-6.95</v>
      </c>
      <c r="AG94" s="113">
        <f>'Data_in-situ'!EO110</f>
        <v>1.41</v>
      </c>
      <c r="AH94" s="110">
        <f>'Data_in-situ'!EP110</f>
        <v>3</v>
      </c>
      <c r="AI94" s="113">
        <f>'Data_in-situ'!ER110</f>
        <v>-21.5</v>
      </c>
      <c r="AJ94" s="113">
        <f>'Data_in-situ'!ES110</f>
        <v>1.76</v>
      </c>
      <c r="AK94" s="110">
        <f>'Data_in-situ'!ET110</f>
        <v>3</v>
      </c>
    </row>
    <row r="95" spans="2:37" x14ac:dyDescent="0.3">
      <c r="B95" s="24">
        <f>'Data_in-situ'!CA455</f>
        <v>-160161.20218579238</v>
      </c>
      <c r="C95" s="24">
        <f>'Data_in-situ'!CB455</f>
        <v>10636.467274593098</v>
      </c>
      <c r="D95" s="46">
        <f>'Data_in-situ'!CC455</f>
        <v>3</v>
      </c>
      <c r="E95" s="24">
        <f>'Data_in-situ'!CE455</f>
        <v>-129453.33333333317</v>
      </c>
      <c r="F95" s="24">
        <f>'Data_in-situ'!CF455</f>
        <v>6791.9062619830866</v>
      </c>
      <c r="G95" s="46">
        <f>'Data_in-situ'!CG455</f>
        <v>3</v>
      </c>
      <c r="H95" s="24">
        <f>'Data_in-situ'!CN455</f>
        <v>67306.558222944135</v>
      </c>
      <c r="I95" s="24">
        <f>'Data_in-situ'!CO455</f>
        <v>13632.710832908837</v>
      </c>
      <c r="J95" s="46">
        <f>'Data_in-situ'!CP455</f>
        <v>3</v>
      </c>
      <c r="K95" s="24">
        <f>'Data_in-situ'!CR455</f>
        <v>78968.070175438406</v>
      </c>
      <c r="L95" s="24">
        <f>'Data_in-situ'!CS455</f>
        <v>7711.5970214802783</v>
      </c>
      <c r="M95" s="46">
        <f>'Data_in-situ'!CT455</f>
        <v>3</v>
      </c>
      <c r="N95" s="24">
        <f>'Data_in-situ'!DA355</f>
        <v>-1217.0329724395615</v>
      </c>
      <c r="O95" s="24">
        <f>'Data_in-situ'!DB355</f>
        <v>3650.6809379157057</v>
      </c>
      <c r="P95" s="46">
        <f>'Data_in-situ'!DC355</f>
        <v>3</v>
      </c>
      <c r="Q95" s="24">
        <f>'Data_in-situ'!DE355</f>
        <v>-942.32663407012569</v>
      </c>
      <c r="R95" s="24">
        <f>'Data_in-situ'!DF355</f>
        <v>898.17184114068311</v>
      </c>
      <c r="S95" s="46">
        <f>'Data_in-situ'!DG355</f>
        <v>3</v>
      </c>
      <c r="Z95" s="113">
        <f>'Data_in-situ'!EA205</f>
        <v>0.87842857142857156</v>
      </c>
      <c r="AA95" s="113">
        <f>'Data_in-situ'!EB205</f>
        <v>0.16185714285714287</v>
      </c>
      <c r="AB95" s="46">
        <f>'Data_in-situ'!EC205</f>
        <v>4</v>
      </c>
      <c r="AC95" s="113">
        <f>'Data_in-situ'!EE205</f>
        <v>24.849</v>
      </c>
      <c r="AD95" s="113">
        <f>'Data_in-situ'!EF205</f>
        <v>0.65528571428571425</v>
      </c>
      <c r="AE95" s="46">
        <f>'Data_in-situ'!EG205</f>
        <v>4</v>
      </c>
      <c r="AF95" s="113">
        <f>'Data_in-situ'!EN111</f>
        <v>-14.43</v>
      </c>
      <c r="AG95" s="113">
        <f>'Data_in-situ'!EO111</f>
        <v>3.89</v>
      </c>
      <c r="AH95" s="110">
        <f>'Data_in-situ'!EP111</f>
        <v>3</v>
      </c>
      <c r="AI95" s="113">
        <f>'Data_in-situ'!ER111</f>
        <v>-28.3</v>
      </c>
      <c r="AJ95" s="113">
        <f>'Data_in-situ'!ES111</f>
        <v>4.55</v>
      </c>
      <c r="AK95" s="110">
        <f>'Data_in-situ'!ET111</f>
        <v>3</v>
      </c>
    </row>
    <row r="96" spans="2:37" x14ac:dyDescent="0.3">
      <c r="B96" s="24">
        <f>'Data_in-situ'!CA462</f>
        <v>-51700</v>
      </c>
      <c r="C96" s="24">
        <f>'Data_in-situ'!CB462</f>
        <v>12605.000812256634</v>
      </c>
      <c r="D96" s="46">
        <f>'Data_in-situ'!CC462</f>
        <v>1</v>
      </c>
      <c r="E96" s="24">
        <f>'Data_in-situ'!CE462</f>
        <v>-15510</v>
      </c>
      <c r="F96" s="24">
        <f>'Data_in-situ'!CF462</f>
        <v>5773.8936858411389</v>
      </c>
      <c r="G96" s="46">
        <f>'Data_in-situ'!CG462</f>
        <v>1</v>
      </c>
      <c r="H96" s="24">
        <f>'Data_in-situ'!CN462</f>
        <v>39196.666666666664</v>
      </c>
      <c r="I96" s="24">
        <f>'Data_in-situ'!CO462</f>
        <v>11274.031774703384</v>
      </c>
      <c r="J96" s="46">
        <f>'Data_in-situ'!CP462</f>
        <v>1</v>
      </c>
      <c r="K96" s="24">
        <f>'Data_in-situ'!CR462</f>
        <v>35236.666666666664</v>
      </c>
      <c r="L96" s="24">
        <f>'Data_in-situ'!CS462</f>
        <v>9245.7901931151609</v>
      </c>
      <c r="M96" s="46">
        <f>'Data_in-situ'!CT462</f>
        <v>1</v>
      </c>
      <c r="N96" s="24">
        <f>'Data_in-situ'!DA356</f>
        <v>-1217.0329724395615</v>
      </c>
      <c r="O96" s="24">
        <f>'Data_in-situ'!DB356</f>
        <v>3650.6809379157057</v>
      </c>
      <c r="P96" s="46">
        <f>'Data_in-situ'!DC356</f>
        <v>3</v>
      </c>
      <c r="Q96" s="24">
        <f>'Data_in-situ'!DE356</f>
        <v>1071.9796143688573</v>
      </c>
      <c r="R96" s="24">
        <f>'Data_in-situ'!DF356</f>
        <v>1021.7496450719074</v>
      </c>
      <c r="S96" s="46">
        <f>'Data_in-situ'!DG356</f>
        <v>3</v>
      </c>
      <c r="Z96" s="113">
        <f>'Data_in-situ'!EA211</f>
        <v>-0.17393369108406392</v>
      </c>
      <c r="AA96" s="113">
        <f>'Data_in-situ'!EB211</f>
        <v>1.6605685683663671</v>
      </c>
      <c r="AB96" s="46">
        <f>'Data_in-situ'!EC211</f>
        <v>46</v>
      </c>
      <c r="AC96" s="113">
        <f>'Data_in-situ'!EE211</f>
        <v>6.6517114309370617</v>
      </c>
      <c r="AD96" s="113">
        <f>'Data_in-situ'!EF211</f>
        <v>10.95710857096801</v>
      </c>
      <c r="AE96" s="46">
        <f>'Data_in-situ'!EG211</f>
        <v>73</v>
      </c>
      <c r="AF96" s="113">
        <f>'Data_in-situ'!EN112</f>
        <v>22</v>
      </c>
      <c r="AG96" s="113">
        <f>'Data_in-situ'!EO112</f>
        <v>8.964920772528453</v>
      </c>
      <c r="AH96" s="110">
        <f>'Data_in-situ'!EP112</f>
        <v>3</v>
      </c>
      <c r="AI96" s="113">
        <f>'Data_in-situ'!ER112</f>
        <v>-35</v>
      </c>
      <c r="AJ96" s="113">
        <f>'Data_in-situ'!ES112</f>
        <v>7.9384918728217961</v>
      </c>
      <c r="AK96" s="110">
        <f>'Data_in-situ'!ET112</f>
        <v>3</v>
      </c>
    </row>
    <row r="97" spans="2:37" x14ac:dyDescent="0.3">
      <c r="B97" s="24">
        <f>'Data_in-situ'!CA463</f>
        <v>-52030</v>
      </c>
      <c r="C97" s="24">
        <f>'Data_in-situ'!CB463</f>
        <v>12685.458264249761</v>
      </c>
      <c r="D97" s="46">
        <f>'Data_in-situ'!CC463</f>
        <v>1</v>
      </c>
      <c r="E97" s="24">
        <f>'Data_in-situ'!CE463</f>
        <v>-33366.666666666664</v>
      </c>
      <c r="F97" s="24">
        <f>'Data_in-situ'!CF463</f>
        <v>12421.378851336727</v>
      </c>
      <c r="G97" s="46">
        <f>'Data_in-situ'!CG463</f>
        <v>1</v>
      </c>
      <c r="H97" s="24">
        <f>'Data_in-situ'!CN463</f>
        <v>53753.333333333336</v>
      </c>
      <c r="I97" s="24">
        <f>'Data_in-situ'!CO463</f>
        <v>15460.926643325691</v>
      </c>
      <c r="J97" s="46">
        <f>'Data_in-situ'!CP463</f>
        <v>1</v>
      </c>
      <c r="K97" s="24">
        <f>'Data_in-situ'!CR463</f>
        <v>42936.666666666664</v>
      </c>
      <c r="L97" s="24">
        <f>'Data_in-situ'!CS463</f>
        <v>11266.202202016497</v>
      </c>
      <c r="M97" s="46">
        <f>'Data_in-situ'!CT463</f>
        <v>1</v>
      </c>
      <c r="N97" s="24">
        <f>'Data_in-situ'!DA357</f>
        <v>-1962.6668608737455</v>
      </c>
      <c r="O97" s="24">
        <f>'Data_in-situ'!DB357</f>
        <v>5887.3265217360085</v>
      </c>
      <c r="P97" s="46">
        <f>'Data_in-situ'!DC357</f>
        <v>3</v>
      </c>
      <c r="Q97" s="24">
        <f>'Data_in-situ'!DE357</f>
        <v>-2114.1462339116297</v>
      </c>
      <c r="R97" s="24">
        <f>'Data_in-situ'!DF357</f>
        <v>2015.0832489488362</v>
      </c>
      <c r="S97" s="46">
        <f>'Data_in-situ'!DG357</f>
        <v>3</v>
      </c>
      <c r="Z97" s="113">
        <f>'Data_in-situ'!EA212</f>
        <v>4.2926101488275123E-2</v>
      </c>
      <c r="AA97" s="113">
        <f>'Data_in-situ'!EB212</f>
        <v>0.24682409549693443</v>
      </c>
      <c r="AB97" s="46">
        <f>'Data_in-situ'!EC212</f>
        <v>46</v>
      </c>
      <c r="AC97" s="113">
        <f>'Data_in-situ'!EE212</f>
        <v>38.025961499819161</v>
      </c>
      <c r="AD97" s="113">
        <f>'Data_in-situ'!EF212</f>
        <v>56.778060641172175</v>
      </c>
      <c r="AE97" s="46">
        <f>'Data_in-situ'!EG212</f>
        <v>66</v>
      </c>
      <c r="AF97" s="113">
        <f>'Data_in-situ'!EN113</f>
        <v>18</v>
      </c>
      <c r="AG97" s="113">
        <f>'Data_in-situ'!EO113</f>
        <v>7.3349351775232803</v>
      </c>
      <c r="AH97" s="110">
        <f>'Data_in-situ'!EP113</f>
        <v>3</v>
      </c>
      <c r="AI97" s="113">
        <f>'Data_in-situ'!ER113</f>
        <v>-25</v>
      </c>
      <c r="AJ97" s="113">
        <f>'Data_in-situ'!ES113</f>
        <v>5.670351337729854</v>
      </c>
      <c r="AK97" s="110">
        <f>'Data_in-situ'!ET113</f>
        <v>3</v>
      </c>
    </row>
    <row r="98" spans="2:37" x14ac:dyDescent="0.3">
      <c r="B98" s="24">
        <f>'Data_in-situ'!CA464</f>
        <v>-51700</v>
      </c>
      <c r="C98" s="24">
        <f>'Data_in-situ'!CB464</f>
        <v>12605.000812256634</v>
      </c>
      <c r="D98" s="46">
        <f>'Data_in-situ'!CC464</f>
        <v>1</v>
      </c>
      <c r="E98" s="24">
        <f>'Data_in-situ'!CE464</f>
        <v>-15510</v>
      </c>
      <c r="F98" s="24">
        <f>'Data_in-situ'!CF464</f>
        <v>5773.8936858411389</v>
      </c>
      <c r="G98" s="46">
        <f>'Data_in-situ'!CG464</f>
        <v>1</v>
      </c>
      <c r="H98" s="24">
        <f>'Data_in-situ'!CN464</f>
        <v>39196.666666666664</v>
      </c>
      <c r="I98" s="24">
        <f>'Data_in-situ'!CO464</f>
        <v>11274.031774703384</v>
      </c>
      <c r="J98" s="46">
        <f>'Data_in-situ'!CP464</f>
        <v>1</v>
      </c>
      <c r="K98" s="24">
        <f>'Data_in-situ'!CR464</f>
        <v>35236.666666666664</v>
      </c>
      <c r="L98" s="24">
        <f>'Data_in-situ'!CS464</f>
        <v>9245.7901931151609</v>
      </c>
      <c r="M98" s="46">
        <f>'Data_in-situ'!CT464</f>
        <v>1</v>
      </c>
      <c r="N98" s="24">
        <f>'Data_in-situ'!DA358</f>
        <v>-3003.1418917849933</v>
      </c>
      <c r="O98" s="24">
        <f>'Data_in-situ'!DB358</f>
        <v>9008.3942723581713</v>
      </c>
      <c r="P98" s="46">
        <f>'Data_in-situ'!DC358</f>
        <v>3</v>
      </c>
      <c r="Q98" s="24">
        <f>'Data_in-situ'!DE358</f>
        <v>-834.0354104877897</v>
      </c>
      <c r="R98" s="24">
        <f>'Data_in-situ'!DF358</f>
        <v>794.95484169727581</v>
      </c>
      <c r="S98" s="46">
        <f>'Data_in-situ'!DG358</f>
        <v>3</v>
      </c>
      <c r="Z98" s="113">
        <f>'Data_in-situ'!EA214</f>
        <v>0.7</v>
      </c>
      <c r="AA98" s="113">
        <f>'Data_in-situ'!EB214</f>
        <v>4.0249838876014987</v>
      </c>
      <c r="AB98" s="46">
        <f>'Data_in-situ'!EC214</f>
        <v>3</v>
      </c>
      <c r="AC98" s="113">
        <f>'Data_in-situ'!EE214</f>
        <v>0.8</v>
      </c>
      <c r="AD98" s="113">
        <f>'Data_in-situ'!EF214</f>
        <v>1.1945115053344215</v>
      </c>
      <c r="AE98" s="46">
        <f>'Data_in-situ'!EG214</f>
        <v>3</v>
      </c>
      <c r="AF98" s="113">
        <f>'Data_in-situ'!EN114</f>
        <v>14</v>
      </c>
      <c r="AG98" s="113">
        <f>'Data_in-situ'!EO114</f>
        <v>5.7049495825181067</v>
      </c>
      <c r="AH98" s="110">
        <f>'Data_in-situ'!EP114</f>
        <v>3</v>
      </c>
      <c r="AI98" s="113">
        <f>'Data_in-situ'!ER114</f>
        <v>-31</v>
      </c>
      <c r="AJ98" s="113">
        <f>'Data_in-situ'!ES114</f>
        <v>7.0312356587850191</v>
      </c>
      <c r="AK98" s="110">
        <f>'Data_in-situ'!ET114</f>
        <v>3</v>
      </c>
    </row>
    <row r="99" spans="2:37" x14ac:dyDescent="0.3">
      <c r="B99" s="24">
        <f>'Data_in-situ'!CA465</f>
        <v>-52030</v>
      </c>
      <c r="C99" s="24">
        <f>'Data_in-situ'!CB465</f>
        <v>12685.458264249761</v>
      </c>
      <c r="D99" s="46">
        <f>'Data_in-situ'!CC465</f>
        <v>1</v>
      </c>
      <c r="E99" s="24">
        <f>'Data_in-situ'!CE465</f>
        <v>-33366.666666666664</v>
      </c>
      <c r="F99" s="24">
        <f>'Data_in-situ'!CF465</f>
        <v>12421.378851336727</v>
      </c>
      <c r="G99" s="46">
        <f>'Data_in-situ'!CG465</f>
        <v>1</v>
      </c>
      <c r="H99" s="24">
        <f>'Data_in-situ'!CN465</f>
        <v>53753.333333333336</v>
      </c>
      <c r="I99" s="24">
        <f>'Data_in-situ'!CO465</f>
        <v>15460.926643325691</v>
      </c>
      <c r="J99" s="46">
        <f>'Data_in-situ'!CP465</f>
        <v>1</v>
      </c>
      <c r="K99" s="24">
        <f>'Data_in-situ'!CR465</f>
        <v>42936.666666666664</v>
      </c>
      <c r="L99" s="24">
        <f>'Data_in-situ'!CS465</f>
        <v>11266.202202016497</v>
      </c>
      <c r="M99" s="46">
        <f>'Data_in-situ'!CT465</f>
        <v>1</v>
      </c>
      <c r="N99" s="24">
        <f>'Data_in-situ'!DA359</f>
        <v>-3003.1418917849933</v>
      </c>
      <c r="O99" s="24">
        <f>'Data_in-situ'!DB359</f>
        <v>9008.3942723581713</v>
      </c>
      <c r="P99" s="46">
        <f>'Data_in-situ'!DC359</f>
        <v>3</v>
      </c>
      <c r="Q99" s="24">
        <f>'Data_in-situ'!DE359</f>
        <v>1252.6406210204286</v>
      </c>
      <c r="R99" s="24">
        <f>'Data_in-situ'!DF359</f>
        <v>1193.9453817727929</v>
      </c>
      <c r="S99" s="46">
        <f>'Data_in-situ'!DG359</f>
        <v>3</v>
      </c>
      <c r="T99" s="113">
        <f>'Data_in-situ'!DN128</f>
        <v>214.33232862768773</v>
      </c>
      <c r="U99" s="113">
        <f>'Data_in-situ'!DO128</f>
        <v>127.05286261842672</v>
      </c>
      <c r="V99" s="46">
        <f>'Data_in-situ'!DP128</f>
        <v>18</v>
      </c>
      <c r="W99" s="113">
        <f>'Data_in-situ'!DR128</f>
        <v>74.807487646490884</v>
      </c>
      <c r="X99" s="113">
        <f>'Data_in-situ'!DS128</f>
        <v>46.844140538456692</v>
      </c>
      <c r="Y99" s="46">
        <f>'Data_in-situ'!DT128</f>
        <v>18</v>
      </c>
      <c r="Z99" s="113">
        <f>'Data_in-situ'!EA215</f>
        <v>0.59306776707157072</v>
      </c>
      <c r="AA99" s="113">
        <f>'Data_in-situ'!EB215</f>
        <v>2.3125422244636824</v>
      </c>
      <c r="AB99" s="46">
        <f>'Data_in-situ'!EC215</f>
        <v>34</v>
      </c>
      <c r="AC99" s="113">
        <f>'Data_in-situ'!EE215</f>
        <v>4.4926884730055843</v>
      </c>
      <c r="AD99" s="113">
        <f>'Data_in-situ'!EF215</f>
        <v>1.7938809583770348</v>
      </c>
      <c r="AE99" s="46">
        <f>'Data_in-situ'!EG215</f>
        <v>12</v>
      </c>
      <c r="AF99" s="113">
        <f>'Data_in-situ'!EN115</f>
        <v>8</v>
      </c>
      <c r="AG99" s="113">
        <f>'Data_in-situ'!EO115</f>
        <v>3.2599711900103467</v>
      </c>
      <c r="AH99" s="110">
        <f>'Data_in-situ'!EP115</f>
        <v>3</v>
      </c>
      <c r="AI99" s="113">
        <f>'Data_in-situ'!ER115</f>
        <v>-30</v>
      </c>
      <c r="AJ99" s="113">
        <f>'Data_in-situ'!ES115</f>
        <v>6.8044216052758255</v>
      </c>
      <c r="AK99" s="110">
        <f>'Data_in-situ'!ET115</f>
        <v>3</v>
      </c>
    </row>
    <row r="100" spans="2:37" x14ac:dyDescent="0.3">
      <c r="B100" s="24">
        <f>'Data_in-situ'!CA466</f>
        <v>-51700</v>
      </c>
      <c r="C100" s="24">
        <f>'Data_in-situ'!CB466</f>
        <v>12605.000812256634</v>
      </c>
      <c r="D100" s="46">
        <f>'Data_in-situ'!CC466</f>
        <v>1</v>
      </c>
      <c r="E100" s="24">
        <f>'Data_in-situ'!CE466</f>
        <v>-15510</v>
      </c>
      <c r="F100" s="24">
        <f>'Data_in-situ'!CF466</f>
        <v>5773.8936858411389</v>
      </c>
      <c r="G100" s="46">
        <f>'Data_in-situ'!CG466</f>
        <v>1</v>
      </c>
      <c r="H100" s="24">
        <f>'Data_in-situ'!CN466</f>
        <v>39196.666666666664</v>
      </c>
      <c r="I100" s="24">
        <f>'Data_in-situ'!CO466</f>
        <v>11274.031774703384</v>
      </c>
      <c r="J100" s="46">
        <f>'Data_in-situ'!CP466</f>
        <v>1</v>
      </c>
      <c r="K100" s="24">
        <f>'Data_in-situ'!CR466</f>
        <v>35236.666666666664</v>
      </c>
      <c r="L100" s="24">
        <f>'Data_in-situ'!CS466</f>
        <v>9245.7901931151609</v>
      </c>
      <c r="M100" s="46">
        <f>'Data_in-situ'!CT466</f>
        <v>1</v>
      </c>
      <c r="N100" s="24">
        <f>'Data_in-situ'!DA396</f>
        <v>-1484.6994535519118</v>
      </c>
      <c r="O100" s="24">
        <f>'Data_in-situ'!DB396</f>
        <v>4453.588453524826</v>
      </c>
      <c r="P100" s="46">
        <f>'Data_in-situ'!DC396</f>
        <v>1</v>
      </c>
      <c r="Q100" s="24">
        <f>'Data_in-situ'!DE396</f>
        <v>390.71038251366002</v>
      </c>
      <c r="R100" s="24">
        <f>'Data_in-situ'!DF396</f>
        <v>372.40278575099637</v>
      </c>
      <c r="S100" s="46">
        <f>'Data_in-situ'!DG396</f>
        <v>1</v>
      </c>
      <c r="T100" s="113">
        <f>'Data_in-situ'!DN129</f>
        <v>214.33232862768773</v>
      </c>
      <c r="U100" s="113">
        <f>'Data_in-situ'!DO129</f>
        <v>127.05286261842672</v>
      </c>
      <c r="V100" s="46">
        <f>'Data_in-situ'!DP129</f>
        <v>18</v>
      </c>
      <c r="W100" s="113">
        <f>'Data_in-situ'!DR129</f>
        <v>3.701330808396313</v>
      </c>
      <c r="X100" s="113">
        <f>'Data_in-situ'!DS129</f>
        <v>11.16614647740138</v>
      </c>
      <c r="Y100" s="46">
        <f>'Data_in-situ'!DT129</f>
        <v>18</v>
      </c>
      <c r="Z100" s="113">
        <f>'Data_in-situ'!EA216</f>
        <v>7.5428571428571428E-2</v>
      </c>
      <c r="AA100" s="113">
        <f>'Data_in-situ'!EB216</f>
        <v>0.15514226519224084</v>
      </c>
      <c r="AB100" s="46">
        <f>'Data_in-situ'!EC216</f>
        <v>3</v>
      </c>
      <c r="AC100" s="113">
        <f>'Data_in-situ'!EE216</f>
        <v>6.4428571428571418E-2</v>
      </c>
      <c r="AD100" s="113">
        <f>'Data_in-situ'!EF216</f>
        <v>0.21502173596819346</v>
      </c>
      <c r="AE100" s="46">
        <f>'Data_in-situ'!EG216</f>
        <v>3</v>
      </c>
      <c r="AF100" s="113">
        <f>'Data_in-situ'!EN116</f>
        <v>55</v>
      </c>
      <c r="AG100" s="113">
        <f>'Data_in-situ'!EO116</f>
        <v>22.412301931321135</v>
      </c>
      <c r="AH100" s="110">
        <f>'Data_in-situ'!EP116</f>
        <v>3</v>
      </c>
      <c r="AI100" s="113">
        <f>'Data_in-situ'!ER116</f>
        <v>-30</v>
      </c>
      <c r="AJ100" s="113">
        <f>'Data_in-situ'!ES116</f>
        <v>6.8044216052758255</v>
      </c>
      <c r="AK100" s="110">
        <f>'Data_in-situ'!ET116</f>
        <v>3</v>
      </c>
    </row>
    <row r="101" spans="2:37" x14ac:dyDescent="0.3">
      <c r="B101" s="24">
        <f>'Data_in-situ'!CA467</f>
        <v>-52030</v>
      </c>
      <c r="C101" s="24">
        <f>'Data_in-situ'!CB467</f>
        <v>12685.458264249761</v>
      </c>
      <c r="D101" s="46">
        <f>'Data_in-situ'!CC467</f>
        <v>1</v>
      </c>
      <c r="E101" s="24">
        <f>'Data_in-situ'!CE467</f>
        <v>-33366.666666666664</v>
      </c>
      <c r="F101" s="24">
        <f>'Data_in-situ'!CF467</f>
        <v>12421.378851336727</v>
      </c>
      <c r="G101" s="46">
        <f>'Data_in-situ'!CG467</f>
        <v>1</v>
      </c>
      <c r="H101" s="24">
        <f>'Data_in-situ'!CN467</f>
        <v>53753.333333333336</v>
      </c>
      <c r="I101" s="24">
        <f>'Data_in-situ'!CO467</f>
        <v>15460.926643325691</v>
      </c>
      <c r="J101" s="46">
        <f>'Data_in-situ'!CP467</f>
        <v>1</v>
      </c>
      <c r="K101" s="24">
        <f>'Data_in-situ'!CR467</f>
        <v>42936.666666666664</v>
      </c>
      <c r="L101" s="24">
        <f>'Data_in-situ'!CS467</f>
        <v>11266.202202016497</v>
      </c>
      <c r="M101" s="46">
        <f>'Data_in-situ'!CT467</f>
        <v>1</v>
      </c>
      <c r="N101" s="24">
        <f>'Data_in-situ'!DA397</f>
        <v>-1316.3934426229509</v>
      </c>
      <c r="O101" s="24">
        <f>'Data_in-situ'!DB397</f>
        <v>3948.7282239754559</v>
      </c>
      <c r="P101" s="46">
        <f>'Data_in-situ'!DC397</f>
        <v>1</v>
      </c>
      <c r="Q101" s="24">
        <f>'Data_in-situ'!DE397</f>
        <v>54.098360655737935</v>
      </c>
      <c r="R101" s="24">
        <f>'Data_in-situ'!DF397</f>
        <v>51.563462642446027</v>
      </c>
      <c r="S101" s="46">
        <f>'Data_in-situ'!DG397</f>
        <v>1</v>
      </c>
      <c r="T101" s="113">
        <f>'Data_in-situ'!DN130</f>
        <v>319.22459108513186</v>
      </c>
      <c r="U101" s="113">
        <f>'Data_in-situ'!DO130</f>
        <v>121.19295255477282</v>
      </c>
      <c r="V101" s="46">
        <f>'Data_in-situ'!DP130</f>
        <v>18</v>
      </c>
      <c r="W101" s="113">
        <f>'Data_in-situ'!DR130</f>
        <v>222.57960625006015</v>
      </c>
      <c r="X101" s="113">
        <f>'Data_in-situ'!DS130</f>
        <v>146.24752567167019</v>
      </c>
      <c r="Y101" s="46">
        <f>'Data_in-situ'!DT130</f>
        <v>18</v>
      </c>
      <c r="Z101" s="113">
        <f>'Data_in-situ'!EA217</f>
        <v>1.3785046728971999</v>
      </c>
      <c r="AA101" s="113">
        <f>'Data_in-situ'!EB217</f>
        <v>1.030159237619066</v>
      </c>
      <c r="AB101" s="46">
        <f>'Data_in-situ'!EC217</f>
        <v>6</v>
      </c>
      <c r="AC101" s="113">
        <f>'Data_in-situ'!EE217</f>
        <v>3.2242990654205603</v>
      </c>
      <c r="AD101" s="113">
        <f>'Data_in-situ'!EF217</f>
        <v>3.548326262910205</v>
      </c>
      <c r="AE101" s="46">
        <f>'Data_in-situ'!EG217</f>
        <v>6</v>
      </c>
      <c r="AF101" s="113">
        <f>'Data_in-situ'!EN117</f>
        <v>45</v>
      </c>
      <c r="AG101" s="113">
        <f>'Data_in-situ'!EO117</f>
        <v>18.337337943808201</v>
      </c>
      <c r="AH101" s="110">
        <f>'Data_in-situ'!EP117</f>
        <v>3</v>
      </c>
      <c r="AI101" s="113">
        <f>'Data_in-situ'!ER117</f>
        <v>-32</v>
      </c>
      <c r="AJ101" s="113">
        <f>'Data_in-situ'!ES117</f>
        <v>7.2580497122942136</v>
      </c>
      <c r="AK101" s="110">
        <f>'Data_in-situ'!ET117</f>
        <v>3</v>
      </c>
    </row>
    <row r="102" spans="2:37" x14ac:dyDescent="0.3">
      <c r="B102" s="24">
        <f>'Data_in-situ'!CA468</f>
        <v>-38630</v>
      </c>
      <c r="C102" s="24">
        <f>'Data_in-situ'!CB468</f>
        <v>9418.3980924076168</v>
      </c>
      <c r="D102" s="46">
        <f>'Data_in-situ'!CC468</f>
        <v>1</v>
      </c>
      <c r="E102" s="24">
        <f>'Data_in-situ'!CE468</f>
        <v>-35990</v>
      </c>
      <c r="F102" s="24">
        <f>'Data_in-situ'!CF468</f>
        <v>880</v>
      </c>
      <c r="G102" s="46">
        <f>'Data_in-situ'!CG468</f>
        <v>1</v>
      </c>
      <c r="H102" s="24">
        <f>'Data_in-situ'!CN468</f>
        <v>37280</v>
      </c>
      <c r="I102" s="24">
        <f>'Data_in-situ'!CO468</f>
        <v>1760</v>
      </c>
      <c r="J102" s="46">
        <f>'Data_in-situ'!CP468</f>
        <v>1</v>
      </c>
      <c r="K102" s="24">
        <f>'Data_in-situ'!CR468</f>
        <v>35670</v>
      </c>
      <c r="L102" s="24">
        <f>'Data_in-situ'!CS468</f>
        <v>670</v>
      </c>
      <c r="M102" s="46">
        <f>'Data_in-situ'!CT468</f>
        <v>1</v>
      </c>
      <c r="N102" s="24">
        <f>'Data_in-situ'!DA398</f>
        <v>-1484.6994535519118</v>
      </c>
      <c r="O102" s="24">
        <f>'Data_in-situ'!DB398</f>
        <v>4453.588453524826</v>
      </c>
      <c r="P102" s="46">
        <f>'Data_in-situ'!DC398</f>
        <v>1</v>
      </c>
      <c r="Q102" s="24">
        <f>'Data_in-situ'!DE398</f>
        <v>847.54098360655883</v>
      </c>
      <c r="R102" s="24">
        <f>'Data_in-situ'!DF398</f>
        <v>807.82758139831913</v>
      </c>
      <c r="S102" s="46">
        <f>'Data_in-situ'!DG398</f>
        <v>1</v>
      </c>
      <c r="T102" s="113">
        <f>'Data_in-situ'!DN131</f>
        <v>319.22459108513186</v>
      </c>
      <c r="U102" s="113">
        <f>'Data_in-situ'!DO131</f>
        <v>121.19295255477282</v>
      </c>
      <c r="V102" s="46">
        <f>'Data_in-situ'!DP131</f>
        <v>18</v>
      </c>
      <c r="W102" s="113">
        <f>'Data_in-situ'!DR131</f>
        <v>5.4661003499523613</v>
      </c>
      <c r="X102" s="113">
        <f>'Data_in-situ'!DS131</f>
        <v>11.395301936593999</v>
      </c>
      <c r="Y102" s="46">
        <f>'Data_in-situ'!DT131</f>
        <v>18</v>
      </c>
      <c r="Z102" s="113">
        <f>'Data_in-situ'!EA218</f>
        <v>1.3785046728971999</v>
      </c>
      <c r="AA102" s="113">
        <f>'Data_in-situ'!EB218</f>
        <v>1.030159237619066</v>
      </c>
      <c r="AB102" s="46">
        <f>'Data_in-situ'!EC218</f>
        <v>6</v>
      </c>
      <c r="AC102" s="113">
        <f>'Data_in-situ'!EE218</f>
        <v>2.8037383177570097</v>
      </c>
      <c r="AD102" s="113">
        <f>'Data_in-situ'!EF218</f>
        <v>2.5181670252910933</v>
      </c>
      <c r="AE102" s="46">
        <f>'Data_in-situ'!EG218</f>
        <v>6</v>
      </c>
      <c r="AF102" s="113">
        <f>'Data_in-situ'!EN118</f>
        <v>37</v>
      </c>
      <c r="AG102" s="113">
        <f>'Data_in-situ'!EO118</f>
        <v>15.077366753797854</v>
      </c>
      <c r="AH102" s="110">
        <f>'Data_in-situ'!EP118</f>
        <v>3</v>
      </c>
      <c r="AI102" s="113">
        <f>'Data_in-situ'!ER118</f>
        <v>-39</v>
      </c>
      <c r="AJ102" s="113">
        <f>'Data_in-situ'!ES118</f>
        <v>8.8457480868585723</v>
      </c>
      <c r="AK102" s="110">
        <f>'Data_in-situ'!ET118</f>
        <v>3</v>
      </c>
    </row>
    <row r="103" spans="2:37" x14ac:dyDescent="0.3">
      <c r="B103" s="24">
        <f>'Data_in-situ'!CA469</f>
        <v>-21404.3</v>
      </c>
      <c r="C103" s="24">
        <f>'Data_in-situ'!CB469</f>
        <v>5218.5922415045388</v>
      </c>
      <c r="D103" s="46">
        <f>'Data_in-situ'!CC469</f>
        <v>1</v>
      </c>
      <c r="E103" s="24">
        <f>'Data_in-situ'!CE469</f>
        <v>-19205.5</v>
      </c>
      <c r="F103" s="24">
        <f>'Data_in-situ'!CF469</f>
        <v>7149.6141317486772</v>
      </c>
      <c r="G103" s="46">
        <f>'Data_in-situ'!CG469</f>
        <v>1</v>
      </c>
      <c r="H103" s="24">
        <f>'Data_in-situ'!CN469</f>
        <v>15413.8</v>
      </c>
      <c r="I103" s="24">
        <f>'Data_in-situ'!CO469</f>
        <v>4433.4298231717758</v>
      </c>
      <c r="J103" s="46">
        <f>'Data_in-situ'!CP469</f>
        <v>1</v>
      </c>
      <c r="K103" s="24">
        <f>'Data_in-situ'!CR469</f>
        <v>13847.5</v>
      </c>
      <c r="L103" s="24">
        <f>'Data_in-situ'!CS469</f>
        <v>3633.4617263975647</v>
      </c>
      <c r="M103" s="46">
        <f>'Data_in-situ'!CT469</f>
        <v>1</v>
      </c>
      <c r="N103" s="24">
        <f>'Data_in-situ'!DA399</f>
        <v>-2037.7049180327876</v>
      </c>
      <c r="O103" s="24">
        <f>'Data_in-situ'!DB399</f>
        <v>6112.4149220442005</v>
      </c>
      <c r="P103" s="46">
        <f>'Data_in-situ'!DC399</f>
        <v>1</v>
      </c>
      <c r="Q103" s="24">
        <f>'Data_in-situ'!DE399</f>
        <v>-571.03825136612102</v>
      </c>
      <c r="R103" s="24">
        <f>'Data_in-situ'!DF399</f>
        <v>544.28099455915094</v>
      </c>
      <c r="S103" s="46">
        <f>'Data_in-situ'!DG399</f>
        <v>1</v>
      </c>
      <c r="T103" s="113">
        <f>'Data_in-situ'!DN132</f>
        <v>440.08296271455015</v>
      </c>
      <c r="U103" s="113">
        <f>'Data_in-situ'!DO132</f>
        <v>113.40347895786114</v>
      </c>
      <c r="V103" s="46">
        <f>'Data_in-situ'!DP132</f>
        <v>21</v>
      </c>
      <c r="W103" s="113">
        <f>'Data_in-situ'!DR132</f>
        <v>251.76858211880577</v>
      </c>
      <c r="X103" s="113">
        <f>'Data_in-situ'!DS132</f>
        <v>162.14335017466513</v>
      </c>
      <c r="Y103" s="46">
        <f>'Data_in-situ'!DT132</f>
        <v>21</v>
      </c>
      <c r="Z103" s="113">
        <f>'Data_in-situ'!EA219</f>
        <v>2.294285714285714</v>
      </c>
      <c r="AA103" s="113">
        <f>'Data_in-situ'!EB219</f>
        <v>0.87097412037749256</v>
      </c>
      <c r="AB103" s="46">
        <f>'Data_in-situ'!EC219</f>
        <v>3</v>
      </c>
      <c r="AC103" s="113">
        <f>'Data_in-situ'!EE219</f>
        <v>2.152857142857143</v>
      </c>
      <c r="AD103" s="113">
        <f>'Data_in-situ'!EF219</f>
        <v>0.81653823785389912</v>
      </c>
      <c r="AE103" s="46">
        <f>'Data_in-situ'!EG219</f>
        <v>3</v>
      </c>
      <c r="AF103" s="113">
        <f>'Data_in-situ'!EN119</f>
        <v>24</v>
      </c>
      <c r="AG103" s="113">
        <f>'Data_in-situ'!EO119</f>
        <v>9.7799135700310398</v>
      </c>
      <c r="AH103" s="110">
        <f>'Data_in-situ'!EP119</f>
        <v>3</v>
      </c>
      <c r="AI103" s="113">
        <f>'Data_in-situ'!ER119</f>
        <v>-36</v>
      </c>
      <c r="AJ103" s="113">
        <f>'Data_in-situ'!ES119</f>
        <v>8.1653059263309906</v>
      </c>
      <c r="AK103" s="110">
        <f>'Data_in-situ'!ET119</f>
        <v>3</v>
      </c>
    </row>
    <row r="104" spans="2:37" x14ac:dyDescent="0.3">
      <c r="N104" s="24">
        <f>'Data_in-situ'!DA400</f>
        <v>30.769259991496654</v>
      </c>
      <c r="O104" s="24">
        <f>'Data_in-situ'!DB400</f>
        <v>92.297212539414176</v>
      </c>
      <c r="P104" s="46">
        <f>'Data_in-situ'!DC400</f>
        <v>1</v>
      </c>
      <c r="Q104" s="24">
        <f>'Data_in-situ'!DE400</f>
        <v>-12.040273178424011</v>
      </c>
      <c r="R104" s="24">
        <f>'Data_in-situ'!DF400</f>
        <v>11.476099621415464</v>
      </c>
      <c r="S104" s="46">
        <f>'Data_in-situ'!DG400</f>
        <v>1</v>
      </c>
      <c r="T104" s="113">
        <f>'Data_in-situ'!DN133</f>
        <v>440.08296271455015</v>
      </c>
      <c r="U104" s="113">
        <f>'Data_in-situ'!DO133</f>
        <v>113.40347895786114</v>
      </c>
      <c r="V104" s="46">
        <f>'Data_in-situ'!DP133</f>
        <v>21</v>
      </c>
      <c r="W104" s="113">
        <f>'Data_in-situ'!DR133</f>
        <v>25.550114778634466</v>
      </c>
      <c r="X104" s="113">
        <f>'Data_in-situ'!DS133</f>
        <v>18.733958929588759</v>
      </c>
      <c r="Y104" s="46">
        <f>'Data_in-situ'!DT133</f>
        <v>21</v>
      </c>
      <c r="Z104" s="113">
        <f>'Data_in-situ'!EA220</f>
        <v>0.3457142857142857</v>
      </c>
      <c r="AA104" s="113">
        <f>'Data_in-situ'!EB220</f>
        <v>0.10887176504718657</v>
      </c>
      <c r="AB104" s="46">
        <f>'Data_in-situ'!EC220</f>
        <v>3</v>
      </c>
      <c r="AC104" s="113">
        <f>'Data_in-situ'!EE220</f>
        <v>0.29857142857142854</v>
      </c>
      <c r="AD104" s="113">
        <f>'Data_in-situ'!EF220</f>
        <v>8.165382378538992E-2</v>
      </c>
      <c r="AE104" s="46">
        <f>'Data_in-situ'!EG220</f>
        <v>3</v>
      </c>
      <c r="AF104" s="113">
        <f>'Data_in-situ'!EN120</f>
        <v>60</v>
      </c>
      <c r="AG104" s="113">
        <f>'Data_in-situ'!EO120</f>
        <v>24.4497839250776</v>
      </c>
      <c r="AH104" s="110">
        <f>'Data_in-situ'!EP120</f>
        <v>3</v>
      </c>
      <c r="AI104" s="113">
        <f>'Data_in-situ'!ER120</f>
        <v>-38</v>
      </c>
      <c r="AJ104" s="113">
        <f>'Data_in-situ'!ES120</f>
        <v>8.6189340333493778</v>
      </c>
      <c r="AK104" s="110">
        <f>'Data_in-situ'!ET120</f>
        <v>3</v>
      </c>
    </row>
    <row r="105" spans="2:37" x14ac:dyDescent="0.3">
      <c r="N105" s="24">
        <f>'Data_in-situ'!DA401</f>
        <v>-9.9734758901814473</v>
      </c>
      <c r="O105" s="24">
        <f>'Data_in-situ'!DB401</f>
        <v>29.917002366881579</v>
      </c>
      <c r="P105" s="46">
        <f>'Data_in-situ'!DC401</f>
        <v>1</v>
      </c>
      <c r="Q105" s="24">
        <f>'Data_in-situ'!DE401</f>
        <v>19.352622941849745</v>
      </c>
      <c r="R105" s="24">
        <f>'Data_in-situ'!DF401</f>
        <v>18.445813107824229</v>
      </c>
      <c r="S105" s="46">
        <f>'Data_in-situ'!DG401</f>
        <v>1</v>
      </c>
      <c r="T105" s="113">
        <f>'Data_in-situ'!DN134</f>
        <v>3.1</v>
      </c>
      <c r="U105" s="113">
        <f>'Data_in-situ'!DO134</f>
        <v>0.1</v>
      </c>
      <c r="V105" s="46">
        <f>'Data_in-situ'!DP134</f>
        <v>3</v>
      </c>
      <c r="W105" s="113">
        <f>'Data_in-situ'!DR134</f>
        <v>-2.8100000000000005</v>
      </c>
      <c r="X105" s="113">
        <f>'Data_in-situ'!DS134</f>
        <v>0.1</v>
      </c>
      <c r="Y105" s="46">
        <f>'Data_in-situ'!DT134</f>
        <v>3</v>
      </c>
      <c r="Z105" s="113">
        <f>'Data_in-situ'!EA221</f>
        <v>1.1800914940670852</v>
      </c>
      <c r="AA105" s="113">
        <f>'Data_in-situ'!EB221</f>
        <v>0.73618285714285703</v>
      </c>
      <c r="AB105" s="46">
        <f>'Data_in-situ'!EC221</f>
        <v>2</v>
      </c>
      <c r="AC105" s="113">
        <f>'Data_in-situ'!EE221</f>
        <v>0.9163634502292034</v>
      </c>
      <c r="AD105" s="113">
        <f>'Data_in-situ'!EF221</f>
        <v>0.55673828571428574</v>
      </c>
      <c r="AE105" s="46">
        <f>'Data_in-situ'!EG221</f>
        <v>6</v>
      </c>
      <c r="AF105" s="113">
        <f>'Data_in-situ'!EN121</f>
        <v>41</v>
      </c>
      <c r="AG105" s="113">
        <f>'Data_in-situ'!EO121</f>
        <v>16.707352348803028</v>
      </c>
      <c r="AH105" s="110">
        <f>'Data_in-situ'!EP121</f>
        <v>3</v>
      </c>
      <c r="AI105" s="113">
        <f>'Data_in-situ'!ER121</f>
        <v>-31</v>
      </c>
      <c r="AJ105" s="113">
        <f>'Data_in-situ'!ES121</f>
        <v>7.0312356587850191</v>
      </c>
      <c r="AK105" s="110">
        <f>'Data_in-situ'!ET121</f>
        <v>3</v>
      </c>
    </row>
    <row r="106" spans="2:37" x14ac:dyDescent="0.3">
      <c r="N106" s="24">
        <f>'Data_in-situ'!DA402</f>
        <v>-18.763353277697291</v>
      </c>
      <c r="O106" s="24">
        <f>'Data_in-situ'!DB402</f>
        <v>56.283615722391104</v>
      </c>
      <c r="P106" s="46">
        <f>'Data_in-situ'!DC402</f>
        <v>1</v>
      </c>
      <c r="Q106" s="24">
        <f>'Data_in-situ'!DE402</f>
        <v>-6.8429322993331425</v>
      </c>
      <c r="R106" s="24">
        <f>'Data_in-situ'!DF402</f>
        <v>6.5222916129904451</v>
      </c>
      <c r="S106" s="46">
        <f>'Data_in-situ'!DG402</f>
        <v>1</v>
      </c>
      <c r="T106" s="113">
        <f>'Data_in-situ'!DN135</f>
        <v>106</v>
      </c>
      <c r="U106" s="113">
        <f>'Data_in-situ'!DO135</f>
        <v>76.556645694544372</v>
      </c>
      <c r="V106" s="46">
        <f>'Data_in-situ'!DP135</f>
        <v>3</v>
      </c>
      <c r="W106" s="113">
        <f>'Data_in-situ'!DR135</f>
        <v>1</v>
      </c>
      <c r="X106" s="113">
        <f>'Data_in-situ'!DS135</f>
        <v>2.0784609690826525</v>
      </c>
      <c r="Y106" s="46">
        <f>'Data_in-situ'!DT135</f>
        <v>3</v>
      </c>
      <c r="Z106" s="113">
        <f>'Data_in-situ'!EA250</f>
        <v>4.7842000883736189E-3</v>
      </c>
      <c r="AA106" s="113">
        <f>'Data_in-situ'!EB250</f>
        <v>5.7651671572041305E-2</v>
      </c>
      <c r="AB106" s="46">
        <f>'Data_in-situ'!EC250</f>
        <v>3</v>
      </c>
      <c r="AC106" s="113">
        <f>'Data_in-situ'!EE250</f>
        <v>2.8668507573783328</v>
      </c>
      <c r="AD106" s="113">
        <f>'Data_in-situ'!EF250</f>
        <v>1.8611493473177243</v>
      </c>
      <c r="AE106" s="46">
        <f>'Data_in-situ'!EG250</f>
        <v>3</v>
      </c>
      <c r="AF106" s="113">
        <f>'Data_in-situ'!EN122</f>
        <v>65</v>
      </c>
      <c r="AG106" s="113">
        <f>'Data_in-situ'!EO122</f>
        <v>26.487265918834066</v>
      </c>
      <c r="AH106" s="110">
        <f>'Data_in-situ'!EP122</f>
        <v>3</v>
      </c>
      <c r="AI106" s="113">
        <f>'Data_in-situ'!ER122</f>
        <v>-38</v>
      </c>
      <c r="AJ106" s="113">
        <f>'Data_in-situ'!ES122</f>
        <v>8.6189340333493778</v>
      </c>
      <c r="AK106" s="110">
        <f>'Data_in-situ'!ET122</f>
        <v>3</v>
      </c>
    </row>
    <row r="107" spans="2:37" x14ac:dyDescent="0.3">
      <c r="N107" s="24">
        <f>'Data_in-situ'!DA403</f>
        <v>-23.457057300377045</v>
      </c>
      <c r="O107" s="24">
        <f>'Data_in-situ'!DB403</f>
        <v>70.363115778554274</v>
      </c>
      <c r="P107" s="46">
        <f>'Data_in-situ'!DC403</f>
        <v>1</v>
      </c>
      <c r="Q107" s="24">
        <f>'Data_in-situ'!DE403</f>
        <v>24.206191269977069</v>
      </c>
      <c r="R107" s="24">
        <f>'Data_in-situ'!DF403</f>
        <v>23.071956786420301</v>
      </c>
      <c r="S107" s="46">
        <f>'Data_in-situ'!DG403</f>
        <v>1</v>
      </c>
      <c r="T107" s="113">
        <f>'Data_in-situ'!DN136</f>
        <v>122</v>
      </c>
      <c r="U107" s="113">
        <f>'Data_in-situ'!DO136</f>
        <v>57.850496972800492</v>
      </c>
      <c r="V107" s="46">
        <f>'Data_in-situ'!DP136</f>
        <v>3</v>
      </c>
      <c r="W107" s="113">
        <f>'Data_in-situ'!DR136</f>
        <v>0</v>
      </c>
      <c r="X107" s="113">
        <f>'Data_in-situ'!DS136</f>
        <v>2.4248711305964279</v>
      </c>
      <c r="Y107" s="46">
        <f>'Data_in-situ'!DT136</f>
        <v>3</v>
      </c>
      <c r="Z107" s="113">
        <f>'Data_in-situ'!EA251</f>
        <v>2.9121217929230725E-2</v>
      </c>
      <c r="AA107" s="113">
        <f>'Data_in-situ'!EB251</f>
        <v>6.8659445106331193E-2</v>
      </c>
      <c r="AB107" s="46">
        <f>'Data_in-situ'!EC251</f>
        <v>3</v>
      </c>
      <c r="AC107" s="113">
        <f>'Data_in-situ'!EE251</f>
        <v>0.10511786110387221</v>
      </c>
      <c r="AD107" s="113">
        <f>'Data_in-situ'!EF251</f>
        <v>0.10740648717807684</v>
      </c>
      <c r="AE107" s="46">
        <f>'Data_in-situ'!EG251</f>
        <v>3</v>
      </c>
      <c r="AF107" s="113">
        <f>'Data_in-situ'!EN123</f>
        <v>50</v>
      </c>
      <c r="AG107" s="113">
        <f>'Data_in-situ'!EO123</f>
        <v>20.374819937564666</v>
      </c>
      <c r="AH107" s="110">
        <f>'Data_in-situ'!EP123</f>
        <v>3</v>
      </c>
      <c r="AI107" s="113">
        <f>'Data_in-situ'!ER123</f>
        <v>-34</v>
      </c>
      <c r="AJ107" s="113">
        <f>'Data_in-situ'!ES123</f>
        <v>7.7116778193126017</v>
      </c>
      <c r="AK107" s="110">
        <f>'Data_in-situ'!ET123</f>
        <v>3</v>
      </c>
    </row>
    <row r="108" spans="2:37" x14ac:dyDescent="0.3">
      <c r="N108" s="24">
        <f>'Data_in-situ'!DA404</f>
        <v>-17.240747700053362</v>
      </c>
      <c r="O108" s="24">
        <f>'Data_in-situ'!DB404</f>
        <v>1.8994060532667709</v>
      </c>
      <c r="P108" s="46">
        <f>'Data_in-situ'!DC404</f>
        <v>4</v>
      </c>
      <c r="Q108" s="24">
        <f>'Data_in-situ'!DE404</f>
        <v>-533.77396104632658</v>
      </c>
      <c r="R108" s="24">
        <f>'Data_in-situ'!DF404</f>
        <v>650.20080041312121</v>
      </c>
      <c r="S108" s="46">
        <f>'Data_in-situ'!DG404</f>
        <v>4</v>
      </c>
      <c r="T108" s="113">
        <f>'Data_in-situ'!DN137</f>
        <v>106</v>
      </c>
      <c r="U108" s="113">
        <f>'Data_in-situ'!DO137</f>
        <v>76.556645694544372</v>
      </c>
      <c r="V108" s="46">
        <f>'Data_in-situ'!DP137</f>
        <v>3</v>
      </c>
      <c r="W108" s="113">
        <f>'Data_in-situ'!DR137</f>
        <v>4</v>
      </c>
      <c r="X108" s="113">
        <f>'Data_in-situ'!DS137</f>
        <v>4.1569219381653051</v>
      </c>
      <c r="Y108" s="46">
        <f>'Data_in-situ'!DT137</f>
        <v>3</v>
      </c>
      <c r="Z108" s="113">
        <f>'Data_in-situ'!EA254</f>
        <v>1.9797330692495084E-2</v>
      </c>
      <c r="AA108" s="113">
        <f>'Data_in-situ'!EB254</f>
        <v>9.4097353220211316E-2</v>
      </c>
      <c r="AB108" s="46">
        <f>'Data_in-situ'!EC254</f>
        <v>3</v>
      </c>
      <c r="AC108" s="113">
        <f>'Data_in-situ'!EE254</f>
        <v>2.4487558815364012E-2</v>
      </c>
      <c r="AD108" s="113">
        <f>'Data_in-situ'!EF254</f>
        <v>5.089541115262039E-2</v>
      </c>
      <c r="AE108" s="46">
        <f>'Data_in-situ'!EG254</f>
        <v>3</v>
      </c>
      <c r="AF108" s="113">
        <f>'Data_in-situ'!EN124</f>
        <v>15</v>
      </c>
      <c r="AG108" s="113">
        <f>'Data_in-situ'!EO124</f>
        <v>6.1124459812694001</v>
      </c>
      <c r="AH108" s="110">
        <f>'Data_in-situ'!EP124</f>
        <v>3</v>
      </c>
      <c r="AI108" s="113">
        <f>'Data_in-situ'!ER124</f>
        <v>-35</v>
      </c>
      <c r="AJ108" s="113">
        <f>'Data_in-situ'!ES124</f>
        <v>7.9384918728217961</v>
      </c>
      <c r="AK108" s="110">
        <f>'Data_in-situ'!ET124</f>
        <v>3</v>
      </c>
    </row>
    <row r="109" spans="2:37" x14ac:dyDescent="0.3">
      <c r="N109" s="24">
        <f>'Data_in-situ'!DA405</f>
        <v>-585.95990229422614</v>
      </c>
      <c r="O109" s="24">
        <f>'Data_in-situ'!DB405</f>
        <v>247.14424390137435</v>
      </c>
      <c r="P109" s="46">
        <f>'Data_in-situ'!DC405</f>
        <v>4</v>
      </c>
      <c r="Q109" s="24">
        <f>'Data_in-situ'!DE405</f>
        <v>-566.79323953657467</v>
      </c>
      <c r="R109" s="24">
        <f>'Data_in-situ'!DF405</f>
        <v>690.43890345404782</v>
      </c>
      <c r="S109" s="46">
        <f>'Data_in-situ'!DG405</f>
        <v>4</v>
      </c>
      <c r="T109" s="113">
        <f>'Data_in-situ'!DN138</f>
        <v>122</v>
      </c>
      <c r="U109" s="113">
        <f>'Data_in-situ'!DO138</f>
        <v>57.850496972800492</v>
      </c>
      <c r="V109" s="46">
        <f>'Data_in-situ'!DP138</f>
        <v>3</v>
      </c>
      <c r="W109" s="113">
        <f>'Data_in-situ'!DR138</f>
        <v>5</v>
      </c>
      <c r="X109" s="113">
        <f>'Data_in-situ'!DS138</f>
        <v>6.9282032302755088</v>
      </c>
      <c r="Y109" s="46">
        <f>'Data_in-situ'!DT138</f>
        <v>3</v>
      </c>
      <c r="Z109" s="113">
        <f>'Data_in-situ'!EA255</f>
        <v>-0.1060571287097951</v>
      </c>
      <c r="AA109" s="113">
        <f>'Data_in-situ'!EB255</f>
        <v>0.28407129566600942</v>
      </c>
      <c r="AB109" s="46">
        <f>'Data_in-situ'!EC255</f>
        <v>3</v>
      </c>
      <c r="AC109" s="113">
        <f>'Data_in-situ'!EE255</f>
        <v>-1.1798551065584481E-2</v>
      </c>
      <c r="AD109" s="113">
        <f>'Data_in-situ'!EF255</f>
        <v>4.6464249030440392E-2</v>
      </c>
      <c r="AE109" s="46">
        <f>'Data_in-situ'!EG255</f>
        <v>3</v>
      </c>
      <c r="AF109" s="113">
        <f>'Data_in-situ'!EN125</f>
        <v>17</v>
      </c>
      <c r="AG109" s="113">
        <f>'Data_in-situ'!EO125</f>
        <v>6.9274387787719869</v>
      </c>
      <c r="AH109" s="110">
        <f>'Data_in-situ'!EP125</f>
        <v>3</v>
      </c>
      <c r="AI109" s="113">
        <f>'Data_in-situ'!ER125</f>
        <v>-37</v>
      </c>
      <c r="AJ109" s="113">
        <f>'Data_in-situ'!ES125</f>
        <v>8.3921199798401851</v>
      </c>
      <c r="AK109" s="110">
        <f>'Data_in-situ'!ET125</f>
        <v>3</v>
      </c>
    </row>
    <row r="110" spans="2:37" x14ac:dyDescent="0.3">
      <c r="N110" s="24">
        <f>'Data_in-situ'!DA406</f>
        <v>-195.7496632813195</v>
      </c>
      <c r="O110" s="24">
        <f>'Data_in-situ'!DB406</f>
        <v>14.333494088181441</v>
      </c>
      <c r="P110" s="46">
        <f>'Data_in-situ'!DC406</f>
        <v>4</v>
      </c>
      <c r="Q110" s="24">
        <f>'Data_in-situ'!DE406</f>
        <v>-1293.4601988576735</v>
      </c>
      <c r="R110" s="24">
        <f>'Data_in-situ'!DF406</f>
        <v>1575.5989774270381</v>
      </c>
      <c r="S110" s="46">
        <f>'Data_in-situ'!DG406</f>
        <v>4</v>
      </c>
      <c r="T110" s="113">
        <f>'Data_in-situ'!DN139</f>
        <v>106</v>
      </c>
      <c r="U110" s="113">
        <f>'Data_in-situ'!DO139</f>
        <v>76.556645694544372</v>
      </c>
      <c r="V110" s="46">
        <f>'Data_in-situ'!DP139</f>
        <v>3</v>
      </c>
      <c r="W110" s="113">
        <f>'Data_in-situ'!DR139</f>
        <v>5</v>
      </c>
      <c r="X110" s="113">
        <f>'Data_in-situ'!DS139</f>
        <v>3.2908965343808667</v>
      </c>
      <c r="Y110" s="46">
        <f>'Data_in-situ'!DT139</f>
        <v>3</v>
      </c>
      <c r="Z110" s="113">
        <f>'Data_in-situ'!EA256</f>
        <v>-4.2277844422856668E-2</v>
      </c>
      <c r="AA110" s="113">
        <f>'Data_in-situ'!EB256</f>
        <v>0.1213395789758789</v>
      </c>
      <c r="AB110" s="46">
        <f>'Data_in-situ'!EC256</f>
        <v>3</v>
      </c>
      <c r="AC110" s="113">
        <f>'Data_in-situ'!EE256</f>
        <v>4.8975117630728024E-2</v>
      </c>
      <c r="AD110" s="113">
        <f>'Data_in-situ'!EF256</f>
        <v>0.13610077440950419</v>
      </c>
      <c r="AE110" s="46">
        <f>'Data_in-situ'!EG256</f>
        <v>3</v>
      </c>
      <c r="AF110" s="113">
        <f>'Data_in-situ'!EN126</f>
        <v>43</v>
      </c>
      <c r="AG110" s="113">
        <f>'Data_in-situ'!EO126</f>
        <v>17.522345146305614</v>
      </c>
      <c r="AH110" s="110">
        <f>'Data_in-situ'!EP126</f>
        <v>3</v>
      </c>
      <c r="AI110" s="113">
        <f>'Data_in-situ'!ER126</f>
        <v>-31</v>
      </c>
      <c r="AJ110" s="113">
        <f>'Data_in-situ'!ES126</f>
        <v>7.0312356587850191</v>
      </c>
      <c r="AK110" s="110">
        <f>'Data_in-situ'!ET126</f>
        <v>3</v>
      </c>
    </row>
    <row r="111" spans="2:37" x14ac:dyDescent="0.3">
      <c r="N111" s="24">
        <f>'Data_in-situ'!DA407</f>
        <v>-774.06267220291306</v>
      </c>
      <c r="O111" s="24">
        <f>'Data_in-situ'!DB407</f>
        <v>326.74240251044733</v>
      </c>
      <c r="P111" s="46">
        <f>'Data_in-situ'!DC407</f>
        <v>4</v>
      </c>
      <c r="Q111" s="24">
        <f>'Data_in-situ'!DE407</f>
        <v>-1399.9605866010202</v>
      </c>
      <c r="R111" s="24">
        <f>'Data_in-situ'!DF407</f>
        <v>96.005553517597278</v>
      </c>
      <c r="S111" s="46">
        <f>'Data_in-situ'!DG407</f>
        <v>4</v>
      </c>
      <c r="T111" s="113">
        <f>'Data_in-situ'!DN140</f>
        <v>122</v>
      </c>
      <c r="U111" s="113">
        <f>'Data_in-situ'!DO140</f>
        <v>57.850496972800492</v>
      </c>
      <c r="V111" s="46">
        <f>'Data_in-situ'!DP140</f>
        <v>3</v>
      </c>
      <c r="W111" s="113">
        <f>'Data_in-situ'!DR140</f>
        <v>16</v>
      </c>
      <c r="X111" s="113">
        <f>'Data_in-situ'!DS140</f>
        <v>12.297560733739028</v>
      </c>
      <c r="Y111" s="46">
        <f>'Data_in-situ'!DT140</f>
        <v>3</v>
      </c>
      <c r="Z111" s="113">
        <f>'Data_in-situ'!EA257</f>
        <v>-4.2422851483918042E-3</v>
      </c>
      <c r="AA111" s="113">
        <f>'Data_in-situ'!EB257</f>
        <v>0.15345744896774013</v>
      </c>
      <c r="AB111" s="46">
        <f>'Data_in-situ'!EC257</f>
        <v>3</v>
      </c>
      <c r="AC111" s="113">
        <f>'Data_in-situ'!EE257</f>
        <v>0.11130708552438189</v>
      </c>
      <c r="AD111" s="113">
        <f>'Data_in-situ'!EF257</f>
        <v>0.10440008400553796</v>
      </c>
      <c r="AE111" s="46">
        <f>'Data_in-situ'!EG257</f>
        <v>3</v>
      </c>
      <c r="AF111" s="113">
        <f>'Data_in-situ'!EN127</f>
        <v>40</v>
      </c>
      <c r="AG111" s="113">
        <f>'Data_in-situ'!EO127</f>
        <v>16.299855950051732</v>
      </c>
      <c r="AH111" s="110">
        <f>'Data_in-situ'!EP127</f>
        <v>3</v>
      </c>
      <c r="AI111" s="113">
        <f>'Data_in-situ'!ER127</f>
        <v>-30</v>
      </c>
      <c r="AJ111" s="113">
        <f>'Data_in-situ'!ES127</f>
        <v>6.8044216052758255</v>
      </c>
      <c r="AK111" s="110">
        <f>'Data_in-situ'!ET127</f>
        <v>3</v>
      </c>
    </row>
    <row r="112" spans="2:37" x14ac:dyDescent="0.3">
      <c r="N112" s="24">
        <f>'Data_in-situ'!DA408</f>
        <v>-401.69898954302357</v>
      </c>
      <c r="O112" s="24">
        <f>'Data_in-situ'!DB408</f>
        <v>32.172723320258399</v>
      </c>
      <c r="P112" s="46">
        <f>'Data_in-situ'!DC408</f>
        <v>4</v>
      </c>
      <c r="Q112" s="24">
        <f>'Data_in-situ'!DE408</f>
        <v>-352.51588580313341</v>
      </c>
      <c r="R112" s="24">
        <f>'Data_in-situ'!DF408</f>
        <v>429.43708601551509</v>
      </c>
      <c r="S112" s="46">
        <f>'Data_in-situ'!DG408</f>
        <v>4</v>
      </c>
      <c r="T112" s="113">
        <f>'Data_in-situ'!DN141</f>
        <v>51</v>
      </c>
      <c r="U112" s="113">
        <f>'Data_in-situ'!DO141</f>
        <v>61.031958841249725</v>
      </c>
      <c r="V112" s="46">
        <f>'Data_in-situ'!DP141</f>
        <v>3</v>
      </c>
      <c r="W112" s="113">
        <f>'Data_in-situ'!DR141</f>
        <v>5</v>
      </c>
      <c r="X112" s="113">
        <f>'Data_in-situ'!DS141</f>
        <v>6.008327554319921</v>
      </c>
      <c r="Y112" s="46">
        <f>'Data_in-situ'!DT141</f>
        <v>10</v>
      </c>
      <c r="Z112" s="113">
        <f>'Data_in-situ'!EA258</f>
        <v>-5.3028564354897549E-2</v>
      </c>
      <c r="AA112" s="113">
        <f>'Data_in-situ'!EB258</f>
        <v>0.14435421348527655</v>
      </c>
      <c r="AB112" s="46">
        <f>'Data_in-situ'!EC258</f>
        <v>3</v>
      </c>
      <c r="AC112" s="113">
        <f>'Data_in-situ'!EE258</f>
        <v>-7.5688818156579678E-3</v>
      </c>
      <c r="AD112" s="113">
        <f>'Data_in-situ'!EF258</f>
        <v>3.6346822857934974E-2</v>
      </c>
      <c r="AE112" s="46">
        <f>'Data_in-situ'!EG258</f>
        <v>3</v>
      </c>
      <c r="AF112" s="113">
        <f>'Data_in-situ'!EN128</f>
        <v>-7.08</v>
      </c>
      <c r="AG112" s="113">
        <f>'Data_in-situ'!EO128</f>
        <v>2.8850745031591569</v>
      </c>
      <c r="AH112" s="110">
        <f>'Data_in-situ'!EP128</f>
        <v>18</v>
      </c>
      <c r="AI112" s="113">
        <f>'Data_in-situ'!ER128</f>
        <v>-15.22</v>
      </c>
      <c r="AJ112" s="113">
        <f>'Data_in-situ'!ES128</f>
        <v>3.4521098944099355</v>
      </c>
      <c r="AK112" s="110">
        <f>'Data_in-situ'!ET128</f>
        <v>18</v>
      </c>
    </row>
    <row r="113" spans="14:37" x14ac:dyDescent="0.3">
      <c r="N113" s="24">
        <f>'Data_in-situ'!DA412</f>
        <v>-1222.9909445995581</v>
      </c>
      <c r="O113" s="24">
        <f>'Data_in-situ'!DB412</f>
        <v>291.56979829815799</v>
      </c>
      <c r="P113" s="46">
        <f>'Data_in-situ'!DC412</f>
        <v>3</v>
      </c>
      <c r="Q113" s="24">
        <f>'Data_in-situ'!DE412</f>
        <v>953.91152591835998</v>
      </c>
      <c r="R113" s="24">
        <f>'Data_in-situ'!DF412</f>
        <v>1166.1567239388746</v>
      </c>
      <c r="S113" s="46">
        <f>'Data_in-situ'!DG412</f>
        <v>3</v>
      </c>
      <c r="T113" s="113">
        <f>'Data_in-situ'!DN142</f>
        <v>101</v>
      </c>
      <c r="U113" s="113">
        <f>'Data_in-situ'!DO142</f>
        <v>133.44811725910563</v>
      </c>
      <c r="V113" s="46">
        <f>'Data_in-situ'!DP142</f>
        <v>3</v>
      </c>
      <c r="W113" s="113">
        <f>'Data_in-situ'!DR142</f>
        <v>13</v>
      </c>
      <c r="X113" s="113">
        <f>'Data_in-situ'!DS142</f>
        <v>25.93067681338071</v>
      </c>
      <c r="Y113" s="46">
        <f>'Data_in-situ'!DT142</f>
        <v>10</v>
      </c>
      <c r="Z113" s="113">
        <f>'Data_in-situ'!EA259</f>
        <v>-2.1211425741959021E-3</v>
      </c>
      <c r="AA113" s="113">
        <f>'Data_in-situ'!EB259</f>
        <v>0.11034884630218306</v>
      </c>
      <c r="AB113" s="46">
        <f>'Data_in-situ'!EC259</f>
        <v>3</v>
      </c>
      <c r="AC113" s="113">
        <f>'Data_in-situ'!EE259</f>
        <v>6.0105826183166223E-3</v>
      </c>
      <c r="AD113" s="113">
        <f>'Data_in-situ'!EF259</f>
        <v>5.4024465971174704E-2</v>
      </c>
      <c r="AE113" s="46">
        <f>'Data_in-situ'!EG259</f>
        <v>3</v>
      </c>
      <c r="AF113" s="113">
        <f>'Data_in-situ'!EN129</f>
        <v>-7.08</v>
      </c>
      <c r="AG113" s="113">
        <f>'Data_in-situ'!EO129</f>
        <v>2.8850745031591569</v>
      </c>
      <c r="AH113" s="110">
        <f>'Data_in-situ'!EP129</f>
        <v>18</v>
      </c>
      <c r="AI113" s="113">
        <f>'Data_in-situ'!ER129</f>
        <v>-36.11</v>
      </c>
      <c r="AJ113" s="113">
        <f>'Data_in-situ'!ES129</f>
        <v>8.190255472217002</v>
      </c>
      <c r="AK113" s="110">
        <f>'Data_in-situ'!ET129</f>
        <v>18</v>
      </c>
    </row>
    <row r="114" spans="14:37" x14ac:dyDescent="0.3">
      <c r="N114" s="24">
        <f>'Data_in-situ'!DA413</f>
        <v>-1089.4376152325895</v>
      </c>
      <c r="O114" s="24">
        <f>'Data_in-situ'!DB413</f>
        <v>396.38137595921512</v>
      </c>
      <c r="P114" s="46">
        <f>'Data_in-situ'!DC413</f>
        <v>3</v>
      </c>
      <c r="Q114" s="24">
        <f>'Data_in-situ'!DE413</f>
        <v>518.32053666534375</v>
      </c>
      <c r="R114" s="24">
        <f>'Data_in-situ'!DF413</f>
        <v>639.04094931753639</v>
      </c>
      <c r="S114" s="46">
        <f>'Data_in-situ'!DG413</f>
        <v>3</v>
      </c>
      <c r="T114" s="113">
        <f>'Data_in-situ'!DN143</f>
        <v>51</v>
      </c>
      <c r="U114" s="113">
        <f>'Data_in-situ'!DO143</f>
        <v>61.031958841249725</v>
      </c>
      <c r="V114" s="46">
        <f>'Data_in-situ'!DP143</f>
        <v>3</v>
      </c>
      <c r="W114" s="113">
        <f>'Data_in-situ'!DR143</f>
        <v>1</v>
      </c>
      <c r="X114" s="113">
        <f>'Data_in-situ'!DS143</f>
        <v>5.6920997883030831</v>
      </c>
      <c r="Y114" s="46">
        <f>'Data_in-situ'!DT143</f>
        <v>10</v>
      </c>
      <c r="Z114" s="113">
        <f>'Data_in-situ'!EA260</f>
        <v>4.7842000883736184E-2</v>
      </c>
      <c r="AA114" s="113">
        <f>'Data_in-situ'!EB260</f>
        <v>4.4106351316338478E-2</v>
      </c>
      <c r="AB114" s="46">
        <f>'Data_in-situ'!EC260</f>
        <v>3</v>
      </c>
      <c r="AC114" s="113">
        <f>'Data_in-situ'!EE260</f>
        <v>0.82820132990929607</v>
      </c>
      <c r="AD114" s="113">
        <f>'Data_in-situ'!EF260</f>
        <v>0.5966246705874263</v>
      </c>
      <c r="AE114" s="46">
        <f>'Data_in-situ'!EG260</f>
        <v>3</v>
      </c>
      <c r="AF114" s="113">
        <f>'Data_in-situ'!EN130</f>
        <v>-12.04</v>
      </c>
      <c r="AG114" s="113">
        <f>'Data_in-situ'!EO130</f>
        <v>4.9062566409655712</v>
      </c>
      <c r="AH114" s="110">
        <f>'Data_in-situ'!EP130</f>
        <v>18</v>
      </c>
      <c r="AI114" s="113">
        <f>'Data_in-situ'!ER130</f>
        <v>-15.22</v>
      </c>
      <c r="AJ114" s="113">
        <f>'Data_in-situ'!ES130</f>
        <v>3.4521098944099355</v>
      </c>
      <c r="AK114" s="110">
        <f>'Data_in-situ'!ET130</f>
        <v>18</v>
      </c>
    </row>
    <row r="115" spans="14:37" x14ac:dyDescent="0.3">
      <c r="N115" s="24">
        <f>'Data_in-situ'!DA415</f>
        <v>-6415.3169641181039</v>
      </c>
      <c r="O115" s="24">
        <f>'Data_in-situ'!DB415</f>
        <v>6104.4403947098008</v>
      </c>
      <c r="P115" s="46">
        <f>'Data_in-situ'!DC415</f>
        <v>3</v>
      </c>
      <c r="Q115" s="24">
        <f>'Data_in-situ'!DE415</f>
        <v>1392.8418193801579</v>
      </c>
      <c r="R115" s="24">
        <f>'Data_in-situ'!DF415</f>
        <v>1342.1923247123252</v>
      </c>
      <c r="S115" s="46">
        <f>'Data_in-situ'!DG415</f>
        <v>3</v>
      </c>
      <c r="T115" s="113">
        <f>'Data_in-situ'!DN144</f>
        <v>101</v>
      </c>
      <c r="U115" s="113">
        <f>'Data_in-situ'!DO144</f>
        <v>133.44811725910563</v>
      </c>
      <c r="V115" s="46">
        <f>'Data_in-situ'!DP144</f>
        <v>3</v>
      </c>
      <c r="W115" s="113">
        <f>'Data_in-situ'!DR144</f>
        <v>17</v>
      </c>
      <c r="X115" s="113">
        <f>'Data_in-situ'!DS144</f>
        <v>24.981993515330199</v>
      </c>
      <c r="Y115" s="46">
        <f>'Data_in-situ'!DT144</f>
        <v>10</v>
      </c>
      <c r="Z115" s="113">
        <f>'Data_in-situ'!EA261</f>
        <v>0.27041130934285673</v>
      </c>
      <c r="AA115" s="113">
        <f>'Data_in-situ'!EB261</f>
        <v>0.17637490766446459</v>
      </c>
      <c r="AB115" s="46">
        <f>'Data_in-situ'!EC261</f>
        <v>3</v>
      </c>
      <c r="AC115" s="113">
        <f>'Data_in-situ'!EE261</f>
        <v>1.0193247137345183</v>
      </c>
      <c r="AD115" s="113">
        <f>'Data_in-situ'!EF261</f>
        <v>0.85363748658627392</v>
      </c>
      <c r="AE115" s="46">
        <f>'Data_in-situ'!EG261</f>
        <v>3</v>
      </c>
      <c r="AF115" s="113">
        <f>'Data_in-situ'!EN131</f>
        <v>-12.04</v>
      </c>
      <c r="AG115" s="113">
        <f>'Data_in-situ'!EO131</f>
        <v>4.9062566409655712</v>
      </c>
      <c r="AH115" s="110">
        <f>'Data_in-situ'!EP131</f>
        <v>18</v>
      </c>
      <c r="AI115" s="113">
        <f>'Data_in-situ'!ER131</f>
        <v>-24.07</v>
      </c>
      <c r="AJ115" s="113">
        <f>'Data_in-situ'!ES131</f>
        <v>5.459414267966304</v>
      </c>
      <c r="AK115" s="110">
        <f>'Data_in-situ'!ET131</f>
        <v>18</v>
      </c>
    </row>
    <row r="116" spans="14:37" x14ac:dyDescent="0.3">
      <c r="N116" s="24">
        <f>'Data_in-situ'!DA416</f>
        <v>-988.3974549743225</v>
      </c>
      <c r="O116" s="24">
        <f>'Data_in-situ'!DB416</f>
        <v>1706.6543556486708</v>
      </c>
      <c r="P116" s="46">
        <f>'Data_in-situ'!DC416</f>
        <v>5</v>
      </c>
      <c r="Q116" s="24">
        <f>'Data_in-situ'!DE416</f>
        <v>-341.0829809255074</v>
      </c>
      <c r="R116" s="24">
        <f>'Data_in-situ'!DF416</f>
        <v>4448.7121943333168</v>
      </c>
      <c r="S116" s="46">
        <f>'Data_in-situ'!DG416</f>
        <v>5</v>
      </c>
      <c r="T116" s="113">
        <f>'Data_in-situ'!DN145</f>
        <v>244.12367999999998</v>
      </c>
      <c r="U116" s="113">
        <f>'Data_in-situ'!DO145</f>
        <v>272.16843482550502</v>
      </c>
      <c r="V116" s="46">
        <f>'Data_in-situ'!DP145</f>
        <v>4</v>
      </c>
      <c r="W116" s="113">
        <f>'Data_in-situ'!DR145</f>
        <v>190.38399999999999</v>
      </c>
      <c r="X116" s="113">
        <f>'Data_in-situ'!DS145</f>
        <v>711.50618703703014</v>
      </c>
      <c r="Y116" s="46">
        <f>'Data_in-situ'!DT145</f>
        <v>6</v>
      </c>
      <c r="Z116" s="113">
        <f>'Data_in-situ'!EA264</f>
        <v>8.484570296783607E-2</v>
      </c>
      <c r="AA116" s="113">
        <f>'Data_in-situ'!EB264</f>
        <v>0.23150687644726506</v>
      </c>
      <c r="AB116" s="46">
        <f>'Data_in-situ'!EC264</f>
        <v>3</v>
      </c>
      <c r="AC116" s="113">
        <f>'Data_in-situ'!EE264</f>
        <v>0.16473448657608519</v>
      </c>
      <c r="AD116" s="113">
        <f>'Data_in-situ'!EF264</f>
        <v>0.18337619194833357</v>
      </c>
      <c r="AE116" s="46">
        <f>'Data_in-situ'!EG264</f>
        <v>3</v>
      </c>
      <c r="AF116" s="113">
        <f>'Data_in-situ'!EN132</f>
        <v>-4.96</v>
      </c>
      <c r="AG116" s="113">
        <f>'Data_in-situ'!EO132</f>
        <v>2.0211821378064148</v>
      </c>
      <c r="AH116" s="110">
        <f>'Data_in-situ'!EP132</f>
        <v>21</v>
      </c>
      <c r="AI116" s="113">
        <f>'Data_in-situ'!ER132</f>
        <v>-10.09</v>
      </c>
      <c r="AJ116" s="113">
        <f>'Data_in-situ'!ES132</f>
        <v>2.2885537999077692</v>
      </c>
      <c r="AK116" s="110">
        <f>'Data_in-situ'!ET132</f>
        <v>21</v>
      </c>
    </row>
    <row r="117" spans="14:37" x14ac:dyDescent="0.3">
      <c r="N117" s="24">
        <f>'Data_in-situ'!DA417</f>
        <v>327.32294156592525</v>
      </c>
      <c r="O117" s="24">
        <f>'Data_in-situ'!DB417</f>
        <v>2944.1256851527319</v>
      </c>
      <c r="P117" s="46">
        <f>'Data_in-situ'!DC417</f>
        <v>5</v>
      </c>
      <c r="Q117" s="24">
        <f>'Data_in-situ'!DE417</f>
        <v>857.98044612392005</v>
      </c>
      <c r="R117" s="24">
        <f>'Data_in-situ'!DF417</f>
        <v>5173.2804359476186</v>
      </c>
      <c r="S117" s="46">
        <f>'Data_in-situ'!DG417</f>
        <v>5</v>
      </c>
      <c r="T117" s="113">
        <f>'Data_in-situ'!DN146</f>
        <v>244.12367999999998</v>
      </c>
      <c r="U117" s="113">
        <f>'Data_in-situ'!DO146</f>
        <v>272.16843482550502</v>
      </c>
      <c r="V117" s="46">
        <f>'Data_in-situ'!DP146</f>
        <v>4</v>
      </c>
      <c r="W117" s="113">
        <f>'Data_in-situ'!DR146</f>
        <v>6.7043200000000001</v>
      </c>
      <c r="X117" s="113">
        <f>'Data_in-situ'!DS146</f>
        <v>25.055493948420573</v>
      </c>
      <c r="Y117" s="46">
        <f>'Data_in-situ'!DT146</f>
        <v>6</v>
      </c>
      <c r="Z117" s="113">
        <f>'Data_in-situ'!EA265</f>
        <v>7.7775227720516399E-2</v>
      </c>
      <c r="AA117" s="113">
        <f>'Data_in-situ'!EB265</f>
        <v>0.21037856459857804</v>
      </c>
      <c r="AB117" s="46">
        <f>'Data_in-situ'!EC265</f>
        <v>3</v>
      </c>
      <c r="AC117" s="113">
        <f>'Data_in-situ'!EE265</f>
        <v>4.0070550788777477E-2</v>
      </c>
      <c r="AD117" s="113">
        <f>'Data_in-situ'!EF265</f>
        <v>1.5796303365028162E-2</v>
      </c>
      <c r="AE117" s="46">
        <f>'Data_in-situ'!EG265</f>
        <v>3</v>
      </c>
      <c r="AF117" s="113">
        <f>'Data_in-situ'!EN133</f>
        <v>-4.96</v>
      </c>
      <c r="AG117" s="113">
        <f>'Data_in-situ'!EO133</f>
        <v>2.0211821378064148</v>
      </c>
      <c r="AH117" s="110">
        <f>'Data_in-situ'!EP133</f>
        <v>21</v>
      </c>
      <c r="AI117" s="113">
        <f>'Data_in-situ'!ER133</f>
        <v>-14.16</v>
      </c>
      <c r="AJ117" s="113">
        <f>'Data_in-situ'!ES133</f>
        <v>3.2116869976901894</v>
      </c>
      <c r="AK117" s="110">
        <f>'Data_in-situ'!ET133</f>
        <v>21</v>
      </c>
    </row>
    <row r="118" spans="14:37" x14ac:dyDescent="0.3">
      <c r="N118" s="24">
        <f>'Data_in-situ'!DA418</f>
        <v>-7040</v>
      </c>
      <c r="O118" s="24">
        <f>'Data_in-situ'!DB418</f>
        <v>1650</v>
      </c>
      <c r="P118" s="46">
        <f>'Data_in-situ'!DC418</f>
        <v>1</v>
      </c>
      <c r="Q118" s="24">
        <f>'Data_in-situ'!DE418</f>
        <v>-3226.666666666667</v>
      </c>
      <c r="R118" s="24">
        <f>'Data_in-situ'!DF418</f>
        <v>953.33333333333326</v>
      </c>
      <c r="S118" s="46">
        <f>'Data_in-situ'!DG418</f>
        <v>1</v>
      </c>
      <c r="T118" s="113">
        <f>'Data_in-situ'!DN147</f>
        <v>66.3</v>
      </c>
      <c r="U118" s="113">
        <f>'Data_in-situ'!DO147</f>
        <v>102</v>
      </c>
      <c r="V118" s="46">
        <f>'Data_in-situ'!DP147</f>
        <v>14</v>
      </c>
      <c r="W118" s="113">
        <f>'Data_in-situ'!DR147</f>
        <v>5.0999999999999996</v>
      </c>
      <c r="X118" s="113">
        <f>'Data_in-situ'!DS147</f>
        <v>30.6</v>
      </c>
      <c r="Y118" s="46">
        <f>'Data_in-situ'!DT147</f>
        <v>40</v>
      </c>
      <c r="Z118" s="113">
        <f>'Data_in-situ'!EA266</f>
        <v>8.3674900420237147E-2</v>
      </c>
      <c r="AA118" s="113">
        <f>'Data_in-situ'!EB266</f>
        <v>0.22267558913078545</v>
      </c>
      <c r="AB118" s="46">
        <f>'Data_in-situ'!EC266</f>
        <v>3</v>
      </c>
      <c r="AC118" s="113">
        <f>'Data_in-situ'!EE266</f>
        <v>0.1068548021034066</v>
      </c>
      <c r="AD118" s="113">
        <f>'Data_in-situ'!EF266</f>
        <v>0.12190903765819365</v>
      </c>
      <c r="AE118" s="46">
        <f>'Data_in-situ'!EG266</f>
        <v>3</v>
      </c>
      <c r="AF118" s="113">
        <f>'Data_in-situ'!EN134</f>
        <v>-24.4</v>
      </c>
      <c r="AG118" s="113">
        <f>'Data_in-situ'!EO134</f>
        <v>23.902301144450508</v>
      </c>
      <c r="AH118" s="110">
        <f>'Data_in-situ'!EP134</f>
        <v>3</v>
      </c>
      <c r="AI118" s="113">
        <f>'Data_in-situ'!ER134</f>
        <v>-57.4</v>
      </c>
      <c r="AJ118" s="113">
        <f>'Data_in-situ'!ES134</f>
        <v>28.405633244129582</v>
      </c>
      <c r="AK118" s="110">
        <f>'Data_in-situ'!ET134</f>
        <v>3</v>
      </c>
    </row>
    <row r="119" spans="14:37" x14ac:dyDescent="0.3">
      <c r="N119" s="24">
        <f>'Data_in-situ'!DA419</f>
        <v>-7846.6666666666661</v>
      </c>
      <c r="O119" s="24">
        <f>'Data_in-situ'!DB419</f>
        <v>1466.6666666666665</v>
      </c>
      <c r="P119" s="46">
        <f>'Data_in-situ'!DC419</f>
        <v>1</v>
      </c>
      <c r="Q119" s="24">
        <f>'Data_in-situ'!DE419</f>
        <v>-1870</v>
      </c>
      <c r="R119" s="24">
        <f>'Data_in-situ'!DF419</f>
        <v>1283.3333333333335</v>
      </c>
      <c r="S119" s="46">
        <f>'Data_in-situ'!DG419</f>
        <v>1</v>
      </c>
      <c r="T119" s="113">
        <f>'Data_in-situ'!DN148</f>
        <v>178.6</v>
      </c>
      <c r="U119" s="113">
        <f>'Data_in-situ'!DO148</f>
        <v>265.3</v>
      </c>
      <c r="V119" s="46">
        <f>'Data_in-situ'!DP148</f>
        <v>39</v>
      </c>
      <c r="W119" s="113">
        <f>'Data_in-situ'!DR148</f>
        <v>5.0999999999999996</v>
      </c>
      <c r="X119" s="113">
        <f>'Data_in-situ'!DS148</f>
        <v>30.6</v>
      </c>
      <c r="Y119" s="46">
        <f>'Data_in-situ'!DT148</f>
        <v>40</v>
      </c>
      <c r="Z119" s="113">
        <f>'Data_in-situ'!EA268</f>
        <v>-1.2019807920443442E-2</v>
      </c>
      <c r="AA119" s="113">
        <f>'Data_in-situ'!EB268</f>
        <v>6.5123648236046217E-2</v>
      </c>
      <c r="AB119" s="46">
        <f>'Data_in-situ'!EC268</f>
        <v>3</v>
      </c>
      <c r="AC119" s="113">
        <f>'Data_in-situ'!EE268</f>
        <v>2.8939842236339292E-2</v>
      </c>
      <c r="AD119" s="113">
        <f>'Data_in-situ'!EF268</f>
        <v>6.2567123803824801E-2</v>
      </c>
      <c r="AE119" s="46">
        <f>'Data_in-situ'!EG268</f>
        <v>3</v>
      </c>
      <c r="AF119" s="113">
        <f>'Data_in-situ'!EN135</f>
        <v>-6.8927332639611532</v>
      </c>
      <c r="AG119" s="113">
        <f>'Data_in-situ'!EO135</f>
        <v>1.3328157064282187</v>
      </c>
      <c r="AH119" s="110">
        <f>'Data_in-situ'!EP135</f>
        <v>3</v>
      </c>
      <c r="AI119" s="113">
        <f>'Data_in-situ'!ER135</f>
        <v>-25.764809902740932</v>
      </c>
      <c r="AJ119" s="113">
        <f>'Data_in-situ'!ES135</f>
        <v>2.3806323207959159</v>
      </c>
      <c r="AK119" s="110">
        <f>'Data_in-situ'!ET135</f>
        <v>3</v>
      </c>
    </row>
    <row r="120" spans="14:37" x14ac:dyDescent="0.3">
      <c r="N120" s="24">
        <f>'Data_in-situ'!DA420</f>
        <v>-655.74999999999989</v>
      </c>
      <c r="O120" s="24">
        <f>'Data_in-situ'!DB420</f>
        <v>1124.8403001463512</v>
      </c>
      <c r="P120" s="46">
        <f>'Data_in-situ'!DC420</f>
        <v>3</v>
      </c>
      <c r="Q120" s="24">
        <f>'Data_in-situ'!DE420</f>
        <v>13852.474999999999</v>
      </c>
      <c r="R120" s="24">
        <f>'Data_in-situ'!DF420</f>
        <v>8765.263715525527</v>
      </c>
      <c r="S120" s="46">
        <f>'Data_in-situ'!DG420</f>
        <v>3</v>
      </c>
      <c r="T120" s="113">
        <f>'Data_in-situ'!DN149</f>
        <v>122.44999999999999</v>
      </c>
      <c r="U120" s="113">
        <f>'Data_in-situ'!DO149</f>
        <v>142.11622884104406</v>
      </c>
      <c r="V120" s="46">
        <f>'Data_in-situ'!DP149</f>
        <v>39</v>
      </c>
      <c r="W120" s="113">
        <f>'Data_in-situ'!DR149</f>
        <v>0.51</v>
      </c>
      <c r="X120" s="113">
        <f>'Data_in-situ'!DS149</f>
        <v>1.02</v>
      </c>
      <c r="Y120" s="46">
        <f>'Data_in-situ'!DT149</f>
        <v>10</v>
      </c>
      <c r="Z120" s="113">
        <f>'Data_in-situ'!EA393</f>
        <v>5.8770295611265379E-2</v>
      </c>
      <c r="AA120" s="113">
        <f>'Data_in-situ'!EB393</f>
        <v>0.33792784700702894</v>
      </c>
      <c r="AB120" s="46">
        <f>'Data_in-situ'!EC393</f>
        <v>3</v>
      </c>
      <c r="AC120" s="113">
        <f>'Data_in-situ'!EE393</f>
        <v>6.9833384230864909E-2</v>
      </c>
      <c r="AD120" s="113">
        <f>'Data_in-situ'!EF393</f>
        <v>0.10427097615025936</v>
      </c>
      <c r="AE120" s="46">
        <f>'Data_in-situ'!EG393</f>
        <v>3</v>
      </c>
      <c r="AF120" s="113">
        <f>'Data_in-situ'!EN136</f>
        <v>-7.2545662413056524</v>
      </c>
      <c r="AG120" s="113">
        <f>'Data_in-situ'!EO136</f>
        <v>1.3531236339616048</v>
      </c>
      <c r="AH120" s="110">
        <f>'Data_in-situ'!EP136</f>
        <v>3</v>
      </c>
      <c r="AI120" s="113">
        <f>'Data_in-situ'!ER136</f>
        <v>-28.596491228070171</v>
      </c>
      <c r="AJ120" s="113">
        <f>'Data_in-situ'!ES136</f>
        <v>2.2785559654849021</v>
      </c>
      <c r="AK120" s="110">
        <f>'Data_in-situ'!ET136</f>
        <v>3</v>
      </c>
    </row>
    <row r="121" spans="14:37" x14ac:dyDescent="0.3">
      <c r="N121" s="24">
        <f>'Data_in-situ'!DA421</f>
        <v>-388.52499999999998</v>
      </c>
      <c r="O121" s="24">
        <f>'Data_in-situ'!DB421</f>
        <v>1170.5952194111908</v>
      </c>
      <c r="P121" s="46">
        <f>'Data_in-situ'!DC421</f>
        <v>3</v>
      </c>
      <c r="Q121" s="24">
        <f>'Data_in-situ'!DE421</f>
        <v>10594.25</v>
      </c>
      <c r="R121" s="24">
        <f>'Data_in-situ'!DF421</f>
        <v>5864.6849566565243</v>
      </c>
      <c r="S121" s="46">
        <f>'Data_in-situ'!DG421</f>
        <v>3</v>
      </c>
      <c r="T121" s="113">
        <f>'Data_in-situ'!DN150</f>
        <v>122.44999999999999</v>
      </c>
      <c r="U121" s="113">
        <f>'Data_in-situ'!DO150</f>
        <v>142.11622884104406</v>
      </c>
      <c r="V121" s="46">
        <f>'Data_in-situ'!DP150</f>
        <v>39</v>
      </c>
      <c r="W121" s="113">
        <f>'Data_in-situ'!DR150</f>
        <v>-0.51</v>
      </c>
      <c r="X121" s="113">
        <f>'Data_in-situ'!DS150</f>
        <v>2.04</v>
      </c>
      <c r="Y121" s="46">
        <f>'Data_in-situ'!DT150</f>
        <v>5</v>
      </c>
      <c r="Z121" s="113">
        <f>'Data_in-situ'!EA410</f>
        <v>0.97428571428571431</v>
      </c>
      <c r="AA121" s="113">
        <f>'Data_in-situ'!EB410</f>
        <v>0.17285714285714285</v>
      </c>
      <c r="AB121" s="46">
        <f>'Data_in-situ'!EC410</f>
        <v>4</v>
      </c>
      <c r="AC121" s="113">
        <f>'Data_in-situ'!EE410</f>
        <v>11.157142857142857</v>
      </c>
      <c r="AD121" s="113">
        <f>'Data_in-situ'!EF410</f>
        <v>1.8857142857142857</v>
      </c>
      <c r="AE121" s="46">
        <f>'Data_in-situ'!EG410</f>
        <v>4</v>
      </c>
      <c r="AF121" s="113">
        <f>'Data_in-situ'!EN137</f>
        <v>-6.8927332639611532</v>
      </c>
      <c r="AG121" s="113">
        <f>'Data_in-situ'!EO137</f>
        <v>1.3328157064282187</v>
      </c>
      <c r="AH121" s="110">
        <f>'Data_in-situ'!EP137</f>
        <v>3</v>
      </c>
      <c r="AI121" s="113">
        <f>'Data_in-situ'!ER137</f>
        <v>-20.420000000000002</v>
      </c>
      <c r="AJ121" s="113">
        <f>'Data_in-situ'!ES137</f>
        <v>3.03</v>
      </c>
      <c r="AK121" s="110">
        <f>'Data_in-situ'!ET137</f>
        <v>3</v>
      </c>
    </row>
    <row r="122" spans="14:37" x14ac:dyDescent="0.3">
      <c r="N122" s="24">
        <f>'Data_in-situ'!DA422</f>
        <v>-1372.9750000000001</v>
      </c>
      <c r="O122" s="24">
        <f>'Data_in-situ'!DB422</f>
        <v>924.10220135094733</v>
      </c>
      <c r="P122" s="46">
        <f>'Data_in-situ'!DC422</f>
        <v>3</v>
      </c>
      <c r="Q122" s="24">
        <f>'Data_in-situ'!DE422</f>
        <v>9692.625</v>
      </c>
      <c r="R122" s="24">
        <f>'Data_in-situ'!DF422</f>
        <v>5495.0505473296917</v>
      </c>
      <c r="S122" s="46">
        <f>'Data_in-situ'!DG422</f>
        <v>3</v>
      </c>
      <c r="T122" s="113">
        <f>'Data_in-situ'!DN151</f>
        <v>122.44999999999999</v>
      </c>
      <c r="U122" s="113">
        <f>'Data_in-situ'!DO151</f>
        <v>142.11622884104406</v>
      </c>
      <c r="V122" s="46">
        <f>'Data_in-situ'!DP151</f>
        <v>39</v>
      </c>
      <c r="W122" s="113">
        <f>'Data_in-situ'!DR151</f>
        <v>1.02</v>
      </c>
      <c r="X122" s="113">
        <f>'Data_in-situ'!DS151</f>
        <v>4.08</v>
      </c>
      <c r="Y122" s="46">
        <f>'Data_in-situ'!DT151</f>
        <v>16</v>
      </c>
      <c r="Z122" s="113">
        <f>'Data_in-situ'!EA411</f>
        <v>6.9142857142857155</v>
      </c>
      <c r="AA122" s="113">
        <f>'Data_in-situ'!EB411</f>
        <v>1.8857142857142857</v>
      </c>
      <c r="AB122" s="46">
        <f>'Data_in-situ'!EC411</f>
        <v>4</v>
      </c>
      <c r="AC122" s="113">
        <f>'Data_in-situ'!EE411</f>
        <v>36.142857142857146</v>
      </c>
      <c r="AD122" s="113">
        <f>'Data_in-situ'!EF411</f>
        <v>15.400000000000002</v>
      </c>
      <c r="AE122" s="46">
        <f>'Data_in-situ'!EG411</f>
        <v>4</v>
      </c>
      <c r="AF122" s="113">
        <f>'Data_in-situ'!EN138</f>
        <v>-7.2545662413056524</v>
      </c>
      <c r="AG122" s="113">
        <f>'Data_in-situ'!EO138</f>
        <v>1.3531236339616048</v>
      </c>
      <c r="AH122" s="110">
        <f>'Data_in-situ'!EP138</f>
        <v>3</v>
      </c>
      <c r="AI122" s="113">
        <f>'Data_in-situ'!ER138</f>
        <v>-22.46</v>
      </c>
      <c r="AJ122" s="113">
        <f>'Data_in-situ'!ES138</f>
        <v>2.21</v>
      </c>
      <c r="AK122" s="110">
        <f>'Data_in-situ'!ET138</f>
        <v>3</v>
      </c>
    </row>
    <row r="123" spans="14:37" x14ac:dyDescent="0.3">
      <c r="N123" s="24">
        <f>'Data_in-situ'!DA423</f>
        <v>-1372.9750000000001</v>
      </c>
      <c r="O123" s="24">
        <f>'Data_in-situ'!DB423</f>
        <v>924.10220135094733</v>
      </c>
      <c r="P123" s="46">
        <f>'Data_in-situ'!DC423</f>
        <v>3</v>
      </c>
      <c r="Q123" s="24">
        <f>'Data_in-situ'!DE423</f>
        <v>17704.899999999998</v>
      </c>
      <c r="R123" s="24">
        <f>'Data_in-situ'!DF423</f>
        <v>3753.2231304129346</v>
      </c>
      <c r="S123" s="46">
        <f>'Data_in-situ'!DG423</f>
        <v>3</v>
      </c>
      <c r="T123" s="113">
        <f>'Data_in-situ'!DN152</f>
        <v>38.133333333333333</v>
      </c>
      <c r="U123" s="113">
        <f>'Data_in-situ'!DO152</f>
        <v>12.933333333333332</v>
      </c>
      <c r="V123" s="46">
        <f>'Data_in-situ'!DP152</f>
        <v>8</v>
      </c>
      <c r="W123" s="113">
        <f>'Data_in-situ'!DR152</f>
        <v>4.9333333333333336</v>
      </c>
      <c r="X123" s="113">
        <f>'Data_in-situ'!DS152</f>
        <v>2.5333333333333332</v>
      </c>
      <c r="Y123" s="46">
        <f>'Data_in-situ'!DT152</f>
        <v>7</v>
      </c>
      <c r="Z123" s="113">
        <f>'Data_in-situ'!EA420</f>
        <v>0.17500000000000002</v>
      </c>
      <c r="AA123" s="113">
        <f>'Data_in-situ'!EB420</f>
        <v>6.6645830077107365E-2</v>
      </c>
      <c r="AB123" s="46">
        <f>'Data_in-situ'!EC420</f>
        <v>3</v>
      </c>
      <c r="AC123" s="113">
        <f>'Data_in-situ'!EE420</f>
        <v>3.8644999999999996</v>
      </c>
      <c r="AD123" s="113">
        <f>'Data_in-situ'!EF420</f>
        <v>2.343140076194052</v>
      </c>
      <c r="AE123" s="46">
        <f>'Data_in-situ'!EG420</f>
        <v>3</v>
      </c>
      <c r="AF123" s="113">
        <f>'Data_in-situ'!EN139</f>
        <v>-6.8927332639611532</v>
      </c>
      <c r="AG123" s="113">
        <f>'Data_in-situ'!EO139</f>
        <v>1.3328157064282187</v>
      </c>
      <c r="AH123" s="110">
        <f>'Data_in-situ'!EP139</f>
        <v>3</v>
      </c>
      <c r="AI123" s="113">
        <f>'Data_in-situ'!ER139</f>
        <v>-16.070318436140084</v>
      </c>
      <c r="AJ123" s="113">
        <f>'Data_in-situ'!ES139</f>
        <v>1.1726469643872839</v>
      </c>
      <c r="AK123" s="110">
        <f>'Data_in-situ'!ET139</f>
        <v>3</v>
      </c>
    </row>
    <row r="124" spans="14:37" x14ac:dyDescent="0.3">
      <c r="N124" s="24">
        <f>'Data_in-situ'!DA424</f>
        <v>81.850000000000023</v>
      </c>
      <c r="O124" s="24">
        <f>'Data_in-situ'!DB424</f>
        <v>1631.6723826083066</v>
      </c>
      <c r="P124" s="46">
        <f>'Data_in-situ'!DC424</f>
        <v>3</v>
      </c>
      <c r="Q124" s="24">
        <f>'Data_in-situ'!DE424</f>
        <v>9282.7649999999994</v>
      </c>
      <c r="R124" s="24">
        <f>'Data_in-situ'!DF424</f>
        <v>6092.1653911731855</v>
      </c>
      <c r="S124" s="46">
        <f>'Data_in-situ'!DG424</f>
        <v>3</v>
      </c>
      <c r="T124" s="113">
        <f>'Data_in-situ'!DN153</f>
        <v>38.133333333333333</v>
      </c>
      <c r="U124" s="113">
        <f>'Data_in-situ'!DO153</f>
        <v>12.933333333333332</v>
      </c>
      <c r="V124" s="46">
        <f>'Data_in-situ'!DP153</f>
        <v>8</v>
      </c>
      <c r="W124" s="113">
        <f>'Data_in-situ'!DR153</f>
        <v>6.9333333333333336</v>
      </c>
      <c r="X124" s="113">
        <f>'Data_in-situ'!DS153</f>
        <v>6.8</v>
      </c>
      <c r="Y124" s="46">
        <f>'Data_in-situ'!DT153</f>
        <v>5</v>
      </c>
      <c r="Z124" s="113">
        <f>'Data_in-situ'!EA421</f>
        <v>0.81500000000000006</v>
      </c>
      <c r="AA124" s="113">
        <f>'Data_in-situ'!EB421</f>
        <v>0.72028350899720972</v>
      </c>
      <c r="AB124" s="46">
        <f>'Data_in-situ'!EC421</f>
        <v>3</v>
      </c>
      <c r="AC124" s="113">
        <f>'Data_in-situ'!EE421</f>
        <v>5.5957499999999989</v>
      </c>
      <c r="AD124" s="113">
        <f>'Data_in-situ'!EF421</f>
        <v>4.4151157143197661</v>
      </c>
      <c r="AE124" s="46">
        <f>'Data_in-situ'!EG421</f>
        <v>3</v>
      </c>
      <c r="AF124" s="113">
        <f>'Data_in-situ'!EN140</f>
        <v>-7.2545662413056524</v>
      </c>
      <c r="AG124" s="113">
        <f>'Data_in-situ'!EO140</f>
        <v>1.3531236339616048</v>
      </c>
      <c r="AH124" s="110">
        <f>'Data_in-situ'!EP140</f>
        <v>3</v>
      </c>
      <c r="AI124" s="113">
        <f>'Data_in-situ'!ER140</f>
        <v>-18.404147413501633</v>
      </c>
      <c r="AJ124" s="113">
        <f>'Data_in-situ'!ES140</f>
        <v>1.4652840768454194</v>
      </c>
      <c r="AK124" s="110">
        <f>'Data_in-situ'!ET140</f>
        <v>3</v>
      </c>
    </row>
    <row r="125" spans="14:37" x14ac:dyDescent="0.3">
      <c r="N125" s="24">
        <f>'Data_in-situ'!DA425</f>
        <v>-983.60000000000014</v>
      </c>
      <c r="O125" s="24">
        <f>'Data_in-situ'!DB425</f>
        <v>94.627709120179674</v>
      </c>
      <c r="P125" s="46">
        <f>'Data_in-situ'!DC425</f>
        <v>3</v>
      </c>
      <c r="Q125" s="24">
        <f>'Data_in-situ'!DE425</f>
        <v>8811.4750000000004</v>
      </c>
      <c r="R125" s="24">
        <f>'Data_in-situ'!DF425</f>
        <v>5873.9289174885607</v>
      </c>
      <c r="S125" s="46">
        <f>'Data_in-situ'!DG425</f>
        <v>3</v>
      </c>
      <c r="T125" s="113">
        <f>'Data_in-situ'!DN154</f>
        <v>38.133333333333333</v>
      </c>
      <c r="U125" s="113">
        <f>'Data_in-situ'!DO154</f>
        <v>12.933333333333332</v>
      </c>
      <c r="V125" s="46">
        <f>'Data_in-situ'!DP154</f>
        <v>8</v>
      </c>
      <c r="W125" s="113">
        <f>'Data_in-situ'!DR154</f>
        <v>-0.26666666666666666</v>
      </c>
      <c r="X125" s="113">
        <f>'Data_in-situ'!DS154</f>
        <v>0.9965910119016026</v>
      </c>
      <c r="Y125" s="46">
        <f>'Data_in-situ'!DT154</f>
        <v>1</v>
      </c>
      <c r="Z125" s="113">
        <f>'Data_in-situ'!EA424</f>
        <v>5.5000000000000014E-3</v>
      </c>
      <c r="AA125" s="113">
        <f>'Data_in-situ'!EB424</f>
        <v>3.892835299196034E-2</v>
      </c>
      <c r="AB125" s="46">
        <f>'Data_in-situ'!EC424</f>
        <v>3</v>
      </c>
      <c r="AC125" s="113">
        <f>'Data_in-situ'!EE424</f>
        <v>0.55899999999999994</v>
      </c>
      <c r="AD125" s="113">
        <f>'Data_in-situ'!EF424</f>
        <v>0.83462586428491037</v>
      </c>
      <c r="AE125" s="46">
        <f>'Data_in-situ'!EG424</f>
        <v>3</v>
      </c>
      <c r="AF125" s="113">
        <f>'Data_in-situ'!EN141</f>
        <v>-0.59</v>
      </c>
      <c r="AG125" s="113">
        <f>'Data_in-situ'!EO141</f>
        <v>1.75</v>
      </c>
      <c r="AH125" s="110">
        <f>'Data_in-situ'!EP141</f>
        <v>4</v>
      </c>
      <c r="AI125" s="113">
        <f>'Data_in-situ'!ER141</f>
        <v>-18.989999999999998</v>
      </c>
      <c r="AJ125" s="113">
        <f>'Data_in-situ'!ES141</f>
        <v>2.77</v>
      </c>
      <c r="AK125" s="110">
        <f>'Data_in-situ'!ET141</f>
        <v>4</v>
      </c>
    </row>
    <row r="126" spans="14:37" x14ac:dyDescent="0.3">
      <c r="N126" s="24">
        <f>'Data_in-situ'!DA432</f>
        <v>-80</v>
      </c>
      <c r="O126" s="24">
        <f>'Data_in-situ'!DB432</f>
        <v>2009.1789367798974</v>
      </c>
      <c r="P126" s="46">
        <f>'Data_in-situ'!DC432</f>
        <v>3</v>
      </c>
      <c r="Q126" s="24">
        <f>'Data_in-situ'!DE432</f>
        <v>4580</v>
      </c>
      <c r="R126" s="24">
        <f>'Data_in-situ'!DF432</f>
        <v>4416.7295593006365</v>
      </c>
      <c r="S126" s="46">
        <f>'Data_in-situ'!DG432</f>
        <v>3</v>
      </c>
      <c r="T126" s="113">
        <f>'Data_in-situ'!DN155</f>
        <v>38.133333333333333</v>
      </c>
      <c r="U126" s="113">
        <f>'Data_in-situ'!DO155</f>
        <v>12.933333333333332</v>
      </c>
      <c r="V126" s="46">
        <f>'Data_in-situ'!DP155</f>
        <v>8</v>
      </c>
      <c r="W126" s="113">
        <f>'Data_in-situ'!DR155</f>
        <v>2.6666666666666665</v>
      </c>
      <c r="X126" s="113">
        <f>'Data_in-situ'!DS155</f>
        <v>3.6</v>
      </c>
      <c r="Y126" s="46">
        <f>'Data_in-situ'!DT155</f>
        <v>5</v>
      </c>
      <c r="Z126" s="113">
        <f>'Data_in-situ'!EA432</f>
        <v>0.14142857142857143</v>
      </c>
      <c r="AA126" s="113">
        <f>'Data_in-situ'!EB432</f>
        <v>0.29939735387976307</v>
      </c>
      <c r="AB126" s="46">
        <f>'Data_in-situ'!EC432</f>
        <v>3</v>
      </c>
      <c r="AC126" s="113">
        <f>'Data_in-situ'!EE432</f>
        <v>1.8071428571428574</v>
      </c>
      <c r="AD126" s="113">
        <f>'Data_in-situ'!EF432</f>
        <v>2.1229994184201382</v>
      </c>
      <c r="AE126" s="46">
        <f>'Data_in-situ'!EG432</f>
        <v>3</v>
      </c>
      <c r="AF126" s="113">
        <f>'Data_in-situ'!EN142</f>
        <v>-2.0499999999999998</v>
      </c>
      <c r="AG126" s="113">
        <f>'Data_in-situ'!EO142</f>
        <v>1.38</v>
      </c>
      <c r="AH126" s="110">
        <f>'Data_in-situ'!EP142</f>
        <v>4</v>
      </c>
      <c r="AI126" s="113">
        <f>'Data_in-situ'!ER142</f>
        <v>-16.7</v>
      </c>
      <c r="AJ126" s="113">
        <f>'Data_in-situ'!ES142</f>
        <v>1.42</v>
      </c>
      <c r="AK126" s="110">
        <f>'Data_in-situ'!ET142</f>
        <v>4</v>
      </c>
    </row>
    <row r="127" spans="14:37" x14ac:dyDescent="0.3">
      <c r="N127" s="24">
        <f>'Data_in-situ'!DA433</f>
        <v>-1270</v>
      </c>
      <c r="O127" s="24">
        <f>'Data_in-situ'!DB433</f>
        <v>1593.4867429633669</v>
      </c>
      <c r="P127" s="46">
        <f>'Data_in-situ'!DC433</f>
        <v>3</v>
      </c>
      <c r="Q127" s="24">
        <f>'Data_in-situ'!DE433</f>
        <v>4820</v>
      </c>
      <c r="R127" s="24">
        <f>'Data_in-situ'!DF433</f>
        <v>4122.2809220139279</v>
      </c>
      <c r="S127" s="46">
        <f>'Data_in-situ'!DG433</f>
        <v>3</v>
      </c>
      <c r="T127" s="113">
        <f>'Data_in-situ'!DN156</f>
        <v>34.884300000000003</v>
      </c>
      <c r="U127" s="113">
        <f>'Data_in-situ'!DO156</f>
        <v>2.7604911899877527</v>
      </c>
      <c r="V127" s="46">
        <f>'Data_in-situ'!DP156</f>
        <v>4</v>
      </c>
      <c r="W127" s="113">
        <f>'Data_in-situ'!DR156</f>
        <v>15.5944</v>
      </c>
      <c r="X127" s="113">
        <f>'Data_in-situ'!DS156</f>
        <v>2.1027833031484722</v>
      </c>
      <c r="Y127" s="46">
        <f>'Data_in-situ'!DT156</f>
        <v>4</v>
      </c>
      <c r="Z127" s="113">
        <f>'Data_in-situ'!EA433</f>
        <v>0.11</v>
      </c>
      <c r="AA127" s="113">
        <f>'Data_in-situ'!EB433</f>
        <v>0.65323059028311947</v>
      </c>
      <c r="AB127" s="46">
        <f>'Data_in-situ'!EC433</f>
        <v>3</v>
      </c>
      <c r="AC127" s="113">
        <f>'Data_in-situ'!EE433</f>
        <v>4.0071428571428571</v>
      </c>
      <c r="AD127" s="113">
        <f>'Data_in-situ'!EF433</f>
        <v>2.7490120674414609</v>
      </c>
      <c r="AE127" s="46">
        <f>'Data_in-situ'!EG433</f>
        <v>3</v>
      </c>
      <c r="AF127" s="113">
        <f>'Data_in-situ'!EN143</f>
        <v>-0.59</v>
      </c>
      <c r="AG127" s="113">
        <f>'Data_in-situ'!EO143</f>
        <v>1.75</v>
      </c>
      <c r="AH127" s="110">
        <f>'Data_in-situ'!EP143</f>
        <v>4</v>
      </c>
      <c r="AI127" s="113">
        <f>'Data_in-situ'!ER143</f>
        <v>-17.329999999999998</v>
      </c>
      <c r="AJ127" s="113">
        <f>'Data_in-situ'!ES143</f>
        <v>1.8</v>
      </c>
      <c r="AK127" s="110">
        <f>'Data_in-situ'!ET143</f>
        <v>4</v>
      </c>
    </row>
    <row r="128" spans="14:37" x14ac:dyDescent="0.3">
      <c r="N128" s="24">
        <f>'Data_in-situ'!DA447</f>
        <v>-4783.7690721649478</v>
      </c>
      <c r="O128" s="24">
        <f>'Data_in-situ'!DB447</f>
        <v>1766.9819161761379</v>
      </c>
      <c r="P128" s="46">
        <f>'Data_in-situ'!DC447</f>
        <v>3</v>
      </c>
      <c r="Q128" s="24">
        <f>'Data_in-situ'!DE447</f>
        <v>-17986.9717113402</v>
      </c>
      <c r="R128" s="24">
        <f>'Data_in-situ'!DF447</f>
        <v>3327.1138134409139</v>
      </c>
      <c r="S128" s="46">
        <f>'Data_in-situ'!DG447</f>
        <v>3</v>
      </c>
      <c r="T128" s="113">
        <f>'Data_in-situ'!DN157</f>
        <v>34.884300000000003</v>
      </c>
      <c r="U128" s="113">
        <f>'Data_in-situ'!DO157</f>
        <v>2.7604911899877527</v>
      </c>
      <c r="V128" s="46">
        <f>'Data_in-situ'!DP157</f>
        <v>4</v>
      </c>
      <c r="W128" s="113">
        <f>'Data_in-situ'!DR157</f>
        <v>-3.7234000000000003</v>
      </c>
      <c r="X128" s="113">
        <f>'Data_in-situ'!DS157</f>
        <v>0.33700001483679487</v>
      </c>
      <c r="Y128" s="46">
        <f>'Data_in-situ'!DT157</f>
        <v>4</v>
      </c>
      <c r="Z128" s="113">
        <f>'Data_in-situ'!EA434</f>
        <v>0.31428571428571433</v>
      </c>
      <c r="AA128" s="113">
        <f>'Data_in-situ'!EB434</f>
        <v>1.8071356230047548</v>
      </c>
      <c r="AB128" s="46">
        <f>'Data_in-situ'!EC434</f>
        <v>3</v>
      </c>
      <c r="AC128" s="113">
        <f>'Data_in-situ'!EE434</f>
        <v>14.614285714285716</v>
      </c>
      <c r="AD128" s="113">
        <f>'Data_in-situ'!EF434</f>
        <v>21.821165534948449</v>
      </c>
      <c r="AE128" s="46">
        <f>'Data_in-situ'!EG434</f>
        <v>3</v>
      </c>
      <c r="AF128" s="113">
        <f>'Data_in-situ'!EN144</f>
        <v>-2.0499999999999998</v>
      </c>
      <c r="AG128" s="113">
        <f>'Data_in-situ'!EO144</f>
        <v>1.38</v>
      </c>
      <c r="AH128" s="110">
        <f>'Data_in-situ'!EP144</f>
        <v>4</v>
      </c>
      <c r="AI128" s="113">
        <f>'Data_in-situ'!ER144</f>
        <v>-21.37</v>
      </c>
      <c r="AJ128" s="113">
        <f>'Data_in-situ'!ES144</f>
        <v>1.45</v>
      </c>
      <c r="AK128" s="110">
        <f>'Data_in-situ'!ET144</f>
        <v>4</v>
      </c>
    </row>
    <row r="129" spans="14:37" x14ac:dyDescent="0.3">
      <c r="N129" s="24">
        <f>'Data_in-situ'!DA448</f>
        <v>-1943.3333333333333</v>
      </c>
      <c r="O129" s="24">
        <f>'Data_in-situ'!DB448</f>
        <v>436</v>
      </c>
      <c r="P129" s="46">
        <f>'Data_in-situ'!DC448</f>
        <v>3</v>
      </c>
      <c r="Q129" s="24">
        <f>'Data_in-situ'!DE448</f>
        <v>-4766.666666666667</v>
      </c>
      <c r="R129" s="24">
        <f>'Data_in-situ'!DF448</f>
        <v>1203</v>
      </c>
      <c r="S129" s="46">
        <f>'Data_in-situ'!DG448</f>
        <v>3</v>
      </c>
      <c r="T129" s="113">
        <f>'Data_in-situ'!DN158</f>
        <v>34.884300000000003</v>
      </c>
      <c r="U129" s="113">
        <f>'Data_in-situ'!DO158</f>
        <v>2.7604911899877527</v>
      </c>
      <c r="V129" s="46">
        <f>'Data_in-situ'!DP158</f>
        <v>4</v>
      </c>
      <c r="W129" s="113">
        <f>'Data_in-situ'!DR158</f>
        <v>-6.8844000000000012</v>
      </c>
      <c r="X129" s="113">
        <f>'Data_in-situ'!DS158</f>
        <v>0.4472975072588713</v>
      </c>
      <c r="Y129" s="46">
        <f>'Data_in-situ'!DT158</f>
        <v>4</v>
      </c>
      <c r="Z129" s="113">
        <f>'Data_in-situ'!EA435</f>
        <v>0.31428571428571433</v>
      </c>
      <c r="AA129" s="113">
        <f>'Data_in-situ'!EB435</f>
        <v>1.8071356230047548</v>
      </c>
      <c r="AB129" s="46">
        <f>'Data_in-situ'!EC435</f>
        <v>3</v>
      </c>
      <c r="AC129" s="113">
        <f>'Data_in-situ'!EE435</f>
        <v>12.257142857142856</v>
      </c>
      <c r="AD129" s="113">
        <f>'Data_in-situ'!EF435</f>
        <v>18.301622706730956</v>
      </c>
      <c r="AE129" s="46">
        <f>'Data_in-situ'!EG435</f>
        <v>3</v>
      </c>
      <c r="AF129" s="113">
        <f>'Data_in-situ'!EN145</f>
        <v>-5</v>
      </c>
      <c r="AG129" s="113">
        <f>'Data_in-situ'!EO145</f>
        <v>2.0374819937564665</v>
      </c>
      <c r="AH129" s="110">
        <f>'Data_in-situ'!EP145</f>
        <v>4</v>
      </c>
      <c r="AI129" s="113">
        <f>'Data_in-situ'!ER145</f>
        <v>-7.666666666666667</v>
      </c>
      <c r="AJ129" s="113">
        <f>'Data_in-situ'!ES145</f>
        <v>1.7389077435704887</v>
      </c>
      <c r="AK129" s="110">
        <f>'Data_in-situ'!ET145</f>
        <v>6</v>
      </c>
    </row>
    <row r="130" spans="14:37" x14ac:dyDescent="0.3">
      <c r="N130" s="24">
        <f>'Data_in-situ'!DA449</f>
        <v>-2676.6666666666665</v>
      </c>
      <c r="O130" s="24">
        <f>'Data_in-situ'!DB449</f>
        <v>563</v>
      </c>
      <c r="P130" s="46">
        <f>'Data_in-situ'!DC449</f>
        <v>3</v>
      </c>
      <c r="Q130" s="24">
        <f>'Data_in-situ'!DE449</f>
        <v>-11000</v>
      </c>
      <c r="R130" s="24">
        <f>'Data_in-situ'!DF449</f>
        <v>2602</v>
      </c>
      <c r="S130" s="46">
        <f>'Data_in-situ'!DG449</f>
        <v>3</v>
      </c>
      <c r="T130" s="113">
        <f>'Data_in-situ'!DN159</f>
        <v>12.3249</v>
      </c>
      <c r="U130" s="113">
        <f>'Data_in-situ'!DO159</f>
        <v>4.0482329046140624</v>
      </c>
      <c r="V130" s="46">
        <f>'Data_in-situ'!DP159</f>
        <v>4</v>
      </c>
      <c r="W130" s="113">
        <f>'Data_in-situ'!DR159</f>
        <v>4.5682</v>
      </c>
      <c r="X130" s="113">
        <f>'Data_in-situ'!DS159</f>
        <v>1.4385784823915586</v>
      </c>
      <c r="Y130" s="46">
        <f>'Data_in-situ'!DT159</f>
        <v>4</v>
      </c>
      <c r="Z130" s="113">
        <f>'Data_in-situ'!EA436</f>
        <v>3.5419581632883812</v>
      </c>
      <c r="AA130" s="113">
        <f>'Data_in-situ'!EB436</f>
        <v>380.03451144768485</v>
      </c>
      <c r="AB130" s="46">
        <f>'Data_in-situ'!EC436</f>
        <v>34</v>
      </c>
      <c r="AC130" s="113">
        <f>'Data_in-situ'!EE436</f>
        <v>22.445963773156404</v>
      </c>
      <c r="AD130" s="113">
        <f>'Data_in-situ'!EF436</f>
        <v>202.87353243311873</v>
      </c>
      <c r="AE130" s="46">
        <f>'Data_in-situ'!EG436</f>
        <v>9</v>
      </c>
      <c r="AF130" s="113">
        <f>'Data_in-situ'!EN146</f>
        <v>-5</v>
      </c>
      <c r="AG130" s="113">
        <f>'Data_in-situ'!EO146</f>
        <v>2.0374819937564665</v>
      </c>
      <c r="AH130" s="110">
        <f>'Data_in-situ'!EP146</f>
        <v>4</v>
      </c>
      <c r="AI130" s="113">
        <f>'Data_in-situ'!ER146</f>
        <v>-54.4</v>
      </c>
      <c r="AJ130" s="113">
        <f>'Data_in-situ'!ES146</f>
        <v>12.338684510900162</v>
      </c>
      <c r="AK130" s="110">
        <f>'Data_in-situ'!ET146</f>
        <v>6</v>
      </c>
    </row>
    <row r="131" spans="14:37" x14ac:dyDescent="0.3">
      <c r="N131" s="24">
        <f>'Data_in-situ'!DA450</f>
        <v>15730</v>
      </c>
      <c r="O131" s="24">
        <f>'Data_in-situ'!DB450</f>
        <v>47184.597668134105</v>
      </c>
      <c r="P131" s="46">
        <f>'Data_in-situ'!DC450</f>
        <v>1</v>
      </c>
      <c r="Q131" s="24">
        <f>'Data_in-situ'!DE450</f>
        <v>22330</v>
      </c>
      <c r="R131" s="24">
        <f>'Data_in-situ'!DF450</f>
        <v>21283.678596713551</v>
      </c>
      <c r="S131" s="46">
        <f>'Data_in-situ'!DG450</f>
        <v>1</v>
      </c>
      <c r="T131" s="113">
        <f>'Data_in-situ'!DN160</f>
        <v>12.3249</v>
      </c>
      <c r="U131" s="113">
        <f>'Data_in-situ'!DO160</f>
        <v>4.0482329046140624</v>
      </c>
      <c r="V131" s="46">
        <f>'Data_in-situ'!DP160</f>
        <v>4</v>
      </c>
      <c r="W131" s="113">
        <f>'Data_in-situ'!DR160</f>
        <v>-2.4133</v>
      </c>
      <c r="X131" s="113">
        <f>'Data_in-situ'!DS160</f>
        <v>0.28343706532491475</v>
      </c>
      <c r="Y131" s="46">
        <f>'Data_in-situ'!DT160</f>
        <v>4</v>
      </c>
      <c r="Z131" s="113">
        <f>'Data_in-situ'!EA437</f>
        <v>4.07</v>
      </c>
      <c r="AA131" s="113">
        <f>'Data_in-situ'!EB437</f>
        <v>1.72</v>
      </c>
      <c r="AB131" s="46">
        <f>'Data_in-situ'!EC437</f>
        <v>3</v>
      </c>
      <c r="AC131" s="113">
        <f>'Data_in-situ'!EE437</f>
        <v>4.9000000000000004</v>
      </c>
      <c r="AD131" s="113">
        <f>'Data_in-situ'!EF437</f>
        <v>1.52</v>
      </c>
      <c r="AE131" s="46">
        <f>'Data_in-situ'!EG437</f>
        <v>3</v>
      </c>
      <c r="AF131" s="113">
        <f>'Data_in-situ'!EN152</f>
        <v>-18.3</v>
      </c>
      <c r="AG131" s="113">
        <f>'Data_in-situ'!EO152</f>
        <v>5.8</v>
      </c>
      <c r="AH131" s="110">
        <f>'Data_in-situ'!EP152</f>
        <v>12</v>
      </c>
      <c r="AI131" s="113">
        <f>'Data_in-situ'!ER152</f>
        <v>-39.6</v>
      </c>
      <c r="AJ131" s="113">
        <f>'Data_in-situ'!ES152</f>
        <v>3.6</v>
      </c>
      <c r="AK131" s="110">
        <f>'Data_in-situ'!ET152</f>
        <v>23</v>
      </c>
    </row>
    <row r="132" spans="14:37" x14ac:dyDescent="0.3">
      <c r="N132" s="24">
        <f>'Data_in-situ'!DA451</f>
        <v>11403.333333333334</v>
      </c>
      <c r="O132" s="24">
        <f>'Data_in-situ'!DB451</f>
        <v>34206.08362421843</v>
      </c>
      <c r="P132" s="46">
        <f>'Data_in-situ'!DC451</f>
        <v>1</v>
      </c>
      <c r="Q132" s="24">
        <f>'Data_in-situ'!DE451</f>
        <v>21156.666666666668</v>
      </c>
      <c r="R132" s="24">
        <f>'Data_in-situ'!DF451</f>
        <v>20165.32438473517</v>
      </c>
      <c r="S132" s="46">
        <f>'Data_in-situ'!DG451</f>
        <v>1</v>
      </c>
      <c r="T132" s="113">
        <f>'Data_in-situ'!DN161</f>
        <v>12.3249</v>
      </c>
      <c r="U132" s="113">
        <f>'Data_in-situ'!DO161</f>
        <v>4.0482329046140624</v>
      </c>
      <c r="V132" s="46">
        <f>'Data_in-situ'!DP161</f>
        <v>4</v>
      </c>
      <c r="W132" s="113">
        <f>'Data_in-situ'!DR161</f>
        <v>0.28770000000000012</v>
      </c>
      <c r="X132" s="113">
        <f>'Data_in-situ'!DS161</f>
        <v>0.26312447624650959</v>
      </c>
      <c r="Y132" s="46">
        <f>'Data_in-situ'!DT161</f>
        <v>4</v>
      </c>
      <c r="Z132" s="113">
        <f>'Data_in-situ'!EA438</f>
        <v>4.07</v>
      </c>
      <c r="AA132" s="113">
        <f>'Data_in-situ'!EB438</f>
        <v>1.72</v>
      </c>
      <c r="AB132" s="46">
        <f>'Data_in-situ'!EC438</f>
        <v>3</v>
      </c>
      <c r="AC132" s="113">
        <f>'Data_in-situ'!EE438</f>
        <v>2.09</v>
      </c>
      <c r="AD132" s="113">
        <f>'Data_in-situ'!EF438</f>
        <v>0.79</v>
      </c>
      <c r="AE132" s="46">
        <f>'Data_in-situ'!EG438</f>
        <v>3</v>
      </c>
      <c r="AF132" s="113">
        <f>'Data_in-situ'!EN153</f>
        <v>-18.3</v>
      </c>
      <c r="AG132" s="113">
        <f>'Data_in-situ'!EO153</f>
        <v>5.8</v>
      </c>
      <c r="AH132" s="110">
        <f>'Data_in-situ'!EP153</f>
        <v>12</v>
      </c>
      <c r="AI132" s="113">
        <f>'Data_in-situ'!ER153</f>
        <v>-55.5</v>
      </c>
      <c r="AJ132" s="113">
        <f>'Data_in-situ'!ES153</f>
        <v>4.4000000000000004</v>
      </c>
      <c r="AK132" s="110">
        <f>'Data_in-situ'!ET153</f>
        <v>25</v>
      </c>
    </row>
    <row r="133" spans="14:37" x14ac:dyDescent="0.3">
      <c r="N133" s="24">
        <f>'Data_in-situ'!DA452</f>
        <v>4326.666666666667</v>
      </c>
      <c r="O133" s="24">
        <f>'Data_in-situ'!DB452</f>
        <v>12978.514043915675</v>
      </c>
      <c r="P133" s="46">
        <f>'Data_in-situ'!DC452</f>
        <v>1</v>
      </c>
      <c r="Q133" s="24">
        <f>'Data_in-situ'!DE452</f>
        <v>15693.333333333334</v>
      </c>
      <c r="R133" s="24">
        <f>'Data_in-situ'!DF452</f>
        <v>14957.987585210836</v>
      </c>
      <c r="S133" s="46">
        <f>'Data_in-situ'!DG452</f>
        <v>1</v>
      </c>
      <c r="T133" s="113">
        <f>'Data_in-situ'!DN162</f>
        <v>4.1088183748609376E-2</v>
      </c>
      <c r="U133" s="113">
        <f>'Data_in-situ'!DO162</f>
        <v>4.5808365090522003E-2</v>
      </c>
      <c r="V133" s="46">
        <f>'Data_in-situ'!DP162</f>
        <v>4</v>
      </c>
      <c r="W133" s="113">
        <f>'Data_in-situ'!DR162</f>
        <v>0.1749737827715355</v>
      </c>
      <c r="X133" s="113">
        <f>'Data_in-situ'!DS162</f>
        <v>0.65391487210700916</v>
      </c>
      <c r="Y133" s="46">
        <f>'Data_in-situ'!DT162</f>
        <v>4</v>
      </c>
      <c r="Z133" s="113">
        <f>'Data_in-situ'!EA439</f>
        <v>1.0999999999999999</v>
      </c>
      <c r="AA133" s="113">
        <f>'Data_in-situ'!EB439</f>
        <v>6.3249746805166405</v>
      </c>
      <c r="AB133" s="46">
        <f>'Data_in-situ'!EC439</f>
        <v>3</v>
      </c>
      <c r="AC133" s="113">
        <f>'Data_in-situ'!EE439</f>
        <v>5.1857142857142851</v>
      </c>
      <c r="AD133" s="113">
        <f>'Data_in-situ'!EF439</f>
        <v>7.7429942220784804</v>
      </c>
      <c r="AE133" s="46">
        <f>'Data_in-situ'!EG439</f>
        <v>3</v>
      </c>
      <c r="AF133" s="113">
        <f>'Data_in-situ'!EN154</f>
        <v>-18.3</v>
      </c>
      <c r="AG133" s="113">
        <f>'Data_in-situ'!EO154</f>
        <v>5.8</v>
      </c>
      <c r="AH133" s="110">
        <f>'Data_in-situ'!EP154</f>
        <v>12</v>
      </c>
      <c r="AI133" s="113">
        <f>'Data_in-situ'!ER154</f>
        <v>-65.5</v>
      </c>
      <c r="AJ133" s="113">
        <f>'Data_in-situ'!ES154</f>
        <v>5</v>
      </c>
      <c r="AK133" s="110">
        <f>'Data_in-situ'!ET154</f>
        <v>7</v>
      </c>
    </row>
    <row r="134" spans="14:37" x14ac:dyDescent="0.3">
      <c r="N134" s="24">
        <f>'Data_in-situ'!DA453</f>
        <v>1870</v>
      </c>
      <c r="O134" s="24">
        <f>'Data_in-situ'!DB453</f>
        <v>5609.3577647432157</v>
      </c>
      <c r="P134" s="46">
        <f>'Data_in-situ'!DC453</f>
        <v>1</v>
      </c>
      <c r="Q134" s="24">
        <f>'Data_in-situ'!DE453</f>
        <v>13676.666666666666</v>
      </c>
      <c r="R134" s="24">
        <f>'Data_in-situ'!DF453</f>
        <v>13035.816283372995</v>
      </c>
      <c r="S134" s="46">
        <f>'Data_in-situ'!DG453</f>
        <v>1</v>
      </c>
      <c r="T134" s="113">
        <f>'Data_in-situ'!DN163</f>
        <v>-0.12122916895579239</v>
      </c>
      <c r="U134" s="113">
        <f>'Data_in-situ'!DO163</f>
        <v>0.13515588971088227</v>
      </c>
      <c r="V134" s="46">
        <f>'Data_in-situ'!DP163</f>
        <v>4</v>
      </c>
      <c r="W134" s="113">
        <f>'Data_in-situ'!DR163</f>
        <v>6.1724726721622734E-2</v>
      </c>
      <c r="X134" s="113">
        <f>'Data_in-situ'!DS163</f>
        <v>0.23067865448569461</v>
      </c>
      <c r="Y134" s="46">
        <f>'Data_in-situ'!DT163</f>
        <v>4</v>
      </c>
      <c r="Z134" s="113">
        <f>'Data_in-situ'!EA440</f>
        <v>1.0999999999999999</v>
      </c>
      <c r="AA134" s="113">
        <f>'Data_in-situ'!EB440</f>
        <v>6.3249746805166405</v>
      </c>
      <c r="AB134" s="46">
        <f>'Data_in-situ'!EC440</f>
        <v>3</v>
      </c>
      <c r="AC134" s="113">
        <f>'Data_in-situ'!EE440</f>
        <v>1.8857142857142857</v>
      </c>
      <c r="AD134" s="113">
        <f>'Data_in-situ'!EF440</f>
        <v>2.8156342625739934</v>
      </c>
      <c r="AE134" s="46">
        <f>'Data_in-situ'!EG440</f>
        <v>3</v>
      </c>
      <c r="AF134" s="113">
        <f>'Data_in-situ'!EN155</f>
        <v>-18.3</v>
      </c>
      <c r="AG134" s="113">
        <f>'Data_in-situ'!EO155</f>
        <v>5.8</v>
      </c>
      <c r="AH134" s="110">
        <f>'Data_in-situ'!EP155</f>
        <v>12</v>
      </c>
      <c r="AI134" s="113">
        <f>'Data_in-situ'!ER155</f>
        <v>-78.599999999999994</v>
      </c>
      <c r="AJ134" s="113">
        <f>'Data_in-situ'!ES155</f>
        <v>7.5</v>
      </c>
      <c r="AK134" s="110">
        <f>'Data_in-situ'!ET155</f>
        <v>8</v>
      </c>
    </row>
    <row r="135" spans="14:37" x14ac:dyDescent="0.3">
      <c r="N135" s="24">
        <f>'Data_in-situ'!DA454</f>
        <v>-92854.643962848248</v>
      </c>
      <c r="O135" s="24">
        <f>'Data_in-situ'!DB454</f>
        <v>8527.3893173831366</v>
      </c>
      <c r="P135" s="46">
        <f>'Data_in-situ'!DC454</f>
        <v>3</v>
      </c>
      <c r="Q135" s="24">
        <f>'Data_in-situ'!DE454</f>
        <v>-62856.84210526316</v>
      </c>
      <c r="R135" s="24">
        <f>'Data_in-situ'!DF454</f>
        <v>12642.403019037374</v>
      </c>
      <c r="S135" s="46">
        <f>'Data_in-situ'!DG454</f>
        <v>3</v>
      </c>
      <c r="T135" s="113">
        <f>'Data_in-situ'!DN164</f>
        <v>-0.12122916895579239</v>
      </c>
      <c r="U135" s="113">
        <f>'Data_in-situ'!DO164</f>
        <v>0.13515588971088227</v>
      </c>
      <c r="V135" s="46">
        <f>'Data_in-situ'!DP164</f>
        <v>4</v>
      </c>
      <c r="W135" s="113">
        <f>'Data_in-situ'!DR164</f>
        <v>-0.12344945344324547</v>
      </c>
      <c r="X135" s="113">
        <f>'Data_in-situ'!DS164</f>
        <v>0.46135730897138921</v>
      </c>
      <c r="Y135" s="46">
        <f>'Data_in-situ'!DT164</f>
        <v>4</v>
      </c>
      <c r="Z135" s="113">
        <f>'Data_in-situ'!EA441</f>
        <v>0.3</v>
      </c>
      <c r="AA135" s="113">
        <f>'Data_in-situ'!EB441</f>
        <v>0.35</v>
      </c>
      <c r="AB135" s="46">
        <f>'Data_in-situ'!EC441</f>
        <v>6</v>
      </c>
      <c r="AC135" s="113">
        <f>'Data_in-situ'!EE441</f>
        <v>3.7</v>
      </c>
      <c r="AD135" s="113">
        <f>'Data_in-situ'!EF441</f>
        <v>1.05</v>
      </c>
      <c r="AE135" s="46">
        <f>'Data_in-situ'!EG441</f>
        <v>6</v>
      </c>
      <c r="AF135" s="113">
        <f>'Data_in-situ'!EN163</f>
        <v>-109</v>
      </c>
      <c r="AG135" s="113">
        <f>'Data_in-situ'!EO163</f>
        <v>44.417107463890972</v>
      </c>
      <c r="AH135" s="110">
        <f>'Data_in-situ'!EP163</f>
        <v>4</v>
      </c>
      <c r="AI135" s="113">
        <f>'Data_in-situ'!ER163</f>
        <v>-121</v>
      </c>
      <c r="AJ135" s="113">
        <f>'Data_in-situ'!ES163</f>
        <v>27.444500474612497</v>
      </c>
      <c r="AK135" s="110">
        <f>'Data_in-situ'!ET163</f>
        <v>4</v>
      </c>
    </row>
    <row r="136" spans="14:37" x14ac:dyDescent="0.3">
      <c r="N136" s="24">
        <f>'Data_in-situ'!DA455</f>
        <v>-92854.643962848248</v>
      </c>
      <c r="O136" s="24">
        <f>'Data_in-situ'!DB455</f>
        <v>8527.3893173831366</v>
      </c>
      <c r="P136" s="46">
        <f>'Data_in-situ'!DC455</f>
        <v>3</v>
      </c>
      <c r="Q136" s="24">
        <f>'Data_in-situ'!DE455</f>
        <v>-50485.263157894762</v>
      </c>
      <c r="R136" s="24">
        <f>'Data_in-situ'!DF455</f>
        <v>3652.2236993561119</v>
      </c>
      <c r="S136" s="46">
        <f>'Data_in-situ'!DG455</f>
        <v>3</v>
      </c>
      <c r="T136" s="113">
        <f>'Data_in-situ'!DN165</f>
        <v>-0.12122916895579239</v>
      </c>
      <c r="U136" s="113">
        <f>'Data_in-situ'!DO165</f>
        <v>0.13515588971088227</v>
      </c>
      <c r="V136" s="46">
        <f>'Data_in-situ'!DP165</f>
        <v>4</v>
      </c>
      <c r="W136" s="113">
        <f>'Data_in-situ'!DR165</f>
        <v>0.12344945344324547</v>
      </c>
      <c r="X136" s="113">
        <f>'Data_in-situ'!DS165</f>
        <v>0.46135730897138921</v>
      </c>
      <c r="Y136" s="46">
        <f>'Data_in-situ'!DT165</f>
        <v>4</v>
      </c>
      <c r="Z136" s="113">
        <f>'Data_in-situ'!EA442</f>
        <v>0.3</v>
      </c>
      <c r="AA136" s="113">
        <f>'Data_in-situ'!EB442</f>
        <v>0.35</v>
      </c>
      <c r="AB136" s="46">
        <f>'Data_in-situ'!EC442</f>
        <v>6</v>
      </c>
      <c r="AC136" s="113">
        <f>'Data_in-situ'!EE442</f>
        <v>1.5</v>
      </c>
      <c r="AD136" s="113">
        <f>'Data_in-situ'!EF442</f>
        <v>0.6</v>
      </c>
      <c r="AE136" s="46">
        <f>'Data_in-situ'!EG442</f>
        <v>6</v>
      </c>
      <c r="AF136" s="113">
        <f>'Data_in-situ'!EN164</f>
        <v>-109</v>
      </c>
      <c r="AG136" s="113">
        <f>'Data_in-situ'!EO164</f>
        <v>44.417107463890972</v>
      </c>
      <c r="AH136" s="110">
        <f>'Data_in-situ'!EP164</f>
        <v>4</v>
      </c>
      <c r="AI136" s="113">
        <f>'Data_in-situ'!ER164</f>
        <v>-119</v>
      </c>
      <c r="AJ136" s="113">
        <f>'Data_in-situ'!ES164</f>
        <v>26.990872367594108</v>
      </c>
      <c r="AK136" s="110">
        <f>'Data_in-situ'!ET164</f>
        <v>4</v>
      </c>
    </row>
    <row r="137" spans="14:37" x14ac:dyDescent="0.3">
      <c r="N137" s="24">
        <f>'Data_in-situ'!DA462</f>
        <v>-12503.333333333336</v>
      </c>
      <c r="O137" s="24">
        <f>'Data_in-situ'!DB462</f>
        <v>37505.705838773269</v>
      </c>
      <c r="P137" s="46">
        <f>'Data_in-situ'!DC462</f>
        <v>1</v>
      </c>
      <c r="Q137" s="24">
        <f>'Data_in-situ'!DE462</f>
        <v>19726.666666666664</v>
      </c>
      <c r="R137" s="24">
        <f>'Data_in-situ'!DF462</f>
        <v>18802.330188886517</v>
      </c>
      <c r="S137" s="46">
        <f>'Data_in-situ'!DG462</f>
        <v>1</v>
      </c>
      <c r="T137" s="113">
        <f>'Data_in-situ'!DN166</f>
        <v>-0.52800000000000002</v>
      </c>
      <c r="U137" s="113">
        <f>'Data_in-situ'!DO166</f>
        <v>0.5886562646764405</v>
      </c>
      <c r="V137" s="46">
        <f>'Data_in-situ'!DP166</f>
        <v>4</v>
      </c>
      <c r="W137" s="113">
        <f>'Data_in-situ'!DR166</f>
        <v>-0.26133333333333336</v>
      </c>
      <c r="X137" s="113">
        <f>'Data_in-situ'!DS166</f>
        <v>0.97665919166357074</v>
      </c>
      <c r="Y137" s="46">
        <f>'Data_in-situ'!DT166</f>
        <v>4</v>
      </c>
      <c r="Z137" s="113">
        <f>'Data_in-situ'!EA443</f>
        <v>0.3</v>
      </c>
      <c r="AA137" s="113">
        <f>'Data_in-situ'!EB443</f>
        <v>0.35</v>
      </c>
      <c r="AB137" s="46">
        <f>'Data_in-situ'!EC443</f>
        <v>6</v>
      </c>
      <c r="AC137" s="113">
        <f>'Data_in-situ'!EE443</f>
        <v>37.700000000000003</v>
      </c>
      <c r="AD137" s="113">
        <f>'Data_in-situ'!EF443</f>
        <v>2.95</v>
      </c>
      <c r="AE137" s="46">
        <f>'Data_in-situ'!EG443</f>
        <v>4</v>
      </c>
      <c r="AF137" s="113">
        <f>'Data_in-situ'!EN165</f>
        <v>-109</v>
      </c>
      <c r="AG137" s="113">
        <f>'Data_in-situ'!EO165</f>
        <v>44.417107463890972</v>
      </c>
      <c r="AH137" s="110">
        <f>'Data_in-situ'!EP165</f>
        <v>4</v>
      </c>
      <c r="AI137" s="113">
        <f>'Data_in-situ'!ER165</f>
        <v>-138</v>
      </c>
      <c r="AJ137" s="113">
        <f>'Data_in-situ'!ES165</f>
        <v>31.300339384268796</v>
      </c>
      <c r="AK137" s="110">
        <f>'Data_in-situ'!ET165</f>
        <v>4</v>
      </c>
    </row>
    <row r="138" spans="14:37" x14ac:dyDescent="0.3">
      <c r="N138" s="24">
        <f>'Data_in-situ'!DA463</f>
        <v>1723.3333333333358</v>
      </c>
      <c r="O138" s="24">
        <f>'Data_in-situ'!DB463</f>
        <v>5169.4081361359113</v>
      </c>
      <c r="P138" s="46">
        <f>'Data_in-situ'!DC463</f>
        <v>1</v>
      </c>
      <c r="Q138" s="24">
        <f>'Data_in-situ'!DE463</f>
        <v>9570</v>
      </c>
      <c r="R138" s="24">
        <f>'Data_in-situ'!DF463</f>
        <v>9121.5765414486632</v>
      </c>
      <c r="S138" s="46">
        <f>'Data_in-situ'!DG463</f>
        <v>1</v>
      </c>
      <c r="T138" s="113">
        <f>'Data_in-situ'!DN167</f>
        <v>2.9175154909077907</v>
      </c>
      <c r="U138" s="113">
        <f>'Data_in-situ'!DO167</f>
        <v>16.507200000000001</v>
      </c>
      <c r="V138" s="46">
        <f>'Data_in-situ'!DP167</f>
        <v>8</v>
      </c>
      <c r="W138" s="113">
        <f>'Data_in-situ'!DR167</f>
        <v>-0.3033323434259278</v>
      </c>
      <c r="X138" s="113">
        <f>'Data_in-situ'!DS167</f>
        <v>3.4939236241769644</v>
      </c>
      <c r="Y138" s="46">
        <f>'Data_in-situ'!DT167</f>
        <v>8</v>
      </c>
      <c r="Z138" s="113">
        <f>'Data_in-situ'!EA444</f>
        <v>-0.35536232754524372</v>
      </c>
      <c r="AA138" s="113">
        <f>'Data_in-situ'!EB444</f>
        <v>38.250757143327704</v>
      </c>
      <c r="AB138" s="46">
        <f>'Data_in-situ'!EC444</f>
        <v>46</v>
      </c>
      <c r="AC138" s="113">
        <f>'Data_in-situ'!EE444</f>
        <v>20.199714045305026</v>
      </c>
      <c r="AD138" s="113">
        <f>'Data_in-situ'!EF444</f>
        <v>184.05347959835046</v>
      </c>
      <c r="AE138" s="46">
        <f>'Data_in-situ'!EG444</f>
        <v>53</v>
      </c>
      <c r="AF138" s="113">
        <f>'Data_in-situ'!EN166</f>
        <v>-76</v>
      </c>
      <c r="AG138" s="113">
        <f>'Data_in-situ'!EO166</f>
        <v>30.969726305098295</v>
      </c>
      <c r="AH138" s="110">
        <f>'Data_in-situ'!EP166</f>
        <v>4</v>
      </c>
      <c r="AI138" s="113">
        <f>'Data_in-situ'!ER166</f>
        <v>-84</v>
      </c>
      <c r="AJ138" s="113">
        <f>'Data_in-situ'!ES166</f>
        <v>19.052380494772311</v>
      </c>
      <c r="AK138" s="110">
        <f>'Data_in-situ'!ET166</f>
        <v>4</v>
      </c>
    </row>
    <row r="139" spans="14:37" x14ac:dyDescent="0.3">
      <c r="N139" s="24">
        <f>'Data_in-situ'!DA464</f>
        <v>-12503.333333333336</v>
      </c>
      <c r="O139" s="24">
        <f>'Data_in-situ'!DB464</f>
        <v>37505.705838773269</v>
      </c>
      <c r="P139" s="46">
        <f>'Data_in-situ'!DC464</f>
        <v>1</v>
      </c>
      <c r="Q139" s="24">
        <f>'Data_in-situ'!DE464</f>
        <v>19726.666666666664</v>
      </c>
      <c r="R139" s="24">
        <f>'Data_in-situ'!DF464</f>
        <v>18802.330188886517</v>
      </c>
      <c r="S139" s="46">
        <f>'Data_in-situ'!DG464</f>
        <v>1</v>
      </c>
      <c r="T139" s="113">
        <f>'Data_in-situ'!DN168</f>
        <v>11.795840386040403</v>
      </c>
      <c r="U139" s="113">
        <f>'Data_in-situ'!DO168</f>
        <v>13.150938144632661</v>
      </c>
      <c r="V139" s="46">
        <f>'Data_in-situ'!DP168</f>
        <v>3</v>
      </c>
      <c r="W139" s="113">
        <f>'Data_in-situ'!DR168</f>
        <v>0.26812694984226471</v>
      </c>
      <c r="X139" s="113">
        <f>'Data_in-situ'!DS168</f>
        <v>1.002048405980223</v>
      </c>
      <c r="Y139" s="46">
        <f>'Data_in-situ'!DT168</f>
        <v>3</v>
      </c>
      <c r="Z139" s="113">
        <f>'Data_in-situ'!EA472</f>
        <v>0.2</v>
      </c>
      <c r="AA139" s="113">
        <f>'Data_in-situ'!EB472</f>
        <v>0.2</v>
      </c>
      <c r="AB139" s="46">
        <f>'Data_in-situ'!EC472</f>
        <v>3</v>
      </c>
      <c r="AC139" s="113">
        <f>'Data_in-situ'!EE472</f>
        <v>1.1000000000000001</v>
      </c>
      <c r="AD139" s="113">
        <f>'Data_in-situ'!EF472</f>
        <v>0.6</v>
      </c>
      <c r="AE139" s="46">
        <f>'Data_in-situ'!EG472</f>
        <v>5</v>
      </c>
      <c r="AF139" s="113">
        <f>'Data_in-situ'!EN167</f>
        <v>-18</v>
      </c>
      <c r="AG139" s="113">
        <f>'Data_in-situ'!EO167</f>
        <v>7.3349351775232803</v>
      </c>
      <c r="AH139" s="110">
        <f>'Data_in-situ'!EP167</f>
        <v>3</v>
      </c>
      <c r="AI139" s="113">
        <f>'Data_in-situ'!ER167</f>
        <v>-37</v>
      </c>
      <c r="AJ139" s="113">
        <f>'Data_in-situ'!ES167</f>
        <v>8.3921199798401851</v>
      </c>
      <c r="AK139" s="110">
        <f>'Data_in-situ'!ET167</f>
        <v>3</v>
      </c>
    </row>
    <row r="140" spans="14:37" x14ac:dyDescent="0.3">
      <c r="N140" s="24">
        <f>'Data_in-situ'!DA465</f>
        <v>1723.3333333333358</v>
      </c>
      <c r="O140" s="24">
        <f>'Data_in-situ'!DB465</f>
        <v>5169.4081361359113</v>
      </c>
      <c r="P140" s="46">
        <f>'Data_in-situ'!DC465</f>
        <v>1</v>
      </c>
      <c r="Q140" s="24">
        <f>'Data_in-situ'!DE465</f>
        <v>9570</v>
      </c>
      <c r="R140" s="24">
        <f>'Data_in-situ'!DF465</f>
        <v>9121.5765414486632</v>
      </c>
      <c r="S140" s="46">
        <f>'Data_in-situ'!DG465</f>
        <v>1</v>
      </c>
      <c r="T140" s="113">
        <f>'Data_in-situ'!DN169</f>
        <v>14.661871345978286</v>
      </c>
      <c r="U140" s="113">
        <f>'Data_in-situ'!DO169</f>
        <v>16.346216703958547</v>
      </c>
      <c r="V140" s="46">
        <f>'Data_in-situ'!DP169</f>
        <v>3</v>
      </c>
      <c r="W140" s="113">
        <f>'Data_in-situ'!DR169</f>
        <v>4.2578559634951523</v>
      </c>
      <c r="X140" s="113">
        <f>'Data_in-situ'!DS169</f>
        <v>15.912528686965901</v>
      </c>
      <c r="Y140" s="46">
        <f>'Data_in-situ'!DT169</f>
        <v>3</v>
      </c>
      <c r="AF140" s="113">
        <f>'Data_in-situ'!EN168</f>
        <v>-7.118297455968686</v>
      </c>
      <c r="AG140" s="113">
        <f>'Data_in-situ'!EO168</f>
        <v>2.0896725316659488</v>
      </c>
      <c r="AH140" s="110">
        <f>'Data_in-situ'!EP168</f>
        <v>3</v>
      </c>
      <c r="AI140" s="113">
        <f>'Data_in-situ'!ER168</f>
        <v>-41.42054794520547</v>
      </c>
      <c r="AJ140" s="113">
        <f>'Data_in-situ'!ES168</f>
        <v>4.0513805156967972</v>
      </c>
      <c r="AK140" s="110">
        <f>'Data_in-situ'!ET168</f>
        <v>3</v>
      </c>
    </row>
    <row r="141" spans="14:37" x14ac:dyDescent="0.3">
      <c r="N141" s="24">
        <f>'Data_in-situ'!DA466</f>
        <v>-12503.333333333336</v>
      </c>
      <c r="O141" s="24">
        <f>'Data_in-situ'!DB466</f>
        <v>37505.705838773269</v>
      </c>
      <c r="P141" s="46">
        <f>'Data_in-situ'!DC466</f>
        <v>1</v>
      </c>
      <c r="Q141" s="24">
        <f>'Data_in-situ'!DE466</f>
        <v>19726.666666666664</v>
      </c>
      <c r="R141" s="24">
        <f>'Data_in-situ'!DF466</f>
        <v>18802.330188886517</v>
      </c>
      <c r="S141" s="46">
        <f>'Data_in-situ'!DG466</f>
        <v>1</v>
      </c>
      <c r="T141" s="113">
        <f>'Data_in-situ'!DN170</f>
        <v>5.1084348128521384</v>
      </c>
      <c r="U141" s="113">
        <f>'Data_in-situ'!DO170</f>
        <v>5.6952881728724067</v>
      </c>
      <c r="V141" s="46">
        <f>'Data_in-situ'!DP170</f>
        <v>3</v>
      </c>
      <c r="W141" s="113">
        <f>'Data_in-situ'!DR170</f>
        <v>-0.69713006958988755</v>
      </c>
      <c r="X141" s="113">
        <f>'Data_in-situ'!DS170</f>
        <v>2.6053258555485774</v>
      </c>
      <c r="Y141" s="46">
        <f>'Data_in-situ'!DT170</f>
        <v>3</v>
      </c>
      <c r="AF141" s="113">
        <f>'Data_in-situ'!EN169</f>
        <v>-23.325205479452055</v>
      </c>
      <c r="AG141" s="113">
        <f>'Data_in-situ'!EO169</f>
        <v>9.1345235133236322</v>
      </c>
      <c r="AH141" s="110">
        <f>'Data_in-situ'!EP169</f>
        <v>3</v>
      </c>
      <c r="AI141" s="113">
        <f>'Data_in-situ'!ER169</f>
        <v>-50.248283223625691</v>
      </c>
      <c r="AJ141" s="113">
        <f>'Data_in-situ'!ES169</f>
        <v>5.5408758417852315</v>
      </c>
      <c r="AK141" s="110">
        <f>'Data_in-situ'!ET169</f>
        <v>3</v>
      </c>
    </row>
    <row r="142" spans="14:37" x14ac:dyDescent="0.3">
      <c r="N142" s="24">
        <f>'Data_in-situ'!DA467</f>
        <v>1723.3333333333358</v>
      </c>
      <c r="O142" s="24">
        <f>'Data_in-situ'!DB467</f>
        <v>5169.4081361359113</v>
      </c>
      <c r="P142" s="46">
        <f>'Data_in-situ'!DC467</f>
        <v>1</v>
      </c>
      <c r="Q142" s="24">
        <f>'Data_in-situ'!DE467</f>
        <v>9570</v>
      </c>
      <c r="R142" s="24">
        <f>'Data_in-situ'!DF467</f>
        <v>9121.5765414486632</v>
      </c>
      <c r="S142" s="46">
        <f>'Data_in-situ'!DG467</f>
        <v>1</v>
      </c>
      <c r="T142" s="113">
        <f>'Data_in-situ'!DN171</f>
        <v>8.2133016861181183</v>
      </c>
      <c r="U142" s="113">
        <f>'Data_in-situ'!DO171</f>
        <v>9.1568399454753813</v>
      </c>
      <c r="V142" s="46">
        <f>'Data_in-situ'!DP171</f>
        <v>3</v>
      </c>
      <c r="W142" s="113">
        <f>'Data_in-situ'!DR171</f>
        <v>3.0351970722144359</v>
      </c>
      <c r="X142" s="113">
        <f>'Data_in-situ'!DS171</f>
        <v>11.343187955696123</v>
      </c>
      <c r="Y142" s="46">
        <f>'Data_in-situ'!DT171</f>
        <v>3</v>
      </c>
      <c r="AF142" s="113">
        <f>'Data_in-situ'!EN170</f>
        <v>-5.9909980430528433</v>
      </c>
      <c r="AG142" s="113">
        <f>'Data_in-situ'!EO170</f>
        <v>3.1338536679828461</v>
      </c>
      <c r="AH142" s="110">
        <f>'Data_in-situ'!EP170</f>
        <v>3</v>
      </c>
      <c r="AI142" s="113">
        <f>'Data_in-situ'!ER170</f>
        <v>-25.035567514677091</v>
      </c>
      <c r="AJ142" s="113">
        <f>'Data_in-situ'!ES170</f>
        <v>3.3576627131775418</v>
      </c>
      <c r="AK142" s="110">
        <f>'Data_in-situ'!ET170</f>
        <v>3</v>
      </c>
    </row>
    <row r="143" spans="14:37" x14ac:dyDescent="0.3">
      <c r="N143" s="24">
        <f>'Data_in-situ'!DA468</f>
        <v>-1350</v>
      </c>
      <c r="O143" s="24">
        <f>'Data_in-situ'!DB468</f>
        <v>2670</v>
      </c>
      <c r="P143" s="46">
        <f>'Data_in-situ'!DC468</f>
        <v>1</v>
      </c>
      <c r="Q143" s="24">
        <f>'Data_in-situ'!DE468</f>
        <v>-320</v>
      </c>
      <c r="R143" s="24">
        <f>'Data_in-situ'!DF468</f>
        <v>1110</v>
      </c>
      <c r="S143" s="46">
        <f>'Data_in-situ'!DG468</f>
        <v>1</v>
      </c>
      <c r="T143" s="113">
        <f>'Data_in-situ'!DN176</f>
        <v>1294.4026579568806</v>
      </c>
      <c r="U143" s="113">
        <f>'Data_in-situ'!DO176</f>
        <v>1425.6221977894311</v>
      </c>
      <c r="V143" s="46">
        <f>'Data_in-situ'!DP176</f>
        <v>4</v>
      </c>
      <c r="W143" s="113">
        <f>'Data_in-situ'!DR176</f>
        <v>22.36227209479982</v>
      </c>
      <c r="X143" s="113">
        <f>'Data_in-situ'!DS176</f>
        <v>23.370237472575557</v>
      </c>
      <c r="Y143" s="46">
        <f>'Data_in-situ'!DT176</f>
        <v>3</v>
      </c>
      <c r="AF143" s="113">
        <f>'Data_in-situ'!EN171</f>
        <v>-28.456673189823867</v>
      </c>
      <c r="AG143" s="113">
        <f>'Data_in-situ'!EO171</f>
        <v>9.4179374135466869</v>
      </c>
      <c r="AH143" s="110">
        <f>'Data_in-situ'!EP171</f>
        <v>3</v>
      </c>
      <c r="AI143" s="113">
        <f>'Data_in-situ'!ER171</f>
        <v>-19.023532289628182</v>
      </c>
      <c r="AJ143" s="113">
        <f>'Data_in-situ'!ES171</f>
        <v>6.0791484886821818</v>
      </c>
      <c r="AK143" s="110">
        <f>'Data_in-situ'!ET171</f>
        <v>3</v>
      </c>
    </row>
    <row r="144" spans="14:37" x14ac:dyDescent="0.3">
      <c r="N144" s="24">
        <f>'Data_in-situ'!DA469</f>
        <v>-5990.5</v>
      </c>
      <c r="O144" s="24">
        <f>'Data_in-situ'!DB469</f>
        <v>17969.442614809748</v>
      </c>
      <c r="P144" s="46">
        <f>'Data_in-situ'!DC469</f>
        <v>1</v>
      </c>
      <c r="Q144" s="24">
        <f>'Data_in-situ'!DE469</f>
        <v>-5358</v>
      </c>
      <c r="R144" s="24">
        <f>'Data_in-situ'!DF469</f>
        <v>5106.9390918580921</v>
      </c>
      <c r="S144" s="46">
        <f>'Data_in-situ'!DG469</f>
        <v>1</v>
      </c>
      <c r="T144" s="113">
        <f>'Data_in-situ'!DN177</f>
        <v>835.37440260212782</v>
      </c>
      <c r="U144" s="113">
        <f>'Data_in-situ'!DO177</f>
        <v>1277.3279087005756</v>
      </c>
      <c r="V144" s="46">
        <f>'Data_in-situ'!DP177</f>
        <v>4</v>
      </c>
      <c r="W144" s="113">
        <f>'Data_in-situ'!DR177</f>
        <v>14.31185414067193</v>
      </c>
      <c r="X144" s="113">
        <f>'Data_in-situ'!DS177</f>
        <v>14.416523575818015</v>
      </c>
      <c r="Y144" s="46">
        <f>'Data_in-situ'!DT177</f>
        <v>3</v>
      </c>
      <c r="AF144" s="113">
        <f>'Data_in-situ'!EN173</f>
        <v>-14.041514041514047</v>
      </c>
      <c r="AG144" s="113">
        <f>'Data_in-situ'!EO173</f>
        <v>3.8618262026084285</v>
      </c>
      <c r="AH144" s="110">
        <f>'Data_in-situ'!EP173</f>
        <v>3</v>
      </c>
      <c r="AI144" s="113">
        <f>'Data_in-situ'!ER173</f>
        <v>-37.912087912087912</v>
      </c>
      <c r="AJ144" s="113">
        <f>'Data_in-situ'!ES173</f>
        <v>6.2846687384361628</v>
      </c>
      <c r="AK144" s="110">
        <f>'Data_in-situ'!ET173</f>
        <v>3</v>
      </c>
    </row>
    <row r="145" spans="14:37" x14ac:dyDescent="0.3">
      <c r="N145" s="24">
        <f>'Data_in-situ'!DA470</f>
        <v>11900</v>
      </c>
      <c r="O145" s="24">
        <f>'Data_in-situ'!DB470</f>
        <v>3700</v>
      </c>
      <c r="P145" s="46">
        <f>'Data_in-situ'!DC470</f>
        <v>3</v>
      </c>
      <c r="Q145" s="24">
        <f>'Data_in-situ'!DE470</f>
        <v>38700</v>
      </c>
      <c r="R145" s="24">
        <f>'Data_in-situ'!DF470</f>
        <v>4100</v>
      </c>
      <c r="S145" s="46">
        <f>'Data_in-situ'!DG470</f>
        <v>3</v>
      </c>
      <c r="T145" s="113">
        <f>'Data_in-situ'!DN178</f>
        <v>564.51922087106243</v>
      </c>
      <c r="U145" s="113">
        <f>'Data_in-situ'!DO178</f>
        <v>574.53047753186331</v>
      </c>
      <c r="V145" s="46">
        <f>'Data_in-situ'!DP178</f>
        <v>4</v>
      </c>
      <c r="W145" s="113">
        <f>'Data_in-situ'!DR178</f>
        <v>18.784308559631839</v>
      </c>
      <c r="X145" s="113">
        <f>'Data_in-situ'!DS178</f>
        <v>16.576139153459437</v>
      </c>
      <c r="Y145" s="46">
        <f>'Data_in-situ'!DT178</f>
        <v>3</v>
      </c>
      <c r="AF145" s="113">
        <f>'Data_in-situ'!EN174</f>
        <v>-8</v>
      </c>
      <c r="AG145" s="113">
        <f>'Data_in-situ'!EO174</f>
        <v>3.2599711900103467</v>
      </c>
      <c r="AH145" s="110">
        <f>'Data_in-situ'!EP174</f>
        <v>3</v>
      </c>
      <c r="AI145" s="113">
        <f>'Data_in-situ'!ER174</f>
        <v>-11</v>
      </c>
      <c r="AJ145" s="113">
        <f>'Data_in-situ'!ES174</f>
        <v>2.4949545886011357</v>
      </c>
      <c r="AK145" s="110">
        <f>'Data_in-situ'!ET174</f>
        <v>3</v>
      </c>
    </row>
    <row r="146" spans="14:37" x14ac:dyDescent="0.3">
      <c r="N146" s="24">
        <f>'Data_in-situ'!DA471</f>
        <v>9100</v>
      </c>
      <c r="O146" s="24">
        <f>'Data_in-situ'!DB471</f>
        <v>3700</v>
      </c>
      <c r="P146" s="46">
        <f>'Data_in-situ'!DC471</f>
        <v>3</v>
      </c>
      <c r="Q146" s="24">
        <f>'Data_in-situ'!DE471</f>
        <v>40900</v>
      </c>
      <c r="R146" s="24">
        <f>'Data_in-situ'!DF471</f>
        <v>4100</v>
      </c>
      <c r="S146" s="46">
        <f>'Data_in-situ'!DG471</f>
        <v>3</v>
      </c>
      <c r="T146" s="113">
        <f>'Data_in-situ'!DN179</f>
        <v>140.79806050736187</v>
      </c>
      <c r="U146" s="113">
        <f>'Data_in-situ'!DO179</f>
        <v>57.85185596345088</v>
      </c>
      <c r="V146" s="46">
        <f>'Data_in-situ'!DP179</f>
        <v>3</v>
      </c>
      <c r="W146" s="113">
        <f>'Data_in-situ'!DR179</f>
        <v>22.365263658588713</v>
      </c>
      <c r="X146" s="113">
        <f>'Data_in-situ'!DS179</f>
        <v>28.96859337526929</v>
      </c>
      <c r="Y146" s="46">
        <f>'Data_in-situ'!DT179</f>
        <v>3</v>
      </c>
      <c r="AF146" s="113">
        <f>'Data_in-situ'!EN175</f>
        <v>-8</v>
      </c>
      <c r="AG146" s="113">
        <f>'Data_in-situ'!EO175</f>
        <v>3.2599711900103467</v>
      </c>
      <c r="AH146" s="110">
        <f>'Data_in-situ'!EP175</f>
        <v>3</v>
      </c>
      <c r="AI146" s="113">
        <f>'Data_in-situ'!ER175</f>
        <v>-19</v>
      </c>
      <c r="AJ146" s="113">
        <f>'Data_in-situ'!ES175</f>
        <v>4.3094670166746889</v>
      </c>
      <c r="AK146" s="110">
        <f>'Data_in-situ'!ET175</f>
        <v>3</v>
      </c>
    </row>
    <row r="147" spans="14:37" x14ac:dyDescent="0.3">
      <c r="N147" s="24">
        <f>'Data_in-situ'!DA472</f>
        <v>25600</v>
      </c>
      <c r="O147" s="24">
        <f>'Data_in-situ'!DB472</f>
        <v>4100</v>
      </c>
      <c r="P147" s="46">
        <f>'Data_in-situ'!DC472</f>
        <v>3</v>
      </c>
      <c r="Q147" s="24">
        <f>'Data_in-situ'!DE472</f>
        <v>43100</v>
      </c>
      <c r="R147" s="24">
        <f>'Data_in-situ'!DF472</f>
        <v>4400</v>
      </c>
      <c r="S147" s="46">
        <f>'Data_in-situ'!DG472</f>
        <v>3</v>
      </c>
      <c r="T147" s="113">
        <f>'Data_in-situ'!DN180</f>
        <v>129.84710024567806</v>
      </c>
      <c r="U147" s="113">
        <f>'Data_in-situ'!DO180</f>
        <v>45.955805142101362</v>
      </c>
      <c r="V147" s="46">
        <f>'Data_in-situ'!DP180</f>
        <v>3</v>
      </c>
      <c r="W147" s="113">
        <f>'Data_in-situ'!DR180</f>
        <v>14.486591233404059</v>
      </c>
      <c r="X147" s="113">
        <f>'Data_in-situ'!DS180</f>
        <v>18.662006281146603</v>
      </c>
      <c r="Y147" s="46">
        <f>'Data_in-situ'!DT180</f>
        <v>3</v>
      </c>
      <c r="AF147" s="113">
        <f>'Data_in-situ'!EN176</f>
        <v>-7.2</v>
      </c>
      <c r="AG147" s="113">
        <f>'Data_in-situ'!EO176</f>
        <v>2.1</v>
      </c>
      <c r="AH147" s="110">
        <f>'Data_in-situ'!EP176</f>
        <v>4</v>
      </c>
      <c r="AI147" s="113">
        <f>'Data_in-situ'!ER176</f>
        <v>-39.6</v>
      </c>
      <c r="AJ147" s="113">
        <f>'Data_in-situ'!ES176</f>
        <v>17.2</v>
      </c>
      <c r="AK147" s="110">
        <f>'Data_in-situ'!ET176</f>
        <v>3</v>
      </c>
    </row>
    <row r="148" spans="14:37" x14ac:dyDescent="0.3">
      <c r="T148" s="113">
        <f>'Data_in-situ'!DN181</f>
        <v>159.57113524167664</v>
      </c>
      <c r="U148" s="113">
        <f>'Data_in-situ'!DO181</f>
        <v>73.816751459863269</v>
      </c>
      <c r="V148" s="46">
        <f>'Data_in-situ'!DP181</f>
        <v>3</v>
      </c>
      <c r="W148" s="113">
        <f>'Data_in-situ'!DR181</f>
        <v>15.757344850369346</v>
      </c>
      <c r="X148" s="113">
        <f>'Data_in-situ'!DS181</f>
        <v>19.375072891550516</v>
      </c>
      <c r="Y148" s="46">
        <f>'Data_in-situ'!DT181</f>
        <v>3</v>
      </c>
      <c r="AF148" s="113">
        <f>'Data_in-situ'!EN177</f>
        <v>-9.1999999999999993</v>
      </c>
      <c r="AG148" s="113">
        <f>'Data_in-situ'!EO177</f>
        <v>4.8</v>
      </c>
      <c r="AH148" s="110">
        <f>'Data_in-situ'!EP177</f>
        <v>4</v>
      </c>
      <c r="AI148" s="113">
        <f>'Data_in-situ'!ER177</f>
        <v>-41</v>
      </c>
      <c r="AJ148" s="113">
        <f>'Data_in-situ'!ES177</f>
        <v>11</v>
      </c>
      <c r="AK148" s="110">
        <f>'Data_in-situ'!ET177</f>
        <v>3</v>
      </c>
    </row>
    <row r="149" spans="14:37" x14ac:dyDescent="0.3">
      <c r="T149" s="113">
        <f>'Data_in-situ'!DN182</f>
        <v>1413.9420186433458</v>
      </c>
      <c r="U149" s="113">
        <f>'Data_in-situ'!DO182</f>
        <v>520.26850212340003</v>
      </c>
      <c r="V149" s="46">
        <f>'Data_in-situ'!DP182</f>
        <v>3</v>
      </c>
      <c r="W149" s="113">
        <f>'Data_in-situ'!DR182</f>
        <v>5.2453106713176574</v>
      </c>
      <c r="X149" s="113">
        <f>'Data_in-situ'!DS182</f>
        <v>10.686883582340696</v>
      </c>
      <c r="Y149" s="46">
        <f>'Data_in-situ'!DT182</f>
        <v>3</v>
      </c>
      <c r="AF149" s="113">
        <f>'Data_in-situ'!EN178</f>
        <v>-9.6999999999999993</v>
      </c>
      <c r="AG149" s="113">
        <f>'Data_in-situ'!EO178</f>
        <v>3.7</v>
      </c>
      <c r="AH149" s="110">
        <f>'Data_in-situ'!EP178</f>
        <v>4</v>
      </c>
      <c r="AI149" s="113">
        <f>'Data_in-situ'!ER178</f>
        <v>-45.2</v>
      </c>
      <c r="AJ149" s="113">
        <f>'Data_in-situ'!ES178</f>
        <v>11.5</v>
      </c>
      <c r="AK149" s="110">
        <f>'Data_in-situ'!ET178</f>
        <v>3</v>
      </c>
    </row>
    <row r="150" spans="14:37" x14ac:dyDescent="0.3">
      <c r="T150" s="113">
        <f>'Data_in-situ'!DN183</f>
        <v>965.8440732691339</v>
      </c>
      <c r="U150" s="113">
        <f>'Data_in-situ'!DO183</f>
        <v>308.47001167764779</v>
      </c>
      <c r="V150" s="46">
        <f>'Data_in-situ'!DP183</f>
        <v>3</v>
      </c>
      <c r="W150" s="113">
        <f>'Data_in-situ'!DR183</f>
        <v>5.2453106713176574</v>
      </c>
      <c r="X150" s="113">
        <f>'Data_in-situ'!DS183</f>
        <v>10.686883582340696</v>
      </c>
      <c r="Y150" s="46">
        <f>'Data_in-situ'!DT183</f>
        <v>3</v>
      </c>
      <c r="AF150" s="113">
        <f>'Data_in-situ'!EN179</f>
        <v>-6.75</v>
      </c>
      <c r="AG150" s="113">
        <f>'Data_in-situ'!EO179</f>
        <v>4.0326790102858423</v>
      </c>
      <c r="AH150" s="110">
        <f>'Data_in-situ'!EP179</f>
        <v>3</v>
      </c>
      <c r="AI150" s="113">
        <f>'Data_in-situ'!ER179</f>
        <v>-13.2</v>
      </c>
      <c r="AJ150" s="113">
        <f>'Data_in-situ'!ES179</f>
        <v>6.5</v>
      </c>
      <c r="AK150" s="110">
        <f>'Data_in-situ'!ET179</f>
        <v>3</v>
      </c>
    </row>
    <row r="151" spans="14:37" x14ac:dyDescent="0.3">
      <c r="T151" s="113">
        <f>'Data_in-situ'!DN184</f>
        <v>1212.2979432249506</v>
      </c>
      <c r="U151" s="113">
        <f>'Data_in-situ'!DO184</f>
        <v>318.03950472765939</v>
      </c>
      <c r="V151" s="46">
        <f>'Data_in-situ'!DP184</f>
        <v>3</v>
      </c>
      <c r="W151" s="113">
        <f>'Data_in-situ'!DR184</f>
        <v>5.2453106713176574</v>
      </c>
      <c r="X151" s="113">
        <f>'Data_in-situ'!DS184</f>
        <v>10.686883582340696</v>
      </c>
      <c r="Y151" s="46">
        <f>'Data_in-situ'!DT184</f>
        <v>3</v>
      </c>
      <c r="AF151" s="113">
        <f>'Data_in-situ'!EN180</f>
        <v>-7.05</v>
      </c>
      <c r="AG151" s="113">
        <f>'Data_in-situ'!EO180</f>
        <v>2.8714108030722461</v>
      </c>
      <c r="AH151" s="110">
        <f>'Data_in-situ'!EP180</f>
        <v>3</v>
      </c>
      <c r="AI151" s="113">
        <f>'Data_in-situ'!ER180</f>
        <v>-16.899999999999999</v>
      </c>
      <c r="AJ151" s="113">
        <f>'Data_in-situ'!ES180</f>
        <v>10.5</v>
      </c>
      <c r="AK151" s="110">
        <f>'Data_in-situ'!ET180</f>
        <v>3</v>
      </c>
    </row>
    <row r="152" spans="14:37" x14ac:dyDescent="0.3">
      <c r="T152" s="113">
        <f>'Data_in-situ'!DN185</f>
        <v>319.20253634957294</v>
      </c>
      <c r="U152" s="113">
        <f>'Data_in-situ'!DO185</f>
        <v>123.29702910462079</v>
      </c>
      <c r="V152" s="46">
        <f>'Data_in-situ'!DP185</f>
        <v>3</v>
      </c>
      <c r="W152" s="113">
        <f>'Data_in-situ'!DR185</f>
        <v>5.2453106713176574</v>
      </c>
      <c r="X152" s="113">
        <f>'Data_in-situ'!DS185</f>
        <v>10.686883582340696</v>
      </c>
      <c r="Y152" s="46">
        <f>'Data_in-situ'!DT185</f>
        <v>3</v>
      </c>
      <c r="AF152" s="113">
        <f>'Data_in-situ'!EN181</f>
        <v>-8.5500000000000007</v>
      </c>
      <c r="AG152" s="113">
        <f>'Data_in-situ'!EO181</f>
        <v>4.9678969393496883</v>
      </c>
      <c r="AH152" s="110">
        <f>'Data_in-situ'!EP181</f>
        <v>3</v>
      </c>
      <c r="AI152" s="113">
        <f>'Data_in-situ'!ER181</f>
        <v>-16.2</v>
      </c>
      <c r="AJ152" s="113">
        <f>'Data_in-situ'!ES181</f>
        <v>8</v>
      </c>
      <c r="AK152" s="110">
        <f>'Data_in-situ'!ET181</f>
        <v>3</v>
      </c>
    </row>
    <row r="153" spans="14:37" x14ac:dyDescent="0.3">
      <c r="T153" s="113">
        <f>'Data_in-situ'!DN186</f>
        <v>396.02095568448323</v>
      </c>
      <c r="U153" s="113">
        <f>'Data_in-situ'!DO186</f>
        <v>825.11321611621167</v>
      </c>
      <c r="V153" s="46">
        <f>'Data_in-situ'!DP186</f>
        <v>3</v>
      </c>
      <c r="W153" s="113">
        <f>'Data_in-situ'!DR186</f>
        <v>5.2453106713176574</v>
      </c>
      <c r="X153" s="113">
        <f>'Data_in-situ'!DS186</f>
        <v>10.686883582340696</v>
      </c>
      <c r="Y153" s="46">
        <f>'Data_in-situ'!DT186</f>
        <v>3</v>
      </c>
      <c r="AF153" s="113">
        <f>'Data_in-situ'!EN182</f>
        <v>10.513333333333334</v>
      </c>
      <c r="AG153" s="113">
        <f>'Data_in-situ'!EO182</f>
        <v>1.0373523991392701</v>
      </c>
      <c r="AH153" s="110">
        <f>'Data_in-situ'!EP182</f>
        <v>3</v>
      </c>
      <c r="AI153" s="113">
        <f>'Data_in-situ'!ER182</f>
        <v>-89.296666666666667</v>
      </c>
      <c r="AJ153" s="113">
        <f>'Data_in-situ'!ES182</f>
        <v>4.948066962629615</v>
      </c>
      <c r="AK153" s="110">
        <f>'Data_in-situ'!ET182</f>
        <v>3</v>
      </c>
    </row>
    <row r="154" spans="14:37" x14ac:dyDescent="0.3">
      <c r="T154" s="113">
        <f>'Data_in-situ'!DN187</f>
        <v>353.77082505028261</v>
      </c>
      <c r="U154" s="113">
        <f>'Data_in-situ'!DO187</f>
        <v>377.4427718737299</v>
      </c>
      <c r="V154" s="46">
        <f>'Data_in-situ'!DP187</f>
        <v>3</v>
      </c>
      <c r="W154" s="113">
        <f>'Data_in-situ'!DR187</f>
        <v>5.2453106713176574</v>
      </c>
      <c r="X154" s="113">
        <f>'Data_in-situ'!DS187</f>
        <v>10.686883582340696</v>
      </c>
      <c r="Y154" s="46">
        <f>'Data_in-situ'!DT187</f>
        <v>3</v>
      </c>
      <c r="AF154" s="113">
        <f>'Data_in-situ'!EN183</f>
        <v>21.581790123456788</v>
      </c>
      <c r="AG154" s="113">
        <f>'Data_in-situ'!EO183</f>
        <v>1.1499049536443477</v>
      </c>
      <c r="AH154" s="110">
        <f>'Data_in-situ'!EP183</f>
        <v>3</v>
      </c>
      <c r="AI154" s="113">
        <f>'Data_in-situ'!ER183</f>
        <v>-89.296666666666667</v>
      </c>
      <c r="AJ154" s="113">
        <f>'Data_in-situ'!ES183</f>
        <v>4.948066962629615</v>
      </c>
      <c r="AK154" s="110">
        <f>'Data_in-situ'!ET183</f>
        <v>3</v>
      </c>
    </row>
    <row r="155" spans="14:37" x14ac:dyDescent="0.3">
      <c r="T155" s="113">
        <f>'Data_in-situ'!DN188</f>
        <v>1212.2979432249506</v>
      </c>
      <c r="U155" s="113">
        <f>'Data_in-situ'!DO188</f>
        <v>318.03950472765939</v>
      </c>
      <c r="V155" s="46">
        <f>'Data_in-situ'!DP188</f>
        <v>3</v>
      </c>
      <c r="W155" s="113">
        <f>'Data_in-situ'!DR188</f>
        <v>4.8706456233663973</v>
      </c>
      <c r="X155" s="113">
        <f>'Data_in-situ'!DS188</f>
        <v>10.042950275238745</v>
      </c>
      <c r="Y155" s="46">
        <f>'Data_in-situ'!DT188</f>
        <v>3</v>
      </c>
      <c r="AF155" s="113">
        <f>'Data_in-situ'!EN184</f>
        <v>15.494138888888889</v>
      </c>
      <c r="AG155" s="113">
        <f>'Data_in-situ'!EO184</f>
        <v>0.77024816389862394</v>
      </c>
      <c r="AH155" s="110">
        <f>'Data_in-situ'!EP184</f>
        <v>3</v>
      </c>
      <c r="AI155" s="113">
        <f>'Data_in-situ'!ER184</f>
        <v>-89.296666666666667</v>
      </c>
      <c r="AJ155" s="113">
        <f>'Data_in-situ'!ES184</f>
        <v>4.948066962629615</v>
      </c>
      <c r="AK155" s="110">
        <f>'Data_in-situ'!ET184</f>
        <v>3</v>
      </c>
    </row>
    <row r="156" spans="14:37" x14ac:dyDescent="0.3">
      <c r="T156" s="113">
        <f>'Data_in-situ'!DN189</f>
        <v>1212.2979432249506</v>
      </c>
      <c r="U156" s="113">
        <f>'Data_in-situ'!DO189</f>
        <v>318.03950472765939</v>
      </c>
      <c r="V156" s="46">
        <f>'Data_in-situ'!DP189</f>
        <v>3</v>
      </c>
      <c r="W156" s="113">
        <f>'Data_in-situ'!DR189</f>
        <v>4.4959805754151345</v>
      </c>
      <c r="X156" s="113">
        <f>'Data_in-situ'!DS189</f>
        <v>9.194274493457808</v>
      </c>
      <c r="Y156" s="46">
        <f>'Data_in-situ'!DT189</f>
        <v>3</v>
      </c>
      <c r="AF156" s="113">
        <f>'Data_in-situ'!EN185</f>
        <v>-29.297839506172831</v>
      </c>
      <c r="AG156" s="113">
        <f>'Data_in-situ'!EO185</f>
        <v>7.4871417952407429</v>
      </c>
      <c r="AH156" s="110">
        <f>'Data_in-situ'!EP185</f>
        <v>3</v>
      </c>
      <c r="AI156" s="113">
        <f>'Data_in-situ'!ER185</f>
        <v>-89.296666666666667</v>
      </c>
      <c r="AJ156" s="113">
        <f>'Data_in-situ'!ES185</f>
        <v>4.948066962629615</v>
      </c>
      <c r="AK156" s="110">
        <f>'Data_in-situ'!ET185</f>
        <v>3</v>
      </c>
    </row>
    <row r="157" spans="14:37" x14ac:dyDescent="0.3">
      <c r="T157" s="113">
        <f>'Data_in-situ'!DN190</f>
        <v>1212.2979432249506</v>
      </c>
      <c r="U157" s="113">
        <f>'Data_in-situ'!DO190</f>
        <v>318.03950472765939</v>
      </c>
      <c r="V157" s="46">
        <f>'Data_in-situ'!DP190</f>
        <v>3</v>
      </c>
      <c r="W157" s="113">
        <f>'Data_in-situ'!DR190</f>
        <v>6.3693058151714421</v>
      </c>
      <c r="X157" s="113">
        <f>'Data_in-situ'!DS190</f>
        <v>13.141978030809039</v>
      </c>
      <c r="Y157" s="46">
        <f>'Data_in-situ'!DT190</f>
        <v>3</v>
      </c>
      <c r="AF157" s="113">
        <f>'Data_in-situ'!EN186</f>
        <v>-15.092592592592601</v>
      </c>
      <c r="AG157" s="113">
        <f>'Data_in-situ'!EO186</f>
        <v>7.11534501237022</v>
      </c>
      <c r="AH157" s="110">
        <f>'Data_in-situ'!EP186</f>
        <v>3</v>
      </c>
      <c r="AI157" s="113">
        <f>'Data_in-situ'!ER186</f>
        <v>-89.296666666666667</v>
      </c>
      <c r="AJ157" s="113">
        <f>'Data_in-situ'!ES186</f>
        <v>4.948066962629615</v>
      </c>
      <c r="AK157" s="110">
        <f>'Data_in-situ'!ET186</f>
        <v>3</v>
      </c>
    </row>
    <row r="158" spans="14:37" x14ac:dyDescent="0.3">
      <c r="T158" s="113">
        <f>'Data_in-situ'!DN191</f>
        <v>353.77082505028261</v>
      </c>
      <c r="U158" s="113">
        <f>'Data_in-situ'!DO191</f>
        <v>377.4427718737299</v>
      </c>
      <c r="V158" s="46">
        <f>'Data_in-situ'!DP191</f>
        <v>3</v>
      </c>
      <c r="W158" s="113">
        <f>'Data_in-situ'!DR191</f>
        <v>4.8706456233663973</v>
      </c>
      <c r="X158" s="113">
        <f>'Data_in-situ'!DS191</f>
        <v>10.042950275238745</v>
      </c>
      <c r="Y158" s="46">
        <f>'Data_in-situ'!DT191</f>
        <v>3</v>
      </c>
      <c r="AF158" s="113">
        <f>'Data_in-situ'!EN187</f>
        <v>-22.905478395061731</v>
      </c>
      <c r="AG158" s="113">
        <f>'Data_in-situ'!EO187</f>
        <v>5.2162753162474411</v>
      </c>
      <c r="AH158" s="110">
        <f>'Data_in-situ'!EP187</f>
        <v>3</v>
      </c>
      <c r="AI158" s="113">
        <f>'Data_in-situ'!ER187</f>
        <v>-89.296666666666667</v>
      </c>
      <c r="AJ158" s="113">
        <f>'Data_in-situ'!ES187</f>
        <v>4.948066962629615</v>
      </c>
      <c r="AK158" s="110">
        <f>'Data_in-situ'!ET187</f>
        <v>3</v>
      </c>
    </row>
    <row r="159" spans="14:37" x14ac:dyDescent="0.3">
      <c r="T159" s="113">
        <f>'Data_in-situ'!DN192</f>
        <v>353.77082505028261</v>
      </c>
      <c r="U159" s="113">
        <f>'Data_in-situ'!DO192</f>
        <v>377.4427718737299</v>
      </c>
      <c r="V159" s="46">
        <f>'Data_in-situ'!DP192</f>
        <v>3</v>
      </c>
      <c r="W159" s="113">
        <f>'Data_in-situ'!DR192</f>
        <v>4.4959805754151345</v>
      </c>
      <c r="X159" s="113">
        <f>'Data_in-situ'!DS192</f>
        <v>9.194274493457808</v>
      </c>
      <c r="Y159" s="46">
        <f>'Data_in-situ'!DT192</f>
        <v>3</v>
      </c>
      <c r="AF159" s="113">
        <f>'Data_in-situ'!EN188</f>
        <v>15.494138888888889</v>
      </c>
      <c r="AG159" s="113">
        <f>'Data_in-situ'!EO188</f>
        <v>0.77024816389862394</v>
      </c>
      <c r="AH159" s="110">
        <f>'Data_in-situ'!EP188</f>
        <v>3</v>
      </c>
      <c r="AI159" s="113">
        <f>'Data_in-situ'!ER188</f>
        <v>-91.63</v>
      </c>
      <c r="AJ159" s="113">
        <f>'Data_in-situ'!ES188</f>
        <v>7.7942286340599471</v>
      </c>
      <c r="AK159" s="110">
        <f>'Data_in-situ'!ET188</f>
        <v>3</v>
      </c>
    </row>
    <row r="160" spans="14:37" x14ac:dyDescent="0.3">
      <c r="T160" s="113">
        <f>'Data_in-situ'!DN193</f>
        <v>353.77082505028261</v>
      </c>
      <c r="U160" s="113">
        <f>'Data_in-situ'!DO193</f>
        <v>377.4427718737299</v>
      </c>
      <c r="V160" s="46">
        <f>'Data_in-situ'!DP193</f>
        <v>3</v>
      </c>
      <c r="W160" s="113">
        <f>'Data_in-situ'!DR193</f>
        <v>6.3693058151714421</v>
      </c>
      <c r="X160" s="113">
        <f>'Data_in-situ'!DS193</f>
        <v>13.141978030809039</v>
      </c>
      <c r="Y160" s="46">
        <f>'Data_in-situ'!DT193</f>
        <v>3</v>
      </c>
      <c r="AF160" s="113">
        <f>'Data_in-situ'!EN189</f>
        <v>15.494138888888889</v>
      </c>
      <c r="AG160" s="113">
        <f>'Data_in-situ'!EO189</f>
        <v>0.77024816389862394</v>
      </c>
      <c r="AH160" s="110">
        <f>'Data_in-situ'!EP189</f>
        <v>3</v>
      </c>
      <c r="AI160" s="113">
        <f>'Data_in-situ'!ER189</f>
        <v>-87.6</v>
      </c>
      <c r="AJ160" s="113">
        <f>'Data_in-situ'!ES189</f>
        <v>10.825317547305483</v>
      </c>
      <c r="AK160" s="110">
        <f>'Data_in-situ'!ET189</f>
        <v>3</v>
      </c>
    </row>
    <row r="161" spans="20:37" x14ac:dyDescent="0.3">
      <c r="T161" s="113">
        <f>'Data_in-situ'!DN194</f>
        <v>116</v>
      </c>
      <c r="U161" s="113">
        <f>'Data_in-situ'!DO194</f>
        <v>129.32599754255131</v>
      </c>
      <c r="V161" s="46">
        <f>'Data_in-situ'!DP194</f>
        <v>6</v>
      </c>
      <c r="W161" s="113">
        <f>'Data_in-situ'!DR194</f>
        <v>-9</v>
      </c>
      <c r="X161" s="113">
        <f>'Data_in-situ'!DS194</f>
        <v>33.634946651679087</v>
      </c>
      <c r="Y161" s="46">
        <f>'Data_in-situ'!DT194</f>
        <v>6</v>
      </c>
      <c r="AF161" s="113">
        <f>'Data_in-situ'!EN190</f>
        <v>15.494138888888889</v>
      </c>
      <c r="AG161" s="113">
        <f>'Data_in-situ'!EO190</f>
        <v>0.77024816389862394</v>
      </c>
      <c r="AH161" s="110">
        <f>'Data_in-situ'!EP190</f>
        <v>3</v>
      </c>
      <c r="AI161" s="113">
        <f>'Data_in-situ'!ER190</f>
        <v>-89.296666666666667</v>
      </c>
      <c r="AJ161" s="113">
        <f>'Data_in-situ'!ES190</f>
        <v>6.512511036458978</v>
      </c>
      <c r="AK161" s="110">
        <f>'Data_in-situ'!ET190</f>
        <v>3</v>
      </c>
    </row>
    <row r="162" spans="20:37" x14ac:dyDescent="0.3">
      <c r="T162" s="113">
        <f>'Data_in-situ'!DN195</f>
        <v>157.55702481107656</v>
      </c>
      <c r="U162" s="113">
        <f>'Data_in-situ'!DO195</f>
        <v>48.678566846799022</v>
      </c>
      <c r="V162" s="46">
        <f>'Data_in-situ'!DP195</f>
        <v>3</v>
      </c>
      <c r="W162" s="113">
        <f>'Data_in-situ'!DR195</f>
        <v>113.18254393770165</v>
      </c>
      <c r="X162" s="113">
        <f>'Data_in-situ'!DS195</f>
        <v>73.207043848592377</v>
      </c>
      <c r="Y162" s="46">
        <f>'Data_in-situ'!DT195</f>
        <v>3</v>
      </c>
      <c r="AF162" s="113">
        <f>'Data_in-situ'!EN191</f>
        <v>-22.905478395061731</v>
      </c>
      <c r="AG162" s="113">
        <f>'Data_in-situ'!EO191</f>
        <v>5.2162753162474411</v>
      </c>
      <c r="AH162" s="110">
        <f>'Data_in-situ'!EP191</f>
        <v>3</v>
      </c>
      <c r="AI162" s="113">
        <f>'Data_in-situ'!ER191</f>
        <v>-91.63</v>
      </c>
      <c r="AJ162" s="113">
        <f>'Data_in-situ'!ES191</f>
        <v>7.7942286340599471</v>
      </c>
      <c r="AK162" s="110">
        <f>'Data_in-situ'!ET191</f>
        <v>3</v>
      </c>
    </row>
    <row r="163" spans="20:37" x14ac:dyDescent="0.3">
      <c r="T163" s="113">
        <f>'Data_in-situ'!DN196</f>
        <v>20.372391781452269</v>
      </c>
      <c r="U163" s="113">
        <f>'Data_in-situ'!DO196</f>
        <v>47.083328695005008</v>
      </c>
      <c r="V163" s="46">
        <f>'Data_in-situ'!DP196</f>
        <v>3</v>
      </c>
      <c r="W163" s="113">
        <f>'Data_in-situ'!DR196</f>
        <v>23.189276423209868</v>
      </c>
      <c r="X163" s="113">
        <f>'Data_in-situ'!DS196</f>
        <v>55.90659464438842</v>
      </c>
      <c r="Y163" s="46">
        <f>'Data_in-situ'!DT196</f>
        <v>3</v>
      </c>
      <c r="AF163" s="113">
        <f>'Data_in-situ'!EN192</f>
        <v>-22.905478395061731</v>
      </c>
      <c r="AG163" s="113">
        <f>'Data_in-situ'!EO192</f>
        <v>5.2162753162474411</v>
      </c>
      <c r="AH163" s="110">
        <f>'Data_in-situ'!EP192</f>
        <v>3</v>
      </c>
      <c r="AI163" s="113">
        <f>'Data_in-situ'!ER192</f>
        <v>-87.6</v>
      </c>
      <c r="AJ163" s="113">
        <f>'Data_in-situ'!ES192</f>
        <v>10.825317547305483</v>
      </c>
      <c r="AK163" s="110">
        <f>'Data_in-situ'!ET192</f>
        <v>3</v>
      </c>
    </row>
    <row r="164" spans="20:37" x14ac:dyDescent="0.3">
      <c r="T164" s="113">
        <f>'Data_in-situ'!DN197</f>
        <v>155.82698820258872</v>
      </c>
      <c r="U164" s="113">
        <f>'Data_in-situ'!DO197</f>
        <v>23.032741265577613</v>
      </c>
      <c r="V164" s="46">
        <f>'Data_in-situ'!DP197</f>
        <v>3</v>
      </c>
      <c r="W164" s="113">
        <f>'Data_in-situ'!DR197</f>
        <v>112.44558555457438</v>
      </c>
      <c r="X164" s="113">
        <f>'Data_in-situ'!DS197</f>
        <v>45.444038695017397</v>
      </c>
      <c r="Y164" s="46">
        <f>'Data_in-situ'!DT197</f>
        <v>3</v>
      </c>
      <c r="AF164" s="113">
        <f>'Data_in-situ'!EN193</f>
        <v>-22.905478395061731</v>
      </c>
      <c r="AG164" s="113">
        <f>'Data_in-situ'!EO193</f>
        <v>5.2162753162474411</v>
      </c>
      <c r="AH164" s="110">
        <f>'Data_in-situ'!EP193</f>
        <v>3</v>
      </c>
      <c r="AI164" s="113">
        <f>'Data_in-situ'!ER193</f>
        <v>-89.296666666666667</v>
      </c>
      <c r="AJ164" s="113">
        <f>'Data_in-situ'!ES193</f>
        <v>6.512511036458978</v>
      </c>
      <c r="AK164" s="110">
        <f>'Data_in-situ'!ET193</f>
        <v>3</v>
      </c>
    </row>
    <row r="165" spans="20:37" x14ac:dyDescent="0.3">
      <c r="T165" s="113">
        <f>'Data_in-situ'!DN198</f>
        <v>26.090957895544143</v>
      </c>
      <c r="U165" s="113">
        <f>'Data_in-situ'!DO198</f>
        <v>4.5126597497032837</v>
      </c>
      <c r="V165" s="46">
        <f>'Data_in-situ'!DP198</f>
        <v>3</v>
      </c>
      <c r="W165" s="113">
        <f>'Data_in-situ'!DR198</f>
        <v>36.800373454224456</v>
      </c>
      <c r="X165" s="113">
        <f>'Data_in-situ'!DS198</f>
        <v>16.18313151345119</v>
      </c>
      <c r="Y165" s="46">
        <f>'Data_in-situ'!DT198</f>
        <v>3</v>
      </c>
      <c r="AF165" s="113">
        <f>'Data_in-situ'!EN194</f>
        <v>-7</v>
      </c>
      <c r="AG165" s="113">
        <f>'Data_in-situ'!EO194</f>
        <v>2.8524747912590533</v>
      </c>
      <c r="AH165" s="110">
        <f>'Data_in-situ'!EP194</f>
        <v>6</v>
      </c>
      <c r="AI165" s="113">
        <f>'Data_in-situ'!ER194</f>
        <v>-57</v>
      </c>
      <c r="AJ165" s="113">
        <f>'Data_in-situ'!ES194</f>
        <v>12.928401050024068</v>
      </c>
      <c r="AK165" s="110">
        <f>'Data_in-situ'!ET194</f>
        <v>6</v>
      </c>
    </row>
    <row r="166" spans="20:37" x14ac:dyDescent="0.3">
      <c r="T166" s="113">
        <f>'Data_in-situ'!DN200</f>
        <v>245.98402154970469</v>
      </c>
      <c r="U166" s="113">
        <f>'Data_in-situ'!DO200</f>
        <v>274.24249109003443</v>
      </c>
      <c r="V166" s="46">
        <f>'Data_in-situ'!DP200</f>
        <v>1</v>
      </c>
      <c r="W166" s="113">
        <f>'Data_in-situ'!DR200</f>
        <v>137.10405045597599</v>
      </c>
      <c r="X166" s="113">
        <f>'Data_in-situ'!DS200</f>
        <v>512.38749142398558</v>
      </c>
      <c r="Y166" s="46">
        <f>'Data_in-situ'!DT200</f>
        <v>1</v>
      </c>
      <c r="AF166" s="113">
        <f>'Data_in-situ'!EN195</f>
        <v>-8.1</v>
      </c>
      <c r="AG166" s="113">
        <f>'Data_in-situ'!EO195</f>
        <v>1.2</v>
      </c>
      <c r="AH166" s="110">
        <f>'Data_in-situ'!EP195</f>
        <v>3</v>
      </c>
      <c r="AI166" s="113">
        <f>'Data_in-situ'!ER195</f>
        <v>-13.1</v>
      </c>
      <c r="AJ166" s="113">
        <f>'Data_in-situ'!ES195</f>
        <v>0.8</v>
      </c>
      <c r="AK166" s="110">
        <f>'Data_in-situ'!ET195</f>
        <v>3</v>
      </c>
    </row>
    <row r="167" spans="20:37" x14ac:dyDescent="0.3">
      <c r="T167" s="113">
        <f>'Data_in-situ'!DN201</f>
        <v>54.705882352941174</v>
      </c>
      <c r="U167" s="113">
        <f>'Data_in-situ'!DO201</f>
        <v>60.990455230513547</v>
      </c>
      <c r="V167" s="46">
        <f>'Data_in-situ'!DP201</f>
        <v>3</v>
      </c>
      <c r="W167" s="113">
        <f>'Data_in-situ'!DR201</f>
        <v>0</v>
      </c>
      <c r="X167" s="113">
        <f>'Data_in-situ'!DS201</f>
        <v>0</v>
      </c>
      <c r="Y167" s="46">
        <f>'Data_in-situ'!DT201</f>
        <v>3</v>
      </c>
      <c r="AF167" s="113">
        <f>'Data_in-situ'!EN196</f>
        <v>-20.399999999999999</v>
      </c>
      <c r="AG167" s="113">
        <f>'Data_in-situ'!EO196</f>
        <v>2.2999999999999998</v>
      </c>
      <c r="AH167" s="110">
        <f>'Data_in-situ'!EP196</f>
        <v>3</v>
      </c>
      <c r="AI167" s="113">
        <f>'Data_in-situ'!ER196</f>
        <v>-28.4</v>
      </c>
      <c r="AJ167" s="113">
        <f>'Data_in-situ'!ES196</f>
        <v>3.2</v>
      </c>
      <c r="AK167" s="110">
        <f>'Data_in-situ'!ET196</f>
        <v>3</v>
      </c>
    </row>
    <row r="168" spans="20:37" x14ac:dyDescent="0.3">
      <c r="T168" s="113">
        <f>'Data_in-situ'!DN202</f>
        <v>57.352941176470587</v>
      </c>
      <c r="U168" s="113">
        <f>'Data_in-situ'!DO202</f>
        <v>63.941606290054523</v>
      </c>
      <c r="V168" s="46">
        <f>'Data_in-situ'!DP202</f>
        <v>3</v>
      </c>
      <c r="W168" s="113">
        <f>'Data_in-situ'!DR202</f>
        <v>0</v>
      </c>
      <c r="X168" s="113">
        <f>'Data_in-situ'!DS202</f>
        <v>0</v>
      </c>
      <c r="Y168" s="46">
        <f>'Data_in-situ'!DT202</f>
        <v>3</v>
      </c>
      <c r="AF168" s="113">
        <f>'Data_in-situ'!EN197</f>
        <v>-8.1</v>
      </c>
      <c r="AG168" s="113">
        <f>'Data_in-situ'!EO197</f>
        <v>1.2</v>
      </c>
      <c r="AH168" s="110">
        <f>'Data_in-situ'!EP197</f>
        <v>3</v>
      </c>
      <c r="AI168" s="113">
        <f>'Data_in-situ'!ER197</f>
        <v>-13.1</v>
      </c>
      <c r="AJ168" s="113">
        <f>'Data_in-situ'!ES197</f>
        <v>0.8</v>
      </c>
      <c r="AK168" s="110">
        <f>'Data_in-situ'!ET197</f>
        <v>3</v>
      </c>
    </row>
    <row r="169" spans="20:37" x14ac:dyDescent="0.3">
      <c r="T169" s="113">
        <f>'Data_in-situ'!DN205</f>
        <v>1.365079365079364</v>
      </c>
      <c r="U169" s="113">
        <f>'Data_in-situ'!DO205</f>
        <v>1.1269841269841301</v>
      </c>
      <c r="V169" s="46">
        <f>'Data_in-situ'!DP205</f>
        <v>4</v>
      </c>
      <c r="W169" s="113">
        <f>'Data_in-situ'!DR205</f>
        <v>-2.3809523809523801E-2</v>
      </c>
      <c r="X169" s="113">
        <f>'Data_in-situ'!DS205</f>
        <v>4.7619047619047603E-2</v>
      </c>
      <c r="Y169" s="46">
        <f>'Data_in-situ'!DT205</f>
        <v>4</v>
      </c>
      <c r="AF169" s="113">
        <f>'Data_in-situ'!EN198</f>
        <v>-20.399999999999999</v>
      </c>
      <c r="AG169" s="113">
        <f>'Data_in-situ'!EO198</f>
        <v>2.2999999999999998</v>
      </c>
      <c r="AH169" s="110">
        <f>'Data_in-situ'!EP198</f>
        <v>3</v>
      </c>
      <c r="AI169" s="113">
        <f>'Data_in-situ'!ER198</f>
        <v>-28.4</v>
      </c>
      <c r="AJ169" s="113">
        <f>'Data_in-situ'!ES198</f>
        <v>3.2</v>
      </c>
      <c r="AK169" s="110">
        <f>'Data_in-situ'!ET198</f>
        <v>3</v>
      </c>
    </row>
    <row r="170" spans="20:37" x14ac:dyDescent="0.3">
      <c r="T170" s="113">
        <f>'Data_in-situ'!DN206</f>
        <v>463.27543921409523</v>
      </c>
      <c r="U170" s="113">
        <f>'Data_in-situ'!DO206</f>
        <v>273.82684401702096</v>
      </c>
      <c r="V170" s="46">
        <f>'Data_in-situ'!DP206</f>
        <v>10</v>
      </c>
      <c r="W170" s="113">
        <f>'Data_in-situ'!DR206</f>
        <v>96.95483735641497</v>
      </c>
      <c r="X170" s="113">
        <f>'Data_in-situ'!DS206</f>
        <v>59.158355726925045</v>
      </c>
      <c r="Y170" s="46">
        <f>'Data_in-situ'!DT206</f>
        <v>10</v>
      </c>
      <c r="AF170" s="113">
        <f>'Data_in-situ'!EN199</f>
        <v>-20.100000000000001</v>
      </c>
      <c r="AG170" s="113">
        <f>'Data_in-situ'!EO199</f>
        <v>2</v>
      </c>
      <c r="AH170" s="110">
        <f>'Data_in-situ'!EP199</f>
        <v>16</v>
      </c>
      <c r="AI170" s="113">
        <f>'Data_in-situ'!ER199</f>
        <v>-38.200000000000003</v>
      </c>
      <c r="AJ170" s="113">
        <f>'Data_in-situ'!ES199</f>
        <v>2</v>
      </c>
      <c r="AK170" s="110">
        <f>'Data_in-situ'!ET199</f>
        <v>16</v>
      </c>
    </row>
    <row r="171" spans="20:37" x14ac:dyDescent="0.3">
      <c r="T171" s="113">
        <f>'Data_in-situ'!DN207</f>
        <v>-3.4702280090943463</v>
      </c>
      <c r="U171" s="113">
        <f>'Data_in-situ'!DO207</f>
        <v>1.9645331933110226</v>
      </c>
      <c r="V171" s="46">
        <f>'Data_in-situ'!DP207</f>
        <v>10</v>
      </c>
      <c r="W171" s="113">
        <f>'Data_in-situ'!DR207</f>
        <v>5.0366149276059726</v>
      </c>
      <c r="X171" s="113">
        <f>'Data_in-situ'!DS207</f>
        <v>17.873807602780403</v>
      </c>
      <c r="Y171" s="46">
        <f>'Data_in-situ'!DT207</f>
        <v>10</v>
      </c>
      <c r="AF171" s="113">
        <f>'Data_in-situ'!EN200</f>
        <v>-23</v>
      </c>
      <c r="AG171" s="113">
        <f>'Data_in-situ'!EO200</f>
        <v>3.2</v>
      </c>
      <c r="AH171" s="110">
        <f>'Data_in-situ'!EP200</f>
        <v>16</v>
      </c>
      <c r="AI171" s="113">
        <f>'Data_in-situ'!ER200</f>
        <v>-35.299999999999997</v>
      </c>
      <c r="AJ171" s="113">
        <f>'Data_in-situ'!ES200</f>
        <v>4.4000000000000004</v>
      </c>
      <c r="AK171" s="110">
        <f>'Data_in-situ'!ET200</f>
        <v>16</v>
      </c>
    </row>
    <row r="172" spans="20:37" x14ac:dyDescent="0.3">
      <c r="T172" s="113">
        <f>'Data_in-situ'!DN208</f>
        <v>576.05784950966154</v>
      </c>
      <c r="U172" s="113">
        <f>'Data_in-situ'!DO208</f>
        <v>329.18150586510939</v>
      </c>
      <c r="V172" s="46">
        <f>'Data_in-situ'!DP208</f>
        <v>4</v>
      </c>
      <c r="W172" s="113">
        <f>'Data_in-situ'!DR208</f>
        <v>132.21114184965677</v>
      </c>
      <c r="X172" s="113">
        <f>'Data_in-situ'!DS208</f>
        <v>124.13591126677807</v>
      </c>
      <c r="Y172" s="46">
        <f>'Data_in-situ'!DT208</f>
        <v>4</v>
      </c>
      <c r="AF172" s="113">
        <f>'Data_in-situ'!EN201</f>
        <v>7.1</v>
      </c>
      <c r="AG172" s="113">
        <f>'Data_in-situ'!EO201</f>
        <v>1.3435028842544376</v>
      </c>
      <c r="AH172" s="110">
        <f>'Data_in-situ'!EP201</f>
        <v>3</v>
      </c>
      <c r="AI172" s="113">
        <f>'Data_in-situ'!ER201</f>
        <v>-26</v>
      </c>
      <c r="AJ172" s="113">
        <f>'Data_in-situ'!ES201</f>
        <v>5.6568542494923806</v>
      </c>
      <c r="AK172" s="110">
        <f>'Data_in-situ'!ET201</f>
        <v>3</v>
      </c>
    </row>
    <row r="173" spans="20:37" x14ac:dyDescent="0.3">
      <c r="T173" s="113">
        <f>'Data_in-situ'!DN209</f>
        <v>-5.2053420136415198</v>
      </c>
      <c r="U173" s="113">
        <f>'Data_in-situ'!DO209</f>
        <v>2.2181869265634826</v>
      </c>
      <c r="V173" s="46">
        <f>'Data_in-situ'!DP209</f>
        <v>4</v>
      </c>
      <c r="W173" s="113">
        <f>'Data_in-situ'!DR209</f>
        <v>-1.2591537319014932</v>
      </c>
      <c r="X173" s="113">
        <f>'Data_in-situ'!DS209</f>
        <v>2.6242999817463004</v>
      </c>
      <c r="Y173" s="46">
        <f>'Data_in-situ'!DT209</f>
        <v>4</v>
      </c>
      <c r="AF173" s="113">
        <f>'Data_in-situ'!EN202</f>
        <v>14.2</v>
      </c>
      <c r="AG173" s="113">
        <f>'Data_in-situ'!EO202</f>
        <v>1.9091883092036779</v>
      </c>
      <c r="AH173" s="110">
        <f>'Data_in-situ'!EP202</f>
        <v>3</v>
      </c>
      <c r="AI173" s="113">
        <f>'Data_in-situ'!ER202</f>
        <v>-26.3</v>
      </c>
      <c r="AJ173" s="113">
        <f>'Data_in-situ'!ES202</f>
        <v>4.6669047558312107</v>
      </c>
      <c r="AK173" s="110">
        <f>'Data_in-situ'!ET202</f>
        <v>3</v>
      </c>
    </row>
    <row r="174" spans="20:37" x14ac:dyDescent="0.3">
      <c r="T174" s="113">
        <f>'Data_in-situ'!DN210</f>
        <v>34.702280090943461</v>
      </c>
      <c r="U174" s="113">
        <f>'Data_in-situ'!DO210</f>
        <v>38.688853360019664</v>
      </c>
      <c r="V174" s="46">
        <f>'Data_in-situ'!DP210</f>
        <v>10</v>
      </c>
      <c r="W174" s="113">
        <f>'Data_in-situ'!DR210</f>
        <v>27.701382101832849</v>
      </c>
      <c r="X174" s="113">
        <f>'Data_in-situ'!DS210</f>
        <v>103.52605657476954</v>
      </c>
      <c r="Y174" s="46">
        <f>'Data_in-situ'!DT210</f>
        <v>10</v>
      </c>
      <c r="AF174" s="113">
        <f>'Data_in-situ'!EN203</f>
        <v>3</v>
      </c>
      <c r="AG174" s="113">
        <f>'Data_in-situ'!EO203</f>
        <v>1.22248919625388</v>
      </c>
      <c r="AH174" s="110">
        <f>'Data_in-situ'!EP203</f>
        <v>3</v>
      </c>
      <c r="AI174" s="113">
        <f>'Data_in-situ'!ER203</f>
        <v>-42</v>
      </c>
      <c r="AJ174" s="113">
        <f>'Data_in-situ'!ES203</f>
        <v>9.5261902473861557</v>
      </c>
      <c r="AK174" s="110">
        <f>'Data_in-situ'!ET203</f>
        <v>3</v>
      </c>
    </row>
    <row r="175" spans="20:37" x14ac:dyDescent="0.3">
      <c r="T175" s="113">
        <f>'Data_in-situ'!DN211</f>
        <v>679.54671344272833</v>
      </c>
      <c r="U175" s="113">
        <f>'Data_in-situ'!DO211</f>
        <v>860.0591867401946</v>
      </c>
      <c r="V175" s="46">
        <f>'Data_in-situ'!DP211</f>
        <v>46</v>
      </c>
      <c r="W175" s="113">
        <f>'Data_in-situ'!DR211</f>
        <v>15.65177995944169</v>
      </c>
      <c r="X175" s="113">
        <f>'Data_in-situ'!DS211</f>
        <v>24.385487937237958</v>
      </c>
      <c r="Y175" s="46">
        <f>'Data_in-situ'!DT211</f>
        <v>73</v>
      </c>
      <c r="AF175" s="113">
        <f>'Data_in-situ'!EN204</f>
        <v>3</v>
      </c>
      <c r="AG175" s="113">
        <f>'Data_in-situ'!EO204</f>
        <v>1.22248919625388</v>
      </c>
      <c r="AH175" s="110">
        <f>'Data_in-situ'!EP204</f>
        <v>3</v>
      </c>
      <c r="AI175" s="113">
        <f>'Data_in-situ'!ER204</f>
        <v>-41</v>
      </c>
      <c r="AJ175" s="113">
        <f>'Data_in-situ'!ES204</f>
        <v>9.2993761938769612</v>
      </c>
      <c r="AK175" s="110">
        <f>'Data_in-situ'!ET204</f>
        <v>3</v>
      </c>
    </row>
    <row r="176" spans="20:37" x14ac:dyDescent="0.3">
      <c r="T176" s="113">
        <f>'Data_in-situ'!DN212</f>
        <v>70.824570735895975</v>
      </c>
      <c r="U176" s="113">
        <f>'Data_in-situ'!DO212</f>
        <v>78.960847077092538</v>
      </c>
      <c r="V176" s="46">
        <f>'Data_in-situ'!DP212</f>
        <v>46</v>
      </c>
      <c r="W176" s="113">
        <f>'Data_in-situ'!DR212</f>
        <v>-0.12589285714285717</v>
      </c>
      <c r="X176" s="113">
        <f>'Data_in-situ'!DS212</f>
        <v>0.47048883709193973</v>
      </c>
      <c r="Y176" s="46">
        <f>'Data_in-situ'!DT212</f>
        <v>66</v>
      </c>
      <c r="AF176" s="113">
        <f>'Data_in-situ'!EN205</f>
        <v>-10</v>
      </c>
      <c r="AG176" s="113">
        <f>'Data_in-situ'!EO205</f>
        <v>23</v>
      </c>
      <c r="AH176" s="110">
        <f>'Data_in-situ'!EP205</f>
        <v>4</v>
      </c>
      <c r="AI176" s="113">
        <f>'Data_in-situ'!ER205</f>
        <v>-56</v>
      </c>
      <c r="AJ176" s="113">
        <f>'Data_in-situ'!ES205</f>
        <v>34</v>
      </c>
      <c r="AK176" s="110">
        <f>'Data_in-situ'!ET205</f>
        <v>4</v>
      </c>
    </row>
    <row r="177" spans="20:37" x14ac:dyDescent="0.3">
      <c r="T177" s="113">
        <f>'Data_in-situ'!DN213</f>
        <v>5.4</v>
      </c>
      <c r="U177" s="113">
        <f>'Data_in-situ'!DO213</f>
        <v>6.0203481614635956</v>
      </c>
      <c r="V177" s="46">
        <f>'Data_in-situ'!DP213</f>
        <v>3</v>
      </c>
      <c r="W177" s="113">
        <f>'Data_in-situ'!DR213</f>
        <v>1.4</v>
      </c>
      <c r="X177" s="113">
        <f>'Data_in-situ'!DS213</f>
        <v>5.2321028124834132</v>
      </c>
      <c r="Y177" s="46">
        <f>'Data_in-situ'!DT213</f>
        <v>3</v>
      </c>
      <c r="AF177" s="113">
        <f>'Data_in-situ'!EN206</f>
        <v>3</v>
      </c>
      <c r="AG177" s="113">
        <f>'Data_in-situ'!EO206</f>
        <v>3</v>
      </c>
      <c r="AH177" s="110">
        <f>'Data_in-situ'!EP206</f>
        <v>10</v>
      </c>
      <c r="AI177" s="113">
        <f>'Data_in-situ'!ER206</f>
        <v>4</v>
      </c>
      <c r="AJ177" s="113">
        <f>'Data_in-situ'!ES206</f>
        <v>2</v>
      </c>
      <c r="AK177" s="110">
        <f>'Data_in-situ'!ET206</f>
        <v>10</v>
      </c>
    </row>
    <row r="178" spans="20:37" x14ac:dyDescent="0.3">
      <c r="T178" s="113">
        <f>'Data_in-situ'!DN214</f>
        <v>7.5</v>
      </c>
      <c r="U178" s="113">
        <f>'Data_in-situ'!DO214</f>
        <v>8.3615946686994373</v>
      </c>
      <c r="V178" s="46">
        <f>'Data_in-situ'!DP214</f>
        <v>3</v>
      </c>
      <c r="W178" s="113">
        <f>'Data_in-situ'!DR214</f>
        <v>1.6</v>
      </c>
      <c r="X178" s="113">
        <f>'Data_in-situ'!DS214</f>
        <v>5.979546071409616</v>
      </c>
      <c r="Y178" s="46">
        <f>'Data_in-situ'!DT214</f>
        <v>3</v>
      </c>
      <c r="AF178" s="113">
        <f>'Data_in-situ'!EN207</f>
        <v>-19</v>
      </c>
      <c r="AG178" s="113">
        <f>'Data_in-situ'!EO207</f>
        <v>4</v>
      </c>
      <c r="AH178" s="110">
        <f>'Data_in-situ'!EP207</f>
        <v>10</v>
      </c>
      <c r="AI178" s="113">
        <f>'Data_in-situ'!ER207</f>
        <v>-17</v>
      </c>
      <c r="AJ178" s="113">
        <f>'Data_in-situ'!ES207</f>
        <v>7</v>
      </c>
      <c r="AK178" s="110">
        <f>'Data_in-situ'!ET207</f>
        <v>10</v>
      </c>
    </row>
    <row r="179" spans="20:37" x14ac:dyDescent="0.3">
      <c r="T179" s="113">
        <f>'Data_in-situ'!DN215</f>
        <v>1948.0617366827116</v>
      </c>
      <c r="U179" s="113">
        <f>'Data_in-situ'!DO215</f>
        <v>3162.7708177229088</v>
      </c>
      <c r="V179" s="46">
        <f>'Data_in-situ'!DP215</f>
        <v>34</v>
      </c>
      <c r="W179" s="113">
        <f>'Data_in-situ'!DR215</f>
        <v>12.698456613428982</v>
      </c>
      <c r="X179" s="113">
        <f>'Data_in-situ'!DS215</f>
        <v>4.590471281452122</v>
      </c>
      <c r="Y179" s="46">
        <f>'Data_in-situ'!DT215</f>
        <v>12</v>
      </c>
      <c r="AF179" s="113">
        <f>'Data_in-situ'!EN208</f>
        <v>3</v>
      </c>
      <c r="AG179" s="113">
        <f>'Data_in-situ'!EO208</f>
        <v>3</v>
      </c>
      <c r="AH179" s="110">
        <f>'Data_in-situ'!EP208</f>
        <v>10</v>
      </c>
      <c r="AI179" s="113">
        <f>'Data_in-situ'!ER208</f>
        <v>4</v>
      </c>
      <c r="AJ179" s="113">
        <f>'Data_in-situ'!ES208</f>
        <v>2</v>
      </c>
      <c r="AK179" s="110">
        <f>'Data_in-situ'!ET208</f>
        <v>10</v>
      </c>
    </row>
    <row r="180" spans="20:37" x14ac:dyDescent="0.3">
      <c r="T180" s="113">
        <f>'Data_in-situ'!DN216</f>
        <v>36.386666666666663</v>
      </c>
      <c r="U180" s="113">
        <f>'Data_in-situ'!DO216</f>
        <v>4.1569219381653051</v>
      </c>
      <c r="V180" s="46">
        <f>'Data_in-situ'!DP216</f>
        <v>3</v>
      </c>
      <c r="W180" s="113">
        <f>'Data_in-situ'!DR216</f>
        <v>12.573333333333332</v>
      </c>
      <c r="X180" s="113">
        <f>'Data_in-situ'!DS216</f>
        <v>5.1268703904038775</v>
      </c>
      <c r="Y180" s="46">
        <f>'Data_in-situ'!DT216</f>
        <v>3</v>
      </c>
      <c r="AF180" s="113">
        <f>'Data_in-situ'!EN209</f>
        <v>-19</v>
      </c>
      <c r="AG180" s="113">
        <f>'Data_in-situ'!EO209</f>
        <v>4</v>
      </c>
      <c r="AH180" s="110">
        <f>'Data_in-situ'!EP209</f>
        <v>10</v>
      </c>
      <c r="AI180" s="113">
        <f>'Data_in-situ'!ER209</f>
        <v>-17</v>
      </c>
      <c r="AJ180" s="113">
        <f>'Data_in-situ'!ES209</f>
        <v>7</v>
      </c>
      <c r="AK180" s="110">
        <f>'Data_in-situ'!ET209</f>
        <v>10</v>
      </c>
    </row>
    <row r="181" spans="20:37" x14ac:dyDescent="0.3">
      <c r="T181" s="113">
        <f>'Data_in-situ'!DN217</f>
        <v>42.739726027397303</v>
      </c>
      <c r="U181" s="113">
        <f>'Data_in-situ'!DO217</f>
        <v>33.554654010728207</v>
      </c>
      <c r="V181" s="46">
        <f>'Data_in-situ'!DP217</f>
        <v>6</v>
      </c>
      <c r="W181" s="113">
        <f>'Data_in-situ'!DR217</f>
        <v>15.6164383561644</v>
      </c>
      <c r="X181" s="113">
        <f>'Data_in-situ'!DS217</f>
        <v>21.474978566866142</v>
      </c>
      <c r="Y181" s="46">
        <f>'Data_in-situ'!DT217</f>
        <v>6</v>
      </c>
      <c r="AF181" s="113">
        <f>'Data_in-situ'!EN211</f>
        <v>-15</v>
      </c>
      <c r="AG181" s="113">
        <f>'Data_in-situ'!EO211</f>
        <v>13</v>
      </c>
      <c r="AH181" s="110">
        <f>'Data_in-situ'!EP211</f>
        <v>9836</v>
      </c>
      <c r="AI181" s="113">
        <f>'Data_in-situ'!ER211</f>
        <v>-22</v>
      </c>
      <c r="AJ181" s="113">
        <f>'Data_in-situ'!ES211</f>
        <v>10</v>
      </c>
      <c r="AK181" s="110">
        <f>'Data_in-situ'!ET211</f>
        <v>11052</v>
      </c>
    </row>
    <row r="182" spans="20:37" x14ac:dyDescent="0.3">
      <c r="T182" s="113">
        <f>'Data_in-situ'!DN218</f>
        <v>42.739726027397296</v>
      </c>
      <c r="U182" s="113">
        <f>'Data_in-situ'!DO218</f>
        <v>33.554654010728207</v>
      </c>
      <c r="V182" s="46">
        <f>'Data_in-situ'!DP218</f>
        <v>6</v>
      </c>
      <c r="W182" s="113">
        <f>'Data_in-situ'!DR218</f>
        <v>16.164383561643799</v>
      </c>
      <c r="X182" s="113">
        <f>'Data_in-situ'!DS218</f>
        <v>14.764047764720594</v>
      </c>
      <c r="Y182" s="46">
        <f>'Data_in-situ'!DT218</f>
        <v>6</v>
      </c>
      <c r="AF182" s="113">
        <f>'Data_in-situ'!EN212</f>
        <v>-15</v>
      </c>
      <c r="AG182" s="113">
        <f>'Data_in-situ'!EO212</f>
        <v>13</v>
      </c>
      <c r="AH182" s="110">
        <f>'Data_in-situ'!EP212</f>
        <v>9836</v>
      </c>
      <c r="AI182" s="113">
        <f>'Data_in-situ'!ER212</f>
        <v>-68</v>
      </c>
      <c r="AJ182" s="113">
        <f>'Data_in-situ'!ES212</f>
        <v>23</v>
      </c>
      <c r="AK182" s="110">
        <f>'Data_in-situ'!ET212</f>
        <v>11052</v>
      </c>
    </row>
    <row r="183" spans="20:37" x14ac:dyDescent="0.3">
      <c r="T183" s="113">
        <f>'Data_in-situ'!DN219</f>
        <v>21.18</v>
      </c>
      <c r="U183" s="113">
        <f>'Data_in-situ'!DO219</f>
        <v>2.2516660498395402</v>
      </c>
      <c r="V183" s="46">
        <f>'Data_in-situ'!DP219</f>
        <v>3</v>
      </c>
      <c r="W183" s="113">
        <f>'Data_in-situ'!DR219</f>
        <v>9.06</v>
      </c>
      <c r="X183" s="113">
        <f>'Data_in-situ'!DS219</f>
        <v>0.95262794416288255</v>
      </c>
      <c r="Y183" s="46">
        <f>'Data_in-situ'!DT219</f>
        <v>3</v>
      </c>
      <c r="AF183" s="113">
        <f>'Data_in-situ'!EN213</f>
        <v>-14.909844559585478</v>
      </c>
      <c r="AG183" s="113">
        <f>'Data_in-situ'!EO213</f>
        <v>1.0723470663621506</v>
      </c>
      <c r="AH183" s="110">
        <f>'Data_in-situ'!EP213</f>
        <v>3</v>
      </c>
      <c r="AI183" s="113">
        <f>'Data_in-situ'!ER213</f>
        <v>-31.98942141623488</v>
      </c>
      <c r="AJ183" s="113">
        <f>'Data_in-situ'!ES213</f>
        <v>1.5801931444910506</v>
      </c>
      <c r="AK183" s="110">
        <f>'Data_in-situ'!ET213</f>
        <v>3</v>
      </c>
    </row>
    <row r="184" spans="20:37" x14ac:dyDescent="0.3">
      <c r="T184" s="113">
        <f>'Data_in-situ'!DN220</f>
        <v>13.53</v>
      </c>
      <c r="U184" s="113">
        <f>'Data_in-situ'!DO220</f>
        <v>1.593486742963367</v>
      </c>
      <c r="V184" s="46">
        <f>'Data_in-situ'!DP220</f>
        <v>3</v>
      </c>
      <c r="W184" s="113">
        <f>'Data_in-situ'!DR220</f>
        <v>3.23</v>
      </c>
      <c r="X184" s="113">
        <f>'Data_in-situ'!DS220</f>
        <v>0.74478184725461716</v>
      </c>
      <c r="Y184" s="46">
        <f>'Data_in-situ'!DT220</f>
        <v>3</v>
      </c>
      <c r="AF184" s="113">
        <f>'Data_in-situ'!EN214</f>
        <v>-13.449581506576324</v>
      </c>
      <c r="AG184" s="113">
        <f>'Data_in-situ'!EO214</f>
        <v>1.4236979793576987</v>
      </c>
      <c r="AH184" s="110">
        <f>'Data_in-situ'!EP214</f>
        <v>3</v>
      </c>
      <c r="AI184" s="113">
        <f>'Data_in-situ'!ER214</f>
        <v>-31.606217616580317</v>
      </c>
      <c r="AJ184" s="113">
        <f>'Data_in-situ'!ES214</f>
        <v>2.0517717022532898</v>
      </c>
      <c r="AK184" s="110">
        <f>'Data_in-situ'!ET214</f>
        <v>3</v>
      </c>
    </row>
    <row r="185" spans="20:37" x14ac:dyDescent="0.3">
      <c r="T185" s="113">
        <f>'Data_in-situ'!DN221</f>
        <v>102.01732234975572</v>
      </c>
      <c r="U185" s="113">
        <f>'Data_in-situ'!DO221</f>
        <v>83.345787424497175</v>
      </c>
      <c r="V185" s="46">
        <f>'Data_in-situ'!DP221</f>
        <v>2</v>
      </c>
      <c r="W185" s="113">
        <f>'Data_in-situ'!DR221</f>
        <v>0.61419354838709672</v>
      </c>
      <c r="X185" s="113">
        <f>'Data_in-situ'!DS221</f>
        <v>11.86963649409887</v>
      </c>
      <c r="Y185" s="46">
        <f>'Data_in-situ'!DT221</f>
        <v>6</v>
      </c>
      <c r="AF185" s="113">
        <f>'Data_in-situ'!EN216</f>
        <v>-15</v>
      </c>
      <c r="AG185" s="113">
        <f>'Data_in-situ'!EO216</f>
        <v>6.1124459812694001</v>
      </c>
      <c r="AH185" s="110">
        <f>'Data_in-situ'!EP216</f>
        <v>3</v>
      </c>
      <c r="AI185" s="113">
        <f>'Data_in-situ'!ER216</f>
        <v>-38</v>
      </c>
      <c r="AJ185" s="113">
        <f>'Data_in-situ'!ES216</f>
        <v>8.6189340333493778</v>
      </c>
      <c r="AK185" s="110">
        <f>'Data_in-situ'!ET216</f>
        <v>3</v>
      </c>
    </row>
    <row r="186" spans="20:37" x14ac:dyDescent="0.3">
      <c r="T186" s="113">
        <f>'Data_in-situ'!DN226</f>
        <v>23</v>
      </c>
      <c r="U186" s="113">
        <f>'Data_in-situ'!DO226</f>
        <v>25.642223650678275</v>
      </c>
      <c r="V186" s="46">
        <f>'Data_in-situ'!DP226</f>
        <v>4</v>
      </c>
      <c r="W186" s="113">
        <f>'Data_in-situ'!DR226</f>
        <v>0.03</v>
      </c>
      <c r="X186" s="113">
        <f>'Data_in-situ'!DS226</f>
        <v>0.11211648883893029</v>
      </c>
      <c r="Y186" s="46">
        <f>'Data_in-situ'!DT226</f>
        <v>4</v>
      </c>
      <c r="AF186" s="113">
        <f>'Data_in-situ'!EN217</f>
        <v>-37.626417233560076</v>
      </c>
      <c r="AG186" s="113">
        <f>'Data_in-situ'!EO217</f>
        <v>4.4214357150460231</v>
      </c>
      <c r="AH186" s="110">
        <f>'Data_in-situ'!EP217</f>
        <v>6</v>
      </c>
      <c r="AI186" s="113">
        <f>'Data_in-situ'!ER217</f>
        <v>-45.222713794142358</v>
      </c>
      <c r="AJ186" s="113">
        <f>'Data_in-situ'!ES217</f>
        <v>4.4131903136073891</v>
      </c>
      <c r="AK186" s="110">
        <f>'Data_in-situ'!ET217</f>
        <v>6</v>
      </c>
    </row>
    <row r="187" spans="20:37" x14ac:dyDescent="0.3">
      <c r="T187" s="113">
        <f>'Data_in-situ'!DN227</f>
        <v>23</v>
      </c>
      <c r="U187" s="113">
        <f>'Data_in-situ'!DO227</f>
        <v>25.642223650678275</v>
      </c>
      <c r="V187" s="46">
        <f>'Data_in-situ'!DP227</f>
        <v>4</v>
      </c>
      <c r="W187" s="113">
        <f>'Data_in-situ'!DR227</f>
        <v>0.03</v>
      </c>
      <c r="X187" s="113">
        <f>'Data_in-situ'!DS227</f>
        <v>0.11211648883893029</v>
      </c>
      <c r="Y187" s="46">
        <f>'Data_in-situ'!DT227</f>
        <v>4</v>
      </c>
      <c r="AF187" s="113">
        <f>'Data_in-situ'!EN218</f>
        <v>-37.626417233560076</v>
      </c>
      <c r="AG187" s="113">
        <f>'Data_in-situ'!EO218</f>
        <v>4.4214357150460231</v>
      </c>
      <c r="AH187" s="110">
        <f>'Data_in-situ'!EP218</f>
        <v>6</v>
      </c>
      <c r="AI187" s="113">
        <f>'Data_in-situ'!ER218</f>
        <v>-55.775689347117904</v>
      </c>
      <c r="AJ187" s="113">
        <f>'Data_in-situ'!ES218</f>
        <v>3.8401258483742482</v>
      </c>
      <c r="AK187" s="110">
        <f>'Data_in-situ'!ET218</f>
        <v>6</v>
      </c>
    </row>
    <row r="188" spans="20:37" x14ac:dyDescent="0.3">
      <c r="T188" s="113">
        <f>'Data_in-situ'!DN228</f>
        <v>23</v>
      </c>
      <c r="U188" s="113">
        <f>'Data_in-situ'!DO228</f>
        <v>25.642223650678275</v>
      </c>
      <c r="V188" s="46">
        <f>'Data_in-situ'!DP228</f>
        <v>4</v>
      </c>
      <c r="W188" s="113">
        <f>'Data_in-situ'!DR228</f>
        <v>0.03</v>
      </c>
      <c r="X188" s="113">
        <f>'Data_in-situ'!DS228</f>
        <v>0.11211648883893029</v>
      </c>
      <c r="Y188" s="46">
        <f>'Data_in-situ'!DT228</f>
        <v>4</v>
      </c>
      <c r="AF188" s="113">
        <f>'Data_in-situ'!EN221</f>
        <v>-16</v>
      </c>
      <c r="AG188" s="113">
        <f>'Data_in-situ'!EO221</f>
        <v>0.7</v>
      </c>
      <c r="AH188" s="110">
        <f>'Data_in-situ'!EP221</f>
        <v>2</v>
      </c>
      <c r="AI188" s="113">
        <f>'Data_in-situ'!ER221</f>
        <v>-44</v>
      </c>
      <c r="AJ188" s="113">
        <f>'Data_in-situ'!ES221</f>
        <v>14</v>
      </c>
      <c r="AK188" s="110">
        <f>'Data_in-situ'!ET221</f>
        <v>6</v>
      </c>
    </row>
    <row r="189" spans="20:37" x14ac:dyDescent="0.3">
      <c r="T189" s="113">
        <f>'Data_in-situ'!DN229</f>
        <v>23</v>
      </c>
      <c r="U189" s="113">
        <f>'Data_in-situ'!DO229</f>
        <v>25.642223650678275</v>
      </c>
      <c r="V189" s="46">
        <f>'Data_in-situ'!DP229</f>
        <v>4</v>
      </c>
      <c r="W189" s="113">
        <f>'Data_in-situ'!DR229</f>
        <v>2.2000000000000002</v>
      </c>
      <c r="X189" s="113">
        <f>'Data_in-situ'!DS229</f>
        <v>8.2218758481882226</v>
      </c>
      <c r="Y189" s="46">
        <f>'Data_in-situ'!DT229</f>
        <v>4</v>
      </c>
      <c r="AF189" s="113">
        <f>'Data_in-situ'!EN226</f>
        <v>-15</v>
      </c>
      <c r="AG189" s="113">
        <f>'Data_in-situ'!EO226</f>
        <v>6.1124459812694001</v>
      </c>
      <c r="AH189" s="110">
        <f>'Data_in-situ'!EP226</f>
        <v>4</v>
      </c>
      <c r="AI189" s="113">
        <f>'Data_in-situ'!ER226</f>
        <v>-60</v>
      </c>
      <c r="AJ189" s="113">
        <f>'Data_in-situ'!ES226</f>
        <v>13.608843210551651</v>
      </c>
      <c r="AK189" s="110">
        <f>'Data_in-situ'!ET226</f>
        <v>4</v>
      </c>
    </row>
    <row r="190" spans="20:37" x14ac:dyDescent="0.3">
      <c r="T190" s="113">
        <f>'Data_in-situ'!DN230</f>
        <v>23</v>
      </c>
      <c r="U190" s="113">
        <f>'Data_in-situ'!DO230</f>
        <v>25.642223650678275</v>
      </c>
      <c r="V190" s="46">
        <f>'Data_in-situ'!DP230</f>
        <v>4</v>
      </c>
      <c r="W190" s="113">
        <f>'Data_in-situ'!DR230</f>
        <v>2.2000000000000002</v>
      </c>
      <c r="X190" s="113">
        <f>'Data_in-situ'!DS230</f>
        <v>8.2218758481882226</v>
      </c>
      <c r="Y190" s="46">
        <f>'Data_in-situ'!DT230</f>
        <v>4</v>
      </c>
      <c r="AF190" s="113">
        <f>'Data_in-situ'!EN227</f>
        <v>-9.6300000000000008</v>
      </c>
      <c r="AG190" s="113">
        <f>'Data_in-situ'!EO227</f>
        <v>3.9241903199749553</v>
      </c>
      <c r="AH190" s="110">
        <f>'Data_in-situ'!EP227</f>
        <v>4</v>
      </c>
      <c r="AI190" s="113">
        <f>'Data_in-situ'!ER227</f>
        <v>-60</v>
      </c>
      <c r="AJ190" s="113">
        <f>'Data_in-situ'!ES227</f>
        <v>13.608843210551651</v>
      </c>
      <c r="AK190" s="110">
        <f>'Data_in-situ'!ET227</f>
        <v>4</v>
      </c>
    </row>
    <row r="191" spans="20:37" x14ac:dyDescent="0.3">
      <c r="T191" s="113">
        <f>'Data_in-situ'!DN270</f>
        <v>9.7529199020319588</v>
      </c>
      <c r="U191" s="113">
        <f>'Data_in-situ'!DO270</f>
        <v>10.616164230838427</v>
      </c>
      <c r="V191" s="46">
        <f>'Data_in-situ'!DP270</f>
        <v>20</v>
      </c>
      <c r="W191" s="113">
        <f>'Data_in-situ'!DR270</f>
        <v>1.5362827803916344E-2</v>
      </c>
      <c r="X191" s="113">
        <f>'Data_in-situ'!DS270</f>
        <v>0.60544514040223285</v>
      </c>
      <c r="Y191" s="46">
        <f>'Data_in-situ'!DT270</f>
        <v>20</v>
      </c>
      <c r="AF191" s="113">
        <f>'Data_in-situ'!EN228</f>
        <v>-8.65</v>
      </c>
      <c r="AG191" s="113">
        <f>'Data_in-situ'!EO228</f>
        <v>3.5248438491986875</v>
      </c>
      <c r="AH191" s="110">
        <f>'Data_in-situ'!EP228</f>
        <v>4</v>
      </c>
      <c r="AI191" s="113">
        <f>'Data_in-situ'!ER228</f>
        <v>-60</v>
      </c>
      <c r="AJ191" s="113">
        <f>'Data_in-situ'!ES228</f>
        <v>13.608843210551651</v>
      </c>
      <c r="AK191" s="110">
        <f>'Data_in-situ'!ET228</f>
        <v>4</v>
      </c>
    </row>
    <row r="192" spans="20:37" x14ac:dyDescent="0.3">
      <c r="T192" s="113">
        <f>'Data_in-situ'!DN271</f>
        <v>28.501072212251554</v>
      </c>
      <c r="U192" s="113">
        <f>'Data_in-situ'!DO271</f>
        <v>28.652903393199384</v>
      </c>
      <c r="V192" s="46">
        <f>'Data_in-situ'!DP271</f>
        <v>8</v>
      </c>
      <c r="W192" s="113">
        <f>'Data_in-situ'!DR271</f>
        <v>2.155113237216562</v>
      </c>
      <c r="X192" s="113">
        <f>'Data_in-situ'!DS271</f>
        <v>5.8344440438614322</v>
      </c>
      <c r="Y192" s="46">
        <f>'Data_in-situ'!DT271</f>
        <v>8</v>
      </c>
      <c r="AF192" s="113">
        <f>'Data_in-situ'!EN229</f>
        <v>-9.6199999999999992</v>
      </c>
      <c r="AG192" s="113">
        <f>'Data_in-situ'!EO229</f>
        <v>3.9201153559874418</v>
      </c>
      <c r="AH192" s="110">
        <f>'Data_in-situ'!EP229</f>
        <v>4</v>
      </c>
      <c r="AI192" s="113">
        <f>'Data_in-situ'!ER229</f>
        <v>-80</v>
      </c>
      <c r="AJ192" s="113">
        <f>'Data_in-situ'!ES229</f>
        <v>18.145124280735534</v>
      </c>
      <c r="AK192" s="110">
        <f>'Data_in-situ'!ET229</f>
        <v>4</v>
      </c>
    </row>
    <row r="193" spans="20:37" x14ac:dyDescent="0.3">
      <c r="T193" s="113">
        <f>'Data_in-situ'!DN272</f>
        <v>14.883893266398051</v>
      </c>
      <c r="U193" s="113">
        <f>'Data_in-situ'!DO272</f>
        <v>86.792053465048554</v>
      </c>
      <c r="V193" s="46">
        <f>'Data_in-situ'!DP272</f>
        <v>8</v>
      </c>
      <c r="W193" s="113">
        <f>'Data_in-situ'!DR272</f>
        <v>1.7398230320846468</v>
      </c>
      <c r="X193" s="113">
        <f>'Data_in-situ'!DS272</f>
        <v>9.0283655795287849</v>
      </c>
      <c r="Y193" s="46">
        <f>'Data_in-situ'!DT272</f>
        <v>8</v>
      </c>
      <c r="AF193" s="113">
        <f>'Data_in-situ'!EN230</f>
        <v>-5.36</v>
      </c>
      <c r="AG193" s="113">
        <f>'Data_in-situ'!EO230</f>
        <v>2.1841806973069327</v>
      </c>
      <c r="AH193" s="110">
        <f>'Data_in-situ'!EP230</f>
        <v>4</v>
      </c>
      <c r="AI193" s="113">
        <f>'Data_in-situ'!ER230</f>
        <v>-80</v>
      </c>
      <c r="AJ193" s="113">
        <f>'Data_in-situ'!ES230</f>
        <v>18.145124280735534</v>
      </c>
      <c r="AK193" s="110">
        <f>'Data_in-situ'!ET230</f>
        <v>4</v>
      </c>
    </row>
    <row r="194" spans="20:37" x14ac:dyDescent="0.3">
      <c r="T194" s="113">
        <f>'Data_in-situ'!DN273</f>
        <v>40.553216435983082</v>
      </c>
      <c r="U194" s="113">
        <f>'Data_in-situ'!DO273</f>
        <v>36.04252387554827</v>
      </c>
      <c r="V194" s="46">
        <f>'Data_in-situ'!DP273</f>
        <v>8</v>
      </c>
      <c r="W194" s="113">
        <f>'Data_in-situ'!DR273</f>
        <v>2.0877876385015846</v>
      </c>
      <c r="X194" s="113">
        <f>'Data_in-situ'!DS273</f>
        <v>4.899966604705579</v>
      </c>
      <c r="Y194" s="46">
        <f>'Data_in-situ'!DT273</f>
        <v>8</v>
      </c>
      <c r="AF194" s="113">
        <f>'Data_in-situ'!EN231</f>
        <v>-11</v>
      </c>
      <c r="AG194" s="113">
        <f>'Data_in-situ'!EO231</f>
        <v>4.4824603862642265</v>
      </c>
      <c r="AH194" s="110">
        <f>'Data_in-situ'!EP231</f>
        <v>3</v>
      </c>
      <c r="AI194" s="113">
        <f>'Data_in-situ'!ER231</f>
        <v>-23</v>
      </c>
      <c r="AJ194" s="113">
        <f>'Data_in-situ'!ES231</f>
        <v>5.2167232307114659</v>
      </c>
      <c r="AK194" s="110">
        <f>'Data_in-situ'!ET231</f>
        <v>3</v>
      </c>
    </row>
    <row r="195" spans="20:37" x14ac:dyDescent="0.3">
      <c r="T195" s="113">
        <f>'Data_in-situ'!DN274</f>
        <v>185.20163025788599</v>
      </c>
      <c r="U195" s="113">
        <f>'Data_in-situ'!DO274</f>
        <v>63.221490486987811</v>
      </c>
      <c r="V195" s="46">
        <f>'Data_in-situ'!DP274</f>
        <v>5</v>
      </c>
      <c r="W195" s="113">
        <f>'Data_in-situ'!DR274</f>
        <v>121.18643762191216</v>
      </c>
      <c r="X195" s="113">
        <f>'Data_in-situ'!DS274</f>
        <v>57.510183803125116</v>
      </c>
      <c r="Y195" s="46">
        <f>'Data_in-situ'!DT274</f>
        <v>5</v>
      </c>
      <c r="AF195" s="113">
        <f>'Data_in-situ'!EN232</f>
        <v>-11</v>
      </c>
      <c r="AG195" s="113">
        <f>'Data_in-situ'!EO232</f>
        <v>4.4824603862642265</v>
      </c>
      <c r="AH195" s="110">
        <f>'Data_in-situ'!EP232</f>
        <v>3</v>
      </c>
      <c r="AI195" s="113">
        <f>'Data_in-situ'!ER232</f>
        <v>-23</v>
      </c>
      <c r="AJ195" s="113">
        <f>'Data_in-situ'!ES232</f>
        <v>5.2167232307114659</v>
      </c>
      <c r="AK195" s="110">
        <f>'Data_in-situ'!ET232</f>
        <v>3</v>
      </c>
    </row>
    <row r="196" spans="20:37" x14ac:dyDescent="0.3">
      <c r="T196" s="113">
        <f>'Data_in-situ'!DN275</f>
        <v>72.37222075218537</v>
      </c>
      <c r="U196" s="113">
        <f>'Data_in-situ'!DO275</f>
        <v>16.290298496553017</v>
      </c>
      <c r="V196" s="46">
        <f>'Data_in-situ'!DP275</f>
        <v>5</v>
      </c>
      <c r="W196" s="113">
        <f>'Data_in-situ'!DR275</f>
        <v>28.308613297303122</v>
      </c>
      <c r="X196" s="113">
        <f>'Data_in-situ'!DS275</f>
        <v>7.7013419089793729</v>
      </c>
      <c r="Y196" s="46">
        <f>'Data_in-situ'!DT275</f>
        <v>5</v>
      </c>
      <c r="AF196" s="113">
        <f>'Data_in-situ'!EN233</f>
        <v>-15</v>
      </c>
      <c r="AG196" s="113">
        <f>'Data_in-situ'!EO233</f>
        <v>6.1124459812694001</v>
      </c>
      <c r="AH196" s="110">
        <f>'Data_in-situ'!EP233</f>
        <v>3</v>
      </c>
      <c r="AI196" s="113">
        <f>'Data_in-situ'!ER233</f>
        <v>-20</v>
      </c>
      <c r="AJ196" s="113">
        <f>'Data_in-situ'!ES233</f>
        <v>4.5362810701838834</v>
      </c>
      <c r="AK196" s="110">
        <f>'Data_in-situ'!ET233</f>
        <v>3</v>
      </c>
    </row>
    <row r="197" spans="20:37" x14ac:dyDescent="0.3">
      <c r="T197" s="113">
        <f>'Data_in-situ'!DN276</f>
        <v>49.465244035227812</v>
      </c>
      <c r="U197" s="113">
        <f>'Data_in-situ'!DO276</f>
        <v>13.371607139963906</v>
      </c>
      <c r="V197" s="46">
        <f>'Data_in-situ'!DP276</f>
        <v>5</v>
      </c>
      <c r="W197" s="113">
        <f>'Data_in-situ'!DR276</f>
        <v>54.340166693175355</v>
      </c>
      <c r="X197" s="113">
        <f>'Data_in-situ'!DS276</f>
        <v>13.781971178631771</v>
      </c>
      <c r="Y197" s="46">
        <f>'Data_in-situ'!DT276</f>
        <v>5</v>
      </c>
      <c r="AF197" s="113">
        <f>'Data_in-situ'!EN234</f>
        <v>-15</v>
      </c>
      <c r="AG197" s="113">
        <f>'Data_in-situ'!EO234</f>
        <v>6.1124459812694001</v>
      </c>
      <c r="AH197" s="110">
        <f>'Data_in-situ'!EP234</f>
        <v>3</v>
      </c>
      <c r="AI197" s="113">
        <f>'Data_in-situ'!ER234</f>
        <v>-20</v>
      </c>
      <c r="AJ197" s="113">
        <f>'Data_in-situ'!ES234</f>
        <v>4.5362810701838834</v>
      </c>
      <c r="AK197" s="110">
        <f>'Data_in-situ'!ET234</f>
        <v>3</v>
      </c>
    </row>
    <row r="198" spans="20:37" x14ac:dyDescent="0.3">
      <c r="T198" s="113">
        <f>'Data_in-situ'!DN277</f>
        <v>161.00136320152035</v>
      </c>
      <c r="U198" s="113">
        <f>'Data_in-situ'!DO277</f>
        <v>78.597780685425604</v>
      </c>
      <c r="V198" s="46">
        <f>'Data_in-situ'!DP277</f>
        <v>5</v>
      </c>
      <c r="W198" s="113">
        <f>'Data_in-situ'!DR277</f>
        <v>91.076976090565751</v>
      </c>
      <c r="X198" s="113">
        <f>'Data_in-situ'!DS277</f>
        <v>23.599794088555864</v>
      </c>
      <c r="Y198" s="46">
        <f>'Data_in-situ'!DT277</f>
        <v>5</v>
      </c>
      <c r="AF198" s="113">
        <f>'Data_in-situ'!EN235</f>
        <v>-12</v>
      </c>
      <c r="AG198" s="113">
        <f>'Data_in-situ'!EO235</f>
        <v>4.8899567850155199</v>
      </c>
      <c r="AH198" s="110">
        <f>'Data_in-situ'!EP235</f>
        <v>3</v>
      </c>
      <c r="AI198" s="113">
        <f>'Data_in-situ'!ER235</f>
        <v>-14</v>
      </c>
      <c r="AJ198" s="113">
        <f>'Data_in-situ'!ES235</f>
        <v>3.1753967491287183</v>
      </c>
      <c r="AK198" s="110">
        <f>'Data_in-situ'!ET235</f>
        <v>3</v>
      </c>
    </row>
    <row r="199" spans="20:37" x14ac:dyDescent="0.3">
      <c r="T199" s="113">
        <f>'Data_in-situ'!DN278</f>
        <v>33.182385393713595</v>
      </c>
      <c r="U199" s="113">
        <f>'Data_in-situ'!DO278</f>
        <v>11.04758962718873</v>
      </c>
      <c r="V199" s="46">
        <f>'Data_in-situ'!DP278</f>
        <v>5</v>
      </c>
      <c r="W199" s="113">
        <f>'Data_in-situ'!DR278</f>
        <v>70.577515694920223</v>
      </c>
      <c r="X199" s="113">
        <f>'Data_in-situ'!DS278</f>
        <v>17.997218807343039</v>
      </c>
      <c r="Y199" s="46">
        <f>'Data_in-situ'!DT278</f>
        <v>5</v>
      </c>
      <c r="AF199" s="113">
        <f>'Data_in-situ'!EN236</f>
        <v>-12</v>
      </c>
      <c r="AG199" s="113">
        <f>'Data_in-situ'!EO236</f>
        <v>4.8899567850155199</v>
      </c>
      <c r="AH199" s="110">
        <f>'Data_in-situ'!EP236</f>
        <v>3</v>
      </c>
      <c r="AI199" s="113">
        <f>'Data_in-situ'!ER236</f>
        <v>-14</v>
      </c>
      <c r="AJ199" s="113">
        <f>'Data_in-situ'!ES236</f>
        <v>3.1753967491287183</v>
      </c>
      <c r="AK199" s="110">
        <f>'Data_in-situ'!ET236</f>
        <v>3</v>
      </c>
    </row>
    <row r="200" spans="20:37" x14ac:dyDescent="0.3">
      <c r="T200" s="113">
        <f>'Data_in-situ'!DN279</f>
        <v>149.58826237069499</v>
      </c>
      <c r="U200" s="113">
        <f>'Data_in-situ'!DO279</f>
        <v>54.002575188816245</v>
      </c>
      <c r="V200" s="46">
        <f>'Data_in-situ'!DP279</f>
        <v>5</v>
      </c>
      <c r="W200" s="113">
        <f>'Data_in-situ'!DR279</f>
        <v>185.74509306894518</v>
      </c>
      <c r="X200" s="113">
        <f>'Data_in-situ'!DS279</f>
        <v>48.73879916451105</v>
      </c>
      <c r="Y200" s="46">
        <f>'Data_in-situ'!DT279</f>
        <v>5</v>
      </c>
      <c r="AF200" s="113">
        <f>'Data_in-situ'!EN237</f>
        <v>-22</v>
      </c>
      <c r="AG200" s="113">
        <f>'Data_in-situ'!EO237</f>
        <v>8.964920772528453</v>
      </c>
      <c r="AH200" s="110">
        <f>'Data_in-situ'!EP237</f>
        <v>3</v>
      </c>
      <c r="AI200" s="113">
        <f>'Data_in-situ'!ER237</f>
        <v>-31</v>
      </c>
      <c r="AJ200" s="113">
        <f>'Data_in-situ'!ES237</f>
        <v>7.0312356587850191</v>
      </c>
      <c r="AK200" s="110">
        <f>'Data_in-situ'!ET237</f>
        <v>3</v>
      </c>
    </row>
    <row r="201" spans="20:37" x14ac:dyDescent="0.3">
      <c r="T201" s="113">
        <f>'Data_in-situ'!DN280</f>
        <v>4.3449126612056599</v>
      </c>
      <c r="U201" s="113">
        <f>'Data_in-situ'!DO280</f>
        <v>9.5961779850217681</v>
      </c>
      <c r="V201" s="46">
        <f>'Data_in-situ'!DP280</f>
        <v>6</v>
      </c>
      <c r="W201" s="113">
        <f>'Data_in-situ'!DR280</f>
        <v>-0.16115570294991843</v>
      </c>
      <c r="X201" s="113">
        <f>'Data_in-situ'!DS280</f>
        <v>0.55821924153316771</v>
      </c>
      <c r="Y201" s="46">
        <f>'Data_in-situ'!DT280</f>
        <v>6</v>
      </c>
      <c r="AF201" s="113">
        <f>'Data_in-situ'!EN238</f>
        <v>-22</v>
      </c>
      <c r="AG201" s="113">
        <f>'Data_in-situ'!EO238</f>
        <v>8.964920772528453</v>
      </c>
      <c r="AH201" s="110">
        <f>'Data_in-situ'!EP238</f>
        <v>3</v>
      </c>
      <c r="AI201" s="113">
        <f>'Data_in-situ'!ER238</f>
        <v>-31</v>
      </c>
      <c r="AJ201" s="113">
        <f>'Data_in-situ'!ES238</f>
        <v>7.0312356587850191</v>
      </c>
      <c r="AK201" s="110">
        <f>'Data_in-situ'!ET238</f>
        <v>3</v>
      </c>
    </row>
    <row r="202" spans="20:37" x14ac:dyDescent="0.3">
      <c r="T202" s="113">
        <f>'Data_in-situ'!DN281</f>
        <v>4.3449126612056599</v>
      </c>
      <c r="U202" s="113">
        <f>'Data_in-situ'!DO281</f>
        <v>9.5961779850217681</v>
      </c>
      <c r="V202" s="46">
        <f>'Data_in-situ'!DP281</f>
        <v>6</v>
      </c>
      <c r="W202" s="113">
        <f>'Data_in-situ'!DR281</f>
        <v>-5.3718567649972807E-2</v>
      </c>
      <c r="X202" s="113">
        <f>'Data_in-situ'!DS281</f>
        <v>0.5398869703372956</v>
      </c>
      <c r="Y202" s="46">
        <f>'Data_in-situ'!DT281</f>
        <v>6</v>
      </c>
      <c r="AF202" s="113">
        <f>'Data_in-situ'!EN239</f>
        <v>-2</v>
      </c>
      <c r="AG202" s="113">
        <f>'Data_in-situ'!EO239</f>
        <v>0.81499279750258669</v>
      </c>
      <c r="AH202" s="110">
        <f>'Data_in-situ'!EP239</f>
        <v>3</v>
      </c>
      <c r="AI202" s="113">
        <f>'Data_in-situ'!ER239</f>
        <v>-30</v>
      </c>
      <c r="AJ202" s="113">
        <f>'Data_in-situ'!ES239</f>
        <v>6.8044216052758255</v>
      </c>
      <c r="AK202" s="110">
        <f>'Data_in-situ'!ET239</f>
        <v>3</v>
      </c>
    </row>
    <row r="203" spans="20:37" x14ac:dyDescent="0.3">
      <c r="T203" s="113">
        <f>'Data_in-situ'!DN282</f>
        <v>4.3449126612056599</v>
      </c>
      <c r="U203" s="113">
        <f>'Data_in-situ'!DO282</f>
        <v>9.5961779850217681</v>
      </c>
      <c r="V203" s="46">
        <f>'Data_in-situ'!DP282</f>
        <v>6</v>
      </c>
      <c r="W203" s="113">
        <f>'Data_in-situ'!DR282</f>
        <v>5.3718567649972807E-2</v>
      </c>
      <c r="X203" s="113">
        <f>'Data_in-situ'!DS282</f>
        <v>0.43312042016840363</v>
      </c>
      <c r="Y203" s="46">
        <f>'Data_in-situ'!DT282</f>
        <v>6</v>
      </c>
      <c r="AF203" s="113">
        <f>'Data_in-situ'!EN240</f>
        <v>-2</v>
      </c>
      <c r="AG203" s="113">
        <f>'Data_in-situ'!EO240</f>
        <v>0.81499279750258669</v>
      </c>
      <c r="AH203" s="110">
        <f>'Data_in-situ'!EP240</f>
        <v>3</v>
      </c>
      <c r="AI203" s="113">
        <f>'Data_in-situ'!ER240</f>
        <v>-30</v>
      </c>
      <c r="AJ203" s="113">
        <f>'Data_in-situ'!ES240</f>
        <v>6.8044216052758255</v>
      </c>
      <c r="AK203" s="110">
        <f>'Data_in-situ'!ET240</f>
        <v>3</v>
      </c>
    </row>
    <row r="204" spans="20:37" x14ac:dyDescent="0.3">
      <c r="T204" s="113">
        <f>'Data_in-situ'!DN283</f>
        <v>4.3449126612056599</v>
      </c>
      <c r="U204" s="113">
        <f>'Data_in-situ'!DO283</f>
        <v>9.5961779850217681</v>
      </c>
      <c r="V204" s="46">
        <f>'Data_in-situ'!DP283</f>
        <v>6</v>
      </c>
      <c r="W204" s="113">
        <f>'Data_in-situ'!DR283</f>
        <v>5.3718567649972807E-2</v>
      </c>
      <c r="X204" s="113">
        <f>'Data_in-situ'!DS283</f>
        <v>0.43312042016840363</v>
      </c>
      <c r="Y204" s="46">
        <f>'Data_in-situ'!DT283</f>
        <v>6</v>
      </c>
      <c r="AF204" s="113">
        <f>'Data_in-situ'!EN241</f>
        <v>-20</v>
      </c>
      <c r="AG204" s="113">
        <f>'Data_in-situ'!EO241</f>
        <v>8.1499279750258662</v>
      </c>
      <c r="AH204" s="110">
        <f>'Data_in-situ'!EP241</f>
        <v>3</v>
      </c>
      <c r="AI204" s="113">
        <f>'Data_in-situ'!ER241</f>
        <v>-36</v>
      </c>
      <c r="AJ204" s="113">
        <f>'Data_in-situ'!ES241</f>
        <v>8.1653059263309906</v>
      </c>
      <c r="AK204" s="110">
        <f>'Data_in-situ'!ET241</f>
        <v>3</v>
      </c>
    </row>
    <row r="205" spans="20:37" x14ac:dyDescent="0.3">
      <c r="T205" s="113">
        <f>'Data_in-situ'!DN284</f>
        <v>27.51778018763585</v>
      </c>
      <c r="U205" s="113">
        <f>'Data_in-situ'!DO284</f>
        <v>12.137611972737048</v>
      </c>
      <c r="V205" s="46">
        <f>'Data_in-situ'!DP284</f>
        <v>6</v>
      </c>
      <c r="W205" s="113">
        <f>'Data_in-situ'!DR284</f>
        <v>-0.16115570294991843</v>
      </c>
      <c r="X205" s="113">
        <f>'Data_in-situ'!DS284</f>
        <v>0.5610292847687105</v>
      </c>
      <c r="Y205" s="46">
        <f>'Data_in-situ'!DT284</f>
        <v>6</v>
      </c>
      <c r="AF205" s="113">
        <f>'Data_in-situ'!EN242</f>
        <v>-20</v>
      </c>
      <c r="AG205" s="113">
        <f>'Data_in-situ'!EO242</f>
        <v>8.1499279750258662</v>
      </c>
      <c r="AH205" s="110">
        <f>'Data_in-situ'!EP242</f>
        <v>3</v>
      </c>
      <c r="AI205" s="113">
        <f>'Data_in-situ'!ER242</f>
        <v>-36</v>
      </c>
      <c r="AJ205" s="113">
        <f>'Data_in-situ'!ES242</f>
        <v>8.1653059263309906</v>
      </c>
      <c r="AK205" s="110">
        <f>'Data_in-situ'!ET242</f>
        <v>3</v>
      </c>
    </row>
    <row r="206" spans="20:37" x14ac:dyDescent="0.3">
      <c r="T206" s="113">
        <f>'Data_in-situ'!DN285</f>
        <v>27.51778018763585</v>
      </c>
      <c r="U206" s="113">
        <f>'Data_in-situ'!DO285</f>
        <v>12.137611972737048</v>
      </c>
      <c r="V206" s="46">
        <f>'Data_in-situ'!DP285</f>
        <v>6</v>
      </c>
      <c r="W206" s="113">
        <f>'Data_in-situ'!DR285</f>
        <v>-5.3718567649972807E-2</v>
      </c>
      <c r="X206" s="113">
        <f>'Data_in-situ'!DS285</f>
        <v>11.665364622891369</v>
      </c>
      <c r="Y206" s="46">
        <f>'Data_in-situ'!DT285</f>
        <v>6</v>
      </c>
      <c r="AF206" s="113">
        <f>'Data_in-situ'!EN243</f>
        <v>-16</v>
      </c>
      <c r="AG206" s="113">
        <f>'Data_in-situ'!EO243</f>
        <v>6.5199423800206935</v>
      </c>
      <c r="AH206" s="110">
        <f>'Data_in-situ'!EP243</f>
        <v>3</v>
      </c>
      <c r="AI206" s="113">
        <f>'Data_in-situ'!ER243</f>
        <v>-43</v>
      </c>
      <c r="AJ206" s="113">
        <f>'Data_in-situ'!ES243</f>
        <v>9.7530043008953502</v>
      </c>
      <c r="AK206" s="110">
        <f>'Data_in-situ'!ET243</f>
        <v>3</v>
      </c>
    </row>
    <row r="207" spans="20:37" x14ac:dyDescent="0.3">
      <c r="T207" s="113">
        <f>'Data_in-situ'!DN286</f>
        <v>27.51778018763585</v>
      </c>
      <c r="U207" s="113">
        <f>'Data_in-situ'!DO286</f>
        <v>12.137611972737048</v>
      </c>
      <c r="V207" s="46">
        <f>'Data_in-situ'!DP286</f>
        <v>6</v>
      </c>
      <c r="W207" s="113">
        <f>'Data_in-situ'!DR286</f>
        <v>5.3718567649972807E-2</v>
      </c>
      <c r="X207" s="113">
        <f>'Data_in-situ'!DS286</f>
        <v>1.4941129876440691</v>
      </c>
      <c r="Y207" s="46">
        <f>'Data_in-situ'!DT286</f>
        <v>6</v>
      </c>
      <c r="AF207" s="113">
        <f>'Data_in-situ'!EN244</f>
        <v>-16</v>
      </c>
      <c r="AG207" s="113">
        <f>'Data_in-situ'!EO244</f>
        <v>6.5199423800206935</v>
      </c>
      <c r="AH207" s="110">
        <f>'Data_in-situ'!EP244</f>
        <v>3</v>
      </c>
      <c r="AI207" s="113">
        <f>'Data_in-situ'!ER244</f>
        <v>-21</v>
      </c>
      <c r="AJ207" s="113">
        <f>'Data_in-situ'!ES244</f>
        <v>4.7630951236930779</v>
      </c>
      <c r="AK207" s="110">
        <f>'Data_in-situ'!ET244</f>
        <v>3</v>
      </c>
    </row>
    <row r="208" spans="20:37" x14ac:dyDescent="0.3">
      <c r="T208" s="113">
        <f>'Data_in-situ'!DN287</f>
        <v>27.51778018763585</v>
      </c>
      <c r="U208" s="113">
        <f>'Data_in-situ'!DO287</f>
        <v>12.137611972737048</v>
      </c>
      <c r="V208" s="46">
        <f>'Data_in-situ'!DP287</f>
        <v>6</v>
      </c>
      <c r="W208" s="113">
        <f>'Data_in-situ'!DR287</f>
        <v>5.3718567649972807E-2</v>
      </c>
      <c r="X208" s="113">
        <f>'Data_in-situ'!DS287</f>
        <v>0.43312042016840363</v>
      </c>
      <c r="Y208" s="46">
        <f>'Data_in-situ'!DT287</f>
        <v>6</v>
      </c>
      <c r="AF208" s="113">
        <f>'Data_in-situ'!EN245</f>
        <v>-16</v>
      </c>
      <c r="AG208" s="113">
        <f>'Data_in-situ'!EO245</f>
        <v>6.5199423800206935</v>
      </c>
      <c r="AH208" s="110">
        <f>'Data_in-situ'!EP245</f>
        <v>3</v>
      </c>
      <c r="AI208" s="113">
        <f>'Data_in-situ'!ER245</f>
        <v>-21</v>
      </c>
      <c r="AJ208" s="113">
        <f>'Data_in-situ'!ES245</f>
        <v>4.7630951236930779</v>
      </c>
      <c r="AK208" s="110">
        <f>'Data_in-situ'!ET245</f>
        <v>3</v>
      </c>
    </row>
    <row r="209" spans="20:37" x14ac:dyDescent="0.3">
      <c r="T209" s="113">
        <f>'Data_in-situ'!DN288</f>
        <v>17.621034681556281</v>
      </c>
      <c r="U209" s="113">
        <f>'Data_in-situ'!DO288</f>
        <v>25.060650744317332</v>
      </c>
      <c r="V209" s="46">
        <f>'Data_in-situ'!DP288</f>
        <v>6</v>
      </c>
      <c r="W209" s="113">
        <f>'Data_in-situ'!DR288</f>
        <v>-0.16115570294991843</v>
      </c>
      <c r="X209" s="113">
        <f>'Data_in-situ'!DS288</f>
        <v>0.5610292847687105</v>
      </c>
      <c r="Y209" s="46">
        <f>'Data_in-situ'!DT288</f>
        <v>6</v>
      </c>
      <c r="AF209" s="113">
        <f>'Data_in-situ'!EN250</f>
        <v>-4</v>
      </c>
      <c r="AG209" s="113">
        <f>'Data_in-situ'!EO250</f>
        <v>1.6299855950051734</v>
      </c>
      <c r="AH209" s="110">
        <f>'Data_in-situ'!EP250</f>
        <v>3</v>
      </c>
      <c r="AI209" s="113">
        <f>'Data_in-situ'!ER250</f>
        <v>-31</v>
      </c>
      <c r="AJ209" s="113">
        <f>'Data_in-situ'!ES250</f>
        <v>7.0312356587850191</v>
      </c>
      <c r="AK209" s="110">
        <f>'Data_in-situ'!ET250</f>
        <v>3</v>
      </c>
    </row>
    <row r="210" spans="20:37" x14ac:dyDescent="0.3">
      <c r="T210" s="113">
        <f>'Data_in-situ'!DN289</f>
        <v>17.621034681556281</v>
      </c>
      <c r="U210" s="113">
        <f>'Data_in-situ'!DO289</f>
        <v>25.060650744317332</v>
      </c>
      <c r="V210" s="46">
        <f>'Data_in-situ'!DP289</f>
        <v>6</v>
      </c>
      <c r="W210" s="113">
        <f>'Data_in-situ'!DR289</f>
        <v>-5.3718567649972807E-2</v>
      </c>
      <c r="X210" s="113">
        <f>'Data_in-situ'!DS289</f>
        <v>0.5398869703372956</v>
      </c>
      <c r="Y210" s="46">
        <f>'Data_in-situ'!DT289</f>
        <v>6</v>
      </c>
      <c r="AF210" s="113">
        <f>'Data_in-situ'!EN251</f>
        <v>-21</v>
      </c>
      <c r="AG210" s="113">
        <f>'Data_in-situ'!EO251</f>
        <v>8.5574243737771596</v>
      </c>
      <c r="AH210" s="110">
        <f>'Data_in-situ'!EP251</f>
        <v>3</v>
      </c>
      <c r="AI210" s="113">
        <f>'Data_in-situ'!ER251</f>
        <v>-38</v>
      </c>
      <c r="AJ210" s="113">
        <f>'Data_in-situ'!ES251</f>
        <v>8.6189340333493778</v>
      </c>
      <c r="AK210" s="110">
        <f>'Data_in-situ'!ET251</f>
        <v>3</v>
      </c>
    </row>
    <row r="211" spans="20:37" x14ac:dyDescent="0.3">
      <c r="T211" s="113">
        <f>'Data_in-situ'!DN290</f>
        <v>17.621034681556281</v>
      </c>
      <c r="U211" s="113">
        <f>'Data_in-situ'!DO290</f>
        <v>25.060650744317332</v>
      </c>
      <c r="V211" s="46">
        <f>'Data_in-situ'!DP290</f>
        <v>6</v>
      </c>
      <c r="W211" s="113">
        <f>'Data_in-situ'!DR290</f>
        <v>5.3718567649972807E-2</v>
      </c>
      <c r="X211" s="113">
        <f>'Data_in-situ'!DS290</f>
        <v>0.43312042016840363</v>
      </c>
      <c r="Y211" s="46">
        <f>'Data_in-situ'!DT290</f>
        <v>6</v>
      </c>
      <c r="AF211" s="113">
        <f>'Data_in-situ'!EN252</f>
        <v>0</v>
      </c>
      <c r="AG211" s="113">
        <f>'Data_in-situ'!EO252</f>
        <v>0</v>
      </c>
      <c r="AH211" s="110">
        <f>'Data_in-situ'!EP252</f>
        <v>3</v>
      </c>
      <c r="AI211" s="113">
        <f>'Data_in-situ'!ER252</f>
        <v>-50</v>
      </c>
      <c r="AJ211" s="113">
        <f>'Data_in-situ'!ES252</f>
        <v>11.340702675459708</v>
      </c>
      <c r="AK211" s="110">
        <f>'Data_in-situ'!ET252</f>
        <v>3</v>
      </c>
    </row>
    <row r="212" spans="20:37" x14ac:dyDescent="0.3">
      <c r="T212" s="113">
        <f>'Data_in-situ'!DN291</f>
        <v>17.621034681556281</v>
      </c>
      <c r="U212" s="113">
        <f>'Data_in-situ'!DO291</f>
        <v>25.060650744317332</v>
      </c>
      <c r="V212" s="46">
        <f>'Data_in-situ'!DP291</f>
        <v>6</v>
      </c>
      <c r="W212" s="113">
        <f>'Data_in-situ'!DR291</f>
        <v>5.3718567649972807E-2</v>
      </c>
      <c r="X212" s="113">
        <f>'Data_in-situ'!DS291</f>
        <v>0.43312042016840363</v>
      </c>
      <c r="Y212" s="46">
        <f>'Data_in-situ'!DT291</f>
        <v>6</v>
      </c>
      <c r="AF212" s="113">
        <f>'Data_in-situ'!EN254</f>
        <v>-28</v>
      </c>
      <c r="AG212" s="113">
        <f>'Data_in-situ'!EO254</f>
        <v>11.409899165036213</v>
      </c>
      <c r="AH212" s="110">
        <f>'Data_in-situ'!EP254</f>
        <v>3</v>
      </c>
      <c r="AI212" s="113">
        <f>'Data_in-situ'!ER254</f>
        <v>-36</v>
      </c>
      <c r="AJ212" s="113">
        <f>'Data_in-situ'!ES254</f>
        <v>8.1653059263309906</v>
      </c>
      <c r="AK212" s="110">
        <f>'Data_in-situ'!ET254</f>
        <v>3</v>
      </c>
    </row>
    <row r="213" spans="20:37" x14ac:dyDescent="0.3">
      <c r="T213" s="113">
        <f>'Data_in-situ'!DN292</f>
        <v>3.0332504908479376</v>
      </c>
      <c r="U213" s="113">
        <f>'Data_in-situ'!DO292</f>
        <v>6.9539999999999997</v>
      </c>
      <c r="V213" s="46">
        <f>'Data_in-situ'!DP292</f>
        <v>6</v>
      </c>
      <c r="W213" s="113">
        <f>'Data_in-situ'!DR292</f>
        <v>5.3718567649972807E-2</v>
      </c>
      <c r="X213" s="113">
        <f>'Data_in-situ'!DS292</f>
        <v>0.48646678719420772</v>
      </c>
      <c r="Y213" s="46">
        <f>'Data_in-situ'!DT292</f>
        <v>6</v>
      </c>
      <c r="AF213" s="113">
        <f>'Data_in-situ'!EN255</f>
        <v>-18</v>
      </c>
      <c r="AG213" s="113">
        <f>'Data_in-situ'!EO255</f>
        <v>7.3349351775232803</v>
      </c>
      <c r="AH213" s="110">
        <f>'Data_in-situ'!EP255</f>
        <v>3</v>
      </c>
      <c r="AI213" s="113">
        <f>'Data_in-situ'!ER255</f>
        <v>-24</v>
      </c>
      <c r="AJ213" s="113">
        <f>'Data_in-situ'!ES255</f>
        <v>5.4435372842206604</v>
      </c>
      <c r="AK213" s="110">
        <f>'Data_in-situ'!ET255</f>
        <v>3</v>
      </c>
    </row>
    <row r="214" spans="20:37" x14ac:dyDescent="0.3">
      <c r="T214" s="113">
        <f>'Data_in-situ'!DN293</f>
        <v>3.0332504908479376</v>
      </c>
      <c r="U214" s="113">
        <f>'Data_in-situ'!DO293</f>
        <v>10.126673956829368</v>
      </c>
      <c r="V214" s="46">
        <f>'Data_in-situ'!DP293</f>
        <v>6</v>
      </c>
      <c r="W214" s="113">
        <f>'Data_in-situ'!DR293</f>
        <v>-0.10743713529994561</v>
      </c>
      <c r="X214" s="113">
        <f>'Data_in-situ'!DS293</f>
        <v>0.27043803155784618</v>
      </c>
      <c r="Y214" s="46">
        <f>'Data_in-situ'!DT293</f>
        <v>6</v>
      </c>
      <c r="AF214" s="113">
        <f>'Data_in-situ'!EN256</f>
        <v>-11</v>
      </c>
      <c r="AG214" s="113">
        <f>'Data_in-situ'!EO256</f>
        <v>4.4824603862642265</v>
      </c>
      <c r="AH214" s="110">
        <f>'Data_in-situ'!EP256</f>
        <v>3</v>
      </c>
      <c r="AI214" s="113">
        <f>'Data_in-situ'!ER256</f>
        <v>-13</v>
      </c>
      <c r="AJ214" s="113">
        <f>'Data_in-situ'!ES256</f>
        <v>2.9485826956195242</v>
      </c>
      <c r="AK214" s="110">
        <f>'Data_in-situ'!ET256</f>
        <v>3</v>
      </c>
    </row>
    <row r="215" spans="20:37" x14ac:dyDescent="0.3">
      <c r="T215" s="113">
        <f>'Data_in-situ'!DN294</f>
        <v>3.0332504908479376</v>
      </c>
      <c r="U215" s="113">
        <f>'Data_in-situ'!DO294</f>
        <v>10.126673956829368</v>
      </c>
      <c r="V215" s="46">
        <f>'Data_in-situ'!DP294</f>
        <v>6</v>
      </c>
      <c r="W215" s="113">
        <f>'Data_in-situ'!DR294</f>
        <v>-0.10743713529994561</v>
      </c>
      <c r="X215" s="113">
        <f>'Data_in-situ'!DS294</f>
        <v>0.39119879833905941</v>
      </c>
      <c r="Y215" s="46">
        <f>'Data_in-situ'!DT294</f>
        <v>6</v>
      </c>
      <c r="AF215" s="113">
        <f>'Data_in-situ'!EN257</f>
        <v>-16</v>
      </c>
      <c r="AG215" s="113">
        <f>'Data_in-situ'!EO257</f>
        <v>6.5199423800206935</v>
      </c>
      <c r="AH215" s="110">
        <f>'Data_in-situ'!EP257</f>
        <v>3</v>
      </c>
      <c r="AI215" s="113">
        <f>'Data_in-situ'!ER257</f>
        <v>-20</v>
      </c>
      <c r="AJ215" s="113">
        <f>'Data_in-situ'!ES257</f>
        <v>4.5362810701838834</v>
      </c>
      <c r="AK215" s="110">
        <f>'Data_in-situ'!ET257</f>
        <v>3</v>
      </c>
    </row>
    <row r="216" spans="20:37" x14ac:dyDescent="0.3">
      <c r="T216" s="113">
        <f>'Data_in-situ'!DN295</f>
        <v>3.0332504908479376</v>
      </c>
      <c r="U216" s="113">
        <f>'Data_in-situ'!DO295</f>
        <v>10.126673956829368</v>
      </c>
      <c r="V216" s="46">
        <f>'Data_in-situ'!DP295</f>
        <v>6</v>
      </c>
      <c r="W216" s="113">
        <f>'Data_in-situ'!DR295</f>
        <v>-5.3718567649972807E-2</v>
      </c>
      <c r="X216" s="113">
        <f>'Data_in-situ'!DS295</f>
        <v>0.37987896850363267</v>
      </c>
      <c r="Y216" s="46">
        <f>'Data_in-situ'!DT295</f>
        <v>6</v>
      </c>
      <c r="AF216" s="113">
        <f>'Data_in-situ'!EN258</f>
        <v>-12</v>
      </c>
      <c r="AG216" s="113">
        <f>'Data_in-situ'!EO258</f>
        <v>4.8899567850155199</v>
      </c>
      <c r="AH216" s="110">
        <f>'Data_in-situ'!EP258</f>
        <v>3</v>
      </c>
      <c r="AI216" s="113">
        <f>'Data_in-situ'!ER258</f>
        <v>-27</v>
      </c>
      <c r="AJ216" s="113">
        <f>'Data_in-situ'!ES258</f>
        <v>6.123979444748243</v>
      </c>
      <c r="AK216" s="110">
        <f>'Data_in-situ'!ET258</f>
        <v>3</v>
      </c>
    </row>
    <row r="217" spans="20:37" x14ac:dyDescent="0.3">
      <c r="T217" s="113">
        <f>'Data_in-situ'!DN296</f>
        <v>11.627460214917093</v>
      </c>
      <c r="U217" s="113">
        <f>'Data_in-situ'!DO296</f>
        <v>19.919328099494376</v>
      </c>
      <c r="V217" s="46">
        <f>'Data_in-situ'!DP296</f>
        <v>6</v>
      </c>
      <c r="W217" s="113">
        <f>'Data_in-situ'!DR296</f>
        <v>5.3718567649972807E-2</v>
      </c>
      <c r="X217" s="113">
        <f>'Data_in-situ'!DS296</f>
        <v>0.48646678719420772</v>
      </c>
      <c r="Y217" s="46">
        <f>'Data_in-situ'!DT296</f>
        <v>6</v>
      </c>
      <c r="AF217" s="113">
        <f>'Data_in-situ'!EN260</f>
        <v>-4</v>
      </c>
      <c r="AG217" s="113">
        <f>'Data_in-situ'!EO260</f>
        <v>1.6299855950051734</v>
      </c>
      <c r="AH217" s="110">
        <f>'Data_in-situ'!EP260</f>
        <v>3</v>
      </c>
      <c r="AI217" s="113">
        <f>'Data_in-situ'!ER260</f>
        <v>-31</v>
      </c>
      <c r="AJ217" s="113">
        <f>'Data_in-situ'!ES260</f>
        <v>7.0312356587850191</v>
      </c>
      <c r="AK217" s="110">
        <f>'Data_in-situ'!ET260</f>
        <v>3</v>
      </c>
    </row>
    <row r="218" spans="20:37" x14ac:dyDescent="0.3">
      <c r="T218" s="113">
        <f>'Data_in-situ'!DN297</f>
        <v>11.627460214917093</v>
      </c>
      <c r="U218" s="113">
        <f>'Data_in-situ'!DO297</f>
        <v>19.919328099494376</v>
      </c>
      <c r="V218" s="46">
        <f>'Data_in-situ'!DP297</f>
        <v>6</v>
      </c>
      <c r="W218" s="113">
        <f>'Data_in-situ'!DR297</f>
        <v>-0.10743713529994561</v>
      </c>
      <c r="X218" s="113">
        <f>'Data_in-situ'!DS297</f>
        <v>0.28944787367187741</v>
      </c>
      <c r="Y218" s="46">
        <f>'Data_in-situ'!DT297</f>
        <v>6</v>
      </c>
      <c r="AF218" s="113">
        <f>'Data_in-situ'!EN261</f>
        <v>-21</v>
      </c>
      <c r="AG218" s="113">
        <f>'Data_in-situ'!EO261</f>
        <v>8.5574243737771596</v>
      </c>
      <c r="AH218" s="110">
        <f>'Data_in-situ'!EP261</f>
        <v>3</v>
      </c>
      <c r="AI218" s="113">
        <f>'Data_in-situ'!ER261</f>
        <v>-38</v>
      </c>
      <c r="AJ218" s="113">
        <f>'Data_in-situ'!ES261</f>
        <v>8.6189340333493778</v>
      </c>
      <c r="AK218" s="110">
        <f>'Data_in-situ'!ET261</f>
        <v>3</v>
      </c>
    </row>
    <row r="219" spans="20:37" x14ac:dyDescent="0.3">
      <c r="T219" s="113">
        <f>'Data_in-situ'!DN298</f>
        <v>11.627460214917093</v>
      </c>
      <c r="U219" s="113">
        <f>'Data_in-situ'!DO298</f>
        <v>19.919328099494376</v>
      </c>
      <c r="V219" s="46">
        <f>'Data_in-situ'!DP298</f>
        <v>6</v>
      </c>
      <c r="W219" s="113">
        <f>'Data_in-situ'!DR298</f>
        <v>-0.10743713529994561</v>
      </c>
      <c r="X219" s="113">
        <f>'Data_in-situ'!DS298</f>
        <v>0.39119879833905941</v>
      </c>
      <c r="Y219" s="46">
        <f>'Data_in-situ'!DT298</f>
        <v>6</v>
      </c>
      <c r="AF219" s="113">
        <f>'Data_in-situ'!EN262</f>
        <v>0</v>
      </c>
      <c r="AG219" s="113">
        <f>'Data_in-situ'!EO262</f>
        <v>0</v>
      </c>
      <c r="AH219" s="110">
        <f>'Data_in-situ'!EP262</f>
        <v>3</v>
      </c>
      <c r="AI219" s="113">
        <f>'Data_in-situ'!ER262</f>
        <v>-50</v>
      </c>
      <c r="AJ219" s="113">
        <f>'Data_in-situ'!ES262</f>
        <v>11.340702675459708</v>
      </c>
      <c r="AK219" s="110">
        <f>'Data_in-situ'!ET262</f>
        <v>3</v>
      </c>
    </row>
    <row r="220" spans="20:37" x14ac:dyDescent="0.3">
      <c r="T220" s="113">
        <f>'Data_in-situ'!DN299</f>
        <v>11.627460214917093</v>
      </c>
      <c r="U220" s="113">
        <f>'Data_in-situ'!DO299</f>
        <v>19.919328099494376</v>
      </c>
      <c r="V220" s="46">
        <f>'Data_in-situ'!DP299</f>
        <v>6</v>
      </c>
      <c r="W220" s="113">
        <f>'Data_in-situ'!DR299</f>
        <v>-5.3718567649972807E-2</v>
      </c>
      <c r="X220" s="113">
        <f>'Data_in-situ'!DS299</f>
        <v>0.37987896850363267</v>
      </c>
      <c r="Y220" s="46">
        <f>'Data_in-situ'!DT299</f>
        <v>6</v>
      </c>
      <c r="AF220" s="113">
        <f>'Data_in-situ'!EN264</f>
        <v>-28</v>
      </c>
      <c r="AG220" s="113">
        <f>'Data_in-situ'!EO264</f>
        <v>11.409899165036213</v>
      </c>
      <c r="AH220" s="110">
        <f>'Data_in-situ'!EP264</f>
        <v>3</v>
      </c>
      <c r="AI220" s="113">
        <f>'Data_in-situ'!ER264</f>
        <v>-36</v>
      </c>
      <c r="AJ220" s="113">
        <f>'Data_in-situ'!ES264</f>
        <v>8.1653059263309906</v>
      </c>
      <c r="AK220" s="110">
        <f>'Data_in-situ'!ET264</f>
        <v>3</v>
      </c>
    </row>
    <row r="221" spans="20:37" x14ac:dyDescent="0.3">
      <c r="T221" s="113">
        <f>'Data_in-situ'!DN300</f>
        <v>13.144085460341062</v>
      </c>
      <c r="U221" s="113">
        <f>'Data_in-situ'!DO300</f>
        <v>20.285444054594439</v>
      </c>
      <c r="V221" s="46">
        <f>'Data_in-situ'!DP300</f>
        <v>6</v>
      </c>
      <c r="W221" s="113">
        <f>'Data_in-situ'!DR300</f>
        <v>5.3718567649972807E-2</v>
      </c>
      <c r="X221" s="113">
        <f>'Data_in-situ'!DS300</f>
        <v>0.48646678719420772</v>
      </c>
      <c r="Y221" s="46">
        <f>'Data_in-situ'!DT300</f>
        <v>6</v>
      </c>
      <c r="AF221" s="113">
        <f>'Data_in-situ'!EN265</f>
        <v>-18</v>
      </c>
      <c r="AG221" s="113">
        <f>'Data_in-situ'!EO265</f>
        <v>7.3349351775232803</v>
      </c>
      <c r="AH221" s="110">
        <f>'Data_in-situ'!EP265</f>
        <v>3</v>
      </c>
      <c r="AI221" s="113">
        <f>'Data_in-situ'!ER265</f>
        <v>-24</v>
      </c>
      <c r="AJ221" s="113">
        <f>'Data_in-situ'!ES265</f>
        <v>5.4435372842206604</v>
      </c>
      <c r="AK221" s="110">
        <f>'Data_in-situ'!ET265</f>
        <v>3</v>
      </c>
    </row>
    <row r="222" spans="20:37" x14ac:dyDescent="0.3">
      <c r="T222" s="113">
        <f>'Data_in-situ'!DN301</f>
        <v>13.144085460341062</v>
      </c>
      <c r="U222" s="113">
        <f>'Data_in-situ'!DO301</f>
        <v>20.285444054594439</v>
      </c>
      <c r="V222" s="46">
        <f>'Data_in-situ'!DP301</f>
        <v>6</v>
      </c>
      <c r="W222" s="113">
        <f>'Data_in-situ'!DR301</f>
        <v>-0.10743713529994561</v>
      </c>
      <c r="X222" s="113">
        <f>'Data_in-situ'!DS301</f>
        <v>0.28944787367187741</v>
      </c>
      <c r="Y222" s="46">
        <f>'Data_in-situ'!DT301</f>
        <v>6</v>
      </c>
      <c r="AF222" s="113">
        <f>'Data_in-situ'!EN266</f>
        <v>-11</v>
      </c>
      <c r="AG222" s="113">
        <f>'Data_in-situ'!EO266</f>
        <v>4.4824603862642265</v>
      </c>
      <c r="AH222" s="110">
        <f>'Data_in-situ'!EP266</f>
        <v>3</v>
      </c>
      <c r="AI222" s="113">
        <f>'Data_in-situ'!ER266</f>
        <v>-13</v>
      </c>
      <c r="AJ222" s="113">
        <f>'Data_in-situ'!ES266</f>
        <v>2.9485826956195242</v>
      </c>
      <c r="AK222" s="110">
        <f>'Data_in-situ'!ET266</f>
        <v>3</v>
      </c>
    </row>
    <row r="223" spans="20:37" x14ac:dyDescent="0.3">
      <c r="T223" s="113">
        <f>'Data_in-situ'!DN302</f>
        <v>13.144085460341062</v>
      </c>
      <c r="U223" s="113">
        <f>'Data_in-situ'!DO302</f>
        <v>20.285444054594439</v>
      </c>
      <c r="V223" s="46">
        <f>'Data_in-situ'!DP302</f>
        <v>6</v>
      </c>
      <c r="W223" s="113">
        <f>'Data_in-situ'!DR302</f>
        <v>-0.10743713529994561</v>
      </c>
      <c r="X223" s="113">
        <f>'Data_in-situ'!DS302</f>
        <v>0.39119879833905941</v>
      </c>
      <c r="Y223" s="46">
        <f>'Data_in-situ'!DT302</f>
        <v>6</v>
      </c>
      <c r="AF223" s="113">
        <f>'Data_in-situ'!EN267</f>
        <v>-16</v>
      </c>
      <c r="AG223" s="113">
        <f>'Data_in-situ'!EO267</f>
        <v>6.5199423800206935</v>
      </c>
      <c r="AH223" s="110">
        <f>'Data_in-situ'!EP267</f>
        <v>3</v>
      </c>
      <c r="AI223" s="113">
        <f>'Data_in-situ'!ER267</f>
        <v>-20</v>
      </c>
      <c r="AJ223" s="113">
        <f>'Data_in-situ'!ES267</f>
        <v>4.5362810701838834</v>
      </c>
      <c r="AK223" s="110">
        <f>'Data_in-situ'!ET267</f>
        <v>3</v>
      </c>
    </row>
    <row r="224" spans="20:37" x14ac:dyDescent="0.3">
      <c r="T224" s="113">
        <f>'Data_in-situ'!DN303</f>
        <v>13.144085460341062</v>
      </c>
      <c r="U224" s="113">
        <f>'Data_in-situ'!DO303</f>
        <v>20.285444054594439</v>
      </c>
      <c r="V224" s="46">
        <f>'Data_in-situ'!DP303</f>
        <v>6</v>
      </c>
      <c r="W224" s="113">
        <f>'Data_in-situ'!DR303</f>
        <v>-5.3718567649972807E-2</v>
      </c>
      <c r="X224" s="113">
        <f>'Data_in-situ'!DS303</f>
        <v>0.39119879833905941</v>
      </c>
      <c r="Y224" s="46">
        <f>'Data_in-situ'!DT303</f>
        <v>6</v>
      </c>
      <c r="AF224" s="113">
        <f>'Data_in-situ'!EN268</f>
        <v>-12</v>
      </c>
      <c r="AG224" s="113">
        <f>'Data_in-situ'!EO268</f>
        <v>4.8899567850155199</v>
      </c>
      <c r="AH224" s="110">
        <f>'Data_in-situ'!EP268</f>
        <v>3</v>
      </c>
      <c r="AI224" s="113">
        <f>'Data_in-situ'!ER268</f>
        <v>-27</v>
      </c>
      <c r="AJ224" s="113">
        <f>'Data_in-situ'!ES268</f>
        <v>6.123979444748243</v>
      </c>
      <c r="AK224" s="110">
        <f>'Data_in-situ'!ET268</f>
        <v>3</v>
      </c>
    </row>
    <row r="225" spans="20:37" x14ac:dyDescent="0.3">
      <c r="T225" s="113">
        <f>'Data_in-situ'!DN304</f>
        <v>0.25277087423732814</v>
      </c>
      <c r="U225" s="113">
        <f>'Data_in-situ'!DO304</f>
        <v>2.0397555922164208</v>
      </c>
      <c r="V225" s="46">
        <f>'Data_in-situ'!DP304</f>
        <v>6</v>
      </c>
      <c r="W225" s="113">
        <f>'Data_in-situ'!DR304</f>
        <v>-0.16115570294991843</v>
      </c>
      <c r="X225" s="113">
        <f>'Data_in-situ'!DS304</f>
        <v>0.5610292847687105</v>
      </c>
      <c r="Y225" s="46">
        <f>'Data_in-situ'!DT304</f>
        <v>6</v>
      </c>
      <c r="AF225" s="113">
        <f>'Data_in-situ'!EN270</f>
        <v>0</v>
      </c>
      <c r="AG225" s="113">
        <f>'Data_in-situ'!EO270</f>
        <v>0</v>
      </c>
      <c r="AH225" s="110">
        <f>'Data_in-situ'!EP270</f>
        <v>20</v>
      </c>
      <c r="AI225" s="113">
        <f>'Data_in-situ'!ER270</f>
        <v>-15</v>
      </c>
      <c r="AJ225" s="113">
        <f>'Data_in-situ'!ES270</f>
        <v>3.4022108026379128</v>
      </c>
      <c r="AK225" s="110">
        <f>'Data_in-situ'!ET270</f>
        <v>20</v>
      </c>
    </row>
    <row r="226" spans="20:37" x14ac:dyDescent="0.3">
      <c r="T226" s="113">
        <f>'Data_in-situ'!DN305</f>
        <v>0.25277087423732814</v>
      </c>
      <c r="U226" s="113">
        <f>'Data_in-situ'!DO305</f>
        <v>2.0397555922164208</v>
      </c>
      <c r="V226" s="46">
        <f>'Data_in-situ'!DP305</f>
        <v>6</v>
      </c>
      <c r="W226" s="113">
        <f>'Data_in-situ'!DR305</f>
        <v>-0.16115570294991843</v>
      </c>
      <c r="X226" s="113">
        <f>'Data_in-situ'!DS305</f>
        <v>0.5610292847687105</v>
      </c>
      <c r="Y226" s="46">
        <f>'Data_in-situ'!DT305</f>
        <v>6</v>
      </c>
      <c r="AF226" s="113">
        <f>'Data_in-situ'!EN271</f>
        <v>-26.2</v>
      </c>
      <c r="AG226" s="113">
        <f>'Data_in-situ'!EO271</f>
        <v>1.6</v>
      </c>
      <c r="AH226" s="110">
        <f>'Data_in-situ'!EP271</f>
        <v>4</v>
      </c>
      <c r="AI226" s="113">
        <f>'Data_in-situ'!ER271</f>
        <v>-42</v>
      </c>
      <c r="AJ226" s="113">
        <f>'Data_in-situ'!ES271</f>
        <v>1.6</v>
      </c>
      <c r="AK226" s="110">
        <f>'Data_in-situ'!ET271</f>
        <v>4</v>
      </c>
    </row>
    <row r="227" spans="20:37" x14ac:dyDescent="0.3">
      <c r="T227" s="113">
        <f>'Data_in-situ'!DN306</f>
        <v>0.25277087423732814</v>
      </c>
      <c r="U227" s="113">
        <f>'Data_in-situ'!DO306</f>
        <v>2.0397555922164208</v>
      </c>
      <c r="V227" s="46">
        <f>'Data_in-situ'!DP306</f>
        <v>6</v>
      </c>
      <c r="W227" s="113">
        <f>'Data_in-situ'!DR306</f>
        <v>-0.16115570294991843</v>
      </c>
      <c r="X227" s="113">
        <f>'Data_in-situ'!DS306</f>
        <v>0.50982923873701236</v>
      </c>
      <c r="Y227" s="46">
        <f>'Data_in-situ'!DT306</f>
        <v>6</v>
      </c>
      <c r="AF227" s="113">
        <f>'Data_in-situ'!EN274</f>
        <v>1.2156862745098034</v>
      </c>
      <c r="AG227" s="113">
        <f>'Data_in-situ'!EO274</f>
        <v>0.49768216864884945</v>
      </c>
      <c r="AH227" s="110">
        <f>'Data_in-situ'!EP274</f>
        <v>5</v>
      </c>
      <c r="AI227" s="113">
        <f>'Data_in-situ'!ER274</f>
        <v>-1.3627450980392155</v>
      </c>
      <c r="AJ227" s="113">
        <f>'Data_in-situ'!ES274</f>
        <v>0.94222961725764198</v>
      </c>
      <c r="AK227" s="110">
        <f>'Data_in-situ'!ET274</f>
        <v>5</v>
      </c>
    </row>
    <row r="228" spans="20:37" x14ac:dyDescent="0.3">
      <c r="T228" s="113">
        <f>'Data_in-situ'!DN307</f>
        <v>0.25277087423732814</v>
      </c>
      <c r="U228" s="113">
        <f>'Data_in-situ'!DO307</f>
        <v>2.0397555922164208</v>
      </c>
      <c r="V228" s="46">
        <f>'Data_in-situ'!DP307</f>
        <v>6</v>
      </c>
      <c r="W228" s="113">
        <f>'Data_in-situ'!DR307</f>
        <v>-0.21487427059989123</v>
      </c>
      <c r="X228" s="113">
        <f>'Data_in-situ'!DS307</f>
        <v>0.52942636938081877</v>
      </c>
      <c r="Y228" s="46">
        <f>'Data_in-situ'!DT307</f>
        <v>6</v>
      </c>
      <c r="AF228" s="113">
        <f>'Data_in-situ'!EN275</f>
        <v>1.6638655462184853</v>
      </c>
      <c r="AG228" s="113">
        <f>'Data_in-situ'!EO275</f>
        <v>0.34418289379886746</v>
      </c>
      <c r="AH228" s="110">
        <f>'Data_in-situ'!EP275</f>
        <v>5</v>
      </c>
      <c r="AI228" s="113">
        <f>'Data_in-situ'!ER275</f>
        <v>-0.55462184873949671</v>
      </c>
      <c r="AJ228" s="113">
        <f>'Data_in-situ'!ES275</f>
        <v>0.63167690703653101</v>
      </c>
      <c r="AK228" s="110">
        <f>'Data_in-situ'!ET275</f>
        <v>5</v>
      </c>
    </row>
    <row r="229" spans="20:37" x14ac:dyDescent="0.3">
      <c r="T229" s="113">
        <f>'Data_in-situ'!DN308</f>
        <v>1.2638543711866406</v>
      </c>
      <c r="U229" s="113">
        <f>'Data_in-situ'!DO308</f>
        <v>3.7827422106480872</v>
      </c>
      <c r="V229" s="46">
        <f>'Data_in-situ'!DP308</f>
        <v>6</v>
      </c>
      <c r="W229" s="113">
        <f>'Data_in-situ'!DR308</f>
        <v>-0.16115570294991843</v>
      </c>
      <c r="X229" s="113">
        <f>'Data_in-situ'!DS308</f>
        <v>0.5610292847687105</v>
      </c>
      <c r="Y229" s="46">
        <f>'Data_in-situ'!DT308</f>
        <v>6</v>
      </c>
      <c r="AF229" s="113">
        <f>'Data_in-situ'!EN276</f>
        <v>1.3882352941176466</v>
      </c>
      <c r="AG229" s="113">
        <f>'Data_in-situ'!EO276</f>
        <v>0.46526399843023991</v>
      </c>
      <c r="AH229" s="110">
        <f>'Data_in-situ'!EP276</f>
        <v>5</v>
      </c>
      <c r="AI229" s="113">
        <f>'Data_in-situ'!ER276</f>
        <v>-1.0352941176470594</v>
      </c>
      <c r="AJ229" s="113">
        <f>'Data_in-situ'!ES276</f>
        <v>0.83640987539045919</v>
      </c>
      <c r="AK229" s="110">
        <f>'Data_in-situ'!ET276</f>
        <v>5</v>
      </c>
    </row>
    <row r="230" spans="20:37" x14ac:dyDescent="0.3">
      <c r="T230" s="113">
        <f>'Data_in-situ'!DN309</f>
        <v>1.2638543711866406</v>
      </c>
      <c r="U230" s="113">
        <f>'Data_in-situ'!DO309</f>
        <v>3.7827422106480872</v>
      </c>
      <c r="V230" s="46">
        <f>'Data_in-situ'!DP309</f>
        <v>6</v>
      </c>
      <c r="W230" s="113">
        <f>'Data_in-situ'!DR309</f>
        <v>-0.16115570294991843</v>
      </c>
      <c r="X230" s="113">
        <f>'Data_in-situ'!DS309</f>
        <v>0.5610292847687105</v>
      </c>
      <c r="Y230" s="46">
        <f>'Data_in-situ'!DT309</f>
        <v>6</v>
      </c>
      <c r="AF230" s="113">
        <f>'Data_in-situ'!EN277</f>
        <v>0.28104575163398426</v>
      </c>
      <c r="AG230" s="113">
        <f>'Data_in-situ'!EO277</f>
        <v>1.0823202980922819</v>
      </c>
      <c r="AH230" s="110">
        <f>'Data_in-situ'!EP277</f>
        <v>5</v>
      </c>
      <c r="AI230" s="113">
        <f>'Data_in-situ'!ER277</f>
        <v>0.57352941176470584</v>
      </c>
      <c r="AJ230" s="113">
        <f>'Data_in-situ'!ES277</f>
        <v>0.95907460925260324</v>
      </c>
      <c r="AK230" s="110">
        <f>'Data_in-situ'!ET277</f>
        <v>5</v>
      </c>
    </row>
    <row r="231" spans="20:37" x14ac:dyDescent="0.3">
      <c r="T231" s="113">
        <f>'Data_in-situ'!DN310</f>
        <v>1.2638543711866406</v>
      </c>
      <c r="U231" s="113">
        <f>'Data_in-situ'!DO310</f>
        <v>3.7827422106480872</v>
      </c>
      <c r="V231" s="46">
        <f>'Data_in-situ'!DP310</f>
        <v>6</v>
      </c>
      <c r="W231" s="113">
        <f>'Data_in-situ'!DR310</f>
        <v>-0.16115570294991843</v>
      </c>
      <c r="X231" s="113">
        <f>'Data_in-situ'!DS310</f>
        <v>0.5610292847687105</v>
      </c>
      <c r="Y231" s="46">
        <f>'Data_in-situ'!DT310</f>
        <v>6</v>
      </c>
      <c r="AF231" s="113">
        <f>'Data_in-situ'!EN278</f>
        <v>1.4575163398692808</v>
      </c>
      <c r="AG231" s="113">
        <f>'Data_in-situ'!EO278</f>
        <v>0.75703059071343026</v>
      </c>
      <c r="AH231" s="110">
        <f>'Data_in-situ'!EP278</f>
        <v>5</v>
      </c>
      <c r="AI231" s="113">
        <f>'Data_in-situ'!ER278</f>
        <v>1.1487889273356398</v>
      </c>
      <c r="AJ231" s="113">
        <f>'Data_in-situ'!ES278</f>
        <v>0.755435518283471</v>
      </c>
      <c r="AK231" s="110">
        <f>'Data_in-situ'!ET278</f>
        <v>5</v>
      </c>
    </row>
    <row r="232" spans="20:37" x14ac:dyDescent="0.3">
      <c r="T232" s="113">
        <f>'Data_in-situ'!DN311</f>
        <v>1.2638543711866406</v>
      </c>
      <c r="U232" s="113">
        <f>'Data_in-situ'!DO311</f>
        <v>3.7827422106480872</v>
      </c>
      <c r="V232" s="46">
        <f>'Data_in-situ'!DP311</f>
        <v>6</v>
      </c>
      <c r="W232" s="113">
        <f>'Data_in-situ'!DR311</f>
        <v>-0.21487427059989123</v>
      </c>
      <c r="X232" s="113">
        <f>'Data_in-situ'!DS311</f>
        <v>0.52942636938081877</v>
      </c>
      <c r="Y232" s="46">
        <f>'Data_in-situ'!DT311</f>
        <v>6</v>
      </c>
      <c r="AF232" s="113">
        <f>'Data_in-situ'!EN279</f>
        <v>3.0092879256965936</v>
      </c>
      <c r="AG232" s="113">
        <f>'Data_in-situ'!EO279</f>
        <v>0.8290793279171158</v>
      </c>
      <c r="AH232" s="110">
        <f>'Data_in-situ'!EP279</f>
        <v>5</v>
      </c>
      <c r="AI232" s="113">
        <f>'Data_in-situ'!ER279</f>
        <v>2.8111455108359125</v>
      </c>
      <c r="AJ232" s="113">
        <f>'Data_in-situ'!ES279</f>
        <v>0.80714422344061043</v>
      </c>
      <c r="AK232" s="110">
        <f>'Data_in-situ'!ET279</f>
        <v>5</v>
      </c>
    </row>
    <row r="233" spans="20:37" x14ac:dyDescent="0.3">
      <c r="T233" s="113">
        <f>'Data_in-situ'!DN312</f>
        <v>0.75831262271198441</v>
      </c>
      <c r="U233" s="113">
        <f>'Data_in-situ'!DO312</f>
        <v>2.1753507933433238</v>
      </c>
      <c r="V233" s="46">
        <f>'Data_in-situ'!DP312</f>
        <v>6</v>
      </c>
      <c r="W233" s="113">
        <f>'Data_in-situ'!DR312</f>
        <v>-0.16115570294991843</v>
      </c>
      <c r="X233" s="113">
        <f>'Data_in-situ'!DS312</f>
        <v>0.5610292847687105</v>
      </c>
      <c r="Y233" s="46">
        <f>'Data_in-situ'!DT312</f>
        <v>6</v>
      </c>
      <c r="AF233" s="113">
        <f>'Data_in-situ'!EN280</f>
        <v>-24.4</v>
      </c>
      <c r="AG233" s="113">
        <f>'Data_in-situ'!EO280</f>
        <v>9.9429121295315568</v>
      </c>
      <c r="AH233" s="110">
        <f>'Data_in-situ'!EP280</f>
        <v>1</v>
      </c>
      <c r="AI233" s="113">
        <f>'Data_in-situ'!ER280</f>
        <v>-83.7</v>
      </c>
      <c r="AJ233" s="113">
        <f>'Data_in-situ'!ES280</f>
        <v>18.984336278719553</v>
      </c>
      <c r="AK233" s="110">
        <f>'Data_in-situ'!ET280</f>
        <v>1</v>
      </c>
    </row>
    <row r="234" spans="20:37" x14ac:dyDescent="0.3">
      <c r="T234" s="113">
        <f>'Data_in-situ'!DN313</f>
        <v>0.75831262271198441</v>
      </c>
      <c r="U234" s="113">
        <f>'Data_in-situ'!DO313</f>
        <v>2.1753507933433238</v>
      </c>
      <c r="V234" s="46">
        <f>'Data_in-situ'!DP313</f>
        <v>6</v>
      </c>
      <c r="W234" s="113">
        <f>'Data_in-situ'!DR313</f>
        <v>-0.16115570294991843</v>
      </c>
      <c r="X234" s="113">
        <f>'Data_in-situ'!DS313</f>
        <v>0.5610292847687105</v>
      </c>
      <c r="Y234" s="46">
        <f>'Data_in-situ'!DT313</f>
        <v>6</v>
      </c>
      <c r="AF234" s="113">
        <f>'Data_in-situ'!EN281</f>
        <v>-24.4</v>
      </c>
      <c r="AG234" s="113">
        <f>'Data_in-situ'!EO281</f>
        <v>9.9429121295315568</v>
      </c>
      <c r="AH234" s="110">
        <f>'Data_in-situ'!EP281</f>
        <v>1</v>
      </c>
      <c r="AI234" s="113">
        <f>'Data_in-situ'!ER281</f>
        <v>-49.1</v>
      </c>
      <c r="AJ234" s="113">
        <f>'Data_in-situ'!ES281</f>
        <v>11.136570027301435</v>
      </c>
      <c r="AK234" s="110">
        <f>'Data_in-situ'!ET281</f>
        <v>1</v>
      </c>
    </row>
    <row r="235" spans="20:37" x14ac:dyDescent="0.3">
      <c r="T235" s="113">
        <f>'Data_in-situ'!DN314</f>
        <v>0.75831262271198441</v>
      </c>
      <c r="U235" s="113">
        <f>'Data_in-situ'!DO314</f>
        <v>2.1753507933433238</v>
      </c>
      <c r="V235" s="46">
        <f>'Data_in-situ'!DP314</f>
        <v>6</v>
      </c>
      <c r="W235" s="113">
        <f>'Data_in-situ'!DR314</f>
        <v>-0.16115570294991843</v>
      </c>
      <c r="X235" s="113">
        <f>'Data_in-situ'!DS314</f>
        <v>0.52942636938081877</v>
      </c>
      <c r="Y235" s="46">
        <f>'Data_in-situ'!DT314</f>
        <v>6</v>
      </c>
      <c r="AF235" s="113">
        <f>'Data_in-situ'!EN282</f>
        <v>-24.4</v>
      </c>
      <c r="AG235" s="113">
        <f>'Data_in-situ'!EO282</f>
        <v>9.9429121295315568</v>
      </c>
      <c r="AH235" s="110">
        <f>'Data_in-situ'!EP282</f>
        <v>1</v>
      </c>
      <c r="AI235" s="113">
        <f>'Data_in-situ'!ER282</f>
        <v>-63.8</v>
      </c>
      <c r="AJ235" s="113">
        <f>'Data_in-situ'!ES282</f>
        <v>14.470736613886588</v>
      </c>
      <c r="AK235" s="110">
        <f>'Data_in-situ'!ET282</f>
        <v>1</v>
      </c>
    </row>
    <row r="236" spans="20:37" x14ac:dyDescent="0.3">
      <c r="T236" s="113">
        <f>'Data_in-situ'!DN315</f>
        <v>0.75831262271198441</v>
      </c>
      <c r="U236" s="113">
        <f>'Data_in-situ'!DO315</f>
        <v>2.1753507933433238</v>
      </c>
      <c r="V236" s="46">
        <f>'Data_in-situ'!DP315</f>
        <v>6</v>
      </c>
      <c r="W236" s="113">
        <f>'Data_in-situ'!DR315</f>
        <v>-0.21487427059989123</v>
      </c>
      <c r="X236" s="113">
        <f>'Data_in-situ'!DS315</f>
        <v>0.52942636938081877</v>
      </c>
      <c r="Y236" s="46">
        <f>'Data_in-situ'!DT315</f>
        <v>6</v>
      </c>
      <c r="AF236" s="113">
        <f>'Data_in-situ'!EN283</f>
        <v>-24.4</v>
      </c>
      <c r="AG236" s="113">
        <f>'Data_in-situ'!EO283</f>
        <v>9.9429121295315568</v>
      </c>
      <c r="AH236" s="110">
        <f>'Data_in-situ'!EP283</f>
        <v>1</v>
      </c>
      <c r="AI236" s="113">
        <f>'Data_in-situ'!ER283</f>
        <v>-34.4</v>
      </c>
      <c r="AJ236" s="113">
        <f>'Data_in-situ'!ES283</f>
        <v>7.8024034407162794</v>
      </c>
      <c r="AK236" s="110">
        <f>'Data_in-situ'!ET283</f>
        <v>1</v>
      </c>
    </row>
    <row r="237" spans="20:37" x14ac:dyDescent="0.3">
      <c r="T237" s="113">
        <f>'Data_in-situ'!DN316</f>
        <v>93.1</v>
      </c>
      <c r="U237" s="113">
        <f>'Data_in-situ'!DO316</f>
        <v>103.79526182078902</v>
      </c>
      <c r="V237" s="46">
        <f>'Data_in-situ'!DP316</f>
        <v>18</v>
      </c>
      <c r="W237" s="113">
        <f>'Data_in-situ'!DR316</f>
        <v>32.799999999999997</v>
      </c>
      <c r="X237" s="113">
        <f>'Data_in-situ'!DS316</f>
        <v>122.58069446389712</v>
      </c>
      <c r="Y237" s="46">
        <f>'Data_in-situ'!DT316</f>
        <v>18</v>
      </c>
      <c r="AF237" s="113">
        <f>'Data_in-situ'!EN284</f>
        <v>-24.4</v>
      </c>
      <c r="AG237" s="113">
        <f>'Data_in-situ'!EO284</f>
        <v>9.9429121295315568</v>
      </c>
      <c r="AH237" s="110">
        <f>'Data_in-situ'!EP284</f>
        <v>1</v>
      </c>
      <c r="AI237" s="113">
        <f>'Data_in-situ'!ER284</f>
        <v>-83.7</v>
      </c>
      <c r="AJ237" s="113">
        <f>'Data_in-situ'!ES284</f>
        <v>18.984336278719553</v>
      </c>
      <c r="AK237" s="110">
        <f>'Data_in-situ'!ET284</f>
        <v>1</v>
      </c>
    </row>
    <row r="238" spans="20:37" x14ac:dyDescent="0.3">
      <c r="T238" s="113">
        <f>'Data_in-situ'!DN317</f>
        <v>82.2</v>
      </c>
      <c r="U238" s="113">
        <f>'Data_in-situ'!DO317</f>
        <v>91.643077568945841</v>
      </c>
      <c r="V238" s="46">
        <f>'Data_in-situ'!DP317</f>
        <v>15</v>
      </c>
      <c r="W238" s="113">
        <f>'Data_in-situ'!DR317</f>
        <v>27.8</v>
      </c>
      <c r="X238" s="113">
        <f>'Data_in-situ'!DS317</f>
        <v>103.89461299074208</v>
      </c>
      <c r="Y238" s="46">
        <f>'Data_in-situ'!DT317</f>
        <v>15</v>
      </c>
      <c r="AF238" s="113">
        <f>'Data_in-situ'!EN285</f>
        <v>-24.4</v>
      </c>
      <c r="AG238" s="113">
        <f>'Data_in-situ'!EO285</f>
        <v>9.9429121295315568</v>
      </c>
      <c r="AH238" s="110">
        <f>'Data_in-situ'!EP285</f>
        <v>1</v>
      </c>
      <c r="AI238" s="113">
        <f>'Data_in-situ'!ER285</f>
        <v>-49.1</v>
      </c>
      <c r="AJ238" s="113">
        <f>'Data_in-situ'!ES285</f>
        <v>11.136570027301435</v>
      </c>
      <c r="AK238" s="110">
        <f>'Data_in-situ'!ET285</f>
        <v>1</v>
      </c>
    </row>
    <row r="239" spans="20:37" x14ac:dyDescent="0.3">
      <c r="T239" s="113">
        <f>'Data_in-situ'!DN318</f>
        <v>57.9</v>
      </c>
      <c r="U239" s="113">
        <f>'Data_in-situ'!DO318</f>
        <v>64.551510842359662</v>
      </c>
      <c r="V239" s="46">
        <f>'Data_in-situ'!DP318</f>
        <v>18</v>
      </c>
      <c r="W239" s="113">
        <f>'Data_in-situ'!DR318</f>
        <v>31.7</v>
      </c>
      <c r="X239" s="113">
        <f>'Data_in-situ'!DS318</f>
        <v>118.46975653980302</v>
      </c>
      <c r="Y239" s="46">
        <f>'Data_in-situ'!DT318</f>
        <v>18</v>
      </c>
      <c r="AF239" s="113">
        <f>'Data_in-situ'!EN286</f>
        <v>-24.4</v>
      </c>
      <c r="AG239" s="113">
        <f>'Data_in-situ'!EO286</f>
        <v>9.9429121295315568</v>
      </c>
      <c r="AH239" s="110">
        <f>'Data_in-situ'!EP286</f>
        <v>1</v>
      </c>
      <c r="AI239" s="113">
        <f>'Data_in-situ'!ER286</f>
        <v>-63.8</v>
      </c>
      <c r="AJ239" s="113">
        <f>'Data_in-situ'!ES286</f>
        <v>14.470736613886588</v>
      </c>
      <c r="AK239" s="110">
        <f>'Data_in-situ'!ET286</f>
        <v>1</v>
      </c>
    </row>
    <row r="240" spans="20:37" x14ac:dyDescent="0.3">
      <c r="T240" s="113">
        <f>'Data_in-situ'!DN319</f>
        <v>38.4</v>
      </c>
      <c r="U240" s="113">
        <f>'Data_in-situ'!DO319</f>
        <v>42.81136470374112</v>
      </c>
      <c r="V240" s="46">
        <f>'Data_in-situ'!DP319</f>
        <v>12</v>
      </c>
      <c r="W240" s="113">
        <f>'Data_in-situ'!DR319</f>
        <v>22.1</v>
      </c>
      <c r="X240" s="113">
        <f>'Data_in-situ'!DS319</f>
        <v>82.592480111345324</v>
      </c>
      <c r="Y240" s="46">
        <f>'Data_in-situ'!DT319</f>
        <v>12</v>
      </c>
      <c r="AF240" s="113">
        <f>'Data_in-situ'!EN287</f>
        <v>-24.4</v>
      </c>
      <c r="AG240" s="113">
        <f>'Data_in-situ'!EO287</f>
        <v>9.9429121295315568</v>
      </c>
      <c r="AH240" s="110">
        <f>'Data_in-situ'!EP287</f>
        <v>1</v>
      </c>
      <c r="AI240" s="113">
        <f>'Data_in-situ'!ER287</f>
        <v>-34.4</v>
      </c>
      <c r="AJ240" s="113">
        <f>'Data_in-situ'!ES287</f>
        <v>7.8024034407162794</v>
      </c>
      <c r="AK240" s="110">
        <f>'Data_in-situ'!ET287</f>
        <v>1</v>
      </c>
    </row>
    <row r="241" spans="20:37" x14ac:dyDescent="0.3">
      <c r="T241" s="113">
        <f>'Data_in-situ'!DN320</f>
        <v>78.099999999999994</v>
      </c>
      <c r="U241" s="113">
        <f>'Data_in-situ'!DO320</f>
        <v>87.072072483390144</v>
      </c>
      <c r="V241" s="46">
        <f>'Data_in-situ'!DP320</f>
        <v>17</v>
      </c>
      <c r="W241" s="113">
        <f>'Data_in-situ'!DR320</f>
        <v>34.9</v>
      </c>
      <c r="X241" s="113">
        <f>'Data_in-situ'!DS320</f>
        <v>130.42884868262223</v>
      </c>
      <c r="Y241" s="46">
        <f>'Data_in-situ'!DT320</f>
        <v>18</v>
      </c>
      <c r="AF241" s="113">
        <f>'Data_in-situ'!EN288</f>
        <v>-24.4</v>
      </c>
      <c r="AG241" s="113">
        <f>'Data_in-situ'!EO288</f>
        <v>9.9429121295315568</v>
      </c>
      <c r="AH241" s="110">
        <f>'Data_in-situ'!EP288</f>
        <v>1</v>
      </c>
      <c r="AI241" s="113">
        <f>'Data_in-situ'!ER288</f>
        <v>-83.7</v>
      </c>
      <c r="AJ241" s="113">
        <f>'Data_in-situ'!ES288</f>
        <v>18.984336278719553</v>
      </c>
      <c r="AK241" s="110">
        <f>'Data_in-situ'!ET288</f>
        <v>1</v>
      </c>
    </row>
    <row r="242" spans="20:37" x14ac:dyDescent="0.3">
      <c r="T242" s="113">
        <f>'Data_in-situ'!DN321</f>
        <v>53.5</v>
      </c>
      <c r="U242" s="113">
        <f>'Data_in-situ'!DO321</f>
        <v>59.64604197005599</v>
      </c>
      <c r="V242" s="46">
        <f>'Data_in-situ'!DP321</f>
        <v>15</v>
      </c>
      <c r="W242" s="113">
        <f>'Data_in-situ'!DR321</f>
        <v>34.5</v>
      </c>
      <c r="X242" s="113">
        <f>'Data_in-situ'!DS321</f>
        <v>128.93396216476984</v>
      </c>
      <c r="Y242" s="46">
        <f>'Data_in-situ'!DT321</f>
        <v>15</v>
      </c>
      <c r="AF242" s="113">
        <f>'Data_in-situ'!EN289</f>
        <v>-24.4</v>
      </c>
      <c r="AG242" s="113">
        <f>'Data_in-situ'!EO289</f>
        <v>9.9429121295315568</v>
      </c>
      <c r="AH242" s="110">
        <f>'Data_in-situ'!EP289</f>
        <v>1</v>
      </c>
      <c r="AI242" s="113">
        <f>'Data_in-situ'!ER289</f>
        <v>-49.1</v>
      </c>
      <c r="AJ242" s="113">
        <f>'Data_in-situ'!ES289</f>
        <v>11.136570027301435</v>
      </c>
      <c r="AK242" s="110">
        <f>'Data_in-situ'!ET289</f>
        <v>1</v>
      </c>
    </row>
    <row r="243" spans="20:37" x14ac:dyDescent="0.3">
      <c r="T243" s="113">
        <f>'Data_in-situ'!DN322</f>
        <v>43.6</v>
      </c>
      <c r="U243" s="113">
        <f>'Data_in-situ'!DO322</f>
        <v>48.608737007372731</v>
      </c>
      <c r="V243" s="46">
        <f>'Data_in-situ'!DP322</f>
        <v>18</v>
      </c>
      <c r="W243" s="113">
        <f>'Data_in-situ'!DR322</f>
        <v>14.1</v>
      </c>
      <c r="X243" s="113">
        <f>'Data_in-situ'!DS322</f>
        <v>52.694749754297241</v>
      </c>
      <c r="Y243" s="46">
        <f>'Data_in-situ'!DT322</f>
        <v>18</v>
      </c>
      <c r="AF243" s="113">
        <f>'Data_in-situ'!EN290</f>
        <v>-24.4</v>
      </c>
      <c r="AG243" s="113">
        <f>'Data_in-situ'!EO290</f>
        <v>9.9429121295315568</v>
      </c>
      <c r="AH243" s="110">
        <f>'Data_in-situ'!EP290</f>
        <v>1</v>
      </c>
      <c r="AI243" s="113">
        <f>'Data_in-situ'!ER290</f>
        <v>-63.8</v>
      </c>
      <c r="AJ243" s="113">
        <f>'Data_in-situ'!ES290</f>
        <v>14.470736613886588</v>
      </c>
      <c r="AK243" s="110">
        <f>'Data_in-situ'!ET290</f>
        <v>1</v>
      </c>
    </row>
    <row r="244" spans="20:37" x14ac:dyDescent="0.3">
      <c r="T244" s="113">
        <f>'Data_in-situ'!DN323</f>
        <v>24.4</v>
      </c>
      <c r="U244" s="113">
        <f>'Data_in-situ'!DO323</f>
        <v>27.203054655502171</v>
      </c>
      <c r="V244" s="46">
        <f>'Data_in-situ'!DP323</f>
        <v>29</v>
      </c>
      <c r="W244" s="113">
        <f>'Data_in-situ'!DR323</f>
        <v>5.6</v>
      </c>
      <c r="X244" s="113">
        <f>'Data_in-situ'!DS323</f>
        <v>20.928411249933653</v>
      </c>
      <c r="Y244" s="46">
        <f>'Data_in-situ'!DT323</f>
        <v>33</v>
      </c>
      <c r="AF244" s="113">
        <f>'Data_in-situ'!EN291</f>
        <v>-24.4</v>
      </c>
      <c r="AG244" s="113">
        <f>'Data_in-situ'!EO291</f>
        <v>9.9429121295315568</v>
      </c>
      <c r="AH244" s="110">
        <f>'Data_in-situ'!EP291</f>
        <v>1</v>
      </c>
      <c r="AI244" s="113">
        <f>'Data_in-situ'!ER291</f>
        <v>-34.4</v>
      </c>
      <c r="AJ244" s="113">
        <f>'Data_in-situ'!ES291</f>
        <v>7.8024034407162794</v>
      </c>
      <c r="AK244" s="110">
        <f>'Data_in-situ'!ET291</f>
        <v>1</v>
      </c>
    </row>
    <row r="245" spans="20:37" x14ac:dyDescent="0.3">
      <c r="T245" s="113">
        <f>'Data_in-situ'!DN324</f>
        <v>19.7</v>
      </c>
      <c r="U245" s="113">
        <f>'Data_in-situ'!DO324</f>
        <v>21.963121996450521</v>
      </c>
      <c r="V245" s="46">
        <f>'Data_in-situ'!DP324</f>
        <v>18</v>
      </c>
      <c r="W245" s="113">
        <f>'Data_in-situ'!DR324</f>
        <v>10.7</v>
      </c>
      <c r="X245" s="113">
        <f>'Data_in-situ'!DS324</f>
        <v>39.9882143525518</v>
      </c>
      <c r="Y245" s="46">
        <f>'Data_in-situ'!DT324</f>
        <v>18</v>
      </c>
      <c r="AF245" s="113">
        <f>'Data_in-situ'!EN292</f>
        <v>-20.8</v>
      </c>
      <c r="AG245" s="113">
        <f>'Data_in-situ'!EO292</f>
        <v>8.475925094026902</v>
      </c>
      <c r="AH245" s="110">
        <f>'Data_in-situ'!EP292</f>
        <v>1</v>
      </c>
      <c r="AI245" s="113">
        <f>'Data_in-situ'!ER292</f>
        <v>-48.2</v>
      </c>
      <c r="AJ245" s="113">
        <f>'Data_in-situ'!ES292</f>
        <v>10.93243737914316</v>
      </c>
      <c r="AK245" s="110">
        <f>'Data_in-situ'!ET292</f>
        <v>1</v>
      </c>
    </row>
    <row r="246" spans="20:37" x14ac:dyDescent="0.3">
      <c r="T246" s="113">
        <f>'Data_in-situ'!DN325</f>
        <v>19.899999999999999</v>
      </c>
      <c r="U246" s="113">
        <f>'Data_in-situ'!DO325</f>
        <v>22.186097854282508</v>
      </c>
      <c r="V246" s="46">
        <f>'Data_in-situ'!DP325</f>
        <v>12</v>
      </c>
      <c r="W246" s="113">
        <f>'Data_in-situ'!DR325</f>
        <v>11.3</v>
      </c>
      <c r="X246" s="113">
        <f>'Data_in-situ'!DS325</f>
        <v>42.230544129330411</v>
      </c>
      <c r="Y246" s="46">
        <f>'Data_in-situ'!DT325</f>
        <v>12</v>
      </c>
      <c r="AF246" s="113">
        <f>'Data_in-situ'!EN293</f>
        <v>-20.8</v>
      </c>
      <c r="AG246" s="113">
        <f>'Data_in-situ'!EO293</f>
        <v>8.475925094026902</v>
      </c>
      <c r="AH246" s="110">
        <f>'Data_in-situ'!EP293</f>
        <v>1</v>
      </c>
      <c r="AI246" s="113">
        <f>'Data_in-situ'!ER293</f>
        <v>-46</v>
      </c>
      <c r="AJ246" s="113">
        <f>'Data_in-situ'!ES293</f>
        <v>10.433446461422932</v>
      </c>
      <c r="AK246" s="110">
        <f>'Data_in-situ'!ET293</f>
        <v>1</v>
      </c>
    </row>
    <row r="247" spans="20:37" x14ac:dyDescent="0.3">
      <c r="T247" s="113">
        <f>'Data_in-situ'!DN326</f>
        <v>220.49</v>
      </c>
      <c r="U247" s="113">
        <f>'Data_in-situ'!DO326</f>
        <v>245.81973446687189</v>
      </c>
      <c r="V247" s="46">
        <f>'Data_in-situ'!DP326</f>
        <v>18</v>
      </c>
      <c r="W247" s="113">
        <f>'Data_in-situ'!DR326</f>
        <v>-0.5</v>
      </c>
      <c r="X247" s="113">
        <f>'Data_in-situ'!DS326</f>
        <v>1.868608147315505</v>
      </c>
      <c r="Y247" s="46">
        <f>'Data_in-situ'!DT326</f>
        <v>18</v>
      </c>
      <c r="AF247" s="113">
        <f>'Data_in-situ'!EN294</f>
        <v>-20.8</v>
      </c>
      <c r="AG247" s="113">
        <f>'Data_in-situ'!EO294</f>
        <v>8.475925094026902</v>
      </c>
      <c r="AH247" s="110">
        <f>'Data_in-situ'!EP294</f>
        <v>1</v>
      </c>
      <c r="AI247" s="113">
        <f>'Data_in-situ'!ER294</f>
        <v>-40</v>
      </c>
      <c r="AJ247" s="113">
        <f>'Data_in-situ'!ES294</f>
        <v>9.0725621403677668</v>
      </c>
      <c r="AK247" s="110">
        <f>'Data_in-situ'!ET294</f>
        <v>1</v>
      </c>
    </row>
    <row r="248" spans="20:37" x14ac:dyDescent="0.3">
      <c r="T248" s="113">
        <f>'Data_in-situ'!DN327</f>
        <v>395.8</v>
      </c>
      <c r="U248" s="113">
        <f>'Data_in-situ'!DO327</f>
        <v>441.26922264949837</v>
      </c>
      <c r="V248" s="46">
        <f>'Data_in-situ'!DP327</f>
        <v>12</v>
      </c>
      <c r="W248" s="113">
        <f>'Data_in-situ'!DR327</f>
        <v>0.2</v>
      </c>
      <c r="X248" s="113">
        <f>'Data_in-situ'!DS327</f>
        <v>0.747443258926202</v>
      </c>
      <c r="Y248" s="46">
        <f>'Data_in-situ'!DT327</f>
        <v>15</v>
      </c>
      <c r="AF248" s="113">
        <f>'Data_in-situ'!EN295</f>
        <v>-20.8</v>
      </c>
      <c r="AG248" s="113">
        <f>'Data_in-situ'!EO295</f>
        <v>8.475925094026902</v>
      </c>
      <c r="AH248" s="110">
        <f>'Data_in-situ'!EP295</f>
        <v>1</v>
      </c>
      <c r="AI248" s="113">
        <f>'Data_in-situ'!ER295</f>
        <v>-31.5</v>
      </c>
      <c r="AJ248" s="113">
        <f>'Data_in-situ'!ES295</f>
        <v>7.1446426855396163</v>
      </c>
      <c r="AK248" s="110">
        <f>'Data_in-situ'!ET295</f>
        <v>1</v>
      </c>
    </row>
    <row r="249" spans="20:37" x14ac:dyDescent="0.3">
      <c r="T249" s="113">
        <f>'Data_in-situ'!DN328</f>
        <v>180.3</v>
      </c>
      <c r="U249" s="113">
        <f>'Data_in-situ'!DO328</f>
        <v>201.0127358355345</v>
      </c>
      <c r="V249" s="46">
        <f>'Data_in-situ'!DP328</f>
        <v>18</v>
      </c>
      <c r="W249" s="113">
        <f>'Data_in-situ'!DR328</f>
        <v>0.2</v>
      </c>
      <c r="X249" s="113">
        <f>'Data_in-situ'!DS328</f>
        <v>0.747443258926202</v>
      </c>
      <c r="Y249" s="46">
        <f>'Data_in-situ'!DT328</f>
        <v>18</v>
      </c>
      <c r="AF249" s="113">
        <f>'Data_in-situ'!EN296</f>
        <v>-20.8</v>
      </c>
      <c r="AG249" s="113">
        <f>'Data_in-situ'!EO296</f>
        <v>8.475925094026902</v>
      </c>
      <c r="AH249" s="110">
        <f>'Data_in-situ'!EP296</f>
        <v>1</v>
      </c>
      <c r="AI249" s="113">
        <f>'Data_in-situ'!ER296</f>
        <v>-48.2</v>
      </c>
      <c r="AJ249" s="113">
        <f>'Data_in-situ'!ES296</f>
        <v>10.93243737914316</v>
      </c>
      <c r="AK249" s="110">
        <f>'Data_in-situ'!ET296</f>
        <v>1</v>
      </c>
    </row>
    <row r="250" spans="20:37" x14ac:dyDescent="0.3">
      <c r="T250" s="113">
        <f>'Data_in-situ'!DN329</f>
        <v>22.6</v>
      </c>
      <c r="U250" s="113">
        <f>'Data_in-situ'!DO329</f>
        <v>25.196271935014309</v>
      </c>
      <c r="V250" s="46">
        <f>'Data_in-situ'!DP329</f>
        <v>15</v>
      </c>
      <c r="W250" s="113">
        <f>'Data_in-situ'!DR329</f>
        <v>0.03</v>
      </c>
      <c r="X250" s="113">
        <f>'Data_in-situ'!DS329</f>
        <v>0.11211648883893029</v>
      </c>
      <c r="Y250" s="46">
        <f>'Data_in-situ'!DT329</f>
        <v>15</v>
      </c>
      <c r="AF250" s="113">
        <f>'Data_in-situ'!EN297</f>
        <v>-20.8</v>
      </c>
      <c r="AG250" s="113">
        <f>'Data_in-situ'!EO297</f>
        <v>8.475925094026902</v>
      </c>
      <c r="AH250" s="110">
        <f>'Data_in-situ'!EP297</f>
        <v>1</v>
      </c>
      <c r="AI250" s="113">
        <f>'Data_in-situ'!ER297</f>
        <v>-46</v>
      </c>
      <c r="AJ250" s="113">
        <f>'Data_in-situ'!ES297</f>
        <v>10.433446461422932</v>
      </c>
      <c r="AK250" s="110">
        <f>'Data_in-situ'!ET297</f>
        <v>1</v>
      </c>
    </row>
    <row r="251" spans="20:37" x14ac:dyDescent="0.3">
      <c r="T251" s="113">
        <f>'Data_in-situ'!DN330</f>
        <v>23.9</v>
      </c>
      <c r="U251" s="113">
        <f>'Data_in-situ'!DO330</f>
        <v>26.645615010922207</v>
      </c>
      <c r="V251" s="46">
        <f>'Data_in-situ'!DP330</f>
        <v>10</v>
      </c>
      <c r="W251" s="113">
        <f>'Data_in-situ'!DR330</f>
        <v>8.6999999999999993</v>
      </c>
      <c r="X251" s="113">
        <f>'Data_in-situ'!DS330</f>
        <v>32.513781763289785</v>
      </c>
      <c r="Y251" s="46">
        <f>'Data_in-situ'!DT330</f>
        <v>15</v>
      </c>
      <c r="AF251" s="113">
        <f>'Data_in-situ'!EN298</f>
        <v>-20.8</v>
      </c>
      <c r="AG251" s="113">
        <f>'Data_in-situ'!EO298</f>
        <v>8.475925094026902</v>
      </c>
      <c r="AH251" s="110">
        <f>'Data_in-situ'!EP298</f>
        <v>1</v>
      </c>
      <c r="AI251" s="113">
        <f>'Data_in-situ'!ER298</f>
        <v>-40</v>
      </c>
      <c r="AJ251" s="113">
        <f>'Data_in-situ'!ES298</f>
        <v>9.0725621403677668</v>
      </c>
      <c r="AK251" s="110">
        <f>'Data_in-situ'!ET298</f>
        <v>1</v>
      </c>
    </row>
    <row r="252" spans="20:37" x14ac:dyDescent="0.3">
      <c r="T252" s="113">
        <f>'Data_in-situ'!DN331</f>
        <v>130.67000000000002</v>
      </c>
      <c r="U252" s="113">
        <f>'Data_in-situ'!DO331</f>
        <v>68.193149695063454</v>
      </c>
      <c r="V252" s="46">
        <f>'Data_in-situ'!DP331</f>
        <v>3</v>
      </c>
      <c r="W252" s="113">
        <f>'Data_in-situ'!DR331</f>
        <v>61.027999999999992</v>
      </c>
      <c r="X252" s="113">
        <f>'Data_in-situ'!DS331</f>
        <v>43.24238046176459</v>
      </c>
      <c r="Y252" s="46">
        <f>'Data_in-situ'!DT331</f>
        <v>3</v>
      </c>
      <c r="AF252" s="113">
        <f>'Data_in-situ'!EN299</f>
        <v>-20.8</v>
      </c>
      <c r="AG252" s="113">
        <f>'Data_in-situ'!EO299</f>
        <v>8.475925094026902</v>
      </c>
      <c r="AH252" s="110">
        <f>'Data_in-situ'!EP299</f>
        <v>1</v>
      </c>
      <c r="AI252" s="113">
        <f>'Data_in-situ'!ER299</f>
        <v>-31.5</v>
      </c>
      <c r="AJ252" s="113">
        <f>'Data_in-situ'!ES299</f>
        <v>7.1446426855396163</v>
      </c>
      <c r="AK252" s="110">
        <f>'Data_in-situ'!ET299</f>
        <v>1</v>
      </c>
    </row>
    <row r="253" spans="20:37" x14ac:dyDescent="0.3">
      <c r="T253" s="113">
        <f>'Data_in-situ'!DN332</f>
        <v>130.67000000000002</v>
      </c>
      <c r="U253" s="113">
        <f>'Data_in-situ'!DO332</f>
        <v>68.193149695063454</v>
      </c>
      <c r="V253" s="46">
        <f>'Data_in-situ'!DP332</f>
        <v>3</v>
      </c>
      <c r="W253" s="113">
        <f>'Data_in-situ'!DR332</f>
        <v>1.3626666666666667</v>
      </c>
      <c r="X253" s="113">
        <f>'Data_in-situ'!DS332</f>
        <v>1.5172765074303363</v>
      </c>
      <c r="Y253" s="46">
        <f>'Data_in-situ'!DT332</f>
        <v>3</v>
      </c>
      <c r="AF253" s="113">
        <f>'Data_in-situ'!EN300</f>
        <v>-20.8</v>
      </c>
      <c r="AG253" s="113">
        <f>'Data_in-situ'!EO300</f>
        <v>8.475925094026902</v>
      </c>
      <c r="AH253" s="110">
        <f>'Data_in-situ'!EP300</f>
        <v>1</v>
      </c>
      <c r="AI253" s="113">
        <f>'Data_in-situ'!ER300</f>
        <v>-48.2</v>
      </c>
      <c r="AJ253" s="113">
        <f>'Data_in-situ'!ES300</f>
        <v>10.93243737914316</v>
      </c>
      <c r="AK253" s="110">
        <f>'Data_in-situ'!ET300</f>
        <v>1</v>
      </c>
    </row>
    <row r="254" spans="20:37" x14ac:dyDescent="0.3">
      <c r="T254" s="113">
        <f>'Data_in-situ'!DN333</f>
        <v>224.95402018476722</v>
      </c>
      <c r="U254" s="113">
        <f>'Data_in-situ'!DO333</f>
        <v>27.300798963122862</v>
      </c>
      <c r="V254" s="46">
        <f>'Data_in-situ'!DP333</f>
        <v>3</v>
      </c>
      <c r="W254" s="113">
        <f>'Data_in-situ'!DR333</f>
        <v>41.219419022620272</v>
      </c>
      <c r="X254" s="113">
        <f>'Data_in-situ'!DS333</f>
        <v>28.248116299491517</v>
      </c>
      <c r="Y254" s="46">
        <f>'Data_in-situ'!DT333</f>
        <v>3</v>
      </c>
      <c r="AF254" s="113">
        <f>'Data_in-situ'!EN301</f>
        <v>-20.8</v>
      </c>
      <c r="AG254" s="113">
        <f>'Data_in-situ'!EO301</f>
        <v>8.475925094026902</v>
      </c>
      <c r="AH254" s="110">
        <f>'Data_in-situ'!EP301</f>
        <v>1</v>
      </c>
      <c r="AI254" s="113">
        <f>'Data_in-situ'!ER301</f>
        <v>-46</v>
      </c>
      <c r="AJ254" s="113">
        <f>'Data_in-situ'!ES301</f>
        <v>10.433446461422932</v>
      </c>
      <c r="AK254" s="110">
        <f>'Data_in-situ'!ET301</f>
        <v>1</v>
      </c>
    </row>
    <row r="255" spans="20:37" x14ac:dyDescent="0.3">
      <c r="T255" s="113">
        <f>'Data_in-situ'!DN334</f>
        <v>319.73915567142052</v>
      </c>
      <c r="U255" s="113">
        <f>'Data_in-situ'!DO334</f>
        <v>43.930407967061235</v>
      </c>
      <c r="V255" s="46">
        <f>'Data_in-situ'!DP334</f>
        <v>3</v>
      </c>
      <c r="W255" s="113">
        <f>'Data_in-situ'!DR334</f>
        <v>51.711287050105334</v>
      </c>
      <c r="X255" s="113">
        <f>'Data_in-situ'!DS334</f>
        <v>35.138864518591532</v>
      </c>
      <c r="Y255" s="46">
        <f>'Data_in-situ'!DT334</f>
        <v>3</v>
      </c>
      <c r="AF255" s="113">
        <f>'Data_in-situ'!EN302</f>
        <v>-20.8</v>
      </c>
      <c r="AG255" s="113">
        <f>'Data_in-situ'!EO302</f>
        <v>8.475925094026902</v>
      </c>
      <c r="AH255" s="110">
        <f>'Data_in-situ'!EP302</f>
        <v>1</v>
      </c>
      <c r="AI255" s="113">
        <f>'Data_in-situ'!ER302</f>
        <v>-40</v>
      </c>
      <c r="AJ255" s="113">
        <f>'Data_in-situ'!ES302</f>
        <v>9.0725621403677668</v>
      </c>
      <c r="AK255" s="110">
        <f>'Data_in-situ'!ET302</f>
        <v>1</v>
      </c>
    </row>
    <row r="256" spans="20:37" x14ac:dyDescent="0.3">
      <c r="T256" s="113">
        <f>'Data_in-situ'!DN335</f>
        <v>231.15879516066161</v>
      </c>
      <c r="U256" s="113">
        <f>'Data_in-situ'!DO335</f>
        <v>29.849428994378311</v>
      </c>
      <c r="V256" s="46">
        <f>'Data_in-situ'!DP335</f>
        <v>3</v>
      </c>
      <c r="W256" s="113">
        <f>'Data_in-situ'!DR335</f>
        <v>36.322102883026695</v>
      </c>
      <c r="X256" s="113">
        <f>'Data_in-situ'!DS335</f>
        <v>24.783672418143286</v>
      </c>
      <c r="Y256" s="46">
        <f>'Data_in-situ'!DT335</f>
        <v>3</v>
      </c>
      <c r="AF256" s="113">
        <f>'Data_in-situ'!EN303</f>
        <v>-20.8</v>
      </c>
      <c r="AG256" s="113">
        <f>'Data_in-situ'!EO303</f>
        <v>8.475925094026902</v>
      </c>
      <c r="AH256" s="110">
        <f>'Data_in-situ'!EP303</f>
        <v>1</v>
      </c>
      <c r="AI256" s="113">
        <f>'Data_in-situ'!ER303</f>
        <v>-31.5</v>
      </c>
      <c r="AJ256" s="113">
        <f>'Data_in-situ'!ES303</f>
        <v>7.1446426855396163</v>
      </c>
      <c r="AK256" s="110">
        <f>'Data_in-situ'!ET303</f>
        <v>1</v>
      </c>
    </row>
    <row r="257" spans="20:37" x14ac:dyDescent="0.3">
      <c r="T257" s="113">
        <f>'Data_in-situ'!DN336</f>
        <v>493.10596214853945</v>
      </c>
      <c r="U257" s="113">
        <f>'Data_in-situ'!DO336</f>
        <v>526.28285184988022</v>
      </c>
      <c r="V257" s="46">
        <f>'Data_in-situ'!DP336</f>
        <v>3</v>
      </c>
      <c r="W257" s="113">
        <f>'Data_in-situ'!DR336</f>
        <v>78.722119137960249</v>
      </c>
      <c r="X257" s="113">
        <f>'Data_in-situ'!DS336</f>
        <v>80.04506331866223</v>
      </c>
      <c r="Y257" s="46">
        <f>'Data_in-situ'!DT336</f>
        <v>3</v>
      </c>
      <c r="AF257" s="113">
        <f>'Data_in-situ'!EN304</f>
        <v>-48.7</v>
      </c>
      <c r="AG257" s="113">
        <f>'Data_in-situ'!EO304</f>
        <v>19.845074619187987</v>
      </c>
      <c r="AH257" s="110">
        <f>'Data_in-situ'!EP304</f>
        <v>1</v>
      </c>
      <c r="AI257" s="113">
        <f>'Data_in-situ'!ER304</f>
        <v>-77.599999999999994</v>
      </c>
      <c r="AJ257" s="113">
        <f>'Data_in-situ'!ES304</f>
        <v>17.600770552313467</v>
      </c>
      <c r="AK257" s="110">
        <f>'Data_in-situ'!ET304</f>
        <v>1</v>
      </c>
    </row>
    <row r="258" spans="20:37" x14ac:dyDescent="0.3">
      <c r="T258" s="113">
        <f>'Data_in-situ'!DN337</f>
        <v>806.56888052092813</v>
      </c>
      <c r="U258" s="113">
        <f>'Data_in-situ'!DO337</f>
        <v>856.38159693760133</v>
      </c>
      <c r="V258" s="46">
        <f>'Data_in-situ'!DP337</f>
        <v>3</v>
      </c>
      <c r="W258" s="113">
        <f>'Data_in-situ'!DR337</f>
        <v>84.62740503626496</v>
      </c>
      <c r="X258" s="113">
        <f>'Data_in-situ'!DS337</f>
        <v>85.525142019325685</v>
      </c>
      <c r="Y258" s="46">
        <f>'Data_in-situ'!DT337</f>
        <v>3</v>
      </c>
      <c r="AF258" s="113">
        <f>'Data_in-situ'!EN305</f>
        <v>-48.7</v>
      </c>
      <c r="AG258" s="113">
        <f>'Data_in-situ'!EO305</f>
        <v>19.845074619187987</v>
      </c>
      <c r="AH258" s="110">
        <f>'Data_in-situ'!EP305</f>
        <v>1</v>
      </c>
      <c r="AI258" s="113">
        <f>'Data_in-situ'!ER305</f>
        <v>-119.3</v>
      </c>
      <c r="AJ258" s="113">
        <f>'Data_in-situ'!ES305</f>
        <v>27.058916583646866</v>
      </c>
      <c r="AK258" s="110">
        <f>'Data_in-situ'!ET305</f>
        <v>1</v>
      </c>
    </row>
    <row r="259" spans="20:37" x14ac:dyDescent="0.3">
      <c r="T259" s="113">
        <f>'Data_in-situ'!DN338</f>
        <v>660.5745513402162</v>
      </c>
      <c r="U259" s="113">
        <f>'Data_in-situ'!DO338</f>
        <v>706.60737149083172</v>
      </c>
      <c r="V259" s="46">
        <f>'Data_in-situ'!DP338</f>
        <v>3</v>
      </c>
      <c r="W259" s="113">
        <f>'Data_in-situ'!DR338</f>
        <v>60.94615675196922</v>
      </c>
      <c r="X259" s="113">
        <f>'Data_in-situ'!DS338</f>
        <v>61.833294541817786</v>
      </c>
      <c r="Y259" s="46">
        <f>'Data_in-situ'!DT338</f>
        <v>3</v>
      </c>
      <c r="AF259" s="113">
        <f>'Data_in-situ'!EN306</f>
        <v>-48.7</v>
      </c>
      <c r="AG259" s="113">
        <f>'Data_in-situ'!EO306</f>
        <v>19.845074619187987</v>
      </c>
      <c r="AH259" s="110">
        <f>'Data_in-situ'!EP306</f>
        <v>1</v>
      </c>
      <c r="AI259" s="113">
        <f>'Data_in-situ'!ER306</f>
        <v>-85.1</v>
      </c>
      <c r="AJ259" s="113">
        <f>'Data_in-situ'!ES306</f>
        <v>19.301875953632422</v>
      </c>
      <c r="AK259" s="110">
        <f>'Data_in-situ'!ET306</f>
        <v>1</v>
      </c>
    </row>
    <row r="260" spans="20:37" x14ac:dyDescent="0.3">
      <c r="T260" s="113">
        <f>'Data_in-situ'!DN339</f>
        <v>119.51899620842497</v>
      </c>
      <c r="U260" s="113">
        <f>'Data_in-situ'!DO339</f>
        <v>34.824121299588967</v>
      </c>
      <c r="V260" s="46">
        <f>'Data_in-situ'!DP339</f>
        <v>3</v>
      </c>
      <c r="W260" s="113">
        <f>'Data_in-situ'!DR339</f>
        <v>20.119884710538422</v>
      </c>
      <c r="X260" s="113">
        <f>'Data_in-situ'!DS339</f>
        <v>3.7786326870241678</v>
      </c>
      <c r="Y260" s="46">
        <f>'Data_in-situ'!DT339</f>
        <v>3</v>
      </c>
      <c r="AF260" s="113">
        <f>'Data_in-situ'!EN307</f>
        <v>-48.7</v>
      </c>
      <c r="AG260" s="113">
        <f>'Data_in-situ'!EO307</f>
        <v>19.845074619187987</v>
      </c>
      <c r="AH260" s="110">
        <f>'Data_in-situ'!EP307</f>
        <v>1</v>
      </c>
      <c r="AI260" s="113">
        <f>'Data_in-situ'!ER307</f>
        <v>-90</v>
      </c>
      <c r="AJ260" s="113">
        <f>'Data_in-situ'!ES307</f>
        <v>20.413264815827475</v>
      </c>
      <c r="AK260" s="110">
        <f>'Data_in-situ'!ET307</f>
        <v>1</v>
      </c>
    </row>
    <row r="261" spans="20:37" x14ac:dyDescent="0.3">
      <c r="T261" s="113">
        <f>'Data_in-situ'!DN340</f>
        <v>756.9536426533582</v>
      </c>
      <c r="U261" s="113">
        <f>'Data_in-situ'!DO340</f>
        <v>966.52380476916505</v>
      </c>
      <c r="V261" s="46">
        <f>'Data_in-situ'!DP340</f>
        <v>3</v>
      </c>
      <c r="W261" s="113">
        <f>'Data_in-situ'!DR340</f>
        <v>140.83919297376897</v>
      </c>
      <c r="X261" s="113">
        <f>'Data_in-situ'!DS340</f>
        <v>231.79656525897315</v>
      </c>
      <c r="Y261" s="46">
        <f>'Data_in-situ'!DT340</f>
        <v>3</v>
      </c>
      <c r="AF261" s="113">
        <f>'Data_in-situ'!EN308</f>
        <v>-48.7</v>
      </c>
      <c r="AG261" s="113">
        <f>'Data_in-situ'!EO308</f>
        <v>19.845074619187987</v>
      </c>
      <c r="AH261" s="110">
        <f>'Data_in-situ'!EP308</f>
        <v>1</v>
      </c>
      <c r="AI261" s="113">
        <f>'Data_in-situ'!ER308</f>
        <v>-77.599999999999994</v>
      </c>
      <c r="AJ261" s="113">
        <f>'Data_in-situ'!ES308</f>
        <v>17.600770552313467</v>
      </c>
      <c r="AK261" s="110">
        <f>'Data_in-situ'!ET308</f>
        <v>1</v>
      </c>
    </row>
    <row r="262" spans="20:37" x14ac:dyDescent="0.3">
      <c r="T262" s="113">
        <f>'Data_in-situ'!DN341</f>
        <v>99.599163507020805</v>
      </c>
      <c r="U262" s="113">
        <f>'Data_in-situ'!DO341</f>
        <v>34.500209307573023</v>
      </c>
      <c r="V262" s="46">
        <f>'Data_in-situ'!DP341</f>
        <v>3</v>
      </c>
      <c r="W262" s="113">
        <f>'Data_in-situ'!DR341</f>
        <v>2.0119884710538427</v>
      </c>
      <c r="X262" s="113">
        <f>'Data_in-situ'!DS341</f>
        <v>4.1125976308977705</v>
      </c>
      <c r="Y262" s="46">
        <f>'Data_in-situ'!DT341</f>
        <v>3</v>
      </c>
      <c r="AF262" s="113">
        <f>'Data_in-situ'!EN309</f>
        <v>-48.7</v>
      </c>
      <c r="AG262" s="113">
        <f>'Data_in-situ'!EO309</f>
        <v>19.845074619187987</v>
      </c>
      <c r="AH262" s="110">
        <f>'Data_in-situ'!EP309</f>
        <v>1</v>
      </c>
      <c r="AI262" s="113">
        <f>'Data_in-situ'!ER309</f>
        <v>-119.3</v>
      </c>
      <c r="AJ262" s="113">
        <f>'Data_in-situ'!ES309</f>
        <v>27.058916583646866</v>
      </c>
      <c r="AK262" s="110">
        <f>'Data_in-situ'!ET309</f>
        <v>1</v>
      </c>
    </row>
    <row r="263" spans="20:37" x14ac:dyDescent="0.3">
      <c r="T263" s="113">
        <f>'Data_in-situ'!DN342</f>
        <v>230.49976509958381</v>
      </c>
      <c r="U263" s="113">
        <f>'Data_in-situ'!DO342</f>
        <v>197.03120287558829</v>
      </c>
      <c r="V263" s="46">
        <f>'Data_in-situ'!DP342</f>
        <v>3</v>
      </c>
      <c r="W263" s="113">
        <f>'Data_in-situ'!DR342</f>
        <v>118.90670603705591</v>
      </c>
      <c r="X263" s="113">
        <f>'Data_in-situ'!DS342</f>
        <v>159.66597828472533</v>
      </c>
      <c r="Y263" s="46">
        <f>'Data_in-situ'!DT342</f>
        <v>3</v>
      </c>
      <c r="AF263" s="113">
        <f>'Data_in-situ'!EN310</f>
        <v>-48.7</v>
      </c>
      <c r="AG263" s="113">
        <f>'Data_in-situ'!EO310</f>
        <v>19.845074619187987</v>
      </c>
      <c r="AH263" s="110">
        <f>'Data_in-situ'!EP310</f>
        <v>1</v>
      </c>
      <c r="AI263" s="113">
        <f>'Data_in-situ'!ER310</f>
        <v>-85.1</v>
      </c>
      <c r="AJ263" s="113">
        <f>'Data_in-situ'!ES310</f>
        <v>19.301875953632422</v>
      </c>
      <c r="AK263" s="110">
        <f>'Data_in-situ'!ET310</f>
        <v>1</v>
      </c>
    </row>
    <row r="264" spans="20:37" x14ac:dyDescent="0.3">
      <c r="T264" s="113">
        <f>'Data_in-situ'!DN343</f>
        <v>1089.6352531980324</v>
      </c>
      <c r="U264" s="113">
        <f>'Data_in-situ'!DO343</f>
        <v>927.78982978332431</v>
      </c>
      <c r="V264" s="46">
        <f>'Data_in-situ'!DP343</f>
        <v>3</v>
      </c>
      <c r="W264" s="113">
        <f>'Data_in-situ'!DR343</f>
        <v>639.12354494917554</v>
      </c>
      <c r="X264" s="113">
        <f>'Data_in-situ'!DS343</f>
        <v>304.35692868746287</v>
      </c>
      <c r="Y264" s="46">
        <f>'Data_in-situ'!DT343</f>
        <v>3</v>
      </c>
      <c r="AF264" s="113">
        <f>'Data_in-situ'!EN311</f>
        <v>-48.7</v>
      </c>
      <c r="AG264" s="113">
        <f>'Data_in-situ'!EO311</f>
        <v>19.845074619187987</v>
      </c>
      <c r="AH264" s="110">
        <f>'Data_in-situ'!EP311</f>
        <v>1</v>
      </c>
      <c r="AI264" s="113">
        <f>'Data_in-situ'!ER311</f>
        <v>-90</v>
      </c>
      <c r="AJ264" s="113">
        <f>'Data_in-situ'!ES311</f>
        <v>20.413264815827475</v>
      </c>
      <c r="AK264" s="110">
        <f>'Data_in-situ'!ET311</f>
        <v>1</v>
      </c>
    </row>
    <row r="265" spans="20:37" x14ac:dyDescent="0.3">
      <c r="T265" s="113">
        <f>'Data_in-situ'!DN344</f>
        <v>146.68166869973513</v>
      </c>
      <c r="U265" s="113">
        <f>'Data_in-situ'!DO344</f>
        <v>127.23656397839687</v>
      </c>
      <c r="V265" s="46">
        <f>'Data_in-situ'!DP344</f>
        <v>3</v>
      </c>
      <c r="W265" s="113">
        <f>'Data_in-situ'!DR344</f>
        <v>29.726676509263978</v>
      </c>
      <c r="X265" s="113">
        <f>'Data_in-situ'!DS344</f>
        <v>18.92341152926349</v>
      </c>
      <c r="Y265" s="46">
        <f>'Data_in-situ'!DT344</f>
        <v>3</v>
      </c>
      <c r="AF265" s="113">
        <f>'Data_in-situ'!EN312</f>
        <v>-48.7</v>
      </c>
      <c r="AG265" s="113">
        <f>'Data_in-situ'!EO312</f>
        <v>19.845074619187987</v>
      </c>
      <c r="AH265" s="110">
        <f>'Data_in-situ'!EP312</f>
        <v>1</v>
      </c>
      <c r="AI265" s="113">
        <f>'Data_in-situ'!ER312</f>
        <v>-77.599999999999994</v>
      </c>
      <c r="AJ265" s="113">
        <f>'Data_in-situ'!ES312</f>
        <v>17.600770552313467</v>
      </c>
      <c r="AK265" s="110">
        <f>'Data_in-situ'!ET312</f>
        <v>1</v>
      </c>
    </row>
    <row r="266" spans="20:37" x14ac:dyDescent="0.3">
      <c r="T266" s="113">
        <f>'Data_in-situ'!DN345</f>
        <v>158.06344550056443</v>
      </c>
      <c r="U266" s="113">
        <f>'Data_in-situ'!DO345</f>
        <v>156.23763874501105</v>
      </c>
      <c r="V266" s="46">
        <f>'Data_in-situ'!DP345</f>
        <v>3</v>
      </c>
      <c r="W266" s="113">
        <f>'Data_in-situ'!DR345</f>
        <v>533.27856040861434</v>
      </c>
      <c r="X266" s="113">
        <f>'Data_in-situ'!DS345</f>
        <v>463.45283466494965</v>
      </c>
      <c r="Y266" s="46">
        <f>'Data_in-situ'!DT345</f>
        <v>3</v>
      </c>
      <c r="AF266" s="113">
        <f>'Data_in-situ'!EN313</f>
        <v>-48.7</v>
      </c>
      <c r="AG266" s="113">
        <f>'Data_in-situ'!EO313</f>
        <v>19.845074619187987</v>
      </c>
      <c r="AH266" s="110">
        <f>'Data_in-situ'!EP313</f>
        <v>1</v>
      </c>
      <c r="AI266" s="113">
        <f>'Data_in-situ'!ER313</f>
        <v>-119.3</v>
      </c>
      <c r="AJ266" s="113">
        <f>'Data_in-situ'!ES313</f>
        <v>27.058916583646866</v>
      </c>
      <c r="AK266" s="110">
        <f>'Data_in-situ'!ET313</f>
        <v>1</v>
      </c>
    </row>
    <row r="267" spans="20:37" x14ac:dyDescent="0.3">
      <c r="T267" s="113">
        <f>'Data_in-situ'!DN346</f>
        <v>1422.5710095050797</v>
      </c>
      <c r="U267" s="113">
        <f>'Data_in-situ'!DO346</f>
        <v>1619.3061390358012</v>
      </c>
      <c r="V267" s="46">
        <f>'Data_in-situ'!DP346</f>
        <v>3</v>
      </c>
      <c r="W267" s="113">
        <f>'Data_in-situ'!DR346</f>
        <v>1233.2066709449209</v>
      </c>
      <c r="X267" s="113">
        <f>'Data_in-situ'!DS346</f>
        <v>527.21983078939115</v>
      </c>
      <c r="Y267" s="46">
        <f>'Data_in-situ'!DT346</f>
        <v>3</v>
      </c>
      <c r="AF267" s="113">
        <f>'Data_in-situ'!EN314</f>
        <v>-48.7</v>
      </c>
      <c r="AG267" s="113">
        <f>'Data_in-situ'!EO314</f>
        <v>19.845074619187987</v>
      </c>
      <c r="AH267" s="110">
        <f>'Data_in-situ'!EP314</f>
        <v>1</v>
      </c>
      <c r="AI267" s="113">
        <f>'Data_in-situ'!ER314</f>
        <v>-85.1</v>
      </c>
      <c r="AJ267" s="113">
        <f>'Data_in-situ'!ES314</f>
        <v>19.301875953632422</v>
      </c>
      <c r="AK267" s="110">
        <f>'Data_in-situ'!ET314</f>
        <v>1</v>
      </c>
    </row>
    <row r="268" spans="20:37" x14ac:dyDescent="0.3">
      <c r="T268" s="113">
        <f>'Data_in-situ'!DN347</f>
        <v>87.813025278091345</v>
      </c>
      <c r="U268" s="113">
        <f>'Data_in-situ'!DO347</f>
        <v>511.88953557062587</v>
      </c>
      <c r="V268" s="46">
        <f>'Data_in-situ'!DP347</f>
        <v>3</v>
      </c>
      <c r="W268" s="113">
        <f>'Data_in-situ'!DR347</f>
        <v>83.324775063845991</v>
      </c>
      <c r="X268" s="113">
        <f>'Data_in-situ'!DS347</f>
        <v>58.045203910854234</v>
      </c>
      <c r="Y268" s="46">
        <f>'Data_in-situ'!DT347</f>
        <v>3</v>
      </c>
      <c r="AF268" s="113">
        <f>'Data_in-situ'!EN315</f>
        <v>-48.7</v>
      </c>
      <c r="AG268" s="113">
        <f>'Data_in-situ'!EO315</f>
        <v>19.845074619187987</v>
      </c>
      <c r="AH268" s="110">
        <f>'Data_in-situ'!EP315</f>
        <v>1</v>
      </c>
      <c r="AI268" s="113">
        <f>'Data_in-situ'!ER315</f>
        <v>-90</v>
      </c>
      <c r="AJ268" s="113">
        <f>'Data_in-situ'!ES315</f>
        <v>20.413264815827475</v>
      </c>
      <c r="AK268" s="110">
        <f>'Data_in-situ'!ET315</f>
        <v>1</v>
      </c>
    </row>
    <row r="269" spans="20:37" x14ac:dyDescent="0.3">
      <c r="T269" s="113">
        <f>'Data_in-situ'!DN354</f>
        <v>129.83859113829968</v>
      </c>
      <c r="U269" s="113">
        <f>'Data_in-situ'!DO354</f>
        <v>144.75435619379368</v>
      </c>
      <c r="V269" s="46">
        <f>'Data_in-situ'!DP354</f>
        <v>3</v>
      </c>
      <c r="W269" s="113">
        <f>'Data_in-situ'!DR354</f>
        <v>3.2289849407087479</v>
      </c>
      <c r="X269" s="113">
        <f>'Data_in-situ'!DS354</f>
        <v>12.067415135534878</v>
      </c>
      <c r="Y269" s="46">
        <f>'Data_in-situ'!DT354</f>
        <v>3</v>
      </c>
      <c r="AF269" s="113">
        <f>'Data_in-situ'!EN316</f>
        <v>-7.2</v>
      </c>
      <c r="AG269" s="113">
        <f>'Data_in-situ'!EO316</f>
        <v>5.7</v>
      </c>
      <c r="AH269" s="110">
        <f>'Data_in-situ'!EP316</f>
        <v>18</v>
      </c>
      <c r="AI269" s="113">
        <f>'Data_in-situ'!ER316</f>
        <v>-22.1</v>
      </c>
      <c r="AJ269" s="113">
        <f>'Data_in-situ'!ES316</f>
        <v>8.6</v>
      </c>
      <c r="AK269" s="110">
        <f>'Data_in-situ'!ET316</f>
        <v>18</v>
      </c>
    </row>
    <row r="270" spans="20:37" x14ac:dyDescent="0.3">
      <c r="T270" s="113">
        <f>'Data_in-situ'!DN355</f>
        <v>104.97588219692315</v>
      </c>
      <c r="U270" s="113">
        <f>'Data_in-situ'!DO355</f>
        <v>117.03543692264172</v>
      </c>
      <c r="V270" s="46">
        <f>'Data_in-situ'!DP355</f>
        <v>3</v>
      </c>
      <c r="W270" s="113">
        <f>'Data_in-situ'!DR355</f>
        <v>16.732012874581695</v>
      </c>
      <c r="X270" s="113">
        <f>'Data_in-situ'!DS355</f>
        <v>62.531151156862556</v>
      </c>
      <c r="Y270" s="46">
        <f>'Data_in-situ'!DT355</f>
        <v>3</v>
      </c>
      <c r="AF270" s="113">
        <f>'Data_in-situ'!EN317</f>
        <v>-18.7</v>
      </c>
      <c r="AG270" s="113">
        <f>'Data_in-situ'!EO317</f>
        <v>7.2</v>
      </c>
      <c r="AH270" s="110">
        <f>'Data_in-situ'!EP317</f>
        <v>15</v>
      </c>
      <c r="AI270" s="113">
        <f>'Data_in-situ'!ER317</f>
        <v>-34.5</v>
      </c>
      <c r="AJ270" s="113">
        <f>'Data_in-situ'!ES317</f>
        <v>9.3000000000000007</v>
      </c>
      <c r="AK270" s="110">
        <f>'Data_in-situ'!ET317</f>
        <v>15</v>
      </c>
    </row>
    <row r="271" spans="20:37" x14ac:dyDescent="0.3">
      <c r="T271" s="113">
        <f>'Data_in-situ'!DN356</f>
        <v>104.97588219692315</v>
      </c>
      <c r="U271" s="113">
        <f>'Data_in-situ'!DO356</f>
        <v>117.03543692264172</v>
      </c>
      <c r="V271" s="46">
        <f>'Data_in-situ'!DP356</f>
        <v>3</v>
      </c>
      <c r="W271" s="113">
        <f>'Data_in-situ'!DR356</f>
        <v>0</v>
      </c>
      <c r="X271" s="113">
        <f>'Data_in-situ'!DS356</f>
        <v>0</v>
      </c>
      <c r="Y271" s="46">
        <f>'Data_in-situ'!DT356</f>
        <v>3</v>
      </c>
      <c r="AF271" s="113">
        <f>'Data_in-situ'!EN318</f>
        <v>-10.3</v>
      </c>
      <c r="AG271" s="113">
        <f>'Data_in-situ'!EO318</f>
        <v>8</v>
      </c>
      <c r="AH271" s="110">
        <f>'Data_in-situ'!EP318</f>
        <v>18</v>
      </c>
      <c r="AI271" s="113">
        <f>'Data_in-situ'!ER318</f>
        <v>-20.6</v>
      </c>
      <c r="AJ271" s="113">
        <f>'Data_in-situ'!ES318</f>
        <v>9.6999999999999993</v>
      </c>
      <c r="AK271" s="110">
        <f>'Data_in-situ'!ET318</f>
        <v>18</v>
      </c>
    </row>
    <row r="272" spans="20:37" x14ac:dyDescent="0.3">
      <c r="T272" s="113">
        <f>'Data_in-situ'!DN357</f>
        <v>113.26345184404866</v>
      </c>
      <c r="U272" s="113">
        <f>'Data_in-situ'!DO357</f>
        <v>126.27507667969238</v>
      </c>
      <c r="V272" s="46">
        <f>'Data_in-situ'!DP357</f>
        <v>3</v>
      </c>
      <c r="W272" s="113">
        <f>'Data_in-situ'!DR357</f>
        <v>5.2837935393415876</v>
      </c>
      <c r="X272" s="113">
        <f>'Data_in-situ'!DS357</f>
        <v>19.746679312693438</v>
      </c>
      <c r="Y272" s="46">
        <f>'Data_in-situ'!DT357</f>
        <v>3</v>
      </c>
      <c r="AF272" s="113">
        <f>'Data_in-situ'!EN319</f>
        <v>-27.8</v>
      </c>
      <c r="AG272" s="113">
        <f>'Data_in-situ'!EO319</f>
        <v>9.3000000000000007</v>
      </c>
      <c r="AH272" s="110">
        <f>'Data_in-situ'!EP319</f>
        <v>12</v>
      </c>
      <c r="AI272" s="113">
        <f>'Data_in-situ'!ER319</f>
        <v>-31.9</v>
      </c>
      <c r="AJ272" s="113">
        <f>'Data_in-situ'!ES319</f>
        <v>7.5</v>
      </c>
      <c r="AK272" s="110">
        <f>'Data_in-situ'!ET319</f>
        <v>12</v>
      </c>
    </row>
    <row r="273" spans="20:37" x14ac:dyDescent="0.3">
      <c r="T273" s="113">
        <f>'Data_in-situ'!DN358</f>
        <v>109.11966702048591</v>
      </c>
      <c r="U273" s="113">
        <f>'Data_in-situ'!DO358</f>
        <v>121.65525680116704</v>
      </c>
      <c r="V273" s="46">
        <f>'Data_in-situ'!DP358</f>
        <v>3</v>
      </c>
      <c r="W273" s="113">
        <f>'Data_in-situ'!DR358</f>
        <v>3.5225290262277253</v>
      </c>
      <c r="X273" s="113">
        <f>'Data_in-situ'!DS358</f>
        <v>13.164452875128958</v>
      </c>
      <c r="Y273" s="46">
        <f>'Data_in-situ'!DT358</f>
        <v>3</v>
      </c>
      <c r="AF273" s="113">
        <f>'Data_in-situ'!EN320</f>
        <v>-7.1</v>
      </c>
      <c r="AG273" s="113">
        <f>'Data_in-situ'!EO320</f>
        <v>4.7</v>
      </c>
      <c r="AH273" s="110">
        <f>'Data_in-situ'!EP320</f>
        <v>17</v>
      </c>
      <c r="AI273" s="113">
        <f>'Data_in-situ'!ER320</f>
        <v>-11.8</v>
      </c>
      <c r="AJ273" s="113">
        <f>'Data_in-situ'!ES320</f>
        <v>6.6</v>
      </c>
      <c r="AK273" s="110">
        <f>'Data_in-situ'!ET320</f>
        <v>18</v>
      </c>
    </row>
    <row r="274" spans="20:37" x14ac:dyDescent="0.3">
      <c r="T274" s="113">
        <f>'Data_in-situ'!DN359</f>
        <v>109.11966702048591</v>
      </c>
      <c r="U274" s="113">
        <f>'Data_in-situ'!DO359</f>
        <v>121.65525680116704</v>
      </c>
      <c r="V274" s="46">
        <f>'Data_in-situ'!DP359</f>
        <v>3</v>
      </c>
      <c r="W274" s="113">
        <f>'Data_in-situ'!DR359</f>
        <v>0.88063225655693134</v>
      </c>
      <c r="X274" s="113">
        <f>'Data_in-situ'!DS359</f>
        <v>3.2911132187822396</v>
      </c>
      <c r="Y274" s="46">
        <f>'Data_in-situ'!DT359</f>
        <v>3</v>
      </c>
      <c r="AF274" s="113">
        <f>'Data_in-situ'!EN321</f>
        <v>-16.600000000000001</v>
      </c>
      <c r="AG274" s="113">
        <f>'Data_in-situ'!EO321</f>
        <v>8.1999999999999993</v>
      </c>
      <c r="AH274" s="110">
        <f>'Data_in-situ'!EP321</f>
        <v>15</v>
      </c>
      <c r="AI274" s="113">
        <f>'Data_in-situ'!ER321</f>
        <v>-17.100000000000001</v>
      </c>
      <c r="AJ274" s="113">
        <f>'Data_in-situ'!ES321</f>
        <v>11.3</v>
      </c>
      <c r="AK274" s="110">
        <f>'Data_in-situ'!ET321</f>
        <v>15</v>
      </c>
    </row>
    <row r="275" spans="20:37" x14ac:dyDescent="0.3">
      <c r="T275" s="113">
        <f>'Data_in-situ'!DN360</f>
        <v>78.736738703339938</v>
      </c>
      <c r="U275" s="113">
        <f>'Data_in-situ'!DO360</f>
        <v>27.597052434686233</v>
      </c>
      <c r="V275" s="46">
        <f>'Data_in-situ'!DP360</f>
        <v>8</v>
      </c>
      <c r="W275" s="113">
        <f>'Data_in-situ'!DR360</f>
        <v>125.2043222003928</v>
      </c>
      <c r="X275" s="113">
        <f>'Data_in-situ'!DS360</f>
        <v>186.10419799607629</v>
      </c>
      <c r="Y275" s="46">
        <f>'Data_in-situ'!DT360</f>
        <v>8</v>
      </c>
      <c r="AF275" s="113">
        <f>'Data_in-situ'!EN322</f>
        <v>-12.6</v>
      </c>
      <c r="AG275" s="113">
        <f>'Data_in-situ'!EO322</f>
        <v>7.6</v>
      </c>
      <c r="AH275" s="110">
        <f>'Data_in-situ'!EP322</f>
        <v>18</v>
      </c>
      <c r="AI275" s="113">
        <f>'Data_in-situ'!ER322</f>
        <v>-18</v>
      </c>
      <c r="AJ275" s="113">
        <f>'Data_in-situ'!ES322</f>
        <v>8.5</v>
      </c>
      <c r="AK275" s="110">
        <f>'Data_in-situ'!ET322</f>
        <v>18</v>
      </c>
    </row>
    <row r="276" spans="20:37" x14ac:dyDescent="0.3">
      <c r="T276" s="113">
        <f>'Data_in-situ'!DN361</f>
        <v>193.62208240634681</v>
      </c>
      <c r="U276" s="113">
        <f>'Data_in-situ'!DO361</f>
        <v>614.14718799845184</v>
      </c>
      <c r="V276" s="46">
        <f>'Data_in-situ'!DP361</f>
        <v>8</v>
      </c>
      <c r="W276" s="113">
        <f>'Data_in-situ'!DR361</f>
        <v>-17.39938687312296</v>
      </c>
      <c r="X276" s="113">
        <f>'Data_in-situ'!DS361</f>
        <v>20.727267101856409</v>
      </c>
      <c r="Y276" s="46">
        <f>'Data_in-situ'!DT361</f>
        <v>8</v>
      </c>
      <c r="AF276" s="113">
        <f>'Data_in-situ'!EN323</f>
        <v>-26.2</v>
      </c>
      <c r="AG276" s="113">
        <f>'Data_in-situ'!EO323</f>
        <v>12.1</v>
      </c>
      <c r="AH276" s="110">
        <f>'Data_in-situ'!EP323</f>
        <v>29</v>
      </c>
      <c r="AI276" s="113">
        <f>'Data_in-situ'!ER323</f>
        <v>-30</v>
      </c>
      <c r="AJ276" s="113">
        <f>'Data_in-situ'!ES323</f>
        <v>11.2</v>
      </c>
      <c r="AK276" s="110">
        <f>'Data_in-situ'!ET323</f>
        <v>33</v>
      </c>
    </row>
    <row r="277" spans="20:37" x14ac:dyDescent="0.3">
      <c r="T277" s="113">
        <f>'Data_in-situ'!DN362</f>
        <v>13.000958989688872</v>
      </c>
      <c r="U277" s="113">
        <f>'Data_in-situ'!DO362</f>
        <v>49.021154863031335</v>
      </c>
      <c r="V277" s="46">
        <f>'Data_in-situ'!DP362</f>
        <v>8</v>
      </c>
      <c r="W277" s="113">
        <f>'Data_in-situ'!DR362</f>
        <v>-4.3235288751980265</v>
      </c>
      <c r="X277" s="113">
        <f>'Data_in-situ'!DS362</f>
        <v>9.6228681188427743</v>
      </c>
      <c r="Y277" s="46">
        <f>'Data_in-situ'!DT362</f>
        <v>8</v>
      </c>
      <c r="AF277" s="113">
        <f>'Data_in-situ'!EN324</f>
        <v>-17.100000000000001</v>
      </c>
      <c r="AG277" s="113">
        <f>'Data_in-situ'!EO324</f>
        <v>5.2</v>
      </c>
      <c r="AH277" s="110">
        <f>'Data_in-situ'!EP324</f>
        <v>18</v>
      </c>
      <c r="AI277" s="113">
        <f>'Data_in-situ'!ER324</f>
        <v>-28.9</v>
      </c>
      <c r="AJ277" s="113">
        <f>'Data_in-situ'!ES324</f>
        <v>7.5</v>
      </c>
      <c r="AK277" s="110">
        <f>'Data_in-situ'!ET324</f>
        <v>18</v>
      </c>
    </row>
    <row r="278" spans="20:37" x14ac:dyDescent="0.3">
      <c r="T278" s="113">
        <f>'Data_in-situ'!DN363</f>
        <v>92.536237514844473</v>
      </c>
      <c r="U278" s="113">
        <f>'Data_in-situ'!DO363</f>
        <v>343.16618940866766</v>
      </c>
      <c r="V278" s="46">
        <f>'Data_in-situ'!DP363</f>
        <v>8</v>
      </c>
      <c r="W278" s="113">
        <f>'Data_in-situ'!DR363</f>
        <v>-4.3235288751980265</v>
      </c>
      <c r="X278" s="113">
        <f>'Data_in-situ'!DS363</f>
        <v>4.2368888087214085</v>
      </c>
      <c r="Y278" s="46">
        <f>'Data_in-situ'!DT363</f>
        <v>8</v>
      </c>
      <c r="AF278" s="113">
        <f>'Data_in-situ'!EN325</f>
        <v>-38.9</v>
      </c>
      <c r="AG278" s="113">
        <f>'Data_in-situ'!EO325</f>
        <v>9.4</v>
      </c>
      <c r="AH278" s="110">
        <f>'Data_in-situ'!EP325</f>
        <v>12</v>
      </c>
      <c r="AI278" s="113">
        <f>'Data_in-situ'!ER325</f>
        <v>-44.7</v>
      </c>
      <c r="AJ278" s="113">
        <f>'Data_in-situ'!ES325</f>
        <v>8.9</v>
      </c>
      <c r="AK278" s="110">
        <f>'Data_in-situ'!ET325</f>
        <v>12</v>
      </c>
    </row>
    <row r="279" spans="20:37" x14ac:dyDescent="0.3">
      <c r="T279" s="113">
        <f>'Data_in-situ'!DN388</f>
        <v>42</v>
      </c>
      <c r="U279" s="113">
        <f>'Data_in-situ'!DO388</f>
        <v>46.824930144716852</v>
      </c>
      <c r="V279" s="46">
        <f>'Data_in-situ'!DP388</f>
        <v>3</v>
      </c>
      <c r="W279" s="113">
        <f>'Data_in-situ'!DR388</f>
        <v>2</v>
      </c>
      <c r="X279" s="113">
        <f>'Data_in-situ'!DS388</f>
        <v>7.4744325892620198</v>
      </c>
      <c r="Y279" s="46">
        <f>'Data_in-situ'!DT388</f>
        <v>3</v>
      </c>
      <c r="AF279" s="113">
        <f>'Data_in-situ'!EN326</f>
        <v>-2.5</v>
      </c>
      <c r="AG279" s="113">
        <f>'Data_in-situ'!EO326</f>
        <v>2.2999999999999998</v>
      </c>
      <c r="AH279" s="110">
        <f>'Data_in-situ'!EP326</f>
        <v>18</v>
      </c>
      <c r="AI279" s="113">
        <f>'Data_in-situ'!ER326</f>
        <v>-30.1</v>
      </c>
      <c r="AJ279" s="113">
        <f>'Data_in-situ'!ES326</f>
        <v>13.9</v>
      </c>
      <c r="AK279" s="110">
        <f>'Data_in-situ'!ET326</f>
        <v>18</v>
      </c>
    </row>
    <row r="280" spans="20:37" x14ac:dyDescent="0.3">
      <c r="T280" s="113">
        <f>'Data_in-situ'!DN389</f>
        <v>68</v>
      </c>
      <c r="U280" s="113">
        <f>'Data_in-situ'!DO389</f>
        <v>56.982751846655269</v>
      </c>
      <c r="V280" s="46">
        <f>'Data_in-situ'!DP389</f>
        <v>4</v>
      </c>
      <c r="W280" s="113">
        <f>'Data_in-situ'!DR389</f>
        <v>15.999999999999998</v>
      </c>
      <c r="X280" s="113">
        <f>'Data_in-situ'!DS389</f>
        <v>88.274002438097213</v>
      </c>
      <c r="Y280" s="46">
        <f>'Data_in-situ'!DT389</f>
        <v>4</v>
      </c>
      <c r="AF280" s="113">
        <f>'Data_in-situ'!EN327</f>
        <v>-5.9</v>
      </c>
      <c r="AG280" s="113">
        <f>'Data_in-situ'!EO327</f>
        <v>4.8</v>
      </c>
      <c r="AH280" s="110">
        <f>'Data_in-situ'!EP327</f>
        <v>12</v>
      </c>
      <c r="AI280" s="113">
        <f>'Data_in-situ'!ER327</f>
        <v>-39.700000000000003</v>
      </c>
      <c r="AJ280" s="113">
        <f>'Data_in-situ'!ES327</f>
        <v>17.8</v>
      </c>
      <c r="AK280" s="110">
        <f>'Data_in-situ'!ET327</f>
        <v>15</v>
      </c>
    </row>
    <row r="281" spans="20:37" x14ac:dyDescent="0.3">
      <c r="T281" s="113">
        <f>'Data_in-situ'!DN390</f>
        <v>67.999999999999986</v>
      </c>
      <c r="U281" s="113">
        <f>'Data_in-situ'!DO390</f>
        <v>56.982751846655255</v>
      </c>
      <c r="V281" s="46">
        <f>'Data_in-situ'!DP390</f>
        <v>4</v>
      </c>
      <c r="W281" s="113">
        <f>'Data_in-situ'!DR390</f>
        <v>40</v>
      </c>
      <c r="X281" s="113">
        <f>'Data_in-situ'!DS390</f>
        <v>220.68500609524307</v>
      </c>
      <c r="Y281" s="46">
        <f>'Data_in-situ'!DT390</f>
        <v>4</v>
      </c>
      <c r="AF281" s="113">
        <f>'Data_in-situ'!EN328</f>
        <v>-8.3000000000000007</v>
      </c>
      <c r="AG281" s="113">
        <f>'Data_in-situ'!EO328</f>
        <v>7.5</v>
      </c>
      <c r="AH281" s="110">
        <f>'Data_in-situ'!EP328</f>
        <v>18</v>
      </c>
      <c r="AI281" s="113">
        <f>'Data_in-situ'!ER328</f>
        <v>-32</v>
      </c>
      <c r="AJ281" s="113">
        <f>'Data_in-situ'!ES328</f>
        <v>17.2</v>
      </c>
      <c r="AK281" s="110">
        <f>'Data_in-situ'!ET328</f>
        <v>18</v>
      </c>
    </row>
    <row r="282" spans="20:37" x14ac:dyDescent="0.3">
      <c r="T282" s="113">
        <f>'Data_in-situ'!DN391</f>
        <v>441.33333333333337</v>
      </c>
      <c r="U282" s="113">
        <f>'Data_in-situ'!DO391</f>
        <v>369.82923257339007</v>
      </c>
      <c r="V282" s="46">
        <f>'Data_in-situ'!DP391</f>
        <v>4</v>
      </c>
      <c r="W282" s="113">
        <f>'Data_in-situ'!DR391</f>
        <v>0</v>
      </c>
      <c r="X282" s="113">
        <f>'Data_in-situ'!DS391</f>
        <v>0</v>
      </c>
      <c r="Y282" s="46">
        <f>'Data_in-situ'!DT391</f>
        <v>4</v>
      </c>
      <c r="AF282" s="113">
        <f>'Data_in-situ'!EN329</f>
        <v>-32.799999999999997</v>
      </c>
      <c r="AG282" s="113">
        <f>'Data_in-situ'!EO329</f>
        <v>14.8</v>
      </c>
      <c r="AH282" s="110">
        <f>'Data_in-situ'!EP329</f>
        <v>15</v>
      </c>
      <c r="AI282" s="113">
        <f>'Data_in-situ'!ER329</f>
        <v>-48.3</v>
      </c>
      <c r="AJ282" s="113">
        <f>'Data_in-situ'!ES329</f>
        <v>15.3</v>
      </c>
      <c r="AK282" s="110">
        <f>'Data_in-situ'!ET329</f>
        <v>15</v>
      </c>
    </row>
    <row r="283" spans="20:37" x14ac:dyDescent="0.3">
      <c r="T283" s="113">
        <f>'Data_in-situ'!DN392</f>
        <v>12.847999999999999</v>
      </c>
      <c r="U283" s="113">
        <f>'Data_in-situ'!DO392</f>
        <v>8.1760000000000002</v>
      </c>
      <c r="V283" s="46">
        <f>'Data_in-situ'!DP392</f>
        <v>2</v>
      </c>
      <c r="W283" s="113">
        <f>'Data_in-situ'!DR392</f>
        <v>-3.5040000000000004</v>
      </c>
      <c r="X283" s="113">
        <f>'Data_in-situ'!DS392</f>
        <v>1.1680000000000001</v>
      </c>
      <c r="Y283" s="46">
        <f>'Data_in-situ'!DT392</f>
        <v>2</v>
      </c>
      <c r="AF283" s="113">
        <f>'Data_in-situ'!EN330</f>
        <v>-27.5</v>
      </c>
      <c r="AG283" s="113">
        <f>'Data_in-situ'!EO330</f>
        <v>13.7</v>
      </c>
      <c r="AH283" s="110">
        <f>'Data_in-situ'!EP330</f>
        <v>10</v>
      </c>
      <c r="AI283" s="113">
        <f>'Data_in-situ'!ER330</f>
        <v>-43.3</v>
      </c>
      <c r="AJ283" s="113">
        <f>'Data_in-situ'!ES330</f>
        <v>10.7</v>
      </c>
      <c r="AK283" s="110">
        <f>'Data_in-situ'!ET330</f>
        <v>15</v>
      </c>
    </row>
    <row r="284" spans="20:37" x14ac:dyDescent="0.3">
      <c r="T284" s="113">
        <f>'Data_in-situ'!DN394</f>
        <v>3.0991760299625515</v>
      </c>
      <c r="U284" s="113">
        <f>'Data_in-situ'!DO394</f>
        <v>0.97725273241836819</v>
      </c>
      <c r="V284" s="46">
        <f>'Data_in-situ'!DP394</f>
        <v>4</v>
      </c>
      <c r="W284" s="113">
        <f>'Data_in-situ'!DR394</f>
        <v>1.5322846441947573</v>
      </c>
      <c r="X284" s="113">
        <f>'Data_in-situ'!DS394</f>
        <v>0.41650576982959864</v>
      </c>
      <c r="Y284" s="46">
        <f>'Data_in-situ'!DT394</f>
        <v>4</v>
      </c>
      <c r="AF284" s="113">
        <f>'Data_in-situ'!EN331</f>
        <v>-1.7536945812807845</v>
      </c>
      <c r="AG284" s="113">
        <f>'Data_in-situ'!EO331</f>
        <v>0.69808857905462174</v>
      </c>
      <c r="AH284" s="110">
        <f>'Data_in-situ'!EP331</f>
        <v>3</v>
      </c>
      <c r="AI284" s="113">
        <f>'Data_in-situ'!ER331</f>
        <v>-7.7635467980295543</v>
      </c>
      <c r="AJ284" s="113">
        <f>'Data_in-situ'!ES331</f>
        <v>0.98832726576778518</v>
      </c>
      <c r="AK284" s="110">
        <f>'Data_in-situ'!ET331</f>
        <v>3</v>
      </c>
    </row>
    <row r="285" spans="20:37" x14ac:dyDescent="0.3">
      <c r="T285" s="113">
        <f>'Data_in-situ'!DN395</f>
        <v>3.0991760299625515</v>
      </c>
      <c r="U285" s="113">
        <f>'Data_in-situ'!DO395</f>
        <v>0.97725273241836819</v>
      </c>
      <c r="V285" s="46">
        <f>'Data_in-situ'!DP395</f>
        <v>4</v>
      </c>
      <c r="W285" s="113">
        <f>'Data_in-situ'!DR395</f>
        <v>0.58179775280898871</v>
      </c>
      <c r="X285" s="113">
        <f>'Data_in-situ'!DS395</f>
        <v>0.21030694588731111</v>
      </c>
      <c r="Y285" s="46">
        <f>'Data_in-situ'!DT395</f>
        <v>4</v>
      </c>
      <c r="AF285" s="113">
        <f>'Data_in-situ'!EN332</f>
        <v>-1.7536945812807845</v>
      </c>
      <c r="AG285" s="113">
        <f>'Data_in-situ'!EO332</f>
        <v>0.69808857905462174</v>
      </c>
      <c r="AH285" s="110">
        <f>'Data_in-situ'!EP332</f>
        <v>3</v>
      </c>
      <c r="AI285" s="113">
        <f>'Data_in-situ'!ER332</f>
        <v>-13.556650246305416</v>
      </c>
      <c r="AJ285" s="113">
        <f>'Data_in-situ'!ES332</f>
        <v>1.7667087815907134</v>
      </c>
      <c r="AK285" s="110">
        <f>'Data_in-situ'!ET332</f>
        <v>3</v>
      </c>
    </row>
    <row r="286" spans="20:37" x14ac:dyDescent="0.3">
      <c r="T286" s="113">
        <f>'Data_in-situ'!DN397</f>
        <v>94.039460020768402</v>
      </c>
      <c r="U286" s="113">
        <f>'Data_in-situ'!DO397</f>
        <v>104.84264634093746</v>
      </c>
      <c r="V286" s="46">
        <f>'Data_in-situ'!DP397</f>
        <v>1</v>
      </c>
      <c r="W286" s="113">
        <f>'Data_in-situ'!DR397</f>
        <v>47.85046728971961</v>
      </c>
      <c r="X286" s="113">
        <f>'Data_in-situ'!DS397</f>
        <v>178.82754606084828</v>
      </c>
      <c r="Y286" s="46">
        <f>'Data_in-situ'!DT397</f>
        <v>1</v>
      </c>
      <c r="AF286" s="113">
        <f>'Data_in-situ'!EN333</f>
        <v>-1</v>
      </c>
      <c r="AG286" s="113">
        <f>'Data_in-situ'!EO333</f>
        <v>0.40749639875129334</v>
      </c>
      <c r="AH286" s="110">
        <f>'Data_in-situ'!EP333</f>
        <v>3</v>
      </c>
      <c r="AI286" s="113">
        <f>'Data_in-situ'!ER333</f>
        <v>-20</v>
      </c>
      <c r="AJ286" s="113">
        <f>'Data_in-situ'!ES333</f>
        <v>4.5362810701838834</v>
      </c>
      <c r="AK286" s="110">
        <f>'Data_in-situ'!ET333</f>
        <v>3</v>
      </c>
    </row>
    <row r="287" spans="20:37" x14ac:dyDescent="0.3">
      <c r="T287" s="113">
        <f>'Data_in-situ'!DN398</f>
        <v>84.070612668743479</v>
      </c>
      <c r="U287" s="113">
        <f>'Data_in-situ'!DO398</f>
        <v>93.728584891368115</v>
      </c>
      <c r="V287" s="46">
        <f>'Data_in-situ'!DP398</f>
        <v>1</v>
      </c>
      <c r="W287" s="113">
        <f>'Data_in-situ'!DR398</f>
        <v>46.853582554517196</v>
      </c>
      <c r="X287" s="113">
        <f>'Data_in-situ'!DS398</f>
        <v>175.10197218458089</v>
      </c>
      <c r="Y287" s="46">
        <f>'Data_in-situ'!DT398</f>
        <v>1</v>
      </c>
      <c r="AF287" s="113">
        <f>'Data_in-situ'!EN334</f>
        <v>-1</v>
      </c>
      <c r="AG287" s="113">
        <f>'Data_in-situ'!EO334</f>
        <v>0.40749639875129334</v>
      </c>
      <c r="AH287" s="110">
        <f>'Data_in-situ'!EP334</f>
        <v>3</v>
      </c>
      <c r="AI287" s="113">
        <f>'Data_in-situ'!ER334</f>
        <v>-20</v>
      </c>
      <c r="AJ287" s="113">
        <f>'Data_in-situ'!ES334</f>
        <v>4.5362810701838834</v>
      </c>
      <c r="AK287" s="110">
        <f>'Data_in-situ'!ET334</f>
        <v>3</v>
      </c>
    </row>
    <row r="288" spans="20:37" x14ac:dyDescent="0.3">
      <c r="T288" s="113">
        <f>'Data_in-situ'!DN399</f>
        <v>100.35306334371759</v>
      </c>
      <c r="U288" s="113">
        <f>'Data_in-situ'!DO399</f>
        <v>111.88155192566481</v>
      </c>
      <c r="V288" s="46">
        <f>'Data_in-situ'!DP399</f>
        <v>1</v>
      </c>
      <c r="W288" s="113">
        <f>'Data_in-situ'!DR399</f>
        <v>50.176531671858797</v>
      </c>
      <c r="X288" s="113">
        <f>'Data_in-situ'!DS399</f>
        <v>187.52055177213964</v>
      </c>
      <c r="Y288" s="46">
        <f>'Data_in-situ'!DT399</f>
        <v>1</v>
      </c>
      <c r="AF288" s="113">
        <f>'Data_in-situ'!EN335</f>
        <v>-1</v>
      </c>
      <c r="AG288" s="113">
        <f>'Data_in-situ'!EO335</f>
        <v>0.40749639875129334</v>
      </c>
      <c r="AH288" s="110">
        <f>'Data_in-situ'!EP335</f>
        <v>3</v>
      </c>
      <c r="AI288" s="113">
        <f>'Data_in-situ'!ER335</f>
        <v>-20</v>
      </c>
      <c r="AJ288" s="113">
        <f>'Data_in-situ'!ES335</f>
        <v>4.5362810701838834</v>
      </c>
      <c r="AK288" s="110">
        <f>'Data_in-situ'!ET335</f>
        <v>3</v>
      </c>
    </row>
    <row r="289" spans="20:37" x14ac:dyDescent="0.3">
      <c r="T289" s="113">
        <f>'Data_in-situ'!DN400</f>
        <v>507.98367438755889</v>
      </c>
      <c r="U289" s="113">
        <f>'Data_in-situ'!DO400</f>
        <v>309.25085319324296</v>
      </c>
      <c r="V289" s="46">
        <f>'Data_in-situ'!DP400</f>
        <v>8</v>
      </c>
      <c r="W289" s="113">
        <f>'Data_in-situ'!DR400</f>
        <v>12.765061923408211</v>
      </c>
      <c r="X289" s="113">
        <f>'Data_in-situ'!DS400</f>
        <v>23.812364224373002</v>
      </c>
      <c r="Y289" s="46">
        <f>'Data_in-situ'!DT400</f>
        <v>4</v>
      </c>
      <c r="AF289" s="113">
        <f>'Data_in-situ'!EN336</f>
        <v>-1</v>
      </c>
      <c r="AG289" s="113">
        <f>'Data_in-situ'!EO336</f>
        <v>0.40749639875129334</v>
      </c>
      <c r="AH289" s="110">
        <f>'Data_in-situ'!EP336</f>
        <v>3</v>
      </c>
      <c r="AI289" s="113">
        <f>'Data_in-situ'!ER336</f>
        <v>-20</v>
      </c>
      <c r="AJ289" s="113">
        <f>'Data_in-situ'!ES336</f>
        <v>4.5362810701838834</v>
      </c>
      <c r="AK289" s="110">
        <f>'Data_in-situ'!ET336</f>
        <v>3</v>
      </c>
    </row>
    <row r="290" spans="20:37" x14ac:dyDescent="0.3">
      <c r="T290" s="113">
        <f>'Data_in-situ'!DN409</f>
        <v>96.36</v>
      </c>
      <c r="U290" s="113">
        <f>'Data_in-situ'!DO409</f>
        <v>53.436</v>
      </c>
      <c r="V290" s="46">
        <f>'Data_in-situ'!DP409</f>
        <v>5</v>
      </c>
      <c r="W290" s="113">
        <f>'Data_in-situ'!DR409</f>
        <v>120.88799999999998</v>
      </c>
      <c r="X290" s="113">
        <f>'Data_in-situ'!DS409</f>
        <v>71.831999999999994</v>
      </c>
      <c r="Y290" s="46">
        <f>'Data_in-situ'!DT409</f>
        <v>5</v>
      </c>
      <c r="AF290" s="113">
        <f>'Data_in-situ'!EN337</f>
        <v>-1</v>
      </c>
      <c r="AG290" s="113">
        <f>'Data_in-situ'!EO337</f>
        <v>0.40749639875129334</v>
      </c>
      <c r="AH290" s="110">
        <f>'Data_in-situ'!EP337</f>
        <v>3</v>
      </c>
      <c r="AI290" s="113">
        <f>'Data_in-situ'!ER337</f>
        <v>-20</v>
      </c>
      <c r="AJ290" s="113">
        <f>'Data_in-situ'!ES337</f>
        <v>4.5362810701838834</v>
      </c>
      <c r="AK290" s="110">
        <f>'Data_in-situ'!ET337</f>
        <v>3</v>
      </c>
    </row>
    <row r="291" spans="20:37" x14ac:dyDescent="0.3">
      <c r="T291" s="113">
        <f>'Data_in-situ'!DN414</f>
        <v>434.70588235294116</v>
      </c>
      <c r="U291" s="113">
        <f>'Data_in-situ'!DO414</f>
        <v>437.34858971687066</v>
      </c>
      <c r="V291" s="46">
        <f>'Data_in-situ'!DP414</f>
        <v>5</v>
      </c>
      <c r="W291" s="113">
        <f>'Data_in-situ'!DR414</f>
        <v>15.294117647058824</v>
      </c>
      <c r="X291" s="113">
        <f>'Data_in-situ'!DS414</f>
        <v>15.126342200733873</v>
      </c>
      <c r="Y291" s="46">
        <f>'Data_in-situ'!DT414</f>
        <v>5</v>
      </c>
      <c r="AF291" s="113">
        <f>'Data_in-situ'!EN338</f>
        <v>-1</v>
      </c>
      <c r="AG291" s="113">
        <f>'Data_in-situ'!EO338</f>
        <v>0.40749639875129334</v>
      </c>
      <c r="AH291" s="110">
        <f>'Data_in-situ'!EP338</f>
        <v>3</v>
      </c>
      <c r="AI291" s="113">
        <f>'Data_in-situ'!ER338</f>
        <v>-20</v>
      </c>
      <c r="AJ291" s="113">
        <f>'Data_in-situ'!ES338</f>
        <v>4.5362810701838834</v>
      </c>
      <c r="AK291" s="110">
        <f>'Data_in-situ'!ET338</f>
        <v>3</v>
      </c>
    </row>
    <row r="292" spans="20:37" x14ac:dyDescent="0.3">
      <c r="T292" s="113">
        <f>'Data_in-situ'!DN416</f>
        <v>102.39147844674257</v>
      </c>
      <c r="U292" s="113">
        <f>'Data_in-situ'!DO416</f>
        <v>25.149528090905832</v>
      </c>
      <c r="V292" s="46">
        <f>'Data_in-situ'!DP416</f>
        <v>5</v>
      </c>
      <c r="W292" s="113">
        <f>'Data_in-situ'!DR416</f>
        <v>6.6536659384301489</v>
      </c>
      <c r="X292" s="113">
        <f>'Data_in-situ'!DS416</f>
        <v>9.0885183749652523</v>
      </c>
      <c r="Y292" s="46">
        <f>'Data_in-situ'!DT416</f>
        <v>5</v>
      </c>
      <c r="AF292" s="113">
        <f>'Data_in-situ'!EN339</f>
        <v>-18.728744939271266</v>
      </c>
      <c r="AG292" s="113">
        <f>'Data_in-situ'!EO339</f>
        <v>0.97567994313706652</v>
      </c>
      <c r="AH292" s="110">
        <f>'Data_in-situ'!EP339</f>
        <v>3</v>
      </c>
      <c r="AI292" s="113">
        <f>'Data_in-situ'!ER339</f>
        <v>-28.769509981851183</v>
      </c>
      <c r="AJ292" s="113">
        <f>'Data_in-situ'!ES339</f>
        <v>0.91964006572007306</v>
      </c>
      <c r="AK292" s="110">
        <f>'Data_in-situ'!ET339</f>
        <v>3</v>
      </c>
    </row>
    <row r="293" spans="20:37" x14ac:dyDescent="0.3">
      <c r="T293" s="113">
        <f>'Data_in-situ'!DN417</f>
        <v>970.38416592642932</v>
      </c>
      <c r="U293" s="113">
        <f>'Data_in-situ'!DO417</f>
        <v>1081.8612091201044</v>
      </c>
      <c r="V293" s="46">
        <f>'Data_in-situ'!DP417</f>
        <v>5</v>
      </c>
      <c r="W293" s="113">
        <f>'Data_in-situ'!DR417</f>
        <v>2.3483526841518167</v>
      </c>
      <c r="X293" s="113">
        <f>'Data_in-situ'!DS417</f>
        <v>4.0730546894946382</v>
      </c>
      <c r="Y293" s="46">
        <f>'Data_in-situ'!DT417</f>
        <v>6</v>
      </c>
      <c r="AF293" s="113">
        <f>'Data_in-situ'!EN340</f>
        <v>-15.910685805422641</v>
      </c>
      <c r="AG293" s="113">
        <f>'Data_in-situ'!EO340</f>
        <v>1.0227837765091556</v>
      </c>
      <c r="AH293" s="110">
        <f>'Data_in-situ'!EP340</f>
        <v>3</v>
      </c>
      <c r="AI293" s="113">
        <f>'Data_in-situ'!ER340</f>
        <v>-23.453947368421044</v>
      </c>
      <c r="AJ293" s="113">
        <f>'Data_in-situ'!ES340</f>
        <v>1.196189530474022</v>
      </c>
      <c r="AK293" s="110">
        <f>'Data_in-situ'!ET340</f>
        <v>3</v>
      </c>
    </row>
    <row r="294" spans="20:37" x14ac:dyDescent="0.3">
      <c r="T294" s="113">
        <f>'Data_in-situ'!DN420</f>
        <v>132.85</v>
      </c>
      <c r="U294" s="113">
        <f>'Data_in-situ'!DO420</f>
        <v>167.40306896828386</v>
      </c>
      <c r="V294" s="46">
        <f>'Data_in-situ'!DP420</f>
        <v>3</v>
      </c>
      <c r="W294" s="113">
        <f>'Data_in-situ'!DR420</f>
        <v>10.199999999999999</v>
      </c>
      <c r="X294" s="113">
        <f>'Data_in-situ'!DS420</f>
        <v>15.571341196784134</v>
      </c>
      <c r="Y294" s="46">
        <f>'Data_in-situ'!DT420</f>
        <v>3</v>
      </c>
      <c r="AF294" s="113">
        <f>'Data_in-situ'!EN341</f>
        <v>-11.595789473684208</v>
      </c>
      <c r="AG294" s="113">
        <f>'Data_in-situ'!EO341</f>
        <v>0.44954804430300416</v>
      </c>
      <c r="AH294" s="110">
        <f>'Data_in-situ'!EP341</f>
        <v>3</v>
      </c>
      <c r="AI294" s="113">
        <f>'Data_in-situ'!ER341</f>
        <v>-23.208711433756811</v>
      </c>
      <c r="AJ294" s="113">
        <f>'Data_in-situ'!ES341</f>
        <v>0.78101283680717748</v>
      </c>
      <c r="AK294" s="110">
        <f>'Data_in-situ'!ET341</f>
        <v>3</v>
      </c>
    </row>
    <row r="295" spans="20:37" x14ac:dyDescent="0.3">
      <c r="T295" s="113">
        <f>'Data_in-situ'!DN421</f>
        <v>136.1</v>
      </c>
      <c r="U295" s="113">
        <f>'Data_in-situ'!DO421</f>
        <v>88.336949611511187</v>
      </c>
      <c r="V295" s="46">
        <f>'Data_in-situ'!DP421</f>
        <v>3</v>
      </c>
      <c r="W295" s="113">
        <f>'Data_in-situ'!DR421</f>
        <v>18.149999999999999</v>
      </c>
      <c r="X295" s="113">
        <f>'Data_in-situ'!DS421</f>
        <v>9.7939181808576166</v>
      </c>
      <c r="Y295" s="46">
        <f>'Data_in-situ'!DT421</f>
        <v>3</v>
      </c>
      <c r="AF295" s="113">
        <f>'Data_in-situ'!EN342</f>
        <v>-11.142300194931776</v>
      </c>
      <c r="AG295" s="113">
        <f>'Data_in-situ'!EO342</f>
        <v>0.60135887201815885</v>
      </c>
      <c r="AH295" s="110">
        <f>'Data_in-situ'!EP342</f>
        <v>3</v>
      </c>
      <c r="AI295" s="113">
        <f>'Data_in-situ'!ER342</f>
        <v>-18.027290448343074</v>
      </c>
      <c r="AJ295" s="113">
        <f>'Data_in-situ'!ES342</f>
        <v>0.60993017965284302</v>
      </c>
      <c r="AK295" s="110">
        <f>'Data_in-situ'!ET342</f>
        <v>3</v>
      </c>
    </row>
    <row r="296" spans="20:37" x14ac:dyDescent="0.3">
      <c r="T296" s="113">
        <f>'Data_in-situ'!DN422</f>
        <v>136.1</v>
      </c>
      <c r="U296" s="113">
        <f>'Data_in-situ'!DO422</f>
        <v>88.336949611511187</v>
      </c>
      <c r="V296" s="46">
        <f>'Data_in-situ'!DP422</f>
        <v>3</v>
      </c>
      <c r="W296" s="113">
        <f>'Data_in-situ'!DR422</f>
        <v>9.9</v>
      </c>
      <c r="X296" s="113">
        <f>'Data_in-situ'!DS422</f>
        <v>15.571341196784134</v>
      </c>
      <c r="Y296" s="46">
        <f>'Data_in-situ'!DT422</f>
        <v>3</v>
      </c>
      <c r="AF296" s="113">
        <f>'Data_in-situ'!EN343</f>
        <v>-7.5049786628733965</v>
      </c>
      <c r="AG296" s="113">
        <f>'Data_in-situ'!EO343</f>
        <v>0.56147558903179429</v>
      </c>
      <c r="AH296" s="110">
        <f>'Data_in-situ'!EP343</f>
        <v>3</v>
      </c>
      <c r="AI296" s="113">
        <f>'Data_in-situ'!ER343</f>
        <v>-14.886247877758912</v>
      </c>
      <c r="AJ296" s="113">
        <f>'Data_in-situ'!ES343</f>
        <v>0.59475310250266267</v>
      </c>
      <c r="AK296" s="110">
        <f>'Data_in-situ'!ET343</f>
        <v>3</v>
      </c>
    </row>
    <row r="297" spans="20:37" x14ac:dyDescent="0.3">
      <c r="T297" s="113">
        <f>'Data_in-situ'!DN423</f>
        <v>136.1</v>
      </c>
      <c r="U297" s="113">
        <f>'Data_in-situ'!DO423</f>
        <v>88.336949611511187</v>
      </c>
      <c r="V297" s="46">
        <f>'Data_in-situ'!DP423</f>
        <v>3</v>
      </c>
      <c r="W297" s="113">
        <f>'Data_in-situ'!DR423</f>
        <v>1</v>
      </c>
      <c r="X297" s="113">
        <f>'Data_in-situ'!DS423</f>
        <v>5.0560195147302718</v>
      </c>
      <c r="Y297" s="46">
        <f>'Data_in-situ'!DT423</f>
        <v>3</v>
      </c>
      <c r="AF297" s="113">
        <f>'Data_in-situ'!EN344</f>
        <v>-5.9727095516569193</v>
      </c>
      <c r="AG297" s="113">
        <f>'Data_in-situ'!EO344</f>
        <v>0.38993551592449915</v>
      </c>
      <c r="AH297" s="110">
        <f>'Data_in-situ'!EP344</f>
        <v>3</v>
      </c>
      <c r="AI297" s="113">
        <f>'Data_in-situ'!ER344</f>
        <v>-14.607809847198643</v>
      </c>
      <c r="AJ297" s="113">
        <f>'Data_in-situ'!ES344</f>
        <v>0.44735902456710497</v>
      </c>
      <c r="AK297" s="110">
        <f>'Data_in-situ'!ET344</f>
        <v>3</v>
      </c>
    </row>
    <row r="298" spans="20:37" x14ac:dyDescent="0.3">
      <c r="T298" s="113">
        <f>'Data_in-situ'!DN424</f>
        <v>107.675</v>
      </c>
      <c r="U298" s="113">
        <f>'Data_in-situ'!DO424</f>
        <v>94.631879978859843</v>
      </c>
      <c r="V298" s="46">
        <f>'Data_in-situ'!DP424</f>
        <v>3</v>
      </c>
      <c r="W298" s="113">
        <f>'Data_in-situ'!DR424</f>
        <v>39.175000000000004</v>
      </c>
      <c r="X298" s="113">
        <f>'Data_in-situ'!DS424</f>
        <v>27.610222291752745</v>
      </c>
      <c r="Y298" s="46">
        <f>'Data_in-situ'!DT424</f>
        <v>3</v>
      </c>
      <c r="AF298" s="113">
        <f>'Data_in-situ'!EN345</f>
        <v>9.6094276094276143</v>
      </c>
      <c r="AG298" s="113">
        <f>'Data_in-situ'!EO345</f>
        <v>0.82472710313952347</v>
      </c>
      <c r="AH298" s="110">
        <f>'Data_in-situ'!EP345</f>
        <v>3</v>
      </c>
      <c r="AI298" s="113">
        <f>'Data_in-situ'!ER345</f>
        <v>0.24242424242424274</v>
      </c>
      <c r="AJ298" s="113">
        <f>'Data_in-situ'!ES345</f>
        <v>0.32506616373647801</v>
      </c>
      <c r="AK298" s="110">
        <f>'Data_in-situ'!ET345</f>
        <v>3</v>
      </c>
    </row>
    <row r="299" spans="20:37" x14ac:dyDescent="0.3">
      <c r="T299" s="113">
        <f>'Data_in-situ'!DN426</f>
        <v>34.4</v>
      </c>
      <c r="U299" s="113">
        <f>'Data_in-situ'!DO426</f>
        <v>38.351847547101421</v>
      </c>
      <c r="V299" s="46">
        <f>'Data_in-situ'!DP426</f>
        <v>4</v>
      </c>
      <c r="W299" s="113">
        <f>'Data_in-situ'!DR426</f>
        <v>-3.0666666666666664</v>
      </c>
      <c r="X299" s="113">
        <f>'Data_in-situ'!DS426</f>
        <v>11.46079663686843</v>
      </c>
      <c r="Y299" s="46">
        <f>'Data_in-situ'!DT426</f>
        <v>4</v>
      </c>
      <c r="AF299" s="113">
        <f>'Data_in-situ'!EN346</f>
        <v>10.734402852049913</v>
      </c>
      <c r="AG299" s="113">
        <f>'Data_in-situ'!EO346</f>
        <v>0.89907795198284091</v>
      </c>
      <c r="AH299" s="110">
        <f>'Data_in-situ'!EP346</f>
        <v>3</v>
      </c>
      <c r="AI299" s="113">
        <f>'Data_in-situ'!ER346</f>
        <v>1.4153297682709467</v>
      </c>
      <c r="AJ299" s="113">
        <f>'Data_in-situ'!ES346</f>
        <v>0.51951553041500198</v>
      </c>
      <c r="AK299" s="110">
        <f>'Data_in-situ'!ET346</f>
        <v>3</v>
      </c>
    </row>
    <row r="300" spans="20:37" x14ac:dyDescent="0.3">
      <c r="T300" s="113">
        <f>'Data_in-situ'!DN427</f>
        <v>34.4</v>
      </c>
      <c r="U300" s="113">
        <f>'Data_in-situ'!DO427</f>
        <v>38.351847547101421</v>
      </c>
      <c r="V300" s="46">
        <f>'Data_in-situ'!DP427</f>
        <v>4</v>
      </c>
      <c r="W300" s="113">
        <f>'Data_in-situ'!DR427</f>
        <v>0.16</v>
      </c>
      <c r="X300" s="113">
        <f>'Data_in-situ'!DS427</f>
        <v>0.5979546071409616</v>
      </c>
      <c r="Y300" s="46">
        <f>'Data_in-situ'!DT427</f>
        <v>4</v>
      </c>
      <c r="AF300" s="113">
        <f>'Data_in-situ'!EN347</f>
        <v>21.878787878787879</v>
      </c>
      <c r="AG300" s="113">
        <f>'Data_in-situ'!EO347</f>
        <v>1.1081772383933699</v>
      </c>
      <c r="AH300" s="110">
        <f>'Data_in-situ'!EP347</f>
        <v>3</v>
      </c>
      <c r="AI300" s="113">
        <f>'Data_in-situ'!ER347</f>
        <v>0.76837548416496004</v>
      </c>
      <c r="AJ300" s="113">
        <f>'Data_in-situ'!ES347</f>
        <v>1.2709978400329951</v>
      </c>
      <c r="AK300" s="110">
        <f>'Data_in-situ'!ET347</f>
        <v>3</v>
      </c>
    </row>
    <row r="301" spans="20:37" x14ac:dyDescent="0.3">
      <c r="T301" s="113">
        <f>'Data_in-situ'!DN428</f>
        <v>84.266666666666666</v>
      </c>
      <c r="U301" s="113">
        <f>'Data_in-situ'!DO428</f>
        <v>93.947161433209686</v>
      </c>
      <c r="V301" s="46">
        <f>'Data_in-situ'!DP428</f>
        <v>4</v>
      </c>
      <c r="W301" s="113">
        <f>'Data_in-situ'!DR428</f>
        <v>-1.4666666666666668</v>
      </c>
      <c r="X301" s="113">
        <f>'Data_in-situ'!DS428</f>
        <v>5.4812505654588151</v>
      </c>
      <c r="Y301" s="46">
        <f>'Data_in-situ'!DT428</f>
        <v>4</v>
      </c>
      <c r="AF301" s="113">
        <f>'Data_in-situ'!EN348</f>
        <v>-17.5</v>
      </c>
      <c r="AG301" s="113">
        <f>'Data_in-situ'!EO348</f>
        <v>4.9497474683058327</v>
      </c>
      <c r="AH301" s="110">
        <f>'Data_in-situ'!EP348</f>
        <v>4</v>
      </c>
      <c r="AI301" s="113">
        <f>'Data_in-situ'!ER348</f>
        <v>-34</v>
      </c>
      <c r="AJ301" s="113">
        <f>'Data_in-situ'!ES348</f>
        <v>11.313708498984761</v>
      </c>
      <c r="AK301" s="110">
        <f>'Data_in-situ'!ET348</f>
        <v>4</v>
      </c>
    </row>
    <row r="302" spans="20:37" x14ac:dyDescent="0.3">
      <c r="T302" s="113">
        <f>'Data_in-situ'!DN429</f>
        <v>16</v>
      </c>
      <c r="U302" s="113">
        <f>'Data_in-situ'!DO429</f>
        <v>17.838068626558801</v>
      </c>
      <c r="V302" s="46">
        <f>'Data_in-situ'!DP429</f>
        <v>4</v>
      </c>
      <c r="W302" s="113">
        <f>'Data_in-situ'!DR429</f>
        <v>-2.36</v>
      </c>
      <c r="X302" s="113">
        <f>'Data_in-situ'!DS429</f>
        <v>8.8198304553291837</v>
      </c>
      <c r="Y302" s="46">
        <f>'Data_in-situ'!DT429</f>
        <v>4</v>
      </c>
      <c r="AF302" s="113">
        <f>'Data_in-situ'!EN349</f>
        <v>-10</v>
      </c>
      <c r="AG302" s="113">
        <f>'Data_in-situ'!EO349</f>
        <v>5.6568542494923806</v>
      </c>
      <c r="AH302" s="110">
        <f>'Data_in-situ'!EP349</f>
        <v>4</v>
      </c>
      <c r="AI302" s="113">
        <f>'Data_in-situ'!ER349</f>
        <v>-16.5</v>
      </c>
      <c r="AJ302" s="113">
        <f>'Data_in-situ'!ES349</f>
        <v>3.5355339059327378</v>
      </c>
      <c r="AK302" s="110">
        <f>'Data_in-situ'!ET349</f>
        <v>4</v>
      </c>
    </row>
    <row r="303" spans="20:37" x14ac:dyDescent="0.3">
      <c r="T303" s="113">
        <f>'Data_in-situ'!DN430</f>
        <v>11.866666666666667</v>
      </c>
      <c r="U303" s="113">
        <f>'Data_in-situ'!DO430</f>
        <v>13.229900898031111</v>
      </c>
      <c r="V303" s="46">
        <f>'Data_in-situ'!DP430</f>
        <v>4</v>
      </c>
      <c r="W303" s="113">
        <f>'Data_in-situ'!DR430</f>
        <v>-0.6</v>
      </c>
      <c r="X303" s="113">
        <f>'Data_in-situ'!DS430</f>
        <v>2.2423297767786057</v>
      </c>
      <c r="Y303" s="46">
        <f>'Data_in-situ'!DT430</f>
        <v>4</v>
      </c>
      <c r="AF303" s="113">
        <f>'Data_in-situ'!EN350</f>
        <v>10</v>
      </c>
      <c r="AG303" s="113">
        <f>'Data_in-situ'!EO350</f>
        <v>14.142135623730951</v>
      </c>
      <c r="AH303" s="110">
        <f>'Data_in-situ'!EP350</f>
        <v>4</v>
      </c>
      <c r="AI303" s="113">
        <f>'Data_in-situ'!ER350</f>
        <v>-8</v>
      </c>
      <c r="AJ303" s="113">
        <f>'Data_in-situ'!ES350</f>
        <v>2.8284271247461903</v>
      </c>
      <c r="AK303" s="110">
        <f>'Data_in-situ'!ET350</f>
        <v>4</v>
      </c>
    </row>
    <row r="304" spans="20:37" x14ac:dyDescent="0.3">
      <c r="T304" s="113">
        <f>'Data_in-situ'!DN431</f>
        <v>21.066666666666666</v>
      </c>
      <c r="U304" s="113">
        <f>'Data_in-situ'!DO431</f>
        <v>23.486790358302422</v>
      </c>
      <c r="V304" s="46">
        <f>'Data_in-situ'!DP431</f>
        <v>4</v>
      </c>
      <c r="W304" s="113">
        <f>'Data_in-situ'!DR431</f>
        <v>-2.48</v>
      </c>
      <c r="X304" s="113">
        <f>'Data_in-situ'!DS431</f>
        <v>9.2682964106849042</v>
      </c>
      <c r="Y304" s="46">
        <f>'Data_in-situ'!DT431</f>
        <v>4</v>
      </c>
      <c r="AF304" s="113">
        <f>'Data_in-situ'!EN351</f>
        <v>-17.5</v>
      </c>
      <c r="AG304" s="113">
        <f>'Data_in-situ'!EO351</f>
        <v>4.9497474683058327</v>
      </c>
      <c r="AH304" s="110">
        <f>'Data_in-situ'!EP351</f>
        <v>4</v>
      </c>
      <c r="AI304" s="113">
        <f>'Data_in-situ'!ER351</f>
        <v>-34</v>
      </c>
      <c r="AJ304" s="113">
        <f>'Data_in-situ'!ES351</f>
        <v>11.313708498984761</v>
      </c>
      <c r="AK304" s="110">
        <f>'Data_in-situ'!ET351</f>
        <v>4</v>
      </c>
    </row>
    <row r="305" spans="20:37" x14ac:dyDescent="0.3">
      <c r="T305" s="113">
        <f>'Data_in-situ'!DN432</f>
        <v>75.653333333333322</v>
      </c>
      <c r="U305" s="113">
        <f>'Data_in-situ'!DO432</f>
        <v>22.585942530698158</v>
      </c>
      <c r="V305" s="46">
        <f>'Data_in-situ'!DP432</f>
        <v>3</v>
      </c>
      <c r="W305" s="113">
        <f>'Data_in-situ'!DR432</f>
        <v>1.9466666666666665</v>
      </c>
      <c r="X305" s="113">
        <f>'Data_in-situ'!DS432</f>
        <v>8.1752798117251011</v>
      </c>
      <c r="Y305" s="46">
        <f>'Data_in-situ'!DT432</f>
        <v>3</v>
      </c>
      <c r="AF305" s="113">
        <f>'Data_in-situ'!EN352</f>
        <v>-10</v>
      </c>
      <c r="AG305" s="113">
        <f>'Data_in-situ'!EO352</f>
        <v>5.6568542494923806</v>
      </c>
      <c r="AH305" s="110">
        <f>'Data_in-situ'!EP352</f>
        <v>4</v>
      </c>
      <c r="AI305" s="113">
        <f>'Data_in-situ'!ER352</f>
        <v>-16.5</v>
      </c>
      <c r="AJ305" s="113">
        <f>'Data_in-situ'!ES352</f>
        <v>3.5355339059327378</v>
      </c>
      <c r="AK305" s="110">
        <f>'Data_in-situ'!ET352</f>
        <v>4</v>
      </c>
    </row>
    <row r="306" spans="20:37" x14ac:dyDescent="0.3">
      <c r="T306" s="113">
        <f>'Data_in-situ'!DN433</f>
        <v>36.813333333333333</v>
      </c>
      <c r="U306" s="113">
        <f>'Data_in-situ'!DO433</f>
        <v>5.8889727457341818</v>
      </c>
      <c r="V306" s="46">
        <f>'Data_in-situ'!DP433</f>
        <v>3</v>
      </c>
      <c r="W306" s="113">
        <f>'Data_in-situ'!DR433</f>
        <v>0.97333333333333327</v>
      </c>
      <c r="X306" s="113">
        <f>'Data_in-situ'!DS433</f>
        <v>1.1777945491468365</v>
      </c>
      <c r="Y306" s="46">
        <f>'Data_in-situ'!DT433</f>
        <v>3</v>
      </c>
      <c r="AF306" s="113">
        <f>'Data_in-situ'!EN353</f>
        <v>10</v>
      </c>
      <c r="AG306" s="113">
        <f>'Data_in-situ'!EO353</f>
        <v>14.142135623730951</v>
      </c>
      <c r="AH306" s="110">
        <f>'Data_in-situ'!EP353</f>
        <v>4</v>
      </c>
      <c r="AI306" s="113">
        <f>'Data_in-situ'!ER353</f>
        <v>-8</v>
      </c>
      <c r="AJ306" s="113">
        <f>'Data_in-situ'!ES353</f>
        <v>2.8284271247461903</v>
      </c>
      <c r="AK306" s="110">
        <f>'Data_in-situ'!ET353</f>
        <v>4</v>
      </c>
    </row>
    <row r="307" spans="20:37" x14ac:dyDescent="0.3">
      <c r="T307" s="113">
        <f>'Data_in-situ'!DN434</f>
        <v>198.66666666666666</v>
      </c>
      <c r="U307" s="113">
        <f>'Data_in-situ'!DO434</f>
        <v>221.4893521131051</v>
      </c>
      <c r="V307" s="46">
        <f>'Data_in-situ'!DP434</f>
        <v>3</v>
      </c>
      <c r="W307" s="113">
        <f>'Data_in-situ'!DR434</f>
        <v>2.8000000000000003</v>
      </c>
      <c r="X307" s="113">
        <f>'Data_in-situ'!DS434</f>
        <v>10.464205624966828</v>
      </c>
      <c r="Y307" s="46">
        <f>'Data_in-situ'!DT434</f>
        <v>3</v>
      </c>
      <c r="AF307" s="113">
        <f>'Data_in-situ'!EN354</f>
        <v>-2.9</v>
      </c>
      <c r="AG307" s="113">
        <f>'Data_in-situ'!EO354</f>
        <v>2.4</v>
      </c>
      <c r="AH307" s="110">
        <f>'Data_in-situ'!EP354</f>
        <v>3</v>
      </c>
      <c r="AI307" s="113">
        <f>'Data_in-situ'!ER354</f>
        <v>-24.2</v>
      </c>
      <c r="AJ307" s="113">
        <f>'Data_in-situ'!ES354</f>
        <v>10.3</v>
      </c>
      <c r="AK307" s="110">
        <f>'Data_in-situ'!ET354</f>
        <v>2</v>
      </c>
    </row>
    <row r="308" spans="20:37" x14ac:dyDescent="0.3">
      <c r="T308" s="113">
        <f>'Data_in-situ'!DN435</f>
        <v>345.33333333333331</v>
      </c>
      <c r="U308" s="113">
        <f>'Data_in-situ'!DO435</f>
        <v>385.00498118989412</v>
      </c>
      <c r="V308" s="46">
        <f>'Data_in-situ'!DP435</f>
        <v>3</v>
      </c>
      <c r="W308" s="113">
        <f>'Data_in-situ'!DR435</f>
        <v>1.3333333333333333</v>
      </c>
      <c r="X308" s="113">
        <f>'Data_in-situ'!DS435</f>
        <v>4.9829550595080132</v>
      </c>
      <c r="Y308" s="46">
        <f>'Data_in-situ'!DT435</f>
        <v>3</v>
      </c>
      <c r="AF308" s="113">
        <f>'Data_in-situ'!EN355</f>
        <v>-10.6</v>
      </c>
      <c r="AG308" s="113">
        <f>'Data_in-situ'!EO355</f>
        <v>7.7</v>
      </c>
      <c r="AH308" s="110">
        <f>'Data_in-situ'!EP355</f>
        <v>3</v>
      </c>
      <c r="AI308" s="113">
        <f>'Data_in-situ'!ER355</f>
        <v>-13.2</v>
      </c>
      <c r="AJ308" s="113">
        <f>'Data_in-situ'!ES355</f>
        <v>6.5</v>
      </c>
      <c r="AK308" s="110">
        <f>'Data_in-situ'!ET355</f>
        <v>3</v>
      </c>
    </row>
    <row r="309" spans="20:37" x14ac:dyDescent="0.3">
      <c r="T309" s="113">
        <f>'Data_in-situ'!DN436</f>
        <v>1745.8411157183666</v>
      </c>
      <c r="U309" s="113">
        <f>'Data_in-situ'!DO436</f>
        <v>3724.2538477145881</v>
      </c>
      <c r="V309" s="46">
        <f>'Data_in-situ'!DP436</f>
        <v>34</v>
      </c>
      <c r="W309" s="113">
        <f>'Data_in-situ'!DR436</f>
        <v>-3.7758090112974552</v>
      </c>
      <c r="X309" s="113">
        <f>'Data_in-situ'!DS436</f>
        <v>115.31009388698878</v>
      </c>
      <c r="Y309" s="46">
        <f>'Data_in-situ'!DT436</f>
        <v>9</v>
      </c>
      <c r="AF309" s="113">
        <f>'Data_in-situ'!EN356</f>
        <v>-10.6</v>
      </c>
      <c r="AG309" s="113">
        <f>'Data_in-situ'!EO356</f>
        <v>7.7</v>
      </c>
      <c r="AH309" s="110">
        <f>'Data_in-situ'!EP356</f>
        <v>3</v>
      </c>
      <c r="AI309" s="113">
        <f>'Data_in-situ'!ER356</f>
        <v>-53.1</v>
      </c>
      <c r="AJ309" s="113">
        <f>'Data_in-situ'!ES356</f>
        <v>10.3</v>
      </c>
      <c r="AK309" s="110">
        <f>'Data_in-situ'!ET356</f>
        <v>1</v>
      </c>
    </row>
    <row r="310" spans="20:37" x14ac:dyDescent="0.3">
      <c r="T310" s="113">
        <f>'Data_in-situ'!DN437</f>
        <v>199.12</v>
      </c>
      <c r="U310" s="113">
        <f>'Data_in-situ'!DO437</f>
        <v>39.04</v>
      </c>
      <c r="V310" s="46">
        <f>'Data_in-situ'!DP437</f>
        <v>3</v>
      </c>
      <c r="W310" s="113">
        <f>'Data_in-situ'!DR437</f>
        <v>-1.37</v>
      </c>
      <c r="X310" s="113">
        <f>'Data_in-situ'!DS437</f>
        <v>0.68</v>
      </c>
      <c r="Y310" s="46">
        <f>'Data_in-situ'!DT437</f>
        <v>3</v>
      </c>
      <c r="AF310" s="113">
        <f>'Data_in-situ'!EN357</f>
        <v>-3.9</v>
      </c>
      <c r="AG310" s="113">
        <f>'Data_in-situ'!EO357</f>
        <v>3.3</v>
      </c>
      <c r="AH310" s="110">
        <f>'Data_in-situ'!EP357</f>
        <v>3</v>
      </c>
      <c r="AI310" s="113">
        <f>'Data_in-situ'!ER357</f>
        <v>-25.6</v>
      </c>
      <c r="AJ310" s="113">
        <f>'Data_in-situ'!ES357</f>
        <v>10.3</v>
      </c>
      <c r="AK310" s="110">
        <f>'Data_in-situ'!ET357</f>
        <v>2</v>
      </c>
    </row>
    <row r="311" spans="20:37" x14ac:dyDescent="0.3">
      <c r="T311" s="113">
        <f>'Data_in-situ'!DN438</f>
        <v>199.12</v>
      </c>
      <c r="U311" s="113">
        <f>'Data_in-situ'!DO438</f>
        <v>39.04</v>
      </c>
      <c r="V311" s="46">
        <f>'Data_in-situ'!DP438</f>
        <v>3</v>
      </c>
      <c r="W311" s="113">
        <f>'Data_in-situ'!DR438</f>
        <v>94.82</v>
      </c>
      <c r="X311" s="113">
        <f>'Data_in-situ'!DS438</f>
        <v>9.86</v>
      </c>
      <c r="Y311" s="46">
        <f>'Data_in-situ'!DT438</f>
        <v>3</v>
      </c>
      <c r="AF311" s="113">
        <f>'Data_in-situ'!EN358</f>
        <v>-10.199999999999999</v>
      </c>
      <c r="AG311" s="113">
        <f>'Data_in-situ'!EO358</f>
        <v>4.7</v>
      </c>
      <c r="AH311" s="110">
        <f>'Data_in-situ'!EP358</f>
        <v>3</v>
      </c>
      <c r="AI311" s="113">
        <f>'Data_in-situ'!ER358</f>
        <v>-16.899999999999999</v>
      </c>
      <c r="AJ311" s="113">
        <f>'Data_in-situ'!ES358</f>
        <v>10.3</v>
      </c>
      <c r="AK311" s="110">
        <f>'Data_in-situ'!ET358</f>
        <v>3</v>
      </c>
    </row>
    <row r="312" spans="20:37" x14ac:dyDescent="0.3">
      <c r="T312" s="113">
        <f>'Data_in-situ'!DN441</f>
        <v>172</v>
      </c>
      <c r="U312" s="113">
        <f>'Data_in-situ'!DO441</f>
        <v>22</v>
      </c>
      <c r="V312" s="46">
        <f>'Data_in-situ'!DP441</f>
        <v>6</v>
      </c>
      <c r="W312" s="113">
        <f>'Data_in-situ'!DR441</f>
        <v>1.5</v>
      </c>
      <c r="X312" s="113">
        <f>'Data_in-situ'!DS441</f>
        <v>1.6</v>
      </c>
      <c r="Y312" s="46">
        <f>'Data_in-situ'!DT441</f>
        <v>6</v>
      </c>
      <c r="AF312" s="113">
        <f>'Data_in-situ'!EN359</f>
        <v>-10.199999999999999</v>
      </c>
      <c r="AG312" s="113">
        <f>'Data_in-situ'!EO359</f>
        <v>4.7</v>
      </c>
      <c r="AH312" s="110">
        <f>'Data_in-situ'!EP359</f>
        <v>3</v>
      </c>
      <c r="AI312" s="113">
        <f>'Data_in-situ'!ER359</f>
        <v>-57.1</v>
      </c>
      <c r="AJ312" s="113">
        <f>'Data_in-situ'!ES359</f>
        <v>7.4</v>
      </c>
      <c r="AK312" s="110">
        <f>'Data_in-situ'!ET359</f>
        <v>1</v>
      </c>
    </row>
    <row r="313" spans="20:37" x14ac:dyDescent="0.3">
      <c r="T313" s="113">
        <f>'Data_in-situ'!DN442</f>
        <v>172</v>
      </c>
      <c r="U313" s="113">
        <f>'Data_in-situ'!DO442</f>
        <v>22</v>
      </c>
      <c r="V313" s="46">
        <f>'Data_in-situ'!DP442</f>
        <v>6</v>
      </c>
      <c r="W313" s="113">
        <f>'Data_in-situ'!DR442</f>
        <v>-1.4</v>
      </c>
      <c r="X313" s="113">
        <f>'Data_in-situ'!DS442</f>
        <v>1.5</v>
      </c>
      <c r="Y313" s="46">
        <f>'Data_in-situ'!DT442</f>
        <v>6</v>
      </c>
      <c r="AF313" s="113">
        <f>'Data_in-situ'!EN360</f>
        <v>0</v>
      </c>
      <c r="AG313" s="113">
        <f>'Data_in-situ'!EO360</f>
        <v>0</v>
      </c>
      <c r="AH313" s="110">
        <f>'Data_in-situ'!EP360</f>
        <v>8</v>
      </c>
      <c r="AI313" s="113">
        <f>'Data_in-situ'!ER360</f>
        <v>-20</v>
      </c>
      <c r="AJ313" s="113">
        <f>'Data_in-situ'!ES360</f>
        <v>4.5362810701838834</v>
      </c>
      <c r="AK313" s="110">
        <f>'Data_in-situ'!ET360</f>
        <v>8</v>
      </c>
    </row>
    <row r="314" spans="20:37" x14ac:dyDescent="0.3">
      <c r="T314" s="113">
        <f>'Data_in-situ'!DN443</f>
        <v>172</v>
      </c>
      <c r="U314" s="113">
        <f>'Data_in-situ'!DO443</f>
        <v>22</v>
      </c>
      <c r="V314" s="46">
        <f>'Data_in-situ'!DP443</f>
        <v>6</v>
      </c>
      <c r="W314" s="113">
        <f>'Data_in-situ'!DR443</f>
        <v>-0.6</v>
      </c>
      <c r="X314" s="113">
        <f>'Data_in-situ'!DS443</f>
        <v>0.65</v>
      </c>
      <c r="Y314" s="46">
        <f>'Data_in-situ'!DT443</f>
        <v>4</v>
      </c>
      <c r="AF314" s="113">
        <f>'Data_in-situ'!EN361</f>
        <v>-22.8355929225071</v>
      </c>
      <c r="AG314" s="113">
        <f>'Data_in-situ'!EO361</f>
        <v>9.3054218792721652</v>
      </c>
      <c r="AH314" s="110">
        <f>'Data_in-situ'!EP361</f>
        <v>8</v>
      </c>
      <c r="AI314" s="113">
        <f>'Data_in-situ'!ER361</f>
        <v>-45.187277814574003</v>
      </c>
      <c r="AJ314" s="113">
        <f>'Data_in-situ'!ES361</f>
        <v>10.249109648169611</v>
      </c>
      <c r="AK314" s="110">
        <f>'Data_in-situ'!ET361</f>
        <v>8</v>
      </c>
    </row>
    <row r="315" spans="20:37" x14ac:dyDescent="0.3">
      <c r="T315" s="113">
        <f>'Data_in-situ'!DN444</f>
        <v>1231.8452874333798</v>
      </c>
      <c r="U315" s="113">
        <f>'Data_in-situ'!DO444</f>
        <v>2386.9642276450431</v>
      </c>
      <c r="V315" s="46">
        <f>'Data_in-situ'!DP444</f>
        <v>46</v>
      </c>
      <c r="W315" s="113">
        <f>'Data_in-situ'!DR444</f>
        <v>23.778911502590674</v>
      </c>
      <c r="X315" s="113">
        <f>'Data_in-situ'!DS444</f>
        <v>31.04286769933886</v>
      </c>
      <c r="Y315" s="46">
        <f>'Data_in-situ'!DT444</f>
        <v>53</v>
      </c>
      <c r="AF315" s="113">
        <f>'Data_in-situ'!EN362</f>
        <v>-45.647936632378602</v>
      </c>
      <c r="AG315" s="113">
        <f>'Data_in-situ'!EO362</f>
        <v>18.60136978812152</v>
      </c>
      <c r="AH315" s="110">
        <f>'Data_in-situ'!EP362</f>
        <v>8</v>
      </c>
      <c r="AI315" s="113">
        <f>'Data_in-situ'!ER362</f>
        <v>-90.991470783038906</v>
      </c>
      <c r="AJ315" s="113">
        <f>'Data_in-situ'!ES362</f>
        <v>20.638144323064466</v>
      </c>
      <c r="AK315" s="110">
        <f>'Data_in-situ'!ET362</f>
        <v>8</v>
      </c>
    </row>
    <row r="316" spans="20:37" x14ac:dyDescent="0.3">
      <c r="T316" s="113">
        <f>'Data_in-situ'!DN445</f>
        <v>434.70588235294116</v>
      </c>
      <c r="U316" s="113">
        <f>'Data_in-situ'!DO445</f>
        <v>437.34858971687066</v>
      </c>
      <c r="V316" s="46">
        <f>'Data_in-situ'!DP445</f>
        <v>5</v>
      </c>
      <c r="W316" s="113">
        <f>'Data_in-situ'!DR445</f>
        <v>78.82352941176471</v>
      </c>
      <c r="X316" s="113">
        <f>'Data_in-situ'!DS445</f>
        <v>78.92004626469847</v>
      </c>
      <c r="Y316" s="46">
        <f>'Data_in-situ'!DT445</f>
        <v>5</v>
      </c>
      <c r="AF316" s="113">
        <f>'Data_in-situ'!EN363</f>
        <v>-18.912423460077601</v>
      </c>
      <c r="AG316" s="113">
        <f>'Data_in-situ'!EO363</f>
        <v>7.7067444516410974</v>
      </c>
      <c r="AH316" s="110">
        <f>'Data_in-situ'!EP363</f>
        <v>8</v>
      </c>
      <c r="AI316" s="113">
        <f>'Data_in-situ'!ER363</f>
        <v>-40.3060245198091</v>
      </c>
      <c r="AJ316" s="113">
        <f>'Data_in-situ'!ES363</f>
        <v>9.1419728021788735</v>
      </c>
      <c r="AK316" s="110">
        <f>'Data_in-situ'!ET363</f>
        <v>8</v>
      </c>
    </row>
    <row r="317" spans="20:37" x14ac:dyDescent="0.3">
      <c r="T317" s="113">
        <f>'Data_in-situ'!DN446</f>
        <v>434.70588235294116</v>
      </c>
      <c r="U317" s="113">
        <f>'Data_in-situ'!DO446</f>
        <v>437.34858971687066</v>
      </c>
      <c r="V317" s="46">
        <f>'Data_in-situ'!DP446</f>
        <v>5</v>
      </c>
      <c r="W317" s="113">
        <f>'Data_in-situ'!DR446</f>
        <v>225.58823529411765</v>
      </c>
      <c r="X317" s="113">
        <f>'Data_in-situ'!DS446</f>
        <v>225.57979890659644</v>
      </c>
      <c r="Y317" s="46">
        <f>'Data_in-situ'!DT446</f>
        <v>5</v>
      </c>
      <c r="AF317" s="113">
        <f>'Data_in-situ'!EN372</f>
        <v>-40.51870340955886</v>
      </c>
      <c r="AG317" s="113">
        <f>'Data_in-situ'!EO372</f>
        <v>20.370209301600063</v>
      </c>
      <c r="AH317" s="110">
        <f>'Data_in-situ'!EP372</f>
        <v>6</v>
      </c>
      <c r="AI317" s="113">
        <f>'Data_in-situ'!ER372</f>
        <v>-50.351292976661703</v>
      </c>
      <c r="AJ317" s="113">
        <f>'Data_in-situ'!ES372</f>
        <v>17.957460020005087</v>
      </c>
      <c r="AK317" s="110">
        <f>'Data_in-situ'!ET372</f>
        <v>6</v>
      </c>
    </row>
    <row r="318" spans="20:37" x14ac:dyDescent="0.3">
      <c r="T318" s="113">
        <f>'Data_in-situ'!DN454</f>
        <v>26.051392891450497</v>
      </c>
      <c r="U318" s="113">
        <f>'Data_in-situ'!DO454</f>
        <v>12.515768654879148</v>
      </c>
      <c r="V318" s="46">
        <f>'Data_in-situ'!DP454</f>
        <v>3</v>
      </c>
      <c r="W318" s="113">
        <f>'Data_in-situ'!DR454</f>
        <v>-2.2790585975024058</v>
      </c>
      <c r="X318" s="113">
        <f>'Data_in-situ'!DS454</f>
        <v>1.8593013863594432</v>
      </c>
      <c r="Y318" s="46">
        <f>'Data_in-situ'!DT454</f>
        <v>3</v>
      </c>
      <c r="AF318" s="113">
        <f>'Data_in-situ'!EN373</f>
        <v>-40.51870340955886</v>
      </c>
      <c r="AG318" s="113">
        <f>'Data_in-situ'!EO373</f>
        <v>20.370209301600063</v>
      </c>
      <c r="AH318" s="110">
        <f>'Data_in-situ'!EP373</f>
        <v>6</v>
      </c>
      <c r="AI318" s="113">
        <f>'Data_in-situ'!ER373</f>
        <v>-50.44953735219223</v>
      </c>
      <c r="AJ318" s="113">
        <f>'Data_in-situ'!ES373</f>
        <v>14.661286194047287</v>
      </c>
      <c r="AK318" s="110">
        <f>'Data_in-situ'!ET373</f>
        <v>6</v>
      </c>
    </row>
    <row r="319" spans="20:37" x14ac:dyDescent="0.3">
      <c r="T319" s="113">
        <f>'Data_in-situ'!DN456</f>
        <v>118.26666666666667</v>
      </c>
      <c r="U319" s="113">
        <f>'Data_in-situ'!DO456</f>
        <v>131.85305726464713</v>
      </c>
      <c r="V319" s="46">
        <f>'Data_in-situ'!DP456</f>
        <v>1</v>
      </c>
      <c r="W319" s="113">
        <f>'Data_in-situ'!DR456</f>
        <v>58</v>
      </c>
      <c r="X319" s="113">
        <f>'Data_in-situ'!DS456</f>
        <v>216.75854508859857</v>
      </c>
      <c r="Y319" s="46">
        <f>'Data_in-situ'!DT456</f>
        <v>1</v>
      </c>
      <c r="AF319" s="113">
        <f>'Data_in-situ'!EN374</f>
        <v>-18.43977174360656</v>
      </c>
      <c r="AG319" s="113">
        <f>'Data_in-situ'!EO374</f>
        <v>7.4660723000216542</v>
      </c>
      <c r="AH319" s="110">
        <f>'Data_in-situ'!EP374</f>
        <v>6</v>
      </c>
      <c r="AI319" s="113">
        <f>'Data_in-situ'!ER374</f>
        <v>-32.926909210095033</v>
      </c>
      <c r="AJ319" s="113">
        <f>'Data_in-situ'!ES374</f>
        <v>5.9181798677139321</v>
      </c>
      <c r="AK319" s="110">
        <f>'Data_in-situ'!ET374</f>
        <v>6</v>
      </c>
    </row>
    <row r="320" spans="20:37" x14ac:dyDescent="0.3">
      <c r="T320" s="113">
        <f>'Data_in-situ'!DN457</f>
        <v>115.06666666666666</v>
      </c>
      <c r="U320" s="113">
        <f>'Data_in-situ'!DO457</f>
        <v>128.28544353933538</v>
      </c>
      <c r="V320" s="46">
        <f>'Data_in-situ'!DP457</f>
        <v>1</v>
      </c>
      <c r="W320" s="113">
        <f>'Data_in-situ'!DR457</f>
        <v>63.333333333333336</v>
      </c>
      <c r="X320" s="113">
        <f>'Data_in-situ'!DS457</f>
        <v>236.69036532663063</v>
      </c>
      <c r="Y320" s="46">
        <f>'Data_in-situ'!DT457</f>
        <v>1</v>
      </c>
      <c r="AF320" s="113">
        <f>'Data_in-situ'!EN375</f>
        <v>-18.43977174360656</v>
      </c>
      <c r="AG320" s="113">
        <f>'Data_in-situ'!EO375</f>
        <v>7.4660723000216542</v>
      </c>
      <c r="AH320" s="110">
        <f>'Data_in-situ'!EP375</f>
        <v>6</v>
      </c>
      <c r="AI320" s="113">
        <f>'Data_in-situ'!ER375</f>
        <v>-40.367064742679283</v>
      </c>
      <c r="AJ320" s="113">
        <f>'Data_in-situ'!ES375</f>
        <v>4.0843551355325198</v>
      </c>
      <c r="AK320" s="110">
        <f>'Data_in-situ'!ET375</f>
        <v>6</v>
      </c>
    </row>
    <row r="321" spans="20:37" x14ac:dyDescent="0.3">
      <c r="T321" s="113">
        <f>'Data_in-situ'!DN458</f>
        <v>105.2</v>
      </c>
      <c r="U321" s="113">
        <f>'Data_in-situ'!DO458</f>
        <v>117.28530121962412</v>
      </c>
      <c r="V321" s="46">
        <f>'Data_in-situ'!DP458</f>
        <v>1</v>
      </c>
      <c r="W321" s="113">
        <f>'Data_in-situ'!DR458</f>
        <v>45.466666666666669</v>
      </c>
      <c r="X321" s="113">
        <f>'Data_in-situ'!DS458</f>
        <v>169.91876752922326</v>
      </c>
      <c r="Y321" s="46">
        <f>'Data_in-situ'!DT458</f>
        <v>1</v>
      </c>
      <c r="AF321" s="113">
        <f>'Data_in-situ'!EN376</f>
        <v>-25.327560341085523</v>
      </c>
      <c r="AG321" s="113">
        <f>'Data_in-situ'!EO376</f>
        <v>3.7216854561993782</v>
      </c>
      <c r="AH321" s="110">
        <f>'Data_in-situ'!EP376</f>
        <v>6</v>
      </c>
      <c r="AI321" s="113">
        <f>'Data_in-situ'!ER376</f>
        <v>-38.138726825441289</v>
      </c>
      <c r="AJ321" s="113">
        <f>'Data_in-situ'!ES376</f>
        <v>2.9417033415847209</v>
      </c>
      <c r="AK321" s="110">
        <f>'Data_in-situ'!ET376</f>
        <v>6</v>
      </c>
    </row>
    <row r="322" spans="20:37" x14ac:dyDescent="0.3">
      <c r="T322" s="113">
        <f>'Data_in-situ'!DN459</f>
        <v>118.26666666666667</v>
      </c>
      <c r="U322" s="113">
        <f>'Data_in-situ'!DO459</f>
        <v>131.85305726464713</v>
      </c>
      <c r="V322" s="46">
        <f>'Data_in-situ'!DP459</f>
        <v>1</v>
      </c>
      <c r="W322" s="113">
        <f>'Data_in-situ'!DR459</f>
        <v>26.133333333333336</v>
      </c>
      <c r="X322" s="113">
        <f>'Data_in-situ'!DS459</f>
        <v>97.665919166357071</v>
      </c>
      <c r="Y322" s="46">
        <f>'Data_in-situ'!DT459</f>
        <v>1</v>
      </c>
      <c r="AF322" s="113">
        <f>'Data_in-situ'!EN377</f>
        <v>-25.327560341085523</v>
      </c>
      <c r="AG322" s="113">
        <f>'Data_in-situ'!EO377</f>
        <v>3.7216854561993782</v>
      </c>
      <c r="AH322" s="110">
        <f>'Data_in-situ'!EP377</f>
        <v>6</v>
      </c>
      <c r="AI322" s="113">
        <f>'Data_in-situ'!ER377</f>
        <v>-44.870926010354054</v>
      </c>
      <c r="AJ322" s="113">
        <f>'Data_in-situ'!ES377</f>
        <v>2.2702362142729355</v>
      </c>
      <c r="AK322" s="110">
        <f>'Data_in-situ'!ET377</f>
        <v>6</v>
      </c>
    </row>
    <row r="323" spans="20:37" x14ac:dyDescent="0.3">
      <c r="T323" s="113">
        <f>'Data_in-situ'!DN460</f>
        <v>115.06666666666666</v>
      </c>
      <c r="U323" s="113">
        <f>'Data_in-situ'!DO460</f>
        <v>128.28544353933538</v>
      </c>
      <c r="V323" s="46">
        <f>'Data_in-situ'!DP460</f>
        <v>1</v>
      </c>
      <c r="W323" s="113">
        <f>'Data_in-situ'!DR460</f>
        <v>31.733333333333334</v>
      </c>
      <c r="X323" s="113">
        <f>'Data_in-situ'!DS460</f>
        <v>118.59433041629072</v>
      </c>
      <c r="Y323" s="46">
        <f>'Data_in-situ'!DT460</f>
        <v>1</v>
      </c>
      <c r="AF323" s="113">
        <f>'Data_in-situ'!EN378</f>
        <v>-48.76169720736587</v>
      </c>
      <c r="AG323" s="113">
        <f>'Data_in-situ'!EO378</f>
        <v>3.8844664928993486</v>
      </c>
      <c r="AH323" s="110">
        <f>'Data_in-situ'!EP378</f>
        <v>6</v>
      </c>
      <c r="AI323" s="113">
        <f>'Data_in-situ'!ER378</f>
        <v>-60.453706185710573</v>
      </c>
      <c r="AJ323" s="113">
        <f>'Data_in-situ'!ES378</f>
        <v>3.5711359265362042</v>
      </c>
      <c r="AK323" s="110">
        <f>'Data_in-situ'!ET378</f>
        <v>6</v>
      </c>
    </row>
    <row r="324" spans="20:37" x14ac:dyDescent="0.3">
      <c r="T324" s="113">
        <f>'Data_in-situ'!DN461</f>
        <v>105.2</v>
      </c>
      <c r="U324" s="113">
        <f>'Data_in-situ'!DO461</f>
        <v>117.28530121962412</v>
      </c>
      <c r="V324" s="46">
        <f>'Data_in-situ'!DP461</f>
        <v>1</v>
      </c>
      <c r="W324" s="113">
        <f>'Data_in-situ'!DR461</f>
        <v>29.733333333333334</v>
      </c>
      <c r="X324" s="113">
        <f>'Data_in-situ'!DS461</f>
        <v>111.11989782702869</v>
      </c>
      <c r="Y324" s="46">
        <f>'Data_in-situ'!DT461</f>
        <v>1</v>
      </c>
      <c r="AF324" s="113">
        <f>'Data_in-situ'!EN379</f>
        <v>-48.76169720736587</v>
      </c>
      <c r="AG324" s="113">
        <f>'Data_in-situ'!EO379</f>
        <v>3.8844664928993486</v>
      </c>
      <c r="AH324" s="110">
        <f>'Data_in-situ'!EP379</f>
        <v>6</v>
      </c>
      <c r="AI324" s="113">
        <f>'Data_in-situ'!ER379</f>
        <v>-64.194692039592596</v>
      </c>
      <c r="AJ324" s="113">
        <f>'Data_in-situ'!ES379</f>
        <v>3.0503400500711311</v>
      </c>
      <c r="AK324" s="110">
        <f>'Data_in-situ'!ET379</f>
        <v>6</v>
      </c>
    </row>
    <row r="325" spans="20:37" x14ac:dyDescent="0.3">
      <c r="T325" s="113">
        <f>'Data_in-situ'!DN470</f>
        <v>92.5</v>
      </c>
      <c r="U325" s="113">
        <f>'Data_in-situ'!DO470</f>
        <v>6.5</v>
      </c>
      <c r="V325" s="46">
        <f>'Data_in-situ'!DP470</f>
        <v>3</v>
      </c>
      <c r="W325" s="113">
        <f>'Data_in-situ'!DR470</f>
        <v>37.200000000000003</v>
      </c>
      <c r="X325" s="113">
        <f>'Data_in-situ'!DS470</f>
        <v>3.6</v>
      </c>
      <c r="Y325" s="46">
        <f>'Data_in-situ'!DT470</f>
        <v>3</v>
      </c>
      <c r="AF325" s="113">
        <f>'Data_in-situ'!EN389</f>
        <v>-16</v>
      </c>
      <c r="AG325" s="113">
        <f>'Data_in-situ'!EO389</f>
        <v>6.5199423800206935</v>
      </c>
      <c r="AH325" s="110">
        <f>'Data_in-situ'!EP389</f>
        <v>4</v>
      </c>
      <c r="AI325" s="113">
        <f>'Data_in-situ'!ER389</f>
        <v>-21</v>
      </c>
      <c r="AJ325" s="113">
        <f>'Data_in-situ'!ES389</f>
        <v>4.7630951236930779</v>
      </c>
      <c r="AK325" s="110">
        <f>'Data_in-situ'!ET389</f>
        <v>4</v>
      </c>
    </row>
    <row r="326" spans="20:37" x14ac:dyDescent="0.3">
      <c r="T326" s="113">
        <f>'Data_in-situ'!DN471</f>
        <v>88.8</v>
      </c>
      <c r="U326" s="113">
        <f>'Data_in-situ'!DO471</f>
        <v>5.7</v>
      </c>
      <c r="V326" s="46">
        <f>'Data_in-situ'!DP471</f>
        <v>3</v>
      </c>
      <c r="W326" s="113">
        <f>'Data_in-situ'!DR471</f>
        <v>44.5</v>
      </c>
      <c r="X326" s="113">
        <f>'Data_in-situ'!DS471</f>
        <v>6.6</v>
      </c>
      <c r="Y326" s="46">
        <f>'Data_in-situ'!DT471</f>
        <v>3</v>
      </c>
      <c r="AF326" s="113">
        <f>'Data_in-situ'!EN390</f>
        <v>-15</v>
      </c>
      <c r="AG326" s="113">
        <f>'Data_in-situ'!EO390</f>
        <v>6.1124459812694001</v>
      </c>
      <c r="AH326" s="110">
        <f>'Data_in-situ'!EP390</f>
        <v>4</v>
      </c>
      <c r="AI326" s="113">
        <f>'Data_in-situ'!ER390</f>
        <v>-20</v>
      </c>
      <c r="AJ326" s="113">
        <f>'Data_in-situ'!ES390</f>
        <v>4.5362810701838834</v>
      </c>
      <c r="AK326" s="110">
        <f>'Data_in-situ'!ET390</f>
        <v>4</v>
      </c>
    </row>
    <row r="327" spans="20:37" x14ac:dyDescent="0.3">
      <c r="T327" s="113">
        <f>'Data_in-situ'!DN472</f>
        <v>37.5</v>
      </c>
      <c r="U327" s="113">
        <f>'Data_in-situ'!DO472</f>
        <v>3.8</v>
      </c>
      <c r="V327" s="46">
        <f>'Data_in-situ'!DP472</f>
        <v>3</v>
      </c>
      <c r="W327" s="113">
        <f>'Data_in-situ'!DR472</f>
        <v>32.1</v>
      </c>
      <c r="X327" s="113">
        <f>'Data_in-situ'!DS472</f>
        <v>6.6</v>
      </c>
      <c r="Y327" s="46">
        <f>'Data_in-situ'!DT472</f>
        <v>3</v>
      </c>
      <c r="AF327" s="113">
        <f>'Data_in-situ'!EN391</f>
        <v>-2</v>
      </c>
      <c r="AG327" s="113">
        <f>'Data_in-situ'!EO391</f>
        <v>0.81499279750258669</v>
      </c>
      <c r="AH327" s="110">
        <f>'Data_in-situ'!EP391</f>
        <v>4</v>
      </c>
      <c r="AI327" s="113">
        <f>'Data_in-situ'!ER391</f>
        <v>-30</v>
      </c>
      <c r="AJ327" s="113">
        <f>'Data_in-situ'!ES391</f>
        <v>6.8044216052758255</v>
      </c>
      <c r="AK327" s="110">
        <f>'Data_in-situ'!ET391</f>
        <v>4</v>
      </c>
    </row>
    <row r="328" spans="20:37" x14ac:dyDescent="0.3">
      <c r="AF328" s="113">
        <f>'Data_in-situ'!EN400</f>
        <v>8.6888471563287055</v>
      </c>
      <c r="AG328" s="113">
        <f>'Data_in-situ'!EO400</f>
        <v>0.9459684366413168</v>
      </c>
      <c r="AH328" s="110">
        <f>'Data_in-situ'!EP400</f>
        <v>8</v>
      </c>
      <c r="AI328" s="113">
        <f>'Data_in-situ'!ER400</f>
        <v>-10.544207227786568</v>
      </c>
      <c r="AJ328" s="113">
        <f>'Data_in-situ'!ES400</f>
        <v>3.1095266572641616</v>
      </c>
      <c r="AK328" s="110">
        <f>'Data_in-situ'!ET400</f>
        <v>8</v>
      </c>
    </row>
    <row r="329" spans="20:37" x14ac:dyDescent="0.3">
      <c r="AF329" s="113">
        <f>'Data_in-situ'!EN412</f>
        <v>-8.1</v>
      </c>
      <c r="AG329" s="113">
        <f>'Data_in-situ'!EO412</f>
        <v>1.2</v>
      </c>
      <c r="AH329" s="110">
        <f>'Data_in-situ'!EP412</f>
        <v>3</v>
      </c>
      <c r="AI329" s="113">
        <f>'Data_in-situ'!ER412</f>
        <v>-13.1</v>
      </c>
      <c r="AJ329" s="113">
        <f>'Data_in-situ'!ES412</f>
        <v>0.8</v>
      </c>
      <c r="AK329" s="110">
        <f>'Data_in-situ'!ET412</f>
        <v>3</v>
      </c>
    </row>
    <row r="330" spans="20:37" x14ac:dyDescent="0.3">
      <c r="AF330" s="113">
        <f>'Data_in-situ'!EN413</f>
        <v>-20.399999999999999</v>
      </c>
      <c r="AG330" s="113">
        <f>'Data_in-situ'!EO413</f>
        <v>2.2999999999999998</v>
      </c>
      <c r="AH330" s="110">
        <f>'Data_in-situ'!EP413</f>
        <v>3</v>
      </c>
      <c r="AI330" s="113">
        <f>'Data_in-situ'!ER413</f>
        <v>-28.4</v>
      </c>
      <c r="AJ330" s="113">
        <f>'Data_in-situ'!ES413</f>
        <v>3.2</v>
      </c>
      <c r="AK330" s="110">
        <f>'Data_in-situ'!ET413</f>
        <v>3</v>
      </c>
    </row>
    <row r="331" spans="20:37" x14ac:dyDescent="0.3">
      <c r="AF331" s="113">
        <f>'Data_in-situ'!EN414</f>
        <v>6</v>
      </c>
      <c r="AG331" s="113">
        <f>'Data_in-situ'!EO414</f>
        <v>22</v>
      </c>
      <c r="AH331" s="110">
        <f>'Data_in-situ'!EP414</f>
        <v>5</v>
      </c>
      <c r="AI331" s="113">
        <f>'Data_in-situ'!ER414</f>
        <v>-14</v>
      </c>
      <c r="AJ331" s="113">
        <f>'Data_in-situ'!ES414</f>
        <v>23</v>
      </c>
      <c r="AK331" s="110">
        <f>'Data_in-situ'!ET414</f>
        <v>5</v>
      </c>
    </row>
    <row r="332" spans="20:37" x14ac:dyDescent="0.3">
      <c r="AF332" s="113">
        <f>'Data_in-situ'!EN415</f>
        <v>-15.24193548387095</v>
      </c>
      <c r="AG332" s="113">
        <f>'Data_in-situ'!EO415</f>
        <v>0.79834636585576813</v>
      </c>
      <c r="AH332" s="110">
        <f>'Data_in-situ'!EP415</f>
        <v>3</v>
      </c>
      <c r="AI332" s="113">
        <f>'Data_in-situ'!ER415</f>
        <v>-86.747311827956878</v>
      </c>
      <c r="AJ332" s="113">
        <f>'Data_in-situ'!ES415</f>
        <v>35.741792340849045</v>
      </c>
      <c r="AK332" s="110">
        <f>'Data_in-situ'!ET415</f>
        <v>3</v>
      </c>
    </row>
    <row r="333" spans="20:37" x14ac:dyDescent="0.3">
      <c r="AF333" s="113">
        <f>'Data_in-situ'!EN416</f>
        <v>-9.4</v>
      </c>
      <c r="AG333" s="113">
        <f>'Data_in-situ'!EO416</f>
        <v>9.3000000000000007</v>
      </c>
      <c r="AH333" s="110">
        <f>'Data_in-situ'!EP416</f>
        <v>5</v>
      </c>
      <c r="AI333" s="113">
        <f>'Data_in-situ'!ER416</f>
        <v>-21.2</v>
      </c>
      <c r="AJ333" s="113">
        <f>'Data_in-situ'!ES416</f>
        <v>14.9</v>
      </c>
      <c r="AK333" s="110">
        <f>'Data_in-situ'!ET416</f>
        <v>5</v>
      </c>
    </row>
    <row r="334" spans="20:37" x14ac:dyDescent="0.3">
      <c r="AF334" s="113">
        <f>'Data_in-situ'!EN417</f>
        <v>-6.5</v>
      </c>
      <c r="AG334" s="113">
        <f>'Data_in-situ'!EO417</f>
        <v>3.5</v>
      </c>
      <c r="AH334" s="110">
        <f>'Data_in-situ'!EP417</f>
        <v>5</v>
      </c>
      <c r="AI334" s="113">
        <f>'Data_in-situ'!ER417</f>
        <v>-30.6</v>
      </c>
      <c r="AJ334" s="113">
        <f>'Data_in-situ'!ES417</f>
        <v>14.8</v>
      </c>
      <c r="AK334" s="110">
        <f>'Data_in-situ'!ET417</f>
        <v>5</v>
      </c>
    </row>
    <row r="335" spans="20:37" x14ac:dyDescent="0.3">
      <c r="AF335" s="113">
        <f>'Data_in-situ'!EN418</f>
        <v>-7.3</v>
      </c>
      <c r="AG335" s="113">
        <f>'Data_in-situ'!EO418</f>
        <v>3.6</v>
      </c>
      <c r="AH335" s="110">
        <f>'Data_in-situ'!EP418</f>
        <v>3</v>
      </c>
      <c r="AI335" s="113">
        <f>'Data_in-situ'!ER418</f>
        <v>-75.599999999999994</v>
      </c>
      <c r="AJ335" s="113">
        <f>'Data_in-situ'!ES418</f>
        <v>14.2</v>
      </c>
      <c r="AK335" s="110">
        <f>'Data_in-situ'!ET418</f>
        <v>3</v>
      </c>
    </row>
    <row r="336" spans="20:37" x14ac:dyDescent="0.3">
      <c r="AF336" s="113">
        <f>'Data_in-situ'!EN419</f>
        <v>-4.2</v>
      </c>
      <c r="AG336" s="113">
        <f>'Data_in-situ'!EO419</f>
        <v>5.2</v>
      </c>
      <c r="AH336" s="110">
        <f>'Data_in-situ'!EP419</f>
        <v>3</v>
      </c>
      <c r="AI336" s="113">
        <f>'Data_in-situ'!ER419</f>
        <v>-64.3</v>
      </c>
      <c r="AJ336" s="113">
        <f>'Data_in-situ'!ES419</f>
        <v>5.9</v>
      </c>
      <c r="AK336" s="110">
        <f>'Data_in-situ'!ET419</f>
        <v>3</v>
      </c>
    </row>
    <row r="337" spans="32:46" x14ac:dyDescent="0.3">
      <c r="AF337" s="113">
        <f>'Data_in-situ'!EN432</f>
        <v>-14.226633581472301</v>
      </c>
      <c r="AG337" s="113">
        <f>'Data_in-situ'!EO432</f>
        <v>0.84179554111043309</v>
      </c>
      <c r="AH337" s="110">
        <f>'Data_in-situ'!EP432</f>
        <v>3</v>
      </c>
      <c r="AI337" s="113">
        <f>'Data_in-situ'!ER432</f>
        <v>-56.100981767180912</v>
      </c>
      <c r="AJ337" s="113">
        <f>'Data_in-situ'!ES432</f>
        <v>3.5983168804300347</v>
      </c>
      <c r="AK337" s="110">
        <f>'Data_in-situ'!ET432</f>
        <v>3</v>
      </c>
    </row>
    <row r="338" spans="32:46" x14ac:dyDescent="0.3">
      <c r="AF338" s="113">
        <f>'Data_in-situ'!EN433</f>
        <v>-12.821300563236036</v>
      </c>
      <c r="AG338" s="113">
        <f>'Data_in-situ'!EO433</f>
        <v>0.77828981054787205</v>
      </c>
      <c r="AH338" s="110">
        <f>'Data_in-situ'!EP433</f>
        <v>3</v>
      </c>
      <c r="AI338" s="113">
        <f>'Data_in-situ'!ER433</f>
        <v>-49.305962854349943</v>
      </c>
      <c r="AJ338" s="113">
        <f>'Data_in-situ'!ES433</f>
        <v>4.302708385623629</v>
      </c>
      <c r="AK338" s="110">
        <f>'Data_in-situ'!ET433</f>
        <v>3</v>
      </c>
    </row>
    <row r="339" spans="32:46" x14ac:dyDescent="0.3">
      <c r="AF339" s="113">
        <f>'Data_in-situ'!EN439</f>
        <v>-45.3</v>
      </c>
      <c r="AG339" s="113">
        <f>'Data_in-situ'!EO439</f>
        <v>5.7157676649772942</v>
      </c>
      <c r="AH339" s="110">
        <f>'Data_in-situ'!EP439</f>
        <v>3</v>
      </c>
      <c r="AI339" s="113">
        <f>'Data_in-situ'!ER439</f>
        <v>-60.2</v>
      </c>
      <c r="AJ339" s="113">
        <f>'Data_in-situ'!ES439</f>
        <v>4.676537180435969</v>
      </c>
      <c r="AK339" s="110">
        <f>'Data_in-situ'!ET439</f>
        <v>3</v>
      </c>
    </row>
    <row r="340" spans="32:46" x14ac:dyDescent="0.3">
      <c r="AF340" s="113">
        <f>'Data_in-situ'!EN440</f>
        <v>-45.3</v>
      </c>
      <c r="AG340" s="113">
        <f>'Data_in-situ'!EO440</f>
        <v>5.7157676649772942</v>
      </c>
      <c r="AH340" s="110">
        <f>'Data_in-situ'!EP440</f>
        <v>3</v>
      </c>
      <c r="AI340" s="113">
        <f>'Data_in-situ'!ER440</f>
        <v>-27.4</v>
      </c>
      <c r="AJ340" s="113">
        <f>'Data_in-situ'!ES440</f>
        <v>4.5033320996790804</v>
      </c>
      <c r="AK340" s="110">
        <f>'Data_in-situ'!ET440</f>
        <v>3</v>
      </c>
    </row>
    <row r="341" spans="32:46" x14ac:dyDescent="0.3">
      <c r="AF341" s="113">
        <f>'Data_in-situ'!EN443</f>
        <v>-9</v>
      </c>
      <c r="AG341" s="113">
        <f>'Data_in-situ'!EO443</f>
        <v>1.9</v>
      </c>
      <c r="AH341" s="110">
        <f>'Data_in-situ'!EP443</f>
        <v>3</v>
      </c>
      <c r="AI341" s="113">
        <f>'Data_in-situ'!ER443</f>
        <v>-37.76</v>
      </c>
      <c r="AJ341" s="113">
        <f>'Data_in-situ'!ES443</f>
        <v>2.68</v>
      </c>
      <c r="AK341" s="110">
        <f>'Data_in-situ'!ET443</f>
        <v>3</v>
      </c>
    </row>
    <row r="342" spans="32:46" x14ac:dyDescent="0.3">
      <c r="AF342" s="113">
        <f>'Data_in-situ'!EN444</f>
        <v>-15</v>
      </c>
      <c r="AG342" s="113">
        <f>'Data_in-situ'!EO444</f>
        <v>13</v>
      </c>
      <c r="AH342" s="110">
        <f>'Data_in-situ'!EP444</f>
        <v>9836</v>
      </c>
      <c r="AI342" s="113">
        <f>'Data_in-situ'!ER444</f>
        <v>-55</v>
      </c>
      <c r="AJ342" s="113">
        <f>'Data_in-situ'!ES444</f>
        <v>15</v>
      </c>
      <c r="AK342" s="110">
        <f>'Data_in-situ'!ET444</f>
        <v>14736</v>
      </c>
    </row>
    <row r="343" spans="32:46" x14ac:dyDescent="0.3">
      <c r="AF343" s="113">
        <f>'Data_in-situ'!EN445</f>
        <v>6</v>
      </c>
      <c r="AG343" s="113">
        <f>'Data_in-situ'!EO445</f>
        <v>22</v>
      </c>
      <c r="AH343" s="110">
        <f>'Data_in-situ'!EP445</f>
        <v>5</v>
      </c>
      <c r="AI343" s="113">
        <f>'Data_in-situ'!ER445</f>
        <v>-39</v>
      </c>
      <c r="AJ343" s="113">
        <f>'Data_in-situ'!ES445</f>
        <v>15</v>
      </c>
      <c r="AK343" s="110">
        <f>'Data_in-situ'!ET445</f>
        <v>5</v>
      </c>
    </row>
    <row r="344" spans="32:46" x14ac:dyDescent="0.3">
      <c r="AF344" s="113">
        <f>'Data_in-situ'!EN446</f>
        <v>6</v>
      </c>
      <c r="AG344" s="113">
        <f>'Data_in-situ'!EO446</f>
        <v>22</v>
      </c>
      <c r="AH344" s="110">
        <f>'Data_in-situ'!EP446</f>
        <v>5</v>
      </c>
      <c r="AI344" s="113">
        <f>'Data_in-situ'!ER446</f>
        <v>-21</v>
      </c>
      <c r="AJ344" s="113">
        <f>'Data_in-situ'!ES446</f>
        <v>18</v>
      </c>
      <c r="AK344" s="110">
        <f>'Data_in-situ'!ET446</f>
        <v>5</v>
      </c>
    </row>
    <row r="345" spans="32:46" x14ac:dyDescent="0.3">
      <c r="AF345" s="113">
        <f>'Data_in-situ'!EN447</f>
        <v>-17.3</v>
      </c>
      <c r="AG345" s="113">
        <f>'Data_in-situ'!EO447</f>
        <v>2.2516660498395402</v>
      </c>
      <c r="AH345" s="110">
        <f>'Data_in-situ'!EP447</f>
        <v>3</v>
      </c>
      <c r="AI345" s="113">
        <f>'Data_in-situ'!ER447</f>
        <v>-21.9</v>
      </c>
      <c r="AJ345" s="113">
        <f>'Data_in-situ'!ES447</f>
        <v>3.4641016151377544</v>
      </c>
      <c r="AK345" s="110">
        <f>'Data_in-situ'!ET447</f>
        <v>3</v>
      </c>
    </row>
    <row r="346" spans="32:46" x14ac:dyDescent="0.3">
      <c r="AF346" s="113">
        <f>'Data_in-situ'!EN448</f>
        <v>-6</v>
      </c>
      <c r="AG346" s="113">
        <f>'Data_in-situ'!EO448</f>
        <v>-3</v>
      </c>
      <c r="AH346" s="110">
        <f>'Data_in-situ'!EP448</f>
        <v>3</v>
      </c>
      <c r="AI346" s="113">
        <f>'Data_in-situ'!ER448</f>
        <v>-21.8</v>
      </c>
      <c r="AJ346" s="113">
        <f>'Data_in-situ'!ES448</f>
        <v>6.5</v>
      </c>
      <c r="AK346" s="110">
        <f>'Data_in-situ'!ET448</f>
        <v>3</v>
      </c>
    </row>
    <row r="347" spans="32:46" x14ac:dyDescent="0.3">
      <c r="AF347" s="113">
        <f>'Data_in-situ'!EN449</f>
        <v>-7</v>
      </c>
      <c r="AG347" s="113">
        <f>'Data_in-situ'!EO449</f>
        <v>4</v>
      </c>
      <c r="AH347" s="110">
        <f>'Data_in-situ'!EP449</f>
        <v>3</v>
      </c>
      <c r="AI347" s="113">
        <f>'Data_in-situ'!ER449</f>
        <v>-22.6</v>
      </c>
      <c r="AJ347" s="113">
        <f>'Data_in-situ'!ES449</f>
        <v>5.6</v>
      </c>
      <c r="AK347" s="110">
        <f>'Data_in-situ'!ET449</f>
        <v>3</v>
      </c>
    </row>
    <row r="348" spans="32:46" x14ac:dyDescent="0.3">
      <c r="AF348" s="113">
        <f>'Data_in-situ'!EN450</f>
        <v>-22</v>
      </c>
      <c r="AG348" s="113">
        <f>'Data_in-situ'!EO450</f>
        <v>8.964920772528453</v>
      </c>
      <c r="AH348" s="110">
        <f>'Data_in-situ'!EP450</f>
        <v>1</v>
      </c>
      <c r="AI348" s="113">
        <f>'Data_in-situ'!ER450</f>
        <v>-77</v>
      </c>
      <c r="AJ348" s="113">
        <f>'Data_in-situ'!ES450</f>
        <v>17.46468212020795</v>
      </c>
      <c r="AK348" s="110">
        <f>'Data_in-situ'!ET450</f>
        <v>1</v>
      </c>
    </row>
    <row r="349" spans="32:46" x14ac:dyDescent="0.3">
      <c r="AF349" s="113">
        <f>'Data_in-situ'!EN451</f>
        <v>-17</v>
      </c>
      <c r="AG349" s="113">
        <f>'Data_in-situ'!EO451</f>
        <v>6.9274387787719869</v>
      </c>
      <c r="AH349" s="110">
        <f>'Data_in-situ'!EP451</f>
        <v>1</v>
      </c>
      <c r="AI349" s="113">
        <f>'Data_in-situ'!ER451</f>
        <v>-73</v>
      </c>
      <c r="AJ349" s="113">
        <f>'Data_in-situ'!ES451</f>
        <v>16.557425906171176</v>
      </c>
      <c r="AK349" s="110">
        <f>'Data_in-situ'!ET451</f>
        <v>1</v>
      </c>
    </row>
    <row r="350" spans="32:46" x14ac:dyDescent="0.3">
      <c r="AF350" s="113">
        <f>'Data_in-situ'!EN452</f>
        <v>-11</v>
      </c>
      <c r="AG350" s="113">
        <f>'Data_in-situ'!EO452</f>
        <v>4.4824603862642265</v>
      </c>
      <c r="AH350" s="110">
        <f>'Data_in-situ'!EP452</f>
        <v>1</v>
      </c>
      <c r="AI350" s="113">
        <f>'Data_in-situ'!ER452</f>
        <v>-59</v>
      </c>
      <c r="AJ350" s="113">
        <f>'Data_in-situ'!ES452</f>
        <v>13.382029157042457</v>
      </c>
      <c r="AK350" s="110">
        <f>'Data_in-situ'!ET452</f>
        <v>1</v>
      </c>
    </row>
    <row r="351" spans="32:46" x14ac:dyDescent="0.3">
      <c r="AF351" s="113">
        <f>'Data_in-situ'!EN453</f>
        <v>10</v>
      </c>
      <c r="AG351" s="113">
        <f>'Data_in-situ'!EO453</f>
        <v>4.0749639875129331</v>
      </c>
      <c r="AH351" s="110">
        <f>'Data_in-situ'!EP453</f>
        <v>1</v>
      </c>
      <c r="AI351" s="113">
        <f>'Data_in-situ'!ER453</f>
        <v>-45</v>
      </c>
      <c r="AJ351" s="113">
        <f>'Data_in-situ'!ES453</f>
        <v>10.206632407913737</v>
      </c>
      <c r="AK351" s="110">
        <f>'Data_in-situ'!ET453</f>
        <v>1</v>
      </c>
    </row>
    <row r="352" spans="32:46" x14ac:dyDescent="0.3">
      <c r="AF352" s="113">
        <f>'Data_in-situ'!EN454</f>
        <v>-5.6149732620320822</v>
      </c>
      <c r="AG352" s="113">
        <f>'Data_in-situ'!EO454</f>
        <v>0.89761221109140865</v>
      </c>
      <c r="AH352" s="110">
        <f>'Data_in-situ'!EP454</f>
        <v>3</v>
      </c>
      <c r="AI352" s="113">
        <f>'Data_in-situ'!ER454</f>
        <v>-132.2570532915361</v>
      </c>
      <c r="AJ352" s="113">
        <f>'Data_in-situ'!ES454</f>
        <v>8.6718103212007449</v>
      </c>
      <c r="AK352" s="110">
        <f>'Data_in-situ'!ET454</f>
        <v>3</v>
      </c>
      <c r="AN352" s="110" t="s">
        <v>1044</v>
      </c>
      <c r="AQ352" s="110" t="s">
        <v>1045</v>
      </c>
      <c r="AT352" s="110" t="s">
        <v>1046</v>
      </c>
    </row>
    <row r="353" spans="1:48" x14ac:dyDescent="0.3">
      <c r="AF353" s="113">
        <f>'Data_in-situ'!EN455</f>
        <v>-5.6149732620320822</v>
      </c>
      <c r="AG353" s="113">
        <f>'Data_in-situ'!EO455</f>
        <v>0.89761221109140865</v>
      </c>
      <c r="AH353" s="110">
        <f>'Data_in-situ'!EP455</f>
        <v>3</v>
      </c>
      <c r="AI353" s="113">
        <f>'Data_in-situ'!ER455</f>
        <v>-65.23510971786834</v>
      </c>
      <c r="AJ353" s="113">
        <f>'Data_in-situ'!ES455</f>
        <v>10.177520442006553</v>
      </c>
      <c r="AK353" s="110">
        <f>'Data_in-situ'!ET455</f>
        <v>3</v>
      </c>
      <c r="AN353" s="25" t="s">
        <v>831</v>
      </c>
      <c r="AO353" s="25" t="s">
        <v>873</v>
      </c>
      <c r="AP353" s="112" t="s">
        <v>839</v>
      </c>
      <c r="AQ353" s="25" t="s">
        <v>831</v>
      </c>
      <c r="AR353" s="25" t="s">
        <v>873</v>
      </c>
      <c r="AS353" s="112" t="s">
        <v>839</v>
      </c>
      <c r="AT353" s="25" t="s">
        <v>831</v>
      </c>
      <c r="AU353" s="25" t="s">
        <v>873</v>
      </c>
      <c r="AV353" s="112" t="s">
        <v>839</v>
      </c>
    </row>
    <row r="354" spans="1:48" x14ac:dyDescent="0.3">
      <c r="AF354" s="113">
        <f>'Data_in-situ'!EN456</f>
        <v>-7.6</v>
      </c>
      <c r="AG354" s="113">
        <f>'Data_in-situ'!EO456</f>
        <v>3.0969726305098293</v>
      </c>
      <c r="AH354" s="110">
        <f>'Data_in-situ'!EP456</f>
        <v>1</v>
      </c>
      <c r="AI354" s="113">
        <f>'Data_in-situ'!ER456</f>
        <v>-20.2</v>
      </c>
      <c r="AJ354" s="113">
        <f>'Data_in-situ'!ES456</f>
        <v>4.5816438808857223</v>
      </c>
      <c r="AK354" s="110">
        <f>'Data_in-situ'!ET456</f>
        <v>1</v>
      </c>
      <c r="AM354" s="110" t="s">
        <v>1043</v>
      </c>
      <c r="AN354" s="25">
        <f t="shared" ref="AN354:AP354" si="0">N361</f>
        <v>-1619.6314496045827</v>
      </c>
      <c r="AO354" s="25">
        <f t="shared" si="0"/>
        <v>1013.867252321945</v>
      </c>
      <c r="AP354" s="26">
        <f t="shared" si="0"/>
        <v>142</v>
      </c>
      <c r="AQ354" s="25">
        <f>T361*34</f>
        <v>5804.3169411621702</v>
      </c>
      <c r="AR354" s="25">
        <f>U361*34</f>
        <v>606.28593424633584</v>
      </c>
      <c r="AS354" s="26">
        <f t="shared" ref="AS354" si="1">V361</f>
        <v>306</v>
      </c>
      <c r="AT354" s="25">
        <f>Z361*298</f>
        <v>204.99193326054109</v>
      </c>
      <c r="AU354" s="25">
        <f>AA361*298</f>
        <v>40.554944256878009</v>
      </c>
      <c r="AV354" s="26">
        <f t="shared" ref="AV354" si="2">AB361</f>
        <v>134</v>
      </c>
    </row>
    <row r="355" spans="1:48" x14ac:dyDescent="0.3">
      <c r="AF355" s="113">
        <f>'Data_in-situ'!EN457</f>
        <v>-2.4</v>
      </c>
      <c r="AG355" s="113">
        <f>'Data_in-situ'!EO457</f>
        <v>0.97799135700310402</v>
      </c>
      <c r="AH355" s="110">
        <f>'Data_in-situ'!EP457</f>
        <v>1</v>
      </c>
      <c r="AI355" s="113">
        <f>'Data_in-situ'!ER457</f>
        <v>-23.2</v>
      </c>
      <c r="AJ355" s="113">
        <f>'Data_in-situ'!ES457</f>
        <v>5.2620860414133048</v>
      </c>
      <c r="AK355" s="110">
        <f>'Data_in-situ'!ET457</f>
        <v>1</v>
      </c>
      <c r="AM355" s="111" t="s">
        <v>1047</v>
      </c>
    </row>
    <row r="356" spans="1:48" x14ac:dyDescent="0.3">
      <c r="AF356" s="113">
        <f>'Data_in-situ'!EN458</f>
        <v>-4.8</v>
      </c>
      <c r="AG356" s="113">
        <f>'Data_in-situ'!EO458</f>
        <v>1.955982714006208</v>
      </c>
      <c r="AH356" s="110">
        <f>'Data_in-situ'!EP458</f>
        <v>1</v>
      </c>
      <c r="AI356" s="113">
        <f>'Data_in-situ'!ER458</f>
        <v>-19</v>
      </c>
      <c r="AJ356" s="113">
        <f>'Data_in-situ'!ES458</f>
        <v>4.3094670166746889</v>
      </c>
      <c r="AK356" s="110">
        <f>'Data_in-situ'!ET458</f>
        <v>1</v>
      </c>
      <c r="AM356" s="111" t="s">
        <v>972</v>
      </c>
    </row>
    <row r="357" spans="1:48" x14ac:dyDescent="0.3">
      <c r="AF357" s="113">
        <f>'Data_in-situ'!EN459</f>
        <v>-7.6</v>
      </c>
      <c r="AG357" s="113">
        <f>'Data_in-situ'!EO459</f>
        <v>3.0969726305098293</v>
      </c>
      <c r="AH357" s="110">
        <f>'Data_in-situ'!EP459</f>
        <v>1</v>
      </c>
      <c r="AI357" s="113">
        <f>'Data_in-situ'!ER459</f>
        <v>-66.400000000000006</v>
      </c>
      <c r="AJ357" s="113">
        <f>'Data_in-situ'!ES459</f>
        <v>15.060453153010494</v>
      </c>
      <c r="AK357" s="110">
        <f>'Data_in-situ'!ET459</f>
        <v>1</v>
      </c>
      <c r="AM357" s="111" t="s">
        <v>535</v>
      </c>
    </row>
    <row r="358" spans="1:48" x14ac:dyDescent="0.3">
      <c r="AF358" s="113">
        <f>'Data_in-situ'!EN460</f>
        <v>-2.4</v>
      </c>
      <c r="AG358" s="113">
        <f>'Data_in-situ'!EO460</f>
        <v>0.97799135700310402</v>
      </c>
      <c r="AH358" s="110">
        <f>'Data_in-situ'!EP460</f>
        <v>1</v>
      </c>
      <c r="AI358" s="113">
        <f>'Data_in-situ'!ER460</f>
        <v>-61.5</v>
      </c>
      <c r="AJ358" s="113">
        <f>'Data_in-situ'!ES460</f>
        <v>13.949064290815441</v>
      </c>
      <c r="AK358" s="110">
        <f>'Data_in-situ'!ET460</f>
        <v>1</v>
      </c>
      <c r="AM358" s="111" t="s">
        <v>1048</v>
      </c>
    </row>
    <row r="359" spans="1:48" x14ac:dyDescent="0.3">
      <c r="AF359" s="113">
        <f>'Data_in-situ'!EN461</f>
        <v>-4.8</v>
      </c>
      <c r="AG359" s="113">
        <f>'Data_in-situ'!EO461</f>
        <v>1.955982714006208</v>
      </c>
      <c r="AH359" s="110">
        <f>'Data_in-situ'!EP461</f>
        <v>1</v>
      </c>
      <c r="AI359" s="113">
        <f>'Data_in-situ'!ER461</f>
        <v>-58.5</v>
      </c>
      <c r="AJ359" s="113">
        <f>'Data_in-situ'!ES461</f>
        <v>13.268622130287859</v>
      </c>
      <c r="AK359" s="110">
        <f>'Data_in-situ'!ET461</f>
        <v>1</v>
      </c>
      <c r="AM359" s="111" t="s">
        <v>1049</v>
      </c>
    </row>
    <row r="361" spans="1:48" x14ac:dyDescent="0.3">
      <c r="A361" s="110" t="s">
        <v>831</v>
      </c>
      <c r="B361" s="24">
        <f>AVERAGEA(B6:B359)</f>
        <v>-27215.716017267747</v>
      </c>
      <c r="C361" s="24">
        <f>STDEVA(B6:B359)/SQRT(COUNT(B6:B359))</f>
        <v>4027.8286434299625</v>
      </c>
      <c r="D361" s="46">
        <f>COUNT(B6:B359)</f>
        <v>98</v>
      </c>
      <c r="E361" s="24">
        <f>AVERAGEA(E6:E359)</f>
        <v>-26828.662916407982</v>
      </c>
      <c r="F361" s="24">
        <f>STDEVA(E6:E359)/SQRT(COUNT(E6:E359))</f>
        <v>4276.7929673849721</v>
      </c>
      <c r="G361" s="46">
        <f>COUNT(E6:E359)</f>
        <v>98</v>
      </c>
      <c r="H361" s="24">
        <f>AVERAGEA(H6:H359)</f>
        <v>24754.940429896938</v>
      </c>
      <c r="I361" s="24">
        <f>STDEVA(H6:H359)/SQRT(COUNT(H6:H359))</f>
        <v>3731.1170695519349</v>
      </c>
      <c r="J361" s="46">
        <f>COUNT(H6:H359)</f>
        <v>98</v>
      </c>
      <c r="K361" s="24">
        <f>AVERAGEA(K6:K359)</f>
        <v>29716.932638926071</v>
      </c>
      <c r="L361" s="24">
        <f>STDEVA(K6:K359)/SQRT(COUNT(K6:K359))</f>
        <v>4171.8466074434882</v>
      </c>
      <c r="M361" s="46">
        <f>COUNT(K6:K359)</f>
        <v>98</v>
      </c>
      <c r="N361" s="24">
        <f>AVERAGEA(N6:N359)</f>
        <v>-1619.6314496045827</v>
      </c>
      <c r="O361" s="24">
        <f>STDEVA(N6:N359)/SQRT(COUNT(N6:N359))</f>
        <v>1013.867252321945</v>
      </c>
      <c r="P361" s="46">
        <f>COUNT(N6:N359)</f>
        <v>142</v>
      </c>
      <c r="Q361" s="24">
        <f>AVERAGEA(Q6:Q359)</f>
        <v>3412.0332805061421</v>
      </c>
      <c r="R361" s="24">
        <f>STDEVA(Q6:Q359)/SQRT(COUNT(Q6:Q359))</f>
        <v>1007.0823900043322</v>
      </c>
      <c r="S361" s="46">
        <f>COUNT(Q6:Q359)</f>
        <v>142</v>
      </c>
      <c r="T361" s="113">
        <f>AVERAGEA(T6:T359)</f>
        <v>170.71520415182854</v>
      </c>
      <c r="U361" s="113">
        <f>STDEVA(T6:T359)/SQRT(COUNT(T6:T359))</f>
        <v>17.831939242539288</v>
      </c>
      <c r="V361" s="46">
        <f>COUNT(T6:T359)</f>
        <v>306</v>
      </c>
      <c r="W361" s="113">
        <f>AVERAGEA(W6:W359)</f>
        <v>25.478411743645932</v>
      </c>
      <c r="X361" s="113">
        <f>STDEVA(W6:W359)/SQRT(COUNT(W6:W359))</f>
        <v>5.2384316402338014</v>
      </c>
      <c r="Y361" s="46">
        <f>COUNT(W6:W359)</f>
        <v>306</v>
      </c>
      <c r="Z361" s="113">
        <f>AVERAGEA(Z6:Z359)</f>
        <v>0.68789239349174858</v>
      </c>
      <c r="AA361" s="113">
        <f>STDEVA(Z6:Z359)/SQRT(COUNT(Z6:Z359))</f>
        <v>0.13609041696938928</v>
      </c>
      <c r="AB361" s="46">
        <f>COUNT(Z6:Z359)</f>
        <v>134</v>
      </c>
      <c r="AC361" s="113">
        <f>AVERAGEA(AC6:AC359)</f>
        <v>3.6343001263635073</v>
      </c>
      <c r="AD361" s="113">
        <f>STDEVA(AC6:AC359)/SQRT(COUNT(AC6:AC359))</f>
        <v>0.58972249606893834</v>
      </c>
      <c r="AE361" s="46">
        <f>COUNT(AC6:AC359)</f>
        <v>134</v>
      </c>
      <c r="AF361" s="113">
        <f>AVERAGEA(AF6:AF359)</f>
        <v>-15.96074645101177</v>
      </c>
      <c r="AG361" s="113">
        <f>STDEVA(AF6:AF359)/SQRT(COUNT(AF6:AF359))</f>
        <v>1.1657720367526465</v>
      </c>
      <c r="AH361" s="46">
        <f>COUNT(AF6:AF359)</f>
        <v>354</v>
      </c>
      <c r="AI361" s="113">
        <f>AVERAGEA(AI6:AI359)</f>
        <v>-46.504989067814748</v>
      </c>
      <c r="AJ361" s="113">
        <f>STDEVA(AI6:AI359)/SQRT(COUNT(AI6:AI359))</f>
        <v>1.726452467056723</v>
      </c>
      <c r="AK361" s="46">
        <f>COUNT(AI6:AI359)</f>
        <v>354</v>
      </c>
    </row>
    <row r="363" spans="1:48" ht="15.6" x14ac:dyDescent="0.3">
      <c r="A363" s="16" t="s">
        <v>119</v>
      </c>
      <c r="B363" s="24">
        <f>'Data_in-situ'!CA418</f>
        <v>-31496.666666666664</v>
      </c>
      <c r="C363" s="24">
        <f>'Data_in-situ'!CB418</f>
        <v>7679.2168068996079</v>
      </c>
      <c r="D363" s="46">
        <f>'Data_in-situ'!CC418</f>
        <v>1</v>
      </c>
      <c r="E363" s="24">
        <f>'Data_in-situ'!CE418</f>
        <v>-47703.333333333328</v>
      </c>
      <c r="F363" s="24">
        <f>'Data_in-situ'!CF418</f>
        <v>17758.476797350639</v>
      </c>
      <c r="G363" s="46">
        <f>'Data_in-situ'!CG418</f>
        <v>1</v>
      </c>
      <c r="H363" s="24">
        <f>'Data_in-situ'!CN418</f>
        <v>24456.666666666664</v>
      </c>
      <c r="I363" s="24">
        <f>'Data_in-situ'!CO418</f>
        <v>7034.4052326727378</v>
      </c>
      <c r="J363" s="46">
        <f>'Data_in-situ'!CP418</f>
        <v>1</v>
      </c>
      <c r="K363" s="24">
        <f>'Data_in-situ'!CR418</f>
        <v>44476.666666666672</v>
      </c>
      <c r="L363" s="24">
        <f>'Data_in-situ'!CS418</f>
        <v>11670.284603796765</v>
      </c>
      <c r="M363" s="46">
        <f>'Data_in-situ'!CT418</f>
        <v>1</v>
      </c>
      <c r="N363" s="24">
        <f>'Data_in-situ'!DA150</f>
        <v>-77.5</v>
      </c>
      <c r="O363" s="24">
        <f>'Data_in-situ'!DB150</f>
        <v>262.39283526803854</v>
      </c>
      <c r="P363" s="46">
        <f>'Data_in-situ'!DC150</f>
        <v>16</v>
      </c>
      <c r="Q363" s="24">
        <f>'Data_in-situ'!DE150</f>
        <v>1700</v>
      </c>
      <c r="R363" s="24">
        <f>'Data_in-situ'!DF150</f>
        <v>2340</v>
      </c>
      <c r="S363" s="46">
        <f>'Data_in-situ'!DG150</f>
        <v>3</v>
      </c>
      <c r="Z363" s="113">
        <f>'Data_in-situ'!EA112</f>
        <v>1.8193831442341308</v>
      </c>
      <c r="AA363" s="113">
        <f>'Data_in-situ'!EB112</f>
        <v>10.461411201308758</v>
      </c>
      <c r="AB363" s="46">
        <f>'Data_in-situ'!EC112</f>
        <v>3</v>
      </c>
      <c r="AC363" s="113">
        <f>'Data_in-situ'!EE112</f>
        <v>1.4382096725045124</v>
      </c>
      <c r="AD363" s="113">
        <f>'Data_in-situ'!EF112</f>
        <v>2.1474475011123628</v>
      </c>
      <c r="AE363" s="46">
        <f>'Data_in-situ'!EG112</f>
        <v>3</v>
      </c>
      <c r="AF363" s="113">
        <f>'Data_in-situ'!EN112</f>
        <v>22</v>
      </c>
      <c r="AG363" s="113">
        <f>'Data_in-situ'!EO112</f>
        <v>8.964920772528453</v>
      </c>
      <c r="AH363" s="110">
        <f>'Data_in-situ'!EP112</f>
        <v>3</v>
      </c>
      <c r="AI363" s="113">
        <f>'Data_in-situ'!ER112</f>
        <v>-35</v>
      </c>
      <c r="AJ363" s="113">
        <f>'Data_in-situ'!ES112</f>
        <v>7.9384918728217961</v>
      </c>
      <c r="AK363" s="110">
        <f>'Data_in-situ'!ET112</f>
        <v>3</v>
      </c>
    </row>
    <row r="364" spans="1:48" x14ac:dyDescent="0.3">
      <c r="B364" s="24">
        <f>'Data_in-situ'!CA419</f>
        <v>-30323.333333333336</v>
      </c>
      <c r="C364" s="24">
        <f>'Data_in-situ'!CB419</f>
        <v>7393.145866479601</v>
      </c>
      <c r="D364" s="46">
        <f>'Data_in-situ'!CC419</f>
        <v>1</v>
      </c>
      <c r="E364" s="24">
        <f>'Data_in-situ'!CE419</f>
        <v>-45173.333333333328</v>
      </c>
      <c r="F364" s="24">
        <f>'Data_in-situ'!CF419</f>
        <v>16816.635983348184</v>
      </c>
      <c r="G364" s="46">
        <f>'Data_in-situ'!CG419</f>
        <v>1</v>
      </c>
      <c r="H364" s="24">
        <f>'Data_in-situ'!CN419</f>
        <v>22513.333333333336</v>
      </c>
      <c r="I364" s="24">
        <f>'Data_in-situ'!CO419</f>
        <v>6475.4494945443212</v>
      </c>
      <c r="J364" s="46">
        <f>'Data_in-situ'!CP419</f>
        <v>1</v>
      </c>
      <c r="K364" s="24">
        <f>'Data_in-situ'!CR419</f>
        <v>43303.333333333328</v>
      </c>
      <c r="L364" s="24">
        <f>'Data_in-situ'!CS419</f>
        <v>11362.412297678464</v>
      </c>
      <c r="M364" s="46">
        <f>'Data_in-situ'!CT419</f>
        <v>1</v>
      </c>
      <c r="N364" s="24">
        <f>'Data_in-situ'!DA226</f>
        <v>-4000</v>
      </c>
      <c r="O364" s="24">
        <f>'Data_in-situ'!DB226</f>
        <v>11998.626234744846</v>
      </c>
      <c r="P364" s="46">
        <f>'Data_in-situ'!DC226</f>
        <v>4</v>
      </c>
      <c r="Q364" s="24">
        <f>'Data_in-situ'!DE226</f>
        <v>2600</v>
      </c>
      <c r="R364" s="24">
        <f>'Data_in-situ'!DF226</f>
        <v>2478.1712651793655</v>
      </c>
      <c r="S364" s="46">
        <f>'Data_in-situ'!DG226</f>
        <v>4</v>
      </c>
      <c r="Z364" s="113">
        <f>'Data_in-situ'!EA113</f>
        <v>1.1072245992053424</v>
      </c>
      <c r="AA364" s="113">
        <f>'Data_in-situ'!EB113</f>
        <v>6.3665159596536158</v>
      </c>
      <c r="AB364" s="46">
        <f>'Data_in-situ'!EC113</f>
        <v>3</v>
      </c>
      <c r="AC364" s="113">
        <f>'Data_in-situ'!EE113</f>
        <v>6.6685966855719432</v>
      </c>
      <c r="AD364" s="113">
        <f>'Data_in-situ'!EF113</f>
        <v>9.9571443316883439</v>
      </c>
      <c r="AE364" s="46">
        <f>'Data_in-situ'!EG113</f>
        <v>3</v>
      </c>
      <c r="AF364" s="113">
        <f>'Data_in-situ'!EN113</f>
        <v>18</v>
      </c>
      <c r="AG364" s="113">
        <f>'Data_in-situ'!EO113</f>
        <v>7.3349351775232803</v>
      </c>
      <c r="AH364" s="110">
        <f>'Data_in-situ'!EP113</f>
        <v>3</v>
      </c>
      <c r="AI364" s="113">
        <f>'Data_in-situ'!ER113</f>
        <v>-25</v>
      </c>
      <c r="AJ364" s="113">
        <f>'Data_in-situ'!ES113</f>
        <v>5.670351337729854</v>
      </c>
      <c r="AK364" s="110">
        <f>'Data_in-situ'!ET113</f>
        <v>3</v>
      </c>
    </row>
    <row r="365" spans="1:48" x14ac:dyDescent="0.3">
      <c r="B365" s="24">
        <f>'Data_in-situ'!CA469</f>
        <v>-21404.3</v>
      </c>
      <c r="C365" s="24">
        <f>'Data_in-situ'!CB469</f>
        <v>5218.5922415045388</v>
      </c>
      <c r="D365" s="46">
        <f>'Data_in-situ'!CC469</f>
        <v>1</v>
      </c>
      <c r="E365" s="24">
        <f>'Data_in-situ'!CE469</f>
        <v>-19205.5</v>
      </c>
      <c r="F365" s="24">
        <f>'Data_in-situ'!CF469</f>
        <v>7149.6141317486772</v>
      </c>
      <c r="G365" s="46">
        <f>'Data_in-situ'!CG469</f>
        <v>1</v>
      </c>
      <c r="H365" s="24">
        <f>'Data_in-situ'!CN469</f>
        <v>15413.8</v>
      </c>
      <c r="I365" s="24">
        <f>'Data_in-situ'!CO469</f>
        <v>4433.4298231717758</v>
      </c>
      <c r="J365" s="46">
        <f>'Data_in-situ'!CP469</f>
        <v>1</v>
      </c>
      <c r="K365" s="24">
        <f>'Data_in-situ'!CR469</f>
        <v>13847.5</v>
      </c>
      <c r="L365" s="24">
        <f>'Data_in-situ'!CS469</f>
        <v>3633.4617263975647</v>
      </c>
      <c r="M365" s="46">
        <f>'Data_in-situ'!CT469</f>
        <v>1</v>
      </c>
      <c r="N365" s="24">
        <f>'Data_in-situ'!DA227</f>
        <v>-2700</v>
      </c>
      <c r="O365" s="24">
        <f>'Data_in-situ'!DB227</f>
        <v>8099.0727084527707</v>
      </c>
      <c r="P365" s="46">
        <f>'Data_in-situ'!DC227</f>
        <v>4</v>
      </c>
      <c r="Q365" s="24">
        <f>'Data_in-situ'!DE227</f>
        <v>3900</v>
      </c>
      <c r="R365" s="24">
        <f>'Data_in-situ'!DF227</f>
        <v>3717.256897769048</v>
      </c>
      <c r="S365" s="46">
        <f>'Data_in-situ'!DG227</f>
        <v>4</v>
      </c>
      <c r="Z365" s="113">
        <f>'Data_in-situ'!EA114</f>
        <v>0.53231951884872231</v>
      </c>
      <c r="AA365" s="113">
        <f>'Data_in-situ'!EB114</f>
        <v>3.0608249806026997</v>
      </c>
      <c r="AB365" s="46">
        <f>'Data_in-situ'!EC114</f>
        <v>3</v>
      </c>
      <c r="AC365" s="113">
        <f>'Data_in-situ'!EE114</f>
        <v>2.1039743148589367</v>
      </c>
      <c r="AD365" s="113">
        <f>'Data_in-situ'!EF114</f>
        <v>3.141526907533883</v>
      </c>
      <c r="AE365" s="46">
        <f>'Data_in-situ'!EG114</f>
        <v>3</v>
      </c>
      <c r="AF365" s="113">
        <f>'Data_in-situ'!EN114</f>
        <v>14</v>
      </c>
      <c r="AG365" s="113">
        <f>'Data_in-situ'!EO114</f>
        <v>5.7049495825181067</v>
      </c>
      <c r="AH365" s="110">
        <f>'Data_in-situ'!EP114</f>
        <v>3</v>
      </c>
      <c r="AI365" s="113">
        <f>'Data_in-situ'!ER114</f>
        <v>-31</v>
      </c>
      <c r="AJ365" s="113">
        <f>'Data_in-situ'!ES114</f>
        <v>7.0312356587850191</v>
      </c>
      <c r="AK365" s="110">
        <f>'Data_in-situ'!ET114</f>
        <v>3</v>
      </c>
    </row>
    <row r="366" spans="1:48" x14ac:dyDescent="0.3">
      <c r="N366" s="24">
        <f>'Data_in-situ'!DA228</f>
        <v>-2400</v>
      </c>
      <c r="O366" s="24">
        <f>'Data_in-situ'!DB228</f>
        <v>7199.1757408469075</v>
      </c>
      <c r="P366" s="46">
        <f>'Data_in-situ'!DC228</f>
        <v>4</v>
      </c>
      <c r="Q366" s="24">
        <f>'Data_in-situ'!DE228</f>
        <v>4200</v>
      </c>
      <c r="R366" s="24">
        <f>'Data_in-situ'!DF228</f>
        <v>4003.1997360589748</v>
      </c>
      <c r="S366" s="46">
        <f>'Data_in-situ'!DG228</f>
        <v>4</v>
      </c>
      <c r="Z366" s="113">
        <f>'Data_in-situ'!EA115</f>
        <v>0.58480172493239913</v>
      </c>
      <c r="AA366" s="113">
        <f>'Data_in-situ'!EB115</f>
        <v>3.3625964575635288</v>
      </c>
      <c r="AB366" s="46">
        <f>'Data_in-situ'!EC115</f>
        <v>3</v>
      </c>
      <c r="AC366" s="113">
        <f>'Data_in-situ'!EE115</f>
        <v>2.8250547138481497</v>
      </c>
      <c r="AD366" s="113">
        <f>'Data_in-situ'!EF115</f>
        <v>4.2182004486135707</v>
      </c>
      <c r="AE366" s="46">
        <f>'Data_in-situ'!EG115</f>
        <v>3</v>
      </c>
      <c r="AF366" s="113">
        <f>'Data_in-situ'!EN115</f>
        <v>8</v>
      </c>
      <c r="AG366" s="113">
        <f>'Data_in-situ'!EO115</f>
        <v>3.2599711900103467</v>
      </c>
      <c r="AH366" s="110">
        <f>'Data_in-situ'!EP115</f>
        <v>3</v>
      </c>
      <c r="AI366" s="113">
        <f>'Data_in-situ'!ER115</f>
        <v>-30</v>
      </c>
      <c r="AJ366" s="113">
        <f>'Data_in-situ'!ES115</f>
        <v>6.8044216052758255</v>
      </c>
      <c r="AK366" s="110">
        <f>'Data_in-situ'!ET115</f>
        <v>3</v>
      </c>
    </row>
    <row r="367" spans="1:48" x14ac:dyDescent="0.3">
      <c r="N367" s="24">
        <f>'Data_in-situ'!DA229</f>
        <v>-2700</v>
      </c>
      <c r="O367" s="24">
        <f>'Data_in-situ'!DB229</f>
        <v>8099.0727084527707</v>
      </c>
      <c r="P367" s="46">
        <f>'Data_in-situ'!DC229</f>
        <v>4</v>
      </c>
      <c r="Q367" s="24">
        <f>'Data_in-situ'!DE229</f>
        <v>5300</v>
      </c>
      <c r="R367" s="24">
        <f>'Data_in-situ'!DF229</f>
        <v>5051.6568097887066</v>
      </c>
      <c r="S367" s="46">
        <f>'Data_in-situ'!DG229</f>
        <v>4</v>
      </c>
      <c r="Z367" s="113">
        <f>'Data_in-situ'!EA116</f>
        <v>7.2261696923095198E-2</v>
      </c>
      <c r="AA367" s="113">
        <f>'Data_in-situ'!EB116</f>
        <v>0.41550309400885854</v>
      </c>
      <c r="AB367" s="46">
        <f>'Data_in-situ'!EC116</f>
        <v>3</v>
      </c>
      <c r="AC367" s="113">
        <f>'Data_in-situ'!EE116</f>
        <v>1.5614749500456337</v>
      </c>
      <c r="AD367" s="113">
        <f>'Data_in-situ'!EF116</f>
        <v>2.3314997414012506</v>
      </c>
      <c r="AE367" s="46">
        <f>'Data_in-situ'!EG116</f>
        <v>3</v>
      </c>
      <c r="AF367" s="113">
        <f>'Data_in-situ'!EN116</f>
        <v>55</v>
      </c>
      <c r="AG367" s="113">
        <f>'Data_in-situ'!EO116</f>
        <v>22.412301931321135</v>
      </c>
      <c r="AH367" s="110">
        <f>'Data_in-situ'!EP116</f>
        <v>3</v>
      </c>
      <c r="AI367" s="113">
        <f>'Data_in-situ'!ER116</f>
        <v>-30</v>
      </c>
      <c r="AJ367" s="113">
        <f>'Data_in-situ'!ES116</f>
        <v>6.8044216052758255</v>
      </c>
      <c r="AK367" s="110">
        <f>'Data_in-situ'!ET116</f>
        <v>3</v>
      </c>
    </row>
    <row r="368" spans="1:48" x14ac:dyDescent="0.3">
      <c r="N368" s="24">
        <f>'Data_in-situ'!DA230</f>
        <v>-2850</v>
      </c>
      <c r="O368" s="24">
        <f>'Data_in-situ'!DB230</f>
        <v>8549.0211922557028</v>
      </c>
      <c r="P368" s="46">
        <f>'Data_in-situ'!DC230</f>
        <v>4</v>
      </c>
      <c r="Q368" s="24">
        <f>'Data_in-situ'!DE230</f>
        <v>5150</v>
      </c>
      <c r="R368" s="24">
        <f>'Data_in-situ'!DF230</f>
        <v>4908.6853906437427</v>
      </c>
      <c r="S368" s="46">
        <f>'Data_in-situ'!DG230</f>
        <v>4</v>
      </c>
      <c r="Z368" s="113">
        <f>'Data_in-situ'!EA117</f>
        <v>1.0679983859531741</v>
      </c>
      <c r="AA368" s="113">
        <f>'Data_in-situ'!EB117</f>
        <v>6.1409661363513326</v>
      </c>
      <c r="AB368" s="46">
        <f>'Data_in-situ'!EC117</f>
        <v>3</v>
      </c>
      <c r="AC368" s="113">
        <f>'Data_in-situ'!EE117</f>
        <v>1.9745850203174469</v>
      </c>
      <c r="AD368" s="113">
        <f>'Data_in-situ'!EF117</f>
        <v>2.9483306562877405</v>
      </c>
      <c r="AE368" s="46">
        <f>'Data_in-situ'!EG117</f>
        <v>3</v>
      </c>
      <c r="AF368" s="113">
        <f>'Data_in-situ'!EN117</f>
        <v>45</v>
      </c>
      <c r="AG368" s="113">
        <f>'Data_in-situ'!EO117</f>
        <v>18.337337943808201</v>
      </c>
      <c r="AH368" s="110">
        <f>'Data_in-situ'!EP117</f>
        <v>3</v>
      </c>
      <c r="AI368" s="113">
        <f>'Data_in-situ'!ER117</f>
        <v>-32</v>
      </c>
      <c r="AJ368" s="113">
        <f>'Data_in-situ'!ES117</f>
        <v>7.2580497122942136</v>
      </c>
      <c r="AK368" s="110">
        <f>'Data_in-situ'!ET117</f>
        <v>3</v>
      </c>
    </row>
    <row r="369" spans="14:37" x14ac:dyDescent="0.3">
      <c r="N369" s="24">
        <f>'Data_in-situ'!DA418</f>
        <v>-7040</v>
      </c>
      <c r="O369" s="24">
        <f>'Data_in-situ'!DB418</f>
        <v>1650</v>
      </c>
      <c r="P369" s="46">
        <f>'Data_in-situ'!DC418</f>
        <v>1</v>
      </c>
      <c r="Q369" s="24">
        <f>'Data_in-situ'!DE418</f>
        <v>-3226.666666666667</v>
      </c>
      <c r="R369" s="24">
        <f>'Data_in-situ'!DF418</f>
        <v>953.33333333333326</v>
      </c>
      <c r="S369" s="46">
        <f>'Data_in-situ'!DG418</f>
        <v>1</v>
      </c>
      <c r="Z369" s="113">
        <f>'Data_in-situ'!EA118</f>
        <v>0.35237503307278556</v>
      </c>
      <c r="AA369" s="113">
        <f>'Data_in-situ'!EB118</f>
        <v>2.0261483293014391</v>
      </c>
      <c r="AB369" s="46">
        <f>'Data_in-situ'!EC118</f>
        <v>3</v>
      </c>
      <c r="AC369" s="113">
        <f>'Data_in-situ'!EE118</f>
        <v>2.9072916465010485</v>
      </c>
      <c r="AD369" s="113">
        <f>'Data_in-situ'!EF118</f>
        <v>4.3409916513851954</v>
      </c>
      <c r="AE369" s="46">
        <f>'Data_in-situ'!EG118</f>
        <v>3</v>
      </c>
      <c r="AF369" s="113">
        <f>'Data_in-situ'!EN118</f>
        <v>37</v>
      </c>
      <c r="AG369" s="113">
        <f>'Data_in-situ'!EO118</f>
        <v>15.077366753797854</v>
      </c>
      <c r="AH369" s="110">
        <f>'Data_in-situ'!EP118</f>
        <v>3</v>
      </c>
      <c r="AI369" s="113">
        <f>'Data_in-situ'!ER118</f>
        <v>-39</v>
      </c>
      <c r="AJ369" s="113">
        <f>'Data_in-situ'!ES118</f>
        <v>8.8457480868585723</v>
      </c>
      <c r="AK369" s="110">
        <f>'Data_in-situ'!ET118</f>
        <v>3</v>
      </c>
    </row>
    <row r="370" spans="14:37" x14ac:dyDescent="0.3">
      <c r="N370" s="24">
        <f>'Data_in-situ'!DA419</f>
        <v>-7846.6666666666661</v>
      </c>
      <c r="O370" s="24">
        <f>'Data_in-situ'!DB419</f>
        <v>1466.6666666666665</v>
      </c>
      <c r="P370" s="46">
        <f>'Data_in-situ'!DC419</f>
        <v>1</v>
      </c>
      <c r="Q370" s="24">
        <f>'Data_in-situ'!DE419</f>
        <v>-1870</v>
      </c>
      <c r="R370" s="24">
        <f>'Data_in-situ'!DF419</f>
        <v>1283.3333333333335</v>
      </c>
      <c r="S370" s="46">
        <f>'Data_in-situ'!DG419</f>
        <v>1</v>
      </c>
      <c r="Z370" s="113">
        <f>'Data_in-situ'!EA119</f>
        <v>0.2322697401099488</v>
      </c>
      <c r="AA370" s="113">
        <f>'Data_in-situ'!EB119</f>
        <v>1.3355456593141879</v>
      </c>
      <c r="AB370" s="46">
        <f>'Data_in-situ'!EC119</f>
        <v>3</v>
      </c>
      <c r="AC370" s="113">
        <f>'Data_in-situ'!EE119</f>
        <v>3.1939260341842504</v>
      </c>
      <c r="AD370" s="113">
        <f>'Data_in-situ'!EF119</f>
        <v>4.7689767437752844</v>
      </c>
      <c r="AE370" s="46">
        <f>'Data_in-situ'!EG119</f>
        <v>3</v>
      </c>
      <c r="AF370" s="113">
        <f>'Data_in-situ'!EN119</f>
        <v>24</v>
      </c>
      <c r="AG370" s="113">
        <f>'Data_in-situ'!EO119</f>
        <v>9.7799135700310398</v>
      </c>
      <c r="AH370" s="110">
        <f>'Data_in-situ'!EP119</f>
        <v>3</v>
      </c>
      <c r="AI370" s="113">
        <f>'Data_in-situ'!ER119</f>
        <v>-36</v>
      </c>
      <c r="AJ370" s="113">
        <f>'Data_in-situ'!ES119</f>
        <v>8.1653059263309906</v>
      </c>
      <c r="AK370" s="110">
        <f>'Data_in-situ'!ET119</f>
        <v>3</v>
      </c>
    </row>
    <row r="371" spans="14:37" x14ac:dyDescent="0.3">
      <c r="N371" s="24">
        <f>'Data_in-situ'!DA469</f>
        <v>-5990.5</v>
      </c>
      <c r="O371" s="24">
        <f>'Data_in-situ'!DB469</f>
        <v>17969.442614809748</v>
      </c>
      <c r="P371" s="46">
        <f>'Data_in-situ'!DC469</f>
        <v>1</v>
      </c>
      <c r="Q371" s="24">
        <f>'Data_in-situ'!DE469</f>
        <v>-5358</v>
      </c>
      <c r="R371" s="24">
        <f>'Data_in-situ'!DF469</f>
        <v>5106.9390918580921</v>
      </c>
      <c r="S371" s="46">
        <f>'Data_in-situ'!DG469</f>
        <v>1</v>
      </c>
      <c r="Z371" s="113">
        <f>'Data_in-situ'!EA120</f>
        <v>7.2775325769365226E-2</v>
      </c>
      <c r="AA371" s="113">
        <f>'Data_in-situ'!EB120</f>
        <v>0.41845644805235027</v>
      </c>
      <c r="AB371" s="46">
        <f>'Data_in-situ'!EC120</f>
        <v>3</v>
      </c>
      <c r="AC371" s="113">
        <f>'Data_in-situ'!EE120</f>
        <v>1.917612896672684</v>
      </c>
      <c r="AD371" s="113">
        <f>'Data_in-situ'!EF120</f>
        <v>2.8632633348164851</v>
      </c>
      <c r="AE371" s="46">
        <f>'Data_in-situ'!EG120</f>
        <v>3</v>
      </c>
      <c r="AF371" s="113">
        <f>'Data_in-situ'!EN120</f>
        <v>60</v>
      </c>
      <c r="AG371" s="113">
        <f>'Data_in-situ'!EO120</f>
        <v>24.4497839250776</v>
      </c>
      <c r="AH371" s="110">
        <f>'Data_in-situ'!EP120</f>
        <v>3</v>
      </c>
      <c r="AI371" s="113">
        <f>'Data_in-situ'!ER120</f>
        <v>-38</v>
      </c>
      <c r="AJ371" s="113">
        <f>'Data_in-situ'!ES120</f>
        <v>8.6189340333493778</v>
      </c>
      <c r="AK371" s="110">
        <f>'Data_in-situ'!ET120</f>
        <v>3</v>
      </c>
    </row>
    <row r="372" spans="14:37" x14ac:dyDescent="0.3">
      <c r="Z372" s="113">
        <f>'Data_in-situ'!EA121</f>
        <v>0.31634988548724063</v>
      </c>
      <c r="AA372" s="113">
        <f>'Data_in-situ'!EB121</f>
        <v>1.8190045599010327</v>
      </c>
      <c r="AB372" s="46">
        <f>'Data_in-situ'!EC121</f>
        <v>3</v>
      </c>
      <c r="AC372" s="113">
        <f>'Data_in-situ'!EE121</f>
        <v>3.5426919892100956</v>
      </c>
      <c r="AD372" s="113">
        <f>'Data_in-situ'!EF121</f>
        <v>5.2897329262094335</v>
      </c>
      <c r="AE372" s="46">
        <f>'Data_in-situ'!EG121</f>
        <v>3</v>
      </c>
      <c r="AF372" s="113">
        <f>'Data_in-situ'!EN121</f>
        <v>41</v>
      </c>
      <c r="AG372" s="113">
        <f>'Data_in-situ'!EO121</f>
        <v>16.707352348803028</v>
      </c>
      <c r="AH372" s="110">
        <f>'Data_in-situ'!EP121</f>
        <v>3</v>
      </c>
      <c r="AI372" s="113">
        <f>'Data_in-situ'!ER121</f>
        <v>-31</v>
      </c>
      <c r="AJ372" s="113">
        <f>'Data_in-situ'!ES121</f>
        <v>7.0312356587850191</v>
      </c>
      <c r="AK372" s="110">
        <f>'Data_in-situ'!ET121</f>
        <v>3</v>
      </c>
    </row>
    <row r="373" spans="14:37" x14ac:dyDescent="0.3">
      <c r="Z373" s="113">
        <f>'Data_in-situ'!EA122</f>
        <v>2.1678509076928559E-2</v>
      </c>
      <c r="AA373" s="113">
        <f>'Data_in-situ'!EB122</f>
        <v>0.12465092820265757</v>
      </c>
      <c r="AB373" s="46">
        <f>'Data_in-situ'!EC122</f>
        <v>3</v>
      </c>
      <c r="AC373" s="113">
        <f>'Data_in-situ'!EE122</f>
        <v>1.4195226818596671</v>
      </c>
      <c r="AD373" s="113">
        <f>'Data_in-situ'!EF122</f>
        <v>2.1195452194556825</v>
      </c>
      <c r="AE373" s="46">
        <f>'Data_in-situ'!EG122</f>
        <v>3</v>
      </c>
      <c r="AF373" s="113">
        <f>'Data_in-situ'!EN122</f>
        <v>65</v>
      </c>
      <c r="AG373" s="113">
        <f>'Data_in-situ'!EO122</f>
        <v>26.487265918834066</v>
      </c>
      <c r="AH373" s="110">
        <f>'Data_in-situ'!EP122</f>
        <v>3</v>
      </c>
      <c r="AI373" s="113">
        <f>'Data_in-situ'!ER122</f>
        <v>-38</v>
      </c>
      <c r="AJ373" s="113">
        <f>'Data_in-situ'!ES122</f>
        <v>8.6189340333493778</v>
      </c>
      <c r="AK373" s="110">
        <f>'Data_in-situ'!ET122</f>
        <v>3</v>
      </c>
    </row>
    <row r="374" spans="14:37" x14ac:dyDescent="0.3">
      <c r="Z374" s="113">
        <f>'Data_in-situ'!EA123</f>
        <v>6.2823434467833755E-2</v>
      </c>
      <c r="AA374" s="113">
        <f>'Data_in-situ'!EB123</f>
        <v>0.36123330213831362</v>
      </c>
      <c r="AB374" s="46">
        <f>'Data_in-situ'!EC123</f>
        <v>3</v>
      </c>
      <c r="AC374" s="113">
        <f>'Data_in-situ'!EE123</f>
        <v>2.4682312753968088</v>
      </c>
      <c r="AD374" s="113">
        <f>'Data_in-situ'!EF123</f>
        <v>3.6854133203596762</v>
      </c>
      <c r="AE374" s="46">
        <f>'Data_in-situ'!EG123</f>
        <v>3</v>
      </c>
      <c r="AF374" s="113">
        <f>'Data_in-situ'!EN123</f>
        <v>50</v>
      </c>
      <c r="AG374" s="113">
        <f>'Data_in-situ'!EO123</f>
        <v>20.374819937564666</v>
      </c>
      <c r="AH374" s="110">
        <f>'Data_in-situ'!EP123</f>
        <v>3</v>
      </c>
      <c r="AI374" s="113">
        <f>'Data_in-situ'!ER123</f>
        <v>-34</v>
      </c>
      <c r="AJ374" s="113">
        <f>'Data_in-situ'!ES123</f>
        <v>7.7116778193126017</v>
      </c>
      <c r="AK374" s="110">
        <f>'Data_in-situ'!ET123</f>
        <v>3</v>
      </c>
    </row>
    <row r="375" spans="14:37" x14ac:dyDescent="0.3">
      <c r="Z375" s="113">
        <f>'Data_in-situ'!EA124</f>
        <v>2.0013214586575439</v>
      </c>
      <c r="AA375" s="113">
        <f>'Data_in-situ'!EB124</f>
        <v>11.507552321439633</v>
      </c>
      <c r="AB375" s="46">
        <f>'Data_in-situ'!EC124</f>
        <v>3</v>
      </c>
      <c r="AC375" s="113">
        <f>'Data_in-situ'!EE124</f>
        <v>3.1161209570931105</v>
      </c>
      <c r="AD375" s="113">
        <f>'Data_in-situ'!EF124</f>
        <v>4.6528029190767866</v>
      </c>
      <c r="AE375" s="46">
        <f>'Data_in-situ'!EG124</f>
        <v>3</v>
      </c>
      <c r="AF375" s="113">
        <f>'Data_in-situ'!EN124</f>
        <v>15</v>
      </c>
      <c r="AG375" s="113">
        <f>'Data_in-situ'!EO124</f>
        <v>6.1124459812694001</v>
      </c>
      <c r="AH375" s="110">
        <f>'Data_in-situ'!EP124</f>
        <v>3</v>
      </c>
      <c r="AI375" s="113">
        <f>'Data_in-situ'!ER124</f>
        <v>-35</v>
      </c>
      <c r="AJ375" s="113">
        <f>'Data_in-situ'!ES124</f>
        <v>7.9384918728217961</v>
      </c>
      <c r="AK375" s="110">
        <f>'Data_in-situ'!ET124</f>
        <v>3</v>
      </c>
    </row>
    <row r="376" spans="14:37" x14ac:dyDescent="0.3">
      <c r="Z376" s="113">
        <f>'Data_in-situ'!EA125</f>
        <v>2.0562742556670646</v>
      </c>
      <c r="AA376" s="113">
        <f>'Data_in-situ'!EB125</f>
        <v>11.823529639356714</v>
      </c>
      <c r="AB376" s="46">
        <f>'Data_in-situ'!EC125</f>
        <v>3</v>
      </c>
      <c r="AC376" s="113">
        <f>'Data_in-situ'!EE125</f>
        <v>3.9594792820583411</v>
      </c>
      <c r="AD376" s="113">
        <f>'Data_in-situ'!EF125</f>
        <v>5.9120544469399539</v>
      </c>
      <c r="AE376" s="46">
        <f>'Data_in-situ'!EG125</f>
        <v>3</v>
      </c>
      <c r="AF376" s="113">
        <f>'Data_in-situ'!EN125</f>
        <v>17</v>
      </c>
      <c r="AG376" s="113">
        <f>'Data_in-situ'!EO125</f>
        <v>6.9274387787719869</v>
      </c>
      <c r="AH376" s="110">
        <f>'Data_in-situ'!EP125</f>
        <v>3</v>
      </c>
      <c r="AI376" s="113">
        <f>'Data_in-situ'!ER125</f>
        <v>-37</v>
      </c>
      <c r="AJ376" s="113">
        <f>'Data_in-situ'!ES125</f>
        <v>8.3921199798401851</v>
      </c>
      <c r="AK376" s="110">
        <f>'Data_in-situ'!ET125</f>
        <v>3</v>
      </c>
    </row>
    <row r="377" spans="14:37" x14ac:dyDescent="0.3">
      <c r="Z377" s="113">
        <f>'Data_in-situ'!EA126</f>
        <v>0.1445233938461904</v>
      </c>
      <c r="AA377" s="113">
        <f>'Data_in-situ'!EB126</f>
        <v>0.83100618801771708</v>
      </c>
      <c r="AB377" s="46">
        <f>'Data_in-situ'!EC126</f>
        <v>3</v>
      </c>
      <c r="AC377" s="113">
        <f>'Data_in-situ'!EE126</f>
        <v>2.2712362909754678</v>
      </c>
      <c r="AD377" s="113">
        <f>'Data_in-situ'!EF126</f>
        <v>3.3912723511290923</v>
      </c>
      <c r="AE377" s="46">
        <f>'Data_in-situ'!EG126</f>
        <v>3</v>
      </c>
      <c r="AF377" s="113">
        <f>'Data_in-situ'!EN126</f>
        <v>43</v>
      </c>
      <c r="AG377" s="113">
        <f>'Data_in-situ'!EO126</f>
        <v>17.522345146305614</v>
      </c>
      <c r="AH377" s="110">
        <f>'Data_in-situ'!EP126</f>
        <v>3</v>
      </c>
      <c r="AI377" s="113">
        <f>'Data_in-situ'!ER126</f>
        <v>-31</v>
      </c>
      <c r="AJ377" s="113">
        <f>'Data_in-situ'!ES126</f>
        <v>7.0312356587850191</v>
      </c>
      <c r="AK377" s="110">
        <f>'Data_in-situ'!ET126</f>
        <v>3</v>
      </c>
    </row>
    <row r="378" spans="14:37" x14ac:dyDescent="0.3">
      <c r="Z378" s="113">
        <f>'Data_in-situ'!EA127</f>
        <v>0.25129373787133502</v>
      </c>
      <c r="AA378" s="113">
        <f>'Data_in-situ'!EB127</f>
        <v>1.4449332085532545</v>
      </c>
      <c r="AB378" s="46">
        <f>'Data_in-situ'!EC127</f>
        <v>3</v>
      </c>
      <c r="AC378" s="113">
        <f>'Data_in-situ'!EE127</f>
        <v>2.7150544029364894</v>
      </c>
      <c r="AD378" s="113">
        <f>'Data_in-situ'!EF127</f>
        <v>4.0539546523956433</v>
      </c>
      <c r="AE378" s="46">
        <f>'Data_in-situ'!EG127</f>
        <v>3</v>
      </c>
      <c r="AF378" s="113">
        <f>'Data_in-situ'!EN127</f>
        <v>40</v>
      </c>
      <c r="AG378" s="113">
        <f>'Data_in-situ'!EO127</f>
        <v>16.299855950051732</v>
      </c>
      <c r="AH378" s="110">
        <f>'Data_in-situ'!EP127</f>
        <v>3</v>
      </c>
      <c r="AI378" s="113">
        <f>'Data_in-situ'!ER127</f>
        <v>-30</v>
      </c>
      <c r="AJ378" s="113">
        <f>'Data_in-situ'!ES127</f>
        <v>6.8044216052758255</v>
      </c>
      <c r="AK378" s="110">
        <f>'Data_in-situ'!ET127</f>
        <v>3</v>
      </c>
    </row>
    <row r="379" spans="14:37" x14ac:dyDescent="0.3">
      <c r="T379" s="113">
        <f>'Data_in-situ'!DN150</f>
        <v>122.44999999999999</v>
      </c>
      <c r="U379" s="113">
        <f>'Data_in-situ'!DO150</f>
        <v>142.11622884104406</v>
      </c>
      <c r="V379" s="46">
        <f>'Data_in-situ'!DP150</f>
        <v>39</v>
      </c>
      <c r="W379" s="113">
        <f>'Data_in-situ'!DR150</f>
        <v>-0.51</v>
      </c>
      <c r="X379" s="113">
        <f>'Data_in-situ'!DS150</f>
        <v>2.04</v>
      </c>
      <c r="Y379" s="46">
        <f>'Data_in-situ'!DT150</f>
        <v>5</v>
      </c>
      <c r="Z379" s="113">
        <f>'Data_in-situ'!EA150</f>
        <v>0.215</v>
      </c>
      <c r="AA379" s="113">
        <f>'Data_in-situ'!EB150</f>
        <v>0.95703970659529058</v>
      </c>
      <c r="AB379" s="46">
        <f>'Data_in-situ'!EC150</f>
        <v>17</v>
      </c>
      <c r="AC379" s="113">
        <f>'Data_in-situ'!EE150</f>
        <v>17.120942336666211</v>
      </c>
      <c r="AD379" s="113">
        <f>'Data_in-situ'!EF150</f>
        <v>30.817696205999184</v>
      </c>
      <c r="AE379" s="46">
        <f>'Data_in-situ'!EG150</f>
        <v>5</v>
      </c>
      <c r="AF379" s="113">
        <f>'Data_in-situ'!EN153</f>
        <v>-18.3</v>
      </c>
      <c r="AG379" s="113">
        <f>'Data_in-situ'!EO153</f>
        <v>5.8</v>
      </c>
      <c r="AH379" s="110">
        <f>'Data_in-situ'!EP153</f>
        <v>12</v>
      </c>
      <c r="AI379" s="113">
        <f>'Data_in-situ'!ER153</f>
        <v>-55.5</v>
      </c>
      <c r="AJ379" s="113">
        <f>'Data_in-situ'!ES153</f>
        <v>4.4000000000000004</v>
      </c>
      <c r="AK379" s="110">
        <f>'Data_in-situ'!ET153</f>
        <v>25</v>
      </c>
    </row>
    <row r="380" spans="14:37" x14ac:dyDescent="0.3">
      <c r="T380" s="113">
        <f>'Data_in-situ'!DN153</f>
        <v>38.133333333333333</v>
      </c>
      <c r="U380" s="113">
        <f>'Data_in-situ'!DO153</f>
        <v>12.933333333333332</v>
      </c>
      <c r="V380" s="46">
        <f>'Data_in-situ'!DP153</f>
        <v>8</v>
      </c>
      <c r="W380" s="113">
        <f>'Data_in-situ'!DR153</f>
        <v>6.9333333333333336</v>
      </c>
      <c r="X380" s="113">
        <f>'Data_in-situ'!DS153</f>
        <v>6.8</v>
      </c>
      <c r="Y380" s="46">
        <f>'Data_in-situ'!DT153</f>
        <v>5</v>
      </c>
      <c r="Z380" s="113">
        <f>'Data_in-situ'!EA153</f>
        <v>4.2428571428571429</v>
      </c>
      <c r="AA380" s="113">
        <f>'Data_in-situ'!EB153</f>
        <v>2.9857142857142853</v>
      </c>
      <c r="AB380" s="46">
        <f>'Data_in-situ'!EC153</f>
        <v>7</v>
      </c>
      <c r="AC380" s="113">
        <f>'Data_in-situ'!EE153</f>
        <v>7.8571428571428568</v>
      </c>
      <c r="AD380" s="113">
        <f>'Data_in-situ'!EF153</f>
        <v>4.2428571428571429</v>
      </c>
      <c r="AE380" s="46">
        <f>'Data_in-situ'!EG153</f>
        <v>8</v>
      </c>
      <c r="AF380" s="113">
        <f>'Data_in-situ'!EN154</f>
        <v>-18.3</v>
      </c>
      <c r="AG380" s="113">
        <f>'Data_in-situ'!EO154</f>
        <v>5.8</v>
      </c>
      <c r="AH380" s="110">
        <f>'Data_in-situ'!EP154</f>
        <v>12</v>
      </c>
      <c r="AI380" s="113">
        <f>'Data_in-situ'!ER154</f>
        <v>-65.5</v>
      </c>
      <c r="AJ380" s="113">
        <f>'Data_in-situ'!ES154</f>
        <v>5</v>
      </c>
      <c r="AK380" s="110">
        <f>'Data_in-situ'!ET154</f>
        <v>7</v>
      </c>
    </row>
    <row r="381" spans="14:37" x14ac:dyDescent="0.3">
      <c r="T381" s="113">
        <f>'Data_in-situ'!DN154</f>
        <v>38.133333333333333</v>
      </c>
      <c r="U381" s="113">
        <f>'Data_in-situ'!DO154</f>
        <v>12.933333333333332</v>
      </c>
      <c r="V381" s="46">
        <f>'Data_in-situ'!DP154</f>
        <v>8</v>
      </c>
      <c r="W381" s="113">
        <f>'Data_in-situ'!DR154</f>
        <v>-0.26666666666666666</v>
      </c>
      <c r="X381" s="113">
        <f>'Data_in-situ'!DS154</f>
        <v>0.9965910119016026</v>
      </c>
      <c r="Y381" s="46">
        <f>'Data_in-situ'!DT154</f>
        <v>1</v>
      </c>
      <c r="Z381" s="113">
        <f>'Data_in-situ'!EA154</f>
        <v>4.2428571428571429</v>
      </c>
      <c r="AA381" s="113">
        <f>'Data_in-situ'!EB154</f>
        <v>2.9857142857142853</v>
      </c>
      <c r="AB381" s="46">
        <f>'Data_in-situ'!EC154</f>
        <v>7</v>
      </c>
      <c r="AC381" s="113">
        <f>'Data_in-situ'!EE154</f>
        <v>1.8857142857142857</v>
      </c>
      <c r="AD381" s="113">
        <f>'Data_in-situ'!EF154</f>
        <v>2.8156342625739934</v>
      </c>
      <c r="AE381" s="46">
        <f>'Data_in-situ'!EG154</f>
        <v>1</v>
      </c>
      <c r="AF381" s="113">
        <f>'Data_in-situ'!EN155</f>
        <v>-18.3</v>
      </c>
      <c r="AG381" s="113">
        <f>'Data_in-situ'!EO155</f>
        <v>5.8</v>
      </c>
      <c r="AH381" s="110">
        <f>'Data_in-situ'!EP155</f>
        <v>12</v>
      </c>
      <c r="AI381" s="113">
        <f>'Data_in-situ'!ER155</f>
        <v>-78.599999999999994</v>
      </c>
      <c r="AJ381" s="113">
        <f>'Data_in-situ'!ES155</f>
        <v>7.5</v>
      </c>
      <c r="AK381" s="110">
        <f>'Data_in-situ'!ET155</f>
        <v>8</v>
      </c>
    </row>
    <row r="382" spans="14:37" x14ac:dyDescent="0.3">
      <c r="T382" s="113">
        <f>'Data_in-situ'!DN155</f>
        <v>38.133333333333333</v>
      </c>
      <c r="U382" s="113">
        <f>'Data_in-situ'!DO155</f>
        <v>12.933333333333332</v>
      </c>
      <c r="V382" s="46">
        <f>'Data_in-situ'!DP155</f>
        <v>8</v>
      </c>
      <c r="W382" s="113">
        <f>'Data_in-situ'!DR155</f>
        <v>2.6666666666666665</v>
      </c>
      <c r="X382" s="113">
        <f>'Data_in-situ'!DS155</f>
        <v>3.6</v>
      </c>
      <c r="Y382" s="46">
        <f>'Data_in-situ'!DT155</f>
        <v>5</v>
      </c>
      <c r="Z382" s="113">
        <f>'Data_in-situ'!EA215</f>
        <v>0.59306776707157072</v>
      </c>
      <c r="AA382" s="113">
        <f>'Data_in-situ'!EB215</f>
        <v>2.3125422244636824</v>
      </c>
      <c r="AB382" s="46">
        <f>'Data_in-situ'!EC215</f>
        <v>34</v>
      </c>
      <c r="AC382" s="113">
        <f>'Data_in-situ'!EE215</f>
        <v>4.4926884730055843</v>
      </c>
      <c r="AD382" s="113">
        <f>'Data_in-situ'!EF215</f>
        <v>1.7938809583770348</v>
      </c>
      <c r="AE382" s="46">
        <f>'Data_in-situ'!EG215</f>
        <v>12</v>
      </c>
      <c r="AF382" s="113">
        <f>'Data_in-situ'!EN173</f>
        <v>-14.041514041514047</v>
      </c>
      <c r="AG382" s="113">
        <f>'Data_in-situ'!EO173</f>
        <v>3.8618262026084285</v>
      </c>
      <c r="AH382" s="110">
        <f>'Data_in-situ'!EP173</f>
        <v>3</v>
      </c>
      <c r="AI382" s="113">
        <f>'Data_in-situ'!ER173</f>
        <v>-37.912087912087912</v>
      </c>
      <c r="AJ382" s="113">
        <f>'Data_in-situ'!ES173</f>
        <v>6.2846687384361628</v>
      </c>
      <c r="AK382" s="110">
        <f>'Data_in-situ'!ET173</f>
        <v>3</v>
      </c>
    </row>
    <row r="383" spans="14:37" x14ac:dyDescent="0.3">
      <c r="T383" s="113">
        <f>'Data_in-situ'!DN194</f>
        <v>116</v>
      </c>
      <c r="U383" s="113">
        <f>'Data_in-situ'!DO194</f>
        <v>129.32599754255131</v>
      </c>
      <c r="V383" s="46">
        <f>'Data_in-situ'!DP194</f>
        <v>6</v>
      </c>
      <c r="W383" s="113">
        <f>'Data_in-situ'!DR194</f>
        <v>-9</v>
      </c>
      <c r="X383" s="113">
        <f>'Data_in-situ'!DS194</f>
        <v>33.634946651679087</v>
      </c>
      <c r="Y383" s="46">
        <f>'Data_in-situ'!DT194</f>
        <v>6</v>
      </c>
      <c r="Z383" s="113">
        <f>'Data_in-situ'!EA440</f>
        <v>1.0999999999999999</v>
      </c>
      <c r="AA383" s="113">
        <f>'Data_in-situ'!EB440</f>
        <v>6.3249746805166405</v>
      </c>
      <c r="AB383" s="46">
        <f>'Data_in-situ'!EC440</f>
        <v>3</v>
      </c>
      <c r="AC383" s="113">
        <f>'Data_in-situ'!EE440</f>
        <v>1.8857142857142857</v>
      </c>
      <c r="AD383" s="113">
        <f>'Data_in-situ'!EF440</f>
        <v>2.8156342625739934</v>
      </c>
      <c r="AE383" s="46">
        <f>'Data_in-situ'!EG440</f>
        <v>3</v>
      </c>
      <c r="AF383" s="113">
        <f>'Data_in-situ'!EN194</f>
        <v>-7</v>
      </c>
      <c r="AG383" s="113">
        <f>'Data_in-situ'!EO194</f>
        <v>2.8524747912590533</v>
      </c>
      <c r="AH383" s="110">
        <f>'Data_in-situ'!EP194</f>
        <v>6</v>
      </c>
      <c r="AI383" s="113">
        <f>'Data_in-situ'!ER194</f>
        <v>-57</v>
      </c>
      <c r="AJ383" s="113">
        <f>'Data_in-situ'!ES194</f>
        <v>12.928401050024068</v>
      </c>
      <c r="AK383" s="110">
        <f>'Data_in-situ'!ET194</f>
        <v>6</v>
      </c>
    </row>
    <row r="384" spans="14:37" x14ac:dyDescent="0.3">
      <c r="T384" s="113">
        <f>'Data_in-situ'!DN215</f>
        <v>1948.0617366827116</v>
      </c>
      <c r="U384" s="113">
        <f>'Data_in-situ'!DO215</f>
        <v>3162.7708177229088</v>
      </c>
      <c r="V384" s="46">
        <f>'Data_in-situ'!DP215</f>
        <v>34</v>
      </c>
      <c r="W384" s="113">
        <f>'Data_in-situ'!DR215</f>
        <v>12.698456613428982</v>
      </c>
      <c r="X384" s="113">
        <f>'Data_in-situ'!DS215</f>
        <v>4.590471281452122</v>
      </c>
      <c r="Y384" s="46">
        <f>'Data_in-situ'!DT215</f>
        <v>12</v>
      </c>
      <c r="AF384" s="113">
        <f>'Data_in-situ'!EN226</f>
        <v>-15</v>
      </c>
      <c r="AG384" s="113">
        <f>'Data_in-situ'!EO226</f>
        <v>6.1124459812694001</v>
      </c>
      <c r="AH384" s="110">
        <f>'Data_in-situ'!EP226</f>
        <v>4</v>
      </c>
      <c r="AI384" s="113">
        <f>'Data_in-situ'!ER226</f>
        <v>-60</v>
      </c>
      <c r="AJ384" s="113">
        <f>'Data_in-situ'!ES226</f>
        <v>13.608843210551651</v>
      </c>
      <c r="AK384" s="110">
        <f>'Data_in-situ'!ET226</f>
        <v>4</v>
      </c>
    </row>
    <row r="385" spans="1:37" x14ac:dyDescent="0.3">
      <c r="T385" s="113">
        <f>'Data_in-situ'!DN226</f>
        <v>23</v>
      </c>
      <c r="U385" s="113">
        <f>'Data_in-situ'!DO226</f>
        <v>25.642223650678275</v>
      </c>
      <c r="V385" s="46">
        <f>'Data_in-situ'!DP226</f>
        <v>4</v>
      </c>
      <c r="W385" s="113">
        <f>'Data_in-situ'!DR226</f>
        <v>0.03</v>
      </c>
      <c r="X385" s="113">
        <f>'Data_in-situ'!DS226</f>
        <v>0.11211648883893029</v>
      </c>
      <c r="Y385" s="46">
        <f>'Data_in-situ'!DT226</f>
        <v>4</v>
      </c>
      <c r="AF385" s="113">
        <f>'Data_in-situ'!EN227</f>
        <v>-9.6300000000000008</v>
      </c>
      <c r="AG385" s="113">
        <f>'Data_in-situ'!EO227</f>
        <v>3.9241903199749553</v>
      </c>
      <c r="AH385" s="110">
        <f>'Data_in-situ'!EP227</f>
        <v>4</v>
      </c>
      <c r="AI385" s="113">
        <f>'Data_in-situ'!ER227</f>
        <v>-60</v>
      </c>
      <c r="AJ385" s="113">
        <f>'Data_in-situ'!ES227</f>
        <v>13.608843210551651</v>
      </c>
      <c r="AK385" s="110">
        <f>'Data_in-situ'!ET227</f>
        <v>4</v>
      </c>
    </row>
    <row r="386" spans="1:37" x14ac:dyDescent="0.3">
      <c r="T386" s="113">
        <f>'Data_in-situ'!DN227</f>
        <v>23</v>
      </c>
      <c r="U386" s="113">
        <f>'Data_in-situ'!DO227</f>
        <v>25.642223650678275</v>
      </c>
      <c r="V386" s="46">
        <f>'Data_in-situ'!DP227</f>
        <v>4</v>
      </c>
      <c r="W386" s="113">
        <f>'Data_in-situ'!DR227</f>
        <v>0.03</v>
      </c>
      <c r="X386" s="113">
        <f>'Data_in-situ'!DS227</f>
        <v>0.11211648883893029</v>
      </c>
      <c r="Y386" s="46">
        <f>'Data_in-situ'!DT227</f>
        <v>4</v>
      </c>
      <c r="AF386" s="113">
        <f>'Data_in-situ'!EN228</f>
        <v>-8.65</v>
      </c>
      <c r="AG386" s="113">
        <f>'Data_in-situ'!EO228</f>
        <v>3.5248438491986875</v>
      </c>
      <c r="AH386" s="110">
        <f>'Data_in-situ'!EP228</f>
        <v>4</v>
      </c>
      <c r="AI386" s="113">
        <f>'Data_in-situ'!ER228</f>
        <v>-60</v>
      </c>
      <c r="AJ386" s="113">
        <f>'Data_in-situ'!ES228</f>
        <v>13.608843210551651</v>
      </c>
      <c r="AK386" s="110">
        <f>'Data_in-situ'!ET228</f>
        <v>4</v>
      </c>
    </row>
    <row r="387" spans="1:37" x14ac:dyDescent="0.3">
      <c r="T387" s="113">
        <f>'Data_in-situ'!DN228</f>
        <v>23</v>
      </c>
      <c r="U387" s="113">
        <f>'Data_in-situ'!DO228</f>
        <v>25.642223650678275</v>
      </c>
      <c r="V387" s="46">
        <f>'Data_in-situ'!DP228</f>
        <v>4</v>
      </c>
      <c r="W387" s="113">
        <f>'Data_in-situ'!DR228</f>
        <v>0.03</v>
      </c>
      <c r="X387" s="113">
        <f>'Data_in-situ'!DS228</f>
        <v>0.11211648883893029</v>
      </c>
      <c r="Y387" s="46">
        <f>'Data_in-situ'!DT228</f>
        <v>4</v>
      </c>
      <c r="AF387" s="113">
        <f>'Data_in-situ'!EN229</f>
        <v>-9.6199999999999992</v>
      </c>
      <c r="AG387" s="113">
        <f>'Data_in-situ'!EO229</f>
        <v>3.9201153559874418</v>
      </c>
      <c r="AH387" s="110">
        <f>'Data_in-situ'!EP229</f>
        <v>4</v>
      </c>
      <c r="AI387" s="113">
        <f>'Data_in-situ'!ER229</f>
        <v>-80</v>
      </c>
      <c r="AJ387" s="113">
        <f>'Data_in-situ'!ES229</f>
        <v>18.145124280735534</v>
      </c>
      <c r="AK387" s="110">
        <f>'Data_in-situ'!ET229</f>
        <v>4</v>
      </c>
    </row>
    <row r="388" spans="1:37" x14ac:dyDescent="0.3">
      <c r="T388" s="113">
        <f>'Data_in-situ'!DN229</f>
        <v>23</v>
      </c>
      <c r="U388" s="113">
        <f>'Data_in-situ'!DO229</f>
        <v>25.642223650678275</v>
      </c>
      <c r="V388" s="46">
        <f>'Data_in-situ'!DP229</f>
        <v>4</v>
      </c>
      <c r="W388" s="113">
        <f>'Data_in-situ'!DR229</f>
        <v>2.2000000000000002</v>
      </c>
      <c r="X388" s="113">
        <f>'Data_in-situ'!DS229</f>
        <v>8.2218758481882226</v>
      </c>
      <c r="Y388" s="46">
        <f>'Data_in-situ'!DT229</f>
        <v>4</v>
      </c>
      <c r="AF388" s="113">
        <f>'Data_in-situ'!EN230</f>
        <v>-5.36</v>
      </c>
      <c r="AG388" s="113">
        <f>'Data_in-situ'!EO230</f>
        <v>2.1841806973069327</v>
      </c>
      <c r="AH388" s="110">
        <f>'Data_in-situ'!EP230</f>
        <v>4</v>
      </c>
      <c r="AI388" s="113">
        <f>'Data_in-situ'!ER230</f>
        <v>-80</v>
      </c>
      <c r="AJ388" s="113">
        <f>'Data_in-situ'!ES230</f>
        <v>18.145124280735534</v>
      </c>
      <c r="AK388" s="110">
        <f>'Data_in-situ'!ET230</f>
        <v>4</v>
      </c>
    </row>
    <row r="389" spans="1:37" x14ac:dyDescent="0.3">
      <c r="T389" s="113">
        <f>'Data_in-situ'!DN230</f>
        <v>23</v>
      </c>
      <c r="U389" s="113">
        <f>'Data_in-situ'!DO230</f>
        <v>25.642223650678275</v>
      </c>
      <c r="V389" s="46">
        <f>'Data_in-situ'!DP230</f>
        <v>4</v>
      </c>
      <c r="W389" s="113">
        <f>'Data_in-situ'!DR230</f>
        <v>2.2000000000000002</v>
      </c>
      <c r="X389" s="113">
        <f>'Data_in-situ'!DS230</f>
        <v>8.2218758481882226</v>
      </c>
      <c r="Y389" s="46">
        <f>'Data_in-situ'!DT230</f>
        <v>4</v>
      </c>
      <c r="AF389" s="113">
        <f>'Data_in-situ'!EN418</f>
        <v>-7.3</v>
      </c>
      <c r="AG389" s="113">
        <f>'Data_in-situ'!EO418</f>
        <v>3.6</v>
      </c>
      <c r="AH389" s="110">
        <f>'Data_in-situ'!EP418</f>
        <v>3</v>
      </c>
      <c r="AI389" s="113">
        <f>'Data_in-situ'!ER418</f>
        <v>-75.599999999999994</v>
      </c>
      <c r="AJ389" s="113">
        <f>'Data_in-situ'!ES418</f>
        <v>14.2</v>
      </c>
      <c r="AK389" s="110">
        <f>'Data_in-situ'!ET418</f>
        <v>3</v>
      </c>
    </row>
    <row r="390" spans="1:37" x14ac:dyDescent="0.3">
      <c r="T390" s="113">
        <f>'Data_in-situ'!DN409</f>
        <v>96.36</v>
      </c>
      <c r="U390" s="113">
        <f>'Data_in-situ'!DO409</f>
        <v>53.436</v>
      </c>
      <c r="V390" s="46">
        <f>'Data_in-situ'!DP409</f>
        <v>5</v>
      </c>
      <c r="W390" s="113">
        <f>'Data_in-situ'!DR409</f>
        <v>120.88799999999998</v>
      </c>
      <c r="X390" s="113">
        <f>'Data_in-situ'!DS409</f>
        <v>71.831999999999994</v>
      </c>
      <c r="Y390" s="46">
        <f>'Data_in-situ'!DT409</f>
        <v>5</v>
      </c>
      <c r="AF390" s="113">
        <f>'Data_in-situ'!EN419</f>
        <v>-4.2</v>
      </c>
      <c r="AG390" s="113">
        <f>'Data_in-situ'!EO419</f>
        <v>5.2</v>
      </c>
      <c r="AH390" s="110">
        <f>'Data_in-situ'!EP419</f>
        <v>3</v>
      </c>
      <c r="AI390" s="113">
        <f>'Data_in-situ'!ER419</f>
        <v>-64.3</v>
      </c>
      <c r="AJ390" s="113">
        <f>'Data_in-situ'!ES419</f>
        <v>5.9</v>
      </c>
      <c r="AK390" s="110">
        <f>'Data_in-situ'!ET419</f>
        <v>3</v>
      </c>
    </row>
    <row r="391" spans="1:37" x14ac:dyDescent="0.3">
      <c r="T391" s="113">
        <f>'Data_in-situ'!DN459</f>
        <v>118.26666666666667</v>
      </c>
      <c r="U391" s="113">
        <f>'Data_in-situ'!DO459</f>
        <v>131.85305726464713</v>
      </c>
      <c r="V391" s="46">
        <f>'Data_in-situ'!DP459</f>
        <v>1</v>
      </c>
      <c r="W391" s="113">
        <f>'Data_in-situ'!DR459</f>
        <v>26.133333333333336</v>
      </c>
      <c r="X391" s="113">
        <f>'Data_in-situ'!DS459</f>
        <v>97.665919166357071</v>
      </c>
      <c r="Y391" s="46">
        <f>'Data_in-situ'!DT459</f>
        <v>1</v>
      </c>
      <c r="AF391" s="113">
        <f>'Data_in-situ'!EN440</f>
        <v>-45.3</v>
      </c>
      <c r="AG391" s="113">
        <f>'Data_in-situ'!EO440</f>
        <v>5.7157676649772942</v>
      </c>
      <c r="AH391" s="110">
        <f>'Data_in-situ'!EP440</f>
        <v>3</v>
      </c>
      <c r="AI391" s="113">
        <f>'Data_in-situ'!ER440</f>
        <v>-27.4</v>
      </c>
      <c r="AJ391" s="113">
        <f>'Data_in-situ'!ES440</f>
        <v>4.5033320996790804</v>
      </c>
      <c r="AK391" s="110">
        <f>'Data_in-situ'!ET440</f>
        <v>3</v>
      </c>
    </row>
    <row r="392" spans="1:37" x14ac:dyDescent="0.3">
      <c r="T392" s="113">
        <f>'Data_in-situ'!DN460</f>
        <v>115.06666666666666</v>
      </c>
      <c r="U392" s="113">
        <f>'Data_in-situ'!DO460</f>
        <v>128.28544353933538</v>
      </c>
      <c r="V392" s="46">
        <f>'Data_in-situ'!DP460</f>
        <v>1</v>
      </c>
      <c r="W392" s="113">
        <f>'Data_in-situ'!DR460</f>
        <v>31.733333333333334</v>
      </c>
      <c r="X392" s="113">
        <f>'Data_in-situ'!DS460</f>
        <v>118.59433041629072</v>
      </c>
      <c r="Y392" s="46">
        <f>'Data_in-situ'!DT460</f>
        <v>1</v>
      </c>
      <c r="AF392" s="113">
        <f>'Data_in-situ'!EN459</f>
        <v>-7.6</v>
      </c>
      <c r="AG392" s="113">
        <f>'Data_in-situ'!EO459</f>
        <v>3.0969726305098293</v>
      </c>
      <c r="AH392" s="110">
        <f>'Data_in-situ'!EP459</f>
        <v>1</v>
      </c>
      <c r="AI392" s="113">
        <f>'Data_in-situ'!ER459</f>
        <v>-66.400000000000006</v>
      </c>
      <c r="AJ392" s="113">
        <f>'Data_in-situ'!ES459</f>
        <v>15.060453153010494</v>
      </c>
      <c r="AK392" s="110">
        <f>'Data_in-situ'!ET459</f>
        <v>1</v>
      </c>
    </row>
    <row r="393" spans="1:37" x14ac:dyDescent="0.3">
      <c r="T393" s="113">
        <f>'Data_in-situ'!DN461</f>
        <v>105.2</v>
      </c>
      <c r="U393" s="113">
        <f>'Data_in-situ'!DO461</f>
        <v>117.28530121962412</v>
      </c>
      <c r="V393" s="46">
        <f>'Data_in-situ'!DP461</f>
        <v>1</v>
      </c>
      <c r="W393" s="113">
        <f>'Data_in-situ'!DR461</f>
        <v>29.733333333333334</v>
      </c>
      <c r="X393" s="113">
        <f>'Data_in-situ'!DS461</f>
        <v>111.11989782702869</v>
      </c>
      <c r="Y393" s="46">
        <f>'Data_in-situ'!DT461</f>
        <v>1</v>
      </c>
      <c r="AF393" s="113">
        <f>'Data_in-situ'!EN460</f>
        <v>-2.4</v>
      </c>
      <c r="AG393" s="113">
        <f>'Data_in-situ'!EO460</f>
        <v>0.97799135700310402</v>
      </c>
      <c r="AH393" s="110">
        <f>'Data_in-situ'!EP460</f>
        <v>1</v>
      </c>
      <c r="AI393" s="113">
        <f>'Data_in-situ'!ER460</f>
        <v>-61.5</v>
      </c>
      <c r="AJ393" s="113">
        <f>'Data_in-situ'!ES460</f>
        <v>13.949064290815441</v>
      </c>
      <c r="AK393" s="110">
        <f>'Data_in-situ'!ET460</f>
        <v>1</v>
      </c>
    </row>
    <row r="394" spans="1:37" x14ac:dyDescent="0.3">
      <c r="AF394" s="113">
        <f>'Data_in-situ'!EN461</f>
        <v>-4.8</v>
      </c>
      <c r="AG394" s="113">
        <f>'Data_in-situ'!EO461</f>
        <v>1.955982714006208</v>
      </c>
      <c r="AH394" s="110">
        <f>'Data_in-situ'!EP461</f>
        <v>1</v>
      </c>
      <c r="AI394" s="113">
        <f>'Data_in-situ'!ER461</f>
        <v>-58.5</v>
      </c>
      <c r="AJ394" s="113">
        <f>'Data_in-situ'!ES461</f>
        <v>13.268622130287859</v>
      </c>
      <c r="AK394" s="110">
        <f>'Data_in-situ'!ET461</f>
        <v>1</v>
      </c>
    </row>
    <row r="396" spans="1:37" x14ac:dyDescent="0.3">
      <c r="A396" s="110" t="s">
        <v>831</v>
      </c>
      <c r="B396" s="24">
        <f>AVERAGEA(B363:B394)</f>
        <v>-27741.433333333334</v>
      </c>
      <c r="C396" s="24">
        <f>STDEVA(B363:B394)/SQRT(COUNT(B363:B394))</f>
        <v>3186.6189993529115</v>
      </c>
      <c r="D396" s="46">
        <f>COUNT(B363:B394)</f>
        <v>3</v>
      </c>
      <c r="E396" s="24">
        <f>AVERAGEA(E363:E394)</f>
        <v>-37360.722222222219</v>
      </c>
      <c r="F396" s="24">
        <f>STDEVA(E363:E394)/SQRT(COUNT(E363:E394))</f>
        <v>9106.9441536610484</v>
      </c>
      <c r="G396" s="46">
        <f>COUNT(E363:E394)</f>
        <v>3</v>
      </c>
      <c r="H396" s="24">
        <f>AVERAGEA(H363:H394)</f>
        <v>20794.600000000002</v>
      </c>
      <c r="I396" s="24">
        <f>STDEVA(H363:H394)/SQRT(COUNT(H363:H394))</f>
        <v>2748.2656707525607</v>
      </c>
      <c r="J396" s="46">
        <f>COUNT(H363:H394)</f>
        <v>3</v>
      </c>
      <c r="K396" s="24">
        <f>AVERAGEA(K363:K394)</f>
        <v>33875.833333333336</v>
      </c>
      <c r="L396" s="24">
        <f>STDEVA(K363:K394)/SQRT(COUNT(K363:K394))</f>
        <v>10019.893210693597</v>
      </c>
      <c r="M396" s="46">
        <f>COUNT(K363:K394)</f>
        <v>3</v>
      </c>
      <c r="N396" s="24">
        <f>AVERAGEA(N363:N394)</f>
        <v>-3956.0740740740739</v>
      </c>
      <c r="O396" s="24">
        <f>STDEVA(N363:N394)/SQRT(COUNT(N363:N394))</f>
        <v>838.58077496155192</v>
      </c>
      <c r="P396" s="46">
        <f>COUNT(N363:N394)</f>
        <v>9</v>
      </c>
      <c r="Q396" s="24">
        <f>AVERAGEA(Q363:Q394)</f>
        <v>1377.2592592592591</v>
      </c>
      <c r="R396" s="24">
        <f>STDEVA(Q363:Q394)/SQRT(COUNT(Q363:Q394))</f>
        <v>1305.2104671322784</v>
      </c>
      <c r="S396" s="46">
        <f>COUNT(Q363:Q394)</f>
        <v>9</v>
      </c>
      <c r="T396" s="113">
        <f>AVERAGEA(T363:T394)</f>
        <v>190.05367133440302</v>
      </c>
      <c r="U396" s="113">
        <f>STDEVA(T363:T394)/SQRT(COUNT(T363:T394))</f>
        <v>126.04186091793055</v>
      </c>
      <c r="V396" s="46">
        <f>COUNT(T363:T394)</f>
        <v>15</v>
      </c>
      <c r="W396" s="113">
        <f>AVERAGEA(W363:W394)</f>
        <v>15.033319329784153</v>
      </c>
      <c r="X396" s="113">
        <f>STDEVA(W363:W394)/SQRT(COUNT(W363:W394))</f>
        <v>8.1956352475524916</v>
      </c>
      <c r="Y396" s="46">
        <f>COUNT(W363:W394)</f>
        <v>15</v>
      </c>
      <c r="Z396" s="113">
        <f>AVERAGEA(Z363:Z394)</f>
        <v>1.0042598046147124</v>
      </c>
      <c r="AA396" s="113">
        <f>STDEVA(Z363:Z394)/SQRT(COUNT(Z363:Z394))</f>
        <v>0.27318723016275148</v>
      </c>
      <c r="AB396" s="46">
        <f>COUNT(Z363:Z394)</f>
        <v>21</v>
      </c>
      <c r="AC396" s="113">
        <f>AVERAGEA(AC363:AC394)</f>
        <v>3.6821554786798951</v>
      </c>
      <c r="AD396" s="113">
        <f>STDEVA(AC363:AC394)/SQRT(COUNT(AC363:AC394))</f>
        <v>0.76161420730469354</v>
      </c>
      <c r="AE396" s="46">
        <f>COUNT(AC363:AC394)</f>
        <v>21</v>
      </c>
      <c r="AF396" s="113">
        <f>AVERAGEA(AF363:AF394)</f>
        <v>11.193702686202688</v>
      </c>
      <c r="AG396" s="113">
        <f>STDEVA(AF363:AF394)/SQRT(COUNT(AF363:AF394))</f>
        <v>4.9183535635740299</v>
      </c>
      <c r="AH396" s="110">
        <f>COUNT(AF363:AF394)</f>
        <v>32</v>
      </c>
      <c r="AI396" s="113">
        <f>AVERAGEA(AI363:AI394)</f>
        <v>-47.50662774725275</v>
      </c>
      <c r="AJ396" s="113">
        <f>STDEVA(AI363:AI394)/SQRT(COUNT(AI363:AI394))</f>
        <v>3.1335699670580253</v>
      </c>
      <c r="AK396" s="110">
        <f>COUNT(AI363:AI394)</f>
        <v>32</v>
      </c>
    </row>
    <row r="398" spans="1:37" ht="15.6" x14ac:dyDescent="0.3">
      <c r="A398" s="12" t="s">
        <v>974</v>
      </c>
      <c r="N398" s="24">
        <f>'Data_in-situ'!DA149</f>
        <v>-77.5</v>
      </c>
      <c r="O398" s="24">
        <f>'Data_in-situ'!DB149</f>
        <v>262.39283526803854</v>
      </c>
      <c r="P398" s="46">
        <f>'Data_in-situ'!DC149</f>
        <v>16</v>
      </c>
      <c r="Q398" s="24">
        <f>'Data_in-situ'!DE149</f>
        <v>1790</v>
      </c>
      <c r="R398" s="24">
        <f>'Data_in-situ'!DF149</f>
        <v>2340</v>
      </c>
      <c r="S398" s="46">
        <f>'Data_in-situ'!DG149</f>
        <v>4</v>
      </c>
      <c r="T398" s="113">
        <f>'Data_in-situ'!DN149</f>
        <v>122.44999999999999</v>
      </c>
      <c r="U398" s="113">
        <f>'Data_in-situ'!DO149</f>
        <v>142.11622884104406</v>
      </c>
      <c r="V398" s="46">
        <f>'Data_in-situ'!DP149</f>
        <v>39</v>
      </c>
      <c r="W398" s="113">
        <f>'Data_in-situ'!DR149</f>
        <v>0.51</v>
      </c>
      <c r="X398" s="113">
        <f>'Data_in-situ'!DS149</f>
        <v>1.02</v>
      </c>
      <c r="Y398" s="46">
        <f>'Data_in-situ'!DT149</f>
        <v>10</v>
      </c>
      <c r="Z398" s="113">
        <f>'Data_in-situ'!EA149</f>
        <v>0.215</v>
      </c>
      <c r="AA398" s="113">
        <f>'Data_in-situ'!EB149</f>
        <v>0.95703970659529058</v>
      </c>
      <c r="AB398" s="46">
        <f>'Data_in-situ'!EC149</f>
        <v>17</v>
      </c>
      <c r="AC398" s="113">
        <f>'Data_in-situ'!EE149</f>
        <v>12.840706752499663</v>
      </c>
      <c r="AD398" s="113">
        <f>'Data_in-situ'!EF149</f>
        <v>31.673743322832479</v>
      </c>
      <c r="AE398" s="46">
        <f>'Data_in-situ'!EG149</f>
        <v>14</v>
      </c>
      <c r="AF398" s="113">
        <f>'Data_in-situ'!EN439</f>
        <v>-45.3</v>
      </c>
      <c r="AG398" s="113">
        <f>'Data_in-situ'!EO439</f>
        <v>5.7157676649772942</v>
      </c>
      <c r="AH398" s="110">
        <f>'Data_in-situ'!EP439</f>
        <v>3</v>
      </c>
      <c r="AI398" s="113">
        <f>'Data_in-situ'!ER439</f>
        <v>-60.2</v>
      </c>
      <c r="AJ398" s="113">
        <f>'Data_in-situ'!ES439</f>
        <v>4.676537180435969</v>
      </c>
      <c r="AK398" s="110">
        <f>'Data_in-situ'!ET439</f>
        <v>3</v>
      </c>
    </row>
    <row r="399" spans="1:37" x14ac:dyDescent="0.3">
      <c r="T399" s="113">
        <f>'Data_in-situ'!DN426</f>
        <v>34.4</v>
      </c>
      <c r="U399" s="113">
        <f>'Data_in-situ'!DO426</f>
        <v>38.351847547101421</v>
      </c>
      <c r="V399" s="46">
        <f>'Data_in-situ'!DP426</f>
        <v>4</v>
      </c>
      <c r="W399" s="113">
        <f>'Data_in-situ'!DR426</f>
        <v>-3.0666666666666664</v>
      </c>
      <c r="X399" s="113">
        <f>'Data_in-situ'!DS426</f>
        <v>11.46079663686843</v>
      </c>
      <c r="Y399" s="46">
        <f>'Data_in-situ'!DT426</f>
        <v>4</v>
      </c>
      <c r="Z399" s="113">
        <f>'Data_in-situ'!EA436</f>
        <v>3.5419581632883812</v>
      </c>
      <c r="AA399" s="113">
        <f>'Data_in-situ'!EB436</f>
        <v>380.03451144768485</v>
      </c>
      <c r="AB399" s="46">
        <f>'Data_in-situ'!EC436</f>
        <v>34</v>
      </c>
      <c r="AC399" s="113">
        <f>'Data_in-situ'!EE436</f>
        <v>22.445963773156404</v>
      </c>
      <c r="AD399" s="113">
        <f>'Data_in-situ'!EF436</f>
        <v>202.87353243311873</v>
      </c>
      <c r="AE399" s="46">
        <f>'Data_in-situ'!EG436</f>
        <v>9</v>
      </c>
      <c r="AF399" s="113">
        <f>'Data_in-situ'!EN443</f>
        <v>-9</v>
      </c>
      <c r="AG399" s="113">
        <f>'Data_in-situ'!EO443</f>
        <v>1.9</v>
      </c>
      <c r="AH399" s="110">
        <f>'Data_in-situ'!EP443</f>
        <v>3</v>
      </c>
      <c r="AI399" s="113">
        <f>'Data_in-situ'!ER443</f>
        <v>-37.76</v>
      </c>
      <c r="AJ399" s="113">
        <f>'Data_in-situ'!ES443</f>
        <v>2.68</v>
      </c>
      <c r="AK399" s="110">
        <f>'Data_in-situ'!ET443</f>
        <v>3</v>
      </c>
    </row>
    <row r="400" spans="1:37" x14ac:dyDescent="0.3">
      <c r="T400" s="113">
        <f>'Data_in-situ'!DN427</f>
        <v>34.4</v>
      </c>
      <c r="U400" s="113">
        <f>'Data_in-situ'!DO427</f>
        <v>38.351847547101421</v>
      </c>
      <c r="V400" s="46">
        <f>'Data_in-situ'!DP427</f>
        <v>4</v>
      </c>
      <c r="W400" s="113">
        <f>'Data_in-situ'!DR427</f>
        <v>0.16</v>
      </c>
      <c r="X400" s="113">
        <f>'Data_in-situ'!DS427</f>
        <v>0.5979546071409616</v>
      </c>
      <c r="Y400" s="46">
        <f>'Data_in-situ'!DT427</f>
        <v>4</v>
      </c>
      <c r="Z400" s="113">
        <f>'Data_in-situ'!EA437</f>
        <v>4.07</v>
      </c>
      <c r="AA400" s="113">
        <f>'Data_in-situ'!EB437</f>
        <v>1.72</v>
      </c>
      <c r="AB400" s="46">
        <f>'Data_in-situ'!EC437</f>
        <v>3</v>
      </c>
      <c r="AC400" s="113">
        <f>'Data_in-situ'!EE437</f>
        <v>4.9000000000000004</v>
      </c>
      <c r="AD400" s="113">
        <f>'Data_in-situ'!EF437</f>
        <v>1.52</v>
      </c>
      <c r="AE400" s="46">
        <f>'Data_in-situ'!EG437</f>
        <v>3</v>
      </c>
      <c r="AF400" s="113">
        <f>'Data_in-situ'!EN444</f>
        <v>-15</v>
      </c>
      <c r="AG400" s="113">
        <f>'Data_in-situ'!EO444</f>
        <v>13</v>
      </c>
      <c r="AH400" s="110">
        <f>'Data_in-situ'!EP444</f>
        <v>9836</v>
      </c>
      <c r="AI400" s="113">
        <f>'Data_in-situ'!ER444</f>
        <v>-55</v>
      </c>
      <c r="AJ400" s="113">
        <f>'Data_in-situ'!ES444</f>
        <v>15</v>
      </c>
      <c r="AK400" s="110">
        <f>'Data_in-situ'!ET444</f>
        <v>14736</v>
      </c>
    </row>
    <row r="401" spans="1:37" x14ac:dyDescent="0.3">
      <c r="T401" s="113">
        <f>'Data_in-situ'!DN428</f>
        <v>84.266666666666666</v>
      </c>
      <c r="U401" s="113">
        <f>'Data_in-situ'!DO428</f>
        <v>93.947161433209686</v>
      </c>
      <c r="V401" s="46">
        <f>'Data_in-situ'!DP428</f>
        <v>4</v>
      </c>
      <c r="W401" s="113">
        <f>'Data_in-situ'!DR428</f>
        <v>-1.4666666666666668</v>
      </c>
      <c r="X401" s="113">
        <f>'Data_in-situ'!DS428</f>
        <v>5.4812505654588151</v>
      </c>
      <c r="Y401" s="46">
        <f>'Data_in-situ'!DT428</f>
        <v>4</v>
      </c>
      <c r="Z401" s="113">
        <f>'Data_in-situ'!EA438</f>
        <v>4.07</v>
      </c>
      <c r="AA401" s="113">
        <f>'Data_in-situ'!EB438</f>
        <v>1.72</v>
      </c>
      <c r="AB401" s="46">
        <f>'Data_in-situ'!EC438</f>
        <v>3</v>
      </c>
      <c r="AC401" s="113">
        <f>'Data_in-situ'!EE438</f>
        <v>2.09</v>
      </c>
      <c r="AD401" s="113">
        <f>'Data_in-situ'!EF438</f>
        <v>0.79</v>
      </c>
      <c r="AE401" s="46">
        <f>'Data_in-situ'!EG438</f>
        <v>3</v>
      </c>
      <c r="AF401" s="113">
        <f>'Data_in-situ'!EN445</f>
        <v>6</v>
      </c>
      <c r="AG401" s="113">
        <f>'Data_in-situ'!EO445</f>
        <v>22</v>
      </c>
      <c r="AH401" s="110">
        <f>'Data_in-situ'!EP445</f>
        <v>5</v>
      </c>
      <c r="AI401" s="113">
        <f>'Data_in-situ'!ER445</f>
        <v>-39</v>
      </c>
      <c r="AJ401" s="113">
        <f>'Data_in-situ'!ES445</f>
        <v>15</v>
      </c>
      <c r="AK401" s="110">
        <f>'Data_in-situ'!ET445</f>
        <v>5</v>
      </c>
    </row>
    <row r="402" spans="1:37" x14ac:dyDescent="0.3">
      <c r="T402" s="113">
        <f>'Data_in-situ'!DN429</f>
        <v>16</v>
      </c>
      <c r="U402" s="113">
        <f>'Data_in-situ'!DO429</f>
        <v>17.838068626558801</v>
      </c>
      <c r="V402" s="46">
        <f>'Data_in-situ'!DP429</f>
        <v>4</v>
      </c>
      <c r="W402" s="113">
        <f>'Data_in-situ'!DR429</f>
        <v>-2.36</v>
      </c>
      <c r="X402" s="113">
        <f>'Data_in-situ'!DS429</f>
        <v>8.8198304553291837</v>
      </c>
      <c r="Y402" s="46">
        <f>'Data_in-situ'!DT429</f>
        <v>4</v>
      </c>
      <c r="Z402" s="113">
        <f>'Data_in-situ'!EA439</f>
        <v>1.0999999999999999</v>
      </c>
      <c r="AA402" s="113">
        <f>'Data_in-situ'!EB439</f>
        <v>6.3249746805166405</v>
      </c>
      <c r="AB402" s="46">
        <f>'Data_in-situ'!EC439</f>
        <v>3</v>
      </c>
      <c r="AC402" s="113">
        <f>'Data_in-situ'!EE439</f>
        <v>5.1857142857142851</v>
      </c>
      <c r="AD402" s="113">
        <f>'Data_in-situ'!EF439</f>
        <v>7.7429942220784804</v>
      </c>
      <c r="AE402" s="46">
        <f>'Data_in-situ'!EG439</f>
        <v>3</v>
      </c>
      <c r="AF402" s="113">
        <f>'Data_in-situ'!EN446</f>
        <v>6</v>
      </c>
      <c r="AG402" s="113">
        <f>'Data_in-situ'!EO446</f>
        <v>22</v>
      </c>
      <c r="AH402" s="110">
        <f>'Data_in-situ'!EP446</f>
        <v>5</v>
      </c>
      <c r="AI402" s="113">
        <f>'Data_in-situ'!ER446</f>
        <v>-21</v>
      </c>
      <c r="AJ402" s="113">
        <f>'Data_in-situ'!ES446</f>
        <v>18</v>
      </c>
      <c r="AK402" s="110">
        <f>'Data_in-situ'!ET446</f>
        <v>5</v>
      </c>
    </row>
    <row r="403" spans="1:37" x14ac:dyDescent="0.3">
      <c r="T403" s="113">
        <f>'Data_in-situ'!DN430</f>
        <v>11.866666666666667</v>
      </c>
      <c r="U403" s="113">
        <f>'Data_in-situ'!DO430</f>
        <v>13.229900898031111</v>
      </c>
      <c r="V403" s="46">
        <f>'Data_in-situ'!DP430</f>
        <v>4</v>
      </c>
      <c r="W403" s="113">
        <f>'Data_in-situ'!DR430</f>
        <v>-0.6</v>
      </c>
      <c r="X403" s="113">
        <f>'Data_in-situ'!DS430</f>
        <v>2.2423297767786057</v>
      </c>
      <c r="Y403" s="46">
        <f>'Data_in-situ'!DT430</f>
        <v>4</v>
      </c>
      <c r="Z403" s="113">
        <f>'Data_in-situ'!EA442</f>
        <v>0.3</v>
      </c>
      <c r="AA403" s="113">
        <f>'Data_in-situ'!EB442</f>
        <v>0.35</v>
      </c>
      <c r="AB403" s="46">
        <f>'Data_in-situ'!EC442</f>
        <v>6</v>
      </c>
      <c r="AC403" s="113">
        <f>'Data_in-situ'!EE442</f>
        <v>1.5</v>
      </c>
      <c r="AD403" s="113">
        <f>'Data_in-situ'!EF442</f>
        <v>0.6</v>
      </c>
      <c r="AE403" s="46">
        <f>'Data_in-situ'!EG442</f>
        <v>6</v>
      </c>
    </row>
    <row r="404" spans="1:37" x14ac:dyDescent="0.3">
      <c r="T404" s="113">
        <f>'Data_in-situ'!DN431</f>
        <v>21.066666666666666</v>
      </c>
      <c r="U404" s="113">
        <f>'Data_in-situ'!DO431</f>
        <v>23.486790358302422</v>
      </c>
      <c r="V404" s="46">
        <f>'Data_in-situ'!DP431</f>
        <v>4</v>
      </c>
      <c r="W404" s="113">
        <f>'Data_in-situ'!DR431</f>
        <v>-2.48</v>
      </c>
      <c r="X404" s="113">
        <f>'Data_in-situ'!DS431</f>
        <v>9.2682964106849042</v>
      </c>
      <c r="Y404" s="46">
        <f>'Data_in-situ'!DT431</f>
        <v>4</v>
      </c>
      <c r="Z404" s="113">
        <f>'Data_in-situ'!EA443</f>
        <v>0.3</v>
      </c>
      <c r="AA404" s="113">
        <f>'Data_in-situ'!EB443</f>
        <v>0.35</v>
      </c>
      <c r="AB404" s="46">
        <f>'Data_in-situ'!EC443</f>
        <v>6</v>
      </c>
      <c r="AC404" s="113">
        <f>'Data_in-situ'!EE443</f>
        <v>37.700000000000003</v>
      </c>
      <c r="AD404" s="113">
        <f>'Data_in-situ'!EF443</f>
        <v>2.95</v>
      </c>
      <c r="AE404" s="46">
        <f>'Data_in-situ'!EG443</f>
        <v>4</v>
      </c>
    </row>
    <row r="405" spans="1:37" x14ac:dyDescent="0.3">
      <c r="T405" s="113">
        <f>'Data_in-situ'!DN436</f>
        <v>1745.8411157183666</v>
      </c>
      <c r="U405" s="113">
        <f>'Data_in-situ'!DO436</f>
        <v>3724.2538477145881</v>
      </c>
      <c r="V405" s="46">
        <f>'Data_in-situ'!DP436</f>
        <v>34</v>
      </c>
      <c r="W405" s="113">
        <f>'Data_in-situ'!DR436</f>
        <v>-3.7758090112974552</v>
      </c>
      <c r="X405" s="113">
        <f>'Data_in-situ'!DS436</f>
        <v>115.31009388698878</v>
      </c>
      <c r="Y405" s="46">
        <f>'Data_in-situ'!DT436</f>
        <v>9</v>
      </c>
      <c r="Z405" s="113">
        <f>'Data_in-situ'!EA444</f>
        <v>-0.35536232754524372</v>
      </c>
      <c r="AA405" s="113">
        <f>'Data_in-situ'!EB444</f>
        <v>38.250757143327704</v>
      </c>
      <c r="AB405" s="46">
        <f>'Data_in-situ'!EC444</f>
        <v>46</v>
      </c>
      <c r="AC405" s="113">
        <f>'Data_in-situ'!EE444</f>
        <v>20.199714045305026</v>
      </c>
      <c r="AD405" s="113">
        <f>'Data_in-situ'!EF444</f>
        <v>184.05347959835046</v>
      </c>
      <c r="AE405" s="46">
        <f>'Data_in-situ'!EG444</f>
        <v>53</v>
      </c>
    </row>
    <row r="406" spans="1:37" x14ac:dyDescent="0.3">
      <c r="T406" s="113">
        <f>'Data_in-situ'!DN437</f>
        <v>199.12</v>
      </c>
      <c r="U406" s="113">
        <f>'Data_in-situ'!DO437</f>
        <v>39.04</v>
      </c>
      <c r="V406" s="46">
        <f>'Data_in-situ'!DP437</f>
        <v>3</v>
      </c>
      <c r="W406" s="113">
        <f>'Data_in-situ'!DR437</f>
        <v>-1.37</v>
      </c>
      <c r="X406" s="113">
        <f>'Data_in-situ'!DS437</f>
        <v>0.68</v>
      </c>
      <c r="Y406" s="46">
        <f>'Data_in-situ'!DT437</f>
        <v>3</v>
      </c>
    </row>
    <row r="407" spans="1:37" x14ac:dyDescent="0.3">
      <c r="T407" s="113">
        <f>'Data_in-situ'!DN438</f>
        <v>199.12</v>
      </c>
      <c r="U407" s="113">
        <f>'Data_in-situ'!DO438</f>
        <v>39.04</v>
      </c>
      <c r="V407" s="46">
        <f>'Data_in-situ'!DP438</f>
        <v>3</v>
      </c>
      <c r="W407" s="113">
        <f>'Data_in-situ'!DR438</f>
        <v>94.82</v>
      </c>
      <c r="X407" s="113">
        <f>'Data_in-situ'!DS438</f>
        <v>9.86</v>
      </c>
      <c r="Y407" s="46">
        <f>'Data_in-situ'!DT438</f>
        <v>3</v>
      </c>
    </row>
    <row r="408" spans="1:37" x14ac:dyDescent="0.3">
      <c r="T408" s="113">
        <f>'Data_in-situ'!DN442</f>
        <v>172</v>
      </c>
      <c r="U408" s="113">
        <f>'Data_in-situ'!DO442</f>
        <v>22</v>
      </c>
      <c r="V408" s="46">
        <f>'Data_in-situ'!DP442</f>
        <v>6</v>
      </c>
      <c r="W408" s="113">
        <f>'Data_in-situ'!DR442</f>
        <v>-1.4</v>
      </c>
      <c r="X408" s="113">
        <f>'Data_in-situ'!DS442</f>
        <v>1.5</v>
      </c>
      <c r="Y408" s="46">
        <f>'Data_in-situ'!DT442</f>
        <v>6</v>
      </c>
    </row>
    <row r="409" spans="1:37" x14ac:dyDescent="0.3">
      <c r="T409" s="113">
        <f>'Data_in-situ'!DN443</f>
        <v>172</v>
      </c>
      <c r="U409" s="113">
        <f>'Data_in-situ'!DO443</f>
        <v>22</v>
      </c>
      <c r="V409" s="46">
        <f>'Data_in-situ'!DP443</f>
        <v>6</v>
      </c>
      <c r="W409" s="113">
        <f>'Data_in-situ'!DR443</f>
        <v>-0.6</v>
      </c>
      <c r="X409" s="113">
        <f>'Data_in-situ'!DS443</f>
        <v>0.65</v>
      </c>
      <c r="Y409" s="46">
        <f>'Data_in-situ'!DT443</f>
        <v>4</v>
      </c>
    </row>
    <row r="410" spans="1:37" x14ac:dyDescent="0.3">
      <c r="T410" s="113">
        <f>'Data_in-situ'!DN444</f>
        <v>1231.8452874333798</v>
      </c>
      <c r="U410" s="113">
        <f>'Data_in-situ'!DO444</f>
        <v>2386.9642276450431</v>
      </c>
      <c r="V410" s="46">
        <f>'Data_in-situ'!DP444</f>
        <v>46</v>
      </c>
      <c r="W410" s="113">
        <f>'Data_in-situ'!DR444</f>
        <v>23.778911502590674</v>
      </c>
      <c r="X410" s="113">
        <f>'Data_in-situ'!DS444</f>
        <v>31.04286769933886</v>
      </c>
      <c r="Y410" s="46">
        <f>'Data_in-situ'!DT444</f>
        <v>53</v>
      </c>
    </row>
    <row r="411" spans="1:37" x14ac:dyDescent="0.3">
      <c r="T411" s="113">
        <f>'Data_in-situ'!DN445</f>
        <v>434.70588235294116</v>
      </c>
      <c r="U411" s="113">
        <f>'Data_in-situ'!DO445</f>
        <v>437.34858971687066</v>
      </c>
      <c r="V411" s="46">
        <f>'Data_in-situ'!DP445</f>
        <v>5</v>
      </c>
      <c r="W411" s="113">
        <f>'Data_in-situ'!DR445</f>
        <v>78.82352941176471</v>
      </c>
      <c r="X411" s="113">
        <f>'Data_in-situ'!DS445</f>
        <v>78.92004626469847</v>
      </c>
      <c r="Y411" s="46">
        <f>'Data_in-situ'!DT445</f>
        <v>5</v>
      </c>
    </row>
    <row r="412" spans="1:37" x14ac:dyDescent="0.3">
      <c r="T412" s="113">
        <f>'Data_in-situ'!DN446</f>
        <v>434.70588235294116</v>
      </c>
      <c r="U412" s="113">
        <f>'Data_in-situ'!DO446</f>
        <v>437.34858971687066</v>
      </c>
      <c r="V412" s="46">
        <f>'Data_in-situ'!DP446</f>
        <v>5</v>
      </c>
      <c r="W412" s="113">
        <f>'Data_in-situ'!DR446</f>
        <v>225.58823529411765</v>
      </c>
      <c r="X412" s="113">
        <f>'Data_in-situ'!DS446</f>
        <v>225.57979890659644</v>
      </c>
      <c r="Y412" s="46">
        <f>'Data_in-situ'!DT446</f>
        <v>5</v>
      </c>
    </row>
    <row r="414" spans="1:37" x14ac:dyDescent="0.3">
      <c r="B414" s="24" t="e">
        <f>AVERAGEA(B398:B412)</f>
        <v>#DIV/0!</v>
      </c>
      <c r="C414" s="24" t="e">
        <f>STDEVA(B398:B412)/SQRT(COUNT(B398:B412))</f>
        <v>#DIV/0!</v>
      </c>
      <c r="D414" s="46">
        <f>COUNT(B398:B412)</f>
        <v>0</v>
      </c>
      <c r="E414" s="24" t="e">
        <f>AVERAGEA(E398:E412)</f>
        <v>#DIV/0!</v>
      </c>
      <c r="F414" s="24" t="e">
        <f>STDEVA(E398:E412)/SQRT(COUNT(E398:E412))</f>
        <v>#DIV/0!</v>
      </c>
      <c r="G414" s="46">
        <f>COUNT(E398:E412)</f>
        <v>0</v>
      </c>
      <c r="H414" s="24" t="e">
        <f>AVERAGEA(H398:H412)</f>
        <v>#DIV/0!</v>
      </c>
      <c r="I414" s="24" t="e">
        <f>STDEVA(H398:H412)/SQRT(COUNT(H398:H412))</f>
        <v>#DIV/0!</v>
      </c>
      <c r="J414" s="46">
        <f>COUNT(H398:H412)</f>
        <v>0</v>
      </c>
      <c r="K414" s="24" t="e">
        <f>AVERAGEA(K398:K412)</f>
        <v>#DIV/0!</v>
      </c>
      <c r="L414" s="24" t="e">
        <f>STDEVA(K398:K412)/SQRT(COUNT(K398:K412))</f>
        <v>#DIV/0!</v>
      </c>
      <c r="M414" s="46">
        <f>COUNT(K398:K412)</f>
        <v>0</v>
      </c>
      <c r="N414" s="24">
        <f>AVERAGEA(N398:N412)</f>
        <v>-77.5</v>
      </c>
      <c r="O414" s="24" t="e">
        <f>STDEVA(N398:N412)/SQRT(COUNT(N398:N412))</f>
        <v>#DIV/0!</v>
      </c>
      <c r="P414" s="46">
        <f>COUNT(N398:N412)</f>
        <v>1</v>
      </c>
      <c r="Q414" s="24">
        <f>AVERAGEA(Q398:Q412)</f>
        <v>1790</v>
      </c>
      <c r="R414" s="24" t="e">
        <f>STDEVA(Q398:Q412)/SQRT(COUNT(Q398:Q412))</f>
        <v>#DIV/0!</v>
      </c>
      <c r="S414" s="46">
        <f>COUNT(Q398:Q412)</f>
        <v>1</v>
      </c>
      <c r="T414" s="113">
        <f>AVERAGEA(T398:T412)</f>
        <v>327.58587785717526</v>
      </c>
      <c r="U414" s="113">
        <f>STDEVA(T398:T412)/SQRT(COUNT(T398:T412))</f>
        <v>129.05190125849083</v>
      </c>
      <c r="V414" s="46">
        <f>COUNT(T398:T412)</f>
        <v>15</v>
      </c>
      <c r="W414" s="113">
        <f>AVERAGEA(W398:W412)</f>
        <v>27.104102257589481</v>
      </c>
      <c r="X414" s="113">
        <f>STDEVA(W398:W412)/SQRT(COUNT(W398:W412))</f>
        <v>16.28355279264602</v>
      </c>
      <c r="Y414" s="46">
        <f>COUNT(W398:W412)</f>
        <v>15</v>
      </c>
      <c r="Z414" s="113">
        <f>AVERAGEA(Z398:Z412)</f>
        <v>1.6551994794678924</v>
      </c>
      <c r="AA414" s="113">
        <f>STDEVA(Z398:Z412)/SQRT(COUNT(Z398:Z412))</f>
        <v>0.672419571394407</v>
      </c>
      <c r="AB414" s="46">
        <f>COUNT(Z398:Z412)</f>
        <v>8</v>
      </c>
      <c r="AC414" s="113">
        <f>AVERAGEA(AC398:AC412)</f>
        <v>13.357762357084422</v>
      </c>
      <c r="AD414" s="113">
        <f>STDEVA(AC398:AC412)/SQRT(COUNT(AC398:AC412))</f>
        <v>4.4882877308373441</v>
      </c>
      <c r="AE414" s="46">
        <f>COUNT(AC398:AC412)</f>
        <v>8</v>
      </c>
      <c r="AF414" s="113">
        <f>AVERAGEA(AF398:AF412)</f>
        <v>-11.459999999999999</v>
      </c>
      <c r="AG414" s="113">
        <f>STDEVA(AF398:AF412)/SQRT(COUNT(AF398:AF412))</f>
        <v>9.4165598814004241</v>
      </c>
      <c r="AH414" s="46">
        <f>COUNT(AF398:AF412)</f>
        <v>5</v>
      </c>
      <c r="AI414" s="113">
        <f>AVERAGEA(AI398:AI412)</f>
        <v>-42.591999999999999</v>
      </c>
      <c r="AJ414" s="113">
        <f>STDEVA(AI398:AI412)/SQRT(COUNT(AI398:AI412))</f>
        <v>6.9514936524462083</v>
      </c>
      <c r="AK414" s="46">
        <f>COUNT(AI398:AI412)</f>
        <v>5</v>
      </c>
    </row>
    <row r="416" spans="1:37" ht="15.6" x14ac:dyDescent="0.3">
      <c r="A416" s="12" t="s">
        <v>54</v>
      </c>
      <c r="B416" s="24">
        <f>'Data_in-situ'!CA128</f>
        <v>-30804.409295502097</v>
      </c>
      <c r="C416" s="24">
        <f>'Data_in-situ'!CB128</f>
        <v>7508.6897887327168</v>
      </c>
      <c r="D416" s="46">
        <f>'Data_in-situ'!CC128</f>
        <v>48</v>
      </c>
      <c r="E416" s="24">
        <f>'Data_in-situ'!CE128</f>
        <v>-23917.078756679508</v>
      </c>
      <c r="F416" s="24">
        <f>'Data_in-situ'!CF128</f>
        <v>4465.2242350151555</v>
      </c>
      <c r="G416" s="46">
        <f>'Data_in-situ'!CG128</f>
        <v>48</v>
      </c>
      <c r="H416" s="24">
        <f>'Data_in-situ'!CN128</f>
        <v>25786.496613792402</v>
      </c>
      <c r="I416" s="24">
        <f>'Data_in-situ'!CO128</f>
        <v>7450.7457504082913</v>
      </c>
      <c r="J416" s="46">
        <f>'Data_in-situ'!CP128</f>
        <v>48</v>
      </c>
      <c r="K416" s="24">
        <f>'Data_in-situ'!CR128</f>
        <v>19674.213717161841</v>
      </c>
      <c r="L416" s="24">
        <f>'Data_in-situ'!CS128</f>
        <v>4051.362841738935</v>
      </c>
      <c r="M416" s="46">
        <f>'Data_in-situ'!CT128</f>
        <v>48</v>
      </c>
      <c r="N416" s="24">
        <f>'Data_in-situ'!DA2</f>
        <v>-2080</v>
      </c>
      <c r="O416" s="24">
        <f>'Data_in-situ'!DB2</f>
        <v>200</v>
      </c>
      <c r="P416" s="46">
        <f>'Data_in-situ'!DC2</f>
        <v>4</v>
      </c>
      <c r="Q416" s="24">
        <f>'Data_in-situ'!DE2</f>
        <v>-720</v>
      </c>
      <c r="R416" s="24">
        <f>'Data_in-situ'!DF2</f>
        <v>580</v>
      </c>
      <c r="S416" s="46">
        <f>'Data_in-situ'!DG2</f>
        <v>4</v>
      </c>
      <c r="T416" s="113">
        <f>'Data_in-situ'!DN2</f>
        <v>155.93</v>
      </c>
      <c r="U416" s="113">
        <f>'Data_in-situ'!DO2</f>
        <v>91.89</v>
      </c>
      <c r="V416" s="46">
        <f>'Data_in-situ'!DP2</f>
        <v>3</v>
      </c>
      <c r="W416" s="113">
        <f>'Data_in-situ'!DR2</f>
        <v>-0.52095000000000002</v>
      </c>
      <c r="X416" s="113">
        <f>'Data_in-situ'!DS2</f>
        <v>0.42061931719786716</v>
      </c>
      <c r="Y416" s="46">
        <f>'Data_in-situ'!DT2</f>
        <v>3</v>
      </c>
      <c r="Z416" s="113">
        <f>'Data_in-situ'!EA8</f>
        <v>9.3216878849518445E-2</v>
      </c>
      <c r="AA416" s="113">
        <f>'Data_in-situ'!EB8</f>
        <v>0.20553512952136199</v>
      </c>
      <c r="AB416" s="46">
        <f>'Data_in-situ'!EC8</f>
        <v>3</v>
      </c>
      <c r="AC416" s="113">
        <f>'Data_in-situ'!EE8</f>
        <v>1.1634570510397673</v>
      </c>
      <c r="AD416" s="113">
        <f>'Data_in-situ'!EF8</f>
        <v>0.38922612585728023</v>
      </c>
      <c r="AE416" s="46">
        <f>'Data_in-situ'!EG8</f>
        <v>3</v>
      </c>
      <c r="AF416" s="113">
        <f>'Data_in-situ'!EN18</f>
        <v>-6.17</v>
      </c>
      <c r="AG416" s="113">
        <f>'Data_in-situ'!EO18</f>
        <v>1.6</v>
      </c>
      <c r="AH416" s="110">
        <f>'Data_in-situ'!EP18</f>
        <v>3</v>
      </c>
      <c r="AI416" s="113">
        <f>'Data_in-situ'!ER18</f>
        <v>-32.340000000000003</v>
      </c>
      <c r="AJ416" s="113">
        <f>'Data_in-situ'!ES18</f>
        <v>1.06</v>
      </c>
      <c r="AK416" s="110">
        <f>'Data_in-situ'!ET18</f>
        <v>3</v>
      </c>
    </row>
    <row r="417" spans="2:37" x14ac:dyDescent="0.3">
      <c r="B417" s="24">
        <f>'Data_in-situ'!CA129</f>
        <v>-30804.409295502097</v>
      </c>
      <c r="C417" s="24">
        <f>'Data_in-situ'!CB129</f>
        <v>7508.6897887327168</v>
      </c>
      <c r="D417" s="46">
        <f>'Data_in-situ'!CC129</f>
        <v>48</v>
      </c>
      <c r="E417" s="24">
        <f>'Data_in-situ'!CE129</f>
        <v>-22424.619825270362</v>
      </c>
      <c r="F417" s="24">
        <f>'Data_in-situ'!CF129</f>
        <v>7078.0868325420652</v>
      </c>
      <c r="G417" s="46">
        <f>'Data_in-situ'!CG129</f>
        <v>48</v>
      </c>
      <c r="H417" s="24">
        <f>'Data_in-situ'!CN129</f>
        <v>25786.496613792402</v>
      </c>
      <c r="I417" s="24">
        <f>'Data_in-situ'!CO129</f>
        <v>7450.7457504082913</v>
      </c>
      <c r="J417" s="46">
        <f>'Data_in-situ'!CP129</f>
        <v>48</v>
      </c>
      <c r="K417" s="24">
        <f>'Data_in-situ'!CR129</f>
        <v>34101.631064272638</v>
      </c>
      <c r="L417" s="24">
        <f>'Data_in-situ'!CS129</f>
        <v>6764.0540443406962</v>
      </c>
      <c r="M417" s="46">
        <f>'Data_in-situ'!CT129</f>
        <v>48</v>
      </c>
      <c r="N417" s="24">
        <f>'Data_in-situ'!DA3</f>
        <v>-2080</v>
      </c>
      <c r="O417" s="24">
        <f>'Data_in-situ'!DB3</f>
        <v>200</v>
      </c>
      <c r="P417" s="46">
        <f>'Data_in-situ'!DC3</f>
        <v>4</v>
      </c>
      <c r="Q417" s="24">
        <f>'Data_in-situ'!DE3</f>
        <v>-1200</v>
      </c>
      <c r="R417" s="24">
        <f>'Data_in-situ'!DF3</f>
        <v>800</v>
      </c>
      <c r="S417" s="46">
        <f>'Data_in-situ'!DG3</f>
        <v>4</v>
      </c>
      <c r="T417" s="113">
        <f>'Data_in-situ'!DN3</f>
        <v>155.93</v>
      </c>
      <c r="U417" s="113">
        <f>'Data_in-situ'!DO3</f>
        <v>91.89</v>
      </c>
      <c r="V417" s="46">
        <f>'Data_in-situ'!DP3</f>
        <v>3</v>
      </c>
      <c r="W417" s="113">
        <f>'Data_in-situ'!DR3</f>
        <v>-0.50150000000000006</v>
      </c>
      <c r="X417" s="113">
        <f>'Data_in-situ'!DS3</f>
        <v>0.69631979003903077</v>
      </c>
      <c r="Y417" s="46">
        <f>'Data_in-situ'!DT3</f>
        <v>3</v>
      </c>
      <c r="Z417" s="113">
        <f>'Data_in-situ'!EA9</f>
        <v>9.3216878849518445E-2</v>
      </c>
      <c r="AA417" s="113">
        <f>'Data_in-situ'!EB9</f>
        <v>0.20553512952136199</v>
      </c>
      <c r="AB417" s="46">
        <f>'Data_in-situ'!EC9</f>
        <v>3</v>
      </c>
      <c r="AC417" s="113">
        <f>'Data_in-situ'!EE9</f>
        <v>1.6177151825214293</v>
      </c>
      <c r="AD417" s="113">
        <f>'Data_in-situ'!EF9</f>
        <v>0.53878192787841905</v>
      </c>
      <c r="AE417" s="46">
        <f>'Data_in-situ'!EG9</f>
        <v>3</v>
      </c>
      <c r="AF417" s="113">
        <f>'Data_in-situ'!EN19</f>
        <v>-6.17</v>
      </c>
      <c r="AG417" s="113">
        <f>'Data_in-situ'!EO19</f>
        <v>1.6</v>
      </c>
      <c r="AH417" s="110">
        <f>'Data_in-situ'!EP19</f>
        <v>3</v>
      </c>
      <c r="AI417" s="113">
        <f>'Data_in-situ'!ER19</f>
        <v>-37.89</v>
      </c>
      <c r="AJ417" s="113">
        <f>'Data_in-situ'!ES19</f>
        <v>1.4</v>
      </c>
      <c r="AK417" s="110">
        <f>'Data_in-situ'!ET19</f>
        <v>3</v>
      </c>
    </row>
    <row r="418" spans="2:37" x14ac:dyDescent="0.3">
      <c r="B418" s="24">
        <f>'Data_in-situ'!CA130</f>
        <v>-39843.491213361398</v>
      </c>
      <c r="C418" s="24">
        <f>'Data_in-situ'!CB130</f>
        <v>12909.471724359584</v>
      </c>
      <c r="D418" s="46">
        <f>'Data_in-situ'!CC130</f>
        <v>66</v>
      </c>
      <c r="E418" s="24">
        <f>'Data_in-situ'!CE130</f>
        <v>-35035.77220338145</v>
      </c>
      <c r="F418" s="24">
        <f>'Data_in-situ'!CF130</f>
        <v>6481.9820713073177</v>
      </c>
      <c r="G418" s="46">
        <f>'Data_in-situ'!CG130</f>
        <v>66</v>
      </c>
      <c r="H418" s="24">
        <f>'Data_in-situ'!CN130</f>
        <v>35408.568959456847</v>
      </c>
      <c r="I418" s="24">
        <f>'Data_in-situ'!CO130</f>
        <v>12878.668982057387</v>
      </c>
      <c r="J418" s="46">
        <f>'Data_in-situ'!CP130</f>
        <v>66</v>
      </c>
      <c r="K418" s="24">
        <f>'Data_in-situ'!CR130</f>
        <v>26888.134502472181</v>
      </c>
      <c r="L418" s="24">
        <f>'Data_in-situ'!CS130</f>
        <v>6047.8746396959068</v>
      </c>
      <c r="M418" s="46">
        <f>'Data_in-situ'!CT130</f>
        <v>66</v>
      </c>
      <c r="N418" s="24">
        <f>'Data_in-situ'!DA128</f>
        <v>-5017.9126817096931</v>
      </c>
      <c r="O418" s="24">
        <f>'Data_in-situ'!DB128</f>
        <v>931.02637244697166</v>
      </c>
      <c r="P418" s="46">
        <f>'Data_in-situ'!DC128</f>
        <v>48</v>
      </c>
      <c r="Q418" s="24">
        <f>'Data_in-situ'!DE128</f>
        <v>-4242.8650395176674</v>
      </c>
      <c r="R418" s="24">
        <f>'Data_in-situ'!DF128</f>
        <v>1877.4148698526124</v>
      </c>
      <c r="S418" s="46">
        <f>'Data_in-situ'!DG128</f>
        <v>48</v>
      </c>
      <c r="T418" s="113">
        <f>'Data_in-situ'!DN4</f>
        <v>155.93</v>
      </c>
      <c r="U418" s="113">
        <f>'Data_in-situ'!DO4</f>
        <v>91.89</v>
      </c>
      <c r="V418" s="46">
        <f>'Data_in-situ'!DP4</f>
        <v>3</v>
      </c>
      <c r="W418" s="113">
        <f>'Data_in-situ'!DR4</f>
        <v>-0.61299999999999999</v>
      </c>
      <c r="X418" s="113">
        <f>'Data_in-situ'!DS4</f>
        <v>0.52600000000000002</v>
      </c>
      <c r="Y418" s="46">
        <f>'Data_in-situ'!DT4</f>
        <v>3</v>
      </c>
      <c r="Z418" s="113">
        <f>'Data_in-situ'!EA10</f>
        <v>0.10912682734488738</v>
      </c>
      <c r="AA418" s="113">
        <f>'Data_in-situ'!EB10</f>
        <v>0.23951135746402341</v>
      </c>
      <c r="AB418" s="46">
        <f>'Data_in-situ'!EC10</f>
        <v>3</v>
      </c>
      <c r="AC418" s="113">
        <f>'Data_in-situ'!EE10</f>
        <v>1.8711108749125607</v>
      </c>
      <c r="AD418" s="113">
        <f>'Data_in-situ'!EF10</f>
        <v>1.1438689414400234</v>
      </c>
      <c r="AE418" s="46">
        <f>'Data_in-situ'!EG10</f>
        <v>3</v>
      </c>
      <c r="AF418" s="113">
        <f>'Data_in-situ'!EN20</f>
        <v>-20.329999999999998</v>
      </c>
      <c r="AG418" s="113">
        <f>'Data_in-situ'!EO20</f>
        <v>2.57</v>
      </c>
      <c r="AH418" s="110">
        <f>'Data_in-situ'!EP20</f>
        <v>3</v>
      </c>
      <c r="AI418" s="113">
        <f>'Data_in-situ'!ER20</f>
        <v>-32.340000000000003</v>
      </c>
      <c r="AJ418" s="113">
        <f>'Data_in-situ'!ES20</f>
        <v>1.06</v>
      </c>
      <c r="AK418" s="110">
        <f>'Data_in-situ'!ET20</f>
        <v>3</v>
      </c>
    </row>
    <row r="419" spans="2:37" x14ac:dyDescent="0.3">
      <c r="B419" s="24">
        <f>'Data_in-situ'!CA131</f>
        <v>-39843.491213361398</v>
      </c>
      <c r="C419" s="24">
        <f>'Data_in-situ'!CB131</f>
        <v>12909.471724359584</v>
      </c>
      <c r="D419" s="46">
        <f>'Data_in-situ'!CC131</f>
        <v>66</v>
      </c>
      <c r="E419" s="24">
        <f>'Data_in-situ'!CE131</f>
        <v>-47094.824204889017</v>
      </c>
      <c r="F419" s="24">
        <f>'Data_in-situ'!CF131</f>
        <v>13325.726368768714</v>
      </c>
      <c r="G419" s="46">
        <f>'Data_in-situ'!CG131</f>
        <v>66</v>
      </c>
      <c r="H419" s="24">
        <f>'Data_in-situ'!CN131</f>
        <v>35408.568959456847</v>
      </c>
      <c r="I419" s="24">
        <f>'Data_in-situ'!CO131</f>
        <v>12878.668982057387</v>
      </c>
      <c r="J419" s="46">
        <f>'Data_in-situ'!CP131</f>
        <v>66</v>
      </c>
      <c r="K419" s="24">
        <f>'Data_in-situ'!CR131</f>
        <v>52464.145688921722</v>
      </c>
      <c r="L419" s="24">
        <f>'Data_in-situ'!CS131</f>
        <v>12723.425553607172</v>
      </c>
      <c r="M419" s="46">
        <f>'Data_in-situ'!CT131</f>
        <v>66</v>
      </c>
      <c r="N419" s="24">
        <f>'Data_in-situ'!DA129</f>
        <v>-5017.9126817096931</v>
      </c>
      <c r="O419" s="24">
        <f>'Data_in-situ'!DB129</f>
        <v>931.02637244697166</v>
      </c>
      <c r="P419" s="46">
        <f>'Data_in-situ'!DC129</f>
        <v>48</v>
      </c>
      <c r="Q419" s="24">
        <f>'Data_in-situ'!DE129</f>
        <v>11677.011239002279</v>
      </c>
      <c r="R419" s="24">
        <f>'Data_in-situ'!DF129</f>
        <v>2084.9187260523231</v>
      </c>
      <c r="S419" s="46">
        <f>'Data_in-situ'!DG129</f>
        <v>48</v>
      </c>
      <c r="T419" s="113">
        <f>'Data_in-situ'!DN5</f>
        <v>155.93</v>
      </c>
      <c r="U419" s="113">
        <f>'Data_in-situ'!DO5</f>
        <v>91.89</v>
      </c>
      <c r="V419" s="46">
        <f>'Data_in-situ'!DP5</f>
        <v>3</v>
      </c>
      <c r="W419" s="113">
        <f>'Data_in-situ'!DR5</f>
        <v>-0.35</v>
      </c>
      <c r="X419" s="113">
        <f>'Data_in-situ'!DS5</f>
        <v>0.70099999999999996</v>
      </c>
      <c r="Y419" s="46">
        <f>'Data_in-situ'!DT5</f>
        <v>3</v>
      </c>
      <c r="Z419" s="113">
        <f>'Data_in-situ'!EA11</f>
        <v>0.10912682734488738</v>
      </c>
      <c r="AA419" s="113">
        <f>'Data_in-situ'!EB11</f>
        <v>0.23951135746402341</v>
      </c>
      <c r="AB419" s="46">
        <f>'Data_in-situ'!EC11</f>
        <v>3</v>
      </c>
      <c r="AC419" s="113">
        <f>'Data_in-situ'!EE11</f>
        <v>0.2673015535589372</v>
      </c>
      <c r="AD419" s="113">
        <f>'Data_in-situ'!EF11</f>
        <v>0.16021073937933927</v>
      </c>
      <c r="AE419" s="46">
        <f>'Data_in-situ'!EG11</f>
        <v>3</v>
      </c>
      <c r="AF419" s="113">
        <f>'Data_in-situ'!EN21</f>
        <v>-20.329999999999998</v>
      </c>
      <c r="AG419" s="113">
        <f>'Data_in-situ'!EO21</f>
        <v>2.57</v>
      </c>
      <c r="AH419" s="110">
        <f>'Data_in-situ'!EP21</f>
        <v>3</v>
      </c>
      <c r="AI419" s="113">
        <f>'Data_in-situ'!ER21</f>
        <v>-37.89</v>
      </c>
      <c r="AJ419" s="113">
        <f>'Data_in-situ'!ES21</f>
        <v>1.4</v>
      </c>
      <c r="AK419" s="110">
        <f>'Data_in-situ'!ET21</f>
        <v>3</v>
      </c>
    </row>
    <row r="420" spans="2:37" x14ac:dyDescent="0.3">
      <c r="B420" s="24">
        <f>'Data_in-situ'!CA132</f>
        <v>-16584.165556391476</v>
      </c>
      <c r="C420" s="24">
        <f>'Data_in-situ'!CB132</f>
        <v>3505.6021221629076</v>
      </c>
      <c r="D420" s="46">
        <f>'Data_in-situ'!CC132</f>
        <v>57</v>
      </c>
      <c r="E420" s="24">
        <f>'Data_in-situ'!CE132</f>
        <v>-18655.544302064984</v>
      </c>
      <c r="F420" s="24">
        <f>'Data_in-situ'!CF132</f>
        <v>9333.8389055230891</v>
      </c>
      <c r="G420" s="46">
        <f>'Data_in-situ'!CG132</f>
        <v>57</v>
      </c>
      <c r="H420" s="24">
        <f>'Data_in-situ'!CN132</f>
        <v>12315.894090129594</v>
      </c>
      <c r="I420" s="24">
        <f>'Data_in-situ'!CO132</f>
        <v>3346.1883831600085</v>
      </c>
      <c r="J420" s="46">
        <f>'Data_in-situ'!CP132</f>
        <v>57</v>
      </c>
      <c r="K420" s="24">
        <f>'Data_in-situ'!CR132</f>
        <v>12460.292931851514</v>
      </c>
      <c r="L420" s="24">
        <f>'Data_in-situ'!CS132</f>
        <v>2060.2193631794362</v>
      </c>
      <c r="M420" s="46">
        <f>'Data_in-situ'!CT132</f>
        <v>57</v>
      </c>
      <c r="N420" s="24">
        <f>'Data_in-situ'!DA130</f>
        <v>-4434.9222539045541</v>
      </c>
      <c r="O420" s="24">
        <f>'Data_in-situ'!DB130</f>
        <v>891.2605974868037</v>
      </c>
      <c r="P420" s="46">
        <f>'Data_in-situ'!DC130</f>
        <v>66</v>
      </c>
      <c r="Q420" s="24">
        <f>'Data_in-situ'!DE130</f>
        <v>-8147.6377009092694</v>
      </c>
      <c r="R420" s="24">
        <f>'Data_in-situ'!DF130</f>
        <v>2332.2315312319697</v>
      </c>
      <c r="S420" s="46">
        <f>'Data_in-situ'!DG130</f>
        <v>66</v>
      </c>
      <c r="T420" s="113">
        <f>'Data_in-situ'!DN6</f>
        <v>155.93</v>
      </c>
      <c r="U420" s="113">
        <f>'Data_in-situ'!DO6</f>
        <v>91.89</v>
      </c>
      <c r="V420" s="46">
        <f>'Data_in-situ'!DP6</f>
        <v>3</v>
      </c>
      <c r="W420" s="113">
        <f>'Data_in-situ'!DR6</f>
        <v>-0.96399999999999997</v>
      </c>
      <c r="X420" s="113">
        <f>'Data_in-situ'!DS6</f>
        <v>0.26300000000000001</v>
      </c>
      <c r="Y420" s="46">
        <f>'Data_in-situ'!DT6</f>
        <v>3</v>
      </c>
      <c r="Z420" s="113">
        <f>'Data_in-situ'!EA12</f>
        <v>0.10912682734488738</v>
      </c>
      <c r="AA420" s="113">
        <f>'Data_in-situ'!EB12</f>
        <v>0.23951135746402341</v>
      </c>
      <c r="AB420" s="46">
        <f>'Data_in-situ'!EC12</f>
        <v>3</v>
      </c>
      <c r="AC420" s="113">
        <f>'Data_in-situ'!EE12</f>
        <v>1.6305394767095169</v>
      </c>
      <c r="AD420" s="113">
        <f>'Data_in-situ'!EF12</f>
        <v>0.96616422362470822</v>
      </c>
      <c r="AE420" s="46">
        <f>'Data_in-situ'!EG12</f>
        <v>3</v>
      </c>
      <c r="AF420" s="113">
        <f>'Data_in-situ'!EN22</f>
        <v>-6.17</v>
      </c>
      <c r="AG420" s="113">
        <f>'Data_in-situ'!EO22</f>
        <v>1.6</v>
      </c>
      <c r="AH420" s="110">
        <f>'Data_in-situ'!EP22</f>
        <v>3</v>
      </c>
      <c r="AI420" s="113">
        <f>'Data_in-situ'!ER22</f>
        <v>-40</v>
      </c>
      <c r="AJ420" s="113">
        <f>'Data_in-situ'!ES22</f>
        <v>0</v>
      </c>
      <c r="AK420" s="110">
        <f>'Data_in-situ'!ET22</f>
        <v>3</v>
      </c>
    </row>
    <row r="421" spans="2:37" x14ac:dyDescent="0.3">
      <c r="B421" s="24">
        <f>'Data_in-situ'!CA133</f>
        <v>-16584.165556391476</v>
      </c>
      <c r="C421" s="24">
        <f>'Data_in-situ'!CB133</f>
        <v>3505.6021221629076</v>
      </c>
      <c r="D421" s="46">
        <f>'Data_in-situ'!CC133</f>
        <v>57</v>
      </c>
      <c r="E421" s="24">
        <f>'Data_in-situ'!CE133</f>
        <v>-16893.314446670054</v>
      </c>
      <c r="F421" s="24">
        <f>'Data_in-situ'!CF133</f>
        <v>9325.4215781383391</v>
      </c>
      <c r="G421" s="46">
        <f>'Data_in-situ'!CG133</f>
        <v>57</v>
      </c>
      <c r="H421" s="24">
        <f>'Data_in-situ'!CN133</f>
        <v>12315.894090129594</v>
      </c>
      <c r="I421" s="24">
        <f>'Data_in-situ'!CO133</f>
        <v>3346.1883831600085</v>
      </c>
      <c r="J421" s="46">
        <f>'Data_in-situ'!CP133</f>
        <v>57</v>
      </c>
      <c r="K421" s="24">
        <f>'Data_in-situ'!CR133</f>
        <v>11148.593839338751</v>
      </c>
      <c r="L421" s="24">
        <f>'Data_in-situ'!CS133</f>
        <v>2042.0451589318177</v>
      </c>
      <c r="M421" s="46">
        <f>'Data_in-situ'!CT133</f>
        <v>57</v>
      </c>
      <c r="N421" s="24">
        <f>'Data_in-situ'!DA131</f>
        <v>-4434.9222539045541</v>
      </c>
      <c r="O421" s="24">
        <f>'Data_in-situ'!DB131</f>
        <v>891.2605974868037</v>
      </c>
      <c r="P421" s="46">
        <f>'Data_in-situ'!DC131</f>
        <v>66</v>
      </c>
      <c r="Q421" s="24">
        <f>'Data_in-situ'!DE131</f>
        <v>5369.3214840327073</v>
      </c>
      <c r="R421" s="24">
        <f>'Data_in-situ'!DF131</f>
        <v>3960.9879370068538</v>
      </c>
      <c r="S421" s="46">
        <f>'Data_in-situ'!DG131</f>
        <v>66</v>
      </c>
      <c r="T421" s="113">
        <f>'Data_in-situ'!DN7</f>
        <v>155.93</v>
      </c>
      <c r="U421" s="113">
        <f>'Data_in-situ'!DO7</f>
        <v>91.89</v>
      </c>
      <c r="V421" s="46">
        <f>'Data_in-situ'!DP7</f>
        <v>3</v>
      </c>
      <c r="W421" s="113">
        <f>'Data_in-situ'!DR7</f>
        <v>0.35</v>
      </c>
      <c r="X421" s="113">
        <f>'Data_in-situ'!DS7</f>
        <v>1.927</v>
      </c>
      <c r="Y421" s="46">
        <f>'Data_in-situ'!DT7</f>
        <v>3</v>
      </c>
      <c r="Z421" s="113">
        <f>'Data_in-situ'!EA13</f>
        <v>0.10912682734488738</v>
      </c>
      <c r="AA421" s="113">
        <f>'Data_in-situ'!EB13</f>
        <v>0.23951135746402341</v>
      </c>
      <c r="AB421" s="46">
        <f>'Data_in-situ'!EC13</f>
        <v>3</v>
      </c>
      <c r="AC421" s="113">
        <f>'Data_in-situ'!EE13</f>
        <v>2.1116822731156044</v>
      </c>
      <c r="AD421" s="113">
        <f>'Data_in-situ'!EF13</f>
        <v>0.9849415206790767</v>
      </c>
      <c r="AE421" s="46">
        <f>'Data_in-situ'!EG13</f>
        <v>3</v>
      </c>
      <c r="AF421" s="113">
        <f>'Data_in-situ'!EN23</f>
        <v>-6.17</v>
      </c>
      <c r="AG421" s="113">
        <f>'Data_in-situ'!EO23</f>
        <v>1.6</v>
      </c>
      <c r="AH421" s="110">
        <f>'Data_in-situ'!EP23</f>
        <v>3</v>
      </c>
      <c r="AI421" s="113">
        <f>'Data_in-situ'!ER23</f>
        <v>-14.475524475524482</v>
      </c>
      <c r="AJ421" s="113">
        <f>'Data_in-situ'!ES23</f>
        <v>3.4828674393339902</v>
      </c>
      <c r="AK421" s="110">
        <f>'Data_in-situ'!ET23</f>
        <v>3</v>
      </c>
    </row>
    <row r="422" spans="2:37" x14ac:dyDescent="0.3">
      <c r="B422" s="24">
        <f>'Data_in-situ'!CA246</f>
        <v>-129103.33333333334</v>
      </c>
      <c r="C422" s="24">
        <f>'Data_in-situ'!CB246</f>
        <v>31476.743163089086</v>
      </c>
      <c r="D422" s="46">
        <f>'Data_in-situ'!CC246</f>
        <v>1</v>
      </c>
      <c r="E422" s="24">
        <f>'Data_in-situ'!CE246</f>
        <v>-116380</v>
      </c>
      <c r="F422" s="24">
        <f>'Data_in-situ'!CF246</f>
        <v>43324.677444112938</v>
      </c>
      <c r="G422" s="46">
        <f>'Data_in-situ'!CG246</f>
        <v>1</v>
      </c>
      <c r="H422" s="24">
        <f>'Data_in-situ'!CN246</f>
        <v>136436.66666666666</v>
      </c>
      <c r="I422" s="24">
        <f>'Data_in-situ'!CO246</f>
        <v>39242.911350487644</v>
      </c>
      <c r="J422" s="46">
        <f>'Data_in-situ'!CP246</f>
        <v>1</v>
      </c>
      <c r="K422" s="24">
        <f>'Data_in-situ'!CR246</f>
        <v>134603.33333333334</v>
      </c>
      <c r="L422" s="24">
        <f>'Data_in-situ'!CS246</f>
        <v>35318.726117508595</v>
      </c>
      <c r="M422" s="46">
        <f>'Data_in-situ'!CT246</f>
        <v>1</v>
      </c>
      <c r="N422" s="24">
        <f>'Data_in-situ'!DA132</f>
        <v>-4268.271466261881</v>
      </c>
      <c r="O422" s="24">
        <f>'Data_in-situ'!DB132</f>
        <v>1045.11699982255</v>
      </c>
      <c r="P422" s="46">
        <f>'Data_in-situ'!DC132</f>
        <v>57</v>
      </c>
      <c r="Q422" s="24">
        <f>'Data_in-situ'!DE132</f>
        <v>-6195.2513702134684</v>
      </c>
      <c r="R422" s="24">
        <f>'Data_in-situ'!DF132</f>
        <v>9103.6281168464357</v>
      </c>
      <c r="S422" s="46">
        <f>'Data_in-situ'!DG132</f>
        <v>57</v>
      </c>
      <c r="T422" s="113">
        <f>'Data_in-situ'!DN8</f>
        <v>77.679769199310513</v>
      </c>
      <c r="U422" s="113">
        <f>'Data_in-situ'!DO8</f>
        <v>41.109363664076781</v>
      </c>
      <c r="V422" s="46">
        <f>'Data_in-situ'!DP8</f>
        <v>3</v>
      </c>
      <c r="W422" s="113">
        <f>'Data_in-situ'!DR8</f>
        <v>1.3178677201023323</v>
      </c>
      <c r="X422" s="113">
        <f>'Data_in-situ'!DS8</f>
        <v>0.99682589896901586</v>
      </c>
      <c r="Y422" s="46">
        <f>'Data_in-situ'!DT8</f>
        <v>3</v>
      </c>
      <c r="Z422" s="113">
        <f>'Data_in-situ'!EA84</f>
        <v>-0.10183500000000001</v>
      </c>
      <c r="AA422" s="113">
        <f>'Data_in-situ'!EB84</f>
        <v>6.3291E-2</v>
      </c>
      <c r="AB422" s="46">
        <f>'Data_in-situ'!EC84</f>
        <v>3</v>
      </c>
      <c r="AC422" s="113">
        <f>'Data_in-situ'!EE84</f>
        <v>2.9631794999999999</v>
      </c>
      <c r="AD422" s="113">
        <f>'Data_in-situ'!EF84</f>
        <v>0.67948399999999998</v>
      </c>
      <c r="AE422" s="46">
        <f>'Data_in-situ'!EG84</f>
        <v>3</v>
      </c>
      <c r="AF422" s="113">
        <f>'Data_in-situ'!EN24</f>
        <v>-6.17</v>
      </c>
      <c r="AG422" s="113">
        <f>'Data_in-situ'!EO24</f>
        <v>1.6</v>
      </c>
      <c r="AH422" s="110">
        <f>'Data_in-situ'!EP24</f>
        <v>3</v>
      </c>
      <c r="AI422" s="113">
        <f>'Data_in-situ'!ER24</f>
        <v>-40</v>
      </c>
      <c r="AJ422" s="113">
        <f>'Data_in-situ'!ES24</f>
        <v>0</v>
      </c>
      <c r="AK422" s="110">
        <f>'Data_in-situ'!ET24</f>
        <v>3</v>
      </c>
    </row>
    <row r="423" spans="2:37" x14ac:dyDescent="0.3">
      <c r="B423" s="24">
        <f>'Data_in-situ'!CA247</f>
        <v>-130313.33333333334</v>
      </c>
      <c r="C423" s="24">
        <f>'Data_in-situ'!CB247</f>
        <v>31771.753820397222</v>
      </c>
      <c r="D423" s="46">
        <f>'Data_in-situ'!CC247</f>
        <v>1</v>
      </c>
      <c r="E423" s="24">
        <f>'Data_in-situ'!CE247</f>
        <v>-121146.66666666666</v>
      </c>
      <c r="F423" s="24">
        <f>'Data_in-situ'!CF247</f>
        <v>45099.160137161038</v>
      </c>
      <c r="G423" s="46">
        <f>'Data_in-situ'!CG247</f>
        <v>1</v>
      </c>
      <c r="H423" s="24">
        <f>'Data_in-situ'!CN247</f>
        <v>132953.33333333334</v>
      </c>
      <c r="I423" s="24">
        <f>'Data_in-situ'!CO247</f>
        <v>38241.009555729164</v>
      </c>
      <c r="J423" s="46">
        <f>'Data_in-situ'!CP247</f>
        <v>1</v>
      </c>
      <c r="K423" s="24">
        <f>'Data_in-situ'!CR247</f>
        <v>128553.33333333334</v>
      </c>
      <c r="L423" s="24">
        <f>'Data_in-situ'!CS247</f>
        <v>33731.259539086117</v>
      </c>
      <c r="M423" s="46">
        <f>'Data_in-situ'!CT247</f>
        <v>1</v>
      </c>
      <c r="N423" s="24">
        <f>'Data_in-situ'!DA133</f>
        <v>-4268.271466261881</v>
      </c>
      <c r="O423" s="24">
        <f>'Data_in-situ'!DB133</f>
        <v>1045.11699982255</v>
      </c>
      <c r="P423" s="46">
        <f>'Data_in-situ'!DC133</f>
        <v>57</v>
      </c>
      <c r="Q423" s="24">
        <f>'Data_in-situ'!DE133</f>
        <v>-5744.7206073313027</v>
      </c>
      <c r="R423" s="24">
        <f>'Data_in-situ'!DF133</f>
        <v>9099.0955143295014</v>
      </c>
      <c r="S423" s="46">
        <f>'Data_in-situ'!DG133</f>
        <v>57</v>
      </c>
      <c r="T423" s="113">
        <f>'Data_in-situ'!DN9</f>
        <v>77.679769199310513</v>
      </c>
      <c r="U423" s="113">
        <f>'Data_in-situ'!DO9</f>
        <v>41.109363664076781</v>
      </c>
      <c r="V423" s="46">
        <f>'Data_in-situ'!DP9</f>
        <v>3</v>
      </c>
      <c r="W423" s="113">
        <f>'Data_in-situ'!DR9</f>
        <v>-1.0998745633936757</v>
      </c>
      <c r="X423" s="113">
        <f>'Data_in-situ'!DS9</f>
        <v>0.82147395233930254</v>
      </c>
      <c r="Y423" s="46">
        <f>'Data_in-situ'!DT9</f>
        <v>3</v>
      </c>
      <c r="Z423" s="113">
        <f>'Data_in-situ'!EA85</f>
        <v>2.8688999999999999E-2</v>
      </c>
      <c r="AA423" s="113">
        <f>'Data_in-situ'!EB85</f>
        <v>4.7267500000000004E-2</v>
      </c>
      <c r="AB423" s="46">
        <f>'Data_in-situ'!EC85</f>
        <v>3</v>
      </c>
      <c r="AC423" s="113">
        <f>'Data_in-situ'!EE85</f>
        <v>0.80300000000000005</v>
      </c>
      <c r="AD423" s="113">
        <f>'Data_in-situ'!EF85</f>
        <v>0.225132</v>
      </c>
      <c r="AE423" s="46">
        <f>'Data_in-situ'!EG85</f>
        <v>3</v>
      </c>
      <c r="AF423" s="113">
        <f>'Data_in-situ'!EN25</f>
        <v>-6.17</v>
      </c>
      <c r="AG423" s="113">
        <f>'Data_in-situ'!EO25</f>
        <v>1.6</v>
      </c>
      <c r="AH423" s="110">
        <f>'Data_in-situ'!EP25</f>
        <v>3</v>
      </c>
      <c r="AI423" s="113">
        <f>'Data_in-situ'!ER25</f>
        <v>-31.710108073744415</v>
      </c>
      <c r="AJ423" s="113">
        <f>'Data_in-situ'!ES25</f>
        <v>5.4726041682006299</v>
      </c>
      <c r="AK423" s="110">
        <f>'Data_in-situ'!ET25</f>
        <v>3</v>
      </c>
    </row>
    <row r="424" spans="2:37" x14ac:dyDescent="0.3">
      <c r="B424" s="24">
        <f>'Data_in-situ'!CA248</f>
        <v>-120743.33333333334</v>
      </c>
      <c r="C424" s="24">
        <f>'Data_in-situ'!CB248</f>
        <v>29438.487712596525</v>
      </c>
      <c r="D424" s="46">
        <f>'Data_in-situ'!CC248</f>
        <v>1</v>
      </c>
      <c r="E424" s="24">
        <f>'Data_in-situ'!CE248</f>
        <v>-111613.33333333334</v>
      </c>
      <c r="F424" s="24">
        <f>'Data_in-situ'!CF248</f>
        <v>41550.194751064839</v>
      </c>
      <c r="G424" s="46">
        <f>'Data_in-situ'!CG248</f>
        <v>1</v>
      </c>
      <c r="H424" s="24">
        <f>'Data_in-situ'!CN248</f>
        <v>136986.66666666666</v>
      </c>
      <c r="I424" s="24">
        <f>'Data_in-situ'!CO248</f>
        <v>39401.106370712667</v>
      </c>
      <c r="J424" s="46">
        <f>'Data_in-situ'!CP248</f>
        <v>1</v>
      </c>
      <c r="K424" s="24">
        <f>'Data_in-situ'!CR248</f>
        <v>130093.33333333334</v>
      </c>
      <c r="L424" s="24">
        <f>'Data_in-situ'!CS248</f>
        <v>34135.341940866383</v>
      </c>
      <c r="M424" s="46">
        <f>'Data_in-situ'!CT248</f>
        <v>1</v>
      </c>
      <c r="N424" s="24">
        <f>'Data_in-situ'!DA135</f>
        <v>2000</v>
      </c>
      <c r="O424" s="24">
        <f>'Data_in-situ'!DB135</f>
        <v>5999.3131173724232</v>
      </c>
      <c r="P424" s="46">
        <f>'Data_in-situ'!DC135</f>
        <v>3</v>
      </c>
      <c r="Q424" s="24">
        <f>'Data_in-situ'!DE135</f>
        <v>-6800</v>
      </c>
      <c r="R424" s="24">
        <f>'Data_in-situ'!DF135</f>
        <v>6481.3710012383399</v>
      </c>
      <c r="S424" s="46">
        <f>'Data_in-situ'!DG135</f>
        <v>3</v>
      </c>
      <c r="T424" s="113">
        <f>'Data_in-situ'!DN10</f>
        <v>80.930473720608589</v>
      </c>
      <c r="U424" s="113">
        <f>'Data_in-situ'!DO10</f>
        <v>80.92749494901247</v>
      </c>
      <c r="V424" s="46">
        <f>'Data_in-situ'!DP10</f>
        <v>3</v>
      </c>
      <c r="W424" s="113">
        <f>'Data_in-situ'!DR10</f>
        <v>-0.14922022827514225</v>
      </c>
      <c r="X424" s="113">
        <f>'Data_in-situ'!DS10</f>
        <v>1.9242287674114169</v>
      </c>
      <c r="Y424" s="46">
        <f>'Data_in-situ'!DT10</f>
        <v>3</v>
      </c>
      <c r="Z424" s="113">
        <f>'Data_in-situ'!EA86</f>
        <v>-1.4600000000000002E-2</v>
      </c>
      <c r="AA424" s="113">
        <f>'Data_in-situ'!EB86</f>
        <v>8.8257000000000002E-2</v>
      </c>
      <c r="AB424" s="46">
        <f>'Data_in-situ'!EC86</f>
        <v>3</v>
      </c>
      <c r="AC424" s="113">
        <f>'Data_in-situ'!EE86</f>
        <v>7.8840000000000004E-3</v>
      </c>
      <c r="AD424" s="113">
        <f>'Data_in-situ'!EF86</f>
        <v>4.9822500000000006E-2</v>
      </c>
      <c r="AE424" s="46">
        <f>'Data_in-situ'!EG86</f>
        <v>3</v>
      </c>
      <c r="AF424" s="113">
        <f>'Data_in-situ'!EN26</f>
        <v>-20.329999999999998</v>
      </c>
      <c r="AG424" s="113">
        <f>'Data_in-situ'!EO26</f>
        <v>2.57</v>
      </c>
      <c r="AH424" s="110">
        <f>'Data_in-situ'!EP26</f>
        <v>3</v>
      </c>
      <c r="AI424" s="113">
        <f>'Data_in-situ'!ER26</f>
        <v>-40</v>
      </c>
      <c r="AJ424" s="113">
        <f>'Data_in-situ'!ES26</f>
        <v>0</v>
      </c>
      <c r="AK424" s="110">
        <f>'Data_in-situ'!ET26</f>
        <v>3</v>
      </c>
    </row>
    <row r="425" spans="2:37" x14ac:dyDescent="0.3">
      <c r="B425" s="24">
        <f>'Data_in-situ'!CA249</f>
        <v>-128773.33333333334</v>
      </c>
      <c r="C425" s="24">
        <f>'Data_in-situ'!CB249</f>
        <v>31396.285711095959</v>
      </c>
      <c r="D425" s="46">
        <f>'Data_in-situ'!CC249</f>
        <v>1</v>
      </c>
      <c r="E425" s="24">
        <f>'Data_in-situ'!CE249</f>
        <v>-118946.66666666666</v>
      </c>
      <c r="F425" s="24">
        <f>'Data_in-situ'!CF249</f>
        <v>44280.168124984993</v>
      </c>
      <c r="G425" s="46">
        <f>'Data_in-situ'!CG249</f>
        <v>1</v>
      </c>
      <c r="H425" s="24">
        <f>'Data_in-situ'!CN249</f>
        <v>127783.33333333334</v>
      </c>
      <c r="I425" s="24">
        <f>'Data_in-situ'!CO249</f>
        <v>36753.97636561394</v>
      </c>
      <c r="J425" s="46">
        <f>'Data_in-situ'!CP249</f>
        <v>1</v>
      </c>
      <c r="K425" s="24">
        <f>'Data_in-situ'!CR249</f>
        <v>122870</v>
      </c>
      <c r="L425" s="24">
        <f>'Data_in-situ'!CS249</f>
        <v>32240.003056325604</v>
      </c>
      <c r="M425" s="46">
        <f>'Data_in-situ'!CT249</f>
        <v>1</v>
      </c>
      <c r="N425" s="24">
        <f>'Data_in-situ'!DA136</f>
        <v>2000</v>
      </c>
      <c r="O425" s="24">
        <f>'Data_in-situ'!DB136</f>
        <v>5999.3131173724232</v>
      </c>
      <c r="P425" s="46">
        <f>'Data_in-situ'!DC136</f>
        <v>3</v>
      </c>
      <c r="Q425" s="24">
        <f>'Data_in-situ'!DE136</f>
        <v>-6800</v>
      </c>
      <c r="R425" s="24">
        <f>'Data_in-situ'!DF136</f>
        <v>6481.3710012383399</v>
      </c>
      <c r="S425" s="46">
        <f>'Data_in-situ'!DG136</f>
        <v>3</v>
      </c>
      <c r="T425" s="113">
        <f>'Data_in-situ'!DN11</f>
        <v>80.930473720608589</v>
      </c>
      <c r="U425" s="113">
        <f>'Data_in-situ'!DO11</f>
        <v>80.92749494901247</v>
      </c>
      <c r="V425" s="46">
        <f>'Data_in-situ'!DP11</f>
        <v>3</v>
      </c>
      <c r="W425" s="113">
        <f>'Data_in-situ'!DR11</f>
        <v>2.5012626262626263</v>
      </c>
      <c r="X425" s="113">
        <f>'Data_in-situ'!DS11</f>
        <v>2.3831947437160079</v>
      </c>
      <c r="Y425" s="46">
        <f>'Data_in-situ'!DT11</f>
        <v>3</v>
      </c>
      <c r="Z425" s="113">
        <f>'Data_in-situ'!EA87</f>
        <v>7.3730000000000004E-2</v>
      </c>
      <c r="AA425" s="113">
        <f>'Data_in-situ'!EB87</f>
        <v>3.5076500000000004E-2</v>
      </c>
      <c r="AB425" s="46">
        <f>'Data_in-situ'!EC87</f>
        <v>3</v>
      </c>
      <c r="AC425" s="113">
        <f>'Data_in-situ'!EE87</f>
        <v>8.0263499999999988E-2</v>
      </c>
      <c r="AD425" s="113">
        <f>'Data_in-situ'!EF87</f>
        <v>2.8396999999999999E-2</v>
      </c>
      <c r="AE425" s="46">
        <f>'Data_in-situ'!EG87</f>
        <v>3</v>
      </c>
      <c r="AF425" s="113">
        <f>'Data_in-situ'!EN27</f>
        <v>-20.329999999999998</v>
      </c>
      <c r="AG425" s="113">
        <f>'Data_in-situ'!EO27</f>
        <v>2.57</v>
      </c>
      <c r="AH425" s="110">
        <f>'Data_in-situ'!EP27</f>
        <v>3</v>
      </c>
      <c r="AI425" s="113">
        <f>'Data_in-situ'!ER27</f>
        <v>-14.475524475524482</v>
      </c>
      <c r="AJ425" s="113">
        <f>'Data_in-situ'!ES27</f>
        <v>3.4828674393339902</v>
      </c>
      <c r="AK425" s="110">
        <f>'Data_in-situ'!ET27</f>
        <v>3</v>
      </c>
    </row>
    <row r="426" spans="2:37" x14ac:dyDescent="0.3">
      <c r="B426" s="24">
        <f>'Data_in-situ'!CA271</f>
        <v>-40673.401413977677</v>
      </c>
      <c r="C426" s="24">
        <f>'Data_in-situ'!CB271</f>
        <v>10107.748850350723</v>
      </c>
      <c r="D426" s="46">
        <f>'Data_in-situ'!CC271</f>
        <v>8</v>
      </c>
      <c r="E426" s="24">
        <f>'Data_in-situ'!CE271</f>
        <v>-44668.814018586389</v>
      </c>
      <c r="F426" s="24">
        <f>'Data_in-situ'!CF271</f>
        <v>7435.5187362050165</v>
      </c>
      <c r="G426" s="46">
        <f>'Data_in-situ'!CG271</f>
        <v>8</v>
      </c>
      <c r="H426" s="24">
        <f>'Data_in-situ'!CN271</f>
        <v>25646.988483892328</v>
      </c>
      <c r="I426" s="24">
        <f>'Data_in-situ'!CO271</f>
        <v>7128.4662989719045</v>
      </c>
      <c r="J426" s="46">
        <f>'Data_in-situ'!CP271</f>
        <v>8</v>
      </c>
      <c r="K426" s="24">
        <f>'Data_in-situ'!CR271</f>
        <v>30448.252211184394</v>
      </c>
      <c r="L426" s="24">
        <f>'Data_in-situ'!CS271</f>
        <v>38699.412338334165</v>
      </c>
      <c r="M426" s="46">
        <f>'Data_in-situ'!CT271</f>
        <v>8</v>
      </c>
      <c r="N426" s="24">
        <f>'Data_in-situ'!DA137</f>
        <v>2000</v>
      </c>
      <c r="O426" s="24">
        <f>'Data_in-situ'!DB137</f>
        <v>5999.3131173724232</v>
      </c>
      <c r="P426" s="46">
        <f>'Data_in-situ'!DC137</f>
        <v>3</v>
      </c>
      <c r="Q426" s="24">
        <f>'Data_in-situ'!DE137</f>
        <v>-8000</v>
      </c>
      <c r="R426" s="24">
        <f>'Data_in-situ'!DF137</f>
        <v>7625.1423543980472</v>
      </c>
      <c r="S426" s="46">
        <f>'Data_in-situ'!DG137</f>
        <v>3</v>
      </c>
      <c r="T426" s="113">
        <f>'Data_in-situ'!DN12</f>
        <v>80.930473720608589</v>
      </c>
      <c r="U426" s="113">
        <f>'Data_in-situ'!DO12</f>
        <v>80.92749494901247</v>
      </c>
      <c r="V426" s="46">
        <f>'Data_in-situ'!DP12</f>
        <v>3</v>
      </c>
      <c r="W426" s="113">
        <f>'Data_in-situ'!DR12</f>
        <v>-2.9015044386833213</v>
      </c>
      <c r="X426" s="113">
        <f>'Data_in-situ'!DS12</f>
        <v>2.2386157093008641</v>
      </c>
      <c r="Y426" s="46">
        <f>'Data_in-situ'!DT12</f>
        <v>3</v>
      </c>
      <c r="Z426" s="113">
        <f>'Data_in-situ'!EA91</f>
        <v>1.5714285714285715E-2</v>
      </c>
      <c r="AA426" s="113">
        <f>'Data_in-situ'!EB91</f>
        <v>9.0356781150237736E-2</v>
      </c>
      <c r="AB426" s="46">
        <f>'Data_in-situ'!EC91</f>
        <v>3</v>
      </c>
      <c r="AC426" s="113">
        <f>'Data_in-situ'!EE91</f>
        <v>1.0214285714285716</v>
      </c>
      <c r="AD426" s="113">
        <f>'Data_in-situ'!EF91</f>
        <v>1.5251352255609132</v>
      </c>
      <c r="AE426" s="46">
        <f>'Data_in-situ'!EG91</f>
        <v>3</v>
      </c>
      <c r="AF426" s="113">
        <f>'Data_in-situ'!EN28</f>
        <v>-20.329999999999998</v>
      </c>
      <c r="AG426" s="113">
        <f>'Data_in-situ'!EO28</f>
        <v>2.57</v>
      </c>
      <c r="AH426" s="110">
        <f>'Data_in-situ'!EP28</f>
        <v>3</v>
      </c>
      <c r="AI426" s="113">
        <f>'Data_in-situ'!ER28</f>
        <v>-40</v>
      </c>
      <c r="AJ426" s="113">
        <f>'Data_in-situ'!ES28</f>
        <v>0</v>
      </c>
      <c r="AK426" s="110">
        <f>'Data_in-situ'!ET28</f>
        <v>3</v>
      </c>
    </row>
    <row r="427" spans="2:37" x14ac:dyDescent="0.3">
      <c r="B427" s="24">
        <f>'Data_in-situ'!CA354</f>
        <v>-5163.6593652646679</v>
      </c>
      <c r="C427" s="24">
        <f>'Data_in-situ'!CB354</f>
        <v>1258.9541681504393</v>
      </c>
      <c r="D427" s="46">
        <f>'Data_in-situ'!CC354</f>
        <v>3</v>
      </c>
      <c r="E427" s="24">
        <f>'Data_in-situ'!CE354</f>
        <v>-11281.753283847371</v>
      </c>
      <c r="F427" s="24">
        <f>'Data_in-situ'!CF354</f>
        <v>4199.848101278134</v>
      </c>
      <c r="G427" s="46">
        <f>'Data_in-situ'!CG354</f>
        <v>3</v>
      </c>
      <c r="H427" s="24">
        <f>'Data_in-situ'!CN354</f>
        <v>3223.0754152425534</v>
      </c>
      <c r="I427" s="24">
        <f>'Data_in-situ'!CO354</f>
        <v>927.04451000195218</v>
      </c>
      <c r="J427" s="46">
        <f>'Data_in-situ'!CP354</f>
        <v>3</v>
      </c>
      <c r="K427" s="24">
        <f>'Data_in-situ'!CR354</f>
        <v>10128.851360772116</v>
      </c>
      <c r="L427" s="24">
        <f>'Data_in-situ'!CS354</f>
        <v>2657.7211591793016</v>
      </c>
      <c r="M427" s="46">
        <f>'Data_in-situ'!CT354</f>
        <v>3</v>
      </c>
      <c r="N427" s="24">
        <f>'Data_in-situ'!DA138</f>
        <v>2000</v>
      </c>
      <c r="O427" s="24">
        <f>'Data_in-situ'!DB138</f>
        <v>5999.3131173724232</v>
      </c>
      <c r="P427" s="46">
        <f>'Data_in-situ'!DC138</f>
        <v>3</v>
      </c>
      <c r="Q427" s="24">
        <f>'Data_in-situ'!DE138</f>
        <v>-8000</v>
      </c>
      <c r="R427" s="24">
        <f>'Data_in-situ'!DF138</f>
        <v>7625.1423543980472</v>
      </c>
      <c r="S427" s="46">
        <f>'Data_in-situ'!DG138</f>
        <v>3</v>
      </c>
      <c r="T427" s="113">
        <f>'Data_in-situ'!DN13</f>
        <v>80.930473720608589</v>
      </c>
      <c r="U427" s="113">
        <f>'Data_in-situ'!DO13</f>
        <v>80.92749494901247</v>
      </c>
      <c r="V427" s="46">
        <f>'Data_in-situ'!DP13</f>
        <v>3</v>
      </c>
      <c r="W427" s="113">
        <f>'Data_in-situ'!DR13</f>
        <v>1.1401515151515151</v>
      </c>
      <c r="X427" s="113">
        <f>'Data_in-situ'!DS13</f>
        <v>0.60565777356465134</v>
      </c>
      <c r="Y427" s="46">
        <f>'Data_in-situ'!DT13</f>
        <v>3</v>
      </c>
      <c r="Z427" s="113">
        <f>'Data_in-situ'!EA92</f>
        <v>2.357142857142857E-2</v>
      </c>
      <c r="AA427" s="113">
        <f>'Data_in-situ'!EB92</f>
        <v>0.13553517172535659</v>
      </c>
      <c r="AB427" s="46">
        <f>'Data_in-situ'!EC92</f>
        <v>3</v>
      </c>
      <c r="AC427" s="113">
        <f>'Data_in-situ'!EE92</f>
        <v>2.1214285714285714</v>
      </c>
      <c r="AD427" s="113">
        <f>'Data_in-situ'!EF92</f>
        <v>3.1675885453957426</v>
      </c>
      <c r="AE427" s="46">
        <f>'Data_in-situ'!EG92</f>
        <v>3</v>
      </c>
      <c r="AF427" s="113">
        <f>'Data_in-situ'!EN29</f>
        <v>-20.329999999999998</v>
      </c>
      <c r="AG427" s="113">
        <f>'Data_in-situ'!EO29</f>
        <v>2.57</v>
      </c>
      <c r="AH427" s="110">
        <f>'Data_in-situ'!EP29</f>
        <v>3</v>
      </c>
      <c r="AI427" s="113">
        <f>'Data_in-situ'!ER29</f>
        <v>-31.710108073744415</v>
      </c>
      <c r="AJ427" s="113">
        <f>'Data_in-situ'!ES29</f>
        <v>5.4726041682006299</v>
      </c>
      <c r="AK427" s="110">
        <f>'Data_in-situ'!ET29</f>
        <v>3</v>
      </c>
    </row>
    <row r="428" spans="2:37" x14ac:dyDescent="0.3">
      <c r="B428" s="24">
        <f>'Data_in-situ'!CA355</f>
        <v>-6328.9988329119469</v>
      </c>
      <c r="C428" s="24">
        <f>'Data_in-situ'!CB355</f>
        <v>1543.0761204956746</v>
      </c>
      <c r="D428" s="46">
        <f>'Data_in-situ'!CC355</f>
        <v>3</v>
      </c>
      <c r="E428" s="24">
        <f>'Data_in-situ'!CE355</f>
        <v>-6508.7452571599624</v>
      </c>
      <c r="F428" s="24">
        <f>'Data_in-situ'!CF355</f>
        <v>2423.0047158648849</v>
      </c>
      <c r="G428" s="46">
        <f>'Data_in-situ'!CG355</f>
        <v>3</v>
      </c>
      <c r="H428" s="24">
        <f>'Data_in-situ'!CN355</f>
        <v>5111.9658604723854</v>
      </c>
      <c r="I428" s="24">
        <f>'Data_in-situ'!CO355</f>
        <v>1470.3409867037487</v>
      </c>
      <c r="J428" s="46">
        <f>'Data_in-situ'!CP355</f>
        <v>3</v>
      </c>
      <c r="K428" s="24">
        <f>'Data_in-situ'!CR355</f>
        <v>5566.4186230898367</v>
      </c>
      <c r="L428" s="24">
        <f>'Data_in-situ'!CS355</f>
        <v>1460.579095151006</v>
      </c>
      <c r="M428" s="46">
        <f>'Data_in-situ'!CT355</f>
        <v>3</v>
      </c>
      <c r="N428" s="24">
        <f>'Data_in-situ'!DA139</f>
        <v>2000</v>
      </c>
      <c r="O428" s="24">
        <f>'Data_in-situ'!DB139</f>
        <v>5999.3131173724232</v>
      </c>
      <c r="P428" s="46">
        <f>'Data_in-situ'!DC139</f>
        <v>3</v>
      </c>
      <c r="Q428" s="24">
        <f>'Data_in-situ'!DE139</f>
        <v>-2000</v>
      </c>
      <c r="R428" s="24">
        <f>'Data_in-situ'!DF139</f>
        <v>1906.2855885995118</v>
      </c>
      <c r="S428" s="46">
        <f>'Data_in-situ'!DG139</f>
        <v>3</v>
      </c>
      <c r="T428" s="113">
        <f>'Data_in-situ'!DN18</f>
        <v>76.598647152414557</v>
      </c>
      <c r="U428" s="113">
        <f>'Data_in-situ'!DO18</f>
        <v>97.385019539931207</v>
      </c>
      <c r="V428" s="46">
        <f>'Data_in-situ'!DP18</f>
        <v>3</v>
      </c>
      <c r="W428" s="113">
        <f>'Data_in-situ'!DR18</f>
        <v>1.2881413805511519</v>
      </c>
      <c r="X428" s="113">
        <f>'Data_in-situ'!DS18</f>
        <v>5.0439358355151063</v>
      </c>
      <c r="Y428" s="46">
        <f>'Data_in-situ'!DT18</f>
        <v>3</v>
      </c>
      <c r="Z428" s="113">
        <f>'Data_in-situ'!EA93</f>
        <v>2.357142857142857E-2</v>
      </c>
      <c r="AA428" s="113">
        <f>'Data_in-situ'!EB93</f>
        <v>0.13553517172535659</v>
      </c>
      <c r="AB428" s="46">
        <f>'Data_in-situ'!EC93</f>
        <v>3</v>
      </c>
      <c r="AC428" s="113">
        <f>'Data_in-situ'!EE93</f>
        <v>0.80142857142857149</v>
      </c>
      <c r="AD428" s="113">
        <f>'Data_in-situ'!EF93</f>
        <v>1.1966445615939472</v>
      </c>
      <c r="AE428" s="46">
        <f>'Data_in-situ'!EG93</f>
        <v>3</v>
      </c>
      <c r="AF428" s="113">
        <f>'Data_in-situ'!EN81</f>
        <v>-9</v>
      </c>
      <c r="AG428" s="113">
        <f>'Data_in-situ'!EO81</f>
        <v>3.6674675887616401</v>
      </c>
      <c r="AH428" s="110">
        <f>'Data_in-situ'!EP81</f>
        <v>3</v>
      </c>
      <c r="AI428" s="113">
        <f>'Data_in-situ'!ER81</f>
        <v>-15</v>
      </c>
      <c r="AJ428" s="113">
        <f>'Data_in-situ'!ES81</f>
        <v>3.4022108026379128</v>
      </c>
      <c r="AK428" s="110">
        <f>'Data_in-situ'!ET81</f>
        <v>3</v>
      </c>
    </row>
    <row r="429" spans="2:37" x14ac:dyDescent="0.3">
      <c r="B429" s="24">
        <f>'Data_in-situ'!CA356</f>
        <v>-6328.9988329119469</v>
      </c>
      <c r="C429" s="24">
        <f>'Data_in-situ'!CB356</f>
        <v>1543.0761204956746</v>
      </c>
      <c r="D429" s="46">
        <f>'Data_in-situ'!CC356</f>
        <v>3</v>
      </c>
      <c r="E429" s="24">
        <f>'Data_in-situ'!CE356</f>
        <v>-4475.6377749118492</v>
      </c>
      <c r="F429" s="24">
        <f>'Data_in-situ'!CF356</f>
        <v>1666.1416304755389</v>
      </c>
      <c r="G429" s="46">
        <f>'Data_in-situ'!CG356</f>
        <v>3</v>
      </c>
      <c r="H429" s="24">
        <f>'Data_in-situ'!CN356</f>
        <v>5111.9658604723854</v>
      </c>
      <c r="I429" s="24">
        <f>'Data_in-situ'!CO356</f>
        <v>1470.3409867037487</v>
      </c>
      <c r="J429" s="46">
        <f>'Data_in-situ'!CP356</f>
        <v>3</v>
      </c>
      <c r="K429" s="24">
        <f>'Data_in-situ'!CR356</f>
        <v>5547.6173892807064</v>
      </c>
      <c r="L429" s="24">
        <f>'Data_in-situ'!CS356</f>
        <v>1455.6458174146255</v>
      </c>
      <c r="M429" s="46">
        <f>'Data_in-situ'!CT356</f>
        <v>3</v>
      </c>
      <c r="N429" s="24">
        <f>'Data_in-situ'!DA140</f>
        <v>2000</v>
      </c>
      <c r="O429" s="24">
        <f>'Data_in-situ'!DB140</f>
        <v>5999.3131173724232</v>
      </c>
      <c r="P429" s="46">
        <f>'Data_in-situ'!DC140</f>
        <v>3</v>
      </c>
      <c r="Q429" s="24">
        <f>'Data_in-situ'!DE140</f>
        <v>-1999</v>
      </c>
      <c r="R429" s="24">
        <f>'Data_in-situ'!DF140</f>
        <v>1905.332445805212</v>
      </c>
      <c r="S429" s="46">
        <f>'Data_in-situ'!DG140</f>
        <v>3</v>
      </c>
      <c r="T429" s="113">
        <f>'Data_in-situ'!DN19</f>
        <v>76.598647152414557</v>
      </c>
      <c r="U429" s="113">
        <f>'Data_in-situ'!DO19</f>
        <v>97.385019539931207</v>
      </c>
      <c r="V429" s="46">
        <f>'Data_in-situ'!DP19</f>
        <v>3</v>
      </c>
      <c r="W429" s="113">
        <f>'Data_in-situ'!DR19</f>
        <v>-0.99087798503934754</v>
      </c>
      <c r="X429" s="113">
        <f>'Data_in-situ'!DS19</f>
        <v>2.1111905341845492</v>
      </c>
      <c r="Y429" s="46">
        <f>'Data_in-situ'!DT19</f>
        <v>3</v>
      </c>
      <c r="Z429" s="113">
        <f>'Data_in-situ'!EA94</f>
        <v>1.5714285714285715E-2</v>
      </c>
      <c r="AA429" s="113">
        <f>'Data_in-situ'!EB94</f>
        <v>9.0356781150237736E-2</v>
      </c>
      <c r="AB429" s="46">
        <f>'Data_in-situ'!EC94</f>
        <v>3</v>
      </c>
      <c r="AC429" s="113">
        <f>'Data_in-situ'!EE94</f>
        <v>1.7285714285714286E-2</v>
      </c>
      <c r="AD429" s="113">
        <f>'Data_in-situ'!EF94</f>
        <v>2.5809980740261605E-2</v>
      </c>
      <c r="AE429" s="46">
        <f>'Data_in-situ'!EG94</f>
        <v>3</v>
      </c>
      <c r="AF429" s="113">
        <f>'Data_in-situ'!EN82</f>
        <v>-9</v>
      </c>
      <c r="AG429" s="113">
        <f>'Data_in-situ'!EO82</f>
        <v>3.6674675887616401</v>
      </c>
      <c r="AH429" s="110">
        <f>'Data_in-situ'!EP82</f>
        <v>3</v>
      </c>
      <c r="AI429" s="113">
        <f>'Data_in-situ'!ER82</f>
        <v>-21</v>
      </c>
      <c r="AJ429" s="113">
        <f>'Data_in-situ'!ES82</f>
        <v>4.7630951236930779</v>
      </c>
      <c r="AK429" s="110">
        <f>'Data_in-situ'!ET82</f>
        <v>3</v>
      </c>
    </row>
    <row r="430" spans="2:37" x14ac:dyDescent="0.3">
      <c r="B430" s="24">
        <f>'Data_in-situ'!CA357</f>
        <v>-6053.2911236122554</v>
      </c>
      <c r="C430" s="24">
        <f>'Data_in-situ'!CB357</f>
        <v>1475.8556969044168</v>
      </c>
      <c r="D430" s="46">
        <f>'Data_in-situ'!CC357</f>
        <v>3</v>
      </c>
      <c r="E430" s="24">
        <f>'Data_in-situ'!CE357</f>
        <v>-11865.719502913866</v>
      </c>
      <c r="F430" s="24">
        <f>'Data_in-situ'!CF357</f>
        <v>4417.2406780036381</v>
      </c>
      <c r="G430" s="46">
        <f>'Data_in-situ'!CG357</f>
        <v>3</v>
      </c>
      <c r="H430" s="24">
        <f>'Data_in-situ'!CN357</f>
        <v>4090.62426273851</v>
      </c>
      <c r="I430" s="24">
        <f>'Data_in-situ'!CO357</f>
        <v>1176.575250867078</v>
      </c>
      <c r="J430" s="46">
        <f>'Data_in-situ'!CP357</f>
        <v>3</v>
      </c>
      <c r="K430" s="24">
        <f>'Data_in-situ'!CR357</f>
        <v>9751.573269002236</v>
      </c>
      <c r="L430" s="24">
        <f>'Data_in-situ'!CS357</f>
        <v>2558.7267192692693</v>
      </c>
      <c r="M430" s="46">
        <f>'Data_in-situ'!CT357</f>
        <v>3</v>
      </c>
      <c r="N430" s="24">
        <f>'Data_in-situ'!DA147</f>
        <v>-55</v>
      </c>
      <c r="O430" s="24">
        <f>'Data_in-situ'!DB147</f>
        <v>450</v>
      </c>
      <c r="P430" s="46">
        <f>'Data_in-situ'!DC147</f>
        <v>6</v>
      </c>
      <c r="Q430" s="24">
        <f>'Data_in-situ'!DE147</f>
        <v>-910</v>
      </c>
      <c r="R430" s="24">
        <f>'Data_in-situ'!DF147</f>
        <v>180</v>
      </c>
      <c r="S430" s="46">
        <f>'Data_in-situ'!DG147</f>
        <v>2</v>
      </c>
      <c r="T430" s="113">
        <f>'Data_in-situ'!DN20</f>
        <v>3.3104450261339187</v>
      </c>
      <c r="U430" s="113">
        <f>'Data_in-situ'!DO20</f>
        <v>3.2225601192052182</v>
      </c>
      <c r="V430" s="46">
        <f>'Data_in-situ'!DP20</f>
        <v>3</v>
      </c>
      <c r="W430" s="113">
        <f>'Data_in-situ'!DR20</f>
        <v>0.97256818109938847</v>
      </c>
      <c r="X430" s="113">
        <f>'Data_in-situ'!DS20</f>
        <v>5.0056318929545522</v>
      </c>
      <c r="Y430" s="46">
        <f>'Data_in-situ'!DT20</f>
        <v>3</v>
      </c>
      <c r="Z430" s="113">
        <f>'Data_in-situ'!EA95</f>
        <v>1.8857142857142857E-2</v>
      </c>
      <c r="AA430" s="113">
        <f>'Data_in-situ'!EB95</f>
        <v>0.10842813738028528</v>
      </c>
      <c r="AB430" s="46">
        <f>'Data_in-situ'!EC95</f>
        <v>3</v>
      </c>
      <c r="AC430" s="113">
        <f>'Data_in-situ'!EE95</f>
        <v>2.0428571428571428E-2</v>
      </c>
      <c r="AD430" s="113">
        <f>'Data_in-situ'!EF95</f>
        <v>3.0502704511218261E-2</v>
      </c>
      <c r="AE430" s="46">
        <f>'Data_in-situ'!EG95</f>
        <v>3</v>
      </c>
      <c r="AF430" s="113">
        <f>'Data_in-situ'!EN83</f>
        <v>-9</v>
      </c>
      <c r="AG430" s="113">
        <f>'Data_in-situ'!EO83</f>
        <v>3.6674675887616401</v>
      </c>
      <c r="AH430" s="110">
        <f>'Data_in-situ'!EP83</f>
        <v>3</v>
      </c>
      <c r="AI430" s="113">
        <f>'Data_in-situ'!ER83</f>
        <v>-26</v>
      </c>
      <c r="AJ430" s="113">
        <f>'Data_in-situ'!ES83</f>
        <v>5.8971653912390485</v>
      </c>
      <c r="AK430" s="110">
        <f>'Data_in-situ'!ET83</f>
        <v>3</v>
      </c>
    </row>
    <row r="431" spans="2:37" x14ac:dyDescent="0.3">
      <c r="B431" s="24">
        <f>'Data_in-situ'!CA358</f>
        <v>-8439.7813360929867</v>
      </c>
      <c r="C431" s="24">
        <f>'Data_in-situ'!CB358</f>
        <v>2057.7069747914984</v>
      </c>
      <c r="D431" s="46">
        <f>'Data_in-situ'!CC358</f>
        <v>3</v>
      </c>
      <c r="E431" s="24">
        <f>'Data_in-situ'!CE358</f>
        <v>-8092.5650763993508</v>
      </c>
      <c r="F431" s="24">
        <f>'Data_in-situ'!CF358</f>
        <v>3012.6118889026902</v>
      </c>
      <c r="G431" s="46">
        <f>'Data_in-situ'!CG358</f>
        <v>3</v>
      </c>
      <c r="H431" s="24">
        <f>'Data_in-situ'!CN358</f>
        <v>5436.6394443079935</v>
      </c>
      <c r="I431" s="24">
        <f>'Data_in-situ'!CO358</f>
        <v>1563.7259760881216</v>
      </c>
      <c r="J431" s="46">
        <f>'Data_in-situ'!CP358</f>
        <v>3</v>
      </c>
      <c r="K431" s="24">
        <f>'Data_in-situ'!CR358</f>
        <v>7258.5296659115611</v>
      </c>
      <c r="L431" s="24">
        <f>'Data_in-situ'!CS358</f>
        <v>1904.5740914252362</v>
      </c>
      <c r="M431" s="46">
        <f>'Data_in-situ'!CT358</f>
        <v>3</v>
      </c>
      <c r="N431" s="24">
        <f>'Data_in-situ'!DA148</f>
        <v>-100</v>
      </c>
      <c r="O431" s="24">
        <f>'Data_in-situ'!DB148</f>
        <v>270</v>
      </c>
      <c r="P431" s="46">
        <f>'Data_in-situ'!DC148</f>
        <v>16</v>
      </c>
      <c r="Q431" s="24">
        <f>'Data_in-situ'!DE148</f>
        <v>-910</v>
      </c>
      <c r="R431" s="24">
        <f>'Data_in-situ'!DF148</f>
        <v>180</v>
      </c>
      <c r="S431" s="46">
        <f>'Data_in-situ'!DG148</f>
        <v>2</v>
      </c>
      <c r="T431" s="113">
        <f>'Data_in-situ'!DN21</f>
        <v>3.3104450261339187</v>
      </c>
      <c r="U431" s="113">
        <f>'Data_in-situ'!DO21</f>
        <v>3.2225601192052182</v>
      </c>
      <c r="V431" s="46">
        <f>'Data_in-situ'!DP21</f>
        <v>3</v>
      </c>
      <c r="W431" s="113">
        <f>'Data_in-situ'!DR21</f>
        <v>-0.74812937007645264</v>
      </c>
      <c r="X431" s="113">
        <f>'Data_in-situ'!DS21</f>
        <v>2.0565387107113464</v>
      </c>
      <c r="Y431" s="46">
        <f>'Data_in-situ'!DT21</f>
        <v>3</v>
      </c>
      <c r="Z431" s="113">
        <f>'Data_in-situ'!EA96</f>
        <v>1.257142857142857E-2</v>
      </c>
      <c r="AA431" s="113">
        <f>'Data_in-situ'!EB96</f>
        <v>7.2285424920190175E-2</v>
      </c>
      <c r="AB431" s="46">
        <f>'Data_in-situ'!EC96</f>
        <v>3</v>
      </c>
      <c r="AC431" s="113">
        <f>'Data_in-situ'!EE96</f>
        <v>1.4142857142857141E-2</v>
      </c>
      <c r="AD431" s="113">
        <f>'Data_in-situ'!EF96</f>
        <v>2.1117256969304946E-2</v>
      </c>
      <c r="AE431" s="46">
        <f>'Data_in-situ'!EG96</f>
        <v>3</v>
      </c>
      <c r="AF431" s="113">
        <f>'Data_in-situ'!EN84</f>
        <v>-2.8</v>
      </c>
      <c r="AG431" s="113">
        <f>'Data_in-situ'!EO84</f>
        <v>0.72</v>
      </c>
      <c r="AH431" s="110">
        <f>'Data_in-situ'!EP84</f>
        <v>3</v>
      </c>
      <c r="AI431" s="113">
        <f>'Data_in-situ'!ER84</f>
        <v>-23.33</v>
      </c>
      <c r="AJ431" s="113">
        <f>'Data_in-situ'!ES84</f>
        <v>3.46</v>
      </c>
      <c r="AK431" s="110">
        <f>'Data_in-situ'!ET84</f>
        <v>3</v>
      </c>
    </row>
    <row r="432" spans="2:37" x14ac:dyDescent="0.3">
      <c r="B432" s="24">
        <f>'Data_in-situ'!CA359</f>
        <v>-8439.7813360929867</v>
      </c>
      <c r="C432" s="24">
        <f>'Data_in-situ'!CB359</f>
        <v>2057.7069747914984</v>
      </c>
      <c r="D432" s="46">
        <f>'Data_in-situ'!CC359</f>
        <v>3</v>
      </c>
      <c r="E432" s="24">
        <f>'Data_in-situ'!CE359</f>
        <v>-6425.7832666283757</v>
      </c>
      <c r="F432" s="24">
        <f>'Data_in-situ'!CF359</f>
        <v>2392.1205306105239</v>
      </c>
      <c r="G432" s="46">
        <f>'Data_in-situ'!CG359</f>
        <v>3</v>
      </c>
      <c r="H432" s="24">
        <f>'Data_in-situ'!CN359</f>
        <v>5436.6394443079935</v>
      </c>
      <c r="I432" s="24">
        <f>'Data_in-situ'!CO359</f>
        <v>1563.7259760881216</v>
      </c>
      <c r="J432" s="46">
        <f>'Data_in-situ'!CP359</f>
        <v>3</v>
      </c>
      <c r="K432" s="24">
        <f>'Data_in-situ'!CR359</f>
        <v>7678.4238876488043</v>
      </c>
      <c r="L432" s="24">
        <f>'Data_in-situ'!CS359</f>
        <v>2014.7506275377307</v>
      </c>
      <c r="M432" s="46">
        <f>'Data_in-situ'!CT359</f>
        <v>3</v>
      </c>
      <c r="N432" s="24">
        <f>'Data_in-situ'!DA168</f>
        <v>25.237137365721058</v>
      </c>
      <c r="O432" s="24">
        <f>'Data_in-situ'!DB168</f>
        <v>75.702744621550025</v>
      </c>
      <c r="P432" s="46">
        <f>'Data_in-situ'!DC168</f>
        <v>3</v>
      </c>
      <c r="Q432" s="24">
        <f>'Data_in-situ'!DE168</f>
        <v>227.90960825112143</v>
      </c>
      <c r="R432" s="24">
        <f>'Data_in-situ'!DF168</f>
        <v>217.23040085623657</v>
      </c>
      <c r="S432" s="46">
        <f>'Data_in-situ'!DG168</f>
        <v>3</v>
      </c>
      <c r="T432" s="113">
        <f>'Data_in-situ'!DN22</f>
        <v>69.189192430383997</v>
      </c>
      <c r="U432" s="113">
        <f>'Data_in-situ'!DO22</f>
        <v>105.7403076411135</v>
      </c>
      <c r="V432" s="46">
        <f>'Data_in-situ'!DP22</f>
        <v>3</v>
      </c>
      <c r="W432" s="113">
        <f>'Data_in-situ'!DR22</f>
        <v>0.20126042349248477</v>
      </c>
      <c r="X432" s="113">
        <f>'Data_in-situ'!DS22</f>
        <v>3.7673237667559927</v>
      </c>
      <c r="Y432" s="46">
        <f>'Data_in-situ'!DT22</f>
        <v>3</v>
      </c>
      <c r="Z432" s="113">
        <f>'Data_in-situ'!EA97</f>
        <v>1.257142857142857E-2</v>
      </c>
      <c r="AA432" s="113">
        <f>'Data_in-situ'!EB97</f>
        <v>7.2285424920190175E-2</v>
      </c>
      <c r="AB432" s="46">
        <f>'Data_in-situ'!EC97</f>
        <v>3</v>
      </c>
      <c r="AC432" s="113">
        <f>'Data_in-situ'!EE97</f>
        <v>1.4142857142857141E-2</v>
      </c>
      <c r="AD432" s="113">
        <f>'Data_in-situ'!EF97</f>
        <v>2.1117256969304946E-2</v>
      </c>
      <c r="AE432" s="46">
        <f>'Data_in-situ'!EG97</f>
        <v>3</v>
      </c>
      <c r="AF432" s="113">
        <f>'Data_in-situ'!EN85</f>
        <v>-5.04</v>
      </c>
      <c r="AG432" s="113">
        <f>'Data_in-situ'!EO85</f>
        <v>1.83</v>
      </c>
      <c r="AH432" s="110">
        <f>'Data_in-situ'!EP85</f>
        <v>3</v>
      </c>
      <c r="AI432" s="113">
        <f>'Data_in-situ'!ER85</f>
        <v>-37.299999999999997</v>
      </c>
      <c r="AJ432" s="113">
        <f>'Data_in-situ'!ES85</f>
        <v>7.39</v>
      </c>
      <c r="AK432" s="110">
        <f>'Data_in-situ'!ET85</f>
        <v>3</v>
      </c>
    </row>
    <row r="433" spans="2:37" x14ac:dyDescent="0.3">
      <c r="B433" s="24">
        <f>'Data_in-situ'!CA416</f>
        <v>-5231.5</v>
      </c>
      <c r="C433" s="24">
        <f>'Data_in-situ'!CB416</f>
        <v>774.59070169847246</v>
      </c>
      <c r="D433" s="46">
        <f>'Data_in-situ'!CC416</f>
        <v>5</v>
      </c>
      <c r="E433" s="24">
        <f>'Data_in-situ'!CE416</f>
        <v>-7422.0454386397278</v>
      </c>
      <c r="F433" s="24">
        <f>'Data_in-situ'!CF416</f>
        <v>3514.8314125090737</v>
      </c>
      <c r="G433" s="46">
        <f>'Data_in-situ'!CG416</f>
        <v>5</v>
      </c>
      <c r="H433" s="24">
        <f>'Data_in-situ'!CN416</f>
        <v>4243.1025450256775</v>
      </c>
      <c r="I433" s="24">
        <f>'Data_in-situ'!CO416</f>
        <v>1520.7492674654977</v>
      </c>
      <c r="J433" s="46">
        <f>'Data_in-situ'!CP416</f>
        <v>5</v>
      </c>
      <c r="K433" s="24">
        <f>'Data_in-situ'!CR416</f>
        <v>7080.9624577142204</v>
      </c>
      <c r="L433" s="24">
        <f>'Data_in-situ'!CS416</f>
        <v>2727.0864177083622</v>
      </c>
      <c r="M433" s="46">
        <f>'Data_in-situ'!CT416</f>
        <v>5</v>
      </c>
      <c r="N433" s="24">
        <f>'Data_in-situ'!DA169</f>
        <v>826.51624872736215</v>
      </c>
      <c r="O433" s="24">
        <f>'Data_in-situ'!DB169</f>
        <v>2479.2648863557561</v>
      </c>
      <c r="P433" s="46">
        <f>'Data_in-situ'!DC169</f>
        <v>3</v>
      </c>
      <c r="Q433" s="24">
        <f>'Data_in-situ'!DE169</f>
        <v>-2686.077525816791</v>
      </c>
      <c r="R433" s="24">
        <f>'Data_in-situ'!DF169</f>
        <v>2560.2154386627908</v>
      </c>
      <c r="S433" s="46">
        <f>'Data_in-situ'!DG169</f>
        <v>3</v>
      </c>
      <c r="T433" s="113">
        <f>'Data_in-situ'!DN23</f>
        <v>69.189192430383997</v>
      </c>
      <c r="U433" s="113">
        <f>'Data_in-situ'!DO23</f>
        <v>105.7403076411135</v>
      </c>
      <c r="V433" s="46">
        <f>'Data_in-situ'!DP23</f>
        <v>3</v>
      </c>
      <c r="W433" s="113">
        <f>'Data_in-situ'!DR23</f>
        <v>3.6083118783295469</v>
      </c>
      <c r="X433" s="113">
        <f>'Data_in-situ'!DS23</f>
        <v>8.7762753596190368</v>
      </c>
      <c r="Y433" s="46">
        <f>'Data_in-situ'!DT23</f>
        <v>3</v>
      </c>
      <c r="Z433" s="113">
        <f>'Data_in-situ'!EA98</f>
        <v>-9.6326468671612098E-2</v>
      </c>
      <c r="AA433" s="113">
        <f>'Data_in-situ'!EB98</f>
        <v>5.4029389318036893E-2</v>
      </c>
      <c r="AB433" s="46">
        <f>'Data_in-situ'!EC98</f>
        <v>3</v>
      </c>
      <c r="AC433" s="113">
        <f>'Data_in-situ'!EE98</f>
        <v>1.5454704465443767</v>
      </c>
      <c r="AD433" s="113">
        <f>'Data_in-situ'!EF98</f>
        <v>0.28931759999999995</v>
      </c>
      <c r="AE433" s="46">
        <f>'Data_in-situ'!EG98</f>
        <v>3</v>
      </c>
      <c r="AF433" s="113">
        <f>'Data_in-situ'!EN86</f>
        <v>-11.68</v>
      </c>
      <c r="AG433" s="113">
        <f>'Data_in-situ'!EO86</f>
        <v>1.82</v>
      </c>
      <c r="AH433" s="110">
        <f>'Data_in-situ'!EP86</f>
        <v>3</v>
      </c>
      <c r="AI433" s="113">
        <f>'Data_in-situ'!ER86</f>
        <v>-20.88</v>
      </c>
      <c r="AJ433" s="113">
        <f>'Data_in-situ'!ES86</f>
        <v>1.28</v>
      </c>
      <c r="AK433" s="110">
        <f>'Data_in-situ'!ET86</f>
        <v>3</v>
      </c>
    </row>
    <row r="434" spans="2:37" x14ac:dyDescent="0.3">
      <c r="B434" s="24">
        <f>'Data_in-situ'!CA417</f>
        <v>-7616.0068848250821</v>
      </c>
      <c r="C434" s="24">
        <f>'Data_in-situ'!CB417</f>
        <v>1856.8621464095218</v>
      </c>
      <c r="D434" s="46">
        <f>'Data_in-situ'!CC417</f>
        <v>5</v>
      </c>
      <c r="E434" s="24">
        <f>'Data_in-situ'!CE417</f>
        <v>-11234.346432115035</v>
      </c>
      <c r="F434" s="24">
        <f>'Data_in-situ'!CF417</f>
        <v>2636.9713135995598</v>
      </c>
      <c r="G434" s="46">
        <f>'Data_in-situ'!CG417</f>
        <v>5</v>
      </c>
      <c r="H434" s="24">
        <f>'Data_in-situ'!CN417</f>
        <v>7943.3298263910074</v>
      </c>
      <c r="I434" s="24">
        <f>'Data_in-situ'!CO417</f>
        <v>2284.7185864362959</v>
      </c>
      <c r="J434" s="46">
        <f>'Data_in-situ'!CP417</f>
        <v>5</v>
      </c>
      <c r="K434" s="24">
        <f>'Data_in-situ'!CR417</f>
        <v>12092.326878238955</v>
      </c>
      <c r="L434" s="24">
        <f>'Data_in-situ'!CS417</f>
        <v>4450.7541788118779</v>
      </c>
      <c r="M434" s="46">
        <f>'Data_in-situ'!CT417</f>
        <v>5</v>
      </c>
      <c r="N434" s="24">
        <f>'Data_in-situ'!DA170</f>
        <v>-870.68123911737575</v>
      </c>
      <c r="O434" s="24">
        <f>'Data_in-situ'!DB170</f>
        <v>2611.7446894434738</v>
      </c>
      <c r="P434" s="46">
        <f>'Data_in-situ'!DC170</f>
        <v>3</v>
      </c>
      <c r="Q434" s="24">
        <f>'Data_in-situ'!DE170</f>
        <v>-911.63843300448298</v>
      </c>
      <c r="R434" s="24">
        <f>'Data_in-situ'!DF170</f>
        <v>868.92160342494367</v>
      </c>
      <c r="S434" s="46">
        <f>'Data_in-situ'!DG170</f>
        <v>3</v>
      </c>
      <c r="T434" s="113">
        <f>'Data_in-situ'!DN24</f>
        <v>69.189192430383997</v>
      </c>
      <c r="U434" s="113">
        <f>'Data_in-situ'!DO24</f>
        <v>105.7403076411135</v>
      </c>
      <c r="V434" s="46">
        <f>'Data_in-situ'!DP24</f>
        <v>3</v>
      </c>
      <c r="W434" s="113">
        <f>'Data_in-situ'!DR24</f>
        <v>-2.3432463592339285</v>
      </c>
      <c r="X434" s="113">
        <f>'Data_in-situ'!DS24</f>
        <v>2.1725078783546201</v>
      </c>
      <c r="Y434" s="46">
        <f>'Data_in-situ'!DT24</f>
        <v>3</v>
      </c>
      <c r="Z434" s="113">
        <f>'Data_in-situ'!EA99</f>
        <v>-0.40440266730939189</v>
      </c>
      <c r="AA434" s="113">
        <f>'Data_in-situ'!EB99</f>
        <v>1.1600159999999999</v>
      </c>
      <c r="AB434" s="46">
        <f>'Data_in-situ'!EC99</f>
        <v>24</v>
      </c>
      <c r="AC434" s="113">
        <f>'Data_in-situ'!EE99</f>
        <v>0.41440059292199383</v>
      </c>
      <c r="AD434" s="113">
        <f>'Data_in-situ'!EF99</f>
        <v>1.3178879999999999</v>
      </c>
      <c r="AE434" s="46">
        <f>'Data_in-situ'!EG99</f>
        <v>15</v>
      </c>
      <c r="AF434" s="113">
        <f>'Data_in-situ'!EN87</f>
        <v>-20.85</v>
      </c>
      <c r="AG434" s="113">
        <f>'Data_in-situ'!EO87</f>
        <v>5.42</v>
      </c>
      <c r="AH434" s="110">
        <f>'Data_in-situ'!EP87</f>
        <v>3</v>
      </c>
      <c r="AI434" s="113">
        <f>'Data_in-situ'!ER87</f>
        <v>-21.08</v>
      </c>
      <c r="AJ434" s="113">
        <f>'Data_in-situ'!ES87</f>
        <v>7.29</v>
      </c>
      <c r="AK434" s="110">
        <f>'Data_in-situ'!ET87</f>
        <v>3</v>
      </c>
    </row>
    <row r="435" spans="2:37" x14ac:dyDescent="0.3">
      <c r="B435" s="24">
        <f>'Data_in-situ'!CA448</f>
        <v>-32633.333333333332</v>
      </c>
      <c r="C435" s="24">
        <f>'Data_in-situ'!CB448</f>
        <v>3600</v>
      </c>
      <c r="D435" s="46">
        <f>'Data_in-situ'!CC448</f>
        <v>3</v>
      </c>
      <c r="E435" s="24">
        <f>'Data_in-situ'!CE448</f>
        <v>-65926.666666666672</v>
      </c>
      <c r="F435" s="24">
        <f>'Data_in-situ'!CF448</f>
        <v>5926</v>
      </c>
      <c r="G435" s="46">
        <f>'Data_in-situ'!CG448</f>
        <v>3</v>
      </c>
      <c r="H435" s="24">
        <f>'Data_in-situ'!CN448</f>
        <v>30690</v>
      </c>
      <c r="I435" s="24">
        <f>'Data_in-situ'!CO448</f>
        <v>3652</v>
      </c>
      <c r="J435" s="46">
        <f>'Data_in-situ'!CP448</f>
        <v>3</v>
      </c>
      <c r="K435" s="24">
        <f>'Data_in-situ'!CR448</f>
        <v>61160</v>
      </c>
      <c r="L435" s="24">
        <f>'Data_in-situ'!CS448</f>
        <v>6593</v>
      </c>
      <c r="M435" s="46">
        <f>'Data_in-situ'!CT448</f>
        <v>3</v>
      </c>
      <c r="N435" s="24">
        <f>'Data_in-situ'!DA171</f>
        <v>82.020696438593234</v>
      </c>
      <c r="O435" s="24">
        <f>'Data_in-situ'!DB171</f>
        <v>246.03392002003699</v>
      </c>
      <c r="P435" s="46">
        <f>'Data_in-situ'!DC171</f>
        <v>3</v>
      </c>
      <c r="Q435" s="24">
        <f>'Data_in-situ'!DE171</f>
        <v>-4541.9129072902078</v>
      </c>
      <c r="R435" s="24">
        <f>'Data_in-situ'!DF171</f>
        <v>4329.0915599207165</v>
      </c>
      <c r="S435" s="46">
        <f>'Data_in-situ'!DG171</f>
        <v>3</v>
      </c>
      <c r="T435" s="113">
        <f>'Data_in-situ'!DN25</f>
        <v>69.189192430383997</v>
      </c>
      <c r="U435" s="113">
        <f>'Data_in-situ'!DO25</f>
        <v>105.7403076411135</v>
      </c>
      <c r="V435" s="46">
        <f>'Data_in-situ'!DP25</f>
        <v>3</v>
      </c>
      <c r="W435" s="113">
        <f>'Data_in-situ'!DR25</f>
        <v>1.9694770013193148</v>
      </c>
      <c r="X435" s="113">
        <f>'Data_in-situ'!DS25</f>
        <v>4.4704507627185972</v>
      </c>
      <c r="Y435" s="46">
        <f>'Data_in-situ'!DT25</f>
        <v>3</v>
      </c>
      <c r="Z435" s="113">
        <f>'Data_in-situ'!EA104</f>
        <v>2.2785714285714288E-2</v>
      </c>
      <c r="AA435" s="113">
        <f>'Data_in-situ'!EB104</f>
        <v>0.13101733266784471</v>
      </c>
      <c r="AB435" s="46">
        <f>'Data_in-situ'!EC104</f>
        <v>3</v>
      </c>
      <c r="AC435" s="113">
        <f>'Data_in-situ'!EE104</f>
        <v>2.1057142857142859</v>
      </c>
      <c r="AD435" s="113">
        <f>'Data_in-situ'!EF104</f>
        <v>3.1441249265409592</v>
      </c>
      <c r="AE435" s="46">
        <f>'Data_in-situ'!EG104</f>
        <v>3</v>
      </c>
      <c r="AF435" s="113">
        <f>'Data_in-situ'!EN91</f>
        <v>-27.34</v>
      </c>
      <c r="AG435" s="113">
        <f>'Data_in-situ'!EO91</f>
        <v>6.04</v>
      </c>
      <c r="AH435" s="110">
        <f>'Data_in-situ'!EP91</f>
        <v>3</v>
      </c>
      <c r="AI435" s="113">
        <f>'Data_in-situ'!ER91</f>
        <v>-42.07</v>
      </c>
      <c r="AJ435" s="113">
        <f>'Data_in-situ'!ES91</f>
        <v>2.04</v>
      </c>
      <c r="AK435" s="110">
        <f>'Data_in-situ'!ET91</f>
        <v>3</v>
      </c>
    </row>
    <row r="436" spans="2:37" x14ac:dyDescent="0.3">
      <c r="B436" s="24">
        <f>'Data_in-situ'!CA449</f>
        <v>-36630</v>
      </c>
      <c r="C436" s="24">
        <f>'Data_in-situ'!CB449</f>
        <v>4321</v>
      </c>
      <c r="D436" s="46">
        <f>'Data_in-situ'!CC449</f>
        <v>3</v>
      </c>
      <c r="E436" s="24">
        <f>'Data_in-situ'!CE449</f>
        <v>-75753.333333333328</v>
      </c>
      <c r="F436" s="24">
        <f>'Data_in-situ'!CF449</f>
        <v>7859</v>
      </c>
      <c r="G436" s="46">
        <f>'Data_in-situ'!CG449</f>
        <v>3</v>
      </c>
      <c r="H436" s="24">
        <f>'Data_in-situ'!CN449</f>
        <v>33953.333333333336</v>
      </c>
      <c r="I436" s="24">
        <f>'Data_in-situ'!CO449</f>
        <v>4126</v>
      </c>
      <c r="J436" s="46">
        <f>'Data_in-situ'!CP449</f>
        <v>3</v>
      </c>
      <c r="K436" s="24">
        <f>'Data_in-situ'!CR449</f>
        <v>64753.333333333336</v>
      </c>
      <c r="L436" s="24">
        <f>'Data_in-situ'!CS449</f>
        <v>9463</v>
      </c>
      <c r="M436" s="46">
        <f>'Data_in-situ'!CT449</f>
        <v>3</v>
      </c>
      <c r="N436" s="24">
        <f>'Data_in-situ'!DA213</f>
        <v>-5500</v>
      </c>
      <c r="O436" s="24">
        <f>'Data_in-situ'!DB213</f>
        <v>16498.111072774162</v>
      </c>
      <c r="P436" s="46">
        <f>'Data_in-situ'!DC213</f>
        <v>3</v>
      </c>
      <c r="Q436" s="24">
        <f>'Data_in-situ'!DE213</f>
        <v>-5500</v>
      </c>
      <c r="R436" s="24">
        <f>'Data_in-situ'!DF213</f>
        <v>5242.2853686486578</v>
      </c>
      <c r="S436" s="46">
        <f>'Data_in-situ'!DG213</f>
        <v>3</v>
      </c>
      <c r="T436" s="113">
        <f>'Data_in-situ'!DN26</f>
        <v>3.3518255889605926</v>
      </c>
      <c r="U436" s="113">
        <f>'Data_in-situ'!DO26</f>
        <v>3.2126569880661773</v>
      </c>
      <c r="V436" s="46">
        <f>'Data_in-situ'!DP26</f>
        <v>3</v>
      </c>
      <c r="W436" s="113">
        <f>'Data_in-situ'!DR26</f>
        <v>0.1571071677160551</v>
      </c>
      <c r="X436" s="113">
        <f>'Data_in-situ'!DS26</f>
        <v>2.9406674446616683</v>
      </c>
      <c r="Y436" s="46">
        <f>'Data_in-situ'!DT26</f>
        <v>3</v>
      </c>
      <c r="Z436" s="113">
        <f>'Data_in-situ'!EA105</f>
        <v>9.1928571428571401E-2</v>
      </c>
      <c r="AA436" s="113">
        <f>'Data_in-situ'!EB105</f>
        <v>0.52858716972889053</v>
      </c>
      <c r="AB436" s="46">
        <f>'Data_in-situ'!EC105</f>
        <v>3</v>
      </c>
      <c r="AC436" s="113">
        <f>'Data_in-situ'!EE105</f>
        <v>0.87057142857142855</v>
      </c>
      <c r="AD436" s="113">
        <f>'Data_in-situ'!EF105</f>
        <v>1.2998844845549935</v>
      </c>
      <c r="AE436" s="46">
        <f>'Data_in-situ'!EG105</f>
        <v>3</v>
      </c>
      <c r="AF436" s="113">
        <f>'Data_in-situ'!EN92</f>
        <v>-2.62</v>
      </c>
      <c r="AG436" s="113">
        <f>'Data_in-situ'!EO92</f>
        <v>0.79</v>
      </c>
      <c r="AH436" s="110">
        <f>'Data_in-situ'!EP92</f>
        <v>3</v>
      </c>
      <c r="AI436" s="113">
        <f>'Data_in-situ'!ER92</f>
        <v>-21.88</v>
      </c>
      <c r="AJ436" s="113">
        <f>'Data_in-situ'!ES92</f>
        <v>3.76</v>
      </c>
      <c r="AK436" s="110">
        <f>'Data_in-situ'!ET92</f>
        <v>3</v>
      </c>
    </row>
    <row r="437" spans="2:37" x14ac:dyDescent="0.3">
      <c r="B437" s="24">
        <f>'Data_in-situ'!CA450</f>
        <v>-131193.33333333334</v>
      </c>
      <c r="C437" s="24">
        <f>'Data_in-situ'!CB450</f>
        <v>31986.307025712227</v>
      </c>
      <c r="D437" s="46">
        <f>'Data_in-situ'!CC450</f>
        <v>1</v>
      </c>
      <c r="E437" s="24">
        <f>'Data_in-situ'!CE450</f>
        <v>-154036.66666666666</v>
      </c>
      <c r="F437" s="24">
        <f>'Data_in-situ'!CF450</f>
        <v>57343.090719192958</v>
      </c>
      <c r="G437" s="46">
        <f>'Data_in-situ'!CG450</f>
        <v>1</v>
      </c>
      <c r="H437" s="24">
        <f>'Data_in-situ'!CN450</f>
        <v>146923.33333333334</v>
      </c>
      <c r="I437" s="24">
        <f>'Data_in-situ'!CO450</f>
        <v>42259.163069444774</v>
      </c>
      <c r="J437" s="46">
        <f>'Data_in-situ'!CP450</f>
        <v>1</v>
      </c>
      <c r="K437" s="24">
        <f>'Data_in-situ'!CR450</f>
        <v>176366.66666666666</v>
      </c>
      <c r="L437" s="24">
        <f>'Data_in-situ'!CS450</f>
        <v>46277.056013406785</v>
      </c>
      <c r="M437" s="46">
        <f>'Data_in-situ'!CT450</f>
        <v>1</v>
      </c>
      <c r="N437" s="24">
        <f>'Data_in-situ'!DA214</f>
        <v>-5500</v>
      </c>
      <c r="O437" s="24">
        <f>'Data_in-situ'!DB214</f>
        <v>16498.111072774162</v>
      </c>
      <c r="P437" s="46">
        <f>'Data_in-situ'!DC214</f>
        <v>3</v>
      </c>
      <c r="Q437" s="24">
        <f>'Data_in-situ'!DE214</f>
        <v>-5500</v>
      </c>
      <c r="R437" s="24">
        <f>'Data_in-situ'!DF214</f>
        <v>5242.2853686486578</v>
      </c>
      <c r="S437" s="46">
        <f>'Data_in-situ'!DG214</f>
        <v>3</v>
      </c>
      <c r="T437" s="113">
        <f>'Data_in-situ'!DN27</f>
        <v>3.3518255889605926</v>
      </c>
      <c r="U437" s="113">
        <f>'Data_in-situ'!DO27</f>
        <v>3.2126569880661773</v>
      </c>
      <c r="V437" s="46">
        <f>'Data_in-situ'!DP27</f>
        <v>3</v>
      </c>
      <c r="W437" s="113">
        <f>'Data_in-situ'!DR27</f>
        <v>2.8167070783378438</v>
      </c>
      <c r="X437" s="113">
        <f>'Data_in-situ'!DS27</f>
        <v>12.110678472354174</v>
      </c>
      <c r="Y437" s="46">
        <f>'Data_in-situ'!DT27</f>
        <v>3</v>
      </c>
      <c r="Z437" s="113">
        <f>'Data_in-situ'!EA106</f>
        <v>5.3428571428571429E-2</v>
      </c>
      <c r="AA437" s="113">
        <f>'Data_in-situ'!EB106</f>
        <v>0.30721305591080827</v>
      </c>
      <c r="AB437" s="46">
        <f>'Data_in-situ'!EC106</f>
        <v>3</v>
      </c>
      <c r="AC437" s="113">
        <f>'Data_in-situ'!EE106</f>
        <v>5.7985714285714279E-2</v>
      </c>
      <c r="AD437" s="113">
        <f>'Data_in-situ'!EF106</f>
        <v>8.6580753574150279E-2</v>
      </c>
      <c r="AE437" s="46">
        <f>'Data_in-situ'!EG106</f>
        <v>3</v>
      </c>
      <c r="AF437" s="113">
        <f>'Data_in-situ'!EN93</f>
        <v>-6.51</v>
      </c>
      <c r="AG437" s="113">
        <f>'Data_in-situ'!EO93</f>
        <v>2.2799999999999998</v>
      </c>
      <c r="AH437" s="110">
        <f>'Data_in-situ'!EP93</f>
        <v>3</v>
      </c>
      <c r="AI437" s="113">
        <f>'Data_in-situ'!ER93</f>
        <v>-46.73</v>
      </c>
      <c r="AJ437" s="113">
        <f>'Data_in-situ'!ES93</f>
        <v>5.78</v>
      </c>
      <c r="AK437" s="110">
        <f>'Data_in-situ'!ET93</f>
        <v>3</v>
      </c>
    </row>
    <row r="438" spans="2:37" x14ac:dyDescent="0.3">
      <c r="B438" s="24">
        <f>'Data_in-situ'!CA451</f>
        <v>-138600</v>
      </c>
      <c r="C438" s="24">
        <f>'Data_in-situ'!CB451</f>
        <v>33792.129837113527</v>
      </c>
      <c r="D438" s="46">
        <f>'Data_in-situ'!CC451</f>
        <v>1</v>
      </c>
      <c r="E438" s="24">
        <f>'Data_in-situ'!CE451</f>
        <v>-152680</v>
      </c>
      <c r="F438" s="24">
        <f>'Data_in-situ'!CF451</f>
        <v>56838.04564501773</v>
      </c>
      <c r="G438" s="46">
        <f>'Data_in-situ'!CG451</f>
        <v>1</v>
      </c>
      <c r="H438" s="24">
        <f>'Data_in-situ'!CN451</f>
        <v>150003.33333333334</v>
      </c>
      <c r="I438" s="24">
        <f>'Data_in-situ'!CO451</f>
        <v>43145.055182704913</v>
      </c>
      <c r="J438" s="46">
        <f>'Data_in-situ'!CP451</f>
        <v>1</v>
      </c>
      <c r="K438" s="24">
        <f>'Data_in-situ'!CR451</f>
        <v>173836.66666666666</v>
      </c>
      <c r="L438" s="24">
        <f>'Data_in-situ'!CS451</f>
        <v>45613.206353339207</v>
      </c>
      <c r="M438" s="46">
        <f>'Data_in-situ'!CT451</f>
        <v>1</v>
      </c>
      <c r="N438" s="24">
        <f>'Data_in-situ'!DA246</f>
        <v>7663.3333333333339</v>
      </c>
      <c r="O438" s="24">
        <f>'Data_in-situ'!DB246</f>
        <v>22987.368094732003</v>
      </c>
      <c r="P438" s="46">
        <f>'Data_in-situ'!DC246</f>
        <v>1</v>
      </c>
      <c r="Q438" s="24">
        <f>'Data_in-situ'!DE246</f>
        <v>18223.333333333332</v>
      </c>
      <c r="R438" s="24">
        <f>'Data_in-situ'!DF246</f>
        <v>17369.438854789216</v>
      </c>
      <c r="S438" s="46">
        <f>'Data_in-situ'!DG246</f>
        <v>1</v>
      </c>
      <c r="T438" s="113">
        <f>'Data_in-situ'!DN28</f>
        <v>3.3518255889605926</v>
      </c>
      <c r="U438" s="113">
        <f>'Data_in-situ'!DO28</f>
        <v>3.2126569880661773</v>
      </c>
      <c r="V438" s="46">
        <f>'Data_in-situ'!DP28</f>
        <v>3</v>
      </c>
      <c r="W438" s="113">
        <f>'Data_in-situ'!DR28</f>
        <v>-1.8291763098369263</v>
      </c>
      <c r="X438" s="113">
        <f>'Data_in-situ'!DS28</f>
        <v>1.6561975194588527</v>
      </c>
      <c r="Y438" s="46">
        <f>'Data_in-situ'!DT28</f>
        <v>3</v>
      </c>
      <c r="Z438" s="113">
        <f>'Data_in-situ'!EA107</f>
        <v>0.24042857142857144</v>
      </c>
      <c r="AA438" s="113">
        <f>'Data_in-situ'!EB107</f>
        <v>1.3824587515986373</v>
      </c>
      <c r="AB438" s="46">
        <f>'Data_in-situ'!EC107</f>
        <v>3</v>
      </c>
      <c r="AC438" s="113">
        <f>'Data_in-situ'!EE107</f>
        <v>0.88314285714285712</v>
      </c>
      <c r="AD438" s="113">
        <f>'Data_in-situ'!EF107</f>
        <v>1.3186553796388201</v>
      </c>
      <c r="AE438" s="46">
        <f>'Data_in-situ'!EG107</f>
        <v>3</v>
      </c>
      <c r="AF438" s="113">
        <f>'Data_in-situ'!EN94</f>
        <v>-10.75</v>
      </c>
      <c r="AG438" s="113">
        <f>'Data_in-situ'!EO94</f>
        <v>1.853</v>
      </c>
      <c r="AH438" s="110">
        <f>'Data_in-situ'!EP94</f>
        <v>3</v>
      </c>
      <c r="AI438" s="113">
        <f>'Data_in-situ'!ER94</f>
        <v>-20.14</v>
      </c>
      <c r="AJ438" s="113">
        <f>'Data_in-situ'!ES94</f>
        <v>1.87</v>
      </c>
      <c r="AK438" s="110">
        <f>'Data_in-situ'!ET94</f>
        <v>3</v>
      </c>
    </row>
    <row r="439" spans="2:37" x14ac:dyDescent="0.3">
      <c r="B439" s="24">
        <f>'Data_in-situ'!CA452</f>
        <v>-135483.33333333334</v>
      </c>
      <c r="C439" s="24">
        <f>'Data_in-situ'!CB452</f>
        <v>33032.253901622884</v>
      </c>
      <c r="D439" s="46">
        <f>'Data_in-situ'!CC452</f>
        <v>1</v>
      </c>
      <c r="E439" s="24">
        <f>'Data_in-situ'!CE452</f>
        <v>-150663.33333333334</v>
      </c>
      <c r="F439" s="24">
        <f>'Data_in-situ'!CF452</f>
        <v>56087.302967189695</v>
      </c>
      <c r="G439" s="46">
        <f>'Data_in-situ'!CG452</f>
        <v>1</v>
      </c>
      <c r="H439" s="24">
        <f>'Data_in-situ'!CN452</f>
        <v>139810</v>
      </c>
      <c r="I439" s="24">
        <f>'Data_in-situ'!CO452</f>
        <v>40213.174141201132</v>
      </c>
      <c r="J439" s="46">
        <f>'Data_in-situ'!CP452</f>
        <v>1</v>
      </c>
      <c r="K439" s="24">
        <f>'Data_in-situ'!CR452</f>
        <v>166356.66666666666</v>
      </c>
      <c r="L439" s="24">
        <f>'Data_in-situ'!CS452</f>
        <v>43650.520401835049</v>
      </c>
      <c r="M439" s="46">
        <f>'Data_in-situ'!CT452</f>
        <v>1</v>
      </c>
      <c r="N439" s="24">
        <f>'Data_in-situ'!DA247</f>
        <v>2640</v>
      </c>
      <c r="O439" s="24">
        <f>'Data_in-situ'!DB247</f>
        <v>7919.0933149315979</v>
      </c>
      <c r="P439" s="46">
        <f>'Data_in-situ'!DC247</f>
        <v>1</v>
      </c>
      <c r="Q439" s="24">
        <f>'Data_in-situ'!DE247</f>
        <v>7406.6666666666661</v>
      </c>
      <c r="R439" s="24">
        <f>'Data_in-situ'!DF247</f>
        <v>7059.610963113525</v>
      </c>
      <c r="S439" s="46">
        <f>'Data_in-situ'!DG247</f>
        <v>1</v>
      </c>
      <c r="T439" s="113">
        <f>'Data_in-situ'!DN29</f>
        <v>3.3518255889605926</v>
      </c>
      <c r="U439" s="113">
        <f>'Data_in-situ'!DO29</f>
        <v>3.2126569880661773</v>
      </c>
      <c r="V439" s="46">
        <f>'Data_in-situ'!DP29</f>
        <v>3</v>
      </c>
      <c r="W439" s="113">
        <f>'Data_in-situ'!DR29</f>
        <v>1.5374058555071104</v>
      </c>
      <c r="X439" s="113">
        <f>'Data_in-situ'!DS29</f>
        <v>3.4762119230029214</v>
      </c>
      <c r="Y439" s="46">
        <f>'Data_in-situ'!DT29</f>
        <v>3</v>
      </c>
      <c r="Z439" s="113">
        <f>'Data_in-situ'!EA108</f>
        <v>1.9171428571428568E-2</v>
      </c>
      <c r="AA439" s="113">
        <f>'Data_in-situ'!EB108</f>
        <v>0.11023527300329002</v>
      </c>
      <c r="AB439" s="46">
        <f>'Data_in-situ'!EC108</f>
        <v>3</v>
      </c>
      <c r="AC439" s="113">
        <f>'Data_in-situ'!EE108</f>
        <v>3.0642857142857142E-2</v>
      </c>
      <c r="AD439" s="113">
        <f>'Data_in-situ'!EF108</f>
        <v>4.5754056766827388E-2</v>
      </c>
      <c r="AE439" s="46">
        <f>'Data_in-situ'!EG108</f>
        <v>3</v>
      </c>
      <c r="AF439" s="113">
        <f>'Data_in-situ'!EN95</f>
        <v>-24.62</v>
      </c>
      <c r="AG439" s="113">
        <f>'Data_in-situ'!EO95</f>
        <v>6.88</v>
      </c>
      <c r="AH439" s="110">
        <f>'Data_in-situ'!EP95</f>
        <v>3</v>
      </c>
      <c r="AI439" s="113">
        <f>'Data_in-situ'!ER95</f>
        <v>-23.22</v>
      </c>
      <c r="AJ439" s="113">
        <f>'Data_in-situ'!ES95</f>
        <v>6.41</v>
      </c>
      <c r="AK439" s="110">
        <f>'Data_in-situ'!ET95</f>
        <v>3</v>
      </c>
    </row>
    <row r="440" spans="2:37" x14ac:dyDescent="0.3">
      <c r="B440" s="24">
        <f>'Data_in-situ'!CA453</f>
        <v>-134383.33333333334</v>
      </c>
      <c r="C440" s="24">
        <f>'Data_in-situ'!CB453</f>
        <v>32764.062394979126</v>
      </c>
      <c r="D440" s="46">
        <f>'Data_in-situ'!CC453</f>
        <v>1</v>
      </c>
      <c r="E440" s="24">
        <f>'Data_in-situ'!CE453</f>
        <v>-148133.33333333334</v>
      </c>
      <c r="F440" s="24">
        <f>'Data_in-situ'!CF453</f>
        <v>55145.46215318724</v>
      </c>
      <c r="G440" s="46">
        <f>'Data_in-situ'!CG453</f>
        <v>1</v>
      </c>
      <c r="H440" s="24">
        <f>'Data_in-situ'!CN453</f>
        <v>136253.33333333334</v>
      </c>
      <c r="I440" s="24">
        <f>'Data_in-situ'!CO453</f>
        <v>39190.179677079308</v>
      </c>
      <c r="J440" s="46">
        <f>'Data_in-situ'!CP453</f>
        <v>1</v>
      </c>
      <c r="K440" s="24">
        <f>'Data_in-situ'!CR453</f>
        <v>161810</v>
      </c>
      <c r="L440" s="24">
        <f>'Data_in-situ'!CS453</f>
        <v>42457.515215626641</v>
      </c>
      <c r="M440" s="46">
        <f>'Data_in-situ'!CT453</f>
        <v>1</v>
      </c>
      <c r="N440" s="24">
        <f>'Data_in-situ'!DA248</f>
        <v>16243.333333333332</v>
      </c>
      <c r="O440" s="24">
        <f>'Data_in-situ'!DB248</f>
        <v>48724.421368259689</v>
      </c>
      <c r="P440" s="46">
        <f>'Data_in-situ'!DC248</f>
        <v>1</v>
      </c>
      <c r="Q440" s="24">
        <f>'Data_in-situ'!DE248</f>
        <v>18480</v>
      </c>
      <c r="R440" s="24">
        <f>'Data_in-situ'!DF248</f>
        <v>17614.07883865949</v>
      </c>
      <c r="S440" s="46">
        <f>'Data_in-situ'!DG248</f>
        <v>1</v>
      </c>
      <c r="T440" s="113">
        <f>'Data_in-situ'!DN34</f>
        <v>218.59000000000026</v>
      </c>
      <c r="U440" s="113">
        <f>'Data_in-situ'!DO34</f>
        <v>226.1967612500232</v>
      </c>
      <c r="V440" s="46">
        <f>'Data_in-situ'!DP34</f>
        <v>25</v>
      </c>
      <c r="W440" s="113">
        <f>'Data_in-situ'!DR34</f>
        <v>-1.3730769230769226</v>
      </c>
      <c r="X440" s="113">
        <f>'Data_in-situ'!DS34</f>
        <v>0.50491400638738226</v>
      </c>
      <c r="Y440" s="46">
        <f>'Data_in-situ'!DT34</f>
        <v>75</v>
      </c>
      <c r="Z440" s="113">
        <f>'Data_in-situ'!EA109</f>
        <v>4.7771428571428562E-2</v>
      </c>
      <c r="AA440" s="113">
        <f>'Data_in-situ'!EB109</f>
        <v>0.27468461469672267</v>
      </c>
      <c r="AB440" s="46">
        <f>'Data_in-situ'!EC109</f>
        <v>3</v>
      </c>
      <c r="AC440" s="113">
        <f>'Data_in-situ'!EE109</f>
        <v>0.21685714285714286</v>
      </c>
      <c r="AD440" s="113">
        <f>'Data_in-situ'!EF109</f>
        <v>0.32379794019600922</v>
      </c>
      <c r="AE440" s="46">
        <f>'Data_in-situ'!EG109</f>
        <v>3</v>
      </c>
      <c r="AF440" s="113">
        <f>'Data_in-situ'!EN96</f>
        <v>-6.95</v>
      </c>
      <c r="AG440" s="113">
        <f>'Data_in-situ'!EO96</f>
        <v>1.41</v>
      </c>
      <c r="AH440" s="110">
        <f>'Data_in-situ'!EP96</f>
        <v>3</v>
      </c>
      <c r="AI440" s="113">
        <f>'Data_in-situ'!ER96</f>
        <v>-21.5</v>
      </c>
      <c r="AJ440" s="113">
        <f>'Data_in-situ'!ES96</f>
        <v>1.76</v>
      </c>
      <c r="AK440" s="110">
        <f>'Data_in-situ'!ET96</f>
        <v>3</v>
      </c>
    </row>
    <row r="441" spans="2:37" x14ac:dyDescent="0.3">
      <c r="N441" s="24">
        <f>'Data_in-situ'!DA249</f>
        <v>-990</v>
      </c>
      <c r="O441" s="24">
        <f>'Data_in-situ'!DB249</f>
        <v>2969.6599930993493</v>
      </c>
      <c r="P441" s="46">
        <f>'Data_in-situ'!DC249</f>
        <v>1</v>
      </c>
      <c r="Q441" s="24">
        <f>'Data_in-situ'!DE249</f>
        <v>3923.333333333333</v>
      </c>
      <c r="R441" s="24">
        <f>'Data_in-situ'!DF249</f>
        <v>3739.4968963027086</v>
      </c>
      <c r="S441" s="46">
        <f>'Data_in-situ'!DG249</f>
        <v>1</v>
      </c>
      <c r="T441" s="113">
        <f>'Data_in-situ'!DN81</f>
        <v>131.4</v>
      </c>
      <c r="U441" s="113">
        <f>'Data_in-situ'!DO81</f>
        <v>146.49513859561415</v>
      </c>
      <c r="V441" s="46">
        <f>'Data_in-situ'!DP81</f>
        <v>3</v>
      </c>
      <c r="W441" s="113">
        <f>'Data_in-situ'!DR81</f>
        <v>38.799999999999997</v>
      </c>
      <c r="X441" s="113">
        <f>'Data_in-situ'!DS81</f>
        <v>145.00399223168318</v>
      </c>
      <c r="Y441" s="46">
        <f>'Data_in-situ'!DT81</f>
        <v>3</v>
      </c>
      <c r="Z441" s="113">
        <f>'Data_in-situ'!EA110</f>
        <v>5.4528571428571426E-2</v>
      </c>
      <c r="AA441" s="113">
        <f>'Data_in-situ'!EB110</f>
        <v>0.3135380305913249</v>
      </c>
      <c r="AB441" s="46">
        <f>'Data_in-situ'!EC110</f>
        <v>3</v>
      </c>
      <c r="AC441" s="113">
        <f>'Data_in-situ'!EE110</f>
        <v>3.5828571428571425E-2</v>
      </c>
      <c r="AD441" s="113">
        <f>'Data_in-situ'!EF110</f>
        <v>5.3497050988905864E-2</v>
      </c>
      <c r="AE441" s="46">
        <f>'Data_in-situ'!EG110</f>
        <v>3</v>
      </c>
      <c r="AF441" s="113">
        <f>'Data_in-situ'!EN97</f>
        <v>-14.43</v>
      </c>
      <c r="AG441" s="113">
        <f>'Data_in-situ'!EO97</f>
        <v>3.89</v>
      </c>
      <c r="AH441" s="110">
        <f>'Data_in-situ'!EP97</f>
        <v>3</v>
      </c>
      <c r="AI441" s="113">
        <f>'Data_in-situ'!ER97</f>
        <v>-28.3</v>
      </c>
      <c r="AJ441" s="113">
        <f>'Data_in-situ'!ES97</f>
        <v>4.55</v>
      </c>
      <c r="AK441" s="110">
        <f>'Data_in-situ'!ET97</f>
        <v>3</v>
      </c>
    </row>
    <row r="442" spans="2:37" x14ac:dyDescent="0.3">
      <c r="N442" s="24">
        <f>'Data_in-situ'!DA271</f>
        <v>-15026.412930085349</v>
      </c>
      <c r="O442" s="24">
        <f>'Data_in-situ'!DB271</f>
        <v>12368.573830371251</v>
      </c>
      <c r="P442" s="46">
        <f>'Data_in-situ'!DC271</f>
        <v>8</v>
      </c>
      <c r="Q442" s="24">
        <f>'Data_in-situ'!DE271</f>
        <v>-14220.561807401995</v>
      </c>
      <c r="R442" s="24">
        <f>'Data_in-situ'!DF271</f>
        <v>39407.251289691172</v>
      </c>
      <c r="S442" s="46">
        <f>'Data_in-situ'!DG271</f>
        <v>8</v>
      </c>
      <c r="T442" s="113">
        <f>'Data_in-situ'!DN82</f>
        <v>131.4</v>
      </c>
      <c r="U442" s="113">
        <f>'Data_in-situ'!DO82</f>
        <v>146.49513859561415</v>
      </c>
      <c r="V442" s="46">
        <f>'Data_in-situ'!DP82</f>
        <v>3</v>
      </c>
      <c r="W442" s="113">
        <f>'Data_in-situ'!DR82</f>
        <v>1.4000000000000001</v>
      </c>
      <c r="X442" s="113">
        <f>'Data_in-situ'!DS82</f>
        <v>5.2321028124834141</v>
      </c>
      <c r="Y442" s="46">
        <f>'Data_in-situ'!DT82</f>
        <v>3</v>
      </c>
      <c r="Z442" s="113">
        <f>'Data_in-situ'!EA111</f>
        <v>8.4699999999999998E-2</v>
      </c>
      <c r="AA442" s="113">
        <f>'Data_in-situ'!EB111</f>
        <v>0.48702305039978139</v>
      </c>
      <c r="AB442" s="46">
        <f>'Data_in-situ'!EC111</f>
        <v>3</v>
      </c>
      <c r="AC442" s="113">
        <f>'Data_in-situ'!EE111</f>
        <v>6.1599999999999995E-2</v>
      </c>
      <c r="AD442" s="113">
        <f>'Data_in-situ'!EF111</f>
        <v>9.1977385910750442E-2</v>
      </c>
      <c r="AE442" s="46">
        <f>'Data_in-situ'!EG111</f>
        <v>3</v>
      </c>
      <c r="AF442" s="113">
        <f>'Data_in-situ'!EN98</f>
        <v>3.3333333333333335</v>
      </c>
      <c r="AG442" s="113">
        <f>'Data_in-situ'!EO98</f>
        <v>1.5275252316519463</v>
      </c>
      <c r="AH442" s="110">
        <f>'Data_in-situ'!EP98</f>
        <v>3</v>
      </c>
      <c r="AI442" s="113">
        <f>'Data_in-situ'!ER98</f>
        <v>-18.100000000000001</v>
      </c>
      <c r="AJ442" s="113">
        <f>'Data_in-situ'!ES98</f>
        <v>5.6</v>
      </c>
      <c r="AK442" s="110">
        <f>'Data_in-situ'!ET98</f>
        <v>3</v>
      </c>
    </row>
    <row r="443" spans="2:37" x14ac:dyDescent="0.3">
      <c r="N443" s="24">
        <f>'Data_in-situ'!DA354</f>
        <v>-1940.5839500221145</v>
      </c>
      <c r="O443" s="24">
        <f>'Data_in-situ'!DB354</f>
        <v>5821.085373365031</v>
      </c>
      <c r="P443" s="46">
        <f>'Data_in-situ'!DC354</f>
        <v>3</v>
      </c>
      <c r="Q443" s="24">
        <f>'Data_in-situ'!DE354</f>
        <v>-1152.9019230752547</v>
      </c>
      <c r="R443" s="24">
        <f>'Data_in-situ'!DF354</f>
        <v>1098.8801605135104</v>
      </c>
      <c r="S443" s="46">
        <f>'Data_in-situ'!DG354</f>
        <v>3</v>
      </c>
      <c r="T443" s="113">
        <f>'Data_in-situ'!DN83</f>
        <v>131.4</v>
      </c>
      <c r="U443" s="113">
        <f>'Data_in-situ'!DO83</f>
        <v>146.49513859561415</v>
      </c>
      <c r="V443" s="46">
        <f>'Data_in-situ'!DP83</f>
        <v>3</v>
      </c>
      <c r="W443" s="113">
        <f>'Data_in-situ'!DR83</f>
        <v>3.6</v>
      </c>
      <c r="X443" s="113">
        <f>'Data_in-situ'!DS83</f>
        <v>13.453978660671636</v>
      </c>
      <c r="Y443" s="46">
        <f>'Data_in-situ'!DT83</f>
        <v>3</v>
      </c>
      <c r="Z443" s="113">
        <f>'Data_in-situ'!EA128</f>
        <v>0.61975925336567961</v>
      </c>
      <c r="AA443" s="113">
        <f>'Data_in-situ'!EB128</f>
        <v>0.31937151793647711</v>
      </c>
      <c r="AB443" s="46">
        <f>'Data_in-situ'!EC128</f>
        <v>18</v>
      </c>
      <c r="AC443" s="113">
        <f>'Data_in-situ'!EE128</f>
        <v>0.85760492742086802</v>
      </c>
      <c r="AD443" s="113">
        <f>'Data_in-situ'!EF128</f>
        <v>1.8545293886198424</v>
      </c>
      <c r="AE443" s="46">
        <f>'Data_in-situ'!EG128</f>
        <v>18</v>
      </c>
      <c r="AF443" s="113">
        <f>'Data_in-situ'!EN99</f>
        <v>6.52</v>
      </c>
      <c r="AG443" s="113">
        <f>'Data_in-situ'!EO99</f>
        <v>6.22</v>
      </c>
      <c r="AH443" s="110">
        <f>'Data_in-situ'!EP99</f>
        <v>4</v>
      </c>
      <c r="AI443" s="113">
        <f>'Data_in-situ'!ER99</f>
        <v>-36.47</v>
      </c>
      <c r="AJ443" s="113">
        <f>'Data_in-situ'!ES99</f>
        <v>14.77</v>
      </c>
      <c r="AK443" s="110">
        <f>'Data_in-situ'!ET99</f>
        <v>4</v>
      </c>
    </row>
    <row r="444" spans="2:37" x14ac:dyDescent="0.3">
      <c r="N444" s="24">
        <f>'Data_in-situ'!DA355</f>
        <v>-1217.0329724395615</v>
      </c>
      <c r="O444" s="24">
        <f>'Data_in-situ'!DB355</f>
        <v>3650.6809379157057</v>
      </c>
      <c r="P444" s="46">
        <f>'Data_in-situ'!DC355</f>
        <v>3</v>
      </c>
      <c r="Q444" s="24">
        <f>'Data_in-situ'!DE355</f>
        <v>-942.32663407012569</v>
      </c>
      <c r="R444" s="24">
        <f>'Data_in-situ'!DF355</f>
        <v>898.17184114068311</v>
      </c>
      <c r="S444" s="46">
        <f>'Data_in-situ'!DG355</f>
        <v>3</v>
      </c>
      <c r="T444" s="113">
        <f>'Data_in-situ'!DN84</f>
        <v>255.99999999999997</v>
      </c>
      <c r="U444" s="113">
        <f>'Data_in-situ'!DO84</f>
        <v>285.40909802494076</v>
      </c>
      <c r="V444" s="46">
        <f>'Data_in-situ'!DP84</f>
        <v>3</v>
      </c>
      <c r="W444" s="113">
        <f>'Data_in-situ'!DR84</f>
        <v>-0.4</v>
      </c>
      <c r="X444" s="113">
        <f>'Data_in-situ'!DS84</f>
        <v>1.494886517852404</v>
      </c>
      <c r="Y444" s="46">
        <f>'Data_in-situ'!DT84</f>
        <v>3</v>
      </c>
      <c r="Z444" s="113">
        <f>'Data_in-situ'!EA129</f>
        <v>0.61975925336567961</v>
      </c>
      <c r="AA444" s="113">
        <f>'Data_in-situ'!EB129</f>
        <v>0.31937151793647711</v>
      </c>
      <c r="AB444" s="46">
        <f>'Data_in-situ'!EC129</f>
        <v>18</v>
      </c>
      <c r="AC444" s="113">
        <f>'Data_in-situ'!EE129</f>
        <v>1.2578205602172745</v>
      </c>
      <c r="AD444" s="113">
        <f>'Data_in-situ'!EF129</f>
        <v>0.63959090137404107</v>
      </c>
      <c r="AE444" s="46">
        <f>'Data_in-situ'!EG129</f>
        <v>18</v>
      </c>
      <c r="AF444" s="113">
        <f>'Data_in-situ'!EN100</f>
        <v>-5.833333333333333</v>
      </c>
      <c r="AG444" s="113">
        <f>'Data_in-situ'!EO100</f>
        <v>5.3385391260156565</v>
      </c>
      <c r="AH444" s="110">
        <f>'Data_in-situ'!EP100</f>
        <v>4</v>
      </c>
      <c r="AI444" s="113">
        <f>'Data_in-situ'!ER100</f>
        <v>-19.5</v>
      </c>
      <c r="AJ444" s="113">
        <f>'Data_in-situ'!ES100</f>
        <v>4.0620192023179804</v>
      </c>
      <c r="AK444" s="110">
        <f>'Data_in-situ'!ET100</f>
        <v>4</v>
      </c>
    </row>
    <row r="445" spans="2:37" x14ac:dyDescent="0.3">
      <c r="N445" s="24">
        <f>'Data_in-situ'!DA356</f>
        <v>-1217.0329724395615</v>
      </c>
      <c r="O445" s="24">
        <f>'Data_in-situ'!DB356</f>
        <v>3650.6809379157057</v>
      </c>
      <c r="P445" s="46">
        <f>'Data_in-situ'!DC356</f>
        <v>3</v>
      </c>
      <c r="Q445" s="24">
        <f>'Data_in-situ'!DE356</f>
        <v>1071.9796143688573</v>
      </c>
      <c r="R445" s="24">
        <f>'Data_in-situ'!DF356</f>
        <v>1021.7496450719074</v>
      </c>
      <c r="S445" s="46">
        <f>'Data_in-situ'!DG356</f>
        <v>3</v>
      </c>
      <c r="T445" s="113">
        <f>'Data_in-situ'!DN85</f>
        <v>580</v>
      </c>
      <c r="U445" s="113">
        <f>'Data_in-situ'!DO85</f>
        <v>646.62998771275659</v>
      </c>
      <c r="V445" s="46">
        <f>'Data_in-situ'!DP85</f>
        <v>3</v>
      </c>
      <c r="W445" s="113">
        <f>'Data_in-situ'!DR85</f>
        <v>0.53333333333333333</v>
      </c>
      <c r="X445" s="113">
        <f>'Data_in-situ'!DS85</f>
        <v>1.9931820238032052</v>
      </c>
      <c r="Y445" s="46">
        <f>'Data_in-situ'!DT85</f>
        <v>3</v>
      </c>
      <c r="Z445" s="113">
        <f>'Data_in-situ'!EA130</f>
        <v>0.32108009511715851</v>
      </c>
      <c r="AA445" s="113">
        <f>'Data_in-situ'!EB130</f>
        <v>0.19494609457370263</v>
      </c>
      <c r="AB445" s="46">
        <f>'Data_in-situ'!EC130</f>
        <v>18</v>
      </c>
      <c r="AC445" s="113">
        <f>'Data_in-situ'!EE130</f>
        <v>1.0977343070987131</v>
      </c>
      <c r="AD445" s="113">
        <f>'Data_in-situ'!EF130</f>
        <v>0.53387084501368376</v>
      </c>
      <c r="AE445" s="46">
        <f>'Data_in-situ'!EG130</f>
        <v>18</v>
      </c>
      <c r="AF445" s="113">
        <f>'Data_in-situ'!EN101</f>
        <v>-17.5</v>
      </c>
      <c r="AG445" s="113">
        <f>'Data_in-situ'!EO101</f>
        <v>4.9497474683058327</v>
      </c>
      <c r="AH445" s="110">
        <f>'Data_in-situ'!EP101</f>
        <v>4</v>
      </c>
      <c r="AI445" s="113">
        <f>'Data_in-situ'!ER101</f>
        <v>-34</v>
      </c>
      <c r="AJ445" s="113">
        <f>'Data_in-situ'!ES101</f>
        <v>11.313708498984761</v>
      </c>
      <c r="AK445" s="110">
        <f>'Data_in-situ'!ET101</f>
        <v>4</v>
      </c>
    </row>
    <row r="446" spans="2:37" x14ac:dyDescent="0.3">
      <c r="N446" s="24">
        <f>'Data_in-situ'!DA357</f>
        <v>-1962.6668608737455</v>
      </c>
      <c r="O446" s="24">
        <f>'Data_in-situ'!DB357</f>
        <v>5887.3265217360085</v>
      </c>
      <c r="P446" s="46">
        <f>'Data_in-situ'!DC357</f>
        <v>3</v>
      </c>
      <c r="Q446" s="24">
        <f>'Data_in-situ'!DE357</f>
        <v>-2114.1462339116297</v>
      </c>
      <c r="R446" s="24">
        <f>'Data_in-situ'!DF357</f>
        <v>2015.0832489488362</v>
      </c>
      <c r="S446" s="46">
        <f>'Data_in-situ'!DG357</f>
        <v>3</v>
      </c>
      <c r="T446" s="113">
        <f>'Data_in-situ'!DN86</f>
        <v>78.666666666666671</v>
      </c>
      <c r="U446" s="113">
        <f>'Data_in-situ'!DO86</f>
        <v>87.703837413914115</v>
      </c>
      <c r="V446" s="46">
        <f>'Data_in-situ'!DP86</f>
        <v>3</v>
      </c>
      <c r="W446" s="113">
        <f>'Data_in-situ'!DR86</f>
        <v>34.666666666666664</v>
      </c>
      <c r="X446" s="113">
        <f>'Data_in-situ'!DS86</f>
        <v>129.55683154720833</v>
      </c>
      <c r="Y446" s="46">
        <f>'Data_in-situ'!DT86</f>
        <v>3</v>
      </c>
      <c r="Z446" s="113">
        <f>'Data_in-situ'!EA131</f>
        <v>0.32108009511715851</v>
      </c>
      <c r="AA446" s="113">
        <f>'Data_in-situ'!EB131</f>
        <v>0.19494609457370263</v>
      </c>
      <c r="AB446" s="46">
        <f>'Data_in-situ'!EC131</f>
        <v>18</v>
      </c>
      <c r="AC446" s="113">
        <f>'Data_in-situ'!EE131</f>
        <v>0.69751867430230663</v>
      </c>
      <c r="AD446" s="113">
        <f>'Data_in-situ'!EF131</f>
        <v>0.31514419303530533</v>
      </c>
      <c r="AE446" s="46">
        <f>'Data_in-situ'!EG131</f>
        <v>18</v>
      </c>
      <c r="AF446" s="113">
        <f>'Data_in-situ'!EN102</f>
        <v>-10</v>
      </c>
      <c r="AG446" s="113">
        <f>'Data_in-situ'!EO102</f>
        <v>5.6568542494923806</v>
      </c>
      <c r="AH446" s="110">
        <f>'Data_in-situ'!EP102</f>
        <v>4</v>
      </c>
      <c r="AI446" s="113">
        <f>'Data_in-situ'!ER102</f>
        <v>-16.5</v>
      </c>
      <c r="AJ446" s="113">
        <f>'Data_in-situ'!ES102</f>
        <v>3.5355339059327378</v>
      </c>
      <c r="AK446" s="110">
        <f>'Data_in-situ'!ET102</f>
        <v>4</v>
      </c>
    </row>
    <row r="447" spans="2:37" x14ac:dyDescent="0.3">
      <c r="N447" s="24">
        <f>'Data_in-situ'!DA358</f>
        <v>-3003.1418917849933</v>
      </c>
      <c r="O447" s="24">
        <f>'Data_in-situ'!DB358</f>
        <v>9008.3942723581713</v>
      </c>
      <c r="P447" s="46">
        <f>'Data_in-situ'!DC358</f>
        <v>3</v>
      </c>
      <c r="Q447" s="24">
        <f>'Data_in-situ'!DE358</f>
        <v>-834.0354104877897</v>
      </c>
      <c r="R447" s="24">
        <f>'Data_in-situ'!DF358</f>
        <v>794.95484169727581</v>
      </c>
      <c r="S447" s="46">
        <f>'Data_in-situ'!DG358</f>
        <v>3</v>
      </c>
      <c r="T447" s="113">
        <f>'Data_in-situ'!DN87</f>
        <v>31.999999999999996</v>
      </c>
      <c r="U447" s="113">
        <f>'Data_in-situ'!DO87</f>
        <v>35.676137253117595</v>
      </c>
      <c r="V447" s="46">
        <f>'Data_in-situ'!DP87</f>
        <v>3</v>
      </c>
      <c r="W447" s="113">
        <f>'Data_in-situ'!DR87</f>
        <v>14.666666666666668</v>
      </c>
      <c r="X447" s="113">
        <f>'Data_in-situ'!DS87</f>
        <v>54.812505654588151</v>
      </c>
      <c r="Y447" s="46">
        <f>'Data_in-situ'!DT87</f>
        <v>3</v>
      </c>
      <c r="Z447" s="113">
        <f>'Data_in-situ'!EA132</f>
        <v>0.6346932112781053</v>
      </c>
      <c r="AA447" s="113">
        <f>'Data_in-situ'!EB132</f>
        <v>0.12856385073753784</v>
      </c>
      <c r="AB447" s="46">
        <f>'Data_in-situ'!EC132</f>
        <v>21</v>
      </c>
      <c r="AC447" s="113">
        <f>'Data_in-situ'!EE132</f>
        <v>0.75469233613036468</v>
      </c>
      <c r="AD447" s="113">
        <f>'Data_in-situ'!EF132</f>
        <v>0.35864660190524744</v>
      </c>
      <c r="AE447" s="46">
        <f>'Data_in-situ'!EG132</f>
        <v>21</v>
      </c>
      <c r="AF447" s="113">
        <f>'Data_in-situ'!EN103</f>
        <v>10</v>
      </c>
      <c r="AG447" s="113">
        <f>'Data_in-situ'!EO103</f>
        <v>14.142135623730951</v>
      </c>
      <c r="AH447" s="110">
        <f>'Data_in-situ'!EP103</f>
        <v>4</v>
      </c>
      <c r="AI447" s="113">
        <f>'Data_in-situ'!ER103</f>
        <v>-8</v>
      </c>
      <c r="AJ447" s="113">
        <f>'Data_in-situ'!ES103</f>
        <v>2.8284271247461903</v>
      </c>
      <c r="AK447" s="110">
        <f>'Data_in-situ'!ET103</f>
        <v>4</v>
      </c>
    </row>
    <row r="448" spans="2:37" x14ac:dyDescent="0.3">
      <c r="N448" s="24">
        <f>'Data_in-situ'!DA359</f>
        <v>-3003.1418917849933</v>
      </c>
      <c r="O448" s="24">
        <f>'Data_in-situ'!DB359</f>
        <v>9008.3942723581713</v>
      </c>
      <c r="P448" s="46">
        <f>'Data_in-situ'!DC359</f>
        <v>3</v>
      </c>
      <c r="Q448" s="24">
        <f>'Data_in-situ'!DE359</f>
        <v>1252.6406210204286</v>
      </c>
      <c r="R448" s="24">
        <f>'Data_in-situ'!DF359</f>
        <v>1193.9453817727929</v>
      </c>
      <c r="S448" s="46">
        <f>'Data_in-situ'!DG359</f>
        <v>3</v>
      </c>
      <c r="T448" s="113">
        <f>'Data_in-situ'!DN88</f>
        <v>17.100000000000001</v>
      </c>
      <c r="U448" s="113">
        <f>'Data_in-situ'!DO88</f>
        <v>7.9674337148168348</v>
      </c>
      <c r="V448" s="46">
        <f>'Data_in-situ'!DP88</f>
        <v>3</v>
      </c>
      <c r="W448" s="113">
        <f>'Data_in-situ'!DR88</f>
        <v>11.100000000000001</v>
      </c>
      <c r="X448" s="113">
        <f>'Data_in-situ'!DS88</f>
        <v>4.3301270189221928</v>
      </c>
      <c r="Y448" s="46">
        <f>'Data_in-situ'!DT88</f>
        <v>3</v>
      </c>
      <c r="Z448" s="113">
        <f>'Data_in-situ'!EA133</f>
        <v>0.6346932112781053</v>
      </c>
      <c r="AA448" s="113">
        <f>'Data_in-situ'!EB133</f>
        <v>0.12856385073753784</v>
      </c>
      <c r="AB448" s="46">
        <f>'Data_in-situ'!EC133</f>
        <v>21</v>
      </c>
      <c r="AC448" s="113">
        <f>'Data_in-situ'!EE133</f>
        <v>0.77756180086158733</v>
      </c>
      <c r="AD448" s="113">
        <f>'Data_in-situ'!EF133</f>
        <v>0.42421666014248416</v>
      </c>
      <c r="AE448" s="46">
        <f>'Data_in-situ'!EG133</f>
        <v>21</v>
      </c>
      <c r="AF448" s="113">
        <f>'Data_in-situ'!EN104</f>
        <v>-27.34</v>
      </c>
      <c r="AG448" s="113">
        <f>'Data_in-situ'!EO104</f>
        <v>6.04</v>
      </c>
      <c r="AH448" s="110">
        <f>'Data_in-situ'!EP104</f>
        <v>3</v>
      </c>
      <c r="AI448" s="113">
        <f>'Data_in-situ'!ER104</f>
        <v>-42.07</v>
      </c>
      <c r="AJ448" s="113">
        <f>'Data_in-situ'!ES104</f>
        <v>2.04</v>
      </c>
      <c r="AK448" s="110">
        <f>'Data_in-situ'!ET104</f>
        <v>3</v>
      </c>
    </row>
    <row r="449" spans="14:37" x14ac:dyDescent="0.3">
      <c r="N449" s="24">
        <f>'Data_in-situ'!DA416</f>
        <v>-988.3974549743225</v>
      </c>
      <c r="O449" s="24">
        <f>'Data_in-situ'!DB416</f>
        <v>1706.6543556486708</v>
      </c>
      <c r="P449" s="46">
        <f>'Data_in-situ'!DC416</f>
        <v>5</v>
      </c>
      <c r="Q449" s="24">
        <f>'Data_in-situ'!DE416</f>
        <v>-341.0829809255074</v>
      </c>
      <c r="R449" s="24">
        <f>'Data_in-situ'!DF416</f>
        <v>4448.7121943333168</v>
      </c>
      <c r="S449" s="46">
        <f>'Data_in-situ'!DG416</f>
        <v>5</v>
      </c>
      <c r="T449" s="113">
        <f>'Data_in-situ'!DN89</f>
        <v>17.3</v>
      </c>
      <c r="U449" s="113">
        <f>'Data_in-situ'!DO89</f>
        <v>8.1406387955737234</v>
      </c>
      <c r="V449" s="46">
        <f>'Data_in-situ'!DP89</f>
        <v>3</v>
      </c>
      <c r="W449" s="113">
        <f>'Data_in-situ'!DR89</f>
        <v>12.5</v>
      </c>
      <c r="X449" s="113">
        <f>'Data_in-situ'!DS89</f>
        <v>5.0229473419497435</v>
      </c>
      <c r="Y449" s="46">
        <f>'Data_in-situ'!DT89</f>
        <v>3</v>
      </c>
      <c r="Z449" s="113">
        <f>'Data_in-situ'!EA135</f>
        <v>0.2</v>
      </c>
      <c r="AA449" s="113">
        <f>'Data_in-situ'!EB135</f>
        <v>0.51961524227066314</v>
      </c>
      <c r="AB449" s="46">
        <f>'Data_in-situ'!EC135</f>
        <v>3</v>
      </c>
      <c r="AC449" s="113">
        <f>'Data_in-situ'!EE135</f>
        <v>0.9</v>
      </c>
      <c r="AD449" s="113">
        <f>'Data_in-situ'!EF135</f>
        <v>1.0392304845413263</v>
      </c>
      <c r="AE449" s="46">
        <f>'Data_in-situ'!EG135</f>
        <v>3</v>
      </c>
      <c r="AF449" s="113">
        <f>'Data_in-situ'!EN105</f>
        <v>-27.34</v>
      </c>
      <c r="AG449" s="113">
        <f>'Data_in-situ'!EO105</f>
        <v>6.04</v>
      </c>
      <c r="AH449" s="110">
        <f>'Data_in-situ'!EP105</f>
        <v>3</v>
      </c>
      <c r="AI449" s="113">
        <f>'Data_in-situ'!ER105</f>
        <v>-42.07</v>
      </c>
      <c r="AJ449" s="113">
        <f>'Data_in-situ'!ES105</f>
        <v>2.04</v>
      </c>
      <c r="AK449" s="110">
        <f>'Data_in-situ'!ET105</f>
        <v>3</v>
      </c>
    </row>
    <row r="450" spans="14:37" x14ac:dyDescent="0.3">
      <c r="N450" s="24">
        <f>'Data_in-situ'!DA417</f>
        <v>327.32294156592525</v>
      </c>
      <c r="O450" s="24">
        <f>'Data_in-situ'!DB417</f>
        <v>2944.1256851527319</v>
      </c>
      <c r="P450" s="46">
        <f>'Data_in-situ'!DC417</f>
        <v>5</v>
      </c>
      <c r="Q450" s="24">
        <f>'Data_in-situ'!DE417</f>
        <v>857.98044612392005</v>
      </c>
      <c r="R450" s="24">
        <f>'Data_in-situ'!DF417</f>
        <v>5173.2804359476186</v>
      </c>
      <c r="S450" s="46">
        <f>'Data_in-situ'!DG417</f>
        <v>5</v>
      </c>
      <c r="T450" s="113">
        <f>'Data_in-situ'!DN98</f>
        <v>29.564989329793384</v>
      </c>
      <c r="U450" s="113">
        <f>'Data_in-situ'!DO98</f>
        <v>10.677333333333335</v>
      </c>
      <c r="V450" s="46">
        <f>'Data_in-situ'!DP98</f>
        <v>3</v>
      </c>
      <c r="W450" s="113">
        <f>'Data_in-situ'!DR98</f>
        <v>7.9918819188191907</v>
      </c>
      <c r="X450" s="113">
        <f>'Data_in-situ'!DS98</f>
        <v>0.87360000000000004</v>
      </c>
      <c r="Y450" s="46">
        <f>'Data_in-situ'!DT98</f>
        <v>3</v>
      </c>
      <c r="Z450" s="113">
        <f>'Data_in-situ'!EA136</f>
        <v>0.3</v>
      </c>
      <c r="AA450" s="113">
        <f>'Data_in-situ'!EB136</f>
        <v>0.8660254037844386</v>
      </c>
      <c r="AB450" s="46">
        <f>'Data_in-situ'!EC136</f>
        <v>3</v>
      </c>
      <c r="AC450" s="113">
        <f>'Data_in-situ'!EE136</f>
        <v>0.7</v>
      </c>
      <c r="AD450" s="113">
        <f>'Data_in-situ'!EF136</f>
        <v>0.8660254037844386</v>
      </c>
      <c r="AE450" s="46">
        <f>'Data_in-situ'!EG136</f>
        <v>3</v>
      </c>
      <c r="AF450" s="113">
        <f>'Data_in-situ'!EN106</f>
        <v>-2.62</v>
      </c>
      <c r="AG450" s="113">
        <f>'Data_in-situ'!EO106</f>
        <v>0.79</v>
      </c>
      <c r="AH450" s="110">
        <f>'Data_in-situ'!EP106</f>
        <v>3</v>
      </c>
      <c r="AI450" s="113">
        <f>'Data_in-situ'!ER106</f>
        <v>-21.88</v>
      </c>
      <c r="AJ450" s="113">
        <f>'Data_in-situ'!ES106</f>
        <v>3.76</v>
      </c>
      <c r="AK450" s="110">
        <f>'Data_in-situ'!ET106</f>
        <v>3</v>
      </c>
    </row>
    <row r="451" spans="14:37" x14ac:dyDescent="0.3">
      <c r="N451" s="24">
        <f>'Data_in-situ'!DA420</f>
        <v>-655.74999999999989</v>
      </c>
      <c r="O451" s="24">
        <f>'Data_in-situ'!DB420</f>
        <v>1124.8403001463512</v>
      </c>
      <c r="P451" s="46">
        <f>'Data_in-situ'!DC420</f>
        <v>3</v>
      </c>
      <c r="Q451" s="24">
        <f>'Data_in-situ'!DE420</f>
        <v>13852.474999999999</v>
      </c>
      <c r="R451" s="24">
        <f>'Data_in-situ'!DF420</f>
        <v>8765.263715525527</v>
      </c>
      <c r="S451" s="46">
        <f>'Data_in-situ'!DG420</f>
        <v>3</v>
      </c>
      <c r="T451" s="113">
        <f>'Data_in-situ'!DN99</f>
        <v>142.07619872372933</v>
      </c>
      <c r="U451" s="113">
        <f>'Data_in-situ'!DO99</f>
        <v>118.22720000000001</v>
      </c>
      <c r="V451" s="46">
        <f>'Data_in-situ'!DP99</f>
        <v>24</v>
      </c>
      <c r="W451" s="113">
        <f>'Data_in-situ'!DR99</f>
        <v>1.3426361623616241</v>
      </c>
      <c r="X451" s="113">
        <f>'Data_in-situ'!DS99</f>
        <v>1.8695039999999998</v>
      </c>
      <c r="Y451" s="46">
        <f>'Data_in-situ'!DT99</f>
        <v>15</v>
      </c>
      <c r="Z451" s="113">
        <f>'Data_in-situ'!EA137</f>
        <v>0.2</v>
      </c>
      <c r="AA451" s="113">
        <f>'Data_in-situ'!EB137</f>
        <v>0.51961524227066314</v>
      </c>
      <c r="AB451" s="46">
        <f>'Data_in-situ'!EC137</f>
        <v>3</v>
      </c>
      <c r="AC451" s="113">
        <f>'Data_in-situ'!EE137</f>
        <v>0.6</v>
      </c>
      <c r="AD451" s="113">
        <f>'Data_in-situ'!EF137</f>
        <v>0.51961524227066314</v>
      </c>
      <c r="AE451" s="46">
        <f>'Data_in-situ'!EG137</f>
        <v>3</v>
      </c>
      <c r="AF451" s="113">
        <f>'Data_in-situ'!EN107</f>
        <v>-6.51</v>
      </c>
      <c r="AG451" s="113">
        <f>'Data_in-situ'!EO107</f>
        <v>2.2799999999999998</v>
      </c>
      <c r="AH451" s="110">
        <f>'Data_in-situ'!EP107</f>
        <v>3</v>
      </c>
      <c r="AI451" s="113">
        <f>'Data_in-situ'!ER107</f>
        <v>-46.73</v>
      </c>
      <c r="AJ451" s="113">
        <f>'Data_in-situ'!ES107</f>
        <v>5.78</v>
      </c>
      <c r="AK451" s="110">
        <f>'Data_in-situ'!ET107</f>
        <v>3</v>
      </c>
    </row>
    <row r="452" spans="14:37" x14ac:dyDescent="0.3">
      <c r="N452" s="24">
        <f>'Data_in-situ'!DA421</f>
        <v>-388.52499999999998</v>
      </c>
      <c r="O452" s="24">
        <f>'Data_in-situ'!DB421</f>
        <v>1170.5952194111908</v>
      </c>
      <c r="P452" s="46">
        <f>'Data_in-situ'!DC421</f>
        <v>3</v>
      </c>
      <c r="Q452" s="24">
        <f>'Data_in-situ'!DE421</f>
        <v>10594.25</v>
      </c>
      <c r="R452" s="24">
        <f>'Data_in-situ'!DF421</f>
        <v>5864.6849566565243</v>
      </c>
      <c r="S452" s="46">
        <f>'Data_in-situ'!DG421</f>
        <v>3</v>
      </c>
      <c r="T452" s="113">
        <f>'Data_in-situ'!DN100</f>
        <v>29.877540000000003</v>
      </c>
      <c r="U452" s="113">
        <f>'Data_in-situ'!DO100</f>
        <v>10.5768948600239</v>
      </c>
      <c r="V452" s="46">
        <f>'Data_in-situ'!DP100</f>
        <v>3</v>
      </c>
      <c r="W452" s="113">
        <f>'Data_in-situ'!DR100</f>
        <v>21.248370000000001</v>
      </c>
      <c r="X452" s="113">
        <f>'Data_in-situ'!DS100</f>
        <v>3.4542118170720228</v>
      </c>
      <c r="Y452" s="46">
        <f>'Data_in-situ'!DT100</f>
        <v>3</v>
      </c>
      <c r="Z452" s="113">
        <f>'Data_in-situ'!EA138</f>
        <v>0.3</v>
      </c>
      <c r="AA452" s="113">
        <f>'Data_in-situ'!EB138</f>
        <v>0.8660254037844386</v>
      </c>
      <c r="AB452" s="46">
        <f>'Data_in-situ'!EC138</f>
        <v>3</v>
      </c>
      <c r="AC452" s="113">
        <f>'Data_in-situ'!EE138</f>
        <v>0.4</v>
      </c>
      <c r="AD452" s="113">
        <f>'Data_in-situ'!EF138</f>
        <v>0.69282032302755092</v>
      </c>
      <c r="AE452" s="46">
        <f>'Data_in-situ'!EG138</f>
        <v>3</v>
      </c>
      <c r="AF452" s="113">
        <f>'Data_in-situ'!EN108</f>
        <v>-10.75</v>
      </c>
      <c r="AG452" s="113">
        <f>'Data_in-situ'!EO108</f>
        <v>1.853</v>
      </c>
      <c r="AH452" s="110">
        <f>'Data_in-situ'!EP108</f>
        <v>3</v>
      </c>
      <c r="AI452" s="113">
        <f>'Data_in-situ'!ER108</f>
        <v>-20.14</v>
      </c>
      <c r="AJ452" s="113">
        <f>'Data_in-situ'!ES108</f>
        <v>1.87</v>
      </c>
      <c r="AK452" s="110">
        <f>'Data_in-situ'!ET108</f>
        <v>3</v>
      </c>
    </row>
    <row r="453" spans="14:37" x14ac:dyDescent="0.3">
      <c r="N453" s="24">
        <f>'Data_in-situ'!DA422</f>
        <v>-1372.9750000000001</v>
      </c>
      <c r="O453" s="24">
        <f>'Data_in-situ'!DB422</f>
        <v>924.10220135094733</v>
      </c>
      <c r="P453" s="46">
        <f>'Data_in-situ'!DC422</f>
        <v>3</v>
      </c>
      <c r="Q453" s="24">
        <f>'Data_in-situ'!DE422</f>
        <v>9692.625</v>
      </c>
      <c r="R453" s="24">
        <f>'Data_in-situ'!DF422</f>
        <v>5495.0505473296917</v>
      </c>
      <c r="S453" s="46">
        <f>'Data_in-situ'!DG422</f>
        <v>3</v>
      </c>
      <c r="T453" s="113">
        <f>'Data_in-situ'!DN101</f>
        <v>24.519000000000002</v>
      </c>
      <c r="U453" s="113">
        <f>'Data_in-situ'!DO101</f>
        <v>3.8585295126511601</v>
      </c>
      <c r="V453" s="46">
        <f>'Data_in-situ'!DP101</f>
        <v>3</v>
      </c>
      <c r="W453" s="113">
        <f>'Data_in-situ'!DR101</f>
        <v>2.714</v>
      </c>
      <c r="X453" s="113">
        <f>'Data_in-situ'!DS101</f>
        <v>1.8204276969987025</v>
      </c>
      <c r="Y453" s="46">
        <f>'Data_in-situ'!DT101</f>
        <v>3</v>
      </c>
      <c r="Z453" s="113">
        <f>'Data_in-situ'!EA139</f>
        <v>0.2</v>
      </c>
      <c r="AA453" s="113">
        <f>'Data_in-situ'!EB139</f>
        <v>0.51961524227066314</v>
      </c>
      <c r="AB453" s="46">
        <f>'Data_in-situ'!EC139</f>
        <v>3</v>
      </c>
      <c r="AC453" s="113">
        <f>'Data_in-situ'!EE139</f>
        <v>0.3</v>
      </c>
      <c r="AD453" s="113">
        <f>'Data_in-situ'!EF139</f>
        <v>0.51961524227066314</v>
      </c>
      <c r="AE453" s="46">
        <f>'Data_in-situ'!EG139</f>
        <v>3</v>
      </c>
      <c r="AF453" s="113">
        <f>'Data_in-situ'!EN109</f>
        <v>-24.62</v>
      </c>
      <c r="AG453" s="113">
        <f>'Data_in-situ'!EO109</f>
        <v>6.88</v>
      </c>
      <c r="AH453" s="110">
        <f>'Data_in-situ'!EP109</f>
        <v>3</v>
      </c>
      <c r="AI453" s="113">
        <f>'Data_in-situ'!ER109</f>
        <v>-23.22</v>
      </c>
      <c r="AJ453" s="113">
        <f>'Data_in-situ'!ES109</f>
        <v>6.41</v>
      </c>
      <c r="AK453" s="110">
        <f>'Data_in-situ'!ET109</f>
        <v>3</v>
      </c>
    </row>
    <row r="454" spans="14:37" x14ac:dyDescent="0.3">
      <c r="N454" s="24">
        <f>'Data_in-situ'!DA423</f>
        <v>-1372.9750000000001</v>
      </c>
      <c r="O454" s="24">
        <f>'Data_in-situ'!DB423</f>
        <v>924.10220135094733</v>
      </c>
      <c r="P454" s="46">
        <f>'Data_in-situ'!DC423</f>
        <v>3</v>
      </c>
      <c r="Q454" s="24">
        <f>'Data_in-situ'!DE423</f>
        <v>17704.899999999998</v>
      </c>
      <c r="R454" s="24">
        <f>'Data_in-situ'!DF423</f>
        <v>3753.2231304129346</v>
      </c>
      <c r="S454" s="46">
        <f>'Data_in-situ'!DG423</f>
        <v>3</v>
      </c>
      <c r="T454" s="113">
        <f>'Data_in-situ'!DN102</f>
        <v>37.001000000000005</v>
      </c>
      <c r="U454" s="113">
        <f>'Data_in-situ'!DO102</f>
        <v>14.229681127839795</v>
      </c>
      <c r="V454" s="46">
        <f>'Data_in-situ'!DP102</f>
        <v>3</v>
      </c>
      <c r="W454" s="113">
        <f>'Data_in-situ'!DR102</f>
        <v>17.568999999999999</v>
      </c>
      <c r="X454" s="113">
        <f>'Data_in-situ'!DS102</f>
        <v>3.3260057125627429</v>
      </c>
      <c r="Y454" s="46">
        <f>'Data_in-situ'!DT102</f>
        <v>3</v>
      </c>
      <c r="Z454" s="113">
        <f>'Data_in-situ'!EA140</f>
        <v>0.3</v>
      </c>
      <c r="AA454" s="113">
        <f>'Data_in-situ'!EB140</f>
        <v>0.8660254037844386</v>
      </c>
      <c r="AB454" s="46">
        <f>'Data_in-situ'!EC140</f>
        <v>3</v>
      </c>
      <c r="AC454" s="113">
        <f>'Data_in-situ'!EE140</f>
        <v>0.4</v>
      </c>
      <c r="AD454" s="113">
        <f>'Data_in-situ'!EF140</f>
        <v>1.0392304845413263</v>
      </c>
      <c r="AE454" s="46">
        <f>'Data_in-situ'!EG140</f>
        <v>3</v>
      </c>
      <c r="AF454" s="113">
        <f>'Data_in-situ'!EN110</f>
        <v>-6.95</v>
      </c>
      <c r="AG454" s="113">
        <f>'Data_in-situ'!EO110</f>
        <v>1.41</v>
      </c>
      <c r="AH454" s="110">
        <f>'Data_in-situ'!EP110</f>
        <v>3</v>
      </c>
      <c r="AI454" s="113">
        <f>'Data_in-situ'!ER110</f>
        <v>-21.5</v>
      </c>
      <c r="AJ454" s="113">
        <f>'Data_in-situ'!ES110</f>
        <v>1.76</v>
      </c>
      <c r="AK454" s="110">
        <f>'Data_in-situ'!ET110</f>
        <v>3</v>
      </c>
    </row>
    <row r="455" spans="14:37" x14ac:dyDescent="0.3">
      <c r="N455" s="24">
        <f>'Data_in-situ'!DA424</f>
        <v>81.850000000000023</v>
      </c>
      <c r="O455" s="24">
        <f>'Data_in-situ'!DB424</f>
        <v>1631.6723826083066</v>
      </c>
      <c r="P455" s="46">
        <f>'Data_in-situ'!DC424</f>
        <v>3</v>
      </c>
      <c r="Q455" s="24">
        <f>'Data_in-situ'!DE424</f>
        <v>9282.7649999999994</v>
      </c>
      <c r="R455" s="24">
        <f>'Data_in-situ'!DF424</f>
        <v>6092.1653911731855</v>
      </c>
      <c r="S455" s="46">
        <f>'Data_in-situ'!DG424</f>
        <v>3</v>
      </c>
      <c r="T455" s="113">
        <f>'Data_in-situ'!DN103</f>
        <v>29.018000000000001</v>
      </c>
      <c r="U455" s="113">
        <f>'Data_in-situ'!DO103</f>
        <v>28.458867247309758</v>
      </c>
      <c r="V455" s="46">
        <f>'Data_in-situ'!DP103</f>
        <v>3</v>
      </c>
      <c r="W455" s="113">
        <f>'Data_in-situ'!DR103</f>
        <v>44.106000000000002</v>
      </c>
      <c r="X455" s="113">
        <f>'Data_in-situ'!DS103</f>
        <v>9.7564479704449827</v>
      </c>
      <c r="Y455" s="46">
        <f>'Data_in-situ'!DT103</f>
        <v>3</v>
      </c>
      <c r="Z455" s="113">
        <f>'Data_in-situ'!EA141</f>
        <v>1</v>
      </c>
      <c r="AA455" s="113">
        <f>'Data_in-situ'!EB141</f>
        <v>1.5811388300841898</v>
      </c>
      <c r="AB455" s="46">
        <f>'Data_in-situ'!EC141</f>
        <v>10</v>
      </c>
      <c r="AC455" s="113">
        <f>'Data_in-situ'!EE141</f>
        <v>2</v>
      </c>
      <c r="AD455" s="113">
        <f>'Data_in-situ'!EF141</f>
        <v>2.8460498941515415</v>
      </c>
      <c r="AE455" s="46">
        <f>'Data_in-situ'!EG141</f>
        <v>10</v>
      </c>
      <c r="AF455" s="113">
        <f>'Data_in-situ'!EN111</f>
        <v>-14.43</v>
      </c>
      <c r="AG455" s="113">
        <f>'Data_in-situ'!EO111</f>
        <v>3.89</v>
      </c>
      <c r="AH455" s="110">
        <f>'Data_in-situ'!EP111</f>
        <v>3</v>
      </c>
      <c r="AI455" s="113">
        <f>'Data_in-situ'!ER111</f>
        <v>-28.3</v>
      </c>
      <c r="AJ455" s="113">
        <f>'Data_in-situ'!ES111</f>
        <v>4.55</v>
      </c>
      <c r="AK455" s="110">
        <f>'Data_in-situ'!ET111</f>
        <v>3</v>
      </c>
    </row>
    <row r="456" spans="14:37" x14ac:dyDescent="0.3">
      <c r="N456" s="24">
        <f>'Data_in-situ'!DA425</f>
        <v>-983.60000000000014</v>
      </c>
      <c r="O456" s="24">
        <f>'Data_in-situ'!DB425</f>
        <v>94.627709120179674</v>
      </c>
      <c r="P456" s="46">
        <f>'Data_in-situ'!DC425</f>
        <v>3</v>
      </c>
      <c r="Q456" s="24">
        <f>'Data_in-situ'!DE425</f>
        <v>8811.4750000000004</v>
      </c>
      <c r="R456" s="24">
        <f>'Data_in-situ'!DF425</f>
        <v>5873.9289174885607</v>
      </c>
      <c r="S456" s="46">
        <f>'Data_in-situ'!DG425</f>
        <v>3</v>
      </c>
      <c r="T456" s="113">
        <f>'Data_in-situ'!DN104</f>
        <v>277.33333333333331</v>
      </c>
      <c r="U456" s="113">
        <f>'Data_in-situ'!DO104</f>
        <v>309.19318952701917</v>
      </c>
      <c r="V456" s="46">
        <f>'Data_in-situ'!DP104</f>
        <v>3</v>
      </c>
      <c r="W456" s="113">
        <f>'Data_in-situ'!DR104</f>
        <v>0.04</v>
      </c>
      <c r="X456" s="113">
        <f>'Data_in-situ'!DS104</f>
        <v>0.1494886517852404</v>
      </c>
      <c r="Y456" s="46">
        <f>'Data_in-situ'!DT104</f>
        <v>3</v>
      </c>
      <c r="Z456" s="113">
        <f>'Data_in-situ'!EA142</f>
        <v>1</v>
      </c>
      <c r="AA456" s="113">
        <f>'Data_in-situ'!EB142</f>
        <v>1.5811388300841898</v>
      </c>
      <c r="AB456" s="46">
        <f>'Data_in-situ'!EC142</f>
        <v>10</v>
      </c>
      <c r="AC456" s="113">
        <f>'Data_in-situ'!EE142</f>
        <v>2</v>
      </c>
      <c r="AD456" s="113">
        <f>'Data_in-situ'!EF142</f>
        <v>4.4271887242357311</v>
      </c>
      <c r="AE456" s="46">
        <f>'Data_in-situ'!EG142</f>
        <v>10</v>
      </c>
      <c r="AF456" s="113">
        <f>'Data_in-situ'!EN128</f>
        <v>-7.08</v>
      </c>
      <c r="AG456" s="113">
        <f>'Data_in-situ'!EO128</f>
        <v>2.8850745031591569</v>
      </c>
      <c r="AH456" s="110">
        <f>'Data_in-situ'!EP128</f>
        <v>18</v>
      </c>
      <c r="AI456" s="113">
        <f>'Data_in-situ'!ER128</f>
        <v>-15.22</v>
      </c>
      <c r="AJ456" s="113">
        <f>'Data_in-situ'!ES128</f>
        <v>3.4521098944099355</v>
      </c>
      <c r="AK456" s="110">
        <f>'Data_in-situ'!ET128</f>
        <v>18</v>
      </c>
    </row>
    <row r="457" spans="14:37" x14ac:dyDescent="0.3">
      <c r="N457" s="24">
        <f>'Data_in-situ'!DA448</f>
        <v>-1943.3333333333333</v>
      </c>
      <c r="O457" s="24">
        <f>'Data_in-situ'!DB448</f>
        <v>436</v>
      </c>
      <c r="P457" s="46">
        <f>'Data_in-situ'!DC448</f>
        <v>3</v>
      </c>
      <c r="Q457" s="24">
        <f>'Data_in-situ'!DE448</f>
        <v>-4766.666666666667</v>
      </c>
      <c r="R457" s="24">
        <f>'Data_in-situ'!DF448</f>
        <v>1203</v>
      </c>
      <c r="S457" s="46">
        <f>'Data_in-situ'!DG448</f>
        <v>3</v>
      </c>
      <c r="T457" s="113">
        <f>'Data_in-situ'!DN105</f>
        <v>326.66666666666663</v>
      </c>
      <c r="U457" s="113">
        <f>'Data_in-situ'!DO105</f>
        <v>364.19390112557551</v>
      </c>
      <c r="V457" s="46">
        <f>'Data_in-situ'!DP105</f>
        <v>3</v>
      </c>
      <c r="W457" s="113">
        <f>'Data_in-situ'!DR105</f>
        <v>-0.10666666666666666</v>
      </c>
      <c r="X457" s="113">
        <f>'Data_in-situ'!DS105</f>
        <v>0.39863640476064105</v>
      </c>
      <c r="Y457" s="46">
        <f>'Data_in-situ'!DT105</f>
        <v>3</v>
      </c>
      <c r="Z457" s="113">
        <f>'Data_in-situ'!EA143</f>
        <v>1</v>
      </c>
      <c r="AA457" s="113">
        <f>'Data_in-situ'!EB143</f>
        <v>1.5811388300841898</v>
      </c>
      <c r="AB457" s="46">
        <f>'Data_in-situ'!EC143</f>
        <v>10</v>
      </c>
      <c r="AC457" s="113">
        <f>'Data_in-situ'!EE143</f>
        <v>11</v>
      </c>
      <c r="AD457" s="113">
        <f>'Data_in-situ'!EF143</f>
        <v>13.914021704740872</v>
      </c>
      <c r="AE457" s="46">
        <f>'Data_in-situ'!EG143</f>
        <v>10</v>
      </c>
      <c r="AF457" s="113">
        <f>'Data_in-situ'!EN129</f>
        <v>-7.08</v>
      </c>
      <c r="AG457" s="113">
        <f>'Data_in-situ'!EO129</f>
        <v>2.8850745031591569</v>
      </c>
      <c r="AH457" s="110">
        <f>'Data_in-situ'!EP129</f>
        <v>18</v>
      </c>
      <c r="AI457" s="113">
        <f>'Data_in-situ'!ER129</f>
        <v>-36.11</v>
      </c>
      <c r="AJ457" s="113">
        <f>'Data_in-situ'!ES129</f>
        <v>8.190255472217002</v>
      </c>
      <c r="AK457" s="110">
        <f>'Data_in-situ'!ET129</f>
        <v>18</v>
      </c>
    </row>
    <row r="458" spans="14:37" x14ac:dyDescent="0.3">
      <c r="N458" s="24">
        <f>'Data_in-situ'!DA449</f>
        <v>-2676.6666666666665</v>
      </c>
      <c r="O458" s="24">
        <f>'Data_in-situ'!DB449</f>
        <v>563</v>
      </c>
      <c r="P458" s="46">
        <f>'Data_in-situ'!DC449</f>
        <v>3</v>
      </c>
      <c r="Q458" s="24">
        <f>'Data_in-situ'!DE449</f>
        <v>-11000</v>
      </c>
      <c r="R458" s="24">
        <f>'Data_in-situ'!DF449</f>
        <v>2602</v>
      </c>
      <c r="S458" s="46">
        <f>'Data_in-situ'!DG449</f>
        <v>3</v>
      </c>
      <c r="T458" s="113">
        <f>'Data_in-situ'!DN106</f>
        <v>100.8</v>
      </c>
      <c r="U458" s="113">
        <f>'Data_in-situ'!DO106</f>
        <v>112.37983234732044</v>
      </c>
      <c r="V458" s="46">
        <f>'Data_in-situ'!DP106</f>
        <v>3</v>
      </c>
      <c r="W458" s="113">
        <f>'Data_in-situ'!DR106</f>
        <v>1.0666666666666667</v>
      </c>
      <c r="X458" s="113">
        <f>'Data_in-situ'!DS106</f>
        <v>3.9863640476064104</v>
      </c>
      <c r="Y458" s="46">
        <f>'Data_in-situ'!DT106</f>
        <v>3</v>
      </c>
      <c r="Z458" s="113">
        <f>'Data_in-situ'!EA144</f>
        <v>1</v>
      </c>
      <c r="AA458" s="113">
        <f>'Data_in-situ'!EB144</f>
        <v>1.5811388300841898</v>
      </c>
      <c r="AB458" s="46">
        <f>'Data_in-situ'!EC144</f>
        <v>10</v>
      </c>
      <c r="AC458" s="113">
        <f>'Data_in-situ'!EE144</f>
        <v>6</v>
      </c>
      <c r="AD458" s="113">
        <f>'Data_in-situ'!EF144</f>
        <v>8.538149682454625</v>
      </c>
      <c r="AE458" s="46">
        <f>'Data_in-situ'!EG144</f>
        <v>10</v>
      </c>
      <c r="AF458" s="113">
        <f>'Data_in-situ'!EN130</f>
        <v>-12.04</v>
      </c>
      <c r="AG458" s="113">
        <f>'Data_in-situ'!EO130</f>
        <v>4.9062566409655712</v>
      </c>
      <c r="AH458" s="110">
        <f>'Data_in-situ'!EP130</f>
        <v>18</v>
      </c>
      <c r="AI458" s="113">
        <f>'Data_in-situ'!ER130</f>
        <v>-15.22</v>
      </c>
      <c r="AJ458" s="113">
        <f>'Data_in-situ'!ES130</f>
        <v>3.4521098944099355</v>
      </c>
      <c r="AK458" s="110">
        <f>'Data_in-situ'!ET130</f>
        <v>18</v>
      </c>
    </row>
    <row r="459" spans="14:37" x14ac:dyDescent="0.3">
      <c r="N459" s="24">
        <f>'Data_in-situ'!DA450</f>
        <v>15730</v>
      </c>
      <c r="O459" s="24">
        <f>'Data_in-situ'!DB450</f>
        <v>47184.597668134105</v>
      </c>
      <c r="P459" s="46">
        <f>'Data_in-situ'!DC450</f>
        <v>1</v>
      </c>
      <c r="Q459" s="24">
        <f>'Data_in-situ'!DE450</f>
        <v>22330</v>
      </c>
      <c r="R459" s="24">
        <f>'Data_in-situ'!DF450</f>
        <v>21283.678596713551</v>
      </c>
      <c r="S459" s="46">
        <f>'Data_in-situ'!DG450</f>
        <v>1</v>
      </c>
      <c r="T459" s="113">
        <f>'Data_in-situ'!DN107</f>
        <v>93.066666666666677</v>
      </c>
      <c r="U459" s="113">
        <f>'Data_in-situ'!DO107</f>
        <v>103.75809917781704</v>
      </c>
      <c r="V459" s="46">
        <f>'Data_in-situ'!DP107</f>
        <v>3</v>
      </c>
      <c r="W459" s="113">
        <f>'Data_in-situ'!DR107</f>
        <v>0.13333333333333333</v>
      </c>
      <c r="X459" s="113">
        <f>'Data_in-situ'!DS107</f>
        <v>0.4982955059508013</v>
      </c>
      <c r="Y459" s="46">
        <f>'Data_in-situ'!DT107</f>
        <v>3</v>
      </c>
      <c r="Z459" s="113">
        <f>'Data_in-situ'!EA145</f>
        <v>-6.8828571428571433E-2</v>
      </c>
      <c r="AA459" s="113">
        <f>'Data_in-situ'!EB145</f>
        <v>0.39576270143804132</v>
      </c>
      <c r="AB459" s="46">
        <f>'Data_in-situ'!EC145</f>
        <v>4</v>
      </c>
      <c r="AC459" s="113">
        <f>'Data_in-situ'!EE145</f>
        <v>0.19271999999999997</v>
      </c>
      <c r="AD459" s="113">
        <f>'Data_in-situ'!EF145</f>
        <v>0.28775782163506208</v>
      </c>
      <c r="AE459" s="46">
        <f>'Data_in-situ'!EG145</f>
        <v>4</v>
      </c>
      <c r="AF459" s="113">
        <f>'Data_in-situ'!EN131</f>
        <v>-12.04</v>
      </c>
      <c r="AG459" s="113">
        <f>'Data_in-situ'!EO131</f>
        <v>4.9062566409655712</v>
      </c>
      <c r="AH459" s="110">
        <f>'Data_in-situ'!EP131</f>
        <v>18</v>
      </c>
      <c r="AI459" s="113">
        <f>'Data_in-situ'!ER131</f>
        <v>-24.07</v>
      </c>
      <c r="AJ459" s="113">
        <f>'Data_in-situ'!ES131</f>
        <v>5.459414267966304</v>
      </c>
      <c r="AK459" s="110">
        <f>'Data_in-situ'!ET131</f>
        <v>18</v>
      </c>
    </row>
    <row r="460" spans="14:37" x14ac:dyDescent="0.3">
      <c r="N460" s="24">
        <f>'Data_in-situ'!DA451</f>
        <v>11403.333333333334</v>
      </c>
      <c r="O460" s="24">
        <f>'Data_in-situ'!DB451</f>
        <v>34206.08362421843</v>
      </c>
      <c r="P460" s="46">
        <f>'Data_in-situ'!DC451</f>
        <v>1</v>
      </c>
      <c r="Q460" s="24">
        <f>'Data_in-situ'!DE451</f>
        <v>21156.666666666668</v>
      </c>
      <c r="R460" s="24">
        <f>'Data_in-situ'!DF451</f>
        <v>20165.32438473517</v>
      </c>
      <c r="S460" s="46">
        <f>'Data_in-situ'!DG451</f>
        <v>1</v>
      </c>
      <c r="T460" s="113">
        <f>'Data_in-situ'!DN108</f>
        <v>24</v>
      </c>
      <c r="U460" s="113">
        <f>'Data_in-situ'!DO108</f>
        <v>26.757102939838202</v>
      </c>
      <c r="V460" s="46">
        <f>'Data_in-situ'!DP108</f>
        <v>3</v>
      </c>
      <c r="W460" s="113">
        <f>'Data_in-situ'!DR108</f>
        <v>7.8666666666666663</v>
      </c>
      <c r="X460" s="113">
        <f>'Data_in-situ'!DS108</f>
        <v>29.399434851097276</v>
      </c>
      <c r="Y460" s="46">
        <f>'Data_in-situ'!DT108</f>
        <v>3</v>
      </c>
      <c r="Z460" s="113">
        <f>'Data_in-situ'!EA147</f>
        <v>0</v>
      </c>
      <c r="AA460" s="113">
        <f>'Data_in-situ'!EB147</f>
        <v>1.71</v>
      </c>
      <c r="AB460" s="46">
        <f>'Data_in-situ'!EC147</f>
        <v>7</v>
      </c>
      <c r="AC460" s="113">
        <f>'Data_in-situ'!EE147</f>
        <v>3.4241884673332552</v>
      </c>
      <c r="AD460" s="113">
        <f>'Data_in-situ'!EF147</f>
        <v>13.696753869332952</v>
      </c>
      <c r="AE460" s="46">
        <f>'Data_in-situ'!EG147</f>
        <v>44</v>
      </c>
      <c r="AF460" s="113">
        <f>'Data_in-situ'!EN132</f>
        <v>-4.96</v>
      </c>
      <c r="AG460" s="113">
        <f>'Data_in-situ'!EO132</f>
        <v>2.0211821378064148</v>
      </c>
      <c r="AH460" s="110">
        <f>'Data_in-situ'!EP132</f>
        <v>21</v>
      </c>
      <c r="AI460" s="113">
        <f>'Data_in-situ'!ER132</f>
        <v>-10.09</v>
      </c>
      <c r="AJ460" s="113">
        <f>'Data_in-situ'!ES132</f>
        <v>2.2885537999077692</v>
      </c>
      <c r="AK460" s="110">
        <f>'Data_in-situ'!ET132</f>
        <v>21</v>
      </c>
    </row>
    <row r="461" spans="14:37" x14ac:dyDescent="0.3">
      <c r="N461" s="24">
        <f>'Data_in-situ'!DA452</f>
        <v>4326.666666666667</v>
      </c>
      <c r="O461" s="24">
        <f>'Data_in-situ'!DB452</f>
        <v>12978.514043915675</v>
      </c>
      <c r="P461" s="46">
        <f>'Data_in-situ'!DC452</f>
        <v>1</v>
      </c>
      <c r="Q461" s="24">
        <f>'Data_in-situ'!DE452</f>
        <v>15693.333333333334</v>
      </c>
      <c r="R461" s="24">
        <f>'Data_in-situ'!DF452</f>
        <v>14957.987585210836</v>
      </c>
      <c r="S461" s="46">
        <f>'Data_in-situ'!DG452</f>
        <v>1</v>
      </c>
      <c r="T461" s="113">
        <f>'Data_in-situ'!DN109</f>
        <v>24.133333333333336</v>
      </c>
      <c r="U461" s="113">
        <f>'Data_in-situ'!DO109</f>
        <v>26.905753511726196</v>
      </c>
      <c r="V461" s="46">
        <f>'Data_in-situ'!DP109</f>
        <v>3</v>
      </c>
      <c r="W461" s="113">
        <f>'Data_in-situ'!DR109</f>
        <v>8.4</v>
      </c>
      <c r="X461" s="113">
        <f>'Data_in-situ'!DS109</f>
        <v>31.392616874900483</v>
      </c>
      <c r="Y461" s="46">
        <f>'Data_in-situ'!DT109</f>
        <v>3</v>
      </c>
      <c r="Z461" s="113">
        <f>'Data_in-situ'!EA148</f>
        <v>0.43</v>
      </c>
      <c r="AA461" s="113">
        <f>'Data_in-situ'!EB148</f>
        <v>0.86</v>
      </c>
      <c r="AB461" s="46">
        <f>'Data_in-situ'!EC148</f>
        <v>17</v>
      </c>
      <c r="AC461" s="113">
        <f>'Data_in-situ'!EE148</f>
        <v>3.4241884673332552</v>
      </c>
      <c r="AD461" s="113">
        <f>'Data_in-situ'!EF148</f>
        <v>13.696753869332952</v>
      </c>
      <c r="AE461" s="46">
        <f>'Data_in-situ'!EG148</f>
        <v>44</v>
      </c>
      <c r="AF461" s="113">
        <f>'Data_in-situ'!EN133</f>
        <v>-4.96</v>
      </c>
      <c r="AG461" s="113">
        <f>'Data_in-situ'!EO133</f>
        <v>2.0211821378064148</v>
      </c>
      <c r="AH461" s="110">
        <f>'Data_in-situ'!EP133</f>
        <v>21</v>
      </c>
      <c r="AI461" s="113">
        <f>'Data_in-situ'!ER133</f>
        <v>-14.16</v>
      </c>
      <c r="AJ461" s="113">
        <f>'Data_in-situ'!ES133</f>
        <v>3.2116869976901894</v>
      </c>
      <c r="AK461" s="110">
        <f>'Data_in-situ'!ET133</f>
        <v>21</v>
      </c>
    </row>
    <row r="462" spans="14:37" x14ac:dyDescent="0.3">
      <c r="N462" s="24">
        <f>'Data_in-situ'!DA453</f>
        <v>1870</v>
      </c>
      <c r="O462" s="24">
        <f>'Data_in-situ'!DB453</f>
        <v>5609.3577647432157</v>
      </c>
      <c r="P462" s="46">
        <f>'Data_in-situ'!DC453</f>
        <v>1</v>
      </c>
      <c r="Q462" s="24">
        <f>'Data_in-situ'!DE453</f>
        <v>13676.666666666666</v>
      </c>
      <c r="R462" s="24">
        <f>'Data_in-situ'!DF453</f>
        <v>13035.816283372995</v>
      </c>
      <c r="S462" s="46">
        <f>'Data_in-situ'!DG453</f>
        <v>1</v>
      </c>
      <c r="T462" s="113">
        <f>'Data_in-situ'!DN110</f>
        <v>59.466666666666661</v>
      </c>
      <c r="U462" s="113">
        <f>'Data_in-situ'!DO110</f>
        <v>66.298155062043534</v>
      </c>
      <c r="V462" s="46">
        <f>'Data_in-situ'!DP110</f>
        <v>3</v>
      </c>
      <c r="W462" s="113">
        <f>'Data_in-situ'!DR110</f>
        <v>27.333333333333329</v>
      </c>
      <c r="X462" s="113">
        <f>'Data_in-situ'!DS110</f>
        <v>102.15057871991425</v>
      </c>
      <c r="Y462" s="46">
        <f>'Data_in-situ'!DT110</f>
        <v>3</v>
      </c>
      <c r="Z462" s="113">
        <f>'Data_in-situ'!EA152</f>
        <v>4.2428571428571429</v>
      </c>
      <c r="AA462" s="113">
        <f>'Data_in-situ'!EB152</f>
        <v>2.9857142857142853</v>
      </c>
      <c r="AB462" s="46">
        <f>'Data_in-situ'!EC152</f>
        <v>7</v>
      </c>
      <c r="AC462" s="113">
        <f>'Data_in-situ'!EE152</f>
        <v>3.7714285714285714</v>
      </c>
      <c r="AD462" s="113">
        <f>'Data_in-situ'!EF152</f>
        <v>1.7285714285714289</v>
      </c>
      <c r="AE462" s="46">
        <f>'Data_in-situ'!EG152</f>
        <v>10</v>
      </c>
      <c r="AF462" s="113">
        <f>'Data_in-situ'!EN134</f>
        <v>-24.4</v>
      </c>
      <c r="AG462" s="113">
        <f>'Data_in-situ'!EO134</f>
        <v>23.902301144450508</v>
      </c>
      <c r="AH462" s="110">
        <f>'Data_in-situ'!EP134</f>
        <v>3</v>
      </c>
      <c r="AI462" s="113">
        <f>'Data_in-situ'!ER134</f>
        <v>-57.4</v>
      </c>
      <c r="AJ462" s="113">
        <f>'Data_in-situ'!ES134</f>
        <v>28.405633244129582</v>
      </c>
      <c r="AK462" s="110">
        <f>'Data_in-situ'!ET134</f>
        <v>3</v>
      </c>
    </row>
    <row r="463" spans="14:37" x14ac:dyDescent="0.3">
      <c r="T463" s="113">
        <f>'Data_in-situ'!DN111</f>
        <v>50.8</v>
      </c>
      <c r="U463" s="113">
        <f>'Data_in-situ'!DO111</f>
        <v>56.635867889324189</v>
      </c>
      <c r="V463" s="46">
        <f>'Data_in-situ'!DP111</f>
        <v>3</v>
      </c>
      <c r="W463" s="113">
        <f>'Data_in-situ'!DR111</f>
        <v>28.133333333333329</v>
      </c>
      <c r="X463" s="113">
        <f>'Data_in-situ'!DS111</f>
        <v>105.14035175561906</v>
      </c>
      <c r="Y463" s="46">
        <f>'Data_in-situ'!DT111</f>
        <v>3</v>
      </c>
      <c r="Z463" s="113">
        <f>'Data_in-situ'!EA168</f>
        <v>9.3513037184644965</v>
      </c>
      <c r="AA463" s="113">
        <f>'Data_in-situ'!EB168</f>
        <v>53.769781135553693</v>
      </c>
      <c r="AB463" s="46">
        <f>'Data_in-situ'!EC168</f>
        <v>3</v>
      </c>
      <c r="AC463" s="113">
        <f>'Data_in-situ'!EE168</f>
        <v>12.26580629480485</v>
      </c>
      <c r="AD463" s="113">
        <f>'Data_in-situ'!EF168</f>
        <v>18.314558426684705</v>
      </c>
      <c r="AE463" s="46">
        <f>'Data_in-situ'!EG168</f>
        <v>3</v>
      </c>
      <c r="AF463" s="113">
        <f>'Data_in-situ'!EN135</f>
        <v>-6.8927332639611532</v>
      </c>
      <c r="AG463" s="113">
        <f>'Data_in-situ'!EO135</f>
        <v>1.3328157064282187</v>
      </c>
      <c r="AH463" s="110">
        <f>'Data_in-situ'!EP135</f>
        <v>3</v>
      </c>
      <c r="AI463" s="113">
        <f>'Data_in-situ'!ER135</f>
        <v>-25.764809902740932</v>
      </c>
      <c r="AJ463" s="113">
        <f>'Data_in-situ'!ES135</f>
        <v>2.3806323207959159</v>
      </c>
      <c r="AK463" s="110">
        <f>'Data_in-situ'!ET135</f>
        <v>3</v>
      </c>
    </row>
    <row r="464" spans="14:37" x14ac:dyDescent="0.3">
      <c r="T464" s="113">
        <f>'Data_in-situ'!DN128</f>
        <v>214.33232862768773</v>
      </c>
      <c r="U464" s="113">
        <f>'Data_in-situ'!DO128</f>
        <v>127.05286261842672</v>
      </c>
      <c r="V464" s="46">
        <f>'Data_in-situ'!DP128</f>
        <v>18</v>
      </c>
      <c r="W464" s="113">
        <f>'Data_in-situ'!DR128</f>
        <v>74.807487646490884</v>
      </c>
      <c r="X464" s="113">
        <f>'Data_in-situ'!DS128</f>
        <v>46.844140538456692</v>
      </c>
      <c r="Y464" s="46">
        <f>'Data_in-situ'!DT128</f>
        <v>18</v>
      </c>
      <c r="Z464" s="113">
        <f>'Data_in-situ'!EA169</f>
        <v>10.444427313037668</v>
      </c>
      <c r="AA464" s="113">
        <f>'Data_in-situ'!EB169</f>
        <v>60.055216643145187</v>
      </c>
      <c r="AB464" s="46">
        <f>'Data_in-situ'!EC169</f>
        <v>3</v>
      </c>
      <c r="AC464" s="113">
        <f>'Data_in-situ'!EE169</f>
        <v>19.289099302725344</v>
      </c>
      <c r="AD464" s="113">
        <f>'Data_in-situ'!EF169</f>
        <v>28.801313805804487</v>
      </c>
      <c r="AE464" s="46">
        <f>'Data_in-situ'!EG169</f>
        <v>3</v>
      </c>
      <c r="AF464" s="113">
        <f>'Data_in-situ'!EN136</f>
        <v>-7.2545662413056524</v>
      </c>
      <c r="AG464" s="113">
        <f>'Data_in-situ'!EO136</f>
        <v>1.3531236339616048</v>
      </c>
      <c r="AH464" s="110">
        <f>'Data_in-situ'!EP136</f>
        <v>3</v>
      </c>
      <c r="AI464" s="113">
        <f>'Data_in-situ'!ER136</f>
        <v>-28.596491228070171</v>
      </c>
      <c r="AJ464" s="113">
        <f>'Data_in-situ'!ES136</f>
        <v>2.2785559654849021</v>
      </c>
      <c r="AK464" s="110">
        <f>'Data_in-situ'!ET136</f>
        <v>3</v>
      </c>
    </row>
    <row r="465" spans="20:37" x14ac:dyDescent="0.3">
      <c r="T465" s="113">
        <f>'Data_in-situ'!DN129</f>
        <v>214.33232862768773</v>
      </c>
      <c r="U465" s="113">
        <f>'Data_in-situ'!DO129</f>
        <v>127.05286261842672</v>
      </c>
      <c r="V465" s="46">
        <f>'Data_in-situ'!DP129</f>
        <v>18</v>
      </c>
      <c r="W465" s="113">
        <f>'Data_in-situ'!DR129</f>
        <v>3.701330808396313</v>
      </c>
      <c r="X465" s="113">
        <f>'Data_in-situ'!DS129</f>
        <v>11.16614647740138</v>
      </c>
      <c r="Y465" s="46">
        <f>'Data_in-situ'!DT129</f>
        <v>18</v>
      </c>
      <c r="Z465" s="113">
        <f>'Data_in-situ'!EA172</f>
        <v>0.74525790987535934</v>
      </c>
      <c r="AA465" s="113">
        <f>'Data_in-situ'!EB172</f>
        <v>0.23830443450184333</v>
      </c>
      <c r="AB465" s="46">
        <f>'Data_in-situ'!EC172</f>
        <v>3</v>
      </c>
      <c r="AC465" s="113">
        <f>'Data_in-situ'!EE172</f>
        <v>2.0509990412272292</v>
      </c>
      <c r="AD465" s="113">
        <f>'Data_in-situ'!EF172</f>
        <v>1.58486712384372</v>
      </c>
      <c r="AE465" s="46">
        <f>'Data_in-situ'!EG172</f>
        <v>3</v>
      </c>
      <c r="AF465" s="113">
        <f>'Data_in-situ'!EN137</f>
        <v>-6.8927332639611532</v>
      </c>
      <c r="AG465" s="113">
        <f>'Data_in-situ'!EO137</f>
        <v>1.3328157064282187</v>
      </c>
      <c r="AH465" s="110">
        <f>'Data_in-situ'!EP137</f>
        <v>3</v>
      </c>
      <c r="AI465" s="113">
        <f>'Data_in-situ'!ER137</f>
        <v>-20.420000000000002</v>
      </c>
      <c r="AJ465" s="113">
        <f>'Data_in-situ'!ES137</f>
        <v>3.03</v>
      </c>
      <c r="AK465" s="110">
        <f>'Data_in-situ'!ET137</f>
        <v>3</v>
      </c>
    </row>
    <row r="466" spans="20:37" x14ac:dyDescent="0.3">
      <c r="T466" s="113">
        <f>'Data_in-situ'!DN130</f>
        <v>319.22459108513186</v>
      </c>
      <c r="U466" s="113">
        <f>'Data_in-situ'!DO130</f>
        <v>121.19295255477282</v>
      </c>
      <c r="V466" s="46">
        <f>'Data_in-situ'!DP130</f>
        <v>18</v>
      </c>
      <c r="W466" s="113">
        <f>'Data_in-situ'!DR130</f>
        <v>222.57960625006015</v>
      </c>
      <c r="X466" s="113">
        <f>'Data_in-situ'!DS130</f>
        <v>146.24752567167019</v>
      </c>
      <c r="Y466" s="46">
        <f>'Data_in-situ'!DT130</f>
        <v>18</v>
      </c>
      <c r="Z466" s="113">
        <f>'Data_in-situ'!EA203</f>
        <v>0.80142857142857149</v>
      </c>
      <c r="AA466" s="113">
        <f>'Data_in-situ'!EB203</f>
        <v>0.1905255888325765</v>
      </c>
      <c r="AB466" s="46">
        <f>'Data_in-situ'!EC203</f>
        <v>3</v>
      </c>
      <c r="AC466" s="113">
        <f>'Data_in-situ'!EE203</f>
        <v>1.5242857142857142</v>
      </c>
      <c r="AD466" s="113">
        <f>'Data_in-situ'!EF203</f>
        <v>0.3538332364033564</v>
      </c>
      <c r="AE466" s="46">
        <f>'Data_in-situ'!EG203</f>
        <v>3</v>
      </c>
      <c r="AF466" s="113">
        <f>'Data_in-situ'!EN138</f>
        <v>-7.2545662413056524</v>
      </c>
      <c r="AG466" s="113">
        <f>'Data_in-situ'!EO138</f>
        <v>1.3531236339616048</v>
      </c>
      <c r="AH466" s="110">
        <f>'Data_in-situ'!EP138</f>
        <v>3</v>
      </c>
      <c r="AI466" s="113">
        <f>'Data_in-situ'!ER138</f>
        <v>-22.46</v>
      </c>
      <c r="AJ466" s="113">
        <f>'Data_in-situ'!ES138</f>
        <v>2.21</v>
      </c>
      <c r="AK466" s="110">
        <f>'Data_in-situ'!ET138</f>
        <v>3</v>
      </c>
    </row>
    <row r="467" spans="20:37" x14ac:dyDescent="0.3">
      <c r="T467" s="113">
        <f>'Data_in-situ'!DN131</f>
        <v>319.22459108513186</v>
      </c>
      <c r="U467" s="113">
        <f>'Data_in-situ'!DO131</f>
        <v>121.19295255477282</v>
      </c>
      <c r="V467" s="46">
        <f>'Data_in-situ'!DP131</f>
        <v>18</v>
      </c>
      <c r="W467" s="113">
        <f>'Data_in-situ'!DR131</f>
        <v>5.4661003499523613</v>
      </c>
      <c r="X467" s="113">
        <f>'Data_in-situ'!DS131</f>
        <v>11.395301936593999</v>
      </c>
      <c r="Y467" s="46">
        <f>'Data_in-situ'!DT131</f>
        <v>18</v>
      </c>
      <c r="Z467" s="113">
        <f>'Data_in-situ'!EA204</f>
        <v>0.80142857142857149</v>
      </c>
      <c r="AA467" s="113">
        <f>'Data_in-situ'!EB204</f>
        <v>0.1905255888325765</v>
      </c>
      <c r="AB467" s="46">
        <f>'Data_in-situ'!EC204</f>
        <v>3</v>
      </c>
      <c r="AC467" s="113">
        <f>'Data_in-situ'!EE204</f>
        <v>1.4614285714285715</v>
      </c>
      <c r="AD467" s="113">
        <f>'Data_in-situ'!EF204</f>
        <v>0.21774353009437314</v>
      </c>
      <c r="AE467" s="46">
        <f>'Data_in-situ'!EG204</f>
        <v>3</v>
      </c>
      <c r="AF467" s="113">
        <f>'Data_in-situ'!EN139</f>
        <v>-6.8927332639611532</v>
      </c>
      <c r="AG467" s="113">
        <f>'Data_in-situ'!EO139</f>
        <v>1.3328157064282187</v>
      </c>
      <c r="AH467" s="110">
        <f>'Data_in-situ'!EP139</f>
        <v>3</v>
      </c>
      <c r="AI467" s="113">
        <f>'Data_in-situ'!ER139</f>
        <v>-16.070318436140084</v>
      </c>
      <c r="AJ467" s="113">
        <f>'Data_in-situ'!ES139</f>
        <v>1.1726469643872839</v>
      </c>
      <c r="AK467" s="110">
        <f>'Data_in-situ'!ET139</f>
        <v>3</v>
      </c>
    </row>
    <row r="468" spans="20:37" x14ac:dyDescent="0.3">
      <c r="T468" s="113">
        <f>'Data_in-situ'!DN132</f>
        <v>440.08296271455015</v>
      </c>
      <c r="U468" s="113">
        <f>'Data_in-situ'!DO132</f>
        <v>113.40347895786114</v>
      </c>
      <c r="V468" s="46">
        <f>'Data_in-situ'!DP132</f>
        <v>21</v>
      </c>
      <c r="W468" s="113">
        <f>'Data_in-situ'!DR132</f>
        <v>251.76858211880577</v>
      </c>
      <c r="X468" s="113">
        <f>'Data_in-situ'!DS132</f>
        <v>162.14335017466513</v>
      </c>
      <c r="Y468" s="46">
        <f>'Data_in-situ'!DT132</f>
        <v>21</v>
      </c>
      <c r="Z468" s="113">
        <f>'Data_in-situ'!EA205</f>
        <v>0.87842857142857156</v>
      </c>
      <c r="AA468" s="113">
        <f>'Data_in-situ'!EB205</f>
        <v>0.16185714285714287</v>
      </c>
      <c r="AB468" s="46">
        <f>'Data_in-situ'!EC205</f>
        <v>4</v>
      </c>
      <c r="AC468" s="113">
        <f>'Data_in-situ'!EE205</f>
        <v>24.849</v>
      </c>
      <c r="AD468" s="113">
        <f>'Data_in-situ'!EF205</f>
        <v>0.65528571428571425</v>
      </c>
      <c r="AE468" s="46">
        <f>'Data_in-situ'!EG205</f>
        <v>4</v>
      </c>
      <c r="AF468" s="113">
        <f>'Data_in-situ'!EN140</f>
        <v>-7.2545662413056524</v>
      </c>
      <c r="AG468" s="113">
        <f>'Data_in-situ'!EO140</f>
        <v>1.3531236339616048</v>
      </c>
      <c r="AH468" s="110">
        <f>'Data_in-situ'!EP140</f>
        <v>3</v>
      </c>
      <c r="AI468" s="113">
        <f>'Data_in-situ'!ER140</f>
        <v>-18.404147413501633</v>
      </c>
      <c r="AJ468" s="113">
        <f>'Data_in-situ'!ES140</f>
        <v>1.4652840768454194</v>
      </c>
      <c r="AK468" s="110">
        <f>'Data_in-situ'!ET140</f>
        <v>3</v>
      </c>
    </row>
    <row r="469" spans="20:37" x14ac:dyDescent="0.3">
      <c r="T469" s="113">
        <f>'Data_in-situ'!DN133</f>
        <v>440.08296271455015</v>
      </c>
      <c r="U469" s="113">
        <f>'Data_in-situ'!DO133</f>
        <v>113.40347895786114</v>
      </c>
      <c r="V469" s="46">
        <f>'Data_in-situ'!DP133</f>
        <v>21</v>
      </c>
      <c r="W469" s="113">
        <f>'Data_in-situ'!DR133</f>
        <v>25.550114778634466</v>
      </c>
      <c r="X469" s="113">
        <f>'Data_in-situ'!DS133</f>
        <v>18.733958929588759</v>
      </c>
      <c r="Y469" s="46">
        <f>'Data_in-situ'!DT133</f>
        <v>21</v>
      </c>
      <c r="Z469" s="113">
        <f>'Data_in-situ'!EA211</f>
        <v>-0.17393369108406392</v>
      </c>
      <c r="AA469" s="113">
        <f>'Data_in-situ'!EB211</f>
        <v>1.6605685683663671</v>
      </c>
      <c r="AB469" s="46">
        <f>'Data_in-situ'!EC211</f>
        <v>46</v>
      </c>
      <c r="AC469" s="113">
        <f>'Data_in-situ'!EE211</f>
        <v>6.6517114309370617</v>
      </c>
      <c r="AD469" s="113">
        <f>'Data_in-situ'!EF211</f>
        <v>10.95710857096801</v>
      </c>
      <c r="AE469" s="46">
        <f>'Data_in-situ'!EG211</f>
        <v>73</v>
      </c>
      <c r="AF469" s="113">
        <f>'Data_in-situ'!EN141</f>
        <v>-0.59</v>
      </c>
      <c r="AG469" s="113">
        <f>'Data_in-situ'!EO141</f>
        <v>1.75</v>
      </c>
      <c r="AH469" s="110">
        <f>'Data_in-situ'!EP141</f>
        <v>4</v>
      </c>
      <c r="AI469" s="113">
        <f>'Data_in-situ'!ER141</f>
        <v>-18.989999999999998</v>
      </c>
      <c r="AJ469" s="113">
        <f>'Data_in-situ'!ES141</f>
        <v>2.77</v>
      </c>
      <c r="AK469" s="110">
        <f>'Data_in-situ'!ET141</f>
        <v>4</v>
      </c>
    </row>
    <row r="470" spans="20:37" x14ac:dyDescent="0.3">
      <c r="T470" s="113">
        <f>'Data_in-situ'!DN134</f>
        <v>3.1</v>
      </c>
      <c r="U470" s="113">
        <f>'Data_in-situ'!DO134</f>
        <v>0.1</v>
      </c>
      <c r="V470" s="46">
        <f>'Data_in-situ'!DP134</f>
        <v>3</v>
      </c>
      <c r="W470" s="113">
        <f>'Data_in-situ'!DR134</f>
        <v>-2.8100000000000005</v>
      </c>
      <c r="X470" s="113">
        <f>'Data_in-situ'!DS134</f>
        <v>0.1</v>
      </c>
      <c r="Y470" s="46">
        <f>'Data_in-situ'!DT134</f>
        <v>3</v>
      </c>
      <c r="Z470" s="113">
        <f>'Data_in-situ'!EA214</f>
        <v>0.7</v>
      </c>
      <c r="AA470" s="113">
        <f>'Data_in-situ'!EB214</f>
        <v>4.0249838876014987</v>
      </c>
      <c r="AB470" s="46">
        <f>'Data_in-situ'!EC214</f>
        <v>3</v>
      </c>
      <c r="AC470" s="113">
        <f>'Data_in-situ'!EE214</f>
        <v>0.8</v>
      </c>
      <c r="AD470" s="113">
        <f>'Data_in-situ'!EF214</f>
        <v>1.1945115053344215</v>
      </c>
      <c r="AE470" s="46">
        <f>'Data_in-situ'!EG214</f>
        <v>3</v>
      </c>
      <c r="AF470" s="113">
        <f>'Data_in-situ'!EN142</f>
        <v>-2.0499999999999998</v>
      </c>
      <c r="AG470" s="113">
        <f>'Data_in-situ'!EO142</f>
        <v>1.38</v>
      </c>
      <c r="AH470" s="110">
        <f>'Data_in-situ'!EP142</f>
        <v>4</v>
      </c>
      <c r="AI470" s="113">
        <f>'Data_in-situ'!ER142</f>
        <v>-16.7</v>
      </c>
      <c r="AJ470" s="113">
        <f>'Data_in-situ'!ES142</f>
        <v>1.42</v>
      </c>
      <c r="AK470" s="110">
        <f>'Data_in-situ'!ET142</f>
        <v>4</v>
      </c>
    </row>
    <row r="471" spans="20:37" x14ac:dyDescent="0.3">
      <c r="T471" s="113">
        <f>'Data_in-situ'!DN135</f>
        <v>106</v>
      </c>
      <c r="U471" s="113">
        <f>'Data_in-situ'!DO135</f>
        <v>76.556645694544372</v>
      </c>
      <c r="V471" s="46">
        <f>'Data_in-situ'!DP135</f>
        <v>3</v>
      </c>
      <c r="W471" s="113">
        <f>'Data_in-situ'!DR135</f>
        <v>1</v>
      </c>
      <c r="X471" s="113">
        <f>'Data_in-situ'!DS135</f>
        <v>2.0784609690826525</v>
      </c>
      <c r="Y471" s="46">
        <f>'Data_in-situ'!DT135</f>
        <v>3</v>
      </c>
      <c r="Z471" s="113">
        <f>'Data_in-situ'!EA216</f>
        <v>7.5428571428571428E-2</v>
      </c>
      <c r="AA471" s="113">
        <f>'Data_in-situ'!EB216</f>
        <v>0.15514226519224084</v>
      </c>
      <c r="AB471" s="46">
        <f>'Data_in-situ'!EC216</f>
        <v>3</v>
      </c>
      <c r="AC471" s="113">
        <f>'Data_in-situ'!EE216</f>
        <v>6.4428571428571418E-2</v>
      </c>
      <c r="AD471" s="113">
        <f>'Data_in-situ'!EF216</f>
        <v>0.21502173596819346</v>
      </c>
      <c r="AE471" s="46">
        <f>'Data_in-situ'!EG216</f>
        <v>3</v>
      </c>
      <c r="AF471" s="113">
        <f>'Data_in-situ'!EN143</f>
        <v>-0.59</v>
      </c>
      <c r="AG471" s="113">
        <f>'Data_in-situ'!EO143</f>
        <v>1.75</v>
      </c>
      <c r="AH471" s="110">
        <f>'Data_in-situ'!EP143</f>
        <v>4</v>
      </c>
      <c r="AI471" s="113">
        <f>'Data_in-situ'!ER143</f>
        <v>-17.329999999999998</v>
      </c>
      <c r="AJ471" s="113">
        <f>'Data_in-situ'!ES143</f>
        <v>1.8</v>
      </c>
      <c r="AK471" s="110">
        <f>'Data_in-situ'!ET143</f>
        <v>4</v>
      </c>
    </row>
    <row r="472" spans="20:37" x14ac:dyDescent="0.3">
      <c r="T472" s="113">
        <f>'Data_in-situ'!DN136</f>
        <v>122</v>
      </c>
      <c r="U472" s="113">
        <f>'Data_in-situ'!DO136</f>
        <v>57.850496972800492</v>
      </c>
      <c r="V472" s="46">
        <f>'Data_in-situ'!DP136</f>
        <v>3</v>
      </c>
      <c r="W472" s="113">
        <f>'Data_in-situ'!DR136</f>
        <v>0</v>
      </c>
      <c r="X472" s="113">
        <f>'Data_in-situ'!DS136</f>
        <v>2.4248711305964279</v>
      </c>
      <c r="Y472" s="46">
        <f>'Data_in-situ'!DT136</f>
        <v>3</v>
      </c>
      <c r="Z472" s="113">
        <f>'Data_in-situ'!EA219</f>
        <v>2.294285714285714</v>
      </c>
      <c r="AA472" s="113">
        <f>'Data_in-situ'!EB219</f>
        <v>0.87097412037749256</v>
      </c>
      <c r="AB472" s="46">
        <f>'Data_in-situ'!EC219</f>
        <v>3</v>
      </c>
      <c r="AC472" s="113">
        <f>'Data_in-situ'!EE219</f>
        <v>2.152857142857143</v>
      </c>
      <c r="AD472" s="113">
        <f>'Data_in-situ'!EF219</f>
        <v>0.81653823785389912</v>
      </c>
      <c r="AE472" s="46">
        <f>'Data_in-situ'!EG219</f>
        <v>3</v>
      </c>
      <c r="AF472" s="113">
        <f>'Data_in-situ'!EN144</f>
        <v>-2.0499999999999998</v>
      </c>
      <c r="AG472" s="113">
        <f>'Data_in-situ'!EO144</f>
        <v>1.38</v>
      </c>
      <c r="AH472" s="110">
        <f>'Data_in-situ'!EP144</f>
        <v>4</v>
      </c>
      <c r="AI472" s="113">
        <f>'Data_in-situ'!ER144</f>
        <v>-21.37</v>
      </c>
      <c r="AJ472" s="113">
        <f>'Data_in-situ'!ES144</f>
        <v>1.45</v>
      </c>
      <c r="AK472" s="110">
        <f>'Data_in-situ'!ET144</f>
        <v>4</v>
      </c>
    </row>
    <row r="473" spans="20:37" x14ac:dyDescent="0.3">
      <c r="T473" s="113">
        <f>'Data_in-situ'!DN137</f>
        <v>106</v>
      </c>
      <c r="U473" s="113">
        <f>'Data_in-situ'!DO137</f>
        <v>76.556645694544372</v>
      </c>
      <c r="V473" s="46">
        <f>'Data_in-situ'!DP137</f>
        <v>3</v>
      </c>
      <c r="W473" s="113">
        <f>'Data_in-situ'!DR137</f>
        <v>4</v>
      </c>
      <c r="X473" s="113">
        <f>'Data_in-situ'!DS137</f>
        <v>4.1569219381653051</v>
      </c>
      <c r="Y473" s="46">
        <f>'Data_in-situ'!DT137</f>
        <v>3</v>
      </c>
      <c r="Z473" s="113">
        <f>'Data_in-situ'!EA220</f>
        <v>0.3457142857142857</v>
      </c>
      <c r="AA473" s="113">
        <f>'Data_in-situ'!EB220</f>
        <v>0.10887176504718657</v>
      </c>
      <c r="AB473" s="46">
        <f>'Data_in-situ'!EC220</f>
        <v>3</v>
      </c>
      <c r="AC473" s="113">
        <f>'Data_in-situ'!EE220</f>
        <v>0.29857142857142854</v>
      </c>
      <c r="AD473" s="113">
        <f>'Data_in-situ'!EF220</f>
        <v>8.165382378538992E-2</v>
      </c>
      <c r="AE473" s="46">
        <f>'Data_in-situ'!EG220</f>
        <v>3</v>
      </c>
      <c r="AF473" s="113">
        <f>'Data_in-situ'!EN145</f>
        <v>-5</v>
      </c>
      <c r="AG473" s="113">
        <f>'Data_in-situ'!EO145</f>
        <v>2.0374819937564665</v>
      </c>
      <c r="AH473" s="110">
        <f>'Data_in-situ'!EP145</f>
        <v>4</v>
      </c>
      <c r="AI473" s="113">
        <f>'Data_in-situ'!ER145</f>
        <v>-7.666666666666667</v>
      </c>
      <c r="AJ473" s="113">
        <f>'Data_in-situ'!ES145</f>
        <v>1.7389077435704887</v>
      </c>
      <c r="AK473" s="110">
        <f>'Data_in-situ'!ET145</f>
        <v>6</v>
      </c>
    </row>
    <row r="474" spans="20:37" x14ac:dyDescent="0.3">
      <c r="T474" s="113">
        <f>'Data_in-situ'!DN138</f>
        <v>122</v>
      </c>
      <c r="U474" s="113">
        <f>'Data_in-situ'!DO138</f>
        <v>57.850496972800492</v>
      </c>
      <c r="V474" s="46">
        <f>'Data_in-situ'!DP138</f>
        <v>3</v>
      </c>
      <c r="W474" s="113">
        <f>'Data_in-situ'!DR138</f>
        <v>5</v>
      </c>
      <c r="X474" s="113">
        <f>'Data_in-situ'!DS138</f>
        <v>6.9282032302755088</v>
      </c>
      <c r="Y474" s="46">
        <f>'Data_in-situ'!DT138</f>
        <v>3</v>
      </c>
      <c r="Z474" s="113">
        <f>'Data_in-situ'!EA221</f>
        <v>1.1800914940670852</v>
      </c>
      <c r="AA474" s="113">
        <f>'Data_in-situ'!EB221</f>
        <v>0.73618285714285703</v>
      </c>
      <c r="AB474" s="46">
        <f>'Data_in-situ'!EC221</f>
        <v>2</v>
      </c>
      <c r="AC474" s="113">
        <f>'Data_in-situ'!EE221</f>
        <v>0.9163634502292034</v>
      </c>
      <c r="AD474" s="113">
        <f>'Data_in-situ'!EF221</f>
        <v>0.55673828571428574</v>
      </c>
      <c r="AE474" s="46">
        <f>'Data_in-situ'!EG221</f>
        <v>6</v>
      </c>
      <c r="AF474" s="113">
        <f>'Data_in-situ'!EN152</f>
        <v>-18.3</v>
      </c>
      <c r="AG474" s="113">
        <f>'Data_in-situ'!EO152</f>
        <v>5.8</v>
      </c>
      <c r="AH474" s="110">
        <f>'Data_in-situ'!EP152</f>
        <v>12</v>
      </c>
      <c r="AI474" s="113">
        <f>'Data_in-situ'!ER152</f>
        <v>-39.6</v>
      </c>
      <c r="AJ474" s="113">
        <f>'Data_in-situ'!ES152</f>
        <v>3.6</v>
      </c>
      <c r="AK474" s="110">
        <f>'Data_in-situ'!ET152</f>
        <v>23</v>
      </c>
    </row>
    <row r="475" spans="20:37" x14ac:dyDescent="0.3">
      <c r="T475" s="113">
        <f>'Data_in-situ'!DN139</f>
        <v>106</v>
      </c>
      <c r="U475" s="113">
        <f>'Data_in-situ'!DO139</f>
        <v>76.556645694544372</v>
      </c>
      <c r="V475" s="46">
        <f>'Data_in-situ'!DP139</f>
        <v>3</v>
      </c>
      <c r="W475" s="113">
        <f>'Data_in-situ'!DR139</f>
        <v>5</v>
      </c>
      <c r="X475" s="113">
        <f>'Data_in-situ'!DS139</f>
        <v>3.2908965343808667</v>
      </c>
      <c r="Y475" s="46">
        <f>'Data_in-situ'!DT139</f>
        <v>3</v>
      </c>
      <c r="Z475" s="113">
        <f>'Data_in-situ'!EA250</f>
        <v>4.7842000883736189E-3</v>
      </c>
      <c r="AA475" s="113">
        <f>'Data_in-situ'!EB250</f>
        <v>5.7651671572041305E-2</v>
      </c>
      <c r="AB475" s="46">
        <f>'Data_in-situ'!EC250</f>
        <v>3</v>
      </c>
      <c r="AC475" s="113">
        <f>'Data_in-situ'!EE250</f>
        <v>2.8668507573783328</v>
      </c>
      <c r="AD475" s="113">
        <f>'Data_in-situ'!EF250</f>
        <v>1.8611493473177243</v>
      </c>
      <c r="AE475" s="46">
        <f>'Data_in-situ'!EG250</f>
        <v>3</v>
      </c>
      <c r="AF475" s="113">
        <f>'Data_in-situ'!EN167</f>
        <v>-18</v>
      </c>
      <c r="AG475" s="113">
        <f>'Data_in-situ'!EO167</f>
        <v>7.3349351775232803</v>
      </c>
      <c r="AH475" s="110">
        <f>'Data_in-situ'!EP167</f>
        <v>3</v>
      </c>
      <c r="AI475" s="113">
        <f>'Data_in-situ'!ER167</f>
        <v>-37</v>
      </c>
      <c r="AJ475" s="113">
        <f>'Data_in-situ'!ES167</f>
        <v>8.3921199798401851</v>
      </c>
      <c r="AK475" s="110">
        <f>'Data_in-situ'!ET167</f>
        <v>3</v>
      </c>
    </row>
    <row r="476" spans="20:37" x14ac:dyDescent="0.3">
      <c r="T476" s="113">
        <f>'Data_in-situ'!DN140</f>
        <v>122</v>
      </c>
      <c r="U476" s="113">
        <f>'Data_in-situ'!DO140</f>
        <v>57.850496972800492</v>
      </c>
      <c r="V476" s="46">
        <f>'Data_in-situ'!DP140</f>
        <v>3</v>
      </c>
      <c r="W476" s="113">
        <f>'Data_in-situ'!DR140</f>
        <v>16</v>
      </c>
      <c r="X476" s="113">
        <f>'Data_in-situ'!DS140</f>
        <v>12.297560733739028</v>
      </c>
      <c r="Y476" s="46">
        <f>'Data_in-situ'!DT140</f>
        <v>3</v>
      </c>
      <c r="Z476" s="113">
        <f>'Data_in-situ'!EA251</f>
        <v>2.9121217929230725E-2</v>
      </c>
      <c r="AA476" s="113">
        <f>'Data_in-situ'!EB251</f>
        <v>6.8659445106331193E-2</v>
      </c>
      <c r="AB476" s="46">
        <f>'Data_in-situ'!EC251</f>
        <v>3</v>
      </c>
      <c r="AC476" s="113">
        <f>'Data_in-situ'!EE251</f>
        <v>0.10511786110387221</v>
      </c>
      <c r="AD476" s="113">
        <f>'Data_in-situ'!EF251</f>
        <v>0.10740648717807684</v>
      </c>
      <c r="AE476" s="46">
        <f>'Data_in-situ'!EG251</f>
        <v>3</v>
      </c>
      <c r="AF476" s="113">
        <f>'Data_in-situ'!EN168</f>
        <v>-7.118297455968686</v>
      </c>
      <c r="AG476" s="113">
        <f>'Data_in-situ'!EO168</f>
        <v>2.0896725316659488</v>
      </c>
      <c r="AH476" s="110">
        <f>'Data_in-situ'!EP168</f>
        <v>3</v>
      </c>
      <c r="AI476" s="113">
        <f>'Data_in-situ'!ER168</f>
        <v>-41.42054794520547</v>
      </c>
      <c r="AJ476" s="113">
        <f>'Data_in-situ'!ES168</f>
        <v>4.0513805156967972</v>
      </c>
      <c r="AK476" s="110">
        <f>'Data_in-situ'!ET168</f>
        <v>3</v>
      </c>
    </row>
    <row r="477" spans="20:37" x14ac:dyDescent="0.3">
      <c r="T477" s="113">
        <f>'Data_in-situ'!DN141</f>
        <v>51</v>
      </c>
      <c r="U477" s="113">
        <f>'Data_in-situ'!DO141</f>
        <v>61.031958841249725</v>
      </c>
      <c r="V477" s="46">
        <f>'Data_in-situ'!DP141</f>
        <v>3</v>
      </c>
      <c r="W477" s="113">
        <f>'Data_in-situ'!DR141</f>
        <v>5</v>
      </c>
      <c r="X477" s="113">
        <f>'Data_in-situ'!DS141</f>
        <v>6.008327554319921</v>
      </c>
      <c r="Y477" s="46">
        <f>'Data_in-situ'!DT141</f>
        <v>10</v>
      </c>
      <c r="Z477" s="113">
        <f>'Data_in-situ'!EA254</f>
        <v>1.9797330692495084E-2</v>
      </c>
      <c r="AA477" s="113">
        <f>'Data_in-situ'!EB254</f>
        <v>9.4097353220211316E-2</v>
      </c>
      <c r="AB477" s="46">
        <f>'Data_in-situ'!EC254</f>
        <v>3</v>
      </c>
      <c r="AC477" s="113">
        <f>'Data_in-situ'!EE254</f>
        <v>2.4487558815364012E-2</v>
      </c>
      <c r="AD477" s="113">
        <f>'Data_in-situ'!EF254</f>
        <v>5.089541115262039E-2</v>
      </c>
      <c r="AE477" s="46">
        <f>'Data_in-situ'!EG254</f>
        <v>3</v>
      </c>
      <c r="AF477" s="113">
        <f>'Data_in-situ'!EN169</f>
        <v>-23.325205479452055</v>
      </c>
      <c r="AG477" s="113">
        <f>'Data_in-situ'!EO169</f>
        <v>9.1345235133236322</v>
      </c>
      <c r="AH477" s="110">
        <f>'Data_in-situ'!EP169</f>
        <v>3</v>
      </c>
      <c r="AI477" s="113">
        <f>'Data_in-situ'!ER169</f>
        <v>-50.248283223625691</v>
      </c>
      <c r="AJ477" s="113">
        <f>'Data_in-situ'!ES169</f>
        <v>5.5408758417852315</v>
      </c>
      <c r="AK477" s="110">
        <f>'Data_in-situ'!ET169</f>
        <v>3</v>
      </c>
    </row>
    <row r="478" spans="20:37" x14ac:dyDescent="0.3">
      <c r="T478" s="113">
        <f>'Data_in-situ'!DN142</f>
        <v>101</v>
      </c>
      <c r="U478" s="113">
        <f>'Data_in-situ'!DO142</f>
        <v>133.44811725910563</v>
      </c>
      <c r="V478" s="46">
        <f>'Data_in-situ'!DP142</f>
        <v>3</v>
      </c>
      <c r="W478" s="113">
        <f>'Data_in-situ'!DR142</f>
        <v>13</v>
      </c>
      <c r="X478" s="113">
        <f>'Data_in-situ'!DS142</f>
        <v>25.93067681338071</v>
      </c>
      <c r="Y478" s="46">
        <f>'Data_in-situ'!DT142</f>
        <v>10</v>
      </c>
      <c r="Z478" s="113">
        <f>'Data_in-situ'!EA255</f>
        <v>-0.1060571287097951</v>
      </c>
      <c r="AA478" s="113">
        <f>'Data_in-situ'!EB255</f>
        <v>0.28407129566600942</v>
      </c>
      <c r="AB478" s="46">
        <f>'Data_in-situ'!EC255</f>
        <v>3</v>
      </c>
      <c r="AC478" s="113">
        <f>'Data_in-situ'!EE255</f>
        <v>-1.1798551065584481E-2</v>
      </c>
      <c r="AD478" s="113">
        <f>'Data_in-situ'!EF255</f>
        <v>4.6464249030440392E-2</v>
      </c>
      <c r="AE478" s="46">
        <f>'Data_in-situ'!EG255</f>
        <v>3</v>
      </c>
      <c r="AF478" s="113">
        <f>'Data_in-situ'!EN170</f>
        <v>-5.9909980430528433</v>
      </c>
      <c r="AG478" s="113">
        <f>'Data_in-situ'!EO170</f>
        <v>3.1338536679828461</v>
      </c>
      <c r="AH478" s="110">
        <f>'Data_in-situ'!EP170</f>
        <v>3</v>
      </c>
      <c r="AI478" s="113">
        <f>'Data_in-situ'!ER170</f>
        <v>-25.035567514677091</v>
      </c>
      <c r="AJ478" s="113">
        <f>'Data_in-situ'!ES170</f>
        <v>3.3576627131775418</v>
      </c>
      <c r="AK478" s="110">
        <f>'Data_in-situ'!ET170</f>
        <v>3</v>
      </c>
    </row>
    <row r="479" spans="20:37" x14ac:dyDescent="0.3">
      <c r="T479" s="113">
        <f>'Data_in-situ'!DN143</f>
        <v>51</v>
      </c>
      <c r="U479" s="113">
        <f>'Data_in-situ'!DO143</f>
        <v>61.031958841249725</v>
      </c>
      <c r="V479" s="46">
        <f>'Data_in-situ'!DP143</f>
        <v>3</v>
      </c>
      <c r="W479" s="113">
        <f>'Data_in-situ'!DR143</f>
        <v>1</v>
      </c>
      <c r="X479" s="113">
        <f>'Data_in-situ'!DS143</f>
        <v>5.6920997883030831</v>
      </c>
      <c r="Y479" s="46">
        <f>'Data_in-situ'!DT143</f>
        <v>10</v>
      </c>
      <c r="Z479" s="113">
        <f>'Data_in-situ'!EA256</f>
        <v>-4.2277844422856668E-2</v>
      </c>
      <c r="AA479" s="113">
        <f>'Data_in-situ'!EB256</f>
        <v>0.1213395789758789</v>
      </c>
      <c r="AB479" s="46">
        <f>'Data_in-situ'!EC256</f>
        <v>3</v>
      </c>
      <c r="AC479" s="113">
        <f>'Data_in-situ'!EE256</f>
        <v>4.8975117630728024E-2</v>
      </c>
      <c r="AD479" s="113">
        <f>'Data_in-situ'!EF256</f>
        <v>0.13610077440950419</v>
      </c>
      <c r="AE479" s="46">
        <f>'Data_in-situ'!EG256</f>
        <v>3</v>
      </c>
      <c r="AF479" s="113">
        <f>'Data_in-situ'!EN171</f>
        <v>-28.456673189823867</v>
      </c>
      <c r="AG479" s="113">
        <f>'Data_in-situ'!EO171</f>
        <v>9.4179374135466869</v>
      </c>
      <c r="AH479" s="110">
        <f>'Data_in-situ'!EP171</f>
        <v>3</v>
      </c>
      <c r="AI479" s="113">
        <f>'Data_in-situ'!ER171</f>
        <v>-19.023532289628182</v>
      </c>
      <c r="AJ479" s="113">
        <f>'Data_in-situ'!ES171</f>
        <v>6.0791484886821818</v>
      </c>
      <c r="AK479" s="110">
        <f>'Data_in-situ'!ET171</f>
        <v>3</v>
      </c>
    </row>
    <row r="480" spans="20:37" x14ac:dyDescent="0.3">
      <c r="T480" s="113">
        <f>'Data_in-situ'!DN144</f>
        <v>101</v>
      </c>
      <c r="U480" s="113">
        <f>'Data_in-situ'!DO144</f>
        <v>133.44811725910563</v>
      </c>
      <c r="V480" s="46">
        <f>'Data_in-situ'!DP144</f>
        <v>3</v>
      </c>
      <c r="W480" s="113">
        <f>'Data_in-situ'!DR144</f>
        <v>17</v>
      </c>
      <c r="X480" s="113">
        <f>'Data_in-situ'!DS144</f>
        <v>24.981993515330199</v>
      </c>
      <c r="Y480" s="46">
        <f>'Data_in-situ'!DT144</f>
        <v>10</v>
      </c>
      <c r="Z480" s="113">
        <f>'Data_in-situ'!EA257</f>
        <v>-4.2422851483918042E-3</v>
      </c>
      <c r="AA480" s="113">
        <f>'Data_in-situ'!EB257</f>
        <v>0.15345744896774013</v>
      </c>
      <c r="AB480" s="46">
        <f>'Data_in-situ'!EC257</f>
        <v>3</v>
      </c>
      <c r="AC480" s="113">
        <f>'Data_in-situ'!EE257</f>
        <v>0.11130708552438189</v>
      </c>
      <c r="AD480" s="113">
        <f>'Data_in-situ'!EF257</f>
        <v>0.10440008400553796</v>
      </c>
      <c r="AE480" s="46">
        <f>'Data_in-situ'!EG257</f>
        <v>3</v>
      </c>
      <c r="AF480" s="113">
        <f>'Data_in-situ'!EN176</f>
        <v>-7.2</v>
      </c>
      <c r="AG480" s="113">
        <f>'Data_in-situ'!EO176</f>
        <v>2.1</v>
      </c>
      <c r="AH480" s="110">
        <f>'Data_in-situ'!EP176</f>
        <v>4</v>
      </c>
      <c r="AI480" s="113">
        <f>'Data_in-situ'!ER176</f>
        <v>-39.6</v>
      </c>
      <c r="AJ480" s="113">
        <f>'Data_in-situ'!ES176</f>
        <v>17.2</v>
      </c>
      <c r="AK480" s="110">
        <f>'Data_in-situ'!ET176</f>
        <v>3</v>
      </c>
    </row>
    <row r="481" spans="20:37" x14ac:dyDescent="0.3">
      <c r="T481" s="113">
        <f>'Data_in-situ'!DN145</f>
        <v>244.12367999999998</v>
      </c>
      <c r="U481" s="113">
        <f>'Data_in-situ'!DO145</f>
        <v>272.16843482550502</v>
      </c>
      <c r="V481" s="46">
        <f>'Data_in-situ'!DP145</f>
        <v>4</v>
      </c>
      <c r="W481" s="113">
        <f>'Data_in-situ'!DR145</f>
        <v>190.38399999999999</v>
      </c>
      <c r="X481" s="113">
        <f>'Data_in-situ'!DS145</f>
        <v>711.50618703703014</v>
      </c>
      <c r="Y481" s="46">
        <f>'Data_in-situ'!DT145</f>
        <v>6</v>
      </c>
      <c r="Z481" s="113">
        <f>'Data_in-situ'!EA258</f>
        <v>-5.3028564354897549E-2</v>
      </c>
      <c r="AA481" s="113">
        <f>'Data_in-situ'!EB258</f>
        <v>0.14435421348527655</v>
      </c>
      <c r="AB481" s="46">
        <f>'Data_in-situ'!EC258</f>
        <v>3</v>
      </c>
      <c r="AC481" s="113">
        <f>'Data_in-situ'!EE258</f>
        <v>-7.5688818156579678E-3</v>
      </c>
      <c r="AD481" s="113">
        <f>'Data_in-situ'!EF258</f>
        <v>3.6346822857934974E-2</v>
      </c>
      <c r="AE481" s="46">
        <f>'Data_in-situ'!EG258</f>
        <v>3</v>
      </c>
      <c r="AF481" s="113">
        <f>'Data_in-situ'!EN177</f>
        <v>-9.1999999999999993</v>
      </c>
      <c r="AG481" s="113">
        <f>'Data_in-situ'!EO177</f>
        <v>4.8</v>
      </c>
      <c r="AH481" s="110">
        <f>'Data_in-situ'!EP177</f>
        <v>4</v>
      </c>
      <c r="AI481" s="113">
        <f>'Data_in-situ'!ER177</f>
        <v>-41</v>
      </c>
      <c r="AJ481" s="113">
        <f>'Data_in-situ'!ES177</f>
        <v>11</v>
      </c>
      <c r="AK481" s="110">
        <f>'Data_in-situ'!ET177</f>
        <v>3</v>
      </c>
    </row>
    <row r="482" spans="20:37" x14ac:dyDescent="0.3">
      <c r="T482" s="113">
        <f>'Data_in-situ'!DN147</f>
        <v>66.3</v>
      </c>
      <c r="U482" s="113">
        <f>'Data_in-situ'!DO147</f>
        <v>102</v>
      </c>
      <c r="V482" s="46">
        <f>'Data_in-situ'!DP147</f>
        <v>14</v>
      </c>
      <c r="W482" s="113">
        <f>'Data_in-situ'!DR147</f>
        <v>5.0999999999999996</v>
      </c>
      <c r="X482" s="113">
        <f>'Data_in-situ'!DS147</f>
        <v>30.6</v>
      </c>
      <c r="Y482" s="46">
        <f>'Data_in-situ'!DT147</f>
        <v>40</v>
      </c>
      <c r="Z482" s="113">
        <f>'Data_in-situ'!EA259</f>
        <v>-2.1211425741959021E-3</v>
      </c>
      <c r="AA482" s="113">
        <f>'Data_in-situ'!EB259</f>
        <v>0.11034884630218306</v>
      </c>
      <c r="AB482" s="46">
        <f>'Data_in-situ'!EC259</f>
        <v>3</v>
      </c>
      <c r="AC482" s="113">
        <f>'Data_in-situ'!EE259</f>
        <v>6.0105826183166223E-3</v>
      </c>
      <c r="AD482" s="113">
        <f>'Data_in-situ'!EF259</f>
        <v>5.4024465971174704E-2</v>
      </c>
      <c r="AE482" s="46">
        <f>'Data_in-situ'!EG259</f>
        <v>3</v>
      </c>
      <c r="AF482" s="113">
        <f>'Data_in-situ'!EN178</f>
        <v>-9.6999999999999993</v>
      </c>
      <c r="AG482" s="113">
        <f>'Data_in-situ'!EO178</f>
        <v>3.7</v>
      </c>
      <c r="AH482" s="110">
        <f>'Data_in-situ'!EP178</f>
        <v>4</v>
      </c>
      <c r="AI482" s="113">
        <f>'Data_in-situ'!ER178</f>
        <v>-45.2</v>
      </c>
      <c r="AJ482" s="113">
        <f>'Data_in-situ'!ES178</f>
        <v>11.5</v>
      </c>
      <c r="AK482" s="110">
        <f>'Data_in-situ'!ET178</f>
        <v>3</v>
      </c>
    </row>
    <row r="483" spans="20:37" x14ac:dyDescent="0.3">
      <c r="T483" s="113">
        <f>'Data_in-situ'!DN148</f>
        <v>178.6</v>
      </c>
      <c r="U483" s="113">
        <f>'Data_in-situ'!DO148</f>
        <v>265.3</v>
      </c>
      <c r="V483" s="46">
        <f>'Data_in-situ'!DP148</f>
        <v>39</v>
      </c>
      <c r="W483" s="113">
        <f>'Data_in-situ'!DR148</f>
        <v>5.0999999999999996</v>
      </c>
      <c r="X483" s="113">
        <f>'Data_in-situ'!DS148</f>
        <v>30.6</v>
      </c>
      <c r="Y483" s="46">
        <f>'Data_in-situ'!DT148</f>
        <v>40</v>
      </c>
      <c r="Z483" s="113">
        <f>'Data_in-situ'!EA260</f>
        <v>4.7842000883736184E-2</v>
      </c>
      <c r="AA483" s="113">
        <f>'Data_in-situ'!EB260</f>
        <v>4.4106351316338478E-2</v>
      </c>
      <c r="AB483" s="46">
        <f>'Data_in-situ'!EC260</f>
        <v>3</v>
      </c>
      <c r="AC483" s="113">
        <f>'Data_in-situ'!EE260</f>
        <v>0.82820132990929607</v>
      </c>
      <c r="AD483" s="113">
        <f>'Data_in-situ'!EF260</f>
        <v>0.5966246705874263</v>
      </c>
      <c r="AE483" s="46">
        <f>'Data_in-situ'!EG260</f>
        <v>3</v>
      </c>
      <c r="AF483" s="113">
        <f>'Data_in-situ'!EN179</f>
        <v>-6.75</v>
      </c>
      <c r="AG483" s="113">
        <f>'Data_in-situ'!EO179</f>
        <v>4.0326790102858423</v>
      </c>
      <c r="AH483" s="110">
        <f>'Data_in-situ'!EP179</f>
        <v>3</v>
      </c>
      <c r="AI483" s="113">
        <f>'Data_in-situ'!ER179</f>
        <v>-13.2</v>
      </c>
      <c r="AJ483" s="113">
        <f>'Data_in-situ'!ES179</f>
        <v>6.5</v>
      </c>
      <c r="AK483" s="110">
        <f>'Data_in-situ'!ET179</f>
        <v>3</v>
      </c>
    </row>
    <row r="484" spans="20:37" x14ac:dyDescent="0.3">
      <c r="T484" s="113">
        <f>'Data_in-situ'!DN152</f>
        <v>38.133333333333333</v>
      </c>
      <c r="U484" s="113">
        <f>'Data_in-situ'!DO152</f>
        <v>12.933333333333332</v>
      </c>
      <c r="V484" s="46">
        <f>'Data_in-situ'!DP152</f>
        <v>8</v>
      </c>
      <c r="W484" s="113">
        <f>'Data_in-situ'!DR152</f>
        <v>4.9333333333333336</v>
      </c>
      <c r="X484" s="113">
        <f>'Data_in-situ'!DS152</f>
        <v>2.5333333333333332</v>
      </c>
      <c r="Y484" s="46">
        <f>'Data_in-situ'!DT152</f>
        <v>7</v>
      </c>
      <c r="Z484" s="113">
        <f>'Data_in-situ'!EA261</f>
        <v>0.27041130934285673</v>
      </c>
      <c r="AA484" s="113">
        <f>'Data_in-situ'!EB261</f>
        <v>0.17637490766446459</v>
      </c>
      <c r="AB484" s="46">
        <f>'Data_in-situ'!EC261</f>
        <v>3</v>
      </c>
      <c r="AC484" s="113">
        <f>'Data_in-situ'!EE261</f>
        <v>1.0193247137345183</v>
      </c>
      <c r="AD484" s="113">
        <f>'Data_in-situ'!EF261</f>
        <v>0.85363748658627392</v>
      </c>
      <c r="AE484" s="46">
        <f>'Data_in-situ'!EG261</f>
        <v>3</v>
      </c>
      <c r="AF484" s="113">
        <f>'Data_in-situ'!EN180</f>
        <v>-7.05</v>
      </c>
      <c r="AG484" s="113">
        <f>'Data_in-situ'!EO180</f>
        <v>2.8714108030722461</v>
      </c>
      <c r="AH484" s="110">
        <f>'Data_in-situ'!EP180</f>
        <v>3</v>
      </c>
      <c r="AI484" s="113">
        <f>'Data_in-situ'!ER180</f>
        <v>-16.899999999999999</v>
      </c>
      <c r="AJ484" s="113">
        <f>'Data_in-situ'!ES180</f>
        <v>10.5</v>
      </c>
      <c r="AK484" s="110">
        <f>'Data_in-situ'!ET180</f>
        <v>3</v>
      </c>
    </row>
    <row r="485" spans="20:37" x14ac:dyDescent="0.3">
      <c r="T485" s="113">
        <f>'Data_in-situ'!DN167</f>
        <v>2.9175154909077907</v>
      </c>
      <c r="U485" s="113">
        <f>'Data_in-situ'!DO167</f>
        <v>16.507200000000001</v>
      </c>
      <c r="V485" s="46">
        <f>'Data_in-situ'!DP167</f>
        <v>8</v>
      </c>
      <c r="W485" s="113">
        <f>'Data_in-situ'!DR167</f>
        <v>-0.3033323434259278</v>
      </c>
      <c r="X485" s="113">
        <f>'Data_in-situ'!DS167</f>
        <v>3.4939236241769644</v>
      </c>
      <c r="Y485" s="46">
        <f>'Data_in-situ'!DT167</f>
        <v>8</v>
      </c>
      <c r="Z485" s="113">
        <f>'Data_in-situ'!EA264</f>
        <v>8.484570296783607E-2</v>
      </c>
      <c r="AA485" s="113">
        <f>'Data_in-situ'!EB264</f>
        <v>0.23150687644726506</v>
      </c>
      <c r="AB485" s="46">
        <f>'Data_in-situ'!EC264</f>
        <v>3</v>
      </c>
      <c r="AC485" s="113">
        <f>'Data_in-situ'!EE264</f>
        <v>0.16473448657608519</v>
      </c>
      <c r="AD485" s="113">
        <f>'Data_in-situ'!EF264</f>
        <v>0.18337619194833357</v>
      </c>
      <c r="AE485" s="46">
        <f>'Data_in-situ'!EG264</f>
        <v>3</v>
      </c>
      <c r="AF485" s="113">
        <f>'Data_in-situ'!EN181</f>
        <v>-8.5500000000000007</v>
      </c>
      <c r="AG485" s="113">
        <f>'Data_in-situ'!EO181</f>
        <v>4.9678969393496883</v>
      </c>
      <c r="AH485" s="110">
        <f>'Data_in-situ'!EP181</f>
        <v>3</v>
      </c>
      <c r="AI485" s="113">
        <f>'Data_in-situ'!ER181</f>
        <v>-16.2</v>
      </c>
      <c r="AJ485" s="113">
        <f>'Data_in-situ'!ES181</f>
        <v>8</v>
      </c>
      <c r="AK485" s="110">
        <f>'Data_in-situ'!ET181</f>
        <v>3</v>
      </c>
    </row>
    <row r="486" spans="20:37" x14ac:dyDescent="0.3">
      <c r="T486" s="113">
        <f>'Data_in-situ'!DN168</f>
        <v>11.795840386040403</v>
      </c>
      <c r="U486" s="113">
        <f>'Data_in-situ'!DO168</f>
        <v>13.150938144632661</v>
      </c>
      <c r="V486" s="46">
        <f>'Data_in-situ'!DP168</f>
        <v>3</v>
      </c>
      <c r="W486" s="113">
        <f>'Data_in-situ'!DR168</f>
        <v>0.26812694984226471</v>
      </c>
      <c r="X486" s="113">
        <f>'Data_in-situ'!DS168</f>
        <v>1.002048405980223</v>
      </c>
      <c r="Y486" s="46">
        <f>'Data_in-situ'!DT168</f>
        <v>3</v>
      </c>
      <c r="Z486" s="113">
        <f>'Data_in-situ'!EA265</f>
        <v>7.7775227720516399E-2</v>
      </c>
      <c r="AA486" s="113">
        <f>'Data_in-situ'!EB265</f>
        <v>0.21037856459857804</v>
      </c>
      <c r="AB486" s="46">
        <f>'Data_in-situ'!EC265</f>
        <v>3</v>
      </c>
      <c r="AC486" s="113">
        <f>'Data_in-situ'!EE265</f>
        <v>4.0070550788777477E-2</v>
      </c>
      <c r="AD486" s="113">
        <f>'Data_in-situ'!EF265</f>
        <v>1.5796303365028162E-2</v>
      </c>
      <c r="AE486" s="46">
        <f>'Data_in-situ'!EG265</f>
        <v>3</v>
      </c>
      <c r="AF486" s="113">
        <f>'Data_in-situ'!EN203</f>
        <v>3</v>
      </c>
      <c r="AG486" s="113">
        <f>'Data_in-situ'!EO203</f>
        <v>1.22248919625388</v>
      </c>
      <c r="AH486" s="110">
        <f>'Data_in-situ'!EP203</f>
        <v>3</v>
      </c>
      <c r="AI486" s="113">
        <f>'Data_in-situ'!ER203</f>
        <v>-42</v>
      </c>
      <c r="AJ486" s="113">
        <f>'Data_in-situ'!ES203</f>
        <v>9.5261902473861557</v>
      </c>
      <c r="AK486" s="110">
        <f>'Data_in-situ'!ET203</f>
        <v>3</v>
      </c>
    </row>
    <row r="487" spans="20:37" x14ac:dyDescent="0.3">
      <c r="T487" s="113">
        <f>'Data_in-situ'!DN169</f>
        <v>14.661871345978286</v>
      </c>
      <c r="U487" s="113">
        <f>'Data_in-situ'!DO169</f>
        <v>16.346216703958547</v>
      </c>
      <c r="V487" s="46">
        <f>'Data_in-situ'!DP169</f>
        <v>3</v>
      </c>
      <c r="W487" s="113">
        <f>'Data_in-situ'!DR169</f>
        <v>4.2578559634951523</v>
      </c>
      <c r="X487" s="113">
        <f>'Data_in-situ'!DS169</f>
        <v>15.912528686965901</v>
      </c>
      <c r="Y487" s="46">
        <f>'Data_in-situ'!DT169</f>
        <v>3</v>
      </c>
      <c r="Z487" s="113">
        <f>'Data_in-situ'!EA266</f>
        <v>8.3674900420237147E-2</v>
      </c>
      <c r="AA487" s="113">
        <f>'Data_in-situ'!EB266</f>
        <v>0.22267558913078545</v>
      </c>
      <c r="AB487" s="46">
        <f>'Data_in-situ'!EC266</f>
        <v>3</v>
      </c>
      <c r="AC487" s="113">
        <f>'Data_in-situ'!EE266</f>
        <v>0.1068548021034066</v>
      </c>
      <c r="AD487" s="113">
        <f>'Data_in-situ'!EF266</f>
        <v>0.12190903765819365</v>
      </c>
      <c r="AE487" s="46">
        <f>'Data_in-situ'!EG266</f>
        <v>3</v>
      </c>
      <c r="AF487" s="113">
        <f>'Data_in-situ'!EN204</f>
        <v>3</v>
      </c>
      <c r="AG487" s="113">
        <f>'Data_in-situ'!EO204</f>
        <v>1.22248919625388</v>
      </c>
      <c r="AH487" s="110">
        <f>'Data_in-situ'!EP204</f>
        <v>3</v>
      </c>
      <c r="AI487" s="113">
        <f>'Data_in-situ'!ER204</f>
        <v>-41</v>
      </c>
      <c r="AJ487" s="113">
        <f>'Data_in-situ'!ES204</f>
        <v>9.2993761938769612</v>
      </c>
      <c r="AK487" s="110">
        <f>'Data_in-situ'!ET204</f>
        <v>3</v>
      </c>
    </row>
    <row r="488" spans="20:37" x14ac:dyDescent="0.3">
      <c r="T488" s="113">
        <f>'Data_in-situ'!DN170</f>
        <v>5.1084348128521384</v>
      </c>
      <c r="U488" s="113">
        <f>'Data_in-situ'!DO170</f>
        <v>5.6952881728724067</v>
      </c>
      <c r="V488" s="46">
        <f>'Data_in-situ'!DP170</f>
        <v>3</v>
      </c>
      <c r="W488" s="113">
        <f>'Data_in-situ'!DR170</f>
        <v>-0.69713006958988755</v>
      </c>
      <c r="X488" s="113">
        <f>'Data_in-situ'!DS170</f>
        <v>2.6053258555485774</v>
      </c>
      <c r="Y488" s="46">
        <f>'Data_in-situ'!DT170</f>
        <v>3</v>
      </c>
      <c r="Z488" s="113">
        <f>'Data_in-situ'!EA268</f>
        <v>-1.2019807920443442E-2</v>
      </c>
      <c r="AA488" s="113">
        <f>'Data_in-situ'!EB268</f>
        <v>6.5123648236046217E-2</v>
      </c>
      <c r="AB488" s="46">
        <f>'Data_in-situ'!EC268</f>
        <v>3</v>
      </c>
      <c r="AC488" s="113">
        <f>'Data_in-situ'!EE268</f>
        <v>2.8939842236339292E-2</v>
      </c>
      <c r="AD488" s="113">
        <f>'Data_in-situ'!EF268</f>
        <v>6.2567123803824801E-2</v>
      </c>
      <c r="AE488" s="46">
        <f>'Data_in-situ'!EG268</f>
        <v>3</v>
      </c>
      <c r="AF488" s="113">
        <f>'Data_in-situ'!EN205</f>
        <v>-10</v>
      </c>
      <c r="AG488" s="113">
        <f>'Data_in-situ'!EO205</f>
        <v>23</v>
      </c>
      <c r="AH488" s="110">
        <f>'Data_in-situ'!EP205</f>
        <v>4</v>
      </c>
      <c r="AI488" s="113">
        <f>'Data_in-situ'!ER205</f>
        <v>-56</v>
      </c>
      <c r="AJ488" s="113">
        <f>'Data_in-situ'!ES205</f>
        <v>34</v>
      </c>
      <c r="AK488" s="110">
        <f>'Data_in-situ'!ET205</f>
        <v>4</v>
      </c>
    </row>
    <row r="489" spans="20:37" x14ac:dyDescent="0.3">
      <c r="T489" s="113">
        <f>'Data_in-situ'!DN171</f>
        <v>8.2133016861181183</v>
      </c>
      <c r="U489" s="113">
        <f>'Data_in-situ'!DO171</f>
        <v>9.1568399454753813</v>
      </c>
      <c r="V489" s="46">
        <f>'Data_in-situ'!DP171</f>
        <v>3</v>
      </c>
      <c r="W489" s="113">
        <f>'Data_in-situ'!DR171</f>
        <v>3.0351970722144359</v>
      </c>
      <c r="X489" s="113">
        <f>'Data_in-situ'!DS171</f>
        <v>11.343187955696123</v>
      </c>
      <c r="Y489" s="46">
        <f>'Data_in-situ'!DT171</f>
        <v>3</v>
      </c>
      <c r="Z489" s="113">
        <f>'Data_in-situ'!EA420</f>
        <v>0.17500000000000002</v>
      </c>
      <c r="AA489" s="113">
        <f>'Data_in-situ'!EB420</f>
        <v>6.6645830077107365E-2</v>
      </c>
      <c r="AB489" s="46">
        <f>'Data_in-situ'!EC420</f>
        <v>3</v>
      </c>
      <c r="AC489" s="113">
        <f>'Data_in-situ'!EE420</f>
        <v>3.8644999999999996</v>
      </c>
      <c r="AD489" s="113">
        <f>'Data_in-situ'!EF420</f>
        <v>2.343140076194052</v>
      </c>
      <c r="AE489" s="46">
        <f>'Data_in-situ'!EG420</f>
        <v>3</v>
      </c>
      <c r="AF489" s="113">
        <f>'Data_in-situ'!EN211</f>
        <v>-15</v>
      </c>
      <c r="AG489" s="113">
        <f>'Data_in-situ'!EO211</f>
        <v>13</v>
      </c>
      <c r="AH489" s="110">
        <f>'Data_in-situ'!EP211</f>
        <v>9836</v>
      </c>
      <c r="AI489" s="113">
        <f>'Data_in-situ'!ER211</f>
        <v>-22</v>
      </c>
      <c r="AJ489" s="113">
        <f>'Data_in-situ'!ES211</f>
        <v>10</v>
      </c>
      <c r="AK489" s="110">
        <f>'Data_in-situ'!ET211</f>
        <v>11052</v>
      </c>
    </row>
    <row r="490" spans="20:37" x14ac:dyDescent="0.3">
      <c r="T490" s="113">
        <f>'Data_in-situ'!DN176</f>
        <v>1294.4026579568806</v>
      </c>
      <c r="U490" s="113">
        <f>'Data_in-situ'!DO176</f>
        <v>1425.6221977894311</v>
      </c>
      <c r="V490" s="46">
        <f>'Data_in-situ'!DP176</f>
        <v>4</v>
      </c>
      <c r="W490" s="113">
        <f>'Data_in-situ'!DR176</f>
        <v>22.36227209479982</v>
      </c>
      <c r="X490" s="113">
        <f>'Data_in-situ'!DS176</f>
        <v>23.370237472575557</v>
      </c>
      <c r="Y490" s="46">
        <f>'Data_in-situ'!DT176</f>
        <v>3</v>
      </c>
      <c r="Z490" s="113">
        <f>'Data_in-situ'!EA421</f>
        <v>0.81500000000000006</v>
      </c>
      <c r="AA490" s="113">
        <f>'Data_in-situ'!EB421</f>
        <v>0.72028350899720972</v>
      </c>
      <c r="AB490" s="46">
        <f>'Data_in-situ'!EC421</f>
        <v>3</v>
      </c>
      <c r="AC490" s="113">
        <f>'Data_in-situ'!EE421</f>
        <v>5.5957499999999989</v>
      </c>
      <c r="AD490" s="113">
        <f>'Data_in-situ'!EF421</f>
        <v>4.4151157143197661</v>
      </c>
      <c r="AE490" s="46">
        <f>'Data_in-situ'!EG421</f>
        <v>3</v>
      </c>
      <c r="AF490" s="113">
        <f>'Data_in-situ'!EN213</f>
        <v>-14.909844559585478</v>
      </c>
      <c r="AG490" s="113">
        <f>'Data_in-situ'!EO213</f>
        <v>1.0723470663621506</v>
      </c>
      <c r="AH490" s="110">
        <f>'Data_in-situ'!EP213</f>
        <v>3</v>
      </c>
      <c r="AI490" s="113">
        <f>'Data_in-situ'!ER213</f>
        <v>-31.98942141623488</v>
      </c>
      <c r="AJ490" s="113">
        <f>'Data_in-situ'!ES213</f>
        <v>1.5801931444910506</v>
      </c>
      <c r="AK490" s="110">
        <f>'Data_in-situ'!ET213</f>
        <v>3</v>
      </c>
    </row>
    <row r="491" spans="20:37" x14ac:dyDescent="0.3">
      <c r="T491" s="113">
        <f>'Data_in-situ'!DN177</f>
        <v>835.37440260212782</v>
      </c>
      <c r="U491" s="113">
        <f>'Data_in-situ'!DO177</f>
        <v>1277.3279087005756</v>
      </c>
      <c r="V491" s="46">
        <f>'Data_in-situ'!DP177</f>
        <v>4</v>
      </c>
      <c r="W491" s="113">
        <f>'Data_in-situ'!DR177</f>
        <v>14.31185414067193</v>
      </c>
      <c r="X491" s="113">
        <f>'Data_in-situ'!DS177</f>
        <v>14.416523575818015</v>
      </c>
      <c r="Y491" s="46">
        <f>'Data_in-situ'!DT177</f>
        <v>3</v>
      </c>
      <c r="Z491" s="113">
        <f>'Data_in-situ'!EA424</f>
        <v>5.5000000000000014E-3</v>
      </c>
      <c r="AA491" s="113">
        <f>'Data_in-situ'!EB424</f>
        <v>3.892835299196034E-2</v>
      </c>
      <c r="AB491" s="46">
        <f>'Data_in-situ'!EC424</f>
        <v>3</v>
      </c>
      <c r="AC491" s="113">
        <f>'Data_in-situ'!EE424</f>
        <v>0.55899999999999994</v>
      </c>
      <c r="AD491" s="113">
        <f>'Data_in-situ'!EF424</f>
        <v>0.83462586428491037</v>
      </c>
      <c r="AE491" s="46">
        <f>'Data_in-situ'!EG424</f>
        <v>3</v>
      </c>
      <c r="AF491" s="113">
        <f>'Data_in-situ'!EN214</f>
        <v>-13.449581506576324</v>
      </c>
      <c r="AG491" s="113">
        <f>'Data_in-situ'!EO214</f>
        <v>1.4236979793576987</v>
      </c>
      <c r="AH491" s="110">
        <f>'Data_in-situ'!EP214</f>
        <v>3</v>
      </c>
      <c r="AI491" s="113">
        <f>'Data_in-situ'!ER214</f>
        <v>-31.606217616580317</v>
      </c>
      <c r="AJ491" s="113">
        <f>'Data_in-situ'!ES214</f>
        <v>2.0517717022532898</v>
      </c>
      <c r="AK491" s="110">
        <f>'Data_in-situ'!ET214</f>
        <v>3</v>
      </c>
    </row>
    <row r="492" spans="20:37" x14ac:dyDescent="0.3">
      <c r="T492" s="113">
        <f>'Data_in-situ'!DN178</f>
        <v>564.51922087106243</v>
      </c>
      <c r="U492" s="113">
        <f>'Data_in-situ'!DO178</f>
        <v>574.53047753186331</v>
      </c>
      <c r="V492" s="46">
        <f>'Data_in-situ'!DP178</f>
        <v>4</v>
      </c>
      <c r="W492" s="113">
        <f>'Data_in-situ'!DR178</f>
        <v>18.784308559631839</v>
      </c>
      <c r="X492" s="113">
        <f>'Data_in-situ'!DS178</f>
        <v>16.576139153459437</v>
      </c>
      <c r="Y492" s="46">
        <f>'Data_in-situ'!DT178</f>
        <v>3</v>
      </c>
      <c r="AF492" s="113">
        <f>'Data_in-situ'!EN216</f>
        <v>-15</v>
      </c>
      <c r="AG492" s="113">
        <f>'Data_in-situ'!EO216</f>
        <v>6.1124459812694001</v>
      </c>
      <c r="AH492" s="110">
        <f>'Data_in-situ'!EP216</f>
        <v>3</v>
      </c>
      <c r="AI492" s="113">
        <f>'Data_in-situ'!ER216</f>
        <v>-38</v>
      </c>
      <c r="AJ492" s="113">
        <f>'Data_in-situ'!ES216</f>
        <v>8.6189340333493778</v>
      </c>
      <c r="AK492" s="110">
        <f>'Data_in-situ'!ET216</f>
        <v>3</v>
      </c>
    </row>
    <row r="493" spans="20:37" x14ac:dyDescent="0.3">
      <c r="T493" s="113">
        <f>'Data_in-situ'!DN179</f>
        <v>140.79806050736187</v>
      </c>
      <c r="U493" s="113">
        <f>'Data_in-situ'!DO179</f>
        <v>57.85185596345088</v>
      </c>
      <c r="V493" s="46">
        <f>'Data_in-situ'!DP179</f>
        <v>3</v>
      </c>
      <c r="W493" s="113">
        <f>'Data_in-situ'!DR179</f>
        <v>22.365263658588713</v>
      </c>
      <c r="X493" s="113">
        <f>'Data_in-situ'!DS179</f>
        <v>28.96859337526929</v>
      </c>
      <c r="Y493" s="46">
        <f>'Data_in-situ'!DT179</f>
        <v>3</v>
      </c>
      <c r="AF493" s="113">
        <f>'Data_in-situ'!EN221</f>
        <v>-16</v>
      </c>
      <c r="AG493" s="113">
        <f>'Data_in-situ'!EO221</f>
        <v>0.7</v>
      </c>
      <c r="AH493" s="110">
        <f>'Data_in-situ'!EP221</f>
        <v>2</v>
      </c>
      <c r="AI493" s="113">
        <f>'Data_in-situ'!ER221</f>
        <v>-44</v>
      </c>
      <c r="AJ493" s="113">
        <f>'Data_in-situ'!ES221</f>
        <v>14</v>
      </c>
      <c r="AK493" s="110">
        <f>'Data_in-situ'!ET221</f>
        <v>6</v>
      </c>
    </row>
    <row r="494" spans="20:37" x14ac:dyDescent="0.3">
      <c r="T494" s="113">
        <f>'Data_in-situ'!DN180</f>
        <v>129.84710024567806</v>
      </c>
      <c r="U494" s="113">
        <f>'Data_in-situ'!DO180</f>
        <v>45.955805142101362</v>
      </c>
      <c r="V494" s="46">
        <f>'Data_in-situ'!DP180</f>
        <v>3</v>
      </c>
      <c r="W494" s="113">
        <f>'Data_in-situ'!DR180</f>
        <v>14.486591233404059</v>
      </c>
      <c r="X494" s="113">
        <f>'Data_in-situ'!DS180</f>
        <v>18.662006281146603</v>
      </c>
      <c r="Y494" s="46">
        <f>'Data_in-situ'!DT180</f>
        <v>3</v>
      </c>
      <c r="AF494" s="113">
        <f>'Data_in-situ'!EN231</f>
        <v>-11</v>
      </c>
      <c r="AG494" s="113">
        <f>'Data_in-situ'!EO231</f>
        <v>4.4824603862642265</v>
      </c>
      <c r="AH494" s="110">
        <f>'Data_in-situ'!EP231</f>
        <v>3</v>
      </c>
      <c r="AI494" s="113">
        <f>'Data_in-situ'!ER231</f>
        <v>-23</v>
      </c>
      <c r="AJ494" s="113">
        <f>'Data_in-situ'!ES231</f>
        <v>5.2167232307114659</v>
      </c>
      <c r="AK494" s="110">
        <f>'Data_in-situ'!ET231</f>
        <v>3</v>
      </c>
    </row>
    <row r="495" spans="20:37" x14ac:dyDescent="0.3">
      <c r="T495" s="113">
        <f>'Data_in-situ'!DN181</f>
        <v>159.57113524167664</v>
      </c>
      <c r="U495" s="113">
        <f>'Data_in-situ'!DO181</f>
        <v>73.816751459863269</v>
      </c>
      <c r="V495" s="46">
        <f>'Data_in-situ'!DP181</f>
        <v>3</v>
      </c>
      <c r="W495" s="113">
        <f>'Data_in-situ'!DR181</f>
        <v>15.757344850369346</v>
      </c>
      <c r="X495" s="113">
        <f>'Data_in-situ'!DS181</f>
        <v>19.375072891550516</v>
      </c>
      <c r="Y495" s="46">
        <f>'Data_in-situ'!DT181</f>
        <v>3</v>
      </c>
      <c r="AF495" s="113">
        <f>'Data_in-situ'!EN232</f>
        <v>-11</v>
      </c>
      <c r="AG495" s="113">
        <f>'Data_in-situ'!EO232</f>
        <v>4.4824603862642265</v>
      </c>
      <c r="AH495" s="110">
        <f>'Data_in-situ'!EP232</f>
        <v>3</v>
      </c>
      <c r="AI495" s="113">
        <f>'Data_in-situ'!ER232</f>
        <v>-23</v>
      </c>
      <c r="AJ495" s="113">
        <f>'Data_in-situ'!ES232</f>
        <v>5.2167232307114659</v>
      </c>
      <c r="AK495" s="110">
        <f>'Data_in-situ'!ET232</f>
        <v>3</v>
      </c>
    </row>
    <row r="496" spans="20:37" x14ac:dyDescent="0.3">
      <c r="T496" s="113">
        <f>'Data_in-situ'!DN205</f>
        <v>1.365079365079364</v>
      </c>
      <c r="U496" s="113">
        <f>'Data_in-situ'!DO205</f>
        <v>1.1269841269841301</v>
      </c>
      <c r="V496" s="46">
        <f>'Data_in-situ'!DP205</f>
        <v>4</v>
      </c>
      <c r="W496" s="113">
        <f>'Data_in-situ'!DR205</f>
        <v>-2.3809523809523801E-2</v>
      </c>
      <c r="X496" s="113">
        <f>'Data_in-situ'!DS205</f>
        <v>4.7619047619047603E-2</v>
      </c>
      <c r="Y496" s="46">
        <f>'Data_in-situ'!DT205</f>
        <v>4</v>
      </c>
      <c r="AF496" s="113">
        <f>'Data_in-situ'!EN233</f>
        <v>-15</v>
      </c>
      <c r="AG496" s="113">
        <f>'Data_in-situ'!EO233</f>
        <v>6.1124459812694001</v>
      </c>
      <c r="AH496" s="110">
        <f>'Data_in-situ'!EP233</f>
        <v>3</v>
      </c>
      <c r="AI496" s="113">
        <f>'Data_in-situ'!ER233</f>
        <v>-20</v>
      </c>
      <c r="AJ496" s="113">
        <f>'Data_in-situ'!ES233</f>
        <v>4.5362810701838834</v>
      </c>
      <c r="AK496" s="110">
        <f>'Data_in-situ'!ET233</f>
        <v>3</v>
      </c>
    </row>
    <row r="497" spans="20:37" x14ac:dyDescent="0.3">
      <c r="T497" s="113">
        <f>'Data_in-situ'!DN211</f>
        <v>679.54671344272833</v>
      </c>
      <c r="U497" s="113">
        <f>'Data_in-situ'!DO211</f>
        <v>860.0591867401946</v>
      </c>
      <c r="V497" s="46">
        <f>'Data_in-situ'!DP211</f>
        <v>46</v>
      </c>
      <c r="W497" s="113">
        <f>'Data_in-situ'!DR211</f>
        <v>15.65177995944169</v>
      </c>
      <c r="X497" s="113">
        <f>'Data_in-situ'!DS211</f>
        <v>24.385487937237958</v>
      </c>
      <c r="Y497" s="46">
        <f>'Data_in-situ'!DT211</f>
        <v>73</v>
      </c>
      <c r="AF497" s="113">
        <f>'Data_in-situ'!EN234</f>
        <v>-15</v>
      </c>
      <c r="AG497" s="113">
        <f>'Data_in-situ'!EO234</f>
        <v>6.1124459812694001</v>
      </c>
      <c r="AH497" s="110">
        <f>'Data_in-situ'!EP234</f>
        <v>3</v>
      </c>
      <c r="AI497" s="113">
        <f>'Data_in-situ'!ER234</f>
        <v>-20</v>
      </c>
      <c r="AJ497" s="113">
        <f>'Data_in-situ'!ES234</f>
        <v>4.5362810701838834</v>
      </c>
      <c r="AK497" s="110">
        <f>'Data_in-situ'!ET234</f>
        <v>3</v>
      </c>
    </row>
    <row r="498" spans="20:37" x14ac:dyDescent="0.3">
      <c r="T498" s="113">
        <f>'Data_in-situ'!DN213</f>
        <v>5.4</v>
      </c>
      <c r="U498" s="113">
        <f>'Data_in-situ'!DO213</f>
        <v>6.0203481614635956</v>
      </c>
      <c r="V498" s="46">
        <f>'Data_in-situ'!DP213</f>
        <v>3</v>
      </c>
      <c r="W498" s="113">
        <f>'Data_in-situ'!DR213</f>
        <v>1.4</v>
      </c>
      <c r="X498" s="113">
        <f>'Data_in-situ'!DS213</f>
        <v>5.2321028124834132</v>
      </c>
      <c r="Y498" s="46">
        <f>'Data_in-situ'!DT213</f>
        <v>3</v>
      </c>
      <c r="AF498" s="113">
        <f>'Data_in-situ'!EN235</f>
        <v>-12</v>
      </c>
      <c r="AG498" s="113">
        <f>'Data_in-situ'!EO235</f>
        <v>4.8899567850155199</v>
      </c>
      <c r="AH498" s="110">
        <f>'Data_in-situ'!EP235</f>
        <v>3</v>
      </c>
      <c r="AI498" s="113">
        <f>'Data_in-situ'!ER235</f>
        <v>-14</v>
      </c>
      <c r="AJ498" s="113">
        <f>'Data_in-situ'!ES235</f>
        <v>3.1753967491287183</v>
      </c>
      <c r="AK498" s="110">
        <f>'Data_in-situ'!ET235</f>
        <v>3</v>
      </c>
    </row>
    <row r="499" spans="20:37" x14ac:dyDescent="0.3">
      <c r="T499" s="113">
        <f>'Data_in-situ'!DN214</f>
        <v>7.5</v>
      </c>
      <c r="U499" s="113">
        <f>'Data_in-situ'!DO214</f>
        <v>8.3615946686994373</v>
      </c>
      <c r="V499" s="46">
        <f>'Data_in-situ'!DP214</f>
        <v>3</v>
      </c>
      <c r="W499" s="113">
        <f>'Data_in-situ'!DR214</f>
        <v>1.6</v>
      </c>
      <c r="X499" s="113">
        <f>'Data_in-situ'!DS214</f>
        <v>5.979546071409616</v>
      </c>
      <c r="Y499" s="46">
        <f>'Data_in-situ'!DT214</f>
        <v>3</v>
      </c>
      <c r="AF499" s="113">
        <f>'Data_in-situ'!EN236</f>
        <v>-12</v>
      </c>
      <c r="AG499" s="113">
        <f>'Data_in-situ'!EO236</f>
        <v>4.8899567850155199</v>
      </c>
      <c r="AH499" s="110">
        <f>'Data_in-situ'!EP236</f>
        <v>3</v>
      </c>
      <c r="AI499" s="113">
        <f>'Data_in-situ'!ER236</f>
        <v>-14</v>
      </c>
      <c r="AJ499" s="113">
        <f>'Data_in-situ'!ES236</f>
        <v>3.1753967491287183</v>
      </c>
      <c r="AK499" s="110">
        <f>'Data_in-situ'!ET236</f>
        <v>3</v>
      </c>
    </row>
    <row r="500" spans="20:37" x14ac:dyDescent="0.3">
      <c r="T500" s="113">
        <f>'Data_in-situ'!DN216</f>
        <v>36.386666666666663</v>
      </c>
      <c r="U500" s="113">
        <f>'Data_in-situ'!DO216</f>
        <v>4.1569219381653051</v>
      </c>
      <c r="V500" s="46">
        <f>'Data_in-situ'!DP216</f>
        <v>3</v>
      </c>
      <c r="W500" s="113">
        <f>'Data_in-situ'!DR216</f>
        <v>12.573333333333332</v>
      </c>
      <c r="X500" s="113">
        <f>'Data_in-situ'!DS216</f>
        <v>5.1268703904038775</v>
      </c>
      <c r="Y500" s="46">
        <f>'Data_in-situ'!DT216</f>
        <v>3</v>
      </c>
      <c r="AF500" s="113">
        <f>'Data_in-situ'!EN237</f>
        <v>-22</v>
      </c>
      <c r="AG500" s="113">
        <f>'Data_in-situ'!EO237</f>
        <v>8.964920772528453</v>
      </c>
      <c r="AH500" s="110">
        <f>'Data_in-situ'!EP237</f>
        <v>3</v>
      </c>
      <c r="AI500" s="113">
        <f>'Data_in-situ'!ER237</f>
        <v>-31</v>
      </c>
      <c r="AJ500" s="113">
        <f>'Data_in-situ'!ES237</f>
        <v>7.0312356587850191</v>
      </c>
      <c r="AK500" s="110">
        <f>'Data_in-situ'!ET237</f>
        <v>3</v>
      </c>
    </row>
    <row r="501" spans="20:37" x14ac:dyDescent="0.3">
      <c r="T501" s="113">
        <f>'Data_in-situ'!DN219</f>
        <v>21.18</v>
      </c>
      <c r="U501" s="113">
        <f>'Data_in-situ'!DO219</f>
        <v>2.2516660498395402</v>
      </c>
      <c r="V501" s="46">
        <f>'Data_in-situ'!DP219</f>
        <v>3</v>
      </c>
      <c r="W501" s="113">
        <f>'Data_in-situ'!DR219</f>
        <v>9.06</v>
      </c>
      <c r="X501" s="113">
        <f>'Data_in-situ'!DS219</f>
        <v>0.95262794416288255</v>
      </c>
      <c r="Y501" s="46">
        <f>'Data_in-situ'!DT219</f>
        <v>3</v>
      </c>
      <c r="AF501" s="113">
        <f>'Data_in-situ'!EN238</f>
        <v>-22</v>
      </c>
      <c r="AG501" s="113">
        <f>'Data_in-situ'!EO238</f>
        <v>8.964920772528453</v>
      </c>
      <c r="AH501" s="110">
        <f>'Data_in-situ'!EP238</f>
        <v>3</v>
      </c>
      <c r="AI501" s="113">
        <f>'Data_in-situ'!ER238</f>
        <v>-31</v>
      </c>
      <c r="AJ501" s="113">
        <f>'Data_in-situ'!ES238</f>
        <v>7.0312356587850191</v>
      </c>
      <c r="AK501" s="110">
        <f>'Data_in-situ'!ET238</f>
        <v>3</v>
      </c>
    </row>
    <row r="502" spans="20:37" x14ac:dyDescent="0.3">
      <c r="T502" s="113">
        <f>'Data_in-situ'!DN220</f>
        <v>13.53</v>
      </c>
      <c r="U502" s="113">
        <f>'Data_in-situ'!DO220</f>
        <v>1.593486742963367</v>
      </c>
      <c r="V502" s="46">
        <f>'Data_in-situ'!DP220</f>
        <v>3</v>
      </c>
      <c r="W502" s="113">
        <f>'Data_in-situ'!DR220</f>
        <v>3.23</v>
      </c>
      <c r="X502" s="113">
        <f>'Data_in-situ'!DS220</f>
        <v>0.74478184725461716</v>
      </c>
      <c r="Y502" s="46">
        <f>'Data_in-situ'!DT220</f>
        <v>3</v>
      </c>
      <c r="AF502" s="113">
        <f>'Data_in-situ'!EN239</f>
        <v>-2</v>
      </c>
      <c r="AG502" s="113">
        <f>'Data_in-situ'!EO239</f>
        <v>0.81499279750258669</v>
      </c>
      <c r="AH502" s="110">
        <f>'Data_in-situ'!EP239</f>
        <v>3</v>
      </c>
      <c r="AI502" s="113">
        <f>'Data_in-situ'!ER239</f>
        <v>-30</v>
      </c>
      <c r="AJ502" s="113">
        <f>'Data_in-situ'!ES239</f>
        <v>6.8044216052758255</v>
      </c>
      <c r="AK502" s="110">
        <f>'Data_in-situ'!ET239</f>
        <v>3</v>
      </c>
    </row>
    <row r="503" spans="20:37" x14ac:dyDescent="0.3">
      <c r="T503" s="113">
        <f>'Data_in-situ'!DN221</f>
        <v>102.01732234975572</v>
      </c>
      <c r="U503" s="113">
        <f>'Data_in-situ'!DO221</f>
        <v>83.345787424497175</v>
      </c>
      <c r="V503" s="46">
        <f>'Data_in-situ'!DP221</f>
        <v>2</v>
      </c>
      <c r="W503" s="113">
        <f>'Data_in-situ'!DR221</f>
        <v>0.61419354838709672</v>
      </c>
      <c r="X503" s="113">
        <f>'Data_in-situ'!DS221</f>
        <v>11.86963649409887</v>
      </c>
      <c r="Y503" s="46">
        <f>'Data_in-situ'!DT221</f>
        <v>6</v>
      </c>
      <c r="AF503" s="113">
        <f>'Data_in-situ'!EN240</f>
        <v>-2</v>
      </c>
      <c r="AG503" s="113">
        <f>'Data_in-situ'!EO240</f>
        <v>0.81499279750258669</v>
      </c>
      <c r="AH503" s="110">
        <f>'Data_in-situ'!EP240</f>
        <v>3</v>
      </c>
      <c r="AI503" s="113">
        <f>'Data_in-situ'!ER240</f>
        <v>-30</v>
      </c>
      <c r="AJ503" s="113">
        <f>'Data_in-situ'!ES240</f>
        <v>6.8044216052758255</v>
      </c>
      <c r="AK503" s="110">
        <f>'Data_in-situ'!ET240</f>
        <v>3</v>
      </c>
    </row>
    <row r="504" spans="20:37" x14ac:dyDescent="0.3">
      <c r="T504" s="113">
        <f>'Data_in-situ'!DN271</f>
        <v>28.501072212251554</v>
      </c>
      <c r="U504" s="113">
        <f>'Data_in-situ'!DO271</f>
        <v>28.652903393199384</v>
      </c>
      <c r="V504" s="46">
        <f>'Data_in-situ'!DP271</f>
        <v>8</v>
      </c>
      <c r="W504" s="113">
        <f>'Data_in-situ'!DR271</f>
        <v>2.155113237216562</v>
      </c>
      <c r="X504" s="113">
        <f>'Data_in-situ'!DS271</f>
        <v>5.8344440438614322</v>
      </c>
      <c r="Y504" s="46">
        <f>'Data_in-situ'!DT271</f>
        <v>8</v>
      </c>
      <c r="AF504" s="113">
        <f>'Data_in-situ'!EN241</f>
        <v>-20</v>
      </c>
      <c r="AG504" s="113">
        <f>'Data_in-situ'!EO241</f>
        <v>8.1499279750258662</v>
      </c>
      <c r="AH504" s="110">
        <f>'Data_in-situ'!EP241</f>
        <v>3</v>
      </c>
      <c r="AI504" s="113">
        <f>'Data_in-situ'!ER241</f>
        <v>-36</v>
      </c>
      <c r="AJ504" s="113">
        <f>'Data_in-situ'!ES241</f>
        <v>8.1653059263309906</v>
      </c>
      <c r="AK504" s="110">
        <f>'Data_in-situ'!ET241</f>
        <v>3</v>
      </c>
    </row>
    <row r="505" spans="20:37" x14ac:dyDescent="0.3">
      <c r="T505" s="113">
        <f>'Data_in-situ'!DN272</f>
        <v>14.883893266398051</v>
      </c>
      <c r="U505" s="113">
        <f>'Data_in-situ'!DO272</f>
        <v>86.792053465048554</v>
      </c>
      <c r="V505" s="46">
        <f>'Data_in-situ'!DP272</f>
        <v>8</v>
      </c>
      <c r="W505" s="113">
        <f>'Data_in-situ'!DR272</f>
        <v>1.7398230320846468</v>
      </c>
      <c r="X505" s="113">
        <f>'Data_in-situ'!DS272</f>
        <v>9.0283655795287849</v>
      </c>
      <c r="Y505" s="46">
        <f>'Data_in-situ'!DT272</f>
        <v>8</v>
      </c>
      <c r="AF505" s="113">
        <f>'Data_in-situ'!EN242</f>
        <v>-20</v>
      </c>
      <c r="AG505" s="113">
        <f>'Data_in-situ'!EO242</f>
        <v>8.1499279750258662</v>
      </c>
      <c r="AH505" s="110">
        <f>'Data_in-situ'!EP242</f>
        <v>3</v>
      </c>
      <c r="AI505" s="113">
        <f>'Data_in-situ'!ER242</f>
        <v>-36</v>
      </c>
      <c r="AJ505" s="113">
        <f>'Data_in-situ'!ES242</f>
        <v>8.1653059263309906</v>
      </c>
      <c r="AK505" s="110">
        <f>'Data_in-situ'!ET242</f>
        <v>3</v>
      </c>
    </row>
    <row r="506" spans="20:37" x14ac:dyDescent="0.3">
      <c r="T506" s="113">
        <f>'Data_in-situ'!DN273</f>
        <v>40.553216435983082</v>
      </c>
      <c r="U506" s="113">
        <f>'Data_in-situ'!DO273</f>
        <v>36.04252387554827</v>
      </c>
      <c r="V506" s="46">
        <f>'Data_in-situ'!DP273</f>
        <v>8</v>
      </c>
      <c r="W506" s="113">
        <f>'Data_in-situ'!DR273</f>
        <v>2.0877876385015846</v>
      </c>
      <c r="X506" s="113">
        <f>'Data_in-situ'!DS273</f>
        <v>4.899966604705579</v>
      </c>
      <c r="Y506" s="46">
        <f>'Data_in-situ'!DT273</f>
        <v>8</v>
      </c>
      <c r="AF506" s="113">
        <f>'Data_in-situ'!EN243</f>
        <v>-16</v>
      </c>
      <c r="AG506" s="113">
        <f>'Data_in-situ'!EO243</f>
        <v>6.5199423800206935</v>
      </c>
      <c r="AH506" s="110">
        <f>'Data_in-situ'!EP243</f>
        <v>3</v>
      </c>
      <c r="AI506" s="113">
        <f>'Data_in-situ'!ER243</f>
        <v>-43</v>
      </c>
      <c r="AJ506" s="113">
        <f>'Data_in-situ'!ES243</f>
        <v>9.7530043008953502</v>
      </c>
      <c r="AK506" s="110">
        <f>'Data_in-situ'!ET243</f>
        <v>3</v>
      </c>
    </row>
    <row r="507" spans="20:37" x14ac:dyDescent="0.3">
      <c r="T507" s="113">
        <f>'Data_in-situ'!DN280</f>
        <v>4.3449126612056599</v>
      </c>
      <c r="U507" s="113">
        <f>'Data_in-situ'!DO280</f>
        <v>9.5961779850217681</v>
      </c>
      <c r="V507" s="46">
        <f>'Data_in-situ'!DP280</f>
        <v>6</v>
      </c>
      <c r="W507" s="113">
        <f>'Data_in-situ'!DR280</f>
        <v>-0.16115570294991843</v>
      </c>
      <c r="X507" s="113">
        <f>'Data_in-situ'!DS280</f>
        <v>0.55821924153316771</v>
      </c>
      <c r="Y507" s="46">
        <f>'Data_in-situ'!DT280</f>
        <v>6</v>
      </c>
      <c r="AF507" s="113">
        <f>'Data_in-situ'!EN244</f>
        <v>-16</v>
      </c>
      <c r="AG507" s="113">
        <f>'Data_in-situ'!EO244</f>
        <v>6.5199423800206935</v>
      </c>
      <c r="AH507" s="110">
        <f>'Data_in-situ'!EP244</f>
        <v>3</v>
      </c>
      <c r="AI507" s="113">
        <f>'Data_in-situ'!ER244</f>
        <v>-21</v>
      </c>
      <c r="AJ507" s="113">
        <f>'Data_in-situ'!ES244</f>
        <v>4.7630951236930779</v>
      </c>
      <c r="AK507" s="110">
        <f>'Data_in-situ'!ET244</f>
        <v>3</v>
      </c>
    </row>
    <row r="508" spans="20:37" x14ac:dyDescent="0.3">
      <c r="T508" s="113">
        <f>'Data_in-situ'!DN281</f>
        <v>4.3449126612056599</v>
      </c>
      <c r="U508" s="113">
        <f>'Data_in-situ'!DO281</f>
        <v>9.5961779850217681</v>
      </c>
      <c r="V508" s="46">
        <f>'Data_in-situ'!DP281</f>
        <v>6</v>
      </c>
      <c r="W508" s="113">
        <f>'Data_in-situ'!DR281</f>
        <v>-5.3718567649972807E-2</v>
      </c>
      <c r="X508" s="113">
        <f>'Data_in-situ'!DS281</f>
        <v>0.5398869703372956</v>
      </c>
      <c r="Y508" s="46">
        <f>'Data_in-situ'!DT281</f>
        <v>6</v>
      </c>
      <c r="AF508" s="113">
        <f>'Data_in-situ'!EN245</f>
        <v>-16</v>
      </c>
      <c r="AG508" s="113">
        <f>'Data_in-situ'!EO245</f>
        <v>6.5199423800206935</v>
      </c>
      <c r="AH508" s="110">
        <f>'Data_in-situ'!EP245</f>
        <v>3</v>
      </c>
      <c r="AI508" s="113">
        <f>'Data_in-situ'!ER245</f>
        <v>-21</v>
      </c>
      <c r="AJ508" s="113">
        <f>'Data_in-situ'!ES245</f>
        <v>4.7630951236930779</v>
      </c>
      <c r="AK508" s="110">
        <f>'Data_in-situ'!ET245</f>
        <v>3</v>
      </c>
    </row>
    <row r="509" spans="20:37" x14ac:dyDescent="0.3">
      <c r="T509" s="113">
        <f>'Data_in-situ'!DN282</f>
        <v>4.3449126612056599</v>
      </c>
      <c r="U509" s="113">
        <f>'Data_in-situ'!DO282</f>
        <v>9.5961779850217681</v>
      </c>
      <c r="V509" s="46">
        <f>'Data_in-situ'!DP282</f>
        <v>6</v>
      </c>
      <c r="W509" s="113">
        <f>'Data_in-situ'!DR282</f>
        <v>5.3718567649972807E-2</v>
      </c>
      <c r="X509" s="113">
        <f>'Data_in-situ'!DS282</f>
        <v>0.43312042016840363</v>
      </c>
      <c r="Y509" s="46">
        <f>'Data_in-situ'!DT282</f>
        <v>6</v>
      </c>
      <c r="AF509" s="113">
        <f>'Data_in-situ'!EN250</f>
        <v>-4</v>
      </c>
      <c r="AG509" s="113">
        <f>'Data_in-situ'!EO250</f>
        <v>1.6299855950051734</v>
      </c>
      <c r="AH509" s="110">
        <f>'Data_in-situ'!EP250</f>
        <v>3</v>
      </c>
      <c r="AI509" s="113">
        <f>'Data_in-situ'!ER250</f>
        <v>-31</v>
      </c>
      <c r="AJ509" s="113">
        <f>'Data_in-situ'!ES250</f>
        <v>7.0312356587850191</v>
      </c>
      <c r="AK509" s="110">
        <f>'Data_in-situ'!ET250</f>
        <v>3</v>
      </c>
    </row>
    <row r="510" spans="20:37" x14ac:dyDescent="0.3">
      <c r="T510" s="113">
        <f>'Data_in-situ'!DN283</f>
        <v>4.3449126612056599</v>
      </c>
      <c r="U510" s="113">
        <f>'Data_in-situ'!DO283</f>
        <v>9.5961779850217681</v>
      </c>
      <c r="V510" s="46">
        <f>'Data_in-situ'!DP283</f>
        <v>6</v>
      </c>
      <c r="W510" s="113">
        <f>'Data_in-situ'!DR283</f>
        <v>5.3718567649972807E-2</v>
      </c>
      <c r="X510" s="113">
        <f>'Data_in-situ'!DS283</f>
        <v>0.43312042016840363</v>
      </c>
      <c r="Y510" s="46">
        <f>'Data_in-situ'!DT283</f>
        <v>6</v>
      </c>
      <c r="AF510" s="113">
        <f>'Data_in-situ'!EN251</f>
        <v>-21</v>
      </c>
      <c r="AG510" s="113">
        <f>'Data_in-situ'!EO251</f>
        <v>8.5574243737771596</v>
      </c>
      <c r="AH510" s="110">
        <f>'Data_in-situ'!EP251</f>
        <v>3</v>
      </c>
      <c r="AI510" s="113">
        <f>'Data_in-situ'!ER251</f>
        <v>-38</v>
      </c>
      <c r="AJ510" s="113">
        <f>'Data_in-situ'!ES251</f>
        <v>8.6189340333493778</v>
      </c>
      <c r="AK510" s="110">
        <f>'Data_in-situ'!ET251</f>
        <v>3</v>
      </c>
    </row>
    <row r="511" spans="20:37" x14ac:dyDescent="0.3">
      <c r="T511" s="113">
        <f>'Data_in-situ'!DN284</f>
        <v>27.51778018763585</v>
      </c>
      <c r="U511" s="113">
        <f>'Data_in-situ'!DO284</f>
        <v>12.137611972737048</v>
      </c>
      <c r="V511" s="46">
        <f>'Data_in-situ'!DP284</f>
        <v>6</v>
      </c>
      <c r="W511" s="113">
        <f>'Data_in-situ'!DR284</f>
        <v>-0.16115570294991843</v>
      </c>
      <c r="X511" s="113">
        <f>'Data_in-situ'!DS284</f>
        <v>0.5610292847687105</v>
      </c>
      <c r="Y511" s="46">
        <f>'Data_in-situ'!DT284</f>
        <v>6</v>
      </c>
      <c r="AF511" s="113">
        <f>'Data_in-situ'!EN252</f>
        <v>0</v>
      </c>
      <c r="AG511" s="113">
        <f>'Data_in-situ'!EO252</f>
        <v>0</v>
      </c>
      <c r="AH511" s="110">
        <f>'Data_in-situ'!EP252</f>
        <v>3</v>
      </c>
      <c r="AI511" s="113">
        <f>'Data_in-situ'!ER252</f>
        <v>-50</v>
      </c>
      <c r="AJ511" s="113">
        <f>'Data_in-situ'!ES252</f>
        <v>11.340702675459708</v>
      </c>
      <c r="AK511" s="110">
        <f>'Data_in-situ'!ET252</f>
        <v>3</v>
      </c>
    </row>
    <row r="512" spans="20:37" x14ac:dyDescent="0.3">
      <c r="T512" s="113">
        <f>'Data_in-situ'!DN285</f>
        <v>27.51778018763585</v>
      </c>
      <c r="U512" s="113">
        <f>'Data_in-situ'!DO285</f>
        <v>12.137611972737048</v>
      </c>
      <c r="V512" s="46">
        <f>'Data_in-situ'!DP285</f>
        <v>6</v>
      </c>
      <c r="W512" s="113">
        <f>'Data_in-situ'!DR285</f>
        <v>-5.3718567649972807E-2</v>
      </c>
      <c r="X512" s="113">
        <f>'Data_in-situ'!DS285</f>
        <v>11.665364622891369</v>
      </c>
      <c r="Y512" s="46">
        <f>'Data_in-situ'!DT285</f>
        <v>6</v>
      </c>
      <c r="AF512" s="113">
        <f>'Data_in-situ'!EN254</f>
        <v>-28</v>
      </c>
      <c r="AG512" s="113">
        <f>'Data_in-situ'!EO254</f>
        <v>11.409899165036213</v>
      </c>
      <c r="AH512" s="110">
        <f>'Data_in-situ'!EP254</f>
        <v>3</v>
      </c>
      <c r="AI512" s="113">
        <f>'Data_in-situ'!ER254</f>
        <v>-36</v>
      </c>
      <c r="AJ512" s="113">
        <f>'Data_in-situ'!ES254</f>
        <v>8.1653059263309906</v>
      </c>
      <c r="AK512" s="110">
        <f>'Data_in-situ'!ET254</f>
        <v>3</v>
      </c>
    </row>
    <row r="513" spans="20:37" x14ac:dyDescent="0.3">
      <c r="T513" s="113">
        <f>'Data_in-situ'!DN286</f>
        <v>27.51778018763585</v>
      </c>
      <c r="U513" s="113">
        <f>'Data_in-situ'!DO286</f>
        <v>12.137611972737048</v>
      </c>
      <c r="V513" s="46">
        <f>'Data_in-situ'!DP286</f>
        <v>6</v>
      </c>
      <c r="W513" s="113">
        <f>'Data_in-situ'!DR286</f>
        <v>5.3718567649972807E-2</v>
      </c>
      <c r="X513" s="113">
        <f>'Data_in-situ'!DS286</f>
        <v>1.4941129876440691</v>
      </c>
      <c r="Y513" s="46">
        <f>'Data_in-situ'!DT286</f>
        <v>6</v>
      </c>
      <c r="AF513" s="113">
        <f>'Data_in-situ'!EN255</f>
        <v>-18</v>
      </c>
      <c r="AG513" s="113">
        <f>'Data_in-situ'!EO255</f>
        <v>7.3349351775232803</v>
      </c>
      <c r="AH513" s="110">
        <f>'Data_in-situ'!EP255</f>
        <v>3</v>
      </c>
      <c r="AI513" s="113">
        <f>'Data_in-situ'!ER255</f>
        <v>-24</v>
      </c>
      <c r="AJ513" s="113">
        <f>'Data_in-situ'!ES255</f>
        <v>5.4435372842206604</v>
      </c>
      <c r="AK513" s="110">
        <f>'Data_in-situ'!ET255</f>
        <v>3</v>
      </c>
    </row>
    <row r="514" spans="20:37" x14ac:dyDescent="0.3">
      <c r="T514" s="113">
        <f>'Data_in-situ'!DN287</f>
        <v>27.51778018763585</v>
      </c>
      <c r="U514" s="113">
        <f>'Data_in-situ'!DO287</f>
        <v>12.137611972737048</v>
      </c>
      <c r="V514" s="46">
        <f>'Data_in-situ'!DP287</f>
        <v>6</v>
      </c>
      <c r="W514" s="113">
        <f>'Data_in-situ'!DR287</f>
        <v>5.3718567649972807E-2</v>
      </c>
      <c r="X514" s="113">
        <f>'Data_in-situ'!DS287</f>
        <v>0.43312042016840363</v>
      </c>
      <c r="Y514" s="46">
        <f>'Data_in-situ'!DT287</f>
        <v>6</v>
      </c>
      <c r="AF514" s="113">
        <f>'Data_in-situ'!EN256</f>
        <v>-11</v>
      </c>
      <c r="AG514" s="113">
        <f>'Data_in-situ'!EO256</f>
        <v>4.4824603862642265</v>
      </c>
      <c r="AH514" s="110">
        <f>'Data_in-situ'!EP256</f>
        <v>3</v>
      </c>
      <c r="AI514" s="113">
        <f>'Data_in-situ'!ER256</f>
        <v>-13</v>
      </c>
      <c r="AJ514" s="113">
        <f>'Data_in-situ'!ES256</f>
        <v>2.9485826956195242</v>
      </c>
      <c r="AK514" s="110">
        <f>'Data_in-situ'!ET256</f>
        <v>3</v>
      </c>
    </row>
    <row r="515" spans="20:37" x14ac:dyDescent="0.3">
      <c r="T515" s="113">
        <f>'Data_in-situ'!DN288</f>
        <v>17.621034681556281</v>
      </c>
      <c r="U515" s="113">
        <f>'Data_in-situ'!DO288</f>
        <v>25.060650744317332</v>
      </c>
      <c r="V515" s="46">
        <f>'Data_in-situ'!DP288</f>
        <v>6</v>
      </c>
      <c r="W515" s="113">
        <f>'Data_in-situ'!DR288</f>
        <v>-0.16115570294991843</v>
      </c>
      <c r="X515" s="113">
        <f>'Data_in-situ'!DS288</f>
        <v>0.5610292847687105</v>
      </c>
      <c r="Y515" s="46">
        <f>'Data_in-situ'!DT288</f>
        <v>6</v>
      </c>
      <c r="AF515" s="113">
        <f>'Data_in-situ'!EN257</f>
        <v>-16</v>
      </c>
      <c r="AG515" s="113">
        <f>'Data_in-situ'!EO257</f>
        <v>6.5199423800206935</v>
      </c>
      <c r="AH515" s="110">
        <f>'Data_in-situ'!EP257</f>
        <v>3</v>
      </c>
      <c r="AI515" s="113">
        <f>'Data_in-situ'!ER257</f>
        <v>-20</v>
      </c>
      <c r="AJ515" s="113">
        <f>'Data_in-situ'!ES257</f>
        <v>4.5362810701838834</v>
      </c>
      <c r="AK515" s="110">
        <f>'Data_in-situ'!ET257</f>
        <v>3</v>
      </c>
    </row>
    <row r="516" spans="20:37" x14ac:dyDescent="0.3">
      <c r="T516" s="113">
        <f>'Data_in-situ'!DN289</f>
        <v>17.621034681556281</v>
      </c>
      <c r="U516" s="113">
        <f>'Data_in-situ'!DO289</f>
        <v>25.060650744317332</v>
      </c>
      <c r="V516" s="46">
        <f>'Data_in-situ'!DP289</f>
        <v>6</v>
      </c>
      <c r="W516" s="113">
        <f>'Data_in-situ'!DR289</f>
        <v>-5.3718567649972807E-2</v>
      </c>
      <c r="X516" s="113">
        <f>'Data_in-situ'!DS289</f>
        <v>0.5398869703372956</v>
      </c>
      <c r="Y516" s="46">
        <f>'Data_in-situ'!DT289</f>
        <v>6</v>
      </c>
      <c r="AF516" s="113">
        <f>'Data_in-situ'!EN258</f>
        <v>-12</v>
      </c>
      <c r="AG516" s="113">
        <f>'Data_in-situ'!EO258</f>
        <v>4.8899567850155199</v>
      </c>
      <c r="AH516" s="110">
        <f>'Data_in-situ'!EP258</f>
        <v>3</v>
      </c>
      <c r="AI516" s="113">
        <f>'Data_in-situ'!ER258</f>
        <v>-27</v>
      </c>
      <c r="AJ516" s="113">
        <f>'Data_in-situ'!ES258</f>
        <v>6.123979444748243</v>
      </c>
      <c r="AK516" s="110">
        <f>'Data_in-situ'!ET258</f>
        <v>3</v>
      </c>
    </row>
    <row r="517" spans="20:37" x14ac:dyDescent="0.3">
      <c r="T517" s="113">
        <f>'Data_in-situ'!DN290</f>
        <v>17.621034681556281</v>
      </c>
      <c r="U517" s="113">
        <f>'Data_in-situ'!DO290</f>
        <v>25.060650744317332</v>
      </c>
      <c r="V517" s="46">
        <f>'Data_in-situ'!DP290</f>
        <v>6</v>
      </c>
      <c r="W517" s="113">
        <f>'Data_in-situ'!DR290</f>
        <v>5.3718567649972807E-2</v>
      </c>
      <c r="X517" s="113">
        <f>'Data_in-situ'!DS290</f>
        <v>0.43312042016840363</v>
      </c>
      <c r="Y517" s="46">
        <f>'Data_in-situ'!DT290</f>
        <v>6</v>
      </c>
      <c r="AF517" s="113">
        <f>'Data_in-situ'!EN260</f>
        <v>-4</v>
      </c>
      <c r="AG517" s="113">
        <f>'Data_in-situ'!EO260</f>
        <v>1.6299855950051734</v>
      </c>
      <c r="AH517" s="110">
        <f>'Data_in-situ'!EP260</f>
        <v>3</v>
      </c>
      <c r="AI517" s="113">
        <f>'Data_in-situ'!ER260</f>
        <v>-31</v>
      </c>
      <c r="AJ517" s="113">
        <f>'Data_in-situ'!ES260</f>
        <v>7.0312356587850191</v>
      </c>
      <c r="AK517" s="110">
        <f>'Data_in-situ'!ET260</f>
        <v>3</v>
      </c>
    </row>
    <row r="518" spans="20:37" x14ac:dyDescent="0.3">
      <c r="T518" s="113">
        <f>'Data_in-situ'!DN291</f>
        <v>17.621034681556281</v>
      </c>
      <c r="U518" s="113">
        <f>'Data_in-situ'!DO291</f>
        <v>25.060650744317332</v>
      </c>
      <c r="V518" s="46">
        <f>'Data_in-situ'!DP291</f>
        <v>6</v>
      </c>
      <c r="W518" s="113">
        <f>'Data_in-situ'!DR291</f>
        <v>5.3718567649972807E-2</v>
      </c>
      <c r="X518" s="113">
        <f>'Data_in-situ'!DS291</f>
        <v>0.43312042016840363</v>
      </c>
      <c r="Y518" s="46">
        <f>'Data_in-situ'!DT291</f>
        <v>6</v>
      </c>
      <c r="AF518" s="113">
        <f>'Data_in-situ'!EN261</f>
        <v>-21</v>
      </c>
      <c r="AG518" s="113">
        <f>'Data_in-situ'!EO261</f>
        <v>8.5574243737771596</v>
      </c>
      <c r="AH518" s="110">
        <f>'Data_in-situ'!EP261</f>
        <v>3</v>
      </c>
      <c r="AI518" s="113">
        <f>'Data_in-situ'!ER261</f>
        <v>-38</v>
      </c>
      <c r="AJ518" s="113">
        <f>'Data_in-situ'!ES261</f>
        <v>8.6189340333493778</v>
      </c>
      <c r="AK518" s="110">
        <f>'Data_in-situ'!ET261</f>
        <v>3</v>
      </c>
    </row>
    <row r="519" spans="20:37" x14ac:dyDescent="0.3">
      <c r="T519" s="113">
        <f>'Data_in-situ'!DN292</f>
        <v>3.0332504908479376</v>
      </c>
      <c r="U519" s="113">
        <f>'Data_in-situ'!DO292</f>
        <v>6.9539999999999997</v>
      </c>
      <c r="V519" s="46">
        <f>'Data_in-situ'!DP292</f>
        <v>6</v>
      </c>
      <c r="W519" s="113">
        <f>'Data_in-situ'!DR292</f>
        <v>5.3718567649972807E-2</v>
      </c>
      <c r="X519" s="113">
        <f>'Data_in-situ'!DS292</f>
        <v>0.48646678719420772</v>
      </c>
      <c r="Y519" s="46">
        <f>'Data_in-situ'!DT292</f>
        <v>6</v>
      </c>
      <c r="AF519" s="113">
        <f>'Data_in-situ'!EN262</f>
        <v>0</v>
      </c>
      <c r="AG519" s="113">
        <f>'Data_in-situ'!EO262</f>
        <v>0</v>
      </c>
      <c r="AH519" s="110">
        <f>'Data_in-situ'!EP262</f>
        <v>3</v>
      </c>
      <c r="AI519" s="113">
        <f>'Data_in-situ'!ER262</f>
        <v>-50</v>
      </c>
      <c r="AJ519" s="113">
        <f>'Data_in-situ'!ES262</f>
        <v>11.340702675459708</v>
      </c>
      <c r="AK519" s="110">
        <f>'Data_in-situ'!ET262</f>
        <v>3</v>
      </c>
    </row>
    <row r="520" spans="20:37" x14ac:dyDescent="0.3">
      <c r="T520" s="113">
        <f>'Data_in-situ'!DN293</f>
        <v>3.0332504908479376</v>
      </c>
      <c r="U520" s="113">
        <f>'Data_in-situ'!DO293</f>
        <v>10.126673956829368</v>
      </c>
      <c r="V520" s="46">
        <f>'Data_in-situ'!DP293</f>
        <v>6</v>
      </c>
      <c r="W520" s="113">
        <f>'Data_in-situ'!DR293</f>
        <v>-0.10743713529994561</v>
      </c>
      <c r="X520" s="113">
        <f>'Data_in-situ'!DS293</f>
        <v>0.27043803155784618</v>
      </c>
      <c r="Y520" s="46">
        <f>'Data_in-situ'!DT293</f>
        <v>6</v>
      </c>
      <c r="AF520" s="113">
        <f>'Data_in-situ'!EN264</f>
        <v>-28</v>
      </c>
      <c r="AG520" s="113">
        <f>'Data_in-situ'!EO264</f>
        <v>11.409899165036213</v>
      </c>
      <c r="AH520" s="110">
        <f>'Data_in-situ'!EP264</f>
        <v>3</v>
      </c>
      <c r="AI520" s="113">
        <f>'Data_in-situ'!ER264</f>
        <v>-36</v>
      </c>
      <c r="AJ520" s="113">
        <f>'Data_in-situ'!ES264</f>
        <v>8.1653059263309906</v>
      </c>
      <c r="AK520" s="110">
        <f>'Data_in-situ'!ET264</f>
        <v>3</v>
      </c>
    </row>
    <row r="521" spans="20:37" x14ac:dyDescent="0.3">
      <c r="T521" s="113">
        <f>'Data_in-situ'!DN294</f>
        <v>3.0332504908479376</v>
      </c>
      <c r="U521" s="113">
        <f>'Data_in-situ'!DO294</f>
        <v>10.126673956829368</v>
      </c>
      <c r="V521" s="46">
        <f>'Data_in-situ'!DP294</f>
        <v>6</v>
      </c>
      <c r="W521" s="113">
        <f>'Data_in-situ'!DR294</f>
        <v>-0.10743713529994561</v>
      </c>
      <c r="X521" s="113">
        <f>'Data_in-situ'!DS294</f>
        <v>0.39119879833905941</v>
      </c>
      <c r="Y521" s="46">
        <f>'Data_in-situ'!DT294</f>
        <v>6</v>
      </c>
      <c r="AF521" s="113">
        <f>'Data_in-situ'!EN265</f>
        <v>-18</v>
      </c>
      <c r="AG521" s="113">
        <f>'Data_in-situ'!EO265</f>
        <v>7.3349351775232803</v>
      </c>
      <c r="AH521" s="110">
        <f>'Data_in-situ'!EP265</f>
        <v>3</v>
      </c>
      <c r="AI521" s="113">
        <f>'Data_in-situ'!ER265</f>
        <v>-24</v>
      </c>
      <c r="AJ521" s="113">
        <f>'Data_in-situ'!ES265</f>
        <v>5.4435372842206604</v>
      </c>
      <c r="AK521" s="110">
        <f>'Data_in-situ'!ET265</f>
        <v>3</v>
      </c>
    </row>
    <row r="522" spans="20:37" x14ac:dyDescent="0.3">
      <c r="T522" s="113">
        <f>'Data_in-situ'!DN295</f>
        <v>3.0332504908479376</v>
      </c>
      <c r="U522" s="113">
        <f>'Data_in-situ'!DO295</f>
        <v>10.126673956829368</v>
      </c>
      <c r="V522" s="46">
        <f>'Data_in-situ'!DP295</f>
        <v>6</v>
      </c>
      <c r="W522" s="113">
        <f>'Data_in-situ'!DR295</f>
        <v>-5.3718567649972807E-2</v>
      </c>
      <c r="X522" s="113">
        <f>'Data_in-situ'!DS295</f>
        <v>0.37987896850363267</v>
      </c>
      <c r="Y522" s="46">
        <f>'Data_in-situ'!DT295</f>
        <v>6</v>
      </c>
      <c r="AF522" s="113">
        <f>'Data_in-situ'!EN266</f>
        <v>-11</v>
      </c>
      <c r="AG522" s="113">
        <f>'Data_in-situ'!EO266</f>
        <v>4.4824603862642265</v>
      </c>
      <c r="AH522" s="110">
        <f>'Data_in-situ'!EP266</f>
        <v>3</v>
      </c>
      <c r="AI522" s="113">
        <f>'Data_in-situ'!ER266</f>
        <v>-13</v>
      </c>
      <c r="AJ522" s="113">
        <f>'Data_in-situ'!ES266</f>
        <v>2.9485826956195242</v>
      </c>
      <c r="AK522" s="110">
        <f>'Data_in-situ'!ET266</f>
        <v>3</v>
      </c>
    </row>
    <row r="523" spans="20:37" x14ac:dyDescent="0.3">
      <c r="T523" s="113">
        <f>'Data_in-situ'!DN296</f>
        <v>11.627460214917093</v>
      </c>
      <c r="U523" s="113">
        <f>'Data_in-situ'!DO296</f>
        <v>19.919328099494376</v>
      </c>
      <c r="V523" s="46">
        <f>'Data_in-situ'!DP296</f>
        <v>6</v>
      </c>
      <c r="W523" s="113">
        <f>'Data_in-situ'!DR296</f>
        <v>5.3718567649972807E-2</v>
      </c>
      <c r="X523" s="113">
        <f>'Data_in-situ'!DS296</f>
        <v>0.48646678719420772</v>
      </c>
      <c r="Y523" s="46">
        <f>'Data_in-situ'!DT296</f>
        <v>6</v>
      </c>
      <c r="AF523" s="113">
        <f>'Data_in-situ'!EN267</f>
        <v>-16</v>
      </c>
      <c r="AG523" s="113">
        <f>'Data_in-situ'!EO267</f>
        <v>6.5199423800206935</v>
      </c>
      <c r="AH523" s="110">
        <f>'Data_in-situ'!EP267</f>
        <v>3</v>
      </c>
      <c r="AI523" s="113">
        <f>'Data_in-situ'!ER267</f>
        <v>-20</v>
      </c>
      <c r="AJ523" s="113">
        <f>'Data_in-situ'!ES267</f>
        <v>4.5362810701838834</v>
      </c>
      <c r="AK523" s="110">
        <f>'Data_in-situ'!ET267</f>
        <v>3</v>
      </c>
    </row>
    <row r="524" spans="20:37" x14ac:dyDescent="0.3">
      <c r="T524" s="113">
        <f>'Data_in-situ'!DN297</f>
        <v>11.627460214917093</v>
      </c>
      <c r="U524" s="113">
        <f>'Data_in-situ'!DO297</f>
        <v>19.919328099494376</v>
      </c>
      <c r="V524" s="46">
        <f>'Data_in-situ'!DP297</f>
        <v>6</v>
      </c>
      <c r="W524" s="113">
        <f>'Data_in-situ'!DR297</f>
        <v>-0.10743713529994561</v>
      </c>
      <c r="X524" s="113">
        <f>'Data_in-situ'!DS297</f>
        <v>0.28944787367187741</v>
      </c>
      <c r="Y524" s="46">
        <f>'Data_in-situ'!DT297</f>
        <v>6</v>
      </c>
      <c r="AF524" s="113">
        <f>'Data_in-situ'!EN268</f>
        <v>-12</v>
      </c>
      <c r="AG524" s="113">
        <f>'Data_in-situ'!EO268</f>
        <v>4.8899567850155199</v>
      </c>
      <c r="AH524" s="110">
        <f>'Data_in-situ'!EP268</f>
        <v>3</v>
      </c>
      <c r="AI524" s="113">
        <f>'Data_in-situ'!ER268</f>
        <v>-27</v>
      </c>
      <c r="AJ524" s="113">
        <f>'Data_in-situ'!ES268</f>
        <v>6.123979444748243</v>
      </c>
      <c r="AK524" s="110">
        <f>'Data_in-situ'!ET268</f>
        <v>3</v>
      </c>
    </row>
    <row r="525" spans="20:37" x14ac:dyDescent="0.3">
      <c r="T525" s="113">
        <f>'Data_in-situ'!DN298</f>
        <v>11.627460214917093</v>
      </c>
      <c r="U525" s="113">
        <f>'Data_in-situ'!DO298</f>
        <v>19.919328099494376</v>
      </c>
      <c r="V525" s="46">
        <f>'Data_in-situ'!DP298</f>
        <v>6</v>
      </c>
      <c r="W525" s="113">
        <f>'Data_in-situ'!DR298</f>
        <v>-0.10743713529994561</v>
      </c>
      <c r="X525" s="113">
        <f>'Data_in-situ'!DS298</f>
        <v>0.39119879833905941</v>
      </c>
      <c r="Y525" s="46">
        <f>'Data_in-situ'!DT298</f>
        <v>6</v>
      </c>
      <c r="AF525" s="113">
        <f>'Data_in-situ'!EN271</f>
        <v>-26.2</v>
      </c>
      <c r="AG525" s="113">
        <f>'Data_in-situ'!EO271</f>
        <v>1.6</v>
      </c>
      <c r="AH525" s="110">
        <f>'Data_in-situ'!EP271</f>
        <v>4</v>
      </c>
      <c r="AI525" s="113">
        <f>'Data_in-situ'!ER271</f>
        <v>-42</v>
      </c>
      <c r="AJ525" s="113">
        <f>'Data_in-situ'!ES271</f>
        <v>1.6</v>
      </c>
      <c r="AK525" s="110">
        <f>'Data_in-situ'!ET271</f>
        <v>4</v>
      </c>
    </row>
    <row r="526" spans="20:37" x14ac:dyDescent="0.3">
      <c r="T526" s="113">
        <f>'Data_in-situ'!DN299</f>
        <v>11.627460214917093</v>
      </c>
      <c r="U526" s="113">
        <f>'Data_in-situ'!DO299</f>
        <v>19.919328099494376</v>
      </c>
      <c r="V526" s="46">
        <f>'Data_in-situ'!DP299</f>
        <v>6</v>
      </c>
      <c r="W526" s="113">
        <f>'Data_in-situ'!DR299</f>
        <v>-5.3718567649972807E-2</v>
      </c>
      <c r="X526" s="113">
        <f>'Data_in-situ'!DS299</f>
        <v>0.37987896850363267</v>
      </c>
      <c r="Y526" s="46">
        <f>'Data_in-situ'!DT299</f>
        <v>6</v>
      </c>
      <c r="AF526" s="113">
        <f>'Data_in-situ'!EN280</f>
        <v>-24.4</v>
      </c>
      <c r="AG526" s="113">
        <f>'Data_in-situ'!EO280</f>
        <v>9.9429121295315568</v>
      </c>
      <c r="AH526" s="110">
        <f>'Data_in-situ'!EP280</f>
        <v>1</v>
      </c>
      <c r="AI526" s="113">
        <f>'Data_in-situ'!ER280</f>
        <v>-83.7</v>
      </c>
      <c r="AJ526" s="113">
        <f>'Data_in-situ'!ES280</f>
        <v>18.984336278719553</v>
      </c>
      <c r="AK526" s="110">
        <f>'Data_in-situ'!ET280</f>
        <v>1</v>
      </c>
    </row>
    <row r="527" spans="20:37" x14ac:dyDescent="0.3">
      <c r="T527" s="113">
        <f>'Data_in-situ'!DN300</f>
        <v>13.144085460341062</v>
      </c>
      <c r="U527" s="113">
        <f>'Data_in-situ'!DO300</f>
        <v>20.285444054594439</v>
      </c>
      <c r="V527" s="46">
        <f>'Data_in-situ'!DP300</f>
        <v>6</v>
      </c>
      <c r="W527" s="113">
        <f>'Data_in-situ'!DR300</f>
        <v>5.3718567649972807E-2</v>
      </c>
      <c r="X527" s="113">
        <f>'Data_in-situ'!DS300</f>
        <v>0.48646678719420772</v>
      </c>
      <c r="Y527" s="46">
        <f>'Data_in-situ'!DT300</f>
        <v>6</v>
      </c>
      <c r="AF527" s="113">
        <f>'Data_in-situ'!EN281</f>
        <v>-24.4</v>
      </c>
      <c r="AG527" s="113">
        <f>'Data_in-situ'!EO281</f>
        <v>9.9429121295315568</v>
      </c>
      <c r="AH527" s="110">
        <f>'Data_in-situ'!EP281</f>
        <v>1</v>
      </c>
      <c r="AI527" s="113">
        <f>'Data_in-situ'!ER281</f>
        <v>-49.1</v>
      </c>
      <c r="AJ527" s="113">
        <f>'Data_in-situ'!ES281</f>
        <v>11.136570027301435</v>
      </c>
      <c r="AK527" s="110">
        <f>'Data_in-situ'!ET281</f>
        <v>1</v>
      </c>
    </row>
    <row r="528" spans="20:37" x14ac:dyDescent="0.3">
      <c r="T528" s="113">
        <f>'Data_in-situ'!DN301</f>
        <v>13.144085460341062</v>
      </c>
      <c r="U528" s="113">
        <f>'Data_in-situ'!DO301</f>
        <v>20.285444054594439</v>
      </c>
      <c r="V528" s="46">
        <f>'Data_in-situ'!DP301</f>
        <v>6</v>
      </c>
      <c r="W528" s="113">
        <f>'Data_in-situ'!DR301</f>
        <v>-0.10743713529994561</v>
      </c>
      <c r="X528" s="113">
        <f>'Data_in-situ'!DS301</f>
        <v>0.28944787367187741</v>
      </c>
      <c r="Y528" s="46">
        <f>'Data_in-situ'!DT301</f>
        <v>6</v>
      </c>
      <c r="AF528" s="113">
        <f>'Data_in-situ'!EN282</f>
        <v>-24.4</v>
      </c>
      <c r="AG528" s="113">
        <f>'Data_in-situ'!EO282</f>
        <v>9.9429121295315568</v>
      </c>
      <c r="AH528" s="110">
        <f>'Data_in-situ'!EP282</f>
        <v>1</v>
      </c>
      <c r="AI528" s="113">
        <f>'Data_in-situ'!ER282</f>
        <v>-63.8</v>
      </c>
      <c r="AJ528" s="113">
        <f>'Data_in-situ'!ES282</f>
        <v>14.470736613886588</v>
      </c>
      <c r="AK528" s="110">
        <f>'Data_in-situ'!ET282</f>
        <v>1</v>
      </c>
    </row>
    <row r="529" spans="20:37" x14ac:dyDescent="0.3">
      <c r="T529" s="113">
        <f>'Data_in-situ'!DN302</f>
        <v>13.144085460341062</v>
      </c>
      <c r="U529" s="113">
        <f>'Data_in-situ'!DO302</f>
        <v>20.285444054594439</v>
      </c>
      <c r="V529" s="46">
        <f>'Data_in-situ'!DP302</f>
        <v>6</v>
      </c>
      <c r="W529" s="113">
        <f>'Data_in-situ'!DR302</f>
        <v>-0.10743713529994561</v>
      </c>
      <c r="X529" s="113">
        <f>'Data_in-situ'!DS302</f>
        <v>0.39119879833905941</v>
      </c>
      <c r="Y529" s="46">
        <f>'Data_in-situ'!DT302</f>
        <v>6</v>
      </c>
      <c r="AF529" s="113">
        <f>'Data_in-situ'!EN283</f>
        <v>-24.4</v>
      </c>
      <c r="AG529" s="113">
        <f>'Data_in-situ'!EO283</f>
        <v>9.9429121295315568</v>
      </c>
      <c r="AH529" s="110">
        <f>'Data_in-situ'!EP283</f>
        <v>1</v>
      </c>
      <c r="AI529" s="113">
        <f>'Data_in-situ'!ER283</f>
        <v>-34.4</v>
      </c>
      <c r="AJ529" s="113">
        <f>'Data_in-situ'!ES283</f>
        <v>7.8024034407162794</v>
      </c>
      <c r="AK529" s="110">
        <f>'Data_in-situ'!ET283</f>
        <v>1</v>
      </c>
    </row>
    <row r="530" spans="20:37" x14ac:dyDescent="0.3">
      <c r="T530" s="113">
        <f>'Data_in-situ'!DN303</f>
        <v>13.144085460341062</v>
      </c>
      <c r="U530" s="113">
        <f>'Data_in-situ'!DO303</f>
        <v>20.285444054594439</v>
      </c>
      <c r="V530" s="46">
        <f>'Data_in-situ'!DP303</f>
        <v>6</v>
      </c>
      <c r="W530" s="113">
        <f>'Data_in-situ'!DR303</f>
        <v>-5.3718567649972807E-2</v>
      </c>
      <c r="X530" s="113">
        <f>'Data_in-situ'!DS303</f>
        <v>0.39119879833905941</v>
      </c>
      <c r="Y530" s="46">
        <f>'Data_in-situ'!DT303</f>
        <v>6</v>
      </c>
      <c r="AF530" s="113">
        <f>'Data_in-situ'!EN284</f>
        <v>-24.4</v>
      </c>
      <c r="AG530" s="113">
        <f>'Data_in-situ'!EO284</f>
        <v>9.9429121295315568</v>
      </c>
      <c r="AH530" s="110">
        <f>'Data_in-situ'!EP284</f>
        <v>1</v>
      </c>
      <c r="AI530" s="113">
        <f>'Data_in-situ'!ER284</f>
        <v>-83.7</v>
      </c>
      <c r="AJ530" s="113">
        <f>'Data_in-situ'!ES284</f>
        <v>18.984336278719553</v>
      </c>
      <c r="AK530" s="110">
        <f>'Data_in-situ'!ET284</f>
        <v>1</v>
      </c>
    </row>
    <row r="531" spans="20:37" x14ac:dyDescent="0.3">
      <c r="T531" s="113">
        <f>'Data_in-situ'!DN304</f>
        <v>0.25277087423732814</v>
      </c>
      <c r="U531" s="113">
        <f>'Data_in-situ'!DO304</f>
        <v>2.0397555922164208</v>
      </c>
      <c r="V531" s="46">
        <f>'Data_in-situ'!DP304</f>
        <v>6</v>
      </c>
      <c r="W531" s="113">
        <f>'Data_in-situ'!DR304</f>
        <v>-0.16115570294991843</v>
      </c>
      <c r="X531" s="113">
        <f>'Data_in-situ'!DS304</f>
        <v>0.5610292847687105</v>
      </c>
      <c r="Y531" s="46">
        <f>'Data_in-situ'!DT304</f>
        <v>6</v>
      </c>
      <c r="AF531" s="113">
        <f>'Data_in-situ'!EN285</f>
        <v>-24.4</v>
      </c>
      <c r="AG531" s="113">
        <f>'Data_in-situ'!EO285</f>
        <v>9.9429121295315568</v>
      </c>
      <c r="AH531" s="110">
        <f>'Data_in-situ'!EP285</f>
        <v>1</v>
      </c>
      <c r="AI531" s="113">
        <f>'Data_in-situ'!ER285</f>
        <v>-49.1</v>
      </c>
      <c r="AJ531" s="113">
        <f>'Data_in-situ'!ES285</f>
        <v>11.136570027301435</v>
      </c>
      <c r="AK531" s="110">
        <f>'Data_in-situ'!ET285</f>
        <v>1</v>
      </c>
    </row>
    <row r="532" spans="20:37" x14ac:dyDescent="0.3">
      <c r="T532" s="113">
        <f>'Data_in-situ'!DN305</f>
        <v>0.25277087423732814</v>
      </c>
      <c r="U532" s="113">
        <f>'Data_in-situ'!DO305</f>
        <v>2.0397555922164208</v>
      </c>
      <c r="V532" s="46">
        <f>'Data_in-situ'!DP305</f>
        <v>6</v>
      </c>
      <c r="W532" s="113">
        <f>'Data_in-situ'!DR305</f>
        <v>-0.16115570294991843</v>
      </c>
      <c r="X532" s="113">
        <f>'Data_in-situ'!DS305</f>
        <v>0.5610292847687105</v>
      </c>
      <c r="Y532" s="46">
        <f>'Data_in-situ'!DT305</f>
        <v>6</v>
      </c>
      <c r="AF532" s="113">
        <f>'Data_in-situ'!EN286</f>
        <v>-24.4</v>
      </c>
      <c r="AG532" s="113">
        <f>'Data_in-situ'!EO286</f>
        <v>9.9429121295315568</v>
      </c>
      <c r="AH532" s="110">
        <f>'Data_in-situ'!EP286</f>
        <v>1</v>
      </c>
      <c r="AI532" s="113">
        <f>'Data_in-situ'!ER286</f>
        <v>-63.8</v>
      </c>
      <c r="AJ532" s="113">
        <f>'Data_in-situ'!ES286</f>
        <v>14.470736613886588</v>
      </c>
      <c r="AK532" s="110">
        <f>'Data_in-situ'!ET286</f>
        <v>1</v>
      </c>
    </row>
    <row r="533" spans="20:37" x14ac:dyDescent="0.3">
      <c r="T533" s="113">
        <f>'Data_in-situ'!DN306</f>
        <v>0.25277087423732814</v>
      </c>
      <c r="U533" s="113">
        <f>'Data_in-situ'!DO306</f>
        <v>2.0397555922164208</v>
      </c>
      <c r="V533" s="46">
        <f>'Data_in-situ'!DP306</f>
        <v>6</v>
      </c>
      <c r="W533" s="113">
        <f>'Data_in-situ'!DR306</f>
        <v>-0.16115570294991843</v>
      </c>
      <c r="X533" s="113">
        <f>'Data_in-situ'!DS306</f>
        <v>0.50982923873701236</v>
      </c>
      <c r="Y533" s="46">
        <f>'Data_in-situ'!DT306</f>
        <v>6</v>
      </c>
      <c r="AF533" s="113">
        <f>'Data_in-situ'!EN287</f>
        <v>-24.4</v>
      </c>
      <c r="AG533" s="113">
        <f>'Data_in-situ'!EO287</f>
        <v>9.9429121295315568</v>
      </c>
      <c r="AH533" s="110">
        <f>'Data_in-situ'!EP287</f>
        <v>1</v>
      </c>
      <c r="AI533" s="113">
        <f>'Data_in-situ'!ER287</f>
        <v>-34.4</v>
      </c>
      <c r="AJ533" s="113">
        <f>'Data_in-situ'!ES287</f>
        <v>7.8024034407162794</v>
      </c>
      <c r="AK533" s="110">
        <f>'Data_in-situ'!ET287</f>
        <v>1</v>
      </c>
    </row>
    <row r="534" spans="20:37" x14ac:dyDescent="0.3">
      <c r="T534" s="113">
        <f>'Data_in-situ'!DN307</f>
        <v>0.25277087423732814</v>
      </c>
      <c r="U534" s="113">
        <f>'Data_in-situ'!DO307</f>
        <v>2.0397555922164208</v>
      </c>
      <c r="V534" s="46">
        <f>'Data_in-situ'!DP307</f>
        <v>6</v>
      </c>
      <c r="W534" s="113">
        <f>'Data_in-situ'!DR307</f>
        <v>-0.21487427059989123</v>
      </c>
      <c r="X534" s="113">
        <f>'Data_in-situ'!DS307</f>
        <v>0.52942636938081877</v>
      </c>
      <c r="Y534" s="46">
        <f>'Data_in-situ'!DT307</f>
        <v>6</v>
      </c>
      <c r="AF534" s="113">
        <f>'Data_in-situ'!EN288</f>
        <v>-24.4</v>
      </c>
      <c r="AG534" s="113">
        <f>'Data_in-situ'!EO288</f>
        <v>9.9429121295315568</v>
      </c>
      <c r="AH534" s="110">
        <f>'Data_in-situ'!EP288</f>
        <v>1</v>
      </c>
      <c r="AI534" s="113">
        <f>'Data_in-situ'!ER288</f>
        <v>-83.7</v>
      </c>
      <c r="AJ534" s="113">
        <f>'Data_in-situ'!ES288</f>
        <v>18.984336278719553</v>
      </c>
      <c r="AK534" s="110">
        <f>'Data_in-situ'!ET288</f>
        <v>1</v>
      </c>
    </row>
    <row r="535" spans="20:37" x14ac:dyDescent="0.3">
      <c r="T535" s="113">
        <f>'Data_in-situ'!DN308</f>
        <v>1.2638543711866406</v>
      </c>
      <c r="U535" s="113">
        <f>'Data_in-situ'!DO308</f>
        <v>3.7827422106480872</v>
      </c>
      <c r="V535" s="46">
        <f>'Data_in-situ'!DP308</f>
        <v>6</v>
      </c>
      <c r="W535" s="113">
        <f>'Data_in-situ'!DR308</f>
        <v>-0.16115570294991843</v>
      </c>
      <c r="X535" s="113">
        <f>'Data_in-situ'!DS308</f>
        <v>0.5610292847687105</v>
      </c>
      <c r="Y535" s="46">
        <f>'Data_in-situ'!DT308</f>
        <v>6</v>
      </c>
      <c r="AF535" s="113">
        <f>'Data_in-situ'!EN289</f>
        <v>-24.4</v>
      </c>
      <c r="AG535" s="113">
        <f>'Data_in-situ'!EO289</f>
        <v>9.9429121295315568</v>
      </c>
      <c r="AH535" s="110">
        <f>'Data_in-situ'!EP289</f>
        <v>1</v>
      </c>
      <c r="AI535" s="113">
        <f>'Data_in-situ'!ER289</f>
        <v>-49.1</v>
      </c>
      <c r="AJ535" s="113">
        <f>'Data_in-situ'!ES289</f>
        <v>11.136570027301435</v>
      </c>
      <c r="AK535" s="110">
        <f>'Data_in-situ'!ET289</f>
        <v>1</v>
      </c>
    </row>
    <row r="536" spans="20:37" x14ac:dyDescent="0.3">
      <c r="T536" s="113">
        <f>'Data_in-situ'!DN309</f>
        <v>1.2638543711866406</v>
      </c>
      <c r="U536" s="113">
        <f>'Data_in-situ'!DO309</f>
        <v>3.7827422106480872</v>
      </c>
      <c r="V536" s="46">
        <f>'Data_in-situ'!DP309</f>
        <v>6</v>
      </c>
      <c r="W536" s="113">
        <f>'Data_in-situ'!DR309</f>
        <v>-0.16115570294991843</v>
      </c>
      <c r="X536" s="113">
        <f>'Data_in-situ'!DS309</f>
        <v>0.5610292847687105</v>
      </c>
      <c r="Y536" s="46">
        <f>'Data_in-situ'!DT309</f>
        <v>6</v>
      </c>
      <c r="AF536" s="113">
        <f>'Data_in-situ'!EN290</f>
        <v>-24.4</v>
      </c>
      <c r="AG536" s="113">
        <f>'Data_in-situ'!EO290</f>
        <v>9.9429121295315568</v>
      </c>
      <c r="AH536" s="110">
        <f>'Data_in-situ'!EP290</f>
        <v>1</v>
      </c>
      <c r="AI536" s="113">
        <f>'Data_in-situ'!ER290</f>
        <v>-63.8</v>
      </c>
      <c r="AJ536" s="113">
        <f>'Data_in-situ'!ES290</f>
        <v>14.470736613886588</v>
      </c>
      <c r="AK536" s="110">
        <f>'Data_in-situ'!ET290</f>
        <v>1</v>
      </c>
    </row>
    <row r="537" spans="20:37" x14ac:dyDescent="0.3">
      <c r="T537" s="113">
        <f>'Data_in-situ'!DN310</f>
        <v>1.2638543711866406</v>
      </c>
      <c r="U537" s="113">
        <f>'Data_in-situ'!DO310</f>
        <v>3.7827422106480872</v>
      </c>
      <c r="V537" s="46">
        <f>'Data_in-situ'!DP310</f>
        <v>6</v>
      </c>
      <c r="W537" s="113">
        <f>'Data_in-situ'!DR310</f>
        <v>-0.16115570294991843</v>
      </c>
      <c r="X537" s="113">
        <f>'Data_in-situ'!DS310</f>
        <v>0.5610292847687105</v>
      </c>
      <c r="Y537" s="46">
        <f>'Data_in-situ'!DT310</f>
        <v>6</v>
      </c>
      <c r="AF537" s="113">
        <f>'Data_in-situ'!EN291</f>
        <v>-24.4</v>
      </c>
      <c r="AG537" s="113">
        <f>'Data_in-situ'!EO291</f>
        <v>9.9429121295315568</v>
      </c>
      <c r="AH537" s="110">
        <f>'Data_in-situ'!EP291</f>
        <v>1</v>
      </c>
      <c r="AI537" s="113">
        <f>'Data_in-situ'!ER291</f>
        <v>-34.4</v>
      </c>
      <c r="AJ537" s="113">
        <f>'Data_in-situ'!ES291</f>
        <v>7.8024034407162794</v>
      </c>
      <c r="AK537" s="110">
        <f>'Data_in-situ'!ET291</f>
        <v>1</v>
      </c>
    </row>
    <row r="538" spans="20:37" x14ac:dyDescent="0.3">
      <c r="T538" s="113">
        <f>'Data_in-situ'!DN311</f>
        <v>1.2638543711866406</v>
      </c>
      <c r="U538" s="113">
        <f>'Data_in-situ'!DO311</f>
        <v>3.7827422106480872</v>
      </c>
      <c r="V538" s="46">
        <f>'Data_in-situ'!DP311</f>
        <v>6</v>
      </c>
      <c r="W538" s="113">
        <f>'Data_in-situ'!DR311</f>
        <v>-0.21487427059989123</v>
      </c>
      <c r="X538" s="113">
        <f>'Data_in-situ'!DS311</f>
        <v>0.52942636938081877</v>
      </c>
      <c r="Y538" s="46">
        <f>'Data_in-situ'!DT311</f>
        <v>6</v>
      </c>
      <c r="AF538" s="113">
        <f>'Data_in-situ'!EN292</f>
        <v>-20.8</v>
      </c>
      <c r="AG538" s="113">
        <f>'Data_in-situ'!EO292</f>
        <v>8.475925094026902</v>
      </c>
      <c r="AH538" s="110">
        <f>'Data_in-situ'!EP292</f>
        <v>1</v>
      </c>
      <c r="AI538" s="113">
        <f>'Data_in-situ'!ER292</f>
        <v>-48.2</v>
      </c>
      <c r="AJ538" s="113">
        <f>'Data_in-situ'!ES292</f>
        <v>10.93243737914316</v>
      </c>
      <c r="AK538" s="110">
        <f>'Data_in-situ'!ET292</f>
        <v>1</v>
      </c>
    </row>
    <row r="539" spans="20:37" x14ac:dyDescent="0.3">
      <c r="T539" s="113">
        <f>'Data_in-situ'!DN312</f>
        <v>0.75831262271198441</v>
      </c>
      <c r="U539" s="113">
        <f>'Data_in-situ'!DO312</f>
        <v>2.1753507933433238</v>
      </c>
      <c r="V539" s="46">
        <f>'Data_in-situ'!DP312</f>
        <v>6</v>
      </c>
      <c r="W539" s="113">
        <f>'Data_in-situ'!DR312</f>
        <v>-0.16115570294991843</v>
      </c>
      <c r="X539" s="113">
        <f>'Data_in-situ'!DS312</f>
        <v>0.5610292847687105</v>
      </c>
      <c r="Y539" s="46">
        <f>'Data_in-situ'!DT312</f>
        <v>6</v>
      </c>
      <c r="AF539" s="113">
        <f>'Data_in-situ'!EN293</f>
        <v>-20.8</v>
      </c>
      <c r="AG539" s="113">
        <f>'Data_in-situ'!EO293</f>
        <v>8.475925094026902</v>
      </c>
      <c r="AH539" s="110">
        <f>'Data_in-situ'!EP293</f>
        <v>1</v>
      </c>
      <c r="AI539" s="113">
        <f>'Data_in-situ'!ER293</f>
        <v>-46</v>
      </c>
      <c r="AJ539" s="113">
        <f>'Data_in-situ'!ES293</f>
        <v>10.433446461422932</v>
      </c>
      <c r="AK539" s="110">
        <f>'Data_in-situ'!ET293</f>
        <v>1</v>
      </c>
    </row>
    <row r="540" spans="20:37" x14ac:dyDescent="0.3">
      <c r="T540" s="113">
        <f>'Data_in-situ'!DN313</f>
        <v>0.75831262271198441</v>
      </c>
      <c r="U540" s="113">
        <f>'Data_in-situ'!DO313</f>
        <v>2.1753507933433238</v>
      </c>
      <c r="V540" s="46">
        <f>'Data_in-situ'!DP313</f>
        <v>6</v>
      </c>
      <c r="W540" s="113">
        <f>'Data_in-situ'!DR313</f>
        <v>-0.16115570294991843</v>
      </c>
      <c r="X540" s="113">
        <f>'Data_in-situ'!DS313</f>
        <v>0.5610292847687105</v>
      </c>
      <c r="Y540" s="46">
        <f>'Data_in-situ'!DT313</f>
        <v>6</v>
      </c>
      <c r="AF540" s="113">
        <f>'Data_in-situ'!EN294</f>
        <v>-20.8</v>
      </c>
      <c r="AG540" s="113">
        <f>'Data_in-situ'!EO294</f>
        <v>8.475925094026902</v>
      </c>
      <c r="AH540" s="110">
        <f>'Data_in-situ'!EP294</f>
        <v>1</v>
      </c>
      <c r="AI540" s="113">
        <f>'Data_in-situ'!ER294</f>
        <v>-40</v>
      </c>
      <c r="AJ540" s="113">
        <f>'Data_in-situ'!ES294</f>
        <v>9.0725621403677668</v>
      </c>
      <c r="AK540" s="110">
        <f>'Data_in-situ'!ET294</f>
        <v>1</v>
      </c>
    </row>
    <row r="541" spans="20:37" x14ac:dyDescent="0.3">
      <c r="T541" s="113">
        <f>'Data_in-situ'!DN314</f>
        <v>0.75831262271198441</v>
      </c>
      <c r="U541" s="113">
        <f>'Data_in-situ'!DO314</f>
        <v>2.1753507933433238</v>
      </c>
      <c r="V541" s="46">
        <f>'Data_in-situ'!DP314</f>
        <v>6</v>
      </c>
      <c r="W541" s="113">
        <f>'Data_in-situ'!DR314</f>
        <v>-0.16115570294991843</v>
      </c>
      <c r="X541" s="113">
        <f>'Data_in-situ'!DS314</f>
        <v>0.52942636938081877</v>
      </c>
      <c r="Y541" s="46">
        <f>'Data_in-situ'!DT314</f>
        <v>6</v>
      </c>
      <c r="AF541" s="113">
        <f>'Data_in-situ'!EN295</f>
        <v>-20.8</v>
      </c>
      <c r="AG541" s="113">
        <f>'Data_in-situ'!EO295</f>
        <v>8.475925094026902</v>
      </c>
      <c r="AH541" s="110">
        <f>'Data_in-situ'!EP295</f>
        <v>1</v>
      </c>
      <c r="AI541" s="113">
        <f>'Data_in-situ'!ER295</f>
        <v>-31.5</v>
      </c>
      <c r="AJ541" s="113">
        <f>'Data_in-situ'!ES295</f>
        <v>7.1446426855396163</v>
      </c>
      <c r="AK541" s="110">
        <f>'Data_in-situ'!ET295</f>
        <v>1</v>
      </c>
    </row>
    <row r="542" spans="20:37" x14ac:dyDescent="0.3">
      <c r="T542" s="113">
        <f>'Data_in-situ'!DN315</f>
        <v>0.75831262271198441</v>
      </c>
      <c r="U542" s="113">
        <f>'Data_in-situ'!DO315</f>
        <v>2.1753507933433238</v>
      </c>
      <c r="V542" s="46">
        <f>'Data_in-situ'!DP315</f>
        <v>6</v>
      </c>
      <c r="W542" s="113">
        <f>'Data_in-situ'!DR315</f>
        <v>-0.21487427059989123</v>
      </c>
      <c r="X542" s="113">
        <f>'Data_in-situ'!DS315</f>
        <v>0.52942636938081877</v>
      </c>
      <c r="Y542" s="46">
        <f>'Data_in-situ'!DT315</f>
        <v>6</v>
      </c>
      <c r="AF542" s="113">
        <f>'Data_in-situ'!EN296</f>
        <v>-20.8</v>
      </c>
      <c r="AG542" s="113">
        <f>'Data_in-situ'!EO296</f>
        <v>8.475925094026902</v>
      </c>
      <c r="AH542" s="110">
        <f>'Data_in-situ'!EP296</f>
        <v>1</v>
      </c>
      <c r="AI542" s="113">
        <f>'Data_in-situ'!ER296</f>
        <v>-48.2</v>
      </c>
      <c r="AJ542" s="113">
        <f>'Data_in-situ'!ES296</f>
        <v>10.93243737914316</v>
      </c>
      <c r="AK542" s="110">
        <f>'Data_in-situ'!ET296</f>
        <v>1</v>
      </c>
    </row>
    <row r="543" spans="20:37" x14ac:dyDescent="0.3">
      <c r="T543" s="113">
        <f>'Data_in-situ'!DN316</f>
        <v>93.1</v>
      </c>
      <c r="U543" s="113">
        <f>'Data_in-situ'!DO316</f>
        <v>103.79526182078902</v>
      </c>
      <c r="V543" s="46">
        <f>'Data_in-situ'!DP316</f>
        <v>18</v>
      </c>
      <c r="W543" s="113">
        <f>'Data_in-situ'!DR316</f>
        <v>32.799999999999997</v>
      </c>
      <c r="X543" s="113">
        <f>'Data_in-situ'!DS316</f>
        <v>122.58069446389712</v>
      </c>
      <c r="Y543" s="46">
        <f>'Data_in-situ'!DT316</f>
        <v>18</v>
      </c>
      <c r="AF543" s="113">
        <f>'Data_in-situ'!EN297</f>
        <v>-20.8</v>
      </c>
      <c r="AG543" s="113">
        <f>'Data_in-situ'!EO297</f>
        <v>8.475925094026902</v>
      </c>
      <c r="AH543" s="110">
        <f>'Data_in-situ'!EP297</f>
        <v>1</v>
      </c>
      <c r="AI543" s="113">
        <f>'Data_in-situ'!ER297</f>
        <v>-46</v>
      </c>
      <c r="AJ543" s="113">
        <f>'Data_in-situ'!ES297</f>
        <v>10.433446461422932</v>
      </c>
      <c r="AK543" s="110">
        <f>'Data_in-situ'!ET297</f>
        <v>1</v>
      </c>
    </row>
    <row r="544" spans="20:37" x14ac:dyDescent="0.3">
      <c r="T544" s="113">
        <f>'Data_in-situ'!DN317</f>
        <v>82.2</v>
      </c>
      <c r="U544" s="113">
        <f>'Data_in-situ'!DO317</f>
        <v>91.643077568945841</v>
      </c>
      <c r="V544" s="46">
        <f>'Data_in-situ'!DP317</f>
        <v>15</v>
      </c>
      <c r="W544" s="113">
        <f>'Data_in-situ'!DR317</f>
        <v>27.8</v>
      </c>
      <c r="X544" s="113">
        <f>'Data_in-situ'!DS317</f>
        <v>103.89461299074208</v>
      </c>
      <c r="Y544" s="46">
        <f>'Data_in-situ'!DT317</f>
        <v>15</v>
      </c>
      <c r="AF544" s="113">
        <f>'Data_in-situ'!EN298</f>
        <v>-20.8</v>
      </c>
      <c r="AG544" s="113">
        <f>'Data_in-situ'!EO298</f>
        <v>8.475925094026902</v>
      </c>
      <c r="AH544" s="110">
        <f>'Data_in-situ'!EP298</f>
        <v>1</v>
      </c>
      <c r="AI544" s="113">
        <f>'Data_in-situ'!ER298</f>
        <v>-40</v>
      </c>
      <c r="AJ544" s="113">
        <f>'Data_in-situ'!ES298</f>
        <v>9.0725621403677668</v>
      </c>
      <c r="AK544" s="110">
        <f>'Data_in-situ'!ET298</f>
        <v>1</v>
      </c>
    </row>
    <row r="545" spans="20:37" x14ac:dyDescent="0.3">
      <c r="T545" s="113">
        <f>'Data_in-situ'!DN318</f>
        <v>57.9</v>
      </c>
      <c r="U545" s="113">
        <f>'Data_in-situ'!DO318</f>
        <v>64.551510842359662</v>
      </c>
      <c r="V545" s="46">
        <f>'Data_in-situ'!DP318</f>
        <v>18</v>
      </c>
      <c r="W545" s="113">
        <f>'Data_in-situ'!DR318</f>
        <v>31.7</v>
      </c>
      <c r="X545" s="113">
        <f>'Data_in-situ'!DS318</f>
        <v>118.46975653980302</v>
      </c>
      <c r="Y545" s="46">
        <f>'Data_in-situ'!DT318</f>
        <v>18</v>
      </c>
      <c r="AF545" s="113">
        <f>'Data_in-situ'!EN299</f>
        <v>-20.8</v>
      </c>
      <c r="AG545" s="113">
        <f>'Data_in-situ'!EO299</f>
        <v>8.475925094026902</v>
      </c>
      <c r="AH545" s="110">
        <f>'Data_in-situ'!EP299</f>
        <v>1</v>
      </c>
      <c r="AI545" s="113">
        <f>'Data_in-situ'!ER299</f>
        <v>-31.5</v>
      </c>
      <c r="AJ545" s="113">
        <f>'Data_in-situ'!ES299</f>
        <v>7.1446426855396163</v>
      </c>
      <c r="AK545" s="110">
        <f>'Data_in-situ'!ET299</f>
        <v>1</v>
      </c>
    </row>
    <row r="546" spans="20:37" x14ac:dyDescent="0.3">
      <c r="T546" s="113">
        <f>'Data_in-situ'!DN319</f>
        <v>38.4</v>
      </c>
      <c r="U546" s="113">
        <f>'Data_in-situ'!DO319</f>
        <v>42.81136470374112</v>
      </c>
      <c r="V546" s="46">
        <f>'Data_in-situ'!DP319</f>
        <v>12</v>
      </c>
      <c r="W546" s="113">
        <f>'Data_in-situ'!DR319</f>
        <v>22.1</v>
      </c>
      <c r="X546" s="113">
        <f>'Data_in-situ'!DS319</f>
        <v>82.592480111345324</v>
      </c>
      <c r="Y546" s="46">
        <f>'Data_in-situ'!DT319</f>
        <v>12</v>
      </c>
      <c r="AF546" s="113">
        <f>'Data_in-situ'!EN300</f>
        <v>-20.8</v>
      </c>
      <c r="AG546" s="113">
        <f>'Data_in-situ'!EO300</f>
        <v>8.475925094026902</v>
      </c>
      <c r="AH546" s="110">
        <f>'Data_in-situ'!EP300</f>
        <v>1</v>
      </c>
      <c r="AI546" s="113">
        <f>'Data_in-situ'!ER300</f>
        <v>-48.2</v>
      </c>
      <c r="AJ546" s="113">
        <f>'Data_in-situ'!ES300</f>
        <v>10.93243737914316</v>
      </c>
      <c r="AK546" s="110">
        <f>'Data_in-situ'!ET300</f>
        <v>1</v>
      </c>
    </row>
    <row r="547" spans="20:37" x14ac:dyDescent="0.3">
      <c r="T547" s="113">
        <f>'Data_in-situ'!DN320</f>
        <v>78.099999999999994</v>
      </c>
      <c r="U547" s="113">
        <f>'Data_in-situ'!DO320</f>
        <v>87.072072483390144</v>
      </c>
      <c r="V547" s="46">
        <f>'Data_in-situ'!DP320</f>
        <v>17</v>
      </c>
      <c r="W547" s="113">
        <f>'Data_in-situ'!DR320</f>
        <v>34.9</v>
      </c>
      <c r="X547" s="113">
        <f>'Data_in-situ'!DS320</f>
        <v>130.42884868262223</v>
      </c>
      <c r="Y547" s="46">
        <f>'Data_in-situ'!DT320</f>
        <v>18</v>
      </c>
      <c r="AF547" s="113">
        <f>'Data_in-situ'!EN301</f>
        <v>-20.8</v>
      </c>
      <c r="AG547" s="113">
        <f>'Data_in-situ'!EO301</f>
        <v>8.475925094026902</v>
      </c>
      <c r="AH547" s="110">
        <f>'Data_in-situ'!EP301</f>
        <v>1</v>
      </c>
      <c r="AI547" s="113">
        <f>'Data_in-situ'!ER301</f>
        <v>-46</v>
      </c>
      <c r="AJ547" s="113">
        <f>'Data_in-situ'!ES301</f>
        <v>10.433446461422932</v>
      </c>
      <c r="AK547" s="110">
        <f>'Data_in-situ'!ET301</f>
        <v>1</v>
      </c>
    </row>
    <row r="548" spans="20:37" x14ac:dyDescent="0.3">
      <c r="T548" s="113">
        <f>'Data_in-situ'!DN321</f>
        <v>53.5</v>
      </c>
      <c r="U548" s="113">
        <f>'Data_in-situ'!DO321</f>
        <v>59.64604197005599</v>
      </c>
      <c r="V548" s="46">
        <f>'Data_in-situ'!DP321</f>
        <v>15</v>
      </c>
      <c r="W548" s="113">
        <f>'Data_in-situ'!DR321</f>
        <v>34.5</v>
      </c>
      <c r="X548" s="113">
        <f>'Data_in-situ'!DS321</f>
        <v>128.93396216476984</v>
      </c>
      <c r="Y548" s="46">
        <f>'Data_in-situ'!DT321</f>
        <v>15</v>
      </c>
      <c r="AF548" s="113">
        <f>'Data_in-situ'!EN302</f>
        <v>-20.8</v>
      </c>
      <c r="AG548" s="113">
        <f>'Data_in-situ'!EO302</f>
        <v>8.475925094026902</v>
      </c>
      <c r="AH548" s="110">
        <f>'Data_in-situ'!EP302</f>
        <v>1</v>
      </c>
      <c r="AI548" s="113">
        <f>'Data_in-situ'!ER302</f>
        <v>-40</v>
      </c>
      <c r="AJ548" s="113">
        <f>'Data_in-situ'!ES302</f>
        <v>9.0725621403677668</v>
      </c>
      <c r="AK548" s="110">
        <f>'Data_in-situ'!ET302</f>
        <v>1</v>
      </c>
    </row>
    <row r="549" spans="20:37" x14ac:dyDescent="0.3">
      <c r="T549" s="113">
        <f>'Data_in-situ'!DN322</f>
        <v>43.6</v>
      </c>
      <c r="U549" s="113">
        <f>'Data_in-situ'!DO322</f>
        <v>48.608737007372731</v>
      </c>
      <c r="V549" s="46">
        <f>'Data_in-situ'!DP322</f>
        <v>18</v>
      </c>
      <c r="W549" s="113">
        <f>'Data_in-situ'!DR322</f>
        <v>14.1</v>
      </c>
      <c r="X549" s="113">
        <f>'Data_in-situ'!DS322</f>
        <v>52.694749754297241</v>
      </c>
      <c r="Y549" s="46">
        <f>'Data_in-situ'!DT322</f>
        <v>18</v>
      </c>
      <c r="AF549" s="113">
        <f>'Data_in-situ'!EN303</f>
        <v>-20.8</v>
      </c>
      <c r="AG549" s="113">
        <f>'Data_in-situ'!EO303</f>
        <v>8.475925094026902</v>
      </c>
      <c r="AH549" s="110">
        <f>'Data_in-situ'!EP303</f>
        <v>1</v>
      </c>
      <c r="AI549" s="113">
        <f>'Data_in-situ'!ER303</f>
        <v>-31.5</v>
      </c>
      <c r="AJ549" s="113">
        <f>'Data_in-situ'!ES303</f>
        <v>7.1446426855396163</v>
      </c>
      <c r="AK549" s="110">
        <f>'Data_in-situ'!ET303</f>
        <v>1</v>
      </c>
    </row>
    <row r="550" spans="20:37" x14ac:dyDescent="0.3">
      <c r="T550" s="113">
        <f>'Data_in-situ'!DN323</f>
        <v>24.4</v>
      </c>
      <c r="U550" s="113">
        <f>'Data_in-situ'!DO323</f>
        <v>27.203054655502171</v>
      </c>
      <c r="V550" s="46">
        <f>'Data_in-situ'!DP323</f>
        <v>29</v>
      </c>
      <c r="W550" s="113">
        <f>'Data_in-situ'!DR323</f>
        <v>5.6</v>
      </c>
      <c r="X550" s="113">
        <f>'Data_in-situ'!DS323</f>
        <v>20.928411249933653</v>
      </c>
      <c r="Y550" s="46">
        <f>'Data_in-situ'!DT323</f>
        <v>33</v>
      </c>
      <c r="AF550" s="113">
        <f>'Data_in-situ'!EN304</f>
        <v>-48.7</v>
      </c>
      <c r="AG550" s="113">
        <f>'Data_in-situ'!EO304</f>
        <v>19.845074619187987</v>
      </c>
      <c r="AH550" s="110">
        <f>'Data_in-situ'!EP304</f>
        <v>1</v>
      </c>
      <c r="AI550" s="113">
        <f>'Data_in-situ'!ER304</f>
        <v>-77.599999999999994</v>
      </c>
      <c r="AJ550" s="113">
        <f>'Data_in-situ'!ES304</f>
        <v>17.600770552313467</v>
      </c>
      <c r="AK550" s="110">
        <f>'Data_in-situ'!ET304</f>
        <v>1</v>
      </c>
    </row>
    <row r="551" spans="20:37" x14ac:dyDescent="0.3">
      <c r="T551" s="113">
        <f>'Data_in-situ'!DN324</f>
        <v>19.7</v>
      </c>
      <c r="U551" s="113">
        <f>'Data_in-situ'!DO324</f>
        <v>21.963121996450521</v>
      </c>
      <c r="V551" s="46">
        <f>'Data_in-situ'!DP324</f>
        <v>18</v>
      </c>
      <c r="W551" s="113">
        <f>'Data_in-situ'!DR324</f>
        <v>10.7</v>
      </c>
      <c r="X551" s="113">
        <f>'Data_in-situ'!DS324</f>
        <v>39.9882143525518</v>
      </c>
      <c r="Y551" s="46">
        <f>'Data_in-situ'!DT324</f>
        <v>18</v>
      </c>
      <c r="AF551" s="113">
        <f>'Data_in-situ'!EN305</f>
        <v>-48.7</v>
      </c>
      <c r="AG551" s="113">
        <f>'Data_in-situ'!EO305</f>
        <v>19.845074619187987</v>
      </c>
      <c r="AH551" s="110">
        <f>'Data_in-situ'!EP305</f>
        <v>1</v>
      </c>
      <c r="AI551" s="113">
        <f>'Data_in-situ'!ER305</f>
        <v>-119.3</v>
      </c>
      <c r="AJ551" s="113">
        <f>'Data_in-situ'!ES305</f>
        <v>27.058916583646866</v>
      </c>
      <c r="AK551" s="110">
        <f>'Data_in-situ'!ET305</f>
        <v>1</v>
      </c>
    </row>
    <row r="552" spans="20:37" x14ac:dyDescent="0.3">
      <c r="T552" s="113">
        <f>'Data_in-situ'!DN325</f>
        <v>19.899999999999999</v>
      </c>
      <c r="U552" s="113">
        <f>'Data_in-situ'!DO325</f>
        <v>22.186097854282508</v>
      </c>
      <c r="V552" s="46">
        <f>'Data_in-situ'!DP325</f>
        <v>12</v>
      </c>
      <c r="W552" s="113">
        <f>'Data_in-situ'!DR325</f>
        <v>11.3</v>
      </c>
      <c r="X552" s="113">
        <f>'Data_in-situ'!DS325</f>
        <v>42.230544129330411</v>
      </c>
      <c r="Y552" s="46">
        <f>'Data_in-situ'!DT325</f>
        <v>12</v>
      </c>
      <c r="AF552" s="113">
        <f>'Data_in-situ'!EN306</f>
        <v>-48.7</v>
      </c>
      <c r="AG552" s="113">
        <f>'Data_in-situ'!EO306</f>
        <v>19.845074619187987</v>
      </c>
      <c r="AH552" s="110">
        <f>'Data_in-situ'!EP306</f>
        <v>1</v>
      </c>
      <c r="AI552" s="113">
        <f>'Data_in-situ'!ER306</f>
        <v>-85.1</v>
      </c>
      <c r="AJ552" s="113">
        <f>'Data_in-situ'!ES306</f>
        <v>19.301875953632422</v>
      </c>
      <c r="AK552" s="110">
        <f>'Data_in-situ'!ET306</f>
        <v>1</v>
      </c>
    </row>
    <row r="553" spans="20:37" x14ac:dyDescent="0.3">
      <c r="T553" s="113">
        <f>'Data_in-situ'!DN326</f>
        <v>220.49</v>
      </c>
      <c r="U553" s="113">
        <f>'Data_in-situ'!DO326</f>
        <v>245.81973446687189</v>
      </c>
      <c r="V553" s="46">
        <f>'Data_in-situ'!DP326</f>
        <v>18</v>
      </c>
      <c r="W553" s="113">
        <f>'Data_in-situ'!DR326</f>
        <v>-0.5</v>
      </c>
      <c r="X553" s="113">
        <f>'Data_in-situ'!DS326</f>
        <v>1.868608147315505</v>
      </c>
      <c r="Y553" s="46">
        <f>'Data_in-situ'!DT326</f>
        <v>18</v>
      </c>
      <c r="AF553" s="113">
        <f>'Data_in-situ'!EN307</f>
        <v>-48.7</v>
      </c>
      <c r="AG553" s="113">
        <f>'Data_in-situ'!EO307</f>
        <v>19.845074619187987</v>
      </c>
      <c r="AH553" s="110">
        <f>'Data_in-situ'!EP307</f>
        <v>1</v>
      </c>
      <c r="AI553" s="113">
        <f>'Data_in-situ'!ER307</f>
        <v>-90</v>
      </c>
      <c r="AJ553" s="113">
        <f>'Data_in-situ'!ES307</f>
        <v>20.413264815827475</v>
      </c>
      <c r="AK553" s="110">
        <f>'Data_in-situ'!ET307</f>
        <v>1</v>
      </c>
    </row>
    <row r="554" spans="20:37" x14ac:dyDescent="0.3">
      <c r="T554" s="113">
        <f>'Data_in-situ'!DN327</f>
        <v>395.8</v>
      </c>
      <c r="U554" s="113">
        <f>'Data_in-situ'!DO327</f>
        <v>441.26922264949837</v>
      </c>
      <c r="V554" s="46">
        <f>'Data_in-situ'!DP327</f>
        <v>12</v>
      </c>
      <c r="W554" s="113">
        <f>'Data_in-situ'!DR327</f>
        <v>0.2</v>
      </c>
      <c r="X554" s="113">
        <f>'Data_in-situ'!DS327</f>
        <v>0.747443258926202</v>
      </c>
      <c r="Y554" s="46">
        <f>'Data_in-situ'!DT327</f>
        <v>15</v>
      </c>
      <c r="AF554" s="113">
        <f>'Data_in-situ'!EN308</f>
        <v>-48.7</v>
      </c>
      <c r="AG554" s="113">
        <f>'Data_in-situ'!EO308</f>
        <v>19.845074619187987</v>
      </c>
      <c r="AH554" s="110">
        <f>'Data_in-situ'!EP308</f>
        <v>1</v>
      </c>
      <c r="AI554" s="113">
        <f>'Data_in-situ'!ER308</f>
        <v>-77.599999999999994</v>
      </c>
      <c r="AJ554" s="113">
        <f>'Data_in-situ'!ES308</f>
        <v>17.600770552313467</v>
      </c>
      <c r="AK554" s="110">
        <f>'Data_in-situ'!ET308</f>
        <v>1</v>
      </c>
    </row>
    <row r="555" spans="20:37" x14ac:dyDescent="0.3">
      <c r="T555" s="113">
        <f>'Data_in-situ'!DN328</f>
        <v>180.3</v>
      </c>
      <c r="U555" s="113">
        <f>'Data_in-situ'!DO328</f>
        <v>201.0127358355345</v>
      </c>
      <c r="V555" s="46">
        <f>'Data_in-situ'!DP328</f>
        <v>18</v>
      </c>
      <c r="W555" s="113">
        <f>'Data_in-situ'!DR328</f>
        <v>0.2</v>
      </c>
      <c r="X555" s="113">
        <f>'Data_in-situ'!DS328</f>
        <v>0.747443258926202</v>
      </c>
      <c r="Y555" s="46">
        <f>'Data_in-situ'!DT328</f>
        <v>18</v>
      </c>
      <c r="AF555" s="113">
        <f>'Data_in-situ'!EN309</f>
        <v>-48.7</v>
      </c>
      <c r="AG555" s="113">
        <f>'Data_in-situ'!EO309</f>
        <v>19.845074619187987</v>
      </c>
      <c r="AH555" s="110">
        <f>'Data_in-situ'!EP309</f>
        <v>1</v>
      </c>
      <c r="AI555" s="113">
        <f>'Data_in-situ'!ER309</f>
        <v>-119.3</v>
      </c>
      <c r="AJ555" s="113">
        <f>'Data_in-situ'!ES309</f>
        <v>27.058916583646866</v>
      </c>
      <c r="AK555" s="110">
        <f>'Data_in-situ'!ET309</f>
        <v>1</v>
      </c>
    </row>
    <row r="556" spans="20:37" x14ac:dyDescent="0.3">
      <c r="T556" s="113">
        <f>'Data_in-situ'!DN329</f>
        <v>22.6</v>
      </c>
      <c r="U556" s="113">
        <f>'Data_in-situ'!DO329</f>
        <v>25.196271935014309</v>
      </c>
      <c r="V556" s="46">
        <f>'Data_in-situ'!DP329</f>
        <v>15</v>
      </c>
      <c r="W556" s="113">
        <f>'Data_in-situ'!DR329</f>
        <v>0.03</v>
      </c>
      <c r="X556" s="113">
        <f>'Data_in-situ'!DS329</f>
        <v>0.11211648883893029</v>
      </c>
      <c r="Y556" s="46">
        <f>'Data_in-situ'!DT329</f>
        <v>15</v>
      </c>
      <c r="AF556" s="113">
        <f>'Data_in-situ'!EN310</f>
        <v>-48.7</v>
      </c>
      <c r="AG556" s="113">
        <f>'Data_in-situ'!EO310</f>
        <v>19.845074619187987</v>
      </c>
      <c r="AH556" s="110">
        <f>'Data_in-situ'!EP310</f>
        <v>1</v>
      </c>
      <c r="AI556" s="113">
        <f>'Data_in-situ'!ER310</f>
        <v>-85.1</v>
      </c>
      <c r="AJ556" s="113">
        <f>'Data_in-situ'!ES310</f>
        <v>19.301875953632422</v>
      </c>
      <c r="AK556" s="110">
        <f>'Data_in-situ'!ET310</f>
        <v>1</v>
      </c>
    </row>
    <row r="557" spans="20:37" x14ac:dyDescent="0.3">
      <c r="T557" s="113">
        <f>'Data_in-situ'!DN330</f>
        <v>23.9</v>
      </c>
      <c r="U557" s="113">
        <f>'Data_in-situ'!DO330</f>
        <v>26.645615010922207</v>
      </c>
      <c r="V557" s="46">
        <f>'Data_in-situ'!DP330</f>
        <v>10</v>
      </c>
      <c r="W557" s="113">
        <f>'Data_in-situ'!DR330</f>
        <v>8.6999999999999993</v>
      </c>
      <c r="X557" s="113">
        <f>'Data_in-situ'!DS330</f>
        <v>32.513781763289785</v>
      </c>
      <c r="Y557" s="46">
        <f>'Data_in-situ'!DT330</f>
        <v>15</v>
      </c>
      <c r="AF557" s="113">
        <f>'Data_in-situ'!EN311</f>
        <v>-48.7</v>
      </c>
      <c r="AG557" s="113">
        <f>'Data_in-situ'!EO311</f>
        <v>19.845074619187987</v>
      </c>
      <c r="AH557" s="110">
        <f>'Data_in-situ'!EP311</f>
        <v>1</v>
      </c>
      <c r="AI557" s="113">
        <f>'Data_in-situ'!ER311</f>
        <v>-90</v>
      </c>
      <c r="AJ557" s="113">
        <f>'Data_in-situ'!ES311</f>
        <v>20.413264815827475</v>
      </c>
      <c r="AK557" s="110">
        <f>'Data_in-situ'!ET311</f>
        <v>1</v>
      </c>
    </row>
    <row r="558" spans="20:37" x14ac:dyDescent="0.3">
      <c r="T558" s="113">
        <f>'Data_in-situ'!DN354</f>
        <v>129.83859113829968</v>
      </c>
      <c r="U558" s="113">
        <f>'Data_in-situ'!DO354</f>
        <v>144.75435619379368</v>
      </c>
      <c r="V558" s="46">
        <f>'Data_in-situ'!DP354</f>
        <v>3</v>
      </c>
      <c r="W558" s="113">
        <f>'Data_in-situ'!DR354</f>
        <v>3.2289849407087479</v>
      </c>
      <c r="X558" s="113">
        <f>'Data_in-situ'!DS354</f>
        <v>12.067415135534878</v>
      </c>
      <c r="Y558" s="46">
        <f>'Data_in-situ'!DT354</f>
        <v>3</v>
      </c>
      <c r="AF558" s="113">
        <f>'Data_in-situ'!EN312</f>
        <v>-48.7</v>
      </c>
      <c r="AG558" s="113">
        <f>'Data_in-situ'!EO312</f>
        <v>19.845074619187987</v>
      </c>
      <c r="AH558" s="110">
        <f>'Data_in-situ'!EP312</f>
        <v>1</v>
      </c>
      <c r="AI558" s="113">
        <f>'Data_in-situ'!ER312</f>
        <v>-77.599999999999994</v>
      </c>
      <c r="AJ558" s="113">
        <f>'Data_in-situ'!ES312</f>
        <v>17.600770552313467</v>
      </c>
      <c r="AK558" s="110">
        <f>'Data_in-situ'!ET312</f>
        <v>1</v>
      </c>
    </row>
    <row r="559" spans="20:37" x14ac:dyDescent="0.3">
      <c r="T559" s="113">
        <f>'Data_in-situ'!DN355</f>
        <v>104.97588219692315</v>
      </c>
      <c r="U559" s="113">
        <f>'Data_in-situ'!DO355</f>
        <v>117.03543692264172</v>
      </c>
      <c r="V559" s="46">
        <f>'Data_in-situ'!DP355</f>
        <v>3</v>
      </c>
      <c r="W559" s="113">
        <f>'Data_in-situ'!DR355</f>
        <v>16.732012874581695</v>
      </c>
      <c r="X559" s="113">
        <f>'Data_in-situ'!DS355</f>
        <v>62.531151156862556</v>
      </c>
      <c r="Y559" s="46">
        <f>'Data_in-situ'!DT355</f>
        <v>3</v>
      </c>
      <c r="AF559" s="113">
        <f>'Data_in-situ'!EN313</f>
        <v>-48.7</v>
      </c>
      <c r="AG559" s="113">
        <f>'Data_in-situ'!EO313</f>
        <v>19.845074619187987</v>
      </c>
      <c r="AH559" s="110">
        <f>'Data_in-situ'!EP313</f>
        <v>1</v>
      </c>
      <c r="AI559" s="113">
        <f>'Data_in-situ'!ER313</f>
        <v>-119.3</v>
      </c>
      <c r="AJ559" s="113">
        <f>'Data_in-situ'!ES313</f>
        <v>27.058916583646866</v>
      </c>
      <c r="AK559" s="110">
        <f>'Data_in-situ'!ET313</f>
        <v>1</v>
      </c>
    </row>
    <row r="560" spans="20:37" x14ac:dyDescent="0.3">
      <c r="T560" s="113">
        <f>'Data_in-situ'!DN356</f>
        <v>104.97588219692315</v>
      </c>
      <c r="U560" s="113">
        <f>'Data_in-situ'!DO356</f>
        <v>117.03543692264172</v>
      </c>
      <c r="V560" s="46">
        <f>'Data_in-situ'!DP356</f>
        <v>3</v>
      </c>
      <c r="W560" s="113">
        <f>'Data_in-situ'!DR356</f>
        <v>0</v>
      </c>
      <c r="X560" s="113">
        <f>'Data_in-situ'!DS356</f>
        <v>0</v>
      </c>
      <c r="Y560" s="46">
        <f>'Data_in-situ'!DT356</f>
        <v>3</v>
      </c>
      <c r="AF560" s="113">
        <f>'Data_in-situ'!EN314</f>
        <v>-48.7</v>
      </c>
      <c r="AG560" s="113">
        <f>'Data_in-situ'!EO314</f>
        <v>19.845074619187987</v>
      </c>
      <c r="AH560" s="110">
        <f>'Data_in-situ'!EP314</f>
        <v>1</v>
      </c>
      <c r="AI560" s="113">
        <f>'Data_in-situ'!ER314</f>
        <v>-85.1</v>
      </c>
      <c r="AJ560" s="113">
        <f>'Data_in-situ'!ES314</f>
        <v>19.301875953632422</v>
      </c>
      <c r="AK560" s="110">
        <f>'Data_in-situ'!ET314</f>
        <v>1</v>
      </c>
    </row>
    <row r="561" spans="20:37" x14ac:dyDescent="0.3">
      <c r="T561" s="113">
        <f>'Data_in-situ'!DN357</f>
        <v>113.26345184404866</v>
      </c>
      <c r="U561" s="113">
        <f>'Data_in-situ'!DO357</f>
        <v>126.27507667969238</v>
      </c>
      <c r="V561" s="46">
        <f>'Data_in-situ'!DP357</f>
        <v>3</v>
      </c>
      <c r="W561" s="113">
        <f>'Data_in-situ'!DR357</f>
        <v>5.2837935393415876</v>
      </c>
      <c r="X561" s="113">
        <f>'Data_in-situ'!DS357</f>
        <v>19.746679312693438</v>
      </c>
      <c r="Y561" s="46">
        <f>'Data_in-situ'!DT357</f>
        <v>3</v>
      </c>
      <c r="AF561" s="113">
        <f>'Data_in-situ'!EN315</f>
        <v>-48.7</v>
      </c>
      <c r="AG561" s="113">
        <f>'Data_in-situ'!EO315</f>
        <v>19.845074619187987</v>
      </c>
      <c r="AH561" s="110">
        <f>'Data_in-situ'!EP315</f>
        <v>1</v>
      </c>
      <c r="AI561" s="113">
        <f>'Data_in-situ'!ER315</f>
        <v>-90</v>
      </c>
      <c r="AJ561" s="113">
        <f>'Data_in-situ'!ES315</f>
        <v>20.413264815827475</v>
      </c>
      <c r="AK561" s="110">
        <f>'Data_in-situ'!ET315</f>
        <v>1</v>
      </c>
    </row>
    <row r="562" spans="20:37" x14ac:dyDescent="0.3">
      <c r="T562" s="113">
        <f>'Data_in-situ'!DN358</f>
        <v>109.11966702048591</v>
      </c>
      <c r="U562" s="113">
        <f>'Data_in-situ'!DO358</f>
        <v>121.65525680116704</v>
      </c>
      <c r="V562" s="46">
        <f>'Data_in-situ'!DP358</f>
        <v>3</v>
      </c>
      <c r="W562" s="113">
        <f>'Data_in-situ'!DR358</f>
        <v>3.5225290262277253</v>
      </c>
      <c r="X562" s="113">
        <f>'Data_in-situ'!DS358</f>
        <v>13.164452875128958</v>
      </c>
      <c r="Y562" s="46">
        <f>'Data_in-situ'!DT358</f>
        <v>3</v>
      </c>
      <c r="AF562" s="113">
        <f>'Data_in-situ'!EN316</f>
        <v>-7.2</v>
      </c>
      <c r="AG562" s="113">
        <f>'Data_in-situ'!EO316</f>
        <v>5.7</v>
      </c>
      <c r="AH562" s="110">
        <f>'Data_in-situ'!EP316</f>
        <v>18</v>
      </c>
      <c r="AI562" s="113">
        <f>'Data_in-situ'!ER316</f>
        <v>-22.1</v>
      </c>
      <c r="AJ562" s="113">
        <f>'Data_in-situ'!ES316</f>
        <v>8.6</v>
      </c>
      <c r="AK562" s="110">
        <f>'Data_in-situ'!ET316</f>
        <v>18</v>
      </c>
    </row>
    <row r="563" spans="20:37" x14ac:dyDescent="0.3">
      <c r="T563" s="113">
        <f>'Data_in-situ'!DN359</f>
        <v>109.11966702048591</v>
      </c>
      <c r="U563" s="113">
        <f>'Data_in-situ'!DO359</f>
        <v>121.65525680116704</v>
      </c>
      <c r="V563" s="46">
        <f>'Data_in-situ'!DP359</f>
        <v>3</v>
      </c>
      <c r="W563" s="113">
        <f>'Data_in-situ'!DR359</f>
        <v>0.88063225655693134</v>
      </c>
      <c r="X563" s="113">
        <f>'Data_in-situ'!DS359</f>
        <v>3.2911132187822396</v>
      </c>
      <c r="Y563" s="46">
        <f>'Data_in-situ'!DT359</f>
        <v>3</v>
      </c>
      <c r="AF563" s="113">
        <f>'Data_in-situ'!EN317</f>
        <v>-18.7</v>
      </c>
      <c r="AG563" s="113">
        <f>'Data_in-situ'!EO317</f>
        <v>7.2</v>
      </c>
      <c r="AH563" s="110">
        <f>'Data_in-situ'!EP317</f>
        <v>15</v>
      </c>
      <c r="AI563" s="113">
        <f>'Data_in-situ'!ER317</f>
        <v>-34.5</v>
      </c>
      <c r="AJ563" s="113">
        <f>'Data_in-situ'!ES317</f>
        <v>9.3000000000000007</v>
      </c>
      <c r="AK563" s="110">
        <f>'Data_in-situ'!ET317</f>
        <v>15</v>
      </c>
    </row>
    <row r="564" spans="20:37" x14ac:dyDescent="0.3">
      <c r="T564" s="113">
        <f>'Data_in-situ'!DN361</f>
        <v>193.62208240634681</v>
      </c>
      <c r="U564" s="113">
        <f>'Data_in-situ'!DO361</f>
        <v>614.14718799845184</v>
      </c>
      <c r="V564" s="46">
        <f>'Data_in-situ'!DP361</f>
        <v>8</v>
      </c>
      <c r="W564" s="113">
        <f>'Data_in-situ'!DR361</f>
        <v>-17.39938687312296</v>
      </c>
      <c r="X564" s="113">
        <f>'Data_in-situ'!DS361</f>
        <v>20.727267101856409</v>
      </c>
      <c r="Y564" s="46">
        <f>'Data_in-situ'!DT361</f>
        <v>8</v>
      </c>
      <c r="AF564" s="113">
        <f>'Data_in-situ'!EN318</f>
        <v>-10.3</v>
      </c>
      <c r="AG564" s="113">
        <f>'Data_in-situ'!EO318</f>
        <v>8</v>
      </c>
      <c r="AH564" s="110">
        <f>'Data_in-situ'!EP318</f>
        <v>18</v>
      </c>
      <c r="AI564" s="113">
        <f>'Data_in-situ'!ER318</f>
        <v>-20.6</v>
      </c>
      <c r="AJ564" s="113">
        <f>'Data_in-situ'!ES318</f>
        <v>9.6999999999999993</v>
      </c>
      <c r="AK564" s="110">
        <f>'Data_in-situ'!ET318</f>
        <v>18</v>
      </c>
    </row>
    <row r="565" spans="20:37" x14ac:dyDescent="0.3">
      <c r="T565" s="113">
        <f>'Data_in-situ'!DN362</f>
        <v>13.000958989688872</v>
      </c>
      <c r="U565" s="113">
        <f>'Data_in-situ'!DO362</f>
        <v>49.021154863031335</v>
      </c>
      <c r="V565" s="46">
        <f>'Data_in-situ'!DP362</f>
        <v>8</v>
      </c>
      <c r="W565" s="113">
        <f>'Data_in-situ'!DR362</f>
        <v>-4.3235288751980265</v>
      </c>
      <c r="X565" s="113">
        <f>'Data_in-situ'!DS362</f>
        <v>9.6228681188427743</v>
      </c>
      <c r="Y565" s="46">
        <f>'Data_in-situ'!DT362</f>
        <v>8</v>
      </c>
      <c r="AF565" s="113">
        <f>'Data_in-situ'!EN319</f>
        <v>-27.8</v>
      </c>
      <c r="AG565" s="113">
        <f>'Data_in-situ'!EO319</f>
        <v>9.3000000000000007</v>
      </c>
      <c r="AH565" s="110">
        <f>'Data_in-situ'!EP319</f>
        <v>12</v>
      </c>
      <c r="AI565" s="113">
        <f>'Data_in-situ'!ER319</f>
        <v>-31.9</v>
      </c>
      <c r="AJ565" s="113">
        <f>'Data_in-situ'!ES319</f>
        <v>7.5</v>
      </c>
      <c r="AK565" s="110">
        <f>'Data_in-situ'!ET319</f>
        <v>12</v>
      </c>
    </row>
    <row r="566" spans="20:37" x14ac:dyDescent="0.3">
      <c r="T566" s="113">
        <f>'Data_in-situ'!DN363</f>
        <v>92.536237514844473</v>
      </c>
      <c r="U566" s="113">
        <f>'Data_in-situ'!DO363</f>
        <v>343.16618940866766</v>
      </c>
      <c r="V566" s="46">
        <f>'Data_in-situ'!DP363</f>
        <v>8</v>
      </c>
      <c r="W566" s="113">
        <f>'Data_in-situ'!DR363</f>
        <v>-4.3235288751980265</v>
      </c>
      <c r="X566" s="113">
        <f>'Data_in-situ'!DS363</f>
        <v>4.2368888087214085</v>
      </c>
      <c r="Y566" s="46">
        <f>'Data_in-situ'!DT363</f>
        <v>8</v>
      </c>
      <c r="AF566" s="113">
        <f>'Data_in-situ'!EN320</f>
        <v>-7.1</v>
      </c>
      <c r="AG566" s="113">
        <f>'Data_in-situ'!EO320</f>
        <v>4.7</v>
      </c>
      <c r="AH566" s="110">
        <f>'Data_in-situ'!EP320</f>
        <v>17</v>
      </c>
      <c r="AI566" s="113">
        <f>'Data_in-situ'!ER320</f>
        <v>-11.8</v>
      </c>
      <c r="AJ566" s="113">
        <f>'Data_in-situ'!ES320</f>
        <v>6.6</v>
      </c>
      <c r="AK566" s="110">
        <f>'Data_in-situ'!ET320</f>
        <v>18</v>
      </c>
    </row>
    <row r="567" spans="20:37" x14ac:dyDescent="0.3">
      <c r="T567" s="113">
        <f>'Data_in-situ'!DN388</f>
        <v>42</v>
      </c>
      <c r="U567" s="113">
        <f>'Data_in-situ'!DO388</f>
        <v>46.824930144716852</v>
      </c>
      <c r="V567" s="46">
        <f>'Data_in-situ'!DP388</f>
        <v>3</v>
      </c>
      <c r="W567" s="113">
        <f>'Data_in-situ'!DR388</f>
        <v>2</v>
      </c>
      <c r="X567" s="113">
        <f>'Data_in-situ'!DS388</f>
        <v>7.4744325892620198</v>
      </c>
      <c r="Y567" s="46">
        <f>'Data_in-situ'!DT388</f>
        <v>3</v>
      </c>
      <c r="AF567" s="113">
        <f>'Data_in-situ'!EN321</f>
        <v>-16.600000000000001</v>
      </c>
      <c r="AG567" s="113">
        <f>'Data_in-situ'!EO321</f>
        <v>8.1999999999999993</v>
      </c>
      <c r="AH567" s="110">
        <f>'Data_in-situ'!EP321</f>
        <v>15</v>
      </c>
      <c r="AI567" s="113">
        <f>'Data_in-situ'!ER321</f>
        <v>-17.100000000000001</v>
      </c>
      <c r="AJ567" s="113">
        <f>'Data_in-situ'!ES321</f>
        <v>11.3</v>
      </c>
      <c r="AK567" s="110">
        <f>'Data_in-situ'!ET321</f>
        <v>15</v>
      </c>
    </row>
    <row r="568" spans="20:37" x14ac:dyDescent="0.3">
      <c r="T568" s="113">
        <f>'Data_in-situ'!DN389</f>
        <v>68</v>
      </c>
      <c r="U568" s="113">
        <f>'Data_in-situ'!DO389</f>
        <v>56.982751846655269</v>
      </c>
      <c r="V568" s="46">
        <f>'Data_in-situ'!DP389</f>
        <v>4</v>
      </c>
      <c r="W568" s="113">
        <f>'Data_in-situ'!DR389</f>
        <v>15.999999999999998</v>
      </c>
      <c r="X568" s="113">
        <f>'Data_in-situ'!DS389</f>
        <v>88.274002438097213</v>
      </c>
      <c r="Y568" s="46">
        <f>'Data_in-situ'!DT389</f>
        <v>4</v>
      </c>
      <c r="AF568" s="113">
        <f>'Data_in-situ'!EN322</f>
        <v>-12.6</v>
      </c>
      <c r="AG568" s="113">
        <f>'Data_in-situ'!EO322</f>
        <v>7.6</v>
      </c>
      <c r="AH568" s="110">
        <f>'Data_in-situ'!EP322</f>
        <v>18</v>
      </c>
      <c r="AI568" s="113">
        <f>'Data_in-situ'!ER322</f>
        <v>-18</v>
      </c>
      <c r="AJ568" s="113">
        <f>'Data_in-situ'!ES322</f>
        <v>8.5</v>
      </c>
      <c r="AK568" s="110">
        <f>'Data_in-situ'!ET322</f>
        <v>18</v>
      </c>
    </row>
    <row r="569" spans="20:37" x14ac:dyDescent="0.3">
      <c r="T569" s="113">
        <f>'Data_in-situ'!DN390</f>
        <v>67.999999999999986</v>
      </c>
      <c r="U569" s="113">
        <f>'Data_in-situ'!DO390</f>
        <v>56.982751846655255</v>
      </c>
      <c r="V569" s="46">
        <f>'Data_in-situ'!DP390</f>
        <v>4</v>
      </c>
      <c r="W569" s="113">
        <f>'Data_in-situ'!DR390</f>
        <v>40</v>
      </c>
      <c r="X569" s="113">
        <f>'Data_in-situ'!DS390</f>
        <v>220.68500609524307</v>
      </c>
      <c r="Y569" s="46">
        <f>'Data_in-situ'!DT390</f>
        <v>4</v>
      </c>
      <c r="AF569" s="113">
        <f>'Data_in-situ'!EN323</f>
        <v>-26.2</v>
      </c>
      <c r="AG569" s="113">
        <f>'Data_in-situ'!EO323</f>
        <v>12.1</v>
      </c>
      <c r="AH569" s="110">
        <f>'Data_in-situ'!EP323</f>
        <v>29</v>
      </c>
      <c r="AI569" s="113">
        <f>'Data_in-situ'!ER323</f>
        <v>-30</v>
      </c>
      <c r="AJ569" s="113">
        <f>'Data_in-situ'!ES323</f>
        <v>11.2</v>
      </c>
      <c r="AK569" s="110">
        <f>'Data_in-situ'!ET323</f>
        <v>33</v>
      </c>
    </row>
    <row r="570" spans="20:37" x14ac:dyDescent="0.3">
      <c r="T570" s="113">
        <f>'Data_in-situ'!DN391</f>
        <v>441.33333333333337</v>
      </c>
      <c r="U570" s="113">
        <f>'Data_in-situ'!DO391</f>
        <v>369.82923257339007</v>
      </c>
      <c r="V570" s="46">
        <f>'Data_in-situ'!DP391</f>
        <v>4</v>
      </c>
      <c r="W570" s="113">
        <f>'Data_in-situ'!DR391</f>
        <v>0</v>
      </c>
      <c r="X570" s="113">
        <f>'Data_in-situ'!DS391</f>
        <v>0</v>
      </c>
      <c r="Y570" s="46">
        <f>'Data_in-situ'!DT391</f>
        <v>4</v>
      </c>
      <c r="AF570" s="113">
        <f>'Data_in-situ'!EN324</f>
        <v>-17.100000000000001</v>
      </c>
      <c r="AG570" s="113">
        <f>'Data_in-situ'!EO324</f>
        <v>5.2</v>
      </c>
      <c r="AH570" s="110">
        <f>'Data_in-situ'!EP324</f>
        <v>18</v>
      </c>
      <c r="AI570" s="113">
        <f>'Data_in-situ'!ER324</f>
        <v>-28.9</v>
      </c>
      <c r="AJ570" s="113">
        <f>'Data_in-situ'!ES324</f>
        <v>7.5</v>
      </c>
      <c r="AK570" s="110">
        <f>'Data_in-situ'!ET324</f>
        <v>18</v>
      </c>
    </row>
    <row r="571" spans="20:37" x14ac:dyDescent="0.3">
      <c r="T571" s="113">
        <f>'Data_in-situ'!DN392</f>
        <v>12.847999999999999</v>
      </c>
      <c r="U571" s="113">
        <f>'Data_in-situ'!DO392</f>
        <v>8.1760000000000002</v>
      </c>
      <c r="V571" s="46">
        <f>'Data_in-situ'!DP392</f>
        <v>2</v>
      </c>
      <c r="W571" s="113">
        <f>'Data_in-situ'!DR392</f>
        <v>-3.5040000000000004</v>
      </c>
      <c r="X571" s="113">
        <f>'Data_in-situ'!DS392</f>
        <v>1.1680000000000001</v>
      </c>
      <c r="Y571" s="46">
        <f>'Data_in-situ'!DT392</f>
        <v>2</v>
      </c>
      <c r="AF571" s="113">
        <f>'Data_in-situ'!EN325</f>
        <v>-38.9</v>
      </c>
      <c r="AG571" s="113">
        <f>'Data_in-situ'!EO325</f>
        <v>9.4</v>
      </c>
      <c r="AH571" s="110">
        <f>'Data_in-situ'!EP325</f>
        <v>12</v>
      </c>
      <c r="AI571" s="113">
        <f>'Data_in-situ'!ER325</f>
        <v>-44.7</v>
      </c>
      <c r="AJ571" s="113">
        <f>'Data_in-situ'!ES325</f>
        <v>8.9</v>
      </c>
      <c r="AK571" s="110">
        <f>'Data_in-situ'!ET325</f>
        <v>12</v>
      </c>
    </row>
    <row r="572" spans="20:37" x14ac:dyDescent="0.3">
      <c r="T572" s="113">
        <f>'Data_in-situ'!DN414</f>
        <v>434.70588235294116</v>
      </c>
      <c r="U572" s="113">
        <f>'Data_in-situ'!DO414</f>
        <v>437.34858971687066</v>
      </c>
      <c r="V572" s="46">
        <f>'Data_in-situ'!DP414</f>
        <v>5</v>
      </c>
      <c r="W572" s="113">
        <f>'Data_in-situ'!DR414</f>
        <v>15.294117647058824</v>
      </c>
      <c r="X572" s="113">
        <f>'Data_in-situ'!DS414</f>
        <v>15.126342200733873</v>
      </c>
      <c r="Y572" s="46">
        <f>'Data_in-situ'!DT414</f>
        <v>5</v>
      </c>
      <c r="AF572" s="113">
        <f>'Data_in-situ'!EN326</f>
        <v>-2.5</v>
      </c>
      <c r="AG572" s="113">
        <f>'Data_in-situ'!EO326</f>
        <v>2.2999999999999998</v>
      </c>
      <c r="AH572" s="110">
        <f>'Data_in-situ'!EP326</f>
        <v>18</v>
      </c>
      <c r="AI572" s="113">
        <f>'Data_in-situ'!ER326</f>
        <v>-30.1</v>
      </c>
      <c r="AJ572" s="113">
        <f>'Data_in-situ'!ES326</f>
        <v>13.9</v>
      </c>
      <c r="AK572" s="110">
        <f>'Data_in-situ'!ET326</f>
        <v>18</v>
      </c>
    </row>
    <row r="573" spans="20:37" x14ac:dyDescent="0.3">
      <c r="T573" s="113">
        <f>'Data_in-situ'!DN416</f>
        <v>102.39147844674257</v>
      </c>
      <c r="U573" s="113">
        <f>'Data_in-situ'!DO416</f>
        <v>25.149528090905832</v>
      </c>
      <c r="V573" s="46">
        <f>'Data_in-situ'!DP416</f>
        <v>5</v>
      </c>
      <c r="W573" s="113">
        <f>'Data_in-situ'!DR416</f>
        <v>6.6536659384301489</v>
      </c>
      <c r="X573" s="113">
        <f>'Data_in-situ'!DS416</f>
        <v>9.0885183749652523</v>
      </c>
      <c r="Y573" s="46">
        <f>'Data_in-situ'!DT416</f>
        <v>5</v>
      </c>
      <c r="AF573" s="113">
        <f>'Data_in-situ'!EN327</f>
        <v>-5.9</v>
      </c>
      <c r="AG573" s="113">
        <f>'Data_in-situ'!EO327</f>
        <v>4.8</v>
      </c>
      <c r="AH573" s="110">
        <f>'Data_in-situ'!EP327</f>
        <v>12</v>
      </c>
      <c r="AI573" s="113">
        <f>'Data_in-situ'!ER327</f>
        <v>-39.700000000000003</v>
      </c>
      <c r="AJ573" s="113">
        <f>'Data_in-situ'!ES327</f>
        <v>17.8</v>
      </c>
      <c r="AK573" s="110">
        <f>'Data_in-situ'!ET327</f>
        <v>15</v>
      </c>
    </row>
    <row r="574" spans="20:37" x14ac:dyDescent="0.3">
      <c r="T574" s="113">
        <f>'Data_in-situ'!DN417</f>
        <v>970.38416592642932</v>
      </c>
      <c r="U574" s="113">
        <f>'Data_in-situ'!DO417</f>
        <v>1081.8612091201044</v>
      </c>
      <c r="V574" s="46">
        <f>'Data_in-situ'!DP417</f>
        <v>5</v>
      </c>
      <c r="W574" s="113">
        <f>'Data_in-situ'!DR417</f>
        <v>2.3483526841518167</v>
      </c>
      <c r="X574" s="113">
        <f>'Data_in-situ'!DS417</f>
        <v>4.0730546894946382</v>
      </c>
      <c r="Y574" s="46">
        <f>'Data_in-situ'!DT417</f>
        <v>6</v>
      </c>
      <c r="AF574" s="113">
        <f>'Data_in-situ'!EN328</f>
        <v>-8.3000000000000007</v>
      </c>
      <c r="AG574" s="113">
        <f>'Data_in-situ'!EO328</f>
        <v>7.5</v>
      </c>
      <c r="AH574" s="110">
        <f>'Data_in-situ'!EP328</f>
        <v>18</v>
      </c>
      <c r="AI574" s="113">
        <f>'Data_in-situ'!ER328</f>
        <v>-32</v>
      </c>
      <c r="AJ574" s="113">
        <f>'Data_in-situ'!ES328</f>
        <v>17.2</v>
      </c>
      <c r="AK574" s="110">
        <f>'Data_in-situ'!ET328</f>
        <v>18</v>
      </c>
    </row>
    <row r="575" spans="20:37" x14ac:dyDescent="0.3">
      <c r="T575" s="113">
        <f>'Data_in-situ'!DN420</f>
        <v>132.85</v>
      </c>
      <c r="U575" s="113">
        <f>'Data_in-situ'!DO420</f>
        <v>167.40306896828386</v>
      </c>
      <c r="V575" s="46">
        <f>'Data_in-situ'!DP420</f>
        <v>3</v>
      </c>
      <c r="W575" s="113">
        <f>'Data_in-situ'!DR420</f>
        <v>10.199999999999999</v>
      </c>
      <c r="X575" s="113">
        <f>'Data_in-situ'!DS420</f>
        <v>15.571341196784134</v>
      </c>
      <c r="Y575" s="46">
        <f>'Data_in-situ'!DT420</f>
        <v>3</v>
      </c>
      <c r="AF575" s="113">
        <f>'Data_in-situ'!EN329</f>
        <v>-32.799999999999997</v>
      </c>
      <c r="AG575" s="113">
        <f>'Data_in-situ'!EO329</f>
        <v>14.8</v>
      </c>
      <c r="AH575" s="110">
        <f>'Data_in-situ'!EP329</f>
        <v>15</v>
      </c>
      <c r="AI575" s="113">
        <f>'Data_in-situ'!ER329</f>
        <v>-48.3</v>
      </c>
      <c r="AJ575" s="113">
        <f>'Data_in-situ'!ES329</f>
        <v>15.3</v>
      </c>
      <c r="AK575" s="110">
        <f>'Data_in-situ'!ET329</f>
        <v>15</v>
      </c>
    </row>
    <row r="576" spans="20:37" x14ac:dyDescent="0.3">
      <c r="T576" s="113">
        <f>'Data_in-situ'!DN421</f>
        <v>136.1</v>
      </c>
      <c r="U576" s="113">
        <f>'Data_in-situ'!DO421</f>
        <v>88.336949611511187</v>
      </c>
      <c r="V576" s="46">
        <f>'Data_in-situ'!DP421</f>
        <v>3</v>
      </c>
      <c r="W576" s="113">
        <f>'Data_in-situ'!DR421</f>
        <v>18.149999999999999</v>
      </c>
      <c r="X576" s="113">
        <f>'Data_in-situ'!DS421</f>
        <v>9.7939181808576166</v>
      </c>
      <c r="Y576" s="46">
        <f>'Data_in-situ'!DT421</f>
        <v>3</v>
      </c>
      <c r="AF576" s="113">
        <f>'Data_in-situ'!EN330</f>
        <v>-27.5</v>
      </c>
      <c r="AG576" s="113">
        <f>'Data_in-situ'!EO330</f>
        <v>13.7</v>
      </c>
      <c r="AH576" s="110">
        <f>'Data_in-situ'!EP330</f>
        <v>10</v>
      </c>
      <c r="AI576" s="113">
        <f>'Data_in-situ'!ER330</f>
        <v>-43.3</v>
      </c>
      <c r="AJ576" s="113">
        <f>'Data_in-situ'!ES330</f>
        <v>10.7</v>
      </c>
      <c r="AK576" s="110">
        <f>'Data_in-situ'!ET330</f>
        <v>15</v>
      </c>
    </row>
    <row r="577" spans="20:37" x14ac:dyDescent="0.3">
      <c r="T577" s="113">
        <f>'Data_in-situ'!DN422</f>
        <v>136.1</v>
      </c>
      <c r="U577" s="113">
        <f>'Data_in-situ'!DO422</f>
        <v>88.336949611511187</v>
      </c>
      <c r="V577" s="46">
        <f>'Data_in-situ'!DP422</f>
        <v>3</v>
      </c>
      <c r="W577" s="113">
        <f>'Data_in-situ'!DR422</f>
        <v>9.9</v>
      </c>
      <c r="X577" s="113">
        <f>'Data_in-situ'!DS422</f>
        <v>15.571341196784134</v>
      </c>
      <c r="Y577" s="46">
        <f>'Data_in-situ'!DT422</f>
        <v>3</v>
      </c>
      <c r="AF577" s="113">
        <f>'Data_in-situ'!EN354</f>
        <v>-2.9</v>
      </c>
      <c r="AG577" s="113">
        <f>'Data_in-situ'!EO354</f>
        <v>2.4</v>
      </c>
      <c r="AH577" s="110">
        <f>'Data_in-situ'!EP354</f>
        <v>3</v>
      </c>
      <c r="AI577" s="113">
        <f>'Data_in-situ'!ER354</f>
        <v>-24.2</v>
      </c>
      <c r="AJ577" s="113">
        <f>'Data_in-situ'!ES354</f>
        <v>10.3</v>
      </c>
      <c r="AK577" s="110">
        <f>'Data_in-situ'!ET354</f>
        <v>2</v>
      </c>
    </row>
    <row r="578" spans="20:37" x14ac:dyDescent="0.3">
      <c r="T578" s="113">
        <f>'Data_in-situ'!DN423</f>
        <v>136.1</v>
      </c>
      <c r="U578" s="113">
        <f>'Data_in-situ'!DO423</f>
        <v>88.336949611511187</v>
      </c>
      <c r="V578" s="46">
        <f>'Data_in-situ'!DP423</f>
        <v>3</v>
      </c>
      <c r="W578" s="113">
        <f>'Data_in-situ'!DR423</f>
        <v>1</v>
      </c>
      <c r="X578" s="113">
        <f>'Data_in-situ'!DS423</f>
        <v>5.0560195147302718</v>
      </c>
      <c r="Y578" s="46">
        <f>'Data_in-situ'!DT423</f>
        <v>3</v>
      </c>
      <c r="AF578" s="113">
        <f>'Data_in-situ'!EN355</f>
        <v>-10.6</v>
      </c>
      <c r="AG578" s="113">
        <f>'Data_in-situ'!EO355</f>
        <v>7.7</v>
      </c>
      <c r="AH578" s="110">
        <f>'Data_in-situ'!EP355</f>
        <v>3</v>
      </c>
      <c r="AI578" s="113">
        <f>'Data_in-situ'!ER355</f>
        <v>-13.2</v>
      </c>
      <c r="AJ578" s="113">
        <f>'Data_in-situ'!ES355</f>
        <v>6.5</v>
      </c>
      <c r="AK578" s="110">
        <f>'Data_in-situ'!ET355</f>
        <v>3</v>
      </c>
    </row>
    <row r="579" spans="20:37" x14ac:dyDescent="0.3">
      <c r="T579" s="113">
        <f>'Data_in-situ'!DN424</f>
        <v>107.675</v>
      </c>
      <c r="U579" s="113">
        <f>'Data_in-situ'!DO424</f>
        <v>94.631879978859843</v>
      </c>
      <c r="V579" s="46">
        <f>'Data_in-situ'!DP424</f>
        <v>3</v>
      </c>
      <c r="W579" s="113">
        <f>'Data_in-situ'!DR424</f>
        <v>39.175000000000004</v>
      </c>
      <c r="X579" s="113">
        <f>'Data_in-situ'!DS424</f>
        <v>27.610222291752745</v>
      </c>
      <c r="Y579" s="46">
        <f>'Data_in-situ'!DT424</f>
        <v>3</v>
      </c>
      <c r="AF579" s="113">
        <f>'Data_in-situ'!EN356</f>
        <v>-10.6</v>
      </c>
      <c r="AG579" s="113">
        <f>'Data_in-situ'!EO356</f>
        <v>7.7</v>
      </c>
      <c r="AH579" s="110">
        <f>'Data_in-situ'!EP356</f>
        <v>3</v>
      </c>
      <c r="AI579" s="113">
        <f>'Data_in-situ'!ER356</f>
        <v>-53.1</v>
      </c>
      <c r="AJ579" s="113">
        <f>'Data_in-situ'!ES356</f>
        <v>10.3</v>
      </c>
      <c r="AK579" s="110">
        <f>'Data_in-situ'!ET356</f>
        <v>1</v>
      </c>
    </row>
    <row r="580" spans="20:37" x14ac:dyDescent="0.3">
      <c r="T580" s="113">
        <f>'Data_in-situ'!DN456</f>
        <v>118.26666666666667</v>
      </c>
      <c r="U580" s="113">
        <f>'Data_in-situ'!DO456</f>
        <v>131.85305726464713</v>
      </c>
      <c r="V580" s="46">
        <f>'Data_in-situ'!DP456</f>
        <v>1</v>
      </c>
      <c r="W580" s="113">
        <f>'Data_in-situ'!DR456</f>
        <v>58</v>
      </c>
      <c r="X580" s="113">
        <f>'Data_in-situ'!DS456</f>
        <v>216.75854508859857</v>
      </c>
      <c r="Y580" s="46">
        <f>'Data_in-situ'!DT456</f>
        <v>1</v>
      </c>
      <c r="AF580" s="113">
        <f>'Data_in-situ'!EN357</f>
        <v>-3.9</v>
      </c>
      <c r="AG580" s="113">
        <f>'Data_in-situ'!EO357</f>
        <v>3.3</v>
      </c>
      <c r="AH580" s="110">
        <f>'Data_in-situ'!EP357</f>
        <v>3</v>
      </c>
      <c r="AI580" s="113">
        <f>'Data_in-situ'!ER357</f>
        <v>-25.6</v>
      </c>
      <c r="AJ580" s="113">
        <f>'Data_in-situ'!ES357</f>
        <v>10.3</v>
      </c>
      <c r="AK580" s="110">
        <f>'Data_in-situ'!ET357</f>
        <v>2</v>
      </c>
    </row>
    <row r="581" spans="20:37" x14ac:dyDescent="0.3">
      <c r="T581" s="113">
        <f>'Data_in-situ'!DN457</f>
        <v>115.06666666666666</v>
      </c>
      <c r="U581" s="113">
        <f>'Data_in-situ'!DO457</f>
        <v>128.28544353933538</v>
      </c>
      <c r="V581" s="46">
        <f>'Data_in-situ'!DP457</f>
        <v>1</v>
      </c>
      <c r="W581" s="113">
        <f>'Data_in-situ'!DR457</f>
        <v>63.333333333333336</v>
      </c>
      <c r="X581" s="113">
        <f>'Data_in-situ'!DS457</f>
        <v>236.69036532663063</v>
      </c>
      <c r="Y581" s="46">
        <f>'Data_in-situ'!DT457</f>
        <v>1</v>
      </c>
      <c r="AF581" s="113">
        <f>'Data_in-situ'!EN358</f>
        <v>-10.199999999999999</v>
      </c>
      <c r="AG581" s="113">
        <f>'Data_in-situ'!EO358</f>
        <v>4.7</v>
      </c>
      <c r="AH581" s="110">
        <f>'Data_in-situ'!EP358</f>
        <v>3</v>
      </c>
      <c r="AI581" s="113">
        <f>'Data_in-situ'!ER358</f>
        <v>-16.899999999999999</v>
      </c>
      <c r="AJ581" s="113">
        <f>'Data_in-situ'!ES358</f>
        <v>10.3</v>
      </c>
      <c r="AK581" s="110">
        <f>'Data_in-situ'!ET358</f>
        <v>3</v>
      </c>
    </row>
    <row r="582" spans="20:37" x14ac:dyDescent="0.3">
      <c r="T582" s="113">
        <f>'Data_in-situ'!DN458</f>
        <v>105.2</v>
      </c>
      <c r="U582" s="113">
        <f>'Data_in-situ'!DO458</f>
        <v>117.28530121962412</v>
      </c>
      <c r="V582" s="46">
        <f>'Data_in-situ'!DP458</f>
        <v>1</v>
      </c>
      <c r="W582" s="113">
        <f>'Data_in-situ'!DR458</f>
        <v>45.466666666666669</v>
      </c>
      <c r="X582" s="113">
        <f>'Data_in-situ'!DS458</f>
        <v>169.91876752922326</v>
      </c>
      <c r="Y582" s="46">
        <f>'Data_in-situ'!DT458</f>
        <v>1</v>
      </c>
      <c r="AF582" s="113">
        <f>'Data_in-situ'!EN359</f>
        <v>-10.199999999999999</v>
      </c>
      <c r="AG582" s="113">
        <f>'Data_in-situ'!EO359</f>
        <v>4.7</v>
      </c>
      <c r="AH582" s="110">
        <f>'Data_in-situ'!EP359</f>
        <v>3</v>
      </c>
      <c r="AI582" s="113">
        <f>'Data_in-situ'!ER359</f>
        <v>-57.1</v>
      </c>
      <c r="AJ582" s="113">
        <f>'Data_in-situ'!ES359</f>
        <v>7.4</v>
      </c>
      <c r="AK582" s="110">
        <f>'Data_in-situ'!ET359</f>
        <v>1</v>
      </c>
    </row>
    <row r="583" spans="20:37" x14ac:dyDescent="0.3">
      <c r="AF583" s="113">
        <f>'Data_in-situ'!EN361</f>
        <v>-22.8355929225071</v>
      </c>
      <c r="AG583" s="113">
        <f>'Data_in-situ'!EO361</f>
        <v>9.3054218792721652</v>
      </c>
      <c r="AH583" s="110">
        <f>'Data_in-situ'!EP361</f>
        <v>8</v>
      </c>
      <c r="AI583" s="113">
        <f>'Data_in-situ'!ER361</f>
        <v>-45.187277814574003</v>
      </c>
      <c r="AJ583" s="113">
        <f>'Data_in-situ'!ES361</f>
        <v>10.249109648169611</v>
      </c>
      <c r="AK583" s="110">
        <f>'Data_in-situ'!ET361</f>
        <v>8</v>
      </c>
    </row>
    <row r="584" spans="20:37" x14ac:dyDescent="0.3">
      <c r="AF584" s="113">
        <f>'Data_in-situ'!EN362</f>
        <v>-45.647936632378602</v>
      </c>
      <c r="AG584" s="113">
        <f>'Data_in-situ'!EO362</f>
        <v>18.60136978812152</v>
      </c>
      <c r="AH584" s="110">
        <f>'Data_in-situ'!EP362</f>
        <v>8</v>
      </c>
      <c r="AI584" s="113">
        <f>'Data_in-situ'!ER362</f>
        <v>-90.991470783038906</v>
      </c>
      <c r="AJ584" s="113">
        <f>'Data_in-situ'!ES362</f>
        <v>20.638144323064466</v>
      </c>
      <c r="AK584" s="110">
        <f>'Data_in-situ'!ET362</f>
        <v>8</v>
      </c>
    </row>
    <row r="585" spans="20:37" x14ac:dyDescent="0.3">
      <c r="AF585" s="113">
        <f>'Data_in-situ'!EN363</f>
        <v>-18.912423460077601</v>
      </c>
      <c r="AG585" s="113">
        <f>'Data_in-situ'!EO363</f>
        <v>7.7067444516410974</v>
      </c>
      <c r="AH585" s="110">
        <f>'Data_in-situ'!EP363</f>
        <v>8</v>
      </c>
      <c r="AI585" s="113">
        <f>'Data_in-situ'!ER363</f>
        <v>-40.3060245198091</v>
      </c>
      <c r="AJ585" s="113">
        <f>'Data_in-situ'!ES363</f>
        <v>9.1419728021788735</v>
      </c>
      <c r="AK585" s="110">
        <f>'Data_in-situ'!ET363</f>
        <v>8</v>
      </c>
    </row>
    <row r="586" spans="20:37" x14ac:dyDescent="0.3">
      <c r="AF586" s="113">
        <f>'Data_in-situ'!EN389</f>
        <v>-16</v>
      </c>
      <c r="AG586" s="113">
        <f>'Data_in-situ'!EO389</f>
        <v>6.5199423800206935</v>
      </c>
      <c r="AH586" s="110">
        <f>'Data_in-situ'!EP389</f>
        <v>4</v>
      </c>
      <c r="AI586" s="113">
        <f>'Data_in-situ'!ER389</f>
        <v>-21</v>
      </c>
      <c r="AJ586" s="113">
        <f>'Data_in-situ'!ES389</f>
        <v>4.7630951236930779</v>
      </c>
      <c r="AK586" s="110">
        <f>'Data_in-situ'!ET389</f>
        <v>4</v>
      </c>
    </row>
    <row r="587" spans="20:37" x14ac:dyDescent="0.3">
      <c r="AF587" s="113">
        <f>'Data_in-situ'!EN390</f>
        <v>-15</v>
      </c>
      <c r="AG587" s="113">
        <f>'Data_in-situ'!EO390</f>
        <v>6.1124459812694001</v>
      </c>
      <c r="AH587" s="110">
        <f>'Data_in-situ'!EP390</f>
        <v>4</v>
      </c>
      <c r="AI587" s="113">
        <f>'Data_in-situ'!ER390</f>
        <v>-20</v>
      </c>
      <c r="AJ587" s="113">
        <f>'Data_in-situ'!ES390</f>
        <v>4.5362810701838834</v>
      </c>
      <c r="AK587" s="110">
        <f>'Data_in-situ'!ET390</f>
        <v>4</v>
      </c>
    </row>
    <row r="588" spans="20:37" x14ac:dyDescent="0.3">
      <c r="AF588" s="113">
        <f>'Data_in-situ'!EN391</f>
        <v>-2</v>
      </c>
      <c r="AG588" s="113">
        <f>'Data_in-situ'!EO391</f>
        <v>0.81499279750258669</v>
      </c>
      <c r="AH588" s="110">
        <f>'Data_in-situ'!EP391</f>
        <v>4</v>
      </c>
      <c r="AI588" s="113">
        <f>'Data_in-situ'!ER391</f>
        <v>-30</v>
      </c>
      <c r="AJ588" s="113">
        <f>'Data_in-situ'!ES391</f>
        <v>6.8044216052758255</v>
      </c>
      <c r="AK588" s="110">
        <f>'Data_in-situ'!ET391</f>
        <v>4</v>
      </c>
    </row>
    <row r="589" spans="20:37" x14ac:dyDescent="0.3">
      <c r="AF589" s="113">
        <f>'Data_in-situ'!EN414</f>
        <v>6</v>
      </c>
      <c r="AG589" s="113">
        <f>'Data_in-situ'!EO414</f>
        <v>22</v>
      </c>
      <c r="AH589" s="110">
        <f>'Data_in-situ'!EP414</f>
        <v>5</v>
      </c>
      <c r="AI589" s="113">
        <f>'Data_in-situ'!ER414</f>
        <v>-14</v>
      </c>
      <c r="AJ589" s="113">
        <f>'Data_in-situ'!ES414</f>
        <v>23</v>
      </c>
      <c r="AK589" s="110">
        <f>'Data_in-situ'!ET414</f>
        <v>5</v>
      </c>
    </row>
    <row r="590" spans="20:37" x14ac:dyDescent="0.3">
      <c r="AF590" s="113">
        <f>'Data_in-situ'!EN416</f>
        <v>-9.4</v>
      </c>
      <c r="AG590" s="113">
        <f>'Data_in-situ'!EO416</f>
        <v>9.3000000000000007</v>
      </c>
      <c r="AH590" s="110">
        <f>'Data_in-situ'!EP416</f>
        <v>5</v>
      </c>
      <c r="AI590" s="113">
        <f>'Data_in-situ'!ER416</f>
        <v>-21.2</v>
      </c>
      <c r="AJ590" s="113">
        <f>'Data_in-situ'!ES416</f>
        <v>14.9</v>
      </c>
      <c r="AK590" s="110">
        <f>'Data_in-situ'!ET416</f>
        <v>5</v>
      </c>
    </row>
    <row r="591" spans="20:37" x14ac:dyDescent="0.3">
      <c r="AF591" s="113">
        <f>'Data_in-situ'!EN417</f>
        <v>-6.5</v>
      </c>
      <c r="AG591" s="113">
        <f>'Data_in-situ'!EO417</f>
        <v>3.5</v>
      </c>
      <c r="AH591" s="110">
        <f>'Data_in-situ'!EP417</f>
        <v>5</v>
      </c>
      <c r="AI591" s="113">
        <f>'Data_in-situ'!ER417</f>
        <v>-30.6</v>
      </c>
      <c r="AJ591" s="113">
        <f>'Data_in-situ'!ES417</f>
        <v>14.8</v>
      </c>
      <c r="AK591" s="110">
        <f>'Data_in-situ'!ET417</f>
        <v>5</v>
      </c>
    </row>
    <row r="592" spans="20:37" x14ac:dyDescent="0.3">
      <c r="AF592" s="113">
        <f>'Data_in-situ'!EN448</f>
        <v>-6</v>
      </c>
      <c r="AG592" s="113">
        <f>'Data_in-situ'!EO448</f>
        <v>-3</v>
      </c>
      <c r="AH592" s="110">
        <f>'Data_in-situ'!EP448</f>
        <v>3</v>
      </c>
      <c r="AI592" s="113">
        <f>'Data_in-situ'!ER448</f>
        <v>-21.8</v>
      </c>
      <c r="AJ592" s="113">
        <f>'Data_in-situ'!ES448</f>
        <v>6.5</v>
      </c>
      <c r="AK592" s="110">
        <f>'Data_in-situ'!ET448</f>
        <v>3</v>
      </c>
    </row>
    <row r="593" spans="1:37" x14ac:dyDescent="0.3">
      <c r="AF593" s="113">
        <f>'Data_in-situ'!EN449</f>
        <v>-7</v>
      </c>
      <c r="AG593" s="113">
        <f>'Data_in-situ'!EO449</f>
        <v>4</v>
      </c>
      <c r="AH593" s="110">
        <f>'Data_in-situ'!EP449</f>
        <v>3</v>
      </c>
      <c r="AI593" s="113">
        <f>'Data_in-situ'!ER449</f>
        <v>-22.6</v>
      </c>
      <c r="AJ593" s="113">
        <f>'Data_in-situ'!ES449</f>
        <v>5.6</v>
      </c>
      <c r="AK593" s="110">
        <f>'Data_in-situ'!ET449</f>
        <v>3</v>
      </c>
    </row>
    <row r="594" spans="1:37" x14ac:dyDescent="0.3">
      <c r="AF594" s="113">
        <f>'Data_in-situ'!EN450</f>
        <v>-22</v>
      </c>
      <c r="AG594" s="113">
        <f>'Data_in-situ'!EO450</f>
        <v>8.964920772528453</v>
      </c>
      <c r="AH594" s="110">
        <f>'Data_in-situ'!EP450</f>
        <v>1</v>
      </c>
      <c r="AI594" s="113">
        <f>'Data_in-situ'!ER450</f>
        <v>-77</v>
      </c>
      <c r="AJ594" s="113">
        <f>'Data_in-situ'!ES450</f>
        <v>17.46468212020795</v>
      </c>
      <c r="AK594" s="110">
        <f>'Data_in-situ'!ET450</f>
        <v>1</v>
      </c>
    </row>
    <row r="595" spans="1:37" x14ac:dyDescent="0.3">
      <c r="AF595" s="113">
        <f>'Data_in-situ'!EN451</f>
        <v>-17</v>
      </c>
      <c r="AG595" s="113">
        <f>'Data_in-situ'!EO451</f>
        <v>6.9274387787719869</v>
      </c>
      <c r="AH595" s="110">
        <f>'Data_in-situ'!EP451</f>
        <v>1</v>
      </c>
      <c r="AI595" s="113">
        <f>'Data_in-situ'!ER451</f>
        <v>-73</v>
      </c>
      <c r="AJ595" s="113">
        <f>'Data_in-situ'!ES451</f>
        <v>16.557425906171176</v>
      </c>
      <c r="AK595" s="110">
        <f>'Data_in-situ'!ET451</f>
        <v>1</v>
      </c>
    </row>
    <row r="596" spans="1:37" x14ac:dyDescent="0.3">
      <c r="AF596" s="113">
        <f>'Data_in-situ'!EN452</f>
        <v>-11</v>
      </c>
      <c r="AG596" s="113">
        <f>'Data_in-situ'!EO452</f>
        <v>4.4824603862642265</v>
      </c>
      <c r="AH596" s="110">
        <f>'Data_in-situ'!EP452</f>
        <v>1</v>
      </c>
      <c r="AI596" s="113">
        <f>'Data_in-situ'!ER452</f>
        <v>-59</v>
      </c>
      <c r="AJ596" s="113">
        <f>'Data_in-situ'!ES452</f>
        <v>13.382029157042457</v>
      </c>
      <c r="AK596" s="110">
        <f>'Data_in-situ'!ET452</f>
        <v>1</v>
      </c>
    </row>
    <row r="597" spans="1:37" x14ac:dyDescent="0.3">
      <c r="AF597" s="113">
        <f>'Data_in-situ'!EN453</f>
        <v>10</v>
      </c>
      <c r="AG597" s="113">
        <f>'Data_in-situ'!EO453</f>
        <v>4.0749639875129331</v>
      </c>
      <c r="AH597" s="110">
        <f>'Data_in-situ'!EP453</f>
        <v>1</v>
      </c>
      <c r="AI597" s="113">
        <f>'Data_in-situ'!ER453</f>
        <v>-45</v>
      </c>
      <c r="AJ597" s="113">
        <f>'Data_in-situ'!ES453</f>
        <v>10.206632407913737</v>
      </c>
      <c r="AK597" s="110">
        <f>'Data_in-situ'!ET453</f>
        <v>1</v>
      </c>
    </row>
    <row r="598" spans="1:37" x14ac:dyDescent="0.3">
      <c r="AF598" s="113">
        <f>'Data_in-situ'!EN456</f>
        <v>-7.6</v>
      </c>
      <c r="AG598" s="113">
        <f>'Data_in-situ'!EO456</f>
        <v>3.0969726305098293</v>
      </c>
      <c r="AH598" s="110">
        <f>'Data_in-situ'!EP456</f>
        <v>1</v>
      </c>
      <c r="AI598" s="113">
        <f>'Data_in-situ'!ER456</f>
        <v>-20.2</v>
      </c>
      <c r="AJ598" s="113">
        <f>'Data_in-situ'!ES456</f>
        <v>4.5816438808857223</v>
      </c>
      <c r="AK598" s="110">
        <f>'Data_in-situ'!ET456</f>
        <v>1</v>
      </c>
    </row>
    <row r="599" spans="1:37" x14ac:dyDescent="0.3">
      <c r="AF599" s="113">
        <f>'Data_in-situ'!EN457</f>
        <v>-2.4</v>
      </c>
      <c r="AG599" s="113">
        <f>'Data_in-situ'!EO457</f>
        <v>0.97799135700310402</v>
      </c>
      <c r="AH599" s="110">
        <f>'Data_in-situ'!EP457</f>
        <v>1</v>
      </c>
      <c r="AI599" s="113">
        <f>'Data_in-situ'!ER457</f>
        <v>-23.2</v>
      </c>
      <c r="AJ599" s="113">
        <f>'Data_in-situ'!ES457</f>
        <v>5.2620860414133048</v>
      </c>
      <c r="AK599" s="110">
        <f>'Data_in-situ'!ET457</f>
        <v>1</v>
      </c>
    </row>
    <row r="600" spans="1:37" x14ac:dyDescent="0.3">
      <c r="AF600" s="113">
        <f>'Data_in-situ'!EN458</f>
        <v>-4.8</v>
      </c>
      <c r="AG600" s="113">
        <f>'Data_in-situ'!EO458</f>
        <v>1.955982714006208</v>
      </c>
      <c r="AH600" s="110">
        <f>'Data_in-situ'!EP458</f>
        <v>1</v>
      </c>
      <c r="AI600" s="113">
        <f>'Data_in-situ'!ER458</f>
        <v>-19</v>
      </c>
      <c r="AJ600" s="113">
        <f>'Data_in-situ'!ES458</f>
        <v>4.3094670166746889</v>
      </c>
      <c r="AK600" s="110">
        <f>'Data_in-situ'!ET458</f>
        <v>1</v>
      </c>
    </row>
    <row r="602" spans="1:37" x14ac:dyDescent="0.3">
      <c r="A602" s="110" t="s">
        <v>831</v>
      </c>
      <c r="B602" s="24">
        <f>AVERAGEA(B416:B600)</f>
        <v>-55463.848716914654</v>
      </c>
      <c r="C602" s="24">
        <f>STDEVA(B416:B600)/SQRT(COUNT(B416:B600))</f>
        <v>10862.491134390457</v>
      </c>
      <c r="D602" s="46">
        <f>COUNT(B416:B600)</f>
        <v>25</v>
      </c>
      <c r="E602" s="24">
        <f>AVERAGEA(E416:E600)</f>
        <v>-59651.062551606279</v>
      </c>
      <c r="F602" s="24">
        <f>STDEVA(E416:E600)/SQRT(COUNT(E416:E600))</f>
        <v>11210.434730172845</v>
      </c>
      <c r="G602" s="46">
        <f>COUNT(E416:E600)</f>
        <v>25</v>
      </c>
      <c r="H602" s="24">
        <f>AVERAGEA(H416:H600)</f>
        <v>55402.383352117671</v>
      </c>
      <c r="I602" s="24">
        <f>STDEVA(H416:H600)/SQRT(COUNT(H416:H600))</f>
        <v>11829.48342662189</v>
      </c>
      <c r="J602" s="46">
        <f>COUNT(H416:H600)</f>
        <v>25</v>
      </c>
      <c r="K602" s="24">
        <f>AVERAGEA(K416:K600)</f>
        <v>62907.732032807806</v>
      </c>
      <c r="L602" s="24">
        <f>STDEVA(K416:K600)/SQRT(COUNT(K416:K600))</f>
        <v>12757.041306111374</v>
      </c>
      <c r="M602" s="46">
        <f>COUNT(K416:K600)</f>
        <v>25</v>
      </c>
      <c r="N602" s="24">
        <f>AVERAGEA(N416:N600)</f>
        <v>-194.69183567042575</v>
      </c>
      <c r="O602" s="24">
        <f>STDEVA(N416:N600)/SQRT(COUNT(N416:N600))</f>
        <v>751.48164306923923</v>
      </c>
      <c r="P602" s="46">
        <f>COUNT(N416:N600)</f>
        <v>47</v>
      </c>
      <c r="Q602" s="24">
        <f>AVERAGEA(Q416:Q600)</f>
        <v>2023.500165365471</v>
      </c>
      <c r="R602" s="24">
        <f>STDEVA(Q416:Q600)/SQRT(COUNT(Q416:Q600))</f>
        <v>1326.7147048204777</v>
      </c>
      <c r="S602" s="46">
        <f>COUNT(Q416:Q600)</f>
        <v>47</v>
      </c>
      <c r="T602" s="113">
        <f>AVERAGEA(T416:T600)</f>
        <v>108.1440209230862</v>
      </c>
      <c r="U602" s="113">
        <f>STDEVA(T416:T600)/SQRT(COUNT(T416:T600))</f>
        <v>13.417267707845724</v>
      </c>
      <c r="V602" s="46">
        <f>COUNT(T416:T600)</f>
        <v>167</v>
      </c>
      <c r="W602" s="113">
        <f>AVERAGEA(W416:W600)</f>
        <v>11.16865114139574</v>
      </c>
      <c r="X602" s="113">
        <f>STDEVA(W416:W600)/SQRT(COUNT(W416:W600))</f>
        <v>2.4503694971269296</v>
      </c>
      <c r="Y602" s="46">
        <f>COUNT(W416:W600)</f>
        <v>167</v>
      </c>
      <c r="Z602" s="113">
        <f>AVERAGEA(Z416:Z600)</f>
        <v>0.56497986914147169</v>
      </c>
      <c r="AA602" s="113">
        <f>STDEVA(Z416:Z600)/SQRT(COUNT(Z416:Z600))</f>
        <v>0.19088701034654493</v>
      </c>
      <c r="AB602" s="46">
        <f>COUNT(Z416:Z600)</f>
        <v>76</v>
      </c>
      <c r="AC602" s="113">
        <f>AVERAGEA(AC416:AC600)</f>
        <v>1.9865710439330553</v>
      </c>
      <c r="AD602" s="113">
        <f>STDEVA(AC416:AC600)/SQRT(COUNT(AC416:AC600))</f>
        <v>0.45970683280694341</v>
      </c>
      <c r="AE602" s="46">
        <f>COUNT(AC416:AC600)</f>
        <v>76</v>
      </c>
      <c r="AF602" s="113">
        <f>AVERAGEA(AF416:AF600)</f>
        <v>-15.664370009541745</v>
      </c>
      <c r="AG602" s="113">
        <f>STDEVA(AF416:AF600)/SQRT(COUNT(AF416:AF600))</f>
        <v>0.919213132367944</v>
      </c>
      <c r="AH602" s="110">
        <f>COUNT(AF416:AF600)</f>
        <v>185</v>
      </c>
      <c r="AI602" s="113">
        <f>AVERAGEA(AI416:AI600)</f>
        <v>-36.503200226319109</v>
      </c>
      <c r="AJ602" s="113">
        <f>STDEVA(AI416:AI600)/SQRT(COUNT(AI416:AI600))</f>
        <v>1.5858024549773557</v>
      </c>
      <c r="AK602" s="110">
        <f>COUNT(AI416:AI600)</f>
        <v>185</v>
      </c>
    </row>
    <row r="604" spans="1:37" ht="15.6" x14ac:dyDescent="0.3">
      <c r="A604" s="12" t="s">
        <v>1039</v>
      </c>
      <c r="B604" s="24">
        <f>'Data_in-situ'!CA432</f>
        <v>-7090</v>
      </c>
      <c r="C604" s="24">
        <f>'Data_in-situ'!CB432</f>
        <v>1524.2047106606119</v>
      </c>
      <c r="D604" s="46">
        <f>'Data_in-situ'!CC432</f>
        <v>3</v>
      </c>
      <c r="E604" s="24">
        <f>'Data_in-situ'!CE432</f>
        <v>-18490</v>
      </c>
      <c r="F604" s="24">
        <f>'Data_in-situ'!CF432</f>
        <v>3689.2682201217081</v>
      </c>
      <c r="G604" s="46">
        <f>'Data_in-situ'!CG432</f>
        <v>3</v>
      </c>
      <c r="H604" s="24">
        <f>'Data_in-situ'!CN432</f>
        <v>7020</v>
      </c>
      <c r="I604" s="24">
        <f>'Data_in-situ'!CO432</f>
        <v>1299.038105676658</v>
      </c>
      <c r="J604" s="46">
        <f>'Data_in-situ'!CP432</f>
        <v>3</v>
      </c>
      <c r="K604" s="24">
        <f>'Data_in-situ'!CR432</f>
        <v>23060</v>
      </c>
      <c r="L604" s="24">
        <f>'Data_in-situ'!CS432</f>
        <v>2424.871130596428</v>
      </c>
      <c r="M604" s="46">
        <f>'Data_in-situ'!CT432</f>
        <v>3</v>
      </c>
      <c r="N604" s="24">
        <f>'Data_in-situ'!DA432</f>
        <v>-80</v>
      </c>
      <c r="O604" s="24">
        <f>'Data_in-situ'!DB432</f>
        <v>2009.1789367798974</v>
      </c>
      <c r="P604" s="46">
        <f>'Data_in-situ'!DC432</f>
        <v>3</v>
      </c>
      <c r="Q604" s="24">
        <f>'Data_in-situ'!DE432</f>
        <v>4580</v>
      </c>
      <c r="R604" s="24">
        <f>'Data_in-situ'!DF432</f>
        <v>4416.7295593006365</v>
      </c>
      <c r="S604" s="46">
        <f>'Data_in-situ'!DG432</f>
        <v>3</v>
      </c>
      <c r="T604" s="113">
        <f>'Data_in-situ'!DN14</f>
        <v>1212.2979432249506</v>
      </c>
      <c r="U604" s="113">
        <f>'Data_in-situ'!DO14</f>
        <v>324.6860048502561</v>
      </c>
      <c r="V604" s="46">
        <f>'Data_in-situ'!DP14</f>
        <v>9</v>
      </c>
      <c r="W604" s="113">
        <f>'Data_in-situ'!DR14</f>
        <v>4.8030530526021593</v>
      </c>
      <c r="X604" s="113">
        <f>'Data_in-situ'!DS14</f>
        <v>10.100613157809143</v>
      </c>
      <c r="Y604" s="46">
        <f>'Data_in-situ'!DT14</f>
        <v>9</v>
      </c>
      <c r="Z604" s="113">
        <f>'Data_in-situ'!EA33</f>
        <v>0.3</v>
      </c>
      <c r="AA604" s="113">
        <f>'Data_in-situ'!EB33</f>
        <v>0.35</v>
      </c>
      <c r="AB604" s="46">
        <f>'Data_in-situ'!EC33</f>
        <v>6</v>
      </c>
      <c r="AC604" s="113">
        <f>'Data_in-situ'!EE33</f>
        <v>3</v>
      </c>
      <c r="AD604" s="113">
        <f>'Data_in-situ'!EF33</f>
        <v>0.95</v>
      </c>
      <c r="AE604" s="46">
        <f>'Data_in-situ'!EG33</f>
        <v>6</v>
      </c>
      <c r="AF604" s="113">
        <f>'Data_in-situ'!EN14</f>
        <v>11.41</v>
      </c>
      <c r="AG604" s="113">
        <f>'Data_in-situ'!EO14</f>
        <v>3.1216542489519883</v>
      </c>
      <c r="AH604" s="110">
        <f>'Data_in-situ'!EP14</f>
        <v>4</v>
      </c>
      <c r="AI604" s="113">
        <f>'Data_in-situ'!ER14</f>
        <v>-91.8</v>
      </c>
      <c r="AJ604" s="113">
        <f>'Data_in-situ'!ES14</f>
        <v>9.6999999999999993</v>
      </c>
      <c r="AK604" s="110">
        <f>'Data_in-situ'!ET14</f>
        <v>4</v>
      </c>
    </row>
    <row r="605" spans="1:37" x14ac:dyDescent="0.3">
      <c r="B605" s="24">
        <f>'Data_in-situ'!CA433</f>
        <v>-6290</v>
      </c>
      <c r="C605" s="24">
        <f>'Data_in-situ'!CB433</f>
        <v>1316.3586137523466</v>
      </c>
      <c r="D605" s="46">
        <f>'Data_in-situ'!CC433</f>
        <v>3</v>
      </c>
      <c r="E605" s="24">
        <f>'Data_in-situ'!CE433</f>
        <v>-19210</v>
      </c>
      <c r="F605" s="24">
        <f>'Data_in-situ'!CF433</f>
        <v>3290.8965343808668</v>
      </c>
      <c r="G605" s="46">
        <f>'Data_in-situ'!CG433</f>
        <v>3</v>
      </c>
      <c r="H605" s="24">
        <f>'Data_in-situ'!CN433</f>
        <v>5020</v>
      </c>
      <c r="I605" s="24">
        <f>'Data_in-situ'!CO433</f>
        <v>917.98692801150492</v>
      </c>
      <c r="J605" s="46">
        <f>'Data_in-situ'!CP433</f>
        <v>3</v>
      </c>
      <c r="K605" s="24">
        <f>'Data_in-situ'!CR433</f>
        <v>24030</v>
      </c>
      <c r="L605" s="24">
        <f>'Data_in-situ'!CS433</f>
        <v>2459.5121467478057</v>
      </c>
      <c r="M605" s="46">
        <f>'Data_in-situ'!CT433</f>
        <v>3</v>
      </c>
      <c r="N605" s="24">
        <f>'Data_in-situ'!DA433</f>
        <v>-1270</v>
      </c>
      <c r="O605" s="24">
        <f>'Data_in-situ'!DB433</f>
        <v>1593.4867429633669</v>
      </c>
      <c r="P605" s="46">
        <f>'Data_in-situ'!DC433</f>
        <v>3</v>
      </c>
      <c r="Q605" s="24">
        <f>'Data_in-situ'!DE433</f>
        <v>4820</v>
      </c>
      <c r="R605" s="24">
        <f>'Data_in-situ'!DF433</f>
        <v>4122.2809220139279</v>
      </c>
      <c r="S605" s="46">
        <f>'Data_in-situ'!DG433</f>
        <v>3</v>
      </c>
      <c r="T605" s="113">
        <f>'Data_in-situ'!DN15</f>
        <v>2106.5008889916066</v>
      </c>
      <c r="U605" s="113">
        <f>'Data_in-situ'!DO15</f>
        <v>550.27007995085796</v>
      </c>
      <c r="V605" s="46">
        <f>'Data_in-situ'!DP15</f>
        <v>12</v>
      </c>
      <c r="W605" s="113">
        <f>'Data_in-situ'!DR15</f>
        <v>-0.36946561943093542</v>
      </c>
      <c r="X605" s="113">
        <f>'Data_in-situ'!DS15</f>
        <v>0.8584618328302922</v>
      </c>
      <c r="Y605" s="46">
        <f>'Data_in-situ'!DT15</f>
        <v>12</v>
      </c>
      <c r="Z605" s="113">
        <f>'Data_in-situ'!EA156</f>
        <v>-0.65249999999999997</v>
      </c>
      <c r="AA605" s="113">
        <f>'Data_in-situ'!EB156</f>
        <v>9.3070564627061342E-2</v>
      </c>
      <c r="AB605" s="46">
        <f>'Data_in-situ'!EC156</f>
        <v>4</v>
      </c>
      <c r="AC605" s="113">
        <f>'Data_in-situ'!EE156</f>
        <v>0.6623</v>
      </c>
      <c r="AD605" s="113">
        <f>'Data_in-situ'!EF156</f>
        <v>6.1265079776329362E-2</v>
      </c>
      <c r="AE605" s="46">
        <f>'Data_in-situ'!EG156</f>
        <v>4</v>
      </c>
      <c r="AF605" s="113">
        <f>'Data_in-situ'!EN15</f>
        <v>5.6550000000000002</v>
      </c>
      <c r="AG605" s="113">
        <f>'Data_in-situ'!EO15</f>
        <v>3.8089383363346805</v>
      </c>
      <c r="AH605" s="110">
        <f>'Data_in-situ'!EP15</f>
        <v>4</v>
      </c>
      <c r="AI605" s="113">
        <f>'Data_in-situ'!ER15</f>
        <v>-105</v>
      </c>
      <c r="AJ605" s="113">
        <f>'Data_in-situ'!ES15</f>
        <v>8.1</v>
      </c>
      <c r="AK605" s="110">
        <f>'Data_in-situ'!ET15</f>
        <v>4</v>
      </c>
    </row>
    <row r="606" spans="1:37" x14ac:dyDescent="0.3">
      <c r="B606" s="24">
        <f>'Data_in-situ'!CA447</f>
        <v>-13830.844197002392</v>
      </c>
      <c r="C606" s="24">
        <f>'Data_in-situ'!CB447</f>
        <v>2274.6676845640554</v>
      </c>
      <c r="D606" s="46">
        <f>'Data_in-situ'!CC447</f>
        <v>3</v>
      </c>
      <c r="E606" s="24">
        <f>'Data_in-situ'!CE447</f>
        <v>-66220.372894871383</v>
      </c>
      <c r="F606" s="24">
        <f>'Data_in-situ'!CF447</f>
        <v>9098.6707382562217</v>
      </c>
      <c r="G606" s="46">
        <f>'Data_in-situ'!CG447</f>
        <v>3</v>
      </c>
      <c r="H606" s="24">
        <f>'Data_in-situ'!CN447</f>
        <v>8766.0655826625862</v>
      </c>
      <c r="I606" s="24">
        <f>'Data_in-situ'!CO447</f>
        <v>227.4667684564055</v>
      </c>
      <c r="J606" s="46">
        <f>'Data_in-situ'!CP447</f>
        <v>3</v>
      </c>
      <c r="K606" s="24">
        <f>'Data_in-situ'!CR447</f>
        <v>41998.127476961054</v>
      </c>
      <c r="L606" s="24">
        <f>'Data_in-situ'!CS447</f>
        <v>6824.003053692164</v>
      </c>
      <c r="M606" s="46">
        <f>'Data_in-situ'!CT447</f>
        <v>3</v>
      </c>
      <c r="N606" s="24">
        <f>'Data_in-situ'!DA447</f>
        <v>-4783.7690721649478</v>
      </c>
      <c r="O606" s="24">
        <f>'Data_in-situ'!DB447</f>
        <v>1766.9819161761379</v>
      </c>
      <c r="P606" s="46">
        <f>'Data_in-situ'!DC447</f>
        <v>3</v>
      </c>
      <c r="Q606" s="24">
        <f>'Data_in-situ'!DE447</f>
        <v>-17986.9717113402</v>
      </c>
      <c r="R606" s="24">
        <f>'Data_in-situ'!DF447</f>
        <v>3327.1138134409139</v>
      </c>
      <c r="S606" s="46">
        <f>'Data_in-situ'!DG447</f>
        <v>3</v>
      </c>
      <c r="T606" s="113">
        <f>'Data_in-situ'!DN16</f>
        <v>382.09999892536933</v>
      </c>
      <c r="U606" s="113">
        <f>'Data_in-situ'!DO16</f>
        <v>116.45849359259256</v>
      </c>
      <c r="V606" s="46">
        <f>'Data_in-situ'!DP16</f>
        <v>9</v>
      </c>
      <c r="W606" s="113">
        <f>'Data_in-situ'!DR16</f>
        <v>31.035112032198569</v>
      </c>
      <c r="X606" s="113">
        <f>'Data_in-situ'!DS16</f>
        <v>65.358501102872523</v>
      </c>
      <c r="Y606" s="46">
        <f>'Data_in-situ'!DT16</f>
        <v>9</v>
      </c>
      <c r="Z606" s="113">
        <f>'Data_in-situ'!EA157</f>
        <v>-0.65249999999999997</v>
      </c>
      <c r="AA606" s="113">
        <f>'Data_in-situ'!EB157</f>
        <v>9.3070564627061342E-2</v>
      </c>
      <c r="AB606" s="46">
        <f>'Data_in-situ'!EC157</f>
        <v>4</v>
      </c>
      <c r="AC606" s="113">
        <f>'Data_in-situ'!EE157</f>
        <v>0.12470000000000003</v>
      </c>
      <c r="AD606" s="113">
        <f>'Data_in-situ'!EF157</f>
        <v>4.1450211097170543E-2</v>
      </c>
      <c r="AE606" s="46">
        <f>'Data_in-situ'!EG157</f>
        <v>4</v>
      </c>
      <c r="AF606" s="113">
        <f>'Data_in-situ'!EN17</f>
        <v>-31.375000000000004</v>
      </c>
      <c r="AG606" s="113">
        <f>'Data_in-situ'!EO17</f>
        <v>10.767974391685748</v>
      </c>
      <c r="AH606" s="110">
        <f>'Data_in-situ'!EP17</f>
        <v>4</v>
      </c>
      <c r="AI606" s="113">
        <f>'Data_in-situ'!ER17</f>
        <v>-57.38</v>
      </c>
      <c r="AJ606" s="113">
        <f>'Data_in-situ'!ES17</f>
        <v>9.4499999999999993</v>
      </c>
      <c r="AK606" s="110">
        <f>'Data_in-situ'!ET17</f>
        <v>4</v>
      </c>
    </row>
    <row r="607" spans="1:37" x14ac:dyDescent="0.3">
      <c r="B607" s="24">
        <f>'Data_in-situ'!CA454</f>
        <v>-160161.20218579238</v>
      </c>
      <c r="C607" s="24">
        <f>'Data_in-situ'!CB454</f>
        <v>10636.467274593098</v>
      </c>
      <c r="D607" s="46">
        <f>'Data_in-situ'!CC454</f>
        <v>3</v>
      </c>
      <c r="E607" s="24">
        <f>'Data_in-situ'!CE454</f>
        <v>-207277.44990892528</v>
      </c>
      <c r="F607" s="24">
        <f>'Data_in-situ'!CF454</f>
        <v>21272.601806047955</v>
      </c>
      <c r="G607" s="46">
        <f>'Data_in-situ'!CG454</f>
        <v>3</v>
      </c>
      <c r="H607" s="24">
        <f>'Data_in-situ'!CN454</f>
        <v>67306.558222944135</v>
      </c>
      <c r="I607" s="24">
        <f>'Data_in-situ'!CO454</f>
        <v>13632.710832908837</v>
      </c>
      <c r="J607" s="46">
        <f>'Data_in-situ'!CP454</f>
        <v>3</v>
      </c>
      <c r="K607" s="24">
        <f>'Data_in-situ'!CR454</f>
        <v>144420.60780366213</v>
      </c>
      <c r="L607" s="24">
        <f>'Data_in-situ'!CS454</f>
        <v>24745.786342212687</v>
      </c>
      <c r="M607" s="46">
        <f>'Data_in-situ'!CT454</f>
        <v>3</v>
      </c>
      <c r="N607" s="24">
        <f>'Data_in-situ'!DA454</f>
        <v>-92854.643962848248</v>
      </c>
      <c r="O607" s="24">
        <f>'Data_in-situ'!DB454</f>
        <v>8527.3893173831366</v>
      </c>
      <c r="P607" s="46">
        <f>'Data_in-situ'!DC454</f>
        <v>3</v>
      </c>
      <c r="Q607" s="24">
        <f>'Data_in-situ'!DE454</f>
        <v>-62856.84210526316</v>
      </c>
      <c r="R607" s="24">
        <f>'Data_in-situ'!DF454</f>
        <v>12642.403019037374</v>
      </c>
      <c r="S607" s="46">
        <f>'Data_in-situ'!DG454</f>
        <v>3</v>
      </c>
      <c r="T607" s="113">
        <f>'Data_in-situ'!DN17</f>
        <v>60.942159705621961</v>
      </c>
      <c r="U607" s="113">
        <f>'Data_in-situ'!DO17</f>
        <v>16.400357502575496</v>
      </c>
      <c r="V607" s="46">
        <f>'Data_in-situ'!DP17</f>
        <v>12</v>
      </c>
      <c r="W607" s="113">
        <f>'Data_in-situ'!DR17</f>
        <v>31.035112032198569</v>
      </c>
      <c r="X607" s="113">
        <f>'Data_in-situ'!DS17</f>
        <v>65.358501102872523</v>
      </c>
      <c r="Y607" s="46">
        <f>'Data_in-situ'!DT17</f>
        <v>12</v>
      </c>
      <c r="Z607" s="113">
        <f>'Data_in-situ'!EA158</f>
        <v>-0.65249999999999997</v>
      </c>
      <c r="AA607" s="113">
        <f>'Data_in-situ'!EB158</f>
        <v>9.3070564627061342E-2</v>
      </c>
      <c r="AB607" s="46">
        <f>'Data_in-situ'!EC158</f>
        <v>4</v>
      </c>
      <c r="AC607" s="113">
        <f>'Data_in-situ'!EE158</f>
        <v>0.42030000000000001</v>
      </c>
      <c r="AD607" s="113">
        <f>'Data_in-situ'!EF158</f>
        <v>2.773084924772409E-2</v>
      </c>
      <c r="AE607" s="46">
        <f>'Data_in-situ'!EG158</f>
        <v>4</v>
      </c>
      <c r="AF607" s="113">
        <f>'Data_in-situ'!EN33</f>
        <v>-9</v>
      </c>
      <c r="AG607" s="113">
        <f>'Data_in-situ'!EO33</f>
        <v>1.9</v>
      </c>
      <c r="AH607" s="110">
        <f>'Data_in-situ'!EP33</f>
        <v>3</v>
      </c>
      <c r="AI607" s="113">
        <f>'Data_in-situ'!ER33</f>
        <v>-34.51</v>
      </c>
      <c r="AJ607" s="113">
        <f>'Data_in-situ'!ES33</f>
        <v>4.08</v>
      </c>
      <c r="AK607" s="110">
        <f>'Data_in-situ'!ET33</f>
        <v>3</v>
      </c>
    </row>
    <row r="608" spans="1:37" x14ac:dyDescent="0.3">
      <c r="B608" s="24">
        <f>'Data_in-situ'!CA455</f>
        <v>-160161.20218579238</v>
      </c>
      <c r="C608" s="24">
        <f>'Data_in-situ'!CB455</f>
        <v>10636.467274593098</v>
      </c>
      <c r="D608" s="46">
        <f>'Data_in-situ'!CC455</f>
        <v>3</v>
      </c>
      <c r="E608" s="24">
        <f>'Data_in-situ'!CE455</f>
        <v>-129453.33333333317</v>
      </c>
      <c r="F608" s="24">
        <f>'Data_in-situ'!CF455</f>
        <v>6791.9062619830866</v>
      </c>
      <c r="G608" s="46">
        <f>'Data_in-situ'!CG455</f>
        <v>3</v>
      </c>
      <c r="H608" s="24">
        <f>'Data_in-situ'!CN455</f>
        <v>67306.558222944135</v>
      </c>
      <c r="I608" s="24">
        <f>'Data_in-situ'!CO455</f>
        <v>13632.710832908837</v>
      </c>
      <c r="J608" s="46">
        <f>'Data_in-situ'!CP455</f>
        <v>3</v>
      </c>
      <c r="K608" s="24">
        <f>'Data_in-situ'!CR455</f>
        <v>78968.070175438406</v>
      </c>
      <c r="L608" s="24">
        <f>'Data_in-situ'!CS455</f>
        <v>7711.5970214802783</v>
      </c>
      <c r="M608" s="46">
        <f>'Data_in-situ'!CT455</f>
        <v>3</v>
      </c>
      <c r="N608" s="24">
        <f>'Data_in-situ'!DA455</f>
        <v>-92854.643962848248</v>
      </c>
      <c r="O608" s="24">
        <f>'Data_in-situ'!DB455</f>
        <v>8527.3893173831366</v>
      </c>
      <c r="P608" s="46">
        <f>'Data_in-situ'!DC455</f>
        <v>3</v>
      </c>
      <c r="Q608" s="24">
        <f>'Data_in-situ'!DE455</f>
        <v>-50485.263157894762</v>
      </c>
      <c r="R608" s="24">
        <f>'Data_in-situ'!DF455</f>
        <v>3652.2236993561119</v>
      </c>
      <c r="S608" s="46">
        <f>'Data_in-situ'!DG455</f>
        <v>3</v>
      </c>
      <c r="T608" s="113">
        <f>'Data_in-situ'!DN33</f>
        <v>172</v>
      </c>
      <c r="U608" s="113">
        <f>'Data_in-situ'!DO33</f>
        <v>22</v>
      </c>
      <c r="V608" s="46">
        <f>'Data_in-situ'!DP33</f>
        <v>6</v>
      </c>
      <c r="W608" s="113">
        <f>'Data_in-situ'!DR33</f>
        <v>-1.5</v>
      </c>
      <c r="X608" s="113">
        <f>'Data_in-situ'!DS33</f>
        <v>0.6</v>
      </c>
      <c r="Y608" s="46">
        <f>'Data_in-situ'!DT33</f>
        <v>6</v>
      </c>
      <c r="Z608" s="113">
        <f>'Data_in-situ'!EA159</f>
        <v>-0.36220000000000002</v>
      </c>
      <c r="AA608" s="113">
        <f>'Data_in-situ'!EB159</f>
        <v>0.55423680859358304</v>
      </c>
      <c r="AB608" s="46">
        <f>'Data_in-situ'!EC159</f>
        <v>4</v>
      </c>
      <c r="AC608" s="113">
        <f>'Data_in-situ'!EE159</f>
        <v>-2.8500000000000001E-2</v>
      </c>
      <c r="AD608" s="113">
        <f>'Data_in-situ'!EF159</f>
        <v>9.9569071503153028E-2</v>
      </c>
      <c r="AE608" s="46">
        <f>'Data_in-situ'!EG159</f>
        <v>4</v>
      </c>
      <c r="AF608" s="113">
        <f>'Data_in-situ'!EN163</f>
        <v>-109</v>
      </c>
      <c r="AG608" s="113">
        <f>'Data_in-situ'!EO163</f>
        <v>44.417107463890972</v>
      </c>
      <c r="AH608" s="110">
        <f>'Data_in-situ'!EP163</f>
        <v>4</v>
      </c>
      <c r="AI608" s="113">
        <f>'Data_in-situ'!ER163</f>
        <v>-121</v>
      </c>
      <c r="AJ608" s="113">
        <f>'Data_in-situ'!ES163</f>
        <v>27.444500474612497</v>
      </c>
      <c r="AK608" s="110">
        <f>'Data_in-situ'!ET163</f>
        <v>4</v>
      </c>
    </row>
    <row r="609" spans="20:37" x14ac:dyDescent="0.3">
      <c r="T609" s="113">
        <f>'Data_in-situ'!DN156</f>
        <v>34.884300000000003</v>
      </c>
      <c r="U609" s="113">
        <f>'Data_in-situ'!DO156</f>
        <v>2.7604911899877527</v>
      </c>
      <c r="V609" s="46">
        <f>'Data_in-situ'!DP156</f>
        <v>4</v>
      </c>
      <c r="W609" s="113">
        <f>'Data_in-situ'!DR156</f>
        <v>15.5944</v>
      </c>
      <c r="X609" s="113">
        <f>'Data_in-situ'!DS156</f>
        <v>2.1027833031484722</v>
      </c>
      <c r="Y609" s="46">
        <f>'Data_in-situ'!DT156</f>
        <v>4</v>
      </c>
      <c r="Z609" s="113">
        <f>'Data_in-situ'!EA160</f>
        <v>-0.36220000000000002</v>
      </c>
      <c r="AA609" s="113">
        <f>'Data_in-situ'!EB160</f>
        <v>0.55423680859358304</v>
      </c>
      <c r="AB609" s="46">
        <f>'Data_in-situ'!EC160</f>
        <v>4</v>
      </c>
      <c r="AC609" s="113">
        <f>'Data_in-situ'!EE160</f>
        <v>8.210000000000002E-2</v>
      </c>
      <c r="AD609" s="113">
        <f>'Data_in-situ'!EF160</f>
        <v>1.2639620247459968E-2</v>
      </c>
      <c r="AE609" s="46">
        <f>'Data_in-situ'!EG160</f>
        <v>4</v>
      </c>
      <c r="AF609" s="113">
        <f>'Data_in-situ'!EN164</f>
        <v>-109</v>
      </c>
      <c r="AG609" s="113">
        <f>'Data_in-situ'!EO164</f>
        <v>44.417107463890972</v>
      </c>
      <c r="AH609" s="110">
        <f>'Data_in-situ'!EP164</f>
        <v>4</v>
      </c>
      <c r="AI609" s="113">
        <f>'Data_in-situ'!ER164</f>
        <v>-119</v>
      </c>
      <c r="AJ609" s="113">
        <f>'Data_in-situ'!ES164</f>
        <v>26.990872367594108</v>
      </c>
      <c r="AK609" s="110">
        <f>'Data_in-situ'!ET164</f>
        <v>4</v>
      </c>
    </row>
    <row r="610" spans="20:37" x14ac:dyDescent="0.3">
      <c r="T610" s="113">
        <f>'Data_in-situ'!DN157</f>
        <v>34.884300000000003</v>
      </c>
      <c r="U610" s="113">
        <f>'Data_in-situ'!DO157</f>
        <v>2.7604911899877527</v>
      </c>
      <c r="V610" s="46">
        <f>'Data_in-situ'!DP157</f>
        <v>4</v>
      </c>
      <c r="W610" s="113">
        <f>'Data_in-situ'!DR157</f>
        <v>-3.7234000000000003</v>
      </c>
      <c r="X610" s="113">
        <f>'Data_in-situ'!DS157</f>
        <v>0.33700001483679487</v>
      </c>
      <c r="Y610" s="46">
        <f>'Data_in-situ'!DT157</f>
        <v>4</v>
      </c>
      <c r="Z610" s="113">
        <f>'Data_in-situ'!EA161</f>
        <v>-0.36220000000000002</v>
      </c>
      <c r="AA610" s="113">
        <f>'Data_in-situ'!EB161</f>
        <v>0.55423680859358304</v>
      </c>
      <c r="AB610" s="46">
        <f>'Data_in-situ'!EC161</f>
        <v>4</v>
      </c>
      <c r="AC610" s="113">
        <f>'Data_in-situ'!EE161</f>
        <v>0.3004</v>
      </c>
      <c r="AD610" s="113">
        <f>'Data_in-situ'!EF161</f>
        <v>2.3186418438387587E-2</v>
      </c>
      <c r="AE610" s="46">
        <f>'Data_in-situ'!EG161</f>
        <v>4</v>
      </c>
      <c r="AF610" s="113">
        <f>'Data_in-situ'!EN165</f>
        <v>-109</v>
      </c>
      <c r="AG610" s="113">
        <f>'Data_in-situ'!EO165</f>
        <v>44.417107463890972</v>
      </c>
      <c r="AH610" s="110">
        <f>'Data_in-situ'!EP165</f>
        <v>4</v>
      </c>
      <c r="AI610" s="113">
        <f>'Data_in-situ'!ER165</f>
        <v>-138</v>
      </c>
      <c r="AJ610" s="113">
        <f>'Data_in-situ'!ES165</f>
        <v>31.300339384268796</v>
      </c>
      <c r="AK610" s="110">
        <f>'Data_in-situ'!ET165</f>
        <v>4</v>
      </c>
    </row>
    <row r="611" spans="20:37" x14ac:dyDescent="0.3">
      <c r="T611" s="113">
        <f>'Data_in-situ'!DN158</f>
        <v>34.884300000000003</v>
      </c>
      <c r="U611" s="113">
        <f>'Data_in-situ'!DO158</f>
        <v>2.7604911899877527</v>
      </c>
      <c r="V611" s="46">
        <f>'Data_in-situ'!DP158</f>
        <v>4</v>
      </c>
      <c r="W611" s="113">
        <f>'Data_in-situ'!DR158</f>
        <v>-6.8844000000000012</v>
      </c>
      <c r="X611" s="113">
        <f>'Data_in-situ'!DS158</f>
        <v>0.4472975072588713</v>
      </c>
      <c r="Y611" s="46">
        <f>'Data_in-situ'!DT158</f>
        <v>4</v>
      </c>
      <c r="Z611" s="113">
        <f>'Data_in-situ'!EA162</f>
        <v>2.1024738953323308</v>
      </c>
      <c r="AA611" s="113">
        <f>'Data_in-situ'!EB162</f>
        <v>12.089176504021989</v>
      </c>
      <c r="AB611" s="46">
        <f>'Data_in-situ'!EC162</f>
        <v>4</v>
      </c>
      <c r="AC611" s="113">
        <f>'Data_in-situ'!EE162</f>
        <v>6.8008768905024581</v>
      </c>
      <c r="AD611" s="113">
        <f>'Data_in-situ'!EF162</f>
        <v>10.154657115085213</v>
      </c>
      <c r="AE611" s="46">
        <f>'Data_in-situ'!EG162</f>
        <v>4</v>
      </c>
      <c r="AF611" s="113">
        <f>'Data_in-situ'!EN166</f>
        <v>-76</v>
      </c>
      <c r="AG611" s="113">
        <f>'Data_in-situ'!EO166</f>
        <v>30.969726305098295</v>
      </c>
      <c r="AH611" s="110">
        <f>'Data_in-situ'!EP166</f>
        <v>4</v>
      </c>
      <c r="AI611" s="113">
        <f>'Data_in-situ'!ER166</f>
        <v>-84</v>
      </c>
      <c r="AJ611" s="113">
        <f>'Data_in-situ'!ES166</f>
        <v>19.052380494772311</v>
      </c>
      <c r="AK611" s="110">
        <f>'Data_in-situ'!ET166</f>
        <v>4</v>
      </c>
    </row>
    <row r="612" spans="20:37" x14ac:dyDescent="0.3">
      <c r="T612" s="113">
        <f>'Data_in-situ'!DN159</f>
        <v>12.3249</v>
      </c>
      <c r="U612" s="113">
        <f>'Data_in-situ'!DO159</f>
        <v>4.0482329046140624</v>
      </c>
      <c r="V612" s="46">
        <f>'Data_in-situ'!DP159</f>
        <v>4</v>
      </c>
      <c r="W612" s="113">
        <f>'Data_in-situ'!DR159</f>
        <v>4.5682</v>
      </c>
      <c r="X612" s="113">
        <f>'Data_in-situ'!DS159</f>
        <v>1.4385784823915586</v>
      </c>
      <c r="Y612" s="46">
        <f>'Data_in-situ'!DT159</f>
        <v>4</v>
      </c>
      <c r="Z612" s="113">
        <f>'Data_in-situ'!EA163</f>
        <v>0.69244345015682884</v>
      </c>
      <c r="AA612" s="113">
        <f>'Data_in-situ'!EB163</f>
        <v>3.9815338999377539</v>
      </c>
      <c r="AB612" s="46">
        <f>'Data_in-situ'!EC163</f>
        <v>4</v>
      </c>
      <c r="AC612" s="113">
        <f>'Data_in-situ'!EE163</f>
        <v>1.8900218026919515</v>
      </c>
      <c r="AD612" s="113">
        <f>'Data_in-situ'!EF163</f>
        <v>2.8220659858105499</v>
      </c>
      <c r="AE612" s="46">
        <f>'Data_in-situ'!EG163</f>
        <v>4</v>
      </c>
      <c r="AF612" s="113">
        <f>'Data_in-situ'!EN182</f>
        <v>10.513333333333334</v>
      </c>
      <c r="AG612" s="113">
        <f>'Data_in-situ'!EO182</f>
        <v>1.0373523991392701</v>
      </c>
      <c r="AH612" s="110">
        <f>'Data_in-situ'!EP182</f>
        <v>3</v>
      </c>
      <c r="AI612" s="113">
        <f>'Data_in-situ'!ER182</f>
        <v>-89.296666666666667</v>
      </c>
      <c r="AJ612" s="113">
        <f>'Data_in-situ'!ES182</f>
        <v>4.948066962629615</v>
      </c>
      <c r="AK612" s="110">
        <f>'Data_in-situ'!ET182</f>
        <v>3</v>
      </c>
    </row>
    <row r="613" spans="20:37" x14ac:dyDescent="0.3">
      <c r="T613" s="113">
        <f>'Data_in-situ'!DN160</f>
        <v>12.3249</v>
      </c>
      <c r="U613" s="113">
        <f>'Data_in-situ'!DO160</f>
        <v>4.0482329046140624</v>
      </c>
      <c r="V613" s="46">
        <f>'Data_in-situ'!DP160</f>
        <v>4</v>
      </c>
      <c r="W613" s="113">
        <f>'Data_in-situ'!DR160</f>
        <v>-2.4133</v>
      </c>
      <c r="X613" s="113">
        <f>'Data_in-situ'!DS160</f>
        <v>0.28343706532491475</v>
      </c>
      <c r="Y613" s="46">
        <f>'Data_in-situ'!DT160</f>
        <v>4</v>
      </c>
      <c r="Z613" s="113">
        <f>'Data_in-situ'!EA164</f>
        <v>0.69244345015682884</v>
      </c>
      <c r="AA613" s="113">
        <f>'Data_in-situ'!EB164</f>
        <v>3.9815338999377539</v>
      </c>
      <c r="AB613" s="46">
        <f>'Data_in-situ'!EC164</f>
        <v>4</v>
      </c>
      <c r="AC613" s="113">
        <f>'Data_in-situ'!EE164</f>
        <v>1.2029333397446536</v>
      </c>
      <c r="AD613" s="113">
        <f>'Data_in-situ'!EF164</f>
        <v>1.7961471430941864</v>
      </c>
      <c r="AE613" s="46">
        <f>'Data_in-situ'!EG164</f>
        <v>4</v>
      </c>
      <c r="AF613" s="113">
        <f>'Data_in-situ'!EN183</f>
        <v>21.581790123456788</v>
      </c>
      <c r="AG613" s="113">
        <f>'Data_in-situ'!EO183</f>
        <v>1.1499049536443477</v>
      </c>
      <c r="AH613" s="110">
        <f>'Data_in-situ'!EP183</f>
        <v>3</v>
      </c>
      <c r="AI613" s="113">
        <f>'Data_in-situ'!ER183</f>
        <v>-89.296666666666667</v>
      </c>
      <c r="AJ613" s="113">
        <f>'Data_in-situ'!ES183</f>
        <v>4.948066962629615</v>
      </c>
      <c r="AK613" s="110">
        <f>'Data_in-situ'!ET183</f>
        <v>3</v>
      </c>
    </row>
    <row r="614" spans="20:37" x14ac:dyDescent="0.3">
      <c r="T614" s="113">
        <f>'Data_in-situ'!DN161</f>
        <v>12.3249</v>
      </c>
      <c r="U614" s="113">
        <f>'Data_in-situ'!DO161</f>
        <v>4.0482329046140624</v>
      </c>
      <c r="V614" s="46">
        <f>'Data_in-situ'!DP161</f>
        <v>4</v>
      </c>
      <c r="W614" s="113">
        <f>'Data_in-situ'!DR161</f>
        <v>0.28770000000000012</v>
      </c>
      <c r="X614" s="113">
        <f>'Data_in-situ'!DS161</f>
        <v>0.26312447624650959</v>
      </c>
      <c r="Y614" s="46">
        <f>'Data_in-situ'!DT161</f>
        <v>4</v>
      </c>
      <c r="Z614" s="113">
        <f>'Data_in-situ'!EA165</f>
        <v>0.69244345015682884</v>
      </c>
      <c r="AA614" s="113">
        <f>'Data_in-situ'!EB165</f>
        <v>3.9815338999377539</v>
      </c>
      <c r="AB614" s="46">
        <f>'Data_in-situ'!EC165</f>
        <v>4</v>
      </c>
      <c r="AC614" s="113">
        <f>'Data_in-situ'!EE165</f>
        <v>1.5464775712183025</v>
      </c>
      <c r="AD614" s="113">
        <f>'Data_in-situ'!EF165</f>
        <v>2.3091065644523678</v>
      </c>
      <c r="AE614" s="46">
        <f>'Data_in-situ'!EG165</f>
        <v>4</v>
      </c>
      <c r="AF614" s="113">
        <f>'Data_in-situ'!EN184</f>
        <v>15.494138888888889</v>
      </c>
      <c r="AG614" s="113">
        <f>'Data_in-situ'!EO184</f>
        <v>0.77024816389862394</v>
      </c>
      <c r="AH614" s="110">
        <f>'Data_in-situ'!EP184</f>
        <v>3</v>
      </c>
      <c r="AI614" s="113">
        <f>'Data_in-situ'!ER184</f>
        <v>-89.296666666666667</v>
      </c>
      <c r="AJ614" s="113">
        <f>'Data_in-situ'!ES184</f>
        <v>4.948066962629615</v>
      </c>
      <c r="AK614" s="110">
        <f>'Data_in-situ'!ET184</f>
        <v>3</v>
      </c>
    </row>
    <row r="615" spans="20:37" x14ac:dyDescent="0.3">
      <c r="T615" s="113">
        <f>'Data_in-situ'!DN162</f>
        <v>4.1088183748609376E-2</v>
      </c>
      <c r="U615" s="113">
        <f>'Data_in-situ'!DO162</f>
        <v>4.5808365090522003E-2</v>
      </c>
      <c r="V615" s="46">
        <f>'Data_in-situ'!DP162</f>
        <v>4</v>
      </c>
      <c r="W615" s="113">
        <f>'Data_in-situ'!DR162</f>
        <v>0.1749737827715355</v>
      </c>
      <c r="X615" s="113">
        <f>'Data_in-situ'!DS162</f>
        <v>0.65391487210700916</v>
      </c>
      <c r="Y615" s="46">
        <f>'Data_in-situ'!DT162</f>
        <v>4</v>
      </c>
      <c r="Z615" s="113">
        <f>'Data_in-situ'!EA166</f>
        <v>1.0757430488974113</v>
      </c>
      <c r="AA615" s="113">
        <f>'Data_in-situ'!EB166</f>
        <v>6.1854977700162745</v>
      </c>
      <c r="AB615" s="46">
        <f>'Data_in-situ'!EC166</f>
        <v>4</v>
      </c>
      <c r="AC615" s="113">
        <f>'Data_in-situ'!EE166</f>
        <v>1.0103547459252158</v>
      </c>
      <c r="AD615" s="113">
        <f>'Data_in-situ'!EF166</f>
        <v>1.508600460596133</v>
      </c>
      <c r="AE615" s="46">
        <f>'Data_in-situ'!EG166</f>
        <v>4</v>
      </c>
      <c r="AF615" s="113">
        <f>'Data_in-situ'!EN185</f>
        <v>-29.297839506172831</v>
      </c>
      <c r="AG615" s="113">
        <f>'Data_in-situ'!EO185</f>
        <v>7.4871417952407429</v>
      </c>
      <c r="AH615" s="110">
        <f>'Data_in-situ'!EP185</f>
        <v>3</v>
      </c>
      <c r="AI615" s="113">
        <f>'Data_in-situ'!ER185</f>
        <v>-89.296666666666667</v>
      </c>
      <c r="AJ615" s="113">
        <f>'Data_in-situ'!ES185</f>
        <v>4.948066962629615</v>
      </c>
      <c r="AK615" s="110">
        <f>'Data_in-situ'!ET185</f>
        <v>3</v>
      </c>
    </row>
    <row r="616" spans="20:37" x14ac:dyDescent="0.3">
      <c r="T616" s="113">
        <f>'Data_in-situ'!DN163</f>
        <v>-0.12122916895579239</v>
      </c>
      <c r="U616" s="113">
        <f>'Data_in-situ'!DO163</f>
        <v>0.13515588971088227</v>
      </c>
      <c r="V616" s="46">
        <f>'Data_in-situ'!DP163</f>
        <v>4</v>
      </c>
      <c r="W616" s="113">
        <f>'Data_in-situ'!DR163</f>
        <v>6.1724726721622734E-2</v>
      </c>
      <c r="X616" s="113">
        <f>'Data_in-situ'!DS163</f>
        <v>0.23067865448569461</v>
      </c>
      <c r="Y616" s="46">
        <f>'Data_in-situ'!DT163</f>
        <v>4</v>
      </c>
      <c r="Z616" s="113">
        <f>'Data_in-situ'!EA217</f>
        <v>1.3785046728971999</v>
      </c>
      <c r="AA616" s="113">
        <f>'Data_in-situ'!EB217</f>
        <v>1.030159237619066</v>
      </c>
      <c r="AB616" s="46">
        <f>'Data_in-situ'!EC217</f>
        <v>6</v>
      </c>
      <c r="AC616" s="113">
        <f>'Data_in-situ'!EE217</f>
        <v>3.2242990654205603</v>
      </c>
      <c r="AD616" s="113">
        <f>'Data_in-situ'!EF217</f>
        <v>3.548326262910205</v>
      </c>
      <c r="AE616" s="46">
        <f>'Data_in-situ'!EG217</f>
        <v>6</v>
      </c>
      <c r="AF616" s="113">
        <f>'Data_in-situ'!EN186</f>
        <v>-15.092592592592601</v>
      </c>
      <c r="AG616" s="113">
        <f>'Data_in-situ'!EO186</f>
        <v>7.11534501237022</v>
      </c>
      <c r="AH616" s="110">
        <f>'Data_in-situ'!EP186</f>
        <v>3</v>
      </c>
      <c r="AI616" s="113">
        <f>'Data_in-situ'!ER186</f>
        <v>-89.296666666666667</v>
      </c>
      <c r="AJ616" s="113">
        <f>'Data_in-situ'!ES186</f>
        <v>4.948066962629615</v>
      </c>
      <c r="AK616" s="110">
        <f>'Data_in-situ'!ET186</f>
        <v>3</v>
      </c>
    </row>
    <row r="617" spans="20:37" x14ac:dyDescent="0.3">
      <c r="T617" s="113">
        <f>'Data_in-situ'!DN164</f>
        <v>-0.12122916895579239</v>
      </c>
      <c r="U617" s="113">
        <f>'Data_in-situ'!DO164</f>
        <v>0.13515588971088227</v>
      </c>
      <c r="V617" s="46">
        <f>'Data_in-situ'!DP164</f>
        <v>4</v>
      </c>
      <c r="W617" s="113">
        <f>'Data_in-situ'!DR164</f>
        <v>-0.12344945344324547</v>
      </c>
      <c r="X617" s="113">
        <f>'Data_in-situ'!DS164</f>
        <v>0.46135730897138921</v>
      </c>
      <c r="Y617" s="46">
        <f>'Data_in-situ'!DT164</f>
        <v>4</v>
      </c>
      <c r="Z617" s="113">
        <f>'Data_in-situ'!EA218</f>
        <v>1.3785046728971999</v>
      </c>
      <c r="AA617" s="113">
        <f>'Data_in-situ'!EB218</f>
        <v>1.030159237619066</v>
      </c>
      <c r="AB617" s="46">
        <f>'Data_in-situ'!EC218</f>
        <v>6</v>
      </c>
      <c r="AC617" s="113">
        <f>'Data_in-situ'!EE218</f>
        <v>2.8037383177570097</v>
      </c>
      <c r="AD617" s="113">
        <f>'Data_in-situ'!EF218</f>
        <v>2.5181670252910933</v>
      </c>
      <c r="AE617" s="46">
        <f>'Data_in-situ'!EG218</f>
        <v>6</v>
      </c>
      <c r="AF617" s="113">
        <f>'Data_in-situ'!EN187</f>
        <v>-22.905478395061731</v>
      </c>
      <c r="AG617" s="113">
        <f>'Data_in-situ'!EO187</f>
        <v>5.2162753162474411</v>
      </c>
      <c r="AH617" s="110">
        <f>'Data_in-situ'!EP187</f>
        <v>3</v>
      </c>
      <c r="AI617" s="113">
        <f>'Data_in-situ'!ER187</f>
        <v>-89.296666666666667</v>
      </c>
      <c r="AJ617" s="113">
        <f>'Data_in-situ'!ES187</f>
        <v>4.948066962629615</v>
      </c>
      <c r="AK617" s="110">
        <f>'Data_in-situ'!ET187</f>
        <v>3</v>
      </c>
    </row>
    <row r="618" spans="20:37" x14ac:dyDescent="0.3">
      <c r="T618" s="113">
        <f>'Data_in-situ'!DN165</f>
        <v>-0.12122916895579239</v>
      </c>
      <c r="U618" s="113">
        <f>'Data_in-situ'!DO165</f>
        <v>0.13515588971088227</v>
      </c>
      <c r="V618" s="46">
        <f>'Data_in-situ'!DP165</f>
        <v>4</v>
      </c>
      <c r="W618" s="113">
        <f>'Data_in-situ'!DR165</f>
        <v>0.12344945344324547</v>
      </c>
      <c r="X618" s="113">
        <f>'Data_in-situ'!DS165</f>
        <v>0.46135730897138921</v>
      </c>
      <c r="Y618" s="46">
        <f>'Data_in-situ'!DT165</f>
        <v>4</v>
      </c>
      <c r="Z618" s="113">
        <f>'Data_in-situ'!EA410</f>
        <v>0.97428571428571431</v>
      </c>
      <c r="AA618" s="113">
        <f>'Data_in-situ'!EB410</f>
        <v>0.17285714285714285</v>
      </c>
      <c r="AB618" s="46">
        <f>'Data_in-situ'!EC410</f>
        <v>4</v>
      </c>
      <c r="AC618" s="113">
        <f>'Data_in-situ'!EE410</f>
        <v>11.157142857142857</v>
      </c>
      <c r="AD618" s="113">
        <f>'Data_in-situ'!EF410</f>
        <v>1.8857142857142857</v>
      </c>
      <c r="AE618" s="46">
        <f>'Data_in-situ'!EG410</f>
        <v>4</v>
      </c>
      <c r="AF618" s="113">
        <f>'Data_in-situ'!EN188</f>
        <v>15.494138888888889</v>
      </c>
      <c r="AG618" s="113">
        <f>'Data_in-situ'!EO188</f>
        <v>0.77024816389862394</v>
      </c>
      <c r="AH618" s="110">
        <f>'Data_in-situ'!EP188</f>
        <v>3</v>
      </c>
      <c r="AI618" s="113">
        <f>'Data_in-situ'!ER188</f>
        <v>-91.63</v>
      </c>
      <c r="AJ618" s="113">
        <f>'Data_in-situ'!ES188</f>
        <v>7.7942286340599471</v>
      </c>
      <c r="AK618" s="110">
        <f>'Data_in-situ'!ET188</f>
        <v>3</v>
      </c>
    </row>
    <row r="619" spans="20:37" x14ac:dyDescent="0.3">
      <c r="T619" s="113">
        <f>'Data_in-situ'!DN166</f>
        <v>-0.52800000000000002</v>
      </c>
      <c r="U619" s="113">
        <f>'Data_in-situ'!DO166</f>
        <v>0.5886562646764405</v>
      </c>
      <c r="V619" s="46">
        <f>'Data_in-situ'!DP166</f>
        <v>4</v>
      </c>
      <c r="W619" s="113">
        <f>'Data_in-situ'!DR166</f>
        <v>-0.26133333333333336</v>
      </c>
      <c r="X619" s="113">
        <f>'Data_in-situ'!DS166</f>
        <v>0.97665919166357074</v>
      </c>
      <c r="Y619" s="46">
        <f>'Data_in-situ'!DT166</f>
        <v>4</v>
      </c>
      <c r="Z619" s="113">
        <f>'Data_in-situ'!EA411</f>
        <v>6.9142857142857155</v>
      </c>
      <c r="AA619" s="113">
        <f>'Data_in-situ'!EB411</f>
        <v>1.8857142857142857</v>
      </c>
      <c r="AB619" s="46">
        <f>'Data_in-situ'!EC411</f>
        <v>4</v>
      </c>
      <c r="AC619" s="113">
        <f>'Data_in-situ'!EE411</f>
        <v>36.142857142857146</v>
      </c>
      <c r="AD619" s="113">
        <f>'Data_in-situ'!EF411</f>
        <v>15.400000000000002</v>
      </c>
      <c r="AE619" s="46">
        <f>'Data_in-situ'!EG411</f>
        <v>4</v>
      </c>
      <c r="AF619" s="113">
        <f>'Data_in-situ'!EN189</f>
        <v>15.494138888888889</v>
      </c>
      <c r="AG619" s="113">
        <f>'Data_in-situ'!EO189</f>
        <v>0.77024816389862394</v>
      </c>
      <c r="AH619" s="110">
        <f>'Data_in-situ'!EP189</f>
        <v>3</v>
      </c>
      <c r="AI619" s="113">
        <f>'Data_in-situ'!ER189</f>
        <v>-87.6</v>
      </c>
      <c r="AJ619" s="113">
        <f>'Data_in-situ'!ES189</f>
        <v>10.825317547305483</v>
      </c>
      <c r="AK619" s="110">
        <f>'Data_in-situ'!ET189</f>
        <v>3</v>
      </c>
    </row>
    <row r="620" spans="20:37" x14ac:dyDescent="0.3">
      <c r="T620" s="113">
        <f>'Data_in-situ'!DN182</f>
        <v>1413.9420186433458</v>
      </c>
      <c r="U620" s="113">
        <f>'Data_in-situ'!DO182</f>
        <v>520.26850212340003</v>
      </c>
      <c r="V620" s="46">
        <f>'Data_in-situ'!DP182</f>
        <v>3</v>
      </c>
      <c r="W620" s="113">
        <f>'Data_in-situ'!DR182</f>
        <v>5.2453106713176574</v>
      </c>
      <c r="X620" s="113">
        <f>'Data_in-situ'!DS182</f>
        <v>10.686883582340696</v>
      </c>
      <c r="Y620" s="46">
        <f>'Data_in-situ'!DT182</f>
        <v>3</v>
      </c>
      <c r="Z620" s="113">
        <f>'Data_in-situ'!EA432</f>
        <v>0.14142857142857143</v>
      </c>
      <c r="AA620" s="113">
        <f>'Data_in-situ'!EB432</f>
        <v>0.29939735387976307</v>
      </c>
      <c r="AB620" s="46">
        <f>'Data_in-situ'!EC432</f>
        <v>3</v>
      </c>
      <c r="AC620" s="113">
        <f>'Data_in-situ'!EE432</f>
        <v>1.8071428571428574</v>
      </c>
      <c r="AD620" s="113">
        <f>'Data_in-situ'!EF432</f>
        <v>2.1229994184201382</v>
      </c>
      <c r="AE620" s="46">
        <f>'Data_in-situ'!EG432</f>
        <v>3</v>
      </c>
      <c r="AF620" s="113">
        <f>'Data_in-situ'!EN190</f>
        <v>15.494138888888889</v>
      </c>
      <c r="AG620" s="113">
        <f>'Data_in-situ'!EO190</f>
        <v>0.77024816389862394</v>
      </c>
      <c r="AH620" s="110">
        <f>'Data_in-situ'!EP190</f>
        <v>3</v>
      </c>
      <c r="AI620" s="113">
        <f>'Data_in-situ'!ER190</f>
        <v>-89.296666666666667</v>
      </c>
      <c r="AJ620" s="113">
        <f>'Data_in-situ'!ES190</f>
        <v>6.512511036458978</v>
      </c>
      <c r="AK620" s="110">
        <f>'Data_in-situ'!ET190</f>
        <v>3</v>
      </c>
    </row>
    <row r="621" spans="20:37" x14ac:dyDescent="0.3">
      <c r="T621" s="113">
        <f>'Data_in-situ'!DN183</f>
        <v>965.8440732691339</v>
      </c>
      <c r="U621" s="113">
        <f>'Data_in-situ'!DO183</f>
        <v>308.47001167764779</v>
      </c>
      <c r="V621" s="46">
        <f>'Data_in-situ'!DP183</f>
        <v>3</v>
      </c>
      <c r="W621" s="113">
        <f>'Data_in-situ'!DR183</f>
        <v>5.2453106713176574</v>
      </c>
      <c r="X621" s="113">
        <f>'Data_in-situ'!DS183</f>
        <v>10.686883582340696</v>
      </c>
      <c r="Y621" s="46">
        <f>'Data_in-situ'!DT183</f>
        <v>3</v>
      </c>
      <c r="Z621" s="113">
        <f>'Data_in-situ'!EA433</f>
        <v>0.11</v>
      </c>
      <c r="AA621" s="113">
        <f>'Data_in-situ'!EB433</f>
        <v>0.65323059028311947</v>
      </c>
      <c r="AB621" s="46">
        <f>'Data_in-situ'!EC433</f>
        <v>3</v>
      </c>
      <c r="AC621" s="113">
        <f>'Data_in-situ'!EE433</f>
        <v>4.0071428571428571</v>
      </c>
      <c r="AD621" s="113">
        <f>'Data_in-situ'!EF433</f>
        <v>2.7490120674414609</v>
      </c>
      <c r="AE621" s="46">
        <f>'Data_in-situ'!EG433</f>
        <v>3</v>
      </c>
      <c r="AF621" s="113">
        <f>'Data_in-situ'!EN191</f>
        <v>-22.905478395061731</v>
      </c>
      <c r="AG621" s="113">
        <f>'Data_in-situ'!EO191</f>
        <v>5.2162753162474411</v>
      </c>
      <c r="AH621" s="110">
        <f>'Data_in-situ'!EP191</f>
        <v>3</v>
      </c>
      <c r="AI621" s="113">
        <f>'Data_in-situ'!ER191</f>
        <v>-91.63</v>
      </c>
      <c r="AJ621" s="113">
        <f>'Data_in-situ'!ES191</f>
        <v>7.7942286340599471</v>
      </c>
      <c r="AK621" s="110">
        <f>'Data_in-situ'!ET191</f>
        <v>3</v>
      </c>
    </row>
    <row r="622" spans="20:37" x14ac:dyDescent="0.3">
      <c r="T622" s="113">
        <f>'Data_in-situ'!DN184</f>
        <v>1212.2979432249506</v>
      </c>
      <c r="U622" s="113">
        <f>'Data_in-situ'!DO184</f>
        <v>318.03950472765939</v>
      </c>
      <c r="V622" s="46">
        <f>'Data_in-situ'!DP184</f>
        <v>3</v>
      </c>
      <c r="W622" s="113">
        <f>'Data_in-situ'!DR184</f>
        <v>5.2453106713176574</v>
      </c>
      <c r="X622" s="113">
        <f>'Data_in-situ'!DS184</f>
        <v>10.686883582340696</v>
      </c>
      <c r="Y622" s="46">
        <f>'Data_in-situ'!DT184</f>
        <v>3</v>
      </c>
      <c r="Z622" s="113">
        <f>'Data_in-situ'!EA434</f>
        <v>0.31428571428571433</v>
      </c>
      <c r="AA622" s="113">
        <f>'Data_in-situ'!EB434</f>
        <v>1.8071356230047548</v>
      </c>
      <c r="AB622" s="46">
        <f>'Data_in-situ'!EC434</f>
        <v>3</v>
      </c>
      <c r="AC622" s="113">
        <f>'Data_in-situ'!EE434</f>
        <v>14.614285714285716</v>
      </c>
      <c r="AD622" s="113">
        <f>'Data_in-situ'!EF434</f>
        <v>21.821165534948449</v>
      </c>
      <c r="AE622" s="46">
        <f>'Data_in-situ'!EG434</f>
        <v>3</v>
      </c>
      <c r="AF622" s="113">
        <f>'Data_in-situ'!EN192</f>
        <v>-22.905478395061731</v>
      </c>
      <c r="AG622" s="113">
        <f>'Data_in-situ'!EO192</f>
        <v>5.2162753162474411</v>
      </c>
      <c r="AH622" s="110">
        <f>'Data_in-situ'!EP192</f>
        <v>3</v>
      </c>
      <c r="AI622" s="113">
        <f>'Data_in-situ'!ER192</f>
        <v>-87.6</v>
      </c>
      <c r="AJ622" s="113">
        <f>'Data_in-situ'!ES192</f>
        <v>10.825317547305483</v>
      </c>
      <c r="AK622" s="110">
        <f>'Data_in-situ'!ET192</f>
        <v>3</v>
      </c>
    </row>
    <row r="623" spans="20:37" x14ac:dyDescent="0.3">
      <c r="T623" s="113">
        <f>'Data_in-situ'!DN185</f>
        <v>319.20253634957294</v>
      </c>
      <c r="U623" s="113">
        <f>'Data_in-situ'!DO185</f>
        <v>123.29702910462079</v>
      </c>
      <c r="V623" s="46">
        <f>'Data_in-situ'!DP185</f>
        <v>3</v>
      </c>
      <c r="W623" s="113">
        <f>'Data_in-situ'!DR185</f>
        <v>5.2453106713176574</v>
      </c>
      <c r="X623" s="113">
        <f>'Data_in-situ'!DS185</f>
        <v>10.686883582340696</v>
      </c>
      <c r="Y623" s="46">
        <f>'Data_in-situ'!DT185</f>
        <v>3</v>
      </c>
      <c r="Z623" s="113">
        <f>'Data_in-situ'!EA435</f>
        <v>0.31428571428571433</v>
      </c>
      <c r="AA623" s="113">
        <f>'Data_in-situ'!EB435</f>
        <v>1.8071356230047548</v>
      </c>
      <c r="AB623" s="46">
        <f>'Data_in-situ'!EC435</f>
        <v>3</v>
      </c>
      <c r="AC623" s="113">
        <f>'Data_in-situ'!EE435</f>
        <v>12.257142857142856</v>
      </c>
      <c r="AD623" s="113">
        <f>'Data_in-situ'!EF435</f>
        <v>18.301622706730956</v>
      </c>
      <c r="AE623" s="46">
        <f>'Data_in-situ'!EG435</f>
        <v>3</v>
      </c>
      <c r="AF623" s="113">
        <f>'Data_in-situ'!EN193</f>
        <v>-22.905478395061731</v>
      </c>
      <c r="AG623" s="113">
        <f>'Data_in-situ'!EO193</f>
        <v>5.2162753162474411</v>
      </c>
      <c r="AH623" s="110">
        <f>'Data_in-situ'!EP193</f>
        <v>3</v>
      </c>
      <c r="AI623" s="113">
        <f>'Data_in-situ'!ER193</f>
        <v>-89.296666666666667</v>
      </c>
      <c r="AJ623" s="113">
        <f>'Data_in-situ'!ES193</f>
        <v>6.512511036458978</v>
      </c>
      <c r="AK623" s="110">
        <f>'Data_in-situ'!ET193</f>
        <v>3</v>
      </c>
    </row>
    <row r="624" spans="20:37" x14ac:dyDescent="0.3">
      <c r="T624" s="113">
        <f>'Data_in-situ'!DN186</f>
        <v>396.02095568448323</v>
      </c>
      <c r="U624" s="113">
        <f>'Data_in-situ'!DO186</f>
        <v>825.11321611621167</v>
      </c>
      <c r="V624" s="46">
        <f>'Data_in-situ'!DP186</f>
        <v>3</v>
      </c>
      <c r="W624" s="113">
        <f>'Data_in-situ'!DR186</f>
        <v>5.2453106713176574</v>
      </c>
      <c r="X624" s="113">
        <f>'Data_in-situ'!DS186</f>
        <v>10.686883582340696</v>
      </c>
      <c r="Y624" s="46">
        <f>'Data_in-situ'!DT186</f>
        <v>3</v>
      </c>
      <c r="Z624" s="113">
        <f>'Data_in-situ'!EA441</f>
        <v>0.3</v>
      </c>
      <c r="AA624" s="113">
        <f>'Data_in-situ'!EB441</f>
        <v>0.35</v>
      </c>
      <c r="AB624" s="46">
        <f>'Data_in-situ'!EC441</f>
        <v>6</v>
      </c>
      <c r="AC624" s="113">
        <f>'Data_in-situ'!EE441</f>
        <v>3.7</v>
      </c>
      <c r="AD624" s="113">
        <f>'Data_in-situ'!EF441</f>
        <v>1.05</v>
      </c>
      <c r="AE624" s="46">
        <f>'Data_in-situ'!EG441</f>
        <v>6</v>
      </c>
      <c r="AF624" s="113">
        <f>'Data_in-situ'!EN217</f>
        <v>-37.626417233560076</v>
      </c>
      <c r="AG624" s="113">
        <f>'Data_in-situ'!EO217</f>
        <v>4.4214357150460231</v>
      </c>
      <c r="AH624" s="110">
        <f>'Data_in-situ'!EP217</f>
        <v>6</v>
      </c>
      <c r="AI624" s="113">
        <f>'Data_in-situ'!ER217</f>
        <v>-45.222713794142358</v>
      </c>
      <c r="AJ624" s="113">
        <f>'Data_in-situ'!ES217</f>
        <v>4.4131903136073891</v>
      </c>
      <c r="AK624" s="110">
        <f>'Data_in-situ'!ET217</f>
        <v>6</v>
      </c>
    </row>
    <row r="625" spans="20:37" x14ac:dyDescent="0.3">
      <c r="T625" s="113">
        <f>'Data_in-situ'!DN187</f>
        <v>353.77082505028261</v>
      </c>
      <c r="U625" s="113">
        <f>'Data_in-situ'!DO187</f>
        <v>377.4427718737299</v>
      </c>
      <c r="V625" s="46">
        <f>'Data_in-situ'!DP187</f>
        <v>3</v>
      </c>
      <c r="W625" s="113">
        <f>'Data_in-situ'!DR187</f>
        <v>5.2453106713176574</v>
      </c>
      <c r="X625" s="113">
        <f>'Data_in-situ'!DS187</f>
        <v>10.686883582340696</v>
      </c>
      <c r="Y625" s="46">
        <f>'Data_in-situ'!DT187</f>
        <v>3</v>
      </c>
      <c r="AF625" s="113">
        <f>'Data_in-situ'!EN218</f>
        <v>-37.626417233560076</v>
      </c>
      <c r="AG625" s="113">
        <f>'Data_in-situ'!EO218</f>
        <v>4.4214357150460231</v>
      </c>
      <c r="AH625" s="110">
        <f>'Data_in-situ'!EP218</f>
        <v>6</v>
      </c>
      <c r="AI625" s="113">
        <f>'Data_in-situ'!ER218</f>
        <v>-55.775689347117904</v>
      </c>
      <c r="AJ625" s="113">
        <f>'Data_in-situ'!ES218</f>
        <v>3.8401258483742482</v>
      </c>
      <c r="AK625" s="110">
        <f>'Data_in-situ'!ET218</f>
        <v>6</v>
      </c>
    </row>
    <row r="626" spans="20:37" x14ac:dyDescent="0.3">
      <c r="T626" s="113">
        <f>'Data_in-situ'!DN188</f>
        <v>1212.2979432249506</v>
      </c>
      <c r="U626" s="113">
        <f>'Data_in-situ'!DO188</f>
        <v>318.03950472765939</v>
      </c>
      <c r="V626" s="46">
        <f>'Data_in-situ'!DP188</f>
        <v>3</v>
      </c>
      <c r="W626" s="113">
        <f>'Data_in-situ'!DR188</f>
        <v>4.8706456233663973</v>
      </c>
      <c r="X626" s="113">
        <f>'Data_in-situ'!DS188</f>
        <v>10.042950275238745</v>
      </c>
      <c r="Y626" s="46">
        <f>'Data_in-situ'!DT188</f>
        <v>3</v>
      </c>
      <c r="AF626" s="113">
        <f>'Data_in-situ'!EN331</f>
        <v>-1.7536945812807845</v>
      </c>
      <c r="AG626" s="113">
        <f>'Data_in-situ'!EO331</f>
        <v>0.69808857905462174</v>
      </c>
      <c r="AH626" s="110">
        <f>'Data_in-situ'!EP331</f>
        <v>3</v>
      </c>
      <c r="AI626" s="113">
        <f>'Data_in-situ'!ER331</f>
        <v>-7.7635467980295543</v>
      </c>
      <c r="AJ626" s="113">
        <f>'Data_in-situ'!ES331</f>
        <v>0.98832726576778518</v>
      </c>
      <c r="AK626" s="110">
        <f>'Data_in-situ'!ET331</f>
        <v>3</v>
      </c>
    </row>
    <row r="627" spans="20:37" x14ac:dyDescent="0.3">
      <c r="T627" s="113">
        <f>'Data_in-situ'!DN189</f>
        <v>1212.2979432249506</v>
      </c>
      <c r="U627" s="113">
        <f>'Data_in-situ'!DO189</f>
        <v>318.03950472765939</v>
      </c>
      <c r="V627" s="46">
        <f>'Data_in-situ'!DP189</f>
        <v>3</v>
      </c>
      <c r="W627" s="113">
        <f>'Data_in-situ'!DR189</f>
        <v>4.4959805754151345</v>
      </c>
      <c r="X627" s="113">
        <f>'Data_in-situ'!DS189</f>
        <v>9.194274493457808</v>
      </c>
      <c r="Y627" s="46">
        <f>'Data_in-situ'!DT189</f>
        <v>3</v>
      </c>
      <c r="AF627" s="113">
        <f>'Data_in-situ'!EN332</f>
        <v>-1.7536945812807845</v>
      </c>
      <c r="AG627" s="113">
        <f>'Data_in-situ'!EO332</f>
        <v>0.69808857905462174</v>
      </c>
      <c r="AH627" s="110">
        <f>'Data_in-situ'!EP332</f>
        <v>3</v>
      </c>
      <c r="AI627" s="113">
        <f>'Data_in-situ'!ER332</f>
        <v>-13.556650246305416</v>
      </c>
      <c r="AJ627" s="113">
        <f>'Data_in-situ'!ES332</f>
        <v>1.7667087815907134</v>
      </c>
      <c r="AK627" s="110">
        <f>'Data_in-situ'!ET332</f>
        <v>3</v>
      </c>
    </row>
    <row r="628" spans="20:37" x14ac:dyDescent="0.3">
      <c r="T628" s="113">
        <f>'Data_in-situ'!DN190</f>
        <v>1212.2979432249506</v>
      </c>
      <c r="U628" s="113">
        <f>'Data_in-situ'!DO190</f>
        <v>318.03950472765939</v>
      </c>
      <c r="V628" s="46">
        <f>'Data_in-situ'!DP190</f>
        <v>3</v>
      </c>
      <c r="W628" s="113">
        <f>'Data_in-situ'!DR190</f>
        <v>6.3693058151714421</v>
      </c>
      <c r="X628" s="113">
        <f>'Data_in-situ'!DS190</f>
        <v>13.141978030809039</v>
      </c>
      <c r="Y628" s="46">
        <f>'Data_in-situ'!DT190</f>
        <v>3</v>
      </c>
      <c r="AF628" s="113">
        <f>'Data_in-situ'!EN372</f>
        <v>-40.51870340955886</v>
      </c>
      <c r="AG628" s="113">
        <f>'Data_in-situ'!EO372</f>
        <v>20.370209301600063</v>
      </c>
      <c r="AH628" s="110">
        <f>'Data_in-situ'!EP372</f>
        <v>6</v>
      </c>
      <c r="AI628" s="113">
        <f>'Data_in-situ'!ER372</f>
        <v>-50.351292976661703</v>
      </c>
      <c r="AJ628" s="113">
        <f>'Data_in-situ'!ES372</f>
        <v>17.957460020005087</v>
      </c>
      <c r="AK628" s="110">
        <f>'Data_in-situ'!ET372</f>
        <v>6</v>
      </c>
    </row>
    <row r="629" spans="20:37" x14ac:dyDescent="0.3">
      <c r="T629" s="113">
        <f>'Data_in-situ'!DN191</f>
        <v>353.77082505028261</v>
      </c>
      <c r="U629" s="113">
        <f>'Data_in-situ'!DO191</f>
        <v>377.4427718737299</v>
      </c>
      <c r="V629" s="46">
        <f>'Data_in-situ'!DP191</f>
        <v>3</v>
      </c>
      <c r="W629" s="113">
        <f>'Data_in-situ'!DR191</f>
        <v>4.8706456233663973</v>
      </c>
      <c r="X629" s="113">
        <f>'Data_in-situ'!DS191</f>
        <v>10.042950275238745</v>
      </c>
      <c r="Y629" s="46">
        <f>'Data_in-situ'!DT191</f>
        <v>3</v>
      </c>
      <c r="AF629" s="113">
        <f>'Data_in-situ'!EN373</f>
        <v>-40.51870340955886</v>
      </c>
      <c r="AG629" s="113">
        <f>'Data_in-situ'!EO373</f>
        <v>20.370209301600063</v>
      </c>
      <c r="AH629" s="110">
        <f>'Data_in-situ'!EP373</f>
        <v>6</v>
      </c>
      <c r="AI629" s="113">
        <f>'Data_in-situ'!ER373</f>
        <v>-50.44953735219223</v>
      </c>
      <c r="AJ629" s="113">
        <f>'Data_in-situ'!ES373</f>
        <v>14.661286194047287</v>
      </c>
      <c r="AK629" s="110">
        <f>'Data_in-situ'!ET373</f>
        <v>6</v>
      </c>
    </row>
    <row r="630" spans="20:37" x14ac:dyDescent="0.3">
      <c r="T630" s="113">
        <f>'Data_in-situ'!DN192</f>
        <v>353.77082505028261</v>
      </c>
      <c r="U630" s="113">
        <f>'Data_in-situ'!DO192</f>
        <v>377.4427718737299</v>
      </c>
      <c r="V630" s="46">
        <f>'Data_in-situ'!DP192</f>
        <v>3</v>
      </c>
      <c r="W630" s="113">
        <f>'Data_in-situ'!DR192</f>
        <v>4.4959805754151345</v>
      </c>
      <c r="X630" s="113">
        <f>'Data_in-situ'!DS192</f>
        <v>9.194274493457808</v>
      </c>
      <c r="Y630" s="46">
        <f>'Data_in-situ'!DT192</f>
        <v>3</v>
      </c>
      <c r="AF630" s="113">
        <f>'Data_in-situ'!EN374</f>
        <v>-18.43977174360656</v>
      </c>
      <c r="AG630" s="113">
        <f>'Data_in-situ'!EO374</f>
        <v>7.4660723000216542</v>
      </c>
      <c r="AH630" s="110">
        <f>'Data_in-situ'!EP374</f>
        <v>6</v>
      </c>
      <c r="AI630" s="113">
        <f>'Data_in-situ'!ER374</f>
        <v>-32.926909210095033</v>
      </c>
      <c r="AJ630" s="113">
        <f>'Data_in-situ'!ES374</f>
        <v>5.9181798677139321</v>
      </c>
      <c r="AK630" s="110">
        <f>'Data_in-situ'!ET374</f>
        <v>6</v>
      </c>
    </row>
    <row r="631" spans="20:37" x14ac:dyDescent="0.3">
      <c r="T631" s="113">
        <f>'Data_in-situ'!DN193</f>
        <v>353.77082505028261</v>
      </c>
      <c r="U631" s="113">
        <f>'Data_in-situ'!DO193</f>
        <v>377.4427718737299</v>
      </c>
      <c r="V631" s="46">
        <f>'Data_in-situ'!DP193</f>
        <v>3</v>
      </c>
      <c r="W631" s="113">
        <f>'Data_in-situ'!DR193</f>
        <v>6.3693058151714421</v>
      </c>
      <c r="X631" s="113">
        <f>'Data_in-situ'!DS193</f>
        <v>13.141978030809039</v>
      </c>
      <c r="Y631" s="46">
        <f>'Data_in-situ'!DT193</f>
        <v>3</v>
      </c>
      <c r="AF631" s="113">
        <f>'Data_in-situ'!EN375</f>
        <v>-18.43977174360656</v>
      </c>
      <c r="AG631" s="113">
        <f>'Data_in-situ'!EO375</f>
        <v>7.4660723000216542</v>
      </c>
      <c r="AH631" s="110">
        <f>'Data_in-situ'!EP375</f>
        <v>6</v>
      </c>
      <c r="AI631" s="113">
        <f>'Data_in-situ'!ER375</f>
        <v>-40.367064742679283</v>
      </c>
      <c r="AJ631" s="113">
        <f>'Data_in-situ'!ES375</f>
        <v>4.0843551355325198</v>
      </c>
      <c r="AK631" s="110">
        <f>'Data_in-situ'!ET375</f>
        <v>6</v>
      </c>
    </row>
    <row r="632" spans="20:37" x14ac:dyDescent="0.3">
      <c r="T632" s="113">
        <f>'Data_in-situ'!DN217</f>
        <v>42.739726027397303</v>
      </c>
      <c r="U632" s="113">
        <f>'Data_in-situ'!DO217</f>
        <v>33.554654010728207</v>
      </c>
      <c r="V632" s="46">
        <f>'Data_in-situ'!DP217</f>
        <v>6</v>
      </c>
      <c r="W632" s="113">
        <f>'Data_in-situ'!DR217</f>
        <v>15.6164383561644</v>
      </c>
      <c r="X632" s="113">
        <f>'Data_in-situ'!DS217</f>
        <v>21.474978566866142</v>
      </c>
      <c r="Y632" s="46">
        <f>'Data_in-situ'!DT217</f>
        <v>6</v>
      </c>
      <c r="AF632" s="113">
        <f>'Data_in-situ'!EN376</f>
        <v>-25.327560341085523</v>
      </c>
      <c r="AG632" s="113">
        <f>'Data_in-situ'!EO376</f>
        <v>3.7216854561993782</v>
      </c>
      <c r="AH632" s="110">
        <f>'Data_in-situ'!EP376</f>
        <v>6</v>
      </c>
      <c r="AI632" s="113">
        <f>'Data_in-situ'!ER376</f>
        <v>-38.138726825441289</v>
      </c>
      <c r="AJ632" s="113">
        <f>'Data_in-situ'!ES376</f>
        <v>2.9417033415847209</v>
      </c>
      <c r="AK632" s="110">
        <f>'Data_in-situ'!ET376</f>
        <v>6</v>
      </c>
    </row>
    <row r="633" spans="20:37" x14ac:dyDescent="0.3">
      <c r="T633" s="113">
        <f>'Data_in-situ'!DN218</f>
        <v>42.739726027397296</v>
      </c>
      <c r="U633" s="113">
        <f>'Data_in-situ'!DO218</f>
        <v>33.554654010728207</v>
      </c>
      <c r="V633" s="46">
        <f>'Data_in-situ'!DP218</f>
        <v>6</v>
      </c>
      <c r="W633" s="113">
        <f>'Data_in-situ'!DR218</f>
        <v>16.164383561643799</v>
      </c>
      <c r="X633" s="113">
        <f>'Data_in-situ'!DS218</f>
        <v>14.764047764720594</v>
      </c>
      <c r="Y633" s="46">
        <f>'Data_in-situ'!DT218</f>
        <v>6</v>
      </c>
      <c r="AF633" s="113">
        <f>'Data_in-situ'!EN377</f>
        <v>-25.327560341085523</v>
      </c>
      <c r="AG633" s="113">
        <f>'Data_in-situ'!EO377</f>
        <v>3.7216854561993782</v>
      </c>
      <c r="AH633" s="110">
        <f>'Data_in-situ'!EP377</f>
        <v>6</v>
      </c>
      <c r="AI633" s="113">
        <f>'Data_in-situ'!ER377</f>
        <v>-44.870926010354054</v>
      </c>
      <c r="AJ633" s="113">
        <f>'Data_in-situ'!ES377</f>
        <v>2.2702362142729355</v>
      </c>
      <c r="AK633" s="110">
        <f>'Data_in-situ'!ET377</f>
        <v>6</v>
      </c>
    </row>
    <row r="634" spans="20:37" x14ac:dyDescent="0.3">
      <c r="T634" s="113">
        <f>'Data_in-situ'!DN331</f>
        <v>130.67000000000002</v>
      </c>
      <c r="U634" s="113">
        <f>'Data_in-situ'!DO331</f>
        <v>68.193149695063454</v>
      </c>
      <c r="V634" s="46">
        <f>'Data_in-situ'!DP331</f>
        <v>3</v>
      </c>
      <c r="W634" s="113">
        <f>'Data_in-situ'!DR331</f>
        <v>61.027999999999992</v>
      </c>
      <c r="X634" s="113">
        <f>'Data_in-situ'!DS331</f>
        <v>43.24238046176459</v>
      </c>
      <c r="Y634" s="46">
        <f>'Data_in-situ'!DT331</f>
        <v>3</v>
      </c>
      <c r="AF634" s="113">
        <f>'Data_in-situ'!EN378</f>
        <v>-48.76169720736587</v>
      </c>
      <c r="AG634" s="113">
        <f>'Data_in-situ'!EO378</f>
        <v>3.8844664928993486</v>
      </c>
      <c r="AH634" s="110">
        <f>'Data_in-situ'!EP378</f>
        <v>6</v>
      </c>
      <c r="AI634" s="113">
        <f>'Data_in-situ'!ER378</f>
        <v>-60.453706185710573</v>
      </c>
      <c r="AJ634" s="113">
        <f>'Data_in-situ'!ES378</f>
        <v>3.5711359265362042</v>
      </c>
      <c r="AK634" s="110">
        <f>'Data_in-situ'!ET378</f>
        <v>6</v>
      </c>
    </row>
    <row r="635" spans="20:37" x14ac:dyDescent="0.3">
      <c r="T635" s="113">
        <f>'Data_in-situ'!DN332</f>
        <v>130.67000000000002</v>
      </c>
      <c r="U635" s="113">
        <f>'Data_in-situ'!DO332</f>
        <v>68.193149695063454</v>
      </c>
      <c r="V635" s="46">
        <f>'Data_in-situ'!DP332</f>
        <v>3</v>
      </c>
      <c r="W635" s="113">
        <f>'Data_in-situ'!DR332</f>
        <v>1.3626666666666667</v>
      </c>
      <c r="X635" s="113">
        <f>'Data_in-situ'!DS332</f>
        <v>1.5172765074303363</v>
      </c>
      <c r="Y635" s="46">
        <f>'Data_in-situ'!DT332</f>
        <v>3</v>
      </c>
      <c r="AF635" s="113">
        <f>'Data_in-situ'!EN379</f>
        <v>-48.76169720736587</v>
      </c>
      <c r="AG635" s="113">
        <f>'Data_in-situ'!EO379</f>
        <v>3.8844664928993486</v>
      </c>
      <c r="AH635" s="110">
        <f>'Data_in-situ'!EP379</f>
        <v>6</v>
      </c>
      <c r="AI635" s="113">
        <f>'Data_in-situ'!ER379</f>
        <v>-64.194692039592596</v>
      </c>
      <c r="AJ635" s="113">
        <f>'Data_in-situ'!ES379</f>
        <v>3.0503400500711311</v>
      </c>
      <c r="AK635" s="110">
        <f>'Data_in-situ'!ET379</f>
        <v>6</v>
      </c>
    </row>
    <row r="636" spans="20:37" x14ac:dyDescent="0.3">
      <c r="T636" s="113">
        <f>'Data_in-situ'!DN394</f>
        <v>3.0991760299625515</v>
      </c>
      <c r="U636" s="113">
        <f>'Data_in-situ'!DO394</f>
        <v>0.97725273241836819</v>
      </c>
      <c r="V636" s="46">
        <f>'Data_in-situ'!DP394</f>
        <v>4</v>
      </c>
      <c r="W636" s="113">
        <f>'Data_in-situ'!DR394</f>
        <v>1.5322846441947573</v>
      </c>
      <c r="X636" s="113">
        <f>'Data_in-situ'!DS394</f>
        <v>0.41650576982959864</v>
      </c>
      <c r="Y636" s="46">
        <f>'Data_in-situ'!DT394</f>
        <v>4</v>
      </c>
      <c r="AF636" s="113">
        <f>'Data_in-situ'!EN432</f>
        <v>-14.226633581472301</v>
      </c>
      <c r="AG636" s="113">
        <f>'Data_in-situ'!EO432</f>
        <v>0.84179554111043309</v>
      </c>
      <c r="AH636" s="110">
        <f>'Data_in-situ'!EP432</f>
        <v>3</v>
      </c>
      <c r="AI636" s="113">
        <f>'Data_in-situ'!ER432</f>
        <v>-56.100981767180912</v>
      </c>
      <c r="AJ636" s="113">
        <f>'Data_in-situ'!ES432</f>
        <v>3.5983168804300347</v>
      </c>
      <c r="AK636" s="110">
        <f>'Data_in-situ'!ET432</f>
        <v>3</v>
      </c>
    </row>
    <row r="637" spans="20:37" x14ac:dyDescent="0.3">
      <c r="T637" s="113">
        <f>'Data_in-situ'!DN395</f>
        <v>3.0991760299625515</v>
      </c>
      <c r="U637" s="113">
        <f>'Data_in-situ'!DO395</f>
        <v>0.97725273241836819</v>
      </c>
      <c r="V637" s="46">
        <f>'Data_in-situ'!DP395</f>
        <v>4</v>
      </c>
      <c r="W637" s="113">
        <f>'Data_in-situ'!DR395</f>
        <v>0.58179775280898871</v>
      </c>
      <c r="X637" s="113">
        <f>'Data_in-situ'!DS395</f>
        <v>0.21030694588731111</v>
      </c>
      <c r="Y637" s="46">
        <f>'Data_in-situ'!DT395</f>
        <v>4</v>
      </c>
      <c r="AF637" s="113">
        <f>'Data_in-situ'!EN433</f>
        <v>-12.821300563236036</v>
      </c>
      <c r="AG637" s="113">
        <f>'Data_in-situ'!EO433</f>
        <v>0.77828981054787205</v>
      </c>
      <c r="AH637" s="110">
        <f>'Data_in-situ'!EP433</f>
        <v>3</v>
      </c>
      <c r="AI637" s="113">
        <f>'Data_in-situ'!ER433</f>
        <v>-49.305962854349943</v>
      </c>
      <c r="AJ637" s="113">
        <f>'Data_in-situ'!ES433</f>
        <v>4.302708385623629</v>
      </c>
      <c r="AK637" s="110">
        <f>'Data_in-situ'!ET433</f>
        <v>3</v>
      </c>
    </row>
    <row r="638" spans="20:37" x14ac:dyDescent="0.3">
      <c r="T638" s="113">
        <f>'Data_in-situ'!DN432</f>
        <v>75.653333333333322</v>
      </c>
      <c r="U638" s="113">
        <f>'Data_in-situ'!DO432</f>
        <v>22.585942530698158</v>
      </c>
      <c r="V638" s="46">
        <f>'Data_in-situ'!DP432</f>
        <v>3</v>
      </c>
      <c r="W638" s="113">
        <f>'Data_in-situ'!DR432</f>
        <v>1.9466666666666665</v>
      </c>
      <c r="X638" s="113">
        <f>'Data_in-situ'!DS432</f>
        <v>8.1752798117251011</v>
      </c>
      <c r="Y638" s="46">
        <f>'Data_in-situ'!DT432</f>
        <v>3</v>
      </c>
      <c r="AF638" s="113">
        <f>'Data_in-situ'!EN447</f>
        <v>-17.3</v>
      </c>
      <c r="AG638" s="113">
        <f>'Data_in-situ'!EO447</f>
        <v>2.2516660498395402</v>
      </c>
      <c r="AH638" s="110">
        <f>'Data_in-situ'!EP447</f>
        <v>3</v>
      </c>
      <c r="AI638" s="113">
        <f>'Data_in-situ'!ER447</f>
        <v>-21.9</v>
      </c>
      <c r="AJ638" s="113">
        <f>'Data_in-situ'!ES447</f>
        <v>3.4641016151377544</v>
      </c>
      <c r="AK638" s="110">
        <f>'Data_in-situ'!ET447</f>
        <v>3</v>
      </c>
    </row>
    <row r="639" spans="20:37" x14ac:dyDescent="0.3">
      <c r="T639" s="113">
        <f>'Data_in-situ'!DN433</f>
        <v>36.813333333333333</v>
      </c>
      <c r="U639" s="113">
        <f>'Data_in-situ'!DO433</f>
        <v>5.8889727457341818</v>
      </c>
      <c r="V639" s="46">
        <f>'Data_in-situ'!DP433</f>
        <v>3</v>
      </c>
      <c r="W639" s="113">
        <f>'Data_in-situ'!DR433</f>
        <v>0.97333333333333327</v>
      </c>
      <c r="X639" s="113">
        <f>'Data_in-situ'!DS433</f>
        <v>1.1777945491468365</v>
      </c>
      <c r="Y639" s="46">
        <f>'Data_in-situ'!DT433</f>
        <v>3</v>
      </c>
      <c r="AF639" s="113">
        <f>'Data_in-situ'!EN454</f>
        <v>-5.6149732620320822</v>
      </c>
      <c r="AG639" s="113">
        <f>'Data_in-situ'!EO454</f>
        <v>0.89761221109140865</v>
      </c>
      <c r="AH639" s="110">
        <f>'Data_in-situ'!EP454</f>
        <v>3</v>
      </c>
      <c r="AI639" s="113">
        <f>'Data_in-situ'!ER454</f>
        <v>-132.2570532915361</v>
      </c>
      <c r="AJ639" s="113">
        <f>'Data_in-situ'!ES454</f>
        <v>8.6718103212007449</v>
      </c>
      <c r="AK639" s="110">
        <f>'Data_in-situ'!ET454</f>
        <v>3</v>
      </c>
    </row>
    <row r="640" spans="20:37" x14ac:dyDescent="0.3">
      <c r="T640" s="113">
        <f>'Data_in-situ'!DN434</f>
        <v>198.66666666666666</v>
      </c>
      <c r="U640" s="113">
        <f>'Data_in-situ'!DO434</f>
        <v>221.4893521131051</v>
      </c>
      <c r="V640" s="46">
        <f>'Data_in-situ'!DP434</f>
        <v>3</v>
      </c>
      <c r="W640" s="113">
        <f>'Data_in-situ'!DR434</f>
        <v>2.8000000000000003</v>
      </c>
      <c r="X640" s="113">
        <f>'Data_in-situ'!DS434</f>
        <v>10.464205624966828</v>
      </c>
      <c r="Y640" s="46">
        <f>'Data_in-situ'!DT434</f>
        <v>3</v>
      </c>
      <c r="AF640" s="113">
        <f>'Data_in-situ'!EN455</f>
        <v>-5.6149732620320822</v>
      </c>
      <c r="AG640" s="113">
        <f>'Data_in-situ'!EO455</f>
        <v>0.89761221109140865</v>
      </c>
      <c r="AH640" s="110">
        <f>'Data_in-situ'!EP455</f>
        <v>3</v>
      </c>
      <c r="AI640" s="113">
        <f>'Data_in-situ'!ER455</f>
        <v>-65.23510971786834</v>
      </c>
      <c r="AJ640" s="113">
        <f>'Data_in-situ'!ES455</f>
        <v>10.177520442006553</v>
      </c>
      <c r="AK640" s="110">
        <f>'Data_in-situ'!ET455</f>
        <v>3</v>
      </c>
    </row>
    <row r="641" spans="1:37" x14ac:dyDescent="0.3">
      <c r="T641" s="113">
        <f>'Data_in-situ'!DN435</f>
        <v>345.33333333333331</v>
      </c>
      <c r="U641" s="113">
        <f>'Data_in-situ'!DO435</f>
        <v>385.00498118989412</v>
      </c>
      <c r="V641" s="46">
        <f>'Data_in-situ'!DP435</f>
        <v>3</v>
      </c>
      <c r="W641" s="113">
        <f>'Data_in-situ'!DR435</f>
        <v>1.3333333333333333</v>
      </c>
      <c r="X641" s="113">
        <f>'Data_in-situ'!DS435</f>
        <v>4.9829550595080132</v>
      </c>
      <c r="Y641" s="46">
        <f>'Data_in-situ'!DT435</f>
        <v>3</v>
      </c>
    </row>
    <row r="642" spans="1:37" x14ac:dyDescent="0.3">
      <c r="T642" s="113">
        <f>'Data_in-situ'!DN441</f>
        <v>172</v>
      </c>
      <c r="U642" s="113">
        <f>'Data_in-situ'!DO441</f>
        <v>22</v>
      </c>
      <c r="V642" s="46">
        <f>'Data_in-situ'!DP441</f>
        <v>6</v>
      </c>
      <c r="W642" s="113">
        <f>'Data_in-situ'!DR441</f>
        <v>1.5</v>
      </c>
      <c r="X642" s="113">
        <f>'Data_in-situ'!DS441</f>
        <v>1.6</v>
      </c>
      <c r="Y642" s="46">
        <f>'Data_in-situ'!DT441</f>
        <v>6</v>
      </c>
    </row>
    <row r="643" spans="1:37" x14ac:dyDescent="0.3">
      <c r="T643" s="113">
        <f>'Data_in-situ'!DN454</f>
        <v>26.051392891450497</v>
      </c>
      <c r="U643" s="113">
        <f>'Data_in-situ'!DO454</f>
        <v>12.515768654879148</v>
      </c>
      <c r="V643" s="46">
        <f>'Data_in-situ'!DP454</f>
        <v>3</v>
      </c>
      <c r="W643" s="113">
        <f>'Data_in-situ'!DR454</f>
        <v>-2.2790585975024058</v>
      </c>
      <c r="X643" s="113">
        <f>'Data_in-situ'!DS454</f>
        <v>1.8593013863594432</v>
      </c>
      <c r="Y643" s="46">
        <f>'Data_in-situ'!DT454</f>
        <v>3</v>
      </c>
    </row>
    <row r="645" spans="1:37" x14ac:dyDescent="0.3">
      <c r="A645" s="110" t="s">
        <v>831</v>
      </c>
      <c r="B645" s="24">
        <f>AVERAGEA(B604:B643)</f>
        <v>-69506.64971371743</v>
      </c>
      <c r="C645" s="24">
        <f>STDEVA(B604:B643)/SQRT(COUNT(B604:B643))</f>
        <v>37032.738252977731</v>
      </c>
      <c r="D645" s="46">
        <f>COUNT(B604:B643)</f>
        <v>5</v>
      </c>
      <c r="E645" s="24">
        <f>AVERAGEA(E604:E643)</f>
        <v>-88130.231227425975</v>
      </c>
      <c r="F645" s="24">
        <f>STDEVA(E604:E643)/SQRT(COUNT(E604:E643))</f>
        <v>36044.042820690956</v>
      </c>
      <c r="G645" s="46">
        <f>COUNT(E604:E643)</f>
        <v>5</v>
      </c>
      <c r="H645" s="24">
        <f>AVERAGEA(H604:H643)</f>
        <v>31083.836405710172</v>
      </c>
      <c r="I645" s="24">
        <f>STDEVA(H604:H643)/SQRT(COUNT(H604:H643))</f>
        <v>14799.73958715476</v>
      </c>
      <c r="J645" s="46">
        <f>COUNT(H604:H643)</f>
        <v>5</v>
      </c>
      <c r="K645" s="24">
        <f>AVERAGEA(K604:K643)</f>
        <v>62495.361091212326</v>
      </c>
      <c r="L645" s="24">
        <f>STDEVA(K604:K643)/SQRT(COUNT(K604:K643))</f>
        <v>22845.091910056035</v>
      </c>
      <c r="M645" s="46">
        <f>COUNT(K604:K643)</f>
        <v>5</v>
      </c>
      <c r="N645" s="24">
        <f>AVERAGEA(N604:N643)</f>
        <v>-38368.611399572284</v>
      </c>
      <c r="O645" s="24">
        <f>STDEVA(N604:N643)/SQRT(COUNT(N604:N643))</f>
        <v>22257.270557969907</v>
      </c>
      <c r="P645" s="46">
        <f>COUNT(N604:N643)</f>
        <v>5</v>
      </c>
      <c r="Q645" s="24">
        <f>AVERAGEA(Q604:Q643)</f>
        <v>-24385.815394899626</v>
      </c>
      <c r="R645" s="24">
        <f>STDEVA(Q604:Q643)/SQRT(COUNT(Q604:Q643))</f>
        <v>13953.752872510328</v>
      </c>
      <c r="S645" s="46">
        <f>COUNT(Q604:Q643)</f>
        <v>5</v>
      </c>
      <c r="T645" s="113">
        <f>AVERAGEA(T604:T643)</f>
        <v>366.03596280611833</v>
      </c>
      <c r="U645" s="113">
        <f>STDEVA(T604:T643)/SQRT(COUNT(T604:T643))</f>
        <v>82.178281824415748</v>
      </c>
      <c r="V645" s="46">
        <f>COUNT(T604:T643)</f>
        <v>40</v>
      </c>
      <c r="W645" s="113">
        <f>AVERAGEA(W604:W643)</f>
        <v>5.9477987611712404</v>
      </c>
      <c r="X645" s="113">
        <f>STDEVA(W604:W643)/SQRT(COUNT(W604:W643))</f>
        <v>1.8705068084097511</v>
      </c>
      <c r="Y645" s="46">
        <f>COUNT(W604:W643)</f>
        <v>40</v>
      </c>
      <c r="Z645" s="113">
        <f>AVERAGEA(Z604:Z643)</f>
        <v>0.68271562233647898</v>
      </c>
      <c r="AA645" s="113">
        <f>STDEVA(Z604:Z643)/SQRT(COUNT(Z604:Z643))</f>
        <v>0.3514106217451532</v>
      </c>
      <c r="AB645" s="46">
        <f>COUNT(Z604:Z643)</f>
        <v>21</v>
      </c>
      <c r="AC645" s="113">
        <f>AVERAGEA(AC604:AC643)</f>
        <v>5.0821769532844971</v>
      </c>
      <c r="AD645" s="113">
        <f>STDEVA(AC604:AC643)/SQRT(COUNT(AC604:AC643))</f>
        <v>1.8046804877905598</v>
      </c>
      <c r="AE645" s="46">
        <f>COUNT(AC604:AC643)</f>
        <v>21</v>
      </c>
      <c r="AF645" s="113">
        <f>AVERAGEA(AF604:AF643)</f>
        <v>-23.477952334279848</v>
      </c>
      <c r="AG645" s="113">
        <f>STDEVA(AF604:AF643)/SQRT(COUNT(AF604:AF643))</f>
        <v>5.5169499518057172</v>
      </c>
      <c r="AH645" s="110">
        <f>COUNT(AF604:AF643)</f>
        <v>37</v>
      </c>
      <c r="AI645" s="113">
        <f>AVERAGEA(AI604:AI643)</f>
        <v>-71.686321526826788</v>
      </c>
      <c r="AJ645" s="113">
        <f>STDEVA(AI604:AI643)/SQRT(COUNT(AI604:AI643))</f>
        <v>5.2612933016146188</v>
      </c>
      <c r="AK645" s="110">
        <f>COUNT(AI604:AI643)</f>
        <v>37</v>
      </c>
    </row>
    <row r="647" spans="1:37" x14ac:dyDescent="0.3">
      <c r="A647" s="110" t="s">
        <v>930</v>
      </c>
      <c r="B647" s="24">
        <f>'Data_in-situ'!CA468</f>
        <v>-38630</v>
      </c>
      <c r="C647" s="24">
        <f>'Data_in-situ'!CB468</f>
        <v>9418.3980924076168</v>
      </c>
      <c r="D647" s="46">
        <f>'Data_in-situ'!CC468</f>
        <v>1</v>
      </c>
      <c r="E647" s="24">
        <f>'Data_in-situ'!CE468</f>
        <v>-35990</v>
      </c>
      <c r="F647" s="24">
        <f>'Data_in-situ'!CF468</f>
        <v>880</v>
      </c>
      <c r="G647" s="46">
        <f>'Data_in-situ'!CG468</f>
        <v>1</v>
      </c>
      <c r="H647" s="24">
        <f>'Data_in-situ'!CN468</f>
        <v>37280</v>
      </c>
      <c r="I647" s="24">
        <f>'Data_in-situ'!CO468</f>
        <v>1760</v>
      </c>
      <c r="J647" s="46">
        <f>'Data_in-situ'!CP468</f>
        <v>1</v>
      </c>
      <c r="K647" s="24">
        <f>'Data_in-situ'!CR468</f>
        <v>35670</v>
      </c>
      <c r="L647" s="24">
        <f>'Data_in-situ'!CS468</f>
        <v>670</v>
      </c>
      <c r="M647" s="46">
        <f>'Data_in-situ'!CT468</f>
        <v>1</v>
      </c>
      <c r="N647" s="24">
        <f>'Data_in-situ'!DA32</f>
        <v>8950.3333333333303</v>
      </c>
      <c r="O647" s="24">
        <f>'Data_in-situ'!DB32</f>
        <v>4633.1130043536723</v>
      </c>
      <c r="P647" s="46">
        <f>'Data_in-situ'!DC32</f>
        <v>6</v>
      </c>
      <c r="Q647" s="24">
        <f>'Data_in-situ'!DE32</f>
        <v>19004.333333333336</v>
      </c>
      <c r="R647" s="24">
        <f>'Data_in-situ'!DF32</f>
        <v>11808.648436162748</v>
      </c>
      <c r="S647" s="46">
        <f>'Data_in-situ'!DG32</f>
        <v>6</v>
      </c>
      <c r="T647" s="113">
        <f>'Data_in-situ'!DN32</f>
        <v>88</v>
      </c>
      <c r="U647" s="113">
        <f>'Data_in-situ'!DO32</f>
        <v>60.472215842392352</v>
      </c>
      <c r="V647" s="46">
        <f>'Data_in-situ'!DP32</f>
        <v>6</v>
      </c>
      <c r="W647" s="113">
        <f>'Data_in-situ'!DR32</f>
        <v>-2</v>
      </c>
      <c r="X647" s="113">
        <f>'Data_in-situ'!DS32</f>
        <v>5.9628479399994392</v>
      </c>
      <c r="Y647" s="46">
        <f>'Data_in-situ'!DT32</f>
        <v>6</v>
      </c>
      <c r="Z647" s="113">
        <f>'Data_in-situ'!EA146</f>
        <v>-6.8828571428571433E-2</v>
      </c>
      <c r="AA647" s="113">
        <f>'Data_in-situ'!EB146</f>
        <v>0.39576270143804132</v>
      </c>
      <c r="AB647" s="46">
        <f>'Data_in-situ'!EC146</f>
        <v>4</v>
      </c>
      <c r="AC647" s="113">
        <f>'Data_in-situ'!EE146</f>
        <v>4.5977485714285713</v>
      </c>
      <c r="AD647" s="113">
        <f>'Data_in-situ'!EF146</f>
        <v>6.8650794590079105</v>
      </c>
      <c r="AE647" s="46">
        <f>'Data_in-situ'!EG146</f>
        <v>4</v>
      </c>
      <c r="AF647" s="113">
        <f>'Data_in-situ'!EN32</f>
        <v>-15.3</v>
      </c>
      <c r="AG647" s="113">
        <f>'Data_in-situ'!EO32</f>
        <v>3.2</v>
      </c>
      <c r="AH647" s="110">
        <f>'Data_in-situ'!EP32</f>
        <v>6</v>
      </c>
      <c r="AI647" s="113">
        <f>'Data_in-situ'!ER32</f>
        <v>-47.7</v>
      </c>
      <c r="AJ647" s="113">
        <f>'Data_in-situ'!ES32</f>
        <v>6.2</v>
      </c>
      <c r="AK647" s="110">
        <f>'Data_in-situ'!ET32</f>
        <v>6</v>
      </c>
    </row>
    <row r="648" spans="1:37" x14ac:dyDescent="0.3">
      <c r="N648" s="24">
        <f>'Data_in-situ'!DA151</f>
        <v>-77.5</v>
      </c>
      <c r="O648" s="24">
        <f>'Data_in-situ'!DB151</f>
        <v>262.39283526803854</v>
      </c>
      <c r="P648" s="46">
        <f>'Data_in-situ'!DC151</f>
        <v>16</v>
      </c>
      <c r="Q648" s="24">
        <f>'Data_in-situ'!DE151</f>
        <v>665</v>
      </c>
      <c r="R648" s="24">
        <f>'Data_in-situ'!DF151</f>
        <v>360</v>
      </c>
      <c r="S648" s="46">
        <f>'Data_in-situ'!DG151</f>
        <v>16</v>
      </c>
      <c r="T648" s="113">
        <f>'Data_in-situ'!DN77</f>
        <v>107.85213477594468</v>
      </c>
      <c r="U648" s="113">
        <f>'Data_in-situ'!DO77</f>
        <v>101.11467674058741</v>
      </c>
      <c r="V648" s="46">
        <f>'Data_in-situ'!DP77</f>
        <v>6</v>
      </c>
      <c r="W648" s="113">
        <f>'Data_in-situ'!DR77</f>
        <v>11.097</v>
      </c>
      <c r="X648" s="113">
        <f>'Data_in-situ'!DS77</f>
        <v>12.912818417114034</v>
      </c>
      <c r="Y648" s="46">
        <f>'Data_in-situ'!DT77</f>
        <v>6</v>
      </c>
      <c r="Z648" s="113">
        <f>'Data_in-situ'!EA151</f>
        <v>0.215</v>
      </c>
      <c r="AA648" s="113">
        <f>'Data_in-situ'!EB151</f>
        <v>0.95703970659529058</v>
      </c>
      <c r="AB648" s="46">
        <f>'Data_in-situ'!EC151</f>
        <v>17</v>
      </c>
      <c r="AC648" s="113">
        <f>'Data_in-situ'!EE151</f>
        <v>0.85604711683331214</v>
      </c>
      <c r="AD648" s="113">
        <f>'Data_in-situ'!EF151</f>
        <v>3.4241884673332414</v>
      </c>
      <c r="AE648" s="46">
        <f>'Data_in-situ'!EG151</f>
        <v>7</v>
      </c>
      <c r="AF648" s="113">
        <f>'Data_in-situ'!EN77</f>
        <v>-4.5</v>
      </c>
      <c r="AG648" s="113">
        <f>'Data_in-situ'!EO77</f>
        <v>2.7658633371878665</v>
      </c>
      <c r="AH648" s="110">
        <f>'Data_in-situ'!EP77</f>
        <v>2</v>
      </c>
      <c r="AI648" s="113">
        <f>'Data_in-situ'!ER77</f>
        <v>-18.45</v>
      </c>
      <c r="AJ648" s="113">
        <f>'Data_in-situ'!ES77</f>
        <v>8.9505586417832035</v>
      </c>
      <c r="AK648" s="110">
        <f>'Data_in-situ'!ET77</f>
        <v>2</v>
      </c>
    </row>
    <row r="649" spans="1:37" x14ac:dyDescent="0.3">
      <c r="N649" s="24">
        <f>'Data_in-situ'!DA201</f>
        <v>-2040</v>
      </c>
      <c r="O649" s="24">
        <f>'Data_in-situ'!DB201</f>
        <v>6119.2993797198715</v>
      </c>
      <c r="P649" s="46">
        <f>'Data_in-situ'!DC201</f>
        <v>3</v>
      </c>
      <c r="Q649" s="24">
        <f>'Data_in-situ'!DE201</f>
        <v>5060</v>
      </c>
      <c r="R649" s="24">
        <f>'Data_in-situ'!DF201</f>
        <v>698.59382571944718</v>
      </c>
      <c r="S649" s="46">
        <f>'Data_in-situ'!DG201</f>
        <v>3</v>
      </c>
      <c r="T649" s="113">
        <f>'Data_in-situ'!DN78</f>
        <v>107.85213477594468</v>
      </c>
      <c r="U649" s="113">
        <f>'Data_in-situ'!DO78</f>
        <v>101.11467674058741</v>
      </c>
      <c r="V649" s="46">
        <f>'Data_in-situ'!DP78</f>
        <v>6</v>
      </c>
      <c r="W649" s="113">
        <f>'Data_in-situ'!DR78</f>
        <v>23.372199999999999</v>
      </c>
      <c r="X649" s="113">
        <f>'Data_in-situ'!DS78</f>
        <v>23.116574134644171</v>
      </c>
      <c r="Y649" s="46">
        <f>'Data_in-situ'!DT78</f>
        <v>6</v>
      </c>
      <c r="Z649" s="113">
        <f>'Data_in-situ'!EA201</f>
        <v>0</v>
      </c>
      <c r="AA649" s="113">
        <f>'Data_in-situ'!EB201</f>
        <v>0</v>
      </c>
      <c r="AB649" s="46">
        <f>'Data_in-situ'!EC201</f>
        <v>3</v>
      </c>
      <c r="AC649" s="113">
        <f>'Data_in-situ'!EE201</f>
        <v>0.03</v>
      </c>
      <c r="AD649" s="113">
        <f>'Data_in-situ'!EF201</f>
        <v>4.4794181450040799E-2</v>
      </c>
      <c r="AE649" s="46">
        <f>'Data_in-situ'!EG201</f>
        <v>3</v>
      </c>
      <c r="AF649" s="113">
        <f>'Data_in-situ'!EN78</f>
        <v>-4.5</v>
      </c>
      <c r="AG649" s="113">
        <f>'Data_in-situ'!EO78</f>
        <v>2.7658633371878665</v>
      </c>
      <c r="AH649" s="110">
        <f>'Data_in-situ'!EP78</f>
        <v>2</v>
      </c>
      <c r="AI649" s="113">
        <f>'Data_in-situ'!ER78</f>
        <v>-14.3</v>
      </c>
      <c r="AJ649" s="113">
        <f>'Data_in-situ'!ES78</f>
        <v>4.2793106921559225</v>
      </c>
      <c r="AK649" s="110">
        <f>'Data_in-situ'!ET78</f>
        <v>2</v>
      </c>
    </row>
    <row r="650" spans="1:37" x14ac:dyDescent="0.3">
      <c r="N650" s="24">
        <f>'Data_in-situ'!DA202</f>
        <v>-4180</v>
      </c>
      <c r="O650" s="24">
        <f>'Data_in-situ'!DB202</f>
        <v>12538.564415308363</v>
      </c>
      <c r="P650" s="46">
        <f>'Data_in-situ'!DC202</f>
        <v>3</v>
      </c>
      <c r="Q650" s="24">
        <f>'Data_in-situ'!DE202</f>
        <v>1540</v>
      </c>
      <c r="R650" s="24">
        <f>'Data_in-situ'!DF202</f>
        <v>1460.696181049753</v>
      </c>
      <c r="S650" s="46">
        <f>'Data_in-situ'!DG202</f>
        <v>3</v>
      </c>
      <c r="T650" s="113">
        <f>'Data_in-situ'!DN146</f>
        <v>244.12367999999998</v>
      </c>
      <c r="U650" s="113">
        <f>'Data_in-situ'!DO146</f>
        <v>272.16843482550502</v>
      </c>
      <c r="V650" s="46">
        <f>'Data_in-situ'!DP146</f>
        <v>4</v>
      </c>
      <c r="W650" s="113">
        <f>'Data_in-situ'!DR146</f>
        <v>6.7043200000000001</v>
      </c>
      <c r="X650" s="113">
        <f>'Data_in-situ'!DS146</f>
        <v>25.055493948420573</v>
      </c>
      <c r="Y650" s="46">
        <f>'Data_in-situ'!DT146</f>
        <v>6</v>
      </c>
      <c r="Z650" s="113">
        <f>'Data_in-situ'!EA202</f>
        <v>0</v>
      </c>
      <c r="AA650" s="113">
        <f>'Data_in-situ'!EB202</f>
        <v>0</v>
      </c>
      <c r="AB650" s="46">
        <f>'Data_in-situ'!EC202</f>
        <v>3</v>
      </c>
      <c r="AC650" s="113">
        <f>'Data_in-situ'!EE202</f>
        <v>0.05</v>
      </c>
      <c r="AD650" s="113">
        <f>'Data_in-situ'!EF202</f>
        <v>7.4656969083401345E-2</v>
      </c>
      <c r="AE650" s="46">
        <f>'Data_in-situ'!EG202</f>
        <v>3</v>
      </c>
      <c r="AF650" s="113">
        <f>'Data_in-situ'!EN146</f>
        <v>-5</v>
      </c>
      <c r="AG650" s="113">
        <f>'Data_in-situ'!EO146</f>
        <v>2.0374819937564665</v>
      </c>
      <c r="AH650" s="110">
        <f>'Data_in-situ'!EP146</f>
        <v>4</v>
      </c>
      <c r="AI650" s="113">
        <f>'Data_in-situ'!ER146</f>
        <v>-54.4</v>
      </c>
      <c r="AJ650" s="113">
        <f>'Data_in-situ'!ES146</f>
        <v>12.338684510900162</v>
      </c>
      <c r="AK650" s="110">
        <f>'Data_in-situ'!ET146</f>
        <v>6</v>
      </c>
    </row>
    <row r="651" spans="1:37" x14ac:dyDescent="0.3">
      <c r="N651" s="24">
        <f>'Data_in-situ'!DA468</f>
        <v>-1350</v>
      </c>
      <c r="O651" s="24">
        <f>'Data_in-situ'!DB468</f>
        <v>2670</v>
      </c>
      <c r="P651" s="46">
        <f>'Data_in-situ'!DC468</f>
        <v>1</v>
      </c>
      <c r="Q651" s="24">
        <f>'Data_in-situ'!DE468</f>
        <v>-320</v>
      </c>
      <c r="R651" s="24">
        <f>'Data_in-situ'!DF468</f>
        <v>1110</v>
      </c>
      <c r="S651" s="46">
        <f>'Data_in-situ'!DG468</f>
        <v>1</v>
      </c>
      <c r="T651" s="113">
        <f>'Data_in-situ'!DN151</f>
        <v>122.44999999999999</v>
      </c>
      <c r="U651" s="113">
        <f>'Data_in-situ'!DO151</f>
        <v>142.11622884104406</v>
      </c>
      <c r="V651" s="46">
        <f>'Data_in-situ'!DP151</f>
        <v>39</v>
      </c>
      <c r="W651" s="113">
        <f>'Data_in-situ'!DR151</f>
        <v>1.02</v>
      </c>
      <c r="X651" s="113">
        <f>'Data_in-situ'!DS151</f>
        <v>4.08</v>
      </c>
      <c r="Y651" s="46">
        <f>'Data_in-situ'!DT151</f>
        <v>16</v>
      </c>
      <c r="Z651" s="113">
        <f>'Data_in-situ'!EA212</f>
        <v>4.2926101488275123E-2</v>
      </c>
      <c r="AA651" s="113">
        <f>'Data_in-situ'!EB212</f>
        <v>0.24682409549693443</v>
      </c>
      <c r="AB651" s="46">
        <f>'Data_in-situ'!EC212</f>
        <v>46</v>
      </c>
      <c r="AC651" s="113">
        <f>'Data_in-situ'!EE212</f>
        <v>38.025961499819161</v>
      </c>
      <c r="AD651" s="113">
        <f>'Data_in-situ'!EF212</f>
        <v>56.778060641172175</v>
      </c>
      <c r="AE651" s="46">
        <f>'Data_in-situ'!EG212</f>
        <v>66</v>
      </c>
      <c r="AF651" s="113">
        <f>'Data_in-situ'!EN201</f>
        <v>7.1</v>
      </c>
      <c r="AG651" s="113">
        <f>'Data_in-situ'!EO201</f>
        <v>1.3435028842544376</v>
      </c>
      <c r="AH651" s="110">
        <f>'Data_in-situ'!EP201</f>
        <v>3</v>
      </c>
      <c r="AI651" s="113">
        <f>'Data_in-situ'!ER201</f>
        <v>-26</v>
      </c>
      <c r="AJ651" s="113">
        <f>'Data_in-situ'!ES201</f>
        <v>5.6568542494923806</v>
      </c>
      <c r="AK651" s="110">
        <f>'Data_in-situ'!ET201</f>
        <v>3</v>
      </c>
    </row>
    <row r="652" spans="1:37" x14ac:dyDescent="0.3">
      <c r="T652" s="113">
        <f>'Data_in-situ'!DN201</f>
        <v>54.705882352941174</v>
      </c>
      <c r="U652" s="113">
        <f>'Data_in-situ'!DO201</f>
        <v>60.990455230513547</v>
      </c>
      <c r="V652" s="46">
        <f>'Data_in-situ'!DP201</f>
        <v>3</v>
      </c>
      <c r="W652" s="113">
        <f>'Data_in-situ'!DR201</f>
        <v>0</v>
      </c>
      <c r="X652" s="113">
        <f>'Data_in-situ'!DS201</f>
        <v>0</v>
      </c>
      <c r="Y652" s="46">
        <f>'Data_in-situ'!DT201</f>
        <v>3</v>
      </c>
      <c r="AF652" s="113">
        <f>'Data_in-situ'!EN202</f>
        <v>14.2</v>
      </c>
      <c r="AG652" s="113">
        <f>'Data_in-situ'!EO202</f>
        <v>1.9091883092036779</v>
      </c>
      <c r="AH652" s="110">
        <f>'Data_in-situ'!EP202</f>
        <v>3</v>
      </c>
      <c r="AI652" s="113">
        <f>'Data_in-situ'!ER202</f>
        <v>-26.3</v>
      </c>
      <c r="AJ652" s="113">
        <f>'Data_in-situ'!ES202</f>
        <v>4.6669047558312107</v>
      </c>
      <c r="AK652" s="110">
        <f>'Data_in-situ'!ET202</f>
        <v>3</v>
      </c>
    </row>
    <row r="653" spans="1:37" x14ac:dyDescent="0.3">
      <c r="T653" s="113">
        <f>'Data_in-situ'!DN202</f>
        <v>57.352941176470587</v>
      </c>
      <c r="U653" s="113">
        <f>'Data_in-situ'!DO202</f>
        <v>63.941606290054523</v>
      </c>
      <c r="V653" s="46">
        <f>'Data_in-situ'!DP202</f>
        <v>3</v>
      </c>
      <c r="W653" s="113">
        <f>'Data_in-situ'!DR202</f>
        <v>0</v>
      </c>
      <c r="X653" s="113">
        <f>'Data_in-situ'!DS202</f>
        <v>0</v>
      </c>
      <c r="Y653" s="46">
        <f>'Data_in-situ'!DT202</f>
        <v>3</v>
      </c>
      <c r="AF653" s="113">
        <f>'Data_in-situ'!EN212</f>
        <v>-15</v>
      </c>
      <c r="AG653" s="113">
        <f>'Data_in-situ'!EO212</f>
        <v>13</v>
      </c>
      <c r="AH653" s="110">
        <f>'Data_in-situ'!EP212</f>
        <v>9836</v>
      </c>
      <c r="AI653" s="113">
        <f>'Data_in-situ'!ER212</f>
        <v>-68</v>
      </c>
      <c r="AJ653" s="113">
        <f>'Data_in-situ'!ES212</f>
        <v>23</v>
      </c>
      <c r="AK653" s="110">
        <f>'Data_in-situ'!ET212</f>
        <v>11052</v>
      </c>
    </row>
    <row r="654" spans="1:37" x14ac:dyDescent="0.3">
      <c r="T654" s="113">
        <f>'Data_in-situ'!DN212</f>
        <v>70.824570735895975</v>
      </c>
      <c r="U654" s="113">
        <f>'Data_in-situ'!DO212</f>
        <v>78.960847077092538</v>
      </c>
      <c r="V654" s="46">
        <f>'Data_in-situ'!DP212</f>
        <v>46</v>
      </c>
      <c r="W654" s="113">
        <f>'Data_in-situ'!DR212</f>
        <v>-0.12589285714285717</v>
      </c>
      <c r="X654" s="113">
        <f>'Data_in-situ'!DS212</f>
        <v>0.47048883709193973</v>
      </c>
      <c r="Y654" s="46">
        <f>'Data_in-situ'!DT212</f>
        <v>66</v>
      </c>
    </row>
    <row r="656" spans="1:37" x14ac:dyDescent="0.3">
      <c r="A656" s="110" t="s">
        <v>831</v>
      </c>
      <c r="B656" s="24">
        <f>AVERAGEA(B647:B655)</f>
        <v>-38630</v>
      </c>
      <c r="C656" s="24" t="e">
        <f>STDEVA(B647:B655)/SQRT(COUNT(B647:B655))</f>
        <v>#DIV/0!</v>
      </c>
      <c r="D656" s="46">
        <f>COUNT(B647:B655)</f>
        <v>1</v>
      </c>
      <c r="E656" s="24">
        <f>AVERAGEA(E647:E655)</f>
        <v>-35990</v>
      </c>
      <c r="F656" s="24" t="e">
        <f>STDEVA(E647:E655)/SQRT(COUNT(E647:E655))</f>
        <v>#DIV/0!</v>
      </c>
      <c r="G656" s="46">
        <f>COUNT(E647:E655)</f>
        <v>1</v>
      </c>
      <c r="H656" s="24">
        <f>AVERAGEA(H647:H655)</f>
        <v>37280</v>
      </c>
      <c r="I656" s="24" t="e">
        <f>STDEVA(H647:H655)/SQRT(COUNT(H647:H655))</f>
        <v>#DIV/0!</v>
      </c>
      <c r="J656" s="46">
        <f>COUNT(H647:H655)</f>
        <v>1</v>
      </c>
      <c r="K656" s="24">
        <f>AVERAGEA(K647:K655)</f>
        <v>35670</v>
      </c>
      <c r="L656" s="24" t="e">
        <f>STDEVA(K647:K655)/SQRT(COUNT(K647:K655))</f>
        <v>#DIV/0!</v>
      </c>
      <c r="M656" s="46">
        <f>COUNT(K647:K655)</f>
        <v>1</v>
      </c>
      <c r="N656" s="24">
        <f>AVERAGEA(N647:N655)</f>
        <v>260.56666666666604</v>
      </c>
      <c r="O656" s="24">
        <f>STDEVA(N647:N655)/SQRT(COUNT(N647:N655))</f>
        <v>2271.9099683844079</v>
      </c>
      <c r="P656" s="46">
        <f>COUNT(N647:N655)</f>
        <v>5</v>
      </c>
      <c r="Q656" s="24">
        <f>AVERAGEA(Q647:Q655)</f>
        <v>5189.8666666666668</v>
      </c>
      <c r="R656" s="24">
        <f>STDEVA(Q647:Q655)/SQRT(COUNT(Q647:Q655))</f>
        <v>3570.7907412473473</v>
      </c>
      <c r="S656" s="46">
        <f>COUNT(Q647:Q655)</f>
        <v>5</v>
      </c>
      <c r="T656" s="113">
        <f>AVERAGEA(T647:T655)</f>
        <v>106.64516797714964</v>
      </c>
      <c r="U656" s="113">
        <f>STDEVA(T647:T655)/SQRT(COUNT(T647:T655))</f>
        <v>21.510470046473557</v>
      </c>
      <c r="V656" s="46">
        <f>COUNT(T647:T655)</f>
        <v>8</v>
      </c>
      <c r="W656" s="113">
        <f>AVERAGEA(W647:W655)</f>
        <v>5.0084533928571435</v>
      </c>
      <c r="X656" s="113">
        <f>STDEVA(W647:W655)/SQRT(COUNT(W647:W655))</f>
        <v>3.043524901933206</v>
      </c>
      <c r="Y656" s="46">
        <f>COUNT(W647:W655)</f>
        <v>8</v>
      </c>
      <c r="Z656" s="113">
        <f>AVERAGEA(Z647:Z655)</f>
        <v>3.7819506011940743E-2</v>
      </c>
      <c r="AA656" s="113">
        <f>STDEVA(Z647:Z655)/SQRT(COUNT(Z647:Z655))</f>
        <v>4.7777320591962637E-2</v>
      </c>
      <c r="AB656" s="46">
        <f>COUNT(Z647:Z655)</f>
        <v>5</v>
      </c>
      <c r="AC656" s="113">
        <f>AVERAGEA(AC647:AC655)</f>
        <v>8.711951437616209</v>
      </c>
      <c r="AD656" s="113">
        <f>STDEVA(AC647:AC655)/SQRT(COUNT(AC647:AC655))</f>
        <v>7.3768515212152845</v>
      </c>
      <c r="AE656" s="46">
        <f>COUNT(AC647:AC655)</f>
        <v>5</v>
      </c>
      <c r="AF656" s="113">
        <f>AVERAGEA(AF647:AF655)</f>
        <v>-3.285714285714286</v>
      </c>
      <c r="AG656" s="113">
        <f>STDEVA(AF647:AF655)/SQRT(COUNT(AF647:AF655))</f>
        <v>4.0855977339353187</v>
      </c>
      <c r="AH656" s="110">
        <f>COUNT(AF647:AF655)</f>
        <v>7</v>
      </c>
      <c r="AI656" s="113">
        <f>AVERAGEA(AI647:AI655)</f>
        <v>-36.450000000000003</v>
      </c>
      <c r="AJ656" s="113">
        <f>STDEVA(AI647:AI655)/SQRT(COUNT(AI647:AI655))</f>
        <v>7.6703122802263053</v>
      </c>
      <c r="AK656" s="110">
        <f>COUNT(AI647:AI655)</f>
        <v>7</v>
      </c>
    </row>
    <row r="658" spans="1:37" ht="15.6" x14ac:dyDescent="0.3">
      <c r="A658" s="12" t="s">
        <v>973</v>
      </c>
      <c r="B658" s="24">
        <f>'Data_in-situ'!CA30</f>
        <v>-40736.294508300089</v>
      </c>
      <c r="C658" s="24">
        <f>'Data_in-situ'!CB30</f>
        <v>9264.5737614785212</v>
      </c>
      <c r="D658" s="46">
        <f>'Data_in-situ'!CC30</f>
        <v>6</v>
      </c>
      <c r="E658" s="24">
        <f>'Data_in-situ'!CE30</f>
        <v>-30951.137650990822</v>
      </c>
      <c r="F658" s="24">
        <f>'Data_in-situ'!CF30</f>
        <v>7720.4781345655592</v>
      </c>
      <c r="G658" s="46">
        <f>'Data_in-situ'!CG30</f>
        <v>6</v>
      </c>
      <c r="H658" s="24">
        <f>'Data_in-situ'!CN30</f>
        <v>23661.813178740125</v>
      </c>
      <c r="I658" s="24">
        <f>'Data_in-situ'!CO30</f>
        <v>8127.2621692012581</v>
      </c>
      <c r="J658" s="46">
        <f>'Data_in-situ'!CP30</f>
        <v>6</v>
      </c>
      <c r="K658" s="24">
        <f>'Data_in-situ'!CR30</f>
        <v>17959.926513784052</v>
      </c>
      <c r="L658" s="24">
        <f>'Data_in-situ'!CS30</f>
        <v>6049.9193018093547</v>
      </c>
      <c r="M658" s="46">
        <f>'Data_in-situ'!CT30</f>
        <v>6</v>
      </c>
      <c r="N658" s="24">
        <f>'Data_in-situ'!DA30</f>
        <v>-17074.481329559963</v>
      </c>
      <c r="O658" s="24">
        <f>'Data_in-situ'!DB30</f>
        <v>1832.3959637482985</v>
      </c>
      <c r="P658" s="46">
        <f>'Data_in-situ'!DC30</f>
        <v>6</v>
      </c>
      <c r="Q658" s="24">
        <f>'Data_in-situ'!DE30</f>
        <v>-12991.21113720677</v>
      </c>
      <c r="R658" s="24">
        <f>'Data_in-situ'!DF30</f>
        <v>15856.449105704574</v>
      </c>
      <c r="S658" s="46">
        <f>'Data_in-situ'!DG30</f>
        <v>6</v>
      </c>
      <c r="T658" s="113">
        <f>'Data_in-situ'!DN30</f>
        <v>155.37117670145557</v>
      </c>
      <c r="U658" s="113">
        <f>'Data_in-situ'!DO30</f>
        <v>42.709219724301029</v>
      </c>
      <c r="V658" s="46">
        <f>'Data_in-situ'!DP30</f>
        <v>6</v>
      </c>
      <c r="W658" s="113">
        <f>'Data_in-situ'!DR30</f>
        <v>185.22204309442213</v>
      </c>
      <c r="X658" s="113">
        <f>'Data_in-situ'!DS30</f>
        <v>44.646673389917268</v>
      </c>
      <c r="Y658" s="46">
        <f>'Data_in-situ'!DT30</f>
        <v>6</v>
      </c>
      <c r="Z658" s="113">
        <f>'Data_in-situ'!EA90</f>
        <v>0.12316304575332541</v>
      </c>
      <c r="AA658" s="113">
        <f>'Data_in-situ'!EB90</f>
        <v>1.532860435877279</v>
      </c>
      <c r="AB658" s="46">
        <f>'Data_in-situ'!EC90</f>
        <v>3</v>
      </c>
      <c r="AC658" s="113">
        <f>'Data_in-situ'!EE90</f>
        <v>0.37414709355805537</v>
      </c>
      <c r="AD658" s="113">
        <f>'Data_in-situ'!EF90</f>
        <v>1.1112977251351353</v>
      </c>
      <c r="AE658" s="46">
        <f>'Data_in-situ'!EG90</f>
        <v>3</v>
      </c>
      <c r="AF658" s="113">
        <f>'Data_in-situ'!EN35</f>
        <v>-38</v>
      </c>
      <c r="AG658" s="113">
        <f>'Data_in-situ'!EO35</f>
        <v>7.6</v>
      </c>
      <c r="AH658" s="110">
        <f>'Data_in-situ'!EP35</f>
        <v>3</v>
      </c>
      <c r="AI658" s="113">
        <f>'Data_in-situ'!ER35</f>
        <v>-73</v>
      </c>
      <c r="AJ658" s="113">
        <f>'Data_in-situ'!ES35</f>
        <v>10.3</v>
      </c>
      <c r="AK658" s="110">
        <f>'Data_in-situ'!ET35</f>
        <v>3</v>
      </c>
    </row>
    <row r="659" spans="1:37" x14ac:dyDescent="0.3">
      <c r="B659" s="24">
        <f>'Data_in-situ'!CA31</f>
        <v>-29498.69602325177</v>
      </c>
      <c r="C659" s="24">
        <f>'Data_in-situ'!CB31</f>
        <v>5661.6839653480265</v>
      </c>
      <c r="D659" s="46">
        <f>'Data_in-situ'!CC31</f>
        <v>6</v>
      </c>
      <c r="E659" s="24">
        <f>'Data_in-situ'!CE31</f>
        <v>-23758.267633507035</v>
      </c>
      <c r="F659" s="24">
        <f>'Data_in-situ'!CF31</f>
        <v>4117.5883384349272</v>
      </c>
      <c r="G659" s="46">
        <f>'Data_in-situ'!CG31</f>
        <v>6</v>
      </c>
      <c r="H659" s="24">
        <f>'Data_in-situ'!CN31</f>
        <v>24809.052605588167</v>
      </c>
      <c r="I659" s="24">
        <f>'Data_in-situ'!CO31</f>
        <v>6528.4178481847057</v>
      </c>
      <c r="J659" s="46">
        <f>'Data_in-situ'!CP31</f>
        <v>6</v>
      </c>
      <c r="K659" s="24">
        <f>'Data_in-situ'!CR31</f>
        <v>21625.217639046135</v>
      </c>
      <c r="L659" s="24">
        <f>'Data_in-situ'!CS31</f>
        <v>4944.4422331318983</v>
      </c>
      <c r="M659" s="46">
        <f>'Data_in-situ'!CT31</f>
        <v>6</v>
      </c>
      <c r="N659" s="24">
        <f>'Data_in-situ'!DA31</f>
        <v>-4689.643417663603</v>
      </c>
      <c r="O659" s="24">
        <f>'Data_in-situ'!DB31</f>
        <v>822.55847950944644</v>
      </c>
      <c r="P659" s="46">
        <f>'Data_in-situ'!DC31</f>
        <v>6</v>
      </c>
      <c r="Q659" s="24">
        <f>'Data_in-situ'!DE31</f>
        <v>-2133.0499944609001</v>
      </c>
      <c r="R659" s="24">
        <f>'Data_in-situ'!DF31</f>
        <v>2649.3488808970865</v>
      </c>
      <c r="S659" s="46">
        <f>'Data_in-situ'!DG31</f>
        <v>6</v>
      </c>
      <c r="T659" s="113">
        <f>'Data_in-situ'!DN31</f>
        <v>12.121705834279082</v>
      </c>
      <c r="U659" s="113">
        <f>'Data_in-situ'!DO31</f>
        <v>3.2958824722656956</v>
      </c>
      <c r="V659" s="46">
        <f>'Data_in-situ'!DP31</f>
        <v>6</v>
      </c>
      <c r="W659" s="113">
        <f>'Data_in-situ'!DR31</f>
        <v>18.390311681684526</v>
      </c>
      <c r="X659" s="113">
        <f>'Data_in-situ'!DS31</f>
        <v>4.9126277024028253</v>
      </c>
      <c r="Y659" s="46">
        <f>'Data_in-situ'!DT31</f>
        <v>6</v>
      </c>
      <c r="Z659" s="113">
        <f>'Data_in-situ'!EA393</f>
        <v>5.8770295611265379E-2</v>
      </c>
      <c r="AA659" s="113">
        <f>'Data_in-situ'!EB393</f>
        <v>0.33792784700702894</v>
      </c>
      <c r="AB659" s="46">
        <f>'Data_in-situ'!EC393</f>
        <v>3</v>
      </c>
      <c r="AC659" s="113">
        <f>'Data_in-situ'!EE393</f>
        <v>6.9833384230864909E-2</v>
      </c>
      <c r="AD659" s="113">
        <f>'Data_in-situ'!EF393</f>
        <v>0.10427097615025936</v>
      </c>
      <c r="AE659" s="46">
        <f>'Data_in-situ'!EG393</f>
        <v>3</v>
      </c>
      <c r="AF659" s="113">
        <f>'Data_in-situ'!EN36</f>
        <v>-38</v>
      </c>
      <c r="AG659" s="113">
        <f>'Data_in-situ'!EO36</f>
        <v>7.6</v>
      </c>
      <c r="AH659" s="110">
        <f>'Data_in-situ'!EP36</f>
        <v>3</v>
      </c>
      <c r="AI659" s="113">
        <f>'Data_in-situ'!ER36</f>
        <v>-112</v>
      </c>
      <c r="AJ659" s="113">
        <f>'Data_in-situ'!ES36</f>
        <v>15.2</v>
      </c>
      <c r="AK659" s="110">
        <f>'Data_in-situ'!ET36</f>
        <v>3</v>
      </c>
    </row>
    <row r="660" spans="1:37" x14ac:dyDescent="0.3">
      <c r="B660" s="24">
        <f>'Data_in-situ'!CA35</f>
        <v>-9117.2313953462108</v>
      </c>
      <c r="C660" s="24">
        <f>'Data_in-situ'!CB35</f>
        <v>2424.3247606001519</v>
      </c>
      <c r="D660" s="46">
        <f>'Data_in-situ'!CC35</f>
        <v>3</v>
      </c>
      <c r="E660" s="24">
        <f>'Data_in-situ'!CE35</f>
        <v>-4187.6052363562967</v>
      </c>
      <c r="F660" s="24">
        <f>'Data_in-situ'!CF35</f>
        <v>3018.5350952743552</v>
      </c>
      <c r="G660" s="46">
        <f>'Data_in-situ'!CG35</f>
        <v>3</v>
      </c>
      <c r="H660" s="24">
        <f>'Data_in-situ'!CN35</f>
        <v>12663.516770662041</v>
      </c>
      <c r="I660" s="24">
        <f>'Data_in-situ'!CO35</f>
        <v>2211.9149588307</v>
      </c>
      <c r="J660" s="46">
        <f>'Data_in-situ'!CP35</f>
        <v>3</v>
      </c>
      <c r="K660" s="24">
        <f>'Data_in-situ'!CR35</f>
        <v>8364.4600190841793</v>
      </c>
      <c r="L660" s="24">
        <f>'Data_in-situ'!CS35</f>
        <v>6024.8326143304821</v>
      </c>
      <c r="M660" s="46">
        <f>'Data_in-situ'!CT35</f>
        <v>3</v>
      </c>
      <c r="N660" s="24">
        <f>'Data_in-situ'!DA35</f>
        <v>3546.2853753158306</v>
      </c>
      <c r="O660" s="24">
        <f>'Data_in-situ'!DB35</f>
        <v>5941.7227544878542</v>
      </c>
      <c r="P660" s="46">
        <f>'Data_in-situ'!DC35</f>
        <v>3</v>
      </c>
      <c r="Q660" s="24">
        <f>'Data_in-situ'!DE35</f>
        <v>4176.8547827278826</v>
      </c>
      <c r="R660" s="24">
        <f>'Data_in-situ'!DF35</f>
        <v>748.67399248676202</v>
      </c>
      <c r="S660" s="46">
        <f>'Data_in-situ'!DG35</f>
        <v>3</v>
      </c>
      <c r="T660" s="113">
        <f>'Data_in-situ'!DN53</f>
        <v>5.3866851938273443</v>
      </c>
      <c r="U660" s="113">
        <f>'Data_in-situ'!DO53</f>
        <v>4.268024043852261</v>
      </c>
      <c r="V660" s="46">
        <f>'Data_in-situ'!DP53</f>
        <v>3</v>
      </c>
      <c r="W660" s="113">
        <f>'Data_in-situ'!DR53</f>
        <v>3.9980588354062441</v>
      </c>
      <c r="X660" s="113">
        <f>'Data_in-situ'!DS53</f>
        <v>4.3503115567651003</v>
      </c>
      <c r="Y660" s="46">
        <f>'Data_in-situ'!DT53</f>
        <v>3</v>
      </c>
      <c r="AF660" s="113">
        <f>'Data_in-situ'!EN37</f>
        <v>-47</v>
      </c>
      <c r="AG660" s="113">
        <f>'Data_in-situ'!EO37</f>
        <v>6.8</v>
      </c>
      <c r="AH660" s="110">
        <f>'Data_in-situ'!EP37</f>
        <v>3</v>
      </c>
      <c r="AI660" s="113">
        <f>'Data_in-situ'!ER37</f>
        <v>-82</v>
      </c>
      <c r="AJ660" s="113">
        <f>'Data_in-situ'!ES37</f>
        <v>12.3</v>
      </c>
      <c r="AK660" s="110">
        <f>'Data_in-situ'!ET37</f>
        <v>3</v>
      </c>
    </row>
    <row r="661" spans="1:37" x14ac:dyDescent="0.3">
      <c r="B661" s="24">
        <f>'Data_in-situ'!CA36</f>
        <v>-9117.2313953462108</v>
      </c>
      <c r="C661" s="24">
        <f>'Data_in-situ'!CB36</f>
        <v>2424.3247606001519</v>
      </c>
      <c r="D661" s="46">
        <f>'Data_in-situ'!CC36</f>
        <v>3</v>
      </c>
      <c r="E661" s="24">
        <f>'Data_in-situ'!CE36</f>
        <v>-11061.598737544933</v>
      </c>
      <c r="F661" s="24">
        <f>'Data_in-situ'!CF36</f>
        <v>1546.857501085957</v>
      </c>
      <c r="G661" s="46">
        <f>'Data_in-situ'!CG36</f>
        <v>3</v>
      </c>
      <c r="H661" s="24">
        <f>'Data_in-situ'!CN36</f>
        <v>12663.516770662041</v>
      </c>
      <c r="I661" s="24">
        <f>'Data_in-situ'!CO36</f>
        <v>2211.9149588307</v>
      </c>
      <c r="J661" s="46">
        <f>'Data_in-situ'!CP36</f>
        <v>3</v>
      </c>
      <c r="K661" s="24">
        <f>'Data_in-situ'!CR36</f>
        <v>13557.778602361719</v>
      </c>
      <c r="L661" s="24">
        <f>'Data_in-situ'!CS36</f>
        <v>1534.7793518535277</v>
      </c>
      <c r="M661" s="46">
        <f>'Data_in-situ'!CT36</f>
        <v>3</v>
      </c>
      <c r="N661" s="24">
        <f>'Data_in-situ'!DA36</f>
        <v>3546.2853753158306</v>
      </c>
      <c r="O661" s="24">
        <f>'Data_in-situ'!DB36</f>
        <v>5941.7227544878542</v>
      </c>
      <c r="P661" s="46">
        <f>'Data_in-situ'!DC36</f>
        <v>3</v>
      </c>
      <c r="Q661" s="24">
        <f>'Data_in-situ'!DE36</f>
        <v>2496.179864816786</v>
      </c>
      <c r="R661" s="24">
        <f>'Data_in-situ'!DF36</f>
        <v>441.86562565211784</v>
      </c>
      <c r="S661" s="46">
        <f>'Data_in-situ'!DG36</f>
        <v>3</v>
      </c>
      <c r="T661" s="113">
        <f>'Data_in-situ'!DN54</f>
        <v>5.3866851938273443</v>
      </c>
      <c r="U661" s="113">
        <f>'Data_in-situ'!DO54</f>
        <v>4.268024043852261</v>
      </c>
      <c r="V661" s="46">
        <f>'Data_in-situ'!DP54</f>
        <v>3</v>
      </c>
      <c r="W661" s="113">
        <f>'Data_in-situ'!DR54</f>
        <v>2.6938792153004636</v>
      </c>
      <c r="X661" s="113">
        <f>'Data_in-situ'!DS54</f>
        <v>4.3447601701580973</v>
      </c>
      <c r="Y661" s="46">
        <f>'Data_in-situ'!DT54</f>
        <v>3</v>
      </c>
      <c r="AF661" s="113">
        <f>'Data_in-situ'!EN38</f>
        <v>-47</v>
      </c>
      <c r="AG661" s="113">
        <f>'Data_in-situ'!EO38</f>
        <v>6.8</v>
      </c>
      <c r="AH661" s="110">
        <f>'Data_in-situ'!EP38</f>
        <v>3</v>
      </c>
      <c r="AI661" s="113">
        <f>'Data_in-situ'!ER38</f>
        <v>-120</v>
      </c>
      <c r="AJ661" s="113">
        <f>'Data_in-situ'!ES38</f>
        <v>11.8</v>
      </c>
      <c r="AK661" s="110">
        <f>'Data_in-situ'!ET38</f>
        <v>3</v>
      </c>
    </row>
    <row r="662" spans="1:37" x14ac:dyDescent="0.3">
      <c r="B662" s="24">
        <f>'Data_in-situ'!CA37</f>
        <v>-10940.677674415452</v>
      </c>
      <c r="C662" s="24">
        <f>'Data_in-situ'!CB37</f>
        <v>3587.5182834567399</v>
      </c>
      <c r="D662" s="46">
        <f>'Data_in-situ'!CC37</f>
        <v>3</v>
      </c>
      <c r="E662" s="24">
        <f>'Data_in-situ'!CE37</f>
        <v>-1303.6884226392244</v>
      </c>
      <c r="F662" s="24">
        <f>'Data_in-situ'!CF37</f>
        <v>1460.696181049753</v>
      </c>
      <c r="G662" s="46">
        <f>'Data_in-situ'!CG37</f>
        <v>3</v>
      </c>
      <c r="H662" s="24">
        <f>'Data_in-situ'!CN37</f>
        <v>12156.97609983556</v>
      </c>
      <c r="I662" s="24">
        <f>'Data_in-situ'!CO37</f>
        <v>3352.7816659818532</v>
      </c>
      <c r="J662" s="46">
        <f>'Data_in-situ'!CP37</f>
        <v>3</v>
      </c>
      <c r="K662" s="24">
        <f>'Data_in-situ'!CR37</f>
        <v>7583.1643030158775</v>
      </c>
      <c r="L662" s="24">
        <f>'Data_in-situ'!CS37</f>
        <v>4282.3014654243434</v>
      </c>
      <c r="M662" s="46">
        <f>'Data_in-situ'!CT37</f>
        <v>3</v>
      </c>
      <c r="N662" s="24">
        <f>'Data_in-situ'!DA37</f>
        <v>1216.2984254201074</v>
      </c>
      <c r="O662" s="24">
        <f>'Data_in-situ'!DB37</f>
        <v>2060.9133169618808</v>
      </c>
      <c r="P662" s="46">
        <f>'Data_in-situ'!DC37</f>
        <v>3</v>
      </c>
      <c r="Q662" s="24">
        <f>'Data_in-situ'!DE37</f>
        <v>6279.4758803766526</v>
      </c>
      <c r="R662" s="24">
        <f>'Data_in-situ'!DF37</f>
        <v>947.48073610146616</v>
      </c>
      <c r="S662" s="46">
        <f>'Data_in-situ'!DG37</f>
        <v>3</v>
      </c>
      <c r="T662" s="113">
        <f>'Data_in-situ'!DN55</f>
        <v>4.9255681733440708</v>
      </c>
      <c r="U662" s="113">
        <f>'Data_in-situ'!DO55</f>
        <v>6.4838403831872826</v>
      </c>
      <c r="V662" s="46">
        <f>'Data_in-situ'!DP55</f>
        <v>3</v>
      </c>
      <c r="W662" s="113">
        <f>'Data_in-situ'!DR55</f>
        <v>4.361518729534084</v>
      </c>
      <c r="X662" s="113">
        <f>'Data_in-situ'!DS55</f>
        <v>5.0347578591510027</v>
      </c>
      <c r="Y662" s="46">
        <f>'Data_in-situ'!DT55</f>
        <v>3</v>
      </c>
      <c r="AF662" s="113">
        <f>'Data_in-situ'!EN39</f>
        <v>-56</v>
      </c>
      <c r="AG662" s="113">
        <f>'Data_in-situ'!EO39</f>
        <v>10.1</v>
      </c>
      <c r="AH662" s="110">
        <f>'Data_in-situ'!EP39</f>
        <v>3</v>
      </c>
      <c r="AI662" s="113">
        <f>'Data_in-situ'!ER39</f>
        <v>-91</v>
      </c>
      <c r="AJ662" s="113">
        <f>'Data_in-situ'!ES39</f>
        <v>11.3</v>
      </c>
      <c r="AK662" s="110">
        <f>'Data_in-situ'!ET39</f>
        <v>3</v>
      </c>
    </row>
    <row r="663" spans="1:37" x14ac:dyDescent="0.3">
      <c r="B663" s="24">
        <f>'Data_in-situ'!CA38</f>
        <v>-10940.677674415452</v>
      </c>
      <c r="C663" s="24">
        <f>'Data_in-situ'!CB38</f>
        <v>3587.5182834567399</v>
      </c>
      <c r="D663" s="46">
        <f>'Data_in-situ'!CC38</f>
        <v>3</v>
      </c>
      <c r="E663" s="24">
        <f>'Data_in-situ'!CE38</f>
        <v>-13155.401355723083</v>
      </c>
      <c r="F663" s="24">
        <f>'Data_in-situ'!CF38</f>
        <v>4763.1397208144126</v>
      </c>
      <c r="G663" s="46">
        <f>'Data_in-situ'!CG38</f>
        <v>3</v>
      </c>
      <c r="H663" s="24">
        <f>'Data_in-situ'!CN38</f>
        <v>12156.97609983556</v>
      </c>
      <c r="I663" s="24">
        <f>'Data_in-situ'!CO38</f>
        <v>3352.7816659818532</v>
      </c>
      <c r="J663" s="46">
        <f>'Data_in-situ'!CP38</f>
        <v>3</v>
      </c>
      <c r="K663" s="24">
        <f>'Data_in-situ'!CR38</f>
        <v>16131.458608233776</v>
      </c>
      <c r="L663" s="24">
        <f>'Data_in-situ'!CS38</f>
        <v>7799.7123045882036</v>
      </c>
      <c r="M663" s="46">
        <f>'Data_in-situ'!CT38</f>
        <v>3</v>
      </c>
      <c r="N663" s="24">
        <f>'Data_in-situ'!DA38</f>
        <v>1216.2984254201074</v>
      </c>
      <c r="O663" s="24">
        <f>'Data_in-situ'!DB38</f>
        <v>2060.9133169618808</v>
      </c>
      <c r="P663" s="46">
        <f>'Data_in-situ'!DC38</f>
        <v>3</v>
      </c>
      <c r="Q663" s="24">
        <f>'Data_in-situ'!DE38</f>
        <v>2976.0572525106927</v>
      </c>
      <c r="R663" s="24">
        <f>'Data_in-situ'!DF38</f>
        <v>692.55442504565758</v>
      </c>
      <c r="S663" s="46">
        <f>'Data_in-situ'!DG38</f>
        <v>3</v>
      </c>
      <c r="T663" s="113">
        <f>'Data_in-situ'!DN56</f>
        <v>4.9255681733440708</v>
      </c>
      <c r="U663" s="113">
        <f>'Data_in-situ'!DO56</f>
        <v>6.4838403831872826</v>
      </c>
      <c r="V663" s="46">
        <f>'Data_in-situ'!DP56</f>
        <v>3</v>
      </c>
      <c r="W663" s="113">
        <f>'Data_in-situ'!DR56</f>
        <v>2.5655992526671083</v>
      </c>
      <c r="X663" s="113">
        <f>'Data_in-situ'!DS56</f>
        <v>2.1677925245184233</v>
      </c>
      <c r="Y663" s="46">
        <f>'Data_in-situ'!DT56</f>
        <v>3</v>
      </c>
      <c r="AF663" s="113">
        <f>'Data_in-situ'!EN40</f>
        <v>-56</v>
      </c>
      <c r="AG663" s="113">
        <f>'Data_in-situ'!EO40</f>
        <v>10.1</v>
      </c>
      <c r="AH663" s="110">
        <f>'Data_in-situ'!EP40</f>
        <v>3</v>
      </c>
      <c r="AI663" s="113">
        <f>'Data_in-situ'!ER40</f>
        <v>-128</v>
      </c>
      <c r="AJ663" s="113">
        <f>'Data_in-situ'!ES40</f>
        <v>14.2</v>
      </c>
      <c r="AK663" s="110">
        <f>'Data_in-situ'!ET40</f>
        <v>3</v>
      </c>
    </row>
    <row r="664" spans="1:37" x14ac:dyDescent="0.3">
      <c r="B664" s="24">
        <f>'Data_in-situ'!CA39</f>
        <v>-11180.604816398249</v>
      </c>
      <c r="C664" s="24">
        <f>'Data_in-situ'!CB39</f>
        <v>6822.7682537892761</v>
      </c>
      <c r="D664" s="46">
        <f>'Data_in-situ'!CC39</f>
        <v>3</v>
      </c>
      <c r="E664" s="24">
        <f>'Data_in-situ'!CE39</f>
        <v>-2014.7911986242559</v>
      </c>
      <c r="F664" s="24">
        <f>'Data_in-situ'!CF39</f>
        <v>1143.1535329954588</v>
      </c>
      <c r="G664" s="46">
        <f>'Data_in-situ'!CG39</f>
        <v>3</v>
      </c>
      <c r="H664" s="24">
        <f>'Data_in-situ'!CN39</f>
        <v>12213.258396594058</v>
      </c>
      <c r="I664" s="24">
        <f>'Data_in-situ'!CO39</f>
        <v>5829.3069078214994</v>
      </c>
      <c r="J664" s="46">
        <f>'Data_in-situ'!CP39</f>
        <v>3</v>
      </c>
      <c r="K664" s="24">
        <f>'Data_in-situ'!CR39</f>
        <v>13236.068601627712</v>
      </c>
      <c r="L664" s="24">
        <f>'Data_in-situ'!CS39</f>
        <v>2169.8026552469478</v>
      </c>
      <c r="M664" s="46">
        <f>'Data_in-situ'!CT39</f>
        <v>3</v>
      </c>
      <c r="N664" s="24">
        <f>'Data_in-situ'!DA39</f>
        <v>1032.6535801958089</v>
      </c>
      <c r="O664" s="24">
        <f>'Data_in-situ'!DB39</f>
        <v>1588.5865996086475</v>
      </c>
      <c r="P664" s="46">
        <f>'Data_in-situ'!DC39</f>
        <v>3</v>
      </c>
      <c r="Q664" s="24">
        <f>'Data_in-situ'!DE39</f>
        <v>11221.277403003456</v>
      </c>
      <c r="R664" s="24">
        <f>'Data_in-situ'!DF39</f>
        <v>1545.6282146126041</v>
      </c>
      <c r="S664" s="46">
        <f>'Data_in-situ'!DG39</f>
        <v>3</v>
      </c>
      <c r="T664" s="113">
        <f>'Data_in-situ'!DN57</f>
        <v>6.958675036383962</v>
      </c>
      <c r="U664" s="113">
        <f>'Data_in-situ'!DO57</f>
        <v>1.1532569524351295</v>
      </c>
      <c r="V664" s="46">
        <f>'Data_in-situ'!DP57</f>
        <v>3</v>
      </c>
      <c r="W664" s="113">
        <f>'Data_in-situ'!DR57</f>
        <v>1.1758996574724245</v>
      </c>
      <c r="X664" s="113">
        <f>'Data_in-situ'!DS57</f>
        <v>1.4564673447344252</v>
      </c>
      <c r="Y664" s="46">
        <f>'Data_in-situ'!DT57</f>
        <v>3</v>
      </c>
      <c r="AF664" s="113">
        <f>'Data_in-situ'!EN41</f>
        <v>-38</v>
      </c>
      <c r="AG664" s="113">
        <f>'Data_in-situ'!EO41</f>
        <v>7.6</v>
      </c>
      <c r="AH664" s="110">
        <f>'Data_in-situ'!EP41</f>
        <v>3</v>
      </c>
      <c r="AI664" s="113">
        <f>'Data_in-situ'!ER41</f>
        <v>-73</v>
      </c>
      <c r="AJ664" s="113">
        <f>'Data_in-situ'!ES41</f>
        <v>10.3</v>
      </c>
      <c r="AK664" s="110">
        <f>'Data_in-situ'!ET41</f>
        <v>3</v>
      </c>
    </row>
    <row r="665" spans="1:37" x14ac:dyDescent="0.3">
      <c r="B665" s="24">
        <f>'Data_in-situ'!CA40</f>
        <v>-11180.604816398249</v>
      </c>
      <c r="C665" s="24">
        <f>'Data_in-situ'!CB40</f>
        <v>6822.7682537892761</v>
      </c>
      <c r="D665" s="46">
        <f>'Data_in-situ'!CC40</f>
        <v>3</v>
      </c>
      <c r="E665" s="24">
        <f>'Data_in-situ'!CE40</f>
        <v>-13708.481292600329</v>
      </c>
      <c r="F665" s="24">
        <f>'Data_in-situ'!CF40</f>
        <v>4128.0544247058242</v>
      </c>
      <c r="G665" s="46">
        <f>'Data_in-situ'!CG40</f>
        <v>3</v>
      </c>
      <c r="H665" s="24">
        <f>'Data_in-situ'!CN40</f>
        <v>12213.258396594058</v>
      </c>
      <c r="I665" s="24">
        <f>'Data_in-situ'!CO40</f>
        <v>5829.3069078214994</v>
      </c>
      <c r="J665" s="46">
        <f>'Data_in-situ'!CP40</f>
        <v>3</v>
      </c>
      <c r="K665" s="24">
        <f>'Data_in-situ'!CR40</f>
        <v>16774.878609701791</v>
      </c>
      <c r="L665" s="24">
        <f>'Data_in-situ'!CS40</f>
        <v>6880.9051275668298</v>
      </c>
      <c r="M665" s="46">
        <f>'Data_in-situ'!CT40</f>
        <v>3</v>
      </c>
      <c r="N665" s="24">
        <f>'Data_in-situ'!DA40</f>
        <v>1032.6535801958089</v>
      </c>
      <c r="O665" s="24">
        <f>'Data_in-situ'!DB40</f>
        <v>1588.5865996086475</v>
      </c>
      <c r="P665" s="46">
        <f>'Data_in-situ'!DC40</f>
        <v>3</v>
      </c>
      <c r="Q665" s="24">
        <f>'Data_in-situ'!DE40</f>
        <v>3066.3973171014622</v>
      </c>
      <c r="R665" s="24">
        <f>'Data_in-situ'!DF40</f>
        <v>896.27712667386777</v>
      </c>
      <c r="S665" s="46">
        <f>'Data_in-situ'!DG40</f>
        <v>3</v>
      </c>
      <c r="T665" s="113">
        <f>'Data_in-situ'!DN58</f>
        <v>6.958675036383962</v>
      </c>
      <c r="U665" s="113">
        <f>'Data_in-situ'!DO58</f>
        <v>1.1532569524351295</v>
      </c>
      <c r="V665" s="46">
        <f>'Data_in-situ'!DP58</f>
        <v>3</v>
      </c>
      <c r="W665" s="113">
        <f>'Data_in-situ'!DR58</f>
        <v>1.090379682383521</v>
      </c>
      <c r="X665" s="113">
        <f>'Data_in-situ'!DS58</f>
        <v>2.1822665028157022</v>
      </c>
      <c r="Y665" s="46">
        <f>'Data_in-situ'!DT58</f>
        <v>3</v>
      </c>
      <c r="AF665" s="113">
        <f>'Data_in-situ'!EN42</f>
        <v>-38</v>
      </c>
      <c r="AG665" s="113">
        <f>'Data_in-situ'!EO42</f>
        <v>7.6</v>
      </c>
      <c r="AH665" s="110">
        <f>'Data_in-situ'!EP42</f>
        <v>3</v>
      </c>
      <c r="AI665" s="113">
        <f>'Data_in-situ'!ER42</f>
        <v>-112</v>
      </c>
      <c r="AJ665" s="113">
        <f>'Data_in-situ'!ES42</f>
        <v>15.2</v>
      </c>
      <c r="AK665" s="110">
        <f>'Data_in-situ'!ET42</f>
        <v>3</v>
      </c>
    </row>
    <row r="666" spans="1:37" x14ac:dyDescent="0.3">
      <c r="B666" s="24">
        <f>'Data_in-situ'!CA41</f>
        <v>-7247.1260453614086</v>
      </c>
      <c r="C666" s="24">
        <f>'Data_in-situ'!CB41</f>
        <v>2100.9616035887611</v>
      </c>
      <c r="D666" s="46">
        <f>'Data_in-situ'!CC41</f>
        <v>3</v>
      </c>
      <c r="E666" s="24">
        <f>'Data_in-situ'!CE41</f>
        <v>-4029.5823972485118</v>
      </c>
      <c r="F666" s="24">
        <f>'Data_in-situ'!CF41</f>
        <v>3302.4435397646589</v>
      </c>
      <c r="G666" s="46">
        <f>'Data_in-situ'!CG41</f>
        <v>3</v>
      </c>
      <c r="H666" s="24">
        <f>'Data_in-situ'!CN41</f>
        <v>6440.2877983621229</v>
      </c>
      <c r="I666" s="24">
        <f>'Data_in-situ'!CO41</f>
        <v>2181.3507268282779</v>
      </c>
      <c r="J666" s="46">
        <f>'Data_in-situ'!CP41</f>
        <v>3</v>
      </c>
      <c r="K666" s="24">
        <f>'Data_in-situ'!CR41</f>
        <v>16039.541465166916</v>
      </c>
      <c r="L666" s="24">
        <f>'Data_in-situ'!CS41</f>
        <v>7252.7203244742068</v>
      </c>
      <c r="M666" s="46">
        <f>'Data_in-situ'!CT41</f>
        <v>3</v>
      </c>
      <c r="N666" s="24">
        <f>'Data_in-situ'!DA41</f>
        <v>-806.83824699928573</v>
      </c>
      <c r="O666" s="24">
        <f>'Data_in-situ'!DB41</f>
        <v>461.4050593199143</v>
      </c>
      <c r="P666" s="46">
        <f>'Data_in-situ'!DC41</f>
        <v>3</v>
      </c>
      <c r="Q666" s="24">
        <f>'Data_in-situ'!DE41</f>
        <v>12009.959067918404</v>
      </c>
      <c r="R666" s="24">
        <f>'Data_in-situ'!DF41</f>
        <v>2892.3831674824651</v>
      </c>
      <c r="S666" s="46">
        <f>'Data_in-situ'!DG41</f>
        <v>3</v>
      </c>
      <c r="T666" s="113">
        <f>'Data_in-situ'!DN59</f>
        <v>10.866266106411475</v>
      </c>
      <c r="U666" s="113">
        <f>'Data_in-situ'!DO59</f>
        <v>5.3394122234557058</v>
      </c>
      <c r="V666" s="46">
        <f>'Data_in-situ'!DP59</f>
        <v>3</v>
      </c>
      <c r="W666" s="113">
        <f>'Data_in-situ'!DR59</f>
        <v>1.8694061542190537</v>
      </c>
      <c r="X666" s="113">
        <f>'Data_in-situ'!DS59</f>
        <v>2.1264618086738842</v>
      </c>
      <c r="Y666" s="46">
        <f>'Data_in-situ'!DT59</f>
        <v>3</v>
      </c>
      <c r="AF666" s="113">
        <f>'Data_in-situ'!EN43</f>
        <v>-44</v>
      </c>
      <c r="AG666" s="113">
        <f>'Data_in-situ'!EO43</f>
        <v>6.8</v>
      </c>
      <c r="AH666" s="110">
        <f>'Data_in-situ'!EP43</f>
        <v>3</v>
      </c>
      <c r="AI666" s="113">
        <f>'Data_in-situ'!ER43</f>
        <v>-79</v>
      </c>
      <c r="AJ666" s="113">
        <f>'Data_in-situ'!ES43</f>
        <v>12.3</v>
      </c>
      <c r="AK666" s="110">
        <f>'Data_in-situ'!ET43</f>
        <v>3</v>
      </c>
    </row>
    <row r="667" spans="1:37" x14ac:dyDescent="0.3">
      <c r="B667" s="24">
        <f>'Data_in-situ'!CA42</f>
        <v>-7247.1260453614086</v>
      </c>
      <c r="C667" s="24">
        <f>'Data_in-situ'!CB42</f>
        <v>2100.9616035887611</v>
      </c>
      <c r="D667" s="46">
        <f>'Data_in-situ'!CC42</f>
        <v>3</v>
      </c>
      <c r="E667" s="24">
        <f>'Data_in-situ'!CE42</f>
        <v>-4582.6623341257582</v>
      </c>
      <c r="F667" s="24">
        <f>'Data_in-situ'!CF42</f>
        <v>1206.6620626063177</v>
      </c>
      <c r="G667" s="46">
        <f>'Data_in-situ'!CG42</f>
        <v>3</v>
      </c>
      <c r="H667" s="24">
        <f>'Data_in-situ'!CN42</f>
        <v>6440.2877983621229</v>
      </c>
      <c r="I667" s="24">
        <f>'Data_in-situ'!CO42</f>
        <v>2181.3507268282779</v>
      </c>
      <c r="J667" s="46">
        <f>'Data_in-situ'!CP42</f>
        <v>3</v>
      </c>
      <c r="K667" s="24">
        <f>'Data_in-situ'!CR42</f>
        <v>24633.794341918241</v>
      </c>
      <c r="L667" s="24">
        <f>'Data_in-situ'!CS42</f>
        <v>2489.5274353362884</v>
      </c>
      <c r="M667" s="46">
        <f>'Data_in-situ'!CT42</f>
        <v>3</v>
      </c>
      <c r="N667" s="24">
        <f>'Data_in-situ'!DA42</f>
        <v>-806.83824699928573</v>
      </c>
      <c r="O667" s="24">
        <f>'Data_in-situ'!DB42</f>
        <v>461.4050593199143</v>
      </c>
      <c r="P667" s="46">
        <f>'Data_in-situ'!DC42</f>
        <v>3</v>
      </c>
      <c r="Q667" s="24">
        <f>'Data_in-situ'!DE42</f>
        <v>20051.132007792483</v>
      </c>
      <c r="R667" s="24">
        <f>'Data_in-situ'!DF42</f>
        <v>2691.1988636577989</v>
      </c>
      <c r="S667" s="46">
        <f>'Data_in-situ'!DG42</f>
        <v>3</v>
      </c>
      <c r="T667" s="113">
        <f>'Data_in-situ'!DN60</f>
        <v>10.866266106411475</v>
      </c>
      <c r="U667" s="113">
        <f>'Data_in-situ'!DO60</f>
        <v>5.3394122234557058</v>
      </c>
      <c r="V667" s="46">
        <f>'Data_in-situ'!DP60</f>
        <v>3</v>
      </c>
      <c r="W667" s="113">
        <f>'Data_in-situ'!DR60</f>
        <v>1.2247833424193799</v>
      </c>
      <c r="X667" s="113">
        <f>'Data_in-situ'!DS60</f>
        <v>3.4037999999999999</v>
      </c>
      <c r="Y667" s="46">
        <f>'Data_in-situ'!DT60</f>
        <v>3</v>
      </c>
      <c r="AF667" s="113">
        <f>'Data_in-situ'!EN44</f>
        <v>-44</v>
      </c>
      <c r="AG667" s="113">
        <f>'Data_in-situ'!EO44</f>
        <v>6.8</v>
      </c>
      <c r="AH667" s="110">
        <f>'Data_in-situ'!EP44</f>
        <v>3</v>
      </c>
      <c r="AI667" s="113">
        <f>'Data_in-situ'!ER44</f>
        <v>-116</v>
      </c>
      <c r="AJ667" s="113">
        <f>'Data_in-situ'!ES44</f>
        <v>11.8</v>
      </c>
      <c r="AK667" s="110">
        <f>'Data_in-situ'!ET44</f>
        <v>3</v>
      </c>
    </row>
    <row r="668" spans="1:37" x14ac:dyDescent="0.3">
      <c r="B668" s="24">
        <f>'Data_in-situ'!CA43</f>
        <v>-7369.2686191596349</v>
      </c>
      <c r="C668" s="24">
        <f>'Data_in-situ'!CB43</f>
        <v>746.95892899118678</v>
      </c>
      <c r="D668" s="46">
        <f>'Data_in-situ'!CC43</f>
        <v>3</v>
      </c>
      <c r="E668" s="24">
        <f>'Data_in-situ'!CE43</f>
        <v>-3516.0081701482113</v>
      </c>
      <c r="F668" s="24">
        <f>'Data_in-situ'!CF43</f>
        <v>4890.1567800361299</v>
      </c>
      <c r="G668" s="46">
        <f>'Data_in-situ'!CG43</f>
        <v>3</v>
      </c>
      <c r="H668" s="24">
        <f>'Data_in-situ'!CN43</f>
        <v>11939.302764655935</v>
      </c>
      <c r="I668" s="24">
        <f>'Data_in-situ'!CO43</f>
        <v>4483.7070147716358</v>
      </c>
      <c r="J668" s="46">
        <f>'Data_in-situ'!CP43</f>
        <v>3</v>
      </c>
      <c r="K668" s="24">
        <f>'Data_in-situ'!CR43</f>
        <v>16131.458608233776</v>
      </c>
      <c r="L668" s="24">
        <f>'Data_in-situ'!CS43</f>
        <v>7799.7123045882036</v>
      </c>
      <c r="M668" s="46">
        <f>'Data_in-situ'!CT43</f>
        <v>3</v>
      </c>
      <c r="N668" s="24">
        <f>'Data_in-situ'!DA43</f>
        <v>4570.0341454963</v>
      </c>
      <c r="O668" s="24">
        <f>'Data_in-situ'!DB43</f>
        <v>2072.5073882436504</v>
      </c>
      <c r="P668" s="46">
        <f>'Data_in-situ'!DC43</f>
        <v>3</v>
      </c>
      <c r="Q668" s="24">
        <f>'Data_in-situ'!DE43</f>
        <v>12615.450438085565</v>
      </c>
      <c r="R668" s="24">
        <f>'Data_in-situ'!DF43</f>
        <v>3401.8688612922183</v>
      </c>
      <c r="S668" s="46">
        <f>'Data_in-situ'!DG43</f>
        <v>3</v>
      </c>
      <c r="T668" s="113">
        <f>'Data_in-situ'!DN61</f>
        <v>9.9527304602972393</v>
      </c>
      <c r="U668" s="113">
        <f>'Data_in-situ'!DO61</f>
        <v>3.6109447780902064</v>
      </c>
      <c r="V668" s="46">
        <f>'Data_in-situ'!DP61</f>
        <v>3</v>
      </c>
      <c r="W668" s="113">
        <f>'Data_in-situ'!DR61</f>
        <v>1.4557731833142631</v>
      </c>
      <c r="X668" s="113">
        <f>'Data_in-situ'!DS61</f>
        <v>2.2523897859272677</v>
      </c>
      <c r="Y668" s="46">
        <f>'Data_in-situ'!DT61</f>
        <v>3</v>
      </c>
      <c r="AF668" s="113">
        <f>'Data_in-situ'!EN45</f>
        <v>-50</v>
      </c>
      <c r="AG668" s="113">
        <f>'Data_in-situ'!EO45</f>
        <v>6.8</v>
      </c>
      <c r="AH668" s="110">
        <f>'Data_in-situ'!EP45</f>
        <v>3</v>
      </c>
      <c r="AI668" s="113">
        <f>'Data_in-situ'!ER45</f>
        <v>-85</v>
      </c>
      <c r="AJ668" s="113">
        <f>'Data_in-situ'!ES45</f>
        <v>12.3</v>
      </c>
      <c r="AK668" s="110">
        <f>'Data_in-situ'!ET45</f>
        <v>3</v>
      </c>
    </row>
    <row r="669" spans="1:37" x14ac:dyDescent="0.3">
      <c r="B669" s="24">
        <f>'Data_in-situ'!CA44</f>
        <v>-7369.2686191596349</v>
      </c>
      <c r="C669" s="24">
        <f>'Data_in-situ'!CB44</f>
        <v>746.95892899118678</v>
      </c>
      <c r="D669" s="46">
        <f>'Data_in-situ'!CC44</f>
        <v>3</v>
      </c>
      <c r="E669" s="24">
        <f>'Data_in-situ'!CE44</f>
        <v>-4661.6737536796509</v>
      </c>
      <c r="F669" s="24">
        <f>'Data_in-situ'!CF44</f>
        <v>1270.1705922171766</v>
      </c>
      <c r="G669" s="46">
        <f>'Data_in-situ'!CG44</f>
        <v>3</v>
      </c>
      <c r="H669" s="24">
        <f>'Data_in-situ'!CN44</f>
        <v>11939.302764655935</v>
      </c>
      <c r="I669" s="24">
        <f>'Data_in-situ'!CO44</f>
        <v>4483.7070147716358</v>
      </c>
      <c r="J669" s="46">
        <f>'Data_in-situ'!CP44</f>
        <v>3</v>
      </c>
      <c r="K669" s="24">
        <f>'Data_in-situ'!CR44</f>
        <v>23300.995767448785</v>
      </c>
      <c r="L669" s="24">
        <f>'Data_in-situ'!CS44</f>
        <v>3584.4542083747219</v>
      </c>
      <c r="M669" s="46">
        <f>'Data_in-situ'!CT44</f>
        <v>3</v>
      </c>
      <c r="N669" s="24">
        <f>'Data_in-situ'!DA44</f>
        <v>4570.0341454963</v>
      </c>
      <c r="O669" s="24">
        <f>'Data_in-situ'!DB44</f>
        <v>2072.5073882436504</v>
      </c>
      <c r="P669" s="46">
        <f>'Data_in-situ'!DC44</f>
        <v>3</v>
      </c>
      <c r="Q669" s="24">
        <f>'Data_in-situ'!DE44</f>
        <v>18639.322013769135</v>
      </c>
      <c r="R669" s="24">
        <f>'Data_in-situ'!DF44</f>
        <v>3134.054571327079</v>
      </c>
      <c r="S669" s="46">
        <f>'Data_in-situ'!DG44</f>
        <v>3</v>
      </c>
      <c r="T669" s="113">
        <f>'Data_in-situ'!DN62</f>
        <v>9.9527304602972393</v>
      </c>
      <c r="U669" s="113">
        <f>'Data_in-situ'!DO62</f>
        <v>3.6109447780902064</v>
      </c>
      <c r="V669" s="46">
        <f>'Data_in-situ'!DP62</f>
        <v>3</v>
      </c>
      <c r="W669" s="113">
        <f>'Data_in-situ'!DR62</f>
        <v>1.0045372150544916</v>
      </c>
      <c r="X669" s="113">
        <f>'Data_in-situ'!DS62</f>
        <v>1.2391823776598332</v>
      </c>
      <c r="Y669" s="46">
        <f>'Data_in-situ'!DT62</f>
        <v>3</v>
      </c>
      <c r="AF669" s="113">
        <f>'Data_in-situ'!EN46</f>
        <v>-50</v>
      </c>
      <c r="AG669" s="113">
        <f>'Data_in-situ'!EO46</f>
        <v>6.8</v>
      </c>
      <c r="AH669" s="110">
        <f>'Data_in-situ'!EP46</f>
        <v>3</v>
      </c>
      <c r="AI669" s="113">
        <f>'Data_in-situ'!ER46</f>
        <v>-120</v>
      </c>
      <c r="AJ669" s="113">
        <f>'Data_in-situ'!ES46</f>
        <v>11.8</v>
      </c>
      <c r="AK669" s="110">
        <f>'Data_in-situ'!ET46</f>
        <v>3</v>
      </c>
    </row>
    <row r="670" spans="1:37" x14ac:dyDescent="0.3">
      <c r="B670" s="24">
        <f>'Data_in-situ'!CA45</f>
        <v>-7939.2672968846891</v>
      </c>
      <c r="C670" s="24">
        <f>'Data_in-situ'!CB45</f>
        <v>2111.9731212798092</v>
      </c>
      <c r="D670" s="46">
        <f>'Data_in-situ'!CC45</f>
        <v>3</v>
      </c>
      <c r="E670" s="24">
        <f>'Data_in-situ'!CE45</f>
        <v>-3674.0310092559957</v>
      </c>
      <c r="F670" s="24">
        <f>'Data_in-situ'!CF45</f>
        <v>3492.9691285972353</v>
      </c>
      <c r="G670" s="46">
        <f>'Data_in-situ'!CG45</f>
        <v>3</v>
      </c>
      <c r="H670" s="24">
        <f>'Data_in-situ'!CN45</f>
        <v>12286.087492260051</v>
      </c>
      <c r="I670" s="24">
        <f>'Data_in-situ'!CO45</f>
        <v>4228.1100433523952</v>
      </c>
      <c r="J670" s="46">
        <f>'Data_in-situ'!CP45</f>
        <v>3</v>
      </c>
      <c r="K670" s="24">
        <f>'Data_in-situ'!CR45</f>
        <v>22335.865765246766</v>
      </c>
      <c r="L670" s="24">
        <f>'Data_in-situ'!CS45</f>
        <v>5098.0031695624621</v>
      </c>
      <c r="M670" s="46">
        <f>'Data_in-situ'!CT45</f>
        <v>3</v>
      </c>
      <c r="N670" s="24">
        <f>'Data_in-situ'!DA45</f>
        <v>4346.8201953753614</v>
      </c>
      <c r="O670" s="24">
        <f>'Data_in-situ'!DB45</f>
        <v>1600.2428388061255</v>
      </c>
      <c r="P670" s="46">
        <f>'Data_in-situ'!DC45</f>
        <v>3</v>
      </c>
      <c r="Q670" s="24">
        <f>'Data_in-situ'!DE45</f>
        <v>18661.834755990771</v>
      </c>
      <c r="R670" s="24">
        <f>'Data_in-situ'!DF45</f>
        <v>3804.3746385120953</v>
      </c>
      <c r="S670" s="46">
        <f>'Data_in-situ'!DG45</f>
        <v>3</v>
      </c>
      <c r="T670" s="113">
        <f>'Data_in-situ'!DN63</f>
        <v>10.24121540117542</v>
      </c>
      <c r="U670" s="113">
        <f>'Data_in-situ'!DO63</f>
        <v>7.0937907088882888</v>
      </c>
      <c r="V670" s="46">
        <f>'Data_in-situ'!DP63</f>
        <v>3</v>
      </c>
      <c r="W670" s="113">
        <f>'Data_in-situ'!DR63</f>
        <v>0.9615623609345133</v>
      </c>
      <c r="X670" s="113">
        <f>'Data_in-situ'!DS63</f>
        <v>1.1781116185620597</v>
      </c>
      <c r="Y670" s="46">
        <f>'Data_in-situ'!DT63</f>
        <v>3</v>
      </c>
      <c r="AF670" s="113">
        <f>'Data_in-situ'!EN47</f>
        <v>-38</v>
      </c>
      <c r="AG670" s="113">
        <f>'Data_in-situ'!EO47</f>
        <v>5.412566119688516</v>
      </c>
      <c r="AH670" s="110">
        <f>'Data_in-situ'!EP47</f>
        <v>3</v>
      </c>
      <c r="AI670" s="113">
        <f>'Data_in-situ'!ER47</f>
        <v>-73</v>
      </c>
      <c r="AJ670" s="113">
        <f>'Data_in-situ'!ES47</f>
        <v>7.3195252578292278</v>
      </c>
      <c r="AK670" s="110">
        <f>'Data_in-situ'!ET47</f>
        <v>3</v>
      </c>
    </row>
    <row r="671" spans="1:37" x14ac:dyDescent="0.3">
      <c r="B671" s="24">
        <f>'Data_in-situ'!CA46</f>
        <v>-7939.2672968846891</v>
      </c>
      <c r="C671" s="24">
        <f>'Data_in-situ'!CB46</f>
        <v>2111.9731212798092</v>
      </c>
      <c r="D671" s="46">
        <f>'Data_in-situ'!CC46</f>
        <v>3</v>
      </c>
      <c r="E671" s="24">
        <f>'Data_in-situ'!CE46</f>
        <v>-4859.2023025643821</v>
      </c>
      <c r="F671" s="24">
        <f>'Data_in-situ'!CF46</f>
        <v>1397.1876514388941</v>
      </c>
      <c r="G671" s="46">
        <f>'Data_in-situ'!CG46</f>
        <v>3</v>
      </c>
      <c r="H671" s="24">
        <f>'Data_in-situ'!CN46</f>
        <v>12286.087492260051</v>
      </c>
      <c r="I671" s="24">
        <f>'Data_in-situ'!CO46</f>
        <v>2603.8497140452123</v>
      </c>
      <c r="J671" s="46">
        <f>'Data_in-situ'!CP46</f>
        <v>3</v>
      </c>
      <c r="K671" s="24">
        <f>'Data_in-situ'!CR46</f>
        <v>23071.202909781641</v>
      </c>
      <c r="L671" s="24">
        <f>'Data_in-situ'!CS46</f>
        <v>3447.7118721915385</v>
      </c>
      <c r="M671" s="46">
        <f>'Data_in-situ'!CT46</f>
        <v>3</v>
      </c>
      <c r="N671" s="24">
        <f>'Data_in-situ'!DA46</f>
        <v>4346.8201953753614</v>
      </c>
      <c r="O671" s="24">
        <f>'Data_in-situ'!DB46</f>
        <v>1600.2428388061255</v>
      </c>
      <c r="P671" s="46">
        <f>'Data_in-situ'!DC46</f>
        <v>3</v>
      </c>
      <c r="Q671" s="24">
        <f>'Data_in-situ'!DE46</f>
        <v>18212.000607217258</v>
      </c>
      <c r="R671" s="24">
        <f>'Data_in-situ'!DF46</f>
        <v>4028.2334522837918</v>
      </c>
      <c r="S671" s="46">
        <f>'Data_in-situ'!DG46</f>
        <v>3</v>
      </c>
      <c r="T671" s="113">
        <f>'Data_in-situ'!DN64</f>
        <v>10.24121540117542</v>
      </c>
      <c r="U671" s="113">
        <f>'Data_in-situ'!DO64</f>
        <v>7.0937907088882888</v>
      </c>
      <c r="V671" s="46">
        <f>'Data_in-situ'!DP64</f>
        <v>3</v>
      </c>
      <c r="W671" s="113">
        <f>'Data_in-situ'!DR64</f>
        <v>0.45660782502476893</v>
      </c>
      <c r="X671" s="113">
        <f>'Data_in-situ'!DS64</f>
        <v>1.5313900415070829</v>
      </c>
      <c r="Y671" s="46">
        <f>'Data_in-situ'!DT64</f>
        <v>3</v>
      </c>
      <c r="AF671" s="113">
        <f>'Data_in-situ'!EN48</f>
        <v>-38</v>
      </c>
      <c r="AG671" s="113">
        <f>'Data_in-situ'!EO48</f>
        <v>5.412566119688516</v>
      </c>
      <c r="AH671" s="110">
        <f>'Data_in-situ'!EP48</f>
        <v>3</v>
      </c>
      <c r="AI671" s="113">
        <f>'Data_in-situ'!ER48</f>
        <v>-112</v>
      </c>
      <c r="AJ671" s="113">
        <f>'Data_in-situ'!ES48</f>
        <v>10.756618055876112</v>
      </c>
      <c r="AK671" s="110">
        <f>'Data_in-situ'!ET48</f>
        <v>3</v>
      </c>
    </row>
    <row r="672" spans="1:37" x14ac:dyDescent="0.3">
      <c r="B672" s="24">
        <f>'Data_in-situ'!CA47</f>
        <v>-8294.385041352898</v>
      </c>
      <c r="C672" s="24">
        <f>'Data_in-situ'!CB47</f>
        <v>1642.4661972156998</v>
      </c>
      <c r="D672" s="46">
        <f>'Data_in-situ'!CC47</f>
        <v>3</v>
      </c>
      <c r="E672" s="24">
        <f>'Data_in-situ'!CE47</f>
        <v>-4116.4949587577939</v>
      </c>
      <c r="F672" s="24">
        <f>'Data_in-situ'!CF47</f>
        <v>2228.1690065442513</v>
      </c>
      <c r="G672" s="46">
        <f>'Data_in-situ'!CG47</f>
        <v>3</v>
      </c>
      <c r="H672" s="24">
        <f>'Data_in-situ'!CN47</f>
        <v>9925.2960228500779</v>
      </c>
      <c r="I672" s="24">
        <f>'Data_in-situ'!CO47</f>
        <v>1567.0081026388868</v>
      </c>
      <c r="J672" s="46">
        <f>'Data_in-situ'!CP47</f>
        <v>3</v>
      </c>
      <c r="K672" s="24">
        <f>'Data_in-situ'!CR47</f>
        <v>11818.246669821412</v>
      </c>
      <c r="L672" s="24">
        <f>'Data_in-situ'!CS47</f>
        <v>4651.0454986548657</v>
      </c>
      <c r="M672" s="46">
        <f>'Data_in-situ'!CT47</f>
        <v>3</v>
      </c>
      <c r="N672" s="24">
        <f>'Data_in-situ'!DA47</f>
        <v>1587.3797452740284</v>
      </c>
      <c r="O672" s="24">
        <f>'Data_in-situ'!DB47</f>
        <v>3333.5525389363561</v>
      </c>
      <c r="P672" s="46">
        <f>'Data_in-situ'!DC47</f>
        <v>3</v>
      </c>
      <c r="Q672" s="24">
        <f>'Data_in-situ'!DE47</f>
        <v>7701.7517110636172</v>
      </c>
      <c r="R672" s="24">
        <f>'Data_in-situ'!DF47</f>
        <v>1365.154161423319</v>
      </c>
      <c r="S672" s="46">
        <f>'Data_in-situ'!DG47</f>
        <v>3</v>
      </c>
      <c r="T672" s="113">
        <f>'Data_in-situ'!DN65</f>
        <v>7.7977007953643627</v>
      </c>
      <c r="U672" s="113">
        <f>'Data_in-situ'!DO65</f>
        <v>3.3514104017873239</v>
      </c>
      <c r="V672" s="46">
        <f>'Data_in-situ'!DP65</f>
        <v>3</v>
      </c>
      <c r="W672" s="113">
        <f>'Data_in-situ'!DR65</f>
        <v>3.0401651288720082</v>
      </c>
      <c r="X672" s="113">
        <f>'Data_in-situ'!DS65</f>
        <v>2.576926227735012</v>
      </c>
      <c r="Y672" s="46">
        <f>'Data_in-situ'!DT65</f>
        <v>3</v>
      </c>
      <c r="AF672" s="113">
        <f>'Data_in-situ'!EN49</f>
        <v>-45.680000000000007</v>
      </c>
      <c r="AG672" s="113">
        <f>'Data_in-situ'!EO49</f>
        <v>4.842822317616041</v>
      </c>
      <c r="AH672" s="110">
        <f>'Data_in-situ'!EP49</f>
        <v>3</v>
      </c>
      <c r="AI672" s="113">
        <f>'Data_in-situ'!ER49</f>
        <v>-80.650000000000006</v>
      </c>
      <c r="AJ672" s="113">
        <f>'Data_in-situ'!ES49</f>
        <v>8.7407922981844166</v>
      </c>
      <c r="AK672" s="110">
        <f>'Data_in-situ'!ET49</f>
        <v>3</v>
      </c>
    </row>
    <row r="673" spans="2:37" x14ac:dyDescent="0.3">
      <c r="B673" s="24">
        <f>'Data_in-situ'!CA48</f>
        <v>-8294.385041352898</v>
      </c>
      <c r="C673" s="24">
        <f>'Data_in-situ'!CB48</f>
        <v>1642.4661972156998</v>
      </c>
      <c r="D673" s="46">
        <f>'Data_in-situ'!CC48</f>
        <v>3</v>
      </c>
      <c r="E673" s="24">
        <f>'Data_in-situ'!CE48</f>
        <v>-7951.7092639037292</v>
      </c>
      <c r="F673" s="24">
        <f>'Data_in-situ'!CF48</f>
        <v>991.198558307697</v>
      </c>
      <c r="G673" s="46">
        <f>'Data_in-situ'!CG48</f>
        <v>3</v>
      </c>
      <c r="H673" s="24">
        <f>'Data_in-situ'!CN48</f>
        <v>9925.2960228500779</v>
      </c>
      <c r="I673" s="24">
        <f>'Data_in-situ'!CO48</f>
        <v>1567.0081026388868</v>
      </c>
      <c r="J673" s="46">
        <f>'Data_in-situ'!CP48</f>
        <v>3</v>
      </c>
      <c r="K673" s="24">
        <f>'Data_in-situ'!CR48</f>
        <v>18874.266157348848</v>
      </c>
      <c r="L673" s="24">
        <f>'Data_in-situ'!CS48</f>
        <v>1436.9763260046241</v>
      </c>
      <c r="M673" s="46">
        <f>'Data_in-situ'!CT48</f>
        <v>3</v>
      </c>
      <c r="N673" s="24">
        <f>'Data_in-situ'!DA48</f>
        <v>1456.7860366045747</v>
      </c>
      <c r="O673" s="24">
        <f>'Data_in-situ'!DB48</f>
        <v>3333.5525389363561</v>
      </c>
      <c r="P673" s="46">
        <f>'Data_in-situ'!DC48</f>
        <v>3</v>
      </c>
      <c r="Q673" s="24">
        <f>'Data_in-situ'!DE48</f>
        <v>10922.55689344512</v>
      </c>
      <c r="R673" s="24">
        <f>'Data_in-situ'!DF48</f>
        <v>1312.0511177126614</v>
      </c>
      <c r="S673" s="46">
        <f>'Data_in-situ'!DG48</f>
        <v>3</v>
      </c>
      <c r="T673" s="113">
        <f>'Data_in-situ'!DN66</f>
        <v>7.7977007953643627</v>
      </c>
      <c r="U673" s="113">
        <f>'Data_in-situ'!DO66</f>
        <v>3.3514104017873239</v>
      </c>
      <c r="V673" s="46">
        <f>'Data_in-situ'!DP66</f>
        <v>3</v>
      </c>
      <c r="W673" s="113">
        <f>'Data_in-situ'!DR66</f>
        <v>1.9887131963175433</v>
      </c>
      <c r="X673" s="113">
        <f>'Data_in-situ'!DS66</f>
        <v>2.7881365985407487</v>
      </c>
      <c r="Y673" s="46">
        <f>'Data_in-situ'!DT66</f>
        <v>3</v>
      </c>
      <c r="AF673" s="113">
        <f>'Data_in-situ'!EN50</f>
        <v>-45.680000000000007</v>
      </c>
      <c r="AG673" s="113">
        <f>'Data_in-situ'!EO50</f>
        <v>4.842822317616041</v>
      </c>
      <c r="AH673" s="110">
        <f>'Data_in-situ'!EP50</f>
        <v>3</v>
      </c>
      <c r="AI673" s="113">
        <f>'Data_in-situ'!ER50</f>
        <v>-118.08000000000001</v>
      </c>
      <c r="AJ673" s="113">
        <f>'Data_in-situ'!ES50</f>
        <v>8.3505324381143513</v>
      </c>
      <c r="AK673" s="110">
        <f>'Data_in-situ'!ET50</f>
        <v>3</v>
      </c>
    </row>
    <row r="674" spans="2:37" x14ac:dyDescent="0.3">
      <c r="B674" s="24">
        <f>'Data_in-situ'!CA49</f>
        <v>-9369.2576901028933</v>
      </c>
      <c r="C674" s="24">
        <f>'Data_in-situ'!CB49</f>
        <v>2035.7162873934246</v>
      </c>
      <c r="D674" s="46">
        <f>'Data_in-situ'!CC49</f>
        <v>3</v>
      </c>
      <c r="E674" s="24">
        <f>'Data_in-situ'!CE49</f>
        <v>-2299.2323090182686</v>
      </c>
      <c r="F674" s="24">
        <f>'Data_in-situ'!CF49</f>
        <v>2342.6341654926264</v>
      </c>
      <c r="G674" s="46">
        <f>'Data_in-situ'!CG49</f>
        <v>3</v>
      </c>
      <c r="H674" s="24">
        <f>'Data_in-situ'!CN49</f>
        <v>12061.199832356524</v>
      </c>
      <c r="I674" s="24">
        <f>'Data_in-situ'!CO49</f>
        <v>2723.4693933324475</v>
      </c>
      <c r="J674" s="46">
        <f>'Data_in-situ'!CP49</f>
        <v>3</v>
      </c>
      <c r="K674" s="24">
        <f>'Data_in-situ'!CR49</f>
        <v>11429.896740363933</v>
      </c>
      <c r="L674" s="24">
        <f>'Data_in-situ'!CS49</f>
        <v>4226.8745195225956</v>
      </c>
      <c r="M674" s="46">
        <f>'Data_in-situ'!CT49</f>
        <v>3</v>
      </c>
      <c r="N674" s="24">
        <f>'Data_in-situ'!DA49</f>
        <v>2691.9421422536325</v>
      </c>
      <c r="O674" s="24">
        <f>'Data_in-situ'!DB49</f>
        <v>1470.8979553996573</v>
      </c>
      <c r="P674" s="46">
        <f>'Data_in-situ'!DC49</f>
        <v>3</v>
      </c>
      <c r="Q674" s="24">
        <f>'Data_in-situ'!DE49</f>
        <v>9130.6644313456636</v>
      </c>
      <c r="R674" s="24">
        <f>'Data_in-situ'!DF49</f>
        <v>1617.1067844170707</v>
      </c>
      <c r="S674" s="46">
        <f>'Data_in-situ'!DG49</f>
        <v>3</v>
      </c>
      <c r="T674" s="113">
        <f>'Data_in-situ'!DN67</f>
        <v>7.1375195796034658</v>
      </c>
      <c r="U674" s="113">
        <f>'Data_in-situ'!DO67</f>
        <v>3.9633493035082119</v>
      </c>
      <c r="V674" s="46">
        <f>'Data_in-situ'!DP67</f>
        <v>3</v>
      </c>
      <c r="W674" s="113">
        <f>'Data_in-situ'!DR67</f>
        <v>3.0539332337351648</v>
      </c>
      <c r="X674" s="113">
        <f>'Data_in-situ'!DS67</f>
        <v>2.9487867124895311</v>
      </c>
      <c r="Y674" s="46">
        <f>'Data_in-situ'!DT67</f>
        <v>3</v>
      </c>
      <c r="AF674" s="113">
        <f>'Data_in-situ'!EN51</f>
        <v>-53.36</v>
      </c>
      <c r="AG674" s="113">
        <f>'Data_in-situ'!EO51</f>
        <v>6.3986248522631799</v>
      </c>
      <c r="AH674" s="110">
        <f>'Data_in-situ'!EP51</f>
        <v>3</v>
      </c>
      <c r="AI674" s="113">
        <f>'Data_in-situ'!ER51</f>
        <v>-88.300000000000011</v>
      </c>
      <c r="AJ674" s="113">
        <f>'Data_in-situ'!ES51</f>
        <v>8.3224065029293062</v>
      </c>
      <c r="AK674" s="110">
        <f>'Data_in-situ'!ET51</f>
        <v>3</v>
      </c>
    </row>
    <row r="675" spans="2:37" x14ac:dyDescent="0.3">
      <c r="B675" s="24">
        <f>'Data_in-situ'!CA50</f>
        <v>-9369.2576901028933</v>
      </c>
      <c r="C675" s="24">
        <f>'Data_in-situ'!CB50</f>
        <v>2035.7162873934246</v>
      </c>
      <c r="D675" s="46">
        <f>'Data_in-situ'!CC50</f>
        <v>3</v>
      </c>
      <c r="E675" s="24">
        <f>'Data_in-situ'!CE50</f>
        <v>-9078.4121067422348</v>
      </c>
      <c r="F675" s="24">
        <f>'Data_in-situ'!CF50</f>
        <v>2550.7669434897421</v>
      </c>
      <c r="G675" s="46">
        <f>'Data_in-situ'!CG50</f>
        <v>3</v>
      </c>
      <c r="H675" s="24">
        <f>'Data_in-situ'!CN50</f>
        <v>12061.199832356524</v>
      </c>
      <c r="I675" s="24">
        <f>'Data_in-situ'!CO50</f>
        <v>2723.4693933324475</v>
      </c>
      <c r="J675" s="46">
        <f>'Data_in-situ'!CP50</f>
        <v>3</v>
      </c>
      <c r="K675" s="24">
        <f>'Data_in-situ'!CR50</f>
        <v>19572.836444656983</v>
      </c>
      <c r="L675" s="24">
        <f>'Data_in-situ'!CS50</f>
        <v>4405.6978485162454</v>
      </c>
      <c r="M675" s="46">
        <f>'Data_in-situ'!CT50</f>
        <v>3</v>
      </c>
      <c r="N675" s="24">
        <f>'Data_in-situ'!DA50</f>
        <v>2691.9421422536325</v>
      </c>
      <c r="O675" s="24">
        <f>'Data_in-situ'!DB50</f>
        <v>1470.8979553996573</v>
      </c>
      <c r="P675" s="46">
        <f>'Data_in-situ'!DC50</f>
        <v>3</v>
      </c>
      <c r="Q675" s="24">
        <f>'Data_in-situ'!DE50</f>
        <v>10494.424337914745</v>
      </c>
      <c r="R675" s="24">
        <f>'Data_in-situ'!DF50</f>
        <v>1546.8515977021152</v>
      </c>
      <c r="S675" s="46">
        <f>'Data_in-situ'!DG50</f>
        <v>3</v>
      </c>
      <c r="T675" s="113">
        <f>'Data_in-situ'!DN68</f>
        <v>7.1375195796034658</v>
      </c>
      <c r="U675" s="113">
        <f>'Data_in-situ'!DO68</f>
        <v>3.9633493035082119</v>
      </c>
      <c r="V675" s="46">
        <f>'Data_in-situ'!DP68</f>
        <v>3</v>
      </c>
      <c r="W675" s="113">
        <f>'Data_in-situ'!DR68</f>
        <v>1.8162894746130522</v>
      </c>
      <c r="X675" s="113">
        <f>'Data_in-situ'!DS68</f>
        <v>1.2745561332707356</v>
      </c>
      <c r="Y675" s="46">
        <f>'Data_in-situ'!DT68</f>
        <v>3</v>
      </c>
      <c r="AF675" s="113">
        <f>'Data_in-situ'!EN52</f>
        <v>-53.36</v>
      </c>
      <c r="AG675" s="113">
        <f>'Data_in-situ'!EO52</f>
        <v>6.3986248522631799</v>
      </c>
      <c r="AH675" s="110">
        <f>'Data_in-situ'!EP52</f>
        <v>3</v>
      </c>
      <c r="AI675" s="113">
        <f>'Data_in-situ'!ER52</f>
        <v>-124.16</v>
      </c>
      <c r="AJ675" s="113">
        <f>'Data_in-situ'!ES52</f>
        <v>9.3061459262145689</v>
      </c>
      <c r="AK675" s="110">
        <f>'Data_in-situ'!ET52</f>
        <v>3</v>
      </c>
    </row>
    <row r="676" spans="2:37" x14ac:dyDescent="0.3">
      <c r="B676" s="24">
        <f>'Data_in-situ'!CA51</f>
        <v>-9754.4163078122838</v>
      </c>
      <c r="C676" s="24">
        <f>'Data_in-situ'!CB51</f>
        <v>3932.1332121217479</v>
      </c>
      <c r="D676" s="46">
        <f>'Data_in-situ'!CC51</f>
        <v>3</v>
      </c>
      <c r="E676" s="24">
        <f>'Data_in-situ'!CE51</f>
        <v>-2761.4491134085392</v>
      </c>
      <c r="F676" s="24">
        <f>'Data_in-situ'!CF51</f>
        <v>1692.9192981356198</v>
      </c>
      <c r="G676" s="46">
        <f>'Data_in-situ'!CG51</f>
        <v>3</v>
      </c>
      <c r="H676" s="24">
        <f>'Data_in-situ'!CN51</f>
        <v>12245.303198687096</v>
      </c>
      <c r="I676" s="24">
        <f>'Data_in-situ'!CO51</f>
        <v>3757.3069479498581</v>
      </c>
      <c r="J676" s="46">
        <f>'Data_in-situ'!CP51</f>
        <v>3</v>
      </c>
      <c r="K676" s="24">
        <f>'Data_in-situ'!CR51</f>
        <v>17330.977325256288</v>
      </c>
      <c r="L676" s="24">
        <f>'Data_in-situ'!CS51</f>
        <v>2585.939777312642</v>
      </c>
      <c r="M676" s="46">
        <f>'Data_in-situ'!CT51</f>
        <v>3</v>
      </c>
      <c r="N676" s="24">
        <f>'Data_in-situ'!DA51</f>
        <v>2490.8868908748118</v>
      </c>
      <c r="O676" s="24">
        <f>'Data_in-situ'!DB51</f>
        <v>1134.5350284056235</v>
      </c>
      <c r="P676" s="46">
        <f>'Data_in-situ'!DC51</f>
        <v>3</v>
      </c>
      <c r="Q676" s="24">
        <f>'Data_in-situ'!DE51</f>
        <v>14569.528211847748</v>
      </c>
      <c r="R676" s="24">
        <f>'Data_in-situ'!DF51</f>
        <v>1911.412784772738</v>
      </c>
      <c r="S676" s="46">
        <f>'Data_in-situ'!DG51</f>
        <v>3</v>
      </c>
      <c r="T676" s="113">
        <f>'Data_in-situ'!DN69</f>
        <v>8.4029927968922031</v>
      </c>
      <c r="U676" s="113">
        <f>'Data_in-situ'!DO69</f>
        <v>3.1873816651232265</v>
      </c>
      <c r="V676" s="46">
        <f>'Data_in-situ'!DP69</f>
        <v>3</v>
      </c>
      <c r="W676" s="113">
        <f>'Data_in-situ'!DR69</f>
        <v>1.0794478740303646</v>
      </c>
      <c r="X676" s="113">
        <f>'Data_in-situ'!DS69</f>
        <v>0.96059962800413323</v>
      </c>
      <c r="Y676" s="46">
        <f>'Data_in-situ'!DT69</f>
        <v>3</v>
      </c>
      <c r="AF676" s="113">
        <f>'Data_in-situ'!EN53</f>
        <v>-38</v>
      </c>
      <c r="AG676" s="113">
        <f>'Data_in-situ'!EO53</f>
        <v>7.6</v>
      </c>
      <c r="AH676" s="110">
        <f>'Data_in-situ'!EP53</f>
        <v>3</v>
      </c>
      <c r="AI676" s="113">
        <f>'Data_in-situ'!ER53</f>
        <v>-73</v>
      </c>
      <c r="AJ676" s="113">
        <f>'Data_in-situ'!ES53</f>
        <v>10.3</v>
      </c>
      <c r="AK676" s="110">
        <f>'Data_in-situ'!ET53</f>
        <v>3</v>
      </c>
    </row>
    <row r="677" spans="2:37" x14ac:dyDescent="0.3">
      <c r="B677" s="24">
        <f>'Data_in-situ'!CA52</f>
        <v>-9754.4163078122838</v>
      </c>
      <c r="C677" s="24">
        <f>'Data_in-situ'!CB52</f>
        <v>3932.1332121217479</v>
      </c>
      <c r="D677" s="46">
        <f>'Data_in-situ'!CC52</f>
        <v>3</v>
      </c>
      <c r="E677" s="24">
        <f>'Data_in-situ'!CE52</f>
        <v>-9460.8273773830751</v>
      </c>
      <c r="F677" s="24">
        <f>'Data_in-situ'!CF52</f>
        <v>2248.9137051770867</v>
      </c>
      <c r="G677" s="46">
        <f>'Data_in-situ'!CG52</f>
        <v>3</v>
      </c>
      <c r="H677" s="24">
        <f>'Data_in-situ'!CN52</f>
        <v>12245.303198687096</v>
      </c>
      <c r="I677" s="24">
        <f>'Data_in-situ'!CO52</f>
        <v>3459.6241558518745</v>
      </c>
      <c r="J677" s="46">
        <f>'Data_in-situ'!CP52</f>
        <v>3</v>
      </c>
      <c r="K677" s="24">
        <f>'Data_in-situ'!CR52</f>
        <v>19797.114273740117</v>
      </c>
      <c r="L677" s="24">
        <f>'Data_in-situ'!CS52</f>
        <v>3942.244199118858</v>
      </c>
      <c r="M677" s="46">
        <f>'Data_in-situ'!CT52</f>
        <v>3</v>
      </c>
      <c r="N677" s="24">
        <f>'Data_in-situ'!DA52</f>
        <v>2490.8868908748118</v>
      </c>
      <c r="O677" s="24">
        <f>'Data_in-situ'!DB52</f>
        <v>1134.5350284056235</v>
      </c>
      <c r="P677" s="46">
        <f>'Data_in-situ'!DC52</f>
        <v>3</v>
      </c>
      <c r="Q677" s="24">
        <f>'Data_in-situ'!DE52</f>
        <v>10336.286896357044</v>
      </c>
      <c r="R677" s="24">
        <f>'Data_in-situ'!DF52</f>
        <v>1988.9291863416881</v>
      </c>
      <c r="S677" s="46">
        <f>'Data_in-situ'!DG52</f>
        <v>3</v>
      </c>
      <c r="T677" s="113">
        <f>'Data_in-situ'!DN70</f>
        <v>8.4029927968922031</v>
      </c>
      <c r="U677" s="113">
        <f>'Data_in-situ'!DO70</f>
        <v>3.1873816651232265</v>
      </c>
      <c r="V677" s="46">
        <f>'Data_in-situ'!DP70</f>
        <v>3</v>
      </c>
      <c r="W677" s="113">
        <f>'Data_in-situ'!DR70</f>
        <v>0.78616919085132009</v>
      </c>
      <c r="X677" s="113">
        <f>'Data_in-situ'!DS70</f>
        <v>1.3520526050253143</v>
      </c>
      <c r="Y677" s="46">
        <f>'Data_in-situ'!DT70</f>
        <v>3</v>
      </c>
      <c r="AF677" s="113">
        <f>'Data_in-situ'!EN54</f>
        <v>-38</v>
      </c>
      <c r="AG677" s="113">
        <f>'Data_in-situ'!EO54</f>
        <v>7.6</v>
      </c>
      <c r="AH677" s="110">
        <f>'Data_in-situ'!EP54</f>
        <v>3</v>
      </c>
      <c r="AI677" s="113">
        <f>'Data_in-situ'!ER54</f>
        <v>-112</v>
      </c>
      <c r="AJ677" s="113">
        <f>'Data_in-situ'!ES54</f>
        <v>15.2</v>
      </c>
      <c r="AK677" s="110">
        <f>'Data_in-situ'!ET54</f>
        <v>3</v>
      </c>
    </row>
    <row r="678" spans="2:37" x14ac:dyDescent="0.3">
      <c r="B678" s="24">
        <f>'Data_in-situ'!CA71</f>
        <v>-9117.231395346209</v>
      </c>
      <c r="C678" s="24">
        <f>'Data_in-situ'!CB71</f>
        <v>2424.3247606001519</v>
      </c>
      <c r="D678" s="46">
        <f>'Data_in-situ'!CC71</f>
        <v>3</v>
      </c>
      <c r="E678" s="24">
        <f>'Data_in-situ'!CE71</f>
        <v>-11061.598737544935</v>
      </c>
      <c r="F678" s="24">
        <f>'Data_in-situ'!CF71</f>
        <v>12004.393621698095</v>
      </c>
      <c r="G678" s="46">
        <f>'Data_in-situ'!CG71</f>
        <v>3</v>
      </c>
      <c r="H678" s="24">
        <f>'Data_in-situ'!CN71</f>
        <v>12663.516770662041</v>
      </c>
      <c r="I678" s="24">
        <f>'Data_in-situ'!CO71</f>
        <v>2011.7619468526057</v>
      </c>
      <c r="J678" s="46">
        <f>'Data_in-situ'!CP71</f>
        <v>3</v>
      </c>
      <c r="K678" s="24">
        <f>'Data_in-situ'!CR71</f>
        <v>13557.778602361721</v>
      </c>
      <c r="L678" s="24">
        <f>'Data_in-situ'!CS71</f>
        <v>1534.7793518535277</v>
      </c>
      <c r="M678" s="46">
        <f>'Data_in-situ'!CT71</f>
        <v>3</v>
      </c>
      <c r="N678" s="24">
        <f>'Data_in-situ'!DA71</f>
        <v>3546.2853753158324</v>
      </c>
      <c r="O678" s="24">
        <f>'Data_in-situ'!DB71</f>
        <v>5941.722754487856</v>
      </c>
      <c r="P678" s="46">
        <f>'Data_in-situ'!DC71</f>
        <v>3</v>
      </c>
      <c r="Q678" s="24">
        <f>'Data_in-situ'!DE71</f>
        <v>2496.179864816786</v>
      </c>
      <c r="R678" s="24">
        <f>'Data_in-situ'!DF71</f>
        <v>441.8656256521171</v>
      </c>
      <c r="S678" s="46">
        <f>'Data_in-situ'!DG71</f>
        <v>3</v>
      </c>
      <c r="T678" s="113">
        <f>'Data_in-situ'!DN79</f>
        <v>345.6</v>
      </c>
      <c r="U678" s="113">
        <f>'Data_in-situ'!DO79</f>
        <v>358.40000000000003</v>
      </c>
      <c r="V678" s="46">
        <f>'Data_in-situ'!DP79</f>
        <v>4</v>
      </c>
      <c r="W678" s="113">
        <f>'Data_in-situ'!DR79</f>
        <v>-2.4</v>
      </c>
      <c r="X678" s="113">
        <f>'Data_in-situ'!DS79</f>
        <v>0.8</v>
      </c>
      <c r="Y678" s="46">
        <f>'Data_in-situ'!DT79</f>
        <v>4</v>
      </c>
      <c r="AF678" s="113">
        <f>'Data_in-situ'!EN55</f>
        <v>-47</v>
      </c>
      <c r="AG678" s="113">
        <f>'Data_in-situ'!EO55</f>
        <v>6.8</v>
      </c>
      <c r="AH678" s="110">
        <f>'Data_in-situ'!EP55</f>
        <v>3</v>
      </c>
      <c r="AI678" s="113">
        <f>'Data_in-situ'!ER55</f>
        <v>-82</v>
      </c>
      <c r="AJ678" s="113">
        <f>'Data_in-situ'!ES55</f>
        <v>12.3</v>
      </c>
      <c r="AK678" s="110">
        <f>'Data_in-situ'!ET55</f>
        <v>3</v>
      </c>
    </row>
    <row r="679" spans="2:37" x14ac:dyDescent="0.3">
      <c r="B679" s="24">
        <f>'Data_in-situ'!CA72</f>
        <v>-10940.677674415452</v>
      </c>
      <c r="C679" s="24">
        <f>'Data_in-situ'!CB72</f>
        <v>3587.5182834567408</v>
      </c>
      <c r="D679" s="46">
        <f>'Data_in-situ'!CC72</f>
        <v>3</v>
      </c>
      <c r="E679" s="24">
        <f>'Data_in-situ'!CE72</f>
        <v>-13155.401355723083</v>
      </c>
      <c r="F679" s="24">
        <f>'Data_in-situ'!CF72</f>
        <v>5176.9391284347485</v>
      </c>
      <c r="G679" s="46">
        <f>'Data_in-situ'!CG72</f>
        <v>3</v>
      </c>
      <c r="H679" s="24">
        <f>'Data_in-situ'!CN72</f>
        <v>12156.97609983556</v>
      </c>
      <c r="I679" s="24">
        <f>'Data_in-situ'!CO72</f>
        <v>3352.7816659818532</v>
      </c>
      <c r="J679" s="46">
        <f>'Data_in-situ'!CP72</f>
        <v>3</v>
      </c>
      <c r="K679" s="24">
        <f>'Data_in-situ'!CR72</f>
        <v>16499.127180501211</v>
      </c>
      <c r="L679" s="24">
        <f>'Data_in-situ'!CS72</f>
        <v>2145.4857374487219</v>
      </c>
      <c r="M679" s="46">
        <f>'Data_in-situ'!CT72</f>
        <v>3</v>
      </c>
      <c r="N679" s="24">
        <f>'Data_in-situ'!DA72</f>
        <v>1216.2984254201074</v>
      </c>
      <c r="O679" s="24">
        <f>'Data_in-situ'!DB72</f>
        <v>2060.9133169618799</v>
      </c>
      <c r="P679" s="46">
        <f>'Data_in-situ'!DC72</f>
        <v>3</v>
      </c>
      <c r="Q679" s="24">
        <f>'Data_in-situ'!DE72</f>
        <v>3343.7258247781283</v>
      </c>
      <c r="R679" s="24">
        <f>'Data_in-situ'!DF72</f>
        <v>717.82293341401112</v>
      </c>
      <c r="S679" s="46">
        <f>'Data_in-situ'!DG72</f>
        <v>3</v>
      </c>
      <c r="T679" s="113">
        <f>'Data_in-situ'!DN195</f>
        <v>157.55702481107656</v>
      </c>
      <c r="U679" s="113">
        <f>'Data_in-situ'!DO195</f>
        <v>48.678566846799022</v>
      </c>
      <c r="V679" s="46">
        <f>'Data_in-situ'!DP195</f>
        <v>3</v>
      </c>
      <c r="W679" s="113">
        <f>'Data_in-situ'!DR195</f>
        <v>113.18254393770165</v>
      </c>
      <c r="X679" s="113">
        <f>'Data_in-situ'!DS195</f>
        <v>73.207043848592377</v>
      </c>
      <c r="Y679" s="46">
        <f>'Data_in-situ'!DT195</f>
        <v>3</v>
      </c>
      <c r="AF679" s="113">
        <f>'Data_in-situ'!EN56</f>
        <v>-47</v>
      </c>
      <c r="AG679" s="113">
        <f>'Data_in-situ'!EO56</f>
        <v>6.8</v>
      </c>
      <c r="AH679" s="110">
        <f>'Data_in-situ'!EP56</f>
        <v>3</v>
      </c>
      <c r="AI679" s="113">
        <f>'Data_in-situ'!ER56</f>
        <v>-120</v>
      </c>
      <c r="AJ679" s="113">
        <f>'Data_in-situ'!ES56</f>
        <v>11.8</v>
      </c>
      <c r="AK679" s="110">
        <f>'Data_in-situ'!ET56</f>
        <v>3</v>
      </c>
    </row>
    <row r="680" spans="2:37" x14ac:dyDescent="0.3">
      <c r="B680" s="24">
        <f>'Data_in-situ'!CA73</f>
        <v>-7247.1260453614077</v>
      </c>
      <c r="C680" s="24">
        <f>'Data_in-situ'!CB73</f>
        <v>2100.9616035887616</v>
      </c>
      <c r="D680" s="46">
        <f>'Data_in-situ'!CC73</f>
        <v>3</v>
      </c>
      <c r="E680" s="24">
        <f>'Data_in-situ'!CE73</f>
        <v>-4582.6623341257582</v>
      </c>
      <c r="F680" s="24">
        <f>'Data_in-situ'!CF73</f>
        <v>1321.5627260440792</v>
      </c>
      <c r="G680" s="46">
        <f>'Data_in-situ'!CG73</f>
        <v>3</v>
      </c>
      <c r="H680" s="24">
        <f>'Data_in-situ'!CN73</f>
        <v>6440.2877983621229</v>
      </c>
      <c r="I680" s="24">
        <f>'Data_in-situ'!CO73</f>
        <v>2181.3507268282779</v>
      </c>
      <c r="J680" s="46">
        <f>'Data_in-situ'!CP73</f>
        <v>3</v>
      </c>
      <c r="K680" s="24">
        <f>'Data_in-situ'!CR73</f>
        <v>24633.794341918241</v>
      </c>
      <c r="L680" s="24">
        <f>'Data_in-situ'!CS73</f>
        <v>2489.5274353362884</v>
      </c>
      <c r="M680" s="46">
        <f>'Data_in-situ'!CT73</f>
        <v>3</v>
      </c>
      <c r="N680" s="24">
        <f>'Data_in-situ'!DA73</f>
        <v>-806.83824699928482</v>
      </c>
      <c r="O680" s="24">
        <f>'Data_in-situ'!DB73</f>
        <v>1429.0549882340658</v>
      </c>
      <c r="P680" s="46">
        <f>'Data_in-situ'!DC73</f>
        <v>3</v>
      </c>
      <c r="Q680" s="24">
        <f>'Data_in-situ'!DE73</f>
        <v>20051.132007792483</v>
      </c>
      <c r="R680" s="24">
        <f>'Data_in-situ'!DF73</f>
        <v>2691.1988636577994</v>
      </c>
      <c r="S680" s="46">
        <f>'Data_in-situ'!DG73</f>
        <v>3</v>
      </c>
      <c r="T680" s="113">
        <f>'Data_in-situ'!DN196</f>
        <v>20.372391781452269</v>
      </c>
      <c r="U680" s="113">
        <f>'Data_in-situ'!DO196</f>
        <v>47.083328695005008</v>
      </c>
      <c r="V680" s="46">
        <f>'Data_in-situ'!DP196</f>
        <v>3</v>
      </c>
      <c r="W680" s="113">
        <f>'Data_in-situ'!DR196</f>
        <v>23.189276423209868</v>
      </c>
      <c r="X680" s="113">
        <f>'Data_in-situ'!DS196</f>
        <v>55.90659464438842</v>
      </c>
      <c r="Y680" s="46">
        <f>'Data_in-situ'!DT196</f>
        <v>3</v>
      </c>
      <c r="AF680" s="113">
        <f>'Data_in-situ'!EN57</f>
        <v>-56</v>
      </c>
      <c r="AG680" s="113">
        <f>'Data_in-situ'!EO57</f>
        <v>10.1</v>
      </c>
      <c r="AH680" s="110">
        <f>'Data_in-situ'!EP57</f>
        <v>3</v>
      </c>
      <c r="AI680" s="113">
        <f>'Data_in-situ'!ER57</f>
        <v>-91</v>
      </c>
      <c r="AJ680" s="113">
        <f>'Data_in-situ'!ES57</f>
        <v>11.3</v>
      </c>
      <c r="AK680" s="110">
        <f>'Data_in-situ'!ET57</f>
        <v>3</v>
      </c>
    </row>
    <row r="681" spans="2:37" x14ac:dyDescent="0.3">
      <c r="B681" s="24">
        <f>'Data_in-situ'!CA74</f>
        <v>-7369.268619159634</v>
      </c>
      <c r="C681" s="24">
        <f>'Data_in-situ'!CB74</f>
        <v>746.95892899118678</v>
      </c>
      <c r="D681" s="46">
        <f>'Data_in-situ'!CC74</f>
        <v>3</v>
      </c>
      <c r="E681" s="24">
        <f>'Data_in-situ'!CE74</f>
        <v>-4661.6737536796509</v>
      </c>
      <c r="F681" s="24">
        <f>'Data_in-situ'!CF74</f>
        <v>1389.6358486823906</v>
      </c>
      <c r="G681" s="46">
        <f>'Data_in-situ'!CG74</f>
        <v>3</v>
      </c>
      <c r="H681" s="24">
        <f>'Data_in-situ'!CN74</f>
        <v>11939.302764655935</v>
      </c>
      <c r="I681" s="24">
        <f>'Data_in-situ'!CO74</f>
        <v>4483.7070147716368</v>
      </c>
      <c r="J681" s="46">
        <f>'Data_in-situ'!CP74</f>
        <v>3</v>
      </c>
      <c r="K681" s="24">
        <f>'Data_in-situ'!CR74</f>
        <v>23300.995767448785</v>
      </c>
      <c r="L681" s="24">
        <f>'Data_in-situ'!CS74</f>
        <v>3584.4542083747219</v>
      </c>
      <c r="M681" s="46">
        <f>'Data_in-situ'!CT74</f>
        <v>3</v>
      </c>
      <c r="N681" s="24">
        <f>'Data_in-situ'!DA74</f>
        <v>4570.0341454963009</v>
      </c>
      <c r="O681" s="24">
        <f>'Data_in-situ'!DB74</f>
        <v>7489.8905028845447</v>
      </c>
      <c r="P681" s="46">
        <f>'Data_in-situ'!DC74</f>
        <v>3</v>
      </c>
      <c r="Q681" s="24">
        <f>'Data_in-situ'!DE74</f>
        <v>18639.322013769135</v>
      </c>
      <c r="R681" s="24">
        <f>'Data_in-situ'!DF74</f>
        <v>3134.0545713270785</v>
      </c>
      <c r="S681" s="46">
        <f>'Data_in-situ'!DG74</f>
        <v>3</v>
      </c>
      <c r="T681" s="113">
        <f>'Data_in-situ'!DN197</f>
        <v>155.82698820258872</v>
      </c>
      <c r="U681" s="113">
        <f>'Data_in-situ'!DO197</f>
        <v>23.032741265577613</v>
      </c>
      <c r="V681" s="46">
        <f>'Data_in-situ'!DP197</f>
        <v>3</v>
      </c>
      <c r="W681" s="113">
        <f>'Data_in-situ'!DR197</f>
        <v>112.44558555457438</v>
      </c>
      <c r="X681" s="113">
        <f>'Data_in-situ'!DS197</f>
        <v>45.444038695017397</v>
      </c>
      <c r="Y681" s="46">
        <f>'Data_in-situ'!DT197</f>
        <v>3</v>
      </c>
      <c r="AF681" s="113">
        <f>'Data_in-situ'!EN58</f>
        <v>-56</v>
      </c>
      <c r="AG681" s="113">
        <f>'Data_in-situ'!EO58</f>
        <v>10.1</v>
      </c>
      <c r="AH681" s="110">
        <f>'Data_in-situ'!EP58</f>
        <v>3</v>
      </c>
      <c r="AI681" s="113">
        <f>'Data_in-situ'!ER58</f>
        <v>-128</v>
      </c>
      <c r="AJ681" s="113">
        <f>'Data_in-situ'!ES58</f>
        <v>14.2</v>
      </c>
      <c r="AK681" s="110">
        <f>'Data_in-situ'!ET58</f>
        <v>3</v>
      </c>
    </row>
    <row r="682" spans="2:37" x14ac:dyDescent="0.3">
      <c r="B682" s="24">
        <f>'Data_in-situ'!CA75</f>
        <v>-8294.3850413528962</v>
      </c>
      <c r="C682" s="24">
        <f>'Data_in-situ'!CB75</f>
        <v>1642.4661972156998</v>
      </c>
      <c r="D682" s="46">
        <f>'Data_in-situ'!CC75</f>
        <v>3</v>
      </c>
      <c r="E682" s="24">
        <f>'Data_in-situ'!CE75</f>
        <v>-8210.866720040498</v>
      </c>
      <c r="F682" s="24">
        <f>'Data_in-situ'!CF75</f>
        <v>6747.5626737645262</v>
      </c>
      <c r="G682" s="46">
        <f>'Data_in-situ'!CG75</f>
        <v>3</v>
      </c>
      <c r="H682" s="24">
        <f>'Data_in-situ'!CN75</f>
        <v>9925.2960228500779</v>
      </c>
      <c r="I682" s="24">
        <f>'Data_in-situ'!CO75</f>
        <v>1480.0009145095366</v>
      </c>
      <c r="J682" s="46">
        <f>'Data_in-situ'!CP75</f>
        <v>3</v>
      </c>
      <c r="K682" s="24">
        <f>'Data_in-situ'!CR75</f>
        <v>18431.22552776659</v>
      </c>
      <c r="L682" s="24">
        <f>'Data_in-situ'!CS75</f>
        <v>1392.33025401075</v>
      </c>
      <c r="M682" s="46">
        <f>'Data_in-situ'!CT75</f>
        <v>3</v>
      </c>
      <c r="N682" s="24">
        <f>'Data_in-situ'!DA75</f>
        <v>1630.9109814971816</v>
      </c>
      <c r="O682" s="24">
        <f>'Data_in-situ'!DB75</f>
        <v>3386.2554087633621</v>
      </c>
      <c r="P682" s="46">
        <f>'Data_in-situ'!DC75</f>
        <v>3</v>
      </c>
      <c r="Q682" s="24">
        <f>'Data_in-situ'!DE75</f>
        <v>10220.358807726092</v>
      </c>
      <c r="R682" s="24">
        <f>'Data_in-situ'!DF75</f>
        <v>1209.7052702050512</v>
      </c>
      <c r="S682" s="46">
        <f>'Data_in-situ'!DG75</f>
        <v>3</v>
      </c>
      <c r="T682" s="113">
        <f>'Data_in-situ'!DN198</f>
        <v>26.090957895544143</v>
      </c>
      <c r="U682" s="113">
        <f>'Data_in-situ'!DO198</f>
        <v>4.5126597497032837</v>
      </c>
      <c r="V682" s="46">
        <f>'Data_in-situ'!DP198</f>
        <v>3</v>
      </c>
      <c r="W682" s="113">
        <f>'Data_in-situ'!DR198</f>
        <v>36.800373454224456</v>
      </c>
      <c r="X682" s="113">
        <f>'Data_in-situ'!DS198</f>
        <v>16.18313151345119</v>
      </c>
      <c r="Y682" s="46">
        <f>'Data_in-situ'!DT198</f>
        <v>3</v>
      </c>
      <c r="AF682" s="113">
        <f>'Data_in-situ'!EN59</f>
        <v>-38</v>
      </c>
      <c r="AG682" s="113">
        <f>'Data_in-situ'!EO59</f>
        <v>7.6</v>
      </c>
      <c r="AH682" s="110">
        <f>'Data_in-situ'!EP59</f>
        <v>3</v>
      </c>
      <c r="AI682" s="113">
        <f>'Data_in-situ'!ER59</f>
        <v>-73</v>
      </c>
      <c r="AJ682" s="113">
        <f>'Data_in-situ'!ES59</f>
        <v>10.3</v>
      </c>
      <c r="AK682" s="110">
        <f>'Data_in-situ'!ET59</f>
        <v>3</v>
      </c>
    </row>
    <row r="683" spans="2:37" x14ac:dyDescent="0.3">
      <c r="B683" s="24">
        <f>'Data_in-situ'!CA76</f>
        <v>-9369.2576901028915</v>
      </c>
      <c r="C683" s="24">
        <f>'Data_in-situ'!CB76</f>
        <v>2035.7162873934251</v>
      </c>
      <c r="D683" s="46">
        <f>'Data_in-situ'!CC76</f>
        <v>3</v>
      </c>
      <c r="E683" s="24">
        <f>'Data_in-situ'!CE76</f>
        <v>-9418.1612108239733</v>
      </c>
      <c r="F683" s="24">
        <f>'Data_in-situ'!CF76</f>
        <v>2962.8630952565604</v>
      </c>
      <c r="G683" s="46">
        <f>'Data_in-situ'!CG76</f>
        <v>3</v>
      </c>
      <c r="H683" s="24">
        <f>'Data_in-situ'!CN76</f>
        <v>12061.199832356524</v>
      </c>
      <c r="I683" s="24">
        <f>'Data_in-situ'!CO76</f>
        <v>2723.4693933324479</v>
      </c>
      <c r="J683" s="46">
        <f>'Data_in-situ'!CP76</f>
        <v>3</v>
      </c>
      <c r="K683" s="24">
        <f>'Data_in-situ'!CR76</f>
        <v>19491.949358758146</v>
      </c>
      <c r="L683" s="24">
        <f>'Data_in-situ'!CS76</f>
        <v>1982.6669401893841</v>
      </c>
      <c r="M683" s="46">
        <f>'Data_in-situ'!CT76</f>
        <v>3</v>
      </c>
      <c r="N683" s="24">
        <f>'Data_in-situ'!DA76</f>
        <v>2691.9421422536325</v>
      </c>
      <c r="O683" s="24">
        <f>'Data_in-situ'!DB76</f>
        <v>3491.7953924879967</v>
      </c>
      <c r="P683" s="46">
        <f>'Data_in-situ'!DC76</f>
        <v>3</v>
      </c>
      <c r="Q683" s="24">
        <f>'Data_in-situ'!DE76</f>
        <v>10073.788147934172</v>
      </c>
      <c r="R683" s="24">
        <f>'Data_in-situ'!DF76</f>
        <v>1436.3793028165639</v>
      </c>
      <c r="S683" s="46">
        <f>'Data_in-situ'!DG76</f>
        <v>3</v>
      </c>
      <c r="T683" s="113">
        <f>'Data_in-situ'!DN200</f>
        <v>245.98402154970469</v>
      </c>
      <c r="U683" s="113">
        <f>'Data_in-situ'!DO200</f>
        <v>274.24249109003443</v>
      </c>
      <c r="V683" s="46">
        <f>'Data_in-situ'!DP200</f>
        <v>1</v>
      </c>
      <c r="W683" s="113">
        <f>'Data_in-situ'!DR200</f>
        <v>137.10405045597599</v>
      </c>
      <c r="X683" s="113">
        <f>'Data_in-situ'!DS200</f>
        <v>512.38749142398558</v>
      </c>
      <c r="Y683" s="46">
        <f>'Data_in-situ'!DT200</f>
        <v>1</v>
      </c>
      <c r="AF683" s="113">
        <f>'Data_in-situ'!EN60</f>
        <v>-38</v>
      </c>
      <c r="AG683" s="113">
        <f>'Data_in-situ'!EO60</f>
        <v>7.6</v>
      </c>
      <c r="AH683" s="110">
        <f>'Data_in-situ'!EP60</f>
        <v>3</v>
      </c>
      <c r="AI683" s="113">
        <f>'Data_in-situ'!ER60</f>
        <v>-112</v>
      </c>
      <c r="AJ683" s="113">
        <f>'Data_in-situ'!ES60</f>
        <v>15.2</v>
      </c>
      <c r="AK683" s="110">
        <f>'Data_in-situ'!ET60</f>
        <v>3</v>
      </c>
    </row>
    <row r="684" spans="2:37" x14ac:dyDescent="0.3">
      <c r="B684" s="24">
        <f>'Data_in-situ'!CA199</f>
        <v>-17120.448467345523</v>
      </c>
      <c r="C684" s="24">
        <f>'Data_in-situ'!CB199</f>
        <v>4174.1444262492878</v>
      </c>
      <c r="D684" s="46">
        <f>'Data_in-situ'!CC199</f>
        <v>1</v>
      </c>
      <c r="E684" s="24">
        <f>'Data_in-situ'!CE199</f>
        <v>-14041.350510064822</v>
      </c>
      <c r="F684" s="24">
        <f>'Data_in-situ'!CF199</f>
        <v>5227.1608672305301</v>
      </c>
      <c r="G684" s="46">
        <f>'Data_in-situ'!CG199</f>
        <v>1</v>
      </c>
      <c r="H684" s="24">
        <f>'Data_in-situ'!CN199</f>
        <v>12896.16741487473</v>
      </c>
      <c r="I684" s="24">
        <f>'Data_in-situ'!CO199</f>
        <v>3709.2899364025543</v>
      </c>
      <c r="J684" s="46">
        <f>'Data_in-situ'!CP199</f>
        <v>1</v>
      </c>
      <c r="K684" s="24">
        <f>'Data_in-situ'!CR199</f>
        <v>14385.676578962597</v>
      </c>
      <c r="L684" s="24">
        <f>'Data_in-situ'!CS199</f>
        <v>3774.6745086112619</v>
      </c>
      <c r="M684" s="46">
        <f>'Data_in-situ'!CT199</f>
        <v>1</v>
      </c>
      <c r="N684" s="24">
        <f>'Data_in-situ'!DA197</f>
        <v>-6476.6640398246809</v>
      </c>
      <c r="O684" s="24">
        <f>'Data_in-situ'!DB197</f>
        <v>2851.847869896872</v>
      </c>
      <c r="P684" s="46">
        <f>'Data_in-situ'!DC197</f>
        <v>3</v>
      </c>
      <c r="Q684" s="24">
        <f>'Data_in-situ'!DE197</f>
        <v>303.7999143045227</v>
      </c>
      <c r="R684" s="24">
        <f>'Data_in-situ'!DF197</f>
        <v>833.8763402434389</v>
      </c>
      <c r="S684" s="46">
        <f>'Data_in-situ'!DG197</f>
        <v>3</v>
      </c>
      <c r="T684" s="113">
        <f>'Data_in-situ'!DN206</f>
        <v>463.27543921409523</v>
      </c>
      <c r="U684" s="113">
        <f>'Data_in-situ'!DO206</f>
        <v>273.82684401702096</v>
      </c>
      <c r="V684" s="46">
        <f>'Data_in-situ'!DP206</f>
        <v>10</v>
      </c>
      <c r="W684" s="113">
        <f>'Data_in-situ'!DR206</f>
        <v>96.95483735641497</v>
      </c>
      <c r="X684" s="113">
        <f>'Data_in-situ'!DS206</f>
        <v>59.158355726925045</v>
      </c>
      <c r="Y684" s="46">
        <f>'Data_in-situ'!DT206</f>
        <v>10</v>
      </c>
      <c r="AF684" s="113">
        <f>'Data_in-situ'!EN61</f>
        <v>-44</v>
      </c>
      <c r="AG684" s="113">
        <f>'Data_in-situ'!EO61</f>
        <v>6.8</v>
      </c>
      <c r="AH684" s="110">
        <f>'Data_in-situ'!EP61</f>
        <v>3</v>
      </c>
      <c r="AI684" s="113">
        <f>'Data_in-situ'!ER61</f>
        <v>-79</v>
      </c>
      <c r="AJ684" s="113">
        <f>'Data_in-situ'!ES61</f>
        <v>12.3</v>
      </c>
      <c r="AK684" s="110">
        <f>'Data_in-situ'!ET61</f>
        <v>3</v>
      </c>
    </row>
    <row r="685" spans="2:37" x14ac:dyDescent="0.3">
      <c r="B685" s="24">
        <f>'Data_in-situ'!CA200</f>
        <v>-15725.784017121432</v>
      </c>
      <c r="C685" s="24">
        <f>'Data_in-situ'!CB200</f>
        <v>3834.1106442782989</v>
      </c>
      <c r="D685" s="46">
        <f>'Data_in-situ'!CC200</f>
        <v>1</v>
      </c>
      <c r="E685" s="24">
        <f>'Data_in-situ'!CE200</f>
        <v>-16611.232720206455</v>
      </c>
      <c r="F685" s="24">
        <f>'Data_in-situ'!CF200</f>
        <v>6183.8485955665874</v>
      </c>
      <c r="G685" s="46">
        <f>'Data_in-situ'!CG200</f>
        <v>1</v>
      </c>
      <c r="H685" s="24">
        <f>'Data_in-situ'!CN200</f>
        <v>12587.493371634213</v>
      </c>
      <c r="I685" s="24">
        <f>'Data_in-situ'!CO200</f>
        <v>3620.5068518327839</v>
      </c>
      <c r="J685" s="46">
        <f>'Data_in-situ'!CP200</f>
        <v>1</v>
      </c>
      <c r="K685" s="24">
        <f>'Data_in-situ'!CR200</f>
        <v>17012.76988978263</v>
      </c>
      <c r="L685" s="24">
        <f>'Data_in-situ'!CS200</f>
        <v>4464.0005961028419</v>
      </c>
      <c r="M685" s="46">
        <f>'Data_in-situ'!CT200</f>
        <v>1</v>
      </c>
      <c r="N685" s="24">
        <f>'Data_in-situ'!DA198</f>
        <v>-5712.1472856207492</v>
      </c>
      <c r="O685" s="24">
        <f>'Data_in-situ'!DB198</f>
        <v>3273.2058172899874</v>
      </c>
      <c r="P685" s="46">
        <f>'Data_in-situ'!DC198</f>
        <v>3</v>
      </c>
      <c r="Q685" s="24">
        <f>'Data_in-situ'!DE198</f>
        <v>-61.395104632969371</v>
      </c>
      <c r="R685" s="24">
        <f>'Data_in-situ'!DF198</f>
        <v>529.41384138606963</v>
      </c>
      <c r="S685" s="46">
        <f>'Data_in-situ'!DG198</f>
        <v>3</v>
      </c>
      <c r="T685" s="113">
        <f>'Data_in-situ'!DN207</f>
        <v>-3.4702280090943463</v>
      </c>
      <c r="U685" s="113">
        <f>'Data_in-situ'!DO207</f>
        <v>1.9645331933110226</v>
      </c>
      <c r="V685" s="46">
        <f>'Data_in-situ'!DP207</f>
        <v>10</v>
      </c>
      <c r="W685" s="113">
        <f>'Data_in-situ'!DR207</f>
        <v>5.0366149276059726</v>
      </c>
      <c r="X685" s="113">
        <f>'Data_in-situ'!DS207</f>
        <v>17.873807602780403</v>
      </c>
      <c r="Y685" s="46">
        <f>'Data_in-situ'!DT207</f>
        <v>10</v>
      </c>
      <c r="AF685" s="113">
        <f>'Data_in-situ'!EN62</f>
        <v>-44</v>
      </c>
      <c r="AG685" s="113">
        <f>'Data_in-situ'!EO62</f>
        <v>6.8</v>
      </c>
      <c r="AH685" s="110">
        <f>'Data_in-situ'!EP62</f>
        <v>3</v>
      </c>
      <c r="AI685" s="113">
        <f>'Data_in-situ'!ER62</f>
        <v>-116</v>
      </c>
      <c r="AJ685" s="113">
        <f>'Data_in-situ'!ES62</f>
        <v>11.8</v>
      </c>
      <c r="AK685" s="110">
        <f>'Data_in-situ'!ET62</f>
        <v>3</v>
      </c>
    </row>
    <row r="686" spans="2:37" x14ac:dyDescent="0.3">
      <c r="B686" s="24">
        <f>'Data_in-situ'!CA222</f>
        <v>-17643.02413085182</v>
      </c>
      <c r="C686" s="24">
        <f>'Data_in-situ'!CB222</f>
        <v>3122.5184951907863</v>
      </c>
      <c r="D686" s="46">
        <f>'Data_in-situ'!CC222</f>
        <v>3</v>
      </c>
      <c r="E686" s="24">
        <f>'Data_in-situ'!CE222</f>
        <v>-18545.337897111574</v>
      </c>
      <c r="F686" s="24">
        <f>'Data_in-situ'!CF222</f>
        <v>1220.592996774214</v>
      </c>
      <c r="G686" s="46">
        <f>'Data_in-situ'!CG222</f>
        <v>3</v>
      </c>
      <c r="H686" s="24">
        <f>'Data_in-situ'!CN222</f>
        <v>12120.970993298208</v>
      </c>
      <c r="I686" s="24">
        <f>'Data_in-situ'!CO222</f>
        <v>2737.6911459160037</v>
      </c>
      <c r="J686" s="46">
        <f>'Data_in-situ'!CP222</f>
        <v>3</v>
      </c>
      <c r="K686" s="24">
        <f>'Data_in-situ'!CR222</f>
        <v>14804.615301473419</v>
      </c>
      <c r="L686" s="24">
        <f>'Data_in-situ'!CS222</f>
        <v>2182.1730906862158</v>
      </c>
      <c r="M686" s="46">
        <f>'Data_in-situ'!CT222</f>
        <v>3</v>
      </c>
      <c r="N686" s="24">
        <f>'Data_in-situ'!DA199</f>
        <v>-4224.281052470792</v>
      </c>
      <c r="O686" s="24">
        <f>'Data_in-situ'!DB199</f>
        <v>12671.392364777903</v>
      </c>
      <c r="P686" s="46">
        <f>'Data_in-situ'!DC199</f>
        <v>1</v>
      </c>
      <c r="Q686" s="24">
        <f>'Data_in-situ'!DE199</f>
        <v>344.32606889777549</v>
      </c>
      <c r="R686" s="24">
        <f>'Data_in-situ'!DF199</f>
        <v>328.19191145947599</v>
      </c>
      <c r="S686" s="46">
        <f>'Data_in-situ'!DG199</f>
        <v>1</v>
      </c>
      <c r="T686" s="113">
        <f>'Data_in-situ'!DN208</f>
        <v>576.05784950966154</v>
      </c>
      <c r="U686" s="113">
        <f>'Data_in-situ'!DO208</f>
        <v>329.18150586510939</v>
      </c>
      <c r="V686" s="46">
        <f>'Data_in-situ'!DP208</f>
        <v>4</v>
      </c>
      <c r="W686" s="113">
        <f>'Data_in-situ'!DR208</f>
        <v>132.21114184965677</v>
      </c>
      <c r="X686" s="113">
        <f>'Data_in-situ'!DS208</f>
        <v>124.13591126677807</v>
      </c>
      <c r="Y686" s="46">
        <f>'Data_in-situ'!DT208</f>
        <v>4</v>
      </c>
      <c r="AF686" s="113">
        <f>'Data_in-situ'!EN63</f>
        <v>-50</v>
      </c>
      <c r="AG686" s="113">
        <f>'Data_in-situ'!EO63</f>
        <v>6.8</v>
      </c>
      <c r="AH686" s="110">
        <f>'Data_in-situ'!EP63</f>
        <v>3</v>
      </c>
      <c r="AI686" s="113">
        <f>'Data_in-situ'!ER63</f>
        <v>-85</v>
      </c>
      <c r="AJ686" s="113">
        <f>'Data_in-situ'!ES63</f>
        <v>12.3</v>
      </c>
      <c r="AK686" s="110">
        <f>'Data_in-situ'!ET63</f>
        <v>3</v>
      </c>
    </row>
    <row r="687" spans="2:37" x14ac:dyDescent="0.3">
      <c r="B687" s="24">
        <f>'Data_in-situ'!CA223</f>
        <v>-16723.603637465083</v>
      </c>
      <c r="C687" s="24">
        <f>'Data_in-situ'!CB223</f>
        <v>2362.7967430320127</v>
      </c>
      <c r="D687" s="46">
        <f>'Data_in-situ'!CC223</f>
        <v>3</v>
      </c>
      <c r="E687" s="24">
        <f>'Data_in-situ'!CE223</f>
        <v>-16792.689257373804</v>
      </c>
      <c r="F687" s="24">
        <f>'Data_in-situ'!CF223</f>
        <v>2297.5736170821519</v>
      </c>
      <c r="G687" s="46">
        <f>'Data_in-situ'!CG223</f>
        <v>3</v>
      </c>
      <c r="H687" s="24">
        <f>'Data_in-situ'!CN223</f>
        <v>10565.625157874983</v>
      </c>
      <c r="I687" s="24">
        <f>'Data_in-situ'!CO223</f>
        <v>3177.8813752357983</v>
      </c>
      <c r="J687" s="46">
        <f>'Data_in-situ'!CP223</f>
        <v>3</v>
      </c>
      <c r="K687" s="24">
        <f>'Data_in-situ'!CR223</f>
        <v>13251.044559960765</v>
      </c>
      <c r="L687" s="24">
        <f>'Data_in-situ'!CS223</f>
        <v>2768.2995631046829</v>
      </c>
      <c r="M687" s="46">
        <f>'Data_in-situ'!CT223</f>
        <v>3</v>
      </c>
      <c r="N687" s="24">
        <f>'Data_in-situ'!DA200</f>
        <v>-3138.2906454872195</v>
      </c>
      <c r="O687" s="24">
        <f>'Data_in-situ'!DB200</f>
        <v>9413.7941177993216</v>
      </c>
      <c r="P687" s="46">
        <f>'Data_in-situ'!DC200</f>
        <v>1</v>
      </c>
      <c r="Q687" s="24">
        <f>'Data_in-situ'!DE200</f>
        <v>401.53716957617513</v>
      </c>
      <c r="R687" s="24">
        <f>'Data_in-situ'!DF200</f>
        <v>382.72225982505051</v>
      </c>
      <c r="S687" s="46">
        <f>'Data_in-situ'!DG200</f>
        <v>1</v>
      </c>
      <c r="T687" s="113">
        <f>'Data_in-situ'!DN209</f>
        <v>-5.2053420136415198</v>
      </c>
      <c r="U687" s="113">
        <f>'Data_in-situ'!DO209</f>
        <v>2.2181869265634826</v>
      </c>
      <c r="V687" s="46">
        <f>'Data_in-situ'!DP209</f>
        <v>4</v>
      </c>
      <c r="W687" s="113">
        <f>'Data_in-situ'!DR209</f>
        <v>-1.2591537319014932</v>
      </c>
      <c r="X687" s="113">
        <f>'Data_in-situ'!DS209</f>
        <v>2.6242999817463004</v>
      </c>
      <c r="Y687" s="46">
        <f>'Data_in-situ'!DT209</f>
        <v>4</v>
      </c>
      <c r="AF687" s="113">
        <f>'Data_in-situ'!EN64</f>
        <v>-50</v>
      </c>
      <c r="AG687" s="113">
        <f>'Data_in-situ'!EO64</f>
        <v>6.8</v>
      </c>
      <c r="AH687" s="110">
        <f>'Data_in-situ'!EP64</f>
        <v>3</v>
      </c>
      <c r="AI687" s="113">
        <f>'Data_in-situ'!ER64</f>
        <v>-120</v>
      </c>
      <c r="AJ687" s="113">
        <f>'Data_in-situ'!ES64</f>
        <v>11.8</v>
      </c>
      <c r="AK687" s="110">
        <f>'Data_in-situ'!ET64</f>
        <v>3</v>
      </c>
    </row>
    <row r="688" spans="2:37" x14ac:dyDescent="0.3">
      <c r="B688" s="24">
        <f>'Data_in-situ'!CA224</f>
        <v>-13221.293435196718</v>
      </c>
      <c r="C688" s="24">
        <f>'Data_in-situ'!CB224</f>
        <v>5835.686028701105</v>
      </c>
      <c r="D688" s="46">
        <f>'Data_in-situ'!CC224</f>
        <v>3</v>
      </c>
      <c r="E688" s="24">
        <f>'Data_in-situ'!CE224</f>
        <v>-13858.019355218201</v>
      </c>
      <c r="F688" s="24">
        <f>'Data_in-situ'!CF224</f>
        <v>8055.4344954724056</v>
      </c>
      <c r="G688" s="46">
        <f>'Data_in-situ'!CG224</f>
        <v>3</v>
      </c>
      <c r="H688" s="24">
        <f>'Data_in-situ'!CN224</f>
        <v>9278.44239752473</v>
      </c>
      <c r="I688" s="24">
        <f>'Data_in-situ'!CO224</f>
        <v>3665.2968271222612</v>
      </c>
      <c r="J688" s="46">
        <f>'Data_in-situ'!CP224</f>
        <v>3</v>
      </c>
      <c r="K688" s="24">
        <f>'Data_in-situ'!CR224</f>
        <v>8910.18513514601</v>
      </c>
      <c r="L688" s="24">
        <f>'Data_in-situ'!CS224</f>
        <v>4926.3065430817614</v>
      </c>
      <c r="M688" s="46">
        <f>'Data_in-situ'!CT224</f>
        <v>3</v>
      </c>
      <c r="N688" s="24">
        <f>'Data_in-situ'!DA222</f>
        <v>-5522.053137553612</v>
      </c>
      <c r="O688" s="24">
        <f>'Data_in-situ'!DB222</f>
        <v>3799.0509125782523</v>
      </c>
      <c r="P688" s="46">
        <f>'Data_in-situ'!DC222</f>
        <v>3</v>
      </c>
      <c r="Q688" s="24">
        <f>'Data_in-situ'!DE222</f>
        <v>-3740.7225956381553</v>
      </c>
      <c r="R688" s="24">
        <f>'Data_in-situ'!DF222</f>
        <v>3396.3473178087561</v>
      </c>
      <c r="S688" s="46">
        <f>'Data_in-situ'!DG222</f>
        <v>3</v>
      </c>
      <c r="T688" s="113">
        <f>'Data_in-situ'!DN210</f>
        <v>34.702280090943461</v>
      </c>
      <c r="U688" s="113">
        <f>'Data_in-situ'!DO210</f>
        <v>38.688853360019664</v>
      </c>
      <c r="V688" s="46">
        <f>'Data_in-situ'!DP210</f>
        <v>10</v>
      </c>
      <c r="W688" s="113">
        <f>'Data_in-situ'!DR210</f>
        <v>27.701382101832849</v>
      </c>
      <c r="X688" s="113">
        <f>'Data_in-situ'!DS210</f>
        <v>103.52605657476954</v>
      </c>
      <c r="Y688" s="46">
        <f>'Data_in-situ'!DT210</f>
        <v>10</v>
      </c>
      <c r="AF688" s="113">
        <f>'Data_in-situ'!EN65</f>
        <v>-38</v>
      </c>
      <c r="AG688" s="113">
        <f>'Data_in-situ'!EO65</f>
        <v>5.412566119688516</v>
      </c>
      <c r="AH688" s="110">
        <f>'Data_in-situ'!EP65</f>
        <v>3</v>
      </c>
      <c r="AI688" s="113">
        <f>'Data_in-situ'!ER65</f>
        <v>-73</v>
      </c>
      <c r="AJ688" s="113">
        <f>'Data_in-situ'!ES65</f>
        <v>7.3195252578292278</v>
      </c>
      <c r="AK688" s="110">
        <f>'Data_in-situ'!ET65</f>
        <v>3</v>
      </c>
    </row>
    <row r="689" spans="2:37" x14ac:dyDescent="0.3">
      <c r="B689" s="24">
        <f>'Data_in-situ'!CA225</f>
        <v>-12433.234643422073</v>
      </c>
      <c r="C689" s="24">
        <f>'Data_in-situ'!CB225</f>
        <v>4080.0979371640278</v>
      </c>
      <c r="D689" s="46">
        <f>'Data_in-situ'!CC225</f>
        <v>3</v>
      </c>
      <c r="E689" s="24">
        <f>'Data_in-situ'!CE225</f>
        <v>-12839.064123912327</v>
      </c>
      <c r="F689" s="24">
        <f>'Data_in-situ'!CF225</f>
        <v>6079.7463275012169</v>
      </c>
      <c r="G689" s="46">
        <f>'Data_in-situ'!CG225</f>
        <v>3</v>
      </c>
      <c r="H689" s="24">
        <f>'Data_in-situ'!CN225</f>
        <v>8581.2184023350092</v>
      </c>
      <c r="I689" s="24">
        <f>'Data_in-situ'!CO225</f>
        <v>3466.4725308910288</v>
      </c>
      <c r="J689" s="46">
        <f>'Data_in-situ'!CP225</f>
        <v>3</v>
      </c>
      <c r="K689" s="24">
        <f>'Data_in-situ'!CR225</f>
        <v>7630.773936253252</v>
      </c>
      <c r="L689" s="24">
        <f>'Data_in-situ'!CS225</f>
        <v>3659.7826622477482</v>
      </c>
      <c r="M689" s="46">
        <f>'Data_in-situ'!CT225</f>
        <v>3</v>
      </c>
      <c r="N689" s="24">
        <f>'Data_in-situ'!DA223</f>
        <v>-6157.9784795900996</v>
      </c>
      <c r="O689" s="24">
        <f>'Data_in-situ'!DB223</f>
        <v>2847.6279977138138</v>
      </c>
      <c r="P689" s="46">
        <f>'Data_in-situ'!DC223</f>
        <v>3</v>
      </c>
      <c r="Q689" s="24">
        <f>'Data_in-situ'!DE223</f>
        <v>-3541.6446974130395</v>
      </c>
      <c r="R689" s="24">
        <f>'Data_in-situ'!DF223</f>
        <v>2451.0546798159935</v>
      </c>
      <c r="S689" s="46">
        <f>'Data_in-situ'!DG223</f>
        <v>3</v>
      </c>
      <c r="T689" s="113">
        <f>'Data_in-situ'!DN270</f>
        <v>9.7529199020319588</v>
      </c>
      <c r="U689" s="113">
        <f>'Data_in-situ'!DO270</f>
        <v>10.616164230838427</v>
      </c>
      <c r="V689" s="46">
        <f>'Data_in-situ'!DP270</f>
        <v>20</v>
      </c>
      <c r="W689" s="113">
        <f>'Data_in-situ'!DR270</f>
        <v>1.5362827803916344E-2</v>
      </c>
      <c r="X689" s="113">
        <f>'Data_in-situ'!DS270</f>
        <v>0.60544514040223285</v>
      </c>
      <c r="Y689" s="46">
        <f>'Data_in-situ'!DT270</f>
        <v>20</v>
      </c>
      <c r="AF689" s="113">
        <f>'Data_in-situ'!EN66</f>
        <v>-38</v>
      </c>
      <c r="AG689" s="113">
        <f>'Data_in-situ'!EO66</f>
        <v>5.412566119688516</v>
      </c>
      <c r="AH689" s="110">
        <f>'Data_in-situ'!EP66</f>
        <v>3</v>
      </c>
      <c r="AI689" s="113">
        <f>'Data_in-situ'!ER66</f>
        <v>-112</v>
      </c>
      <c r="AJ689" s="113">
        <f>'Data_in-situ'!ES66</f>
        <v>10.756618055876112</v>
      </c>
      <c r="AK689" s="110">
        <f>'Data_in-situ'!ET66</f>
        <v>3</v>
      </c>
    </row>
    <row r="690" spans="2:37" x14ac:dyDescent="0.3">
      <c r="B690" s="24">
        <f>'Data_in-situ'!CA339</f>
        <v>-2994.9187190031953</v>
      </c>
      <c r="C690" s="24">
        <f>'Data_in-situ'!CB339</f>
        <v>676.52043369186902</v>
      </c>
      <c r="D690" s="46">
        <f>'Data_in-situ'!CC339</f>
        <v>3</v>
      </c>
      <c r="E690" s="24">
        <f>'Data_in-situ'!CE339</f>
        <v>-2403.5364233284786</v>
      </c>
      <c r="F690" s="24">
        <f>'Data_in-situ'!CF339</f>
        <v>338.39733243694133</v>
      </c>
      <c r="G690" s="46">
        <f>'Data_in-situ'!CG339</f>
        <v>3</v>
      </c>
      <c r="H690" s="24">
        <f>'Data_in-situ'!CN339</f>
        <v>3969.4505741620792</v>
      </c>
      <c r="I690" s="24">
        <f>'Data_in-situ'!CO339</f>
        <v>723.08718823658228</v>
      </c>
      <c r="J690" s="46">
        <f>'Data_in-situ'!CP339</f>
        <v>3</v>
      </c>
      <c r="K690" s="24">
        <f>'Data_in-situ'!CR339</f>
        <v>4246.5463132141167</v>
      </c>
      <c r="L690" s="24">
        <f>'Data_in-situ'!CS339</f>
        <v>528.2044209164568</v>
      </c>
      <c r="M690" s="46">
        <f>'Data_in-situ'!CT339</f>
        <v>3</v>
      </c>
      <c r="N690" s="24">
        <f>'Data_in-situ'!DA224</f>
        <v>-3942.8510376719878</v>
      </c>
      <c r="O690" s="24">
        <f>'Data_in-situ'!DB224</f>
        <v>3165.2218188801453</v>
      </c>
      <c r="P690" s="46">
        <f>'Data_in-situ'!DC224</f>
        <v>3</v>
      </c>
      <c r="Q690" s="24">
        <f>'Data_in-situ'!DE224</f>
        <v>-4947.8342200721909</v>
      </c>
      <c r="R690" s="24">
        <f>'Data_in-situ'!DF224</f>
        <v>674.98350911365401</v>
      </c>
      <c r="S690" s="46">
        <f>'Data_in-situ'!DG224</f>
        <v>3</v>
      </c>
      <c r="T690" s="113">
        <f>'Data_in-situ'!DN274</f>
        <v>185.20163025788599</v>
      </c>
      <c r="U690" s="113">
        <f>'Data_in-situ'!DO274</f>
        <v>63.221490486987811</v>
      </c>
      <c r="V690" s="46">
        <f>'Data_in-situ'!DP274</f>
        <v>5</v>
      </c>
      <c r="W690" s="113">
        <f>'Data_in-situ'!DR274</f>
        <v>121.18643762191216</v>
      </c>
      <c r="X690" s="113">
        <f>'Data_in-situ'!DS274</f>
        <v>57.510183803125116</v>
      </c>
      <c r="Y690" s="46">
        <f>'Data_in-situ'!DT274</f>
        <v>5</v>
      </c>
      <c r="AF690" s="113">
        <f>'Data_in-situ'!EN67</f>
        <v>-45.680000000000007</v>
      </c>
      <c r="AG690" s="113">
        <f>'Data_in-situ'!EO67</f>
        <v>4.842822317616041</v>
      </c>
      <c r="AH690" s="110">
        <f>'Data_in-situ'!EP67</f>
        <v>3</v>
      </c>
      <c r="AI690" s="113">
        <f>'Data_in-situ'!ER67</f>
        <v>-80.650000000000006</v>
      </c>
      <c r="AJ690" s="113">
        <f>'Data_in-situ'!ES67</f>
        <v>8.7407922981844166</v>
      </c>
      <c r="AK690" s="110">
        <f>'Data_in-situ'!ET67</f>
        <v>3</v>
      </c>
    </row>
    <row r="691" spans="2:37" x14ac:dyDescent="0.3">
      <c r="B691" s="24">
        <f>'Data_in-situ'!CA340</f>
        <v>-3247.736532945024</v>
      </c>
      <c r="C691" s="24">
        <f>'Data_in-situ'!CB340</f>
        <v>576.55145764577287</v>
      </c>
      <c r="D691" s="46">
        <f>'Data_in-situ'!CC340</f>
        <v>3</v>
      </c>
      <c r="E691" s="24">
        <f>'Data_in-situ'!CE340</f>
        <v>-2538.1344630348735</v>
      </c>
      <c r="F691" s="24">
        <f>'Data_in-situ'!CF340</f>
        <v>178.15163353403054</v>
      </c>
      <c r="G691" s="46">
        <f>'Data_in-situ'!CG340</f>
        <v>3</v>
      </c>
      <c r="H691" s="24">
        <f>'Data_in-situ'!CN340</f>
        <v>4869.5004136523185</v>
      </c>
      <c r="I691" s="24">
        <f>'Data_in-situ'!CO340</f>
        <v>764.57941069494359</v>
      </c>
      <c r="J691" s="46">
        <f>'Data_in-situ'!CP340</f>
        <v>3</v>
      </c>
      <c r="K691" s="24">
        <f>'Data_in-situ'!CR340</f>
        <v>4268.1023858700255</v>
      </c>
      <c r="L691" s="24">
        <f>'Data_in-situ'!CS340</f>
        <v>956.60990521947133</v>
      </c>
      <c r="M691" s="46">
        <f>'Data_in-situ'!CT340</f>
        <v>3</v>
      </c>
      <c r="N691" s="24">
        <f>'Data_in-situ'!DA225</f>
        <v>-3852.0162410870635</v>
      </c>
      <c r="O691" s="24">
        <f>'Data_in-situ'!DB225</f>
        <v>1523.8784102336624</v>
      </c>
      <c r="P691" s="46">
        <f>'Data_in-situ'!DC225</f>
        <v>3</v>
      </c>
      <c r="Q691" s="24">
        <f>'Data_in-situ'!DE225</f>
        <v>-5208.2901876590749</v>
      </c>
      <c r="R691" s="24">
        <f>'Data_in-situ'!DF225</f>
        <v>1132.6794776566101</v>
      </c>
      <c r="S691" s="46">
        <f>'Data_in-situ'!DG225</f>
        <v>3</v>
      </c>
      <c r="T691" s="113">
        <f>'Data_in-situ'!DN275</f>
        <v>72.37222075218537</v>
      </c>
      <c r="U691" s="113">
        <f>'Data_in-situ'!DO275</f>
        <v>16.290298496553017</v>
      </c>
      <c r="V691" s="46">
        <f>'Data_in-situ'!DP275</f>
        <v>5</v>
      </c>
      <c r="W691" s="113">
        <f>'Data_in-situ'!DR275</f>
        <v>28.308613297303122</v>
      </c>
      <c r="X691" s="113">
        <f>'Data_in-situ'!DS275</f>
        <v>7.7013419089793729</v>
      </c>
      <c r="Y691" s="46">
        <f>'Data_in-situ'!DT275</f>
        <v>5</v>
      </c>
      <c r="AF691" s="113">
        <f>'Data_in-situ'!EN68</f>
        <v>-45.680000000000007</v>
      </c>
      <c r="AG691" s="113">
        <f>'Data_in-situ'!EO68</f>
        <v>4.842822317616041</v>
      </c>
      <c r="AH691" s="110">
        <f>'Data_in-situ'!EP68</f>
        <v>3</v>
      </c>
      <c r="AI691" s="113">
        <f>'Data_in-situ'!ER68</f>
        <v>-118.08000000000001</v>
      </c>
      <c r="AJ691" s="113">
        <f>'Data_in-situ'!ES68</f>
        <v>8.3505324381143513</v>
      </c>
      <c r="AK691" s="110">
        <f>'Data_in-situ'!ET68</f>
        <v>3</v>
      </c>
    </row>
    <row r="692" spans="2:37" x14ac:dyDescent="0.3">
      <c r="B692" s="24">
        <f>'Data_in-situ'!CA341</f>
        <v>-4239.5602645629651</v>
      </c>
      <c r="C692" s="24">
        <f>'Data_in-situ'!CB341</f>
        <v>1115.0244091372156</v>
      </c>
      <c r="D692" s="46">
        <f>'Data_in-situ'!CC341</f>
        <v>3</v>
      </c>
      <c r="E692" s="24">
        <f>'Data_in-situ'!CE341</f>
        <v>-3364.9509926598698</v>
      </c>
      <c r="F692" s="24">
        <f>'Data_in-situ'!CF341</f>
        <v>1102.2450453899555</v>
      </c>
      <c r="G692" s="46">
        <f>'Data_in-situ'!CG341</f>
        <v>3</v>
      </c>
      <c r="H692" s="24">
        <f>'Data_in-situ'!CN341</f>
        <v>7477.3371280727561</v>
      </c>
      <c r="I692" s="24">
        <f>'Data_in-situ'!CO341</f>
        <v>1843.7169743300331</v>
      </c>
      <c r="J692" s="46">
        <f>'Data_in-situ'!CP341</f>
        <v>3</v>
      </c>
      <c r="K692" s="24">
        <f>'Data_in-situ'!CR341</f>
        <v>5971.0321256868547</v>
      </c>
      <c r="L692" s="24">
        <f>'Data_in-situ'!CS341</f>
        <v>1963.4643578324303</v>
      </c>
      <c r="M692" s="46">
        <f>'Data_in-situ'!CT341</f>
        <v>3</v>
      </c>
      <c r="N692" s="24">
        <f>'Data_in-situ'!DA270</f>
        <v>2799.2431805620463</v>
      </c>
      <c r="O692" s="24">
        <f>'Data_in-situ'!DB270</f>
        <v>1473.9559786073848</v>
      </c>
      <c r="P692" s="46">
        <f>'Data_in-situ'!DC270</f>
        <v>20</v>
      </c>
      <c r="Q692" s="24">
        <f>'Data_in-situ'!DE270</f>
        <v>6964.2392311529056</v>
      </c>
      <c r="R692" s="24">
        <f>'Data_in-situ'!DF270</f>
        <v>2472.9188125624614</v>
      </c>
      <c r="S692" s="46">
        <f>'Data_in-situ'!DG270</f>
        <v>20</v>
      </c>
      <c r="T692" s="113">
        <f>'Data_in-situ'!DN276</f>
        <v>49.465244035227812</v>
      </c>
      <c r="U692" s="113">
        <f>'Data_in-situ'!DO276</f>
        <v>13.371607139963906</v>
      </c>
      <c r="V692" s="46">
        <f>'Data_in-situ'!DP276</f>
        <v>5</v>
      </c>
      <c r="W692" s="113">
        <f>'Data_in-situ'!DR276</f>
        <v>54.340166693175355</v>
      </c>
      <c r="X692" s="113">
        <f>'Data_in-situ'!DS276</f>
        <v>13.781971178631771</v>
      </c>
      <c r="Y692" s="46">
        <f>'Data_in-situ'!DT276</f>
        <v>5</v>
      </c>
      <c r="AF692" s="113">
        <f>'Data_in-situ'!EN69</f>
        <v>-53.36</v>
      </c>
      <c r="AG692" s="113">
        <f>'Data_in-situ'!EO69</f>
        <v>6.3986248522631799</v>
      </c>
      <c r="AH692" s="110">
        <f>'Data_in-situ'!EP69</f>
        <v>3</v>
      </c>
      <c r="AI692" s="113">
        <f>'Data_in-situ'!ER69</f>
        <v>-88.300000000000011</v>
      </c>
      <c r="AJ692" s="113">
        <f>'Data_in-situ'!ES69</f>
        <v>8.3224065029293062</v>
      </c>
      <c r="AK692" s="110">
        <f>'Data_in-situ'!ET69</f>
        <v>3</v>
      </c>
    </row>
    <row r="693" spans="2:37" x14ac:dyDescent="0.3">
      <c r="B693" s="24">
        <f>'Data_in-situ'!CA342</f>
        <v>-2945.161089648047</v>
      </c>
      <c r="C693" s="24">
        <f>'Data_in-situ'!CB342</f>
        <v>96.327483684879894</v>
      </c>
      <c r="D693" s="46">
        <f>'Data_in-situ'!CC342</f>
        <v>3</v>
      </c>
      <c r="E693" s="24">
        <f>'Data_in-situ'!CE342</f>
        <v>-2329.5681312375768</v>
      </c>
      <c r="F693" s="24">
        <f>'Data_in-situ'!CF342</f>
        <v>936.72704913647306</v>
      </c>
      <c r="G693" s="46">
        <f>'Data_in-situ'!CG342</f>
        <v>3</v>
      </c>
      <c r="H693" s="24">
        <f>'Data_in-situ'!CN342</f>
        <v>2386.82655517393</v>
      </c>
      <c r="I693" s="24">
        <f>'Data_in-situ'!CO342</f>
        <v>98.565445597832763</v>
      </c>
      <c r="J693" s="46">
        <f>'Data_in-situ'!CP342</f>
        <v>3</v>
      </c>
      <c r="K693" s="24">
        <f>'Data_in-situ'!CR342</f>
        <v>2420.4945007500228</v>
      </c>
      <c r="L693" s="24">
        <f>'Data_in-situ'!CS342</f>
        <v>226.67580770330741</v>
      </c>
      <c r="M693" s="46">
        <f>'Data_in-situ'!CT342</f>
        <v>3</v>
      </c>
      <c r="N693" s="24">
        <f>'Data_in-situ'!DA339</f>
        <v>974.5318551588839</v>
      </c>
      <c r="O693" s="24">
        <f>'Data_in-situ'!DB339</f>
        <v>469.46628575554143</v>
      </c>
      <c r="P693" s="46">
        <f>'Data_in-situ'!DC339</f>
        <v>3</v>
      </c>
      <c r="Q693" s="24">
        <f>'Data_in-situ'!DE339</f>
        <v>1843.0098898856381</v>
      </c>
      <c r="R693" s="24">
        <f>'Data_in-situ'!DF339</f>
        <v>320.75875891326473</v>
      </c>
      <c r="S693" s="46">
        <f>'Data_in-situ'!DG339</f>
        <v>3</v>
      </c>
      <c r="T693" s="113">
        <f>'Data_in-situ'!DN277</f>
        <v>161.00136320152035</v>
      </c>
      <c r="U693" s="113">
        <f>'Data_in-situ'!DO277</f>
        <v>78.597780685425604</v>
      </c>
      <c r="V693" s="46">
        <f>'Data_in-situ'!DP277</f>
        <v>5</v>
      </c>
      <c r="W693" s="113">
        <f>'Data_in-situ'!DR277</f>
        <v>91.076976090565751</v>
      </c>
      <c r="X693" s="113">
        <f>'Data_in-situ'!DS277</f>
        <v>23.599794088555864</v>
      </c>
      <c r="Y693" s="46">
        <f>'Data_in-situ'!DT277</f>
        <v>5</v>
      </c>
      <c r="AF693" s="113">
        <f>'Data_in-situ'!EN70</f>
        <v>-53.36</v>
      </c>
      <c r="AG693" s="113">
        <f>'Data_in-situ'!EO70</f>
        <v>6.3986248522631799</v>
      </c>
      <c r="AH693" s="110">
        <f>'Data_in-situ'!EP70</f>
        <v>3</v>
      </c>
      <c r="AI693" s="113">
        <f>'Data_in-situ'!ER70</f>
        <v>-124.16</v>
      </c>
      <c r="AJ693" s="113">
        <f>'Data_in-situ'!ES70</f>
        <v>9.3061459262145689</v>
      </c>
      <c r="AK693" s="110">
        <f>'Data_in-situ'!ET70</f>
        <v>3</v>
      </c>
    </row>
    <row r="694" spans="2:37" x14ac:dyDescent="0.3">
      <c r="B694" s="24">
        <f>'Data_in-situ'!CA343</f>
        <v>-2887.6945318012554</v>
      </c>
      <c r="C694" s="24">
        <f>'Data_in-situ'!CB343</f>
        <v>116.06106513063514</v>
      </c>
      <c r="D694" s="46">
        <f>'Data_in-situ'!CC343</f>
        <v>3</v>
      </c>
      <c r="E694" s="24">
        <f>'Data_in-situ'!CE343</f>
        <v>-2017.0650892422923</v>
      </c>
      <c r="F694" s="24">
        <f>'Data_in-situ'!CF343</f>
        <v>715.26564447368787</v>
      </c>
      <c r="G694" s="46">
        <f>'Data_in-situ'!CG343</f>
        <v>3</v>
      </c>
      <c r="H694" s="24">
        <f>'Data_in-situ'!CN343</f>
        <v>2301.5827496320044</v>
      </c>
      <c r="I694" s="24">
        <f>'Data_in-situ'!CO343</f>
        <v>97.898666178602923</v>
      </c>
      <c r="J694" s="46">
        <f>'Data_in-situ'!CP343</f>
        <v>3</v>
      </c>
      <c r="K694" s="24">
        <f>'Data_in-situ'!CR343</f>
        <v>2420.4945007500228</v>
      </c>
      <c r="L694" s="24">
        <f>'Data_in-situ'!CS343</f>
        <v>564.27419535299123</v>
      </c>
      <c r="M694" s="46">
        <f>'Data_in-situ'!CT343</f>
        <v>3</v>
      </c>
      <c r="N694" s="24">
        <f>'Data_in-situ'!DA340</f>
        <v>1621.7638807072944</v>
      </c>
      <c r="O694" s="24">
        <f>'Data_in-situ'!DB340</f>
        <v>1098.3220496581039</v>
      </c>
      <c r="P694" s="46">
        <f>'Data_in-situ'!DC340</f>
        <v>3</v>
      </c>
      <c r="Q694" s="24">
        <f>'Data_in-situ'!DE340</f>
        <v>1729.967922835152</v>
      </c>
      <c r="R694" s="24">
        <f>'Data_in-situ'!DF340</f>
        <v>370.59428586838715</v>
      </c>
      <c r="S694" s="46">
        <f>'Data_in-situ'!DG340</f>
        <v>3</v>
      </c>
      <c r="T694" s="113">
        <f>'Data_in-situ'!DN278</f>
        <v>33.182385393713595</v>
      </c>
      <c r="U694" s="113">
        <f>'Data_in-situ'!DO278</f>
        <v>11.04758962718873</v>
      </c>
      <c r="V694" s="46">
        <f>'Data_in-situ'!DP278</f>
        <v>5</v>
      </c>
      <c r="W694" s="113">
        <f>'Data_in-situ'!DR278</f>
        <v>70.577515694920223</v>
      </c>
      <c r="X694" s="113">
        <f>'Data_in-situ'!DS278</f>
        <v>17.997218807343039</v>
      </c>
      <c r="Y694" s="46">
        <f>'Data_in-situ'!DT278</f>
        <v>5</v>
      </c>
      <c r="AF694" s="113">
        <f>'Data_in-situ'!EN71</f>
        <v>-38</v>
      </c>
      <c r="AG694" s="113">
        <f>'Data_in-situ'!EO71</f>
        <v>7.6</v>
      </c>
      <c r="AH694" s="110">
        <f>'Data_in-situ'!EP71</f>
        <v>3</v>
      </c>
      <c r="AI694" s="113">
        <f>'Data_in-situ'!ER71</f>
        <v>-112</v>
      </c>
      <c r="AJ694" s="113">
        <f>'Data_in-situ'!ES71</f>
        <v>15.2</v>
      </c>
      <c r="AK694" s="110">
        <f>'Data_in-situ'!ET71</f>
        <v>3</v>
      </c>
    </row>
    <row r="695" spans="2:37" x14ac:dyDescent="0.3">
      <c r="B695" s="24">
        <f>'Data_in-situ'!CA344</f>
        <v>-2413.5954295652286</v>
      </c>
      <c r="C695" s="24">
        <f>'Data_in-situ'!CB344</f>
        <v>229.44356214196344</v>
      </c>
      <c r="D695" s="46">
        <f>'Data_in-situ'!CC344</f>
        <v>3</v>
      </c>
      <c r="E695" s="24">
        <f>'Data_in-situ'!CE344</f>
        <v>-1974.4510380611171</v>
      </c>
      <c r="F695" s="24">
        <f>'Data_in-situ'!CF344</f>
        <v>445.58850967321683</v>
      </c>
      <c r="G695" s="46">
        <f>'Data_in-situ'!CG344</f>
        <v>3</v>
      </c>
      <c r="H695" s="24">
        <f>'Data_in-situ'!CN344</f>
        <v>3307.4596550267315</v>
      </c>
      <c r="I695" s="24">
        <f>'Data_in-situ'!CO344</f>
        <v>917.36533177060426</v>
      </c>
      <c r="J695" s="46">
        <f>'Data_in-situ'!CP344</f>
        <v>3</v>
      </c>
      <c r="K695" s="24">
        <f>'Data_in-situ'!CR344</f>
        <v>2945.9965963075938</v>
      </c>
      <c r="L695" s="24">
        <f>'Data_in-situ'!CS344</f>
        <v>650.63940348918732</v>
      </c>
      <c r="M695" s="46">
        <f>'Data_in-situ'!CT344</f>
        <v>3</v>
      </c>
      <c r="N695" s="24">
        <f>'Data_in-situ'!DA341</f>
        <v>3237.7768635097909</v>
      </c>
      <c r="O695" s="24">
        <f>'Data_in-situ'!DB341</f>
        <v>1588.2056081972487</v>
      </c>
      <c r="P695" s="46">
        <f>'Data_in-situ'!DC341</f>
        <v>3</v>
      </c>
      <c r="Q695" s="24">
        <f>'Data_in-situ'!DE341</f>
        <v>2606.0811330269848</v>
      </c>
      <c r="R695" s="24">
        <f>'Data_in-situ'!DF341</f>
        <v>272.81038691279781</v>
      </c>
      <c r="S695" s="46">
        <f>'Data_in-situ'!DG341</f>
        <v>3</v>
      </c>
      <c r="T695" s="113">
        <f>'Data_in-situ'!DN279</f>
        <v>149.58826237069499</v>
      </c>
      <c r="U695" s="113">
        <f>'Data_in-situ'!DO279</f>
        <v>54.002575188816245</v>
      </c>
      <c r="V695" s="46">
        <f>'Data_in-situ'!DP279</f>
        <v>5</v>
      </c>
      <c r="W695" s="113">
        <f>'Data_in-situ'!DR279</f>
        <v>185.74509306894518</v>
      </c>
      <c r="X695" s="113">
        <f>'Data_in-situ'!DS279</f>
        <v>48.73879916451105</v>
      </c>
      <c r="Y695" s="46">
        <f>'Data_in-situ'!DT279</f>
        <v>5</v>
      </c>
      <c r="AF695" s="113">
        <f>'Data_in-situ'!EN72</f>
        <v>-47</v>
      </c>
      <c r="AG695" s="113">
        <f>'Data_in-situ'!EO72</f>
        <v>6.8</v>
      </c>
      <c r="AH695" s="110">
        <f>'Data_in-situ'!EP72</f>
        <v>3</v>
      </c>
      <c r="AI695" s="113">
        <f>'Data_in-situ'!ER72</f>
        <v>-120</v>
      </c>
      <c r="AJ695" s="113">
        <f>'Data_in-situ'!ES72</f>
        <v>11.8</v>
      </c>
      <c r="AK695" s="110">
        <f>'Data_in-situ'!ET72</f>
        <v>3</v>
      </c>
    </row>
    <row r="696" spans="2:37" x14ac:dyDescent="0.3">
      <c r="B696" s="24">
        <f>'Data_in-situ'!CA345</f>
        <v>-1544.0509482067121</v>
      </c>
      <c r="C696" s="24">
        <f>'Data_in-situ'!CB345</f>
        <v>837.60714709123818</v>
      </c>
      <c r="D696" s="46">
        <f>'Data_in-situ'!CC345</f>
        <v>3</v>
      </c>
      <c r="E696" s="24">
        <f>'Data_in-situ'!CE345</f>
        <v>-1178.558304384421</v>
      </c>
      <c r="F696" s="24">
        <f>'Data_in-situ'!CF345</f>
        <v>1103.8093288412595</v>
      </c>
      <c r="G696" s="46">
        <f>'Data_in-situ'!CG345</f>
        <v>3</v>
      </c>
      <c r="H696" s="24">
        <f>'Data_in-situ'!CN345</f>
        <v>821.95693707396595</v>
      </c>
      <c r="I696" s="24">
        <f>'Data_in-situ'!CO345</f>
        <v>860.95304933064097</v>
      </c>
      <c r="J696" s="46">
        <f>'Data_in-situ'!CP345</f>
        <v>3</v>
      </c>
      <c r="K696" s="24">
        <f>'Data_in-situ'!CR345</f>
        <v>1214.1076881752506</v>
      </c>
      <c r="L696" s="24">
        <f>'Data_in-situ'!CS345</f>
        <v>590.58610863952993</v>
      </c>
      <c r="M696" s="46">
        <f>'Data_in-situ'!CT345</f>
        <v>3</v>
      </c>
      <c r="N696" s="24">
        <f>'Data_in-situ'!DA342</f>
        <v>-558.33453447411694</v>
      </c>
      <c r="O696" s="24">
        <f>'Data_in-situ'!DB342</f>
        <v>748.7456945126147</v>
      </c>
      <c r="P696" s="46">
        <f>'Data_in-situ'!DC342</f>
        <v>3</v>
      </c>
      <c r="Q696" s="24">
        <f>'Data_in-situ'!DE342</f>
        <v>90.926369512445945</v>
      </c>
      <c r="R696" s="24">
        <f>'Data_in-situ'!DF342</f>
        <v>382.25882942650333</v>
      </c>
      <c r="S696" s="46">
        <f>'Data_in-situ'!DG342</f>
        <v>3</v>
      </c>
      <c r="T696" s="113">
        <f>'Data_in-situ'!DN333</f>
        <v>224.95402018476722</v>
      </c>
      <c r="U696" s="113">
        <f>'Data_in-situ'!DO333</f>
        <v>27.300798963122862</v>
      </c>
      <c r="V696" s="46">
        <f>'Data_in-situ'!DP333</f>
        <v>3</v>
      </c>
      <c r="W696" s="113">
        <f>'Data_in-situ'!DR333</f>
        <v>41.219419022620272</v>
      </c>
      <c r="X696" s="113">
        <f>'Data_in-situ'!DS333</f>
        <v>28.248116299491517</v>
      </c>
      <c r="Y696" s="46">
        <f>'Data_in-situ'!DT333</f>
        <v>3</v>
      </c>
      <c r="AF696" s="113">
        <f>'Data_in-situ'!EN73</f>
        <v>-38</v>
      </c>
      <c r="AG696" s="113">
        <f>'Data_in-situ'!EO73</f>
        <v>7.6</v>
      </c>
      <c r="AH696" s="110">
        <f>'Data_in-situ'!EP73</f>
        <v>3</v>
      </c>
      <c r="AI696" s="113">
        <f>'Data_in-situ'!ER73</f>
        <v>-112</v>
      </c>
      <c r="AJ696" s="113">
        <f>'Data_in-situ'!ES73</f>
        <v>15.2</v>
      </c>
      <c r="AK696" s="110">
        <f>'Data_in-situ'!ET73</f>
        <v>3</v>
      </c>
    </row>
    <row r="697" spans="2:37" x14ac:dyDescent="0.3">
      <c r="B697" s="24">
        <f>'Data_in-situ'!CA346</f>
        <v>-998.69911894347672</v>
      </c>
      <c r="C697" s="24">
        <f>'Data_in-situ'!CB346</f>
        <v>642.0310889187042</v>
      </c>
      <c r="D697" s="46">
        <f>'Data_in-situ'!CC346</f>
        <v>3</v>
      </c>
      <c r="E697" s="24">
        <f>'Data_in-situ'!CE346</f>
        <v>-1433.3817215486201</v>
      </c>
      <c r="F697" s="24">
        <f>'Data_in-situ'!CF346</f>
        <v>1186.7128562544101</v>
      </c>
      <c r="G697" s="46">
        <f>'Data_in-situ'!CG346</f>
        <v>3</v>
      </c>
      <c r="H697" s="24">
        <f>'Data_in-situ'!CN346</f>
        <v>688.14999382936685</v>
      </c>
      <c r="I697" s="24">
        <f>'Data_in-situ'!CO346</f>
        <v>827.80955818446023</v>
      </c>
      <c r="J697" s="46">
        <f>'Data_in-situ'!CP346</f>
        <v>3</v>
      </c>
      <c r="K697" s="24">
        <f>'Data_in-situ'!CR346</f>
        <v>910.58076613143794</v>
      </c>
      <c r="L697" s="24">
        <f>'Data_in-situ'!CS346</f>
        <v>867.05035134873242</v>
      </c>
      <c r="M697" s="46">
        <f>'Data_in-situ'!CT346</f>
        <v>3</v>
      </c>
      <c r="N697" s="24">
        <f>'Data_in-situ'!DA343</f>
        <v>-586.111782169251</v>
      </c>
      <c r="O697" s="24">
        <f>'Data_in-situ'!DB343</f>
        <v>363.91958912283872</v>
      </c>
      <c r="P697" s="46">
        <f>'Data_in-situ'!DC343</f>
        <v>3</v>
      </c>
      <c r="Q697" s="24">
        <f>'Data_in-situ'!DE343</f>
        <v>403.42941150773049</v>
      </c>
      <c r="R697" s="24">
        <f>'Data_in-situ'!DF343</f>
        <v>463.61307598966926</v>
      </c>
      <c r="S697" s="46">
        <f>'Data_in-situ'!DG343</f>
        <v>3</v>
      </c>
      <c r="T697" s="113">
        <f>'Data_in-situ'!DN334</f>
        <v>319.73915567142052</v>
      </c>
      <c r="U697" s="113">
        <f>'Data_in-situ'!DO334</f>
        <v>43.930407967061235</v>
      </c>
      <c r="V697" s="46">
        <f>'Data_in-situ'!DP334</f>
        <v>3</v>
      </c>
      <c r="W697" s="113">
        <f>'Data_in-situ'!DR334</f>
        <v>51.711287050105334</v>
      </c>
      <c r="X697" s="113">
        <f>'Data_in-situ'!DS334</f>
        <v>35.138864518591532</v>
      </c>
      <c r="Y697" s="46">
        <f>'Data_in-situ'!DT334</f>
        <v>3</v>
      </c>
      <c r="AF697" s="113">
        <f>'Data_in-situ'!EN74</f>
        <v>-44</v>
      </c>
      <c r="AG697" s="113">
        <f>'Data_in-situ'!EO74</f>
        <v>6.8</v>
      </c>
      <c r="AH697" s="110">
        <f>'Data_in-situ'!EP74</f>
        <v>3</v>
      </c>
      <c r="AI697" s="113">
        <f>'Data_in-situ'!ER74</f>
        <v>-116</v>
      </c>
      <c r="AJ697" s="113">
        <f>'Data_in-situ'!ES74</f>
        <v>11.8</v>
      </c>
      <c r="AK697" s="110">
        <f>'Data_in-situ'!ET74</f>
        <v>3</v>
      </c>
    </row>
    <row r="698" spans="2:37" x14ac:dyDescent="0.3">
      <c r="B698" s="24">
        <f>'Data_in-situ'!CA347</f>
        <v>-757.07836436037758</v>
      </c>
      <c r="C698" s="24">
        <f>'Data_in-situ'!CB347</f>
        <v>753.46149598311479</v>
      </c>
      <c r="D698" s="46">
        <f>'Data_in-situ'!CC347</f>
        <v>3</v>
      </c>
      <c r="E698" s="24">
        <f>'Data_in-situ'!CE347</f>
        <v>-1751.9109930038685</v>
      </c>
      <c r="F698" s="24">
        <f>'Data_in-situ'!CF347</f>
        <v>1655.7034599262597</v>
      </c>
      <c r="G698" s="46">
        <f>'Data_in-situ'!CG347</f>
        <v>3</v>
      </c>
      <c r="H698" s="24">
        <f>'Data_in-situ'!CN347</f>
        <v>764.61110425485197</v>
      </c>
      <c r="I698" s="24">
        <f>'Data_in-situ'!CO347</f>
        <v>794.72773935581358</v>
      </c>
      <c r="J698" s="46">
        <f>'Data_in-situ'!CP347</f>
        <v>3</v>
      </c>
      <c r="K698" s="24">
        <f>'Data_in-situ'!CR347</f>
        <v>1696.1798584801293</v>
      </c>
      <c r="L698" s="24">
        <f>'Data_in-situ'!CS347</f>
        <v>1486.728586277671</v>
      </c>
      <c r="M698" s="46">
        <f>'Data_in-situ'!CT347</f>
        <v>3</v>
      </c>
      <c r="N698" s="24">
        <f>'Data_in-situ'!DA344</f>
        <v>893.86422546150288</v>
      </c>
      <c r="O698" s="24">
        <f>'Data_in-situ'!DB344</f>
        <v>1145.1881990612055</v>
      </c>
      <c r="P698" s="46">
        <f>'Data_in-situ'!DC344</f>
        <v>3</v>
      </c>
      <c r="Q698" s="24">
        <f>'Data_in-situ'!DE344</f>
        <v>971.54555824647673</v>
      </c>
      <c r="R698" s="24">
        <f>'Data_in-situ'!DF344</f>
        <v>320.49742821623516</v>
      </c>
      <c r="S698" s="46">
        <f>'Data_in-situ'!DG344</f>
        <v>3</v>
      </c>
      <c r="T698" s="113">
        <f>'Data_in-situ'!DN335</f>
        <v>231.15879516066161</v>
      </c>
      <c r="U698" s="113">
        <f>'Data_in-situ'!DO335</f>
        <v>29.849428994378311</v>
      </c>
      <c r="V698" s="46">
        <f>'Data_in-situ'!DP335</f>
        <v>3</v>
      </c>
      <c r="W698" s="113">
        <f>'Data_in-situ'!DR335</f>
        <v>36.322102883026695</v>
      </c>
      <c r="X698" s="113">
        <f>'Data_in-situ'!DS335</f>
        <v>24.783672418143286</v>
      </c>
      <c r="Y698" s="46">
        <f>'Data_in-situ'!DT335</f>
        <v>3</v>
      </c>
      <c r="AF698" s="113">
        <f>'Data_in-situ'!EN75</f>
        <v>-38</v>
      </c>
      <c r="AG698" s="113">
        <f>'Data_in-situ'!EO75</f>
        <v>5.412566119688516</v>
      </c>
      <c r="AH698" s="110">
        <f>'Data_in-situ'!EP75</f>
        <v>3</v>
      </c>
      <c r="AI698" s="113">
        <f>'Data_in-situ'!ER75</f>
        <v>-112</v>
      </c>
      <c r="AJ698" s="113">
        <f>'Data_in-situ'!ES75</f>
        <v>10.825132239377032</v>
      </c>
      <c r="AK698" s="110">
        <f>'Data_in-situ'!ET75</f>
        <v>3</v>
      </c>
    </row>
    <row r="699" spans="2:37" x14ac:dyDescent="0.3">
      <c r="B699" s="24">
        <f>'Data_in-situ'!CA348</f>
        <v>-3659.9602825374368</v>
      </c>
      <c r="C699" s="24">
        <f>'Data_in-situ'!CB348</f>
        <v>593.4851284595926</v>
      </c>
      <c r="D699" s="46">
        <f>'Data_in-situ'!CC348</f>
        <v>3</v>
      </c>
      <c r="E699" s="24">
        <f>'Data_in-situ'!CE348</f>
        <v>-2778.6457143135131</v>
      </c>
      <c r="F699" s="24">
        <f>'Data_in-situ'!CF348</f>
        <v>942.7176783399251</v>
      </c>
      <c r="G699" s="46">
        <f>'Data_in-situ'!CG348</f>
        <v>3</v>
      </c>
      <c r="H699" s="24">
        <f>'Data_in-situ'!CN348</f>
        <v>6251.1658250934079</v>
      </c>
      <c r="I699" s="24">
        <f>'Data_in-situ'!CO348</f>
        <v>266.97663228644535</v>
      </c>
      <c r="J699" s="46">
        <f>'Data_in-situ'!CP348</f>
        <v>3</v>
      </c>
      <c r="K699" s="24">
        <f>'Data_in-situ'!CR348</f>
        <v>7838.2827472249573</v>
      </c>
      <c r="L699" s="24">
        <f>'Data_in-situ'!CS348</f>
        <v>2291.0465602792738</v>
      </c>
      <c r="M699" s="46">
        <f>'Data_in-situ'!CT348</f>
        <v>3</v>
      </c>
      <c r="N699" s="24">
        <f>'Data_in-situ'!DA345</f>
        <v>-722.09401113274612</v>
      </c>
      <c r="O699" s="24">
        <f>'Data_in-situ'!DB345</f>
        <v>355.55395504217751</v>
      </c>
      <c r="P699" s="46">
        <f>'Data_in-situ'!DC345</f>
        <v>3</v>
      </c>
      <c r="Q699" s="24">
        <f>'Data_in-situ'!DE345</f>
        <v>35.549383790829552</v>
      </c>
      <c r="R699" s="24">
        <f>'Data_in-situ'!DF345</f>
        <v>98.404402630841858</v>
      </c>
      <c r="S699" s="46">
        <f>'Data_in-situ'!DG345</f>
        <v>3</v>
      </c>
      <c r="T699" s="113">
        <f>'Data_in-situ'!DN336</f>
        <v>493.10596214853945</v>
      </c>
      <c r="U699" s="113">
        <f>'Data_in-situ'!DO336</f>
        <v>526.28285184988022</v>
      </c>
      <c r="V699" s="46">
        <f>'Data_in-situ'!DP336</f>
        <v>3</v>
      </c>
      <c r="W699" s="113">
        <f>'Data_in-situ'!DR336</f>
        <v>78.722119137960249</v>
      </c>
      <c r="X699" s="113">
        <f>'Data_in-situ'!DS336</f>
        <v>80.04506331866223</v>
      </c>
      <c r="Y699" s="46">
        <f>'Data_in-situ'!DT336</f>
        <v>3</v>
      </c>
      <c r="AF699" s="113">
        <f>'Data_in-situ'!EN76</f>
        <v>-45.680000000000007</v>
      </c>
      <c r="AG699" s="113">
        <f>'Data_in-situ'!EO76</f>
        <v>4.842822317616041</v>
      </c>
      <c r="AH699" s="110">
        <f>'Data_in-situ'!EP76</f>
        <v>3</v>
      </c>
      <c r="AI699" s="113">
        <f>'Data_in-situ'!ER76</f>
        <v>-118.24000000000001</v>
      </c>
      <c r="AJ699" s="113">
        <f>'Data_in-situ'!ES76</f>
        <v>8.4037210805690119</v>
      </c>
      <c r="AK699" s="110">
        <f>'Data_in-situ'!ET76</f>
        <v>3</v>
      </c>
    </row>
    <row r="700" spans="2:37" x14ac:dyDescent="0.3">
      <c r="B700" s="24">
        <f>'Data_in-situ'!CA349</f>
        <v>-4810.2335141920603</v>
      </c>
      <c r="C700" s="24">
        <f>'Data_in-situ'!CB349</f>
        <v>507.91046480105655</v>
      </c>
      <c r="D700" s="46">
        <f>'Data_in-situ'!CC349</f>
        <v>3</v>
      </c>
      <c r="E700" s="24">
        <f>'Data_in-situ'!CE349</f>
        <v>-5079.1058870940042</v>
      </c>
      <c r="F700" s="24">
        <f>'Data_in-situ'!CF349</f>
        <v>317.38779673465609</v>
      </c>
      <c r="G700" s="46">
        <f>'Data_in-situ'!CG349</f>
        <v>3</v>
      </c>
      <c r="H700" s="24">
        <f>'Data_in-situ'!CN349</f>
        <v>4762.0543630364182</v>
      </c>
      <c r="I700" s="24">
        <f>'Data_in-situ'!CO349</f>
        <v>997.80477562796057</v>
      </c>
      <c r="J700" s="46">
        <f>'Data_in-situ'!CP349</f>
        <v>3</v>
      </c>
      <c r="K700" s="24">
        <f>'Data_in-situ'!CR349</f>
        <v>6143.1273286938667</v>
      </c>
      <c r="L700" s="24">
        <f>'Data_in-situ'!CS349</f>
        <v>1144.5750412473667</v>
      </c>
      <c r="M700" s="46">
        <f>'Data_in-situ'!CT349</f>
        <v>3</v>
      </c>
      <c r="N700" s="24">
        <f>'Data_in-situ'!DA346</f>
        <v>-310.54912511410987</v>
      </c>
      <c r="O700" s="24">
        <f>'Data_in-situ'!DB346</f>
        <v>752.08332336197429</v>
      </c>
      <c r="P700" s="46">
        <f>'Data_in-situ'!DC346</f>
        <v>3</v>
      </c>
      <c r="Q700" s="24">
        <f>'Data_in-situ'!DE346</f>
        <v>-522.80095541718219</v>
      </c>
      <c r="R700" s="24">
        <f>'Data_in-situ'!DF346</f>
        <v>196.66566541741983</v>
      </c>
      <c r="S700" s="46">
        <f>'Data_in-situ'!DG346</f>
        <v>3</v>
      </c>
      <c r="T700" s="113">
        <f>'Data_in-situ'!DN337</f>
        <v>806.56888052092813</v>
      </c>
      <c r="U700" s="113">
        <f>'Data_in-situ'!DO337</f>
        <v>856.38159693760133</v>
      </c>
      <c r="V700" s="46">
        <f>'Data_in-situ'!DP337</f>
        <v>3</v>
      </c>
      <c r="W700" s="113">
        <f>'Data_in-situ'!DR337</f>
        <v>84.62740503626496</v>
      </c>
      <c r="X700" s="113">
        <f>'Data_in-situ'!DS337</f>
        <v>85.525142019325685</v>
      </c>
      <c r="Y700" s="46">
        <f>'Data_in-situ'!DT337</f>
        <v>3</v>
      </c>
      <c r="AF700" s="113">
        <f>'Data_in-situ'!EN90</f>
        <v>-26.8</v>
      </c>
      <c r="AG700" s="113">
        <f>'Data_in-situ'!EO90</f>
        <v>10.920903486534662</v>
      </c>
      <c r="AH700" s="110">
        <f>'Data_in-situ'!EP90</f>
        <v>3</v>
      </c>
      <c r="AI700" s="113">
        <f>'Data_in-situ'!ER90</f>
        <v>-62.1</v>
      </c>
      <c r="AJ700" s="113">
        <f>'Data_in-situ'!ES90</f>
        <v>14.085152722920959</v>
      </c>
      <c r="AK700" s="110">
        <f>'Data_in-situ'!ET90</f>
        <v>3</v>
      </c>
    </row>
    <row r="701" spans="2:37" x14ac:dyDescent="0.3">
      <c r="B701" s="24">
        <f>'Data_in-situ'!CA350</f>
        <v>-1686.1959873118906</v>
      </c>
      <c r="C701" s="24">
        <f>'Data_in-situ'!CB350</f>
        <v>951.52416117583982</v>
      </c>
      <c r="D701" s="46">
        <f>'Data_in-situ'!CC350</f>
        <v>3</v>
      </c>
      <c r="E701" s="24">
        <f>'Data_in-situ'!CE350</f>
        <v>-4019.3433355883844</v>
      </c>
      <c r="F701" s="24">
        <f>'Data_in-situ'!CF350</f>
        <v>183.63556153089817</v>
      </c>
      <c r="G701" s="46">
        <f>'Data_in-situ'!CG350</f>
        <v>3</v>
      </c>
      <c r="H701" s="24">
        <f>'Data_in-situ'!CN350</f>
        <v>2652.4797917890141</v>
      </c>
      <c r="I701" s="24">
        <f>'Data_in-situ'!CO350</f>
        <v>1183.1159884255349</v>
      </c>
      <c r="J701" s="46">
        <f>'Data_in-situ'!CP350</f>
        <v>3</v>
      </c>
      <c r="K701" s="24">
        <f>'Data_in-situ'!CR350</f>
        <v>3491.7303920170334</v>
      </c>
      <c r="L701" s="24">
        <f>'Data_in-situ'!CS350</f>
        <v>187.13801568192349</v>
      </c>
      <c r="M701" s="46">
        <f>'Data_in-situ'!CT350</f>
        <v>3</v>
      </c>
      <c r="N701" s="24">
        <f>'Data_in-situ'!DA347</f>
        <v>7.5327398944743891</v>
      </c>
      <c r="O701" s="24">
        <f>'Data_in-situ'!DB347</f>
        <v>385.89969557971807</v>
      </c>
      <c r="P701" s="46">
        <f>'Data_in-situ'!DC347</f>
        <v>3</v>
      </c>
      <c r="Q701" s="24">
        <f>'Data_in-situ'!DE347</f>
        <v>-55.731134523739229</v>
      </c>
      <c r="R701" s="24">
        <f>'Data_in-situ'!DF347</f>
        <v>131.30398661871592</v>
      </c>
      <c r="S701" s="46">
        <f>'Data_in-situ'!DG347</f>
        <v>3</v>
      </c>
      <c r="T701" s="113">
        <f>'Data_in-situ'!DN338</f>
        <v>660.5745513402162</v>
      </c>
      <c r="U701" s="113">
        <f>'Data_in-situ'!DO338</f>
        <v>706.60737149083172</v>
      </c>
      <c r="V701" s="46">
        <f>'Data_in-situ'!DP338</f>
        <v>3</v>
      </c>
      <c r="W701" s="113">
        <f>'Data_in-situ'!DR338</f>
        <v>60.94615675196922</v>
      </c>
      <c r="X701" s="113">
        <f>'Data_in-situ'!DS338</f>
        <v>61.833294541817786</v>
      </c>
      <c r="Y701" s="46">
        <f>'Data_in-situ'!DT338</f>
        <v>3</v>
      </c>
      <c r="AF701" s="113">
        <f>'Data_in-situ'!EN174</f>
        <v>-8</v>
      </c>
      <c r="AG701" s="113">
        <f>'Data_in-situ'!EO174</f>
        <v>3.2599711900103467</v>
      </c>
      <c r="AH701" s="110">
        <f>'Data_in-situ'!EP174</f>
        <v>3</v>
      </c>
      <c r="AI701" s="113">
        <f>'Data_in-situ'!ER174</f>
        <v>-11</v>
      </c>
      <c r="AJ701" s="113">
        <f>'Data_in-situ'!ES174</f>
        <v>2.4949545886011357</v>
      </c>
      <c r="AK701" s="110">
        <f>'Data_in-situ'!ET174</f>
        <v>3</v>
      </c>
    </row>
    <row r="702" spans="2:37" x14ac:dyDescent="0.3">
      <c r="B702" s="24">
        <f>'Data_in-situ'!CA351</f>
        <v>-7900.0449087308316</v>
      </c>
      <c r="C702" s="24">
        <f>'Data_in-situ'!CB351</f>
        <v>1770.2016517990935</v>
      </c>
      <c r="D702" s="46">
        <f>'Data_in-situ'!CC351</f>
        <v>3</v>
      </c>
      <c r="E702" s="24">
        <f>'Data_in-situ'!CE351</f>
        <v>-3744.7097475457695</v>
      </c>
      <c r="F702" s="24">
        <f>'Data_in-situ'!CF351</f>
        <v>2032.4000980341211</v>
      </c>
      <c r="G702" s="46">
        <f>'Data_in-situ'!CG351</f>
        <v>3</v>
      </c>
      <c r="H702" s="24">
        <f>'Data_in-situ'!CN351</f>
        <v>12362.931550325944</v>
      </c>
      <c r="I702" s="24">
        <f>'Data_in-situ'!CO351</f>
        <v>2275.2743302978161</v>
      </c>
      <c r="J702" s="46">
        <f>'Data_in-situ'!CP351</f>
        <v>3</v>
      </c>
      <c r="K702" s="24">
        <f>'Data_in-situ'!CR351</f>
        <v>15082.727310832692</v>
      </c>
      <c r="L702" s="24">
        <f>'Data_in-situ'!CS351</f>
        <v>2876.4150226571255</v>
      </c>
      <c r="M702" s="46">
        <f>'Data_in-situ'!CT351</f>
        <v>3</v>
      </c>
      <c r="N702" s="24">
        <f>'Data_in-situ'!DA348</f>
        <v>2591.2055425559711</v>
      </c>
      <c r="O702" s="24">
        <f>'Data_in-situ'!DB348</f>
        <v>1600.5466590475353</v>
      </c>
      <c r="P702" s="46">
        <f>'Data_in-situ'!DC348</f>
        <v>3</v>
      </c>
      <c r="Q702" s="24">
        <f>'Data_in-situ'!DE348</f>
        <v>5059.6370329114443</v>
      </c>
      <c r="R702" s="24">
        <f>'Data_in-situ'!DF348</f>
        <v>1113.5441452092068</v>
      </c>
      <c r="S702" s="46">
        <f>'Data_in-situ'!DG348</f>
        <v>3</v>
      </c>
      <c r="T702" s="113">
        <f>'Data_in-situ'!DN339</f>
        <v>119.51899620842497</v>
      </c>
      <c r="U702" s="113">
        <f>'Data_in-situ'!DO339</f>
        <v>34.824121299588967</v>
      </c>
      <c r="V702" s="46">
        <f>'Data_in-situ'!DP339</f>
        <v>3</v>
      </c>
      <c r="W702" s="113">
        <f>'Data_in-situ'!DR339</f>
        <v>20.119884710538422</v>
      </c>
      <c r="X702" s="113">
        <f>'Data_in-situ'!DS339</f>
        <v>3.7786326870241678</v>
      </c>
      <c r="Y702" s="46">
        <f>'Data_in-situ'!DT339</f>
        <v>3</v>
      </c>
      <c r="AF702" s="113">
        <f>'Data_in-situ'!EN175</f>
        <v>-8</v>
      </c>
      <c r="AG702" s="113">
        <f>'Data_in-situ'!EO175</f>
        <v>3.2599711900103467</v>
      </c>
      <c r="AH702" s="110">
        <f>'Data_in-situ'!EP175</f>
        <v>3</v>
      </c>
      <c r="AI702" s="113">
        <f>'Data_in-situ'!ER175</f>
        <v>-19</v>
      </c>
      <c r="AJ702" s="113">
        <f>'Data_in-situ'!ES175</f>
        <v>4.3094670166746889</v>
      </c>
      <c r="AK702" s="110">
        <f>'Data_in-situ'!ET175</f>
        <v>3</v>
      </c>
    </row>
    <row r="703" spans="2:37" x14ac:dyDescent="0.3">
      <c r="B703" s="24">
        <f>'Data_in-situ'!CA352</f>
        <v>-10050.787546565918</v>
      </c>
      <c r="C703" s="24">
        <f>'Data_in-situ'!CB352</f>
        <v>1612.547694762013</v>
      </c>
      <c r="D703" s="46">
        <f>'Data_in-situ'!CC352</f>
        <v>3</v>
      </c>
      <c r="E703" s="24">
        <f>'Data_in-situ'!CE352</f>
        <v>-12603.385992432437</v>
      </c>
      <c r="F703" s="24">
        <f>'Data_in-situ'!CF352</f>
        <v>2731.1470412581525</v>
      </c>
      <c r="G703" s="46">
        <f>'Data_in-situ'!CG352</f>
        <v>3</v>
      </c>
      <c r="H703" s="24">
        <f>'Data_in-situ'!CN352</f>
        <v>9984.9658644122937</v>
      </c>
      <c r="I703" s="24">
        <f>'Data_in-situ'!CO352</f>
        <v>333.56620847738458</v>
      </c>
      <c r="J703" s="46">
        <f>'Data_in-situ'!CP352</f>
        <v>3</v>
      </c>
      <c r="K703" s="24">
        <f>'Data_in-situ'!CR352</f>
        <v>15408.337460950899</v>
      </c>
      <c r="L703" s="24">
        <f>'Data_in-situ'!CS352</f>
        <v>3231.8122751183146</v>
      </c>
      <c r="M703" s="46">
        <f>'Data_in-situ'!CT352</f>
        <v>3</v>
      </c>
      <c r="N703" s="24">
        <f>'Data_in-situ'!DA349</f>
        <v>-48.179151155642103</v>
      </c>
      <c r="O703" s="24">
        <f>'Data_in-situ'!DB349</f>
        <v>1897.3884326053135</v>
      </c>
      <c r="P703" s="46">
        <f>'Data_in-situ'!DC349</f>
        <v>3</v>
      </c>
      <c r="Q703" s="24">
        <f>'Data_in-situ'!DE349</f>
        <v>1064.0214415998626</v>
      </c>
      <c r="R703" s="24">
        <f>'Data_in-situ'!DF349</f>
        <v>385.19113146523358</v>
      </c>
      <c r="S703" s="46">
        <f>'Data_in-situ'!DG349</f>
        <v>3</v>
      </c>
      <c r="T703" s="113">
        <f>'Data_in-situ'!DN340</f>
        <v>756.9536426533582</v>
      </c>
      <c r="U703" s="113">
        <f>'Data_in-situ'!DO340</f>
        <v>966.52380476916505</v>
      </c>
      <c r="V703" s="46">
        <f>'Data_in-situ'!DP340</f>
        <v>3</v>
      </c>
      <c r="W703" s="113">
        <f>'Data_in-situ'!DR340</f>
        <v>140.83919297376897</v>
      </c>
      <c r="X703" s="113">
        <f>'Data_in-situ'!DS340</f>
        <v>231.79656525897315</v>
      </c>
      <c r="Y703" s="46">
        <f>'Data_in-situ'!DT340</f>
        <v>3</v>
      </c>
      <c r="AF703" s="113">
        <f>'Data_in-situ'!EN195</f>
        <v>-8.1</v>
      </c>
      <c r="AG703" s="113">
        <f>'Data_in-situ'!EO195</f>
        <v>1.2</v>
      </c>
      <c r="AH703" s="110">
        <f>'Data_in-situ'!EP195</f>
        <v>3</v>
      </c>
      <c r="AI703" s="113">
        <f>'Data_in-situ'!ER195</f>
        <v>-13.1</v>
      </c>
      <c r="AJ703" s="113">
        <f>'Data_in-situ'!ES195</f>
        <v>0.8</v>
      </c>
      <c r="AK703" s="110">
        <f>'Data_in-situ'!ET195</f>
        <v>3</v>
      </c>
    </row>
    <row r="704" spans="2:37" x14ac:dyDescent="0.3">
      <c r="B704" s="24">
        <f>'Data_in-situ'!CA353</f>
        <v>-3420.20536553287</v>
      </c>
      <c r="C704" s="24">
        <f>'Data_in-situ'!CB353</f>
        <v>2581.3476538531618</v>
      </c>
      <c r="D704" s="46">
        <f>'Data_in-situ'!CC353</f>
        <v>3</v>
      </c>
      <c r="E704" s="24">
        <f>'Data_in-situ'!CE353</f>
        <v>-7240.463722401516</v>
      </c>
      <c r="F704" s="24">
        <f>'Data_in-situ'!CF353</f>
        <v>1430.8247194500545</v>
      </c>
      <c r="G704" s="46">
        <f>'Data_in-situ'!CG353</f>
        <v>3</v>
      </c>
      <c r="H704" s="24">
        <f>'Data_in-situ'!CN353</f>
        <v>3050.2701206745783</v>
      </c>
      <c r="I704" s="24">
        <f>'Data_in-situ'!CO353</f>
        <v>3364.4645178084379</v>
      </c>
      <c r="J704" s="46">
        <f>'Data_in-situ'!CP353</f>
        <v>3</v>
      </c>
      <c r="K704" s="24">
        <f>'Data_in-situ'!CR353</f>
        <v>7768.1278671058117</v>
      </c>
      <c r="L704" s="24">
        <f>'Data_in-situ'!CS353</f>
        <v>631.5369644231871</v>
      </c>
      <c r="M704" s="46">
        <f>'Data_in-situ'!CT353</f>
        <v>3</v>
      </c>
      <c r="N704" s="24">
        <f>'Data_in-situ'!DA350</f>
        <v>966.28380447712357</v>
      </c>
      <c r="O704" s="24">
        <f>'Data_in-situ'!DB350</f>
        <v>2670.8132341684627</v>
      </c>
      <c r="P704" s="46">
        <f>'Data_in-situ'!DC350</f>
        <v>3</v>
      </c>
      <c r="Q704" s="24">
        <f>'Data_in-situ'!DE350</f>
        <v>-527.61294357135102</v>
      </c>
      <c r="R704" s="24">
        <f>'Data_in-situ'!DF350</f>
        <v>119.07629993106522</v>
      </c>
      <c r="S704" s="46">
        <f>'Data_in-situ'!DG350</f>
        <v>3</v>
      </c>
      <c r="T704" s="113">
        <f>'Data_in-situ'!DN341</f>
        <v>99.599163507020805</v>
      </c>
      <c r="U704" s="113">
        <f>'Data_in-situ'!DO341</f>
        <v>34.500209307573023</v>
      </c>
      <c r="V704" s="46">
        <f>'Data_in-situ'!DP341</f>
        <v>3</v>
      </c>
      <c r="W704" s="113">
        <f>'Data_in-situ'!DR341</f>
        <v>2.0119884710538427</v>
      </c>
      <c r="X704" s="113">
        <f>'Data_in-situ'!DS341</f>
        <v>4.1125976308977705</v>
      </c>
      <c r="Y704" s="46">
        <f>'Data_in-situ'!DT341</f>
        <v>3</v>
      </c>
      <c r="AF704" s="113">
        <f>'Data_in-situ'!EN196</f>
        <v>-20.399999999999999</v>
      </c>
      <c r="AG704" s="113">
        <f>'Data_in-situ'!EO196</f>
        <v>2.2999999999999998</v>
      </c>
      <c r="AH704" s="110">
        <f>'Data_in-situ'!EP196</f>
        <v>3</v>
      </c>
      <c r="AI704" s="113">
        <f>'Data_in-situ'!ER196</f>
        <v>-28.4</v>
      </c>
      <c r="AJ704" s="113">
        <f>'Data_in-situ'!ES196</f>
        <v>3.2</v>
      </c>
      <c r="AK704" s="110">
        <f>'Data_in-situ'!ET196</f>
        <v>3</v>
      </c>
    </row>
    <row r="705" spans="2:37" x14ac:dyDescent="0.3">
      <c r="B705" s="24">
        <f>'Data_in-situ'!CA401</f>
        <v>-252.97619047619</v>
      </c>
      <c r="C705" s="24">
        <f>'Data_in-situ'!CB401</f>
        <v>61.678241517097945</v>
      </c>
      <c r="D705" s="46">
        <f>'Data_in-situ'!CC401</f>
        <v>1</v>
      </c>
      <c r="E705" s="24">
        <f>'Data_in-situ'!CE401</f>
        <v>-259.32892988544108</v>
      </c>
      <c r="F705" s="24">
        <f>'Data_in-situ'!CF401</f>
        <v>96.540146410153937</v>
      </c>
      <c r="G705" s="46">
        <f>'Data_in-situ'!CG401</f>
        <v>1</v>
      </c>
      <c r="H705" s="24">
        <f>'Data_in-situ'!CN401</f>
        <v>243.00271458600855</v>
      </c>
      <c r="I705" s="24">
        <f>'Data_in-situ'!CO401</f>
        <v>69.894216997580699</v>
      </c>
      <c r="J705" s="46">
        <f>'Data_in-situ'!CP401</f>
        <v>1</v>
      </c>
      <c r="K705" s="24">
        <f>'Data_in-situ'!CR401</f>
        <v>278.68155282729083</v>
      </c>
      <c r="L705" s="24">
        <f>'Data_in-situ'!CS401</f>
        <v>73.123578700198763</v>
      </c>
      <c r="M705" s="46">
        <f>'Data_in-situ'!CT401</f>
        <v>1</v>
      </c>
      <c r="N705" s="24">
        <f>'Data_in-situ'!DA351</f>
        <v>4462.8866415951125</v>
      </c>
      <c r="O705" s="24">
        <f>'Data_in-situ'!DB351</f>
        <v>2118.4369604304802</v>
      </c>
      <c r="P705" s="46">
        <f>'Data_in-situ'!DC351</f>
        <v>3</v>
      </c>
      <c r="Q705" s="24">
        <f>'Data_in-situ'!DE351</f>
        <v>11338.017563286921</v>
      </c>
      <c r="R705" s="24">
        <f>'Data_in-situ'!DF351</f>
        <v>1981.8390153148923</v>
      </c>
      <c r="S705" s="46">
        <f>'Data_in-situ'!DG351</f>
        <v>3</v>
      </c>
      <c r="T705" s="113">
        <f>'Data_in-situ'!DN342</f>
        <v>230.49976509958381</v>
      </c>
      <c r="U705" s="113">
        <f>'Data_in-situ'!DO342</f>
        <v>197.03120287558829</v>
      </c>
      <c r="V705" s="46">
        <f>'Data_in-situ'!DP342</f>
        <v>3</v>
      </c>
      <c r="W705" s="113">
        <f>'Data_in-situ'!DR342</f>
        <v>118.90670603705591</v>
      </c>
      <c r="X705" s="113">
        <f>'Data_in-situ'!DS342</f>
        <v>159.66597828472533</v>
      </c>
      <c r="Y705" s="46">
        <f>'Data_in-situ'!DT342</f>
        <v>3</v>
      </c>
      <c r="AF705" s="113">
        <f>'Data_in-situ'!EN197</f>
        <v>-8.1</v>
      </c>
      <c r="AG705" s="113">
        <f>'Data_in-situ'!EO197</f>
        <v>1.2</v>
      </c>
      <c r="AH705" s="110">
        <f>'Data_in-situ'!EP197</f>
        <v>3</v>
      </c>
      <c r="AI705" s="113">
        <f>'Data_in-situ'!ER197</f>
        <v>-13.1</v>
      </c>
      <c r="AJ705" s="113">
        <f>'Data_in-situ'!ES197</f>
        <v>0.8</v>
      </c>
      <c r="AK705" s="110">
        <f>'Data_in-situ'!ET197</f>
        <v>3</v>
      </c>
    </row>
    <row r="706" spans="2:37" x14ac:dyDescent="0.3">
      <c r="B706" s="24">
        <f>'Data_in-situ'!CA402</f>
        <v>-270.83333333333297</v>
      </c>
      <c r="C706" s="24">
        <f>'Data_in-situ'!CB402</f>
        <v>66.031999741834312</v>
      </c>
      <c r="D706" s="46">
        <f>'Data_in-situ'!CC402</f>
        <v>1</v>
      </c>
      <c r="E706" s="24">
        <f>'Data_in-situ'!CE402</f>
        <v>-301.00679361702942</v>
      </c>
      <c r="F706" s="24">
        <f>'Data_in-situ'!CF402</f>
        <v>112.05552708321424</v>
      </c>
      <c r="G706" s="46">
        <f>'Data_in-situ'!CG402</f>
        <v>1</v>
      </c>
      <c r="H706" s="24">
        <f>'Data_in-situ'!CN402</f>
        <v>252.06998005563568</v>
      </c>
      <c r="I706" s="24">
        <f>'Data_in-situ'!CO402</f>
        <v>72.502210169132198</v>
      </c>
      <c r="J706" s="46">
        <f>'Data_in-situ'!CP402</f>
        <v>1</v>
      </c>
      <c r="K706" s="24">
        <f>'Data_in-situ'!CR402</f>
        <v>294.16386131769627</v>
      </c>
      <c r="L706" s="24">
        <f>'Data_in-situ'!CS402</f>
        <v>77.18599973909879</v>
      </c>
      <c r="M706" s="46">
        <f>'Data_in-situ'!CT402</f>
        <v>1</v>
      </c>
      <c r="N706" s="24">
        <f>'Data_in-situ'!DA352</f>
        <v>-65.821682153624351</v>
      </c>
      <c r="O706" s="24">
        <f>'Data_in-situ'!DB352</f>
        <v>2444.1125484173954</v>
      </c>
      <c r="P706" s="46">
        <f>'Data_in-situ'!DC352</f>
        <v>3</v>
      </c>
      <c r="Q706" s="24">
        <f>'Data_in-situ'!DE352</f>
        <v>2804.9514685184622</v>
      </c>
      <c r="R706" s="24">
        <f>'Data_in-situ'!DF352</f>
        <v>528.03532028319501</v>
      </c>
      <c r="S706" s="46">
        <f>'Data_in-situ'!DG352</f>
        <v>3</v>
      </c>
      <c r="T706" s="113">
        <f>'Data_in-situ'!DN343</f>
        <v>1089.6352531980324</v>
      </c>
      <c r="U706" s="113">
        <f>'Data_in-situ'!DO343</f>
        <v>927.78982978332431</v>
      </c>
      <c r="V706" s="46">
        <f>'Data_in-situ'!DP343</f>
        <v>3</v>
      </c>
      <c r="W706" s="113">
        <f>'Data_in-situ'!DR343</f>
        <v>639.12354494917554</v>
      </c>
      <c r="X706" s="113">
        <f>'Data_in-situ'!DS343</f>
        <v>304.35692868746287</v>
      </c>
      <c r="Y706" s="46">
        <f>'Data_in-situ'!DT343</f>
        <v>3</v>
      </c>
      <c r="AF706" s="113">
        <f>'Data_in-situ'!EN198</f>
        <v>-20.399999999999999</v>
      </c>
      <c r="AG706" s="113">
        <f>'Data_in-situ'!EO198</f>
        <v>2.2999999999999998</v>
      </c>
      <c r="AH706" s="110">
        <f>'Data_in-situ'!EP198</f>
        <v>3</v>
      </c>
      <c r="AI706" s="113">
        <f>'Data_in-situ'!ER198</f>
        <v>-28.4</v>
      </c>
      <c r="AJ706" s="113">
        <f>'Data_in-situ'!ES198</f>
        <v>3.2</v>
      </c>
      <c r="AK706" s="110">
        <f>'Data_in-situ'!ET198</f>
        <v>3</v>
      </c>
    </row>
    <row r="707" spans="2:37" x14ac:dyDescent="0.3">
      <c r="B707" s="24">
        <f>'Data_in-situ'!CA403</f>
        <v>-241.07142857142901</v>
      </c>
      <c r="C707" s="24">
        <f>'Data_in-situ'!CB403</f>
        <v>58.775736033940618</v>
      </c>
      <c r="D707" s="46">
        <f>'Data_in-situ'!CC403</f>
        <v>1</v>
      </c>
      <c r="E707" s="24">
        <f>'Data_in-situ'!CE403</f>
        <v>-271.67792654665266</v>
      </c>
      <c r="F707" s="24">
        <f>'Data_in-situ'!CF403</f>
        <v>101.13729623920892</v>
      </c>
      <c r="G707" s="46">
        <f>'Data_in-situ'!CG403</f>
        <v>1</v>
      </c>
      <c r="H707" s="24">
        <f>'Data_in-situ'!CN403</f>
        <v>217.61437127105197</v>
      </c>
      <c r="I707" s="24">
        <f>'Data_in-situ'!CO403</f>
        <v>62.591836117236312</v>
      </c>
      <c r="J707" s="46">
        <f>'Data_in-situ'!CP403</f>
        <v>1</v>
      </c>
      <c r="K707" s="24">
        <f>'Data_in-situ'!CR403</f>
        <v>295.88411781662973</v>
      </c>
      <c r="L707" s="24">
        <f>'Data_in-situ'!CS403</f>
        <v>77.637379854532</v>
      </c>
      <c r="M707" s="46">
        <f>'Data_in-situ'!CT403</f>
        <v>1</v>
      </c>
      <c r="N707" s="24">
        <f>'Data_in-situ'!DA353</f>
        <v>-369.93524485829175</v>
      </c>
      <c r="O707" s="24">
        <f>'Data_in-situ'!DB353</f>
        <v>430.23040896760483</v>
      </c>
      <c r="P707" s="46">
        <f>'Data_in-situ'!DC353</f>
        <v>3</v>
      </c>
      <c r="Q707" s="24">
        <f>'Data_in-situ'!DE353</f>
        <v>527.66414470429572</v>
      </c>
      <c r="R707" s="24">
        <f>'Data_in-situ'!DF353</f>
        <v>650.28157743771067</v>
      </c>
      <c r="S707" s="46">
        <f>'Data_in-situ'!DG353</f>
        <v>3</v>
      </c>
      <c r="T707" s="113">
        <f>'Data_in-situ'!DN344</f>
        <v>146.68166869973513</v>
      </c>
      <c r="U707" s="113">
        <f>'Data_in-situ'!DO344</f>
        <v>127.23656397839687</v>
      </c>
      <c r="V707" s="46">
        <f>'Data_in-situ'!DP344</f>
        <v>3</v>
      </c>
      <c r="W707" s="113">
        <f>'Data_in-situ'!DR344</f>
        <v>29.726676509263978</v>
      </c>
      <c r="X707" s="113">
        <f>'Data_in-situ'!DS344</f>
        <v>18.92341152926349</v>
      </c>
      <c r="Y707" s="46">
        <f>'Data_in-situ'!DT344</f>
        <v>3</v>
      </c>
      <c r="AF707" s="113">
        <f>'Data_in-situ'!EN199</f>
        <v>-20.100000000000001</v>
      </c>
      <c r="AG707" s="113">
        <f>'Data_in-situ'!EO199</f>
        <v>2</v>
      </c>
      <c r="AH707" s="110">
        <f>'Data_in-situ'!EP199</f>
        <v>16</v>
      </c>
      <c r="AI707" s="113">
        <f>'Data_in-situ'!ER199</f>
        <v>-38.200000000000003</v>
      </c>
      <c r="AJ707" s="113">
        <f>'Data_in-situ'!ES199</f>
        <v>2</v>
      </c>
      <c r="AK707" s="110">
        <f>'Data_in-situ'!ET199</f>
        <v>16</v>
      </c>
    </row>
    <row r="708" spans="2:37" x14ac:dyDescent="0.3">
      <c r="B708" s="24">
        <f>'Data_in-situ'!CA404</f>
        <v>-1190.8947368421052</v>
      </c>
      <c r="C708" s="24">
        <f>'Data_in-situ'!CB404</f>
        <v>8.1728070175438585</v>
      </c>
      <c r="D708" s="46">
        <f>'Data_in-situ'!CC404</f>
        <v>4</v>
      </c>
      <c r="E708" s="24">
        <f>'Data_in-situ'!CE404</f>
        <v>-1647.1117744611581</v>
      </c>
      <c r="F708" s="24">
        <f>'Data_in-situ'!CF404</f>
        <v>42.213296514097145</v>
      </c>
      <c r="G708" s="46">
        <f>'Data_in-situ'!CG404</f>
        <v>4</v>
      </c>
      <c r="H708" s="24">
        <f>'Data_in-situ'!CN404</f>
        <v>1173.6539891420518</v>
      </c>
      <c r="I708" s="24">
        <f>'Data_in-situ'!CO404</f>
        <v>59.312279426335792</v>
      </c>
      <c r="J708" s="46">
        <f>'Data_in-situ'!CP404</f>
        <v>4</v>
      </c>
      <c r="K708" s="24">
        <f>'Data_in-situ'!CR404</f>
        <v>1113.3378134148315</v>
      </c>
      <c r="L708" s="24">
        <f>'Data_in-situ'!CS404</f>
        <v>77.030208091757075</v>
      </c>
      <c r="M708" s="46">
        <f>'Data_in-situ'!CT404</f>
        <v>4</v>
      </c>
      <c r="N708" s="24">
        <f>'Data_in-situ'!DA396</f>
        <v>-1484.6994535519118</v>
      </c>
      <c r="O708" s="24">
        <f>'Data_in-situ'!DB396</f>
        <v>4453.588453524826</v>
      </c>
      <c r="P708" s="46">
        <f>'Data_in-situ'!DC396</f>
        <v>1</v>
      </c>
      <c r="Q708" s="24">
        <f>'Data_in-situ'!DE396</f>
        <v>390.71038251366002</v>
      </c>
      <c r="R708" s="24">
        <f>'Data_in-situ'!DF396</f>
        <v>372.40278575099637</v>
      </c>
      <c r="S708" s="46">
        <f>'Data_in-situ'!DG396</f>
        <v>1</v>
      </c>
      <c r="T708" s="113">
        <f>'Data_in-situ'!DN345</f>
        <v>158.06344550056443</v>
      </c>
      <c r="U708" s="113">
        <f>'Data_in-situ'!DO345</f>
        <v>156.23763874501105</v>
      </c>
      <c r="V708" s="46">
        <f>'Data_in-situ'!DP345</f>
        <v>3</v>
      </c>
      <c r="W708" s="113">
        <f>'Data_in-situ'!DR345</f>
        <v>533.27856040861434</v>
      </c>
      <c r="X708" s="113">
        <f>'Data_in-situ'!DS345</f>
        <v>463.45283466494965</v>
      </c>
      <c r="Y708" s="46">
        <f>'Data_in-situ'!DT345</f>
        <v>3</v>
      </c>
      <c r="AF708" s="113">
        <f>'Data_in-situ'!EN200</f>
        <v>-23</v>
      </c>
      <c r="AG708" s="113">
        <f>'Data_in-situ'!EO200</f>
        <v>3.2</v>
      </c>
      <c r="AH708" s="110">
        <f>'Data_in-situ'!EP200</f>
        <v>16</v>
      </c>
      <c r="AI708" s="113">
        <f>'Data_in-situ'!ER200</f>
        <v>-35.299999999999997</v>
      </c>
      <c r="AJ708" s="113">
        <f>'Data_in-situ'!ES200</f>
        <v>4.4000000000000004</v>
      </c>
      <c r="AK708" s="110">
        <f>'Data_in-situ'!ET200</f>
        <v>16</v>
      </c>
    </row>
    <row r="709" spans="2:37" x14ac:dyDescent="0.3">
      <c r="B709" s="24">
        <f>'Data_in-situ'!CA405</f>
        <v>-1587.859649122807</v>
      </c>
      <c r="C709" s="24">
        <f>'Data_in-situ'!CB405</f>
        <v>7.4722807017543857</v>
      </c>
      <c r="D709" s="46">
        <f>'Data_in-situ'!CC405</f>
        <v>4</v>
      </c>
      <c r="E709" s="24">
        <f>'Data_in-situ'!CE405</f>
        <v>-1598.6673105064185</v>
      </c>
      <c r="F709" s="24">
        <f>'Data_in-situ'!CF405</f>
        <v>44.336749279956244</v>
      </c>
      <c r="G709" s="46">
        <f>'Data_in-situ'!CG405</f>
        <v>4</v>
      </c>
      <c r="H709" s="24">
        <f>'Data_in-situ'!CN405</f>
        <v>1001.8997468285809</v>
      </c>
      <c r="I709" s="24">
        <f>'Data_in-situ'!CO405</f>
        <v>31.53551699296025</v>
      </c>
      <c r="J709" s="46">
        <f>'Data_in-situ'!CP405</f>
        <v>4</v>
      </c>
      <c r="K709" s="24">
        <f>'Data_in-situ'!CR405</f>
        <v>1031.8740709698438</v>
      </c>
      <c r="L709" s="24">
        <f>'Data_in-situ'!CS405</f>
        <v>95.91547767591031</v>
      </c>
      <c r="M709" s="46">
        <f>'Data_in-situ'!CT405</f>
        <v>4</v>
      </c>
      <c r="N709" s="24">
        <f>'Data_in-situ'!DA397</f>
        <v>-1316.3934426229509</v>
      </c>
      <c r="O709" s="24">
        <f>'Data_in-situ'!DB397</f>
        <v>3948.7282239754559</v>
      </c>
      <c r="P709" s="46">
        <f>'Data_in-situ'!DC397</f>
        <v>1</v>
      </c>
      <c r="Q709" s="24">
        <f>'Data_in-situ'!DE397</f>
        <v>54.098360655737935</v>
      </c>
      <c r="R709" s="24">
        <f>'Data_in-situ'!DF397</f>
        <v>51.563462642446027</v>
      </c>
      <c r="S709" s="46">
        <f>'Data_in-situ'!DG397</f>
        <v>1</v>
      </c>
      <c r="T709" s="113">
        <f>'Data_in-situ'!DN346</f>
        <v>1422.5710095050797</v>
      </c>
      <c r="U709" s="113">
        <f>'Data_in-situ'!DO346</f>
        <v>1619.3061390358012</v>
      </c>
      <c r="V709" s="46">
        <f>'Data_in-situ'!DP346</f>
        <v>3</v>
      </c>
      <c r="W709" s="113">
        <f>'Data_in-situ'!DR346</f>
        <v>1233.2066709449209</v>
      </c>
      <c r="X709" s="113">
        <f>'Data_in-situ'!DS346</f>
        <v>527.21983078939115</v>
      </c>
      <c r="Y709" s="46">
        <f>'Data_in-situ'!DT346</f>
        <v>3</v>
      </c>
      <c r="AF709" s="113">
        <f>'Data_in-situ'!EN206</f>
        <v>3</v>
      </c>
      <c r="AG709" s="113">
        <f>'Data_in-situ'!EO206</f>
        <v>3</v>
      </c>
      <c r="AH709" s="110">
        <f>'Data_in-situ'!EP206</f>
        <v>10</v>
      </c>
      <c r="AI709" s="113">
        <f>'Data_in-situ'!ER206</f>
        <v>4</v>
      </c>
      <c r="AJ709" s="113">
        <f>'Data_in-situ'!ES206</f>
        <v>2</v>
      </c>
      <c r="AK709" s="110">
        <f>'Data_in-situ'!ET206</f>
        <v>10</v>
      </c>
    </row>
    <row r="710" spans="2:37" x14ac:dyDescent="0.3">
      <c r="B710" s="24">
        <f>'Data_in-situ'!CA406</f>
        <v>-1541.1578947368423</v>
      </c>
      <c r="C710" s="24">
        <f>'Data_in-situ'!CB406</f>
        <v>7.2387719298245612</v>
      </c>
      <c r="D710" s="46">
        <f>'Data_in-situ'!CC406</f>
        <v>4</v>
      </c>
      <c r="E710" s="24">
        <f>'Data_in-situ'!CE406</f>
        <v>-2325.3342698275173</v>
      </c>
      <c r="F710" s="24">
        <f>'Data_in-situ'!CF406</f>
        <v>61.965584260203691</v>
      </c>
      <c r="G710" s="46">
        <f>'Data_in-situ'!CG406</f>
        <v>4</v>
      </c>
      <c r="H710" s="24">
        <f>'Data_in-situ'!CN406</f>
        <v>1345.4082314555228</v>
      </c>
      <c r="I710" s="24">
        <f>'Data_in-situ'!CO406</f>
        <v>87.695812130506496</v>
      </c>
      <c r="J710" s="46">
        <f>'Data_in-situ'!CP406</f>
        <v>4</v>
      </c>
      <c r="K710" s="24">
        <f>'Data_in-situ'!CR406</f>
        <v>1031.8740709698438</v>
      </c>
      <c r="L710" s="24">
        <f>'Data_in-situ'!CS406</f>
        <v>302.96098741004602</v>
      </c>
      <c r="M710" s="46">
        <f>'Data_in-situ'!CT406</f>
        <v>4</v>
      </c>
      <c r="N710" s="24">
        <f>'Data_in-situ'!DA398</f>
        <v>-1484.6994535519118</v>
      </c>
      <c r="O710" s="24">
        <f>'Data_in-situ'!DB398</f>
        <v>4453.588453524826</v>
      </c>
      <c r="P710" s="46">
        <f>'Data_in-situ'!DC398</f>
        <v>1</v>
      </c>
      <c r="Q710" s="24">
        <f>'Data_in-situ'!DE398</f>
        <v>847.54098360655883</v>
      </c>
      <c r="R710" s="24">
        <f>'Data_in-situ'!DF398</f>
        <v>807.82758139831913</v>
      </c>
      <c r="S710" s="46">
        <f>'Data_in-situ'!DG398</f>
        <v>1</v>
      </c>
      <c r="T710" s="113">
        <f>'Data_in-situ'!DN347</f>
        <v>87.813025278091345</v>
      </c>
      <c r="U710" s="113">
        <f>'Data_in-situ'!DO347</f>
        <v>511.88953557062587</v>
      </c>
      <c r="V710" s="46">
        <f>'Data_in-situ'!DP347</f>
        <v>3</v>
      </c>
      <c r="W710" s="113">
        <f>'Data_in-situ'!DR347</f>
        <v>83.324775063845991</v>
      </c>
      <c r="X710" s="113">
        <f>'Data_in-situ'!DS347</f>
        <v>58.045203910854234</v>
      </c>
      <c r="Y710" s="46">
        <f>'Data_in-situ'!DT347</f>
        <v>3</v>
      </c>
      <c r="AF710" s="113">
        <f>'Data_in-situ'!EN207</f>
        <v>-19</v>
      </c>
      <c r="AG710" s="113">
        <f>'Data_in-situ'!EO207</f>
        <v>4</v>
      </c>
      <c r="AH710" s="110">
        <f>'Data_in-situ'!EP207</f>
        <v>10</v>
      </c>
      <c r="AI710" s="113">
        <f>'Data_in-situ'!ER207</f>
        <v>-17</v>
      </c>
      <c r="AJ710" s="113">
        <f>'Data_in-situ'!ES207</f>
        <v>7</v>
      </c>
      <c r="AK710" s="110">
        <f>'Data_in-situ'!ET207</f>
        <v>10</v>
      </c>
    </row>
    <row r="711" spans="2:37" x14ac:dyDescent="0.3">
      <c r="B711" s="24">
        <f>'Data_in-situ'!CA407</f>
        <v>-2129.6</v>
      </c>
      <c r="C711" s="24">
        <f>'Data_in-situ'!CB407</f>
        <v>6.8256410256410263</v>
      </c>
      <c r="D711" s="46">
        <f>'Data_in-situ'!CC407</f>
        <v>4</v>
      </c>
      <c r="E711" s="24">
        <f>'Data_in-situ'!CE407</f>
        <v>-2860.45927166603</v>
      </c>
      <c r="F711" s="24">
        <f>'Data_in-situ'!CF407</f>
        <v>83.041731299949717</v>
      </c>
      <c r="G711" s="46">
        <f>'Data_in-situ'!CG407</f>
        <v>4</v>
      </c>
      <c r="H711" s="24">
        <f>'Data_in-situ'!CN407</f>
        <v>1355.5373277970868</v>
      </c>
      <c r="I711" s="24">
        <f>'Data_in-situ'!CO407</f>
        <v>118.50504120960676</v>
      </c>
      <c r="J711" s="46">
        <f>'Data_in-situ'!CP407</f>
        <v>4</v>
      </c>
      <c r="K711" s="24">
        <f>'Data_in-situ'!CR407</f>
        <v>1460.4986850650098</v>
      </c>
      <c r="L711" s="24">
        <f>'Data_in-situ'!CS407</f>
        <v>101.18634540814155</v>
      </c>
      <c r="M711" s="46">
        <f>'Data_in-situ'!CT407</f>
        <v>4</v>
      </c>
      <c r="N711" s="24">
        <f>'Data_in-situ'!DA399</f>
        <v>-2037.7049180327876</v>
      </c>
      <c r="O711" s="24">
        <f>'Data_in-situ'!DB399</f>
        <v>6112.4149220442005</v>
      </c>
      <c r="P711" s="46">
        <f>'Data_in-situ'!DC399</f>
        <v>1</v>
      </c>
      <c r="Q711" s="24">
        <f>'Data_in-situ'!DE399</f>
        <v>-571.03825136612102</v>
      </c>
      <c r="R711" s="24">
        <f>'Data_in-situ'!DF399</f>
        <v>544.28099455915094</v>
      </c>
      <c r="S711" s="46">
        <f>'Data_in-situ'!DG399</f>
        <v>1</v>
      </c>
      <c r="T711" s="113">
        <f>'Data_in-situ'!DN360</f>
        <v>78.736738703339938</v>
      </c>
      <c r="U711" s="113">
        <f>'Data_in-situ'!DO360</f>
        <v>27.597052434686233</v>
      </c>
      <c r="V711" s="46">
        <f>'Data_in-situ'!DP360</f>
        <v>8</v>
      </c>
      <c r="W711" s="113">
        <f>'Data_in-situ'!DR360</f>
        <v>125.2043222003928</v>
      </c>
      <c r="X711" s="113">
        <f>'Data_in-situ'!DS360</f>
        <v>186.10419799607629</v>
      </c>
      <c r="Y711" s="46">
        <f>'Data_in-situ'!DT360</f>
        <v>8</v>
      </c>
      <c r="AF711" s="113">
        <f>'Data_in-situ'!EN208</f>
        <v>3</v>
      </c>
      <c r="AG711" s="113">
        <f>'Data_in-situ'!EO208</f>
        <v>3</v>
      </c>
      <c r="AH711" s="110">
        <f>'Data_in-situ'!EP208</f>
        <v>10</v>
      </c>
      <c r="AI711" s="113">
        <f>'Data_in-situ'!ER208</f>
        <v>4</v>
      </c>
      <c r="AJ711" s="113">
        <f>'Data_in-situ'!ES208</f>
        <v>2</v>
      </c>
      <c r="AK711" s="110">
        <f>'Data_in-situ'!ET208</f>
        <v>10</v>
      </c>
    </row>
    <row r="712" spans="2:37" x14ac:dyDescent="0.3">
      <c r="B712" s="24">
        <f>'Data_in-situ'!CA408</f>
        <v>-2259.2871794871794</v>
      </c>
      <c r="C712" s="24">
        <f>'Data_in-situ'!CB408</f>
        <v>13.651282051282053</v>
      </c>
      <c r="D712" s="46">
        <f>'Data_in-situ'!CC408</f>
        <v>4</v>
      </c>
      <c r="E712" s="24">
        <f>'Data_in-situ'!CE408</f>
        <v>-1940.0144565259704</v>
      </c>
      <c r="F712" s="24">
        <f>'Data_in-situ'!CF408</f>
        <v>56.070928981894077</v>
      </c>
      <c r="G712" s="46">
        <f>'Data_in-situ'!CG408</f>
        <v>4</v>
      </c>
      <c r="H712" s="24">
        <f>'Data_in-situ'!CN408</f>
        <v>1857.5881899441558</v>
      </c>
      <c r="I712" s="24">
        <f>'Data_in-situ'!CO408</f>
        <v>103.36331194089117</v>
      </c>
      <c r="J712" s="46">
        <f>'Data_in-situ'!CP408</f>
        <v>4</v>
      </c>
      <c r="K712" s="24">
        <f>'Data_in-situ'!CR408</f>
        <v>1587.498570722837</v>
      </c>
      <c r="L712" s="24">
        <f>'Data_in-situ'!CS408</f>
        <v>105.69113003255019</v>
      </c>
      <c r="M712" s="46">
        <f>'Data_in-situ'!CT408</f>
        <v>4</v>
      </c>
      <c r="N712" s="24">
        <f>'Data_in-situ'!DA400</f>
        <v>30.769259991496654</v>
      </c>
      <c r="O712" s="24">
        <f>'Data_in-situ'!DB400</f>
        <v>92.297212539414176</v>
      </c>
      <c r="P712" s="46">
        <f>'Data_in-situ'!DC400</f>
        <v>1</v>
      </c>
      <c r="Q712" s="24">
        <f>'Data_in-situ'!DE400</f>
        <v>-12.040273178424011</v>
      </c>
      <c r="R712" s="24">
        <f>'Data_in-situ'!DF400</f>
        <v>11.476099621415464</v>
      </c>
      <c r="S712" s="46">
        <f>'Data_in-situ'!DG400</f>
        <v>1</v>
      </c>
      <c r="T712" s="113">
        <f>'Data_in-situ'!DN397</f>
        <v>94.039460020768402</v>
      </c>
      <c r="U712" s="113">
        <f>'Data_in-situ'!DO397</f>
        <v>104.84264634093746</v>
      </c>
      <c r="V712" s="46">
        <f>'Data_in-situ'!DP397</f>
        <v>1</v>
      </c>
      <c r="W712" s="113">
        <f>'Data_in-situ'!DR397</f>
        <v>47.85046728971961</v>
      </c>
      <c r="X712" s="113">
        <f>'Data_in-situ'!DS397</f>
        <v>178.82754606084828</v>
      </c>
      <c r="Y712" s="46">
        <f>'Data_in-situ'!DT397</f>
        <v>1</v>
      </c>
      <c r="AF712" s="113">
        <f>'Data_in-situ'!EN209</f>
        <v>-19</v>
      </c>
      <c r="AG712" s="113">
        <f>'Data_in-situ'!EO209</f>
        <v>4</v>
      </c>
      <c r="AH712" s="110">
        <f>'Data_in-situ'!EP209</f>
        <v>10</v>
      </c>
      <c r="AI712" s="113">
        <f>'Data_in-situ'!ER209</f>
        <v>-17</v>
      </c>
      <c r="AJ712" s="113">
        <f>'Data_in-situ'!ES209</f>
        <v>7</v>
      </c>
      <c r="AK712" s="110">
        <f>'Data_in-situ'!ET209</f>
        <v>10</v>
      </c>
    </row>
    <row r="713" spans="2:37" x14ac:dyDescent="0.3">
      <c r="B713" s="24">
        <f>'Data_in-situ'!CA412</f>
        <v>-27659.550451779181</v>
      </c>
      <c r="C713" s="24">
        <f>'Data_in-situ'!CB412</f>
        <v>2920.5942857142213</v>
      </c>
      <c r="D713" s="46">
        <f>'Data_in-situ'!CC412</f>
        <v>3</v>
      </c>
      <c r="E713" s="24">
        <f>'Data_in-situ'!CE412</f>
        <v>-19692.259359339321</v>
      </c>
      <c r="F713" s="24">
        <f>'Data_in-situ'!CF412</f>
        <v>1592.4436015993197</v>
      </c>
      <c r="G713" s="46">
        <f>'Data_in-situ'!CG412</f>
        <v>3</v>
      </c>
      <c r="H713" s="24">
        <f>'Data_in-situ'!CN412</f>
        <v>26436.559507179623</v>
      </c>
      <c r="I713" s="24">
        <f>'Data_in-situ'!CO412</f>
        <v>3571.7210373879325</v>
      </c>
      <c r="J713" s="46">
        <f>'Data_in-situ'!CP412</f>
        <v>3</v>
      </c>
      <c r="K713" s="24">
        <f>'Data_in-situ'!CR412</f>
        <v>20646.170885257681</v>
      </c>
      <c r="L713" s="24">
        <f>'Data_in-situ'!CS412</f>
        <v>1492.9781828658879</v>
      </c>
      <c r="M713" s="46">
        <f>'Data_in-situ'!CT412</f>
        <v>3</v>
      </c>
      <c r="N713" s="24">
        <f>'Data_in-situ'!DA401</f>
        <v>-9.9734758901814473</v>
      </c>
      <c r="O713" s="24">
        <f>'Data_in-situ'!DB401</f>
        <v>29.917002366881579</v>
      </c>
      <c r="P713" s="46">
        <f>'Data_in-situ'!DC401</f>
        <v>1</v>
      </c>
      <c r="Q713" s="24">
        <f>'Data_in-situ'!DE401</f>
        <v>19.352622941849745</v>
      </c>
      <c r="R713" s="24">
        <f>'Data_in-situ'!DF401</f>
        <v>18.445813107824229</v>
      </c>
      <c r="S713" s="46">
        <f>'Data_in-situ'!DG401</f>
        <v>1</v>
      </c>
      <c r="T713" s="113">
        <f>'Data_in-situ'!DN398</f>
        <v>84.070612668743479</v>
      </c>
      <c r="U713" s="113">
        <f>'Data_in-situ'!DO398</f>
        <v>93.728584891368115</v>
      </c>
      <c r="V713" s="46">
        <f>'Data_in-situ'!DP398</f>
        <v>1</v>
      </c>
      <c r="W713" s="113">
        <f>'Data_in-situ'!DR398</f>
        <v>46.853582554517196</v>
      </c>
      <c r="X713" s="113">
        <f>'Data_in-situ'!DS398</f>
        <v>175.10197218458089</v>
      </c>
      <c r="Y713" s="46">
        <f>'Data_in-situ'!DT398</f>
        <v>1</v>
      </c>
      <c r="AF713" s="113">
        <f>'Data_in-situ'!EN270</f>
        <v>0</v>
      </c>
      <c r="AG713" s="113">
        <f>'Data_in-situ'!EO270</f>
        <v>0</v>
      </c>
      <c r="AH713" s="110">
        <f>'Data_in-situ'!EP270</f>
        <v>20</v>
      </c>
      <c r="AI713" s="113">
        <f>'Data_in-situ'!ER270</f>
        <v>-15</v>
      </c>
      <c r="AJ713" s="113">
        <f>'Data_in-situ'!ES270</f>
        <v>3.4022108026379128</v>
      </c>
      <c r="AK713" s="110">
        <f>'Data_in-situ'!ET270</f>
        <v>20</v>
      </c>
    </row>
    <row r="714" spans="2:37" x14ac:dyDescent="0.3">
      <c r="B714" s="24">
        <f>'Data_in-situ'!CA413</f>
        <v>-13417.445102313484</v>
      </c>
      <c r="C714" s="24">
        <f>'Data_in-situ'!CB413</f>
        <v>2513.9989496861413</v>
      </c>
      <c r="D714" s="46">
        <f>'Data_in-situ'!CC413</f>
        <v>3</v>
      </c>
      <c r="E714" s="24">
        <f>'Data_in-situ'!CE413</f>
        <v>-10261.140414323805</v>
      </c>
      <c r="F714" s="24">
        <f>'Data_in-situ'!CF413</f>
        <v>928.25974642230233</v>
      </c>
      <c r="G714" s="46">
        <f>'Data_in-situ'!CG413</f>
        <v>3</v>
      </c>
      <c r="H714" s="24">
        <f>'Data_in-situ'!CN413</f>
        <v>12328.007487080895</v>
      </c>
      <c r="I714" s="24">
        <f>'Data_in-situ'!CO413</f>
        <v>1844.6484474290598</v>
      </c>
      <c r="J714" s="46">
        <f>'Data_in-situ'!CP413</f>
        <v>3</v>
      </c>
      <c r="K714" s="24">
        <f>'Data_in-situ'!CR413</f>
        <v>10779.460950989149</v>
      </c>
      <c r="L714" s="24">
        <f>'Data_in-situ'!CS413</f>
        <v>1426.079653929331</v>
      </c>
      <c r="M714" s="46">
        <f>'Data_in-situ'!CT413</f>
        <v>3</v>
      </c>
      <c r="N714" s="24">
        <f>'Data_in-situ'!DA402</f>
        <v>-18.763353277697291</v>
      </c>
      <c r="O714" s="24">
        <f>'Data_in-situ'!DB402</f>
        <v>56.283615722391104</v>
      </c>
      <c r="P714" s="46">
        <f>'Data_in-situ'!DC402</f>
        <v>1</v>
      </c>
      <c r="Q714" s="24">
        <f>'Data_in-situ'!DE402</f>
        <v>-6.8429322993331425</v>
      </c>
      <c r="R714" s="24">
        <f>'Data_in-situ'!DF402</f>
        <v>6.5222916129904451</v>
      </c>
      <c r="S714" s="46">
        <f>'Data_in-situ'!DG402</f>
        <v>1</v>
      </c>
      <c r="T714" s="113">
        <f>'Data_in-situ'!DN399</f>
        <v>100.35306334371759</v>
      </c>
      <c r="U714" s="113">
        <f>'Data_in-situ'!DO399</f>
        <v>111.88155192566481</v>
      </c>
      <c r="V714" s="46">
        <f>'Data_in-situ'!DP399</f>
        <v>1</v>
      </c>
      <c r="W714" s="113">
        <f>'Data_in-situ'!DR399</f>
        <v>50.176531671858797</v>
      </c>
      <c r="X714" s="113">
        <f>'Data_in-situ'!DS399</f>
        <v>187.52055177213964</v>
      </c>
      <c r="Y714" s="46">
        <f>'Data_in-situ'!DT399</f>
        <v>1</v>
      </c>
      <c r="AF714" s="113">
        <f>'Data_in-situ'!EN274</f>
        <v>1.2156862745098034</v>
      </c>
      <c r="AG714" s="113">
        <f>'Data_in-situ'!EO274</f>
        <v>0.49768216864884945</v>
      </c>
      <c r="AH714" s="110">
        <f>'Data_in-situ'!EP274</f>
        <v>5</v>
      </c>
      <c r="AI714" s="113">
        <f>'Data_in-situ'!ER274</f>
        <v>-1.3627450980392155</v>
      </c>
      <c r="AJ714" s="113">
        <f>'Data_in-situ'!ES274</f>
        <v>0.94222961725764198</v>
      </c>
      <c r="AK714" s="110">
        <f>'Data_in-situ'!ET274</f>
        <v>5</v>
      </c>
    </row>
    <row r="715" spans="2:37" x14ac:dyDescent="0.3">
      <c r="B715" s="24">
        <f>'Data_in-situ'!CA415</f>
        <v>-17995.009527856251</v>
      </c>
      <c r="C715" s="24">
        <f>'Data_in-situ'!CB415</f>
        <v>1848.1534882558306</v>
      </c>
      <c r="D715" s="46">
        <f>'Data_in-situ'!CC415</f>
        <v>3</v>
      </c>
      <c r="E715" s="24">
        <f>'Data_in-situ'!CE415</f>
        <v>-2054.5525514059905</v>
      </c>
      <c r="F715" s="24">
        <f>'Data_in-situ'!CF415</f>
        <v>2813.7544962882453</v>
      </c>
      <c r="G715" s="46">
        <f>'Data_in-situ'!CG415</f>
        <v>3</v>
      </c>
      <c r="H715" s="24">
        <f>'Data_in-situ'!CN415</f>
        <v>11579.692563738146</v>
      </c>
      <c r="I715" s="24">
        <f>'Data_in-situ'!CO415</f>
        <v>6378.0768142690904</v>
      </c>
      <c r="J715" s="46">
        <f>'Data_in-situ'!CP415</f>
        <v>3</v>
      </c>
      <c r="K715" s="24">
        <f>'Data_in-situ'!CR415</f>
        <v>3447.3943707861481</v>
      </c>
      <c r="L715" s="24">
        <f>'Data_in-situ'!CS415</f>
        <v>3117.4820932763982</v>
      </c>
      <c r="M715" s="46">
        <f>'Data_in-situ'!CT415</f>
        <v>3</v>
      </c>
      <c r="N715" s="24">
        <f>'Data_in-situ'!DA403</f>
        <v>-23.457057300377045</v>
      </c>
      <c r="O715" s="24">
        <f>'Data_in-situ'!DB403</f>
        <v>70.363115778554274</v>
      </c>
      <c r="P715" s="46">
        <f>'Data_in-situ'!DC403</f>
        <v>1</v>
      </c>
      <c r="Q715" s="24">
        <f>'Data_in-situ'!DE403</f>
        <v>24.206191269977069</v>
      </c>
      <c r="R715" s="24">
        <f>'Data_in-situ'!DF403</f>
        <v>23.071956786420301</v>
      </c>
      <c r="S715" s="46">
        <f>'Data_in-situ'!DG403</f>
        <v>1</v>
      </c>
      <c r="T715" s="113">
        <f>'Data_in-situ'!DN400</f>
        <v>507.98367438755889</v>
      </c>
      <c r="U715" s="113">
        <f>'Data_in-situ'!DO400</f>
        <v>309.25085319324296</v>
      </c>
      <c r="V715" s="46">
        <f>'Data_in-situ'!DP400</f>
        <v>8</v>
      </c>
      <c r="W715" s="113">
        <f>'Data_in-situ'!DR400</f>
        <v>12.765061923408211</v>
      </c>
      <c r="X715" s="113">
        <f>'Data_in-situ'!DS400</f>
        <v>23.812364224373002</v>
      </c>
      <c r="Y715" s="46">
        <f>'Data_in-situ'!DT400</f>
        <v>4</v>
      </c>
      <c r="AF715" s="113">
        <f>'Data_in-situ'!EN275</f>
        <v>1.6638655462184853</v>
      </c>
      <c r="AG715" s="113">
        <f>'Data_in-situ'!EO275</f>
        <v>0.34418289379886746</v>
      </c>
      <c r="AH715" s="110">
        <f>'Data_in-situ'!EP275</f>
        <v>5</v>
      </c>
      <c r="AI715" s="113">
        <f>'Data_in-situ'!ER275</f>
        <v>-0.55462184873949671</v>
      </c>
      <c r="AJ715" s="113">
        <f>'Data_in-situ'!ES275</f>
        <v>0.63167690703653101</v>
      </c>
      <c r="AK715" s="110">
        <f>'Data_in-situ'!ET275</f>
        <v>5</v>
      </c>
    </row>
    <row r="716" spans="2:37" x14ac:dyDescent="0.3">
      <c r="B716" s="24">
        <f>'Data_in-situ'!CA462</f>
        <v>-51700</v>
      </c>
      <c r="C716" s="24">
        <f>'Data_in-situ'!CB462</f>
        <v>12605.000812256634</v>
      </c>
      <c r="D716" s="46">
        <f>'Data_in-situ'!CC462</f>
        <v>1</v>
      </c>
      <c r="E716" s="24">
        <f>'Data_in-situ'!CE462</f>
        <v>-15510</v>
      </c>
      <c r="F716" s="24">
        <f>'Data_in-situ'!CF462</f>
        <v>5773.8936858411389</v>
      </c>
      <c r="G716" s="46">
        <f>'Data_in-situ'!CG462</f>
        <v>1</v>
      </c>
      <c r="H716" s="24">
        <f>'Data_in-situ'!CN462</f>
        <v>39196.666666666664</v>
      </c>
      <c r="I716" s="24">
        <f>'Data_in-situ'!CO462</f>
        <v>11274.031774703384</v>
      </c>
      <c r="J716" s="46">
        <f>'Data_in-situ'!CP462</f>
        <v>1</v>
      </c>
      <c r="K716" s="24">
        <f>'Data_in-situ'!CR462</f>
        <v>35236.666666666664</v>
      </c>
      <c r="L716" s="24">
        <f>'Data_in-situ'!CS462</f>
        <v>9245.7901931151609</v>
      </c>
      <c r="M716" s="46">
        <f>'Data_in-situ'!CT462</f>
        <v>1</v>
      </c>
      <c r="N716" s="24">
        <f>'Data_in-situ'!DA404</f>
        <v>-17.240747700053362</v>
      </c>
      <c r="O716" s="24">
        <f>'Data_in-situ'!DB404</f>
        <v>1.8994060532667709</v>
      </c>
      <c r="P716" s="46">
        <f>'Data_in-situ'!DC404</f>
        <v>4</v>
      </c>
      <c r="Q716" s="24">
        <f>'Data_in-situ'!DE404</f>
        <v>-533.77396104632658</v>
      </c>
      <c r="R716" s="24">
        <f>'Data_in-situ'!DF404</f>
        <v>650.20080041312121</v>
      </c>
      <c r="S716" s="46">
        <f>'Data_in-situ'!DG404</f>
        <v>4</v>
      </c>
      <c r="AF716" s="113">
        <f>'Data_in-situ'!EN276</f>
        <v>1.3882352941176466</v>
      </c>
      <c r="AG716" s="113">
        <f>'Data_in-situ'!EO276</f>
        <v>0.46526399843023991</v>
      </c>
      <c r="AH716" s="110">
        <f>'Data_in-situ'!EP276</f>
        <v>5</v>
      </c>
      <c r="AI716" s="113">
        <f>'Data_in-situ'!ER276</f>
        <v>-1.0352941176470594</v>
      </c>
      <c r="AJ716" s="113">
        <f>'Data_in-situ'!ES276</f>
        <v>0.83640987539045919</v>
      </c>
      <c r="AK716" s="110">
        <f>'Data_in-situ'!ET276</f>
        <v>5</v>
      </c>
    </row>
    <row r="717" spans="2:37" x14ac:dyDescent="0.3">
      <c r="B717" s="24">
        <f>'Data_in-situ'!CA463</f>
        <v>-52030</v>
      </c>
      <c r="C717" s="24">
        <f>'Data_in-situ'!CB463</f>
        <v>12685.458264249761</v>
      </c>
      <c r="D717" s="46">
        <f>'Data_in-situ'!CC463</f>
        <v>1</v>
      </c>
      <c r="E717" s="24">
        <f>'Data_in-situ'!CE463</f>
        <v>-33366.666666666664</v>
      </c>
      <c r="F717" s="24">
        <f>'Data_in-situ'!CF463</f>
        <v>12421.378851336727</v>
      </c>
      <c r="G717" s="46">
        <f>'Data_in-situ'!CG463</f>
        <v>1</v>
      </c>
      <c r="H717" s="24">
        <f>'Data_in-situ'!CN463</f>
        <v>53753.333333333336</v>
      </c>
      <c r="I717" s="24">
        <f>'Data_in-situ'!CO463</f>
        <v>15460.926643325691</v>
      </c>
      <c r="J717" s="46">
        <f>'Data_in-situ'!CP463</f>
        <v>1</v>
      </c>
      <c r="K717" s="24">
        <f>'Data_in-situ'!CR463</f>
        <v>42936.666666666664</v>
      </c>
      <c r="L717" s="24">
        <f>'Data_in-situ'!CS463</f>
        <v>11266.202202016497</v>
      </c>
      <c r="M717" s="46">
        <f>'Data_in-situ'!CT463</f>
        <v>1</v>
      </c>
      <c r="N717" s="24">
        <f>'Data_in-situ'!DA405</f>
        <v>-585.95990229422614</v>
      </c>
      <c r="O717" s="24">
        <f>'Data_in-situ'!DB405</f>
        <v>247.14424390137435</v>
      </c>
      <c r="P717" s="46">
        <f>'Data_in-situ'!DC405</f>
        <v>4</v>
      </c>
      <c r="Q717" s="24">
        <f>'Data_in-situ'!DE405</f>
        <v>-566.79323953657467</v>
      </c>
      <c r="R717" s="24">
        <f>'Data_in-situ'!DF405</f>
        <v>690.43890345404782</v>
      </c>
      <c r="S717" s="46">
        <f>'Data_in-situ'!DG405</f>
        <v>4</v>
      </c>
      <c r="AF717" s="113">
        <f>'Data_in-situ'!EN277</f>
        <v>0.28104575163398426</v>
      </c>
      <c r="AG717" s="113">
        <f>'Data_in-situ'!EO277</f>
        <v>1.0823202980922819</v>
      </c>
      <c r="AH717" s="110">
        <f>'Data_in-situ'!EP277</f>
        <v>5</v>
      </c>
      <c r="AI717" s="113">
        <f>'Data_in-situ'!ER277</f>
        <v>0.57352941176470584</v>
      </c>
      <c r="AJ717" s="113">
        <f>'Data_in-situ'!ES277</f>
        <v>0.95907460925260324</v>
      </c>
      <c r="AK717" s="110">
        <f>'Data_in-situ'!ET277</f>
        <v>5</v>
      </c>
    </row>
    <row r="718" spans="2:37" x14ac:dyDescent="0.3">
      <c r="B718" s="24">
        <f>'Data_in-situ'!CA464</f>
        <v>-51700</v>
      </c>
      <c r="C718" s="24">
        <f>'Data_in-situ'!CB464</f>
        <v>12605.000812256634</v>
      </c>
      <c r="D718" s="46">
        <f>'Data_in-situ'!CC464</f>
        <v>1</v>
      </c>
      <c r="E718" s="24">
        <f>'Data_in-situ'!CE464</f>
        <v>-15510</v>
      </c>
      <c r="F718" s="24">
        <f>'Data_in-situ'!CF464</f>
        <v>5773.8936858411389</v>
      </c>
      <c r="G718" s="46">
        <f>'Data_in-situ'!CG464</f>
        <v>1</v>
      </c>
      <c r="H718" s="24">
        <f>'Data_in-situ'!CN464</f>
        <v>39196.666666666664</v>
      </c>
      <c r="I718" s="24">
        <f>'Data_in-situ'!CO464</f>
        <v>11274.031774703384</v>
      </c>
      <c r="J718" s="46">
        <f>'Data_in-situ'!CP464</f>
        <v>1</v>
      </c>
      <c r="K718" s="24">
        <f>'Data_in-situ'!CR464</f>
        <v>35236.666666666664</v>
      </c>
      <c r="L718" s="24">
        <f>'Data_in-situ'!CS464</f>
        <v>9245.7901931151609</v>
      </c>
      <c r="M718" s="46">
        <f>'Data_in-situ'!CT464</f>
        <v>1</v>
      </c>
      <c r="N718" s="24">
        <f>'Data_in-situ'!DA406</f>
        <v>-195.7496632813195</v>
      </c>
      <c r="O718" s="24">
        <f>'Data_in-situ'!DB406</f>
        <v>14.333494088181441</v>
      </c>
      <c r="P718" s="46">
        <f>'Data_in-situ'!DC406</f>
        <v>4</v>
      </c>
      <c r="Q718" s="24">
        <f>'Data_in-situ'!DE406</f>
        <v>-1293.4601988576735</v>
      </c>
      <c r="R718" s="24">
        <f>'Data_in-situ'!DF406</f>
        <v>1575.5989774270381</v>
      </c>
      <c r="S718" s="46">
        <f>'Data_in-situ'!DG406</f>
        <v>4</v>
      </c>
      <c r="AF718" s="113">
        <f>'Data_in-situ'!EN278</f>
        <v>1.4575163398692808</v>
      </c>
      <c r="AG718" s="113">
        <f>'Data_in-situ'!EO278</f>
        <v>0.75703059071343026</v>
      </c>
      <c r="AH718" s="110">
        <f>'Data_in-situ'!EP278</f>
        <v>5</v>
      </c>
      <c r="AI718" s="113">
        <f>'Data_in-situ'!ER278</f>
        <v>1.1487889273356398</v>
      </c>
      <c r="AJ718" s="113">
        <f>'Data_in-situ'!ES278</f>
        <v>0.755435518283471</v>
      </c>
      <c r="AK718" s="110">
        <f>'Data_in-situ'!ET278</f>
        <v>5</v>
      </c>
    </row>
    <row r="719" spans="2:37" x14ac:dyDescent="0.3">
      <c r="B719" s="24">
        <f>'Data_in-situ'!CA465</f>
        <v>-52030</v>
      </c>
      <c r="C719" s="24">
        <f>'Data_in-situ'!CB465</f>
        <v>12685.458264249761</v>
      </c>
      <c r="D719" s="46">
        <f>'Data_in-situ'!CC465</f>
        <v>1</v>
      </c>
      <c r="E719" s="24">
        <f>'Data_in-situ'!CE465</f>
        <v>-33366.666666666664</v>
      </c>
      <c r="F719" s="24">
        <f>'Data_in-situ'!CF465</f>
        <v>12421.378851336727</v>
      </c>
      <c r="G719" s="46">
        <f>'Data_in-situ'!CG465</f>
        <v>1</v>
      </c>
      <c r="H719" s="24">
        <f>'Data_in-situ'!CN465</f>
        <v>53753.333333333336</v>
      </c>
      <c r="I719" s="24">
        <f>'Data_in-situ'!CO465</f>
        <v>15460.926643325691</v>
      </c>
      <c r="J719" s="46">
        <f>'Data_in-situ'!CP465</f>
        <v>1</v>
      </c>
      <c r="K719" s="24">
        <f>'Data_in-situ'!CR465</f>
        <v>42936.666666666664</v>
      </c>
      <c r="L719" s="24">
        <f>'Data_in-situ'!CS465</f>
        <v>11266.202202016497</v>
      </c>
      <c r="M719" s="46">
        <f>'Data_in-situ'!CT465</f>
        <v>1</v>
      </c>
      <c r="N719" s="24">
        <f>'Data_in-situ'!DA407</f>
        <v>-774.06267220291306</v>
      </c>
      <c r="O719" s="24">
        <f>'Data_in-situ'!DB407</f>
        <v>326.74240251044733</v>
      </c>
      <c r="P719" s="46">
        <f>'Data_in-situ'!DC407</f>
        <v>4</v>
      </c>
      <c r="Q719" s="24">
        <f>'Data_in-situ'!DE407</f>
        <v>-1399.9605866010202</v>
      </c>
      <c r="R719" s="24">
        <f>'Data_in-situ'!DF407</f>
        <v>96.005553517597278</v>
      </c>
      <c r="S719" s="46">
        <f>'Data_in-situ'!DG407</f>
        <v>4</v>
      </c>
      <c r="AF719" s="113">
        <f>'Data_in-situ'!EN279</f>
        <v>3.0092879256965936</v>
      </c>
      <c r="AG719" s="113">
        <f>'Data_in-situ'!EO279</f>
        <v>0.8290793279171158</v>
      </c>
      <c r="AH719" s="110">
        <f>'Data_in-situ'!EP279</f>
        <v>5</v>
      </c>
      <c r="AI719" s="113">
        <f>'Data_in-situ'!ER279</f>
        <v>2.8111455108359125</v>
      </c>
      <c r="AJ719" s="113">
        <f>'Data_in-situ'!ES279</f>
        <v>0.80714422344061043</v>
      </c>
      <c r="AK719" s="110">
        <f>'Data_in-situ'!ET279</f>
        <v>5</v>
      </c>
    </row>
    <row r="720" spans="2:37" x14ac:dyDescent="0.3">
      <c r="B720" s="24">
        <f>'Data_in-situ'!CA466</f>
        <v>-51700</v>
      </c>
      <c r="C720" s="24">
        <f>'Data_in-situ'!CB466</f>
        <v>12605.000812256634</v>
      </c>
      <c r="D720" s="46">
        <f>'Data_in-situ'!CC466</f>
        <v>1</v>
      </c>
      <c r="E720" s="24">
        <f>'Data_in-situ'!CE466</f>
        <v>-15510</v>
      </c>
      <c r="F720" s="24">
        <f>'Data_in-situ'!CF466</f>
        <v>5773.8936858411389</v>
      </c>
      <c r="G720" s="46">
        <f>'Data_in-situ'!CG466</f>
        <v>1</v>
      </c>
      <c r="H720" s="24">
        <f>'Data_in-situ'!CN466</f>
        <v>39196.666666666664</v>
      </c>
      <c r="I720" s="24">
        <f>'Data_in-situ'!CO466</f>
        <v>11274.031774703384</v>
      </c>
      <c r="J720" s="46">
        <f>'Data_in-situ'!CP466</f>
        <v>1</v>
      </c>
      <c r="K720" s="24">
        <f>'Data_in-situ'!CR466</f>
        <v>35236.666666666664</v>
      </c>
      <c r="L720" s="24">
        <f>'Data_in-situ'!CS466</f>
        <v>9245.7901931151609</v>
      </c>
      <c r="M720" s="46">
        <f>'Data_in-situ'!CT466</f>
        <v>1</v>
      </c>
      <c r="N720" s="24">
        <f>'Data_in-situ'!DA408</f>
        <v>-401.69898954302357</v>
      </c>
      <c r="O720" s="24">
        <f>'Data_in-situ'!DB408</f>
        <v>32.172723320258399</v>
      </c>
      <c r="P720" s="46">
        <f>'Data_in-situ'!DC408</f>
        <v>4</v>
      </c>
      <c r="Q720" s="24">
        <f>'Data_in-situ'!DE408</f>
        <v>-352.51588580313341</v>
      </c>
      <c r="R720" s="24">
        <f>'Data_in-situ'!DF408</f>
        <v>429.43708601551509</v>
      </c>
      <c r="S720" s="46">
        <f>'Data_in-situ'!DG408</f>
        <v>4</v>
      </c>
      <c r="AF720" s="113">
        <f>'Data_in-situ'!EN333</f>
        <v>-1</v>
      </c>
      <c r="AG720" s="113">
        <f>'Data_in-situ'!EO333</f>
        <v>0.40749639875129334</v>
      </c>
      <c r="AH720" s="110">
        <f>'Data_in-situ'!EP333</f>
        <v>3</v>
      </c>
      <c r="AI720" s="113">
        <f>'Data_in-situ'!ER333</f>
        <v>-20</v>
      </c>
      <c r="AJ720" s="113">
        <f>'Data_in-situ'!ES333</f>
        <v>4.5362810701838834</v>
      </c>
      <c r="AK720" s="110">
        <f>'Data_in-situ'!ET333</f>
        <v>3</v>
      </c>
    </row>
    <row r="721" spans="2:37" x14ac:dyDescent="0.3">
      <c r="B721" s="24">
        <f>'Data_in-situ'!CA467</f>
        <v>-52030</v>
      </c>
      <c r="C721" s="24">
        <f>'Data_in-situ'!CB467</f>
        <v>12685.458264249761</v>
      </c>
      <c r="D721" s="46">
        <f>'Data_in-situ'!CC467</f>
        <v>1</v>
      </c>
      <c r="E721" s="24">
        <f>'Data_in-situ'!CE467</f>
        <v>-33366.666666666664</v>
      </c>
      <c r="F721" s="24">
        <f>'Data_in-situ'!CF467</f>
        <v>12421.378851336727</v>
      </c>
      <c r="G721" s="46">
        <f>'Data_in-situ'!CG467</f>
        <v>1</v>
      </c>
      <c r="H721" s="24">
        <f>'Data_in-situ'!CN467</f>
        <v>53753.333333333336</v>
      </c>
      <c r="I721" s="24">
        <f>'Data_in-situ'!CO467</f>
        <v>15460.926643325691</v>
      </c>
      <c r="J721" s="46">
        <f>'Data_in-situ'!CP467</f>
        <v>1</v>
      </c>
      <c r="K721" s="24">
        <f>'Data_in-situ'!CR467</f>
        <v>42936.666666666664</v>
      </c>
      <c r="L721" s="24">
        <f>'Data_in-situ'!CS467</f>
        <v>11266.202202016497</v>
      </c>
      <c r="M721" s="46">
        <f>'Data_in-situ'!CT467</f>
        <v>1</v>
      </c>
      <c r="N721" s="24">
        <f>'Data_in-situ'!DA412</f>
        <v>-1222.9909445995581</v>
      </c>
      <c r="O721" s="24">
        <f>'Data_in-situ'!DB412</f>
        <v>291.56979829815799</v>
      </c>
      <c r="P721" s="46">
        <f>'Data_in-situ'!DC412</f>
        <v>3</v>
      </c>
      <c r="Q721" s="24">
        <f>'Data_in-situ'!DE412</f>
        <v>953.91152591835998</v>
      </c>
      <c r="R721" s="24">
        <f>'Data_in-situ'!DF412</f>
        <v>1166.1567239388746</v>
      </c>
      <c r="S721" s="46">
        <f>'Data_in-situ'!DG412</f>
        <v>3</v>
      </c>
      <c r="AF721" s="113">
        <f>'Data_in-situ'!EN334</f>
        <v>-1</v>
      </c>
      <c r="AG721" s="113">
        <f>'Data_in-situ'!EO334</f>
        <v>0.40749639875129334</v>
      </c>
      <c r="AH721" s="110">
        <f>'Data_in-situ'!EP334</f>
        <v>3</v>
      </c>
      <c r="AI721" s="113">
        <f>'Data_in-situ'!ER334</f>
        <v>-20</v>
      </c>
      <c r="AJ721" s="113">
        <f>'Data_in-situ'!ES334</f>
        <v>4.5362810701838834</v>
      </c>
      <c r="AK721" s="110">
        <f>'Data_in-situ'!ET334</f>
        <v>3</v>
      </c>
    </row>
    <row r="722" spans="2:37" x14ac:dyDescent="0.3">
      <c r="N722" s="24">
        <f>'Data_in-situ'!DA413</f>
        <v>-1089.4376152325895</v>
      </c>
      <c r="O722" s="24">
        <f>'Data_in-situ'!DB413</f>
        <v>396.38137595921512</v>
      </c>
      <c r="P722" s="46">
        <f>'Data_in-situ'!DC413</f>
        <v>3</v>
      </c>
      <c r="Q722" s="24">
        <f>'Data_in-situ'!DE413</f>
        <v>518.32053666534375</v>
      </c>
      <c r="R722" s="24">
        <f>'Data_in-situ'!DF413</f>
        <v>639.04094931753639</v>
      </c>
      <c r="S722" s="46">
        <f>'Data_in-situ'!DG413</f>
        <v>3</v>
      </c>
      <c r="AF722" s="113">
        <f>'Data_in-situ'!EN335</f>
        <v>-1</v>
      </c>
      <c r="AG722" s="113">
        <f>'Data_in-situ'!EO335</f>
        <v>0.40749639875129334</v>
      </c>
      <c r="AH722" s="110">
        <f>'Data_in-situ'!EP335</f>
        <v>3</v>
      </c>
      <c r="AI722" s="113">
        <f>'Data_in-situ'!ER335</f>
        <v>-20</v>
      </c>
      <c r="AJ722" s="113">
        <f>'Data_in-situ'!ES335</f>
        <v>4.5362810701838834</v>
      </c>
      <c r="AK722" s="110">
        <f>'Data_in-situ'!ET335</f>
        <v>3</v>
      </c>
    </row>
    <row r="723" spans="2:37" x14ac:dyDescent="0.3">
      <c r="N723" s="24">
        <f>'Data_in-situ'!DA415</f>
        <v>-6415.3169641181039</v>
      </c>
      <c r="O723" s="24">
        <f>'Data_in-situ'!DB415</f>
        <v>6104.4403947098008</v>
      </c>
      <c r="P723" s="46">
        <f>'Data_in-situ'!DC415</f>
        <v>3</v>
      </c>
      <c r="Q723" s="24">
        <f>'Data_in-situ'!DE415</f>
        <v>1392.8418193801579</v>
      </c>
      <c r="R723" s="24">
        <f>'Data_in-situ'!DF415</f>
        <v>1342.1923247123252</v>
      </c>
      <c r="S723" s="46">
        <f>'Data_in-situ'!DG415</f>
        <v>3</v>
      </c>
      <c r="AF723" s="113">
        <f>'Data_in-situ'!EN336</f>
        <v>-1</v>
      </c>
      <c r="AG723" s="113">
        <f>'Data_in-situ'!EO336</f>
        <v>0.40749639875129334</v>
      </c>
      <c r="AH723" s="110">
        <f>'Data_in-situ'!EP336</f>
        <v>3</v>
      </c>
      <c r="AI723" s="113">
        <f>'Data_in-situ'!ER336</f>
        <v>-20</v>
      </c>
      <c r="AJ723" s="113">
        <f>'Data_in-situ'!ES336</f>
        <v>4.5362810701838834</v>
      </c>
      <c r="AK723" s="110">
        <f>'Data_in-situ'!ET336</f>
        <v>3</v>
      </c>
    </row>
    <row r="724" spans="2:37" x14ac:dyDescent="0.3">
      <c r="N724" s="24">
        <f>'Data_in-situ'!DA462</f>
        <v>-12503.333333333336</v>
      </c>
      <c r="O724" s="24">
        <f>'Data_in-situ'!DB462</f>
        <v>37505.705838773269</v>
      </c>
      <c r="P724" s="46">
        <f>'Data_in-situ'!DC462</f>
        <v>1</v>
      </c>
      <c r="Q724" s="24">
        <f>'Data_in-situ'!DE462</f>
        <v>19726.666666666664</v>
      </c>
      <c r="R724" s="24">
        <f>'Data_in-situ'!DF462</f>
        <v>18802.330188886517</v>
      </c>
      <c r="S724" s="46">
        <f>'Data_in-situ'!DG462</f>
        <v>1</v>
      </c>
      <c r="AF724" s="113">
        <f>'Data_in-situ'!EN337</f>
        <v>-1</v>
      </c>
      <c r="AG724" s="113">
        <f>'Data_in-situ'!EO337</f>
        <v>0.40749639875129334</v>
      </c>
      <c r="AH724" s="110">
        <f>'Data_in-situ'!EP337</f>
        <v>3</v>
      </c>
      <c r="AI724" s="113">
        <f>'Data_in-situ'!ER337</f>
        <v>-20</v>
      </c>
      <c r="AJ724" s="113">
        <f>'Data_in-situ'!ES337</f>
        <v>4.5362810701838834</v>
      </c>
      <c r="AK724" s="110">
        <f>'Data_in-situ'!ET337</f>
        <v>3</v>
      </c>
    </row>
    <row r="725" spans="2:37" x14ac:dyDescent="0.3">
      <c r="N725" s="24">
        <f>'Data_in-situ'!DA463</f>
        <v>1723.3333333333358</v>
      </c>
      <c r="O725" s="24">
        <f>'Data_in-situ'!DB463</f>
        <v>5169.4081361359113</v>
      </c>
      <c r="P725" s="46">
        <f>'Data_in-situ'!DC463</f>
        <v>1</v>
      </c>
      <c r="Q725" s="24">
        <f>'Data_in-situ'!DE463</f>
        <v>9570</v>
      </c>
      <c r="R725" s="24">
        <f>'Data_in-situ'!DF463</f>
        <v>9121.5765414486632</v>
      </c>
      <c r="S725" s="46">
        <f>'Data_in-situ'!DG463</f>
        <v>1</v>
      </c>
      <c r="AF725" s="113">
        <f>'Data_in-situ'!EN338</f>
        <v>-1</v>
      </c>
      <c r="AG725" s="113">
        <f>'Data_in-situ'!EO338</f>
        <v>0.40749639875129334</v>
      </c>
      <c r="AH725" s="110">
        <f>'Data_in-situ'!EP338</f>
        <v>3</v>
      </c>
      <c r="AI725" s="113">
        <f>'Data_in-situ'!ER338</f>
        <v>-20</v>
      </c>
      <c r="AJ725" s="113">
        <f>'Data_in-situ'!ES338</f>
        <v>4.5362810701838834</v>
      </c>
      <c r="AK725" s="110">
        <f>'Data_in-situ'!ET338</f>
        <v>3</v>
      </c>
    </row>
    <row r="726" spans="2:37" x14ac:dyDescent="0.3">
      <c r="N726" s="24">
        <f>'Data_in-situ'!DA464</f>
        <v>-12503.333333333336</v>
      </c>
      <c r="O726" s="24">
        <f>'Data_in-situ'!DB464</f>
        <v>37505.705838773269</v>
      </c>
      <c r="P726" s="46">
        <f>'Data_in-situ'!DC464</f>
        <v>1</v>
      </c>
      <c r="Q726" s="24">
        <f>'Data_in-situ'!DE464</f>
        <v>19726.666666666664</v>
      </c>
      <c r="R726" s="24">
        <f>'Data_in-situ'!DF464</f>
        <v>18802.330188886517</v>
      </c>
      <c r="S726" s="46">
        <f>'Data_in-situ'!DG464</f>
        <v>1</v>
      </c>
      <c r="AF726" s="113">
        <f>'Data_in-situ'!EN339</f>
        <v>-18.728744939271266</v>
      </c>
      <c r="AG726" s="113">
        <f>'Data_in-situ'!EO339</f>
        <v>0.97567994313706652</v>
      </c>
      <c r="AH726" s="110">
        <f>'Data_in-situ'!EP339</f>
        <v>3</v>
      </c>
      <c r="AI726" s="113">
        <f>'Data_in-situ'!ER339</f>
        <v>-28.769509981851183</v>
      </c>
      <c r="AJ726" s="113">
        <f>'Data_in-situ'!ES339</f>
        <v>0.91964006572007306</v>
      </c>
      <c r="AK726" s="110">
        <f>'Data_in-situ'!ET339</f>
        <v>3</v>
      </c>
    </row>
    <row r="727" spans="2:37" x14ac:dyDescent="0.3">
      <c r="N727" s="24">
        <f>'Data_in-situ'!DA465</f>
        <v>1723.3333333333358</v>
      </c>
      <c r="O727" s="24">
        <f>'Data_in-situ'!DB465</f>
        <v>5169.4081361359113</v>
      </c>
      <c r="P727" s="46">
        <f>'Data_in-situ'!DC465</f>
        <v>1</v>
      </c>
      <c r="Q727" s="24">
        <f>'Data_in-situ'!DE465</f>
        <v>9570</v>
      </c>
      <c r="R727" s="24">
        <f>'Data_in-situ'!DF465</f>
        <v>9121.5765414486632</v>
      </c>
      <c r="S727" s="46">
        <f>'Data_in-situ'!DG465</f>
        <v>1</v>
      </c>
      <c r="AF727" s="113">
        <f>'Data_in-situ'!EN340</f>
        <v>-15.910685805422641</v>
      </c>
      <c r="AG727" s="113">
        <f>'Data_in-situ'!EO340</f>
        <v>1.0227837765091556</v>
      </c>
      <c r="AH727" s="110">
        <f>'Data_in-situ'!EP340</f>
        <v>3</v>
      </c>
      <c r="AI727" s="113">
        <f>'Data_in-situ'!ER340</f>
        <v>-23.453947368421044</v>
      </c>
      <c r="AJ727" s="113">
        <f>'Data_in-situ'!ES340</f>
        <v>1.196189530474022</v>
      </c>
      <c r="AK727" s="110">
        <f>'Data_in-situ'!ET340</f>
        <v>3</v>
      </c>
    </row>
    <row r="728" spans="2:37" x14ac:dyDescent="0.3">
      <c r="N728" s="24">
        <f>'Data_in-situ'!DA466</f>
        <v>-12503.333333333336</v>
      </c>
      <c r="O728" s="24">
        <f>'Data_in-situ'!DB466</f>
        <v>37505.705838773269</v>
      </c>
      <c r="P728" s="46">
        <f>'Data_in-situ'!DC466</f>
        <v>1</v>
      </c>
      <c r="Q728" s="24">
        <f>'Data_in-situ'!DE466</f>
        <v>19726.666666666664</v>
      </c>
      <c r="R728" s="24">
        <f>'Data_in-situ'!DF466</f>
        <v>18802.330188886517</v>
      </c>
      <c r="S728" s="46">
        <f>'Data_in-situ'!DG466</f>
        <v>1</v>
      </c>
      <c r="AF728" s="113">
        <f>'Data_in-situ'!EN341</f>
        <v>-11.595789473684208</v>
      </c>
      <c r="AG728" s="113">
        <f>'Data_in-situ'!EO341</f>
        <v>0.44954804430300416</v>
      </c>
      <c r="AH728" s="110">
        <f>'Data_in-situ'!EP341</f>
        <v>3</v>
      </c>
      <c r="AI728" s="113">
        <f>'Data_in-situ'!ER341</f>
        <v>-23.208711433756811</v>
      </c>
      <c r="AJ728" s="113">
        <f>'Data_in-situ'!ES341</f>
        <v>0.78101283680717748</v>
      </c>
      <c r="AK728" s="110">
        <f>'Data_in-situ'!ET341</f>
        <v>3</v>
      </c>
    </row>
    <row r="729" spans="2:37" x14ac:dyDescent="0.3">
      <c r="N729" s="24">
        <f>'Data_in-situ'!DA467</f>
        <v>1723.3333333333358</v>
      </c>
      <c r="O729" s="24">
        <f>'Data_in-situ'!DB467</f>
        <v>5169.4081361359113</v>
      </c>
      <c r="P729" s="46">
        <f>'Data_in-situ'!DC467</f>
        <v>1</v>
      </c>
      <c r="Q729" s="24">
        <f>'Data_in-situ'!DE467</f>
        <v>9570</v>
      </c>
      <c r="R729" s="24">
        <f>'Data_in-situ'!DF467</f>
        <v>9121.5765414486632</v>
      </c>
      <c r="S729" s="46">
        <f>'Data_in-situ'!DG467</f>
        <v>1</v>
      </c>
      <c r="AF729" s="113">
        <f>'Data_in-situ'!EN342</f>
        <v>-11.142300194931776</v>
      </c>
      <c r="AG729" s="113">
        <f>'Data_in-situ'!EO342</f>
        <v>0.60135887201815885</v>
      </c>
      <c r="AH729" s="110">
        <f>'Data_in-situ'!EP342</f>
        <v>3</v>
      </c>
      <c r="AI729" s="113">
        <f>'Data_in-situ'!ER342</f>
        <v>-18.027290448343074</v>
      </c>
      <c r="AJ729" s="113">
        <f>'Data_in-situ'!ES342</f>
        <v>0.60993017965284302</v>
      </c>
      <c r="AK729" s="110">
        <f>'Data_in-situ'!ET342</f>
        <v>3</v>
      </c>
    </row>
    <row r="730" spans="2:37" x14ac:dyDescent="0.3">
      <c r="AF730" s="113">
        <f>'Data_in-situ'!EN343</f>
        <v>-7.5049786628733965</v>
      </c>
      <c r="AG730" s="113">
        <f>'Data_in-situ'!EO343</f>
        <v>0.56147558903179429</v>
      </c>
      <c r="AH730" s="110">
        <f>'Data_in-situ'!EP343</f>
        <v>3</v>
      </c>
      <c r="AI730" s="113">
        <f>'Data_in-situ'!ER343</f>
        <v>-14.886247877758912</v>
      </c>
      <c r="AJ730" s="113">
        <f>'Data_in-situ'!ES343</f>
        <v>0.59475310250266267</v>
      </c>
      <c r="AK730" s="110">
        <f>'Data_in-situ'!ET343</f>
        <v>3</v>
      </c>
    </row>
    <row r="731" spans="2:37" x14ac:dyDescent="0.3">
      <c r="AF731" s="113">
        <f>'Data_in-situ'!EN344</f>
        <v>-5.9727095516569193</v>
      </c>
      <c r="AG731" s="113">
        <f>'Data_in-situ'!EO344</f>
        <v>0.38993551592449915</v>
      </c>
      <c r="AH731" s="110">
        <f>'Data_in-situ'!EP344</f>
        <v>3</v>
      </c>
      <c r="AI731" s="113">
        <f>'Data_in-situ'!ER344</f>
        <v>-14.607809847198643</v>
      </c>
      <c r="AJ731" s="113">
        <f>'Data_in-situ'!ES344</f>
        <v>0.44735902456710497</v>
      </c>
      <c r="AK731" s="110">
        <f>'Data_in-situ'!ET344</f>
        <v>3</v>
      </c>
    </row>
    <row r="732" spans="2:37" x14ac:dyDescent="0.3">
      <c r="AF732" s="113">
        <f>'Data_in-situ'!EN345</f>
        <v>9.6094276094276143</v>
      </c>
      <c r="AG732" s="113">
        <f>'Data_in-situ'!EO345</f>
        <v>0.82472710313952347</v>
      </c>
      <c r="AH732" s="110">
        <f>'Data_in-situ'!EP345</f>
        <v>3</v>
      </c>
      <c r="AI732" s="113">
        <f>'Data_in-situ'!ER345</f>
        <v>0.24242424242424274</v>
      </c>
      <c r="AJ732" s="113">
        <f>'Data_in-situ'!ES345</f>
        <v>0.32506616373647801</v>
      </c>
      <c r="AK732" s="110">
        <f>'Data_in-situ'!ET345</f>
        <v>3</v>
      </c>
    </row>
    <row r="733" spans="2:37" x14ac:dyDescent="0.3">
      <c r="AF733" s="113">
        <f>'Data_in-situ'!EN346</f>
        <v>10.734402852049913</v>
      </c>
      <c r="AG733" s="113">
        <f>'Data_in-situ'!EO346</f>
        <v>0.89907795198284091</v>
      </c>
      <c r="AH733" s="110">
        <f>'Data_in-situ'!EP346</f>
        <v>3</v>
      </c>
      <c r="AI733" s="113">
        <f>'Data_in-situ'!ER346</f>
        <v>1.4153297682709467</v>
      </c>
      <c r="AJ733" s="113">
        <f>'Data_in-situ'!ES346</f>
        <v>0.51951553041500198</v>
      </c>
      <c r="AK733" s="110">
        <f>'Data_in-situ'!ET346</f>
        <v>3</v>
      </c>
    </row>
    <row r="734" spans="2:37" x14ac:dyDescent="0.3">
      <c r="AF734" s="113">
        <f>'Data_in-situ'!EN347</f>
        <v>21.878787878787879</v>
      </c>
      <c r="AG734" s="113">
        <f>'Data_in-situ'!EO347</f>
        <v>1.1081772383933699</v>
      </c>
      <c r="AH734" s="110">
        <f>'Data_in-situ'!EP347</f>
        <v>3</v>
      </c>
      <c r="AI734" s="113">
        <f>'Data_in-situ'!ER347</f>
        <v>0.76837548416496004</v>
      </c>
      <c r="AJ734" s="113">
        <f>'Data_in-situ'!ES347</f>
        <v>1.2709978400329951</v>
      </c>
      <c r="AK734" s="110">
        <f>'Data_in-situ'!ET347</f>
        <v>3</v>
      </c>
    </row>
    <row r="735" spans="2:37" x14ac:dyDescent="0.3">
      <c r="AF735" s="113">
        <f>'Data_in-situ'!EN348</f>
        <v>-17.5</v>
      </c>
      <c r="AG735" s="113">
        <f>'Data_in-situ'!EO348</f>
        <v>4.9497474683058327</v>
      </c>
      <c r="AH735" s="110">
        <f>'Data_in-situ'!EP348</f>
        <v>4</v>
      </c>
      <c r="AI735" s="113">
        <f>'Data_in-situ'!ER348</f>
        <v>-34</v>
      </c>
      <c r="AJ735" s="113">
        <f>'Data_in-situ'!ES348</f>
        <v>11.313708498984761</v>
      </c>
      <c r="AK735" s="110">
        <f>'Data_in-situ'!ET348</f>
        <v>4</v>
      </c>
    </row>
    <row r="736" spans="2:37" x14ac:dyDescent="0.3">
      <c r="AF736" s="113">
        <f>'Data_in-situ'!EN349</f>
        <v>-10</v>
      </c>
      <c r="AG736" s="113">
        <f>'Data_in-situ'!EO349</f>
        <v>5.6568542494923806</v>
      </c>
      <c r="AH736" s="110">
        <f>'Data_in-situ'!EP349</f>
        <v>4</v>
      </c>
      <c r="AI736" s="113">
        <f>'Data_in-situ'!ER349</f>
        <v>-16.5</v>
      </c>
      <c r="AJ736" s="113">
        <f>'Data_in-situ'!ES349</f>
        <v>3.5355339059327378</v>
      </c>
      <c r="AK736" s="110">
        <f>'Data_in-situ'!ET349</f>
        <v>4</v>
      </c>
    </row>
    <row r="737" spans="1:37" x14ac:dyDescent="0.3">
      <c r="AF737" s="113">
        <f>'Data_in-situ'!EN350</f>
        <v>10</v>
      </c>
      <c r="AG737" s="113">
        <f>'Data_in-situ'!EO350</f>
        <v>14.142135623730951</v>
      </c>
      <c r="AH737" s="110">
        <f>'Data_in-situ'!EP350</f>
        <v>4</v>
      </c>
      <c r="AI737" s="113">
        <f>'Data_in-situ'!ER350</f>
        <v>-8</v>
      </c>
      <c r="AJ737" s="113">
        <f>'Data_in-situ'!ES350</f>
        <v>2.8284271247461903</v>
      </c>
      <c r="AK737" s="110">
        <f>'Data_in-situ'!ET350</f>
        <v>4</v>
      </c>
    </row>
    <row r="738" spans="1:37" x14ac:dyDescent="0.3">
      <c r="AF738" s="113">
        <f>'Data_in-situ'!EN351</f>
        <v>-17.5</v>
      </c>
      <c r="AG738" s="113">
        <f>'Data_in-situ'!EO351</f>
        <v>4.9497474683058327</v>
      </c>
      <c r="AH738" s="110">
        <f>'Data_in-situ'!EP351</f>
        <v>4</v>
      </c>
      <c r="AI738" s="113">
        <f>'Data_in-situ'!ER351</f>
        <v>-34</v>
      </c>
      <c r="AJ738" s="113">
        <f>'Data_in-situ'!ES351</f>
        <v>11.313708498984761</v>
      </c>
      <c r="AK738" s="110">
        <f>'Data_in-situ'!ET351</f>
        <v>4</v>
      </c>
    </row>
    <row r="739" spans="1:37" x14ac:dyDescent="0.3">
      <c r="AF739" s="113">
        <f>'Data_in-situ'!EN352</f>
        <v>-10</v>
      </c>
      <c r="AG739" s="113">
        <f>'Data_in-situ'!EO352</f>
        <v>5.6568542494923806</v>
      </c>
      <c r="AH739" s="110">
        <f>'Data_in-situ'!EP352</f>
        <v>4</v>
      </c>
      <c r="AI739" s="113">
        <f>'Data_in-situ'!ER352</f>
        <v>-16.5</v>
      </c>
      <c r="AJ739" s="113">
        <f>'Data_in-situ'!ES352</f>
        <v>3.5355339059327378</v>
      </c>
      <c r="AK739" s="110">
        <f>'Data_in-situ'!ET352</f>
        <v>4</v>
      </c>
    </row>
    <row r="740" spans="1:37" x14ac:dyDescent="0.3">
      <c r="AF740" s="113">
        <f>'Data_in-situ'!EN353</f>
        <v>10</v>
      </c>
      <c r="AG740" s="113">
        <f>'Data_in-situ'!EO353</f>
        <v>14.142135623730951</v>
      </c>
      <c r="AH740" s="110">
        <f>'Data_in-situ'!EP353</f>
        <v>4</v>
      </c>
      <c r="AI740" s="113">
        <f>'Data_in-situ'!ER353</f>
        <v>-8</v>
      </c>
      <c r="AJ740" s="113">
        <f>'Data_in-situ'!ES353</f>
        <v>2.8284271247461903</v>
      </c>
      <c r="AK740" s="110">
        <f>'Data_in-situ'!ET353</f>
        <v>4</v>
      </c>
    </row>
    <row r="741" spans="1:37" x14ac:dyDescent="0.3">
      <c r="AF741" s="113">
        <f>'Data_in-situ'!EN360</f>
        <v>0</v>
      </c>
      <c r="AG741" s="113">
        <f>'Data_in-situ'!EO360</f>
        <v>0</v>
      </c>
      <c r="AH741" s="110">
        <f>'Data_in-situ'!EP360</f>
        <v>8</v>
      </c>
      <c r="AI741" s="113">
        <f>'Data_in-situ'!ER360</f>
        <v>-20</v>
      </c>
      <c r="AJ741" s="113">
        <f>'Data_in-situ'!ES360</f>
        <v>4.5362810701838834</v>
      </c>
      <c r="AK741" s="110">
        <f>'Data_in-situ'!ET360</f>
        <v>8</v>
      </c>
    </row>
    <row r="742" spans="1:37" x14ac:dyDescent="0.3">
      <c r="AF742" s="113">
        <f>'Data_in-situ'!EN400</f>
        <v>8.6888471563287055</v>
      </c>
      <c r="AG742" s="113">
        <f>'Data_in-situ'!EO400</f>
        <v>0.9459684366413168</v>
      </c>
      <c r="AH742" s="110">
        <f>'Data_in-situ'!EP400</f>
        <v>8</v>
      </c>
      <c r="AI742" s="113">
        <f>'Data_in-situ'!ER400</f>
        <v>-10.544207227786568</v>
      </c>
      <c r="AJ742" s="113">
        <f>'Data_in-situ'!ES400</f>
        <v>3.1095266572641616</v>
      </c>
      <c r="AK742" s="110">
        <f>'Data_in-situ'!ET400</f>
        <v>8</v>
      </c>
    </row>
    <row r="743" spans="1:37" x14ac:dyDescent="0.3">
      <c r="AF743" s="113">
        <f>'Data_in-situ'!EN412</f>
        <v>-8.1</v>
      </c>
      <c r="AG743" s="113">
        <f>'Data_in-situ'!EO412</f>
        <v>1.2</v>
      </c>
      <c r="AH743" s="110">
        <f>'Data_in-situ'!EP412</f>
        <v>3</v>
      </c>
      <c r="AI743" s="113">
        <f>'Data_in-situ'!ER412</f>
        <v>-13.1</v>
      </c>
      <c r="AJ743" s="113">
        <f>'Data_in-situ'!ES412</f>
        <v>0.8</v>
      </c>
      <c r="AK743" s="110">
        <f>'Data_in-situ'!ET412</f>
        <v>3</v>
      </c>
    </row>
    <row r="744" spans="1:37" x14ac:dyDescent="0.3">
      <c r="AF744" s="113">
        <f>'Data_in-situ'!EN413</f>
        <v>-20.399999999999999</v>
      </c>
      <c r="AG744" s="113">
        <f>'Data_in-situ'!EO413</f>
        <v>2.2999999999999998</v>
      </c>
      <c r="AH744" s="110">
        <f>'Data_in-situ'!EP413</f>
        <v>3</v>
      </c>
      <c r="AI744" s="113">
        <f>'Data_in-situ'!ER413</f>
        <v>-28.4</v>
      </c>
      <c r="AJ744" s="113">
        <f>'Data_in-situ'!ES413</f>
        <v>3.2</v>
      </c>
      <c r="AK744" s="110">
        <f>'Data_in-situ'!ET413</f>
        <v>3</v>
      </c>
    </row>
    <row r="745" spans="1:37" x14ac:dyDescent="0.3">
      <c r="AF745" s="113">
        <f>'Data_in-situ'!EN415</f>
        <v>-15.24193548387095</v>
      </c>
      <c r="AG745" s="113">
        <f>'Data_in-situ'!EO415</f>
        <v>0.79834636585576813</v>
      </c>
      <c r="AH745" s="110">
        <f>'Data_in-situ'!EP415</f>
        <v>3</v>
      </c>
      <c r="AI745" s="113">
        <f>'Data_in-situ'!ER415</f>
        <v>-86.747311827956878</v>
      </c>
      <c r="AJ745" s="113">
        <f>'Data_in-situ'!ES415</f>
        <v>35.741792340849045</v>
      </c>
      <c r="AK745" s="110">
        <f>'Data_in-situ'!ET415</f>
        <v>3</v>
      </c>
    </row>
    <row r="747" spans="1:37" x14ac:dyDescent="0.3">
      <c r="A747" s="110" t="s">
        <v>831</v>
      </c>
      <c r="B747" s="24">
        <f>AVERAGEA(B658:B745)</f>
        <v>-12674.318800012286</v>
      </c>
      <c r="C747" s="24">
        <f>STDEVA(B658:B745)/SQRT(COUNT(B658:B745))</f>
        <v>1821.5562365492378</v>
      </c>
      <c r="D747" s="46">
        <f>COUNT(B658:B745)</f>
        <v>64</v>
      </c>
      <c r="E747" s="24">
        <f>AVERAGEA(E658:E745)</f>
        <v>-8581.3918627192088</v>
      </c>
      <c r="F747" s="24">
        <f>STDEVA(E658:E745)/SQRT(COUNT(E658:E745))</f>
        <v>1061.1245187988773</v>
      </c>
      <c r="G747" s="46">
        <f>COUNT(E658:E745)</f>
        <v>64</v>
      </c>
      <c r="H747" s="24">
        <f>AVERAGEA(H658:H745)</f>
        <v>12278.774942162623</v>
      </c>
      <c r="I747" s="24">
        <f>STDEVA(H658:H745)/SQRT(COUNT(H658:H745))</f>
        <v>1582.670269020625</v>
      </c>
      <c r="J747" s="46">
        <f>COUNT(H658:H745)</f>
        <v>64</v>
      </c>
      <c r="K747" s="24">
        <f>AVERAGEA(K658:K745)</f>
        <v>13902.996755289058</v>
      </c>
      <c r="L747" s="24">
        <f>STDEVA(K658:K745)/SQRT(COUNT(K658:K745))</f>
        <v>1386.7963004172427</v>
      </c>
      <c r="M747" s="46">
        <f>COUNT(K658:K745)</f>
        <v>64</v>
      </c>
      <c r="N747" s="24">
        <f>AVERAGEA(N658:N745)</f>
        <v>-572.4272116131383</v>
      </c>
      <c r="O747" s="24">
        <f>STDEVA(N658:N745)/SQRT(COUNT(N658:N745))</f>
        <v>497.25776708608532</v>
      </c>
      <c r="P747" s="46">
        <f>COUNT(N658:N745)</f>
        <v>72</v>
      </c>
      <c r="Q747" s="24">
        <f>AVERAGEA(Q658:Q745)</f>
        <v>4840.2587273267582</v>
      </c>
      <c r="R747" s="24">
        <f>STDEVA(Q658:Q745)/SQRT(COUNT(Q658:Q745))</f>
        <v>867.46987340551914</v>
      </c>
      <c r="S747" s="46">
        <f>COUNT(Q658:Q745)</f>
        <v>72</v>
      </c>
      <c r="T747" s="113">
        <f>AVERAGEA(T658:T745)</f>
        <v>184.49668762704269</v>
      </c>
      <c r="U747" s="113">
        <f>STDEVA(T658:T745)/SQRT(COUNT(T658:T745))</f>
        <v>37.554871628220859</v>
      </c>
      <c r="V747" s="46">
        <f>COUNT(T658:T745)</f>
        <v>58</v>
      </c>
      <c r="W747" s="113">
        <f>AVERAGEA(W658:W745)</f>
        <v>84.610143992107908</v>
      </c>
      <c r="X747" s="113">
        <f>STDEVA(W658:W745)/SQRT(COUNT(W658:W745))</f>
        <v>24.96847223173905</v>
      </c>
      <c r="Y747" s="46">
        <f>COUNT(W658:W745)</f>
        <v>58</v>
      </c>
      <c r="Z747" s="113">
        <f>AVERAGEA(Z658:Z745)</f>
        <v>9.09666706822954E-2</v>
      </c>
      <c r="AA747" s="113">
        <f>STDEVA(Z658:Z745)/SQRT(COUNT(Z658:Z745))</f>
        <v>3.2196375071030001E-2</v>
      </c>
      <c r="AB747" s="46">
        <f>COUNT(Z658:Z745)</f>
        <v>2</v>
      </c>
      <c r="AC747" s="113">
        <f>AVERAGEA(AC658:AC745)</f>
        <v>0.22199023889446012</v>
      </c>
      <c r="AD747" s="113">
        <f>STDEVA(AC658:AC745)/SQRT(COUNT(AC658:AC745))</f>
        <v>0.15215685466359521</v>
      </c>
      <c r="AE747" s="46">
        <f>COUNT(AC658:AC745)</f>
        <v>2</v>
      </c>
      <c r="AF747" s="113">
        <f>AVERAGEA(AF658:AF745)</f>
        <v>-24.561477744125799</v>
      </c>
      <c r="AG747" s="113">
        <f>STDEVA(AF658:AF745)/SQRT(COUNT(AF658:AF745))</f>
        <v>2.3032032107398219</v>
      </c>
      <c r="AH747" s="110">
        <f>COUNT(AF658:AF745)</f>
        <v>88</v>
      </c>
      <c r="AI747" s="113">
        <f>AVERAGEA(AI658:AI745)</f>
        <v>-57.601796633326174</v>
      </c>
      <c r="AJ747" s="113">
        <f>STDEVA(AI658:AI745)/SQRT(COUNT(AI658:AI745))</f>
        <v>4.8916321660500657</v>
      </c>
      <c r="AK747" s="110">
        <f>COUNT(AI658:AI745)</f>
        <v>88</v>
      </c>
    </row>
    <row r="749" spans="1:37" ht="15.6" x14ac:dyDescent="0.3">
      <c r="A749" s="11" t="s">
        <v>1000</v>
      </c>
      <c r="B749" s="24">
        <f>'Data_in-situ'!CA128</f>
        <v>-30804.409295502097</v>
      </c>
      <c r="C749" s="24">
        <f>'Data_in-situ'!CB128</f>
        <v>7508.6897887327168</v>
      </c>
      <c r="D749" s="46">
        <f>'Data_in-situ'!CC128</f>
        <v>48</v>
      </c>
      <c r="E749" s="24">
        <f>'Data_in-situ'!CE128</f>
        <v>-23917.078756679508</v>
      </c>
      <c r="F749" s="24">
        <f>'Data_in-situ'!CF128</f>
        <v>4465.2242350151555</v>
      </c>
      <c r="G749" s="46">
        <f>'Data_in-situ'!CG128</f>
        <v>48</v>
      </c>
      <c r="H749" s="24">
        <f>'Data_in-situ'!CN128</f>
        <v>25786.496613792402</v>
      </c>
      <c r="I749" s="24">
        <f>'Data_in-situ'!CO128</f>
        <v>7450.7457504082913</v>
      </c>
      <c r="J749" s="46">
        <f>'Data_in-situ'!CP128</f>
        <v>48</v>
      </c>
      <c r="K749" s="24">
        <f>'Data_in-situ'!CR128</f>
        <v>19674.213717161841</v>
      </c>
      <c r="L749" s="24">
        <f>'Data_in-situ'!CS128</f>
        <v>4051.362841738935</v>
      </c>
      <c r="M749" s="46">
        <f>'Data_in-situ'!CT128</f>
        <v>48</v>
      </c>
      <c r="N749" s="24">
        <f>'Data_in-situ'!DA128</f>
        <v>-5017.9126817096931</v>
      </c>
      <c r="O749" s="24">
        <f>'Data_in-situ'!DB128</f>
        <v>931.02637244697166</v>
      </c>
      <c r="P749" s="46">
        <f>'Data_in-situ'!DC128</f>
        <v>48</v>
      </c>
      <c r="Q749" s="24">
        <f>'Data_in-situ'!DE128</f>
        <v>-4242.8650395176674</v>
      </c>
      <c r="R749" s="24">
        <f>'Data_in-situ'!DF128</f>
        <v>1877.4148698526124</v>
      </c>
      <c r="S749" s="46">
        <f>'Data_in-situ'!DG128</f>
        <v>48</v>
      </c>
      <c r="T749" s="113">
        <f>'Data_in-situ'!DN17</f>
        <v>60.942159705621961</v>
      </c>
      <c r="U749" s="113">
        <f>'Data_in-situ'!DO17</f>
        <v>16.400357502575496</v>
      </c>
      <c r="V749" s="46">
        <f>'Data_in-situ'!DP17</f>
        <v>12</v>
      </c>
      <c r="W749" s="113">
        <f>'Data_in-situ'!DR17</f>
        <v>31.035112032198569</v>
      </c>
      <c r="X749" s="113">
        <f>'Data_in-situ'!DS17</f>
        <v>65.358501102872523</v>
      </c>
      <c r="Y749" s="46">
        <f>'Data_in-situ'!DT17</f>
        <v>12</v>
      </c>
      <c r="Z749" s="113">
        <f>'Data_in-situ'!EA33</f>
        <v>0.3</v>
      </c>
      <c r="AA749" s="113">
        <f>'Data_in-situ'!EB33</f>
        <v>0.35</v>
      </c>
      <c r="AB749" s="46">
        <f>'Data_in-situ'!EC33</f>
        <v>6</v>
      </c>
      <c r="AC749" s="113">
        <f>'Data_in-situ'!EE33</f>
        <v>3</v>
      </c>
      <c r="AD749" s="113">
        <f>'Data_in-situ'!EF33</f>
        <v>0.95</v>
      </c>
      <c r="AE749" s="46">
        <f>'Data_in-situ'!EG33</f>
        <v>6</v>
      </c>
      <c r="AF749" s="113">
        <f>'Data_in-situ'!EN17</f>
        <v>-31.375000000000004</v>
      </c>
      <c r="AG749" s="113">
        <f>'Data_in-situ'!EO17</f>
        <v>10.767974391685748</v>
      </c>
      <c r="AH749" s="110">
        <f>'Data_in-situ'!EP17</f>
        <v>4</v>
      </c>
      <c r="AI749" s="113">
        <f>'Data_in-situ'!ER17</f>
        <v>-57.38</v>
      </c>
      <c r="AJ749" s="113">
        <f>'Data_in-situ'!ES17</f>
        <v>9.4499999999999993</v>
      </c>
      <c r="AK749" s="110">
        <f>'Data_in-situ'!ET17</f>
        <v>4</v>
      </c>
    </row>
    <row r="750" spans="1:37" x14ac:dyDescent="0.3">
      <c r="B750" s="24">
        <f>'Data_in-situ'!CA129</f>
        <v>-30804.409295502097</v>
      </c>
      <c r="C750" s="24">
        <f>'Data_in-situ'!CB129</f>
        <v>7508.6897887327168</v>
      </c>
      <c r="D750" s="46">
        <f>'Data_in-situ'!CC129</f>
        <v>48</v>
      </c>
      <c r="E750" s="24">
        <f>'Data_in-situ'!CE129</f>
        <v>-22424.619825270362</v>
      </c>
      <c r="F750" s="24">
        <f>'Data_in-situ'!CF129</f>
        <v>7078.0868325420652</v>
      </c>
      <c r="G750" s="46">
        <f>'Data_in-situ'!CG129</f>
        <v>48</v>
      </c>
      <c r="H750" s="24">
        <f>'Data_in-situ'!CN129</f>
        <v>25786.496613792402</v>
      </c>
      <c r="I750" s="24">
        <f>'Data_in-situ'!CO129</f>
        <v>7450.7457504082913</v>
      </c>
      <c r="J750" s="46">
        <f>'Data_in-situ'!CP129</f>
        <v>48</v>
      </c>
      <c r="K750" s="24">
        <f>'Data_in-situ'!CR129</f>
        <v>34101.631064272638</v>
      </c>
      <c r="L750" s="24">
        <f>'Data_in-situ'!CS129</f>
        <v>6764.0540443406962</v>
      </c>
      <c r="M750" s="46">
        <f>'Data_in-situ'!CT129</f>
        <v>48</v>
      </c>
      <c r="N750" s="24">
        <f>'Data_in-situ'!DA129</f>
        <v>-5017.9126817096931</v>
      </c>
      <c r="O750" s="24">
        <f>'Data_in-situ'!DB129</f>
        <v>931.02637244697166</v>
      </c>
      <c r="P750" s="46">
        <f>'Data_in-situ'!DC129</f>
        <v>48</v>
      </c>
      <c r="Q750" s="24">
        <f>'Data_in-situ'!DE129</f>
        <v>11677.011239002279</v>
      </c>
      <c r="R750" s="24">
        <f>'Data_in-situ'!DF129</f>
        <v>2084.9187260523231</v>
      </c>
      <c r="S750" s="46">
        <f>'Data_in-situ'!DG129</f>
        <v>48</v>
      </c>
      <c r="T750" s="113">
        <f>'Data_in-situ'!DN18</f>
        <v>76.598647152414557</v>
      </c>
      <c r="U750" s="113">
        <f>'Data_in-situ'!DO18</f>
        <v>97.385019539931207</v>
      </c>
      <c r="V750" s="46">
        <f>'Data_in-situ'!DP18</f>
        <v>3</v>
      </c>
      <c r="W750" s="113">
        <f>'Data_in-situ'!DR18</f>
        <v>1.2881413805511519</v>
      </c>
      <c r="X750" s="113">
        <f>'Data_in-situ'!DS18</f>
        <v>5.0439358355151063</v>
      </c>
      <c r="Y750" s="46">
        <f>'Data_in-situ'!DT18</f>
        <v>3</v>
      </c>
      <c r="Z750" s="113">
        <f>'Data_in-situ'!EA84</f>
        <v>-0.10183500000000001</v>
      </c>
      <c r="AA750" s="113">
        <f>'Data_in-situ'!EB84</f>
        <v>6.3291E-2</v>
      </c>
      <c r="AB750" s="46">
        <f>'Data_in-situ'!EC84</f>
        <v>3</v>
      </c>
      <c r="AC750" s="113">
        <f>'Data_in-situ'!EE84</f>
        <v>2.9631794999999999</v>
      </c>
      <c r="AD750" s="113">
        <f>'Data_in-situ'!EF84</f>
        <v>0.67948399999999998</v>
      </c>
      <c r="AE750" s="46">
        <f>'Data_in-situ'!EG84</f>
        <v>3</v>
      </c>
      <c r="AF750" s="113">
        <f>'Data_in-situ'!EN18</f>
        <v>-6.17</v>
      </c>
      <c r="AG750" s="113">
        <f>'Data_in-situ'!EO18</f>
        <v>1.6</v>
      </c>
      <c r="AH750" s="110">
        <f>'Data_in-situ'!EP18</f>
        <v>3</v>
      </c>
      <c r="AI750" s="113">
        <f>'Data_in-situ'!ER18</f>
        <v>-32.340000000000003</v>
      </c>
      <c r="AJ750" s="113">
        <f>'Data_in-situ'!ES18</f>
        <v>1.06</v>
      </c>
      <c r="AK750" s="110">
        <f>'Data_in-situ'!ET18</f>
        <v>3</v>
      </c>
    </row>
    <row r="751" spans="1:37" x14ac:dyDescent="0.3">
      <c r="B751" s="24">
        <f>'Data_in-situ'!CA130</f>
        <v>-39843.491213361398</v>
      </c>
      <c r="C751" s="24">
        <f>'Data_in-situ'!CB130</f>
        <v>12909.471724359584</v>
      </c>
      <c r="D751" s="46">
        <f>'Data_in-situ'!CC130</f>
        <v>66</v>
      </c>
      <c r="E751" s="24">
        <f>'Data_in-situ'!CE130</f>
        <v>-35035.77220338145</v>
      </c>
      <c r="F751" s="24">
        <f>'Data_in-situ'!CF130</f>
        <v>6481.9820713073177</v>
      </c>
      <c r="G751" s="46">
        <f>'Data_in-situ'!CG130</f>
        <v>66</v>
      </c>
      <c r="H751" s="24">
        <f>'Data_in-situ'!CN130</f>
        <v>35408.568959456847</v>
      </c>
      <c r="I751" s="24">
        <f>'Data_in-situ'!CO130</f>
        <v>12878.668982057387</v>
      </c>
      <c r="J751" s="46">
        <f>'Data_in-situ'!CP130</f>
        <v>66</v>
      </c>
      <c r="K751" s="24">
        <f>'Data_in-situ'!CR130</f>
        <v>26888.134502472181</v>
      </c>
      <c r="L751" s="24">
        <f>'Data_in-situ'!CS130</f>
        <v>6047.8746396959068</v>
      </c>
      <c r="M751" s="46">
        <f>'Data_in-situ'!CT130</f>
        <v>66</v>
      </c>
      <c r="N751" s="24">
        <f>'Data_in-situ'!DA130</f>
        <v>-4434.9222539045541</v>
      </c>
      <c r="O751" s="24">
        <f>'Data_in-situ'!DB130</f>
        <v>891.2605974868037</v>
      </c>
      <c r="P751" s="46">
        <f>'Data_in-situ'!DC130</f>
        <v>66</v>
      </c>
      <c r="Q751" s="24">
        <f>'Data_in-situ'!DE130</f>
        <v>-8147.6377009092694</v>
      </c>
      <c r="R751" s="24">
        <f>'Data_in-situ'!DF130</f>
        <v>2332.2315312319697</v>
      </c>
      <c r="S751" s="46">
        <f>'Data_in-situ'!DG130</f>
        <v>66</v>
      </c>
      <c r="T751" s="113">
        <f>'Data_in-situ'!DN20</f>
        <v>3.3104450261339187</v>
      </c>
      <c r="U751" s="113">
        <f>'Data_in-situ'!DO20</f>
        <v>3.2225601192052182</v>
      </c>
      <c r="V751" s="46">
        <f>'Data_in-situ'!DP20</f>
        <v>3</v>
      </c>
      <c r="W751" s="113">
        <f>'Data_in-situ'!DR20</f>
        <v>0.97256818109938847</v>
      </c>
      <c r="X751" s="113">
        <f>'Data_in-situ'!DS20</f>
        <v>5.0056318929545522</v>
      </c>
      <c r="Y751" s="46">
        <f>'Data_in-situ'!DT20</f>
        <v>3</v>
      </c>
      <c r="Z751" s="113">
        <f>'Data_in-situ'!EA86</f>
        <v>-1.4600000000000002E-2</v>
      </c>
      <c r="AA751" s="113">
        <f>'Data_in-situ'!EB86</f>
        <v>8.8257000000000002E-2</v>
      </c>
      <c r="AB751" s="46">
        <f>'Data_in-situ'!EC86</f>
        <v>3</v>
      </c>
      <c r="AC751" s="113">
        <f>'Data_in-situ'!EE86</f>
        <v>7.8840000000000004E-3</v>
      </c>
      <c r="AD751" s="113">
        <f>'Data_in-situ'!EF86</f>
        <v>4.9822500000000006E-2</v>
      </c>
      <c r="AE751" s="46">
        <f>'Data_in-situ'!EG86</f>
        <v>3</v>
      </c>
      <c r="AF751" s="113">
        <f>'Data_in-situ'!EN20</f>
        <v>-20.329999999999998</v>
      </c>
      <c r="AG751" s="113">
        <f>'Data_in-situ'!EO20</f>
        <v>2.57</v>
      </c>
      <c r="AH751" s="110">
        <f>'Data_in-situ'!EP20</f>
        <v>3</v>
      </c>
      <c r="AI751" s="113">
        <f>'Data_in-situ'!ER20</f>
        <v>-32.340000000000003</v>
      </c>
      <c r="AJ751" s="113">
        <f>'Data_in-situ'!ES20</f>
        <v>1.06</v>
      </c>
      <c r="AK751" s="110">
        <f>'Data_in-situ'!ET20</f>
        <v>3</v>
      </c>
    </row>
    <row r="752" spans="1:37" x14ac:dyDescent="0.3">
      <c r="B752" s="24">
        <f>'Data_in-situ'!CA131</f>
        <v>-39843.491213361398</v>
      </c>
      <c r="C752" s="24">
        <f>'Data_in-situ'!CB131</f>
        <v>12909.471724359584</v>
      </c>
      <c r="D752" s="46">
        <f>'Data_in-situ'!CC131</f>
        <v>66</v>
      </c>
      <c r="E752" s="24">
        <f>'Data_in-situ'!CE131</f>
        <v>-47094.824204889017</v>
      </c>
      <c r="F752" s="24">
        <f>'Data_in-situ'!CF131</f>
        <v>13325.726368768714</v>
      </c>
      <c r="G752" s="46">
        <f>'Data_in-situ'!CG131</f>
        <v>66</v>
      </c>
      <c r="H752" s="24">
        <f>'Data_in-situ'!CN131</f>
        <v>35408.568959456847</v>
      </c>
      <c r="I752" s="24">
        <f>'Data_in-situ'!CO131</f>
        <v>12878.668982057387</v>
      </c>
      <c r="J752" s="46">
        <f>'Data_in-situ'!CP131</f>
        <v>66</v>
      </c>
      <c r="K752" s="24">
        <f>'Data_in-situ'!CR131</f>
        <v>52464.145688921722</v>
      </c>
      <c r="L752" s="24">
        <f>'Data_in-situ'!CS131</f>
        <v>12723.425553607172</v>
      </c>
      <c r="M752" s="46">
        <f>'Data_in-situ'!CT131</f>
        <v>66</v>
      </c>
      <c r="N752" s="24">
        <f>'Data_in-situ'!DA131</f>
        <v>-4434.9222539045541</v>
      </c>
      <c r="O752" s="24">
        <f>'Data_in-situ'!DB131</f>
        <v>891.2605974868037</v>
      </c>
      <c r="P752" s="46">
        <f>'Data_in-situ'!DC131</f>
        <v>66</v>
      </c>
      <c r="Q752" s="24">
        <f>'Data_in-situ'!DE131</f>
        <v>5369.3214840327073</v>
      </c>
      <c r="R752" s="24">
        <f>'Data_in-situ'!DF131</f>
        <v>3960.9879370068538</v>
      </c>
      <c r="S752" s="46">
        <f>'Data_in-situ'!DG131</f>
        <v>66</v>
      </c>
      <c r="T752" s="113">
        <f>'Data_in-situ'!DN21</f>
        <v>3.3104450261339187</v>
      </c>
      <c r="U752" s="113">
        <f>'Data_in-situ'!DO21</f>
        <v>3.2225601192052182</v>
      </c>
      <c r="V752" s="46">
        <f>'Data_in-situ'!DP21</f>
        <v>3</v>
      </c>
      <c r="W752" s="113">
        <f>'Data_in-situ'!DR21</f>
        <v>-0.74812937007645264</v>
      </c>
      <c r="X752" s="113">
        <f>'Data_in-situ'!DS21</f>
        <v>2.0565387107113464</v>
      </c>
      <c r="Y752" s="46">
        <f>'Data_in-situ'!DT21</f>
        <v>3</v>
      </c>
      <c r="Z752" s="113">
        <f>'Data_in-situ'!EA87</f>
        <v>7.3730000000000004E-2</v>
      </c>
      <c r="AA752" s="113">
        <f>'Data_in-situ'!EB87</f>
        <v>3.5076500000000004E-2</v>
      </c>
      <c r="AB752" s="46">
        <f>'Data_in-situ'!EC87</f>
        <v>3</v>
      </c>
      <c r="AC752" s="113">
        <f>'Data_in-situ'!EE87</f>
        <v>8.0263499999999988E-2</v>
      </c>
      <c r="AD752" s="113">
        <f>'Data_in-situ'!EF87</f>
        <v>2.8396999999999999E-2</v>
      </c>
      <c r="AE752" s="46">
        <f>'Data_in-situ'!EG87</f>
        <v>3</v>
      </c>
      <c r="AF752" s="113">
        <f>'Data_in-situ'!EN21</f>
        <v>-20.329999999999998</v>
      </c>
      <c r="AG752" s="113">
        <f>'Data_in-situ'!EO21</f>
        <v>2.57</v>
      </c>
      <c r="AH752" s="110">
        <f>'Data_in-situ'!EP21</f>
        <v>3</v>
      </c>
      <c r="AI752" s="113">
        <f>'Data_in-situ'!ER21</f>
        <v>-37.89</v>
      </c>
      <c r="AJ752" s="113">
        <f>'Data_in-situ'!ES21</f>
        <v>1.4</v>
      </c>
      <c r="AK752" s="110">
        <f>'Data_in-situ'!ET21</f>
        <v>3</v>
      </c>
    </row>
    <row r="753" spans="2:37" x14ac:dyDescent="0.3">
      <c r="B753" s="24">
        <f>'Data_in-situ'!CA132</f>
        <v>-16584.165556391476</v>
      </c>
      <c r="C753" s="24">
        <f>'Data_in-situ'!CB132</f>
        <v>3505.6021221629076</v>
      </c>
      <c r="D753" s="46">
        <f>'Data_in-situ'!CC132</f>
        <v>57</v>
      </c>
      <c r="E753" s="24">
        <f>'Data_in-situ'!CE132</f>
        <v>-18655.544302064984</v>
      </c>
      <c r="F753" s="24">
        <f>'Data_in-situ'!CF132</f>
        <v>9333.8389055230891</v>
      </c>
      <c r="G753" s="46">
        <f>'Data_in-situ'!CG132</f>
        <v>57</v>
      </c>
      <c r="H753" s="24">
        <f>'Data_in-situ'!CN132</f>
        <v>12315.894090129594</v>
      </c>
      <c r="I753" s="24">
        <f>'Data_in-situ'!CO132</f>
        <v>3346.1883831600085</v>
      </c>
      <c r="J753" s="46">
        <f>'Data_in-situ'!CP132</f>
        <v>57</v>
      </c>
      <c r="K753" s="24">
        <f>'Data_in-situ'!CR132</f>
        <v>12460.292931851514</v>
      </c>
      <c r="L753" s="24">
        <f>'Data_in-situ'!CS132</f>
        <v>2060.2193631794362</v>
      </c>
      <c r="M753" s="46">
        <f>'Data_in-situ'!CT132</f>
        <v>57</v>
      </c>
      <c r="N753" s="24">
        <f>'Data_in-situ'!DA132</f>
        <v>-4268.271466261881</v>
      </c>
      <c r="O753" s="24">
        <f>'Data_in-situ'!DB132</f>
        <v>1045.11699982255</v>
      </c>
      <c r="P753" s="46">
        <f>'Data_in-situ'!DC132</f>
        <v>57</v>
      </c>
      <c r="Q753" s="24">
        <f>'Data_in-situ'!DE132</f>
        <v>-6195.2513702134684</v>
      </c>
      <c r="R753" s="24">
        <f>'Data_in-situ'!DF132</f>
        <v>9103.6281168464357</v>
      </c>
      <c r="S753" s="46">
        <f>'Data_in-situ'!DG132</f>
        <v>57</v>
      </c>
      <c r="T753" s="113">
        <f>'Data_in-situ'!DN23</f>
        <v>69.189192430383997</v>
      </c>
      <c r="U753" s="113">
        <f>'Data_in-situ'!DO23</f>
        <v>105.7403076411135</v>
      </c>
      <c r="V753" s="46">
        <f>'Data_in-situ'!DP23</f>
        <v>3</v>
      </c>
      <c r="W753" s="113">
        <f>'Data_in-situ'!DR23</f>
        <v>3.6083118783295469</v>
      </c>
      <c r="X753" s="113">
        <f>'Data_in-situ'!DS23</f>
        <v>8.7762753596190368</v>
      </c>
      <c r="Y753" s="46">
        <f>'Data_in-situ'!DT23</f>
        <v>3</v>
      </c>
      <c r="Z753" s="113">
        <f>'Data_in-situ'!EA91</f>
        <v>1.5714285714285715E-2</v>
      </c>
      <c r="AA753" s="113">
        <f>'Data_in-situ'!EB91</f>
        <v>9.0356781150237736E-2</v>
      </c>
      <c r="AB753" s="46">
        <f>'Data_in-situ'!EC91</f>
        <v>3</v>
      </c>
      <c r="AC753" s="113">
        <f>'Data_in-situ'!EE91</f>
        <v>1.0214285714285716</v>
      </c>
      <c r="AD753" s="113">
        <f>'Data_in-situ'!EF91</f>
        <v>1.5251352255609132</v>
      </c>
      <c r="AE753" s="46">
        <f>'Data_in-situ'!EG91</f>
        <v>3</v>
      </c>
      <c r="AF753" s="113">
        <f>'Data_in-situ'!EN23</f>
        <v>-6.17</v>
      </c>
      <c r="AG753" s="113">
        <f>'Data_in-situ'!EO23</f>
        <v>1.6</v>
      </c>
      <c r="AH753" s="110">
        <f>'Data_in-situ'!EP23</f>
        <v>3</v>
      </c>
      <c r="AI753" s="113">
        <f>'Data_in-situ'!ER23</f>
        <v>-14.475524475524482</v>
      </c>
      <c r="AJ753" s="113">
        <f>'Data_in-situ'!ES23</f>
        <v>3.4828674393339902</v>
      </c>
      <c r="AK753" s="110">
        <f>'Data_in-situ'!ET23</f>
        <v>3</v>
      </c>
    </row>
    <row r="754" spans="2:37" x14ac:dyDescent="0.3">
      <c r="B754" s="24">
        <f>'Data_in-situ'!CA133</f>
        <v>-16584.165556391476</v>
      </c>
      <c r="C754" s="24">
        <f>'Data_in-situ'!CB133</f>
        <v>3505.6021221629076</v>
      </c>
      <c r="D754" s="46">
        <f>'Data_in-situ'!CC133</f>
        <v>57</v>
      </c>
      <c r="E754" s="24">
        <f>'Data_in-situ'!CE133</f>
        <v>-16893.314446670054</v>
      </c>
      <c r="F754" s="24">
        <f>'Data_in-situ'!CF133</f>
        <v>9325.4215781383391</v>
      </c>
      <c r="G754" s="46">
        <f>'Data_in-situ'!CG133</f>
        <v>57</v>
      </c>
      <c r="H754" s="24">
        <f>'Data_in-situ'!CN133</f>
        <v>12315.894090129594</v>
      </c>
      <c r="I754" s="24">
        <f>'Data_in-situ'!CO133</f>
        <v>3346.1883831600085</v>
      </c>
      <c r="J754" s="46">
        <f>'Data_in-situ'!CP133</f>
        <v>57</v>
      </c>
      <c r="K754" s="24">
        <f>'Data_in-situ'!CR133</f>
        <v>11148.593839338751</v>
      </c>
      <c r="L754" s="24">
        <f>'Data_in-situ'!CS133</f>
        <v>2042.0451589318177</v>
      </c>
      <c r="M754" s="46">
        <f>'Data_in-situ'!CT133</f>
        <v>57</v>
      </c>
      <c r="N754" s="24">
        <f>'Data_in-situ'!DA133</f>
        <v>-4268.271466261881</v>
      </c>
      <c r="O754" s="24">
        <f>'Data_in-situ'!DB133</f>
        <v>1045.11699982255</v>
      </c>
      <c r="P754" s="46">
        <f>'Data_in-situ'!DC133</f>
        <v>57</v>
      </c>
      <c r="Q754" s="24">
        <f>'Data_in-situ'!DE133</f>
        <v>-5744.7206073313027</v>
      </c>
      <c r="R754" s="24">
        <f>'Data_in-situ'!DF133</f>
        <v>9099.0955143295014</v>
      </c>
      <c r="S754" s="46">
        <f>'Data_in-situ'!DG133</f>
        <v>57</v>
      </c>
      <c r="T754" s="113">
        <f>'Data_in-situ'!DN25</f>
        <v>69.189192430383997</v>
      </c>
      <c r="U754" s="113">
        <f>'Data_in-situ'!DO25</f>
        <v>105.7403076411135</v>
      </c>
      <c r="V754" s="46">
        <f>'Data_in-situ'!DP25</f>
        <v>3</v>
      </c>
      <c r="W754" s="113">
        <f>'Data_in-situ'!DR25</f>
        <v>1.9694770013193148</v>
      </c>
      <c r="X754" s="113">
        <f>'Data_in-situ'!DS25</f>
        <v>4.4704507627185972</v>
      </c>
      <c r="Y754" s="46">
        <f>'Data_in-situ'!DT25</f>
        <v>3</v>
      </c>
      <c r="Z754" s="113">
        <f>'Data_in-situ'!EA92</f>
        <v>2.357142857142857E-2</v>
      </c>
      <c r="AA754" s="113">
        <f>'Data_in-situ'!EB92</f>
        <v>0.13553517172535659</v>
      </c>
      <c r="AB754" s="46">
        <f>'Data_in-situ'!EC92</f>
        <v>3</v>
      </c>
      <c r="AC754" s="113">
        <f>'Data_in-situ'!EE92</f>
        <v>2.1214285714285714</v>
      </c>
      <c r="AD754" s="113">
        <f>'Data_in-situ'!EF92</f>
        <v>3.1675885453957426</v>
      </c>
      <c r="AE754" s="46">
        <f>'Data_in-situ'!EG92</f>
        <v>3</v>
      </c>
      <c r="AF754" s="113">
        <f>'Data_in-situ'!EN25</f>
        <v>-6.17</v>
      </c>
      <c r="AG754" s="113">
        <f>'Data_in-situ'!EO25</f>
        <v>1.6</v>
      </c>
      <c r="AH754" s="110">
        <f>'Data_in-situ'!EP25</f>
        <v>3</v>
      </c>
      <c r="AI754" s="113">
        <f>'Data_in-situ'!ER25</f>
        <v>-31.710108073744415</v>
      </c>
      <c r="AJ754" s="113">
        <f>'Data_in-situ'!ES25</f>
        <v>5.4726041682006299</v>
      </c>
      <c r="AK754" s="110">
        <f>'Data_in-situ'!ET25</f>
        <v>3</v>
      </c>
    </row>
    <row r="755" spans="2:37" x14ac:dyDescent="0.3">
      <c r="B755" s="24">
        <f>'Data_in-situ'!CA199</f>
        <v>-17120.448467345523</v>
      </c>
      <c r="C755" s="24">
        <f>'Data_in-situ'!CB199</f>
        <v>4174.1444262492878</v>
      </c>
      <c r="D755" s="46">
        <f>'Data_in-situ'!CC199</f>
        <v>1</v>
      </c>
      <c r="E755" s="24">
        <f>'Data_in-situ'!CE199</f>
        <v>-14041.350510064822</v>
      </c>
      <c r="F755" s="24">
        <f>'Data_in-situ'!CF199</f>
        <v>5227.1608672305301</v>
      </c>
      <c r="G755" s="46">
        <f>'Data_in-situ'!CG199</f>
        <v>1</v>
      </c>
      <c r="H755" s="24">
        <f>'Data_in-situ'!CN199</f>
        <v>12896.16741487473</v>
      </c>
      <c r="I755" s="24">
        <f>'Data_in-situ'!CO199</f>
        <v>3709.2899364025543</v>
      </c>
      <c r="J755" s="46">
        <f>'Data_in-situ'!CP199</f>
        <v>1</v>
      </c>
      <c r="K755" s="24">
        <f>'Data_in-situ'!CR199</f>
        <v>14385.676578962597</v>
      </c>
      <c r="L755" s="24">
        <f>'Data_in-situ'!CS199</f>
        <v>3774.6745086112619</v>
      </c>
      <c r="M755" s="46">
        <f>'Data_in-situ'!CT199</f>
        <v>1</v>
      </c>
      <c r="N755" s="24">
        <f>'Data_in-situ'!DA135</f>
        <v>2000</v>
      </c>
      <c r="O755" s="24">
        <f>'Data_in-situ'!DB135</f>
        <v>5999.3131173724232</v>
      </c>
      <c r="P755" s="46">
        <f>'Data_in-situ'!DC135</f>
        <v>3</v>
      </c>
      <c r="Q755" s="24">
        <f>'Data_in-situ'!DE135</f>
        <v>-6800</v>
      </c>
      <c r="R755" s="24">
        <f>'Data_in-situ'!DF135</f>
        <v>6481.3710012383399</v>
      </c>
      <c r="S755" s="46">
        <f>'Data_in-situ'!DG135</f>
        <v>3</v>
      </c>
      <c r="T755" s="113">
        <f>'Data_in-situ'!DN26</f>
        <v>3.3518255889605926</v>
      </c>
      <c r="U755" s="113">
        <f>'Data_in-situ'!DO26</f>
        <v>3.2126569880661773</v>
      </c>
      <c r="V755" s="46">
        <f>'Data_in-situ'!DP26</f>
        <v>3</v>
      </c>
      <c r="W755" s="113">
        <f>'Data_in-situ'!DR26</f>
        <v>0.1571071677160551</v>
      </c>
      <c r="X755" s="113">
        <f>'Data_in-situ'!DS26</f>
        <v>2.9406674446616683</v>
      </c>
      <c r="Y755" s="46">
        <f>'Data_in-situ'!DT26</f>
        <v>3</v>
      </c>
      <c r="Z755" s="113">
        <f>'Data_in-situ'!EA94</f>
        <v>1.5714285714285715E-2</v>
      </c>
      <c r="AA755" s="113">
        <f>'Data_in-situ'!EB94</f>
        <v>9.0356781150237736E-2</v>
      </c>
      <c r="AB755" s="46">
        <f>'Data_in-situ'!EC94</f>
        <v>3</v>
      </c>
      <c r="AC755" s="113">
        <f>'Data_in-situ'!EE94</f>
        <v>1.7285714285714286E-2</v>
      </c>
      <c r="AD755" s="113">
        <f>'Data_in-situ'!EF94</f>
        <v>2.5809980740261605E-2</v>
      </c>
      <c r="AE755" s="46">
        <f>'Data_in-situ'!EG94</f>
        <v>3</v>
      </c>
      <c r="AF755" s="113">
        <f>'Data_in-situ'!EN26</f>
        <v>-20.329999999999998</v>
      </c>
      <c r="AG755" s="113">
        <f>'Data_in-situ'!EO26</f>
        <v>2.57</v>
      </c>
      <c r="AH755" s="110">
        <f>'Data_in-situ'!EP26</f>
        <v>3</v>
      </c>
      <c r="AI755" s="113">
        <f>'Data_in-situ'!ER26</f>
        <v>-40</v>
      </c>
      <c r="AJ755" s="113">
        <f>'Data_in-situ'!ES26</f>
        <v>0</v>
      </c>
      <c r="AK755" s="110">
        <f>'Data_in-situ'!ET26</f>
        <v>3</v>
      </c>
    </row>
    <row r="756" spans="2:37" x14ac:dyDescent="0.3">
      <c r="B756" s="24">
        <f>'Data_in-situ'!CA200</f>
        <v>-15725.784017121432</v>
      </c>
      <c r="C756" s="24">
        <f>'Data_in-situ'!CB200</f>
        <v>3834.1106442782989</v>
      </c>
      <c r="D756" s="46">
        <f>'Data_in-situ'!CC200</f>
        <v>1</v>
      </c>
      <c r="E756" s="24">
        <f>'Data_in-situ'!CE200</f>
        <v>-16611.232720206455</v>
      </c>
      <c r="F756" s="24">
        <f>'Data_in-situ'!CF200</f>
        <v>6183.8485955665874</v>
      </c>
      <c r="G756" s="46">
        <f>'Data_in-situ'!CG200</f>
        <v>1</v>
      </c>
      <c r="H756" s="24">
        <f>'Data_in-situ'!CN200</f>
        <v>12587.493371634213</v>
      </c>
      <c r="I756" s="24">
        <f>'Data_in-situ'!CO200</f>
        <v>3620.5068518327839</v>
      </c>
      <c r="J756" s="46">
        <f>'Data_in-situ'!CP200</f>
        <v>1</v>
      </c>
      <c r="K756" s="24">
        <f>'Data_in-situ'!CR200</f>
        <v>17012.76988978263</v>
      </c>
      <c r="L756" s="24">
        <f>'Data_in-situ'!CS200</f>
        <v>4464.0005961028419</v>
      </c>
      <c r="M756" s="46">
        <f>'Data_in-situ'!CT200</f>
        <v>1</v>
      </c>
      <c r="N756" s="24">
        <f>'Data_in-situ'!DA136</f>
        <v>2000</v>
      </c>
      <c r="O756" s="24">
        <f>'Data_in-situ'!DB136</f>
        <v>5999.3131173724232</v>
      </c>
      <c r="P756" s="46">
        <f>'Data_in-situ'!DC136</f>
        <v>3</v>
      </c>
      <c r="Q756" s="24">
        <f>'Data_in-situ'!DE136</f>
        <v>-6800</v>
      </c>
      <c r="R756" s="24">
        <f>'Data_in-situ'!DF136</f>
        <v>6481.3710012383399</v>
      </c>
      <c r="S756" s="46">
        <f>'Data_in-situ'!DG136</f>
        <v>3</v>
      </c>
      <c r="T756" s="113">
        <f>'Data_in-situ'!DN27</f>
        <v>3.3518255889605926</v>
      </c>
      <c r="U756" s="113">
        <f>'Data_in-situ'!DO27</f>
        <v>3.2126569880661773</v>
      </c>
      <c r="V756" s="46">
        <f>'Data_in-situ'!DP27</f>
        <v>3</v>
      </c>
      <c r="W756" s="113">
        <f>'Data_in-situ'!DR27</f>
        <v>2.8167070783378438</v>
      </c>
      <c r="X756" s="113">
        <f>'Data_in-situ'!DS27</f>
        <v>12.110678472354174</v>
      </c>
      <c r="Y756" s="46">
        <f>'Data_in-situ'!DT27</f>
        <v>3</v>
      </c>
      <c r="Z756" s="113">
        <f>'Data_in-situ'!EA95</f>
        <v>1.8857142857142857E-2</v>
      </c>
      <c r="AA756" s="113">
        <f>'Data_in-situ'!EB95</f>
        <v>0.10842813738028528</v>
      </c>
      <c r="AB756" s="46">
        <f>'Data_in-situ'!EC95</f>
        <v>3</v>
      </c>
      <c r="AC756" s="113">
        <f>'Data_in-situ'!EE95</f>
        <v>2.0428571428571428E-2</v>
      </c>
      <c r="AD756" s="113">
        <f>'Data_in-situ'!EF95</f>
        <v>3.0502704511218261E-2</v>
      </c>
      <c r="AE756" s="46">
        <f>'Data_in-situ'!EG95</f>
        <v>3</v>
      </c>
      <c r="AF756" s="113">
        <f>'Data_in-situ'!EN27</f>
        <v>-20.329999999999998</v>
      </c>
      <c r="AG756" s="113">
        <f>'Data_in-situ'!EO27</f>
        <v>2.57</v>
      </c>
      <c r="AH756" s="110">
        <f>'Data_in-situ'!EP27</f>
        <v>3</v>
      </c>
      <c r="AI756" s="113">
        <f>'Data_in-situ'!ER27</f>
        <v>-14.475524475524482</v>
      </c>
      <c r="AJ756" s="113">
        <f>'Data_in-situ'!ES27</f>
        <v>3.4828674393339902</v>
      </c>
      <c r="AK756" s="110">
        <f>'Data_in-situ'!ET27</f>
        <v>3</v>
      </c>
    </row>
    <row r="757" spans="2:37" x14ac:dyDescent="0.3">
      <c r="B757" s="24">
        <f>'Data_in-situ'!CA271</f>
        <v>-40673.401413977677</v>
      </c>
      <c r="C757" s="24">
        <f>'Data_in-situ'!CB271</f>
        <v>10107.748850350723</v>
      </c>
      <c r="D757" s="46">
        <f>'Data_in-situ'!CC271</f>
        <v>8</v>
      </c>
      <c r="E757" s="24">
        <f>'Data_in-situ'!CE271</f>
        <v>-44668.814018586389</v>
      </c>
      <c r="F757" s="24">
        <f>'Data_in-situ'!CF271</f>
        <v>7435.5187362050165</v>
      </c>
      <c r="G757" s="46">
        <f>'Data_in-situ'!CG271</f>
        <v>8</v>
      </c>
      <c r="H757" s="24">
        <f>'Data_in-situ'!CN271</f>
        <v>25646.988483892328</v>
      </c>
      <c r="I757" s="24">
        <f>'Data_in-situ'!CO271</f>
        <v>7128.4662989719045</v>
      </c>
      <c r="J757" s="46">
        <f>'Data_in-situ'!CP271</f>
        <v>8</v>
      </c>
      <c r="K757" s="24">
        <f>'Data_in-situ'!CR271</f>
        <v>30448.252211184394</v>
      </c>
      <c r="L757" s="24">
        <f>'Data_in-situ'!CS271</f>
        <v>38699.412338334165</v>
      </c>
      <c r="M757" s="46">
        <f>'Data_in-situ'!CT271</f>
        <v>8</v>
      </c>
      <c r="N757" s="24">
        <f>'Data_in-situ'!DA137</f>
        <v>2000</v>
      </c>
      <c r="O757" s="24">
        <f>'Data_in-situ'!DB137</f>
        <v>5999.3131173724232</v>
      </c>
      <c r="P757" s="46">
        <f>'Data_in-situ'!DC137</f>
        <v>3</v>
      </c>
      <c r="Q757" s="24">
        <f>'Data_in-situ'!DE137</f>
        <v>-8000</v>
      </c>
      <c r="R757" s="24">
        <f>'Data_in-situ'!DF137</f>
        <v>7625.1423543980472</v>
      </c>
      <c r="S757" s="46">
        <f>'Data_in-situ'!DG137</f>
        <v>3</v>
      </c>
      <c r="T757" s="113">
        <f>'Data_in-situ'!DN28</f>
        <v>3.3518255889605926</v>
      </c>
      <c r="U757" s="113">
        <f>'Data_in-situ'!DO28</f>
        <v>3.2126569880661773</v>
      </c>
      <c r="V757" s="46">
        <f>'Data_in-situ'!DP28</f>
        <v>3</v>
      </c>
      <c r="W757" s="113">
        <f>'Data_in-situ'!DR28</f>
        <v>-1.8291763098369263</v>
      </c>
      <c r="X757" s="113">
        <f>'Data_in-situ'!DS28</f>
        <v>1.6561975194588527</v>
      </c>
      <c r="Y757" s="46">
        <f>'Data_in-situ'!DT28</f>
        <v>3</v>
      </c>
      <c r="Z757" s="113">
        <f>'Data_in-situ'!EA96</f>
        <v>1.257142857142857E-2</v>
      </c>
      <c r="AA757" s="113">
        <f>'Data_in-situ'!EB96</f>
        <v>7.2285424920190175E-2</v>
      </c>
      <c r="AB757" s="46">
        <f>'Data_in-situ'!EC96</f>
        <v>3</v>
      </c>
      <c r="AC757" s="113">
        <f>'Data_in-situ'!EE96</f>
        <v>1.4142857142857141E-2</v>
      </c>
      <c r="AD757" s="113">
        <f>'Data_in-situ'!EF96</f>
        <v>2.1117256969304946E-2</v>
      </c>
      <c r="AE757" s="46">
        <f>'Data_in-situ'!EG96</f>
        <v>3</v>
      </c>
      <c r="AF757" s="113">
        <f>'Data_in-situ'!EN28</f>
        <v>-20.329999999999998</v>
      </c>
      <c r="AG757" s="113">
        <f>'Data_in-situ'!EO28</f>
        <v>2.57</v>
      </c>
      <c r="AH757" s="110">
        <f>'Data_in-situ'!EP28</f>
        <v>3</v>
      </c>
      <c r="AI757" s="113">
        <f>'Data_in-situ'!ER28</f>
        <v>-40</v>
      </c>
      <c r="AJ757" s="113">
        <f>'Data_in-situ'!ES28</f>
        <v>0</v>
      </c>
      <c r="AK757" s="110">
        <f>'Data_in-situ'!ET28</f>
        <v>3</v>
      </c>
    </row>
    <row r="758" spans="2:37" x14ac:dyDescent="0.3">
      <c r="B758" s="24">
        <f>'Data_in-situ'!CA339</f>
        <v>-2994.9187190031953</v>
      </c>
      <c r="C758" s="24">
        <f>'Data_in-situ'!CB339</f>
        <v>676.52043369186902</v>
      </c>
      <c r="D758" s="46">
        <f>'Data_in-situ'!CC339</f>
        <v>3</v>
      </c>
      <c r="E758" s="24">
        <f>'Data_in-situ'!CE339</f>
        <v>-2403.5364233284786</v>
      </c>
      <c r="F758" s="24">
        <f>'Data_in-situ'!CF339</f>
        <v>338.39733243694133</v>
      </c>
      <c r="G758" s="46">
        <f>'Data_in-situ'!CG339</f>
        <v>3</v>
      </c>
      <c r="H758" s="24">
        <f>'Data_in-situ'!CN339</f>
        <v>3969.4505741620792</v>
      </c>
      <c r="I758" s="24">
        <f>'Data_in-situ'!CO339</f>
        <v>723.08718823658228</v>
      </c>
      <c r="J758" s="46">
        <f>'Data_in-situ'!CP339</f>
        <v>3</v>
      </c>
      <c r="K758" s="24">
        <f>'Data_in-situ'!CR339</f>
        <v>4246.5463132141167</v>
      </c>
      <c r="L758" s="24">
        <f>'Data_in-situ'!CS339</f>
        <v>528.2044209164568</v>
      </c>
      <c r="M758" s="46">
        <f>'Data_in-situ'!CT339</f>
        <v>3</v>
      </c>
      <c r="N758" s="24">
        <f>'Data_in-situ'!DA138</f>
        <v>2000</v>
      </c>
      <c r="O758" s="24">
        <f>'Data_in-situ'!DB138</f>
        <v>5999.3131173724232</v>
      </c>
      <c r="P758" s="46">
        <f>'Data_in-situ'!DC138</f>
        <v>3</v>
      </c>
      <c r="Q758" s="24">
        <f>'Data_in-situ'!DE138</f>
        <v>-8000</v>
      </c>
      <c r="R758" s="24">
        <f>'Data_in-situ'!DF138</f>
        <v>7625.1423543980472</v>
      </c>
      <c r="S758" s="46">
        <f>'Data_in-situ'!DG138</f>
        <v>3</v>
      </c>
      <c r="T758" s="113">
        <f>'Data_in-situ'!DN29</f>
        <v>3.3518255889605926</v>
      </c>
      <c r="U758" s="113">
        <f>'Data_in-situ'!DO29</f>
        <v>3.2126569880661773</v>
      </c>
      <c r="V758" s="46">
        <f>'Data_in-situ'!DP29</f>
        <v>3</v>
      </c>
      <c r="W758" s="113">
        <f>'Data_in-situ'!DR29</f>
        <v>1.5374058555071104</v>
      </c>
      <c r="X758" s="113">
        <f>'Data_in-situ'!DS29</f>
        <v>3.4762119230029214</v>
      </c>
      <c r="Y758" s="46">
        <f>'Data_in-situ'!DT29</f>
        <v>3</v>
      </c>
      <c r="Z758" s="113">
        <f>'Data_in-situ'!EA97</f>
        <v>1.257142857142857E-2</v>
      </c>
      <c r="AA758" s="113">
        <f>'Data_in-situ'!EB97</f>
        <v>7.2285424920190175E-2</v>
      </c>
      <c r="AB758" s="46">
        <f>'Data_in-situ'!EC97</f>
        <v>3</v>
      </c>
      <c r="AC758" s="113">
        <f>'Data_in-situ'!EE97</f>
        <v>1.4142857142857141E-2</v>
      </c>
      <c r="AD758" s="113">
        <f>'Data_in-situ'!EF97</f>
        <v>2.1117256969304946E-2</v>
      </c>
      <c r="AE758" s="46">
        <f>'Data_in-situ'!EG97</f>
        <v>3</v>
      </c>
      <c r="AF758" s="113">
        <f>'Data_in-situ'!EN29</f>
        <v>-20.329999999999998</v>
      </c>
      <c r="AG758" s="113">
        <f>'Data_in-situ'!EO29</f>
        <v>2.57</v>
      </c>
      <c r="AH758" s="110">
        <f>'Data_in-situ'!EP29</f>
        <v>3</v>
      </c>
      <c r="AI758" s="113">
        <f>'Data_in-situ'!ER29</f>
        <v>-31.710108073744415</v>
      </c>
      <c r="AJ758" s="113">
        <f>'Data_in-situ'!ES29</f>
        <v>5.4726041682006299</v>
      </c>
      <c r="AK758" s="110">
        <f>'Data_in-situ'!ET29</f>
        <v>3</v>
      </c>
    </row>
    <row r="759" spans="2:37" x14ac:dyDescent="0.3">
      <c r="B759" s="24">
        <f>'Data_in-situ'!CA340</f>
        <v>-3247.736532945024</v>
      </c>
      <c r="C759" s="24">
        <f>'Data_in-situ'!CB340</f>
        <v>576.55145764577287</v>
      </c>
      <c r="D759" s="46">
        <f>'Data_in-situ'!CC340</f>
        <v>3</v>
      </c>
      <c r="E759" s="24">
        <f>'Data_in-situ'!CE340</f>
        <v>-2538.1344630348735</v>
      </c>
      <c r="F759" s="24">
        <f>'Data_in-situ'!CF340</f>
        <v>178.15163353403054</v>
      </c>
      <c r="G759" s="46">
        <f>'Data_in-situ'!CG340</f>
        <v>3</v>
      </c>
      <c r="H759" s="24">
        <f>'Data_in-situ'!CN340</f>
        <v>4869.5004136523185</v>
      </c>
      <c r="I759" s="24">
        <f>'Data_in-situ'!CO340</f>
        <v>764.57941069494359</v>
      </c>
      <c r="J759" s="46">
        <f>'Data_in-situ'!CP340</f>
        <v>3</v>
      </c>
      <c r="K759" s="24">
        <f>'Data_in-situ'!CR340</f>
        <v>4268.1023858700255</v>
      </c>
      <c r="L759" s="24">
        <f>'Data_in-situ'!CS340</f>
        <v>956.60990521947133</v>
      </c>
      <c r="M759" s="46">
        <f>'Data_in-situ'!CT340</f>
        <v>3</v>
      </c>
      <c r="N759" s="24">
        <f>'Data_in-situ'!DA139</f>
        <v>2000</v>
      </c>
      <c r="O759" s="24">
        <f>'Data_in-situ'!DB139</f>
        <v>5999.3131173724232</v>
      </c>
      <c r="P759" s="46">
        <f>'Data_in-situ'!DC139</f>
        <v>3</v>
      </c>
      <c r="Q759" s="24">
        <f>'Data_in-situ'!DE139</f>
        <v>-2000</v>
      </c>
      <c r="R759" s="24">
        <f>'Data_in-situ'!DF139</f>
        <v>1906.2855885995118</v>
      </c>
      <c r="S759" s="46">
        <f>'Data_in-situ'!DG139</f>
        <v>3</v>
      </c>
      <c r="T759" s="113">
        <f>'Data_in-situ'!DN33</f>
        <v>172</v>
      </c>
      <c r="U759" s="113">
        <f>'Data_in-situ'!DO33</f>
        <v>22</v>
      </c>
      <c r="V759" s="46">
        <f>'Data_in-situ'!DP33</f>
        <v>6</v>
      </c>
      <c r="W759" s="113">
        <f>'Data_in-situ'!DR33</f>
        <v>-1.5</v>
      </c>
      <c r="X759" s="113">
        <f>'Data_in-situ'!DS33</f>
        <v>0.6</v>
      </c>
      <c r="Y759" s="46">
        <f>'Data_in-situ'!DT33</f>
        <v>6</v>
      </c>
      <c r="Z759" s="113">
        <f>'Data_in-situ'!EA98</f>
        <v>-9.6326468671612098E-2</v>
      </c>
      <c r="AA759" s="113">
        <f>'Data_in-situ'!EB98</f>
        <v>5.4029389318036893E-2</v>
      </c>
      <c r="AB759" s="46">
        <f>'Data_in-situ'!EC98</f>
        <v>3</v>
      </c>
      <c r="AC759" s="113">
        <f>'Data_in-situ'!EE98</f>
        <v>1.5454704465443767</v>
      </c>
      <c r="AD759" s="113">
        <f>'Data_in-situ'!EF98</f>
        <v>0.28931759999999995</v>
      </c>
      <c r="AE759" s="46">
        <f>'Data_in-situ'!EG98</f>
        <v>3</v>
      </c>
      <c r="AF759" s="113">
        <f>'Data_in-situ'!EN33</f>
        <v>-9</v>
      </c>
      <c r="AG759" s="113">
        <f>'Data_in-situ'!EO33</f>
        <v>1.9</v>
      </c>
      <c r="AH759" s="110">
        <f>'Data_in-situ'!EP33</f>
        <v>3</v>
      </c>
      <c r="AI759" s="113">
        <f>'Data_in-situ'!ER33</f>
        <v>-34.51</v>
      </c>
      <c r="AJ759" s="113">
        <f>'Data_in-situ'!ES33</f>
        <v>4.08</v>
      </c>
      <c r="AK759" s="110">
        <f>'Data_in-situ'!ET33</f>
        <v>3</v>
      </c>
    </row>
    <row r="760" spans="2:37" x14ac:dyDescent="0.3">
      <c r="B760" s="24">
        <f>'Data_in-situ'!CA341</f>
        <v>-4239.5602645629651</v>
      </c>
      <c r="C760" s="24">
        <f>'Data_in-situ'!CB341</f>
        <v>1115.0244091372156</v>
      </c>
      <c r="D760" s="46">
        <f>'Data_in-situ'!CC341</f>
        <v>3</v>
      </c>
      <c r="E760" s="24">
        <f>'Data_in-situ'!CE341</f>
        <v>-3364.9509926598698</v>
      </c>
      <c r="F760" s="24">
        <f>'Data_in-situ'!CF341</f>
        <v>1102.2450453899555</v>
      </c>
      <c r="G760" s="46">
        <f>'Data_in-situ'!CG341</f>
        <v>3</v>
      </c>
      <c r="H760" s="24">
        <f>'Data_in-situ'!CN341</f>
        <v>7477.3371280727561</v>
      </c>
      <c r="I760" s="24">
        <f>'Data_in-situ'!CO341</f>
        <v>1843.7169743300331</v>
      </c>
      <c r="J760" s="46">
        <f>'Data_in-situ'!CP341</f>
        <v>3</v>
      </c>
      <c r="K760" s="24">
        <f>'Data_in-situ'!CR341</f>
        <v>5971.0321256868547</v>
      </c>
      <c r="L760" s="24">
        <f>'Data_in-situ'!CS341</f>
        <v>1963.4643578324303</v>
      </c>
      <c r="M760" s="46">
        <f>'Data_in-situ'!CT341</f>
        <v>3</v>
      </c>
      <c r="N760" s="24">
        <f>'Data_in-situ'!DA140</f>
        <v>2000</v>
      </c>
      <c r="O760" s="24">
        <f>'Data_in-situ'!DB140</f>
        <v>5999.3131173724232</v>
      </c>
      <c r="P760" s="46">
        <f>'Data_in-situ'!DC140</f>
        <v>3</v>
      </c>
      <c r="Q760" s="24">
        <f>'Data_in-situ'!DE140</f>
        <v>-1999</v>
      </c>
      <c r="R760" s="24">
        <f>'Data_in-situ'!DF140</f>
        <v>1905.332445805212</v>
      </c>
      <c r="S760" s="46">
        <f>'Data_in-situ'!DG140</f>
        <v>3</v>
      </c>
      <c r="T760" s="113">
        <f>'Data_in-situ'!DN77</f>
        <v>107.85213477594468</v>
      </c>
      <c r="U760" s="113">
        <f>'Data_in-situ'!DO77</f>
        <v>101.11467674058741</v>
      </c>
      <c r="V760" s="46">
        <f>'Data_in-situ'!DP77</f>
        <v>6</v>
      </c>
      <c r="W760" s="113">
        <f>'Data_in-situ'!DR77</f>
        <v>11.097</v>
      </c>
      <c r="X760" s="113">
        <f>'Data_in-situ'!DS77</f>
        <v>12.912818417114034</v>
      </c>
      <c r="Y760" s="46">
        <f>'Data_in-situ'!DT77</f>
        <v>6</v>
      </c>
      <c r="Z760" s="113">
        <f>'Data_in-situ'!EA104</f>
        <v>2.2785714285714288E-2</v>
      </c>
      <c r="AA760" s="113">
        <f>'Data_in-situ'!EB104</f>
        <v>0.13101733266784471</v>
      </c>
      <c r="AB760" s="46">
        <f>'Data_in-situ'!EC104</f>
        <v>3</v>
      </c>
      <c r="AC760" s="113">
        <f>'Data_in-situ'!EE104</f>
        <v>2.1057142857142859</v>
      </c>
      <c r="AD760" s="113">
        <f>'Data_in-situ'!EF104</f>
        <v>3.1441249265409592</v>
      </c>
      <c r="AE760" s="46">
        <f>'Data_in-situ'!EG104</f>
        <v>3</v>
      </c>
      <c r="AF760" s="113">
        <f>'Data_in-situ'!EN77</f>
        <v>-4.5</v>
      </c>
      <c r="AG760" s="113">
        <f>'Data_in-situ'!EO77</f>
        <v>2.7658633371878665</v>
      </c>
      <c r="AH760" s="110">
        <f>'Data_in-situ'!EP77</f>
        <v>2</v>
      </c>
      <c r="AI760" s="113">
        <f>'Data_in-situ'!ER77</f>
        <v>-18.45</v>
      </c>
      <c r="AJ760" s="113">
        <f>'Data_in-situ'!ES77</f>
        <v>8.9505586417832035</v>
      </c>
      <c r="AK760" s="110">
        <f>'Data_in-situ'!ET77</f>
        <v>2</v>
      </c>
    </row>
    <row r="761" spans="2:37" x14ac:dyDescent="0.3">
      <c r="B761" s="24">
        <f>'Data_in-situ'!CA342</f>
        <v>-2945.161089648047</v>
      </c>
      <c r="C761" s="24">
        <f>'Data_in-situ'!CB342</f>
        <v>96.327483684879894</v>
      </c>
      <c r="D761" s="46">
        <f>'Data_in-situ'!CC342</f>
        <v>3</v>
      </c>
      <c r="E761" s="24">
        <f>'Data_in-situ'!CE342</f>
        <v>-2329.5681312375768</v>
      </c>
      <c r="F761" s="24">
        <f>'Data_in-situ'!CF342</f>
        <v>936.72704913647306</v>
      </c>
      <c r="G761" s="46">
        <f>'Data_in-situ'!CG342</f>
        <v>3</v>
      </c>
      <c r="H761" s="24">
        <f>'Data_in-situ'!CN342</f>
        <v>2386.82655517393</v>
      </c>
      <c r="I761" s="24">
        <f>'Data_in-situ'!CO342</f>
        <v>98.565445597832763</v>
      </c>
      <c r="J761" s="46">
        <f>'Data_in-situ'!CP342</f>
        <v>3</v>
      </c>
      <c r="K761" s="24">
        <f>'Data_in-situ'!CR342</f>
        <v>2420.4945007500228</v>
      </c>
      <c r="L761" s="24">
        <f>'Data_in-situ'!CS342</f>
        <v>226.67580770330741</v>
      </c>
      <c r="M761" s="46">
        <f>'Data_in-situ'!CT342</f>
        <v>3</v>
      </c>
      <c r="N761" s="24">
        <f>'Data_in-situ'!DA169</f>
        <v>826.51624872736215</v>
      </c>
      <c r="O761" s="24">
        <f>'Data_in-situ'!DB169</f>
        <v>2479.2648863557561</v>
      </c>
      <c r="P761" s="46">
        <f>'Data_in-situ'!DC169</f>
        <v>3</v>
      </c>
      <c r="Q761" s="24">
        <f>'Data_in-situ'!DE169</f>
        <v>-2686.077525816791</v>
      </c>
      <c r="R761" s="24">
        <f>'Data_in-situ'!DF169</f>
        <v>2560.2154386627908</v>
      </c>
      <c r="S761" s="46">
        <f>'Data_in-situ'!DG169</f>
        <v>3</v>
      </c>
      <c r="T761" s="113">
        <f>'Data_in-situ'!DN78</f>
        <v>107.85213477594468</v>
      </c>
      <c r="U761" s="113">
        <f>'Data_in-situ'!DO78</f>
        <v>101.11467674058741</v>
      </c>
      <c r="V761" s="46">
        <f>'Data_in-situ'!DP78</f>
        <v>6</v>
      </c>
      <c r="W761" s="113">
        <f>'Data_in-situ'!DR78</f>
        <v>23.372199999999999</v>
      </c>
      <c r="X761" s="113">
        <f>'Data_in-situ'!DS78</f>
        <v>23.116574134644171</v>
      </c>
      <c r="Y761" s="46">
        <f>'Data_in-situ'!DT78</f>
        <v>6</v>
      </c>
      <c r="Z761" s="113">
        <f>'Data_in-situ'!EA105</f>
        <v>9.1928571428571401E-2</v>
      </c>
      <c r="AA761" s="113">
        <f>'Data_in-situ'!EB105</f>
        <v>0.52858716972889053</v>
      </c>
      <c r="AB761" s="46">
        <f>'Data_in-situ'!EC105</f>
        <v>3</v>
      </c>
      <c r="AC761" s="113">
        <f>'Data_in-situ'!EE105</f>
        <v>0.87057142857142855</v>
      </c>
      <c r="AD761" s="113">
        <f>'Data_in-situ'!EF105</f>
        <v>1.2998844845549935</v>
      </c>
      <c r="AE761" s="46">
        <f>'Data_in-situ'!EG105</f>
        <v>3</v>
      </c>
      <c r="AF761" s="113">
        <f>'Data_in-situ'!EN78</f>
        <v>-4.5</v>
      </c>
      <c r="AG761" s="113">
        <f>'Data_in-situ'!EO78</f>
        <v>2.7658633371878665</v>
      </c>
      <c r="AH761" s="110">
        <f>'Data_in-situ'!EP78</f>
        <v>2</v>
      </c>
      <c r="AI761" s="113">
        <f>'Data_in-situ'!ER78</f>
        <v>-14.3</v>
      </c>
      <c r="AJ761" s="113">
        <f>'Data_in-situ'!ES78</f>
        <v>4.2793106921559225</v>
      </c>
      <c r="AK761" s="110">
        <f>'Data_in-situ'!ET78</f>
        <v>2</v>
      </c>
    </row>
    <row r="762" spans="2:37" x14ac:dyDescent="0.3">
      <c r="B762" s="24">
        <f>'Data_in-situ'!CA343</f>
        <v>-2887.6945318012554</v>
      </c>
      <c r="C762" s="24">
        <f>'Data_in-situ'!CB343</f>
        <v>116.06106513063514</v>
      </c>
      <c r="D762" s="46">
        <f>'Data_in-situ'!CC343</f>
        <v>3</v>
      </c>
      <c r="E762" s="24">
        <f>'Data_in-situ'!CE343</f>
        <v>-2017.0650892422923</v>
      </c>
      <c r="F762" s="24">
        <f>'Data_in-situ'!CF343</f>
        <v>715.26564447368787</v>
      </c>
      <c r="G762" s="46">
        <f>'Data_in-situ'!CG343</f>
        <v>3</v>
      </c>
      <c r="H762" s="24">
        <f>'Data_in-situ'!CN343</f>
        <v>2301.5827496320044</v>
      </c>
      <c r="I762" s="24">
        <f>'Data_in-situ'!CO343</f>
        <v>97.898666178602923</v>
      </c>
      <c r="J762" s="46">
        <f>'Data_in-situ'!CP343</f>
        <v>3</v>
      </c>
      <c r="K762" s="24">
        <f>'Data_in-situ'!CR343</f>
        <v>2420.4945007500228</v>
      </c>
      <c r="L762" s="24">
        <f>'Data_in-situ'!CS343</f>
        <v>564.27419535299123</v>
      </c>
      <c r="M762" s="46">
        <f>'Data_in-situ'!CT343</f>
        <v>3</v>
      </c>
      <c r="N762" s="24">
        <f>'Data_in-situ'!DA170</f>
        <v>-870.68123911737575</v>
      </c>
      <c r="O762" s="24">
        <f>'Data_in-situ'!DB170</f>
        <v>2611.7446894434738</v>
      </c>
      <c r="P762" s="46">
        <f>'Data_in-situ'!DC170</f>
        <v>3</v>
      </c>
      <c r="Q762" s="24">
        <f>'Data_in-situ'!DE170</f>
        <v>-911.63843300448298</v>
      </c>
      <c r="R762" s="24">
        <f>'Data_in-situ'!DF170</f>
        <v>868.92160342494367</v>
      </c>
      <c r="S762" s="46">
        <f>'Data_in-situ'!DG170</f>
        <v>3</v>
      </c>
      <c r="T762" s="113">
        <f>'Data_in-situ'!DN81</f>
        <v>131.4</v>
      </c>
      <c r="U762" s="113">
        <f>'Data_in-situ'!DO81</f>
        <v>146.49513859561415</v>
      </c>
      <c r="V762" s="46">
        <f>'Data_in-situ'!DP81</f>
        <v>3</v>
      </c>
      <c r="W762" s="113">
        <f>'Data_in-situ'!DR81</f>
        <v>38.799999999999997</v>
      </c>
      <c r="X762" s="113">
        <f>'Data_in-situ'!DS81</f>
        <v>145.00399223168318</v>
      </c>
      <c r="Y762" s="46">
        <f>'Data_in-situ'!DT81</f>
        <v>3</v>
      </c>
      <c r="Z762" s="113">
        <f>'Data_in-situ'!EA106</f>
        <v>5.3428571428571429E-2</v>
      </c>
      <c r="AA762" s="113">
        <f>'Data_in-situ'!EB106</f>
        <v>0.30721305591080827</v>
      </c>
      <c r="AB762" s="46">
        <f>'Data_in-situ'!EC106</f>
        <v>3</v>
      </c>
      <c r="AC762" s="113">
        <f>'Data_in-situ'!EE106</f>
        <v>5.7985714285714279E-2</v>
      </c>
      <c r="AD762" s="113">
        <f>'Data_in-situ'!EF106</f>
        <v>8.6580753574150279E-2</v>
      </c>
      <c r="AE762" s="46">
        <f>'Data_in-situ'!EG106</f>
        <v>3</v>
      </c>
      <c r="AF762" s="113">
        <f>'Data_in-situ'!EN81</f>
        <v>-9</v>
      </c>
      <c r="AG762" s="113">
        <f>'Data_in-situ'!EO81</f>
        <v>3.6674675887616401</v>
      </c>
      <c r="AH762" s="110">
        <f>'Data_in-situ'!EP81</f>
        <v>3</v>
      </c>
      <c r="AI762" s="113">
        <f>'Data_in-situ'!ER81</f>
        <v>-15</v>
      </c>
      <c r="AJ762" s="113">
        <f>'Data_in-situ'!ES81</f>
        <v>3.4022108026379128</v>
      </c>
      <c r="AK762" s="110">
        <f>'Data_in-situ'!ET81</f>
        <v>3</v>
      </c>
    </row>
    <row r="763" spans="2:37" x14ac:dyDescent="0.3">
      <c r="B763" s="24">
        <f>'Data_in-situ'!CA344</f>
        <v>-2413.5954295652286</v>
      </c>
      <c r="C763" s="24">
        <f>'Data_in-situ'!CB344</f>
        <v>229.44356214196344</v>
      </c>
      <c r="D763" s="46">
        <f>'Data_in-situ'!CC344</f>
        <v>3</v>
      </c>
      <c r="E763" s="24">
        <f>'Data_in-situ'!CE344</f>
        <v>-1974.4510380611171</v>
      </c>
      <c r="F763" s="24">
        <f>'Data_in-situ'!CF344</f>
        <v>445.58850967321683</v>
      </c>
      <c r="G763" s="46">
        <f>'Data_in-situ'!CG344</f>
        <v>3</v>
      </c>
      <c r="H763" s="24">
        <f>'Data_in-situ'!CN344</f>
        <v>3307.4596550267315</v>
      </c>
      <c r="I763" s="24">
        <f>'Data_in-situ'!CO344</f>
        <v>917.36533177060426</v>
      </c>
      <c r="J763" s="46">
        <f>'Data_in-situ'!CP344</f>
        <v>3</v>
      </c>
      <c r="K763" s="24">
        <f>'Data_in-situ'!CR344</f>
        <v>2945.9965963075938</v>
      </c>
      <c r="L763" s="24">
        <f>'Data_in-situ'!CS344</f>
        <v>650.63940348918732</v>
      </c>
      <c r="M763" s="46">
        <f>'Data_in-situ'!CT344</f>
        <v>3</v>
      </c>
      <c r="N763" s="24">
        <f>'Data_in-situ'!DA171</f>
        <v>82.020696438593234</v>
      </c>
      <c r="O763" s="24">
        <f>'Data_in-situ'!DB171</f>
        <v>246.03392002003699</v>
      </c>
      <c r="P763" s="46">
        <f>'Data_in-situ'!DC171</f>
        <v>3</v>
      </c>
      <c r="Q763" s="24">
        <f>'Data_in-situ'!DE171</f>
        <v>-4541.9129072902078</v>
      </c>
      <c r="R763" s="24">
        <f>'Data_in-situ'!DF171</f>
        <v>4329.0915599207165</v>
      </c>
      <c r="S763" s="46">
        <f>'Data_in-situ'!DG171</f>
        <v>3</v>
      </c>
      <c r="T763" s="113">
        <f>'Data_in-situ'!DN82</f>
        <v>131.4</v>
      </c>
      <c r="U763" s="113">
        <f>'Data_in-situ'!DO82</f>
        <v>146.49513859561415</v>
      </c>
      <c r="V763" s="46">
        <f>'Data_in-situ'!DP82</f>
        <v>3</v>
      </c>
      <c r="W763" s="113">
        <f>'Data_in-situ'!DR82</f>
        <v>1.4000000000000001</v>
      </c>
      <c r="X763" s="113">
        <f>'Data_in-situ'!DS82</f>
        <v>5.2321028124834141</v>
      </c>
      <c r="Y763" s="46">
        <f>'Data_in-situ'!DT82</f>
        <v>3</v>
      </c>
      <c r="Z763" s="113">
        <f>'Data_in-situ'!EA108</f>
        <v>1.9171428571428568E-2</v>
      </c>
      <c r="AA763" s="113">
        <f>'Data_in-situ'!EB108</f>
        <v>0.11023527300329002</v>
      </c>
      <c r="AB763" s="46">
        <f>'Data_in-situ'!EC108</f>
        <v>3</v>
      </c>
      <c r="AC763" s="113">
        <f>'Data_in-situ'!EE108</f>
        <v>3.0642857142857142E-2</v>
      </c>
      <c r="AD763" s="113">
        <f>'Data_in-situ'!EF108</f>
        <v>4.5754056766827388E-2</v>
      </c>
      <c r="AE763" s="46">
        <f>'Data_in-situ'!EG108</f>
        <v>3</v>
      </c>
      <c r="AF763" s="113">
        <f>'Data_in-situ'!EN82</f>
        <v>-9</v>
      </c>
      <c r="AG763" s="113">
        <f>'Data_in-situ'!EO82</f>
        <v>3.6674675887616401</v>
      </c>
      <c r="AH763" s="110">
        <f>'Data_in-situ'!EP82</f>
        <v>3</v>
      </c>
      <c r="AI763" s="113">
        <f>'Data_in-situ'!ER82</f>
        <v>-21</v>
      </c>
      <c r="AJ763" s="113">
        <f>'Data_in-situ'!ES82</f>
        <v>4.7630951236930779</v>
      </c>
      <c r="AK763" s="110">
        <f>'Data_in-situ'!ET82</f>
        <v>3</v>
      </c>
    </row>
    <row r="764" spans="2:37" x14ac:dyDescent="0.3">
      <c r="B764" s="24">
        <f>'Data_in-situ'!CA345</f>
        <v>-1544.0509482067121</v>
      </c>
      <c r="C764" s="24">
        <f>'Data_in-situ'!CB345</f>
        <v>837.60714709123818</v>
      </c>
      <c r="D764" s="46">
        <f>'Data_in-situ'!CC345</f>
        <v>3</v>
      </c>
      <c r="E764" s="24">
        <f>'Data_in-situ'!CE345</f>
        <v>-1178.558304384421</v>
      </c>
      <c r="F764" s="24">
        <f>'Data_in-situ'!CF345</f>
        <v>1103.8093288412595</v>
      </c>
      <c r="G764" s="46">
        <f>'Data_in-situ'!CG345</f>
        <v>3</v>
      </c>
      <c r="H764" s="24">
        <f>'Data_in-situ'!CN345</f>
        <v>821.95693707396595</v>
      </c>
      <c r="I764" s="24">
        <f>'Data_in-situ'!CO345</f>
        <v>860.95304933064097</v>
      </c>
      <c r="J764" s="46">
        <f>'Data_in-situ'!CP345</f>
        <v>3</v>
      </c>
      <c r="K764" s="24">
        <f>'Data_in-situ'!CR345</f>
        <v>1214.1076881752506</v>
      </c>
      <c r="L764" s="24">
        <f>'Data_in-situ'!CS345</f>
        <v>590.58610863952993</v>
      </c>
      <c r="M764" s="46">
        <f>'Data_in-situ'!CT345</f>
        <v>3</v>
      </c>
      <c r="N764" s="24">
        <f>'Data_in-situ'!DA197</f>
        <v>-6476.6640398246809</v>
      </c>
      <c r="O764" s="24">
        <f>'Data_in-situ'!DB197</f>
        <v>2851.847869896872</v>
      </c>
      <c r="P764" s="46">
        <f>'Data_in-situ'!DC197</f>
        <v>3</v>
      </c>
      <c r="Q764" s="24">
        <f>'Data_in-situ'!DE197</f>
        <v>303.7999143045227</v>
      </c>
      <c r="R764" s="24">
        <f>'Data_in-situ'!DF197</f>
        <v>833.8763402434389</v>
      </c>
      <c r="S764" s="46">
        <f>'Data_in-situ'!DG197</f>
        <v>3</v>
      </c>
      <c r="T764" s="113">
        <f>'Data_in-situ'!DN83</f>
        <v>131.4</v>
      </c>
      <c r="U764" s="113">
        <f>'Data_in-situ'!DO83</f>
        <v>146.49513859561415</v>
      </c>
      <c r="V764" s="46">
        <f>'Data_in-situ'!DP83</f>
        <v>3</v>
      </c>
      <c r="W764" s="113">
        <f>'Data_in-situ'!DR83</f>
        <v>3.6</v>
      </c>
      <c r="X764" s="113">
        <f>'Data_in-situ'!DS83</f>
        <v>13.453978660671636</v>
      </c>
      <c r="Y764" s="46">
        <f>'Data_in-situ'!DT83</f>
        <v>3</v>
      </c>
      <c r="Z764" s="113">
        <f>'Data_in-situ'!EA109</f>
        <v>4.7771428571428562E-2</v>
      </c>
      <c r="AA764" s="113">
        <f>'Data_in-situ'!EB109</f>
        <v>0.27468461469672267</v>
      </c>
      <c r="AB764" s="46">
        <f>'Data_in-situ'!EC109</f>
        <v>3</v>
      </c>
      <c r="AC764" s="113">
        <f>'Data_in-situ'!EE109</f>
        <v>0.21685714285714286</v>
      </c>
      <c r="AD764" s="113">
        <f>'Data_in-situ'!EF109</f>
        <v>0.32379794019600922</v>
      </c>
      <c r="AE764" s="46">
        <f>'Data_in-situ'!EG109</f>
        <v>3</v>
      </c>
      <c r="AF764" s="113">
        <f>'Data_in-situ'!EN83</f>
        <v>-9</v>
      </c>
      <c r="AG764" s="113">
        <f>'Data_in-situ'!EO83</f>
        <v>3.6674675887616401</v>
      </c>
      <c r="AH764" s="110">
        <f>'Data_in-situ'!EP83</f>
        <v>3</v>
      </c>
      <c r="AI764" s="113">
        <f>'Data_in-situ'!ER83</f>
        <v>-26</v>
      </c>
      <c r="AJ764" s="113">
        <f>'Data_in-situ'!ES83</f>
        <v>5.8971653912390485</v>
      </c>
      <c r="AK764" s="110">
        <f>'Data_in-situ'!ET83</f>
        <v>3</v>
      </c>
    </row>
    <row r="765" spans="2:37" x14ac:dyDescent="0.3">
      <c r="B765" s="24">
        <f>'Data_in-situ'!CA346</f>
        <v>-998.69911894347672</v>
      </c>
      <c r="C765" s="24">
        <f>'Data_in-situ'!CB346</f>
        <v>642.0310889187042</v>
      </c>
      <c r="D765" s="46">
        <f>'Data_in-situ'!CC346</f>
        <v>3</v>
      </c>
      <c r="E765" s="24">
        <f>'Data_in-situ'!CE346</f>
        <v>-1433.3817215486201</v>
      </c>
      <c r="F765" s="24">
        <f>'Data_in-situ'!CF346</f>
        <v>1186.7128562544101</v>
      </c>
      <c r="G765" s="46">
        <f>'Data_in-situ'!CG346</f>
        <v>3</v>
      </c>
      <c r="H765" s="24">
        <f>'Data_in-situ'!CN346</f>
        <v>688.14999382936685</v>
      </c>
      <c r="I765" s="24">
        <f>'Data_in-situ'!CO346</f>
        <v>827.80955818446023</v>
      </c>
      <c r="J765" s="46">
        <f>'Data_in-situ'!CP346</f>
        <v>3</v>
      </c>
      <c r="K765" s="24">
        <f>'Data_in-situ'!CR346</f>
        <v>910.58076613143794</v>
      </c>
      <c r="L765" s="24">
        <f>'Data_in-situ'!CS346</f>
        <v>867.05035134873242</v>
      </c>
      <c r="M765" s="46">
        <f>'Data_in-situ'!CT346</f>
        <v>3</v>
      </c>
      <c r="N765" s="24">
        <f>'Data_in-situ'!DA198</f>
        <v>-5712.1472856207492</v>
      </c>
      <c r="O765" s="24">
        <f>'Data_in-situ'!DB198</f>
        <v>3273.2058172899874</v>
      </c>
      <c r="P765" s="46">
        <f>'Data_in-situ'!DC198</f>
        <v>3</v>
      </c>
      <c r="Q765" s="24">
        <f>'Data_in-situ'!DE198</f>
        <v>-61.395104632969371</v>
      </c>
      <c r="R765" s="24">
        <f>'Data_in-situ'!DF198</f>
        <v>529.41384138606963</v>
      </c>
      <c r="S765" s="46">
        <f>'Data_in-situ'!DG198</f>
        <v>3</v>
      </c>
      <c r="T765" s="113">
        <f>'Data_in-situ'!DN84</f>
        <v>255.99999999999997</v>
      </c>
      <c r="U765" s="113">
        <f>'Data_in-situ'!DO84</f>
        <v>285.40909802494076</v>
      </c>
      <c r="V765" s="46">
        <f>'Data_in-situ'!DP84</f>
        <v>3</v>
      </c>
      <c r="W765" s="113">
        <f>'Data_in-situ'!DR84</f>
        <v>-0.4</v>
      </c>
      <c r="X765" s="113">
        <f>'Data_in-situ'!DS84</f>
        <v>1.494886517852404</v>
      </c>
      <c r="Y765" s="46">
        <f>'Data_in-situ'!DT84</f>
        <v>3</v>
      </c>
      <c r="Z765" s="113">
        <f>'Data_in-situ'!EA110</f>
        <v>5.4528571428571426E-2</v>
      </c>
      <c r="AA765" s="113">
        <f>'Data_in-situ'!EB110</f>
        <v>0.3135380305913249</v>
      </c>
      <c r="AB765" s="46">
        <f>'Data_in-situ'!EC110</f>
        <v>3</v>
      </c>
      <c r="AC765" s="113">
        <f>'Data_in-situ'!EE110</f>
        <v>3.5828571428571425E-2</v>
      </c>
      <c r="AD765" s="113">
        <f>'Data_in-situ'!EF110</f>
        <v>5.3497050988905864E-2</v>
      </c>
      <c r="AE765" s="46">
        <f>'Data_in-situ'!EG110</f>
        <v>3</v>
      </c>
      <c r="AF765" s="113">
        <f>'Data_in-situ'!EN84</f>
        <v>-2.8</v>
      </c>
      <c r="AG765" s="113">
        <f>'Data_in-situ'!EO84</f>
        <v>0.72</v>
      </c>
      <c r="AH765" s="110">
        <f>'Data_in-situ'!EP84</f>
        <v>3</v>
      </c>
      <c r="AI765" s="113">
        <f>'Data_in-situ'!ER84</f>
        <v>-23.33</v>
      </c>
      <c r="AJ765" s="113">
        <f>'Data_in-situ'!ES84</f>
        <v>3.46</v>
      </c>
      <c r="AK765" s="110">
        <f>'Data_in-situ'!ET84</f>
        <v>3</v>
      </c>
    </row>
    <row r="766" spans="2:37" x14ac:dyDescent="0.3">
      <c r="B766" s="24">
        <f>'Data_in-situ'!CA347</f>
        <v>-757.07836436037758</v>
      </c>
      <c r="C766" s="24">
        <f>'Data_in-situ'!CB347</f>
        <v>753.46149598311479</v>
      </c>
      <c r="D766" s="46">
        <f>'Data_in-situ'!CC347</f>
        <v>3</v>
      </c>
      <c r="E766" s="24">
        <f>'Data_in-situ'!CE347</f>
        <v>-1751.9109930038685</v>
      </c>
      <c r="F766" s="24">
        <f>'Data_in-situ'!CF347</f>
        <v>1655.7034599262597</v>
      </c>
      <c r="G766" s="46">
        <f>'Data_in-situ'!CG347</f>
        <v>3</v>
      </c>
      <c r="H766" s="24">
        <f>'Data_in-situ'!CN347</f>
        <v>764.61110425485197</v>
      </c>
      <c r="I766" s="24">
        <f>'Data_in-situ'!CO347</f>
        <v>794.72773935581358</v>
      </c>
      <c r="J766" s="46">
        <f>'Data_in-situ'!CP347</f>
        <v>3</v>
      </c>
      <c r="K766" s="24">
        <f>'Data_in-situ'!CR347</f>
        <v>1696.1798584801293</v>
      </c>
      <c r="L766" s="24">
        <f>'Data_in-situ'!CS347</f>
        <v>1486.728586277671</v>
      </c>
      <c r="M766" s="46">
        <f>'Data_in-situ'!CT347</f>
        <v>3</v>
      </c>
      <c r="N766" s="24">
        <f>'Data_in-situ'!DA199</f>
        <v>-4224.281052470792</v>
      </c>
      <c r="O766" s="24">
        <f>'Data_in-situ'!DB199</f>
        <v>12671.392364777903</v>
      </c>
      <c r="P766" s="46">
        <f>'Data_in-situ'!DC199</f>
        <v>1</v>
      </c>
      <c r="Q766" s="24">
        <f>'Data_in-situ'!DE199</f>
        <v>344.32606889777549</v>
      </c>
      <c r="R766" s="24">
        <f>'Data_in-situ'!DF199</f>
        <v>328.19191145947599</v>
      </c>
      <c r="S766" s="46">
        <f>'Data_in-situ'!DG199</f>
        <v>1</v>
      </c>
      <c r="T766" s="113">
        <f>'Data_in-situ'!DN86</f>
        <v>78.666666666666671</v>
      </c>
      <c r="U766" s="113">
        <f>'Data_in-situ'!DO86</f>
        <v>87.703837413914115</v>
      </c>
      <c r="V766" s="46">
        <f>'Data_in-situ'!DP86</f>
        <v>3</v>
      </c>
      <c r="W766" s="113">
        <f>'Data_in-situ'!DR86</f>
        <v>34.666666666666664</v>
      </c>
      <c r="X766" s="113">
        <f>'Data_in-situ'!DS86</f>
        <v>129.55683154720833</v>
      </c>
      <c r="Y766" s="46">
        <f>'Data_in-situ'!DT86</f>
        <v>3</v>
      </c>
      <c r="Z766" s="113">
        <f>'Data_in-situ'!EA111</f>
        <v>8.4699999999999998E-2</v>
      </c>
      <c r="AA766" s="113">
        <f>'Data_in-situ'!EB111</f>
        <v>0.48702305039978139</v>
      </c>
      <c r="AB766" s="46">
        <f>'Data_in-situ'!EC111</f>
        <v>3</v>
      </c>
      <c r="AC766" s="113">
        <f>'Data_in-situ'!EE111</f>
        <v>6.1599999999999995E-2</v>
      </c>
      <c r="AD766" s="113">
        <f>'Data_in-situ'!EF111</f>
        <v>9.1977385910750442E-2</v>
      </c>
      <c r="AE766" s="46">
        <f>'Data_in-situ'!EG111</f>
        <v>3</v>
      </c>
      <c r="AF766" s="113">
        <f>'Data_in-situ'!EN86</f>
        <v>-11.68</v>
      </c>
      <c r="AG766" s="113">
        <f>'Data_in-situ'!EO86</f>
        <v>1.82</v>
      </c>
      <c r="AH766" s="110">
        <f>'Data_in-situ'!EP86</f>
        <v>3</v>
      </c>
      <c r="AI766" s="113">
        <f>'Data_in-situ'!ER86</f>
        <v>-20.88</v>
      </c>
      <c r="AJ766" s="113">
        <f>'Data_in-situ'!ES86</f>
        <v>1.28</v>
      </c>
      <c r="AK766" s="110">
        <f>'Data_in-situ'!ET86</f>
        <v>3</v>
      </c>
    </row>
    <row r="767" spans="2:37" x14ac:dyDescent="0.3">
      <c r="B767" s="24">
        <f>'Data_in-situ'!CA348</f>
        <v>-3659.9602825374368</v>
      </c>
      <c r="C767" s="24">
        <f>'Data_in-situ'!CB348</f>
        <v>593.4851284595926</v>
      </c>
      <c r="D767" s="46">
        <f>'Data_in-situ'!CC348</f>
        <v>3</v>
      </c>
      <c r="E767" s="24">
        <f>'Data_in-situ'!CE348</f>
        <v>-2778.6457143135131</v>
      </c>
      <c r="F767" s="24">
        <f>'Data_in-situ'!CF348</f>
        <v>942.7176783399251</v>
      </c>
      <c r="G767" s="46">
        <f>'Data_in-situ'!CG348</f>
        <v>3</v>
      </c>
      <c r="H767" s="24">
        <f>'Data_in-situ'!CN348</f>
        <v>6251.1658250934079</v>
      </c>
      <c r="I767" s="24">
        <f>'Data_in-situ'!CO348</f>
        <v>266.97663228644535</v>
      </c>
      <c r="J767" s="46">
        <f>'Data_in-situ'!CP348</f>
        <v>3</v>
      </c>
      <c r="K767" s="24">
        <f>'Data_in-situ'!CR348</f>
        <v>7838.2827472249573</v>
      </c>
      <c r="L767" s="24">
        <f>'Data_in-situ'!CS348</f>
        <v>2291.0465602792738</v>
      </c>
      <c r="M767" s="46">
        <f>'Data_in-situ'!CT348</f>
        <v>3</v>
      </c>
      <c r="N767" s="24">
        <f>'Data_in-situ'!DA200</f>
        <v>-3138.2906454872195</v>
      </c>
      <c r="O767" s="24">
        <f>'Data_in-situ'!DB200</f>
        <v>9413.7941177993216</v>
      </c>
      <c r="P767" s="46">
        <f>'Data_in-situ'!DC200</f>
        <v>1</v>
      </c>
      <c r="Q767" s="24">
        <f>'Data_in-situ'!DE200</f>
        <v>401.53716957617513</v>
      </c>
      <c r="R767" s="24">
        <f>'Data_in-situ'!DF200</f>
        <v>382.72225982505051</v>
      </c>
      <c r="S767" s="46">
        <f>'Data_in-situ'!DG200</f>
        <v>1</v>
      </c>
      <c r="T767" s="113">
        <f>'Data_in-situ'!DN87</f>
        <v>31.999999999999996</v>
      </c>
      <c r="U767" s="113">
        <f>'Data_in-situ'!DO87</f>
        <v>35.676137253117595</v>
      </c>
      <c r="V767" s="46">
        <f>'Data_in-situ'!DP87</f>
        <v>3</v>
      </c>
      <c r="W767" s="113">
        <f>'Data_in-situ'!DR87</f>
        <v>14.666666666666668</v>
      </c>
      <c r="X767" s="113">
        <f>'Data_in-situ'!DS87</f>
        <v>54.812505654588151</v>
      </c>
      <c r="Y767" s="46">
        <f>'Data_in-situ'!DT87</f>
        <v>3</v>
      </c>
      <c r="Z767" s="113">
        <f>'Data_in-situ'!EA128</f>
        <v>0.61975925336567961</v>
      </c>
      <c r="AA767" s="113">
        <f>'Data_in-situ'!EB128</f>
        <v>0.31937151793647711</v>
      </c>
      <c r="AB767" s="46">
        <f>'Data_in-situ'!EC128</f>
        <v>18</v>
      </c>
      <c r="AC767" s="113">
        <f>'Data_in-situ'!EE128</f>
        <v>0.85760492742086802</v>
      </c>
      <c r="AD767" s="113">
        <f>'Data_in-situ'!EF128</f>
        <v>1.8545293886198424</v>
      </c>
      <c r="AE767" s="46">
        <f>'Data_in-situ'!EG128</f>
        <v>18</v>
      </c>
      <c r="AF767" s="113">
        <f>'Data_in-situ'!EN87</f>
        <v>-20.85</v>
      </c>
      <c r="AG767" s="113">
        <f>'Data_in-situ'!EO87</f>
        <v>5.42</v>
      </c>
      <c r="AH767" s="110">
        <f>'Data_in-situ'!EP87</f>
        <v>3</v>
      </c>
      <c r="AI767" s="113">
        <f>'Data_in-situ'!ER87</f>
        <v>-21.08</v>
      </c>
      <c r="AJ767" s="113">
        <f>'Data_in-situ'!ES87</f>
        <v>7.29</v>
      </c>
      <c r="AK767" s="110">
        <f>'Data_in-situ'!ET87</f>
        <v>3</v>
      </c>
    </row>
    <row r="768" spans="2:37" x14ac:dyDescent="0.3">
      <c r="B768" s="24">
        <f>'Data_in-situ'!CA349</f>
        <v>-4810.2335141920603</v>
      </c>
      <c r="C768" s="24">
        <f>'Data_in-situ'!CB349</f>
        <v>507.91046480105655</v>
      </c>
      <c r="D768" s="46">
        <f>'Data_in-situ'!CC349</f>
        <v>3</v>
      </c>
      <c r="E768" s="24">
        <f>'Data_in-situ'!CE349</f>
        <v>-5079.1058870940042</v>
      </c>
      <c r="F768" s="24">
        <f>'Data_in-situ'!CF349</f>
        <v>317.38779673465609</v>
      </c>
      <c r="G768" s="46">
        <f>'Data_in-situ'!CG349</f>
        <v>3</v>
      </c>
      <c r="H768" s="24">
        <f>'Data_in-situ'!CN349</f>
        <v>4762.0543630364182</v>
      </c>
      <c r="I768" s="24">
        <f>'Data_in-situ'!CO349</f>
        <v>997.80477562796057</v>
      </c>
      <c r="J768" s="46">
        <f>'Data_in-situ'!CP349</f>
        <v>3</v>
      </c>
      <c r="K768" s="24">
        <f>'Data_in-situ'!CR349</f>
        <v>6143.1273286938667</v>
      </c>
      <c r="L768" s="24">
        <f>'Data_in-situ'!CS349</f>
        <v>1144.5750412473667</v>
      </c>
      <c r="M768" s="46">
        <f>'Data_in-situ'!CT349</f>
        <v>3</v>
      </c>
      <c r="N768" s="24">
        <f>'Data_in-situ'!DA213</f>
        <v>-5500</v>
      </c>
      <c r="O768" s="24">
        <f>'Data_in-situ'!DB213</f>
        <v>16498.111072774162</v>
      </c>
      <c r="P768" s="46">
        <f>'Data_in-situ'!DC213</f>
        <v>3</v>
      </c>
      <c r="Q768" s="24">
        <f>'Data_in-situ'!DE213</f>
        <v>-5500</v>
      </c>
      <c r="R768" s="24">
        <f>'Data_in-situ'!DF213</f>
        <v>5242.2853686486578</v>
      </c>
      <c r="S768" s="46">
        <f>'Data_in-situ'!DG213</f>
        <v>3</v>
      </c>
      <c r="T768" s="113">
        <f>'Data_in-situ'!DN98</f>
        <v>29.564989329793384</v>
      </c>
      <c r="U768" s="113">
        <f>'Data_in-situ'!DO98</f>
        <v>10.677333333333335</v>
      </c>
      <c r="V768" s="46">
        <f>'Data_in-situ'!DP98</f>
        <v>3</v>
      </c>
      <c r="W768" s="113">
        <f>'Data_in-situ'!DR98</f>
        <v>7.9918819188191907</v>
      </c>
      <c r="X768" s="113">
        <f>'Data_in-situ'!DS98</f>
        <v>0.87360000000000004</v>
      </c>
      <c r="Y768" s="46">
        <f>'Data_in-situ'!DT98</f>
        <v>3</v>
      </c>
      <c r="Z768" s="113">
        <f>'Data_in-situ'!EA129</f>
        <v>0.61975925336567961</v>
      </c>
      <c r="AA768" s="113">
        <f>'Data_in-situ'!EB129</f>
        <v>0.31937151793647711</v>
      </c>
      <c r="AB768" s="46">
        <f>'Data_in-situ'!EC129</f>
        <v>18</v>
      </c>
      <c r="AC768" s="113">
        <f>'Data_in-situ'!EE129</f>
        <v>1.2578205602172745</v>
      </c>
      <c r="AD768" s="113">
        <f>'Data_in-situ'!EF129</f>
        <v>0.63959090137404107</v>
      </c>
      <c r="AE768" s="46">
        <f>'Data_in-situ'!EG129</f>
        <v>18</v>
      </c>
      <c r="AF768" s="113">
        <f>'Data_in-situ'!EN91</f>
        <v>-27.34</v>
      </c>
      <c r="AG768" s="113">
        <f>'Data_in-situ'!EO91</f>
        <v>6.04</v>
      </c>
      <c r="AH768" s="110">
        <f>'Data_in-situ'!EP91</f>
        <v>3</v>
      </c>
      <c r="AI768" s="113">
        <f>'Data_in-situ'!ER91</f>
        <v>-42.07</v>
      </c>
      <c r="AJ768" s="113">
        <f>'Data_in-situ'!ES91</f>
        <v>2.04</v>
      </c>
      <c r="AK768" s="110">
        <f>'Data_in-situ'!ET91</f>
        <v>3</v>
      </c>
    </row>
    <row r="769" spans="2:37" x14ac:dyDescent="0.3">
      <c r="B769" s="24">
        <f>'Data_in-situ'!CA350</f>
        <v>-1686.1959873118906</v>
      </c>
      <c r="C769" s="24">
        <f>'Data_in-situ'!CB350</f>
        <v>951.52416117583982</v>
      </c>
      <c r="D769" s="46">
        <f>'Data_in-situ'!CC350</f>
        <v>3</v>
      </c>
      <c r="E769" s="24">
        <f>'Data_in-situ'!CE350</f>
        <v>-4019.3433355883844</v>
      </c>
      <c r="F769" s="24">
        <f>'Data_in-situ'!CF350</f>
        <v>183.63556153089817</v>
      </c>
      <c r="G769" s="46">
        <f>'Data_in-situ'!CG350</f>
        <v>3</v>
      </c>
      <c r="H769" s="24">
        <f>'Data_in-situ'!CN350</f>
        <v>2652.4797917890141</v>
      </c>
      <c r="I769" s="24">
        <f>'Data_in-situ'!CO350</f>
        <v>1183.1159884255349</v>
      </c>
      <c r="J769" s="46">
        <f>'Data_in-situ'!CP350</f>
        <v>3</v>
      </c>
      <c r="K769" s="24">
        <f>'Data_in-situ'!CR350</f>
        <v>3491.7303920170334</v>
      </c>
      <c r="L769" s="24">
        <f>'Data_in-situ'!CS350</f>
        <v>187.13801568192349</v>
      </c>
      <c r="M769" s="46">
        <f>'Data_in-situ'!CT350</f>
        <v>3</v>
      </c>
      <c r="N769" s="24">
        <f>'Data_in-situ'!DA214</f>
        <v>-5500</v>
      </c>
      <c r="O769" s="24">
        <f>'Data_in-situ'!DB214</f>
        <v>16498.111072774162</v>
      </c>
      <c r="P769" s="46">
        <f>'Data_in-situ'!DC214</f>
        <v>3</v>
      </c>
      <c r="Q769" s="24">
        <f>'Data_in-situ'!DE214</f>
        <v>-5500</v>
      </c>
      <c r="R769" s="24">
        <f>'Data_in-situ'!DF214</f>
        <v>5242.2853686486578</v>
      </c>
      <c r="S769" s="46">
        <f>'Data_in-situ'!DG214</f>
        <v>3</v>
      </c>
      <c r="T769" s="113">
        <f>'Data_in-situ'!DN100</f>
        <v>29.877540000000003</v>
      </c>
      <c r="U769" s="113">
        <f>'Data_in-situ'!DO100</f>
        <v>10.5768948600239</v>
      </c>
      <c r="V769" s="46">
        <f>'Data_in-situ'!DP100</f>
        <v>3</v>
      </c>
      <c r="W769" s="113">
        <f>'Data_in-situ'!DR100</f>
        <v>21.248370000000001</v>
      </c>
      <c r="X769" s="113">
        <f>'Data_in-situ'!DS100</f>
        <v>3.4542118170720228</v>
      </c>
      <c r="Y769" s="46">
        <f>'Data_in-situ'!DT100</f>
        <v>3</v>
      </c>
      <c r="Z769" s="113">
        <f>'Data_in-situ'!EA130</f>
        <v>0.32108009511715851</v>
      </c>
      <c r="AA769" s="113">
        <f>'Data_in-situ'!EB130</f>
        <v>0.19494609457370263</v>
      </c>
      <c r="AB769" s="46">
        <f>'Data_in-situ'!EC130</f>
        <v>18</v>
      </c>
      <c r="AC769" s="113">
        <f>'Data_in-situ'!EE130</f>
        <v>1.0977343070987131</v>
      </c>
      <c r="AD769" s="113">
        <f>'Data_in-situ'!EF130</f>
        <v>0.53387084501368376</v>
      </c>
      <c r="AE769" s="46">
        <f>'Data_in-situ'!EG130</f>
        <v>18</v>
      </c>
      <c r="AF769" s="113">
        <f>'Data_in-situ'!EN92</f>
        <v>-2.62</v>
      </c>
      <c r="AG769" s="113">
        <f>'Data_in-situ'!EO92</f>
        <v>0.79</v>
      </c>
      <c r="AH769" s="110">
        <f>'Data_in-situ'!EP92</f>
        <v>3</v>
      </c>
      <c r="AI769" s="113">
        <f>'Data_in-situ'!ER92</f>
        <v>-21.88</v>
      </c>
      <c r="AJ769" s="113">
        <f>'Data_in-situ'!ES92</f>
        <v>3.76</v>
      </c>
      <c r="AK769" s="110">
        <f>'Data_in-situ'!ET92</f>
        <v>3</v>
      </c>
    </row>
    <row r="770" spans="2:37" x14ac:dyDescent="0.3">
      <c r="B770" s="24">
        <f>'Data_in-situ'!CA351</f>
        <v>-7900.0449087308316</v>
      </c>
      <c r="C770" s="24">
        <f>'Data_in-situ'!CB351</f>
        <v>1770.2016517990935</v>
      </c>
      <c r="D770" s="46">
        <f>'Data_in-situ'!CC351</f>
        <v>3</v>
      </c>
      <c r="E770" s="24">
        <f>'Data_in-situ'!CE351</f>
        <v>-3744.7097475457695</v>
      </c>
      <c r="F770" s="24">
        <f>'Data_in-situ'!CF351</f>
        <v>2032.4000980341211</v>
      </c>
      <c r="G770" s="46">
        <f>'Data_in-situ'!CG351</f>
        <v>3</v>
      </c>
      <c r="H770" s="24">
        <f>'Data_in-situ'!CN351</f>
        <v>12362.931550325944</v>
      </c>
      <c r="I770" s="24">
        <f>'Data_in-situ'!CO351</f>
        <v>2275.2743302978161</v>
      </c>
      <c r="J770" s="46">
        <f>'Data_in-situ'!CP351</f>
        <v>3</v>
      </c>
      <c r="K770" s="24">
        <f>'Data_in-situ'!CR351</f>
        <v>15082.727310832692</v>
      </c>
      <c r="L770" s="24">
        <f>'Data_in-situ'!CS351</f>
        <v>2876.4150226571255</v>
      </c>
      <c r="M770" s="46">
        <f>'Data_in-situ'!CT351</f>
        <v>3</v>
      </c>
      <c r="N770" s="24">
        <f>'Data_in-situ'!DA270</f>
        <v>2799.2431805620463</v>
      </c>
      <c r="O770" s="24">
        <f>'Data_in-situ'!DB270</f>
        <v>1473.9559786073848</v>
      </c>
      <c r="P770" s="46">
        <f>'Data_in-situ'!DC270</f>
        <v>20</v>
      </c>
      <c r="Q770" s="24">
        <f>'Data_in-situ'!DE270</f>
        <v>6964.2392311529056</v>
      </c>
      <c r="R770" s="24">
        <f>'Data_in-situ'!DF270</f>
        <v>2472.9188125624614</v>
      </c>
      <c r="S770" s="46">
        <f>'Data_in-situ'!DG270</f>
        <v>20</v>
      </c>
      <c r="T770" s="113">
        <f>'Data_in-situ'!DN101</f>
        <v>24.519000000000002</v>
      </c>
      <c r="U770" s="113">
        <f>'Data_in-situ'!DO101</f>
        <v>3.8585295126511601</v>
      </c>
      <c r="V770" s="46">
        <f>'Data_in-situ'!DP101</f>
        <v>3</v>
      </c>
      <c r="W770" s="113">
        <f>'Data_in-situ'!DR101</f>
        <v>2.714</v>
      </c>
      <c r="X770" s="113">
        <f>'Data_in-situ'!DS101</f>
        <v>1.8204276969987025</v>
      </c>
      <c r="Y770" s="46">
        <f>'Data_in-situ'!DT101</f>
        <v>3</v>
      </c>
      <c r="Z770" s="113">
        <f>'Data_in-situ'!EA131</f>
        <v>0.32108009511715851</v>
      </c>
      <c r="AA770" s="113">
        <f>'Data_in-situ'!EB131</f>
        <v>0.19494609457370263</v>
      </c>
      <c r="AB770" s="46">
        <f>'Data_in-situ'!EC131</f>
        <v>18</v>
      </c>
      <c r="AC770" s="113">
        <f>'Data_in-situ'!EE131</f>
        <v>0.69751867430230663</v>
      </c>
      <c r="AD770" s="113">
        <f>'Data_in-situ'!EF131</f>
        <v>0.31514419303530533</v>
      </c>
      <c r="AE770" s="46">
        <f>'Data_in-situ'!EG131</f>
        <v>18</v>
      </c>
      <c r="AF770" s="113">
        <f>'Data_in-situ'!EN94</f>
        <v>-10.75</v>
      </c>
      <c r="AG770" s="113">
        <f>'Data_in-situ'!EO94</f>
        <v>1.853</v>
      </c>
      <c r="AH770" s="110">
        <f>'Data_in-situ'!EP94</f>
        <v>3</v>
      </c>
      <c r="AI770" s="113">
        <f>'Data_in-situ'!ER94</f>
        <v>-20.14</v>
      </c>
      <c r="AJ770" s="113">
        <f>'Data_in-situ'!ES94</f>
        <v>1.87</v>
      </c>
      <c r="AK770" s="110">
        <f>'Data_in-situ'!ET94</f>
        <v>3</v>
      </c>
    </row>
    <row r="771" spans="2:37" x14ac:dyDescent="0.3">
      <c r="B771" s="24">
        <f>'Data_in-situ'!CA352</f>
        <v>-10050.787546565918</v>
      </c>
      <c r="C771" s="24">
        <f>'Data_in-situ'!CB352</f>
        <v>1612.547694762013</v>
      </c>
      <c r="D771" s="46">
        <f>'Data_in-situ'!CC352</f>
        <v>3</v>
      </c>
      <c r="E771" s="24">
        <f>'Data_in-situ'!CE352</f>
        <v>-12603.385992432437</v>
      </c>
      <c r="F771" s="24">
        <f>'Data_in-situ'!CF352</f>
        <v>2731.1470412581525</v>
      </c>
      <c r="G771" s="46">
        <f>'Data_in-situ'!CG352</f>
        <v>3</v>
      </c>
      <c r="H771" s="24">
        <f>'Data_in-situ'!CN352</f>
        <v>9984.9658644122937</v>
      </c>
      <c r="I771" s="24">
        <f>'Data_in-situ'!CO352</f>
        <v>333.56620847738458</v>
      </c>
      <c r="J771" s="46">
        <f>'Data_in-situ'!CP352</f>
        <v>3</v>
      </c>
      <c r="K771" s="24">
        <f>'Data_in-situ'!CR352</f>
        <v>15408.337460950899</v>
      </c>
      <c r="L771" s="24">
        <f>'Data_in-situ'!CS352</f>
        <v>3231.8122751183146</v>
      </c>
      <c r="M771" s="46">
        <f>'Data_in-situ'!CT352</f>
        <v>3</v>
      </c>
      <c r="N771" s="24">
        <f>'Data_in-situ'!DA271</f>
        <v>-15026.412930085349</v>
      </c>
      <c r="O771" s="24">
        <f>'Data_in-situ'!DB271</f>
        <v>12368.573830371251</v>
      </c>
      <c r="P771" s="46">
        <f>'Data_in-situ'!DC271</f>
        <v>8</v>
      </c>
      <c r="Q771" s="24">
        <f>'Data_in-situ'!DE271</f>
        <v>-14220.561807401995</v>
      </c>
      <c r="R771" s="24">
        <f>'Data_in-situ'!DF271</f>
        <v>39407.251289691172</v>
      </c>
      <c r="S771" s="46">
        <f>'Data_in-situ'!DG271</f>
        <v>8</v>
      </c>
      <c r="T771" s="113">
        <f>'Data_in-situ'!DN102</f>
        <v>37.001000000000005</v>
      </c>
      <c r="U771" s="113">
        <f>'Data_in-situ'!DO102</f>
        <v>14.229681127839795</v>
      </c>
      <c r="V771" s="46">
        <f>'Data_in-situ'!DP102</f>
        <v>3</v>
      </c>
      <c r="W771" s="113">
        <f>'Data_in-situ'!DR102</f>
        <v>17.568999999999999</v>
      </c>
      <c r="X771" s="113">
        <f>'Data_in-situ'!DS102</f>
        <v>3.3260057125627429</v>
      </c>
      <c r="Y771" s="46">
        <f>'Data_in-situ'!DT102</f>
        <v>3</v>
      </c>
      <c r="Z771" s="113">
        <f>'Data_in-situ'!EA132</f>
        <v>0.6346932112781053</v>
      </c>
      <c r="AA771" s="113">
        <f>'Data_in-situ'!EB132</f>
        <v>0.12856385073753784</v>
      </c>
      <c r="AB771" s="46">
        <f>'Data_in-situ'!EC132</f>
        <v>21</v>
      </c>
      <c r="AC771" s="113">
        <f>'Data_in-situ'!EE132</f>
        <v>0.75469233613036468</v>
      </c>
      <c r="AD771" s="113">
        <f>'Data_in-situ'!EF132</f>
        <v>0.35864660190524744</v>
      </c>
      <c r="AE771" s="46">
        <f>'Data_in-situ'!EG132</f>
        <v>21</v>
      </c>
      <c r="AF771" s="113">
        <f>'Data_in-situ'!EN95</f>
        <v>-24.62</v>
      </c>
      <c r="AG771" s="113">
        <f>'Data_in-situ'!EO95</f>
        <v>6.88</v>
      </c>
      <c r="AH771" s="110">
        <f>'Data_in-situ'!EP95</f>
        <v>3</v>
      </c>
      <c r="AI771" s="113">
        <f>'Data_in-situ'!ER95</f>
        <v>-23.22</v>
      </c>
      <c r="AJ771" s="113">
        <f>'Data_in-situ'!ES95</f>
        <v>6.41</v>
      </c>
      <c r="AK771" s="110">
        <f>'Data_in-situ'!ET95</f>
        <v>3</v>
      </c>
    </row>
    <row r="772" spans="2:37" x14ac:dyDescent="0.3">
      <c r="B772" s="24">
        <f>'Data_in-situ'!CA353</f>
        <v>-3420.20536553287</v>
      </c>
      <c r="C772" s="24">
        <f>'Data_in-situ'!CB353</f>
        <v>2581.3476538531618</v>
      </c>
      <c r="D772" s="46">
        <f>'Data_in-situ'!CC353</f>
        <v>3</v>
      </c>
      <c r="E772" s="24">
        <f>'Data_in-situ'!CE353</f>
        <v>-7240.463722401516</v>
      </c>
      <c r="F772" s="24">
        <f>'Data_in-situ'!CF353</f>
        <v>1430.8247194500545</v>
      </c>
      <c r="G772" s="46">
        <f>'Data_in-situ'!CG353</f>
        <v>3</v>
      </c>
      <c r="H772" s="24">
        <f>'Data_in-situ'!CN353</f>
        <v>3050.2701206745783</v>
      </c>
      <c r="I772" s="24">
        <f>'Data_in-situ'!CO353</f>
        <v>3364.4645178084379</v>
      </c>
      <c r="J772" s="46">
        <f>'Data_in-situ'!CP353</f>
        <v>3</v>
      </c>
      <c r="K772" s="24">
        <f>'Data_in-situ'!CR353</f>
        <v>7768.1278671058117</v>
      </c>
      <c r="L772" s="24">
        <f>'Data_in-situ'!CS353</f>
        <v>631.5369644231871</v>
      </c>
      <c r="M772" s="46">
        <f>'Data_in-situ'!CT353</f>
        <v>3</v>
      </c>
      <c r="N772" s="24">
        <f>'Data_in-situ'!DA339</f>
        <v>974.5318551588839</v>
      </c>
      <c r="O772" s="24">
        <f>'Data_in-situ'!DB339</f>
        <v>469.46628575554143</v>
      </c>
      <c r="P772" s="46">
        <f>'Data_in-situ'!DC339</f>
        <v>3</v>
      </c>
      <c r="Q772" s="24">
        <f>'Data_in-situ'!DE339</f>
        <v>1843.0098898856381</v>
      </c>
      <c r="R772" s="24">
        <f>'Data_in-situ'!DF339</f>
        <v>320.75875891326473</v>
      </c>
      <c r="S772" s="46">
        <f>'Data_in-situ'!DG339</f>
        <v>3</v>
      </c>
      <c r="T772" s="113">
        <f>'Data_in-situ'!DN103</f>
        <v>29.018000000000001</v>
      </c>
      <c r="U772" s="113">
        <f>'Data_in-situ'!DO103</f>
        <v>28.458867247309758</v>
      </c>
      <c r="V772" s="46">
        <f>'Data_in-situ'!DP103</f>
        <v>3</v>
      </c>
      <c r="W772" s="113">
        <f>'Data_in-situ'!DR103</f>
        <v>44.106000000000002</v>
      </c>
      <c r="X772" s="113">
        <f>'Data_in-situ'!DS103</f>
        <v>9.7564479704449827</v>
      </c>
      <c r="Y772" s="46">
        <f>'Data_in-situ'!DT103</f>
        <v>3</v>
      </c>
      <c r="Z772" s="113">
        <f>'Data_in-situ'!EA133</f>
        <v>0.6346932112781053</v>
      </c>
      <c r="AA772" s="113">
        <f>'Data_in-situ'!EB133</f>
        <v>0.12856385073753784</v>
      </c>
      <c r="AB772" s="46">
        <f>'Data_in-situ'!EC133</f>
        <v>21</v>
      </c>
      <c r="AC772" s="113">
        <f>'Data_in-situ'!EE133</f>
        <v>0.77756180086158733</v>
      </c>
      <c r="AD772" s="113">
        <f>'Data_in-situ'!EF133</f>
        <v>0.42421666014248416</v>
      </c>
      <c r="AE772" s="46">
        <f>'Data_in-situ'!EG133</f>
        <v>21</v>
      </c>
      <c r="AF772" s="113">
        <f>'Data_in-situ'!EN96</f>
        <v>-6.95</v>
      </c>
      <c r="AG772" s="113">
        <f>'Data_in-situ'!EO96</f>
        <v>1.41</v>
      </c>
      <c r="AH772" s="110">
        <f>'Data_in-situ'!EP96</f>
        <v>3</v>
      </c>
      <c r="AI772" s="113">
        <f>'Data_in-situ'!ER96</f>
        <v>-21.5</v>
      </c>
      <c r="AJ772" s="113">
        <f>'Data_in-situ'!ES96</f>
        <v>1.76</v>
      </c>
      <c r="AK772" s="110">
        <f>'Data_in-situ'!ET96</f>
        <v>3</v>
      </c>
    </row>
    <row r="773" spans="2:37" x14ac:dyDescent="0.3">
      <c r="B773" s="24">
        <f>'Data_in-situ'!CA354</f>
        <v>-5163.6593652646679</v>
      </c>
      <c r="C773" s="24">
        <f>'Data_in-situ'!CB354</f>
        <v>1258.9541681504393</v>
      </c>
      <c r="D773" s="46">
        <f>'Data_in-situ'!CC354</f>
        <v>3</v>
      </c>
      <c r="E773" s="24">
        <f>'Data_in-situ'!CE354</f>
        <v>-11281.753283847371</v>
      </c>
      <c r="F773" s="24">
        <f>'Data_in-situ'!CF354</f>
        <v>4199.848101278134</v>
      </c>
      <c r="G773" s="46">
        <f>'Data_in-situ'!CG354</f>
        <v>3</v>
      </c>
      <c r="H773" s="24">
        <f>'Data_in-situ'!CN354</f>
        <v>3223.0754152425534</v>
      </c>
      <c r="I773" s="24">
        <f>'Data_in-situ'!CO354</f>
        <v>927.04451000195218</v>
      </c>
      <c r="J773" s="46">
        <f>'Data_in-situ'!CP354</f>
        <v>3</v>
      </c>
      <c r="K773" s="24">
        <f>'Data_in-situ'!CR354</f>
        <v>10128.851360772116</v>
      </c>
      <c r="L773" s="24">
        <f>'Data_in-situ'!CS354</f>
        <v>2657.7211591793016</v>
      </c>
      <c r="M773" s="46">
        <f>'Data_in-situ'!CT354</f>
        <v>3</v>
      </c>
      <c r="N773" s="24">
        <f>'Data_in-situ'!DA340</f>
        <v>1621.7638807072944</v>
      </c>
      <c r="O773" s="24">
        <f>'Data_in-situ'!DB340</f>
        <v>1098.3220496581039</v>
      </c>
      <c r="P773" s="46">
        <f>'Data_in-situ'!DC340</f>
        <v>3</v>
      </c>
      <c r="Q773" s="24">
        <f>'Data_in-situ'!DE340</f>
        <v>1729.967922835152</v>
      </c>
      <c r="R773" s="24">
        <f>'Data_in-situ'!DF340</f>
        <v>370.59428586838715</v>
      </c>
      <c r="S773" s="46">
        <f>'Data_in-situ'!DG340</f>
        <v>3</v>
      </c>
      <c r="T773" s="113">
        <f>'Data_in-situ'!DN104</f>
        <v>277.33333333333331</v>
      </c>
      <c r="U773" s="113">
        <f>'Data_in-situ'!DO104</f>
        <v>309.19318952701917</v>
      </c>
      <c r="V773" s="46">
        <f>'Data_in-situ'!DP104</f>
        <v>3</v>
      </c>
      <c r="W773" s="113">
        <f>'Data_in-situ'!DR104</f>
        <v>0.04</v>
      </c>
      <c r="X773" s="113">
        <f>'Data_in-situ'!DS104</f>
        <v>0.1494886517852404</v>
      </c>
      <c r="Y773" s="46">
        <f>'Data_in-situ'!DT104</f>
        <v>3</v>
      </c>
      <c r="Z773" s="113">
        <f>'Data_in-situ'!EA135</f>
        <v>0.2</v>
      </c>
      <c r="AA773" s="113">
        <f>'Data_in-situ'!EB135</f>
        <v>0.51961524227066314</v>
      </c>
      <c r="AB773" s="46">
        <f>'Data_in-situ'!EC135</f>
        <v>3</v>
      </c>
      <c r="AC773" s="113">
        <f>'Data_in-situ'!EE135</f>
        <v>0.9</v>
      </c>
      <c r="AD773" s="113">
        <f>'Data_in-situ'!EF135</f>
        <v>1.0392304845413263</v>
      </c>
      <c r="AE773" s="46">
        <f>'Data_in-situ'!EG135</f>
        <v>3</v>
      </c>
      <c r="AF773" s="113">
        <f>'Data_in-situ'!EN97</f>
        <v>-14.43</v>
      </c>
      <c r="AG773" s="113">
        <f>'Data_in-situ'!EO97</f>
        <v>3.89</v>
      </c>
      <c r="AH773" s="110">
        <f>'Data_in-situ'!EP97</f>
        <v>3</v>
      </c>
      <c r="AI773" s="113">
        <f>'Data_in-situ'!ER97</f>
        <v>-28.3</v>
      </c>
      <c r="AJ773" s="113">
        <f>'Data_in-situ'!ES97</f>
        <v>4.55</v>
      </c>
      <c r="AK773" s="110">
        <f>'Data_in-situ'!ET97</f>
        <v>3</v>
      </c>
    </row>
    <row r="774" spans="2:37" x14ac:dyDescent="0.3">
      <c r="B774" s="24">
        <f>'Data_in-situ'!CA355</f>
        <v>-6328.9988329119469</v>
      </c>
      <c r="C774" s="24">
        <f>'Data_in-situ'!CB355</f>
        <v>1543.0761204956746</v>
      </c>
      <c r="D774" s="46">
        <f>'Data_in-situ'!CC355</f>
        <v>3</v>
      </c>
      <c r="E774" s="24">
        <f>'Data_in-situ'!CE355</f>
        <v>-6508.7452571599624</v>
      </c>
      <c r="F774" s="24">
        <f>'Data_in-situ'!CF355</f>
        <v>2423.0047158648849</v>
      </c>
      <c r="G774" s="46">
        <f>'Data_in-situ'!CG355</f>
        <v>3</v>
      </c>
      <c r="H774" s="24">
        <f>'Data_in-situ'!CN355</f>
        <v>5111.9658604723854</v>
      </c>
      <c r="I774" s="24">
        <f>'Data_in-situ'!CO355</f>
        <v>1470.3409867037487</v>
      </c>
      <c r="J774" s="46">
        <f>'Data_in-situ'!CP355</f>
        <v>3</v>
      </c>
      <c r="K774" s="24">
        <f>'Data_in-situ'!CR355</f>
        <v>5566.4186230898367</v>
      </c>
      <c r="L774" s="24">
        <f>'Data_in-situ'!CS355</f>
        <v>1460.579095151006</v>
      </c>
      <c r="M774" s="46">
        <f>'Data_in-situ'!CT355</f>
        <v>3</v>
      </c>
      <c r="N774" s="24">
        <f>'Data_in-situ'!DA341</f>
        <v>3237.7768635097909</v>
      </c>
      <c r="O774" s="24">
        <f>'Data_in-situ'!DB341</f>
        <v>1588.2056081972487</v>
      </c>
      <c r="P774" s="46">
        <f>'Data_in-situ'!DC341</f>
        <v>3</v>
      </c>
      <c r="Q774" s="24">
        <f>'Data_in-situ'!DE341</f>
        <v>2606.0811330269848</v>
      </c>
      <c r="R774" s="24">
        <f>'Data_in-situ'!DF341</f>
        <v>272.81038691279781</v>
      </c>
      <c r="S774" s="46">
        <f>'Data_in-situ'!DG341</f>
        <v>3</v>
      </c>
      <c r="T774" s="113">
        <f>'Data_in-situ'!DN105</f>
        <v>326.66666666666663</v>
      </c>
      <c r="U774" s="113">
        <f>'Data_in-situ'!DO105</f>
        <v>364.19390112557551</v>
      </c>
      <c r="V774" s="46">
        <f>'Data_in-situ'!DP105</f>
        <v>3</v>
      </c>
      <c r="W774" s="113">
        <f>'Data_in-situ'!DR105</f>
        <v>-0.10666666666666666</v>
      </c>
      <c r="X774" s="113">
        <f>'Data_in-situ'!DS105</f>
        <v>0.39863640476064105</v>
      </c>
      <c r="Y774" s="46">
        <f>'Data_in-situ'!DT105</f>
        <v>3</v>
      </c>
      <c r="Z774" s="113">
        <f>'Data_in-situ'!EA136</f>
        <v>0.3</v>
      </c>
      <c r="AA774" s="113">
        <f>'Data_in-situ'!EB136</f>
        <v>0.8660254037844386</v>
      </c>
      <c r="AB774" s="46">
        <f>'Data_in-situ'!EC136</f>
        <v>3</v>
      </c>
      <c r="AC774" s="113">
        <f>'Data_in-situ'!EE136</f>
        <v>0.7</v>
      </c>
      <c r="AD774" s="113">
        <f>'Data_in-situ'!EF136</f>
        <v>0.8660254037844386</v>
      </c>
      <c r="AE774" s="46">
        <f>'Data_in-situ'!EG136</f>
        <v>3</v>
      </c>
      <c r="AF774" s="113">
        <f>'Data_in-situ'!EN98</f>
        <v>3.3333333333333335</v>
      </c>
      <c r="AG774" s="113">
        <f>'Data_in-situ'!EO98</f>
        <v>1.5275252316519463</v>
      </c>
      <c r="AH774" s="110">
        <f>'Data_in-situ'!EP98</f>
        <v>3</v>
      </c>
      <c r="AI774" s="113">
        <f>'Data_in-situ'!ER98</f>
        <v>-18.100000000000001</v>
      </c>
      <c r="AJ774" s="113">
        <f>'Data_in-situ'!ES98</f>
        <v>5.6</v>
      </c>
      <c r="AK774" s="110">
        <f>'Data_in-situ'!ET98</f>
        <v>3</v>
      </c>
    </row>
    <row r="775" spans="2:37" x14ac:dyDescent="0.3">
      <c r="B775" s="24">
        <f>'Data_in-situ'!CA357</f>
        <v>-6053.2911236122554</v>
      </c>
      <c r="C775" s="24">
        <f>'Data_in-situ'!CB357</f>
        <v>1475.8556969044168</v>
      </c>
      <c r="D775" s="46">
        <f>'Data_in-situ'!CC357</f>
        <v>3</v>
      </c>
      <c r="E775" s="24">
        <f>'Data_in-situ'!CE357</f>
        <v>-11865.719502913866</v>
      </c>
      <c r="F775" s="24">
        <f>'Data_in-situ'!CF357</f>
        <v>4417.2406780036381</v>
      </c>
      <c r="G775" s="46">
        <f>'Data_in-situ'!CG357</f>
        <v>3</v>
      </c>
      <c r="H775" s="24">
        <f>'Data_in-situ'!CN357</f>
        <v>4090.62426273851</v>
      </c>
      <c r="I775" s="24">
        <f>'Data_in-situ'!CO357</f>
        <v>1176.575250867078</v>
      </c>
      <c r="J775" s="46">
        <f>'Data_in-situ'!CP357</f>
        <v>3</v>
      </c>
      <c r="K775" s="24">
        <f>'Data_in-situ'!CR357</f>
        <v>9751.573269002236</v>
      </c>
      <c r="L775" s="24">
        <f>'Data_in-situ'!CS357</f>
        <v>2558.7267192692693</v>
      </c>
      <c r="M775" s="46">
        <f>'Data_in-situ'!CT357</f>
        <v>3</v>
      </c>
      <c r="N775" s="24">
        <f>'Data_in-situ'!DA342</f>
        <v>-558.33453447411694</v>
      </c>
      <c r="O775" s="24">
        <f>'Data_in-situ'!DB342</f>
        <v>748.7456945126147</v>
      </c>
      <c r="P775" s="46">
        <f>'Data_in-situ'!DC342</f>
        <v>3</v>
      </c>
      <c r="Q775" s="24">
        <f>'Data_in-situ'!DE342</f>
        <v>90.926369512445945</v>
      </c>
      <c r="R775" s="24">
        <f>'Data_in-situ'!DF342</f>
        <v>382.25882942650333</v>
      </c>
      <c r="S775" s="46">
        <f>'Data_in-situ'!DG342</f>
        <v>3</v>
      </c>
      <c r="T775" s="113">
        <f>'Data_in-situ'!DN106</f>
        <v>100.8</v>
      </c>
      <c r="U775" s="113">
        <f>'Data_in-situ'!DO106</f>
        <v>112.37983234732044</v>
      </c>
      <c r="V775" s="46">
        <f>'Data_in-situ'!DP106</f>
        <v>3</v>
      </c>
      <c r="W775" s="113">
        <f>'Data_in-situ'!DR106</f>
        <v>1.0666666666666667</v>
      </c>
      <c r="X775" s="113">
        <f>'Data_in-situ'!DS106</f>
        <v>3.9863640476064104</v>
      </c>
      <c r="Y775" s="46">
        <f>'Data_in-situ'!DT106</f>
        <v>3</v>
      </c>
      <c r="Z775" s="113">
        <f>'Data_in-situ'!EA137</f>
        <v>0.2</v>
      </c>
      <c r="AA775" s="113">
        <f>'Data_in-situ'!EB137</f>
        <v>0.51961524227066314</v>
      </c>
      <c r="AB775" s="46">
        <f>'Data_in-situ'!EC137</f>
        <v>3</v>
      </c>
      <c r="AC775" s="113">
        <f>'Data_in-situ'!EE137</f>
        <v>0.6</v>
      </c>
      <c r="AD775" s="113">
        <f>'Data_in-situ'!EF137</f>
        <v>0.51961524227066314</v>
      </c>
      <c r="AE775" s="46">
        <f>'Data_in-situ'!EG137</f>
        <v>3</v>
      </c>
      <c r="AF775" s="113">
        <f>'Data_in-situ'!EN100</f>
        <v>-5.833333333333333</v>
      </c>
      <c r="AG775" s="113">
        <f>'Data_in-situ'!EO100</f>
        <v>5.3385391260156565</v>
      </c>
      <c r="AH775" s="110">
        <f>'Data_in-situ'!EP100</f>
        <v>4</v>
      </c>
      <c r="AI775" s="113">
        <f>'Data_in-situ'!ER100</f>
        <v>-19.5</v>
      </c>
      <c r="AJ775" s="113">
        <f>'Data_in-situ'!ES100</f>
        <v>4.0620192023179804</v>
      </c>
      <c r="AK775" s="110">
        <f>'Data_in-situ'!ET100</f>
        <v>4</v>
      </c>
    </row>
    <row r="776" spans="2:37" x14ac:dyDescent="0.3">
      <c r="B776" s="24">
        <f>'Data_in-situ'!CA358</f>
        <v>-8439.7813360929867</v>
      </c>
      <c r="C776" s="24">
        <f>'Data_in-situ'!CB358</f>
        <v>2057.7069747914984</v>
      </c>
      <c r="D776" s="46">
        <f>'Data_in-situ'!CC358</f>
        <v>3</v>
      </c>
      <c r="E776" s="24">
        <f>'Data_in-situ'!CE358</f>
        <v>-8092.5650763993508</v>
      </c>
      <c r="F776" s="24">
        <f>'Data_in-situ'!CF358</f>
        <v>3012.6118889026902</v>
      </c>
      <c r="G776" s="46">
        <f>'Data_in-situ'!CG358</f>
        <v>3</v>
      </c>
      <c r="H776" s="24">
        <f>'Data_in-situ'!CN358</f>
        <v>5436.6394443079935</v>
      </c>
      <c r="I776" s="24">
        <f>'Data_in-situ'!CO358</f>
        <v>1563.7259760881216</v>
      </c>
      <c r="J776" s="46">
        <f>'Data_in-situ'!CP358</f>
        <v>3</v>
      </c>
      <c r="K776" s="24">
        <f>'Data_in-situ'!CR358</f>
        <v>7258.5296659115611</v>
      </c>
      <c r="L776" s="24">
        <f>'Data_in-situ'!CS358</f>
        <v>1904.5740914252362</v>
      </c>
      <c r="M776" s="46">
        <f>'Data_in-situ'!CT358</f>
        <v>3</v>
      </c>
      <c r="N776" s="24">
        <f>'Data_in-situ'!DA343</f>
        <v>-586.111782169251</v>
      </c>
      <c r="O776" s="24">
        <f>'Data_in-situ'!DB343</f>
        <v>363.91958912283872</v>
      </c>
      <c r="P776" s="46">
        <f>'Data_in-situ'!DC343</f>
        <v>3</v>
      </c>
      <c r="Q776" s="24">
        <f>'Data_in-situ'!DE343</f>
        <v>403.42941150773049</v>
      </c>
      <c r="R776" s="24">
        <f>'Data_in-situ'!DF343</f>
        <v>463.61307598966926</v>
      </c>
      <c r="S776" s="46">
        <f>'Data_in-situ'!DG343</f>
        <v>3</v>
      </c>
      <c r="T776" s="113">
        <f>'Data_in-situ'!DN108</f>
        <v>24</v>
      </c>
      <c r="U776" s="113">
        <f>'Data_in-situ'!DO108</f>
        <v>26.757102939838202</v>
      </c>
      <c r="V776" s="46">
        <f>'Data_in-situ'!DP108</f>
        <v>3</v>
      </c>
      <c r="W776" s="113">
        <f>'Data_in-situ'!DR108</f>
        <v>7.8666666666666663</v>
      </c>
      <c r="X776" s="113">
        <f>'Data_in-situ'!DS108</f>
        <v>29.399434851097276</v>
      </c>
      <c r="Y776" s="46">
        <f>'Data_in-situ'!DT108</f>
        <v>3</v>
      </c>
      <c r="Z776" s="113">
        <f>'Data_in-situ'!EA138</f>
        <v>0.3</v>
      </c>
      <c r="AA776" s="113">
        <f>'Data_in-situ'!EB138</f>
        <v>0.8660254037844386</v>
      </c>
      <c r="AB776" s="46">
        <f>'Data_in-situ'!EC138</f>
        <v>3</v>
      </c>
      <c r="AC776" s="113">
        <f>'Data_in-situ'!EE138</f>
        <v>0.4</v>
      </c>
      <c r="AD776" s="113">
        <f>'Data_in-situ'!EF138</f>
        <v>0.69282032302755092</v>
      </c>
      <c r="AE776" s="46">
        <f>'Data_in-situ'!EG138</f>
        <v>3</v>
      </c>
      <c r="AF776" s="113">
        <f>'Data_in-situ'!EN101</f>
        <v>-17.5</v>
      </c>
      <c r="AG776" s="113">
        <f>'Data_in-situ'!EO101</f>
        <v>4.9497474683058327</v>
      </c>
      <c r="AH776" s="110">
        <f>'Data_in-situ'!EP101</f>
        <v>4</v>
      </c>
      <c r="AI776" s="113">
        <f>'Data_in-situ'!ER101</f>
        <v>-34</v>
      </c>
      <c r="AJ776" s="113">
        <f>'Data_in-situ'!ES101</f>
        <v>11.313708498984761</v>
      </c>
      <c r="AK776" s="110">
        <f>'Data_in-situ'!ET101</f>
        <v>4</v>
      </c>
    </row>
    <row r="777" spans="2:37" x14ac:dyDescent="0.3">
      <c r="B777" s="24">
        <f>'Data_in-situ'!CA412</f>
        <v>-27659.550451779181</v>
      </c>
      <c r="C777" s="24">
        <f>'Data_in-situ'!CB412</f>
        <v>2920.5942857142213</v>
      </c>
      <c r="D777" s="46">
        <f>'Data_in-situ'!CC412</f>
        <v>3</v>
      </c>
      <c r="E777" s="24">
        <f>'Data_in-situ'!CE412</f>
        <v>-19692.259359339321</v>
      </c>
      <c r="F777" s="24">
        <f>'Data_in-situ'!CF412</f>
        <v>1592.4436015993197</v>
      </c>
      <c r="G777" s="46">
        <f>'Data_in-situ'!CG412</f>
        <v>3</v>
      </c>
      <c r="H777" s="24">
        <f>'Data_in-situ'!CN412</f>
        <v>26436.559507179623</v>
      </c>
      <c r="I777" s="24">
        <f>'Data_in-situ'!CO412</f>
        <v>3571.7210373879325</v>
      </c>
      <c r="J777" s="46">
        <f>'Data_in-situ'!CP412</f>
        <v>3</v>
      </c>
      <c r="K777" s="24">
        <f>'Data_in-situ'!CR412</f>
        <v>20646.170885257681</v>
      </c>
      <c r="L777" s="24">
        <f>'Data_in-situ'!CS412</f>
        <v>1492.9781828658879</v>
      </c>
      <c r="M777" s="46">
        <f>'Data_in-situ'!CT412</f>
        <v>3</v>
      </c>
      <c r="N777" s="24">
        <f>'Data_in-situ'!DA344</f>
        <v>893.86422546150288</v>
      </c>
      <c r="O777" s="24">
        <f>'Data_in-situ'!DB344</f>
        <v>1145.1881990612055</v>
      </c>
      <c r="P777" s="46">
        <f>'Data_in-situ'!DC344</f>
        <v>3</v>
      </c>
      <c r="Q777" s="24">
        <f>'Data_in-situ'!DE344</f>
        <v>971.54555824647673</v>
      </c>
      <c r="R777" s="24">
        <f>'Data_in-situ'!DF344</f>
        <v>320.49742821623516</v>
      </c>
      <c r="S777" s="46">
        <f>'Data_in-situ'!DG344</f>
        <v>3</v>
      </c>
      <c r="T777" s="113">
        <f>'Data_in-situ'!DN109</f>
        <v>24.133333333333336</v>
      </c>
      <c r="U777" s="113">
        <f>'Data_in-situ'!DO109</f>
        <v>26.905753511726196</v>
      </c>
      <c r="V777" s="46">
        <f>'Data_in-situ'!DP109</f>
        <v>3</v>
      </c>
      <c r="W777" s="113">
        <f>'Data_in-situ'!DR109</f>
        <v>8.4</v>
      </c>
      <c r="X777" s="113">
        <f>'Data_in-situ'!DS109</f>
        <v>31.392616874900483</v>
      </c>
      <c r="Y777" s="46">
        <f>'Data_in-situ'!DT109</f>
        <v>3</v>
      </c>
      <c r="Z777" s="113">
        <f>'Data_in-situ'!EA139</f>
        <v>0.2</v>
      </c>
      <c r="AA777" s="113">
        <f>'Data_in-situ'!EB139</f>
        <v>0.51961524227066314</v>
      </c>
      <c r="AB777" s="46">
        <f>'Data_in-situ'!EC139</f>
        <v>3</v>
      </c>
      <c r="AC777" s="113">
        <f>'Data_in-situ'!EE139</f>
        <v>0.3</v>
      </c>
      <c r="AD777" s="113">
        <f>'Data_in-situ'!EF139</f>
        <v>0.51961524227066314</v>
      </c>
      <c r="AE777" s="46">
        <f>'Data_in-situ'!EG139</f>
        <v>3</v>
      </c>
      <c r="AF777" s="113">
        <f>'Data_in-situ'!EN102</f>
        <v>-10</v>
      </c>
      <c r="AG777" s="113">
        <f>'Data_in-situ'!EO102</f>
        <v>5.6568542494923806</v>
      </c>
      <c r="AH777" s="110">
        <f>'Data_in-situ'!EP102</f>
        <v>4</v>
      </c>
      <c r="AI777" s="113">
        <f>'Data_in-situ'!ER102</f>
        <v>-16.5</v>
      </c>
      <c r="AJ777" s="113">
        <f>'Data_in-situ'!ES102</f>
        <v>3.5355339059327378</v>
      </c>
      <c r="AK777" s="110">
        <f>'Data_in-situ'!ET102</f>
        <v>4</v>
      </c>
    </row>
    <row r="778" spans="2:37" x14ac:dyDescent="0.3">
      <c r="B778" s="24">
        <f>'Data_in-situ'!CA413</f>
        <v>-13417.445102313484</v>
      </c>
      <c r="C778" s="24">
        <f>'Data_in-situ'!CB413</f>
        <v>2513.9989496861413</v>
      </c>
      <c r="D778" s="46">
        <f>'Data_in-situ'!CC413</f>
        <v>3</v>
      </c>
      <c r="E778" s="24">
        <f>'Data_in-situ'!CE413</f>
        <v>-10261.140414323805</v>
      </c>
      <c r="F778" s="24">
        <f>'Data_in-situ'!CF413</f>
        <v>928.25974642230233</v>
      </c>
      <c r="G778" s="46">
        <f>'Data_in-situ'!CG413</f>
        <v>3</v>
      </c>
      <c r="H778" s="24">
        <f>'Data_in-situ'!CN413</f>
        <v>12328.007487080895</v>
      </c>
      <c r="I778" s="24">
        <f>'Data_in-situ'!CO413</f>
        <v>1844.6484474290598</v>
      </c>
      <c r="J778" s="46">
        <f>'Data_in-situ'!CP413</f>
        <v>3</v>
      </c>
      <c r="K778" s="24">
        <f>'Data_in-situ'!CR413</f>
        <v>10779.460950989149</v>
      </c>
      <c r="L778" s="24">
        <f>'Data_in-situ'!CS413</f>
        <v>1426.079653929331</v>
      </c>
      <c r="M778" s="46">
        <f>'Data_in-situ'!CT413</f>
        <v>3</v>
      </c>
      <c r="N778" s="24">
        <f>'Data_in-situ'!DA345</f>
        <v>-722.09401113274612</v>
      </c>
      <c r="O778" s="24">
        <f>'Data_in-situ'!DB345</f>
        <v>355.55395504217751</v>
      </c>
      <c r="P778" s="46">
        <f>'Data_in-situ'!DC345</f>
        <v>3</v>
      </c>
      <c r="Q778" s="24">
        <f>'Data_in-situ'!DE345</f>
        <v>35.549383790829552</v>
      </c>
      <c r="R778" s="24">
        <f>'Data_in-situ'!DF345</f>
        <v>98.404402630841858</v>
      </c>
      <c r="S778" s="46">
        <f>'Data_in-situ'!DG345</f>
        <v>3</v>
      </c>
      <c r="T778" s="113">
        <f>'Data_in-situ'!DN110</f>
        <v>59.466666666666661</v>
      </c>
      <c r="U778" s="113">
        <f>'Data_in-situ'!DO110</f>
        <v>66.298155062043534</v>
      </c>
      <c r="V778" s="46">
        <f>'Data_in-situ'!DP110</f>
        <v>3</v>
      </c>
      <c r="W778" s="113">
        <f>'Data_in-situ'!DR110</f>
        <v>27.333333333333329</v>
      </c>
      <c r="X778" s="113">
        <f>'Data_in-situ'!DS110</f>
        <v>102.15057871991425</v>
      </c>
      <c r="Y778" s="46">
        <f>'Data_in-situ'!DT110</f>
        <v>3</v>
      </c>
      <c r="Z778" s="113">
        <f>'Data_in-situ'!EA140</f>
        <v>0.3</v>
      </c>
      <c r="AA778" s="113">
        <f>'Data_in-situ'!EB140</f>
        <v>0.8660254037844386</v>
      </c>
      <c r="AB778" s="46">
        <f>'Data_in-situ'!EC140</f>
        <v>3</v>
      </c>
      <c r="AC778" s="113">
        <f>'Data_in-situ'!EE140</f>
        <v>0.4</v>
      </c>
      <c r="AD778" s="113">
        <f>'Data_in-situ'!EF140</f>
        <v>1.0392304845413263</v>
      </c>
      <c r="AE778" s="46">
        <f>'Data_in-situ'!EG140</f>
        <v>3</v>
      </c>
      <c r="AF778" s="113">
        <f>'Data_in-situ'!EN103</f>
        <v>10</v>
      </c>
      <c r="AG778" s="113">
        <f>'Data_in-situ'!EO103</f>
        <v>14.142135623730951</v>
      </c>
      <c r="AH778" s="110">
        <f>'Data_in-situ'!EP103</f>
        <v>4</v>
      </c>
      <c r="AI778" s="113">
        <f>'Data_in-situ'!ER103</f>
        <v>-8</v>
      </c>
      <c r="AJ778" s="113">
        <f>'Data_in-situ'!ES103</f>
        <v>2.8284271247461903</v>
      </c>
      <c r="AK778" s="110">
        <f>'Data_in-situ'!ET103</f>
        <v>4</v>
      </c>
    </row>
    <row r="779" spans="2:37" x14ac:dyDescent="0.3">
      <c r="B779" s="24">
        <f>'Data_in-situ'!CA416</f>
        <v>-5231.5</v>
      </c>
      <c r="C779" s="24">
        <f>'Data_in-situ'!CB416</f>
        <v>774.59070169847246</v>
      </c>
      <c r="D779" s="46">
        <f>'Data_in-situ'!CC416</f>
        <v>5</v>
      </c>
      <c r="E779" s="24">
        <f>'Data_in-situ'!CE416</f>
        <v>-7422.0454386397278</v>
      </c>
      <c r="F779" s="24">
        <f>'Data_in-situ'!CF416</f>
        <v>3514.8314125090737</v>
      </c>
      <c r="G779" s="46">
        <f>'Data_in-situ'!CG416</f>
        <v>5</v>
      </c>
      <c r="H779" s="24">
        <f>'Data_in-situ'!CN416</f>
        <v>4243.1025450256775</v>
      </c>
      <c r="I779" s="24">
        <f>'Data_in-situ'!CO416</f>
        <v>1520.7492674654977</v>
      </c>
      <c r="J779" s="46">
        <f>'Data_in-situ'!CP416</f>
        <v>5</v>
      </c>
      <c r="K779" s="24">
        <f>'Data_in-situ'!CR416</f>
        <v>7080.9624577142204</v>
      </c>
      <c r="L779" s="24">
        <f>'Data_in-situ'!CS416</f>
        <v>2727.0864177083622</v>
      </c>
      <c r="M779" s="46">
        <f>'Data_in-situ'!CT416</f>
        <v>5</v>
      </c>
      <c r="N779" s="24">
        <f>'Data_in-situ'!DA346</f>
        <v>-310.54912511410987</v>
      </c>
      <c r="O779" s="24">
        <f>'Data_in-situ'!DB346</f>
        <v>752.08332336197429</v>
      </c>
      <c r="P779" s="46">
        <f>'Data_in-situ'!DC346</f>
        <v>3</v>
      </c>
      <c r="Q779" s="24">
        <f>'Data_in-situ'!DE346</f>
        <v>-522.80095541718219</v>
      </c>
      <c r="R779" s="24">
        <f>'Data_in-situ'!DF346</f>
        <v>196.66566541741983</v>
      </c>
      <c r="S779" s="46">
        <f>'Data_in-situ'!DG346</f>
        <v>3</v>
      </c>
      <c r="T779" s="113">
        <f>'Data_in-situ'!DN111</f>
        <v>50.8</v>
      </c>
      <c r="U779" s="113">
        <f>'Data_in-situ'!DO111</f>
        <v>56.635867889324189</v>
      </c>
      <c r="V779" s="46">
        <f>'Data_in-situ'!DP111</f>
        <v>3</v>
      </c>
      <c r="W779" s="113">
        <f>'Data_in-situ'!DR111</f>
        <v>28.133333333333329</v>
      </c>
      <c r="X779" s="113">
        <f>'Data_in-situ'!DS111</f>
        <v>105.14035175561906</v>
      </c>
      <c r="Y779" s="46">
        <f>'Data_in-situ'!DT111</f>
        <v>3</v>
      </c>
      <c r="Z779" s="113">
        <f>'Data_in-situ'!EA141</f>
        <v>1</v>
      </c>
      <c r="AA779" s="113">
        <f>'Data_in-situ'!EB141</f>
        <v>1.5811388300841898</v>
      </c>
      <c r="AB779" s="46">
        <f>'Data_in-situ'!EC141</f>
        <v>10</v>
      </c>
      <c r="AC779" s="113">
        <f>'Data_in-situ'!EE141</f>
        <v>2</v>
      </c>
      <c r="AD779" s="113">
        <f>'Data_in-situ'!EF141</f>
        <v>2.8460498941515415</v>
      </c>
      <c r="AE779" s="46">
        <f>'Data_in-situ'!EG141</f>
        <v>10</v>
      </c>
      <c r="AF779" s="113">
        <f>'Data_in-situ'!EN104</f>
        <v>-27.34</v>
      </c>
      <c r="AG779" s="113">
        <f>'Data_in-situ'!EO104</f>
        <v>6.04</v>
      </c>
      <c r="AH779" s="110">
        <f>'Data_in-situ'!EP104</f>
        <v>3</v>
      </c>
      <c r="AI779" s="113">
        <f>'Data_in-situ'!ER104</f>
        <v>-42.07</v>
      </c>
      <c r="AJ779" s="113">
        <f>'Data_in-situ'!ES104</f>
        <v>2.04</v>
      </c>
      <c r="AK779" s="110">
        <f>'Data_in-situ'!ET104</f>
        <v>3</v>
      </c>
    </row>
    <row r="780" spans="2:37" x14ac:dyDescent="0.3">
      <c r="B780" s="24">
        <f>'Data_in-situ'!CA417</f>
        <v>-7616.0068848250821</v>
      </c>
      <c r="C780" s="24">
        <f>'Data_in-situ'!CB417</f>
        <v>1856.8621464095218</v>
      </c>
      <c r="D780" s="46">
        <f>'Data_in-situ'!CC417</f>
        <v>5</v>
      </c>
      <c r="E780" s="24">
        <f>'Data_in-situ'!CE417</f>
        <v>-11234.346432115035</v>
      </c>
      <c r="F780" s="24">
        <f>'Data_in-situ'!CF417</f>
        <v>2636.9713135995598</v>
      </c>
      <c r="G780" s="46">
        <f>'Data_in-situ'!CG417</f>
        <v>5</v>
      </c>
      <c r="H780" s="24">
        <f>'Data_in-situ'!CN417</f>
        <v>7943.3298263910074</v>
      </c>
      <c r="I780" s="24">
        <f>'Data_in-situ'!CO417</f>
        <v>2284.7185864362959</v>
      </c>
      <c r="J780" s="46">
        <f>'Data_in-situ'!CP417</f>
        <v>5</v>
      </c>
      <c r="K780" s="24">
        <f>'Data_in-situ'!CR417</f>
        <v>12092.326878238955</v>
      </c>
      <c r="L780" s="24">
        <f>'Data_in-situ'!CS417</f>
        <v>4450.7541788118779</v>
      </c>
      <c r="M780" s="46">
        <f>'Data_in-situ'!CT417</f>
        <v>5</v>
      </c>
      <c r="N780" s="24">
        <f>'Data_in-situ'!DA347</f>
        <v>7.5327398944743891</v>
      </c>
      <c r="O780" s="24">
        <f>'Data_in-situ'!DB347</f>
        <v>385.89969557971807</v>
      </c>
      <c r="P780" s="46">
        <f>'Data_in-situ'!DC347</f>
        <v>3</v>
      </c>
      <c r="Q780" s="24">
        <f>'Data_in-situ'!DE347</f>
        <v>-55.731134523739229</v>
      </c>
      <c r="R780" s="24">
        <f>'Data_in-situ'!DF347</f>
        <v>131.30398661871592</v>
      </c>
      <c r="S780" s="46">
        <f>'Data_in-situ'!DG347</f>
        <v>3</v>
      </c>
      <c r="T780" s="113">
        <f>'Data_in-situ'!DN128</f>
        <v>214.33232862768773</v>
      </c>
      <c r="U780" s="113">
        <f>'Data_in-situ'!DO128</f>
        <v>127.05286261842672</v>
      </c>
      <c r="V780" s="46">
        <f>'Data_in-situ'!DP128</f>
        <v>18</v>
      </c>
      <c r="W780" s="113">
        <f>'Data_in-situ'!DR128</f>
        <v>74.807487646490884</v>
      </c>
      <c r="X780" s="113">
        <f>'Data_in-situ'!DS128</f>
        <v>46.844140538456692</v>
      </c>
      <c r="Y780" s="46">
        <f>'Data_in-situ'!DT128</f>
        <v>18</v>
      </c>
      <c r="Z780" s="113">
        <f>'Data_in-situ'!EA142</f>
        <v>1</v>
      </c>
      <c r="AA780" s="113">
        <f>'Data_in-situ'!EB142</f>
        <v>1.5811388300841898</v>
      </c>
      <c r="AB780" s="46">
        <f>'Data_in-situ'!EC142</f>
        <v>10</v>
      </c>
      <c r="AC780" s="113">
        <f>'Data_in-situ'!EE142</f>
        <v>2</v>
      </c>
      <c r="AD780" s="113">
        <f>'Data_in-situ'!EF142</f>
        <v>4.4271887242357311</v>
      </c>
      <c r="AE780" s="46">
        <f>'Data_in-situ'!EG142</f>
        <v>10</v>
      </c>
      <c r="AF780" s="113">
        <f>'Data_in-situ'!EN105</f>
        <v>-27.34</v>
      </c>
      <c r="AG780" s="113">
        <f>'Data_in-situ'!EO105</f>
        <v>6.04</v>
      </c>
      <c r="AH780" s="110">
        <f>'Data_in-situ'!EP105</f>
        <v>3</v>
      </c>
      <c r="AI780" s="113">
        <f>'Data_in-situ'!ER105</f>
        <v>-42.07</v>
      </c>
      <c r="AJ780" s="113">
        <f>'Data_in-situ'!ES105</f>
        <v>2.04</v>
      </c>
      <c r="AK780" s="110">
        <f>'Data_in-situ'!ET105</f>
        <v>3</v>
      </c>
    </row>
    <row r="781" spans="2:37" x14ac:dyDescent="0.3">
      <c r="B781" s="24">
        <f>'Data_in-situ'!CA447</f>
        <v>-13830.844197002392</v>
      </c>
      <c r="C781" s="24">
        <f>'Data_in-situ'!CB447</f>
        <v>2274.6676845640554</v>
      </c>
      <c r="D781" s="46">
        <f>'Data_in-situ'!CC447</f>
        <v>3</v>
      </c>
      <c r="E781" s="24">
        <f>'Data_in-situ'!CE447</f>
        <v>-66220.372894871383</v>
      </c>
      <c r="F781" s="24">
        <f>'Data_in-situ'!CF447</f>
        <v>9098.6707382562217</v>
      </c>
      <c r="G781" s="46">
        <f>'Data_in-situ'!CG447</f>
        <v>3</v>
      </c>
      <c r="H781" s="24">
        <f>'Data_in-situ'!CN447</f>
        <v>8766.0655826625862</v>
      </c>
      <c r="I781" s="24">
        <f>'Data_in-situ'!CO447</f>
        <v>227.4667684564055</v>
      </c>
      <c r="J781" s="46">
        <f>'Data_in-situ'!CP447</f>
        <v>3</v>
      </c>
      <c r="K781" s="24">
        <f>'Data_in-situ'!CR447</f>
        <v>41998.127476961054</v>
      </c>
      <c r="L781" s="24">
        <f>'Data_in-situ'!CS447</f>
        <v>6824.003053692164</v>
      </c>
      <c r="M781" s="46">
        <f>'Data_in-situ'!CT447</f>
        <v>3</v>
      </c>
      <c r="N781" s="24">
        <f>'Data_in-situ'!DA348</f>
        <v>2591.2055425559711</v>
      </c>
      <c r="O781" s="24">
        <f>'Data_in-situ'!DB348</f>
        <v>1600.5466590475353</v>
      </c>
      <c r="P781" s="46">
        <f>'Data_in-situ'!DC348</f>
        <v>3</v>
      </c>
      <c r="Q781" s="24">
        <f>'Data_in-situ'!DE348</f>
        <v>5059.6370329114443</v>
      </c>
      <c r="R781" s="24">
        <f>'Data_in-situ'!DF348</f>
        <v>1113.5441452092068</v>
      </c>
      <c r="S781" s="46">
        <f>'Data_in-situ'!DG348</f>
        <v>3</v>
      </c>
      <c r="T781" s="113">
        <f>'Data_in-situ'!DN129</f>
        <v>214.33232862768773</v>
      </c>
      <c r="U781" s="113">
        <f>'Data_in-situ'!DO129</f>
        <v>127.05286261842672</v>
      </c>
      <c r="V781" s="46">
        <f>'Data_in-situ'!DP129</f>
        <v>18</v>
      </c>
      <c r="W781" s="113">
        <f>'Data_in-situ'!DR129</f>
        <v>3.701330808396313</v>
      </c>
      <c r="X781" s="113">
        <f>'Data_in-situ'!DS129</f>
        <v>11.16614647740138</v>
      </c>
      <c r="Y781" s="46">
        <f>'Data_in-situ'!DT129</f>
        <v>18</v>
      </c>
      <c r="Z781" s="113">
        <f>'Data_in-situ'!EA143</f>
        <v>1</v>
      </c>
      <c r="AA781" s="113">
        <f>'Data_in-situ'!EB143</f>
        <v>1.5811388300841898</v>
      </c>
      <c r="AB781" s="46">
        <f>'Data_in-situ'!EC143</f>
        <v>10</v>
      </c>
      <c r="AC781" s="113">
        <f>'Data_in-situ'!EE143</f>
        <v>11</v>
      </c>
      <c r="AD781" s="113">
        <f>'Data_in-situ'!EF143</f>
        <v>13.914021704740872</v>
      </c>
      <c r="AE781" s="46">
        <f>'Data_in-situ'!EG143</f>
        <v>10</v>
      </c>
      <c r="AF781" s="113">
        <f>'Data_in-situ'!EN106</f>
        <v>-2.62</v>
      </c>
      <c r="AG781" s="113">
        <f>'Data_in-situ'!EO106</f>
        <v>0.79</v>
      </c>
      <c r="AH781" s="110">
        <f>'Data_in-situ'!EP106</f>
        <v>3</v>
      </c>
      <c r="AI781" s="113">
        <f>'Data_in-situ'!ER106</f>
        <v>-21.88</v>
      </c>
      <c r="AJ781" s="113">
        <f>'Data_in-situ'!ES106</f>
        <v>3.76</v>
      </c>
      <c r="AK781" s="110">
        <f>'Data_in-situ'!ET106</f>
        <v>3</v>
      </c>
    </row>
    <row r="782" spans="2:37" x14ac:dyDescent="0.3">
      <c r="B782" s="24">
        <f>'Data_in-situ'!CA448</f>
        <v>-32633.333333333332</v>
      </c>
      <c r="C782" s="24">
        <f>'Data_in-situ'!CB448</f>
        <v>3600</v>
      </c>
      <c r="D782" s="46">
        <f>'Data_in-situ'!CC448</f>
        <v>3</v>
      </c>
      <c r="E782" s="24">
        <f>'Data_in-situ'!CE448</f>
        <v>-65926.666666666672</v>
      </c>
      <c r="F782" s="24">
        <f>'Data_in-situ'!CF448</f>
        <v>5926</v>
      </c>
      <c r="G782" s="46">
        <f>'Data_in-situ'!CG448</f>
        <v>3</v>
      </c>
      <c r="H782" s="24">
        <f>'Data_in-situ'!CN448</f>
        <v>30690</v>
      </c>
      <c r="I782" s="24">
        <f>'Data_in-situ'!CO448</f>
        <v>3652</v>
      </c>
      <c r="J782" s="46">
        <f>'Data_in-situ'!CP448</f>
        <v>3</v>
      </c>
      <c r="K782" s="24">
        <f>'Data_in-situ'!CR448</f>
        <v>61160</v>
      </c>
      <c r="L782" s="24">
        <f>'Data_in-situ'!CS448</f>
        <v>6593</v>
      </c>
      <c r="M782" s="46">
        <f>'Data_in-situ'!CT448</f>
        <v>3</v>
      </c>
      <c r="N782" s="24">
        <f>'Data_in-situ'!DA349</f>
        <v>-48.179151155642103</v>
      </c>
      <c r="O782" s="24">
        <f>'Data_in-situ'!DB349</f>
        <v>1897.3884326053135</v>
      </c>
      <c r="P782" s="46">
        <f>'Data_in-situ'!DC349</f>
        <v>3</v>
      </c>
      <c r="Q782" s="24">
        <f>'Data_in-situ'!DE349</f>
        <v>1064.0214415998626</v>
      </c>
      <c r="R782" s="24">
        <f>'Data_in-situ'!DF349</f>
        <v>385.19113146523358</v>
      </c>
      <c r="S782" s="46">
        <f>'Data_in-situ'!DG349</f>
        <v>3</v>
      </c>
      <c r="T782" s="113">
        <f>'Data_in-situ'!DN130</f>
        <v>319.22459108513186</v>
      </c>
      <c r="U782" s="113">
        <f>'Data_in-situ'!DO130</f>
        <v>121.19295255477282</v>
      </c>
      <c r="V782" s="46">
        <f>'Data_in-situ'!DP130</f>
        <v>18</v>
      </c>
      <c r="W782" s="113">
        <f>'Data_in-situ'!DR130</f>
        <v>222.57960625006015</v>
      </c>
      <c r="X782" s="113">
        <f>'Data_in-situ'!DS130</f>
        <v>146.24752567167019</v>
      </c>
      <c r="Y782" s="46">
        <f>'Data_in-situ'!DT130</f>
        <v>18</v>
      </c>
      <c r="Z782" s="113">
        <f>'Data_in-situ'!EA144</f>
        <v>1</v>
      </c>
      <c r="AA782" s="113">
        <f>'Data_in-situ'!EB144</f>
        <v>1.5811388300841898</v>
      </c>
      <c r="AB782" s="46">
        <f>'Data_in-situ'!EC144</f>
        <v>10</v>
      </c>
      <c r="AC782" s="113">
        <f>'Data_in-situ'!EE144</f>
        <v>6</v>
      </c>
      <c r="AD782" s="113">
        <f>'Data_in-situ'!EF144</f>
        <v>8.538149682454625</v>
      </c>
      <c r="AE782" s="46">
        <f>'Data_in-situ'!EG144</f>
        <v>10</v>
      </c>
      <c r="AF782" s="113">
        <f>'Data_in-situ'!EN108</f>
        <v>-10.75</v>
      </c>
      <c r="AG782" s="113">
        <f>'Data_in-situ'!EO108</f>
        <v>1.853</v>
      </c>
      <c r="AH782" s="110">
        <f>'Data_in-situ'!EP108</f>
        <v>3</v>
      </c>
      <c r="AI782" s="113">
        <f>'Data_in-situ'!ER108</f>
        <v>-20.14</v>
      </c>
      <c r="AJ782" s="113">
        <f>'Data_in-situ'!ES108</f>
        <v>1.87</v>
      </c>
      <c r="AK782" s="110">
        <f>'Data_in-situ'!ET108</f>
        <v>3</v>
      </c>
    </row>
    <row r="783" spans="2:37" x14ac:dyDescent="0.3">
      <c r="B783" s="24">
        <f>'Data_in-situ'!CA449</f>
        <v>-36630</v>
      </c>
      <c r="C783" s="24">
        <f>'Data_in-situ'!CB449</f>
        <v>4321</v>
      </c>
      <c r="D783" s="46">
        <f>'Data_in-situ'!CC449</f>
        <v>3</v>
      </c>
      <c r="E783" s="24">
        <f>'Data_in-situ'!CE449</f>
        <v>-75753.333333333328</v>
      </c>
      <c r="F783" s="24">
        <f>'Data_in-situ'!CF449</f>
        <v>7859</v>
      </c>
      <c r="G783" s="46">
        <f>'Data_in-situ'!CG449</f>
        <v>3</v>
      </c>
      <c r="H783" s="24">
        <f>'Data_in-situ'!CN449</f>
        <v>33953.333333333336</v>
      </c>
      <c r="I783" s="24">
        <f>'Data_in-situ'!CO449</f>
        <v>4126</v>
      </c>
      <c r="J783" s="46">
        <f>'Data_in-situ'!CP449</f>
        <v>3</v>
      </c>
      <c r="K783" s="24">
        <f>'Data_in-situ'!CR449</f>
        <v>64753.333333333336</v>
      </c>
      <c r="L783" s="24">
        <f>'Data_in-situ'!CS449</f>
        <v>9463</v>
      </c>
      <c r="M783" s="46">
        <f>'Data_in-situ'!CT449</f>
        <v>3</v>
      </c>
      <c r="N783" s="24">
        <f>'Data_in-situ'!DA350</f>
        <v>966.28380447712357</v>
      </c>
      <c r="O783" s="24">
        <f>'Data_in-situ'!DB350</f>
        <v>2670.8132341684627</v>
      </c>
      <c r="P783" s="46">
        <f>'Data_in-situ'!DC350</f>
        <v>3</v>
      </c>
      <c r="Q783" s="24">
        <f>'Data_in-situ'!DE350</f>
        <v>-527.61294357135102</v>
      </c>
      <c r="R783" s="24">
        <f>'Data_in-situ'!DF350</f>
        <v>119.07629993106522</v>
      </c>
      <c r="S783" s="46">
        <f>'Data_in-situ'!DG350</f>
        <v>3</v>
      </c>
      <c r="T783" s="113">
        <f>'Data_in-situ'!DN131</f>
        <v>319.22459108513186</v>
      </c>
      <c r="U783" s="113">
        <f>'Data_in-situ'!DO131</f>
        <v>121.19295255477282</v>
      </c>
      <c r="V783" s="46">
        <f>'Data_in-situ'!DP131</f>
        <v>18</v>
      </c>
      <c r="W783" s="113">
        <f>'Data_in-situ'!DR131</f>
        <v>5.4661003499523613</v>
      </c>
      <c r="X783" s="113">
        <f>'Data_in-situ'!DS131</f>
        <v>11.395301936593999</v>
      </c>
      <c r="Y783" s="46">
        <f>'Data_in-situ'!DT131</f>
        <v>18</v>
      </c>
      <c r="Z783" s="113">
        <f>'Data_in-situ'!EA145</f>
        <v>-6.8828571428571433E-2</v>
      </c>
      <c r="AA783" s="113">
        <f>'Data_in-situ'!EB145</f>
        <v>0.39576270143804132</v>
      </c>
      <c r="AB783" s="46">
        <f>'Data_in-situ'!EC145</f>
        <v>4</v>
      </c>
      <c r="AC783" s="113">
        <f>'Data_in-situ'!EE145</f>
        <v>0.19271999999999997</v>
      </c>
      <c r="AD783" s="113">
        <f>'Data_in-situ'!EF145</f>
        <v>0.28775782163506208</v>
      </c>
      <c r="AE783" s="46">
        <f>'Data_in-situ'!EG145</f>
        <v>4</v>
      </c>
      <c r="AF783" s="113">
        <f>'Data_in-situ'!EN109</f>
        <v>-24.62</v>
      </c>
      <c r="AG783" s="113">
        <f>'Data_in-situ'!EO109</f>
        <v>6.88</v>
      </c>
      <c r="AH783" s="110">
        <f>'Data_in-situ'!EP109</f>
        <v>3</v>
      </c>
      <c r="AI783" s="113">
        <f>'Data_in-situ'!ER109</f>
        <v>-23.22</v>
      </c>
      <c r="AJ783" s="113">
        <f>'Data_in-situ'!ES109</f>
        <v>6.41</v>
      </c>
      <c r="AK783" s="110">
        <f>'Data_in-situ'!ET109</f>
        <v>3</v>
      </c>
    </row>
    <row r="784" spans="2:37" x14ac:dyDescent="0.3">
      <c r="N784" s="24">
        <f>'Data_in-situ'!DA351</f>
        <v>4462.8866415951125</v>
      </c>
      <c r="O784" s="24">
        <f>'Data_in-situ'!DB351</f>
        <v>2118.4369604304802</v>
      </c>
      <c r="P784" s="46">
        <f>'Data_in-situ'!DC351</f>
        <v>3</v>
      </c>
      <c r="Q784" s="24">
        <f>'Data_in-situ'!DE351</f>
        <v>11338.017563286921</v>
      </c>
      <c r="R784" s="24">
        <f>'Data_in-situ'!DF351</f>
        <v>1981.8390153148923</v>
      </c>
      <c r="S784" s="46">
        <f>'Data_in-situ'!DG351</f>
        <v>3</v>
      </c>
      <c r="T784" s="113">
        <f>'Data_in-situ'!DN132</f>
        <v>440.08296271455015</v>
      </c>
      <c r="U784" s="113">
        <f>'Data_in-situ'!DO132</f>
        <v>113.40347895786114</v>
      </c>
      <c r="V784" s="46">
        <f>'Data_in-situ'!DP132</f>
        <v>21</v>
      </c>
      <c r="W784" s="113">
        <f>'Data_in-situ'!DR132</f>
        <v>251.76858211880577</v>
      </c>
      <c r="X784" s="113">
        <f>'Data_in-situ'!DS132</f>
        <v>162.14335017466513</v>
      </c>
      <c r="Y784" s="46">
        <f>'Data_in-situ'!DT132</f>
        <v>21</v>
      </c>
      <c r="Z784" s="113">
        <f>'Data_in-situ'!EA152</f>
        <v>4.2428571428571429</v>
      </c>
      <c r="AA784" s="113">
        <f>'Data_in-situ'!EB152</f>
        <v>2.9857142857142853</v>
      </c>
      <c r="AB784" s="46">
        <f>'Data_in-situ'!EC152</f>
        <v>7</v>
      </c>
      <c r="AC784" s="113">
        <f>'Data_in-situ'!EE152</f>
        <v>3.7714285714285714</v>
      </c>
      <c r="AD784" s="113">
        <f>'Data_in-situ'!EF152</f>
        <v>1.7285714285714289</v>
      </c>
      <c r="AE784" s="46">
        <f>'Data_in-situ'!EG152</f>
        <v>10</v>
      </c>
      <c r="AF784" s="113">
        <f>'Data_in-situ'!EN110</f>
        <v>-6.95</v>
      </c>
      <c r="AG784" s="113">
        <f>'Data_in-situ'!EO110</f>
        <v>1.41</v>
      </c>
      <c r="AH784" s="110">
        <f>'Data_in-situ'!EP110</f>
        <v>3</v>
      </c>
      <c r="AI784" s="113">
        <f>'Data_in-situ'!ER110</f>
        <v>-21.5</v>
      </c>
      <c r="AJ784" s="113">
        <f>'Data_in-situ'!ES110</f>
        <v>1.76</v>
      </c>
      <c r="AK784" s="110">
        <f>'Data_in-situ'!ET110</f>
        <v>3</v>
      </c>
    </row>
    <row r="785" spans="14:37" x14ac:dyDescent="0.3">
      <c r="N785" s="24">
        <f>'Data_in-situ'!DA352</f>
        <v>-65.821682153624351</v>
      </c>
      <c r="O785" s="24">
        <f>'Data_in-situ'!DB352</f>
        <v>2444.1125484173954</v>
      </c>
      <c r="P785" s="46">
        <f>'Data_in-situ'!DC352</f>
        <v>3</v>
      </c>
      <c r="Q785" s="24">
        <f>'Data_in-situ'!DE352</f>
        <v>2804.9514685184622</v>
      </c>
      <c r="R785" s="24">
        <f>'Data_in-situ'!DF352</f>
        <v>528.03532028319501</v>
      </c>
      <c r="S785" s="46">
        <f>'Data_in-situ'!DG352</f>
        <v>3</v>
      </c>
      <c r="T785" s="113">
        <f>'Data_in-situ'!DN133</f>
        <v>440.08296271455015</v>
      </c>
      <c r="U785" s="113">
        <f>'Data_in-situ'!DO133</f>
        <v>113.40347895786114</v>
      </c>
      <c r="V785" s="46">
        <f>'Data_in-situ'!DP133</f>
        <v>21</v>
      </c>
      <c r="W785" s="113">
        <f>'Data_in-situ'!DR133</f>
        <v>25.550114778634466</v>
      </c>
      <c r="X785" s="113">
        <f>'Data_in-situ'!DS133</f>
        <v>18.733958929588759</v>
      </c>
      <c r="Y785" s="46">
        <f>'Data_in-situ'!DT133</f>
        <v>21</v>
      </c>
      <c r="Z785" s="113">
        <f>'Data_in-situ'!EA163</f>
        <v>0.69244345015682884</v>
      </c>
      <c r="AA785" s="113">
        <f>'Data_in-situ'!EB163</f>
        <v>3.9815338999377539</v>
      </c>
      <c r="AB785" s="46">
        <f>'Data_in-situ'!EC163</f>
        <v>4</v>
      </c>
      <c r="AC785" s="113">
        <f>'Data_in-situ'!EE163</f>
        <v>1.8900218026919515</v>
      </c>
      <c r="AD785" s="113">
        <f>'Data_in-situ'!EF163</f>
        <v>2.8220659858105499</v>
      </c>
      <c r="AE785" s="46">
        <f>'Data_in-situ'!EG163</f>
        <v>4</v>
      </c>
      <c r="AF785" s="113">
        <f>'Data_in-situ'!EN111</f>
        <v>-14.43</v>
      </c>
      <c r="AG785" s="113">
        <f>'Data_in-situ'!EO111</f>
        <v>3.89</v>
      </c>
      <c r="AH785" s="110">
        <f>'Data_in-situ'!EP111</f>
        <v>3</v>
      </c>
      <c r="AI785" s="113">
        <f>'Data_in-situ'!ER111</f>
        <v>-28.3</v>
      </c>
      <c r="AJ785" s="113">
        <f>'Data_in-situ'!ES111</f>
        <v>4.55</v>
      </c>
      <c r="AK785" s="110">
        <f>'Data_in-situ'!ET111</f>
        <v>3</v>
      </c>
    </row>
    <row r="786" spans="14:37" x14ac:dyDescent="0.3">
      <c r="N786" s="24">
        <f>'Data_in-situ'!DA353</f>
        <v>-369.93524485829175</v>
      </c>
      <c r="O786" s="24">
        <f>'Data_in-situ'!DB353</f>
        <v>430.23040896760483</v>
      </c>
      <c r="P786" s="46">
        <f>'Data_in-situ'!DC353</f>
        <v>3</v>
      </c>
      <c r="Q786" s="24">
        <f>'Data_in-situ'!DE353</f>
        <v>527.66414470429572</v>
      </c>
      <c r="R786" s="24">
        <f>'Data_in-situ'!DF353</f>
        <v>650.28157743771067</v>
      </c>
      <c r="S786" s="46">
        <f>'Data_in-situ'!DG353</f>
        <v>3</v>
      </c>
      <c r="T786" s="113">
        <f>'Data_in-situ'!DN135</f>
        <v>106</v>
      </c>
      <c r="U786" s="113">
        <f>'Data_in-situ'!DO135</f>
        <v>76.556645694544372</v>
      </c>
      <c r="V786" s="46">
        <f>'Data_in-situ'!DP135</f>
        <v>3</v>
      </c>
      <c r="W786" s="113">
        <f>'Data_in-situ'!DR135</f>
        <v>1</v>
      </c>
      <c r="X786" s="113">
        <f>'Data_in-situ'!DS135</f>
        <v>2.0784609690826525</v>
      </c>
      <c r="Y786" s="46">
        <f>'Data_in-situ'!DT135</f>
        <v>3</v>
      </c>
      <c r="Z786" s="113">
        <f>'Data_in-situ'!EA164</f>
        <v>0.69244345015682884</v>
      </c>
      <c r="AA786" s="113">
        <f>'Data_in-situ'!EB164</f>
        <v>3.9815338999377539</v>
      </c>
      <c r="AB786" s="46">
        <f>'Data_in-situ'!EC164</f>
        <v>4</v>
      </c>
      <c r="AC786" s="113">
        <f>'Data_in-situ'!EE164</f>
        <v>1.2029333397446536</v>
      </c>
      <c r="AD786" s="113">
        <f>'Data_in-situ'!EF164</f>
        <v>1.7961471430941864</v>
      </c>
      <c r="AE786" s="46">
        <f>'Data_in-situ'!EG164</f>
        <v>4</v>
      </c>
      <c r="AF786" s="113">
        <f>'Data_in-situ'!EN128</f>
        <v>-7.08</v>
      </c>
      <c r="AG786" s="113">
        <f>'Data_in-situ'!EO128</f>
        <v>2.8850745031591569</v>
      </c>
      <c r="AH786" s="110">
        <f>'Data_in-situ'!EP128</f>
        <v>18</v>
      </c>
      <c r="AI786" s="113">
        <f>'Data_in-situ'!ER128</f>
        <v>-15.22</v>
      </c>
      <c r="AJ786" s="113">
        <f>'Data_in-situ'!ES128</f>
        <v>3.4521098944099355</v>
      </c>
      <c r="AK786" s="110">
        <f>'Data_in-situ'!ET128</f>
        <v>18</v>
      </c>
    </row>
    <row r="787" spans="14:37" x14ac:dyDescent="0.3">
      <c r="N787" s="24">
        <f>'Data_in-situ'!DA354</f>
        <v>-1940.5839500221145</v>
      </c>
      <c r="O787" s="24">
        <f>'Data_in-situ'!DB354</f>
        <v>5821.085373365031</v>
      </c>
      <c r="P787" s="46">
        <f>'Data_in-situ'!DC354</f>
        <v>3</v>
      </c>
      <c r="Q787" s="24">
        <f>'Data_in-situ'!DE354</f>
        <v>-1152.9019230752547</v>
      </c>
      <c r="R787" s="24">
        <f>'Data_in-situ'!DF354</f>
        <v>1098.8801605135104</v>
      </c>
      <c r="S787" s="46">
        <f>'Data_in-situ'!DG354</f>
        <v>3</v>
      </c>
      <c r="T787" s="113">
        <f>'Data_in-situ'!DN136</f>
        <v>122</v>
      </c>
      <c r="U787" s="113">
        <f>'Data_in-situ'!DO136</f>
        <v>57.850496972800492</v>
      </c>
      <c r="V787" s="46">
        <f>'Data_in-situ'!DP136</f>
        <v>3</v>
      </c>
      <c r="W787" s="113">
        <f>'Data_in-situ'!DR136</f>
        <v>0</v>
      </c>
      <c r="X787" s="113">
        <f>'Data_in-situ'!DS136</f>
        <v>2.4248711305964279</v>
      </c>
      <c r="Y787" s="46">
        <f>'Data_in-situ'!DT136</f>
        <v>3</v>
      </c>
      <c r="Z787" s="113">
        <f>'Data_in-situ'!EA165</f>
        <v>0.69244345015682884</v>
      </c>
      <c r="AA787" s="113">
        <f>'Data_in-situ'!EB165</f>
        <v>3.9815338999377539</v>
      </c>
      <c r="AB787" s="46">
        <f>'Data_in-situ'!EC165</f>
        <v>4</v>
      </c>
      <c r="AC787" s="113">
        <f>'Data_in-situ'!EE165</f>
        <v>1.5464775712183025</v>
      </c>
      <c r="AD787" s="113">
        <f>'Data_in-situ'!EF165</f>
        <v>2.3091065644523678</v>
      </c>
      <c r="AE787" s="46">
        <f>'Data_in-situ'!EG165</f>
        <v>4</v>
      </c>
      <c r="AF787" s="113">
        <f>'Data_in-situ'!EN129</f>
        <v>-7.08</v>
      </c>
      <c r="AG787" s="113">
        <f>'Data_in-situ'!EO129</f>
        <v>2.8850745031591569</v>
      </c>
      <c r="AH787" s="110">
        <f>'Data_in-situ'!EP129</f>
        <v>18</v>
      </c>
      <c r="AI787" s="113">
        <f>'Data_in-situ'!ER129</f>
        <v>-36.11</v>
      </c>
      <c r="AJ787" s="113">
        <f>'Data_in-situ'!ES129</f>
        <v>8.190255472217002</v>
      </c>
      <c r="AK787" s="110">
        <f>'Data_in-situ'!ET129</f>
        <v>18</v>
      </c>
    </row>
    <row r="788" spans="14:37" x14ac:dyDescent="0.3">
      <c r="N788" s="24">
        <f>'Data_in-situ'!DA355</f>
        <v>-1217.0329724395615</v>
      </c>
      <c r="O788" s="24">
        <f>'Data_in-situ'!DB355</f>
        <v>3650.6809379157057</v>
      </c>
      <c r="P788" s="46">
        <f>'Data_in-situ'!DC355</f>
        <v>3</v>
      </c>
      <c r="Q788" s="24">
        <f>'Data_in-situ'!DE355</f>
        <v>-942.32663407012569</v>
      </c>
      <c r="R788" s="24">
        <f>'Data_in-situ'!DF355</f>
        <v>898.17184114068311</v>
      </c>
      <c r="S788" s="46">
        <f>'Data_in-situ'!DG355</f>
        <v>3</v>
      </c>
      <c r="T788" s="113">
        <f>'Data_in-situ'!DN137</f>
        <v>106</v>
      </c>
      <c r="U788" s="113">
        <f>'Data_in-situ'!DO137</f>
        <v>76.556645694544372</v>
      </c>
      <c r="V788" s="46">
        <f>'Data_in-situ'!DP137</f>
        <v>3</v>
      </c>
      <c r="W788" s="113">
        <f>'Data_in-situ'!DR137</f>
        <v>4</v>
      </c>
      <c r="X788" s="113">
        <f>'Data_in-situ'!DS137</f>
        <v>4.1569219381653051</v>
      </c>
      <c r="Y788" s="46">
        <f>'Data_in-situ'!DT137</f>
        <v>3</v>
      </c>
      <c r="Z788" s="113">
        <f>'Data_in-situ'!EA166</f>
        <v>1.0757430488974113</v>
      </c>
      <c r="AA788" s="113">
        <f>'Data_in-situ'!EB166</f>
        <v>6.1854977700162745</v>
      </c>
      <c r="AB788" s="46">
        <f>'Data_in-situ'!EC166</f>
        <v>4</v>
      </c>
      <c r="AC788" s="113">
        <f>'Data_in-situ'!EE166</f>
        <v>1.0103547459252158</v>
      </c>
      <c r="AD788" s="113">
        <f>'Data_in-situ'!EF166</f>
        <v>1.508600460596133</v>
      </c>
      <c r="AE788" s="46">
        <f>'Data_in-situ'!EG166</f>
        <v>4</v>
      </c>
      <c r="AF788" s="113">
        <f>'Data_in-situ'!EN130</f>
        <v>-12.04</v>
      </c>
      <c r="AG788" s="113">
        <f>'Data_in-situ'!EO130</f>
        <v>4.9062566409655712</v>
      </c>
      <c r="AH788" s="110">
        <f>'Data_in-situ'!EP130</f>
        <v>18</v>
      </c>
      <c r="AI788" s="113">
        <f>'Data_in-situ'!ER130</f>
        <v>-15.22</v>
      </c>
      <c r="AJ788" s="113">
        <f>'Data_in-situ'!ES130</f>
        <v>3.4521098944099355</v>
      </c>
      <c r="AK788" s="110">
        <f>'Data_in-situ'!ET130</f>
        <v>18</v>
      </c>
    </row>
    <row r="789" spans="14:37" x14ac:dyDescent="0.3">
      <c r="N789" s="24">
        <f>'Data_in-situ'!DA357</f>
        <v>-1962.6668608737455</v>
      </c>
      <c r="O789" s="24">
        <f>'Data_in-situ'!DB357</f>
        <v>5887.3265217360085</v>
      </c>
      <c r="P789" s="46">
        <f>'Data_in-situ'!DC357</f>
        <v>3</v>
      </c>
      <c r="Q789" s="24">
        <f>'Data_in-situ'!DE357</f>
        <v>-2114.1462339116297</v>
      </c>
      <c r="R789" s="24">
        <f>'Data_in-situ'!DF357</f>
        <v>2015.0832489488362</v>
      </c>
      <c r="S789" s="46">
        <f>'Data_in-situ'!DG357</f>
        <v>3</v>
      </c>
      <c r="T789" s="113">
        <f>'Data_in-situ'!DN138</f>
        <v>122</v>
      </c>
      <c r="U789" s="113">
        <f>'Data_in-situ'!DO138</f>
        <v>57.850496972800492</v>
      </c>
      <c r="V789" s="46">
        <f>'Data_in-situ'!DP138</f>
        <v>3</v>
      </c>
      <c r="W789" s="113">
        <f>'Data_in-situ'!DR138</f>
        <v>5</v>
      </c>
      <c r="X789" s="113">
        <f>'Data_in-situ'!DS138</f>
        <v>6.9282032302755088</v>
      </c>
      <c r="Y789" s="46">
        <f>'Data_in-situ'!DT138</f>
        <v>3</v>
      </c>
      <c r="Z789" s="113">
        <f>'Data_in-situ'!EA169</f>
        <v>10.444427313037668</v>
      </c>
      <c r="AA789" s="113">
        <f>'Data_in-situ'!EB169</f>
        <v>60.055216643145187</v>
      </c>
      <c r="AB789" s="46">
        <f>'Data_in-situ'!EC169</f>
        <v>3</v>
      </c>
      <c r="AC789" s="113">
        <f>'Data_in-situ'!EE169</f>
        <v>19.289099302725344</v>
      </c>
      <c r="AD789" s="113">
        <f>'Data_in-situ'!EF169</f>
        <v>28.801313805804487</v>
      </c>
      <c r="AE789" s="46">
        <f>'Data_in-situ'!EG169</f>
        <v>3</v>
      </c>
      <c r="AF789" s="113">
        <f>'Data_in-situ'!EN131</f>
        <v>-12.04</v>
      </c>
      <c r="AG789" s="113">
        <f>'Data_in-situ'!EO131</f>
        <v>4.9062566409655712</v>
      </c>
      <c r="AH789" s="110">
        <f>'Data_in-situ'!EP131</f>
        <v>18</v>
      </c>
      <c r="AI789" s="113">
        <f>'Data_in-situ'!ER131</f>
        <v>-24.07</v>
      </c>
      <c r="AJ789" s="113">
        <f>'Data_in-situ'!ES131</f>
        <v>5.459414267966304</v>
      </c>
      <c r="AK789" s="110">
        <f>'Data_in-situ'!ET131</f>
        <v>18</v>
      </c>
    </row>
    <row r="790" spans="14:37" x14ac:dyDescent="0.3">
      <c r="N790" s="24">
        <f>'Data_in-situ'!DA358</f>
        <v>-3003.1418917849933</v>
      </c>
      <c r="O790" s="24">
        <f>'Data_in-situ'!DB358</f>
        <v>9008.3942723581713</v>
      </c>
      <c r="P790" s="46">
        <f>'Data_in-situ'!DC358</f>
        <v>3</v>
      </c>
      <c r="Q790" s="24">
        <f>'Data_in-situ'!DE358</f>
        <v>-834.0354104877897</v>
      </c>
      <c r="R790" s="24">
        <f>'Data_in-situ'!DF358</f>
        <v>794.95484169727581</v>
      </c>
      <c r="S790" s="46">
        <f>'Data_in-situ'!DG358</f>
        <v>3</v>
      </c>
      <c r="T790" s="113">
        <f>'Data_in-situ'!DN139</f>
        <v>106</v>
      </c>
      <c r="U790" s="113">
        <f>'Data_in-situ'!DO139</f>
        <v>76.556645694544372</v>
      </c>
      <c r="V790" s="46">
        <f>'Data_in-situ'!DP139</f>
        <v>3</v>
      </c>
      <c r="W790" s="113">
        <f>'Data_in-situ'!DR139</f>
        <v>5</v>
      </c>
      <c r="X790" s="113">
        <f>'Data_in-situ'!DS139</f>
        <v>3.2908965343808667</v>
      </c>
      <c r="Y790" s="46">
        <f>'Data_in-situ'!DT139</f>
        <v>3</v>
      </c>
      <c r="Z790" s="113">
        <f>'Data_in-situ'!EA211</f>
        <v>-0.17393369108406392</v>
      </c>
      <c r="AA790" s="113">
        <f>'Data_in-situ'!EB211</f>
        <v>1.6605685683663671</v>
      </c>
      <c r="AB790" s="46">
        <f>'Data_in-situ'!EC211</f>
        <v>46</v>
      </c>
      <c r="AC790" s="113">
        <f>'Data_in-situ'!EE211</f>
        <v>6.6517114309370617</v>
      </c>
      <c r="AD790" s="113">
        <f>'Data_in-situ'!EF211</f>
        <v>10.95710857096801</v>
      </c>
      <c r="AE790" s="46">
        <f>'Data_in-situ'!EG211</f>
        <v>73</v>
      </c>
      <c r="AF790" s="113">
        <f>'Data_in-situ'!EN132</f>
        <v>-4.96</v>
      </c>
      <c r="AG790" s="113">
        <f>'Data_in-situ'!EO132</f>
        <v>2.0211821378064148</v>
      </c>
      <c r="AH790" s="110">
        <f>'Data_in-situ'!EP132</f>
        <v>21</v>
      </c>
      <c r="AI790" s="113">
        <f>'Data_in-situ'!ER132</f>
        <v>-10.09</v>
      </c>
      <c r="AJ790" s="113">
        <f>'Data_in-situ'!ES132</f>
        <v>2.2885537999077692</v>
      </c>
      <c r="AK790" s="110">
        <f>'Data_in-situ'!ET132</f>
        <v>21</v>
      </c>
    </row>
    <row r="791" spans="14:37" x14ac:dyDescent="0.3">
      <c r="N791" s="24">
        <f>'Data_in-situ'!DA400</f>
        <v>30.769259991496654</v>
      </c>
      <c r="O791" s="24">
        <f>'Data_in-situ'!DB400</f>
        <v>92.297212539414176</v>
      </c>
      <c r="P791" s="46">
        <f>'Data_in-situ'!DC400</f>
        <v>1</v>
      </c>
      <c r="Q791" s="24">
        <f>'Data_in-situ'!DE400</f>
        <v>-12.040273178424011</v>
      </c>
      <c r="R791" s="24">
        <f>'Data_in-situ'!DF400</f>
        <v>11.476099621415464</v>
      </c>
      <c r="S791" s="46">
        <f>'Data_in-situ'!DG400</f>
        <v>1</v>
      </c>
      <c r="T791" s="113">
        <f>'Data_in-situ'!DN140</f>
        <v>122</v>
      </c>
      <c r="U791" s="113">
        <f>'Data_in-situ'!DO140</f>
        <v>57.850496972800492</v>
      </c>
      <c r="V791" s="46">
        <f>'Data_in-situ'!DP140</f>
        <v>3</v>
      </c>
      <c r="W791" s="113">
        <f>'Data_in-situ'!DR140</f>
        <v>16</v>
      </c>
      <c r="X791" s="113">
        <f>'Data_in-situ'!DS140</f>
        <v>12.297560733739028</v>
      </c>
      <c r="Y791" s="46">
        <f>'Data_in-situ'!DT140</f>
        <v>3</v>
      </c>
      <c r="Z791" s="113">
        <f>'Data_in-situ'!EA214</f>
        <v>0.7</v>
      </c>
      <c r="AA791" s="113">
        <f>'Data_in-situ'!EB214</f>
        <v>4.0249838876014987</v>
      </c>
      <c r="AB791" s="46">
        <f>'Data_in-situ'!EC214</f>
        <v>3</v>
      </c>
      <c r="AC791" s="113">
        <f>'Data_in-situ'!EE214</f>
        <v>0.8</v>
      </c>
      <c r="AD791" s="113">
        <f>'Data_in-situ'!EF214</f>
        <v>1.1945115053344215</v>
      </c>
      <c r="AE791" s="46">
        <f>'Data_in-situ'!EG214</f>
        <v>3</v>
      </c>
      <c r="AF791" s="113">
        <f>'Data_in-situ'!EN133</f>
        <v>-4.96</v>
      </c>
      <c r="AG791" s="113">
        <f>'Data_in-situ'!EO133</f>
        <v>2.0211821378064148</v>
      </c>
      <c r="AH791" s="110">
        <f>'Data_in-situ'!EP133</f>
        <v>21</v>
      </c>
      <c r="AI791" s="113">
        <f>'Data_in-situ'!ER133</f>
        <v>-14.16</v>
      </c>
      <c r="AJ791" s="113">
        <f>'Data_in-situ'!ES133</f>
        <v>3.2116869976901894</v>
      </c>
      <c r="AK791" s="110">
        <f>'Data_in-situ'!ET133</f>
        <v>21</v>
      </c>
    </row>
    <row r="792" spans="14:37" x14ac:dyDescent="0.3">
      <c r="N792" s="24">
        <f>'Data_in-situ'!DA412</f>
        <v>-1222.9909445995581</v>
      </c>
      <c r="O792" s="24">
        <f>'Data_in-situ'!DB412</f>
        <v>291.56979829815799</v>
      </c>
      <c r="P792" s="46">
        <f>'Data_in-situ'!DC412</f>
        <v>3</v>
      </c>
      <c r="Q792" s="24">
        <f>'Data_in-situ'!DE412</f>
        <v>953.91152591835998</v>
      </c>
      <c r="R792" s="24">
        <f>'Data_in-situ'!DF412</f>
        <v>1166.1567239388746</v>
      </c>
      <c r="S792" s="46">
        <f>'Data_in-situ'!DG412</f>
        <v>3</v>
      </c>
      <c r="T792" s="113">
        <f>'Data_in-situ'!DN141</f>
        <v>51</v>
      </c>
      <c r="U792" s="113">
        <f>'Data_in-situ'!DO141</f>
        <v>61.031958841249725</v>
      </c>
      <c r="V792" s="46">
        <f>'Data_in-situ'!DP141</f>
        <v>3</v>
      </c>
      <c r="W792" s="113">
        <f>'Data_in-situ'!DR141</f>
        <v>5</v>
      </c>
      <c r="X792" s="113">
        <f>'Data_in-situ'!DS141</f>
        <v>6.008327554319921</v>
      </c>
      <c r="Y792" s="46">
        <f>'Data_in-situ'!DT141</f>
        <v>10</v>
      </c>
      <c r="Z792" s="113">
        <f>'Data_in-situ'!EA216</f>
        <v>7.5428571428571428E-2</v>
      </c>
      <c r="AA792" s="113">
        <f>'Data_in-situ'!EB216</f>
        <v>0.15514226519224084</v>
      </c>
      <c r="AB792" s="46">
        <f>'Data_in-situ'!EC216</f>
        <v>3</v>
      </c>
      <c r="AC792" s="113">
        <f>'Data_in-situ'!EE216</f>
        <v>6.4428571428571418E-2</v>
      </c>
      <c r="AD792" s="113">
        <f>'Data_in-situ'!EF216</f>
        <v>0.21502173596819346</v>
      </c>
      <c r="AE792" s="46">
        <f>'Data_in-situ'!EG216</f>
        <v>3</v>
      </c>
      <c r="AF792" s="113">
        <f>'Data_in-situ'!EN135</f>
        <v>-6.8927332639611532</v>
      </c>
      <c r="AG792" s="113">
        <f>'Data_in-situ'!EO135</f>
        <v>1.3328157064282187</v>
      </c>
      <c r="AH792" s="110">
        <f>'Data_in-situ'!EP135</f>
        <v>3</v>
      </c>
      <c r="AI792" s="113">
        <f>'Data_in-situ'!ER135</f>
        <v>-25.764809902740932</v>
      </c>
      <c r="AJ792" s="113">
        <f>'Data_in-situ'!ES135</f>
        <v>2.3806323207959159</v>
      </c>
      <c r="AK792" s="110">
        <f>'Data_in-situ'!ET135</f>
        <v>3</v>
      </c>
    </row>
    <row r="793" spans="14:37" x14ac:dyDescent="0.3">
      <c r="N793" s="24">
        <f>'Data_in-situ'!DA413</f>
        <v>-1089.4376152325895</v>
      </c>
      <c r="O793" s="24">
        <f>'Data_in-situ'!DB413</f>
        <v>396.38137595921512</v>
      </c>
      <c r="P793" s="46">
        <f>'Data_in-situ'!DC413</f>
        <v>3</v>
      </c>
      <c r="Q793" s="24">
        <f>'Data_in-situ'!DE413</f>
        <v>518.32053666534375</v>
      </c>
      <c r="R793" s="24">
        <f>'Data_in-situ'!DF413</f>
        <v>639.04094931753639</v>
      </c>
      <c r="S793" s="46">
        <f>'Data_in-situ'!DG413</f>
        <v>3</v>
      </c>
      <c r="T793" s="113">
        <f>'Data_in-situ'!DN142</f>
        <v>101</v>
      </c>
      <c r="U793" s="113">
        <f>'Data_in-situ'!DO142</f>
        <v>133.44811725910563</v>
      </c>
      <c r="V793" s="46">
        <f>'Data_in-situ'!DP142</f>
        <v>3</v>
      </c>
      <c r="W793" s="113">
        <f>'Data_in-situ'!DR142</f>
        <v>13</v>
      </c>
      <c r="X793" s="113">
        <f>'Data_in-situ'!DS142</f>
        <v>25.93067681338071</v>
      </c>
      <c r="Y793" s="46">
        <f>'Data_in-situ'!DT142</f>
        <v>10</v>
      </c>
      <c r="Z793" s="113">
        <f>'Data_in-situ'!EA217</f>
        <v>1.3785046728971999</v>
      </c>
      <c r="AA793" s="113">
        <f>'Data_in-situ'!EB217</f>
        <v>1.030159237619066</v>
      </c>
      <c r="AB793" s="46">
        <f>'Data_in-situ'!EC217</f>
        <v>6</v>
      </c>
      <c r="AC793" s="113">
        <f>'Data_in-situ'!EE217</f>
        <v>3.2242990654205603</v>
      </c>
      <c r="AD793" s="113">
        <f>'Data_in-situ'!EF217</f>
        <v>3.548326262910205</v>
      </c>
      <c r="AE793" s="46">
        <f>'Data_in-situ'!EG217</f>
        <v>6</v>
      </c>
      <c r="AF793" s="113">
        <f>'Data_in-situ'!EN136</f>
        <v>-7.2545662413056524</v>
      </c>
      <c r="AG793" s="113">
        <f>'Data_in-situ'!EO136</f>
        <v>1.3531236339616048</v>
      </c>
      <c r="AH793" s="110">
        <f>'Data_in-situ'!EP136</f>
        <v>3</v>
      </c>
      <c r="AI793" s="113">
        <f>'Data_in-situ'!ER136</f>
        <v>-28.596491228070171</v>
      </c>
      <c r="AJ793" s="113">
        <f>'Data_in-situ'!ES136</f>
        <v>2.2785559654849021</v>
      </c>
      <c r="AK793" s="110">
        <f>'Data_in-situ'!ET136</f>
        <v>3</v>
      </c>
    </row>
    <row r="794" spans="14:37" x14ac:dyDescent="0.3">
      <c r="N794" s="24">
        <f>'Data_in-situ'!DA416</f>
        <v>-988.3974549743225</v>
      </c>
      <c r="O794" s="24">
        <f>'Data_in-situ'!DB416</f>
        <v>1706.6543556486708</v>
      </c>
      <c r="P794" s="46">
        <f>'Data_in-situ'!DC416</f>
        <v>5</v>
      </c>
      <c r="Q794" s="24">
        <f>'Data_in-situ'!DE416</f>
        <v>-341.0829809255074</v>
      </c>
      <c r="R794" s="24">
        <f>'Data_in-situ'!DF416</f>
        <v>4448.7121943333168</v>
      </c>
      <c r="S794" s="46">
        <f>'Data_in-situ'!DG416</f>
        <v>5</v>
      </c>
      <c r="T794" s="113">
        <f>'Data_in-situ'!DN143</f>
        <v>51</v>
      </c>
      <c r="U794" s="113">
        <f>'Data_in-situ'!DO143</f>
        <v>61.031958841249725</v>
      </c>
      <c r="V794" s="46">
        <f>'Data_in-situ'!DP143</f>
        <v>3</v>
      </c>
      <c r="W794" s="113">
        <f>'Data_in-situ'!DR143</f>
        <v>1</v>
      </c>
      <c r="X794" s="113">
        <f>'Data_in-situ'!DS143</f>
        <v>5.6920997883030831</v>
      </c>
      <c r="Y794" s="46">
        <f>'Data_in-situ'!DT143</f>
        <v>10</v>
      </c>
      <c r="Z794" s="113">
        <f>'Data_in-situ'!EA218</f>
        <v>1.3785046728971999</v>
      </c>
      <c r="AA794" s="113">
        <f>'Data_in-situ'!EB218</f>
        <v>1.030159237619066</v>
      </c>
      <c r="AB794" s="46">
        <f>'Data_in-situ'!EC218</f>
        <v>6</v>
      </c>
      <c r="AC794" s="113">
        <f>'Data_in-situ'!EE218</f>
        <v>2.8037383177570097</v>
      </c>
      <c r="AD794" s="113">
        <f>'Data_in-situ'!EF218</f>
        <v>2.5181670252910933</v>
      </c>
      <c r="AE794" s="46">
        <f>'Data_in-situ'!EG218</f>
        <v>6</v>
      </c>
      <c r="AF794" s="113">
        <f>'Data_in-situ'!EN137</f>
        <v>-6.8927332639611532</v>
      </c>
      <c r="AG794" s="113">
        <f>'Data_in-situ'!EO137</f>
        <v>1.3328157064282187</v>
      </c>
      <c r="AH794" s="110">
        <f>'Data_in-situ'!EP137</f>
        <v>3</v>
      </c>
      <c r="AI794" s="113">
        <f>'Data_in-situ'!ER137</f>
        <v>-20.420000000000002</v>
      </c>
      <c r="AJ794" s="113">
        <f>'Data_in-situ'!ES137</f>
        <v>3.03</v>
      </c>
      <c r="AK794" s="110">
        <f>'Data_in-situ'!ET137</f>
        <v>3</v>
      </c>
    </row>
    <row r="795" spans="14:37" x14ac:dyDescent="0.3">
      <c r="N795" s="24">
        <f>'Data_in-situ'!DA417</f>
        <v>327.32294156592525</v>
      </c>
      <c r="O795" s="24">
        <f>'Data_in-situ'!DB417</f>
        <v>2944.1256851527319</v>
      </c>
      <c r="P795" s="46">
        <f>'Data_in-situ'!DC417</f>
        <v>5</v>
      </c>
      <c r="Q795" s="24">
        <f>'Data_in-situ'!DE417</f>
        <v>857.98044612392005</v>
      </c>
      <c r="R795" s="24">
        <f>'Data_in-situ'!DF417</f>
        <v>5173.2804359476186</v>
      </c>
      <c r="S795" s="46">
        <f>'Data_in-situ'!DG417</f>
        <v>5</v>
      </c>
      <c r="T795" s="113">
        <f>'Data_in-situ'!DN144</f>
        <v>101</v>
      </c>
      <c r="U795" s="113">
        <f>'Data_in-situ'!DO144</f>
        <v>133.44811725910563</v>
      </c>
      <c r="V795" s="46">
        <f>'Data_in-situ'!DP144</f>
        <v>3</v>
      </c>
      <c r="W795" s="113">
        <f>'Data_in-situ'!DR144</f>
        <v>17</v>
      </c>
      <c r="X795" s="113">
        <f>'Data_in-situ'!DS144</f>
        <v>24.981993515330199</v>
      </c>
      <c r="Y795" s="46">
        <f>'Data_in-situ'!DT144</f>
        <v>10</v>
      </c>
      <c r="Z795" s="113">
        <f>'Data_in-situ'!EA221</f>
        <v>1.1800914940670852</v>
      </c>
      <c r="AA795" s="113">
        <f>'Data_in-situ'!EB221</f>
        <v>0.73618285714285703</v>
      </c>
      <c r="AB795" s="46">
        <f>'Data_in-situ'!EC221</f>
        <v>2</v>
      </c>
      <c r="AC795" s="113">
        <f>'Data_in-situ'!EE221</f>
        <v>0.9163634502292034</v>
      </c>
      <c r="AD795" s="113">
        <f>'Data_in-situ'!EF221</f>
        <v>0.55673828571428574</v>
      </c>
      <c r="AE795" s="46">
        <f>'Data_in-situ'!EG221</f>
        <v>6</v>
      </c>
      <c r="AF795" s="113">
        <f>'Data_in-situ'!EN138</f>
        <v>-7.2545662413056524</v>
      </c>
      <c r="AG795" s="113">
        <f>'Data_in-situ'!EO138</f>
        <v>1.3531236339616048</v>
      </c>
      <c r="AH795" s="110">
        <f>'Data_in-situ'!EP138</f>
        <v>3</v>
      </c>
      <c r="AI795" s="113">
        <f>'Data_in-situ'!ER138</f>
        <v>-22.46</v>
      </c>
      <c r="AJ795" s="113">
        <f>'Data_in-situ'!ES138</f>
        <v>2.21</v>
      </c>
      <c r="AK795" s="110">
        <f>'Data_in-situ'!ET138</f>
        <v>3</v>
      </c>
    </row>
    <row r="796" spans="14:37" x14ac:dyDescent="0.3">
      <c r="N796" s="24">
        <f>'Data_in-situ'!DA447</f>
        <v>-4783.7690721649478</v>
      </c>
      <c r="O796" s="24">
        <f>'Data_in-situ'!DB447</f>
        <v>1766.9819161761379</v>
      </c>
      <c r="P796" s="46">
        <f>'Data_in-situ'!DC447</f>
        <v>3</v>
      </c>
      <c r="Q796" s="24">
        <f>'Data_in-situ'!DE447</f>
        <v>-17986.9717113402</v>
      </c>
      <c r="R796" s="24">
        <f>'Data_in-situ'!DF447</f>
        <v>3327.1138134409139</v>
      </c>
      <c r="S796" s="46">
        <f>'Data_in-situ'!DG447</f>
        <v>3</v>
      </c>
      <c r="T796" s="113">
        <f>'Data_in-situ'!DN145</f>
        <v>244.12367999999998</v>
      </c>
      <c r="U796" s="113">
        <f>'Data_in-situ'!DO145</f>
        <v>272.16843482550502</v>
      </c>
      <c r="V796" s="46">
        <f>'Data_in-situ'!DP145</f>
        <v>4</v>
      </c>
      <c r="W796" s="113">
        <f>'Data_in-situ'!DR145</f>
        <v>190.38399999999999</v>
      </c>
      <c r="X796" s="113">
        <f>'Data_in-situ'!DS145</f>
        <v>711.50618703703014</v>
      </c>
      <c r="Y796" s="46">
        <f>'Data_in-situ'!DT145</f>
        <v>6</v>
      </c>
      <c r="Z796" s="113">
        <f>'Data_in-situ'!EA250</f>
        <v>4.7842000883736189E-3</v>
      </c>
      <c r="AA796" s="113">
        <f>'Data_in-situ'!EB250</f>
        <v>5.7651671572041305E-2</v>
      </c>
      <c r="AB796" s="46">
        <f>'Data_in-situ'!EC250</f>
        <v>3</v>
      </c>
      <c r="AC796" s="113">
        <f>'Data_in-situ'!EE250</f>
        <v>2.8668507573783328</v>
      </c>
      <c r="AD796" s="113">
        <f>'Data_in-situ'!EF250</f>
        <v>1.8611493473177243</v>
      </c>
      <c r="AE796" s="46">
        <f>'Data_in-situ'!EG250</f>
        <v>3</v>
      </c>
      <c r="AF796" s="113">
        <f>'Data_in-situ'!EN139</f>
        <v>-6.8927332639611532</v>
      </c>
      <c r="AG796" s="113">
        <f>'Data_in-situ'!EO139</f>
        <v>1.3328157064282187</v>
      </c>
      <c r="AH796" s="110">
        <f>'Data_in-situ'!EP139</f>
        <v>3</v>
      </c>
      <c r="AI796" s="113">
        <f>'Data_in-situ'!ER139</f>
        <v>-16.070318436140084</v>
      </c>
      <c r="AJ796" s="113">
        <f>'Data_in-situ'!ES139</f>
        <v>1.1726469643872839</v>
      </c>
      <c r="AK796" s="110">
        <f>'Data_in-situ'!ET139</f>
        <v>3</v>
      </c>
    </row>
    <row r="797" spans="14:37" x14ac:dyDescent="0.3">
      <c r="N797" s="24">
        <f>'Data_in-situ'!DA448</f>
        <v>-1943.3333333333333</v>
      </c>
      <c r="O797" s="24">
        <f>'Data_in-situ'!DB448</f>
        <v>436</v>
      </c>
      <c r="P797" s="46">
        <f>'Data_in-situ'!DC448</f>
        <v>3</v>
      </c>
      <c r="Q797" s="24">
        <f>'Data_in-situ'!DE448</f>
        <v>-4766.666666666667</v>
      </c>
      <c r="R797" s="24">
        <f>'Data_in-situ'!DF448</f>
        <v>1203</v>
      </c>
      <c r="S797" s="46">
        <f>'Data_in-situ'!DG448</f>
        <v>3</v>
      </c>
      <c r="T797" s="113">
        <f>'Data_in-situ'!DN152</f>
        <v>38.133333333333333</v>
      </c>
      <c r="U797" s="113">
        <f>'Data_in-situ'!DO152</f>
        <v>12.933333333333332</v>
      </c>
      <c r="V797" s="46">
        <f>'Data_in-situ'!DP152</f>
        <v>8</v>
      </c>
      <c r="W797" s="113">
        <f>'Data_in-situ'!DR152</f>
        <v>4.9333333333333336</v>
      </c>
      <c r="X797" s="113">
        <f>'Data_in-situ'!DS152</f>
        <v>2.5333333333333332</v>
      </c>
      <c r="Y797" s="46">
        <f>'Data_in-situ'!DT152</f>
        <v>7</v>
      </c>
      <c r="Z797" s="113">
        <f>'Data_in-situ'!EA251</f>
        <v>2.9121217929230725E-2</v>
      </c>
      <c r="AA797" s="113">
        <f>'Data_in-situ'!EB251</f>
        <v>6.8659445106331193E-2</v>
      </c>
      <c r="AB797" s="46">
        <f>'Data_in-situ'!EC251</f>
        <v>3</v>
      </c>
      <c r="AC797" s="113">
        <f>'Data_in-situ'!EE251</f>
        <v>0.10511786110387221</v>
      </c>
      <c r="AD797" s="113">
        <f>'Data_in-situ'!EF251</f>
        <v>0.10740648717807684</v>
      </c>
      <c r="AE797" s="46">
        <f>'Data_in-situ'!EG251</f>
        <v>3</v>
      </c>
      <c r="AF797" s="113">
        <f>'Data_in-situ'!EN140</f>
        <v>-7.2545662413056524</v>
      </c>
      <c r="AG797" s="113">
        <f>'Data_in-situ'!EO140</f>
        <v>1.3531236339616048</v>
      </c>
      <c r="AH797" s="110">
        <f>'Data_in-situ'!EP140</f>
        <v>3</v>
      </c>
      <c r="AI797" s="113">
        <f>'Data_in-situ'!ER140</f>
        <v>-18.404147413501633</v>
      </c>
      <c r="AJ797" s="113">
        <f>'Data_in-situ'!ES140</f>
        <v>1.4652840768454194</v>
      </c>
      <c r="AK797" s="110">
        <f>'Data_in-situ'!ET140</f>
        <v>3</v>
      </c>
    </row>
    <row r="798" spans="14:37" x14ac:dyDescent="0.3">
      <c r="N798" s="24">
        <f>'Data_in-situ'!DA449</f>
        <v>-2676.6666666666665</v>
      </c>
      <c r="O798" s="24">
        <f>'Data_in-situ'!DB449</f>
        <v>563</v>
      </c>
      <c r="P798" s="46">
        <f>'Data_in-situ'!DC449</f>
        <v>3</v>
      </c>
      <c r="Q798" s="24">
        <f>'Data_in-situ'!DE449</f>
        <v>-11000</v>
      </c>
      <c r="R798" s="24">
        <f>'Data_in-situ'!DF449</f>
        <v>2602</v>
      </c>
      <c r="S798" s="46">
        <f>'Data_in-situ'!DG449</f>
        <v>3</v>
      </c>
      <c r="T798" s="113">
        <f>'Data_in-situ'!DN163</f>
        <v>-0.12122916895579239</v>
      </c>
      <c r="U798" s="113">
        <f>'Data_in-situ'!DO163</f>
        <v>0.13515588971088227</v>
      </c>
      <c r="V798" s="46">
        <f>'Data_in-situ'!DP163</f>
        <v>4</v>
      </c>
      <c r="W798" s="113">
        <f>'Data_in-situ'!DR163</f>
        <v>6.1724726721622734E-2</v>
      </c>
      <c r="X798" s="113">
        <f>'Data_in-situ'!DS163</f>
        <v>0.23067865448569461</v>
      </c>
      <c r="Y798" s="46">
        <f>'Data_in-situ'!DT163</f>
        <v>4</v>
      </c>
      <c r="Z798" s="113">
        <f>'Data_in-situ'!EA254</f>
        <v>1.9797330692495084E-2</v>
      </c>
      <c r="AA798" s="113">
        <f>'Data_in-situ'!EB254</f>
        <v>9.4097353220211316E-2</v>
      </c>
      <c r="AB798" s="46">
        <f>'Data_in-situ'!EC254</f>
        <v>3</v>
      </c>
      <c r="AC798" s="113">
        <f>'Data_in-situ'!EE254</f>
        <v>2.4487558815364012E-2</v>
      </c>
      <c r="AD798" s="113">
        <f>'Data_in-situ'!EF254</f>
        <v>5.089541115262039E-2</v>
      </c>
      <c r="AE798" s="46">
        <f>'Data_in-situ'!EG254</f>
        <v>3</v>
      </c>
      <c r="AF798" s="113">
        <f>'Data_in-situ'!EN141</f>
        <v>-0.59</v>
      </c>
      <c r="AG798" s="113">
        <f>'Data_in-situ'!EO141</f>
        <v>1.75</v>
      </c>
      <c r="AH798" s="110">
        <f>'Data_in-situ'!EP141</f>
        <v>4</v>
      </c>
      <c r="AI798" s="113">
        <f>'Data_in-situ'!ER141</f>
        <v>-18.989999999999998</v>
      </c>
      <c r="AJ798" s="113">
        <f>'Data_in-situ'!ES141</f>
        <v>2.77</v>
      </c>
      <c r="AK798" s="110">
        <f>'Data_in-situ'!ET141</f>
        <v>4</v>
      </c>
    </row>
    <row r="799" spans="14:37" x14ac:dyDescent="0.3">
      <c r="T799" s="113">
        <f>'Data_in-situ'!DN164</f>
        <v>-0.12122916895579239</v>
      </c>
      <c r="U799" s="113">
        <f>'Data_in-situ'!DO164</f>
        <v>0.13515588971088227</v>
      </c>
      <c r="V799" s="46">
        <f>'Data_in-situ'!DP164</f>
        <v>4</v>
      </c>
      <c r="W799" s="113">
        <f>'Data_in-situ'!DR164</f>
        <v>-0.12344945344324547</v>
      </c>
      <c r="X799" s="113">
        <f>'Data_in-situ'!DS164</f>
        <v>0.46135730897138921</v>
      </c>
      <c r="Y799" s="46">
        <f>'Data_in-situ'!DT164</f>
        <v>4</v>
      </c>
      <c r="Z799" s="113">
        <f>'Data_in-situ'!EA255</f>
        <v>-0.1060571287097951</v>
      </c>
      <c r="AA799" s="113">
        <f>'Data_in-situ'!EB255</f>
        <v>0.28407129566600942</v>
      </c>
      <c r="AB799" s="46">
        <f>'Data_in-situ'!EC255</f>
        <v>3</v>
      </c>
      <c r="AC799" s="113">
        <f>'Data_in-situ'!EE255</f>
        <v>-1.1798551065584481E-2</v>
      </c>
      <c r="AD799" s="113">
        <f>'Data_in-situ'!EF255</f>
        <v>4.6464249030440392E-2</v>
      </c>
      <c r="AE799" s="46">
        <f>'Data_in-situ'!EG255</f>
        <v>3</v>
      </c>
      <c r="AF799" s="113">
        <f>'Data_in-situ'!EN142</f>
        <v>-2.0499999999999998</v>
      </c>
      <c r="AG799" s="113">
        <f>'Data_in-situ'!EO142</f>
        <v>1.38</v>
      </c>
      <c r="AH799" s="110">
        <f>'Data_in-situ'!EP142</f>
        <v>4</v>
      </c>
      <c r="AI799" s="113">
        <f>'Data_in-situ'!ER142</f>
        <v>-16.7</v>
      </c>
      <c r="AJ799" s="113">
        <f>'Data_in-situ'!ES142</f>
        <v>1.42</v>
      </c>
      <c r="AK799" s="110">
        <f>'Data_in-situ'!ET142</f>
        <v>4</v>
      </c>
    </row>
    <row r="800" spans="14:37" x14ac:dyDescent="0.3">
      <c r="T800" s="113">
        <f>'Data_in-situ'!DN165</f>
        <v>-0.12122916895579239</v>
      </c>
      <c r="U800" s="113">
        <f>'Data_in-situ'!DO165</f>
        <v>0.13515588971088227</v>
      </c>
      <c r="V800" s="46">
        <f>'Data_in-situ'!DP165</f>
        <v>4</v>
      </c>
      <c r="W800" s="113">
        <f>'Data_in-situ'!DR165</f>
        <v>0.12344945344324547</v>
      </c>
      <c r="X800" s="113">
        <f>'Data_in-situ'!DS165</f>
        <v>0.46135730897138921</v>
      </c>
      <c r="Y800" s="46">
        <f>'Data_in-situ'!DT165</f>
        <v>4</v>
      </c>
      <c r="Z800" s="113">
        <f>'Data_in-situ'!EA256</f>
        <v>-4.2277844422856668E-2</v>
      </c>
      <c r="AA800" s="113">
        <f>'Data_in-situ'!EB256</f>
        <v>0.1213395789758789</v>
      </c>
      <c r="AB800" s="46">
        <f>'Data_in-situ'!EC256</f>
        <v>3</v>
      </c>
      <c r="AC800" s="113">
        <f>'Data_in-situ'!EE256</f>
        <v>4.8975117630728024E-2</v>
      </c>
      <c r="AD800" s="113">
        <f>'Data_in-situ'!EF256</f>
        <v>0.13610077440950419</v>
      </c>
      <c r="AE800" s="46">
        <f>'Data_in-situ'!EG256</f>
        <v>3</v>
      </c>
      <c r="AF800" s="113">
        <f>'Data_in-situ'!EN143</f>
        <v>-0.59</v>
      </c>
      <c r="AG800" s="113">
        <f>'Data_in-situ'!EO143</f>
        <v>1.75</v>
      </c>
      <c r="AH800" s="110">
        <f>'Data_in-situ'!EP143</f>
        <v>4</v>
      </c>
      <c r="AI800" s="113">
        <f>'Data_in-situ'!ER143</f>
        <v>-17.329999999999998</v>
      </c>
      <c r="AJ800" s="113">
        <f>'Data_in-situ'!ES143</f>
        <v>1.8</v>
      </c>
      <c r="AK800" s="110">
        <f>'Data_in-situ'!ET143</f>
        <v>4</v>
      </c>
    </row>
    <row r="801" spans="20:37" x14ac:dyDescent="0.3">
      <c r="T801" s="113">
        <f>'Data_in-situ'!DN166</f>
        <v>-0.52800000000000002</v>
      </c>
      <c r="U801" s="113">
        <f>'Data_in-situ'!DO166</f>
        <v>0.5886562646764405</v>
      </c>
      <c r="V801" s="46">
        <f>'Data_in-situ'!DP166</f>
        <v>4</v>
      </c>
      <c r="W801" s="113">
        <f>'Data_in-situ'!DR166</f>
        <v>-0.26133333333333336</v>
      </c>
      <c r="X801" s="113">
        <f>'Data_in-situ'!DS166</f>
        <v>0.97665919166357074</v>
      </c>
      <c r="Y801" s="46">
        <f>'Data_in-situ'!DT166</f>
        <v>4</v>
      </c>
      <c r="Z801" s="113">
        <f>'Data_in-situ'!EA257</f>
        <v>-4.2422851483918042E-3</v>
      </c>
      <c r="AA801" s="113">
        <f>'Data_in-situ'!EB257</f>
        <v>0.15345744896774013</v>
      </c>
      <c r="AB801" s="46">
        <f>'Data_in-situ'!EC257</f>
        <v>3</v>
      </c>
      <c r="AC801" s="113">
        <f>'Data_in-situ'!EE257</f>
        <v>0.11130708552438189</v>
      </c>
      <c r="AD801" s="113">
        <f>'Data_in-situ'!EF257</f>
        <v>0.10440008400553796</v>
      </c>
      <c r="AE801" s="46">
        <f>'Data_in-situ'!EG257</f>
        <v>3</v>
      </c>
      <c r="AF801" s="113">
        <f>'Data_in-situ'!EN144</f>
        <v>-2.0499999999999998</v>
      </c>
      <c r="AG801" s="113">
        <f>'Data_in-situ'!EO144</f>
        <v>1.38</v>
      </c>
      <c r="AH801" s="110">
        <f>'Data_in-situ'!EP144</f>
        <v>4</v>
      </c>
      <c r="AI801" s="113">
        <f>'Data_in-situ'!ER144</f>
        <v>-21.37</v>
      </c>
      <c r="AJ801" s="113">
        <f>'Data_in-situ'!ES144</f>
        <v>1.45</v>
      </c>
      <c r="AK801" s="110">
        <f>'Data_in-situ'!ET144</f>
        <v>4</v>
      </c>
    </row>
    <row r="802" spans="20:37" x14ac:dyDescent="0.3">
      <c r="T802" s="113">
        <f>'Data_in-situ'!DN167</f>
        <v>2.9175154909077907</v>
      </c>
      <c r="U802" s="113">
        <f>'Data_in-situ'!DO167</f>
        <v>16.507200000000001</v>
      </c>
      <c r="V802" s="46">
        <f>'Data_in-situ'!DP167</f>
        <v>8</v>
      </c>
      <c r="W802" s="113">
        <f>'Data_in-situ'!DR167</f>
        <v>-0.3033323434259278</v>
      </c>
      <c r="X802" s="113">
        <f>'Data_in-situ'!DS167</f>
        <v>3.4939236241769644</v>
      </c>
      <c r="Y802" s="46">
        <f>'Data_in-situ'!DT167</f>
        <v>8</v>
      </c>
      <c r="Z802" s="113">
        <f>'Data_in-situ'!EA258</f>
        <v>-5.3028564354897549E-2</v>
      </c>
      <c r="AA802" s="113">
        <f>'Data_in-situ'!EB258</f>
        <v>0.14435421348527655</v>
      </c>
      <c r="AB802" s="46">
        <f>'Data_in-situ'!EC258</f>
        <v>3</v>
      </c>
      <c r="AC802" s="113">
        <f>'Data_in-situ'!EE258</f>
        <v>-7.5688818156579678E-3</v>
      </c>
      <c r="AD802" s="113">
        <f>'Data_in-situ'!EF258</f>
        <v>3.6346822857934974E-2</v>
      </c>
      <c r="AE802" s="46">
        <f>'Data_in-situ'!EG258</f>
        <v>3</v>
      </c>
      <c r="AF802" s="113">
        <f>'Data_in-situ'!EN145</f>
        <v>-5</v>
      </c>
      <c r="AG802" s="113">
        <f>'Data_in-situ'!EO145</f>
        <v>2.0374819937564665</v>
      </c>
      <c r="AH802" s="110">
        <f>'Data_in-situ'!EP145</f>
        <v>4</v>
      </c>
      <c r="AI802" s="113">
        <f>'Data_in-situ'!ER145</f>
        <v>-7.666666666666667</v>
      </c>
      <c r="AJ802" s="113">
        <f>'Data_in-situ'!ES145</f>
        <v>1.7389077435704887</v>
      </c>
      <c r="AK802" s="110">
        <f>'Data_in-situ'!ET145</f>
        <v>6</v>
      </c>
    </row>
    <row r="803" spans="20:37" x14ac:dyDescent="0.3">
      <c r="T803" s="113">
        <f>'Data_in-situ'!DN169</f>
        <v>14.661871345978286</v>
      </c>
      <c r="U803" s="113">
        <f>'Data_in-situ'!DO169</f>
        <v>16.346216703958547</v>
      </c>
      <c r="V803" s="46">
        <f>'Data_in-situ'!DP169</f>
        <v>3</v>
      </c>
      <c r="W803" s="113">
        <f>'Data_in-situ'!DR169</f>
        <v>4.2578559634951523</v>
      </c>
      <c r="X803" s="113">
        <f>'Data_in-situ'!DS169</f>
        <v>15.912528686965901</v>
      </c>
      <c r="Y803" s="46">
        <f>'Data_in-situ'!DT169</f>
        <v>3</v>
      </c>
      <c r="Z803" s="113">
        <f>'Data_in-situ'!EA260</f>
        <v>4.7842000883736184E-2</v>
      </c>
      <c r="AA803" s="113">
        <f>'Data_in-situ'!EB260</f>
        <v>4.4106351316338478E-2</v>
      </c>
      <c r="AB803" s="46">
        <f>'Data_in-situ'!EC260</f>
        <v>3</v>
      </c>
      <c r="AC803" s="113">
        <f>'Data_in-situ'!EE260</f>
        <v>0.82820132990929607</v>
      </c>
      <c r="AD803" s="113">
        <f>'Data_in-situ'!EF260</f>
        <v>0.5966246705874263</v>
      </c>
      <c r="AE803" s="46">
        <f>'Data_in-situ'!EG260</f>
        <v>3</v>
      </c>
      <c r="AF803" s="113">
        <f>'Data_in-situ'!EN152</f>
        <v>-18.3</v>
      </c>
      <c r="AG803" s="113">
        <f>'Data_in-situ'!EO152</f>
        <v>5.8</v>
      </c>
      <c r="AH803" s="110">
        <f>'Data_in-situ'!EP152</f>
        <v>12</v>
      </c>
      <c r="AI803" s="113">
        <f>'Data_in-situ'!ER152</f>
        <v>-39.6</v>
      </c>
      <c r="AJ803" s="113">
        <f>'Data_in-situ'!ES152</f>
        <v>3.6</v>
      </c>
      <c r="AK803" s="110">
        <f>'Data_in-situ'!ET152</f>
        <v>23</v>
      </c>
    </row>
    <row r="804" spans="20:37" x14ac:dyDescent="0.3">
      <c r="T804" s="113">
        <f>'Data_in-situ'!DN170</f>
        <v>5.1084348128521384</v>
      </c>
      <c r="U804" s="113">
        <f>'Data_in-situ'!DO170</f>
        <v>5.6952881728724067</v>
      </c>
      <c r="V804" s="46">
        <f>'Data_in-situ'!DP170</f>
        <v>3</v>
      </c>
      <c r="W804" s="113">
        <f>'Data_in-situ'!DR170</f>
        <v>-0.69713006958988755</v>
      </c>
      <c r="X804" s="113">
        <f>'Data_in-situ'!DS170</f>
        <v>2.6053258555485774</v>
      </c>
      <c r="Y804" s="46">
        <f>'Data_in-situ'!DT170</f>
        <v>3</v>
      </c>
      <c r="Z804" s="113">
        <f>'Data_in-situ'!EA261</f>
        <v>0.27041130934285673</v>
      </c>
      <c r="AA804" s="113">
        <f>'Data_in-situ'!EB261</f>
        <v>0.17637490766446459</v>
      </c>
      <c r="AB804" s="46">
        <f>'Data_in-situ'!EC261</f>
        <v>3</v>
      </c>
      <c r="AC804" s="113">
        <f>'Data_in-situ'!EE261</f>
        <v>1.0193247137345183</v>
      </c>
      <c r="AD804" s="113">
        <f>'Data_in-situ'!EF261</f>
        <v>0.85363748658627392</v>
      </c>
      <c r="AE804" s="46">
        <f>'Data_in-situ'!EG261</f>
        <v>3</v>
      </c>
      <c r="AF804" s="113">
        <f>'Data_in-situ'!EN163</f>
        <v>-109</v>
      </c>
      <c r="AG804" s="113">
        <f>'Data_in-situ'!EO163</f>
        <v>44.417107463890972</v>
      </c>
      <c r="AH804" s="110">
        <f>'Data_in-situ'!EP163</f>
        <v>4</v>
      </c>
      <c r="AI804" s="113">
        <f>'Data_in-situ'!ER163</f>
        <v>-121</v>
      </c>
      <c r="AJ804" s="113">
        <f>'Data_in-situ'!ES163</f>
        <v>27.444500474612497</v>
      </c>
      <c r="AK804" s="110">
        <f>'Data_in-situ'!ET163</f>
        <v>4</v>
      </c>
    </row>
    <row r="805" spans="20:37" x14ac:dyDescent="0.3">
      <c r="T805" s="113">
        <f>'Data_in-situ'!DN171</f>
        <v>8.2133016861181183</v>
      </c>
      <c r="U805" s="113">
        <f>'Data_in-situ'!DO171</f>
        <v>9.1568399454753813</v>
      </c>
      <c r="V805" s="46">
        <f>'Data_in-situ'!DP171</f>
        <v>3</v>
      </c>
      <c r="W805" s="113">
        <f>'Data_in-situ'!DR171</f>
        <v>3.0351970722144359</v>
      </c>
      <c r="X805" s="113">
        <f>'Data_in-situ'!DS171</f>
        <v>11.343187955696123</v>
      </c>
      <c r="Y805" s="46">
        <f>'Data_in-situ'!DT171</f>
        <v>3</v>
      </c>
      <c r="Z805" s="113">
        <f>'Data_in-situ'!EA264</f>
        <v>8.484570296783607E-2</v>
      </c>
      <c r="AA805" s="113">
        <f>'Data_in-situ'!EB264</f>
        <v>0.23150687644726506</v>
      </c>
      <c r="AB805" s="46">
        <f>'Data_in-situ'!EC264</f>
        <v>3</v>
      </c>
      <c r="AC805" s="113">
        <f>'Data_in-situ'!EE264</f>
        <v>0.16473448657608519</v>
      </c>
      <c r="AD805" s="113">
        <f>'Data_in-situ'!EF264</f>
        <v>0.18337619194833357</v>
      </c>
      <c r="AE805" s="46">
        <f>'Data_in-situ'!EG264</f>
        <v>3</v>
      </c>
      <c r="AF805" s="113">
        <f>'Data_in-situ'!EN164</f>
        <v>-109</v>
      </c>
      <c r="AG805" s="113">
        <f>'Data_in-situ'!EO164</f>
        <v>44.417107463890972</v>
      </c>
      <c r="AH805" s="110">
        <f>'Data_in-situ'!EP164</f>
        <v>4</v>
      </c>
      <c r="AI805" s="113">
        <f>'Data_in-situ'!ER164</f>
        <v>-119</v>
      </c>
      <c r="AJ805" s="113">
        <f>'Data_in-situ'!ES164</f>
        <v>26.990872367594108</v>
      </c>
      <c r="AK805" s="110">
        <f>'Data_in-situ'!ET164</f>
        <v>4</v>
      </c>
    </row>
    <row r="806" spans="20:37" x14ac:dyDescent="0.3">
      <c r="T806" s="113">
        <f>'Data_in-situ'!DN179</f>
        <v>140.79806050736187</v>
      </c>
      <c r="U806" s="113">
        <f>'Data_in-situ'!DO179</f>
        <v>57.85185596345088</v>
      </c>
      <c r="V806" s="46">
        <f>'Data_in-situ'!DP179</f>
        <v>3</v>
      </c>
      <c r="W806" s="113">
        <f>'Data_in-situ'!DR179</f>
        <v>22.365263658588713</v>
      </c>
      <c r="X806" s="113">
        <f>'Data_in-situ'!DS179</f>
        <v>28.96859337526929</v>
      </c>
      <c r="Y806" s="46">
        <f>'Data_in-situ'!DT179</f>
        <v>3</v>
      </c>
      <c r="Z806" s="113">
        <f>'Data_in-situ'!EA265</f>
        <v>7.7775227720516399E-2</v>
      </c>
      <c r="AA806" s="113">
        <f>'Data_in-situ'!EB265</f>
        <v>0.21037856459857804</v>
      </c>
      <c r="AB806" s="46">
        <f>'Data_in-situ'!EC265</f>
        <v>3</v>
      </c>
      <c r="AC806" s="113">
        <f>'Data_in-situ'!EE265</f>
        <v>4.0070550788777477E-2</v>
      </c>
      <c r="AD806" s="113">
        <f>'Data_in-situ'!EF265</f>
        <v>1.5796303365028162E-2</v>
      </c>
      <c r="AE806" s="46">
        <f>'Data_in-situ'!EG265</f>
        <v>3</v>
      </c>
      <c r="AF806" s="113">
        <f>'Data_in-situ'!EN165</f>
        <v>-109</v>
      </c>
      <c r="AG806" s="113">
        <f>'Data_in-situ'!EO165</f>
        <v>44.417107463890972</v>
      </c>
      <c r="AH806" s="110">
        <f>'Data_in-situ'!EP165</f>
        <v>4</v>
      </c>
      <c r="AI806" s="113">
        <f>'Data_in-situ'!ER165</f>
        <v>-138</v>
      </c>
      <c r="AJ806" s="113">
        <f>'Data_in-situ'!ES165</f>
        <v>31.300339384268796</v>
      </c>
      <c r="AK806" s="110">
        <f>'Data_in-situ'!ET165</f>
        <v>4</v>
      </c>
    </row>
    <row r="807" spans="20:37" x14ac:dyDescent="0.3">
      <c r="T807" s="113">
        <f>'Data_in-situ'!DN180</f>
        <v>129.84710024567806</v>
      </c>
      <c r="U807" s="113">
        <f>'Data_in-situ'!DO180</f>
        <v>45.955805142101362</v>
      </c>
      <c r="V807" s="46">
        <f>'Data_in-situ'!DP180</f>
        <v>3</v>
      </c>
      <c r="W807" s="113">
        <f>'Data_in-situ'!DR180</f>
        <v>14.486591233404059</v>
      </c>
      <c r="X807" s="113">
        <f>'Data_in-situ'!DS180</f>
        <v>18.662006281146603</v>
      </c>
      <c r="Y807" s="46">
        <f>'Data_in-situ'!DT180</f>
        <v>3</v>
      </c>
      <c r="Z807" s="113">
        <f>'Data_in-situ'!EA266</f>
        <v>8.3674900420237147E-2</v>
      </c>
      <c r="AA807" s="113">
        <f>'Data_in-situ'!EB266</f>
        <v>0.22267558913078545</v>
      </c>
      <c r="AB807" s="46">
        <f>'Data_in-situ'!EC266</f>
        <v>3</v>
      </c>
      <c r="AC807" s="113">
        <f>'Data_in-situ'!EE266</f>
        <v>0.1068548021034066</v>
      </c>
      <c r="AD807" s="113">
        <f>'Data_in-situ'!EF266</f>
        <v>0.12190903765819365</v>
      </c>
      <c r="AE807" s="46">
        <f>'Data_in-situ'!EG266</f>
        <v>3</v>
      </c>
      <c r="AF807" s="113">
        <f>'Data_in-situ'!EN166</f>
        <v>-76</v>
      </c>
      <c r="AG807" s="113">
        <f>'Data_in-situ'!EO166</f>
        <v>30.969726305098295</v>
      </c>
      <c r="AH807" s="110">
        <f>'Data_in-situ'!EP166</f>
        <v>4</v>
      </c>
      <c r="AI807" s="113">
        <f>'Data_in-situ'!ER166</f>
        <v>-84</v>
      </c>
      <c r="AJ807" s="113">
        <f>'Data_in-situ'!ES166</f>
        <v>19.052380494772311</v>
      </c>
      <c r="AK807" s="110">
        <f>'Data_in-situ'!ET166</f>
        <v>4</v>
      </c>
    </row>
    <row r="808" spans="20:37" x14ac:dyDescent="0.3">
      <c r="T808" s="113">
        <f>'Data_in-situ'!DN181</f>
        <v>159.57113524167664</v>
      </c>
      <c r="U808" s="113">
        <f>'Data_in-situ'!DO181</f>
        <v>73.816751459863269</v>
      </c>
      <c r="V808" s="46">
        <f>'Data_in-situ'!DP181</f>
        <v>3</v>
      </c>
      <c r="W808" s="113">
        <f>'Data_in-situ'!DR181</f>
        <v>15.757344850369346</v>
      </c>
      <c r="X808" s="113">
        <f>'Data_in-situ'!DS181</f>
        <v>19.375072891550516</v>
      </c>
      <c r="Y808" s="46">
        <f>'Data_in-situ'!DT181</f>
        <v>3</v>
      </c>
      <c r="Z808" s="113">
        <f>'Data_in-situ'!EA268</f>
        <v>-1.2019807920443442E-2</v>
      </c>
      <c r="AA808" s="113">
        <f>'Data_in-situ'!EB268</f>
        <v>6.5123648236046217E-2</v>
      </c>
      <c r="AB808" s="46">
        <f>'Data_in-situ'!EC268</f>
        <v>3</v>
      </c>
      <c r="AC808" s="113">
        <f>'Data_in-situ'!EE268</f>
        <v>2.8939842236339292E-2</v>
      </c>
      <c r="AD808" s="113">
        <f>'Data_in-situ'!EF268</f>
        <v>6.2567123803824801E-2</v>
      </c>
      <c r="AE808" s="46">
        <f>'Data_in-situ'!EG268</f>
        <v>3</v>
      </c>
      <c r="AF808" s="113">
        <f>'Data_in-situ'!EN167</f>
        <v>-18</v>
      </c>
      <c r="AG808" s="113">
        <f>'Data_in-situ'!EO167</f>
        <v>7.3349351775232803</v>
      </c>
      <c r="AH808" s="110">
        <f>'Data_in-situ'!EP167</f>
        <v>3</v>
      </c>
      <c r="AI808" s="113">
        <f>'Data_in-situ'!ER167</f>
        <v>-37</v>
      </c>
      <c r="AJ808" s="113">
        <f>'Data_in-situ'!ES167</f>
        <v>8.3921199798401851</v>
      </c>
      <c r="AK808" s="110">
        <f>'Data_in-situ'!ET167</f>
        <v>3</v>
      </c>
    </row>
    <row r="809" spans="20:37" x14ac:dyDescent="0.3">
      <c r="T809" s="113">
        <f>'Data_in-situ'!DN195</f>
        <v>157.55702481107656</v>
      </c>
      <c r="U809" s="113">
        <f>'Data_in-situ'!DO195</f>
        <v>48.678566846799022</v>
      </c>
      <c r="V809" s="46">
        <f>'Data_in-situ'!DP195</f>
        <v>3</v>
      </c>
      <c r="W809" s="113">
        <f>'Data_in-situ'!DR195</f>
        <v>113.18254393770165</v>
      </c>
      <c r="X809" s="113">
        <f>'Data_in-situ'!DS195</f>
        <v>73.207043848592377</v>
      </c>
      <c r="Y809" s="46">
        <f>'Data_in-situ'!DT195</f>
        <v>3</v>
      </c>
      <c r="Z809" s="113">
        <f>'Data_in-situ'!EA439</f>
        <v>1.0999999999999999</v>
      </c>
      <c r="AA809" s="113">
        <f>'Data_in-situ'!EB439</f>
        <v>6.3249746805166405</v>
      </c>
      <c r="AB809" s="46">
        <f>'Data_in-situ'!EC439</f>
        <v>3</v>
      </c>
      <c r="AC809" s="113">
        <f>'Data_in-situ'!EE439</f>
        <v>5.1857142857142851</v>
      </c>
      <c r="AD809" s="113">
        <f>'Data_in-situ'!EF439</f>
        <v>7.7429942220784804</v>
      </c>
      <c r="AE809" s="46">
        <f>'Data_in-situ'!EG439</f>
        <v>3</v>
      </c>
      <c r="AF809" s="113">
        <f>'Data_in-situ'!EN169</f>
        <v>-23.325205479452055</v>
      </c>
      <c r="AG809" s="113">
        <f>'Data_in-situ'!EO169</f>
        <v>9.1345235133236322</v>
      </c>
      <c r="AH809" s="110">
        <f>'Data_in-situ'!EP169</f>
        <v>3</v>
      </c>
      <c r="AI809" s="113">
        <f>'Data_in-situ'!ER169</f>
        <v>-50.248283223625691</v>
      </c>
      <c r="AJ809" s="113">
        <f>'Data_in-situ'!ES169</f>
        <v>5.5408758417852315</v>
      </c>
      <c r="AK809" s="110">
        <f>'Data_in-situ'!ET169</f>
        <v>3</v>
      </c>
    </row>
    <row r="810" spans="20:37" x14ac:dyDescent="0.3">
      <c r="T810" s="113">
        <f>'Data_in-situ'!DN196</f>
        <v>20.372391781452269</v>
      </c>
      <c r="U810" s="113">
        <f>'Data_in-situ'!DO196</f>
        <v>47.083328695005008</v>
      </c>
      <c r="V810" s="46">
        <f>'Data_in-situ'!DP196</f>
        <v>3</v>
      </c>
      <c r="W810" s="113">
        <f>'Data_in-situ'!DR196</f>
        <v>23.189276423209868</v>
      </c>
      <c r="X810" s="113">
        <f>'Data_in-situ'!DS196</f>
        <v>55.90659464438842</v>
      </c>
      <c r="Y810" s="46">
        <f>'Data_in-situ'!DT196</f>
        <v>3</v>
      </c>
      <c r="Z810" s="113">
        <f>'Data_in-situ'!EA440</f>
        <v>1.0999999999999999</v>
      </c>
      <c r="AA810" s="113">
        <f>'Data_in-situ'!EB440</f>
        <v>6.3249746805166405</v>
      </c>
      <c r="AB810" s="46">
        <f>'Data_in-situ'!EC440</f>
        <v>3</v>
      </c>
      <c r="AC810" s="113">
        <f>'Data_in-situ'!EE440</f>
        <v>1.8857142857142857</v>
      </c>
      <c r="AD810" s="113">
        <f>'Data_in-situ'!EF440</f>
        <v>2.8156342625739934</v>
      </c>
      <c r="AE810" s="46">
        <f>'Data_in-situ'!EG440</f>
        <v>3</v>
      </c>
      <c r="AF810" s="113">
        <f>'Data_in-situ'!EN170</f>
        <v>-5.9909980430528433</v>
      </c>
      <c r="AG810" s="113">
        <f>'Data_in-situ'!EO170</f>
        <v>3.1338536679828461</v>
      </c>
      <c r="AH810" s="110">
        <f>'Data_in-situ'!EP170</f>
        <v>3</v>
      </c>
      <c r="AI810" s="113">
        <f>'Data_in-situ'!ER170</f>
        <v>-25.035567514677091</v>
      </c>
      <c r="AJ810" s="113">
        <f>'Data_in-situ'!ES170</f>
        <v>3.3576627131775418</v>
      </c>
      <c r="AK810" s="110">
        <f>'Data_in-situ'!ET170</f>
        <v>3</v>
      </c>
    </row>
    <row r="811" spans="20:37" x14ac:dyDescent="0.3">
      <c r="T811" s="113">
        <f>'Data_in-situ'!DN197</f>
        <v>155.82698820258872</v>
      </c>
      <c r="U811" s="113">
        <f>'Data_in-situ'!DO197</f>
        <v>23.032741265577613</v>
      </c>
      <c r="V811" s="46">
        <f>'Data_in-situ'!DP197</f>
        <v>3</v>
      </c>
      <c r="W811" s="113">
        <f>'Data_in-situ'!DR197</f>
        <v>112.44558555457438</v>
      </c>
      <c r="X811" s="113">
        <f>'Data_in-situ'!DS197</f>
        <v>45.444038695017397</v>
      </c>
      <c r="Y811" s="46">
        <f>'Data_in-situ'!DT197</f>
        <v>3</v>
      </c>
      <c r="Z811" s="113">
        <f>'Data_in-situ'!EA443</f>
        <v>0.3</v>
      </c>
      <c r="AA811" s="113">
        <f>'Data_in-situ'!EB443</f>
        <v>0.35</v>
      </c>
      <c r="AB811" s="46">
        <f>'Data_in-situ'!EC443</f>
        <v>6</v>
      </c>
      <c r="AC811" s="113">
        <f>'Data_in-situ'!EE443</f>
        <v>37.700000000000003</v>
      </c>
      <c r="AD811" s="113">
        <f>'Data_in-situ'!EF443</f>
        <v>2.95</v>
      </c>
      <c r="AE811" s="46">
        <f>'Data_in-situ'!EG443</f>
        <v>4</v>
      </c>
      <c r="AF811" s="113">
        <f>'Data_in-situ'!EN171</f>
        <v>-28.456673189823867</v>
      </c>
      <c r="AG811" s="113">
        <f>'Data_in-situ'!EO171</f>
        <v>9.4179374135466869</v>
      </c>
      <c r="AH811" s="110">
        <f>'Data_in-situ'!EP171</f>
        <v>3</v>
      </c>
      <c r="AI811" s="113">
        <f>'Data_in-situ'!ER171</f>
        <v>-19.023532289628182</v>
      </c>
      <c r="AJ811" s="113">
        <f>'Data_in-situ'!ES171</f>
        <v>6.0791484886821818</v>
      </c>
      <c r="AK811" s="110">
        <f>'Data_in-situ'!ET171</f>
        <v>3</v>
      </c>
    </row>
    <row r="812" spans="20:37" x14ac:dyDescent="0.3">
      <c r="T812" s="113">
        <f>'Data_in-situ'!DN198</f>
        <v>26.090957895544143</v>
      </c>
      <c r="U812" s="113">
        <f>'Data_in-situ'!DO198</f>
        <v>4.5126597497032837</v>
      </c>
      <c r="V812" s="46">
        <f>'Data_in-situ'!DP198</f>
        <v>3</v>
      </c>
      <c r="W812" s="113">
        <f>'Data_in-situ'!DR198</f>
        <v>36.800373454224456</v>
      </c>
      <c r="X812" s="113">
        <f>'Data_in-situ'!DS198</f>
        <v>16.18313151345119</v>
      </c>
      <c r="Y812" s="46">
        <f>'Data_in-situ'!DT198</f>
        <v>3</v>
      </c>
      <c r="AF812" s="113">
        <f>'Data_in-situ'!EN173</f>
        <v>-14.041514041514047</v>
      </c>
      <c r="AG812" s="113">
        <f>'Data_in-situ'!EO173</f>
        <v>3.8618262026084285</v>
      </c>
      <c r="AH812" s="110">
        <f>'Data_in-situ'!EP173</f>
        <v>3</v>
      </c>
      <c r="AI812" s="113">
        <f>'Data_in-situ'!ER173</f>
        <v>-37.912087912087912</v>
      </c>
      <c r="AJ812" s="113">
        <f>'Data_in-situ'!ES173</f>
        <v>6.2846687384361628</v>
      </c>
      <c r="AK812" s="110">
        <f>'Data_in-situ'!ET173</f>
        <v>3</v>
      </c>
    </row>
    <row r="813" spans="20:37" x14ac:dyDescent="0.3">
      <c r="T813" s="113">
        <f>'Data_in-situ'!DN200</f>
        <v>245.98402154970469</v>
      </c>
      <c r="U813" s="113">
        <f>'Data_in-situ'!DO200</f>
        <v>274.24249109003443</v>
      </c>
      <c r="V813" s="46">
        <f>'Data_in-situ'!DP200</f>
        <v>1</v>
      </c>
      <c r="W813" s="113">
        <f>'Data_in-situ'!DR200</f>
        <v>137.10405045597599</v>
      </c>
      <c r="X813" s="113">
        <f>'Data_in-situ'!DS200</f>
        <v>512.38749142398558</v>
      </c>
      <c r="Y813" s="46">
        <f>'Data_in-situ'!DT200</f>
        <v>1</v>
      </c>
      <c r="AF813" s="113">
        <f>'Data_in-situ'!EN174</f>
        <v>-8</v>
      </c>
      <c r="AG813" s="113">
        <f>'Data_in-situ'!EO174</f>
        <v>3.2599711900103467</v>
      </c>
      <c r="AH813" s="110">
        <f>'Data_in-situ'!EP174</f>
        <v>3</v>
      </c>
      <c r="AI813" s="113">
        <f>'Data_in-situ'!ER174</f>
        <v>-11</v>
      </c>
      <c r="AJ813" s="113">
        <f>'Data_in-situ'!ES174</f>
        <v>2.4949545886011357</v>
      </c>
      <c r="AK813" s="110">
        <f>'Data_in-situ'!ET174</f>
        <v>3</v>
      </c>
    </row>
    <row r="814" spans="20:37" x14ac:dyDescent="0.3">
      <c r="T814" s="113">
        <f>'Data_in-situ'!DN206</f>
        <v>463.27543921409523</v>
      </c>
      <c r="U814" s="113">
        <f>'Data_in-situ'!DO206</f>
        <v>273.82684401702096</v>
      </c>
      <c r="V814" s="46">
        <f>'Data_in-situ'!DP206</f>
        <v>10</v>
      </c>
      <c r="W814" s="113">
        <f>'Data_in-situ'!DR206</f>
        <v>96.95483735641497</v>
      </c>
      <c r="X814" s="113">
        <f>'Data_in-situ'!DS206</f>
        <v>59.158355726925045</v>
      </c>
      <c r="Y814" s="46">
        <f>'Data_in-situ'!DT206</f>
        <v>10</v>
      </c>
      <c r="AF814" s="113">
        <f>'Data_in-situ'!EN175</f>
        <v>-8</v>
      </c>
      <c r="AG814" s="113">
        <f>'Data_in-situ'!EO175</f>
        <v>3.2599711900103467</v>
      </c>
      <c r="AH814" s="110">
        <f>'Data_in-situ'!EP175</f>
        <v>3</v>
      </c>
      <c r="AI814" s="113">
        <f>'Data_in-situ'!ER175</f>
        <v>-19</v>
      </c>
      <c r="AJ814" s="113">
        <f>'Data_in-situ'!ES175</f>
        <v>4.3094670166746889</v>
      </c>
      <c r="AK814" s="110">
        <f>'Data_in-situ'!ET175</f>
        <v>3</v>
      </c>
    </row>
    <row r="815" spans="20:37" x14ac:dyDescent="0.3">
      <c r="T815" s="113">
        <f>'Data_in-situ'!DN207</f>
        <v>-3.4702280090943463</v>
      </c>
      <c r="U815" s="113">
        <f>'Data_in-situ'!DO207</f>
        <v>1.9645331933110226</v>
      </c>
      <c r="V815" s="46">
        <f>'Data_in-situ'!DP207</f>
        <v>10</v>
      </c>
      <c r="W815" s="113">
        <f>'Data_in-situ'!DR207</f>
        <v>5.0366149276059726</v>
      </c>
      <c r="X815" s="113">
        <f>'Data_in-situ'!DS207</f>
        <v>17.873807602780403</v>
      </c>
      <c r="Y815" s="46">
        <f>'Data_in-situ'!DT207</f>
        <v>10</v>
      </c>
      <c r="AF815" s="113">
        <f>'Data_in-situ'!EN179</f>
        <v>-6.75</v>
      </c>
      <c r="AG815" s="113">
        <f>'Data_in-situ'!EO179</f>
        <v>4.0326790102858423</v>
      </c>
      <c r="AH815" s="110">
        <f>'Data_in-situ'!EP179</f>
        <v>3</v>
      </c>
      <c r="AI815" s="113">
        <f>'Data_in-situ'!ER179</f>
        <v>-13.2</v>
      </c>
      <c r="AJ815" s="113">
        <f>'Data_in-situ'!ES179</f>
        <v>6.5</v>
      </c>
      <c r="AK815" s="110">
        <f>'Data_in-situ'!ET179</f>
        <v>3</v>
      </c>
    </row>
    <row r="816" spans="20:37" x14ac:dyDescent="0.3">
      <c r="T816" s="113">
        <f>'Data_in-situ'!DN208</f>
        <v>576.05784950966154</v>
      </c>
      <c r="U816" s="113">
        <f>'Data_in-situ'!DO208</f>
        <v>329.18150586510939</v>
      </c>
      <c r="V816" s="46">
        <f>'Data_in-situ'!DP208</f>
        <v>4</v>
      </c>
      <c r="W816" s="113">
        <f>'Data_in-situ'!DR208</f>
        <v>132.21114184965677</v>
      </c>
      <c r="X816" s="113">
        <f>'Data_in-situ'!DS208</f>
        <v>124.13591126677807</v>
      </c>
      <c r="Y816" s="46">
        <f>'Data_in-situ'!DT208</f>
        <v>4</v>
      </c>
      <c r="AF816" s="113">
        <f>'Data_in-situ'!EN180</f>
        <v>-7.05</v>
      </c>
      <c r="AG816" s="113">
        <f>'Data_in-situ'!EO180</f>
        <v>2.8714108030722461</v>
      </c>
      <c r="AH816" s="110">
        <f>'Data_in-situ'!EP180</f>
        <v>3</v>
      </c>
      <c r="AI816" s="113">
        <f>'Data_in-situ'!ER180</f>
        <v>-16.899999999999999</v>
      </c>
      <c r="AJ816" s="113">
        <f>'Data_in-situ'!ES180</f>
        <v>10.5</v>
      </c>
      <c r="AK816" s="110">
        <f>'Data_in-situ'!ET180</f>
        <v>3</v>
      </c>
    </row>
    <row r="817" spans="20:37" x14ac:dyDescent="0.3">
      <c r="T817" s="113">
        <f>'Data_in-situ'!DN209</f>
        <v>-5.2053420136415198</v>
      </c>
      <c r="U817" s="113">
        <f>'Data_in-situ'!DO209</f>
        <v>2.2181869265634826</v>
      </c>
      <c r="V817" s="46">
        <f>'Data_in-situ'!DP209</f>
        <v>4</v>
      </c>
      <c r="W817" s="113">
        <f>'Data_in-situ'!DR209</f>
        <v>-1.2591537319014932</v>
      </c>
      <c r="X817" s="113">
        <f>'Data_in-situ'!DS209</f>
        <v>2.6242999817463004</v>
      </c>
      <c r="Y817" s="46">
        <f>'Data_in-situ'!DT209</f>
        <v>4</v>
      </c>
      <c r="AF817" s="113">
        <f>'Data_in-situ'!EN181</f>
        <v>-8.5500000000000007</v>
      </c>
      <c r="AG817" s="113">
        <f>'Data_in-situ'!EO181</f>
        <v>4.9678969393496883</v>
      </c>
      <c r="AH817" s="110">
        <f>'Data_in-situ'!EP181</f>
        <v>3</v>
      </c>
      <c r="AI817" s="113">
        <f>'Data_in-situ'!ER181</f>
        <v>-16.2</v>
      </c>
      <c r="AJ817" s="113">
        <f>'Data_in-situ'!ES181</f>
        <v>8</v>
      </c>
      <c r="AK817" s="110">
        <f>'Data_in-situ'!ET181</f>
        <v>3</v>
      </c>
    </row>
    <row r="818" spans="20:37" x14ac:dyDescent="0.3">
      <c r="T818" s="113">
        <f>'Data_in-situ'!DN211</f>
        <v>679.54671344272833</v>
      </c>
      <c r="U818" s="113">
        <f>'Data_in-situ'!DO211</f>
        <v>860.0591867401946</v>
      </c>
      <c r="V818" s="46">
        <f>'Data_in-situ'!DP211</f>
        <v>46</v>
      </c>
      <c r="W818" s="113">
        <f>'Data_in-situ'!DR211</f>
        <v>15.65177995944169</v>
      </c>
      <c r="X818" s="113">
        <f>'Data_in-situ'!DS211</f>
        <v>24.385487937237958</v>
      </c>
      <c r="Y818" s="46">
        <f>'Data_in-situ'!DT211</f>
        <v>73</v>
      </c>
      <c r="AF818" s="113">
        <f>'Data_in-situ'!EN195</f>
        <v>-8.1</v>
      </c>
      <c r="AG818" s="113">
        <f>'Data_in-situ'!EO195</f>
        <v>1.2</v>
      </c>
      <c r="AH818" s="110">
        <f>'Data_in-situ'!EP195</f>
        <v>3</v>
      </c>
      <c r="AI818" s="113">
        <f>'Data_in-situ'!ER195</f>
        <v>-13.1</v>
      </c>
      <c r="AJ818" s="113">
        <f>'Data_in-situ'!ES195</f>
        <v>0.8</v>
      </c>
      <c r="AK818" s="110">
        <f>'Data_in-situ'!ET195</f>
        <v>3</v>
      </c>
    </row>
    <row r="819" spans="20:37" x14ac:dyDescent="0.3">
      <c r="T819" s="113">
        <f>'Data_in-situ'!DN213</f>
        <v>5.4</v>
      </c>
      <c r="U819" s="113">
        <f>'Data_in-situ'!DO213</f>
        <v>6.0203481614635956</v>
      </c>
      <c r="V819" s="46">
        <f>'Data_in-situ'!DP213</f>
        <v>3</v>
      </c>
      <c r="W819" s="113">
        <f>'Data_in-situ'!DR213</f>
        <v>1.4</v>
      </c>
      <c r="X819" s="113">
        <f>'Data_in-situ'!DS213</f>
        <v>5.2321028124834132</v>
      </c>
      <c r="Y819" s="46">
        <f>'Data_in-situ'!DT213</f>
        <v>3</v>
      </c>
      <c r="AF819" s="113">
        <f>'Data_in-situ'!EN196</f>
        <v>-20.399999999999999</v>
      </c>
      <c r="AG819" s="113">
        <f>'Data_in-situ'!EO196</f>
        <v>2.2999999999999998</v>
      </c>
      <c r="AH819" s="110">
        <f>'Data_in-situ'!EP196</f>
        <v>3</v>
      </c>
      <c r="AI819" s="113">
        <f>'Data_in-situ'!ER196</f>
        <v>-28.4</v>
      </c>
      <c r="AJ819" s="113">
        <f>'Data_in-situ'!ES196</f>
        <v>3.2</v>
      </c>
      <c r="AK819" s="110">
        <f>'Data_in-situ'!ET196</f>
        <v>3</v>
      </c>
    </row>
    <row r="820" spans="20:37" x14ac:dyDescent="0.3">
      <c r="T820" s="113">
        <f>'Data_in-situ'!DN214</f>
        <v>7.5</v>
      </c>
      <c r="U820" s="113">
        <f>'Data_in-situ'!DO214</f>
        <v>8.3615946686994373</v>
      </c>
      <c r="V820" s="46">
        <f>'Data_in-situ'!DP214</f>
        <v>3</v>
      </c>
      <c r="W820" s="113">
        <f>'Data_in-situ'!DR214</f>
        <v>1.6</v>
      </c>
      <c r="X820" s="113">
        <f>'Data_in-situ'!DS214</f>
        <v>5.979546071409616</v>
      </c>
      <c r="Y820" s="46">
        <f>'Data_in-situ'!DT214</f>
        <v>3</v>
      </c>
      <c r="AF820" s="113">
        <f>'Data_in-situ'!EN197</f>
        <v>-8.1</v>
      </c>
      <c r="AG820" s="113">
        <f>'Data_in-situ'!EO197</f>
        <v>1.2</v>
      </c>
      <c r="AH820" s="110">
        <f>'Data_in-situ'!EP197</f>
        <v>3</v>
      </c>
      <c r="AI820" s="113">
        <f>'Data_in-situ'!ER197</f>
        <v>-13.1</v>
      </c>
      <c r="AJ820" s="113">
        <f>'Data_in-situ'!ES197</f>
        <v>0.8</v>
      </c>
      <c r="AK820" s="110">
        <f>'Data_in-situ'!ET197</f>
        <v>3</v>
      </c>
    </row>
    <row r="821" spans="20:37" x14ac:dyDescent="0.3">
      <c r="T821" s="113">
        <f>'Data_in-situ'!DN216</f>
        <v>36.386666666666663</v>
      </c>
      <c r="U821" s="113">
        <f>'Data_in-situ'!DO216</f>
        <v>4.1569219381653051</v>
      </c>
      <c r="V821" s="46">
        <f>'Data_in-situ'!DP216</f>
        <v>3</v>
      </c>
      <c r="W821" s="113">
        <f>'Data_in-situ'!DR216</f>
        <v>12.573333333333332</v>
      </c>
      <c r="X821" s="113">
        <f>'Data_in-situ'!DS216</f>
        <v>5.1268703904038775</v>
      </c>
      <c r="Y821" s="46">
        <f>'Data_in-situ'!DT216</f>
        <v>3</v>
      </c>
      <c r="AF821" s="113">
        <f>'Data_in-situ'!EN198</f>
        <v>-20.399999999999999</v>
      </c>
      <c r="AG821" s="113">
        <f>'Data_in-situ'!EO198</f>
        <v>2.2999999999999998</v>
      </c>
      <c r="AH821" s="110">
        <f>'Data_in-situ'!EP198</f>
        <v>3</v>
      </c>
      <c r="AI821" s="113">
        <f>'Data_in-situ'!ER198</f>
        <v>-28.4</v>
      </c>
      <c r="AJ821" s="113">
        <f>'Data_in-situ'!ES198</f>
        <v>3.2</v>
      </c>
      <c r="AK821" s="110">
        <f>'Data_in-situ'!ET198</f>
        <v>3</v>
      </c>
    </row>
    <row r="822" spans="20:37" x14ac:dyDescent="0.3">
      <c r="T822" s="113">
        <f>'Data_in-situ'!DN217</f>
        <v>42.739726027397303</v>
      </c>
      <c r="U822" s="113">
        <f>'Data_in-situ'!DO217</f>
        <v>33.554654010728207</v>
      </c>
      <c r="V822" s="46">
        <f>'Data_in-situ'!DP217</f>
        <v>6</v>
      </c>
      <c r="W822" s="113">
        <f>'Data_in-situ'!DR217</f>
        <v>15.6164383561644</v>
      </c>
      <c r="X822" s="113">
        <f>'Data_in-situ'!DS217</f>
        <v>21.474978566866142</v>
      </c>
      <c r="Y822" s="46">
        <f>'Data_in-situ'!DT217</f>
        <v>6</v>
      </c>
      <c r="AF822" s="113">
        <f>'Data_in-situ'!EN199</f>
        <v>-20.100000000000001</v>
      </c>
      <c r="AG822" s="113">
        <f>'Data_in-situ'!EO199</f>
        <v>2</v>
      </c>
      <c r="AH822" s="110">
        <f>'Data_in-situ'!EP199</f>
        <v>16</v>
      </c>
      <c r="AI822" s="113">
        <f>'Data_in-situ'!ER199</f>
        <v>-38.200000000000003</v>
      </c>
      <c r="AJ822" s="113">
        <f>'Data_in-situ'!ES199</f>
        <v>2</v>
      </c>
      <c r="AK822" s="110">
        <f>'Data_in-situ'!ET199</f>
        <v>16</v>
      </c>
    </row>
    <row r="823" spans="20:37" x14ac:dyDescent="0.3">
      <c r="T823" s="113">
        <f>'Data_in-situ'!DN218</f>
        <v>42.739726027397296</v>
      </c>
      <c r="U823" s="113">
        <f>'Data_in-situ'!DO218</f>
        <v>33.554654010728207</v>
      </c>
      <c r="V823" s="46">
        <f>'Data_in-situ'!DP218</f>
        <v>6</v>
      </c>
      <c r="W823" s="113">
        <f>'Data_in-situ'!DR218</f>
        <v>16.164383561643799</v>
      </c>
      <c r="X823" s="113">
        <f>'Data_in-situ'!DS218</f>
        <v>14.764047764720594</v>
      </c>
      <c r="Y823" s="46">
        <f>'Data_in-situ'!DT218</f>
        <v>6</v>
      </c>
      <c r="AF823" s="113">
        <f>'Data_in-situ'!EN200</f>
        <v>-23</v>
      </c>
      <c r="AG823" s="113">
        <f>'Data_in-situ'!EO200</f>
        <v>3.2</v>
      </c>
      <c r="AH823" s="110">
        <f>'Data_in-situ'!EP200</f>
        <v>16</v>
      </c>
      <c r="AI823" s="113">
        <f>'Data_in-situ'!ER200</f>
        <v>-35.299999999999997</v>
      </c>
      <c r="AJ823" s="113">
        <f>'Data_in-situ'!ES200</f>
        <v>4.4000000000000004</v>
      </c>
      <c r="AK823" s="110">
        <f>'Data_in-situ'!ET200</f>
        <v>16</v>
      </c>
    </row>
    <row r="824" spans="20:37" x14ac:dyDescent="0.3">
      <c r="T824" s="113">
        <f>'Data_in-situ'!DN221</f>
        <v>102.01732234975572</v>
      </c>
      <c r="U824" s="113">
        <f>'Data_in-situ'!DO221</f>
        <v>83.345787424497175</v>
      </c>
      <c r="V824" s="46">
        <f>'Data_in-situ'!DP221</f>
        <v>2</v>
      </c>
      <c r="W824" s="113">
        <f>'Data_in-situ'!DR221</f>
        <v>0.61419354838709672</v>
      </c>
      <c r="X824" s="113">
        <f>'Data_in-situ'!DS221</f>
        <v>11.86963649409887</v>
      </c>
      <c r="Y824" s="46">
        <f>'Data_in-situ'!DT221</f>
        <v>6</v>
      </c>
      <c r="AF824" s="113">
        <f>'Data_in-situ'!EN206</f>
        <v>3</v>
      </c>
      <c r="AG824" s="113">
        <f>'Data_in-situ'!EO206</f>
        <v>3</v>
      </c>
      <c r="AH824" s="110">
        <f>'Data_in-situ'!EP206</f>
        <v>10</v>
      </c>
      <c r="AI824" s="113">
        <f>'Data_in-situ'!ER206</f>
        <v>4</v>
      </c>
      <c r="AJ824" s="113">
        <f>'Data_in-situ'!ES206</f>
        <v>2</v>
      </c>
      <c r="AK824" s="110">
        <f>'Data_in-situ'!ET206</f>
        <v>10</v>
      </c>
    </row>
    <row r="825" spans="20:37" x14ac:dyDescent="0.3">
      <c r="T825" s="113">
        <f>'Data_in-situ'!DN270</f>
        <v>9.7529199020319588</v>
      </c>
      <c r="U825" s="113">
        <f>'Data_in-situ'!DO270</f>
        <v>10.616164230838427</v>
      </c>
      <c r="V825" s="46">
        <f>'Data_in-situ'!DP270</f>
        <v>20</v>
      </c>
      <c r="W825" s="113">
        <f>'Data_in-situ'!DR270</f>
        <v>1.5362827803916344E-2</v>
      </c>
      <c r="X825" s="113">
        <f>'Data_in-situ'!DS270</f>
        <v>0.60544514040223285</v>
      </c>
      <c r="Y825" s="46">
        <f>'Data_in-situ'!DT270</f>
        <v>20</v>
      </c>
      <c r="AF825" s="113">
        <f>'Data_in-situ'!EN207</f>
        <v>-19</v>
      </c>
      <c r="AG825" s="113">
        <f>'Data_in-situ'!EO207</f>
        <v>4</v>
      </c>
      <c r="AH825" s="110">
        <f>'Data_in-situ'!EP207</f>
        <v>10</v>
      </c>
      <c r="AI825" s="113">
        <f>'Data_in-situ'!ER207</f>
        <v>-17</v>
      </c>
      <c r="AJ825" s="113">
        <f>'Data_in-situ'!ES207</f>
        <v>7</v>
      </c>
      <c r="AK825" s="110">
        <f>'Data_in-situ'!ET207</f>
        <v>10</v>
      </c>
    </row>
    <row r="826" spans="20:37" x14ac:dyDescent="0.3">
      <c r="T826" s="113">
        <f>'Data_in-situ'!DN271</f>
        <v>28.501072212251554</v>
      </c>
      <c r="U826" s="113">
        <f>'Data_in-situ'!DO271</f>
        <v>28.652903393199384</v>
      </c>
      <c r="V826" s="46">
        <f>'Data_in-situ'!DP271</f>
        <v>8</v>
      </c>
      <c r="W826" s="113">
        <f>'Data_in-situ'!DR271</f>
        <v>2.155113237216562</v>
      </c>
      <c r="X826" s="113">
        <f>'Data_in-situ'!DS271</f>
        <v>5.8344440438614322</v>
      </c>
      <c r="Y826" s="46">
        <f>'Data_in-situ'!DT271</f>
        <v>8</v>
      </c>
      <c r="AF826" s="113">
        <f>'Data_in-situ'!EN208</f>
        <v>3</v>
      </c>
      <c r="AG826" s="113">
        <f>'Data_in-situ'!EO208</f>
        <v>3</v>
      </c>
      <c r="AH826" s="110">
        <f>'Data_in-situ'!EP208</f>
        <v>10</v>
      </c>
      <c r="AI826" s="113">
        <f>'Data_in-situ'!ER208</f>
        <v>4</v>
      </c>
      <c r="AJ826" s="113">
        <f>'Data_in-situ'!ES208</f>
        <v>2</v>
      </c>
      <c r="AK826" s="110">
        <f>'Data_in-situ'!ET208</f>
        <v>10</v>
      </c>
    </row>
    <row r="827" spans="20:37" x14ac:dyDescent="0.3">
      <c r="T827" s="113">
        <f>'Data_in-situ'!DN274</f>
        <v>185.20163025788599</v>
      </c>
      <c r="U827" s="113">
        <f>'Data_in-situ'!DO274</f>
        <v>63.221490486987811</v>
      </c>
      <c r="V827" s="46">
        <f>'Data_in-situ'!DP274</f>
        <v>5</v>
      </c>
      <c r="W827" s="113">
        <f>'Data_in-situ'!DR274</f>
        <v>121.18643762191216</v>
      </c>
      <c r="X827" s="113">
        <f>'Data_in-situ'!DS274</f>
        <v>57.510183803125116</v>
      </c>
      <c r="Y827" s="46">
        <f>'Data_in-situ'!DT274</f>
        <v>5</v>
      </c>
      <c r="AF827" s="113">
        <f>'Data_in-situ'!EN209</f>
        <v>-19</v>
      </c>
      <c r="AG827" s="113">
        <f>'Data_in-situ'!EO209</f>
        <v>4</v>
      </c>
      <c r="AH827" s="110">
        <f>'Data_in-situ'!EP209</f>
        <v>10</v>
      </c>
      <c r="AI827" s="113">
        <f>'Data_in-situ'!ER209</f>
        <v>-17</v>
      </c>
      <c r="AJ827" s="113">
        <f>'Data_in-situ'!ES209</f>
        <v>7</v>
      </c>
      <c r="AK827" s="110">
        <f>'Data_in-situ'!ET209</f>
        <v>10</v>
      </c>
    </row>
    <row r="828" spans="20:37" x14ac:dyDescent="0.3">
      <c r="T828" s="113">
        <f>'Data_in-situ'!DN275</f>
        <v>72.37222075218537</v>
      </c>
      <c r="U828" s="113">
        <f>'Data_in-situ'!DO275</f>
        <v>16.290298496553017</v>
      </c>
      <c r="V828" s="46">
        <f>'Data_in-situ'!DP275</f>
        <v>5</v>
      </c>
      <c r="W828" s="113">
        <f>'Data_in-situ'!DR275</f>
        <v>28.308613297303122</v>
      </c>
      <c r="X828" s="113">
        <f>'Data_in-situ'!DS275</f>
        <v>7.7013419089793729</v>
      </c>
      <c r="Y828" s="46">
        <f>'Data_in-situ'!DT275</f>
        <v>5</v>
      </c>
      <c r="AF828" s="113">
        <f>'Data_in-situ'!EN211</f>
        <v>-15</v>
      </c>
      <c r="AG828" s="113">
        <f>'Data_in-situ'!EO211</f>
        <v>13</v>
      </c>
      <c r="AH828" s="110">
        <f>'Data_in-situ'!EP211</f>
        <v>9836</v>
      </c>
      <c r="AI828" s="113">
        <f>'Data_in-situ'!ER211</f>
        <v>-22</v>
      </c>
      <c r="AJ828" s="113">
        <f>'Data_in-situ'!ES211</f>
        <v>10</v>
      </c>
      <c r="AK828" s="110">
        <f>'Data_in-situ'!ET211</f>
        <v>11052</v>
      </c>
    </row>
    <row r="829" spans="20:37" x14ac:dyDescent="0.3">
      <c r="T829" s="113">
        <f>'Data_in-situ'!DN276</f>
        <v>49.465244035227812</v>
      </c>
      <c r="U829" s="113">
        <f>'Data_in-situ'!DO276</f>
        <v>13.371607139963906</v>
      </c>
      <c r="V829" s="46">
        <f>'Data_in-situ'!DP276</f>
        <v>5</v>
      </c>
      <c r="W829" s="113">
        <f>'Data_in-situ'!DR276</f>
        <v>54.340166693175355</v>
      </c>
      <c r="X829" s="113">
        <f>'Data_in-situ'!DS276</f>
        <v>13.781971178631771</v>
      </c>
      <c r="Y829" s="46">
        <f>'Data_in-situ'!DT276</f>
        <v>5</v>
      </c>
      <c r="AF829" s="113">
        <f>'Data_in-situ'!EN213</f>
        <v>-14.909844559585478</v>
      </c>
      <c r="AG829" s="113">
        <f>'Data_in-situ'!EO213</f>
        <v>1.0723470663621506</v>
      </c>
      <c r="AH829" s="110">
        <f>'Data_in-situ'!EP213</f>
        <v>3</v>
      </c>
      <c r="AI829" s="113">
        <f>'Data_in-situ'!ER213</f>
        <v>-31.98942141623488</v>
      </c>
      <c r="AJ829" s="113">
        <f>'Data_in-situ'!ES213</f>
        <v>1.5801931444910506</v>
      </c>
      <c r="AK829" s="110">
        <f>'Data_in-situ'!ET213</f>
        <v>3</v>
      </c>
    </row>
    <row r="830" spans="20:37" x14ac:dyDescent="0.3">
      <c r="T830" s="113">
        <f>'Data_in-situ'!DN277</f>
        <v>161.00136320152035</v>
      </c>
      <c r="U830" s="113">
        <f>'Data_in-situ'!DO277</f>
        <v>78.597780685425604</v>
      </c>
      <c r="V830" s="46">
        <f>'Data_in-situ'!DP277</f>
        <v>5</v>
      </c>
      <c r="W830" s="113">
        <f>'Data_in-situ'!DR277</f>
        <v>91.076976090565751</v>
      </c>
      <c r="X830" s="113">
        <f>'Data_in-situ'!DS277</f>
        <v>23.599794088555864</v>
      </c>
      <c r="Y830" s="46">
        <f>'Data_in-situ'!DT277</f>
        <v>5</v>
      </c>
      <c r="AF830" s="113">
        <f>'Data_in-situ'!EN214</f>
        <v>-13.449581506576324</v>
      </c>
      <c r="AG830" s="113">
        <f>'Data_in-situ'!EO214</f>
        <v>1.4236979793576987</v>
      </c>
      <c r="AH830" s="110">
        <f>'Data_in-situ'!EP214</f>
        <v>3</v>
      </c>
      <c r="AI830" s="113">
        <f>'Data_in-situ'!ER214</f>
        <v>-31.606217616580317</v>
      </c>
      <c r="AJ830" s="113">
        <f>'Data_in-situ'!ES214</f>
        <v>2.0517717022532898</v>
      </c>
      <c r="AK830" s="110">
        <f>'Data_in-situ'!ET214</f>
        <v>3</v>
      </c>
    </row>
    <row r="831" spans="20:37" x14ac:dyDescent="0.3">
      <c r="T831" s="113">
        <f>'Data_in-situ'!DN278</f>
        <v>33.182385393713595</v>
      </c>
      <c r="U831" s="113">
        <f>'Data_in-situ'!DO278</f>
        <v>11.04758962718873</v>
      </c>
      <c r="V831" s="46">
        <f>'Data_in-situ'!DP278</f>
        <v>5</v>
      </c>
      <c r="W831" s="113">
        <f>'Data_in-situ'!DR278</f>
        <v>70.577515694920223</v>
      </c>
      <c r="X831" s="113">
        <f>'Data_in-situ'!DS278</f>
        <v>17.997218807343039</v>
      </c>
      <c r="Y831" s="46">
        <f>'Data_in-situ'!DT278</f>
        <v>5</v>
      </c>
      <c r="AF831" s="113">
        <f>'Data_in-situ'!EN216</f>
        <v>-15</v>
      </c>
      <c r="AG831" s="113">
        <f>'Data_in-situ'!EO216</f>
        <v>6.1124459812694001</v>
      </c>
      <c r="AH831" s="110">
        <f>'Data_in-situ'!EP216</f>
        <v>3</v>
      </c>
      <c r="AI831" s="113">
        <f>'Data_in-situ'!ER216</f>
        <v>-38</v>
      </c>
      <c r="AJ831" s="113">
        <f>'Data_in-situ'!ES216</f>
        <v>8.6189340333493778</v>
      </c>
      <c r="AK831" s="110">
        <f>'Data_in-situ'!ET216</f>
        <v>3</v>
      </c>
    </row>
    <row r="832" spans="20:37" x14ac:dyDescent="0.3">
      <c r="T832" s="113">
        <f>'Data_in-situ'!DN279</f>
        <v>149.58826237069499</v>
      </c>
      <c r="U832" s="113">
        <f>'Data_in-situ'!DO279</f>
        <v>54.002575188816245</v>
      </c>
      <c r="V832" s="46">
        <f>'Data_in-situ'!DP279</f>
        <v>5</v>
      </c>
      <c r="W832" s="113">
        <f>'Data_in-situ'!DR279</f>
        <v>185.74509306894518</v>
      </c>
      <c r="X832" s="113">
        <f>'Data_in-situ'!DS279</f>
        <v>48.73879916451105</v>
      </c>
      <c r="Y832" s="46">
        <f>'Data_in-situ'!DT279</f>
        <v>5</v>
      </c>
      <c r="AF832" s="113">
        <f>'Data_in-situ'!EN217</f>
        <v>-37.626417233560076</v>
      </c>
      <c r="AG832" s="113">
        <f>'Data_in-situ'!EO217</f>
        <v>4.4214357150460231</v>
      </c>
      <c r="AH832" s="110">
        <f>'Data_in-situ'!EP217</f>
        <v>6</v>
      </c>
      <c r="AI832" s="113">
        <f>'Data_in-situ'!ER217</f>
        <v>-45.222713794142358</v>
      </c>
      <c r="AJ832" s="113">
        <f>'Data_in-situ'!ES217</f>
        <v>4.4131903136073891</v>
      </c>
      <c r="AK832" s="110">
        <f>'Data_in-situ'!ET217</f>
        <v>6</v>
      </c>
    </row>
    <row r="833" spans="20:37" x14ac:dyDescent="0.3">
      <c r="T833" s="113">
        <f>'Data_in-situ'!DN281</f>
        <v>4.3449126612056599</v>
      </c>
      <c r="U833" s="113">
        <f>'Data_in-situ'!DO281</f>
        <v>9.5961779850217681</v>
      </c>
      <c r="V833" s="46">
        <f>'Data_in-situ'!DP281</f>
        <v>6</v>
      </c>
      <c r="W833" s="113">
        <f>'Data_in-situ'!DR281</f>
        <v>-5.3718567649972807E-2</v>
      </c>
      <c r="X833" s="113">
        <f>'Data_in-situ'!DS281</f>
        <v>0.5398869703372956</v>
      </c>
      <c r="Y833" s="46">
        <f>'Data_in-situ'!DT281</f>
        <v>6</v>
      </c>
      <c r="AF833" s="113">
        <f>'Data_in-situ'!EN218</f>
        <v>-37.626417233560076</v>
      </c>
      <c r="AG833" s="113">
        <f>'Data_in-situ'!EO218</f>
        <v>4.4214357150460231</v>
      </c>
      <c r="AH833" s="110">
        <f>'Data_in-situ'!EP218</f>
        <v>6</v>
      </c>
      <c r="AI833" s="113">
        <f>'Data_in-situ'!ER218</f>
        <v>-55.775689347117904</v>
      </c>
      <c r="AJ833" s="113">
        <f>'Data_in-situ'!ES218</f>
        <v>3.8401258483742482</v>
      </c>
      <c r="AK833" s="110">
        <f>'Data_in-situ'!ET218</f>
        <v>6</v>
      </c>
    </row>
    <row r="834" spans="20:37" x14ac:dyDescent="0.3">
      <c r="T834" s="113">
        <f>'Data_in-situ'!DN283</f>
        <v>4.3449126612056599</v>
      </c>
      <c r="U834" s="113">
        <f>'Data_in-situ'!DO283</f>
        <v>9.5961779850217681</v>
      </c>
      <c r="V834" s="46">
        <f>'Data_in-situ'!DP283</f>
        <v>6</v>
      </c>
      <c r="W834" s="113">
        <f>'Data_in-situ'!DR283</f>
        <v>5.3718567649972807E-2</v>
      </c>
      <c r="X834" s="113">
        <f>'Data_in-situ'!DS283</f>
        <v>0.43312042016840363</v>
      </c>
      <c r="Y834" s="46">
        <f>'Data_in-situ'!DT283</f>
        <v>6</v>
      </c>
      <c r="AF834" s="113">
        <f>'Data_in-situ'!EN221</f>
        <v>-16</v>
      </c>
      <c r="AG834" s="113">
        <f>'Data_in-situ'!EO221</f>
        <v>0.7</v>
      </c>
      <c r="AH834" s="110">
        <f>'Data_in-situ'!EP221</f>
        <v>2</v>
      </c>
      <c r="AI834" s="113">
        <f>'Data_in-situ'!ER221</f>
        <v>-44</v>
      </c>
      <c r="AJ834" s="113">
        <f>'Data_in-situ'!ES221</f>
        <v>14</v>
      </c>
      <c r="AK834" s="110">
        <f>'Data_in-situ'!ET221</f>
        <v>6</v>
      </c>
    </row>
    <row r="835" spans="20:37" x14ac:dyDescent="0.3">
      <c r="T835" s="113">
        <f>'Data_in-situ'!DN285</f>
        <v>27.51778018763585</v>
      </c>
      <c r="U835" s="113">
        <f>'Data_in-situ'!DO285</f>
        <v>12.137611972737048</v>
      </c>
      <c r="V835" s="46">
        <f>'Data_in-situ'!DP285</f>
        <v>6</v>
      </c>
      <c r="W835" s="113">
        <f>'Data_in-situ'!DR285</f>
        <v>-5.3718567649972807E-2</v>
      </c>
      <c r="X835" s="113">
        <f>'Data_in-situ'!DS285</f>
        <v>11.665364622891369</v>
      </c>
      <c r="Y835" s="46">
        <f>'Data_in-situ'!DT285</f>
        <v>6</v>
      </c>
      <c r="AF835" s="113">
        <f>'Data_in-situ'!EN231</f>
        <v>-11</v>
      </c>
      <c r="AG835" s="113">
        <f>'Data_in-situ'!EO231</f>
        <v>4.4824603862642265</v>
      </c>
      <c r="AH835" s="110">
        <f>'Data_in-situ'!EP231</f>
        <v>3</v>
      </c>
      <c r="AI835" s="113">
        <f>'Data_in-situ'!ER231</f>
        <v>-23</v>
      </c>
      <c r="AJ835" s="113">
        <f>'Data_in-situ'!ES231</f>
        <v>5.2167232307114659</v>
      </c>
      <c r="AK835" s="110">
        <f>'Data_in-situ'!ET231</f>
        <v>3</v>
      </c>
    </row>
    <row r="836" spans="20:37" x14ac:dyDescent="0.3">
      <c r="T836" s="113">
        <f>'Data_in-situ'!DN287</f>
        <v>27.51778018763585</v>
      </c>
      <c r="U836" s="113">
        <f>'Data_in-situ'!DO287</f>
        <v>12.137611972737048</v>
      </c>
      <c r="V836" s="46">
        <f>'Data_in-situ'!DP287</f>
        <v>6</v>
      </c>
      <c r="W836" s="113">
        <f>'Data_in-situ'!DR287</f>
        <v>5.3718567649972807E-2</v>
      </c>
      <c r="X836" s="113">
        <f>'Data_in-situ'!DS287</f>
        <v>0.43312042016840363</v>
      </c>
      <c r="Y836" s="46">
        <f>'Data_in-situ'!DT287</f>
        <v>6</v>
      </c>
      <c r="AF836" s="113">
        <f>'Data_in-situ'!EN232</f>
        <v>-11</v>
      </c>
      <c r="AG836" s="113">
        <f>'Data_in-situ'!EO232</f>
        <v>4.4824603862642265</v>
      </c>
      <c r="AH836" s="110">
        <f>'Data_in-situ'!EP232</f>
        <v>3</v>
      </c>
      <c r="AI836" s="113">
        <f>'Data_in-situ'!ER232</f>
        <v>-23</v>
      </c>
      <c r="AJ836" s="113">
        <f>'Data_in-situ'!ES232</f>
        <v>5.2167232307114659</v>
      </c>
      <c r="AK836" s="110">
        <f>'Data_in-situ'!ET232</f>
        <v>3</v>
      </c>
    </row>
    <row r="837" spans="20:37" x14ac:dyDescent="0.3">
      <c r="T837" s="113">
        <f>'Data_in-situ'!DN289</f>
        <v>17.621034681556281</v>
      </c>
      <c r="U837" s="113">
        <f>'Data_in-situ'!DO289</f>
        <v>25.060650744317332</v>
      </c>
      <c r="V837" s="46">
        <f>'Data_in-situ'!DP289</f>
        <v>6</v>
      </c>
      <c r="W837" s="113">
        <f>'Data_in-situ'!DR289</f>
        <v>-5.3718567649972807E-2</v>
      </c>
      <c r="X837" s="113">
        <f>'Data_in-situ'!DS289</f>
        <v>0.5398869703372956</v>
      </c>
      <c r="Y837" s="46">
        <f>'Data_in-situ'!DT289</f>
        <v>6</v>
      </c>
      <c r="AF837" s="113">
        <f>'Data_in-situ'!EN233</f>
        <v>-15</v>
      </c>
      <c r="AG837" s="113">
        <f>'Data_in-situ'!EO233</f>
        <v>6.1124459812694001</v>
      </c>
      <c r="AH837" s="110">
        <f>'Data_in-situ'!EP233</f>
        <v>3</v>
      </c>
      <c r="AI837" s="113">
        <f>'Data_in-situ'!ER233</f>
        <v>-20</v>
      </c>
      <c r="AJ837" s="113">
        <f>'Data_in-situ'!ES233</f>
        <v>4.5362810701838834</v>
      </c>
      <c r="AK837" s="110">
        <f>'Data_in-situ'!ET233</f>
        <v>3</v>
      </c>
    </row>
    <row r="838" spans="20:37" x14ac:dyDescent="0.3">
      <c r="T838" s="113">
        <f>'Data_in-situ'!DN291</f>
        <v>17.621034681556281</v>
      </c>
      <c r="U838" s="113">
        <f>'Data_in-situ'!DO291</f>
        <v>25.060650744317332</v>
      </c>
      <c r="V838" s="46">
        <f>'Data_in-situ'!DP291</f>
        <v>6</v>
      </c>
      <c r="W838" s="113">
        <f>'Data_in-situ'!DR291</f>
        <v>5.3718567649972807E-2</v>
      </c>
      <c r="X838" s="113">
        <f>'Data_in-situ'!DS291</f>
        <v>0.43312042016840363</v>
      </c>
      <c r="Y838" s="46">
        <f>'Data_in-situ'!DT291</f>
        <v>6</v>
      </c>
      <c r="AF838" s="113">
        <f>'Data_in-situ'!EN234</f>
        <v>-15</v>
      </c>
      <c r="AG838" s="113">
        <f>'Data_in-situ'!EO234</f>
        <v>6.1124459812694001</v>
      </c>
      <c r="AH838" s="110">
        <f>'Data_in-situ'!EP234</f>
        <v>3</v>
      </c>
      <c r="AI838" s="113">
        <f>'Data_in-situ'!ER234</f>
        <v>-20</v>
      </c>
      <c r="AJ838" s="113">
        <f>'Data_in-situ'!ES234</f>
        <v>4.5362810701838834</v>
      </c>
      <c r="AK838" s="110">
        <f>'Data_in-situ'!ET234</f>
        <v>3</v>
      </c>
    </row>
    <row r="839" spans="20:37" x14ac:dyDescent="0.3">
      <c r="T839" s="113">
        <f>'Data_in-situ'!DN292</f>
        <v>3.0332504908479376</v>
      </c>
      <c r="U839" s="113">
        <f>'Data_in-situ'!DO292</f>
        <v>6.9539999999999997</v>
      </c>
      <c r="V839" s="46">
        <f>'Data_in-situ'!DP292</f>
        <v>6</v>
      </c>
      <c r="W839" s="113">
        <f>'Data_in-situ'!DR292</f>
        <v>5.3718567649972807E-2</v>
      </c>
      <c r="X839" s="113">
        <f>'Data_in-situ'!DS292</f>
        <v>0.48646678719420772</v>
      </c>
      <c r="Y839" s="46">
        <f>'Data_in-situ'!DT292</f>
        <v>6</v>
      </c>
      <c r="AF839" s="113">
        <f>'Data_in-situ'!EN235</f>
        <v>-12</v>
      </c>
      <c r="AG839" s="113">
        <f>'Data_in-situ'!EO235</f>
        <v>4.8899567850155199</v>
      </c>
      <c r="AH839" s="110">
        <f>'Data_in-situ'!EP235</f>
        <v>3</v>
      </c>
      <c r="AI839" s="113">
        <f>'Data_in-situ'!ER235</f>
        <v>-14</v>
      </c>
      <c r="AJ839" s="113">
        <f>'Data_in-situ'!ES235</f>
        <v>3.1753967491287183</v>
      </c>
      <c r="AK839" s="110">
        <f>'Data_in-situ'!ET235</f>
        <v>3</v>
      </c>
    </row>
    <row r="840" spans="20:37" x14ac:dyDescent="0.3">
      <c r="T840" s="113">
        <f>'Data_in-situ'!DN293</f>
        <v>3.0332504908479376</v>
      </c>
      <c r="U840" s="113">
        <f>'Data_in-situ'!DO293</f>
        <v>10.126673956829368</v>
      </c>
      <c r="V840" s="46">
        <f>'Data_in-situ'!DP293</f>
        <v>6</v>
      </c>
      <c r="W840" s="113">
        <f>'Data_in-situ'!DR293</f>
        <v>-0.10743713529994561</v>
      </c>
      <c r="X840" s="113">
        <f>'Data_in-situ'!DS293</f>
        <v>0.27043803155784618</v>
      </c>
      <c r="Y840" s="46">
        <f>'Data_in-situ'!DT293</f>
        <v>6</v>
      </c>
      <c r="AF840" s="113">
        <f>'Data_in-situ'!EN236</f>
        <v>-12</v>
      </c>
      <c r="AG840" s="113">
        <f>'Data_in-situ'!EO236</f>
        <v>4.8899567850155199</v>
      </c>
      <c r="AH840" s="110">
        <f>'Data_in-situ'!EP236</f>
        <v>3</v>
      </c>
      <c r="AI840" s="113">
        <f>'Data_in-situ'!ER236</f>
        <v>-14</v>
      </c>
      <c r="AJ840" s="113">
        <f>'Data_in-situ'!ES236</f>
        <v>3.1753967491287183</v>
      </c>
      <c r="AK840" s="110">
        <f>'Data_in-situ'!ET236</f>
        <v>3</v>
      </c>
    </row>
    <row r="841" spans="20:37" x14ac:dyDescent="0.3">
      <c r="T841" s="113">
        <f>'Data_in-situ'!DN294</f>
        <v>3.0332504908479376</v>
      </c>
      <c r="U841" s="113">
        <f>'Data_in-situ'!DO294</f>
        <v>10.126673956829368</v>
      </c>
      <c r="V841" s="46">
        <f>'Data_in-situ'!DP294</f>
        <v>6</v>
      </c>
      <c r="W841" s="113">
        <f>'Data_in-situ'!DR294</f>
        <v>-0.10743713529994561</v>
      </c>
      <c r="X841" s="113">
        <f>'Data_in-situ'!DS294</f>
        <v>0.39119879833905941</v>
      </c>
      <c r="Y841" s="46">
        <f>'Data_in-situ'!DT294</f>
        <v>6</v>
      </c>
      <c r="AF841" s="113">
        <f>'Data_in-situ'!EN237</f>
        <v>-22</v>
      </c>
      <c r="AG841" s="113">
        <f>'Data_in-situ'!EO237</f>
        <v>8.964920772528453</v>
      </c>
      <c r="AH841" s="110">
        <f>'Data_in-situ'!EP237</f>
        <v>3</v>
      </c>
      <c r="AI841" s="113">
        <f>'Data_in-situ'!ER237</f>
        <v>-31</v>
      </c>
      <c r="AJ841" s="113">
        <f>'Data_in-situ'!ES237</f>
        <v>7.0312356587850191</v>
      </c>
      <c r="AK841" s="110">
        <f>'Data_in-situ'!ET237</f>
        <v>3</v>
      </c>
    </row>
    <row r="842" spans="20:37" x14ac:dyDescent="0.3">
      <c r="T842" s="113">
        <f>'Data_in-situ'!DN295</f>
        <v>3.0332504908479376</v>
      </c>
      <c r="U842" s="113">
        <f>'Data_in-situ'!DO295</f>
        <v>10.126673956829368</v>
      </c>
      <c r="V842" s="46">
        <f>'Data_in-situ'!DP295</f>
        <v>6</v>
      </c>
      <c r="W842" s="113">
        <f>'Data_in-situ'!DR295</f>
        <v>-5.3718567649972807E-2</v>
      </c>
      <c r="X842" s="113">
        <f>'Data_in-situ'!DS295</f>
        <v>0.37987896850363267</v>
      </c>
      <c r="Y842" s="46">
        <f>'Data_in-situ'!DT295</f>
        <v>6</v>
      </c>
      <c r="AF842" s="113">
        <f>'Data_in-situ'!EN238</f>
        <v>-22</v>
      </c>
      <c r="AG842" s="113">
        <f>'Data_in-situ'!EO238</f>
        <v>8.964920772528453</v>
      </c>
      <c r="AH842" s="110">
        <f>'Data_in-situ'!EP238</f>
        <v>3</v>
      </c>
      <c r="AI842" s="113">
        <f>'Data_in-situ'!ER238</f>
        <v>-31</v>
      </c>
      <c r="AJ842" s="113">
        <f>'Data_in-situ'!ES238</f>
        <v>7.0312356587850191</v>
      </c>
      <c r="AK842" s="110">
        <f>'Data_in-situ'!ET238</f>
        <v>3</v>
      </c>
    </row>
    <row r="843" spans="20:37" x14ac:dyDescent="0.3">
      <c r="T843" s="113">
        <f>'Data_in-situ'!DN296</f>
        <v>11.627460214917093</v>
      </c>
      <c r="U843" s="113">
        <f>'Data_in-situ'!DO296</f>
        <v>19.919328099494376</v>
      </c>
      <c r="V843" s="46">
        <f>'Data_in-situ'!DP296</f>
        <v>6</v>
      </c>
      <c r="W843" s="113">
        <f>'Data_in-situ'!DR296</f>
        <v>5.3718567649972807E-2</v>
      </c>
      <c r="X843" s="113">
        <f>'Data_in-situ'!DS296</f>
        <v>0.48646678719420772</v>
      </c>
      <c r="Y843" s="46">
        <f>'Data_in-situ'!DT296</f>
        <v>6</v>
      </c>
      <c r="AF843" s="113">
        <f>'Data_in-situ'!EN239</f>
        <v>-2</v>
      </c>
      <c r="AG843" s="113">
        <f>'Data_in-situ'!EO239</f>
        <v>0.81499279750258669</v>
      </c>
      <c r="AH843" s="110">
        <f>'Data_in-situ'!EP239</f>
        <v>3</v>
      </c>
      <c r="AI843" s="113">
        <f>'Data_in-situ'!ER239</f>
        <v>-30</v>
      </c>
      <c r="AJ843" s="113">
        <f>'Data_in-situ'!ES239</f>
        <v>6.8044216052758255</v>
      </c>
      <c r="AK843" s="110">
        <f>'Data_in-situ'!ET239</f>
        <v>3</v>
      </c>
    </row>
    <row r="844" spans="20:37" x14ac:dyDescent="0.3">
      <c r="T844" s="113">
        <f>'Data_in-situ'!DN297</f>
        <v>11.627460214917093</v>
      </c>
      <c r="U844" s="113">
        <f>'Data_in-situ'!DO297</f>
        <v>19.919328099494376</v>
      </c>
      <c r="V844" s="46">
        <f>'Data_in-situ'!DP297</f>
        <v>6</v>
      </c>
      <c r="W844" s="113">
        <f>'Data_in-situ'!DR297</f>
        <v>-0.10743713529994561</v>
      </c>
      <c r="X844" s="113">
        <f>'Data_in-situ'!DS297</f>
        <v>0.28944787367187741</v>
      </c>
      <c r="Y844" s="46">
        <f>'Data_in-situ'!DT297</f>
        <v>6</v>
      </c>
      <c r="AF844" s="113">
        <f>'Data_in-situ'!EN240</f>
        <v>-2</v>
      </c>
      <c r="AG844" s="113">
        <f>'Data_in-situ'!EO240</f>
        <v>0.81499279750258669</v>
      </c>
      <c r="AH844" s="110">
        <f>'Data_in-situ'!EP240</f>
        <v>3</v>
      </c>
      <c r="AI844" s="113">
        <f>'Data_in-situ'!ER240</f>
        <v>-30</v>
      </c>
      <c r="AJ844" s="113">
        <f>'Data_in-situ'!ES240</f>
        <v>6.8044216052758255</v>
      </c>
      <c r="AK844" s="110">
        <f>'Data_in-situ'!ET240</f>
        <v>3</v>
      </c>
    </row>
    <row r="845" spans="20:37" x14ac:dyDescent="0.3">
      <c r="T845" s="113">
        <f>'Data_in-situ'!DN298</f>
        <v>11.627460214917093</v>
      </c>
      <c r="U845" s="113">
        <f>'Data_in-situ'!DO298</f>
        <v>19.919328099494376</v>
      </c>
      <c r="V845" s="46">
        <f>'Data_in-situ'!DP298</f>
        <v>6</v>
      </c>
      <c r="W845" s="113">
        <f>'Data_in-situ'!DR298</f>
        <v>-0.10743713529994561</v>
      </c>
      <c r="X845" s="113">
        <f>'Data_in-situ'!DS298</f>
        <v>0.39119879833905941</v>
      </c>
      <c r="Y845" s="46">
        <f>'Data_in-situ'!DT298</f>
        <v>6</v>
      </c>
      <c r="AF845" s="113">
        <f>'Data_in-situ'!EN241</f>
        <v>-20</v>
      </c>
      <c r="AG845" s="113">
        <f>'Data_in-situ'!EO241</f>
        <v>8.1499279750258662</v>
      </c>
      <c r="AH845" s="110">
        <f>'Data_in-situ'!EP241</f>
        <v>3</v>
      </c>
      <c r="AI845" s="113">
        <f>'Data_in-situ'!ER241</f>
        <v>-36</v>
      </c>
      <c r="AJ845" s="113">
        <f>'Data_in-situ'!ES241</f>
        <v>8.1653059263309906</v>
      </c>
      <c r="AK845" s="110">
        <f>'Data_in-situ'!ET241</f>
        <v>3</v>
      </c>
    </row>
    <row r="846" spans="20:37" x14ac:dyDescent="0.3">
      <c r="T846" s="113">
        <f>'Data_in-situ'!DN299</f>
        <v>11.627460214917093</v>
      </c>
      <c r="U846" s="113">
        <f>'Data_in-situ'!DO299</f>
        <v>19.919328099494376</v>
      </c>
      <c r="V846" s="46">
        <f>'Data_in-situ'!DP299</f>
        <v>6</v>
      </c>
      <c r="W846" s="113">
        <f>'Data_in-situ'!DR299</f>
        <v>-5.3718567649972807E-2</v>
      </c>
      <c r="X846" s="113">
        <f>'Data_in-situ'!DS299</f>
        <v>0.37987896850363267</v>
      </c>
      <c r="Y846" s="46">
        <f>'Data_in-situ'!DT299</f>
        <v>6</v>
      </c>
      <c r="AF846" s="113">
        <f>'Data_in-situ'!EN242</f>
        <v>-20</v>
      </c>
      <c r="AG846" s="113">
        <f>'Data_in-situ'!EO242</f>
        <v>8.1499279750258662</v>
      </c>
      <c r="AH846" s="110">
        <f>'Data_in-situ'!EP242</f>
        <v>3</v>
      </c>
      <c r="AI846" s="113">
        <f>'Data_in-situ'!ER242</f>
        <v>-36</v>
      </c>
      <c r="AJ846" s="113">
        <f>'Data_in-situ'!ES242</f>
        <v>8.1653059263309906</v>
      </c>
      <c r="AK846" s="110">
        <f>'Data_in-situ'!ET242</f>
        <v>3</v>
      </c>
    </row>
    <row r="847" spans="20:37" x14ac:dyDescent="0.3">
      <c r="T847" s="113">
        <f>'Data_in-situ'!DN300</f>
        <v>13.144085460341062</v>
      </c>
      <c r="U847" s="113">
        <f>'Data_in-situ'!DO300</f>
        <v>20.285444054594439</v>
      </c>
      <c r="V847" s="46">
        <f>'Data_in-situ'!DP300</f>
        <v>6</v>
      </c>
      <c r="W847" s="113">
        <f>'Data_in-situ'!DR300</f>
        <v>5.3718567649972807E-2</v>
      </c>
      <c r="X847" s="113">
        <f>'Data_in-situ'!DS300</f>
        <v>0.48646678719420772</v>
      </c>
      <c r="Y847" s="46">
        <f>'Data_in-situ'!DT300</f>
        <v>6</v>
      </c>
      <c r="AF847" s="113">
        <f>'Data_in-situ'!EN243</f>
        <v>-16</v>
      </c>
      <c r="AG847" s="113">
        <f>'Data_in-situ'!EO243</f>
        <v>6.5199423800206935</v>
      </c>
      <c r="AH847" s="110">
        <f>'Data_in-situ'!EP243</f>
        <v>3</v>
      </c>
      <c r="AI847" s="113">
        <f>'Data_in-situ'!ER243</f>
        <v>-43</v>
      </c>
      <c r="AJ847" s="113">
        <f>'Data_in-situ'!ES243</f>
        <v>9.7530043008953502</v>
      </c>
      <c r="AK847" s="110">
        <f>'Data_in-situ'!ET243</f>
        <v>3</v>
      </c>
    </row>
    <row r="848" spans="20:37" x14ac:dyDescent="0.3">
      <c r="T848" s="113">
        <f>'Data_in-situ'!DN301</f>
        <v>13.144085460341062</v>
      </c>
      <c r="U848" s="113">
        <f>'Data_in-situ'!DO301</f>
        <v>20.285444054594439</v>
      </c>
      <c r="V848" s="46">
        <f>'Data_in-situ'!DP301</f>
        <v>6</v>
      </c>
      <c r="W848" s="113">
        <f>'Data_in-situ'!DR301</f>
        <v>-0.10743713529994561</v>
      </c>
      <c r="X848" s="113">
        <f>'Data_in-situ'!DS301</f>
        <v>0.28944787367187741</v>
      </c>
      <c r="Y848" s="46">
        <f>'Data_in-situ'!DT301</f>
        <v>6</v>
      </c>
      <c r="AF848" s="113">
        <f>'Data_in-situ'!EN244</f>
        <v>-16</v>
      </c>
      <c r="AG848" s="113">
        <f>'Data_in-situ'!EO244</f>
        <v>6.5199423800206935</v>
      </c>
      <c r="AH848" s="110">
        <f>'Data_in-situ'!EP244</f>
        <v>3</v>
      </c>
      <c r="AI848" s="113">
        <f>'Data_in-situ'!ER244</f>
        <v>-21</v>
      </c>
      <c r="AJ848" s="113">
        <f>'Data_in-situ'!ES244</f>
        <v>4.7630951236930779</v>
      </c>
      <c r="AK848" s="110">
        <f>'Data_in-situ'!ET244</f>
        <v>3</v>
      </c>
    </row>
    <row r="849" spans="20:37" x14ac:dyDescent="0.3">
      <c r="T849" s="113">
        <f>'Data_in-situ'!DN302</f>
        <v>13.144085460341062</v>
      </c>
      <c r="U849" s="113">
        <f>'Data_in-situ'!DO302</f>
        <v>20.285444054594439</v>
      </c>
      <c r="V849" s="46">
        <f>'Data_in-situ'!DP302</f>
        <v>6</v>
      </c>
      <c r="W849" s="113">
        <f>'Data_in-situ'!DR302</f>
        <v>-0.10743713529994561</v>
      </c>
      <c r="X849" s="113">
        <f>'Data_in-situ'!DS302</f>
        <v>0.39119879833905941</v>
      </c>
      <c r="Y849" s="46">
        <f>'Data_in-situ'!DT302</f>
        <v>6</v>
      </c>
      <c r="AF849" s="113">
        <f>'Data_in-situ'!EN245</f>
        <v>-16</v>
      </c>
      <c r="AG849" s="113">
        <f>'Data_in-situ'!EO245</f>
        <v>6.5199423800206935</v>
      </c>
      <c r="AH849" s="110">
        <f>'Data_in-situ'!EP245</f>
        <v>3</v>
      </c>
      <c r="AI849" s="113">
        <f>'Data_in-situ'!ER245</f>
        <v>-21</v>
      </c>
      <c r="AJ849" s="113">
        <f>'Data_in-situ'!ES245</f>
        <v>4.7630951236930779</v>
      </c>
      <c r="AK849" s="110">
        <f>'Data_in-situ'!ET245</f>
        <v>3</v>
      </c>
    </row>
    <row r="850" spans="20:37" x14ac:dyDescent="0.3">
      <c r="T850" s="113">
        <f>'Data_in-situ'!DN303</f>
        <v>13.144085460341062</v>
      </c>
      <c r="U850" s="113">
        <f>'Data_in-situ'!DO303</f>
        <v>20.285444054594439</v>
      </c>
      <c r="V850" s="46">
        <f>'Data_in-situ'!DP303</f>
        <v>6</v>
      </c>
      <c r="W850" s="113">
        <f>'Data_in-situ'!DR303</f>
        <v>-5.3718567649972807E-2</v>
      </c>
      <c r="X850" s="113">
        <f>'Data_in-situ'!DS303</f>
        <v>0.39119879833905941</v>
      </c>
      <c r="Y850" s="46">
        <f>'Data_in-situ'!DT303</f>
        <v>6</v>
      </c>
      <c r="AF850" s="113">
        <f>'Data_in-situ'!EN250</f>
        <v>-4</v>
      </c>
      <c r="AG850" s="113">
        <f>'Data_in-situ'!EO250</f>
        <v>1.6299855950051734</v>
      </c>
      <c r="AH850" s="110">
        <f>'Data_in-situ'!EP250</f>
        <v>3</v>
      </c>
      <c r="AI850" s="113">
        <f>'Data_in-situ'!ER250</f>
        <v>-31</v>
      </c>
      <c r="AJ850" s="113">
        <f>'Data_in-situ'!ES250</f>
        <v>7.0312356587850191</v>
      </c>
      <c r="AK850" s="110">
        <f>'Data_in-situ'!ET250</f>
        <v>3</v>
      </c>
    </row>
    <row r="851" spans="20:37" x14ac:dyDescent="0.3">
      <c r="T851" s="113">
        <f>'Data_in-situ'!DN304</f>
        <v>0.25277087423732814</v>
      </c>
      <c r="U851" s="113">
        <f>'Data_in-situ'!DO304</f>
        <v>2.0397555922164208</v>
      </c>
      <c r="V851" s="46">
        <f>'Data_in-situ'!DP304</f>
        <v>6</v>
      </c>
      <c r="W851" s="113">
        <f>'Data_in-situ'!DR304</f>
        <v>-0.16115570294991843</v>
      </c>
      <c r="X851" s="113">
        <f>'Data_in-situ'!DS304</f>
        <v>0.5610292847687105</v>
      </c>
      <c r="Y851" s="46">
        <f>'Data_in-situ'!DT304</f>
        <v>6</v>
      </c>
      <c r="AF851" s="113">
        <f>'Data_in-situ'!EN251</f>
        <v>-21</v>
      </c>
      <c r="AG851" s="113">
        <f>'Data_in-situ'!EO251</f>
        <v>8.5574243737771596</v>
      </c>
      <c r="AH851" s="110">
        <f>'Data_in-situ'!EP251</f>
        <v>3</v>
      </c>
      <c r="AI851" s="113">
        <f>'Data_in-situ'!ER251</f>
        <v>-38</v>
      </c>
      <c r="AJ851" s="113">
        <f>'Data_in-situ'!ES251</f>
        <v>8.6189340333493778</v>
      </c>
      <c r="AK851" s="110">
        <f>'Data_in-situ'!ET251</f>
        <v>3</v>
      </c>
    </row>
    <row r="852" spans="20:37" x14ac:dyDescent="0.3">
      <c r="T852" s="113">
        <f>'Data_in-situ'!DN308</f>
        <v>1.2638543711866406</v>
      </c>
      <c r="U852" s="113">
        <f>'Data_in-situ'!DO308</f>
        <v>3.7827422106480872</v>
      </c>
      <c r="V852" s="46">
        <f>'Data_in-situ'!DP308</f>
        <v>6</v>
      </c>
      <c r="W852" s="113">
        <f>'Data_in-situ'!DR308</f>
        <v>-0.16115570294991843</v>
      </c>
      <c r="X852" s="113">
        <f>'Data_in-situ'!DS308</f>
        <v>0.5610292847687105</v>
      </c>
      <c r="Y852" s="46">
        <f>'Data_in-situ'!DT308</f>
        <v>6</v>
      </c>
      <c r="AF852" s="113">
        <f>'Data_in-situ'!EN254</f>
        <v>-28</v>
      </c>
      <c r="AG852" s="113">
        <f>'Data_in-situ'!EO254</f>
        <v>11.409899165036213</v>
      </c>
      <c r="AH852" s="110">
        <f>'Data_in-situ'!EP254</f>
        <v>3</v>
      </c>
      <c r="AI852" s="113">
        <f>'Data_in-situ'!ER254</f>
        <v>-36</v>
      </c>
      <c r="AJ852" s="113">
        <f>'Data_in-situ'!ES254</f>
        <v>8.1653059263309906</v>
      </c>
      <c r="AK852" s="110">
        <f>'Data_in-situ'!ET254</f>
        <v>3</v>
      </c>
    </row>
    <row r="853" spans="20:37" x14ac:dyDescent="0.3">
      <c r="T853" s="113">
        <f>'Data_in-situ'!DN312</f>
        <v>0.75831262271198441</v>
      </c>
      <c r="U853" s="113">
        <f>'Data_in-situ'!DO312</f>
        <v>2.1753507933433238</v>
      </c>
      <c r="V853" s="46">
        <f>'Data_in-situ'!DP312</f>
        <v>6</v>
      </c>
      <c r="W853" s="113">
        <f>'Data_in-situ'!DR312</f>
        <v>-0.16115570294991843</v>
      </c>
      <c r="X853" s="113">
        <f>'Data_in-situ'!DS312</f>
        <v>0.5610292847687105</v>
      </c>
      <c r="Y853" s="46">
        <f>'Data_in-situ'!DT312</f>
        <v>6</v>
      </c>
      <c r="AF853" s="113">
        <f>'Data_in-situ'!EN255</f>
        <v>-18</v>
      </c>
      <c r="AG853" s="113">
        <f>'Data_in-situ'!EO255</f>
        <v>7.3349351775232803</v>
      </c>
      <c r="AH853" s="110">
        <f>'Data_in-situ'!EP255</f>
        <v>3</v>
      </c>
      <c r="AI853" s="113">
        <f>'Data_in-situ'!ER255</f>
        <v>-24</v>
      </c>
      <c r="AJ853" s="113">
        <f>'Data_in-situ'!ES255</f>
        <v>5.4435372842206604</v>
      </c>
      <c r="AK853" s="110">
        <f>'Data_in-situ'!ET255</f>
        <v>3</v>
      </c>
    </row>
    <row r="854" spans="20:37" x14ac:dyDescent="0.3">
      <c r="T854" s="113">
        <f>'Data_in-situ'!DN316</f>
        <v>93.1</v>
      </c>
      <c r="U854" s="113">
        <f>'Data_in-situ'!DO316</f>
        <v>103.79526182078902</v>
      </c>
      <c r="V854" s="46">
        <f>'Data_in-situ'!DP316</f>
        <v>18</v>
      </c>
      <c r="W854" s="113">
        <f>'Data_in-situ'!DR316</f>
        <v>32.799999999999997</v>
      </c>
      <c r="X854" s="113">
        <f>'Data_in-situ'!DS316</f>
        <v>122.58069446389712</v>
      </c>
      <c r="Y854" s="46">
        <f>'Data_in-situ'!DT316</f>
        <v>18</v>
      </c>
      <c r="AF854" s="113">
        <f>'Data_in-situ'!EN256</f>
        <v>-11</v>
      </c>
      <c r="AG854" s="113">
        <f>'Data_in-situ'!EO256</f>
        <v>4.4824603862642265</v>
      </c>
      <c r="AH854" s="110">
        <f>'Data_in-situ'!EP256</f>
        <v>3</v>
      </c>
      <c r="AI854" s="113">
        <f>'Data_in-situ'!ER256</f>
        <v>-13</v>
      </c>
      <c r="AJ854" s="113">
        <f>'Data_in-situ'!ES256</f>
        <v>2.9485826956195242</v>
      </c>
      <c r="AK854" s="110">
        <f>'Data_in-situ'!ET256</f>
        <v>3</v>
      </c>
    </row>
    <row r="855" spans="20:37" x14ac:dyDescent="0.3">
      <c r="T855" s="113">
        <f>'Data_in-situ'!DN317</f>
        <v>82.2</v>
      </c>
      <c r="U855" s="113">
        <f>'Data_in-situ'!DO317</f>
        <v>91.643077568945841</v>
      </c>
      <c r="V855" s="46">
        <f>'Data_in-situ'!DP317</f>
        <v>15</v>
      </c>
      <c r="W855" s="113">
        <f>'Data_in-situ'!DR317</f>
        <v>27.8</v>
      </c>
      <c r="X855" s="113">
        <f>'Data_in-situ'!DS317</f>
        <v>103.89461299074208</v>
      </c>
      <c r="Y855" s="46">
        <f>'Data_in-situ'!DT317</f>
        <v>15</v>
      </c>
      <c r="AF855" s="113">
        <f>'Data_in-situ'!EN257</f>
        <v>-16</v>
      </c>
      <c r="AG855" s="113">
        <f>'Data_in-situ'!EO257</f>
        <v>6.5199423800206935</v>
      </c>
      <c r="AH855" s="110">
        <f>'Data_in-situ'!EP257</f>
        <v>3</v>
      </c>
      <c r="AI855" s="113">
        <f>'Data_in-situ'!ER257</f>
        <v>-20</v>
      </c>
      <c r="AJ855" s="113">
        <f>'Data_in-situ'!ES257</f>
        <v>4.5362810701838834</v>
      </c>
      <c r="AK855" s="110">
        <f>'Data_in-situ'!ET257</f>
        <v>3</v>
      </c>
    </row>
    <row r="856" spans="20:37" x14ac:dyDescent="0.3">
      <c r="T856" s="113">
        <f>'Data_in-situ'!DN318</f>
        <v>57.9</v>
      </c>
      <c r="U856" s="113">
        <f>'Data_in-situ'!DO318</f>
        <v>64.551510842359662</v>
      </c>
      <c r="V856" s="46">
        <f>'Data_in-situ'!DP318</f>
        <v>18</v>
      </c>
      <c r="W856" s="113">
        <f>'Data_in-situ'!DR318</f>
        <v>31.7</v>
      </c>
      <c r="X856" s="113">
        <f>'Data_in-situ'!DS318</f>
        <v>118.46975653980302</v>
      </c>
      <c r="Y856" s="46">
        <f>'Data_in-situ'!DT318</f>
        <v>18</v>
      </c>
      <c r="AF856" s="113">
        <f>'Data_in-situ'!EN258</f>
        <v>-12</v>
      </c>
      <c r="AG856" s="113">
        <f>'Data_in-situ'!EO258</f>
        <v>4.8899567850155199</v>
      </c>
      <c r="AH856" s="110">
        <f>'Data_in-situ'!EP258</f>
        <v>3</v>
      </c>
      <c r="AI856" s="113">
        <f>'Data_in-situ'!ER258</f>
        <v>-27</v>
      </c>
      <c r="AJ856" s="113">
        <f>'Data_in-situ'!ES258</f>
        <v>6.123979444748243</v>
      </c>
      <c r="AK856" s="110">
        <f>'Data_in-situ'!ET258</f>
        <v>3</v>
      </c>
    </row>
    <row r="857" spans="20:37" x14ac:dyDescent="0.3">
      <c r="T857" s="113">
        <f>'Data_in-situ'!DN319</f>
        <v>38.4</v>
      </c>
      <c r="U857" s="113">
        <f>'Data_in-situ'!DO319</f>
        <v>42.81136470374112</v>
      </c>
      <c r="V857" s="46">
        <f>'Data_in-situ'!DP319</f>
        <v>12</v>
      </c>
      <c r="W857" s="113">
        <f>'Data_in-situ'!DR319</f>
        <v>22.1</v>
      </c>
      <c r="X857" s="113">
        <f>'Data_in-situ'!DS319</f>
        <v>82.592480111345324</v>
      </c>
      <c r="Y857" s="46">
        <f>'Data_in-situ'!DT319</f>
        <v>12</v>
      </c>
      <c r="AF857" s="113">
        <f>'Data_in-situ'!EN260</f>
        <v>-4</v>
      </c>
      <c r="AG857" s="113">
        <f>'Data_in-situ'!EO260</f>
        <v>1.6299855950051734</v>
      </c>
      <c r="AH857" s="110">
        <f>'Data_in-situ'!EP260</f>
        <v>3</v>
      </c>
      <c r="AI857" s="113">
        <f>'Data_in-situ'!ER260</f>
        <v>-31</v>
      </c>
      <c r="AJ857" s="113">
        <f>'Data_in-situ'!ES260</f>
        <v>7.0312356587850191</v>
      </c>
      <c r="AK857" s="110">
        <f>'Data_in-situ'!ET260</f>
        <v>3</v>
      </c>
    </row>
    <row r="858" spans="20:37" x14ac:dyDescent="0.3">
      <c r="T858" s="113">
        <f>'Data_in-situ'!DN320</f>
        <v>78.099999999999994</v>
      </c>
      <c r="U858" s="113">
        <f>'Data_in-situ'!DO320</f>
        <v>87.072072483390144</v>
      </c>
      <c r="V858" s="46">
        <f>'Data_in-situ'!DP320</f>
        <v>17</v>
      </c>
      <c r="W858" s="113">
        <f>'Data_in-situ'!DR320</f>
        <v>34.9</v>
      </c>
      <c r="X858" s="113">
        <f>'Data_in-situ'!DS320</f>
        <v>130.42884868262223</v>
      </c>
      <c r="Y858" s="46">
        <f>'Data_in-situ'!DT320</f>
        <v>18</v>
      </c>
      <c r="AF858" s="113">
        <f>'Data_in-situ'!EN261</f>
        <v>-21</v>
      </c>
      <c r="AG858" s="113">
        <f>'Data_in-situ'!EO261</f>
        <v>8.5574243737771596</v>
      </c>
      <c r="AH858" s="110">
        <f>'Data_in-situ'!EP261</f>
        <v>3</v>
      </c>
      <c r="AI858" s="113">
        <f>'Data_in-situ'!ER261</f>
        <v>-38</v>
      </c>
      <c r="AJ858" s="113">
        <f>'Data_in-situ'!ES261</f>
        <v>8.6189340333493778</v>
      </c>
      <c r="AK858" s="110">
        <f>'Data_in-situ'!ET261</f>
        <v>3</v>
      </c>
    </row>
    <row r="859" spans="20:37" x14ac:dyDescent="0.3">
      <c r="T859" s="113">
        <f>'Data_in-situ'!DN321</f>
        <v>53.5</v>
      </c>
      <c r="U859" s="113">
        <f>'Data_in-situ'!DO321</f>
        <v>59.64604197005599</v>
      </c>
      <c r="V859" s="46">
        <f>'Data_in-situ'!DP321</f>
        <v>15</v>
      </c>
      <c r="W859" s="113">
        <f>'Data_in-situ'!DR321</f>
        <v>34.5</v>
      </c>
      <c r="X859" s="113">
        <f>'Data_in-situ'!DS321</f>
        <v>128.93396216476984</v>
      </c>
      <c r="Y859" s="46">
        <f>'Data_in-situ'!DT321</f>
        <v>15</v>
      </c>
      <c r="AF859" s="113">
        <f>'Data_in-situ'!EN264</f>
        <v>-28</v>
      </c>
      <c r="AG859" s="113">
        <f>'Data_in-situ'!EO264</f>
        <v>11.409899165036213</v>
      </c>
      <c r="AH859" s="110">
        <f>'Data_in-situ'!EP264</f>
        <v>3</v>
      </c>
      <c r="AI859" s="113">
        <f>'Data_in-situ'!ER264</f>
        <v>-36</v>
      </c>
      <c r="AJ859" s="113">
        <f>'Data_in-situ'!ES264</f>
        <v>8.1653059263309906</v>
      </c>
      <c r="AK859" s="110">
        <f>'Data_in-situ'!ET264</f>
        <v>3</v>
      </c>
    </row>
    <row r="860" spans="20:37" x14ac:dyDescent="0.3">
      <c r="T860" s="113">
        <f>'Data_in-situ'!DN322</f>
        <v>43.6</v>
      </c>
      <c r="U860" s="113">
        <f>'Data_in-situ'!DO322</f>
        <v>48.608737007372731</v>
      </c>
      <c r="V860" s="46">
        <f>'Data_in-situ'!DP322</f>
        <v>18</v>
      </c>
      <c r="W860" s="113">
        <f>'Data_in-situ'!DR322</f>
        <v>14.1</v>
      </c>
      <c r="X860" s="113">
        <f>'Data_in-situ'!DS322</f>
        <v>52.694749754297241</v>
      </c>
      <c r="Y860" s="46">
        <f>'Data_in-situ'!DT322</f>
        <v>18</v>
      </c>
      <c r="AF860" s="113">
        <f>'Data_in-situ'!EN265</f>
        <v>-18</v>
      </c>
      <c r="AG860" s="113">
        <f>'Data_in-situ'!EO265</f>
        <v>7.3349351775232803</v>
      </c>
      <c r="AH860" s="110">
        <f>'Data_in-situ'!EP265</f>
        <v>3</v>
      </c>
      <c r="AI860" s="113">
        <f>'Data_in-situ'!ER265</f>
        <v>-24</v>
      </c>
      <c r="AJ860" s="113">
        <f>'Data_in-situ'!ES265</f>
        <v>5.4435372842206604</v>
      </c>
      <c r="AK860" s="110">
        <f>'Data_in-situ'!ET265</f>
        <v>3</v>
      </c>
    </row>
    <row r="861" spans="20:37" x14ac:dyDescent="0.3">
      <c r="T861" s="113">
        <f>'Data_in-situ'!DN323</f>
        <v>24.4</v>
      </c>
      <c r="U861" s="113">
        <f>'Data_in-situ'!DO323</f>
        <v>27.203054655502171</v>
      </c>
      <c r="V861" s="46">
        <f>'Data_in-situ'!DP323</f>
        <v>29</v>
      </c>
      <c r="W861" s="113">
        <f>'Data_in-situ'!DR323</f>
        <v>5.6</v>
      </c>
      <c r="X861" s="113">
        <f>'Data_in-situ'!DS323</f>
        <v>20.928411249933653</v>
      </c>
      <c r="Y861" s="46">
        <f>'Data_in-situ'!DT323</f>
        <v>33</v>
      </c>
      <c r="AF861" s="113">
        <f>'Data_in-situ'!EN266</f>
        <v>-11</v>
      </c>
      <c r="AG861" s="113">
        <f>'Data_in-situ'!EO266</f>
        <v>4.4824603862642265</v>
      </c>
      <c r="AH861" s="110">
        <f>'Data_in-situ'!EP266</f>
        <v>3</v>
      </c>
      <c r="AI861" s="113">
        <f>'Data_in-situ'!ER266</f>
        <v>-13</v>
      </c>
      <c r="AJ861" s="113">
        <f>'Data_in-situ'!ES266</f>
        <v>2.9485826956195242</v>
      </c>
      <c r="AK861" s="110">
        <f>'Data_in-situ'!ET266</f>
        <v>3</v>
      </c>
    </row>
    <row r="862" spans="20:37" x14ac:dyDescent="0.3">
      <c r="T862" s="113">
        <f>'Data_in-situ'!DN324</f>
        <v>19.7</v>
      </c>
      <c r="U862" s="113">
        <f>'Data_in-situ'!DO324</f>
        <v>21.963121996450521</v>
      </c>
      <c r="V862" s="46">
        <f>'Data_in-situ'!DP324</f>
        <v>18</v>
      </c>
      <c r="W862" s="113">
        <f>'Data_in-situ'!DR324</f>
        <v>10.7</v>
      </c>
      <c r="X862" s="113">
        <f>'Data_in-situ'!DS324</f>
        <v>39.9882143525518</v>
      </c>
      <c r="Y862" s="46">
        <f>'Data_in-situ'!DT324</f>
        <v>18</v>
      </c>
      <c r="AF862" s="113">
        <f>'Data_in-situ'!EN267</f>
        <v>-16</v>
      </c>
      <c r="AG862" s="113">
        <f>'Data_in-situ'!EO267</f>
        <v>6.5199423800206935</v>
      </c>
      <c r="AH862" s="110">
        <f>'Data_in-situ'!EP267</f>
        <v>3</v>
      </c>
      <c r="AI862" s="113">
        <f>'Data_in-situ'!ER267</f>
        <v>-20</v>
      </c>
      <c r="AJ862" s="113">
        <f>'Data_in-situ'!ES267</f>
        <v>4.5362810701838834</v>
      </c>
      <c r="AK862" s="110">
        <f>'Data_in-situ'!ET267</f>
        <v>3</v>
      </c>
    </row>
    <row r="863" spans="20:37" x14ac:dyDescent="0.3">
      <c r="T863" s="113">
        <f>'Data_in-situ'!DN325</f>
        <v>19.899999999999999</v>
      </c>
      <c r="U863" s="113">
        <f>'Data_in-situ'!DO325</f>
        <v>22.186097854282508</v>
      </c>
      <c r="V863" s="46">
        <f>'Data_in-situ'!DP325</f>
        <v>12</v>
      </c>
      <c r="W863" s="113">
        <f>'Data_in-situ'!DR325</f>
        <v>11.3</v>
      </c>
      <c r="X863" s="113">
        <f>'Data_in-situ'!DS325</f>
        <v>42.230544129330411</v>
      </c>
      <c r="Y863" s="46">
        <f>'Data_in-situ'!DT325</f>
        <v>12</v>
      </c>
      <c r="AF863" s="113">
        <f>'Data_in-situ'!EN268</f>
        <v>-12</v>
      </c>
      <c r="AG863" s="113">
        <f>'Data_in-situ'!EO268</f>
        <v>4.8899567850155199</v>
      </c>
      <c r="AH863" s="110">
        <f>'Data_in-situ'!EP268</f>
        <v>3</v>
      </c>
      <c r="AI863" s="113">
        <f>'Data_in-situ'!ER268</f>
        <v>-27</v>
      </c>
      <c r="AJ863" s="113">
        <f>'Data_in-situ'!ES268</f>
        <v>6.123979444748243</v>
      </c>
      <c r="AK863" s="110">
        <f>'Data_in-situ'!ET268</f>
        <v>3</v>
      </c>
    </row>
    <row r="864" spans="20:37" x14ac:dyDescent="0.3">
      <c r="T864" s="113">
        <f>'Data_in-situ'!DN326</f>
        <v>220.49</v>
      </c>
      <c r="U864" s="113">
        <f>'Data_in-situ'!DO326</f>
        <v>245.81973446687189</v>
      </c>
      <c r="V864" s="46">
        <f>'Data_in-situ'!DP326</f>
        <v>18</v>
      </c>
      <c r="W864" s="113">
        <f>'Data_in-situ'!DR326</f>
        <v>-0.5</v>
      </c>
      <c r="X864" s="113">
        <f>'Data_in-situ'!DS326</f>
        <v>1.868608147315505</v>
      </c>
      <c r="Y864" s="46">
        <f>'Data_in-situ'!DT326</f>
        <v>18</v>
      </c>
      <c r="AF864" s="113">
        <f>'Data_in-situ'!EN270</f>
        <v>0</v>
      </c>
      <c r="AG864" s="113">
        <f>'Data_in-situ'!EO270</f>
        <v>0</v>
      </c>
      <c r="AH864" s="110">
        <f>'Data_in-situ'!EP270</f>
        <v>20</v>
      </c>
      <c r="AI864" s="113">
        <f>'Data_in-situ'!ER270</f>
        <v>-15</v>
      </c>
      <c r="AJ864" s="113">
        <f>'Data_in-situ'!ES270</f>
        <v>3.4022108026379128</v>
      </c>
      <c r="AK864" s="110">
        <f>'Data_in-situ'!ET270</f>
        <v>20</v>
      </c>
    </row>
    <row r="865" spans="20:37" x14ac:dyDescent="0.3">
      <c r="T865" s="113">
        <f>'Data_in-situ'!DN328</f>
        <v>180.3</v>
      </c>
      <c r="U865" s="113">
        <f>'Data_in-situ'!DO328</f>
        <v>201.0127358355345</v>
      </c>
      <c r="V865" s="46">
        <f>'Data_in-situ'!DP328</f>
        <v>18</v>
      </c>
      <c r="W865" s="113">
        <f>'Data_in-situ'!DR328</f>
        <v>0.2</v>
      </c>
      <c r="X865" s="113">
        <f>'Data_in-situ'!DS328</f>
        <v>0.747443258926202</v>
      </c>
      <c r="Y865" s="46">
        <f>'Data_in-situ'!DT328</f>
        <v>18</v>
      </c>
      <c r="AF865" s="113">
        <f>'Data_in-situ'!EN271</f>
        <v>-26.2</v>
      </c>
      <c r="AG865" s="113">
        <f>'Data_in-situ'!EO271</f>
        <v>1.6</v>
      </c>
      <c r="AH865" s="110">
        <f>'Data_in-situ'!EP271</f>
        <v>4</v>
      </c>
      <c r="AI865" s="113">
        <f>'Data_in-situ'!ER271</f>
        <v>-42</v>
      </c>
      <c r="AJ865" s="113">
        <f>'Data_in-situ'!ES271</f>
        <v>1.6</v>
      </c>
      <c r="AK865" s="110">
        <f>'Data_in-situ'!ET271</f>
        <v>4</v>
      </c>
    </row>
    <row r="866" spans="20:37" x14ac:dyDescent="0.3">
      <c r="T866" s="113">
        <f>'Data_in-situ'!DN329</f>
        <v>22.6</v>
      </c>
      <c r="U866" s="113">
        <f>'Data_in-situ'!DO329</f>
        <v>25.196271935014309</v>
      </c>
      <c r="V866" s="46">
        <f>'Data_in-situ'!DP329</f>
        <v>15</v>
      </c>
      <c r="W866" s="113">
        <f>'Data_in-situ'!DR329</f>
        <v>0.03</v>
      </c>
      <c r="X866" s="113">
        <f>'Data_in-situ'!DS329</f>
        <v>0.11211648883893029</v>
      </c>
      <c r="Y866" s="46">
        <f>'Data_in-situ'!DT329</f>
        <v>15</v>
      </c>
      <c r="AF866" s="113">
        <f>'Data_in-situ'!EN274</f>
        <v>1.2156862745098034</v>
      </c>
      <c r="AG866" s="113">
        <f>'Data_in-situ'!EO274</f>
        <v>0.49768216864884945</v>
      </c>
      <c r="AH866" s="110">
        <f>'Data_in-situ'!EP274</f>
        <v>5</v>
      </c>
      <c r="AI866" s="113">
        <f>'Data_in-situ'!ER274</f>
        <v>-1.3627450980392155</v>
      </c>
      <c r="AJ866" s="113">
        <f>'Data_in-situ'!ES274</f>
        <v>0.94222961725764198</v>
      </c>
      <c r="AK866" s="110">
        <f>'Data_in-situ'!ET274</f>
        <v>5</v>
      </c>
    </row>
    <row r="867" spans="20:37" x14ac:dyDescent="0.3">
      <c r="T867" s="113">
        <f>'Data_in-situ'!DN330</f>
        <v>23.9</v>
      </c>
      <c r="U867" s="113">
        <f>'Data_in-situ'!DO330</f>
        <v>26.645615010922207</v>
      </c>
      <c r="V867" s="46">
        <f>'Data_in-situ'!DP330</f>
        <v>10</v>
      </c>
      <c r="W867" s="113">
        <f>'Data_in-situ'!DR330</f>
        <v>8.6999999999999993</v>
      </c>
      <c r="X867" s="113">
        <f>'Data_in-situ'!DS330</f>
        <v>32.513781763289785</v>
      </c>
      <c r="Y867" s="46">
        <f>'Data_in-situ'!DT330</f>
        <v>15</v>
      </c>
      <c r="AF867" s="113">
        <f>'Data_in-situ'!EN275</f>
        <v>1.6638655462184853</v>
      </c>
      <c r="AG867" s="113">
        <f>'Data_in-situ'!EO275</f>
        <v>0.34418289379886746</v>
      </c>
      <c r="AH867" s="110">
        <f>'Data_in-situ'!EP275</f>
        <v>5</v>
      </c>
      <c r="AI867" s="113">
        <f>'Data_in-situ'!ER275</f>
        <v>-0.55462184873949671</v>
      </c>
      <c r="AJ867" s="113">
        <f>'Data_in-situ'!ES275</f>
        <v>0.63167690703653101</v>
      </c>
      <c r="AK867" s="110">
        <f>'Data_in-situ'!ET275</f>
        <v>5</v>
      </c>
    </row>
    <row r="868" spans="20:37" x14ac:dyDescent="0.3">
      <c r="T868" s="113">
        <f>'Data_in-situ'!DN331</f>
        <v>130.67000000000002</v>
      </c>
      <c r="U868" s="113">
        <f>'Data_in-situ'!DO331</f>
        <v>68.193149695063454</v>
      </c>
      <c r="V868" s="46">
        <f>'Data_in-situ'!DP331</f>
        <v>3</v>
      </c>
      <c r="W868" s="113">
        <f>'Data_in-situ'!DR331</f>
        <v>61.027999999999992</v>
      </c>
      <c r="X868" s="113">
        <f>'Data_in-situ'!DS331</f>
        <v>43.24238046176459</v>
      </c>
      <c r="Y868" s="46">
        <f>'Data_in-situ'!DT331</f>
        <v>3</v>
      </c>
      <c r="AF868" s="113">
        <f>'Data_in-situ'!EN276</f>
        <v>1.3882352941176466</v>
      </c>
      <c r="AG868" s="113">
        <f>'Data_in-situ'!EO276</f>
        <v>0.46526399843023991</v>
      </c>
      <c r="AH868" s="110">
        <f>'Data_in-situ'!EP276</f>
        <v>5</v>
      </c>
      <c r="AI868" s="113">
        <f>'Data_in-situ'!ER276</f>
        <v>-1.0352941176470594</v>
      </c>
      <c r="AJ868" s="113">
        <f>'Data_in-situ'!ES276</f>
        <v>0.83640987539045919</v>
      </c>
      <c r="AK868" s="110">
        <f>'Data_in-situ'!ET276</f>
        <v>5</v>
      </c>
    </row>
    <row r="869" spans="20:37" x14ac:dyDescent="0.3">
      <c r="T869" s="113">
        <f>'Data_in-situ'!DN332</f>
        <v>130.67000000000002</v>
      </c>
      <c r="U869" s="113">
        <f>'Data_in-situ'!DO332</f>
        <v>68.193149695063454</v>
      </c>
      <c r="V869" s="46">
        <f>'Data_in-situ'!DP332</f>
        <v>3</v>
      </c>
      <c r="W869" s="113">
        <f>'Data_in-situ'!DR332</f>
        <v>1.3626666666666667</v>
      </c>
      <c r="X869" s="113">
        <f>'Data_in-situ'!DS332</f>
        <v>1.5172765074303363</v>
      </c>
      <c r="Y869" s="46">
        <f>'Data_in-situ'!DT332</f>
        <v>3</v>
      </c>
      <c r="AF869" s="113">
        <f>'Data_in-situ'!EN277</f>
        <v>0.28104575163398426</v>
      </c>
      <c r="AG869" s="113">
        <f>'Data_in-situ'!EO277</f>
        <v>1.0823202980922819</v>
      </c>
      <c r="AH869" s="110">
        <f>'Data_in-situ'!EP277</f>
        <v>5</v>
      </c>
      <c r="AI869" s="113">
        <f>'Data_in-situ'!ER277</f>
        <v>0.57352941176470584</v>
      </c>
      <c r="AJ869" s="113">
        <f>'Data_in-situ'!ES277</f>
        <v>0.95907460925260324</v>
      </c>
      <c r="AK869" s="110">
        <f>'Data_in-situ'!ET277</f>
        <v>5</v>
      </c>
    </row>
    <row r="870" spans="20:37" x14ac:dyDescent="0.3">
      <c r="T870" s="113">
        <f>'Data_in-situ'!DN333</f>
        <v>224.95402018476722</v>
      </c>
      <c r="U870" s="113">
        <f>'Data_in-situ'!DO333</f>
        <v>27.300798963122862</v>
      </c>
      <c r="V870" s="46">
        <f>'Data_in-situ'!DP333</f>
        <v>3</v>
      </c>
      <c r="W870" s="113">
        <f>'Data_in-situ'!DR333</f>
        <v>41.219419022620272</v>
      </c>
      <c r="X870" s="113">
        <f>'Data_in-situ'!DS333</f>
        <v>28.248116299491517</v>
      </c>
      <c r="Y870" s="46">
        <f>'Data_in-situ'!DT333</f>
        <v>3</v>
      </c>
      <c r="AF870" s="113">
        <f>'Data_in-situ'!EN278</f>
        <v>1.4575163398692808</v>
      </c>
      <c r="AG870" s="113">
        <f>'Data_in-situ'!EO278</f>
        <v>0.75703059071343026</v>
      </c>
      <c r="AH870" s="110">
        <f>'Data_in-situ'!EP278</f>
        <v>5</v>
      </c>
      <c r="AI870" s="113">
        <f>'Data_in-situ'!ER278</f>
        <v>1.1487889273356398</v>
      </c>
      <c r="AJ870" s="113">
        <f>'Data_in-situ'!ES278</f>
        <v>0.755435518283471</v>
      </c>
      <c r="AK870" s="110">
        <f>'Data_in-situ'!ET278</f>
        <v>5</v>
      </c>
    </row>
    <row r="871" spans="20:37" x14ac:dyDescent="0.3">
      <c r="T871" s="113">
        <f>'Data_in-situ'!DN334</f>
        <v>319.73915567142052</v>
      </c>
      <c r="U871" s="113">
        <f>'Data_in-situ'!DO334</f>
        <v>43.930407967061235</v>
      </c>
      <c r="V871" s="46">
        <f>'Data_in-situ'!DP334</f>
        <v>3</v>
      </c>
      <c r="W871" s="113">
        <f>'Data_in-situ'!DR334</f>
        <v>51.711287050105334</v>
      </c>
      <c r="X871" s="113">
        <f>'Data_in-situ'!DS334</f>
        <v>35.138864518591532</v>
      </c>
      <c r="Y871" s="46">
        <f>'Data_in-situ'!DT334</f>
        <v>3</v>
      </c>
      <c r="AF871" s="113">
        <f>'Data_in-situ'!EN279</f>
        <v>3.0092879256965936</v>
      </c>
      <c r="AG871" s="113">
        <f>'Data_in-situ'!EO279</f>
        <v>0.8290793279171158</v>
      </c>
      <c r="AH871" s="110">
        <f>'Data_in-situ'!EP279</f>
        <v>5</v>
      </c>
      <c r="AI871" s="113">
        <f>'Data_in-situ'!ER279</f>
        <v>2.8111455108359125</v>
      </c>
      <c r="AJ871" s="113">
        <f>'Data_in-situ'!ES279</f>
        <v>0.80714422344061043</v>
      </c>
      <c r="AK871" s="110">
        <f>'Data_in-situ'!ET279</f>
        <v>5</v>
      </c>
    </row>
    <row r="872" spans="20:37" x14ac:dyDescent="0.3">
      <c r="T872" s="113">
        <f>'Data_in-situ'!DN335</f>
        <v>231.15879516066161</v>
      </c>
      <c r="U872" s="113">
        <f>'Data_in-situ'!DO335</f>
        <v>29.849428994378311</v>
      </c>
      <c r="V872" s="46">
        <f>'Data_in-situ'!DP335</f>
        <v>3</v>
      </c>
      <c r="W872" s="113">
        <f>'Data_in-situ'!DR335</f>
        <v>36.322102883026695</v>
      </c>
      <c r="X872" s="113">
        <f>'Data_in-situ'!DS335</f>
        <v>24.783672418143286</v>
      </c>
      <c r="Y872" s="46">
        <f>'Data_in-situ'!DT335</f>
        <v>3</v>
      </c>
      <c r="AF872" s="113">
        <f>'Data_in-situ'!EN281</f>
        <v>-24.4</v>
      </c>
      <c r="AG872" s="113">
        <f>'Data_in-situ'!EO281</f>
        <v>9.9429121295315568</v>
      </c>
      <c r="AH872" s="110">
        <f>'Data_in-situ'!EP281</f>
        <v>1</v>
      </c>
      <c r="AI872" s="113">
        <f>'Data_in-situ'!ER281</f>
        <v>-49.1</v>
      </c>
      <c r="AJ872" s="113">
        <f>'Data_in-situ'!ES281</f>
        <v>11.136570027301435</v>
      </c>
      <c r="AK872" s="110">
        <f>'Data_in-situ'!ET281</f>
        <v>1</v>
      </c>
    </row>
    <row r="873" spans="20:37" x14ac:dyDescent="0.3">
      <c r="T873" s="113">
        <f>'Data_in-situ'!DN336</f>
        <v>493.10596214853945</v>
      </c>
      <c r="U873" s="113">
        <f>'Data_in-situ'!DO336</f>
        <v>526.28285184988022</v>
      </c>
      <c r="V873" s="46">
        <f>'Data_in-situ'!DP336</f>
        <v>3</v>
      </c>
      <c r="W873" s="113">
        <f>'Data_in-situ'!DR336</f>
        <v>78.722119137960249</v>
      </c>
      <c r="X873" s="113">
        <f>'Data_in-situ'!DS336</f>
        <v>80.04506331866223</v>
      </c>
      <c r="Y873" s="46">
        <f>'Data_in-situ'!DT336</f>
        <v>3</v>
      </c>
      <c r="AF873" s="113">
        <f>'Data_in-situ'!EN283</f>
        <v>-24.4</v>
      </c>
      <c r="AG873" s="113">
        <f>'Data_in-situ'!EO283</f>
        <v>9.9429121295315568</v>
      </c>
      <c r="AH873" s="110">
        <f>'Data_in-situ'!EP283</f>
        <v>1</v>
      </c>
      <c r="AI873" s="113">
        <f>'Data_in-situ'!ER283</f>
        <v>-34.4</v>
      </c>
      <c r="AJ873" s="113">
        <f>'Data_in-situ'!ES283</f>
        <v>7.8024034407162794</v>
      </c>
      <c r="AK873" s="110">
        <f>'Data_in-situ'!ET283</f>
        <v>1</v>
      </c>
    </row>
    <row r="874" spans="20:37" x14ac:dyDescent="0.3">
      <c r="T874" s="113">
        <f>'Data_in-situ'!DN337</f>
        <v>806.56888052092813</v>
      </c>
      <c r="U874" s="113">
        <f>'Data_in-situ'!DO337</f>
        <v>856.38159693760133</v>
      </c>
      <c r="V874" s="46">
        <f>'Data_in-situ'!DP337</f>
        <v>3</v>
      </c>
      <c r="W874" s="113">
        <f>'Data_in-situ'!DR337</f>
        <v>84.62740503626496</v>
      </c>
      <c r="X874" s="113">
        <f>'Data_in-situ'!DS337</f>
        <v>85.525142019325685</v>
      </c>
      <c r="Y874" s="46">
        <f>'Data_in-situ'!DT337</f>
        <v>3</v>
      </c>
      <c r="AF874" s="113">
        <f>'Data_in-situ'!EN285</f>
        <v>-24.4</v>
      </c>
      <c r="AG874" s="113">
        <f>'Data_in-situ'!EO285</f>
        <v>9.9429121295315568</v>
      </c>
      <c r="AH874" s="110">
        <f>'Data_in-situ'!EP285</f>
        <v>1</v>
      </c>
      <c r="AI874" s="113">
        <f>'Data_in-situ'!ER285</f>
        <v>-49.1</v>
      </c>
      <c r="AJ874" s="113">
        <f>'Data_in-situ'!ES285</f>
        <v>11.136570027301435</v>
      </c>
      <c r="AK874" s="110">
        <f>'Data_in-situ'!ET285</f>
        <v>1</v>
      </c>
    </row>
    <row r="875" spans="20:37" x14ac:dyDescent="0.3">
      <c r="T875" s="113">
        <f>'Data_in-situ'!DN338</f>
        <v>660.5745513402162</v>
      </c>
      <c r="U875" s="113">
        <f>'Data_in-situ'!DO338</f>
        <v>706.60737149083172</v>
      </c>
      <c r="V875" s="46">
        <f>'Data_in-situ'!DP338</f>
        <v>3</v>
      </c>
      <c r="W875" s="113">
        <f>'Data_in-situ'!DR338</f>
        <v>60.94615675196922</v>
      </c>
      <c r="X875" s="113">
        <f>'Data_in-situ'!DS338</f>
        <v>61.833294541817786</v>
      </c>
      <c r="Y875" s="46">
        <f>'Data_in-situ'!DT338</f>
        <v>3</v>
      </c>
      <c r="AF875" s="113">
        <f>'Data_in-situ'!EN287</f>
        <v>-24.4</v>
      </c>
      <c r="AG875" s="113">
        <f>'Data_in-situ'!EO287</f>
        <v>9.9429121295315568</v>
      </c>
      <c r="AH875" s="110">
        <f>'Data_in-situ'!EP287</f>
        <v>1</v>
      </c>
      <c r="AI875" s="113">
        <f>'Data_in-situ'!ER287</f>
        <v>-34.4</v>
      </c>
      <c r="AJ875" s="113">
        <f>'Data_in-situ'!ES287</f>
        <v>7.8024034407162794</v>
      </c>
      <c r="AK875" s="110">
        <f>'Data_in-situ'!ET287</f>
        <v>1</v>
      </c>
    </row>
    <row r="876" spans="20:37" x14ac:dyDescent="0.3">
      <c r="T876" s="113">
        <f>'Data_in-situ'!DN339</f>
        <v>119.51899620842497</v>
      </c>
      <c r="U876" s="113">
        <f>'Data_in-situ'!DO339</f>
        <v>34.824121299588967</v>
      </c>
      <c r="V876" s="46">
        <f>'Data_in-situ'!DP339</f>
        <v>3</v>
      </c>
      <c r="W876" s="113">
        <f>'Data_in-situ'!DR339</f>
        <v>20.119884710538422</v>
      </c>
      <c r="X876" s="113">
        <f>'Data_in-situ'!DS339</f>
        <v>3.7786326870241678</v>
      </c>
      <c r="Y876" s="46">
        <f>'Data_in-situ'!DT339</f>
        <v>3</v>
      </c>
      <c r="AF876" s="113">
        <f>'Data_in-situ'!EN289</f>
        <v>-24.4</v>
      </c>
      <c r="AG876" s="113">
        <f>'Data_in-situ'!EO289</f>
        <v>9.9429121295315568</v>
      </c>
      <c r="AH876" s="110">
        <f>'Data_in-situ'!EP289</f>
        <v>1</v>
      </c>
      <c r="AI876" s="113">
        <f>'Data_in-situ'!ER289</f>
        <v>-49.1</v>
      </c>
      <c r="AJ876" s="113">
        <f>'Data_in-situ'!ES289</f>
        <v>11.136570027301435</v>
      </c>
      <c r="AK876" s="110">
        <f>'Data_in-situ'!ET289</f>
        <v>1</v>
      </c>
    </row>
    <row r="877" spans="20:37" x14ac:dyDescent="0.3">
      <c r="T877" s="113">
        <f>'Data_in-situ'!DN340</f>
        <v>756.9536426533582</v>
      </c>
      <c r="U877" s="113">
        <f>'Data_in-situ'!DO340</f>
        <v>966.52380476916505</v>
      </c>
      <c r="V877" s="46">
        <f>'Data_in-situ'!DP340</f>
        <v>3</v>
      </c>
      <c r="W877" s="113">
        <f>'Data_in-situ'!DR340</f>
        <v>140.83919297376897</v>
      </c>
      <c r="X877" s="113">
        <f>'Data_in-situ'!DS340</f>
        <v>231.79656525897315</v>
      </c>
      <c r="Y877" s="46">
        <f>'Data_in-situ'!DT340</f>
        <v>3</v>
      </c>
      <c r="AF877" s="113">
        <f>'Data_in-situ'!EN291</f>
        <v>-24.4</v>
      </c>
      <c r="AG877" s="113">
        <f>'Data_in-situ'!EO291</f>
        <v>9.9429121295315568</v>
      </c>
      <c r="AH877" s="110">
        <f>'Data_in-situ'!EP291</f>
        <v>1</v>
      </c>
      <c r="AI877" s="113">
        <f>'Data_in-situ'!ER291</f>
        <v>-34.4</v>
      </c>
      <c r="AJ877" s="113">
        <f>'Data_in-situ'!ES291</f>
        <v>7.8024034407162794</v>
      </c>
      <c r="AK877" s="110">
        <f>'Data_in-situ'!ET291</f>
        <v>1</v>
      </c>
    </row>
    <row r="878" spans="20:37" x14ac:dyDescent="0.3">
      <c r="T878" s="113">
        <f>'Data_in-situ'!DN341</f>
        <v>99.599163507020805</v>
      </c>
      <c r="U878" s="113">
        <f>'Data_in-situ'!DO341</f>
        <v>34.500209307573023</v>
      </c>
      <c r="V878" s="46">
        <f>'Data_in-situ'!DP341</f>
        <v>3</v>
      </c>
      <c r="W878" s="113">
        <f>'Data_in-situ'!DR341</f>
        <v>2.0119884710538427</v>
      </c>
      <c r="X878" s="113">
        <f>'Data_in-situ'!DS341</f>
        <v>4.1125976308977705</v>
      </c>
      <c r="Y878" s="46">
        <f>'Data_in-situ'!DT341</f>
        <v>3</v>
      </c>
      <c r="AF878" s="113">
        <f>'Data_in-situ'!EN292</f>
        <v>-20.8</v>
      </c>
      <c r="AG878" s="113">
        <f>'Data_in-situ'!EO292</f>
        <v>8.475925094026902</v>
      </c>
      <c r="AH878" s="110">
        <f>'Data_in-situ'!EP292</f>
        <v>1</v>
      </c>
      <c r="AI878" s="113">
        <f>'Data_in-situ'!ER292</f>
        <v>-48.2</v>
      </c>
      <c r="AJ878" s="113">
        <f>'Data_in-situ'!ES292</f>
        <v>10.93243737914316</v>
      </c>
      <c r="AK878" s="110">
        <f>'Data_in-situ'!ET292</f>
        <v>1</v>
      </c>
    </row>
    <row r="879" spans="20:37" x14ac:dyDescent="0.3">
      <c r="T879" s="113">
        <f>'Data_in-situ'!DN342</f>
        <v>230.49976509958381</v>
      </c>
      <c r="U879" s="113">
        <f>'Data_in-situ'!DO342</f>
        <v>197.03120287558829</v>
      </c>
      <c r="V879" s="46">
        <f>'Data_in-situ'!DP342</f>
        <v>3</v>
      </c>
      <c r="W879" s="113">
        <f>'Data_in-situ'!DR342</f>
        <v>118.90670603705591</v>
      </c>
      <c r="X879" s="113">
        <f>'Data_in-situ'!DS342</f>
        <v>159.66597828472533</v>
      </c>
      <c r="Y879" s="46">
        <f>'Data_in-situ'!DT342</f>
        <v>3</v>
      </c>
      <c r="AF879" s="113">
        <f>'Data_in-situ'!EN293</f>
        <v>-20.8</v>
      </c>
      <c r="AG879" s="113">
        <f>'Data_in-situ'!EO293</f>
        <v>8.475925094026902</v>
      </c>
      <c r="AH879" s="110">
        <f>'Data_in-situ'!EP293</f>
        <v>1</v>
      </c>
      <c r="AI879" s="113">
        <f>'Data_in-situ'!ER293</f>
        <v>-46</v>
      </c>
      <c r="AJ879" s="113">
        <f>'Data_in-situ'!ES293</f>
        <v>10.433446461422932</v>
      </c>
      <c r="AK879" s="110">
        <f>'Data_in-situ'!ET293</f>
        <v>1</v>
      </c>
    </row>
    <row r="880" spans="20:37" x14ac:dyDescent="0.3">
      <c r="T880" s="113">
        <f>'Data_in-situ'!DN343</f>
        <v>1089.6352531980324</v>
      </c>
      <c r="U880" s="113">
        <f>'Data_in-situ'!DO343</f>
        <v>927.78982978332431</v>
      </c>
      <c r="V880" s="46">
        <f>'Data_in-situ'!DP343</f>
        <v>3</v>
      </c>
      <c r="W880" s="113">
        <f>'Data_in-situ'!DR343</f>
        <v>639.12354494917554</v>
      </c>
      <c r="X880" s="113">
        <f>'Data_in-situ'!DS343</f>
        <v>304.35692868746287</v>
      </c>
      <c r="Y880" s="46">
        <f>'Data_in-situ'!DT343</f>
        <v>3</v>
      </c>
      <c r="AF880" s="113">
        <f>'Data_in-situ'!EN294</f>
        <v>-20.8</v>
      </c>
      <c r="AG880" s="113">
        <f>'Data_in-situ'!EO294</f>
        <v>8.475925094026902</v>
      </c>
      <c r="AH880" s="110">
        <f>'Data_in-situ'!EP294</f>
        <v>1</v>
      </c>
      <c r="AI880" s="113">
        <f>'Data_in-situ'!ER294</f>
        <v>-40</v>
      </c>
      <c r="AJ880" s="113">
        <f>'Data_in-situ'!ES294</f>
        <v>9.0725621403677668</v>
      </c>
      <c r="AK880" s="110">
        <f>'Data_in-situ'!ET294</f>
        <v>1</v>
      </c>
    </row>
    <row r="881" spans="20:37" x14ac:dyDescent="0.3">
      <c r="T881" s="113">
        <f>'Data_in-situ'!DN344</f>
        <v>146.68166869973513</v>
      </c>
      <c r="U881" s="113">
        <f>'Data_in-situ'!DO344</f>
        <v>127.23656397839687</v>
      </c>
      <c r="V881" s="46">
        <f>'Data_in-situ'!DP344</f>
        <v>3</v>
      </c>
      <c r="W881" s="113">
        <f>'Data_in-situ'!DR344</f>
        <v>29.726676509263978</v>
      </c>
      <c r="X881" s="113">
        <f>'Data_in-situ'!DS344</f>
        <v>18.92341152926349</v>
      </c>
      <c r="Y881" s="46">
        <f>'Data_in-situ'!DT344</f>
        <v>3</v>
      </c>
      <c r="AF881" s="113">
        <f>'Data_in-situ'!EN295</f>
        <v>-20.8</v>
      </c>
      <c r="AG881" s="113">
        <f>'Data_in-situ'!EO295</f>
        <v>8.475925094026902</v>
      </c>
      <c r="AH881" s="110">
        <f>'Data_in-situ'!EP295</f>
        <v>1</v>
      </c>
      <c r="AI881" s="113">
        <f>'Data_in-situ'!ER295</f>
        <v>-31.5</v>
      </c>
      <c r="AJ881" s="113">
        <f>'Data_in-situ'!ES295</f>
        <v>7.1446426855396163</v>
      </c>
      <c r="AK881" s="110">
        <f>'Data_in-situ'!ET295</f>
        <v>1</v>
      </c>
    </row>
    <row r="882" spans="20:37" x14ac:dyDescent="0.3">
      <c r="T882" s="113">
        <f>'Data_in-situ'!DN345</f>
        <v>158.06344550056443</v>
      </c>
      <c r="U882" s="113">
        <f>'Data_in-situ'!DO345</f>
        <v>156.23763874501105</v>
      </c>
      <c r="V882" s="46">
        <f>'Data_in-situ'!DP345</f>
        <v>3</v>
      </c>
      <c r="W882" s="113">
        <f>'Data_in-situ'!DR345</f>
        <v>533.27856040861434</v>
      </c>
      <c r="X882" s="113">
        <f>'Data_in-situ'!DS345</f>
        <v>463.45283466494965</v>
      </c>
      <c r="Y882" s="46">
        <f>'Data_in-situ'!DT345</f>
        <v>3</v>
      </c>
      <c r="AF882" s="113">
        <f>'Data_in-situ'!EN296</f>
        <v>-20.8</v>
      </c>
      <c r="AG882" s="113">
        <f>'Data_in-situ'!EO296</f>
        <v>8.475925094026902</v>
      </c>
      <c r="AH882" s="110">
        <f>'Data_in-situ'!EP296</f>
        <v>1</v>
      </c>
      <c r="AI882" s="113">
        <f>'Data_in-situ'!ER296</f>
        <v>-48.2</v>
      </c>
      <c r="AJ882" s="113">
        <f>'Data_in-situ'!ES296</f>
        <v>10.93243737914316</v>
      </c>
      <c r="AK882" s="110">
        <f>'Data_in-situ'!ET296</f>
        <v>1</v>
      </c>
    </row>
    <row r="883" spans="20:37" x14ac:dyDescent="0.3">
      <c r="T883" s="113">
        <f>'Data_in-situ'!DN346</f>
        <v>1422.5710095050797</v>
      </c>
      <c r="U883" s="113">
        <f>'Data_in-situ'!DO346</f>
        <v>1619.3061390358012</v>
      </c>
      <c r="V883" s="46">
        <f>'Data_in-situ'!DP346</f>
        <v>3</v>
      </c>
      <c r="W883" s="113">
        <f>'Data_in-situ'!DR346</f>
        <v>1233.2066709449209</v>
      </c>
      <c r="X883" s="113">
        <f>'Data_in-situ'!DS346</f>
        <v>527.21983078939115</v>
      </c>
      <c r="Y883" s="46">
        <f>'Data_in-situ'!DT346</f>
        <v>3</v>
      </c>
      <c r="AF883" s="113">
        <f>'Data_in-situ'!EN297</f>
        <v>-20.8</v>
      </c>
      <c r="AG883" s="113">
        <f>'Data_in-situ'!EO297</f>
        <v>8.475925094026902</v>
      </c>
      <c r="AH883" s="110">
        <f>'Data_in-situ'!EP297</f>
        <v>1</v>
      </c>
      <c r="AI883" s="113">
        <f>'Data_in-situ'!ER297</f>
        <v>-46</v>
      </c>
      <c r="AJ883" s="113">
        <f>'Data_in-situ'!ES297</f>
        <v>10.433446461422932</v>
      </c>
      <c r="AK883" s="110">
        <f>'Data_in-situ'!ET297</f>
        <v>1</v>
      </c>
    </row>
    <row r="884" spans="20:37" x14ac:dyDescent="0.3">
      <c r="T884" s="113">
        <f>'Data_in-situ'!DN347</f>
        <v>87.813025278091345</v>
      </c>
      <c r="U884" s="113">
        <f>'Data_in-situ'!DO347</f>
        <v>511.88953557062587</v>
      </c>
      <c r="V884" s="46">
        <f>'Data_in-situ'!DP347</f>
        <v>3</v>
      </c>
      <c r="W884" s="113">
        <f>'Data_in-situ'!DR347</f>
        <v>83.324775063845991</v>
      </c>
      <c r="X884" s="113">
        <f>'Data_in-situ'!DS347</f>
        <v>58.045203910854234</v>
      </c>
      <c r="Y884" s="46">
        <f>'Data_in-situ'!DT347</f>
        <v>3</v>
      </c>
      <c r="AF884" s="113">
        <f>'Data_in-situ'!EN298</f>
        <v>-20.8</v>
      </c>
      <c r="AG884" s="113">
        <f>'Data_in-situ'!EO298</f>
        <v>8.475925094026902</v>
      </c>
      <c r="AH884" s="110">
        <f>'Data_in-situ'!EP298</f>
        <v>1</v>
      </c>
      <c r="AI884" s="113">
        <f>'Data_in-situ'!ER298</f>
        <v>-40</v>
      </c>
      <c r="AJ884" s="113">
        <f>'Data_in-situ'!ES298</f>
        <v>9.0725621403677668</v>
      </c>
      <c r="AK884" s="110">
        <f>'Data_in-situ'!ET298</f>
        <v>1</v>
      </c>
    </row>
    <row r="885" spans="20:37" x14ac:dyDescent="0.3">
      <c r="T885" s="113">
        <f>'Data_in-situ'!DN354</f>
        <v>129.83859113829968</v>
      </c>
      <c r="U885" s="113">
        <f>'Data_in-situ'!DO354</f>
        <v>144.75435619379368</v>
      </c>
      <c r="V885" s="46">
        <f>'Data_in-situ'!DP354</f>
        <v>3</v>
      </c>
      <c r="W885" s="113">
        <f>'Data_in-situ'!DR354</f>
        <v>3.2289849407087479</v>
      </c>
      <c r="X885" s="113">
        <f>'Data_in-situ'!DS354</f>
        <v>12.067415135534878</v>
      </c>
      <c r="Y885" s="46">
        <f>'Data_in-situ'!DT354</f>
        <v>3</v>
      </c>
      <c r="AF885" s="113">
        <f>'Data_in-situ'!EN299</f>
        <v>-20.8</v>
      </c>
      <c r="AG885" s="113">
        <f>'Data_in-situ'!EO299</f>
        <v>8.475925094026902</v>
      </c>
      <c r="AH885" s="110">
        <f>'Data_in-situ'!EP299</f>
        <v>1</v>
      </c>
      <c r="AI885" s="113">
        <f>'Data_in-situ'!ER299</f>
        <v>-31.5</v>
      </c>
      <c r="AJ885" s="113">
        <f>'Data_in-situ'!ES299</f>
        <v>7.1446426855396163</v>
      </c>
      <c r="AK885" s="110">
        <f>'Data_in-situ'!ET299</f>
        <v>1</v>
      </c>
    </row>
    <row r="886" spans="20:37" x14ac:dyDescent="0.3">
      <c r="T886" s="113">
        <f>'Data_in-situ'!DN355</f>
        <v>104.97588219692315</v>
      </c>
      <c r="U886" s="113">
        <f>'Data_in-situ'!DO355</f>
        <v>117.03543692264172</v>
      </c>
      <c r="V886" s="46">
        <f>'Data_in-situ'!DP355</f>
        <v>3</v>
      </c>
      <c r="W886" s="113">
        <f>'Data_in-situ'!DR355</f>
        <v>16.732012874581695</v>
      </c>
      <c r="X886" s="113">
        <f>'Data_in-situ'!DS355</f>
        <v>62.531151156862556</v>
      </c>
      <c r="Y886" s="46">
        <f>'Data_in-situ'!DT355</f>
        <v>3</v>
      </c>
      <c r="AF886" s="113">
        <f>'Data_in-situ'!EN300</f>
        <v>-20.8</v>
      </c>
      <c r="AG886" s="113">
        <f>'Data_in-situ'!EO300</f>
        <v>8.475925094026902</v>
      </c>
      <c r="AH886" s="110">
        <f>'Data_in-situ'!EP300</f>
        <v>1</v>
      </c>
      <c r="AI886" s="113">
        <f>'Data_in-situ'!ER300</f>
        <v>-48.2</v>
      </c>
      <c r="AJ886" s="113">
        <f>'Data_in-situ'!ES300</f>
        <v>10.93243737914316</v>
      </c>
      <c r="AK886" s="110">
        <f>'Data_in-situ'!ET300</f>
        <v>1</v>
      </c>
    </row>
    <row r="887" spans="20:37" x14ac:dyDescent="0.3">
      <c r="T887" s="113">
        <f>'Data_in-situ'!DN357</f>
        <v>113.26345184404866</v>
      </c>
      <c r="U887" s="113">
        <f>'Data_in-situ'!DO357</f>
        <v>126.27507667969238</v>
      </c>
      <c r="V887" s="46">
        <f>'Data_in-situ'!DP357</f>
        <v>3</v>
      </c>
      <c r="W887" s="113">
        <f>'Data_in-situ'!DR357</f>
        <v>5.2837935393415876</v>
      </c>
      <c r="X887" s="113">
        <f>'Data_in-situ'!DS357</f>
        <v>19.746679312693438</v>
      </c>
      <c r="Y887" s="46">
        <f>'Data_in-situ'!DT357</f>
        <v>3</v>
      </c>
      <c r="AF887" s="113">
        <f>'Data_in-situ'!EN301</f>
        <v>-20.8</v>
      </c>
      <c r="AG887" s="113">
        <f>'Data_in-situ'!EO301</f>
        <v>8.475925094026902</v>
      </c>
      <c r="AH887" s="110">
        <f>'Data_in-situ'!EP301</f>
        <v>1</v>
      </c>
      <c r="AI887" s="113">
        <f>'Data_in-situ'!ER301</f>
        <v>-46</v>
      </c>
      <c r="AJ887" s="113">
        <f>'Data_in-situ'!ES301</f>
        <v>10.433446461422932</v>
      </c>
      <c r="AK887" s="110">
        <f>'Data_in-situ'!ET301</f>
        <v>1</v>
      </c>
    </row>
    <row r="888" spans="20:37" x14ac:dyDescent="0.3">
      <c r="T888" s="113">
        <f>'Data_in-situ'!DN358</f>
        <v>109.11966702048591</v>
      </c>
      <c r="U888" s="113">
        <f>'Data_in-situ'!DO358</f>
        <v>121.65525680116704</v>
      </c>
      <c r="V888" s="46">
        <f>'Data_in-situ'!DP358</f>
        <v>3</v>
      </c>
      <c r="W888" s="113">
        <f>'Data_in-situ'!DR358</f>
        <v>3.5225290262277253</v>
      </c>
      <c r="X888" s="113">
        <f>'Data_in-situ'!DS358</f>
        <v>13.164452875128958</v>
      </c>
      <c r="Y888" s="46">
        <f>'Data_in-situ'!DT358</f>
        <v>3</v>
      </c>
      <c r="AF888" s="113">
        <f>'Data_in-situ'!EN302</f>
        <v>-20.8</v>
      </c>
      <c r="AG888" s="113">
        <f>'Data_in-situ'!EO302</f>
        <v>8.475925094026902</v>
      </c>
      <c r="AH888" s="110">
        <f>'Data_in-situ'!EP302</f>
        <v>1</v>
      </c>
      <c r="AI888" s="113">
        <f>'Data_in-situ'!ER302</f>
        <v>-40</v>
      </c>
      <c r="AJ888" s="113">
        <f>'Data_in-situ'!ES302</f>
        <v>9.0725621403677668</v>
      </c>
      <c r="AK888" s="110">
        <f>'Data_in-situ'!ET302</f>
        <v>1</v>
      </c>
    </row>
    <row r="889" spans="20:37" x14ac:dyDescent="0.3">
      <c r="T889" s="113">
        <f>'Data_in-situ'!DN360</f>
        <v>78.736738703339938</v>
      </c>
      <c r="U889" s="113">
        <f>'Data_in-situ'!DO360</f>
        <v>27.597052434686233</v>
      </c>
      <c r="V889" s="46">
        <f>'Data_in-situ'!DP360</f>
        <v>8</v>
      </c>
      <c r="W889" s="113">
        <f>'Data_in-situ'!DR360</f>
        <v>125.2043222003928</v>
      </c>
      <c r="X889" s="113">
        <f>'Data_in-situ'!DS360</f>
        <v>186.10419799607629</v>
      </c>
      <c r="Y889" s="46">
        <f>'Data_in-situ'!DT360</f>
        <v>8</v>
      </c>
      <c r="AF889" s="113">
        <f>'Data_in-situ'!EN303</f>
        <v>-20.8</v>
      </c>
      <c r="AG889" s="113">
        <f>'Data_in-situ'!EO303</f>
        <v>8.475925094026902</v>
      </c>
      <c r="AH889" s="110">
        <f>'Data_in-situ'!EP303</f>
        <v>1</v>
      </c>
      <c r="AI889" s="113">
        <f>'Data_in-situ'!ER303</f>
        <v>-31.5</v>
      </c>
      <c r="AJ889" s="113">
        <f>'Data_in-situ'!ES303</f>
        <v>7.1446426855396163</v>
      </c>
      <c r="AK889" s="110">
        <f>'Data_in-situ'!ET303</f>
        <v>1</v>
      </c>
    </row>
    <row r="890" spans="20:37" x14ac:dyDescent="0.3">
      <c r="T890" s="113">
        <f>'Data_in-situ'!DN361</f>
        <v>193.62208240634681</v>
      </c>
      <c r="U890" s="113">
        <f>'Data_in-situ'!DO361</f>
        <v>614.14718799845184</v>
      </c>
      <c r="V890" s="46">
        <f>'Data_in-situ'!DP361</f>
        <v>8</v>
      </c>
      <c r="W890" s="113">
        <f>'Data_in-situ'!DR361</f>
        <v>-17.39938687312296</v>
      </c>
      <c r="X890" s="113">
        <f>'Data_in-situ'!DS361</f>
        <v>20.727267101856409</v>
      </c>
      <c r="Y890" s="46">
        <f>'Data_in-situ'!DT361</f>
        <v>8</v>
      </c>
      <c r="AF890" s="113">
        <f>'Data_in-situ'!EN304</f>
        <v>-48.7</v>
      </c>
      <c r="AG890" s="113">
        <f>'Data_in-situ'!EO304</f>
        <v>19.845074619187987</v>
      </c>
      <c r="AH890" s="110">
        <f>'Data_in-situ'!EP304</f>
        <v>1</v>
      </c>
      <c r="AI890" s="113">
        <f>'Data_in-situ'!ER304</f>
        <v>-77.599999999999994</v>
      </c>
      <c r="AJ890" s="113">
        <f>'Data_in-situ'!ES304</f>
        <v>17.600770552313467</v>
      </c>
      <c r="AK890" s="110">
        <f>'Data_in-situ'!ET304</f>
        <v>1</v>
      </c>
    </row>
    <row r="891" spans="20:37" x14ac:dyDescent="0.3">
      <c r="T891" s="113">
        <f>'Data_in-situ'!DN363</f>
        <v>92.536237514844473</v>
      </c>
      <c r="U891" s="113">
        <f>'Data_in-situ'!DO363</f>
        <v>343.16618940866766</v>
      </c>
      <c r="V891" s="46">
        <f>'Data_in-situ'!DP363</f>
        <v>8</v>
      </c>
      <c r="W891" s="113">
        <f>'Data_in-situ'!DR363</f>
        <v>-4.3235288751980265</v>
      </c>
      <c r="X891" s="113">
        <f>'Data_in-situ'!DS363</f>
        <v>4.2368888087214085</v>
      </c>
      <c r="Y891" s="46">
        <f>'Data_in-situ'!DT363</f>
        <v>8</v>
      </c>
      <c r="AF891" s="113">
        <f>'Data_in-situ'!EN308</f>
        <v>-48.7</v>
      </c>
      <c r="AG891" s="113">
        <f>'Data_in-situ'!EO308</f>
        <v>19.845074619187987</v>
      </c>
      <c r="AH891" s="110">
        <f>'Data_in-situ'!EP308</f>
        <v>1</v>
      </c>
      <c r="AI891" s="113">
        <f>'Data_in-situ'!ER308</f>
        <v>-77.599999999999994</v>
      </c>
      <c r="AJ891" s="113">
        <f>'Data_in-situ'!ES308</f>
        <v>17.600770552313467</v>
      </c>
      <c r="AK891" s="110">
        <f>'Data_in-situ'!ET308</f>
        <v>1</v>
      </c>
    </row>
    <row r="892" spans="20:37" x14ac:dyDescent="0.3">
      <c r="T892" s="113">
        <f>'Data_in-situ'!DN389</f>
        <v>68</v>
      </c>
      <c r="U892" s="113">
        <f>'Data_in-situ'!DO389</f>
        <v>56.982751846655269</v>
      </c>
      <c r="V892" s="46">
        <f>'Data_in-situ'!DP389</f>
        <v>4</v>
      </c>
      <c r="W892" s="113">
        <f>'Data_in-situ'!DR389</f>
        <v>15.999999999999998</v>
      </c>
      <c r="X892" s="113">
        <f>'Data_in-situ'!DS389</f>
        <v>88.274002438097213</v>
      </c>
      <c r="Y892" s="46">
        <f>'Data_in-situ'!DT389</f>
        <v>4</v>
      </c>
      <c r="AF892" s="113">
        <f>'Data_in-situ'!EN312</f>
        <v>-48.7</v>
      </c>
      <c r="AG892" s="113">
        <f>'Data_in-situ'!EO312</f>
        <v>19.845074619187987</v>
      </c>
      <c r="AH892" s="110">
        <f>'Data_in-situ'!EP312</f>
        <v>1</v>
      </c>
      <c r="AI892" s="113">
        <f>'Data_in-situ'!ER312</f>
        <v>-77.599999999999994</v>
      </c>
      <c r="AJ892" s="113">
        <f>'Data_in-situ'!ES312</f>
        <v>17.600770552313467</v>
      </c>
      <c r="AK892" s="110">
        <f>'Data_in-situ'!ET312</f>
        <v>1</v>
      </c>
    </row>
    <row r="893" spans="20:37" x14ac:dyDescent="0.3">
      <c r="T893" s="113">
        <f>'Data_in-situ'!DN390</f>
        <v>67.999999999999986</v>
      </c>
      <c r="U893" s="113">
        <f>'Data_in-situ'!DO390</f>
        <v>56.982751846655255</v>
      </c>
      <c r="V893" s="46">
        <f>'Data_in-situ'!DP390</f>
        <v>4</v>
      </c>
      <c r="W893" s="113">
        <f>'Data_in-situ'!DR390</f>
        <v>40</v>
      </c>
      <c r="X893" s="113">
        <f>'Data_in-situ'!DS390</f>
        <v>220.68500609524307</v>
      </c>
      <c r="Y893" s="46">
        <f>'Data_in-situ'!DT390</f>
        <v>4</v>
      </c>
      <c r="AF893" s="113">
        <f>'Data_in-situ'!EN316</f>
        <v>-7.2</v>
      </c>
      <c r="AG893" s="113">
        <f>'Data_in-situ'!EO316</f>
        <v>5.7</v>
      </c>
      <c r="AH893" s="110">
        <f>'Data_in-situ'!EP316</f>
        <v>18</v>
      </c>
      <c r="AI893" s="113">
        <f>'Data_in-situ'!ER316</f>
        <v>-22.1</v>
      </c>
      <c r="AJ893" s="113">
        <f>'Data_in-situ'!ES316</f>
        <v>8.6</v>
      </c>
      <c r="AK893" s="110">
        <f>'Data_in-situ'!ET316</f>
        <v>18</v>
      </c>
    </row>
    <row r="894" spans="20:37" x14ac:dyDescent="0.3">
      <c r="T894" s="113">
        <f>'Data_in-situ'!DN391</f>
        <v>441.33333333333337</v>
      </c>
      <c r="U894" s="113">
        <f>'Data_in-situ'!DO391</f>
        <v>369.82923257339007</v>
      </c>
      <c r="V894" s="46">
        <f>'Data_in-situ'!DP391</f>
        <v>4</v>
      </c>
      <c r="W894" s="113">
        <f>'Data_in-situ'!DR391</f>
        <v>0</v>
      </c>
      <c r="X894" s="113">
        <f>'Data_in-situ'!DS391</f>
        <v>0</v>
      </c>
      <c r="Y894" s="46">
        <f>'Data_in-situ'!DT391</f>
        <v>4</v>
      </c>
      <c r="AF894" s="113">
        <f>'Data_in-situ'!EN317</f>
        <v>-18.7</v>
      </c>
      <c r="AG894" s="113">
        <f>'Data_in-situ'!EO317</f>
        <v>7.2</v>
      </c>
      <c r="AH894" s="110">
        <f>'Data_in-situ'!EP317</f>
        <v>15</v>
      </c>
      <c r="AI894" s="113">
        <f>'Data_in-situ'!ER317</f>
        <v>-34.5</v>
      </c>
      <c r="AJ894" s="113">
        <f>'Data_in-situ'!ES317</f>
        <v>9.3000000000000007</v>
      </c>
      <c r="AK894" s="110">
        <f>'Data_in-situ'!ET317</f>
        <v>15</v>
      </c>
    </row>
    <row r="895" spans="20:37" x14ac:dyDescent="0.3">
      <c r="T895" s="113">
        <f>'Data_in-situ'!DN400</f>
        <v>507.98367438755889</v>
      </c>
      <c r="U895" s="113">
        <f>'Data_in-situ'!DO400</f>
        <v>309.25085319324296</v>
      </c>
      <c r="V895" s="46">
        <f>'Data_in-situ'!DP400</f>
        <v>8</v>
      </c>
      <c r="W895" s="113">
        <f>'Data_in-situ'!DR400</f>
        <v>12.765061923408211</v>
      </c>
      <c r="X895" s="113">
        <f>'Data_in-situ'!DS400</f>
        <v>23.812364224373002</v>
      </c>
      <c r="Y895" s="46">
        <f>'Data_in-situ'!DT400</f>
        <v>4</v>
      </c>
      <c r="AF895" s="113">
        <f>'Data_in-situ'!EN318</f>
        <v>-10.3</v>
      </c>
      <c r="AG895" s="113">
        <f>'Data_in-situ'!EO318</f>
        <v>8</v>
      </c>
      <c r="AH895" s="110">
        <f>'Data_in-situ'!EP318</f>
        <v>18</v>
      </c>
      <c r="AI895" s="113">
        <f>'Data_in-situ'!ER318</f>
        <v>-20.6</v>
      </c>
      <c r="AJ895" s="113">
        <f>'Data_in-situ'!ES318</f>
        <v>9.6999999999999993</v>
      </c>
      <c r="AK895" s="110">
        <f>'Data_in-situ'!ET318</f>
        <v>18</v>
      </c>
    </row>
    <row r="896" spans="20:37" x14ac:dyDescent="0.3">
      <c r="T896" s="113">
        <f>'Data_in-situ'!DN414</f>
        <v>434.70588235294116</v>
      </c>
      <c r="U896" s="113">
        <f>'Data_in-situ'!DO414</f>
        <v>437.34858971687066</v>
      </c>
      <c r="V896" s="46">
        <f>'Data_in-situ'!DP414</f>
        <v>5</v>
      </c>
      <c r="W896" s="113">
        <f>'Data_in-situ'!DR414</f>
        <v>15.294117647058824</v>
      </c>
      <c r="X896" s="113">
        <f>'Data_in-situ'!DS414</f>
        <v>15.126342200733873</v>
      </c>
      <c r="Y896" s="46">
        <f>'Data_in-situ'!DT414</f>
        <v>5</v>
      </c>
      <c r="AF896" s="113">
        <f>'Data_in-situ'!EN319</f>
        <v>-27.8</v>
      </c>
      <c r="AG896" s="113">
        <f>'Data_in-situ'!EO319</f>
        <v>9.3000000000000007</v>
      </c>
      <c r="AH896" s="110">
        <f>'Data_in-situ'!EP319</f>
        <v>12</v>
      </c>
      <c r="AI896" s="113">
        <f>'Data_in-situ'!ER319</f>
        <v>-31.9</v>
      </c>
      <c r="AJ896" s="113">
        <f>'Data_in-situ'!ES319</f>
        <v>7.5</v>
      </c>
      <c r="AK896" s="110">
        <f>'Data_in-situ'!ET319</f>
        <v>12</v>
      </c>
    </row>
    <row r="897" spans="20:37" x14ac:dyDescent="0.3">
      <c r="T897" s="113">
        <f>'Data_in-situ'!DN416</f>
        <v>102.39147844674257</v>
      </c>
      <c r="U897" s="113">
        <f>'Data_in-situ'!DO416</f>
        <v>25.149528090905832</v>
      </c>
      <c r="V897" s="46">
        <f>'Data_in-situ'!DP416</f>
        <v>5</v>
      </c>
      <c r="W897" s="113">
        <f>'Data_in-situ'!DR416</f>
        <v>6.6536659384301489</v>
      </c>
      <c r="X897" s="113">
        <f>'Data_in-situ'!DS416</f>
        <v>9.0885183749652523</v>
      </c>
      <c r="Y897" s="46">
        <f>'Data_in-situ'!DT416</f>
        <v>5</v>
      </c>
      <c r="AF897" s="113">
        <f>'Data_in-situ'!EN320</f>
        <v>-7.1</v>
      </c>
      <c r="AG897" s="113">
        <f>'Data_in-situ'!EO320</f>
        <v>4.7</v>
      </c>
      <c r="AH897" s="110">
        <f>'Data_in-situ'!EP320</f>
        <v>17</v>
      </c>
      <c r="AI897" s="113">
        <f>'Data_in-situ'!ER320</f>
        <v>-11.8</v>
      </c>
      <c r="AJ897" s="113">
        <f>'Data_in-situ'!ES320</f>
        <v>6.6</v>
      </c>
      <c r="AK897" s="110">
        <f>'Data_in-situ'!ET320</f>
        <v>18</v>
      </c>
    </row>
    <row r="898" spans="20:37" x14ac:dyDescent="0.3">
      <c r="T898" s="113">
        <f>'Data_in-situ'!DN417</f>
        <v>970.38416592642932</v>
      </c>
      <c r="U898" s="113">
        <f>'Data_in-situ'!DO417</f>
        <v>1081.8612091201044</v>
      </c>
      <c r="V898" s="46">
        <f>'Data_in-situ'!DP417</f>
        <v>5</v>
      </c>
      <c r="W898" s="113">
        <f>'Data_in-situ'!DR417</f>
        <v>2.3483526841518167</v>
      </c>
      <c r="X898" s="113">
        <f>'Data_in-situ'!DS417</f>
        <v>4.0730546894946382</v>
      </c>
      <c r="Y898" s="46">
        <f>'Data_in-situ'!DT417</f>
        <v>6</v>
      </c>
      <c r="AF898" s="113">
        <f>'Data_in-situ'!EN321</f>
        <v>-16.600000000000001</v>
      </c>
      <c r="AG898" s="113">
        <f>'Data_in-situ'!EO321</f>
        <v>8.1999999999999993</v>
      </c>
      <c r="AH898" s="110">
        <f>'Data_in-situ'!EP321</f>
        <v>15</v>
      </c>
      <c r="AI898" s="113">
        <f>'Data_in-situ'!ER321</f>
        <v>-17.100000000000001</v>
      </c>
      <c r="AJ898" s="113">
        <f>'Data_in-situ'!ES321</f>
        <v>11.3</v>
      </c>
      <c r="AK898" s="110">
        <f>'Data_in-situ'!ET321</f>
        <v>15</v>
      </c>
    </row>
    <row r="899" spans="20:37" x14ac:dyDescent="0.3">
      <c r="T899" s="113">
        <f>'Data_in-situ'!DN443</f>
        <v>172</v>
      </c>
      <c r="U899" s="113">
        <f>'Data_in-situ'!DO443</f>
        <v>22</v>
      </c>
      <c r="V899" s="46">
        <f>'Data_in-situ'!DP443</f>
        <v>6</v>
      </c>
      <c r="W899" s="113">
        <f>'Data_in-situ'!DR443</f>
        <v>-0.6</v>
      </c>
      <c r="X899" s="113">
        <f>'Data_in-situ'!DS443</f>
        <v>0.65</v>
      </c>
      <c r="Y899" s="46">
        <f>'Data_in-situ'!DT443</f>
        <v>4</v>
      </c>
      <c r="AF899" s="113">
        <f>'Data_in-situ'!EN322</f>
        <v>-12.6</v>
      </c>
      <c r="AG899" s="113">
        <f>'Data_in-situ'!EO322</f>
        <v>7.6</v>
      </c>
      <c r="AH899" s="110">
        <f>'Data_in-situ'!EP322</f>
        <v>18</v>
      </c>
      <c r="AI899" s="113">
        <f>'Data_in-situ'!ER322</f>
        <v>-18</v>
      </c>
      <c r="AJ899" s="113">
        <f>'Data_in-situ'!ES322</f>
        <v>8.5</v>
      </c>
      <c r="AK899" s="110">
        <f>'Data_in-situ'!ET322</f>
        <v>18</v>
      </c>
    </row>
    <row r="900" spans="20:37" x14ac:dyDescent="0.3">
      <c r="T900" s="113">
        <f>'Data_in-situ'!DN446</f>
        <v>434.70588235294116</v>
      </c>
      <c r="U900" s="113">
        <f>'Data_in-situ'!DO446</f>
        <v>437.34858971687066</v>
      </c>
      <c r="V900" s="46">
        <f>'Data_in-situ'!DP446</f>
        <v>5</v>
      </c>
      <c r="W900" s="113">
        <f>'Data_in-situ'!DR446</f>
        <v>225.58823529411765</v>
      </c>
      <c r="X900" s="113">
        <f>'Data_in-situ'!DS446</f>
        <v>225.57979890659644</v>
      </c>
      <c r="Y900" s="46">
        <f>'Data_in-situ'!DT446</f>
        <v>5</v>
      </c>
      <c r="AF900" s="113">
        <f>'Data_in-situ'!EN323</f>
        <v>-26.2</v>
      </c>
      <c r="AG900" s="113">
        <f>'Data_in-situ'!EO323</f>
        <v>12.1</v>
      </c>
      <c r="AH900" s="110">
        <f>'Data_in-situ'!EP323</f>
        <v>29</v>
      </c>
      <c r="AI900" s="113">
        <f>'Data_in-situ'!ER323</f>
        <v>-30</v>
      </c>
      <c r="AJ900" s="113">
        <f>'Data_in-situ'!ES323</f>
        <v>11.2</v>
      </c>
      <c r="AK900" s="110">
        <f>'Data_in-situ'!ET323</f>
        <v>33</v>
      </c>
    </row>
    <row r="901" spans="20:37" x14ac:dyDescent="0.3">
      <c r="T901" s="113">
        <f>'Data_in-situ'!DN456</f>
        <v>118.26666666666667</v>
      </c>
      <c r="U901" s="113">
        <f>'Data_in-situ'!DO456</f>
        <v>131.85305726464713</v>
      </c>
      <c r="V901" s="46">
        <f>'Data_in-situ'!DP456</f>
        <v>1</v>
      </c>
      <c r="W901" s="113">
        <f>'Data_in-situ'!DR456</f>
        <v>58</v>
      </c>
      <c r="X901" s="113">
        <f>'Data_in-situ'!DS456</f>
        <v>216.75854508859857</v>
      </c>
      <c r="Y901" s="46">
        <f>'Data_in-situ'!DT456</f>
        <v>1</v>
      </c>
      <c r="AF901" s="113">
        <f>'Data_in-situ'!EN324</f>
        <v>-17.100000000000001</v>
      </c>
      <c r="AG901" s="113">
        <f>'Data_in-situ'!EO324</f>
        <v>5.2</v>
      </c>
      <c r="AH901" s="110">
        <f>'Data_in-situ'!EP324</f>
        <v>18</v>
      </c>
      <c r="AI901" s="113">
        <f>'Data_in-situ'!ER324</f>
        <v>-28.9</v>
      </c>
      <c r="AJ901" s="113">
        <f>'Data_in-situ'!ES324</f>
        <v>7.5</v>
      </c>
      <c r="AK901" s="110">
        <f>'Data_in-situ'!ET324</f>
        <v>18</v>
      </c>
    </row>
    <row r="902" spans="20:37" x14ac:dyDescent="0.3">
      <c r="T902" s="113">
        <f>'Data_in-situ'!DN457</f>
        <v>115.06666666666666</v>
      </c>
      <c r="U902" s="113">
        <f>'Data_in-situ'!DO457</f>
        <v>128.28544353933538</v>
      </c>
      <c r="V902" s="46">
        <f>'Data_in-situ'!DP457</f>
        <v>1</v>
      </c>
      <c r="W902" s="113">
        <f>'Data_in-situ'!DR457</f>
        <v>63.333333333333336</v>
      </c>
      <c r="X902" s="113">
        <f>'Data_in-situ'!DS457</f>
        <v>236.69036532663063</v>
      </c>
      <c r="Y902" s="46">
        <f>'Data_in-situ'!DT457</f>
        <v>1</v>
      </c>
      <c r="AF902" s="113">
        <f>'Data_in-situ'!EN325</f>
        <v>-38.9</v>
      </c>
      <c r="AG902" s="113">
        <f>'Data_in-situ'!EO325</f>
        <v>9.4</v>
      </c>
      <c r="AH902" s="110">
        <f>'Data_in-situ'!EP325</f>
        <v>12</v>
      </c>
      <c r="AI902" s="113">
        <f>'Data_in-situ'!ER325</f>
        <v>-44.7</v>
      </c>
      <c r="AJ902" s="113">
        <f>'Data_in-situ'!ES325</f>
        <v>8.9</v>
      </c>
      <c r="AK902" s="110">
        <f>'Data_in-situ'!ET325</f>
        <v>12</v>
      </c>
    </row>
    <row r="903" spans="20:37" x14ac:dyDescent="0.3">
      <c r="T903" s="113">
        <f>'Data_in-situ'!DN458</f>
        <v>105.2</v>
      </c>
      <c r="U903" s="113">
        <f>'Data_in-situ'!DO458</f>
        <v>117.28530121962412</v>
      </c>
      <c r="V903" s="46">
        <f>'Data_in-situ'!DP458</f>
        <v>1</v>
      </c>
      <c r="W903" s="113">
        <f>'Data_in-situ'!DR458</f>
        <v>45.466666666666669</v>
      </c>
      <c r="X903" s="113">
        <f>'Data_in-situ'!DS458</f>
        <v>169.91876752922326</v>
      </c>
      <c r="Y903" s="46">
        <f>'Data_in-situ'!DT458</f>
        <v>1</v>
      </c>
      <c r="AF903" s="113">
        <f>'Data_in-situ'!EN326</f>
        <v>-2.5</v>
      </c>
      <c r="AG903" s="113">
        <f>'Data_in-situ'!EO326</f>
        <v>2.2999999999999998</v>
      </c>
      <c r="AH903" s="110">
        <f>'Data_in-situ'!EP326</f>
        <v>18</v>
      </c>
      <c r="AI903" s="113">
        <f>'Data_in-situ'!ER326</f>
        <v>-30.1</v>
      </c>
      <c r="AJ903" s="113">
        <f>'Data_in-situ'!ES326</f>
        <v>13.9</v>
      </c>
      <c r="AK903" s="110">
        <f>'Data_in-situ'!ET326</f>
        <v>18</v>
      </c>
    </row>
    <row r="904" spans="20:37" x14ac:dyDescent="0.3">
      <c r="AF904" s="113">
        <f>'Data_in-situ'!EN328</f>
        <v>-8.3000000000000007</v>
      </c>
      <c r="AG904" s="113">
        <f>'Data_in-situ'!EO328</f>
        <v>7.5</v>
      </c>
      <c r="AH904" s="110">
        <f>'Data_in-situ'!EP328</f>
        <v>18</v>
      </c>
      <c r="AI904" s="113">
        <f>'Data_in-situ'!ER328</f>
        <v>-32</v>
      </c>
      <c r="AJ904" s="113">
        <f>'Data_in-situ'!ES328</f>
        <v>17.2</v>
      </c>
      <c r="AK904" s="110">
        <f>'Data_in-situ'!ET328</f>
        <v>18</v>
      </c>
    </row>
    <row r="905" spans="20:37" x14ac:dyDescent="0.3">
      <c r="AF905" s="113">
        <f>'Data_in-situ'!EN329</f>
        <v>-32.799999999999997</v>
      </c>
      <c r="AG905" s="113">
        <f>'Data_in-situ'!EO329</f>
        <v>14.8</v>
      </c>
      <c r="AH905" s="110">
        <f>'Data_in-situ'!EP329</f>
        <v>15</v>
      </c>
      <c r="AI905" s="113">
        <f>'Data_in-situ'!ER329</f>
        <v>-48.3</v>
      </c>
      <c r="AJ905" s="113">
        <f>'Data_in-situ'!ES329</f>
        <v>15.3</v>
      </c>
      <c r="AK905" s="110">
        <f>'Data_in-situ'!ET329</f>
        <v>15</v>
      </c>
    </row>
    <row r="906" spans="20:37" x14ac:dyDescent="0.3">
      <c r="AF906" s="113">
        <f>'Data_in-situ'!EN330</f>
        <v>-27.5</v>
      </c>
      <c r="AG906" s="113">
        <f>'Data_in-situ'!EO330</f>
        <v>13.7</v>
      </c>
      <c r="AH906" s="110">
        <f>'Data_in-situ'!EP330</f>
        <v>10</v>
      </c>
      <c r="AI906" s="113">
        <f>'Data_in-situ'!ER330</f>
        <v>-43.3</v>
      </c>
      <c r="AJ906" s="113">
        <f>'Data_in-situ'!ES330</f>
        <v>10.7</v>
      </c>
      <c r="AK906" s="110">
        <f>'Data_in-situ'!ET330</f>
        <v>15</v>
      </c>
    </row>
    <row r="907" spans="20:37" x14ac:dyDescent="0.3">
      <c r="AF907" s="113">
        <f>'Data_in-situ'!EN331</f>
        <v>-1.7536945812807845</v>
      </c>
      <c r="AG907" s="113">
        <f>'Data_in-situ'!EO331</f>
        <v>0.69808857905462174</v>
      </c>
      <c r="AH907" s="110">
        <f>'Data_in-situ'!EP331</f>
        <v>3</v>
      </c>
      <c r="AI907" s="113">
        <f>'Data_in-situ'!ER331</f>
        <v>-7.7635467980295543</v>
      </c>
      <c r="AJ907" s="113">
        <f>'Data_in-situ'!ES331</f>
        <v>0.98832726576778518</v>
      </c>
      <c r="AK907" s="110">
        <f>'Data_in-situ'!ET331</f>
        <v>3</v>
      </c>
    </row>
    <row r="908" spans="20:37" x14ac:dyDescent="0.3">
      <c r="AF908" s="113">
        <f>'Data_in-situ'!EN332</f>
        <v>-1.7536945812807845</v>
      </c>
      <c r="AG908" s="113">
        <f>'Data_in-situ'!EO332</f>
        <v>0.69808857905462174</v>
      </c>
      <c r="AH908" s="110">
        <f>'Data_in-situ'!EP332</f>
        <v>3</v>
      </c>
      <c r="AI908" s="113">
        <f>'Data_in-situ'!ER332</f>
        <v>-13.556650246305416</v>
      </c>
      <c r="AJ908" s="113">
        <f>'Data_in-situ'!ES332</f>
        <v>1.7667087815907134</v>
      </c>
      <c r="AK908" s="110">
        <f>'Data_in-situ'!ET332</f>
        <v>3</v>
      </c>
    </row>
    <row r="909" spans="20:37" x14ac:dyDescent="0.3">
      <c r="AF909" s="113">
        <f>'Data_in-situ'!EN333</f>
        <v>-1</v>
      </c>
      <c r="AG909" s="113">
        <f>'Data_in-situ'!EO333</f>
        <v>0.40749639875129334</v>
      </c>
      <c r="AH909" s="110">
        <f>'Data_in-situ'!EP333</f>
        <v>3</v>
      </c>
      <c r="AI909" s="113">
        <f>'Data_in-situ'!ER333</f>
        <v>-20</v>
      </c>
      <c r="AJ909" s="113">
        <f>'Data_in-situ'!ES333</f>
        <v>4.5362810701838834</v>
      </c>
      <c r="AK909" s="110">
        <f>'Data_in-situ'!ET333</f>
        <v>3</v>
      </c>
    </row>
    <row r="910" spans="20:37" x14ac:dyDescent="0.3">
      <c r="AF910" s="113">
        <f>'Data_in-situ'!EN334</f>
        <v>-1</v>
      </c>
      <c r="AG910" s="113">
        <f>'Data_in-situ'!EO334</f>
        <v>0.40749639875129334</v>
      </c>
      <c r="AH910" s="110">
        <f>'Data_in-situ'!EP334</f>
        <v>3</v>
      </c>
      <c r="AI910" s="113">
        <f>'Data_in-situ'!ER334</f>
        <v>-20</v>
      </c>
      <c r="AJ910" s="113">
        <f>'Data_in-situ'!ES334</f>
        <v>4.5362810701838834</v>
      </c>
      <c r="AK910" s="110">
        <f>'Data_in-situ'!ET334</f>
        <v>3</v>
      </c>
    </row>
    <row r="911" spans="20:37" x14ac:dyDescent="0.3">
      <c r="AF911" s="113">
        <f>'Data_in-situ'!EN335</f>
        <v>-1</v>
      </c>
      <c r="AG911" s="113">
        <f>'Data_in-situ'!EO335</f>
        <v>0.40749639875129334</v>
      </c>
      <c r="AH911" s="110">
        <f>'Data_in-situ'!EP335</f>
        <v>3</v>
      </c>
      <c r="AI911" s="113">
        <f>'Data_in-situ'!ER335</f>
        <v>-20</v>
      </c>
      <c r="AJ911" s="113">
        <f>'Data_in-situ'!ES335</f>
        <v>4.5362810701838834</v>
      </c>
      <c r="AK911" s="110">
        <f>'Data_in-situ'!ET335</f>
        <v>3</v>
      </c>
    </row>
    <row r="912" spans="20:37" x14ac:dyDescent="0.3">
      <c r="AF912" s="113">
        <f>'Data_in-situ'!EN336</f>
        <v>-1</v>
      </c>
      <c r="AG912" s="113">
        <f>'Data_in-situ'!EO336</f>
        <v>0.40749639875129334</v>
      </c>
      <c r="AH912" s="110">
        <f>'Data_in-situ'!EP336</f>
        <v>3</v>
      </c>
      <c r="AI912" s="113">
        <f>'Data_in-situ'!ER336</f>
        <v>-20</v>
      </c>
      <c r="AJ912" s="113">
        <f>'Data_in-situ'!ES336</f>
        <v>4.5362810701838834</v>
      </c>
      <c r="AK912" s="110">
        <f>'Data_in-situ'!ET336</f>
        <v>3</v>
      </c>
    </row>
    <row r="913" spans="32:37" x14ac:dyDescent="0.3">
      <c r="AF913" s="113">
        <f>'Data_in-situ'!EN337</f>
        <v>-1</v>
      </c>
      <c r="AG913" s="113">
        <f>'Data_in-situ'!EO337</f>
        <v>0.40749639875129334</v>
      </c>
      <c r="AH913" s="110">
        <f>'Data_in-situ'!EP337</f>
        <v>3</v>
      </c>
      <c r="AI913" s="113">
        <f>'Data_in-situ'!ER337</f>
        <v>-20</v>
      </c>
      <c r="AJ913" s="113">
        <f>'Data_in-situ'!ES337</f>
        <v>4.5362810701838834</v>
      </c>
      <c r="AK913" s="110">
        <f>'Data_in-situ'!ET337</f>
        <v>3</v>
      </c>
    </row>
    <row r="914" spans="32:37" x14ac:dyDescent="0.3">
      <c r="AF914" s="113">
        <f>'Data_in-situ'!EN338</f>
        <v>-1</v>
      </c>
      <c r="AG914" s="113">
        <f>'Data_in-situ'!EO338</f>
        <v>0.40749639875129334</v>
      </c>
      <c r="AH914" s="110">
        <f>'Data_in-situ'!EP338</f>
        <v>3</v>
      </c>
      <c r="AI914" s="113">
        <f>'Data_in-situ'!ER338</f>
        <v>-20</v>
      </c>
      <c r="AJ914" s="113">
        <f>'Data_in-situ'!ES338</f>
        <v>4.5362810701838834</v>
      </c>
      <c r="AK914" s="110">
        <f>'Data_in-situ'!ET338</f>
        <v>3</v>
      </c>
    </row>
    <row r="915" spans="32:37" x14ac:dyDescent="0.3">
      <c r="AF915" s="113">
        <f>'Data_in-situ'!EN339</f>
        <v>-18.728744939271266</v>
      </c>
      <c r="AG915" s="113">
        <f>'Data_in-situ'!EO339</f>
        <v>0.97567994313706652</v>
      </c>
      <c r="AH915" s="110">
        <f>'Data_in-situ'!EP339</f>
        <v>3</v>
      </c>
      <c r="AI915" s="113">
        <f>'Data_in-situ'!ER339</f>
        <v>-28.769509981851183</v>
      </c>
      <c r="AJ915" s="113">
        <f>'Data_in-situ'!ES339</f>
        <v>0.91964006572007306</v>
      </c>
      <c r="AK915" s="110">
        <f>'Data_in-situ'!ET339</f>
        <v>3</v>
      </c>
    </row>
    <row r="916" spans="32:37" x14ac:dyDescent="0.3">
      <c r="AF916" s="113">
        <f>'Data_in-situ'!EN340</f>
        <v>-15.910685805422641</v>
      </c>
      <c r="AG916" s="113">
        <f>'Data_in-situ'!EO340</f>
        <v>1.0227837765091556</v>
      </c>
      <c r="AH916" s="110">
        <f>'Data_in-situ'!EP340</f>
        <v>3</v>
      </c>
      <c r="AI916" s="113">
        <f>'Data_in-situ'!ER340</f>
        <v>-23.453947368421044</v>
      </c>
      <c r="AJ916" s="113">
        <f>'Data_in-situ'!ES340</f>
        <v>1.196189530474022</v>
      </c>
      <c r="AK916" s="110">
        <f>'Data_in-situ'!ET340</f>
        <v>3</v>
      </c>
    </row>
    <row r="917" spans="32:37" x14ac:dyDescent="0.3">
      <c r="AF917" s="113">
        <f>'Data_in-situ'!EN341</f>
        <v>-11.595789473684208</v>
      </c>
      <c r="AG917" s="113">
        <f>'Data_in-situ'!EO341</f>
        <v>0.44954804430300416</v>
      </c>
      <c r="AH917" s="110">
        <f>'Data_in-situ'!EP341</f>
        <v>3</v>
      </c>
      <c r="AI917" s="113">
        <f>'Data_in-situ'!ER341</f>
        <v>-23.208711433756811</v>
      </c>
      <c r="AJ917" s="113">
        <f>'Data_in-situ'!ES341</f>
        <v>0.78101283680717748</v>
      </c>
      <c r="AK917" s="110">
        <f>'Data_in-situ'!ET341</f>
        <v>3</v>
      </c>
    </row>
    <row r="918" spans="32:37" x14ac:dyDescent="0.3">
      <c r="AF918" s="113">
        <f>'Data_in-situ'!EN342</f>
        <v>-11.142300194931776</v>
      </c>
      <c r="AG918" s="113">
        <f>'Data_in-situ'!EO342</f>
        <v>0.60135887201815885</v>
      </c>
      <c r="AH918" s="110">
        <f>'Data_in-situ'!EP342</f>
        <v>3</v>
      </c>
      <c r="AI918" s="113">
        <f>'Data_in-situ'!ER342</f>
        <v>-18.027290448343074</v>
      </c>
      <c r="AJ918" s="113">
        <f>'Data_in-situ'!ES342</f>
        <v>0.60993017965284302</v>
      </c>
      <c r="AK918" s="110">
        <f>'Data_in-situ'!ET342</f>
        <v>3</v>
      </c>
    </row>
    <row r="919" spans="32:37" x14ac:dyDescent="0.3">
      <c r="AF919" s="113">
        <f>'Data_in-situ'!EN343</f>
        <v>-7.5049786628733965</v>
      </c>
      <c r="AG919" s="113">
        <f>'Data_in-situ'!EO343</f>
        <v>0.56147558903179429</v>
      </c>
      <c r="AH919" s="110">
        <f>'Data_in-situ'!EP343</f>
        <v>3</v>
      </c>
      <c r="AI919" s="113">
        <f>'Data_in-situ'!ER343</f>
        <v>-14.886247877758912</v>
      </c>
      <c r="AJ919" s="113">
        <f>'Data_in-situ'!ES343</f>
        <v>0.59475310250266267</v>
      </c>
      <c r="AK919" s="110">
        <f>'Data_in-situ'!ET343</f>
        <v>3</v>
      </c>
    </row>
    <row r="920" spans="32:37" x14ac:dyDescent="0.3">
      <c r="AF920" s="113">
        <f>'Data_in-situ'!EN344</f>
        <v>-5.9727095516569193</v>
      </c>
      <c r="AG920" s="113">
        <f>'Data_in-situ'!EO344</f>
        <v>0.38993551592449915</v>
      </c>
      <c r="AH920" s="110">
        <f>'Data_in-situ'!EP344</f>
        <v>3</v>
      </c>
      <c r="AI920" s="113">
        <f>'Data_in-situ'!ER344</f>
        <v>-14.607809847198643</v>
      </c>
      <c r="AJ920" s="113">
        <f>'Data_in-situ'!ES344</f>
        <v>0.44735902456710497</v>
      </c>
      <c r="AK920" s="110">
        <f>'Data_in-situ'!ET344</f>
        <v>3</v>
      </c>
    </row>
    <row r="921" spans="32:37" x14ac:dyDescent="0.3">
      <c r="AF921" s="113">
        <f>'Data_in-situ'!EN345</f>
        <v>9.6094276094276143</v>
      </c>
      <c r="AG921" s="113">
        <f>'Data_in-situ'!EO345</f>
        <v>0.82472710313952347</v>
      </c>
      <c r="AH921" s="110">
        <f>'Data_in-situ'!EP345</f>
        <v>3</v>
      </c>
      <c r="AI921" s="113">
        <f>'Data_in-situ'!ER345</f>
        <v>0.24242424242424274</v>
      </c>
      <c r="AJ921" s="113">
        <f>'Data_in-situ'!ES345</f>
        <v>0.32506616373647801</v>
      </c>
      <c r="AK921" s="110">
        <f>'Data_in-situ'!ET345</f>
        <v>3</v>
      </c>
    </row>
    <row r="922" spans="32:37" x14ac:dyDescent="0.3">
      <c r="AF922" s="113">
        <f>'Data_in-situ'!EN346</f>
        <v>10.734402852049913</v>
      </c>
      <c r="AG922" s="113">
        <f>'Data_in-situ'!EO346</f>
        <v>0.89907795198284091</v>
      </c>
      <c r="AH922" s="110">
        <f>'Data_in-situ'!EP346</f>
        <v>3</v>
      </c>
      <c r="AI922" s="113">
        <f>'Data_in-situ'!ER346</f>
        <v>1.4153297682709467</v>
      </c>
      <c r="AJ922" s="113">
        <f>'Data_in-situ'!ES346</f>
        <v>0.51951553041500198</v>
      </c>
      <c r="AK922" s="110">
        <f>'Data_in-situ'!ET346</f>
        <v>3</v>
      </c>
    </row>
    <row r="923" spans="32:37" x14ac:dyDescent="0.3">
      <c r="AF923" s="113">
        <f>'Data_in-situ'!EN347</f>
        <v>21.878787878787879</v>
      </c>
      <c r="AG923" s="113">
        <f>'Data_in-situ'!EO347</f>
        <v>1.1081772383933699</v>
      </c>
      <c r="AH923" s="110">
        <f>'Data_in-situ'!EP347</f>
        <v>3</v>
      </c>
      <c r="AI923" s="113">
        <f>'Data_in-situ'!ER347</f>
        <v>0.76837548416496004</v>
      </c>
      <c r="AJ923" s="113">
        <f>'Data_in-situ'!ES347</f>
        <v>1.2709978400329951</v>
      </c>
      <c r="AK923" s="110">
        <f>'Data_in-situ'!ET347</f>
        <v>3</v>
      </c>
    </row>
    <row r="924" spans="32:37" x14ac:dyDescent="0.3">
      <c r="AF924" s="113">
        <f>'Data_in-situ'!EN348</f>
        <v>-17.5</v>
      </c>
      <c r="AG924" s="113">
        <f>'Data_in-situ'!EO348</f>
        <v>4.9497474683058327</v>
      </c>
      <c r="AH924" s="110">
        <f>'Data_in-situ'!EP348</f>
        <v>4</v>
      </c>
      <c r="AI924" s="113">
        <f>'Data_in-situ'!ER348</f>
        <v>-34</v>
      </c>
      <c r="AJ924" s="113">
        <f>'Data_in-situ'!ES348</f>
        <v>11.313708498984761</v>
      </c>
      <c r="AK924" s="110">
        <f>'Data_in-situ'!ET348</f>
        <v>4</v>
      </c>
    </row>
    <row r="925" spans="32:37" x14ac:dyDescent="0.3">
      <c r="AF925" s="113">
        <f>'Data_in-situ'!EN349</f>
        <v>-10</v>
      </c>
      <c r="AG925" s="113">
        <f>'Data_in-situ'!EO349</f>
        <v>5.6568542494923806</v>
      </c>
      <c r="AH925" s="110">
        <f>'Data_in-situ'!EP349</f>
        <v>4</v>
      </c>
      <c r="AI925" s="113">
        <f>'Data_in-situ'!ER349</f>
        <v>-16.5</v>
      </c>
      <c r="AJ925" s="113">
        <f>'Data_in-situ'!ES349</f>
        <v>3.5355339059327378</v>
      </c>
      <c r="AK925" s="110">
        <f>'Data_in-situ'!ET349</f>
        <v>4</v>
      </c>
    </row>
    <row r="926" spans="32:37" x14ac:dyDescent="0.3">
      <c r="AF926" s="113">
        <f>'Data_in-situ'!EN350</f>
        <v>10</v>
      </c>
      <c r="AG926" s="113">
        <f>'Data_in-situ'!EO350</f>
        <v>14.142135623730951</v>
      </c>
      <c r="AH926" s="110">
        <f>'Data_in-situ'!EP350</f>
        <v>4</v>
      </c>
      <c r="AI926" s="113">
        <f>'Data_in-situ'!ER350</f>
        <v>-8</v>
      </c>
      <c r="AJ926" s="113">
        <f>'Data_in-situ'!ES350</f>
        <v>2.8284271247461903</v>
      </c>
      <c r="AK926" s="110">
        <f>'Data_in-situ'!ET350</f>
        <v>4</v>
      </c>
    </row>
    <row r="927" spans="32:37" x14ac:dyDescent="0.3">
      <c r="AF927" s="113">
        <f>'Data_in-situ'!EN351</f>
        <v>-17.5</v>
      </c>
      <c r="AG927" s="113">
        <f>'Data_in-situ'!EO351</f>
        <v>4.9497474683058327</v>
      </c>
      <c r="AH927" s="110">
        <f>'Data_in-situ'!EP351</f>
        <v>4</v>
      </c>
      <c r="AI927" s="113">
        <f>'Data_in-situ'!ER351</f>
        <v>-34</v>
      </c>
      <c r="AJ927" s="113">
        <f>'Data_in-situ'!ES351</f>
        <v>11.313708498984761</v>
      </c>
      <c r="AK927" s="110">
        <f>'Data_in-situ'!ET351</f>
        <v>4</v>
      </c>
    </row>
    <row r="928" spans="32:37" x14ac:dyDescent="0.3">
      <c r="AF928" s="113">
        <f>'Data_in-situ'!EN352</f>
        <v>-10</v>
      </c>
      <c r="AG928" s="113">
        <f>'Data_in-situ'!EO352</f>
        <v>5.6568542494923806</v>
      </c>
      <c r="AH928" s="110">
        <f>'Data_in-situ'!EP352</f>
        <v>4</v>
      </c>
      <c r="AI928" s="113">
        <f>'Data_in-situ'!ER352</f>
        <v>-16.5</v>
      </c>
      <c r="AJ928" s="113">
        <f>'Data_in-situ'!ES352</f>
        <v>3.5355339059327378</v>
      </c>
      <c r="AK928" s="110">
        <f>'Data_in-situ'!ET352</f>
        <v>4</v>
      </c>
    </row>
    <row r="929" spans="32:37" x14ac:dyDescent="0.3">
      <c r="AF929" s="113">
        <f>'Data_in-situ'!EN353</f>
        <v>10</v>
      </c>
      <c r="AG929" s="113">
        <f>'Data_in-situ'!EO353</f>
        <v>14.142135623730951</v>
      </c>
      <c r="AH929" s="110">
        <f>'Data_in-situ'!EP353</f>
        <v>4</v>
      </c>
      <c r="AI929" s="113">
        <f>'Data_in-situ'!ER353</f>
        <v>-8</v>
      </c>
      <c r="AJ929" s="113">
        <f>'Data_in-situ'!ES353</f>
        <v>2.8284271247461903</v>
      </c>
      <c r="AK929" s="110">
        <f>'Data_in-situ'!ET353</f>
        <v>4</v>
      </c>
    </row>
    <row r="930" spans="32:37" x14ac:dyDescent="0.3">
      <c r="AF930" s="113">
        <f>'Data_in-situ'!EN354</f>
        <v>-2.9</v>
      </c>
      <c r="AG930" s="113">
        <f>'Data_in-situ'!EO354</f>
        <v>2.4</v>
      </c>
      <c r="AH930" s="110">
        <f>'Data_in-situ'!EP354</f>
        <v>3</v>
      </c>
      <c r="AI930" s="113">
        <f>'Data_in-situ'!ER354</f>
        <v>-24.2</v>
      </c>
      <c r="AJ930" s="113">
        <f>'Data_in-situ'!ES354</f>
        <v>10.3</v>
      </c>
      <c r="AK930" s="110">
        <f>'Data_in-situ'!ET354</f>
        <v>2</v>
      </c>
    </row>
    <row r="931" spans="32:37" x14ac:dyDescent="0.3">
      <c r="AF931" s="113">
        <f>'Data_in-situ'!EN355</f>
        <v>-10.6</v>
      </c>
      <c r="AG931" s="113">
        <f>'Data_in-situ'!EO355</f>
        <v>7.7</v>
      </c>
      <c r="AH931" s="110">
        <f>'Data_in-situ'!EP355</f>
        <v>3</v>
      </c>
      <c r="AI931" s="113">
        <f>'Data_in-situ'!ER355</f>
        <v>-13.2</v>
      </c>
      <c r="AJ931" s="113">
        <f>'Data_in-situ'!ES355</f>
        <v>6.5</v>
      </c>
      <c r="AK931" s="110">
        <f>'Data_in-situ'!ET355</f>
        <v>3</v>
      </c>
    </row>
    <row r="932" spans="32:37" x14ac:dyDescent="0.3">
      <c r="AF932" s="113">
        <f>'Data_in-situ'!EN357</f>
        <v>-3.9</v>
      </c>
      <c r="AG932" s="113">
        <f>'Data_in-situ'!EO357</f>
        <v>3.3</v>
      </c>
      <c r="AH932" s="110">
        <f>'Data_in-situ'!EP357</f>
        <v>3</v>
      </c>
      <c r="AI932" s="113">
        <f>'Data_in-situ'!ER357</f>
        <v>-25.6</v>
      </c>
      <c r="AJ932" s="113">
        <f>'Data_in-situ'!ES357</f>
        <v>10.3</v>
      </c>
      <c r="AK932" s="110">
        <f>'Data_in-situ'!ET357</f>
        <v>2</v>
      </c>
    </row>
    <row r="933" spans="32:37" x14ac:dyDescent="0.3">
      <c r="AF933" s="113">
        <f>'Data_in-situ'!EN358</f>
        <v>-10.199999999999999</v>
      </c>
      <c r="AG933" s="113">
        <f>'Data_in-situ'!EO358</f>
        <v>4.7</v>
      </c>
      <c r="AH933" s="110">
        <f>'Data_in-situ'!EP358</f>
        <v>3</v>
      </c>
      <c r="AI933" s="113">
        <f>'Data_in-situ'!ER358</f>
        <v>-16.899999999999999</v>
      </c>
      <c r="AJ933" s="113">
        <f>'Data_in-situ'!ES358</f>
        <v>10.3</v>
      </c>
      <c r="AK933" s="110">
        <f>'Data_in-situ'!ET358</f>
        <v>3</v>
      </c>
    </row>
    <row r="934" spans="32:37" x14ac:dyDescent="0.3">
      <c r="AF934" s="113">
        <f>'Data_in-situ'!EN360</f>
        <v>0</v>
      </c>
      <c r="AG934" s="113">
        <f>'Data_in-situ'!EO360</f>
        <v>0</v>
      </c>
      <c r="AH934" s="110">
        <f>'Data_in-situ'!EP360</f>
        <v>8</v>
      </c>
      <c r="AI934" s="113">
        <f>'Data_in-situ'!ER360</f>
        <v>-20</v>
      </c>
      <c r="AJ934" s="113">
        <f>'Data_in-situ'!ES360</f>
        <v>4.5362810701838834</v>
      </c>
      <c r="AK934" s="110">
        <f>'Data_in-situ'!ET360</f>
        <v>8</v>
      </c>
    </row>
    <row r="935" spans="32:37" x14ac:dyDescent="0.3">
      <c r="AF935" s="113">
        <f>'Data_in-situ'!EN361</f>
        <v>-22.8355929225071</v>
      </c>
      <c r="AG935" s="113">
        <f>'Data_in-situ'!EO361</f>
        <v>9.3054218792721652</v>
      </c>
      <c r="AH935" s="110">
        <f>'Data_in-situ'!EP361</f>
        <v>8</v>
      </c>
      <c r="AI935" s="113">
        <f>'Data_in-situ'!ER361</f>
        <v>-45.187277814574003</v>
      </c>
      <c r="AJ935" s="113">
        <f>'Data_in-situ'!ES361</f>
        <v>10.249109648169611</v>
      </c>
      <c r="AK935" s="110">
        <f>'Data_in-situ'!ET361</f>
        <v>8</v>
      </c>
    </row>
    <row r="936" spans="32:37" x14ac:dyDescent="0.3">
      <c r="AF936" s="113">
        <f>'Data_in-situ'!EN363</f>
        <v>-18.912423460077601</v>
      </c>
      <c r="AG936" s="113">
        <f>'Data_in-situ'!EO363</f>
        <v>7.7067444516410974</v>
      </c>
      <c r="AH936" s="110">
        <f>'Data_in-situ'!EP363</f>
        <v>8</v>
      </c>
      <c r="AI936" s="113">
        <f>'Data_in-situ'!ER363</f>
        <v>-40.3060245198091</v>
      </c>
      <c r="AJ936" s="113">
        <f>'Data_in-situ'!ES363</f>
        <v>9.1419728021788735</v>
      </c>
      <c r="AK936" s="110">
        <f>'Data_in-situ'!ET363</f>
        <v>8</v>
      </c>
    </row>
    <row r="937" spans="32:37" x14ac:dyDescent="0.3">
      <c r="AF937" s="113">
        <f>'Data_in-situ'!EN372</f>
        <v>-40.51870340955886</v>
      </c>
      <c r="AG937" s="113">
        <f>'Data_in-situ'!EO372</f>
        <v>20.370209301600063</v>
      </c>
      <c r="AH937" s="110">
        <f>'Data_in-situ'!EP372</f>
        <v>6</v>
      </c>
      <c r="AI937" s="113">
        <f>'Data_in-situ'!ER372</f>
        <v>-50.351292976661703</v>
      </c>
      <c r="AJ937" s="113">
        <f>'Data_in-situ'!ES372</f>
        <v>17.957460020005087</v>
      </c>
      <c r="AK937" s="110">
        <f>'Data_in-situ'!ET372</f>
        <v>6</v>
      </c>
    </row>
    <row r="938" spans="32:37" x14ac:dyDescent="0.3">
      <c r="AF938" s="113">
        <f>'Data_in-situ'!EN373</f>
        <v>-40.51870340955886</v>
      </c>
      <c r="AG938" s="113">
        <f>'Data_in-situ'!EO373</f>
        <v>20.370209301600063</v>
      </c>
      <c r="AH938" s="110">
        <f>'Data_in-situ'!EP373</f>
        <v>6</v>
      </c>
      <c r="AI938" s="113">
        <f>'Data_in-situ'!ER373</f>
        <v>-50.44953735219223</v>
      </c>
      <c r="AJ938" s="113">
        <f>'Data_in-situ'!ES373</f>
        <v>14.661286194047287</v>
      </c>
      <c r="AK938" s="110">
        <f>'Data_in-situ'!ET373</f>
        <v>6</v>
      </c>
    </row>
    <row r="939" spans="32:37" x14ac:dyDescent="0.3">
      <c r="AF939" s="113">
        <f>'Data_in-situ'!EN374</f>
        <v>-18.43977174360656</v>
      </c>
      <c r="AG939" s="113">
        <f>'Data_in-situ'!EO374</f>
        <v>7.4660723000216542</v>
      </c>
      <c r="AH939" s="110">
        <f>'Data_in-situ'!EP374</f>
        <v>6</v>
      </c>
      <c r="AI939" s="113">
        <f>'Data_in-situ'!ER374</f>
        <v>-32.926909210095033</v>
      </c>
      <c r="AJ939" s="113">
        <f>'Data_in-situ'!ES374</f>
        <v>5.9181798677139321</v>
      </c>
      <c r="AK939" s="110">
        <f>'Data_in-situ'!ET374</f>
        <v>6</v>
      </c>
    </row>
    <row r="940" spans="32:37" x14ac:dyDescent="0.3">
      <c r="AF940" s="113">
        <f>'Data_in-situ'!EN375</f>
        <v>-18.43977174360656</v>
      </c>
      <c r="AG940" s="113">
        <f>'Data_in-situ'!EO375</f>
        <v>7.4660723000216542</v>
      </c>
      <c r="AH940" s="110">
        <f>'Data_in-situ'!EP375</f>
        <v>6</v>
      </c>
      <c r="AI940" s="113">
        <f>'Data_in-situ'!ER375</f>
        <v>-40.367064742679283</v>
      </c>
      <c r="AJ940" s="113">
        <f>'Data_in-situ'!ES375</f>
        <v>4.0843551355325198</v>
      </c>
      <c r="AK940" s="110">
        <f>'Data_in-situ'!ET375</f>
        <v>6</v>
      </c>
    </row>
    <row r="941" spans="32:37" x14ac:dyDescent="0.3">
      <c r="AF941" s="113">
        <f>'Data_in-situ'!EN376</f>
        <v>-25.327560341085523</v>
      </c>
      <c r="AG941" s="113">
        <f>'Data_in-situ'!EO376</f>
        <v>3.7216854561993782</v>
      </c>
      <c r="AH941" s="110">
        <f>'Data_in-situ'!EP376</f>
        <v>6</v>
      </c>
      <c r="AI941" s="113">
        <f>'Data_in-situ'!ER376</f>
        <v>-38.138726825441289</v>
      </c>
      <c r="AJ941" s="113">
        <f>'Data_in-situ'!ES376</f>
        <v>2.9417033415847209</v>
      </c>
      <c r="AK941" s="110">
        <f>'Data_in-situ'!ET376</f>
        <v>6</v>
      </c>
    </row>
    <row r="942" spans="32:37" x14ac:dyDescent="0.3">
      <c r="AF942" s="113">
        <f>'Data_in-situ'!EN377</f>
        <v>-25.327560341085523</v>
      </c>
      <c r="AG942" s="113">
        <f>'Data_in-situ'!EO377</f>
        <v>3.7216854561993782</v>
      </c>
      <c r="AH942" s="110">
        <f>'Data_in-situ'!EP377</f>
        <v>6</v>
      </c>
      <c r="AI942" s="113">
        <f>'Data_in-situ'!ER377</f>
        <v>-44.870926010354054</v>
      </c>
      <c r="AJ942" s="113">
        <f>'Data_in-situ'!ES377</f>
        <v>2.2702362142729355</v>
      </c>
      <c r="AK942" s="110">
        <f>'Data_in-situ'!ET377</f>
        <v>6</v>
      </c>
    </row>
    <row r="943" spans="32:37" x14ac:dyDescent="0.3">
      <c r="AF943" s="113">
        <f>'Data_in-situ'!EN378</f>
        <v>-48.76169720736587</v>
      </c>
      <c r="AG943" s="113">
        <f>'Data_in-situ'!EO378</f>
        <v>3.8844664928993486</v>
      </c>
      <c r="AH943" s="110">
        <f>'Data_in-situ'!EP378</f>
        <v>6</v>
      </c>
      <c r="AI943" s="113">
        <f>'Data_in-situ'!ER378</f>
        <v>-60.453706185710573</v>
      </c>
      <c r="AJ943" s="113">
        <f>'Data_in-situ'!ES378</f>
        <v>3.5711359265362042</v>
      </c>
      <c r="AK943" s="110">
        <f>'Data_in-situ'!ET378</f>
        <v>6</v>
      </c>
    </row>
    <row r="944" spans="32:37" x14ac:dyDescent="0.3">
      <c r="AF944" s="113">
        <f>'Data_in-situ'!EN379</f>
        <v>-48.76169720736587</v>
      </c>
      <c r="AG944" s="113">
        <f>'Data_in-situ'!EO379</f>
        <v>3.8844664928993486</v>
      </c>
      <c r="AH944" s="110">
        <f>'Data_in-situ'!EP379</f>
        <v>6</v>
      </c>
      <c r="AI944" s="113">
        <f>'Data_in-situ'!ER379</f>
        <v>-64.194692039592596</v>
      </c>
      <c r="AJ944" s="113">
        <f>'Data_in-situ'!ES379</f>
        <v>3.0503400500711311</v>
      </c>
      <c r="AK944" s="110">
        <f>'Data_in-situ'!ET379</f>
        <v>6</v>
      </c>
    </row>
    <row r="945" spans="32:37" x14ac:dyDescent="0.3">
      <c r="AF945" s="113">
        <f>'Data_in-situ'!EN389</f>
        <v>-16</v>
      </c>
      <c r="AG945" s="113">
        <f>'Data_in-situ'!EO389</f>
        <v>6.5199423800206935</v>
      </c>
      <c r="AH945" s="110">
        <f>'Data_in-situ'!EP389</f>
        <v>4</v>
      </c>
      <c r="AI945" s="113">
        <f>'Data_in-situ'!ER389</f>
        <v>-21</v>
      </c>
      <c r="AJ945" s="113">
        <f>'Data_in-situ'!ES389</f>
        <v>4.7630951236930779</v>
      </c>
      <c r="AK945" s="110">
        <f>'Data_in-situ'!ET389</f>
        <v>4</v>
      </c>
    </row>
    <row r="946" spans="32:37" x14ac:dyDescent="0.3">
      <c r="AF946" s="113">
        <f>'Data_in-situ'!EN390</f>
        <v>-15</v>
      </c>
      <c r="AG946" s="113">
        <f>'Data_in-situ'!EO390</f>
        <v>6.1124459812694001</v>
      </c>
      <c r="AH946" s="110">
        <f>'Data_in-situ'!EP390</f>
        <v>4</v>
      </c>
      <c r="AI946" s="113">
        <f>'Data_in-situ'!ER390</f>
        <v>-20</v>
      </c>
      <c r="AJ946" s="113">
        <f>'Data_in-situ'!ES390</f>
        <v>4.5362810701838834</v>
      </c>
      <c r="AK946" s="110">
        <f>'Data_in-situ'!ET390</f>
        <v>4</v>
      </c>
    </row>
    <row r="947" spans="32:37" x14ac:dyDescent="0.3">
      <c r="AF947" s="113">
        <f>'Data_in-situ'!EN391</f>
        <v>-2</v>
      </c>
      <c r="AG947" s="113">
        <f>'Data_in-situ'!EO391</f>
        <v>0.81499279750258669</v>
      </c>
      <c r="AH947" s="110">
        <f>'Data_in-situ'!EP391</f>
        <v>4</v>
      </c>
      <c r="AI947" s="113">
        <f>'Data_in-situ'!ER391</f>
        <v>-30</v>
      </c>
      <c r="AJ947" s="113">
        <f>'Data_in-situ'!ES391</f>
        <v>6.8044216052758255</v>
      </c>
      <c r="AK947" s="110">
        <f>'Data_in-situ'!ET391</f>
        <v>4</v>
      </c>
    </row>
    <row r="948" spans="32:37" x14ac:dyDescent="0.3">
      <c r="AF948" s="113">
        <f>'Data_in-situ'!EN400</f>
        <v>8.6888471563287055</v>
      </c>
      <c r="AG948" s="113">
        <f>'Data_in-situ'!EO400</f>
        <v>0.9459684366413168</v>
      </c>
      <c r="AH948" s="110">
        <f>'Data_in-situ'!EP400</f>
        <v>8</v>
      </c>
      <c r="AI948" s="113">
        <f>'Data_in-situ'!ER400</f>
        <v>-10.544207227786568</v>
      </c>
      <c r="AJ948" s="113">
        <f>'Data_in-situ'!ES400</f>
        <v>3.1095266572641616</v>
      </c>
      <c r="AK948" s="110">
        <f>'Data_in-situ'!ET400</f>
        <v>8</v>
      </c>
    </row>
    <row r="949" spans="32:37" x14ac:dyDescent="0.3">
      <c r="AF949" s="113">
        <f>'Data_in-situ'!EN412</f>
        <v>-8.1</v>
      </c>
      <c r="AG949" s="113">
        <f>'Data_in-situ'!EO412</f>
        <v>1.2</v>
      </c>
      <c r="AH949" s="110">
        <f>'Data_in-situ'!EP412</f>
        <v>3</v>
      </c>
      <c r="AI949" s="113">
        <f>'Data_in-situ'!ER412</f>
        <v>-13.1</v>
      </c>
      <c r="AJ949" s="113">
        <f>'Data_in-situ'!ES412</f>
        <v>0.8</v>
      </c>
      <c r="AK949" s="110">
        <f>'Data_in-situ'!ET412</f>
        <v>3</v>
      </c>
    </row>
    <row r="950" spans="32:37" x14ac:dyDescent="0.3">
      <c r="AF950" s="113">
        <f>'Data_in-situ'!EN413</f>
        <v>-20.399999999999999</v>
      </c>
      <c r="AG950" s="113">
        <f>'Data_in-situ'!EO413</f>
        <v>2.2999999999999998</v>
      </c>
      <c r="AH950" s="110">
        <f>'Data_in-situ'!EP413</f>
        <v>3</v>
      </c>
      <c r="AI950" s="113">
        <f>'Data_in-situ'!ER413</f>
        <v>-28.4</v>
      </c>
      <c r="AJ950" s="113">
        <f>'Data_in-situ'!ES413</f>
        <v>3.2</v>
      </c>
      <c r="AK950" s="110">
        <f>'Data_in-situ'!ET413</f>
        <v>3</v>
      </c>
    </row>
    <row r="951" spans="32:37" x14ac:dyDescent="0.3">
      <c r="AF951" s="113">
        <f>'Data_in-situ'!EN414</f>
        <v>6</v>
      </c>
      <c r="AG951" s="113">
        <f>'Data_in-situ'!EO414</f>
        <v>22</v>
      </c>
      <c r="AH951" s="110">
        <f>'Data_in-situ'!EP414</f>
        <v>5</v>
      </c>
      <c r="AI951" s="113">
        <f>'Data_in-situ'!ER414</f>
        <v>-14</v>
      </c>
      <c r="AJ951" s="113">
        <f>'Data_in-situ'!ES414</f>
        <v>23</v>
      </c>
      <c r="AK951" s="110">
        <f>'Data_in-situ'!ET414</f>
        <v>5</v>
      </c>
    </row>
    <row r="952" spans="32:37" x14ac:dyDescent="0.3">
      <c r="AF952" s="113">
        <f>'Data_in-situ'!EN416</f>
        <v>-9.4</v>
      </c>
      <c r="AG952" s="113">
        <f>'Data_in-situ'!EO416</f>
        <v>9.3000000000000007</v>
      </c>
      <c r="AH952" s="110">
        <f>'Data_in-situ'!EP416</f>
        <v>5</v>
      </c>
      <c r="AI952" s="113">
        <f>'Data_in-situ'!ER416</f>
        <v>-21.2</v>
      </c>
      <c r="AJ952" s="113">
        <f>'Data_in-situ'!ES416</f>
        <v>14.9</v>
      </c>
      <c r="AK952" s="110">
        <f>'Data_in-situ'!ET416</f>
        <v>5</v>
      </c>
    </row>
    <row r="953" spans="32:37" x14ac:dyDescent="0.3">
      <c r="AF953" s="113">
        <f>'Data_in-situ'!EN417</f>
        <v>-6.5</v>
      </c>
      <c r="AG953" s="113">
        <f>'Data_in-situ'!EO417</f>
        <v>3.5</v>
      </c>
      <c r="AH953" s="110">
        <f>'Data_in-situ'!EP417</f>
        <v>5</v>
      </c>
      <c r="AI953" s="113">
        <f>'Data_in-situ'!ER417</f>
        <v>-30.6</v>
      </c>
      <c r="AJ953" s="113">
        <f>'Data_in-situ'!ES417</f>
        <v>14.8</v>
      </c>
      <c r="AK953" s="110">
        <f>'Data_in-situ'!ET417</f>
        <v>5</v>
      </c>
    </row>
    <row r="954" spans="32:37" x14ac:dyDescent="0.3">
      <c r="AF954" s="113">
        <f>'Data_in-situ'!EN439</f>
        <v>-45.3</v>
      </c>
      <c r="AG954" s="113">
        <f>'Data_in-situ'!EO439</f>
        <v>5.7157676649772942</v>
      </c>
      <c r="AH954" s="110">
        <f>'Data_in-situ'!EP439</f>
        <v>3</v>
      </c>
      <c r="AI954" s="113">
        <f>'Data_in-situ'!ER439</f>
        <v>-60.2</v>
      </c>
      <c r="AJ954" s="113">
        <f>'Data_in-situ'!ES439</f>
        <v>4.676537180435969</v>
      </c>
      <c r="AK954" s="110">
        <f>'Data_in-situ'!ET439</f>
        <v>3</v>
      </c>
    </row>
    <row r="955" spans="32:37" x14ac:dyDescent="0.3">
      <c r="AF955" s="113">
        <f>'Data_in-situ'!EN440</f>
        <v>-45.3</v>
      </c>
      <c r="AG955" s="113">
        <f>'Data_in-situ'!EO440</f>
        <v>5.7157676649772942</v>
      </c>
      <c r="AH955" s="110">
        <f>'Data_in-situ'!EP440</f>
        <v>3</v>
      </c>
      <c r="AI955" s="113">
        <f>'Data_in-situ'!ER440</f>
        <v>-27.4</v>
      </c>
      <c r="AJ955" s="113">
        <f>'Data_in-situ'!ES440</f>
        <v>4.5033320996790804</v>
      </c>
      <c r="AK955" s="110">
        <f>'Data_in-situ'!ET440</f>
        <v>3</v>
      </c>
    </row>
    <row r="956" spans="32:37" x14ac:dyDescent="0.3">
      <c r="AF956" s="113">
        <f>'Data_in-situ'!EN443</f>
        <v>-9</v>
      </c>
      <c r="AG956" s="113">
        <f>'Data_in-situ'!EO443</f>
        <v>1.9</v>
      </c>
      <c r="AH956" s="110">
        <f>'Data_in-situ'!EP443</f>
        <v>3</v>
      </c>
      <c r="AI956" s="113">
        <f>'Data_in-situ'!ER443</f>
        <v>-37.76</v>
      </c>
      <c r="AJ956" s="113">
        <f>'Data_in-situ'!ES443</f>
        <v>2.68</v>
      </c>
      <c r="AK956" s="110">
        <f>'Data_in-situ'!ET443</f>
        <v>3</v>
      </c>
    </row>
    <row r="957" spans="32:37" x14ac:dyDescent="0.3">
      <c r="AF957" s="113">
        <f>'Data_in-situ'!EN446</f>
        <v>6</v>
      </c>
      <c r="AG957" s="113">
        <f>'Data_in-situ'!EO446</f>
        <v>22</v>
      </c>
      <c r="AH957" s="110">
        <f>'Data_in-situ'!EP446</f>
        <v>5</v>
      </c>
      <c r="AI957" s="113">
        <f>'Data_in-situ'!ER446</f>
        <v>-21</v>
      </c>
      <c r="AJ957" s="113">
        <f>'Data_in-situ'!ES446</f>
        <v>18</v>
      </c>
      <c r="AK957" s="110">
        <f>'Data_in-situ'!ET446</f>
        <v>5</v>
      </c>
    </row>
    <row r="958" spans="32:37" x14ac:dyDescent="0.3">
      <c r="AF958" s="113">
        <f>'Data_in-situ'!EN447</f>
        <v>-17.3</v>
      </c>
      <c r="AG958" s="113">
        <f>'Data_in-situ'!EO447</f>
        <v>2.2516660498395402</v>
      </c>
      <c r="AH958" s="110">
        <f>'Data_in-situ'!EP447</f>
        <v>3</v>
      </c>
      <c r="AI958" s="113">
        <f>'Data_in-situ'!ER447</f>
        <v>-21.9</v>
      </c>
      <c r="AJ958" s="113">
        <f>'Data_in-situ'!ES447</f>
        <v>3.4641016151377544</v>
      </c>
      <c r="AK958" s="110">
        <f>'Data_in-situ'!ET447</f>
        <v>3</v>
      </c>
    </row>
    <row r="959" spans="32:37" x14ac:dyDescent="0.3">
      <c r="AF959" s="113">
        <f>'Data_in-situ'!EN448</f>
        <v>-6</v>
      </c>
      <c r="AG959" s="113">
        <f>'Data_in-situ'!EO448</f>
        <v>-3</v>
      </c>
      <c r="AH959" s="110">
        <f>'Data_in-situ'!EP448</f>
        <v>3</v>
      </c>
      <c r="AI959" s="113">
        <f>'Data_in-situ'!ER448</f>
        <v>-21.8</v>
      </c>
      <c r="AJ959" s="113">
        <f>'Data_in-situ'!ES448</f>
        <v>6.5</v>
      </c>
      <c r="AK959" s="110">
        <f>'Data_in-situ'!ET448</f>
        <v>3</v>
      </c>
    </row>
    <row r="960" spans="32:37" x14ac:dyDescent="0.3">
      <c r="AF960" s="113">
        <f>'Data_in-situ'!EN449</f>
        <v>-7</v>
      </c>
      <c r="AG960" s="113">
        <f>'Data_in-situ'!EO449</f>
        <v>4</v>
      </c>
      <c r="AH960" s="110">
        <f>'Data_in-situ'!EP449</f>
        <v>3</v>
      </c>
      <c r="AI960" s="113">
        <f>'Data_in-situ'!ER449</f>
        <v>-22.6</v>
      </c>
      <c r="AJ960" s="113">
        <f>'Data_in-situ'!ES449</f>
        <v>5.6</v>
      </c>
      <c r="AK960" s="110">
        <f>'Data_in-situ'!ET449</f>
        <v>3</v>
      </c>
    </row>
    <row r="961" spans="1:37" x14ac:dyDescent="0.3">
      <c r="AF961" s="113">
        <f>'Data_in-situ'!EN456</f>
        <v>-7.6</v>
      </c>
      <c r="AG961" s="113">
        <f>'Data_in-situ'!EO456</f>
        <v>3.0969726305098293</v>
      </c>
      <c r="AH961" s="110">
        <f>'Data_in-situ'!EP456</f>
        <v>1</v>
      </c>
      <c r="AI961" s="113">
        <f>'Data_in-situ'!ER456</f>
        <v>-20.2</v>
      </c>
      <c r="AJ961" s="113">
        <f>'Data_in-situ'!ES456</f>
        <v>4.5816438808857223</v>
      </c>
      <c r="AK961" s="110">
        <f>'Data_in-situ'!ET456</f>
        <v>1</v>
      </c>
    </row>
    <row r="962" spans="1:37" x14ac:dyDescent="0.3">
      <c r="AF962" s="113">
        <f>'Data_in-situ'!EN457</f>
        <v>-2.4</v>
      </c>
      <c r="AG962" s="113">
        <f>'Data_in-situ'!EO457</f>
        <v>0.97799135700310402</v>
      </c>
      <c r="AH962" s="110">
        <f>'Data_in-situ'!EP457</f>
        <v>1</v>
      </c>
      <c r="AI962" s="113">
        <f>'Data_in-situ'!ER457</f>
        <v>-23.2</v>
      </c>
      <c r="AJ962" s="113">
        <f>'Data_in-situ'!ES457</f>
        <v>5.2620860414133048</v>
      </c>
      <c r="AK962" s="110">
        <f>'Data_in-situ'!ET457</f>
        <v>1</v>
      </c>
    </row>
    <row r="963" spans="1:37" x14ac:dyDescent="0.3">
      <c r="AF963" s="113">
        <f>'Data_in-situ'!EN458</f>
        <v>-4.8</v>
      </c>
      <c r="AG963" s="113">
        <f>'Data_in-situ'!EO458</f>
        <v>1.955982714006208</v>
      </c>
      <c r="AH963" s="110">
        <f>'Data_in-situ'!EP458</f>
        <v>1</v>
      </c>
      <c r="AI963" s="113">
        <f>'Data_in-situ'!ER458</f>
        <v>-19</v>
      </c>
      <c r="AJ963" s="113">
        <f>'Data_in-situ'!ES458</f>
        <v>4.3094670166746889</v>
      </c>
      <c r="AK963" s="110">
        <f>'Data_in-situ'!ET458</f>
        <v>1</v>
      </c>
    </row>
    <row r="965" spans="1:37" x14ac:dyDescent="0.3">
      <c r="A965" s="110" t="s">
        <v>831</v>
      </c>
      <c r="B965" s="24">
        <f>AVERAGEA(B749:B963)</f>
        <v>-13272.688550285631</v>
      </c>
      <c r="C965" s="24">
        <f>STDEVA(B749:B963)/SQRT(COUNT(B749:B963))</f>
        <v>2195.0479776604584</v>
      </c>
      <c r="D965" s="46">
        <f>COUNT(B749:B963)</f>
        <v>35</v>
      </c>
      <c r="E965" s="24">
        <f>AVERAGEA(E749:E963)</f>
        <v>-16801.677434379992</v>
      </c>
      <c r="F965" s="24">
        <f>STDEVA(E749:E963)/SQRT(COUNT(E749:E963))</f>
        <v>3378.1924681096771</v>
      </c>
      <c r="G965" s="46">
        <f>COUNT(E749:E963)</f>
        <v>35</v>
      </c>
      <c r="H965" s="24">
        <f>AVERAGEA(H749:H963)</f>
        <v>11600.743271080089</v>
      </c>
      <c r="I965" s="24">
        <f>STDEVA(H749:H963)/SQRT(COUNT(H749:H963))</f>
        <v>1844.6189925102169</v>
      </c>
      <c r="J965" s="46">
        <f>COUNT(H749:H963)</f>
        <v>35</v>
      </c>
      <c r="K965" s="24">
        <f>AVERAGEA(K749:K963)</f>
        <v>15760.72380478312</v>
      </c>
      <c r="L965" s="24">
        <f>STDEVA(K749:K963)/SQRT(COUNT(K749:K963))</f>
        <v>2823.391493164238</v>
      </c>
      <c r="M965" s="46">
        <f>COUNT(K749:K963)</f>
        <v>35</v>
      </c>
      <c r="N965" s="24">
        <f>AVERAGEA(N749:N963)</f>
        <v>-1331.1603681772494</v>
      </c>
      <c r="O965" s="24">
        <f>STDEVA(N749:N963)/SQRT(COUNT(N749:N963))</f>
        <v>477.63621795588227</v>
      </c>
      <c r="P965" s="46">
        <f>COUNT(N749:N963)</f>
        <v>50</v>
      </c>
      <c r="Q965" s="24">
        <f>AVERAGEA(Q749:Q963)</f>
        <v>-1514.8425685557158</v>
      </c>
      <c r="R965" s="24">
        <f>STDEVA(Q749:Q963)/SQRT(COUNT(Q749:Q963))</f>
        <v>763.96187598416554</v>
      </c>
      <c r="S965" s="46">
        <f>COUNT(Q749:Q963)</f>
        <v>50</v>
      </c>
      <c r="T965" s="113">
        <f>AVERAGEA(T749:T963)</f>
        <v>142.04390340964662</v>
      </c>
      <c r="U965" s="113">
        <f>STDEVA(T749:T963)/SQRT(COUNT(T749:T963))</f>
        <v>17.101713962747951</v>
      </c>
      <c r="V965" s="46">
        <f>COUNT(T749:T963)</f>
        <v>155</v>
      </c>
      <c r="W965" s="113">
        <f>AVERAGEA(W749:W963)</f>
        <v>42.431182484253704</v>
      </c>
      <c r="X965" s="113">
        <f>STDEVA(W749:W963)/SQRT(COUNT(W749:W963))</f>
        <v>10.016935919517978</v>
      </c>
      <c r="Y965" s="46">
        <f>COUNT(W749:W963)</f>
        <v>155</v>
      </c>
      <c r="Z965" s="113">
        <f>AVERAGEA(Z749:Z963)</f>
        <v>0.54755713016021557</v>
      </c>
      <c r="AA965" s="113">
        <f>STDEVA(Z749:Z963)/SQRT(COUNT(Z749:Z963))</f>
        <v>0.179215341836055</v>
      </c>
      <c r="AB965" s="46">
        <f>COUNT(Z749:Z963)</f>
        <v>63</v>
      </c>
      <c r="AC965" s="113">
        <f>AVERAGEA(AC749:AC963)</f>
        <v>2.1807664858617066</v>
      </c>
      <c r="AD965" s="113">
        <f>STDEVA(AC749:AC963)/SQRT(COUNT(AC749:AC963))</f>
        <v>0.68337494453294545</v>
      </c>
      <c r="AE965" s="46">
        <f>COUNT(AC749:AC963)</f>
        <v>63</v>
      </c>
      <c r="AF965" s="113">
        <f>AVERAGEA(AF749:AF963)</f>
        <v>-15.162290822095386</v>
      </c>
      <c r="AG965" s="113">
        <f>STDEVA(AF749:AF963)/SQRT(COUNT(AF749:AF963))</f>
        <v>1.154275618489838</v>
      </c>
      <c r="AH965" s="110">
        <f>COUNT(AF749:AF963)</f>
        <v>215</v>
      </c>
      <c r="AI965" s="113">
        <f>AVERAGEA(AI749:AI963)</f>
        <v>-28.540159806911365</v>
      </c>
      <c r="AJ965" s="113">
        <f>STDEVA(AI749:AI963)/SQRT(COUNT(AI749:AI963))</f>
        <v>1.2919546619310687</v>
      </c>
      <c r="AK965" s="110">
        <f>COUNT(AI749:AI963)</f>
        <v>215</v>
      </c>
    </row>
    <row r="967" spans="1:37" x14ac:dyDescent="0.3">
      <c r="A967" s="110" t="s">
        <v>1041</v>
      </c>
      <c r="B967" s="24">
        <f>'Data_in-situ'!CA35</f>
        <v>-9117.2313953462108</v>
      </c>
      <c r="C967" s="24">
        <f>'Data_in-situ'!CB35</f>
        <v>2424.3247606001519</v>
      </c>
      <c r="D967" s="46">
        <f>'Data_in-situ'!CC35</f>
        <v>3</v>
      </c>
      <c r="E967" s="24">
        <f>'Data_in-situ'!CE35</f>
        <v>-4187.6052363562967</v>
      </c>
      <c r="F967" s="24">
        <f>'Data_in-situ'!CF35</f>
        <v>3018.5350952743552</v>
      </c>
      <c r="G967" s="46">
        <f>'Data_in-situ'!CG35</f>
        <v>3</v>
      </c>
      <c r="H967" s="24">
        <f>'Data_in-situ'!CN35</f>
        <v>12663.516770662041</v>
      </c>
      <c r="I967" s="24">
        <f>'Data_in-situ'!CO35</f>
        <v>2211.9149588307</v>
      </c>
      <c r="J967" s="46">
        <f>'Data_in-situ'!CP35</f>
        <v>3</v>
      </c>
      <c r="K967" s="24">
        <f>'Data_in-situ'!CR35</f>
        <v>8364.4600190841793</v>
      </c>
      <c r="L967" s="24">
        <f>'Data_in-situ'!CS35</f>
        <v>6024.8326143304821</v>
      </c>
      <c r="M967" s="46">
        <f>'Data_in-situ'!CT35</f>
        <v>3</v>
      </c>
      <c r="N967" s="24">
        <f>'Data_in-situ'!DA32</f>
        <v>8950.3333333333303</v>
      </c>
      <c r="O967" s="24">
        <f>'Data_in-situ'!DB32</f>
        <v>4633.1130043536723</v>
      </c>
      <c r="P967" s="46">
        <f>'Data_in-situ'!DC32</f>
        <v>6</v>
      </c>
      <c r="Q967" s="24">
        <f>'Data_in-situ'!DE32</f>
        <v>19004.333333333336</v>
      </c>
      <c r="R967" s="24">
        <f>'Data_in-situ'!DF32</f>
        <v>11808.648436162748</v>
      </c>
      <c r="S967" s="46">
        <f>'Data_in-situ'!DG32</f>
        <v>6</v>
      </c>
      <c r="T967" s="113">
        <f>'Data_in-situ'!DN14</f>
        <v>1212.2979432249506</v>
      </c>
      <c r="U967" s="113">
        <f>'Data_in-situ'!DO14</f>
        <v>324.6860048502561</v>
      </c>
      <c r="V967" s="46">
        <f>'Data_in-situ'!DP14</f>
        <v>9</v>
      </c>
      <c r="W967" s="113">
        <f>'Data_in-situ'!DR14</f>
        <v>4.8030530526021593</v>
      </c>
      <c r="X967" s="113">
        <f>'Data_in-situ'!DS14</f>
        <v>10.100613157809143</v>
      </c>
      <c r="Y967" s="46">
        <f>'Data_in-situ'!DT14</f>
        <v>9</v>
      </c>
      <c r="Z967" s="113">
        <f>'Data_in-situ'!EA85</f>
        <v>2.8688999999999999E-2</v>
      </c>
      <c r="AA967" s="113">
        <f>'Data_in-situ'!EB85</f>
        <v>4.7267500000000004E-2</v>
      </c>
      <c r="AB967" s="46">
        <f>'Data_in-situ'!EC85</f>
        <v>3</v>
      </c>
      <c r="AC967" s="113">
        <f>'Data_in-situ'!EE85</f>
        <v>0.80300000000000005</v>
      </c>
      <c r="AD967" s="113">
        <f>'Data_in-situ'!EF85</f>
        <v>0.225132</v>
      </c>
      <c r="AE967" s="46">
        <f>'Data_in-situ'!EG85</f>
        <v>3</v>
      </c>
      <c r="AF967" s="113">
        <f>'Data_in-situ'!EN14</f>
        <v>11.41</v>
      </c>
      <c r="AG967" s="113">
        <f>'Data_in-situ'!EO14</f>
        <v>3.1216542489519883</v>
      </c>
      <c r="AH967" s="110">
        <f>'Data_in-situ'!EP14</f>
        <v>4</v>
      </c>
      <c r="AI967" s="113">
        <f>'Data_in-situ'!ER14</f>
        <v>-91.8</v>
      </c>
      <c r="AJ967" s="113">
        <f>'Data_in-situ'!ES14</f>
        <v>9.6999999999999993</v>
      </c>
      <c r="AK967" s="110">
        <f>'Data_in-situ'!ET14</f>
        <v>4</v>
      </c>
    </row>
    <row r="968" spans="1:37" x14ac:dyDescent="0.3">
      <c r="B968" s="24">
        <f>'Data_in-situ'!CA36</f>
        <v>-9117.2313953462108</v>
      </c>
      <c r="C968" s="24">
        <f>'Data_in-situ'!CB36</f>
        <v>2424.3247606001519</v>
      </c>
      <c r="D968" s="46">
        <f>'Data_in-situ'!CC36</f>
        <v>3</v>
      </c>
      <c r="E968" s="24">
        <f>'Data_in-situ'!CE36</f>
        <v>-11061.598737544933</v>
      </c>
      <c r="F968" s="24">
        <f>'Data_in-situ'!CF36</f>
        <v>1546.857501085957</v>
      </c>
      <c r="G968" s="46">
        <f>'Data_in-situ'!CG36</f>
        <v>3</v>
      </c>
      <c r="H968" s="24">
        <f>'Data_in-situ'!CN36</f>
        <v>12663.516770662041</v>
      </c>
      <c r="I968" s="24">
        <f>'Data_in-situ'!CO36</f>
        <v>2211.9149588307</v>
      </c>
      <c r="J968" s="46">
        <f>'Data_in-situ'!CP36</f>
        <v>3</v>
      </c>
      <c r="K968" s="24">
        <f>'Data_in-situ'!CR36</f>
        <v>13557.778602361719</v>
      </c>
      <c r="L968" s="24">
        <f>'Data_in-situ'!CS36</f>
        <v>1534.7793518535277</v>
      </c>
      <c r="M968" s="46">
        <f>'Data_in-situ'!CT36</f>
        <v>3</v>
      </c>
      <c r="N968" s="24">
        <f>'Data_in-situ'!DA35</f>
        <v>3546.2853753158306</v>
      </c>
      <c r="O968" s="24">
        <f>'Data_in-situ'!DB35</f>
        <v>5941.7227544878542</v>
      </c>
      <c r="P968" s="46">
        <f>'Data_in-situ'!DC35</f>
        <v>3</v>
      </c>
      <c r="Q968" s="24">
        <f>'Data_in-situ'!DE35</f>
        <v>4176.8547827278826</v>
      </c>
      <c r="R968" s="24">
        <f>'Data_in-situ'!DF35</f>
        <v>748.67399248676202</v>
      </c>
      <c r="S968" s="46">
        <f>'Data_in-situ'!DG35</f>
        <v>3</v>
      </c>
      <c r="T968" s="113">
        <f>'Data_in-situ'!DN15</f>
        <v>2106.5008889916066</v>
      </c>
      <c r="U968" s="113">
        <f>'Data_in-situ'!DO15</f>
        <v>550.27007995085796</v>
      </c>
      <c r="V968" s="46">
        <f>'Data_in-situ'!DP15</f>
        <v>12</v>
      </c>
      <c r="W968" s="113">
        <f>'Data_in-situ'!DR15</f>
        <v>-0.36946561943093542</v>
      </c>
      <c r="X968" s="113">
        <f>'Data_in-situ'!DS15</f>
        <v>0.8584618328302922</v>
      </c>
      <c r="Y968" s="46">
        <f>'Data_in-situ'!DT15</f>
        <v>12</v>
      </c>
      <c r="Z968" s="113">
        <f>'Data_in-situ'!EA90</f>
        <v>0.12316304575332541</v>
      </c>
      <c r="AA968" s="113">
        <f>'Data_in-situ'!EB90</f>
        <v>1.532860435877279</v>
      </c>
      <c r="AB968" s="46">
        <f>'Data_in-situ'!EC90</f>
        <v>3</v>
      </c>
      <c r="AC968" s="113">
        <f>'Data_in-situ'!EE90</f>
        <v>0.37414709355805537</v>
      </c>
      <c r="AD968" s="113">
        <f>'Data_in-situ'!EF90</f>
        <v>1.1112977251351353</v>
      </c>
      <c r="AE968" s="46">
        <f>'Data_in-situ'!EG90</f>
        <v>3</v>
      </c>
      <c r="AF968" s="113">
        <f>'Data_in-situ'!EN15</f>
        <v>5.6550000000000002</v>
      </c>
      <c r="AG968" s="113">
        <f>'Data_in-situ'!EO15</f>
        <v>3.8089383363346805</v>
      </c>
      <c r="AH968" s="110">
        <f>'Data_in-situ'!EP15</f>
        <v>4</v>
      </c>
      <c r="AI968" s="113">
        <f>'Data_in-situ'!ER15</f>
        <v>-105</v>
      </c>
      <c r="AJ968" s="113">
        <f>'Data_in-situ'!ES15</f>
        <v>8.1</v>
      </c>
      <c r="AK968" s="110">
        <f>'Data_in-situ'!ET15</f>
        <v>4</v>
      </c>
    </row>
    <row r="969" spans="1:37" x14ac:dyDescent="0.3">
      <c r="B969" s="24">
        <f>'Data_in-situ'!CA37</f>
        <v>-10940.677674415452</v>
      </c>
      <c r="C969" s="24">
        <f>'Data_in-situ'!CB37</f>
        <v>3587.5182834567399</v>
      </c>
      <c r="D969" s="46">
        <f>'Data_in-situ'!CC37</f>
        <v>3</v>
      </c>
      <c r="E969" s="24">
        <f>'Data_in-situ'!CE37</f>
        <v>-1303.6884226392244</v>
      </c>
      <c r="F969" s="24">
        <f>'Data_in-situ'!CF37</f>
        <v>1460.696181049753</v>
      </c>
      <c r="G969" s="46">
        <f>'Data_in-situ'!CG37</f>
        <v>3</v>
      </c>
      <c r="H969" s="24">
        <f>'Data_in-situ'!CN37</f>
        <v>12156.97609983556</v>
      </c>
      <c r="I969" s="24">
        <f>'Data_in-situ'!CO37</f>
        <v>3352.7816659818532</v>
      </c>
      <c r="J969" s="46">
        <f>'Data_in-situ'!CP37</f>
        <v>3</v>
      </c>
      <c r="K969" s="24">
        <f>'Data_in-situ'!CR37</f>
        <v>7583.1643030158775</v>
      </c>
      <c r="L969" s="24">
        <f>'Data_in-situ'!CS37</f>
        <v>4282.3014654243434</v>
      </c>
      <c r="M969" s="46">
        <f>'Data_in-situ'!CT37</f>
        <v>3</v>
      </c>
      <c r="N969" s="24">
        <f>'Data_in-situ'!DA36</f>
        <v>3546.2853753158306</v>
      </c>
      <c r="O969" s="24">
        <f>'Data_in-situ'!DB36</f>
        <v>5941.7227544878542</v>
      </c>
      <c r="P969" s="46">
        <f>'Data_in-situ'!DC36</f>
        <v>3</v>
      </c>
      <c r="Q969" s="24">
        <f>'Data_in-situ'!DE36</f>
        <v>2496.179864816786</v>
      </c>
      <c r="R969" s="24">
        <f>'Data_in-situ'!DF36</f>
        <v>441.86562565211784</v>
      </c>
      <c r="S969" s="46">
        <f>'Data_in-situ'!DG36</f>
        <v>3</v>
      </c>
      <c r="T969" s="113">
        <f>'Data_in-situ'!DN19</f>
        <v>76.598647152414557</v>
      </c>
      <c r="U969" s="113">
        <f>'Data_in-situ'!DO19</f>
        <v>97.385019539931207</v>
      </c>
      <c r="V969" s="46">
        <f>'Data_in-situ'!DP19</f>
        <v>3</v>
      </c>
      <c r="W969" s="113">
        <f>'Data_in-situ'!DR19</f>
        <v>-0.99087798503934754</v>
      </c>
      <c r="X969" s="113">
        <f>'Data_in-situ'!DS19</f>
        <v>2.1111905341845492</v>
      </c>
      <c r="Y969" s="46">
        <f>'Data_in-situ'!DT19</f>
        <v>3</v>
      </c>
      <c r="Z969" s="113">
        <f>'Data_in-situ'!EA93</f>
        <v>2.357142857142857E-2</v>
      </c>
      <c r="AA969" s="113">
        <f>'Data_in-situ'!EB93</f>
        <v>0.13553517172535659</v>
      </c>
      <c r="AB969" s="46">
        <f>'Data_in-situ'!EC93</f>
        <v>3</v>
      </c>
      <c r="AC969" s="113">
        <f>'Data_in-situ'!EE93</f>
        <v>0.80142857142857149</v>
      </c>
      <c r="AD969" s="113">
        <f>'Data_in-situ'!EF93</f>
        <v>1.1966445615939472</v>
      </c>
      <c r="AE969" s="46">
        <f>'Data_in-situ'!EG93</f>
        <v>3</v>
      </c>
      <c r="AF969" s="113">
        <f>'Data_in-situ'!EN19</f>
        <v>-6.17</v>
      </c>
      <c r="AG969" s="113">
        <f>'Data_in-situ'!EO19</f>
        <v>1.6</v>
      </c>
      <c r="AH969" s="110">
        <f>'Data_in-situ'!EP19</f>
        <v>3</v>
      </c>
      <c r="AI969" s="113">
        <f>'Data_in-situ'!ER19</f>
        <v>-37.89</v>
      </c>
      <c r="AJ969" s="113">
        <f>'Data_in-situ'!ES19</f>
        <v>1.4</v>
      </c>
      <c r="AK969" s="110">
        <f>'Data_in-situ'!ET19</f>
        <v>3</v>
      </c>
    </row>
    <row r="970" spans="1:37" x14ac:dyDescent="0.3">
      <c r="B970" s="24">
        <f>'Data_in-situ'!CA38</f>
        <v>-10940.677674415452</v>
      </c>
      <c r="C970" s="24">
        <f>'Data_in-situ'!CB38</f>
        <v>3587.5182834567399</v>
      </c>
      <c r="D970" s="46">
        <f>'Data_in-situ'!CC38</f>
        <v>3</v>
      </c>
      <c r="E970" s="24">
        <f>'Data_in-situ'!CE38</f>
        <v>-13155.401355723083</v>
      </c>
      <c r="F970" s="24">
        <f>'Data_in-situ'!CF38</f>
        <v>4763.1397208144126</v>
      </c>
      <c r="G970" s="46">
        <f>'Data_in-situ'!CG38</f>
        <v>3</v>
      </c>
      <c r="H970" s="24">
        <f>'Data_in-situ'!CN38</f>
        <v>12156.97609983556</v>
      </c>
      <c r="I970" s="24">
        <f>'Data_in-situ'!CO38</f>
        <v>3352.7816659818532</v>
      </c>
      <c r="J970" s="46">
        <f>'Data_in-situ'!CP38</f>
        <v>3</v>
      </c>
      <c r="K970" s="24">
        <f>'Data_in-situ'!CR38</f>
        <v>16131.458608233776</v>
      </c>
      <c r="L970" s="24">
        <f>'Data_in-situ'!CS38</f>
        <v>7799.7123045882036</v>
      </c>
      <c r="M970" s="46">
        <f>'Data_in-situ'!CT38</f>
        <v>3</v>
      </c>
      <c r="N970" s="24">
        <f>'Data_in-situ'!DA37</f>
        <v>1216.2984254201074</v>
      </c>
      <c r="O970" s="24">
        <f>'Data_in-situ'!DB37</f>
        <v>2060.9133169618808</v>
      </c>
      <c r="P970" s="46">
        <f>'Data_in-situ'!DC37</f>
        <v>3</v>
      </c>
      <c r="Q970" s="24">
        <f>'Data_in-situ'!DE37</f>
        <v>6279.4758803766526</v>
      </c>
      <c r="R970" s="24">
        <f>'Data_in-situ'!DF37</f>
        <v>947.48073610146616</v>
      </c>
      <c r="S970" s="46">
        <f>'Data_in-situ'!DG37</f>
        <v>3</v>
      </c>
      <c r="T970" s="113">
        <f>'Data_in-situ'!DN22</f>
        <v>69.189192430383997</v>
      </c>
      <c r="U970" s="113">
        <f>'Data_in-situ'!DO22</f>
        <v>105.7403076411135</v>
      </c>
      <c r="V970" s="46">
        <f>'Data_in-situ'!DP22</f>
        <v>3</v>
      </c>
      <c r="W970" s="113">
        <f>'Data_in-situ'!DR22</f>
        <v>0.20126042349248477</v>
      </c>
      <c r="X970" s="113">
        <f>'Data_in-situ'!DS22</f>
        <v>3.7673237667559927</v>
      </c>
      <c r="Y970" s="46">
        <f>'Data_in-situ'!DT22</f>
        <v>3</v>
      </c>
      <c r="Z970" s="113">
        <f>'Data_in-situ'!EA99</f>
        <v>-0.40440266730939189</v>
      </c>
      <c r="AA970" s="113">
        <f>'Data_in-situ'!EB99</f>
        <v>1.1600159999999999</v>
      </c>
      <c r="AB970" s="46">
        <f>'Data_in-situ'!EC99</f>
        <v>24</v>
      </c>
      <c r="AC970" s="113">
        <f>'Data_in-situ'!EE99</f>
        <v>0.41440059292199383</v>
      </c>
      <c r="AD970" s="113">
        <f>'Data_in-situ'!EF99</f>
        <v>1.3178879999999999</v>
      </c>
      <c r="AE970" s="46">
        <f>'Data_in-situ'!EG99</f>
        <v>15</v>
      </c>
      <c r="AF970" s="113">
        <f>'Data_in-situ'!EN22</f>
        <v>-6.17</v>
      </c>
      <c r="AG970" s="113">
        <f>'Data_in-situ'!EO22</f>
        <v>1.6</v>
      </c>
      <c r="AH970" s="110">
        <f>'Data_in-situ'!EP22</f>
        <v>3</v>
      </c>
      <c r="AI970" s="113">
        <f>'Data_in-situ'!ER22</f>
        <v>-40</v>
      </c>
      <c r="AJ970" s="113">
        <f>'Data_in-situ'!ES22</f>
        <v>0</v>
      </c>
      <c r="AK970" s="110">
        <f>'Data_in-situ'!ET22</f>
        <v>3</v>
      </c>
    </row>
    <row r="971" spans="1:37" x14ac:dyDescent="0.3">
      <c r="B971" s="24">
        <f>'Data_in-situ'!CA39</f>
        <v>-11180.604816398249</v>
      </c>
      <c r="C971" s="24">
        <f>'Data_in-situ'!CB39</f>
        <v>6822.7682537892761</v>
      </c>
      <c r="D971" s="46">
        <f>'Data_in-situ'!CC39</f>
        <v>3</v>
      </c>
      <c r="E971" s="24">
        <f>'Data_in-situ'!CE39</f>
        <v>-2014.7911986242559</v>
      </c>
      <c r="F971" s="24">
        <f>'Data_in-situ'!CF39</f>
        <v>1143.1535329954588</v>
      </c>
      <c r="G971" s="46">
        <f>'Data_in-situ'!CG39</f>
        <v>3</v>
      </c>
      <c r="H971" s="24">
        <f>'Data_in-situ'!CN39</f>
        <v>12213.258396594058</v>
      </c>
      <c r="I971" s="24">
        <f>'Data_in-situ'!CO39</f>
        <v>5829.3069078214994</v>
      </c>
      <c r="J971" s="46">
        <f>'Data_in-situ'!CP39</f>
        <v>3</v>
      </c>
      <c r="K971" s="24">
        <f>'Data_in-situ'!CR39</f>
        <v>13236.068601627712</v>
      </c>
      <c r="L971" s="24">
        <f>'Data_in-situ'!CS39</f>
        <v>2169.8026552469478</v>
      </c>
      <c r="M971" s="46">
        <f>'Data_in-situ'!CT39</f>
        <v>3</v>
      </c>
      <c r="N971" s="24">
        <f>'Data_in-situ'!DA38</f>
        <v>1216.2984254201074</v>
      </c>
      <c r="O971" s="24">
        <f>'Data_in-situ'!DB38</f>
        <v>2060.9133169618808</v>
      </c>
      <c r="P971" s="46">
        <f>'Data_in-situ'!DC38</f>
        <v>3</v>
      </c>
      <c r="Q971" s="24">
        <f>'Data_in-situ'!DE38</f>
        <v>2976.0572525106927</v>
      </c>
      <c r="R971" s="24">
        <f>'Data_in-situ'!DF38</f>
        <v>692.55442504565758</v>
      </c>
      <c r="S971" s="46">
        <f>'Data_in-situ'!DG38</f>
        <v>3</v>
      </c>
      <c r="T971" s="113">
        <f>'Data_in-situ'!DN24</f>
        <v>69.189192430383997</v>
      </c>
      <c r="U971" s="113">
        <f>'Data_in-situ'!DO24</f>
        <v>105.7403076411135</v>
      </c>
      <c r="V971" s="46">
        <f>'Data_in-situ'!DP24</f>
        <v>3</v>
      </c>
      <c r="W971" s="113">
        <f>'Data_in-situ'!DR24</f>
        <v>-2.3432463592339285</v>
      </c>
      <c r="X971" s="113">
        <f>'Data_in-situ'!DS24</f>
        <v>2.1725078783546201</v>
      </c>
      <c r="Y971" s="46">
        <f>'Data_in-situ'!DT24</f>
        <v>3</v>
      </c>
      <c r="Z971" s="113">
        <f>'Data_in-situ'!EA107</f>
        <v>0.24042857142857144</v>
      </c>
      <c r="AA971" s="113">
        <f>'Data_in-situ'!EB107</f>
        <v>1.3824587515986373</v>
      </c>
      <c r="AB971" s="46">
        <f>'Data_in-situ'!EC107</f>
        <v>3</v>
      </c>
      <c r="AC971" s="113">
        <f>'Data_in-situ'!EE107</f>
        <v>0.88314285714285712</v>
      </c>
      <c r="AD971" s="113">
        <f>'Data_in-situ'!EF107</f>
        <v>1.3186553796388201</v>
      </c>
      <c r="AE971" s="46">
        <f>'Data_in-situ'!EG107</f>
        <v>3</v>
      </c>
      <c r="AF971" s="113">
        <f>'Data_in-situ'!EN24</f>
        <v>-6.17</v>
      </c>
      <c r="AG971" s="113">
        <f>'Data_in-situ'!EO24</f>
        <v>1.6</v>
      </c>
      <c r="AH971" s="110">
        <f>'Data_in-situ'!EP24</f>
        <v>3</v>
      </c>
      <c r="AI971" s="113">
        <f>'Data_in-situ'!ER24</f>
        <v>-40</v>
      </c>
      <c r="AJ971" s="113">
        <f>'Data_in-situ'!ES24</f>
        <v>0</v>
      </c>
      <c r="AK971" s="110">
        <f>'Data_in-situ'!ET24</f>
        <v>3</v>
      </c>
    </row>
    <row r="972" spans="1:37" x14ac:dyDescent="0.3">
      <c r="B972" s="24">
        <f>'Data_in-situ'!CA40</f>
        <v>-11180.604816398249</v>
      </c>
      <c r="C972" s="24">
        <f>'Data_in-situ'!CB40</f>
        <v>6822.7682537892761</v>
      </c>
      <c r="D972" s="46">
        <f>'Data_in-situ'!CC40</f>
        <v>3</v>
      </c>
      <c r="E972" s="24">
        <f>'Data_in-situ'!CE40</f>
        <v>-13708.481292600329</v>
      </c>
      <c r="F972" s="24">
        <f>'Data_in-situ'!CF40</f>
        <v>4128.0544247058242</v>
      </c>
      <c r="G972" s="46">
        <f>'Data_in-situ'!CG40</f>
        <v>3</v>
      </c>
      <c r="H972" s="24">
        <f>'Data_in-situ'!CN40</f>
        <v>12213.258396594058</v>
      </c>
      <c r="I972" s="24">
        <f>'Data_in-situ'!CO40</f>
        <v>5829.3069078214994</v>
      </c>
      <c r="J972" s="46">
        <f>'Data_in-situ'!CP40</f>
        <v>3</v>
      </c>
      <c r="K972" s="24">
        <f>'Data_in-situ'!CR40</f>
        <v>16774.878609701791</v>
      </c>
      <c r="L972" s="24">
        <f>'Data_in-situ'!CS40</f>
        <v>6880.9051275668298</v>
      </c>
      <c r="M972" s="46">
        <f>'Data_in-situ'!CT40</f>
        <v>3</v>
      </c>
      <c r="N972" s="24">
        <f>'Data_in-situ'!DA39</f>
        <v>1032.6535801958089</v>
      </c>
      <c r="O972" s="24">
        <f>'Data_in-situ'!DB39</f>
        <v>1588.5865996086475</v>
      </c>
      <c r="P972" s="46">
        <f>'Data_in-situ'!DC39</f>
        <v>3</v>
      </c>
      <c r="Q972" s="24">
        <f>'Data_in-situ'!DE39</f>
        <v>11221.277403003456</v>
      </c>
      <c r="R972" s="24">
        <f>'Data_in-situ'!DF39</f>
        <v>1545.6282146126041</v>
      </c>
      <c r="S972" s="46">
        <f>'Data_in-situ'!DG39</f>
        <v>3</v>
      </c>
      <c r="T972" s="113">
        <f>'Data_in-situ'!DN32</f>
        <v>88</v>
      </c>
      <c r="U972" s="113">
        <f>'Data_in-situ'!DO32</f>
        <v>60.472215842392352</v>
      </c>
      <c r="V972" s="46">
        <f>'Data_in-situ'!DP32</f>
        <v>6</v>
      </c>
      <c r="W972" s="113">
        <f>'Data_in-situ'!DR32</f>
        <v>-2</v>
      </c>
      <c r="X972" s="113">
        <f>'Data_in-situ'!DS32</f>
        <v>5.9628479399994392</v>
      </c>
      <c r="Y972" s="46">
        <f>'Data_in-situ'!DT32</f>
        <v>6</v>
      </c>
      <c r="Z972" s="113">
        <f>'Data_in-situ'!EA112</f>
        <v>1.8193831442341308</v>
      </c>
      <c r="AA972" s="113">
        <f>'Data_in-situ'!EB112</f>
        <v>10.461411201308758</v>
      </c>
      <c r="AB972" s="46">
        <f>'Data_in-situ'!EC112</f>
        <v>3</v>
      </c>
      <c r="AC972" s="113">
        <f>'Data_in-situ'!EE112</f>
        <v>1.4382096725045124</v>
      </c>
      <c r="AD972" s="113">
        <f>'Data_in-situ'!EF112</f>
        <v>2.1474475011123628</v>
      </c>
      <c r="AE972" s="46">
        <f>'Data_in-situ'!EG112</f>
        <v>3</v>
      </c>
      <c r="AF972" s="113">
        <f>'Data_in-situ'!EN32</f>
        <v>-15.3</v>
      </c>
      <c r="AG972" s="113">
        <f>'Data_in-situ'!EO32</f>
        <v>3.2</v>
      </c>
      <c r="AH972" s="110">
        <f>'Data_in-situ'!EP32</f>
        <v>6</v>
      </c>
      <c r="AI972" s="113">
        <f>'Data_in-situ'!ER32</f>
        <v>-47.7</v>
      </c>
      <c r="AJ972" s="113">
        <f>'Data_in-situ'!ES32</f>
        <v>6.2</v>
      </c>
      <c r="AK972" s="110">
        <f>'Data_in-situ'!ET32</f>
        <v>6</v>
      </c>
    </row>
    <row r="973" spans="1:37" x14ac:dyDescent="0.3">
      <c r="B973" s="24">
        <f>'Data_in-situ'!CA41</f>
        <v>-7247.1260453614086</v>
      </c>
      <c r="C973" s="24">
        <f>'Data_in-situ'!CB41</f>
        <v>2100.9616035887611</v>
      </c>
      <c r="D973" s="46">
        <f>'Data_in-situ'!CC41</f>
        <v>3</v>
      </c>
      <c r="E973" s="24">
        <f>'Data_in-situ'!CE41</f>
        <v>-4029.5823972485118</v>
      </c>
      <c r="F973" s="24">
        <f>'Data_in-situ'!CF41</f>
        <v>3302.4435397646589</v>
      </c>
      <c r="G973" s="46">
        <f>'Data_in-situ'!CG41</f>
        <v>3</v>
      </c>
      <c r="H973" s="24">
        <f>'Data_in-situ'!CN41</f>
        <v>6440.2877983621229</v>
      </c>
      <c r="I973" s="24">
        <f>'Data_in-situ'!CO41</f>
        <v>2181.3507268282779</v>
      </c>
      <c r="J973" s="46">
        <f>'Data_in-situ'!CP41</f>
        <v>3</v>
      </c>
      <c r="K973" s="24">
        <f>'Data_in-situ'!CR41</f>
        <v>16039.541465166916</v>
      </c>
      <c r="L973" s="24">
        <f>'Data_in-situ'!CS41</f>
        <v>7252.7203244742068</v>
      </c>
      <c r="M973" s="46">
        <f>'Data_in-situ'!CT41</f>
        <v>3</v>
      </c>
      <c r="N973" s="24">
        <f>'Data_in-situ'!DA40</f>
        <v>1032.6535801958089</v>
      </c>
      <c r="O973" s="24">
        <f>'Data_in-situ'!DB40</f>
        <v>1588.5865996086475</v>
      </c>
      <c r="P973" s="46">
        <f>'Data_in-situ'!DC40</f>
        <v>3</v>
      </c>
      <c r="Q973" s="24">
        <f>'Data_in-situ'!DE40</f>
        <v>3066.3973171014622</v>
      </c>
      <c r="R973" s="24">
        <f>'Data_in-situ'!DF40</f>
        <v>896.27712667386777</v>
      </c>
      <c r="S973" s="46">
        <f>'Data_in-situ'!DG40</f>
        <v>3</v>
      </c>
      <c r="T973" s="113">
        <f>'Data_in-situ'!DN53</f>
        <v>5.3866851938273443</v>
      </c>
      <c r="U973" s="113">
        <f>'Data_in-situ'!DO53</f>
        <v>4.268024043852261</v>
      </c>
      <c r="V973" s="46">
        <f>'Data_in-situ'!DP53</f>
        <v>3</v>
      </c>
      <c r="W973" s="113">
        <f>'Data_in-situ'!DR53</f>
        <v>3.9980588354062441</v>
      </c>
      <c r="X973" s="113">
        <f>'Data_in-situ'!DS53</f>
        <v>4.3503115567651003</v>
      </c>
      <c r="Y973" s="46">
        <f>'Data_in-situ'!DT53</f>
        <v>3</v>
      </c>
      <c r="Z973" s="113">
        <f>'Data_in-situ'!EA113</f>
        <v>1.1072245992053424</v>
      </c>
      <c r="AA973" s="113">
        <f>'Data_in-situ'!EB113</f>
        <v>6.3665159596536158</v>
      </c>
      <c r="AB973" s="46">
        <f>'Data_in-situ'!EC113</f>
        <v>3</v>
      </c>
      <c r="AC973" s="113">
        <f>'Data_in-situ'!EE113</f>
        <v>6.6685966855719432</v>
      </c>
      <c r="AD973" s="113">
        <f>'Data_in-situ'!EF113</f>
        <v>9.9571443316883439</v>
      </c>
      <c r="AE973" s="46">
        <f>'Data_in-situ'!EG113</f>
        <v>3</v>
      </c>
      <c r="AF973" s="113">
        <f>'Data_in-situ'!EN35</f>
        <v>-38</v>
      </c>
      <c r="AG973" s="113">
        <f>'Data_in-situ'!EO35</f>
        <v>7.6</v>
      </c>
      <c r="AH973" s="110">
        <f>'Data_in-situ'!EP35</f>
        <v>3</v>
      </c>
      <c r="AI973" s="113">
        <f>'Data_in-situ'!ER35</f>
        <v>-73</v>
      </c>
      <c r="AJ973" s="113">
        <f>'Data_in-situ'!ES35</f>
        <v>10.3</v>
      </c>
      <c r="AK973" s="110">
        <f>'Data_in-situ'!ET35</f>
        <v>3</v>
      </c>
    </row>
    <row r="974" spans="1:37" x14ac:dyDescent="0.3">
      <c r="B974" s="24">
        <f>'Data_in-situ'!CA42</f>
        <v>-7247.1260453614086</v>
      </c>
      <c r="C974" s="24">
        <f>'Data_in-situ'!CB42</f>
        <v>2100.9616035887611</v>
      </c>
      <c r="D974" s="46">
        <f>'Data_in-situ'!CC42</f>
        <v>3</v>
      </c>
      <c r="E974" s="24">
        <f>'Data_in-situ'!CE42</f>
        <v>-4582.6623341257582</v>
      </c>
      <c r="F974" s="24">
        <f>'Data_in-situ'!CF42</f>
        <v>1206.6620626063177</v>
      </c>
      <c r="G974" s="46">
        <f>'Data_in-situ'!CG42</f>
        <v>3</v>
      </c>
      <c r="H974" s="24">
        <f>'Data_in-situ'!CN42</f>
        <v>6440.2877983621229</v>
      </c>
      <c r="I974" s="24">
        <f>'Data_in-situ'!CO42</f>
        <v>2181.3507268282779</v>
      </c>
      <c r="J974" s="46">
        <f>'Data_in-situ'!CP42</f>
        <v>3</v>
      </c>
      <c r="K974" s="24">
        <f>'Data_in-situ'!CR42</f>
        <v>24633.794341918241</v>
      </c>
      <c r="L974" s="24">
        <f>'Data_in-situ'!CS42</f>
        <v>2489.5274353362884</v>
      </c>
      <c r="M974" s="46">
        <f>'Data_in-situ'!CT42</f>
        <v>3</v>
      </c>
      <c r="N974" s="24">
        <f>'Data_in-situ'!DA41</f>
        <v>-806.83824699928573</v>
      </c>
      <c r="O974" s="24">
        <f>'Data_in-situ'!DB41</f>
        <v>461.4050593199143</v>
      </c>
      <c r="P974" s="46">
        <f>'Data_in-situ'!DC41</f>
        <v>3</v>
      </c>
      <c r="Q974" s="24">
        <f>'Data_in-situ'!DE41</f>
        <v>12009.959067918404</v>
      </c>
      <c r="R974" s="24">
        <f>'Data_in-situ'!DF41</f>
        <v>2892.3831674824651</v>
      </c>
      <c r="S974" s="46">
        <f>'Data_in-situ'!DG41</f>
        <v>3</v>
      </c>
      <c r="T974" s="113">
        <f>'Data_in-situ'!DN54</f>
        <v>5.3866851938273443</v>
      </c>
      <c r="U974" s="113">
        <f>'Data_in-situ'!DO54</f>
        <v>4.268024043852261</v>
      </c>
      <c r="V974" s="46">
        <f>'Data_in-situ'!DP54</f>
        <v>3</v>
      </c>
      <c r="W974" s="113">
        <f>'Data_in-situ'!DR54</f>
        <v>2.6938792153004636</v>
      </c>
      <c r="X974" s="113">
        <f>'Data_in-situ'!DS54</f>
        <v>4.3447601701580973</v>
      </c>
      <c r="Y974" s="46">
        <f>'Data_in-situ'!DT54</f>
        <v>3</v>
      </c>
      <c r="Z974" s="113">
        <f>'Data_in-situ'!EA114</f>
        <v>0.53231951884872231</v>
      </c>
      <c r="AA974" s="113">
        <f>'Data_in-situ'!EB114</f>
        <v>3.0608249806026997</v>
      </c>
      <c r="AB974" s="46">
        <f>'Data_in-situ'!EC114</f>
        <v>3</v>
      </c>
      <c r="AC974" s="113">
        <f>'Data_in-situ'!EE114</f>
        <v>2.1039743148589367</v>
      </c>
      <c r="AD974" s="113">
        <f>'Data_in-situ'!EF114</f>
        <v>3.141526907533883</v>
      </c>
      <c r="AE974" s="46">
        <f>'Data_in-situ'!EG114</f>
        <v>3</v>
      </c>
      <c r="AF974" s="113">
        <f>'Data_in-situ'!EN36</f>
        <v>-38</v>
      </c>
      <c r="AG974" s="113">
        <f>'Data_in-situ'!EO36</f>
        <v>7.6</v>
      </c>
      <c r="AH974" s="110">
        <f>'Data_in-situ'!EP36</f>
        <v>3</v>
      </c>
      <c r="AI974" s="113">
        <f>'Data_in-situ'!ER36</f>
        <v>-112</v>
      </c>
      <c r="AJ974" s="113">
        <f>'Data_in-situ'!ES36</f>
        <v>15.2</v>
      </c>
      <c r="AK974" s="110">
        <f>'Data_in-situ'!ET36</f>
        <v>3</v>
      </c>
    </row>
    <row r="975" spans="1:37" x14ac:dyDescent="0.3">
      <c r="B975" s="24">
        <f>'Data_in-situ'!CA43</f>
        <v>-7369.2686191596349</v>
      </c>
      <c r="C975" s="24">
        <f>'Data_in-situ'!CB43</f>
        <v>746.95892899118678</v>
      </c>
      <c r="D975" s="46">
        <f>'Data_in-situ'!CC43</f>
        <v>3</v>
      </c>
      <c r="E975" s="24">
        <f>'Data_in-situ'!CE43</f>
        <v>-3516.0081701482113</v>
      </c>
      <c r="F975" s="24">
        <f>'Data_in-situ'!CF43</f>
        <v>4890.1567800361299</v>
      </c>
      <c r="G975" s="46">
        <f>'Data_in-situ'!CG43</f>
        <v>3</v>
      </c>
      <c r="H975" s="24">
        <f>'Data_in-situ'!CN43</f>
        <v>11939.302764655935</v>
      </c>
      <c r="I975" s="24">
        <f>'Data_in-situ'!CO43</f>
        <v>4483.7070147716358</v>
      </c>
      <c r="J975" s="46">
        <f>'Data_in-situ'!CP43</f>
        <v>3</v>
      </c>
      <c r="K975" s="24">
        <f>'Data_in-situ'!CR43</f>
        <v>16131.458608233776</v>
      </c>
      <c r="L975" s="24">
        <f>'Data_in-situ'!CS43</f>
        <v>7799.7123045882036</v>
      </c>
      <c r="M975" s="46">
        <f>'Data_in-situ'!CT43</f>
        <v>3</v>
      </c>
      <c r="N975" s="24">
        <f>'Data_in-situ'!DA42</f>
        <v>-806.83824699928573</v>
      </c>
      <c r="O975" s="24">
        <f>'Data_in-situ'!DB42</f>
        <v>461.4050593199143</v>
      </c>
      <c r="P975" s="46">
        <f>'Data_in-situ'!DC42</f>
        <v>3</v>
      </c>
      <c r="Q975" s="24">
        <f>'Data_in-situ'!DE42</f>
        <v>20051.132007792483</v>
      </c>
      <c r="R975" s="24">
        <f>'Data_in-situ'!DF42</f>
        <v>2691.1988636577989</v>
      </c>
      <c r="S975" s="46">
        <f>'Data_in-situ'!DG42</f>
        <v>3</v>
      </c>
      <c r="T975" s="113">
        <f>'Data_in-situ'!DN55</f>
        <v>4.9255681733440708</v>
      </c>
      <c r="U975" s="113">
        <f>'Data_in-situ'!DO55</f>
        <v>6.4838403831872826</v>
      </c>
      <c r="V975" s="46">
        <f>'Data_in-situ'!DP55</f>
        <v>3</v>
      </c>
      <c r="W975" s="113">
        <f>'Data_in-situ'!DR55</f>
        <v>4.361518729534084</v>
      </c>
      <c r="X975" s="113">
        <f>'Data_in-situ'!DS55</f>
        <v>5.0347578591510027</v>
      </c>
      <c r="Y975" s="46">
        <f>'Data_in-situ'!DT55</f>
        <v>3</v>
      </c>
      <c r="Z975" s="113">
        <f>'Data_in-situ'!EA115</f>
        <v>0.58480172493239913</v>
      </c>
      <c r="AA975" s="113">
        <f>'Data_in-situ'!EB115</f>
        <v>3.3625964575635288</v>
      </c>
      <c r="AB975" s="46">
        <f>'Data_in-situ'!EC115</f>
        <v>3</v>
      </c>
      <c r="AC975" s="113">
        <f>'Data_in-situ'!EE115</f>
        <v>2.8250547138481497</v>
      </c>
      <c r="AD975" s="113">
        <f>'Data_in-situ'!EF115</f>
        <v>4.2182004486135707</v>
      </c>
      <c r="AE975" s="46">
        <f>'Data_in-situ'!EG115</f>
        <v>3</v>
      </c>
      <c r="AF975" s="113">
        <f>'Data_in-situ'!EN37</f>
        <v>-47</v>
      </c>
      <c r="AG975" s="113">
        <f>'Data_in-situ'!EO37</f>
        <v>6.8</v>
      </c>
      <c r="AH975" s="110">
        <f>'Data_in-situ'!EP37</f>
        <v>3</v>
      </c>
      <c r="AI975" s="113">
        <f>'Data_in-situ'!ER37</f>
        <v>-82</v>
      </c>
      <c r="AJ975" s="113">
        <f>'Data_in-situ'!ES37</f>
        <v>12.3</v>
      </c>
      <c r="AK975" s="110">
        <f>'Data_in-situ'!ET37</f>
        <v>3</v>
      </c>
    </row>
    <row r="976" spans="1:37" x14ac:dyDescent="0.3">
      <c r="B976" s="24">
        <f>'Data_in-situ'!CA44</f>
        <v>-7369.2686191596349</v>
      </c>
      <c r="C976" s="24">
        <f>'Data_in-situ'!CB44</f>
        <v>746.95892899118678</v>
      </c>
      <c r="D976" s="46">
        <f>'Data_in-situ'!CC44</f>
        <v>3</v>
      </c>
      <c r="E976" s="24">
        <f>'Data_in-situ'!CE44</f>
        <v>-4661.6737536796509</v>
      </c>
      <c r="F976" s="24">
        <f>'Data_in-situ'!CF44</f>
        <v>1270.1705922171766</v>
      </c>
      <c r="G976" s="46">
        <f>'Data_in-situ'!CG44</f>
        <v>3</v>
      </c>
      <c r="H976" s="24">
        <f>'Data_in-situ'!CN44</f>
        <v>11939.302764655935</v>
      </c>
      <c r="I976" s="24">
        <f>'Data_in-situ'!CO44</f>
        <v>4483.7070147716358</v>
      </c>
      <c r="J976" s="46">
        <f>'Data_in-situ'!CP44</f>
        <v>3</v>
      </c>
      <c r="K976" s="24">
        <f>'Data_in-situ'!CR44</f>
        <v>23300.995767448785</v>
      </c>
      <c r="L976" s="24">
        <f>'Data_in-situ'!CS44</f>
        <v>3584.4542083747219</v>
      </c>
      <c r="M976" s="46">
        <f>'Data_in-situ'!CT44</f>
        <v>3</v>
      </c>
      <c r="N976" s="24">
        <f>'Data_in-situ'!DA43</f>
        <v>4570.0341454963</v>
      </c>
      <c r="O976" s="24">
        <f>'Data_in-situ'!DB43</f>
        <v>2072.5073882436504</v>
      </c>
      <c r="P976" s="46">
        <f>'Data_in-situ'!DC43</f>
        <v>3</v>
      </c>
      <c r="Q976" s="24">
        <f>'Data_in-situ'!DE43</f>
        <v>12615.450438085565</v>
      </c>
      <c r="R976" s="24">
        <f>'Data_in-situ'!DF43</f>
        <v>3401.8688612922183</v>
      </c>
      <c r="S976" s="46">
        <f>'Data_in-situ'!DG43</f>
        <v>3</v>
      </c>
      <c r="T976" s="113">
        <f>'Data_in-situ'!DN56</f>
        <v>4.9255681733440708</v>
      </c>
      <c r="U976" s="113">
        <f>'Data_in-situ'!DO56</f>
        <v>6.4838403831872826</v>
      </c>
      <c r="V976" s="46">
        <f>'Data_in-situ'!DP56</f>
        <v>3</v>
      </c>
      <c r="W976" s="113">
        <f>'Data_in-situ'!DR56</f>
        <v>2.5655992526671083</v>
      </c>
      <c r="X976" s="113">
        <f>'Data_in-situ'!DS56</f>
        <v>2.1677925245184233</v>
      </c>
      <c r="Y976" s="46">
        <f>'Data_in-situ'!DT56</f>
        <v>3</v>
      </c>
      <c r="Z976" s="113">
        <f>'Data_in-situ'!EA116</f>
        <v>7.2261696923095198E-2</v>
      </c>
      <c r="AA976" s="113">
        <f>'Data_in-situ'!EB116</f>
        <v>0.41550309400885854</v>
      </c>
      <c r="AB976" s="46">
        <f>'Data_in-situ'!EC116</f>
        <v>3</v>
      </c>
      <c r="AC976" s="113">
        <f>'Data_in-situ'!EE116</f>
        <v>1.5614749500456337</v>
      </c>
      <c r="AD976" s="113">
        <f>'Data_in-situ'!EF116</f>
        <v>2.3314997414012506</v>
      </c>
      <c r="AE976" s="46">
        <f>'Data_in-situ'!EG116</f>
        <v>3</v>
      </c>
      <c r="AF976" s="113">
        <f>'Data_in-situ'!EN38</f>
        <v>-47</v>
      </c>
      <c r="AG976" s="113">
        <f>'Data_in-situ'!EO38</f>
        <v>6.8</v>
      </c>
      <c r="AH976" s="110">
        <f>'Data_in-situ'!EP38</f>
        <v>3</v>
      </c>
      <c r="AI976" s="113">
        <f>'Data_in-situ'!ER38</f>
        <v>-120</v>
      </c>
      <c r="AJ976" s="113">
        <f>'Data_in-situ'!ES38</f>
        <v>11.8</v>
      </c>
      <c r="AK976" s="110">
        <f>'Data_in-situ'!ET38</f>
        <v>3</v>
      </c>
    </row>
    <row r="977" spans="2:37" x14ac:dyDescent="0.3">
      <c r="B977" s="24">
        <f>'Data_in-situ'!CA45</f>
        <v>-7939.2672968846891</v>
      </c>
      <c r="C977" s="24">
        <f>'Data_in-situ'!CB45</f>
        <v>2111.9731212798092</v>
      </c>
      <c r="D977" s="46">
        <f>'Data_in-situ'!CC45</f>
        <v>3</v>
      </c>
      <c r="E977" s="24">
        <f>'Data_in-situ'!CE45</f>
        <v>-3674.0310092559957</v>
      </c>
      <c r="F977" s="24">
        <f>'Data_in-situ'!CF45</f>
        <v>3492.9691285972353</v>
      </c>
      <c r="G977" s="46">
        <f>'Data_in-situ'!CG45</f>
        <v>3</v>
      </c>
      <c r="H977" s="24">
        <f>'Data_in-situ'!CN45</f>
        <v>12286.087492260051</v>
      </c>
      <c r="I977" s="24">
        <f>'Data_in-situ'!CO45</f>
        <v>4228.1100433523952</v>
      </c>
      <c r="J977" s="46">
        <f>'Data_in-situ'!CP45</f>
        <v>3</v>
      </c>
      <c r="K977" s="24">
        <f>'Data_in-situ'!CR45</f>
        <v>22335.865765246766</v>
      </c>
      <c r="L977" s="24">
        <f>'Data_in-situ'!CS45</f>
        <v>5098.0031695624621</v>
      </c>
      <c r="M977" s="46">
        <f>'Data_in-situ'!CT45</f>
        <v>3</v>
      </c>
      <c r="N977" s="24">
        <f>'Data_in-situ'!DA44</f>
        <v>4570.0341454963</v>
      </c>
      <c r="O977" s="24">
        <f>'Data_in-situ'!DB44</f>
        <v>2072.5073882436504</v>
      </c>
      <c r="P977" s="46">
        <f>'Data_in-situ'!DC44</f>
        <v>3</v>
      </c>
      <c r="Q977" s="24">
        <f>'Data_in-situ'!DE44</f>
        <v>18639.322013769135</v>
      </c>
      <c r="R977" s="24">
        <f>'Data_in-situ'!DF44</f>
        <v>3134.054571327079</v>
      </c>
      <c r="S977" s="46">
        <f>'Data_in-situ'!DG44</f>
        <v>3</v>
      </c>
      <c r="T977" s="113">
        <f>'Data_in-situ'!DN57</f>
        <v>6.958675036383962</v>
      </c>
      <c r="U977" s="113">
        <f>'Data_in-situ'!DO57</f>
        <v>1.1532569524351295</v>
      </c>
      <c r="V977" s="46">
        <f>'Data_in-situ'!DP57</f>
        <v>3</v>
      </c>
      <c r="W977" s="113">
        <f>'Data_in-situ'!DR57</f>
        <v>1.1758996574724245</v>
      </c>
      <c r="X977" s="113">
        <f>'Data_in-situ'!DS57</f>
        <v>1.4564673447344252</v>
      </c>
      <c r="Y977" s="46">
        <f>'Data_in-situ'!DT57</f>
        <v>3</v>
      </c>
      <c r="Z977" s="113">
        <f>'Data_in-situ'!EA117</f>
        <v>1.0679983859531741</v>
      </c>
      <c r="AA977" s="113">
        <f>'Data_in-situ'!EB117</f>
        <v>6.1409661363513326</v>
      </c>
      <c r="AB977" s="46">
        <f>'Data_in-situ'!EC117</f>
        <v>3</v>
      </c>
      <c r="AC977" s="113">
        <f>'Data_in-situ'!EE117</f>
        <v>1.9745850203174469</v>
      </c>
      <c r="AD977" s="113">
        <f>'Data_in-situ'!EF117</f>
        <v>2.9483306562877405</v>
      </c>
      <c r="AE977" s="46">
        <f>'Data_in-situ'!EG117</f>
        <v>3</v>
      </c>
      <c r="AF977" s="113">
        <f>'Data_in-situ'!EN39</f>
        <v>-56</v>
      </c>
      <c r="AG977" s="113">
        <f>'Data_in-situ'!EO39</f>
        <v>10.1</v>
      </c>
      <c r="AH977" s="110">
        <f>'Data_in-situ'!EP39</f>
        <v>3</v>
      </c>
      <c r="AI977" s="113">
        <f>'Data_in-situ'!ER39</f>
        <v>-91</v>
      </c>
      <c r="AJ977" s="113">
        <f>'Data_in-situ'!ES39</f>
        <v>11.3</v>
      </c>
      <c r="AK977" s="110">
        <f>'Data_in-situ'!ET39</f>
        <v>3</v>
      </c>
    </row>
    <row r="978" spans="2:37" x14ac:dyDescent="0.3">
      <c r="B978" s="24">
        <f>'Data_in-situ'!CA46</f>
        <v>-7939.2672968846891</v>
      </c>
      <c r="C978" s="24">
        <f>'Data_in-situ'!CB46</f>
        <v>2111.9731212798092</v>
      </c>
      <c r="D978" s="46">
        <f>'Data_in-situ'!CC46</f>
        <v>3</v>
      </c>
      <c r="E978" s="24">
        <f>'Data_in-situ'!CE46</f>
        <v>-4859.2023025643821</v>
      </c>
      <c r="F978" s="24">
        <f>'Data_in-situ'!CF46</f>
        <v>1397.1876514388941</v>
      </c>
      <c r="G978" s="46">
        <f>'Data_in-situ'!CG46</f>
        <v>3</v>
      </c>
      <c r="H978" s="24">
        <f>'Data_in-situ'!CN46</f>
        <v>12286.087492260051</v>
      </c>
      <c r="I978" s="24">
        <f>'Data_in-situ'!CO46</f>
        <v>2603.8497140452123</v>
      </c>
      <c r="J978" s="46">
        <f>'Data_in-situ'!CP46</f>
        <v>3</v>
      </c>
      <c r="K978" s="24">
        <f>'Data_in-situ'!CR46</f>
        <v>23071.202909781641</v>
      </c>
      <c r="L978" s="24">
        <f>'Data_in-situ'!CS46</f>
        <v>3447.7118721915385</v>
      </c>
      <c r="M978" s="46">
        <f>'Data_in-situ'!CT46</f>
        <v>3</v>
      </c>
      <c r="N978" s="24">
        <f>'Data_in-situ'!DA45</f>
        <v>4346.8201953753614</v>
      </c>
      <c r="O978" s="24">
        <f>'Data_in-situ'!DB45</f>
        <v>1600.2428388061255</v>
      </c>
      <c r="P978" s="46">
        <f>'Data_in-situ'!DC45</f>
        <v>3</v>
      </c>
      <c r="Q978" s="24">
        <f>'Data_in-situ'!DE45</f>
        <v>18661.834755990771</v>
      </c>
      <c r="R978" s="24">
        <f>'Data_in-situ'!DF45</f>
        <v>3804.3746385120953</v>
      </c>
      <c r="S978" s="46">
        <f>'Data_in-situ'!DG45</f>
        <v>3</v>
      </c>
      <c r="T978" s="113">
        <f>'Data_in-situ'!DN58</f>
        <v>6.958675036383962</v>
      </c>
      <c r="U978" s="113">
        <f>'Data_in-situ'!DO58</f>
        <v>1.1532569524351295</v>
      </c>
      <c r="V978" s="46">
        <f>'Data_in-situ'!DP58</f>
        <v>3</v>
      </c>
      <c r="W978" s="113">
        <f>'Data_in-situ'!DR58</f>
        <v>1.090379682383521</v>
      </c>
      <c r="X978" s="113">
        <f>'Data_in-situ'!DS58</f>
        <v>2.1822665028157022</v>
      </c>
      <c r="Y978" s="46">
        <f>'Data_in-situ'!DT58</f>
        <v>3</v>
      </c>
      <c r="Z978" s="113">
        <f>'Data_in-situ'!EA118</f>
        <v>0.35237503307278556</v>
      </c>
      <c r="AA978" s="113">
        <f>'Data_in-situ'!EB118</f>
        <v>2.0261483293014391</v>
      </c>
      <c r="AB978" s="46">
        <f>'Data_in-situ'!EC118</f>
        <v>3</v>
      </c>
      <c r="AC978" s="113">
        <f>'Data_in-situ'!EE118</f>
        <v>2.9072916465010485</v>
      </c>
      <c r="AD978" s="113">
        <f>'Data_in-situ'!EF118</f>
        <v>4.3409916513851954</v>
      </c>
      <c r="AE978" s="46">
        <f>'Data_in-situ'!EG118</f>
        <v>3</v>
      </c>
      <c r="AF978" s="113">
        <f>'Data_in-situ'!EN40</f>
        <v>-56</v>
      </c>
      <c r="AG978" s="113">
        <f>'Data_in-situ'!EO40</f>
        <v>10.1</v>
      </c>
      <c r="AH978" s="110">
        <f>'Data_in-situ'!EP40</f>
        <v>3</v>
      </c>
      <c r="AI978" s="113">
        <f>'Data_in-situ'!ER40</f>
        <v>-128</v>
      </c>
      <c r="AJ978" s="113">
        <f>'Data_in-situ'!ES40</f>
        <v>14.2</v>
      </c>
      <c r="AK978" s="110">
        <f>'Data_in-situ'!ET40</f>
        <v>3</v>
      </c>
    </row>
    <row r="979" spans="2:37" x14ac:dyDescent="0.3">
      <c r="B979" s="24">
        <f>'Data_in-situ'!CA47</f>
        <v>-8294.385041352898</v>
      </c>
      <c r="C979" s="24">
        <f>'Data_in-situ'!CB47</f>
        <v>1642.4661972156998</v>
      </c>
      <c r="D979" s="46">
        <f>'Data_in-situ'!CC47</f>
        <v>3</v>
      </c>
      <c r="E979" s="24">
        <f>'Data_in-situ'!CE47</f>
        <v>-4116.4949587577939</v>
      </c>
      <c r="F979" s="24">
        <f>'Data_in-situ'!CF47</f>
        <v>2228.1690065442513</v>
      </c>
      <c r="G979" s="46">
        <f>'Data_in-situ'!CG47</f>
        <v>3</v>
      </c>
      <c r="H979" s="24">
        <f>'Data_in-situ'!CN47</f>
        <v>9925.2960228500779</v>
      </c>
      <c r="I979" s="24">
        <f>'Data_in-situ'!CO47</f>
        <v>1567.0081026388868</v>
      </c>
      <c r="J979" s="46">
        <f>'Data_in-situ'!CP47</f>
        <v>3</v>
      </c>
      <c r="K979" s="24">
        <f>'Data_in-situ'!CR47</f>
        <v>11818.246669821412</v>
      </c>
      <c r="L979" s="24">
        <f>'Data_in-situ'!CS47</f>
        <v>4651.0454986548657</v>
      </c>
      <c r="M979" s="46">
        <f>'Data_in-situ'!CT47</f>
        <v>3</v>
      </c>
      <c r="N979" s="24">
        <f>'Data_in-situ'!DA46</f>
        <v>4346.8201953753614</v>
      </c>
      <c r="O979" s="24">
        <f>'Data_in-situ'!DB46</f>
        <v>1600.2428388061255</v>
      </c>
      <c r="P979" s="46">
        <f>'Data_in-situ'!DC46</f>
        <v>3</v>
      </c>
      <c r="Q979" s="24">
        <f>'Data_in-situ'!DE46</f>
        <v>18212.000607217258</v>
      </c>
      <c r="R979" s="24">
        <f>'Data_in-situ'!DF46</f>
        <v>4028.2334522837918</v>
      </c>
      <c r="S979" s="46">
        <f>'Data_in-situ'!DG46</f>
        <v>3</v>
      </c>
      <c r="T979" s="113">
        <f>'Data_in-situ'!DN59</f>
        <v>10.866266106411475</v>
      </c>
      <c r="U979" s="113">
        <f>'Data_in-situ'!DO59</f>
        <v>5.3394122234557058</v>
      </c>
      <c r="V979" s="46">
        <f>'Data_in-situ'!DP59</f>
        <v>3</v>
      </c>
      <c r="W979" s="113">
        <f>'Data_in-situ'!DR59</f>
        <v>1.8694061542190537</v>
      </c>
      <c r="X979" s="113">
        <f>'Data_in-situ'!DS59</f>
        <v>2.1264618086738842</v>
      </c>
      <c r="Y979" s="46">
        <f>'Data_in-situ'!DT59</f>
        <v>3</v>
      </c>
      <c r="Z979" s="113">
        <f>'Data_in-situ'!EA119</f>
        <v>0.2322697401099488</v>
      </c>
      <c r="AA979" s="113">
        <f>'Data_in-situ'!EB119</f>
        <v>1.3355456593141879</v>
      </c>
      <c r="AB979" s="46">
        <f>'Data_in-situ'!EC119</f>
        <v>3</v>
      </c>
      <c r="AC979" s="113">
        <f>'Data_in-situ'!EE119</f>
        <v>3.1939260341842504</v>
      </c>
      <c r="AD979" s="113">
        <f>'Data_in-situ'!EF119</f>
        <v>4.7689767437752844</v>
      </c>
      <c r="AE979" s="46">
        <f>'Data_in-situ'!EG119</f>
        <v>3</v>
      </c>
      <c r="AF979" s="113">
        <f>'Data_in-situ'!EN41</f>
        <v>-38</v>
      </c>
      <c r="AG979" s="113">
        <f>'Data_in-situ'!EO41</f>
        <v>7.6</v>
      </c>
      <c r="AH979" s="110">
        <f>'Data_in-situ'!EP41</f>
        <v>3</v>
      </c>
      <c r="AI979" s="113">
        <f>'Data_in-situ'!ER41</f>
        <v>-73</v>
      </c>
      <c r="AJ979" s="113">
        <f>'Data_in-situ'!ES41</f>
        <v>10.3</v>
      </c>
      <c r="AK979" s="110">
        <f>'Data_in-situ'!ET41</f>
        <v>3</v>
      </c>
    </row>
    <row r="980" spans="2:37" x14ac:dyDescent="0.3">
      <c r="B980" s="24">
        <f>'Data_in-situ'!CA48</f>
        <v>-8294.385041352898</v>
      </c>
      <c r="C980" s="24">
        <f>'Data_in-situ'!CB48</f>
        <v>1642.4661972156998</v>
      </c>
      <c r="D980" s="46">
        <f>'Data_in-situ'!CC48</f>
        <v>3</v>
      </c>
      <c r="E980" s="24">
        <f>'Data_in-situ'!CE48</f>
        <v>-7951.7092639037292</v>
      </c>
      <c r="F980" s="24">
        <f>'Data_in-situ'!CF48</f>
        <v>991.198558307697</v>
      </c>
      <c r="G980" s="46">
        <f>'Data_in-situ'!CG48</f>
        <v>3</v>
      </c>
      <c r="H980" s="24">
        <f>'Data_in-situ'!CN48</f>
        <v>9925.2960228500779</v>
      </c>
      <c r="I980" s="24">
        <f>'Data_in-situ'!CO48</f>
        <v>1567.0081026388868</v>
      </c>
      <c r="J980" s="46">
        <f>'Data_in-situ'!CP48</f>
        <v>3</v>
      </c>
      <c r="K980" s="24">
        <f>'Data_in-situ'!CR48</f>
        <v>18874.266157348848</v>
      </c>
      <c r="L980" s="24">
        <f>'Data_in-situ'!CS48</f>
        <v>1436.9763260046241</v>
      </c>
      <c r="M980" s="46">
        <f>'Data_in-situ'!CT48</f>
        <v>3</v>
      </c>
      <c r="N980" s="24">
        <f>'Data_in-situ'!DA47</f>
        <v>1587.3797452740284</v>
      </c>
      <c r="O980" s="24">
        <f>'Data_in-situ'!DB47</f>
        <v>3333.5525389363561</v>
      </c>
      <c r="P980" s="46">
        <f>'Data_in-situ'!DC47</f>
        <v>3</v>
      </c>
      <c r="Q980" s="24">
        <f>'Data_in-situ'!DE47</f>
        <v>7701.7517110636172</v>
      </c>
      <c r="R980" s="24">
        <f>'Data_in-situ'!DF47</f>
        <v>1365.154161423319</v>
      </c>
      <c r="S980" s="46">
        <f>'Data_in-situ'!DG47</f>
        <v>3</v>
      </c>
      <c r="T980" s="113">
        <f>'Data_in-situ'!DN60</f>
        <v>10.866266106411475</v>
      </c>
      <c r="U980" s="113">
        <f>'Data_in-situ'!DO60</f>
        <v>5.3394122234557058</v>
      </c>
      <c r="V980" s="46">
        <f>'Data_in-situ'!DP60</f>
        <v>3</v>
      </c>
      <c r="W980" s="113">
        <f>'Data_in-situ'!DR60</f>
        <v>1.2247833424193799</v>
      </c>
      <c r="X980" s="113">
        <f>'Data_in-situ'!DS60</f>
        <v>3.4037999999999999</v>
      </c>
      <c r="Y980" s="46">
        <f>'Data_in-situ'!DT60</f>
        <v>3</v>
      </c>
      <c r="Z980" s="113">
        <f>'Data_in-situ'!EA120</f>
        <v>7.2775325769365226E-2</v>
      </c>
      <c r="AA980" s="113">
        <f>'Data_in-situ'!EB120</f>
        <v>0.41845644805235027</v>
      </c>
      <c r="AB980" s="46">
        <f>'Data_in-situ'!EC120</f>
        <v>3</v>
      </c>
      <c r="AC980" s="113">
        <f>'Data_in-situ'!EE120</f>
        <v>1.917612896672684</v>
      </c>
      <c r="AD980" s="113">
        <f>'Data_in-situ'!EF120</f>
        <v>2.8632633348164851</v>
      </c>
      <c r="AE980" s="46">
        <f>'Data_in-situ'!EG120</f>
        <v>3</v>
      </c>
      <c r="AF980" s="113">
        <f>'Data_in-situ'!EN42</f>
        <v>-38</v>
      </c>
      <c r="AG980" s="113">
        <f>'Data_in-situ'!EO42</f>
        <v>7.6</v>
      </c>
      <c r="AH980" s="110">
        <f>'Data_in-situ'!EP42</f>
        <v>3</v>
      </c>
      <c r="AI980" s="113">
        <f>'Data_in-situ'!ER42</f>
        <v>-112</v>
      </c>
      <c r="AJ980" s="113">
        <f>'Data_in-situ'!ES42</f>
        <v>15.2</v>
      </c>
      <c r="AK980" s="110">
        <f>'Data_in-situ'!ET42</f>
        <v>3</v>
      </c>
    </row>
    <row r="981" spans="2:37" x14ac:dyDescent="0.3">
      <c r="B981" s="24">
        <f>'Data_in-situ'!CA49</f>
        <v>-9369.2576901028933</v>
      </c>
      <c r="C981" s="24">
        <f>'Data_in-situ'!CB49</f>
        <v>2035.7162873934246</v>
      </c>
      <c r="D981" s="46">
        <f>'Data_in-situ'!CC49</f>
        <v>3</v>
      </c>
      <c r="E981" s="24">
        <f>'Data_in-situ'!CE49</f>
        <v>-2299.2323090182686</v>
      </c>
      <c r="F981" s="24">
        <f>'Data_in-situ'!CF49</f>
        <v>2342.6341654926264</v>
      </c>
      <c r="G981" s="46">
        <f>'Data_in-situ'!CG49</f>
        <v>3</v>
      </c>
      <c r="H981" s="24">
        <f>'Data_in-situ'!CN49</f>
        <v>12061.199832356524</v>
      </c>
      <c r="I981" s="24">
        <f>'Data_in-situ'!CO49</f>
        <v>2723.4693933324475</v>
      </c>
      <c r="J981" s="46">
        <f>'Data_in-situ'!CP49</f>
        <v>3</v>
      </c>
      <c r="K981" s="24">
        <f>'Data_in-situ'!CR49</f>
        <v>11429.896740363933</v>
      </c>
      <c r="L981" s="24">
        <f>'Data_in-situ'!CS49</f>
        <v>4226.8745195225956</v>
      </c>
      <c r="M981" s="46">
        <f>'Data_in-situ'!CT49</f>
        <v>3</v>
      </c>
      <c r="N981" s="24">
        <f>'Data_in-situ'!DA48</f>
        <v>1456.7860366045747</v>
      </c>
      <c r="O981" s="24">
        <f>'Data_in-situ'!DB48</f>
        <v>3333.5525389363561</v>
      </c>
      <c r="P981" s="46">
        <f>'Data_in-situ'!DC48</f>
        <v>3</v>
      </c>
      <c r="Q981" s="24">
        <f>'Data_in-situ'!DE48</f>
        <v>10922.55689344512</v>
      </c>
      <c r="R981" s="24">
        <f>'Data_in-situ'!DF48</f>
        <v>1312.0511177126614</v>
      </c>
      <c r="S981" s="46">
        <f>'Data_in-situ'!DG48</f>
        <v>3</v>
      </c>
      <c r="T981" s="113">
        <f>'Data_in-situ'!DN61</f>
        <v>9.9527304602972393</v>
      </c>
      <c r="U981" s="113">
        <f>'Data_in-situ'!DO61</f>
        <v>3.6109447780902064</v>
      </c>
      <c r="V981" s="46">
        <f>'Data_in-situ'!DP61</f>
        <v>3</v>
      </c>
      <c r="W981" s="113">
        <f>'Data_in-situ'!DR61</f>
        <v>1.4557731833142631</v>
      </c>
      <c r="X981" s="113">
        <f>'Data_in-situ'!DS61</f>
        <v>2.2523897859272677</v>
      </c>
      <c r="Y981" s="46">
        <f>'Data_in-situ'!DT61</f>
        <v>3</v>
      </c>
      <c r="Z981" s="113">
        <f>'Data_in-situ'!EA121</f>
        <v>0.31634988548724063</v>
      </c>
      <c r="AA981" s="113">
        <f>'Data_in-situ'!EB121</f>
        <v>1.8190045599010327</v>
      </c>
      <c r="AB981" s="46">
        <f>'Data_in-situ'!EC121</f>
        <v>3</v>
      </c>
      <c r="AC981" s="113">
        <f>'Data_in-situ'!EE121</f>
        <v>3.5426919892100956</v>
      </c>
      <c r="AD981" s="113">
        <f>'Data_in-situ'!EF121</f>
        <v>5.2897329262094335</v>
      </c>
      <c r="AE981" s="46">
        <f>'Data_in-situ'!EG121</f>
        <v>3</v>
      </c>
      <c r="AF981" s="113">
        <f>'Data_in-situ'!EN43</f>
        <v>-44</v>
      </c>
      <c r="AG981" s="113">
        <f>'Data_in-situ'!EO43</f>
        <v>6.8</v>
      </c>
      <c r="AH981" s="110">
        <f>'Data_in-situ'!EP43</f>
        <v>3</v>
      </c>
      <c r="AI981" s="113">
        <f>'Data_in-situ'!ER43</f>
        <v>-79</v>
      </c>
      <c r="AJ981" s="113">
        <f>'Data_in-situ'!ES43</f>
        <v>12.3</v>
      </c>
      <c r="AK981" s="110">
        <f>'Data_in-situ'!ET43</f>
        <v>3</v>
      </c>
    </row>
    <row r="982" spans="2:37" x14ac:dyDescent="0.3">
      <c r="B982" s="24">
        <f>'Data_in-situ'!CA50</f>
        <v>-9369.2576901028933</v>
      </c>
      <c r="C982" s="24">
        <f>'Data_in-situ'!CB50</f>
        <v>2035.7162873934246</v>
      </c>
      <c r="D982" s="46">
        <f>'Data_in-situ'!CC50</f>
        <v>3</v>
      </c>
      <c r="E982" s="24">
        <f>'Data_in-situ'!CE50</f>
        <v>-9078.4121067422348</v>
      </c>
      <c r="F982" s="24">
        <f>'Data_in-situ'!CF50</f>
        <v>2550.7669434897421</v>
      </c>
      <c r="G982" s="46">
        <f>'Data_in-situ'!CG50</f>
        <v>3</v>
      </c>
      <c r="H982" s="24">
        <f>'Data_in-situ'!CN50</f>
        <v>12061.199832356524</v>
      </c>
      <c r="I982" s="24">
        <f>'Data_in-situ'!CO50</f>
        <v>2723.4693933324475</v>
      </c>
      <c r="J982" s="46">
        <f>'Data_in-situ'!CP50</f>
        <v>3</v>
      </c>
      <c r="K982" s="24">
        <f>'Data_in-situ'!CR50</f>
        <v>19572.836444656983</v>
      </c>
      <c r="L982" s="24">
        <f>'Data_in-situ'!CS50</f>
        <v>4405.6978485162454</v>
      </c>
      <c r="M982" s="46">
        <f>'Data_in-situ'!CT50</f>
        <v>3</v>
      </c>
      <c r="N982" s="24">
        <f>'Data_in-situ'!DA49</f>
        <v>2691.9421422536325</v>
      </c>
      <c r="O982" s="24">
        <f>'Data_in-situ'!DB49</f>
        <v>1470.8979553996573</v>
      </c>
      <c r="P982" s="46">
        <f>'Data_in-situ'!DC49</f>
        <v>3</v>
      </c>
      <c r="Q982" s="24">
        <f>'Data_in-situ'!DE49</f>
        <v>9130.6644313456636</v>
      </c>
      <c r="R982" s="24">
        <f>'Data_in-situ'!DF49</f>
        <v>1617.1067844170707</v>
      </c>
      <c r="S982" s="46">
        <f>'Data_in-situ'!DG49</f>
        <v>3</v>
      </c>
      <c r="T982" s="113">
        <f>'Data_in-situ'!DN62</f>
        <v>9.9527304602972393</v>
      </c>
      <c r="U982" s="113">
        <f>'Data_in-situ'!DO62</f>
        <v>3.6109447780902064</v>
      </c>
      <c r="V982" s="46">
        <f>'Data_in-situ'!DP62</f>
        <v>3</v>
      </c>
      <c r="W982" s="113">
        <f>'Data_in-situ'!DR62</f>
        <v>1.0045372150544916</v>
      </c>
      <c r="X982" s="113">
        <f>'Data_in-situ'!DS62</f>
        <v>1.2391823776598332</v>
      </c>
      <c r="Y982" s="46">
        <f>'Data_in-situ'!DT62</f>
        <v>3</v>
      </c>
      <c r="Z982" s="113">
        <f>'Data_in-situ'!EA122</f>
        <v>2.1678509076928559E-2</v>
      </c>
      <c r="AA982" s="113">
        <f>'Data_in-situ'!EB122</f>
        <v>0.12465092820265757</v>
      </c>
      <c r="AB982" s="46">
        <f>'Data_in-situ'!EC122</f>
        <v>3</v>
      </c>
      <c r="AC982" s="113">
        <f>'Data_in-situ'!EE122</f>
        <v>1.4195226818596671</v>
      </c>
      <c r="AD982" s="113">
        <f>'Data_in-situ'!EF122</f>
        <v>2.1195452194556825</v>
      </c>
      <c r="AE982" s="46">
        <f>'Data_in-situ'!EG122</f>
        <v>3</v>
      </c>
      <c r="AF982" s="113">
        <f>'Data_in-situ'!EN44</f>
        <v>-44</v>
      </c>
      <c r="AG982" s="113">
        <f>'Data_in-situ'!EO44</f>
        <v>6.8</v>
      </c>
      <c r="AH982" s="110">
        <f>'Data_in-situ'!EP44</f>
        <v>3</v>
      </c>
      <c r="AI982" s="113">
        <f>'Data_in-situ'!ER44</f>
        <v>-116</v>
      </c>
      <c r="AJ982" s="113">
        <f>'Data_in-situ'!ES44</f>
        <v>11.8</v>
      </c>
      <c r="AK982" s="110">
        <f>'Data_in-situ'!ET44</f>
        <v>3</v>
      </c>
    </row>
    <row r="983" spans="2:37" x14ac:dyDescent="0.3">
      <c r="B983" s="24">
        <f>'Data_in-situ'!CA51</f>
        <v>-9754.4163078122838</v>
      </c>
      <c r="C983" s="24">
        <f>'Data_in-situ'!CB51</f>
        <v>3932.1332121217479</v>
      </c>
      <c r="D983" s="46">
        <f>'Data_in-situ'!CC51</f>
        <v>3</v>
      </c>
      <c r="E983" s="24">
        <f>'Data_in-situ'!CE51</f>
        <v>-2761.4491134085392</v>
      </c>
      <c r="F983" s="24">
        <f>'Data_in-situ'!CF51</f>
        <v>1692.9192981356198</v>
      </c>
      <c r="G983" s="46">
        <f>'Data_in-situ'!CG51</f>
        <v>3</v>
      </c>
      <c r="H983" s="24">
        <f>'Data_in-situ'!CN51</f>
        <v>12245.303198687096</v>
      </c>
      <c r="I983" s="24">
        <f>'Data_in-situ'!CO51</f>
        <v>3757.3069479498581</v>
      </c>
      <c r="J983" s="46">
        <f>'Data_in-situ'!CP51</f>
        <v>3</v>
      </c>
      <c r="K983" s="24">
        <f>'Data_in-situ'!CR51</f>
        <v>17330.977325256288</v>
      </c>
      <c r="L983" s="24">
        <f>'Data_in-situ'!CS51</f>
        <v>2585.939777312642</v>
      </c>
      <c r="M983" s="46">
        <f>'Data_in-situ'!CT51</f>
        <v>3</v>
      </c>
      <c r="N983" s="24">
        <f>'Data_in-situ'!DA50</f>
        <v>2691.9421422536325</v>
      </c>
      <c r="O983" s="24">
        <f>'Data_in-situ'!DB50</f>
        <v>1470.8979553996573</v>
      </c>
      <c r="P983" s="46">
        <f>'Data_in-situ'!DC50</f>
        <v>3</v>
      </c>
      <c r="Q983" s="24">
        <f>'Data_in-situ'!DE50</f>
        <v>10494.424337914745</v>
      </c>
      <c r="R983" s="24">
        <f>'Data_in-situ'!DF50</f>
        <v>1546.8515977021152</v>
      </c>
      <c r="S983" s="46">
        <f>'Data_in-situ'!DG50</f>
        <v>3</v>
      </c>
      <c r="T983" s="113">
        <f>'Data_in-situ'!DN63</f>
        <v>10.24121540117542</v>
      </c>
      <c r="U983" s="113">
        <f>'Data_in-situ'!DO63</f>
        <v>7.0937907088882888</v>
      </c>
      <c r="V983" s="46">
        <f>'Data_in-situ'!DP63</f>
        <v>3</v>
      </c>
      <c r="W983" s="113">
        <f>'Data_in-situ'!DR63</f>
        <v>0.9615623609345133</v>
      </c>
      <c r="X983" s="113">
        <f>'Data_in-situ'!DS63</f>
        <v>1.1781116185620597</v>
      </c>
      <c r="Y983" s="46">
        <f>'Data_in-situ'!DT63</f>
        <v>3</v>
      </c>
      <c r="Z983" s="113">
        <f>'Data_in-situ'!EA123</f>
        <v>6.2823434467833755E-2</v>
      </c>
      <c r="AA983" s="113">
        <f>'Data_in-situ'!EB123</f>
        <v>0.36123330213831362</v>
      </c>
      <c r="AB983" s="46">
        <f>'Data_in-situ'!EC123</f>
        <v>3</v>
      </c>
      <c r="AC983" s="113">
        <f>'Data_in-situ'!EE123</f>
        <v>2.4682312753968088</v>
      </c>
      <c r="AD983" s="113">
        <f>'Data_in-situ'!EF123</f>
        <v>3.6854133203596762</v>
      </c>
      <c r="AE983" s="46">
        <f>'Data_in-situ'!EG123</f>
        <v>3</v>
      </c>
      <c r="AF983" s="113">
        <f>'Data_in-situ'!EN45</f>
        <v>-50</v>
      </c>
      <c r="AG983" s="113">
        <f>'Data_in-situ'!EO45</f>
        <v>6.8</v>
      </c>
      <c r="AH983" s="110">
        <f>'Data_in-situ'!EP45</f>
        <v>3</v>
      </c>
      <c r="AI983" s="113">
        <f>'Data_in-situ'!ER45</f>
        <v>-85</v>
      </c>
      <c r="AJ983" s="113">
        <f>'Data_in-situ'!ES45</f>
        <v>12.3</v>
      </c>
      <c r="AK983" s="110">
        <f>'Data_in-situ'!ET45</f>
        <v>3</v>
      </c>
    </row>
    <row r="984" spans="2:37" x14ac:dyDescent="0.3">
      <c r="B984" s="24">
        <f>'Data_in-situ'!CA52</f>
        <v>-9754.4163078122838</v>
      </c>
      <c r="C984" s="24">
        <f>'Data_in-situ'!CB52</f>
        <v>3932.1332121217479</v>
      </c>
      <c r="D984" s="46">
        <f>'Data_in-situ'!CC52</f>
        <v>3</v>
      </c>
      <c r="E984" s="24">
        <f>'Data_in-situ'!CE52</f>
        <v>-9460.8273773830751</v>
      </c>
      <c r="F984" s="24">
        <f>'Data_in-situ'!CF52</f>
        <v>2248.9137051770867</v>
      </c>
      <c r="G984" s="46">
        <f>'Data_in-situ'!CG52</f>
        <v>3</v>
      </c>
      <c r="H984" s="24">
        <f>'Data_in-situ'!CN52</f>
        <v>12245.303198687096</v>
      </c>
      <c r="I984" s="24">
        <f>'Data_in-situ'!CO52</f>
        <v>3459.6241558518745</v>
      </c>
      <c r="J984" s="46">
        <f>'Data_in-situ'!CP52</f>
        <v>3</v>
      </c>
      <c r="K984" s="24">
        <f>'Data_in-situ'!CR52</f>
        <v>19797.114273740117</v>
      </c>
      <c r="L984" s="24">
        <f>'Data_in-situ'!CS52</f>
        <v>3942.244199118858</v>
      </c>
      <c r="M984" s="46">
        <f>'Data_in-situ'!CT52</f>
        <v>3</v>
      </c>
      <c r="N984" s="24">
        <f>'Data_in-situ'!DA51</f>
        <v>2490.8868908748118</v>
      </c>
      <c r="O984" s="24">
        <f>'Data_in-situ'!DB51</f>
        <v>1134.5350284056235</v>
      </c>
      <c r="P984" s="46">
        <f>'Data_in-situ'!DC51</f>
        <v>3</v>
      </c>
      <c r="Q984" s="24">
        <f>'Data_in-situ'!DE51</f>
        <v>14569.528211847748</v>
      </c>
      <c r="R984" s="24">
        <f>'Data_in-situ'!DF51</f>
        <v>1911.412784772738</v>
      </c>
      <c r="S984" s="46">
        <f>'Data_in-situ'!DG51</f>
        <v>3</v>
      </c>
      <c r="T984" s="113">
        <f>'Data_in-situ'!DN64</f>
        <v>10.24121540117542</v>
      </c>
      <c r="U984" s="113">
        <f>'Data_in-situ'!DO64</f>
        <v>7.0937907088882888</v>
      </c>
      <c r="V984" s="46">
        <f>'Data_in-situ'!DP64</f>
        <v>3</v>
      </c>
      <c r="W984" s="113">
        <f>'Data_in-situ'!DR64</f>
        <v>0.45660782502476893</v>
      </c>
      <c r="X984" s="113">
        <f>'Data_in-situ'!DS64</f>
        <v>1.5313900415070829</v>
      </c>
      <c r="Y984" s="46">
        <f>'Data_in-situ'!DT64</f>
        <v>3</v>
      </c>
      <c r="Z984" s="113">
        <f>'Data_in-situ'!EA124</f>
        <v>2.0013214586575439</v>
      </c>
      <c r="AA984" s="113">
        <f>'Data_in-situ'!EB124</f>
        <v>11.507552321439633</v>
      </c>
      <c r="AB984" s="46">
        <f>'Data_in-situ'!EC124</f>
        <v>3</v>
      </c>
      <c r="AC984" s="113">
        <f>'Data_in-situ'!EE124</f>
        <v>3.1161209570931105</v>
      </c>
      <c r="AD984" s="113">
        <f>'Data_in-situ'!EF124</f>
        <v>4.6528029190767866</v>
      </c>
      <c r="AE984" s="46">
        <f>'Data_in-situ'!EG124</f>
        <v>3</v>
      </c>
      <c r="AF984" s="113">
        <f>'Data_in-situ'!EN46</f>
        <v>-50</v>
      </c>
      <c r="AG984" s="113">
        <f>'Data_in-situ'!EO46</f>
        <v>6.8</v>
      </c>
      <c r="AH984" s="110">
        <f>'Data_in-situ'!EP46</f>
        <v>3</v>
      </c>
      <c r="AI984" s="113">
        <f>'Data_in-situ'!ER46</f>
        <v>-120</v>
      </c>
      <c r="AJ984" s="113">
        <f>'Data_in-situ'!ES46</f>
        <v>11.8</v>
      </c>
      <c r="AK984" s="110">
        <f>'Data_in-situ'!ET46</f>
        <v>3</v>
      </c>
    </row>
    <row r="985" spans="2:37" x14ac:dyDescent="0.3">
      <c r="B985" s="24">
        <f>'Data_in-situ'!CA71</f>
        <v>-9117.231395346209</v>
      </c>
      <c r="C985" s="24">
        <f>'Data_in-situ'!CB71</f>
        <v>2424.3247606001519</v>
      </c>
      <c r="D985" s="46">
        <f>'Data_in-situ'!CC71</f>
        <v>3</v>
      </c>
      <c r="E985" s="24">
        <f>'Data_in-situ'!CE71</f>
        <v>-11061.598737544935</v>
      </c>
      <c r="F985" s="24">
        <f>'Data_in-situ'!CF71</f>
        <v>12004.393621698095</v>
      </c>
      <c r="G985" s="46">
        <f>'Data_in-situ'!CG71</f>
        <v>3</v>
      </c>
      <c r="H985" s="24">
        <f>'Data_in-situ'!CN71</f>
        <v>12663.516770662041</v>
      </c>
      <c r="I985" s="24">
        <f>'Data_in-situ'!CO71</f>
        <v>2011.7619468526057</v>
      </c>
      <c r="J985" s="46">
        <f>'Data_in-situ'!CP71</f>
        <v>3</v>
      </c>
      <c r="K985" s="24">
        <f>'Data_in-situ'!CR71</f>
        <v>13557.778602361721</v>
      </c>
      <c r="L985" s="24">
        <f>'Data_in-situ'!CS71</f>
        <v>1534.7793518535277</v>
      </c>
      <c r="M985" s="46">
        <f>'Data_in-situ'!CT71</f>
        <v>3</v>
      </c>
      <c r="N985" s="24">
        <f>'Data_in-situ'!DA52</f>
        <v>2490.8868908748118</v>
      </c>
      <c r="O985" s="24">
        <f>'Data_in-situ'!DB52</f>
        <v>1134.5350284056235</v>
      </c>
      <c r="P985" s="46">
        <f>'Data_in-situ'!DC52</f>
        <v>3</v>
      </c>
      <c r="Q985" s="24">
        <f>'Data_in-situ'!DE52</f>
        <v>10336.286896357044</v>
      </c>
      <c r="R985" s="24">
        <f>'Data_in-situ'!DF52</f>
        <v>1988.9291863416881</v>
      </c>
      <c r="S985" s="46">
        <f>'Data_in-situ'!DG52</f>
        <v>3</v>
      </c>
      <c r="T985" s="113">
        <f>'Data_in-situ'!DN65</f>
        <v>7.7977007953643627</v>
      </c>
      <c r="U985" s="113">
        <f>'Data_in-situ'!DO65</f>
        <v>3.3514104017873239</v>
      </c>
      <c r="V985" s="46">
        <f>'Data_in-situ'!DP65</f>
        <v>3</v>
      </c>
      <c r="W985" s="113">
        <f>'Data_in-situ'!DR65</f>
        <v>3.0401651288720082</v>
      </c>
      <c r="X985" s="113">
        <f>'Data_in-situ'!DS65</f>
        <v>2.576926227735012</v>
      </c>
      <c r="Y985" s="46">
        <f>'Data_in-situ'!DT65</f>
        <v>3</v>
      </c>
      <c r="Z985" s="113">
        <f>'Data_in-situ'!EA125</f>
        <v>2.0562742556670646</v>
      </c>
      <c r="AA985" s="113">
        <f>'Data_in-situ'!EB125</f>
        <v>11.823529639356714</v>
      </c>
      <c r="AB985" s="46">
        <f>'Data_in-situ'!EC125</f>
        <v>3</v>
      </c>
      <c r="AC985" s="113">
        <f>'Data_in-situ'!EE125</f>
        <v>3.9594792820583411</v>
      </c>
      <c r="AD985" s="113">
        <f>'Data_in-situ'!EF125</f>
        <v>5.9120544469399539</v>
      </c>
      <c r="AE985" s="46">
        <f>'Data_in-situ'!EG125</f>
        <v>3</v>
      </c>
      <c r="AF985" s="113">
        <f>'Data_in-situ'!EN47</f>
        <v>-38</v>
      </c>
      <c r="AG985" s="113">
        <f>'Data_in-situ'!EO47</f>
        <v>5.412566119688516</v>
      </c>
      <c r="AH985" s="110">
        <f>'Data_in-situ'!EP47</f>
        <v>3</v>
      </c>
      <c r="AI985" s="113">
        <f>'Data_in-situ'!ER47</f>
        <v>-73</v>
      </c>
      <c r="AJ985" s="113">
        <f>'Data_in-situ'!ES47</f>
        <v>7.3195252578292278</v>
      </c>
      <c r="AK985" s="110">
        <f>'Data_in-situ'!ET47</f>
        <v>3</v>
      </c>
    </row>
    <row r="986" spans="2:37" x14ac:dyDescent="0.3">
      <c r="B986" s="24">
        <f>'Data_in-situ'!CA72</f>
        <v>-10940.677674415452</v>
      </c>
      <c r="C986" s="24">
        <f>'Data_in-situ'!CB72</f>
        <v>3587.5182834567408</v>
      </c>
      <c r="D986" s="46">
        <f>'Data_in-situ'!CC72</f>
        <v>3</v>
      </c>
      <c r="E986" s="24">
        <f>'Data_in-situ'!CE72</f>
        <v>-13155.401355723083</v>
      </c>
      <c r="F986" s="24">
        <f>'Data_in-situ'!CF72</f>
        <v>5176.9391284347485</v>
      </c>
      <c r="G986" s="46">
        <f>'Data_in-situ'!CG72</f>
        <v>3</v>
      </c>
      <c r="H986" s="24">
        <f>'Data_in-situ'!CN72</f>
        <v>12156.97609983556</v>
      </c>
      <c r="I986" s="24">
        <f>'Data_in-situ'!CO72</f>
        <v>3352.7816659818532</v>
      </c>
      <c r="J986" s="46">
        <f>'Data_in-situ'!CP72</f>
        <v>3</v>
      </c>
      <c r="K986" s="24">
        <f>'Data_in-situ'!CR72</f>
        <v>16499.127180501211</v>
      </c>
      <c r="L986" s="24">
        <f>'Data_in-situ'!CS72</f>
        <v>2145.4857374487219</v>
      </c>
      <c r="M986" s="46">
        <f>'Data_in-situ'!CT72</f>
        <v>3</v>
      </c>
      <c r="N986" s="24">
        <f>'Data_in-situ'!DA71</f>
        <v>3546.2853753158324</v>
      </c>
      <c r="O986" s="24">
        <f>'Data_in-situ'!DB71</f>
        <v>5941.722754487856</v>
      </c>
      <c r="P986" s="46">
        <f>'Data_in-situ'!DC71</f>
        <v>3</v>
      </c>
      <c r="Q986" s="24">
        <f>'Data_in-situ'!DE71</f>
        <v>2496.179864816786</v>
      </c>
      <c r="R986" s="24">
        <f>'Data_in-situ'!DF71</f>
        <v>441.8656256521171</v>
      </c>
      <c r="S986" s="46">
        <f>'Data_in-situ'!DG71</f>
        <v>3</v>
      </c>
      <c r="T986" s="113">
        <f>'Data_in-situ'!DN66</f>
        <v>7.7977007953643627</v>
      </c>
      <c r="U986" s="113">
        <f>'Data_in-situ'!DO66</f>
        <v>3.3514104017873239</v>
      </c>
      <c r="V986" s="46">
        <f>'Data_in-situ'!DP66</f>
        <v>3</v>
      </c>
      <c r="W986" s="113">
        <f>'Data_in-situ'!DR66</f>
        <v>1.9887131963175433</v>
      </c>
      <c r="X986" s="113">
        <f>'Data_in-situ'!DS66</f>
        <v>2.7881365985407487</v>
      </c>
      <c r="Y986" s="46">
        <f>'Data_in-situ'!DT66</f>
        <v>3</v>
      </c>
      <c r="Z986" s="113">
        <f>'Data_in-situ'!EA126</f>
        <v>0.1445233938461904</v>
      </c>
      <c r="AA986" s="113">
        <f>'Data_in-situ'!EB126</f>
        <v>0.83100618801771708</v>
      </c>
      <c r="AB986" s="46">
        <f>'Data_in-situ'!EC126</f>
        <v>3</v>
      </c>
      <c r="AC986" s="113">
        <f>'Data_in-situ'!EE126</f>
        <v>2.2712362909754678</v>
      </c>
      <c r="AD986" s="113">
        <f>'Data_in-situ'!EF126</f>
        <v>3.3912723511290923</v>
      </c>
      <c r="AE986" s="46">
        <f>'Data_in-situ'!EG126</f>
        <v>3</v>
      </c>
      <c r="AF986" s="113">
        <f>'Data_in-situ'!EN48</f>
        <v>-38</v>
      </c>
      <c r="AG986" s="113">
        <f>'Data_in-situ'!EO48</f>
        <v>5.412566119688516</v>
      </c>
      <c r="AH986" s="110">
        <f>'Data_in-situ'!EP48</f>
        <v>3</v>
      </c>
      <c r="AI986" s="113">
        <f>'Data_in-situ'!ER48</f>
        <v>-112</v>
      </c>
      <c r="AJ986" s="113">
        <f>'Data_in-situ'!ES48</f>
        <v>10.756618055876112</v>
      </c>
      <c r="AK986" s="110">
        <f>'Data_in-situ'!ET48</f>
        <v>3</v>
      </c>
    </row>
    <row r="987" spans="2:37" x14ac:dyDescent="0.3">
      <c r="B987" s="24">
        <f>'Data_in-situ'!CA73</f>
        <v>-7247.1260453614077</v>
      </c>
      <c r="C987" s="24">
        <f>'Data_in-situ'!CB73</f>
        <v>2100.9616035887616</v>
      </c>
      <c r="D987" s="46">
        <f>'Data_in-situ'!CC73</f>
        <v>3</v>
      </c>
      <c r="E987" s="24">
        <f>'Data_in-situ'!CE73</f>
        <v>-4582.6623341257582</v>
      </c>
      <c r="F987" s="24">
        <f>'Data_in-situ'!CF73</f>
        <v>1321.5627260440792</v>
      </c>
      <c r="G987" s="46">
        <f>'Data_in-situ'!CG73</f>
        <v>3</v>
      </c>
      <c r="H987" s="24">
        <f>'Data_in-situ'!CN73</f>
        <v>6440.2877983621229</v>
      </c>
      <c r="I987" s="24">
        <f>'Data_in-situ'!CO73</f>
        <v>2181.3507268282779</v>
      </c>
      <c r="J987" s="46">
        <f>'Data_in-situ'!CP73</f>
        <v>3</v>
      </c>
      <c r="K987" s="24">
        <f>'Data_in-situ'!CR73</f>
        <v>24633.794341918241</v>
      </c>
      <c r="L987" s="24">
        <f>'Data_in-situ'!CS73</f>
        <v>2489.5274353362884</v>
      </c>
      <c r="M987" s="46">
        <f>'Data_in-situ'!CT73</f>
        <v>3</v>
      </c>
      <c r="N987" s="24">
        <f>'Data_in-situ'!DA72</f>
        <v>1216.2984254201074</v>
      </c>
      <c r="O987" s="24">
        <f>'Data_in-situ'!DB72</f>
        <v>2060.9133169618799</v>
      </c>
      <c r="P987" s="46">
        <f>'Data_in-situ'!DC72</f>
        <v>3</v>
      </c>
      <c r="Q987" s="24">
        <f>'Data_in-situ'!DE72</f>
        <v>3343.7258247781283</v>
      </c>
      <c r="R987" s="24">
        <f>'Data_in-situ'!DF72</f>
        <v>717.82293341401112</v>
      </c>
      <c r="S987" s="46">
        <f>'Data_in-situ'!DG72</f>
        <v>3</v>
      </c>
      <c r="T987" s="113">
        <f>'Data_in-situ'!DN67</f>
        <v>7.1375195796034658</v>
      </c>
      <c r="U987" s="113">
        <f>'Data_in-situ'!DO67</f>
        <v>3.9633493035082119</v>
      </c>
      <c r="V987" s="46">
        <f>'Data_in-situ'!DP67</f>
        <v>3</v>
      </c>
      <c r="W987" s="113">
        <f>'Data_in-situ'!DR67</f>
        <v>3.0539332337351648</v>
      </c>
      <c r="X987" s="113">
        <f>'Data_in-situ'!DS67</f>
        <v>2.9487867124895311</v>
      </c>
      <c r="Y987" s="46">
        <f>'Data_in-situ'!DT67</f>
        <v>3</v>
      </c>
      <c r="Z987" s="113">
        <f>'Data_in-situ'!EA127</f>
        <v>0.25129373787133502</v>
      </c>
      <c r="AA987" s="113">
        <f>'Data_in-situ'!EB127</f>
        <v>1.4449332085532545</v>
      </c>
      <c r="AB987" s="46">
        <f>'Data_in-situ'!EC127</f>
        <v>3</v>
      </c>
      <c r="AC987" s="113">
        <f>'Data_in-situ'!EE127</f>
        <v>2.7150544029364894</v>
      </c>
      <c r="AD987" s="113">
        <f>'Data_in-situ'!EF127</f>
        <v>4.0539546523956433</v>
      </c>
      <c r="AE987" s="46">
        <f>'Data_in-situ'!EG127</f>
        <v>3</v>
      </c>
      <c r="AF987" s="113">
        <f>'Data_in-situ'!EN49</f>
        <v>-45.680000000000007</v>
      </c>
      <c r="AG987" s="113">
        <f>'Data_in-situ'!EO49</f>
        <v>4.842822317616041</v>
      </c>
      <c r="AH987" s="110">
        <f>'Data_in-situ'!EP49</f>
        <v>3</v>
      </c>
      <c r="AI987" s="113">
        <f>'Data_in-situ'!ER49</f>
        <v>-80.650000000000006</v>
      </c>
      <c r="AJ987" s="113">
        <f>'Data_in-situ'!ES49</f>
        <v>8.7407922981844166</v>
      </c>
      <c r="AK987" s="110">
        <f>'Data_in-situ'!ET49</f>
        <v>3</v>
      </c>
    </row>
    <row r="988" spans="2:37" x14ac:dyDescent="0.3">
      <c r="B988" s="24">
        <f>'Data_in-situ'!CA74</f>
        <v>-7369.268619159634</v>
      </c>
      <c r="C988" s="24">
        <f>'Data_in-situ'!CB74</f>
        <v>746.95892899118678</v>
      </c>
      <c r="D988" s="46">
        <f>'Data_in-situ'!CC74</f>
        <v>3</v>
      </c>
      <c r="E988" s="24">
        <f>'Data_in-situ'!CE74</f>
        <v>-4661.6737536796509</v>
      </c>
      <c r="F988" s="24">
        <f>'Data_in-situ'!CF74</f>
        <v>1389.6358486823906</v>
      </c>
      <c r="G988" s="46">
        <f>'Data_in-situ'!CG74</f>
        <v>3</v>
      </c>
      <c r="H988" s="24">
        <f>'Data_in-situ'!CN74</f>
        <v>11939.302764655935</v>
      </c>
      <c r="I988" s="24">
        <f>'Data_in-situ'!CO74</f>
        <v>4483.7070147716368</v>
      </c>
      <c r="J988" s="46">
        <f>'Data_in-situ'!CP74</f>
        <v>3</v>
      </c>
      <c r="K988" s="24">
        <f>'Data_in-situ'!CR74</f>
        <v>23300.995767448785</v>
      </c>
      <c r="L988" s="24">
        <f>'Data_in-situ'!CS74</f>
        <v>3584.4542083747219</v>
      </c>
      <c r="M988" s="46">
        <f>'Data_in-situ'!CT74</f>
        <v>3</v>
      </c>
      <c r="N988" s="24">
        <f>'Data_in-situ'!DA73</f>
        <v>-806.83824699928482</v>
      </c>
      <c r="O988" s="24">
        <f>'Data_in-situ'!DB73</f>
        <v>1429.0549882340658</v>
      </c>
      <c r="P988" s="46">
        <f>'Data_in-situ'!DC73</f>
        <v>3</v>
      </c>
      <c r="Q988" s="24">
        <f>'Data_in-situ'!DE73</f>
        <v>20051.132007792483</v>
      </c>
      <c r="R988" s="24">
        <f>'Data_in-situ'!DF73</f>
        <v>2691.1988636577994</v>
      </c>
      <c r="S988" s="46">
        <f>'Data_in-situ'!DG73</f>
        <v>3</v>
      </c>
      <c r="T988" s="113">
        <f>'Data_in-situ'!DN68</f>
        <v>7.1375195796034658</v>
      </c>
      <c r="U988" s="113">
        <f>'Data_in-situ'!DO68</f>
        <v>3.9633493035082119</v>
      </c>
      <c r="V988" s="46">
        <f>'Data_in-situ'!DP68</f>
        <v>3</v>
      </c>
      <c r="W988" s="113">
        <f>'Data_in-situ'!DR68</f>
        <v>1.8162894746130522</v>
      </c>
      <c r="X988" s="113">
        <f>'Data_in-situ'!DS68</f>
        <v>1.2745561332707356</v>
      </c>
      <c r="Y988" s="46">
        <f>'Data_in-situ'!DT68</f>
        <v>3</v>
      </c>
      <c r="Z988" s="113">
        <f>'Data_in-situ'!EA146</f>
        <v>-6.8828571428571433E-2</v>
      </c>
      <c r="AA988" s="113">
        <f>'Data_in-situ'!EB146</f>
        <v>0.39576270143804132</v>
      </c>
      <c r="AB988" s="46">
        <f>'Data_in-situ'!EC146</f>
        <v>4</v>
      </c>
      <c r="AC988" s="113">
        <f>'Data_in-situ'!EE146</f>
        <v>4.5977485714285713</v>
      </c>
      <c r="AD988" s="113">
        <f>'Data_in-situ'!EF146</f>
        <v>6.8650794590079105</v>
      </c>
      <c r="AE988" s="46">
        <f>'Data_in-situ'!EG146</f>
        <v>4</v>
      </c>
      <c r="AF988" s="113">
        <f>'Data_in-situ'!EN50</f>
        <v>-45.680000000000007</v>
      </c>
      <c r="AG988" s="113">
        <f>'Data_in-situ'!EO50</f>
        <v>4.842822317616041</v>
      </c>
      <c r="AH988" s="110">
        <f>'Data_in-situ'!EP50</f>
        <v>3</v>
      </c>
      <c r="AI988" s="113">
        <f>'Data_in-situ'!ER50</f>
        <v>-118.08000000000001</v>
      </c>
      <c r="AJ988" s="113">
        <f>'Data_in-situ'!ES50</f>
        <v>8.3505324381143513</v>
      </c>
      <c r="AK988" s="110">
        <f>'Data_in-situ'!ET50</f>
        <v>3</v>
      </c>
    </row>
    <row r="989" spans="2:37" x14ac:dyDescent="0.3">
      <c r="B989" s="24">
        <f>'Data_in-situ'!CA75</f>
        <v>-8294.3850413528962</v>
      </c>
      <c r="C989" s="24">
        <f>'Data_in-situ'!CB75</f>
        <v>1642.4661972156998</v>
      </c>
      <c r="D989" s="46">
        <f>'Data_in-situ'!CC75</f>
        <v>3</v>
      </c>
      <c r="E989" s="24">
        <f>'Data_in-situ'!CE75</f>
        <v>-8210.866720040498</v>
      </c>
      <c r="F989" s="24">
        <f>'Data_in-situ'!CF75</f>
        <v>6747.5626737645262</v>
      </c>
      <c r="G989" s="46">
        <f>'Data_in-situ'!CG75</f>
        <v>3</v>
      </c>
      <c r="H989" s="24">
        <f>'Data_in-situ'!CN75</f>
        <v>9925.2960228500779</v>
      </c>
      <c r="I989" s="24">
        <f>'Data_in-situ'!CO75</f>
        <v>1480.0009145095366</v>
      </c>
      <c r="J989" s="46">
        <f>'Data_in-situ'!CP75</f>
        <v>3</v>
      </c>
      <c r="K989" s="24">
        <f>'Data_in-situ'!CR75</f>
        <v>18431.22552776659</v>
      </c>
      <c r="L989" s="24">
        <f>'Data_in-situ'!CS75</f>
        <v>1392.33025401075</v>
      </c>
      <c r="M989" s="46">
        <f>'Data_in-situ'!CT75</f>
        <v>3</v>
      </c>
      <c r="N989" s="24">
        <f>'Data_in-situ'!DA74</f>
        <v>4570.0341454963009</v>
      </c>
      <c r="O989" s="24">
        <f>'Data_in-situ'!DB74</f>
        <v>7489.8905028845447</v>
      </c>
      <c r="P989" s="46">
        <f>'Data_in-situ'!DC74</f>
        <v>3</v>
      </c>
      <c r="Q989" s="24">
        <f>'Data_in-situ'!DE74</f>
        <v>18639.322013769135</v>
      </c>
      <c r="R989" s="24">
        <f>'Data_in-situ'!DF74</f>
        <v>3134.0545713270785</v>
      </c>
      <c r="S989" s="46">
        <f>'Data_in-situ'!DG74</f>
        <v>3</v>
      </c>
      <c r="T989" s="113">
        <f>'Data_in-situ'!DN69</f>
        <v>8.4029927968922031</v>
      </c>
      <c r="U989" s="113">
        <f>'Data_in-situ'!DO69</f>
        <v>3.1873816651232265</v>
      </c>
      <c r="V989" s="46">
        <f>'Data_in-situ'!DP69</f>
        <v>3</v>
      </c>
      <c r="W989" s="113">
        <f>'Data_in-situ'!DR69</f>
        <v>1.0794478740303646</v>
      </c>
      <c r="X989" s="113">
        <f>'Data_in-situ'!DS69</f>
        <v>0.96059962800413323</v>
      </c>
      <c r="Y989" s="46">
        <f>'Data_in-situ'!DT69</f>
        <v>3</v>
      </c>
      <c r="Z989" s="113">
        <f>'Data_in-situ'!EA153</f>
        <v>4.2428571428571429</v>
      </c>
      <c r="AA989" s="113">
        <f>'Data_in-situ'!EB153</f>
        <v>2.9857142857142853</v>
      </c>
      <c r="AB989" s="46">
        <f>'Data_in-situ'!EC153</f>
        <v>7</v>
      </c>
      <c r="AC989" s="113">
        <f>'Data_in-situ'!EE153</f>
        <v>7.8571428571428568</v>
      </c>
      <c r="AD989" s="113">
        <f>'Data_in-situ'!EF153</f>
        <v>4.2428571428571429</v>
      </c>
      <c r="AE989" s="46">
        <f>'Data_in-situ'!EG153</f>
        <v>8</v>
      </c>
      <c r="AF989" s="113">
        <f>'Data_in-situ'!EN51</f>
        <v>-53.36</v>
      </c>
      <c r="AG989" s="113">
        <f>'Data_in-situ'!EO51</f>
        <v>6.3986248522631799</v>
      </c>
      <c r="AH989" s="110">
        <f>'Data_in-situ'!EP51</f>
        <v>3</v>
      </c>
      <c r="AI989" s="113">
        <f>'Data_in-situ'!ER51</f>
        <v>-88.300000000000011</v>
      </c>
      <c r="AJ989" s="113">
        <f>'Data_in-situ'!ES51</f>
        <v>8.3224065029293062</v>
      </c>
      <c r="AK989" s="110">
        <f>'Data_in-situ'!ET51</f>
        <v>3</v>
      </c>
    </row>
    <row r="990" spans="2:37" x14ac:dyDescent="0.3">
      <c r="B990" s="24">
        <f>'Data_in-situ'!CA76</f>
        <v>-9369.2576901028915</v>
      </c>
      <c r="C990" s="24">
        <f>'Data_in-situ'!CB76</f>
        <v>2035.7162873934251</v>
      </c>
      <c r="D990" s="46">
        <f>'Data_in-situ'!CC76</f>
        <v>3</v>
      </c>
      <c r="E990" s="24">
        <f>'Data_in-situ'!CE76</f>
        <v>-9418.1612108239733</v>
      </c>
      <c r="F990" s="24">
        <f>'Data_in-situ'!CF76</f>
        <v>2962.8630952565604</v>
      </c>
      <c r="G990" s="46">
        <f>'Data_in-situ'!CG76</f>
        <v>3</v>
      </c>
      <c r="H990" s="24">
        <f>'Data_in-situ'!CN76</f>
        <v>12061.199832356524</v>
      </c>
      <c r="I990" s="24">
        <f>'Data_in-situ'!CO76</f>
        <v>2723.4693933324479</v>
      </c>
      <c r="J990" s="46">
        <f>'Data_in-situ'!CP76</f>
        <v>3</v>
      </c>
      <c r="K990" s="24">
        <f>'Data_in-situ'!CR76</f>
        <v>19491.949358758146</v>
      </c>
      <c r="L990" s="24">
        <f>'Data_in-situ'!CS76</f>
        <v>1982.6669401893841</v>
      </c>
      <c r="M990" s="46">
        <f>'Data_in-situ'!CT76</f>
        <v>3</v>
      </c>
      <c r="N990" s="24">
        <f>'Data_in-situ'!DA75</f>
        <v>1630.9109814971816</v>
      </c>
      <c r="O990" s="24">
        <f>'Data_in-situ'!DB75</f>
        <v>3386.2554087633621</v>
      </c>
      <c r="P990" s="46">
        <f>'Data_in-situ'!DC75</f>
        <v>3</v>
      </c>
      <c r="Q990" s="24">
        <f>'Data_in-situ'!DE75</f>
        <v>10220.358807726092</v>
      </c>
      <c r="R990" s="24">
        <f>'Data_in-situ'!DF75</f>
        <v>1209.7052702050512</v>
      </c>
      <c r="S990" s="46">
        <f>'Data_in-situ'!DG75</f>
        <v>3</v>
      </c>
      <c r="T990" s="113">
        <f>'Data_in-situ'!DN70</f>
        <v>8.4029927968922031</v>
      </c>
      <c r="U990" s="113">
        <f>'Data_in-situ'!DO70</f>
        <v>3.1873816651232265</v>
      </c>
      <c r="V990" s="46">
        <f>'Data_in-situ'!DP70</f>
        <v>3</v>
      </c>
      <c r="W990" s="113">
        <f>'Data_in-situ'!DR70</f>
        <v>0.78616919085132009</v>
      </c>
      <c r="X990" s="113">
        <f>'Data_in-situ'!DS70</f>
        <v>1.3520526050253143</v>
      </c>
      <c r="Y990" s="46">
        <f>'Data_in-situ'!DT70</f>
        <v>3</v>
      </c>
      <c r="Z990" s="113">
        <f>'Data_in-situ'!EA154</f>
        <v>4.2428571428571429</v>
      </c>
      <c r="AA990" s="113">
        <f>'Data_in-situ'!EB154</f>
        <v>2.9857142857142853</v>
      </c>
      <c r="AB990" s="46">
        <f>'Data_in-situ'!EC154</f>
        <v>7</v>
      </c>
      <c r="AC990" s="113">
        <f>'Data_in-situ'!EE154</f>
        <v>1.8857142857142857</v>
      </c>
      <c r="AD990" s="113">
        <f>'Data_in-situ'!EF154</f>
        <v>2.8156342625739934</v>
      </c>
      <c r="AE990" s="46">
        <f>'Data_in-situ'!EG154</f>
        <v>1</v>
      </c>
      <c r="AF990" s="113">
        <f>'Data_in-situ'!EN52</f>
        <v>-53.36</v>
      </c>
      <c r="AG990" s="113">
        <f>'Data_in-situ'!EO52</f>
        <v>6.3986248522631799</v>
      </c>
      <c r="AH990" s="110">
        <f>'Data_in-situ'!EP52</f>
        <v>3</v>
      </c>
      <c r="AI990" s="113">
        <f>'Data_in-situ'!ER52</f>
        <v>-124.16</v>
      </c>
      <c r="AJ990" s="113">
        <f>'Data_in-situ'!ES52</f>
        <v>9.3061459262145689</v>
      </c>
      <c r="AK990" s="110">
        <f>'Data_in-situ'!ET52</f>
        <v>3</v>
      </c>
    </row>
    <row r="991" spans="2:37" x14ac:dyDescent="0.3">
      <c r="B991" s="24">
        <f>'Data_in-situ'!CA356</f>
        <v>-6328.9988329119469</v>
      </c>
      <c r="C991" s="24">
        <f>'Data_in-situ'!CB356</f>
        <v>1543.0761204956746</v>
      </c>
      <c r="D991" s="46">
        <f>'Data_in-situ'!CC356</f>
        <v>3</v>
      </c>
      <c r="E991" s="24">
        <f>'Data_in-situ'!CE356</f>
        <v>-4475.6377749118492</v>
      </c>
      <c r="F991" s="24">
        <f>'Data_in-situ'!CF356</f>
        <v>1666.1416304755389</v>
      </c>
      <c r="G991" s="46">
        <f>'Data_in-situ'!CG356</f>
        <v>3</v>
      </c>
      <c r="H991" s="24">
        <f>'Data_in-situ'!CN356</f>
        <v>5111.9658604723854</v>
      </c>
      <c r="I991" s="24">
        <f>'Data_in-situ'!CO356</f>
        <v>1470.3409867037487</v>
      </c>
      <c r="J991" s="46">
        <f>'Data_in-situ'!CP356</f>
        <v>3</v>
      </c>
      <c r="K991" s="24">
        <f>'Data_in-situ'!CR356</f>
        <v>5547.6173892807064</v>
      </c>
      <c r="L991" s="24">
        <f>'Data_in-situ'!CS356</f>
        <v>1455.6458174146255</v>
      </c>
      <c r="M991" s="46">
        <f>'Data_in-situ'!CT356</f>
        <v>3</v>
      </c>
      <c r="N991" s="24">
        <f>'Data_in-situ'!DA76</f>
        <v>2691.9421422536325</v>
      </c>
      <c r="O991" s="24">
        <f>'Data_in-situ'!DB76</f>
        <v>3491.7953924879967</v>
      </c>
      <c r="P991" s="46">
        <f>'Data_in-situ'!DC76</f>
        <v>3</v>
      </c>
      <c r="Q991" s="24">
        <f>'Data_in-situ'!DE76</f>
        <v>10073.788147934172</v>
      </c>
      <c r="R991" s="24">
        <f>'Data_in-situ'!DF76</f>
        <v>1436.3793028165639</v>
      </c>
      <c r="S991" s="46">
        <f>'Data_in-situ'!DG76</f>
        <v>3</v>
      </c>
      <c r="T991" s="113">
        <f>'Data_in-situ'!DN85</f>
        <v>580</v>
      </c>
      <c r="U991" s="113">
        <f>'Data_in-situ'!DO85</f>
        <v>646.62998771275659</v>
      </c>
      <c r="V991" s="46">
        <f>'Data_in-situ'!DP85</f>
        <v>3</v>
      </c>
      <c r="W991" s="113">
        <f>'Data_in-situ'!DR85</f>
        <v>0.53333333333333333</v>
      </c>
      <c r="X991" s="113">
        <f>'Data_in-situ'!DS85</f>
        <v>1.9931820238032052</v>
      </c>
      <c r="Y991" s="46">
        <f>'Data_in-situ'!DT85</f>
        <v>3</v>
      </c>
      <c r="Z991" s="113">
        <f>'Data_in-situ'!EA168</f>
        <v>9.3513037184644965</v>
      </c>
      <c r="AA991" s="113">
        <f>'Data_in-situ'!EB168</f>
        <v>53.769781135553693</v>
      </c>
      <c r="AB991" s="46">
        <f>'Data_in-situ'!EC168</f>
        <v>3</v>
      </c>
      <c r="AC991" s="113">
        <f>'Data_in-situ'!EE168</f>
        <v>12.26580629480485</v>
      </c>
      <c r="AD991" s="113">
        <f>'Data_in-situ'!EF168</f>
        <v>18.314558426684705</v>
      </c>
      <c r="AE991" s="46">
        <f>'Data_in-situ'!EG168</f>
        <v>3</v>
      </c>
      <c r="AF991" s="113">
        <f>'Data_in-situ'!EN53</f>
        <v>-38</v>
      </c>
      <c r="AG991" s="113">
        <f>'Data_in-situ'!EO53</f>
        <v>7.6</v>
      </c>
      <c r="AH991" s="110">
        <f>'Data_in-situ'!EP53</f>
        <v>3</v>
      </c>
      <c r="AI991" s="113">
        <f>'Data_in-situ'!ER53</f>
        <v>-73</v>
      </c>
      <c r="AJ991" s="113">
        <f>'Data_in-situ'!ES53</f>
        <v>10.3</v>
      </c>
      <c r="AK991" s="110">
        <f>'Data_in-situ'!ET53</f>
        <v>3</v>
      </c>
    </row>
    <row r="992" spans="2:37" x14ac:dyDescent="0.3">
      <c r="B992" s="24">
        <f>'Data_in-situ'!CA359</f>
        <v>-8439.7813360929867</v>
      </c>
      <c r="C992" s="24">
        <f>'Data_in-situ'!CB359</f>
        <v>2057.7069747914984</v>
      </c>
      <c r="D992" s="46">
        <f>'Data_in-situ'!CC359</f>
        <v>3</v>
      </c>
      <c r="E992" s="24">
        <f>'Data_in-situ'!CE359</f>
        <v>-6425.7832666283757</v>
      </c>
      <c r="F992" s="24">
        <f>'Data_in-situ'!CF359</f>
        <v>2392.1205306105239</v>
      </c>
      <c r="G992" s="46">
        <f>'Data_in-situ'!CG359</f>
        <v>3</v>
      </c>
      <c r="H992" s="24">
        <f>'Data_in-situ'!CN359</f>
        <v>5436.6394443079935</v>
      </c>
      <c r="I992" s="24">
        <f>'Data_in-situ'!CO359</f>
        <v>1563.7259760881216</v>
      </c>
      <c r="J992" s="46">
        <f>'Data_in-situ'!CP359</f>
        <v>3</v>
      </c>
      <c r="K992" s="24">
        <f>'Data_in-situ'!CR359</f>
        <v>7678.4238876488043</v>
      </c>
      <c r="L992" s="24">
        <f>'Data_in-situ'!CS359</f>
        <v>2014.7506275377307</v>
      </c>
      <c r="M992" s="46">
        <f>'Data_in-situ'!CT359</f>
        <v>3</v>
      </c>
      <c r="N992" s="24">
        <f>'Data_in-situ'!DA168</f>
        <v>25.237137365721058</v>
      </c>
      <c r="O992" s="24">
        <f>'Data_in-situ'!DB168</f>
        <v>75.702744621550025</v>
      </c>
      <c r="P992" s="46">
        <f>'Data_in-situ'!DC168</f>
        <v>3</v>
      </c>
      <c r="Q992" s="24">
        <f>'Data_in-situ'!DE168</f>
        <v>227.90960825112143</v>
      </c>
      <c r="R992" s="24">
        <f>'Data_in-situ'!DF168</f>
        <v>217.23040085623657</v>
      </c>
      <c r="S992" s="46">
        <f>'Data_in-situ'!DG168</f>
        <v>3</v>
      </c>
      <c r="T992" s="113">
        <f>'Data_in-situ'!DN99</f>
        <v>142.07619872372933</v>
      </c>
      <c r="U992" s="113">
        <f>'Data_in-situ'!DO99</f>
        <v>118.22720000000001</v>
      </c>
      <c r="V992" s="46">
        <f>'Data_in-situ'!DP99</f>
        <v>24</v>
      </c>
      <c r="W992" s="113">
        <f>'Data_in-situ'!DR99</f>
        <v>1.3426361623616241</v>
      </c>
      <c r="X992" s="113">
        <f>'Data_in-situ'!DS99</f>
        <v>1.8695039999999998</v>
      </c>
      <c r="Y992" s="46">
        <f>'Data_in-situ'!DT99</f>
        <v>15</v>
      </c>
      <c r="Z992" s="113">
        <f>'Data_in-situ'!EA201</f>
        <v>0</v>
      </c>
      <c r="AA992" s="113">
        <f>'Data_in-situ'!EB201</f>
        <v>0</v>
      </c>
      <c r="AB992" s="46">
        <f>'Data_in-situ'!EC201</f>
        <v>3</v>
      </c>
      <c r="AC992" s="113">
        <f>'Data_in-situ'!EE201</f>
        <v>0.03</v>
      </c>
      <c r="AD992" s="113">
        <f>'Data_in-situ'!EF201</f>
        <v>4.4794181450040799E-2</v>
      </c>
      <c r="AE992" s="46">
        <f>'Data_in-situ'!EG201</f>
        <v>3</v>
      </c>
      <c r="AF992" s="113">
        <f>'Data_in-situ'!EN54</f>
        <v>-38</v>
      </c>
      <c r="AG992" s="113">
        <f>'Data_in-situ'!EO54</f>
        <v>7.6</v>
      </c>
      <c r="AH992" s="110">
        <f>'Data_in-situ'!EP54</f>
        <v>3</v>
      </c>
      <c r="AI992" s="113">
        <f>'Data_in-situ'!ER54</f>
        <v>-112</v>
      </c>
      <c r="AJ992" s="113">
        <f>'Data_in-situ'!ES54</f>
        <v>15.2</v>
      </c>
      <c r="AK992" s="110">
        <f>'Data_in-situ'!ET54</f>
        <v>3</v>
      </c>
    </row>
    <row r="993" spans="2:37" x14ac:dyDescent="0.3">
      <c r="B993" s="24">
        <f>'Data_in-situ'!CA415</f>
        <v>-17995.009527856251</v>
      </c>
      <c r="C993" s="24">
        <f>'Data_in-situ'!CB415</f>
        <v>1848.1534882558306</v>
      </c>
      <c r="D993" s="46">
        <f>'Data_in-situ'!CC415</f>
        <v>3</v>
      </c>
      <c r="E993" s="24">
        <f>'Data_in-situ'!CE415</f>
        <v>-2054.5525514059905</v>
      </c>
      <c r="F993" s="24">
        <f>'Data_in-situ'!CF415</f>
        <v>2813.7544962882453</v>
      </c>
      <c r="G993" s="46">
        <f>'Data_in-situ'!CG415</f>
        <v>3</v>
      </c>
      <c r="H993" s="24">
        <f>'Data_in-situ'!CN415</f>
        <v>11579.692563738146</v>
      </c>
      <c r="I993" s="24">
        <f>'Data_in-situ'!CO415</f>
        <v>6378.0768142690904</v>
      </c>
      <c r="J993" s="46">
        <f>'Data_in-situ'!CP415</f>
        <v>3</v>
      </c>
      <c r="K993" s="24">
        <f>'Data_in-situ'!CR415</f>
        <v>3447.3943707861481</v>
      </c>
      <c r="L993" s="24">
        <f>'Data_in-situ'!CS415</f>
        <v>3117.4820932763982</v>
      </c>
      <c r="M993" s="46">
        <f>'Data_in-situ'!CT415</f>
        <v>3</v>
      </c>
      <c r="N993" s="24">
        <f>'Data_in-situ'!DA201</f>
        <v>-2040</v>
      </c>
      <c r="O993" s="24">
        <f>'Data_in-situ'!DB201</f>
        <v>6119.2993797198715</v>
      </c>
      <c r="P993" s="46">
        <f>'Data_in-situ'!DC201</f>
        <v>3</v>
      </c>
      <c r="Q993" s="24">
        <f>'Data_in-situ'!DE201</f>
        <v>5060</v>
      </c>
      <c r="R993" s="24">
        <f>'Data_in-situ'!DF201</f>
        <v>698.59382571944718</v>
      </c>
      <c r="S993" s="46">
        <f>'Data_in-situ'!DG201</f>
        <v>3</v>
      </c>
      <c r="T993" s="113">
        <f>'Data_in-situ'!DN107</f>
        <v>93.066666666666677</v>
      </c>
      <c r="U993" s="113">
        <f>'Data_in-situ'!DO107</f>
        <v>103.75809917781704</v>
      </c>
      <c r="V993" s="46">
        <f>'Data_in-situ'!DP107</f>
        <v>3</v>
      </c>
      <c r="W993" s="113">
        <f>'Data_in-situ'!DR107</f>
        <v>0.13333333333333333</v>
      </c>
      <c r="X993" s="113">
        <f>'Data_in-situ'!DS107</f>
        <v>0.4982955059508013</v>
      </c>
      <c r="Y993" s="46">
        <f>'Data_in-situ'!DT107</f>
        <v>3</v>
      </c>
      <c r="Z993" s="113">
        <f>'Data_in-situ'!EA202</f>
        <v>0</v>
      </c>
      <c r="AA993" s="113">
        <f>'Data_in-situ'!EB202</f>
        <v>0</v>
      </c>
      <c r="AB993" s="46">
        <f>'Data_in-situ'!EC202</f>
        <v>3</v>
      </c>
      <c r="AC993" s="113">
        <f>'Data_in-situ'!EE202</f>
        <v>0.05</v>
      </c>
      <c r="AD993" s="113">
        <f>'Data_in-situ'!EF202</f>
        <v>7.4656969083401345E-2</v>
      </c>
      <c r="AE993" s="46">
        <f>'Data_in-situ'!EG202</f>
        <v>3</v>
      </c>
      <c r="AF993" s="113">
        <f>'Data_in-situ'!EN55</f>
        <v>-47</v>
      </c>
      <c r="AG993" s="113">
        <f>'Data_in-situ'!EO55</f>
        <v>6.8</v>
      </c>
      <c r="AH993" s="110">
        <f>'Data_in-situ'!EP55</f>
        <v>3</v>
      </c>
      <c r="AI993" s="113">
        <f>'Data_in-situ'!ER55</f>
        <v>-82</v>
      </c>
      <c r="AJ993" s="113">
        <f>'Data_in-situ'!ES55</f>
        <v>12.3</v>
      </c>
      <c r="AK993" s="110">
        <f>'Data_in-situ'!ET55</f>
        <v>3</v>
      </c>
    </row>
    <row r="994" spans="2:37" x14ac:dyDescent="0.3">
      <c r="B994" s="24">
        <f>'Data_in-situ'!CA418</f>
        <v>-31496.666666666664</v>
      </c>
      <c r="C994" s="24">
        <f>'Data_in-situ'!CB418</f>
        <v>7679.2168068996079</v>
      </c>
      <c r="D994" s="46">
        <f>'Data_in-situ'!CC418</f>
        <v>1</v>
      </c>
      <c r="E994" s="24">
        <f>'Data_in-situ'!CE418</f>
        <v>-47703.333333333328</v>
      </c>
      <c r="F994" s="24">
        <f>'Data_in-situ'!CF418</f>
        <v>17758.476797350639</v>
      </c>
      <c r="G994" s="46">
        <f>'Data_in-situ'!CG418</f>
        <v>1</v>
      </c>
      <c r="H994" s="24">
        <f>'Data_in-situ'!CN418</f>
        <v>24456.666666666664</v>
      </c>
      <c r="I994" s="24">
        <f>'Data_in-situ'!CO418</f>
        <v>7034.4052326727378</v>
      </c>
      <c r="J994" s="46">
        <f>'Data_in-situ'!CP418</f>
        <v>1</v>
      </c>
      <c r="K994" s="24">
        <f>'Data_in-situ'!CR418</f>
        <v>44476.666666666672</v>
      </c>
      <c r="L994" s="24">
        <f>'Data_in-situ'!CS418</f>
        <v>11670.284603796765</v>
      </c>
      <c r="M994" s="46">
        <f>'Data_in-situ'!CT418</f>
        <v>1</v>
      </c>
      <c r="N994" s="24">
        <f>'Data_in-situ'!DA202</f>
        <v>-4180</v>
      </c>
      <c r="O994" s="24">
        <f>'Data_in-situ'!DB202</f>
        <v>12538.564415308363</v>
      </c>
      <c r="P994" s="46">
        <f>'Data_in-situ'!DC202</f>
        <v>3</v>
      </c>
      <c r="Q994" s="24">
        <f>'Data_in-situ'!DE202</f>
        <v>1540</v>
      </c>
      <c r="R994" s="24">
        <f>'Data_in-situ'!DF202</f>
        <v>1460.696181049753</v>
      </c>
      <c r="S994" s="46">
        <f>'Data_in-situ'!DG202</f>
        <v>3</v>
      </c>
      <c r="Z994" s="113">
        <f>'Data_in-situ'!EA203</f>
        <v>0.80142857142857149</v>
      </c>
      <c r="AA994" s="113">
        <f>'Data_in-situ'!EB203</f>
        <v>0.1905255888325765</v>
      </c>
      <c r="AB994" s="46">
        <f>'Data_in-situ'!EC203</f>
        <v>3</v>
      </c>
      <c r="AC994" s="113">
        <f>'Data_in-situ'!EE203</f>
        <v>1.5242857142857142</v>
      </c>
      <c r="AD994" s="113">
        <f>'Data_in-situ'!EF203</f>
        <v>0.3538332364033564</v>
      </c>
      <c r="AE994" s="46">
        <f>'Data_in-situ'!EG203</f>
        <v>3</v>
      </c>
      <c r="AF994" s="113">
        <f>'Data_in-situ'!EN56</f>
        <v>-47</v>
      </c>
      <c r="AG994" s="113">
        <f>'Data_in-situ'!EO56</f>
        <v>6.8</v>
      </c>
      <c r="AH994" s="110">
        <f>'Data_in-situ'!EP56</f>
        <v>3</v>
      </c>
      <c r="AI994" s="113">
        <f>'Data_in-situ'!ER56</f>
        <v>-120</v>
      </c>
      <c r="AJ994" s="113">
        <f>'Data_in-situ'!ES56</f>
        <v>11.8</v>
      </c>
      <c r="AK994" s="110">
        <f>'Data_in-situ'!ET56</f>
        <v>3</v>
      </c>
    </row>
    <row r="995" spans="2:37" x14ac:dyDescent="0.3">
      <c r="B995" s="24">
        <f>'Data_in-situ'!CA419</f>
        <v>-30323.333333333336</v>
      </c>
      <c r="C995" s="24">
        <f>'Data_in-situ'!CB419</f>
        <v>7393.145866479601</v>
      </c>
      <c r="D995" s="46">
        <f>'Data_in-situ'!CC419</f>
        <v>1</v>
      </c>
      <c r="E995" s="24">
        <f>'Data_in-situ'!CE419</f>
        <v>-45173.333333333328</v>
      </c>
      <c r="F995" s="24">
        <f>'Data_in-situ'!CF419</f>
        <v>16816.635983348184</v>
      </c>
      <c r="G995" s="46">
        <f>'Data_in-situ'!CG419</f>
        <v>1</v>
      </c>
      <c r="H995" s="24">
        <f>'Data_in-situ'!CN419</f>
        <v>22513.333333333336</v>
      </c>
      <c r="I995" s="24">
        <f>'Data_in-situ'!CO419</f>
        <v>6475.4494945443212</v>
      </c>
      <c r="J995" s="46">
        <f>'Data_in-situ'!CP419</f>
        <v>1</v>
      </c>
      <c r="K995" s="24">
        <f>'Data_in-situ'!CR419</f>
        <v>43303.333333333328</v>
      </c>
      <c r="L995" s="24">
        <f>'Data_in-situ'!CS419</f>
        <v>11362.412297678464</v>
      </c>
      <c r="M995" s="46">
        <f>'Data_in-situ'!CT419</f>
        <v>1</v>
      </c>
      <c r="N995" s="24">
        <f>'Data_in-situ'!DA226</f>
        <v>-4000</v>
      </c>
      <c r="O995" s="24">
        <f>'Data_in-situ'!DB226</f>
        <v>11998.626234744846</v>
      </c>
      <c r="P995" s="46">
        <f>'Data_in-situ'!DC226</f>
        <v>4</v>
      </c>
      <c r="Q995" s="24">
        <f>'Data_in-situ'!DE226</f>
        <v>2600</v>
      </c>
      <c r="R995" s="24">
        <f>'Data_in-situ'!DF226</f>
        <v>2478.1712651793655</v>
      </c>
      <c r="S995" s="46">
        <f>'Data_in-situ'!DG226</f>
        <v>4</v>
      </c>
      <c r="Z995" s="113">
        <f>'Data_in-situ'!EA204</f>
        <v>0.80142857142857149</v>
      </c>
      <c r="AA995" s="113">
        <f>'Data_in-situ'!EB204</f>
        <v>0.1905255888325765</v>
      </c>
      <c r="AB995" s="46">
        <f>'Data_in-situ'!EC204</f>
        <v>3</v>
      </c>
      <c r="AC995" s="113">
        <f>'Data_in-situ'!EE204</f>
        <v>1.4614285714285715</v>
      </c>
      <c r="AD995" s="113">
        <f>'Data_in-situ'!EF204</f>
        <v>0.21774353009437314</v>
      </c>
      <c r="AE995" s="46">
        <f>'Data_in-situ'!EG204</f>
        <v>3</v>
      </c>
      <c r="AF995" s="113">
        <f>'Data_in-situ'!EN57</f>
        <v>-56</v>
      </c>
      <c r="AG995" s="113">
        <f>'Data_in-situ'!EO57</f>
        <v>10.1</v>
      </c>
      <c r="AH995" s="110">
        <f>'Data_in-situ'!EP57</f>
        <v>3</v>
      </c>
      <c r="AI995" s="113">
        <f>'Data_in-situ'!ER57</f>
        <v>-91</v>
      </c>
      <c r="AJ995" s="113">
        <f>'Data_in-situ'!ES57</f>
        <v>11.3</v>
      </c>
      <c r="AK995" s="110">
        <f>'Data_in-situ'!ET57</f>
        <v>3</v>
      </c>
    </row>
    <row r="996" spans="2:37" x14ac:dyDescent="0.3">
      <c r="B996" s="24">
        <f>'Data_in-situ'!CA432</f>
        <v>-7090</v>
      </c>
      <c r="C996" s="24">
        <f>'Data_in-situ'!CB432</f>
        <v>1524.2047106606119</v>
      </c>
      <c r="D996" s="46">
        <f>'Data_in-situ'!CC432</f>
        <v>3</v>
      </c>
      <c r="E996" s="24">
        <f>'Data_in-situ'!CE432</f>
        <v>-18490</v>
      </c>
      <c r="F996" s="24">
        <f>'Data_in-situ'!CF432</f>
        <v>3689.2682201217081</v>
      </c>
      <c r="G996" s="46">
        <f>'Data_in-situ'!CG432</f>
        <v>3</v>
      </c>
      <c r="H996" s="24">
        <f>'Data_in-situ'!CN432</f>
        <v>7020</v>
      </c>
      <c r="I996" s="24">
        <f>'Data_in-situ'!CO432</f>
        <v>1299.038105676658</v>
      </c>
      <c r="J996" s="46">
        <f>'Data_in-situ'!CP432</f>
        <v>3</v>
      </c>
      <c r="K996" s="24">
        <f>'Data_in-situ'!CR432</f>
        <v>23060</v>
      </c>
      <c r="L996" s="24">
        <f>'Data_in-situ'!CS432</f>
        <v>2424.871130596428</v>
      </c>
      <c r="M996" s="46">
        <f>'Data_in-situ'!CT432</f>
        <v>3</v>
      </c>
      <c r="N996" s="24">
        <f>'Data_in-situ'!DA227</f>
        <v>-2700</v>
      </c>
      <c r="O996" s="24">
        <f>'Data_in-situ'!DB227</f>
        <v>8099.0727084527707</v>
      </c>
      <c r="P996" s="46">
        <f>'Data_in-situ'!DC227</f>
        <v>4</v>
      </c>
      <c r="Q996" s="24">
        <f>'Data_in-situ'!DE227</f>
        <v>3900</v>
      </c>
      <c r="R996" s="24">
        <f>'Data_in-situ'!DF227</f>
        <v>3717.256897769048</v>
      </c>
      <c r="S996" s="46">
        <f>'Data_in-situ'!DG227</f>
        <v>4</v>
      </c>
      <c r="Z996" s="113">
        <f>'Data_in-situ'!EA205</f>
        <v>0.87842857142857156</v>
      </c>
      <c r="AA996" s="113">
        <f>'Data_in-situ'!EB205</f>
        <v>0.16185714285714287</v>
      </c>
      <c r="AB996" s="46">
        <f>'Data_in-situ'!EC205</f>
        <v>4</v>
      </c>
      <c r="AC996" s="113">
        <f>'Data_in-situ'!EE205</f>
        <v>24.849</v>
      </c>
      <c r="AD996" s="113">
        <f>'Data_in-situ'!EF205</f>
        <v>0.65528571428571425</v>
      </c>
      <c r="AE996" s="46">
        <f>'Data_in-situ'!EG205</f>
        <v>4</v>
      </c>
      <c r="AF996" s="113">
        <f>'Data_in-situ'!EN58</f>
        <v>-56</v>
      </c>
      <c r="AG996" s="113">
        <f>'Data_in-situ'!EO58</f>
        <v>10.1</v>
      </c>
      <c r="AH996" s="110">
        <f>'Data_in-situ'!EP58</f>
        <v>3</v>
      </c>
      <c r="AI996" s="113">
        <f>'Data_in-situ'!ER58</f>
        <v>-128</v>
      </c>
      <c r="AJ996" s="113">
        <f>'Data_in-situ'!ES58</f>
        <v>14.2</v>
      </c>
      <c r="AK996" s="110">
        <f>'Data_in-situ'!ET58</f>
        <v>3</v>
      </c>
    </row>
    <row r="997" spans="2:37" x14ac:dyDescent="0.3">
      <c r="B997" s="24">
        <f>'Data_in-situ'!CA433</f>
        <v>-6290</v>
      </c>
      <c r="C997" s="24">
        <f>'Data_in-situ'!CB433</f>
        <v>1316.3586137523466</v>
      </c>
      <c r="D997" s="46">
        <f>'Data_in-situ'!CC433</f>
        <v>3</v>
      </c>
      <c r="E997" s="24">
        <f>'Data_in-situ'!CE433</f>
        <v>-19210</v>
      </c>
      <c r="F997" s="24">
        <f>'Data_in-situ'!CF433</f>
        <v>3290.8965343808668</v>
      </c>
      <c r="G997" s="46">
        <f>'Data_in-situ'!CG433</f>
        <v>3</v>
      </c>
      <c r="H997" s="24">
        <f>'Data_in-situ'!CN433</f>
        <v>5020</v>
      </c>
      <c r="I997" s="24">
        <f>'Data_in-situ'!CO433</f>
        <v>917.98692801150492</v>
      </c>
      <c r="J997" s="46">
        <f>'Data_in-situ'!CP433</f>
        <v>3</v>
      </c>
      <c r="K997" s="24">
        <f>'Data_in-situ'!CR433</f>
        <v>24030</v>
      </c>
      <c r="L997" s="24">
        <f>'Data_in-situ'!CS433</f>
        <v>2459.5121467478057</v>
      </c>
      <c r="M997" s="46">
        <f>'Data_in-situ'!CT433</f>
        <v>3</v>
      </c>
      <c r="N997" s="24">
        <f>'Data_in-situ'!DA228</f>
        <v>-2400</v>
      </c>
      <c r="O997" s="24">
        <f>'Data_in-situ'!DB228</f>
        <v>7199.1757408469075</v>
      </c>
      <c r="P997" s="46">
        <f>'Data_in-situ'!DC228</f>
        <v>4</v>
      </c>
      <c r="Q997" s="24">
        <f>'Data_in-situ'!DE228</f>
        <v>4200</v>
      </c>
      <c r="R997" s="24">
        <f>'Data_in-situ'!DF228</f>
        <v>4003.1997360589748</v>
      </c>
      <c r="S997" s="46">
        <f>'Data_in-situ'!DG228</f>
        <v>4</v>
      </c>
      <c r="Z997" s="113">
        <f>'Data_in-situ'!EA212</f>
        <v>4.2926101488275123E-2</v>
      </c>
      <c r="AA997" s="113">
        <f>'Data_in-situ'!EB212</f>
        <v>0.24682409549693443</v>
      </c>
      <c r="AB997" s="46">
        <f>'Data_in-situ'!EC212</f>
        <v>46</v>
      </c>
      <c r="AC997" s="113">
        <f>'Data_in-situ'!EE212</f>
        <v>38.025961499819161</v>
      </c>
      <c r="AD997" s="113">
        <f>'Data_in-situ'!EF212</f>
        <v>56.778060641172175</v>
      </c>
      <c r="AE997" s="46">
        <f>'Data_in-situ'!EG212</f>
        <v>66</v>
      </c>
      <c r="AF997" s="113">
        <f>'Data_in-situ'!EN59</f>
        <v>-38</v>
      </c>
      <c r="AG997" s="113">
        <f>'Data_in-situ'!EO59</f>
        <v>7.6</v>
      </c>
      <c r="AH997" s="110">
        <f>'Data_in-situ'!EP59</f>
        <v>3</v>
      </c>
      <c r="AI997" s="113">
        <f>'Data_in-situ'!ER59</f>
        <v>-73</v>
      </c>
      <c r="AJ997" s="113">
        <f>'Data_in-situ'!ES59</f>
        <v>10.3</v>
      </c>
      <c r="AK997" s="110">
        <f>'Data_in-situ'!ET59</f>
        <v>3</v>
      </c>
    </row>
    <row r="998" spans="2:37" x14ac:dyDescent="0.3">
      <c r="B998" s="24">
        <f>'Data_in-situ'!CA450</f>
        <v>-131193.33333333334</v>
      </c>
      <c r="C998" s="24">
        <f>'Data_in-situ'!CB450</f>
        <v>31986.307025712227</v>
      </c>
      <c r="D998" s="46">
        <f>'Data_in-situ'!CC450</f>
        <v>1</v>
      </c>
      <c r="E998" s="24">
        <f>'Data_in-situ'!CE450</f>
        <v>-154036.66666666666</v>
      </c>
      <c r="F998" s="24">
        <f>'Data_in-situ'!CF450</f>
        <v>57343.090719192958</v>
      </c>
      <c r="G998" s="46">
        <f>'Data_in-situ'!CG450</f>
        <v>1</v>
      </c>
      <c r="H998" s="24">
        <f>'Data_in-situ'!CN450</f>
        <v>146923.33333333334</v>
      </c>
      <c r="I998" s="24">
        <f>'Data_in-situ'!CO450</f>
        <v>42259.163069444774</v>
      </c>
      <c r="J998" s="46">
        <f>'Data_in-situ'!CP450</f>
        <v>1</v>
      </c>
      <c r="K998" s="24">
        <f>'Data_in-situ'!CR450</f>
        <v>176366.66666666666</v>
      </c>
      <c r="L998" s="24">
        <f>'Data_in-situ'!CS450</f>
        <v>46277.056013406785</v>
      </c>
      <c r="M998" s="46">
        <f>'Data_in-situ'!CT450</f>
        <v>1</v>
      </c>
      <c r="N998" s="24">
        <f>'Data_in-situ'!DA229</f>
        <v>-2700</v>
      </c>
      <c r="O998" s="24">
        <f>'Data_in-situ'!DB229</f>
        <v>8099.0727084527707</v>
      </c>
      <c r="P998" s="46">
        <f>'Data_in-situ'!DC229</f>
        <v>4</v>
      </c>
      <c r="Q998" s="24">
        <f>'Data_in-situ'!DE229</f>
        <v>5300</v>
      </c>
      <c r="R998" s="24">
        <f>'Data_in-situ'!DF229</f>
        <v>5051.6568097887066</v>
      </c>
      <c r="S998" s="46">
        <f>'Data_in-situ'!DG229</f>
        <v>4</v>
      </c>
      <c r="Z998" s="113">
        <f>'Data_in-situ'!EA432</f>
        <v>0.14142857142857143</v>
      </c>
      <c r="AA998" s="113">
        <f>'Data_in-situ'!EB432</f>
        <v>0.29939735387976307</v>
      </c>
      <c r="AB998" s="46">
        <f>'Data_in-situ'!EC432</f>
        <v>3</v>
      </c>
      <c r="AC998" s="113">
        <f>'Data_in-situ'!EE432</f>
        <v>1.8071428571428574</v>
      </c>
      <c r="AD998" s="113">
        <f>'Data_in-situ'!EF432</f>
        <v>2.1229994184201382</v>
      </c>
      <c r="AE998" s="46">
        <f>'Data_in-situ'!EG432</f>
        <v>3</v>
      </c>
      <c r="AF998" s="113">
        <f>'Data_in-situ'!EN60</f>
        <v>-38</v>
      </c>
      <c r="AG998" s="113">
        <f>'Data_in-situ'!EO60</f>
        <v>7.6</v>
      </c>
      <c r="AH998" s="110">
        <f>'Data_in-situ'!EP60</f>
        <v>3</v>
      </c>
      <c r="AI998" s="113">
        <f>'Data_in-situ'!ER60</f>
        <v>-112</v>
      </c>
      <c r="AJ998" s="113">
        <f>'Data_in-situ'!ES60</f>
        <v>15.2</v>
      </c>
      <c r="AK998" s="110">
        <f>'Data_in-situ'!ET60</f>
        <v>3</v>
      </c>
    </row>
    <row r="999" spans="2:37" x14ac:dyDescent="0.3">
      <c r="B999" s="24">
        <f>'Data_in-situ'!CA451</f>
        <v>-138600</v>
      </c>
      <c r="C999" s="24">
        <f>'Data_in-situ'!CB451</f>
        <v>33792.129837113527</v>
      </c>
      <c r="D999" s="46">
        <f>'Data_in-situ'!CC451</f>
        <v>1</v>
      </c>
      <c r="E999" s="24">
        <f>'Data_in-situ'!CE451</f>
        <v>-152680</v>
      </c>
      <c r="F999" s="24">
        <f>'Data_in-situ'!CF451</f>
        <v>56838.04564501773</v>
      </c>
      <c r="G999" s="46">
        <f>'Data_in-situ'!CG451</f>
        <v>1</v>
      </c>
      <c r="H999" s="24">
        <f>'Data_in-situ'!CN451</f>
        <v>150003.33333333334</v>
      </c>
      <c r="I999" s="24">
        <f>'Data_in-situ'!CO451</f>
        <v>43145.055182704913</v>
      </c>
      <c r="J999" s="46">
        <f>'Data_in-situ'!CP451</f>
        <v>1</v>
      </c>
      <c r="K999" s="24">
        <f>'Data_in-situ'!CR451</f>
        <v>173836.66666666666</v>
      </c>
      <c r="L999" s="24">
        <f>'Data_in-situ'!CS451</f>
        <v>45613.206353339207</v>
      </c>
      <c r="M999" s="46">
        <f>'Data_in-situ'!CT451</f>
        <v>1</v>
      </c>
      <c r="N999" s="24">
        <f>'Data_in-situ'!DA230</f>
        <v>-2850</v>
      </c>
      <c r="O999" s="24">
        <f>'Data_in-situ'!DB230</f>
        <v>8549.0211922557028</v>
      </c>
      <c r="P999" s="46">
        <f>'Data_in-situ'!DC230</f>
        <v>4</v>
      </c>
      <c r="Q999" s="24">
        <f>'Data_in-situ'!DE230</f>
        <v>5150</v>
      </c>
      <c r="R999" s="24">
        <f>'Data_in-situ'!DF230</f>
        <v>4908.6853906437427</v>
      </c>
      <c r="S999" s="46">
        <f>'Data_in-situ'!DG230</f>
        <v>4</v>
      </c>
      <c r="Z999" s="113">
        <f>'Data_in-situ'!EA433</f>
        <v>0.11</v>
      </c>
      <c r="AA999" s="113">
        <f>'Data_in-situ'!EB433</f>
        <v>0.65323059028311947</v>
      </c>
      <c r="AB999" s="46">
        <f>'Data_in-situ'!EC433</f>
        <v>3</v>
      </c>
      <c r="AC999" s="113">
        <f>'Data_in-situ'!EE433</f>
        <v>4.0071428571428571</v>
      </c>
      <c r="AD999" s="113">
        <f>'Data_in-situ'!EF433</f>
        <v>2.7490120674414609</v>
      </c>
      <c r="AE999" s="46">
        <f>'Data_in-situ'!EG433</f>
        <v>3</v>
      </c>
      <c r="AF999" s="113">
        <f>'Data_in-situ'!EN61</f>
        <v>-44</v>
      </c>
      <c r="AG999" s="113">
        <f>'Data_in-situ'!EO61</f>
        <v>6.8</v>
      </c>
      <c r="AH999" s="110">
        <f>'Data_in-situ'!EP61</f>
        <v>3</v>
      </c>
      <c r="AI999" s="113">
        <f>'Data_in-situ'!ER61</f>
        <v>-79</v>
      </c>
      <c r="AJ999" s="113">
        <f>'Data_in-situ'!ES61</f>
        <v>12.3</v>
      </c>
      <c r="AK999" s="110">
        <f>'Data_in-situ'!ET61</f>
        <v>3</v>
      </c>
    </row>
    <row r="1000" spans="2:37" x14ac:dyDescent="0.3">
      <c r="B1000" s="24">
        <f>'Data_in-situ'!CA452</f>
        <v>-135483.33333333334</v>
      </c>
      <c r="C1000" s="24">
        <f>'Data_in-situ'!CB452</f>
        <v>33032.253901622884</v>
      </c>
      <c r="D1000" s="46">
        <f>'Data_in-situ'!CC452</f>
        <v>1</v>
      </c>
      <c r="E1000" s="24">
        <f>'Data_in-situ'!CE452</f>
        <v>-150663.33333333334</v>
      </c>
      <c r="F1000" s="24">
        <f>'Data_in-situ'!CF452</f>
        <v>56087.302967189695</v>
      </c>
      <c r="G1000" s="46">
        <f>'Data_in-situ'!CG452</f>
        <v>1</v>
      </c>
      <c r="H1000" s="24">
        <f>'Data_in-situ'!CN452</f>
        <v>139810</v>
      </c>
      <c r="I1000" s="24">
        <f>'Data_in-situ'!CO452</f>
        <v>40213.174141201132</v>
      </c>
      <c r="J1000" s="46">
        <f>'Data_in-situ'!CP452</f>
        <v>1</v>
      </c>
      <c r="K1000" s="24">
        <f>'Data_in-situ'!CR452</f>
        <v>166356.66666666666</v>
      </c>
      <c r="L1000" s="24">
        <f>'Data_in-situ'!CS452</f>
        <v>43650.520401835049</v>
      </c>
      <c r="M1000" s="46">
        <f>'Data_in-situ'!CT452</f>
        <v>1</v>
      </c>
      <c r="N1000" s="24">
        <f>'Data_in-situ'!DA356</f>
        <v>-1217.0329724395615</v>
      </c>
      <c r="O1000" s="24">
        <f>'Data_in-situ'!DB356</f>
        <v>3650.6809379157057</v>
      </c>
      <c r="P1000" s="46">
        <f>'Data_in-situ'!DC356</f>
        <v>3</v>
      </c>
      <c r="Q1000" s="24">
        <f>'Data_in-situ'!DE356</f>
        <v>1071.9796143688573</v>
      </c>
      <c r="R1000" s="24">
        <f>'Data_in-situ'!DF356</f>
        <v>1021.7496450719074</v>
      </c>
      <c r="S1000" s="46">
        <f>'Data_in-situ'!DG356</f>
        <v>3</v>
      </c>
      <c r="Z1000" s="113">
        <f>'Data_in-situ'!EA444</f>
        <v>-0.35536232754524372</v>
      </c>
      <c r="AA1000" s="113">
        <f>'Data_in-situ'!EB444</f>
        <v>38.250757143327704</v>
      </c>
      <c r="AB1000" s="46">
        <f>'Data_in-situ'!EC444</f>
        <v>46</v>
      </c>
      <c r="AC1000" s="113">
        <f>'Data_in-situ'!EE444</f>
        <v>20.199714045305026</v>
      </c>
      <c r="AD1000" s="113">
        <f>'Data_in-situ'!EF444</f>
        <v>184.05347959835046</v>
      </c>
      <c r="AE1000" s="46">
        <f>'Data_in-situ'!EG444</f>
        <v>53</v>
      </c>
      <c r="AF1000" s="113">
        <f>'Data_in-situ'!EN62</f>
        <v>-44</v>
      </c>
      <c r="AG1000" s="113">
        <f>'Data_in-situ'!EO62</f>
        <v>6.8</v>
      </c>
      <c r="AH1000" s="110">
        <f>'Data_in-situ'!EP62</f>
        <v>3</v>
      </c>
      <c r="AI1000" s="113">
        <f>'Data_in-situ'!ER62</f>
        <v>-116</v>
      </c>
      <c r="AJ1000" s="113">
        <f>'Data_in-situ'!ES62</f>
        <v>11.8</v>
      </c>
      <c r="AK1000" s="110">
        <f>'Data_in-situ'!ET62</f>
        <v>3</v>
      </c>
    </row>
    <row r="1001" spans="2:37" x14ac:dyDescent="0.3">
      <c r="B1001" s="24">
        <f>'Data_in-situ'!CA453</f>
        <v>-134383.33333333334</v>
      </c>
      <c r="C1001" s="24">
        <f>'Data_in-situ'!CB453</f>
        <v>32764.062394979126</v>
      </c>
      <c r="D1001" s="46">
        <f>'Data_in-situ'!CC453</f>
        <v>1</v>
      </c>
      <c r="E1001" s="24">
        <f>'Data_in-situ'!CE453</f>
        <v>-148133.33333333334</v>
      </c>
      <c r="F1001" s="24">
        <f>'Data_in-situ'!CF453</f>
        <v>55145.46215318724</v>
      </c>
      <c r="G1001" s="46">
        <f>'Data_in-situ'!CG453</f>
        <v>1</v>
      </c>
      <c r="H1001" s="24">
        <f>'Data_in-situ'!CN453</f>
        <v>136253.33333333334</v>
      </c>
      <c r="I1001" s="24">
        <f>'Data_in-situ'!CO453</f>
        <v>39190.179677079308</v>
      </c>
      <c r="J1001" s="46">
        <f>'Data_in-situ'!CP453</f>
        <v>1</v>
      </c>
      <c r="K1001" s="24">
        <f>'Data_in-situ'!CR453</f>
        <v>161810</v>
      </c>
      <c r="L1001" s="24">
        <f>'Data_in-situ'!CS453</f>
        <v>42457.515215626641</v>
      </c>
      <c r="M1001" s="46">
        <f>'Data_in-situ'!CT453</f>
        <v>1</v>
      </c>
      <c r="N1001" s="24">
        <f>'Data_in-situ'!DA359</f>
        <v>-3003.1418917849933</v>
      </c>
      <c r="O1001" s="24">
        <f>'Data_in-situ'!DB359</f>
        <v>9008.3942723581713</v>
      </c>
      <c r="P1001" s="46">
        <f>'Data_in-situ'!DC359</f>
        <v>3</v>
      </c>
      <c r="Q1001" s="24">
        <f>'Data_in-situ'!DE359</f>
        <v>1252.6406210204286</v>
      </c>
      <c r="R1001" s="24">
        <f>'Data_in-situ'!DF359</f>
        <v>1193.9453817727929</v>
      </c>
      <c r="S1001" s="46">
        <f>'Data_in-situ'!DG359</f>
        <v>3</v>
      </c>
      <c r="AF1001" s="113">
        <f>'Data_in-situ'!EN63</f>
        <v>-50</v>
      </c>
      <c r="AG1001" s="113">
        <f>'Data_in-situ'!EO63</f>
        <v>6.8</v>
      </c>
      <c r="AH1001" s="110">
        <f>'Data_in-situ'!EP63</f>
        <v>3</v>
      </c>
      <c r="AI1001" s="113">
        <f>'Data_in-situ'!ER63</f>
        <v>-85</v>
      </c>
      <c r="AJ1001" s="113">
        <f>'Data_in-situ'!ES63</f>
        <v>12.3</v>
      </c>
      <c r="AK1001" s="110">
        <f>'Data_in-situ'!ET63</f>
        <v>3</v>
      </c>
    </row>
    <row r="1002" spans="2:37" x14ac:dyDescent="0.3">
      <c r="B1002" s="24">
        <f>'Data_in-situ'!CA454</f>
        <v>-160161.20218579238</v>
      </c>
      <c r="C1002" s="24">
        <f>'Data_in-situ'!CB454</f>
        <v>10636.467274593098</v>
      </c>
      <c r="D1002" s="46">
        <f>'Data_in-situ'!CC454</f>
        <v>3</v>
      </c>
      <c r="E1002" s="24">
        <f>'Data_in-situ'!CE454</f>
        <v>-207277.44990892528</v>
      </c>
      <c r="F1002" s="24">
        <f>'Data_in-situ'!CF454</f>
        <v>21272.601806047955</v>
      </c>
      <c r="G1002" s="46">
        <f>'Data_in-situ'!CG454</f>
        <v>3</v>
      </c>
      <c r="H1002" s="24">
        <f>'Data_in-situ'!CN454</f>
        <v>67306.558222944135</v>
      </c>
      <c r="I1002" s="24">
        <f>'Data_in-situ'!CO454</f>
        <v>13632.710832908837</v>
      </c>
      <c r="J1002" s="46">
        <f>'Data_in-situ'!CP454</f>
        <v>3</v>
      </c>
      <c r="K1002" s="24">
        <f>'Data_in-situ'!CR454</f>
        <v>144420.60780366213</v>
      </c>
      <c r="L1002" s="24">
        <f>'Data_in-situ'!CS454</f>
        <v>24745.786342212687</v>
      </c>
      <c r="M1002" s="46">
        <f>'Data_in-situ'!CT454</f>
        <v>3</v>
      </c>
      <c r="N1002" s="24">
        <f>'Data_in-situ'!DA415</f>
        <v>-6415.3169641181039</v>
      </c>
      <c r="O1002" s="24">
        <f>'Data_in-situ'!DB415</f>
        <v>6104.4403947098008</v>
      </c>
      <c r="P1002" s="46">
        <f>'Data_in-situ'!DC415</f>
        <v>3</v>
      </c>
      <c r="Q1002" s="24">
        <f>'Data_in-situ'!DE415</f>
        <v>1392.8418193801579</v>
      </c>
      <c r="R1002" s="24">
        <f>'Data_in-situ'!DF415</f>
        <v>1342.1923247123252</v>
      </c>
      <c r="S1002" s="46">
        <f>'Data_in-situ'!DG415</f>
        <v>3</v>
      </c>
      <c r="AF1002" s="113">
        <f>'Data_in-situ'!EN64</f>
        <v>-50</v>
      </c>
      <c r="AG1002" s="113">
        <f>'Data_in-situ'!EO64</f>
        <v>6.8</v>
      </c>
      <c r="AH1002" s="110">
        <f>'Data_in-situ'!EP64</f>
        <v>3</v>
      </c>
      <c r="AI1002" s="113">
        <f>'Data_in-situ'!ER64</f>
        <v>-120</v>
      </c>
      <c r="AJ1002" s="113">
        <f>'Data_in-situ'!ES64</f>
        <v>11.8</v>
      </c>
      <c r="AK1002" s="110">
        <f>'Data_in-situ'!ET64</f>
        <v>3</v>
      </c>
    </row>
    <row r="1003" spans="2:37" x14ac:dyDescent="0.3">
      <c r="B1003" s="24">
        <f>'Data_in-situ'!CA455</f>
        <v>-160161.20218579238</v>
      </c>
      <c r="C1003" s="24">
        <f>'Data_in-situ'!CB455</f>
        <v>10636.467274593098</v>
      </c>
      <c r="D1003" s="46">
        <f>'Data_in-situ'!CC455</f>
        <v>3</v>
      </c>
      <c r="E1003" s="24">
        <f>'Data_in-situ'!CE455</f>
        <v>-129453.33333333317</v>
      </c>
      <c r="F1003" s="24">
        <f>'Data_in-situ'!CF455</f>
        <v>6791.9062619830866</v>
      </c>
      <c r="G1003" s="46">
        <f>'Data_in-situ'!CG455</f>
        <v>3</v>
      </c>
      <c r="H1003" s="24">
        <f>'Data_in-situ'!CN455</f>
        <v>67306.558222944135</v>
      </c>
      <c r="I1003" s="24">
        <f>'Data_in-situ'!CO455</f>
        <v>13632.710832908837</v>
      </c>
      <c r="J1003" s="46">
        <f>'Data_in-situ'!CP455</f>
        <v>3</v>
      </c>
      <c r="K1003" s="24">
        <f>'Data_in-situ'!CR455</f>
        <v>78968.070175438406</v>
      </c>
      <c r="L1003" s="24">
        <f>'Data_in-situ'!CS455</f>
        <v>7711.5970214802783</v>
      </c>
      <c r="M1003" s="46">
        <f>'Data_in-situ'!CT455</f>
        <v>3</v>
      </c>
      <c r="N1003" s="24">
        <f>'Data_in-situ'!DA418</f>
        <v>-7040</v>
      </c>
      <c r="O1003" s="24">
        <f>'Data_in-situ'!DB418</f>
        <v>1650</v>
      </c>
      <c r="P1003" s="46">
        <f>'Data_in-situ'!DC418</f>
        <v>1</v>
      </c>
      <c r="Q1003" s="24">
        <f>'Data_in-situ'!DE418</f>
        <v>-3226.666666666667</v>
      </c>
      <c r="R1003" s="24">
        <f>'Data_in-situ'!DF418</f>
        <v>953.33333333333326</v>
      </c>
      <c r="S1003" s="46">
        <f>'Data_in-situ'!DG418</f>
        <v>1</v>
      </c>
      <c r="AF1003" s="113">
        <f>'Data_in-situ'!EN65</f>
        <v>-38</v>
      </c>
      <c r="AG1003" s="113">
        <f>'Data_in-situ'!EO65</f>
        <v>5.412566119688516</v>
      </c>
      <c r="AH1003" s="110">
        <f>'Data_in-situ'!EP65</f>
        <v>3</v>
      </c>
      <c r="AI1003" s="113">
        <f>'Data_in-situ'!ER65</f>
        <v>-73</v>
      </c>
      <c r="AJ1003" s="113">
        <f>'Data_in-situ'!ES65</f>
        <v>7.3195252578292278</v>
      </c>
      <c r="AK1003" s="110">
        <f>'Data_in-situ'!ET65</f>
        <v>3</v>
      </c>
    </row>
    <row r="1004" spans="2:37" x14ac:dyDescent="0.3">
      <c r="N1004" s="24">
        <f>'Data_in-situ'!DA419</f>
        <v>-7846.6666666666661</v>
      </c>
      <c r="O1004" s="24">
        <f>'Data_in-situ'!DB419</f>
        <v>1466.6666666666665</v>
      </c>
      <c r="P1004" s="46">
        <f>'Data_in-situ'!DC419</f>
        <v>1</v>
      </c>
      <c r="Q1004" s="24">
        <f>'Data_in-situ'!DE419</f>
        <v>-1870</v>
      </c>
      <c r="R1004" s="24">
        <f>'Data_in-situ'!DF419</f>
        <v>1283.3333333333335</v>
      </c>
      <c r="S1004" s="46">
        <f>'Data_in-situ'!DG419</f>
        <v>1</v>
      </c>
      <c r="AF1004" s="113">
        <f>'Data_in-situ'!EN66</f>
        <v>-38</v>
      </c>
      <c r="AG1004" s="113">
        <f>'Data_in-situ'!EO66</f>
        <v>5.412566119688516</v>
      </c>
      <c r="AH1004" s="110">
        <f>'Data_in-situ'!EP66</f>
        <v>3</v>
      </c>
      <c r="AI1004" s="113">
        <f>'Data_in-situ'!ER66</f>
        <v>-112</v>
      </c>
      <c r="AJ1004" s="113">
        <f>'Data_in-situ'!ES66</f>
        <v>10.756618055876112</v>
      </c>
      <c r="AK1004" s="110">
        <f>'Data_in-situ'!ET66</f>
        <v>3</v>
      </c>
    </row>
    <row r="1005" spans="2:37" x14ac:dyDescent="0.3">
      <c r="N1005" s="24">
        <f>'Data_in-situ'!DA432</f>
        <v>-80</v>
      </c>
      <c r="O1005" s="24">
        <f>'Data_in-situ'!DB432</f>
        <v>2009.1789367798974</v>
      </c>
      <c r="P1005" s="46">
        <f>'Data_in-situ'!DC432</f>
        <v>3</v>
      </c>
      <c r="Q1005" s="24">
        <f>'Data_in-situ'!DE432</f>
        <v>4580</v>
      </c>
      <c r="R1005" s="24">
        <f>'Data_in-situ'!DF432</f>
        <v>4416.7295593006365</v>
      </c>
      <c r="S1005" s="46">
        <f>'Data_in-situ'!DG432</f>
        <v>3</v>
      </c>
      <c r="AF1005" s="113">
        <f>'Data_in-situ'!EN67</f>
        <v>-45.680000000000007</v>
      </c>
      <c r="AG1005" s="113">
        <f>'Data_in-situ'!EO67</f>
        <v>4.842822317616041</v>
      </c>
      <c r="AH1005" s="110">
        <f>'Data_in-situ'!EP67</f>
        <v>3</v>
      </c>
      <c r="AI1005" s="113">
        <f>'Data_in-situ'!ER67</f>
        <v>-80.650000000000006</v>
      </c>
      <c r="AJ1005" s="113">
        <f>'Data_in-situ'!ES67</f>
        <v>8.7407922981844166</v>
      </c>
      <c r="AK1005" s="110">
        <f>'Data_in-situ'!ET67</f>
        <v>3</v>
      </c>
    </row>
    <row r="1006" spans="2:37" x14ac:dyDescent="0.3">
      <c r="N1006" s="24">
        <f>'Data_in-situ'!DA433</f>
        <v>-1270</v>
      </c>
      <c r="O1006" s="24">
        <f>'Data_in-situ'!DB433</f>
        <v>1593.4867429633669</v>
      </c>
      <c r="P1006" s="46">
        <f>'Data_in-situ'!DC433</f>
        <v>3</v>
      </c>
      <c r="Q1006" s="24">
        <f>'Data_in-situ'!DE433</f>
        <v>4820</v>
      </c>
      <c r="R1006" s="24">
        <f>'Data_in-situ'!DF433</f>
        <v>4122.2809220139279</v>
      </c>
      <c r="S1006" s="46">
        <f>'Data_in-situ'!DG433</f>
        <v>3</v>
      </c>
      <c r="AF1006" s="113">
        <f>'Data_in-situ'!EN68</f>
        <v>-45.680000000000007</v>
      </c>
      <c r="AG1006" s="113">
        <f>'Data_in-situ'!EO68</f>
        <v>4.842822317616041</v>
      </c>
      <c r="AH1006" s="110">
        <f>'Data_in-situ'!EP68</f>
        <v>3</v>
      </c>
      <c r="AI1006" s="113">
        <f>'Data_in-situ'!ER68</f>
        <v>-118.08000000000001</v>
      </c>
      <c r="AJ1006" s="113">
        <f>'Data_in-situ'!ES68</f>
        <v>8.3505324381143513</v>
      </c>
      <c r="AK1006" s="110">
        <f>'Data_in-situ'!ET68</f>
        <v>3</v>
      </c>
    </row>
    <row r="1007" spans="2:37" x14ac:dyDescent="0.3">
      <c r="N1007" s="24">
        <f>'Data_in-situ'!DA450</f>
        <v>15730</v>
      </c>
      <c r="O1007" s="24">
        <f>'Data_in-situ'!DB450</f>
        <v>47184.597668134105</v>
      </c>
      <c r="P1007" s="46">
        <f>'Data_in-situ'!DC450</f>
        <v>1</v>
      </c>
      <c r="Q1007" s="24">
        <f>'Data_in-situ'!DE450</f>
        <v>22330</v>
      </c>
      <c r="R1007" s="24">
        <f>'Data_in-situ'!DF450</f>
        <v>21283.678596713551</v>
      </c>
      <c r="S1007" s="46">
        <f>'Data_in-situ'!DG450</f>
        <v>1</v>
      </c>
      <c r="AF1007" s="113">
        <f>'Data_in-situ'!EN69</f>
        <v>-53.36</v>
      </c>
      <c r="AG1007" s="113">
        <f>'Data_in-situ'!EO69</f>
        <v>6.3986248522631799</v>
      </c>
      <c r="AH1007" s="110">
        <f>'Data_in-situ'!EP69</f>
        <v>3</v>
      </c>
      <c r="AI1007" s="113">
        <f>'Data_in-situ'!ER69</f>
        <v>-88.300000000000011</v>
      </c>
      <c r="AJ1007" s="113">
        <f>'Data_in-situ'!ES69</f>
        <v>8.3224065029293062</v>
      </c>
      <c r="AK1007" s="110">
        <f>'Data_in-situ'!ET69</f>
        <v>3</v>
      </c>
    </row>
    <row r="1008" spans="2:37" x14ac:dyDescent="0.3">
      <c r="N1008" s="24">
        <f>'Data_in-situ'!DA451</f>
        <v>11403.333333333334</v>
      </c>
      <c r="O1008" s="24">
        <f>'Data_in-situ'!DB451</f>
        <v>34206.08362421843</v>
      </c>
      <c r="P1008" s="46">
        <f>'Data_in-situ'!DC451</f>
        <v>1</v>
      </c>
      <c r="Q1008" s="24">
        <f>'Data_in-situ'!DE451</f>
        <v>21156.666666666668</v>
      </c>
      <c r="R1008" s="24">
        <f>'Data_in-situ'!DF451</f>
        <v>20165.32438473517</v>
      </c>
      <c r="S1008" s="46">
        <f>'Data_in-situ'!DG451</f>
        <v>1</v>
      </c>
      <c r="AF1008" s="113">
        <f>'Data_in-situ'!EN70</f>
        <v>-53.36</v>
      </c>
      <c r="AG1008" s="113">
        <f>'Data_in-situ'!EO70</f>
        <v>6.3986248522631799</v>
      </c>
      <c r="AH1008" s="110">
        <f>'Data_in-situ'!EP70</f>
        <v>3</v>
      </c>
      <c r="AI1008" s="113">
        <f>'Data_in-situ'!ER70</f>
        <v>-124.16</v>
      </c>
      <c r="AJ1008" s="113">
        <f>'Data_in-situ'!ES70</f>
        <v>9.3061459262145689</v>
      </c>
      <c r="AK1008" s="110">
        <f>'Data_in-situ'!ET70</f>
        <v>3</v>
      </c>
    </row>
    <row r="1009" spans="14:37" x14ac:dyDescent="0.3">
      <c r="N1009" s="24">
        <f>'Data_in-situ'!DA452</f>
        <v>4326.666666666667</v>
      </c>
      <c r="O1009" s="24">
        <f>'Data_in-situ'!DB452</f>
        <v>12978.514043915675</v>
      </c>
      <c r="P1009" s="46">
        <f>'Data_in-situ'!DC452</f>
        <v>1</v>
      </c>
      <c r="Q1009" s="24">
        <f>'Data_in-situ'!DE452</f>
        <v>15693.333333333334</v>
      </c>
      <c r="R1009" s="24">
        <f>'Data_in-situ'!DF452</f>
        <v>14957.987585210836</v>
      </c>
      <c r="S1009" s="46">
        <f>'Data_in-situ'!DG452</f>
        <v>1</v>
      </c>
      <c r="AF1009" s="113">
        <f>'Data_in-situ'!EN71</f>
        <v>-38</v>
      </c>
      <c r="AG1009" s="113">
        <f>'Data_in-situ'!EO71</f>
        <v>7.6</v>
      </c>
      <c r="AH1009" s="110">
        <f>'Data_in-situ'!EP71</f>
        <v>3</v>
      </c>
      <c r="AI1009" s="113">
        <f>'Data_in-situ'!ER71</f>
        <v>-112</v>
      </c>
      <c r="AJ1009" s="113">
        <f>'Data_in-situ'!ES71</f>
        <v>15.2</v>
      </c>
      <c r="AK1009" s="110">
        <f>'Data_in-situ'!ET71</f>
        <v>3</v>
      </c>
    </row>
    <row r="1010" spans="14:37" x14ac:dyDescent="0.3">
      <c r="N1010" s="24">
        <f>'Data_in-situ'!DA453</f>
        <v>1870</v>
      </c>
      <c r="O1010" s="24">
        <f>'Data_in-situ'!DB453</f>
        <v>5609.3577647432157</v>
      </c>
      <c r="P1010" s="46">
        <f>'Data_in-situ'!DC453</f>
        <v>1</v>
      </c>
      <c r="Q1010" s="24">
        <f>'Data_in-situ'!DE453</f>
        <v>13676.666666666666</v>
      </c>
      <c r="R1010" s="24">
        <f>'Data_in-situ'!DF453</f>
        <v>13035.816283372995</v>
      </c>
      <c r="S1010" s="46">
        <f>'Data_in-situ'!DG453</f>
        <v>1</v>
      </c>
      <c r="T1010" s="113">
        <f>'Data_in-situ'!DN134</f>
        <v>3.1</v>
      </c>
      <c r="U1010" s="113">
        <f>'Data_in-situ'!DO134</f>
        <v>0.1</v>
      </c>
      <c r="V1010" s="46">
        <f>'Data_in-situ'!DP134</f>
        <v>3</v>
      </c>
      <c r="W1010" s="113">
        <f>'Data_in-situ'!DR134</f>
        <v>-2.8100000000000005</v>
      </c>
      <c r="X1010" s="113">
        <f>'Data_in-situ'!DS134</f>
        <v>0.1</v>
      </c>
      <c r="Y1010" s="46">
        <f>'Data_in-situ'!DT134</f>
        <v>3</v>
      </c>
      <c r="AF1010" s="113">
        <f>'Data_in-situ'!EN72</f>
        <v>-47</v>
      </c>
      <c r="AG1010" s="113">
        <f>'Data_in-situ'!EO72</f>
        <v>6.8</v>
      </c>
      <c r="AH1010" s="110">
        <f>'Data_in-situ'!EP72</f>
        <v>3</v>
      </c>
      <c r="AI1010" s="113">
        <f>'Data_in-situ'!ER72</f>
        <v>-120</v>
      </c>
      <c r="AJ1010" s="113">
        <f>'Data_in-situ'!ES72</f>
        <v>11.8</v>
      </c>
      <c r="AK1010" s="110">
        <f>'Data_in-situ'!ET72</f>
        <v>3</v>
      </c>
    </row>
    <row r="1011" spans="14:37" x14ac:dyDescent="0.3">
      <c r="N1011" s="24">
        <f>'Data_in-situ'!DA454</f>
        <v>-92854.643962848248</v>
      </c>
      <c r="O1011" s="24">
        <f>'Data_in-situ'!DB454</f>
        <v>8527.3893173831366</v>
      </c>
      <c r="P1011" s="46">
        <f>'Data_in-situ'!DC454</f>
        <v>3</v>
      </c>
      <c r="Q1011" s="24">
        <f>'Data_in-situ'!DE454</f>
        <v>-62856.84210526316</v>
      </c>
      <c r="R1011" s="24">
        <f>'Data_in-situ'!DF454</f>
        <v>12642.403019037374</v>
      </c>
      <c r="S1011" s="46">
        <f>'Data_in-situ'!DG454</f>
        <v>3</v>
      </c>
      <c r="T1011" s="113">
        <f>'Data_in-situ'!DN146</f>
        <v>244.12367999999998</v>
      </c>
      <c r="U1011" s="113">
        <f>'Data_in-situ'!DO146</f>
        <v>272.16843482550502</v>
      </c>
      <c r="V1011" s="46">
        <f>'Data_in-situ'!DP146</f>
        <v>4</v>
      </c>
      <c r="W1011" s="113">
        <f>'Data_in-situ'!DR146</f>
        <v>6.7043200000000001</v>
      </c>
      <c r="X1011" s="113">
        <f>'Data_in-situ'!DS146</f>
        <v>25.055493948420573</v>
      </c>
      <c r="Y1011" s="46">
        <f>'Data_in-situ'!DT146</f>
        <v>6</v>
      </c>
      <c r="AF1011" s="113">
        <f>'Data_in-situ'!EN73</f>
        <v>-38</v>
      </c>
      <c r="AG1011" s="113">
        <f>'Data_in-situ'!EO73</f>
        <v>7.6</v>
      </c>
      <c r="AH1011" s="110">
        <f>'Data_in-situ'!EP73</f>
        <v>3</v>
      </c>
      <c r="AI1011" s="113">
        <f>'Data_in-situ'!ER73</f>
        <v>-112</v>
      </c>
      <c r="AJ1011" s="113">
        <f>'Data_in-situ'!ES73</f>
        <v>15.2</v>
      </c>
      <c r="AK1011" s="110">
        <f>'Data_in-situ'!ET73</f>
        <v>3</v>
      </c>
    </row>
    <row r="1012" spans="14:37" x14ac:dyDescent="0.3">
      <c r="N1012" s="24">
        <f>'Data_in-situ'!DA455</f>
        <v>-92854.643962848248</v>
      </c>
      <c r="O1012" s="24">
        <f>'Data_in-situ'!DB455</f>
        <v>8527.3893173831366</v>
      </c>
      <c r="P1012" s="46">
        <f>'Data_in-situ'!DC455</f>
        <v>3</v>
      </c>
      <c r="Q1012" s="24">
        <f>'Data_in-situ'!DE455</f>
        <v>-50485.263157894762</v>
      </c>
      <c r="R1012" s="24">
        <f>'Data_in-situ'!DF455</f>
        <v>3652.2236993561119</v>
      </c>
      <c r="S1012" s="46">
        <f>'Data_in-situ'!DG455</f>
        <v>3</v>
      </c>
      <c r="T1012" s="113">
        <f>'Data_in-situ'!DN153</f>
        <v>38.133333333333333</v>
      </c>
      <c r="U1012" s="113">
        <f>'Data_in-situ'!DO153</f>
        <v>12.933333333333332</v>
      </c>
      <c r="V1012" s="46">
        <f>'Data_in-situ'!DP153</f>
        <v>8</v>
      </c>
      <c r="W1012" s="113">
        <f>'Data_in-situ'!DR153</f>
        <v>6.9333333333333336</v>
      </c>
      <c r="X1012" s="113">
        <f>'Data_in-situ'!DS153</f>
        <v>6.8</v>
      </c>
      <c r="Y1012" s="46">
        <f>'Data_in-situ'!DT153</f>
        <v>5</v>
      </c>
      <c r="AF1012" s="113">
        <f>'Data_in-situ'!EN74</f>
        <v>-44</v>
      </c>
      <c r="AG1012" s="113">
        <f>'Data_in-situ'!EO74</f>
        <v>6.8</v>
      </c>
      <c r="AH1012" s="110">
        <f>'Data_in-situ'!EP74</f>
        <v>3</v>
      </c>
      <c r="AI1012" s="113">
        <f>'Data_in-situ'!ER74</f>
        <v>-116</v>
      </c>
      <c r="AJ1012" s="113">
        <f>'Data_in-situ'!ES74</f>
        <v>11.8</v>
      </c>
      <c r="AK1012" s="110">
        <f>'Data_in-situ'!ET74</f>
        <v>3</v>
      </c>
    </row>
    <row r="1013" spans="14:37" x14ac:dyDescent="0.3">
      <c r="T1013" s="113">
        <f>'Data_in-situ'!DN154</f>
        <v>38.133333333333333</v>
      </c>
      <c r="U1013" s="113">
        <f>'Data_in-situ'!DO154</f>
        <v>12.933333333333332</v>
      </c>
      <c r="V1013" s="46">
        <f>'Data_in-situ'!DP154</f>
        <v>8</v>
      </c>
      <c r="W1013" s="113">
        <f>'Data_in-situ'!DR154</f>
        <v>-0.26666666666666666</v>
      </c>
      <c r="X1013" s="113">
        <f>'Data_in-situ'!DS154</f>
        <v>0.9965910119016026</v>
      </c>
      <c r="Y1013" s="46">
        <f>'Data_in-situ'!DT154</f>
        <v>1</v>
      </c>
      <c r="AF1013" s="113">
        <f>'Data_in-situ'!EN75</f>
        <v>-38</v>
      </c>
      <c r="AG1013" s="113">
        <f>'Data_in-situ'!EO75</f>
        <v>5.412566119688516</v>
      </c>
      <c r="AH1013" s="110">
        <f>'Data_in-situ'!EP75</f>
        <v>3</v>
      </c>
      <c r="AI1013" s="113">
        <f>'Data_in-situ'!ER75</f>
        <v>-112</v>
      </c>
      <c r="AJ1013" s="113">
        <f>'Data_in-situ'!ES75</f>
        <v>10.825132239377032</v>
      </c>
      <c r="AK1013" s="110">
        <f>'Data_in-situ'!ET75</f>
        <v>3</v>
      </c>
    </row>
    <row r="1014" spans="14:37" x14ac:dyDescent="0.3">
      <c r="T1014" s="113">
        <f>'Data_in-situ'!DN155</f>
        <v>38.133333333333333</v>
      </c>
      <c r="U1014" s="113">
        <f>'Data_in-situ'!DO155</f>
        <v>12.933333333333332</v>
      </c>
      <c r="V1014" s="46">
        <f>'Data_in-situ'!DP155</f>
        <v>8</v>
      </c>
      <c r="W1014" s="113">
        <f>'Data_in-situ'!DR155</f>
        <v>2.6666666666666665</v>
      </c>
      <c r="X1014" s="113">
        <f>'Data_in-situ'!DS155</f>
        <v>3.6</v>
      </c>
      <c r="Y1014" s="46">
        <f>'Data_in-situ'!DT155</f>
        <v>5</v>
      </c>
      <c r="AF1014" s="113">
        <f>'Data_in-situ'!EN76</f>
        <v>-45.680000000000007</v>
      </c>
      <c r="AG1014" s="113">
        <f>'Data_in-situ'!EO76</f>
        <v>4.842822317616041</v>
      </c>
      <c r="AH1014" s="110">
        <f>'Data_in-situ'!EP76</f>
        <v>3</v>
      </c>
      <c r="AI1014" s="113">
        <f>'Data_in-situ'!ER76</f>
        <v>-118.24000000000001</v>
      </c>
      <c r="AJ1014" s="113">
        <f>'Data_in-situ'!ES76</f>
        <v>8.4037210805690119</v>
      </c>
      <c r="AK1014" s="110">
        <f>'Data_in-situ'!ET76</f>
        <v>3</v>
      </c>
    </row>
    <row r="1015" spans="14:37" x14ac:dyDescent="0.3">
      <c r="T1015" s="113">
        <f>'Data_in-situ'!DN168</f>
        <v>11.795840386040403</v>
      </c>
      <c r="U1015" s="113">
        <f>'Data_in-situ'!DO168</f>
        <v>13.150938144632661</v>
      </c>
      <c r="V1015" s="46">
        <f>'Data_in-situ'!DP168</f>
        <v>3</v>
      </c>
      <c r="W1015" s="113">
        <f>'Data_in-situ'!DR168</f>
        <v>0.26812694984226471</v>
      </c>
      <c r="X1015" s="113">
        <f>'Data_in-situ'!DS168</f>
        <v>1.002048405980223</v>
      </c>
      <c r="Y1015" s="46">
        <f>'Data_in-situ'!DT168</f>
        <v>3</v>
      </c>
      <c r="AF1015" s="113">
        <f>'Data_in-situ'!EN85</f>
        <v>-5.04</v>
      </c>
      <c r="AG1015" s="113">
        <f>'Data_in-situ'!EO85</f>
        <v>1.83</v>
      </c>
      <c r="AH1015" s="110">
        <f>'Data_in-situ'!EP85</f>
        <v>3</v>
      </c>
      <c r="AI1015" s="113">
        <f>'Data_in-situ'!ER85</f>
        <v>-37.299999999999997</v>
      </c>
      <c r="AJ1015" s="113">
        <f>'Data_in-situ'!ES85</f>
        <v>7.39</v>
      </c>
      <c r="AK1015" s="110">
        <f>'Data_in-situ'!ET85</f>
        <v>3</v>
      </c>
    </row>
    <row r="1016" spans="14:37" x14ac:dyDescent="0.3">
      <c r="T1016" s="113">
        <f>'Data_in-situ'!DN176</f>
        <v>1294.4026579568806</v>
      </c>
      <c r="U1016" s="113">
        <f>'Data_in-situ'!DO176</f>
        <v>1425.6221977894311</v>
      </c>
      <c r="V1016" s="46">
        <f>'Data_in-situ'!DP176</f>
        <v>4</v>
      </c>
      <c r="W1016" s="113">
        <f>'Data_in-situ'!DR176</f>
        <v>22.36227209479982</v>
      </c>
      <c r="X1016" s="113">
        <f>'Data_in-situ'!DS176</f>
        <v>23.370237472575557</v>
      </c>
      <c r="Y1016" s="46">
        <f>'Data_in-situ'!DT176</f>
        <v>3</v>
      </c>
      <c r="AF1016" s="113">
        <f>'Data_in-situ'!EN90</f>
        <v>-26.8</v>
      </c>
      <c r="AG1016" s="113">
        <f>'Data_in-situ'!EO90</f>
        <v>10.920903486534662</v>
      </c>
      <c r="AH1016" s="110">
        <f>'Data_in-situ'!EP90</f>
        <v>3</v>
      </c>
      <c r="AI1016" s="113">
        <f>'Data_in-situ'!ER90</f>
        <v>-62.1</v>
      </c>
      <c r="AJ1016" s="113">
        <f>'Data_in-situ'!ES90</f>
        <v>14.085152722920959</v>
      </c>
      <c r="AK1016" s="110">
        <f>'Data_in-situ'!ET90</f>
        <v>3</v>
      </c>
    </row>
    <row r="1017" spans="14:37" x14ac:dyDescent="0.3">
      <c r="T1017" s="113">
        <f>'Data_in-situ'!DN177</f>
        <v>835.37440260212782</v>
      </c>
      <c r="U1017" s="113">
        <f>'Data_in-situ'!DO177</f>
        <v>1277.3279087005756</v>
      </c>
      <c r="V1017" s="46">
        <f>'Data_in-situ'!DP177</f>
        <v>4</v>
      </c>
      <c r="W1017" s="113">
        <f>'Data_in-situ'!DR177</f>
        <v>14.31185414067193</v>
      </c>
      <c r="X1017" s="113">
        <f>'Data_in-situ'!DS177</f>
        <v>14.416523575818015</v>
      </c>
      <c r="Y1017" s="46">
        <f>'Data_in-situ'!DT177</f>
        <v>3</v>
      </c>
      <c r="AF1017" s="113">
        <f>'Data_in-situ'!EN93</f>
        <v>-6.51</v>
      </c>
      <c r="AG1017" s="113">
        <f>'Data_in-situ'!EO93</f>
        <v>2.2799999999999998</v>
      </c>
      <c r="AH1017" s="110">
        <f>'Data_in-situ'!EP93</f>
        <v>3</v>
      </c>
      <c r="AI1017" s="113">
        <f>'Data_in-situ'!ER93</f>
        <v>-46.73</v>
      </c>
      <c r="AJ1017" s="113">
        <f>'Data_in-situ'!ES93</f>
        <v>5.78</v>
      </c>
      <c r="AK1017" s="110">
        <f>'Data_in-situ'!ET93</f>
        <v>3</v>
      </c>
    </row>
    <row r="1018" spans="14:37" x14ac:dyDescent="0.3">
      <c r="T1018" s="113">
        <f>'Data_in-situ'!DN178</f>
        <v>564.51922087106243</v>
      </c>
      <c r="U1018" s="113">
        <f>'Data_in-situ'!DO178</f>
        <v>574.53047753186331</v>
      </c>
      <c r="V1018" s="46">
        <f>'Data_in-situ'!DP178</f>
        <v>4</v>
      </c>
      <c r="W1018" s="113">
        <f>'Data_in-situ'!DR178</f>
        <v>18.784308559631839</v>
      </c>
      <c r="X1018" s="113">
        <f>'Data_in-situ'!DS178</f>
        <v>16.576139153459437</v>
      </c>
      <c r="Y1018" s="46">
        <f>'Data_in-situ'!DT178</f>
        <v>3</v>
      </c>
      <c r="AF1018" s="113">
        <f>'Data_in-situ'!EN99</f>
        <v>6.52</v>
      </c>
      <c r="AG1018" s="113">
        <f>'Data_in-situ'!EO99</f>
        <v>6.22</v>
      </c>
      <c r="AH1018" s="110">
        <f>'Data_in-situ'!EP99</f>
        <v>4</v>
      </c>
      <c r="AI1018" s="113">
        <f>'Data_in-situ'!ER99</f>
        <v>-36.47</v>
      </c>
      <c r="AJ1018" s="113">
        <f>'Data_in-situ'!ES99</f>
        <v>14.77</v>
      </c>
      <c r="AK1018" s="110">
        <f>'Data_in-situ'!ET99</f>
        <v>4</v>
      </c>
    </row>
    <row r="1019" spans="14:37" x14ac:dyDescent="0.3">
      <c r="T1019" s="113">
        <f>'Data_in-situ'!DN182</f>
        <v>1413.9420186433458</v>
      </c>
      <c r="U1019" s="113">
        <f>'Data_in-situ'!DO182</f>
        <v>520.26850212340003</v>
      </c>
      <c r="V1019" s="46">
        <f>'Data_in-situ'!DP182</f>
        <v>3</v>
      </c>
      <c r="W1019" s="113">
        <f>'Data_in-situ'!DR182</f>
        <v>5.2453106713176574</v>
      </c>
      <c r="X1019" s="113">
        <f>'Data_in-situ'!DS182</f>
        <v>10.686883582340696</v>
      </c>
      <c r="Y1019" s="46">
        <f>'Data_in-situ'!DT182</f>
        <v>3</v>
      </c>
      <c r="AF1019" s="113">
        <f>'Data_in-situ'!EN107</f>
        <v>-6.51</v>
      </c>
      <c r="AG1019" s="113">
        <f>'Data_in-situ'!EO107</f>
        <v>2.2799999999999998</v>
      </c>
      <c r="AH1019" s="110">
        <f>'Data_in-situ'!EP107</f>
        <v>3</v>
      </c>
      <c r="AI1019" s="113">
        <f>'Data_in-situ'!ER107</f>
        <v>-46.73</v>
      </c>
      <c r="AJ1019" s="113">
        <f>'Data_in-situ'!ES107</f>
        <v>5.78</v>
      </c>
      <c r="AK1019" s="110">
        <f>'Data_in-situ'!ET107</f>
        <v>3</v>
      </c>
    </row>
    <row r="1020" spans="14:37" x14ac:dyDescent="0.3">
      <c r="T1020" s="113">
        <f>'Data_in-situ'!DN183</f>
        <v>965.8440732691339</v>
      </c>
      <c r="U1020" s="113">
        <f>'Data_in-situ'!DO183</f>
        <v>308.47001167764779</v>
      </c>
      <c r="V1020" s="46">
        <f>'Data_in-situ'!DP183</f>
        <v>3</v>
      </c>
      <c r="W1020" s="113">
        <f>'Data_in-situ'!DR183</f>
        <v>5.2453106713176574</v>
      </c>
      <c r="X1020" s="113">
        <f>'Data_in-situ'!DS183</f>
        <v>10.686883582340696</v>
      </c>
      <c r="Y1020" s="46">
        <f>'Data_in-situ'!DT183</f>
        <v>3</v>
      </c>
      <c r="AF1020" s="113">
        <f>'Data_in-situ'!EN112</f>
        <v>22</v>
      </c>
      <c r="AG1020" s="113">
        <f>'Data_in-situ'!EO112</f>
        <v>8.964920772528453</v>
      </c>
      <c r="AH1020" s="110">
        <f>'Data_in-situ'!EP112</f>
        <v>3</v>
      </c>
      <c r="AI1020" s="113">
        <f>'Data_in-situ'!ER112</f>
        <v>-35</v>
      </c>
      <c r="AJ1020" s="113">
        <f>'Data_in-situ'!ES112</f>
        <v>7.9384918728217961</v>
      </c>
      <c r="AK1020" s="110">
        <f>'Data_in-situ'!ET112</f>
        <v>3</v>
      </c>
    </row>
    <row r="1021" spans="14:37" x14ac:dyDescent="0.3">
      <c r="T1021" s="113">
        <f>'Data_in-situ'!DN184</f>
        <v>1212.2979432249506</v>
      </c>
      <c r="U1021" s="113">
        <f>'Data_in-situ'!DO184</f>
        <v>318.03950472765939</v>
      </c>
      <c r="V1021" s="46">
        <f>'Data_in-situ'!DP184</f>
        <v>3</v>
      </c>
      <c r="W1021" s="113">
        <f>'Data_in-situ'!DR184</f>
        <v>5.2453106713176574</v>
      </c>
      <c r="X1021" s="113">
        <f>'Data_in-situ'!DS184</f>
        <v>10.686883582340696</v>
      </c>
      <c r="Y1021" s="46">
        <f>'Data_in-situ'!DT184</f>
        <v>3</v>
      </c>
      <c r="AF1021" s="113">
        <f>'Data_in-situ'!EN113</f>
        <v>18</v>
      </c>
      <c r="AG1021" s="113">
        <f>'Data_in-situ'!EO113</f>
        <v>7.3349351775232803</v>
      </c>
      <c r="AH1021" s="110">
        <f>'Data_in-situ'!EP113</f>
        <v>3</v>
      </c>
      <c r="AI1021" s="113">
        <f>'Data_in-situ'!ER113</f>
        <v>-25</v>
      </c>
      <c r="AJ1021" s="113">
        <f>'Data_in-situ'!ES113</f>
        <v>5.670351337729854</v>
      </c>
      <c r="AK1021" s="110">
        <f>'Data_in-situ'!ET113</f>
        <v>3</v>
      </c>
    </row>
    <row r="1022" spans="14:37" x14ac:dyDescent="0.3">
      <c r="T1022" s="113">
        <f>'Data_in-situ'!DN185</f>
        <v>319.20253634957294</v>
      </c>
      <c r="U1022" s="113">
        <f>'Data_in-situ'!DO185</f>
        <v>123.29702910462079</v>
      </c>
      <c r="V1022" s="46">
        <f>'Data_in-situ'!DP185</f>
        <v>3</v>
      </c>
      <c r="W1022" s="113">
        <f>'Data_in-situ'!DR185</f>
        <v>5.2453106713176574</v>
      </c>
      <c r="X1022" s="113">
        <f>'Data_in-situ'!DS185</f>
        <v>10.686883582340696</v>
      </c>
      <c r="Y1022" s="46">
        <f>'Data_in-situ'!DT185</f>
        <v>3</v>
      </c>
      <c r="AF1022" s="113">
        <f>'Data_in-situ'!EN114</f>
        <v>14</v>
      </c>
      <c r="AG1022" s="113">
        <f>'Data_in-situ'!EO114</f>
        <v>5.7049495825181067</v>
      </c>
      <c r="AH1022" s="110">
        <f>'Data_in-situ'!EP114</f>
        <v>3</v>
      </c>
      <c r="AI1022" s="113">
        <f>'Data_in-situ'!ER114</f>
        <v>-31</v>
      </c>
      <c r="AJ1022" s="113">
        <f>'Data_in-situ'!ES114</f>
        <v>7.0312356587850191</v>
      </c>
      <c r="AK1022" s="110">
        <f>'Data_in-situ'!ET114</f>
        <v>3</v>
      </c>
    </row>
    <row r="1023" spans="14:37" x14ac:dyDescent="0.3">
      <c r="T1023" s="113">
        <f>'Data_in-situ'!DN186</f>
        <v>396.02095568448323</v>
      </c>
      <c r="U1023" s="113">
        <f>'Data_in-situ'!DO186</f>
        <v>825.11321611621167</v>
      </c>
      <c r="V1023" s="46">
        <f>'Data_in-situ'!DP186</f>
        <v>3</v>
      </c>
      <c r="W1023" s="113">
        <f>'Data_in-situ'!DR186</f>
        <v>5.2453106713176574</v>
      </c>
      <c r="X1023" s="113">
        <f>'Data_in-situ'!DS186</f>
        <v>10.686883582340696</v>
      </c>
      <c r="Y1023" s="46">
        <f>'Data_in-situ'!DT186</f>
        <v>3</v>
      </c>
      <c r="AF1023" s="113">
        <f>'Data_in-situ'!EN115</f>
        <v>8</v>
      </c>
      <c r="AG1023" s="113">
        <f>'Data_in-situ'!EO115</f>
        <v>3.2599711900103467</v>
      </c>
      <c r="AH1023" s="110">
        <f>'Data_in-situ'!EP115</f>
        <v>3</v>
      </c>
      <c r="AI1023" s="113">
        <f>'Data_in-situ'!ER115</f>
        <v>-30</v>
      </c>
      <c r="AJ1023" s="113">
        <f>'Data_in-situ'!ES115</f>
        <v>6.8044216052758255</v>
      </c>
      <c r="AK1023" s="110">
        <f>'Data_in-situ'!ET115</f>
        <v>3</v>
      </c>
    </row>
    <row r="1024" spans="14:37" x14ac:dyDescent="0.3">
      <c r="T1024" s="113">
        <f>'Data_in-situ'!DN187</f>
        <v>353.77082505028261</v>
      </c>
      <c r="U1024" s="113">
        <f>'Data_in-situ'!DO187</f>
        <v>377.4427718737299</v>
      </c>
      <c r="V1024" s="46">
        <f>'Data_in-situ'!DP187</f>
        <v>3</v>
      </c>
      <c r="W1024" s="113">
        <f>'Data_in-situ'!DR187</f>
        <v>5.2453106713176574</v>
      </c>
      <c r="X1024" s="113">
        <f>'Data_in-situ'!DS187</f>
        <v>10.686883582340696</v>
      </c>
      <c r="Y1024" s="46">
        <f>'Data_in-situ'!DT187</f>
        <v>3</v>
      </c>
      <c r="AF1024" s="113">
        <f>'Data_in-situ'!EN116</f>
        <v>55</v>
      </c>
      <c r="AG1024" s="113">
        <f>'Data_in-situ'!EO116</f>
        <v>22.412301931321135</v>
      </c>
      <c r="AH1024" s="110">
        <f>'Data_in-situ'!EP116</f>
        <v>3</v>
      </c>
      <c r="AI1024" s="113">
        <f>'Data_in-situ'!ER116</f>
        <v>-30</v>
      </c>
      <c r="AJ1024" s="113">
        <f>'Data_in-situ'!ES116</f>
        <v>6.8044216052758255</v>
      </c>
      <c r="AK1024" s="110">
        <f>'Data_in-situ'!ET116</f>
        <v>3</v>
      </c>
    </row>
    <row r="1025" spans="20:37" x14ac:dyDescent="0.3">
      <c r="T1025" s="113">
        <f>'Data_in-situ'!DN188</f>
        <v>1212.2979432249506</v>
      </c>
      <c r="U1025" s="113">
        <f>'Data_in-situ'!DO188</f>
        <v>318.03950472765939</v>
      </c>
      <c r="V1025" s="46">
        <f>'Data_in-situ'!DP188</f>
        <v>3</v>
      </c>
      <c r="W1025" s="113">
        <f>'Data_in-situ'!DR188</f>
        <v>4.8706456233663973</v>
      </c>
      <c r="X1025" s="113">
        <f>'Data_in-situ'!DS188</f>
        <v>10.042950275238745</v>
      </c>
      <c r="Y1025" s="46">
        <f>'Data_in-situ'!DT188</f>
        <v>3</v>
      </c>
      <c r="AF1025" s="113">
        <f>'Data_in-situ'!EN117</f>
        <v>45</v>
      </c>
      <c r="AG1025" s="113">
        <f>'Data_in-situ'!EO117</f>
        <v>18.337337943808201</v>
      </c>
      <c r="AH1025" s="110">
        <f>'Data_in-situ'!EP117</f>
        <v>3</v>
      </c>
      <c r="AI1025" s="113">
        <f>'Data_in-situ'!ER117</f>
        <v>-32</v>
      </c>
      <c r="AJ1025" s="113">
        <f>'Data_in-situ'!ES117</f>
        <v>7.2580497122942136</v>
      </c>
      <c r="AK1025" s="110">
        <f>'Data_in-situ'!ET117</f>
        <v>3</v>
      </c>
    </row>
    <row r="1026" spans="20:37" x14ac:dyDescent="0.3">
      <c r="T1026" s="113">
        <f>'Data_in-situ'!DN189</f>
        <v>1212.2979432249506</v>
      </c>
      <c r="U1026" s="113">
        <f>'Data_in-situ'!DO189</f>
        <v>318.03950472765939</v>
      </c>
      <c r="V1026" s="46">
        <f>'Data_in-situ'!DP189</f>
        <v>3</v>
      </c>
      <c r="W1026" s="113">
        <f>'Data_in-situ'!DR189</f>
        <v>4.4959805754151345</v>
      </c>
      <c r="X1026" s="113">
        <f>'Data_in-situ'!DS189</f>
        <v>9.194274493457808</v>
      </c>
      <c r="Y1026" s="46">
        <f>'Data_in-situ'!DT189</f>
        <v>3</v>
      </c>
      <c r="AF1026" s="113">
        <f>'Data_in-situ'!EN118</f>
        <v>37</v>
      </c>
      <c r="AG1026" s="113">
        <f>'Data_in-situ'!EO118</f>
        <v>15.077366753797854</v>
      </c>
      <c r="AH1026" s="110">
        <f>'Data_in-situ'!EP118</f>
        <v>3</v>
      </c>
      <c r="AI1026" s="113">
        <f>'Data_in-situ'!ER118</f>
        <v>-39</v>
      </c>
      <c r="AJ1026" s="113">
        <f>'Data_in-situ'!ES118</f>
        <v>8.8457480868585723</v>
      </c>
      <c r="AK1026" s="110">
        <f>'Data_in-situ'!ET118</f>
        <v>3</v>
      </c>
    </row>
    <row r="1027" spans="20:37" x14ac:dyDescent="0.3">
      <c r="T1027" s="113">
        <f>'Data_in-situ'!DN190</f>
        <v>1212.2979432249506</v>
      </c>
      <c r="U1027" s="113">
        <f>'Data_in-situ'!DO190</f>
        <v>318.03950472765939</v>
      </c>
      <c r="V1027" s="46">
        <f>'Data_in-situ'!DP190</f>
        <v>3</v>
      </c>
      <c r="W1027" s="113">
        <f>'Data_in-situ'!DR190</f>
        <v>6.3693058151714421</v>
      </c>
      <c r="X1027" s="113">
        <f>'Data_in-situ'!DS190</f>
        <v>13.141978030809039</v>
      </c>
      <c r="Y1027" s="46">
        <f>'Data_in-situ'!DT190</f>
        <v>3</v>
      </c>
      <c r="AF1027" s="113">
        <f>'Data_in-situ'!EN119</f>
        <v>24</v>
      </c>
      <c r="AG1027" s="113">
        <f>'Data_in-situ'!EO119</f>
        <v>9.7799135700310398</v>
      </c>
      <c r="AH1027" s="110">
        <f>'Data_in-situ'!EP119</f>
        <v>3</v>
      </c>
      <c r="AI1027" s="113">
        <f>'Data_in-situ'!ER119</f>
        <v>-36</v>
      </c>
      <c r="AJ1027" s="113">
        <f>'Data_in-situ'!ES119</f>
        <v>8.1653059263309906</v>
      </c>
      <c r="AK1027" s="110">
        <f>'Data_in-situ'!ET119</f>
        <v>3</v>
      </c>
    </row>
    <row r="1028" spans="20:37" x14ac:dyDescent="0.3">
      <c r="T1028" s="113">
        <f>'Data_in-situ'!DN191</f>
        <v>353.77082505028261</v>
      </c>
      <c r="U1028" s="113">
        <f>'Data_in-situ'!DO191</f>
        <v>377.4427718737299</v>
      </c>
      <c r="V1028" s="46">
        <f>'Data_in-situ'!DP191</f>
        <v>3</v>
      </c>
      <c r="W1028" s="113">
        <f>'Data_in-situ'!DR191</f>
        <v>4.8706456233663973</v>
      </c>
      <c r="X1028" s="113">
        <f>'Data_in-situ'!DS191</f>
        <v>10.042950275238745</v>
      </c>
      <c r="Y1028" s="46">
        <f>'Data_in-situ'!DT191</f>
        <v>3</v>
      </c>
      <c r="AF1028" s="113">
        <f>'Data_in-situ'!EN120</f>
        <v>60</v>
      </c>
      <c r="AG1028" s="113">
        <f>'Data_in-situ'!EO120</f>
        <v>24.4497839250776</v>
      </c>
      <c r="AH1028" s="110">
        <f>'Data_in-situ'!EP120</f>
        <v>3</v>
      </c>
      <c r="AI1028" s="113">
        <f>'Data_in-situ'!ER120</f>
        <v>-38</v>
      </c>
      <c r="AJ1028" s="113">
        <f>'Data_in-situ'!ES120</f>
        <v>8.6189340333493778</v>
      </c>
      <c r="AK1028" s="110">
        <f>'Data_in-situ'!ET120</f>
        <v>3</v>
      </c>
    </row>
    <row r="1029" spans="20:37" x14ac:dyDescent="0.3">
      <c r="T1029" s="113">
        <f>'Data_in-situ'!DN192</f>
        <v>353.77082505028261</v>
      </c>
      <c r="U1029" s="113">
        <f>'Data_in-situ'!DO192</f>
        <v>377.4427718737299</v>
      </c>
      <c r="V1029" s="46">
        <f>'Data_in-situ'!DP192</f>
        <v>3</v>
      </c>
      <c r="W1029" s="113">
        <f>'Data_in-situ'!DR192</f>
        <v>4.4959805754151345</v>
      </c>
      <c r="X1029" s="113">
        <f>'Data_in-situ'!DS192</f>
        <v>9.194274493457808</v>
      </c>
      <c r="Y1029" s="46">
        <f>'Data_in-situ'!DT192</f>
        <v>3</v>
      </c>
      <c r="AF1029" s="113">
        <f>'Data_in-situ'!EN121</f>
        <v>41</v>
      </c>
      <c r="AG1029" s="113">
        <f>'Data_in-situ'!EO121</f>
        <v>16.707352348803028</v>
      </c>
      <c r="AH1029" s="110">
        <f>'Data_in-situ'!EP121</f>
        <v>3</v>
      </c>
      <c r="AI1029" s="113">
        <f>'Data_in-situ'!ER121</f>
        <v>-31</v>
      </c>
      <c r="AJ1029" s="113">
        <f>'Data_in-situ'!ES121</f>
        <v>7.0312356587850191</v>
      </c>
      <c r="AK1029" s="110">
        <f>'Data_in-situ'!ET121</f>
        <v>3</v>
      </c>
    </row>
    <row r="1030" spans="20:37" x14ac:dyDescent="0.3">
      <c r="T1030" s="113">
        <f>'Data_in-situ'!DN193</f>
        <v>353.77082505028261</v>
      </c>
      <c r="U1030" s="113">
        <f>'Data_in-situ'!DO193</f>
        <v>377.4427718737299</v>
      </c>
      <c r="V1030" s="46">
        <f>'Data_in-situ'!DP193</f>
        <v>3</v>
      </c>
      <c r="W1030" s="113">
        <f>'Data_in-situ'!DR193</f>
        <v>6.3693058151714421</v>
      </c>
      <c r="X1030" s="113">
        <f>'Data_in-situ'!DS193</f>
        <v>13.141978030809039</v>
      </c>
      <c r="Y1030" s="46">
        <f>'Data_in-situ'!DT193</f>
        <v>3</v>
      </c>
      <c r="AF1030" s="113">
        <f>'Data_in-situ'!EN122</f>
        <v>65</v>
      </c>
      <c r="AG1030" s="113">
        <f>'Data_in-situ'!EO122</f>
        <v>26.487265918834066</v>
      </c>
      <c r="AH1030" s="110">
        <f>'Data_in-situ'!EP122</f>
        <v>3</v>
      </c>
      <c r="AI1030" s="113">
        <f>'Data_in-situ'!ER122</f>
        <v>-38</v>
      </c>
      <c r="AJ1030" s="113">
        <f>'Data_in-situ'!ES122</f>
        <v>8.6189340333493778</v>
      </c>
      <c r="AK1030" s="110">
        <f>'Data_in-situ'!ET122</f>
        <v>3</v>
      </c>
    </row>
    <row r="1031" spans="20:37" x14ac:dyDescent="0.3">
      <c r="T1031" s="113">
        <f>'Data_in-situ'!DN194</f>
        <v>116</v>
      </c>
      <c r="U1031" s="113">
        <f>'Data_in-situ'!DO194</f>
        <v>129.32599754255131</v>
      </c>
      <c r="V1031" s="46">
        <f>'Data_in-situ'!DP194</f>
        <v>6</v>
      </c>
      <c r="W1031" s="113">
        <f>'Data_in-situ'!DR194</f>
        <v>-9</v>
      </c>
      <c r="X1031" s="113">
        <f>'Data_in-situ'!DS194</f>
        <v>33.634946651679087</v>
      </c>
      <c r="Y1031" s="46">
        <f>'Data_in-situ'!DT194</f>
        <v>6</v>
      </c>
      <c r="AF1031" s="113">
        <f>'Data_in-situ'!EN123</f>
        <v>50</v>
      </c>
      <c r="AG1031" s="113">
        <f>'Data_in-situ'!EO123</f>
        <v>20.374819937564666</v>
      </c>
      <c r="AH1031" s="110">
        <f>'Data_in-situ'!EP123</f>
        <v>3</v>
      </c>
      <c r="AI1031" s="113">
        <f>'Data_in-situ'!ER123</f>
        <v>-34</v>
      </c>
      <c r="AJ1031" s="113">
        <f>'Data_in-situ'!ES123</f>
        <v>7.7116778193126017</v>
      </c>
      <c r="AK1031" s="110">
        <f>'Data_in-situ'!ET123</f>
        <v>3</v>
      </c>
    </row>
    <row r="1032" spans="20:37" x14ac:dyDescent="0.3">
      <c r="T1032" s="113">
        <f>'Data_in-situ'!DN201</f>
        <v>54.705882352941174</v>
      </c>
      <c r="U1032" s="113">
        <f>'Data_in-situ'!DO201</f>
        <v>60.990455230513547</v>
      </c>
      <c r="V1032" s="46">
        <f>'Data_in-situ'!DP201</f>
        <v>3</v>
      </c>
      <c r="W1032" s="113">
        <f>'Data_in-situ'!DR201</f>
        <v>0</v>
      </c>
      <c r="X1032" s="113">
        <f>'Data_in-situ'!DS201</f>
        <v>0</v>
      </c>
      <c r="Y1032" s="46">
        <f>'Data_in-situ'!DT201</f>
        <v>3</v>
      </c>
      <c r="AF1032" s="113">
        <f>'Data_in-situ'!EN124</f>
        <v>15</v>
      </c>
      <c r="AG1032" s="113">
        <f>'Data_in-situ'!EO124</f>
        <v>6.1124459812694001</v>
      </c>
      <c r="AH1032" s="110">
        <f>'Data_in-situ'!EP124</f>
        <v>3</v>
      </c>
      <c r="AI1032" s="113">
        <f>'Data_in-situ'!ER124</f>
        <v>-35</v>
      </c>
      <c r="AJ1032" s="113">
        <f>'Data_in-situ'!ES124</f>
        <v>7.9384918728217961</v>
      </c>
      <c r="AK1032" s="110">
        <f>'Data_in-situ'!ET124</f>
        <v>3</v>
      </c>
    </row>
    <row r="1033" spans="20:37" x14ac:dyDescent="0.3">
      <c r="T1033" s="113">
        <f>'Data_in-situ'!DN202</f>
        <v>57.352941176470587</v>
      </c>
      <c r="U1033" s="113">
        <f>'Data_in-situ'!DO202</f>
        <v>63.941606290054523</v>
      </c>
      <c r="V1033" s="46">
        <f>'Data_in-situ'!DP202</f>
        <v>3</v>
      </c>
      <c r="W1033" s="113">
        <f>'Data_in-situ'!DR202</f>
        <v>0</v>
      </c>
      <c r="X1033" s="113">
        <f>'Data_in-situ'!DS202</f>
        <v>0</v>
      </c>
      <c r="Y1033" s="46">
        <f>'Data_in-situ'!DT202</f>
        <v>3</v>
      </c>
      <c r="AF1033" s="113">
        <f>'Data_in-situ'!EN125</f>
        <v>17</v>
      </c>
      <c r="AG1033" s="113">
        <f>'Data_in-situ'!EO125</f>
        <v>6.9274387787719869</v>
      </c>
      <c r="AH1033" s="110">
        <f>'Data_in-situ'!EP125</f>
        <v>3</v>
      </c>
      <c r="AI1033" s="113">
        <f>'Data_in-situ'!ER125</f>
        <v>-37</v>
      </c>
      <c r="AJ1033" s="113">
        <f>'Data_in-situ'!ES125</f>
        <v>8.3921199798401851</v>
      </c>
      <c r="AK1033" s="110">
        <f>'Data_in-situ'!ET125</f>
        <v>3</v>
      </c>
    </row>
    <row r="1034" spans="20:37" x14ac:dyDescent="0.3">
      <c r="T1034" s="113">
        <f>'Data_in-situ'!DN205</f>
        <v>1.365079365079364</v>
      </c>
      <c r="U1034" s="113">
        <f>'Data_in-situ'!DO205</f>
        <v>1.1269841269841301</v>
      </c>
      <c r="V1034" s="46">
        <f>'Data_in-situ'!DP205</f>
        <v>4</v>
      </c>
      <c r="W1034" s="113">
        <f>'Data_in-situ'!DR205</f>
        <v>-2.3809523809523801E-2</v>
      </c>
      <c r="X1034" s="113">
        <f>'Data_in-situ'!DS205</f>
        <v>4.7619047619047603E-2</v>
      </c>
      <c r="Y1034" s="46">
        <f>'Data_in-situ'!DT205</f>
        <v>4</v>
      </c>
      <c r="AF1034" s="113">
        <f>'Data_in-situ'!EN126</f>
        <v>43</v>
      </c>
      <c r="AG1034" s="113">
        <f>'Data_in-situ'!EO126</f>
        <v>17.522345146305614</v>
      </c>
      <c r="AH1034" s="110">
        <f>'Data_in-situ'!EP126</f>
        <v>3</v>
      </c>
      <c r="AI1034" s="113">
        <f>'Data_in-situ'!ER126</f>
        <v>-31</v>
      </c>
      <c r="AJ1034" s="113">
        <f>'Data_in-situ'!ES126</f>
        <v>7.0312356587850191</v>
      </c>
      <c r="AK1034" s="110">
        <f>'Data_in-situ'!ET126</f>
        <v>3</v>
      </c>
    </row>
    <row r="1035" spans="20:37" x14ac:dyDescent="0.3">
      <c r="T1035" s="113">
        <f>'Data_in-situ'!DN212</f>
        <v>70.824570735895975</v>
      </c>
      <c r="U1035" s="113">
        <f>'Data_in-situ'!DO212</f>
        <v>78.960847077092538</v>
      </c>
      <c r="V1035" s="46">
        <f>'Data_in-situ'!DP212</f>
        <v>46</v>
      </c>
      <c r="W1035" s="113">
        <f>'Data_in-situ'!DR212</f>
        <v>-0.12589285714285717</v>
      </c>
      <c r="X1035" s="113">
        <f>'Data_in-situ'!DS212</f>
        <v>0.47048883709193973</v>
      </c>
      <c r="Y1035" s="46">
        <f>'Data_in-situ'!DT212</f>
        <v>66</v>
      </c>
      <c r="AF1035" s="113">
        <f>'Data_in-situ'!EN127</f>
        <v>40</v>
      </c>
      <c r="AG1035" s="113">
        <f>'Data_in-situ'!EO127</f>
        <v>16.299855950051732</v>
      </c>
      <c r="AH1035" s="110">
        <f>'Data_in-situ'!EP127</f>
        <v>3</v>
      </c>
      <c r="AI1035" s="113">
        <f>'Data_in-situ'!ER127</f>
        <v>-30</v>
      </c>
      <c r="AJ1035" s="113">
        <f>'Data_in-situ'!ES127</f>
        <v>6.8044216052758255</v>
      </c>
      <c r="AK1035" s="110">
        <f>'Data_in-situ'!ET127</f>
        <v>3</v>
      </c>
    </row>
    <row r="1036" spans="20:37" x14ac:dyDescent="0.3">
      <c r="T1036" s="113">
        <f>'Data_in-situ'!DN226</f>
        <v>23</v>
      </c>
      <c r="U1036" s="113">
        <f>'Data_in-situ'!DO226</f>
        <v>25.642223650678275</v>
      </c>
      <c r="V1036" s="46">
        <f>'Data_in-situ'!DP226</f>
        <v>4</v>
      </c>
      <c r="W1036" s="113">
        <f>'Data_in-situ'!DR226</f>
        <v>0.03</v>
      </c>
      <c r="X1036" s="113">
        <f>'Data_in-situ'!DS226</f>
        <v>0.11211648883893029</v>
      </c>
      <c r="Y1036" s="46">
        <f>'Data_in-situ'!DT226</f>
        <v>4</v>
      </c>
      <c r="AF1036" s="113">
        <f>'Data_in-situ'!EN134</f>
        <v>-24.4</v>
      </c>
      <c r="AG1036" s="113">
        <f>'Data_in-situ'!EO134</f>
        <v>23.902301144450508</v>
      </c>
      <c r="AH1036" s="110">
        <f>'Data_in-situ'!EP134</f>
        <v>3</v>
      </c>
      <c r="AI1036" s="113">
        <f>'Data_in-situ'!ER134</f>
        <v>-57.4</v>
      </c>
      <c r="AJ1036" s="113">
        <f>'Data_in-situ'!ES134</f>
        <v>28.405633244129582</v>
      </c>
      <c r="AK1036" s="110">
        <f>'Data_in-situ'!ET134</f>
        <v>3</v>
      </c>
    </row>
    <row r="1037" spans="20:37" x14ac:dyDescent="0.3">
      <c r="T1037" s="113">
        <f>'Data_in-situ'!DN227</f>
        <v>23</v>
      </c>
      <c r="U1037" s="113">
        <f>'Data_in-situ'!DO227</f>
        <v>25.642223650678275</v>
      </c>
      <c r="V1037" s="46">
        <f>'Data_in-situ'!DP227</f>
        <v>4</v>
      </c>
      <c r="W1037" s="113">
        <f>'Data_in-situ'!DR227</f>
        <v>0.03</v>
      </c>
      <c r="X1037" s="113">
        <f>'Data_in-situ'!DS227</f>
        <v>0.11211648883893029</v>
      </c>
      <c r="Y1037" s="46">
        <f>'Data_in-situ'!DT227</f>
        <v>4</v>
      </c>
      <c r="AF1037" s="113">
        <f>'Data_in-situ'!EN146</f>
        <v>-5</v>
      </c>
      <c r="AG1037" s="113">
        <f>'Data_in-situ'!EO146</f>
        <v>2.0374819937564665</v>
      </c>
      <c r="AH1037" s="110">
        <f>'Data_in-situ'!EP146</f>
        <v>4</v>
      </c>
      <c r="AI1037" s="113">
        <f>'Data_in-situ'!ER146</f>
        <v>-54.4</v>
      </c>
      <c r="AJ1037" s="113">
        <f>'Data_in-situ'!ES146</f>
        <v>12.338684510900162</v>
      </c>
      <c r="AK1037" s="110">
        <f>'Data_in-situ'!ET146</f>
        <v>6</v>
      </c>
    </row>
    <row r="1038" spans="20:37" x14ac:dyDescent="0.3">
      <c r="T1038" s="113">
        <f>'Data_in-situ'!DN228</f>
        <v>23</v>
      </c>
      <c r="U1038" s="113">
        <f>'Data_in-situ'!DO228</f>
        <v>25.642223650678275</v>
      </c>
      <c r="V1038" s="46">
        <f>'Data_in-situ'!DP228</f>
        <v>4</v>
      </c>
      <c r="W1038" s="113">
        <f>'Data_in-situ'!DR228</f>
        <v>0.03</v>
      </c>
      <c r="X1038" s="113">
        <f>'Data_in-situ'!DS228</f>
        <v>0.11211648883893029</v>
      </c>
      <c r="Y1038" s="46">
        <f>'Data_in-situ'!DT228</f>
        <v>4</v>
      </c>
      <c r="AF1038" s="113">
        <f>'Data_in-situ'!EN153</f>
        <v>-18.3</v>
      </c>
      <c r="AG1038" s="113">
        <f>'Data_in-situ'!EO153</f>
        <v>5.8</v>
      </c>
      <c r="AH1038" s="110">
        <f>'Data_in-situ'!EP153</f>
        <v>12</v>
      </c>
      <c r="AI1038" s="113">
        <f>'Data_in-situ'!ER153</f>
        <v>-55.5</v>
      </c>
      <c r="AJ1038" s="113">
        <f>'Data_in-situ'!ES153</f>
        <v>4.4000000000000004</v>
      </c>
      <c r="AK1038" s="110">
        <f>'Data_in-situ'!ET153</f>
        <v>25</v>
      </c>
    </row>
    <row r="1039" spans="20:37" x14ac:dyDescent="0.3">
      <c r="T1039" s="113">
        <f>'Data_in-situ'!DN229</f>
        <v>23</v>
      </c>
      <c r="U1039" s="113">
        <f>'Data_in-situ'!DO229</f>
        <v>25.642223650678275</v>
      </c>
      <c r="V1039" s="46">
        <f>'Data_in-situ'!DP229</f>
        <v>4</v>
      </c>
      <c r="W1039" s="113">
        <f>'Data_in-situ'!DR229</f>
        <v>2.2000000000000002</v>
      </c>
      <c r="X1039" s="113">
        <f>'Data_in-situ'!DS229</f>
        <v>8.2218758481882226</v>
      </c>
      <c r="Y1039" s="46">
        <f>'Data_in-situ'!DT229</f>
        <v>4</v>
      </c>
      <c r="AF1039" s="113">
        <f>'Data_in-situ'!EN154</f>
        <v>-18.3</v>
      </c>
      <c r="AG1039" s="113">
        <f>'Data_in-situ'!EO154</f>
        <v>5.8</v>
      </c>
      <c r="AH1039" s="110">
        <f>'Data_in-situ'!EP154</f>
        <v>12</v>
      </c>
      <c r="AI1039" s="113">
        <f>'Data_in-situ'!ER154</f>
        <v>-65.5</v>
      </c>
      <c r="AJ1039" s="113">
        <f>'Data_in-situ'!ES154</f>
        <v>5</v>
      </c>
      <c r="AK1039" s="110">
        <f>'Data_in-situ'!ET154</f>
        <v>7</v>
      </c>
    </row>
    <row r="1040" spans="20:37" x14ac:dyDescent="0.3">
      <c r="T1040" s="113">
        <f>'Data_in-situ'!DN230</f>
        <v>23</v>
      </c>
      <c r="U1040" s="113">
        <f>'Data_in-situ'!DO230</f>
        <v>25.642223650678275</v>
      </c>
      <c r="V1040" s="46">
        <f>'Data_in-situ'!DP230</f>
        <v>4</v>
      </c>
      <c r="W1040" s="113">
        <f>'Data_in-situ'!DR230</f>
        <v>2.2000000000000002</v>
      </c>
      <c r="X1040" s="113">
        <f>'Data_in-situ'!DS230</f>
        <v>8.2218758481882226</v>
      </c>
      <c r="Y1040" s="46">
        <f>'Data_in-situ'!DT230</f>
        <v>4</v>
      </c>
      <c r="AF1040" s="113">
        <f>'Data_in-situ'!EN155</f>
        <v>-18.3</v>
      </c>
      <c r="AG1040" s="113">
        <f>'Data_in-situ'!EO155</f>
        <v>5.8</v>
      </c>
      <c r="AH1040" s="110">
        <f>'Data_in-situ'!EP155</f>
        <v>12</v>
      </c>
      <c r="AI1040" s="113">
        <f>'Data_in-situ'!ER155</f>
        <v>-78.599999999999994</v>
      </c>
      <c r="AJ1040" s="113">
        <f>'Data_in-situ'!ES155</f>
        <v>7.5</v>
      </c>
      <c r="AK1040" s="110">
        <f>'Data_in-situ'!ET155</f>
        <v>8</v>
      </c>
    </row>
    <row r="1041" spans="20:37" x14ac:dyDescent="0.3">
      <c r="T1041" s="113">
        <f>'Data_in-situ'!DN280</f>
        <v>4.3449126612056599</v>
      </c>
      <c r="U1041" s="113">
        <f>'Data_in-situ'!DO280</f>
        <v>9.5961779850217681</v>
      </c>
      <c r="V1041" s="46">
        <f>'Data_in-situ'!DP280</f>
        <v>6</v>
      </c>
      <c r="W1041" s="113">
        <f>'Data_in-situ'!DR280</f>
        <v>-0.16115570294991843</v>
      </c>
      <c r="X1041" s="113">
        <f>'Data_in-situ'!DS280</f>
        <v>0.55821924153316771</v>
      </c>
      <c r="Y1041" s="46">
        <f>'Data_in-situ'!DT280</f>
        <v>6</v>
      </c>
      <c r="AF1041" s="113">
        <f>'Data_in-situ'!EN168</f>
        <v>-7.118297455968686</v>
      </c>
      <c r="AG1041" s="113">
        <f>'Data_in-situ'!EO168</f>
        <v>2.0896725316659488</v>
      </c>
      <c r="AH1041" s="110">
        <f>'Data_in-situ'!EP168</f>
        <v>3</v>
      </c>
      <c r="AI1041" s="113">
        <f>'Data_in-situ'!ER168</f>
        <v>-41.42054794520547</v>
      </c>
      <c r="AJ1041" s="113">
        <f>'Data_in-situ'!ES168</f>
        <v>4.0513805156967972</v>
      </c>
      <c r="AK1041" s="110">
        <f>'Data_in-situ'!ET168</f>
        <v>3</v>
      </c>
    </row>
    <row r="1042" spans="20:37" x14ac:dyDescent="0.3">
      <c r="T1042" s="113">
        <f>'Data_in-situ'!DN282</f>
        <v>4.3449126612056599</v>
      </c>
      <c r="U1042" s="113">
        <f>'Data_in-situ'!DO282</f>
        <v>9.5961779850217681</v>
      </c>
      <c r="V1042" s="46">
        <f>'Data_in-situ'!DP282</f>
        <v>6</v>
      </c>
      <c r="W1042" s="113">
        <f>'Data_in-situ'!DR282</f>
        <v>5.3718567649972807E-2</v>
      </c>
      <c r="X1042" s="113">
        <f>'Data_in-situ'!DS282</f>
        <v>0.43312042016840363</v>
      </c>
      <c r="Y1042" s="46">
        <f>'Data_in-situ'!DT282</f>
        <v>6</v>
      </c>
      <c r="AF1042" s="113">
        <f>'Data_in-situ'!EN176</f>
        <v>-7.2</v>
      </c>
      <c r="AG1042" s="113">
        <f>'Data_in-situ'!EO176</f>
        <v>2.1</v>
      </c>
      <c r="AH1042" s="110">
        <f>'Data_in-situ'!EP176</f>
        <v>4</v>
      </c>
      <c r="AI1042" s="113">
        <f>'Data_in-situ'!ER176</f>
        <v>-39.6</v>
      </c>
      <c r="AJ1042" s="113">
        <f>'Data_in-situ'!ES176</f>
        <v>17.2</v>
      </c>
      <c r="AK1042" s="110">
        <f>'Data_in-situ'!ET176</f>
        <v>3</v>
      </c>
    </row>
    <row r="1043" spans="20:37" x14ac:dyDescent="0.3">
      <c r="T1043" s="113">
        <f>'Data_in-situ'!DN284</f>
        <v>27.51778018763585</v>
      </c>
      <c r="U1043" s="113">
        <f>'Data_in-situ'!DO284</f>
        <v>12.137611972737048</v>
      </c>
      <c r="V1043" s="46">
        <f>'Data_in-situ'!DP284</f>
        <v>6</v>
      </c>
      <c r="W1043" s="113">
        <f>'Data_in-situ'!DR284</f>
        <v>-0.16115570294991843</v>
      </c>
      <c r="X1043" s="113">
        <f>'Data_in-situ'!DS284</f>
        <v>0.5610292847687105</v>
      </c>
      <c r="Y1043" s="46">
        <f>'Data_in-situ'!DT284</f>
        <v>6</v>
      </c>
      <c r="AF1043" s="113">
        <f>'Data_in-situ'!EN177</f>
        <v>-9.1999999999999993</v>
      </c>
      <c r="AG1043" s="113">
        <f>'Data_in-situ'!EO177</f>
        <v>4.8</v>
      </c>
      <c r="AH1043" s="110">
        <f>'Data_in-situ'!EP177</f>
        <v>4</v>
      </c>
      <c r="AI1043" s="113">
        <f>'Data_in-situ'!ER177</f>
        <v>-41</v>
      </c>
      <c r="AJ1043" s="113">
        <f>'Data_in-situ'!ES177</f>
        <v>11</v>
      </c>
      <c r="AK1043" s="110">
        <f>'Data_in-situ'!ET177</f>
        <v>3</v>
      </c>
    </row>
    <row r="1044" spans="20:37" x14ac:dyDescent="0.3">
      <c r="T1044" s="113">
        <f>'Data_in-situ'!DN286</f>
        <v>27.51778018763585</v>
      </c>
      <c r="U1044" s="113">
        <f>'Data_in-situ'!DO286</f>
        <v>12.137611972737048</v>
      </c>
      <c r="V1044" s="46">
        <f>'Data_in-situ'!DP286</f>
        <v>6</v>
      </c>
      <c r="W1044" s="113">
        <f>'Data_in-situ'!DR286</f>
        <v>5.3718567649972807E-2</v>
      </c>
      <c r="X1044" s="113">
        <f>'Data_in-situ'!DS286</f>
        <v>1.4941129876440691</v>
      </c>
      <c r="Y1044" s="46">
        <f>'Data_in-situ'!DT286</f>
        <v>6</v>
      </c>
      <c r="AF1044" s="113">
        <f>'Data_in-situ'!EN178</f>
        <v>-9.6999999999999993</v>
      </c>
      <c r="AG1044" s="113">
        <f>'Data_in-situ'!EO178</f>
        <v>3.7</v>
      </c>
      <c r="AH1044" s="110">
        <f>'Data_in-situ'!EP178</f>
        <v>4</v>
      </c>
      <c r="AI1044" s="113">
        <f>'Data_in-situ'!ER178</f>
        <v>-45.2</v>
      </c>
      <c r="AJ1044" s="113">
        <f>'Data_in-situ'!ES178</f>
        <v>11.5</v>
      </c>
      <c r="AK1044" s="110">
        <f>'Data_in-situ'!ET178</f>
        <v>3</v>
      </c>
    </row>
    <row r="1045" spans="20:37" x14ac:dyDescent="0.3">
      <c r="T1045" s="113">
        <f>'Data_in-situ'!DN288</f>
        <v>17.621034681556281</v>
      </c>
      <c r="U1045" s="113">
        <f>'Data_in-situ'!DO288</f>
        <v>25.060650744317332</v>
      </c>
      <c r="V1045" s="46">
        <f>'Data_in-situ'!DP288</f>
        <v>6</v>
      </c>
      <c r="W1045" s="113">
        <f>'Data_in-situ'!DR288</f>
        <v>-0.16115570294991843</v>
      </c>
      <c r="X1045" s="113">
        <f>'Data_in-situ'!DS288</f>
        <v>0.5610292847687105</v>
      </c>
      <c r="Y1045" s="46">
        <f>'Data_in-situ'!DT288</f>
        <v>6</v>
      </c>
      <c r="AF1045" s="113">
        <f>'Data_in-situ'!EN182</f>
        <v>10.513333333333334</v>
      </c>
      <c r="AG1045" s="113">
        <f>'Data_in-situ'!EO182</f>
        <v>1.0373523991392701</v>
      </c>
      <c r="AH1045" s="110">
        <f>'Data_in-situ'!EP182</f>
        <v>3</v>
      </c>
      <c r="AI1045" s="113">
        <f>'Data_in-situ'!ER182</f>
        <v>-89.296666666666667</v>
      </c>
      <c r="AJ1045" s="113">
        <f>'Data_in-situ'!ES182</f>
        <v>4.948066962629615</v>
      </c>
      <c r="AK1045" s="110">
        <f>'Data_in-situ'!ET182</f>
        <v>3</v>
      </c>
    </row>
    <row r="1046" spans="20:37" x14ac:dyDescent="0.3">
      <c r="T1046" s="113">
        <f>'Data_in-situ'!DN290</f>
        <v>17.621034681556281</v>
      </c>
      <c r="U1046" s="113">
        <f>'Data_in-situ'!DO290</f>
        <v>25.060650744317332</v>
      </c>
      <c r="V1046" s="46">
        <f>'Data_in-situ'!DP290</f>
        <v>6</v>
      </c>
      <c r="W1046" s="113">
        <f>'Data_in-situ'!DR290</f>
        <v>5.3718567649972807E-2</v>
      </c>
      <c r="X1046" s="113">
        <f>'Data_in-situ'!DS290</f>
        <v>0.43312042016840363</v>
      </c>
      <c r="Y1046" s="46">
        <f>'Data_in-situ'!DT290</f>
        <v>6</v>
      </c>
      <c r="AF1046" s="113">
        <f>'Data_in-situ'!EN183</f>
        <v>21.581790123456788</v>
      </c>
      <c r="AG1046" s="113">
        <f>'Data_in-situ'!EO183</f>
        <v>1.1499049536443477</v>
      </c>
      <c r="AH1046" s="110">
        <f>'Data_in-situ'!EP183</f>
        <v>3</v>
      </c>
      <c r="AI1046" s="113">
        <f>'Data_in-situ'!ER183</f>
        <v>-89.296666666666667</v>
      </c>
      <c r="AJ1046" s="113">
        <f>'Data_in-situ'!ES183</f>
        <v>4.948066962629615</v>
      </c>
      <c r="AK1046" s="110">
        <f>'Data_in-situ'!ET183</f>
        <v>3</v>
      </c>
    </row>
    <row r="1047" spans="20:37" x14ac:dyDescent="0.3">
      <c r="T1047" s="113">
        <f>'Data_in-situ'!DN305</f>
        <v>0.25277087423732814</v>
      </c>
      <c r="U1047" s="113">
        <f>'Data_in-situ'!DO305</f>
        <v>2.0397555922164208</v>
      </c>
      <c r="V1047" s="46">
        <f>'Data_in-situ'!DP305</f>
        <v>6</v>
      </c>
      <c r="W1047" s="113">
        <f>'Data_in-situ'!DR305</f>
        <v>-0.16115570294991843</v>
      </c>
      <c r="X1047" s="113">
        <f>'Data_in-situ'!DS305</f>
        <v>0.5610292847687105</v>
      </c>
      <c r="Y1047" s="46">
        <f>'Data_in-situ'!DT305</f>
        <v>6</v>
      </c>
      <c r="AF1047" s="113">
        <f>'Data_in-situ'!EN184</f>
        <v>15.494138888888889</v>
      </c>
      <c r="AG1047" s="113">
        <f>'Data_in-situ'!EO184</f>
        <v>0.77024816389862394</v>
      </c>
      <c r="AH1047" s="110">
        <f>'Data_in-situ'!EP184</f>
        <v>3</v>
      </c>
      <c r="AI1047" s="113">
        <f>'Data_in-situ'!ER184</f>
        <v>-89.296666666666667</v>
      </c>
      <c r="AJ1047" s="113">
        <f>'Data_in-situ'!ES184</f>
        <v>4.948066962629615</v>
      </c>
      <c r="AK1047" s="110">
        <f>'Data_in-situ'!ET184</f>
        <v>3</v>
      </c>
    </row>
    <row r="1048" spans="20:37" x14ac:dyDescent="0.3">
      <c r="T1048" s="113">
        <f>'Data_in-situ'!DN306</f>
        <v>0.25277087423732814</v>
      </c>
      <c r="U1048" s="113">
        <f>'Data_in-situ'!DO306</f>
        <v>2.0397555922164208</v>
      </c>
      <c r="V1048" s="46">
        <f>'Data_in-situ'!DP306</f>
        <v>6</v>
      </c>
      <c r="W1048" s="113">
        <f>'Data_in-situ'!DR306</f>
        <v>-0.16115570294991843</v>
      </c>
      <c r="X1048" s="113">
        <f>'Data_in-situ'!DS306</f>
        <v>0.50982923873701236</v>
      </c>
      <c r="Y1048" s="46">
        <f>'Data_in-situ'!DT306</f>
        <v>6</v>
      </c>
      <c r="AF1048" s="113">
        <f>'Data_in-situ'!EN185</f>
        <v>-29.297839506172831</v>
      </c>
      <c r="AG1048" s="113">
        <f>'Data_in-situ'!EO185</f>
        <v>7.4871417952407429</v>
      </c>
      <c r="AH1048" s="110">
        <f>'Data_in-situ'!EP185</f>
        <v>3</v>
      </c>
      <c r="AI1048" s="113">
        <f>'Data_in-situ'!ER185</f>
        <v>-89.296666666666667</v>
      </c>
      <c r="AJ1048" s="113">
        <f>'Data_in-situ'!ES185</f>
        <v>4.948066962629615</v>
      </c>
      <c r="AK1048" s="110">
        <f>'Data_in-situ'!ET185</f>
        <v>3</v>
      </c>
    </row>
    <row r="1049" spans="20:37" x14ac:dyDescent="0.3">
      <c r="T1049" s="113">
        <f>'Data_in-situ'!DN307</f>
        <v>0.25277087423732814</v>
      </c>
      <c r="U1049" s="113">
        <f>'Data_in-situ'!DO307</f>
        <v>2.0397555922164208</v>
      </c>
      <c r="V1049" s="46">
        <f>'Data_in-situ'!DP307</f>
        <v>6</v>
      </c>
      <c r="W1049" s="113">
        <f>'Data_in-situ'!DR307</f>
        <v>-0.21487427059989123</v>
      </c>
      <c r="X1049" s="113">
        <f>'Data_in-situ'!DS307</f>
        <v>0.52942636938081877</v>
      </c>
      <c r="Y1049" s="46">
        <f>'Data_in-situ'!DT307</f>
        <v>6</v>
      </c>
      <c r="AF1049" s="113">
        <f>'Data_in-situ'!EN186</f>
        <v>-15.092592592592601</v>
      </c>
      <c r="AG1049" s="113">
        <f>'Data_in-situ'!EO186</f>
        <v>7.11534501237022</v>
      </c>
      <c r="AH1049" s="110">
        <f>'Data_in-situ'!EP186</f>
        <v>3</v>
      </c>
      <c r="AI1049" s="113">
        <f>'Data_in-situ'!ER186</f>
        <v>-89.296666666666667</v>
      </c>
      <c r="AJ1049" s="113">
        <f>'Data_in-situ'!ES186</f>
        <v>4.948066962629615</v>
      </c>
      <c r="AK1049" s="110">
        <f>'Data_in-situ'!ET186</f>
        <v>3</v>
      </c>
    </row>
    <row r="1050" spans="20:37" x14ac:dyDescent="0.3">
      <c r="T1050" s="113">
        <f>'Data_in-situ'!DN309</f>
        <v>1.2638543711866406</v>
      </c>
      <c r="U1050" s="113">
        <f>'Data_in-situ'!DO309</f>
        <v>3.7827422106480872</v>
      </c>
      <c r="V1050" s="46">
        <f>'Data_in-situ'!DP309</f>
        <v>6</v>
      </c>
      <c r="W1050" s="113">
        <f>'Data_in-situ'!DR309</f>
        <v>-0.16115570294991843</v>
      </c>
      <c r="X1050" s="113">
        <f>'Data_in-situ'!DS309</f>
        <v>0.5610292847687105</v>
      </c>
      <c r="Y1050" s="46">
        <f>'Data_in-situ'!DT309</f>
        <v>6</v>
      </c>
      <c r="AF1050" s="113">
        <f>'Data_in-situ'!EN187</f>
        <v>-22.905478395061731</v>
      </c>
      <c r="AG1050" s="113">
        <f>'Data_in-situ'!EO187</f>
        <v>5.2162753162474411</v>
      </c>
      <c r="AH1050" s="110">
        <f>'Data_in-situ'!EP187</f>
        <v>3</v>
      </c>
      <c r="AI1050" s="113">
        <f>'Data_in-situ'!ER187</f>
        <v>-89.296666666666667</v>
      </c>
      <c r="AJ1050" s="113">
        <f>'Data_in-situ'!ES187</f>
        <v>4.948066962629615</v>
      </c>
      <c r="AK1050" s="110">
        <f>'Data_in-situ'!ET187</f>
        <v>3</v>
      </c>
    </row>
    <row r="1051" spans="20:37" x14ac:dyDescent="0.3">
      <c r="T1051" s="113">
        <f>'Data_in-situ'!DN310</f>
        <v>1.2638543711866406</v>
      </c>
      <c r="U1051" s="113">
        <f>'Data_in-situ'!DO310</f>
        <v>3.7827422106480872</v>
      </c>
      <c r="V1051" s="46">
        <f>'Data_in-situ'!DP310</f>
        <v>6</v>
      </c>
      <c r="W1051" s="113">
        <f>'Data_in-situ'!DR310</f>
        <v>-0.16115570294991843</v>
      </c>
      <c r="X1051" s="113">
        <f>'Data_in-situ'!DS310</f>
        <v>0.5610292847687105</v>
      </c>
      <c r="Y1051" s="46">
        <f>'Data_in-situ'!DT310</f>
        <v>6</v>
      </c>
      <c r="AF1051" s="113">
        <f>'Data_in-situ'!EN188</f>
        <v>15.494138888888889</v>
      </c>
      <c r="AG1051" s="113">
        <f>'Data_in-situ'!EO188</f>
        <v>0.77024816389862394</v>
      </c>
      <c r="AH1051" s="110">
        <f>'Data_in-situ'!EP188</f>
        <v>3</v>
      </c>
      <c r="AI1051" s="113">
        <f>'Data_in-situ'!ER188</f>
        <v>-91.63</v>
      </c>
      <c r="AJ1051" s="113">
        <f>'Data_in-situ'!ES188</f>
        <v>7.7942286340599471</v>
      </c>
      <c r="AK1051" s="110">
        <f>'Data_in-situ'!ET188</f>
        <v>3</v>
      </c>
    </row>
    <row r="1052" spans="20:37" x14ac:dyDescent="0.3">
      <c r="T1052" s="113">
        <f>'Data_in-situ'!DN311</f>
        <v>1.2638543711866406</v>
      </c>
      <c r="U1052" s="113">
        <f>'Data_in-situ'!DO311</f>
        <v>3.7827422106480872</v>
      </c>
      <c r="V1052" s="46">
        <f>'Data_in-situ'!DP311</f>
        <v>6</v>
      </c>
      <c r="W1052" s="113">
        <f>'Data_in-situ'!DR311</f>
        <v>-0.21487427059989123</v>
      </c>
      <c r="X1052" s="113">
        <f>'Data_in-situ'!DS311</f>
        <v>0.52942636938081877</v>
      </c>
      <c r="Y1052" s="46">
        <f>'Data_in-situ'!DT311</f>
        <v>6</v>
      </c>
      <c r="AF1052" s="113">
        <f>'Data_in-situ'!EN189</f>
        <v>15.494138888888889</v>
      </c>
      <c r="AG1052" s="113">
        <f>'Data_in-situ'!EO189</f>
        <v>0.77024816389862394</v>
      </c>
      <c r="AH1052" s="110">
        <f>'Data_in-situ'!EP189</f>
        <v>3</v>
      </c>
      <c r="AI1052" s="113">
        <f>'Data_in-situ'!ER189</f>
        <v>-87.6</v>
      </c>
      <c r="AJ1052" s="113">
        <f>'Data_in-situ'!ES189</f>
        <v>10.825317547305483</v>
      </c>
      <c r="AK1052" s="110">
        <f>'Data_in-situ'!ET189</f>
        <v>3</v>
      </c>
    </row>
    <row r="1053" spans="20:37" x14ac:dyDescent="0.3">
      <c r="T1053" s="113">
        <f>'Data_in-situ'!DN313</f>
        <v>0.75831262271198441</v>
      </c>
      <c r="U1053" s="113">
        <f>'Data_in-situ'!DO313</f>
        <v>2.1753507933433238</v>
      </c>
      <c r="V1053" s="46">
        <f>'Data_in-situ'!DP313</f>
        <v>6</v>
      </c>
      <c r="W1053" s="113">
        <f>'Data_in-situ'!DR313</f>
        <v>-0.16115570294991843</v>
      </c>
      <c r="X1053" s="113">
        <f>'Data_in-situ'!DS313</f>
        <v>0.5610292847687105</v>
      </c>
      <c r="Y1053" s="46">
        <f>'Data_in-situ'!DT313</f>
        <v>6</v>
      </c>
      <c r="AF1053" s="113">
        <f>'Data_in-situ'!EN190</f>
        <v>15.494138888888889</v>
      </c>
      <c r="AG1053" s="113">
        <f>'Data_in-situ'!EO190</f>
        <v>0.77024816389862394</v>
      </c>
      <c r="AH1053" s="110">
        <f>'Data_in-situ'!EP190</f>
        <v>3</v>
      </c>
      <c r="AI1053" s="113">
        <f>'Data_in-situ'!ER190</f>
        <v>-89.296666666666667</v>
      </c>
      <c r="AJ1053" s="113">
        <f>'Data_in-situ'!ES190</f>
        <v>6.512511036458978</v>
      </c>
      <c r="AK1053" s="110">
        <f>'Data_in-situ'!ET190</f>
        <v>3</v>
      </c>
    </row>
    <row r="1054" spans="20:37" x14ac:dyDescent="0.3">
      <c r="T1054" s="113">
        <f>'Data_in-situ'!DN314</f>
        <v>0.75831262271198441</v>
      </c>
      <c r="U1054" s="113">
        <f>'Data_in-situ'!DO314</f>
        <v>2.1753507933433238</v>
      </c>
      <c r="V1054" s="46">
        <f>'Data_in-situ'!DP314</f>
        <v>6</v>
      </c>
      <c r="W1054" s="113">
        <f>'Data_in-situ'!DR314</f>
        <v>-0.16115570294991843</v>
      </c>
      <c r="X1054" s="113">
        <f>'Data_in-situ'!DS314</f>
        <v>0.52942636938081877</v>
      </c>
      <c r="Y1054" s="46">
        <f>'Data_in-situ'!DT314</f>
        <v>6</v>
      </c>
      <c r="AF1054" s="113">
        <f>'Data_in-situ'!EN191</f>
        <v>-22.905478395061731</v>
      </c>
      <c r="AG1054" s="113">
        <f>'Data_in-situ'!EO191</f>
        <v>5.2162753162474411</v>
      </c>
      <c r="AH1054" s="110">
        <f>'Data_in-situ'!EP191</f>
        <v>3</v>
      </c>
      <c r="AI1054" s="113">
        <f>'Data_in-situ'!ER191</f>
        <v>-91.63</v>
      </c>
      <c r="AJ1054" s="113">
        <f>'Data_in-situ'!ES191</f>
        <v>7.7942286340599471</v>
      </c>
      <c r="AK1054" s="110">
        <f>'Data_in-situ'!ET191</f>
        <v>3</v>
      </c>
    </row>
    <row r="1055" spans="20:37" x14ac:dyDescent="0.3">
      <c r="T1055" s="113">
        <f>'Data_in-situ'!DN315</f>
        <v>0.75831262271198441</v>
      </c>
      <c r="U1055" s="113">
        <f>'Data_in-situ'!DO315</f>
        <v>2.1753507933433238</v>
      </c>
      <c r="V1055" s="46">
        <f>'Data_in-situ'!DP315</f>
        <v>6</v>
      </c>
      <c r="W1055" s="113">
        <f>'Data_in-situ'!DR315</f>
        <v>-0.21487427059989123</v>
      </c>
      <c r="X1055" s="113">
        <f>'Data_in-situ'!DS315</f>
        <v>0.52942636938081877</v>
      </c>
      <c r="Y1055" s="46">
        <f>'Data_in-situ'!DT315</f>
        <v>6</v>
      </c>
      <c r="AF1055" s="113">
        <f>'Data_in-situ'!EN192</f>
        <v>-22.905478395061731</v>
      </c>
      <c r="AG1055" s="113">
        <f>'Data_in-situ'!EO192</f>
        <v>5.2162753162474411</v>
      </c>
      <c r="AH1055" s="110">
        <f>'Data_in-situ'!EP192</f>
        <v>3</v>
      </c>
      <c r="AI1055" s="113">
        <f>'Data_in-situ'!ER192</f>
        <v>-87.6</v>
      </c>
      <c r="AJ1055" s="113">
        <f>'Data_in-situ'!ES192</f>
        <v>10.825317547305483</v>
      </c>
      <c r="AK1055" s="110">
        <f>'Data_in-situ'!ET192</f>
        <v>3</v>
      </c>
    </row>
    <row r="1056" spans="20:37" x14ac:dyDescent="0.3">
      <c r="T1056" s="113">
        <f>'Data_in-situ'!DN327</f>
        <v>395.8</v>
      </c>
      <c r="U1056" s="113">
        <f>'Data_in-situ'!DO327</f>
        <v>441.26922264949837</v>
      </c>
      <c r="V1056" s="46">
        <f>'Data_in-situ'!DP327</f>
        <v>12</v>
      </c>
      <c r="W1056" s="113">
        <f>'Data_in-situ'!DR327</f>
        <v>0.2</v>
      </c>
      <c r="X1056" s="113">
        <f>'Data_in-situ'!DS327</f>
        <v>0.747443258926202</v>
      </c>
      <c r="Y1056" s="46">
        <f>'Data_in-situ'!DT327</f>
        <v>15</v>
      </c>
      <c r="AF1056" s="113">
        <f>'Data_in-situ'!EN193</f>
        <v>-22.905478395061731</v>
      </c>
      <c r="AG1056" s="113">
        <f>'Data_in-situ'!EO193</f>
        <v>5.2162753162474411</v>
      </c>
      <c r="AH1056" s="110">
        <f>'Data_in-situ'!EP193</f>
        <v>3</v>
      </c>
      <c r="AI1056" s="113">
        <f>'Data_in-situ'!ER193</f>
        <v>-89.296666666666667</v>
      </c>
      <c r="AJ1056" s="113">
        <f>'Data_in-situ'!ES193</f>
        <v>6.512511036458978</v>
      </c>
      <c r="AK1056" s="110">
        <f>'Data_in-situ'!ET193</f>
        <v>3</v>
      </c>
    </row>
    <row r="1057" spans="20:37" x14ac:dyDescent="0.3">
      <c r="T1057" s="113">
        <f>'Data_in-situ'!DN356</f>
        <v>104.97588219692315</v>
      </c>
      <c r="U1057" s="113">
        <f>'Data_in-situ'!DO356</f>
        <v>117.03543692264172</v>
      </c>
      <c r="V1057" s="46">
        <f>'Data_in-situ'!DP356</f>
        <v>3</v>
      </c>
      <c r="W1057" s="113">
        <f>'Data_in-situ'!DR356</f>
        <v>0</v>
      </c>
      <c r="X1057" s="113">
        <f>'Data_in-situ'!DS356</f>
        <v>0</v>
      </c>
      <c r="Y1057" s="46">
        <f>'Data_in-situ'!DT356</f>
        <v>3</v>
      </c>
      <c r="AF1057" s="113">
        <f>'Data_in-situ'!EN194</f>
        <v>-7</v>
      </c>
      <c r="AG1057" s="113">
        <f>'Data_in-situ'!EO194</f>
        <v>2.8524747912590533</v>
      </c>
      <c r="AH1057" s="110">
        <f>'Data_in-situ'!EP194</f>
        <v>6</v>
      </c>
      <c r="AI1057" s="113">
        <f>'Data_in-situ'!ER194</f>
        <v>-57</v>
      </c>
      <c r="AJ1057" s="113">
        <f>'Data_in-situ'!ES194</f>
        <v>12.928401050024068</v>
      </c>
      <c r="AK1057" s="110">
        <f>'Data_in-situ'!ET194</f>
        <v>6</v>
      </c>
    </row>
    <row r="1058" spans="20:37" x14ac:dyDescent="0.3">
      <c r="T1058" s="113">
        <f>'Data_in-situ'!DN359</f>
        <v>109.11966702048591</v>
      </c>
      <c r="U1058" s="113">
        <f>'Data_in-situ'!DO359</f>
        <v>121.65525680116704</v>
      </c>
      <c r="V1058" s="46">
        <f>'Data_in-situ'!DP359</f>
        <v>3</v>
      </c>
      <c r="W1058" s="113">
        <f>'Data_in-situ'!DR359</f>
        <v>0.88063225655693134</v>
      </c>
      <c r="X1058" s="113">
        <f>'Data_in-situ'!DS359</f>
        <v>3.2911132187822396</v>
      </c>
      <c r="Y1058" s="46">
        <f>'Data_in-situ'!DT359</f>
        <v>3</v>
      </c>
      <c r="AF1058" s="113">
        <f>'Data_in-situ'!EN201</f>
        <v>7.1</v>
      </c>
      <c r="AG1058" s="113">
        <f>'Data_in-situ'!EO201</f>
        <v>1.3435028842544376</v>
      </c>
      <c r="AH1058" s="110">
        <f>'Data_in-situ'!EP201</f>
        <v>3</v>
      </c>
      <c r="AI1058" s="113">
        <f>'Data_in-situ'!ER201</f>
        <v>-26</v>
      </c>
      <c r="AJ1058" s="113">
        <f>'Data_in-situ'!ES201</f>
        <v>5.6568542494923806</v>
      </c>
      <c r="AK1058" s="110">
        <f>'Data_in-situ'!ET201</f>
        <v>3</v>
      </c>
    </row>
    <row r="1059" spans="20:37" x14ac:dyDescent="0.3">
      <c r="T1059" s="113">
        <f>'Data_in-situ'!DN362</f>
        <v>13.000958989688872</v>
      </c>
      <c r="U1059" s="113">
        <f>'Data_in-situ'!DO362</f>
        <v>49.021154863031335</v>
      </c>
      <c r="V1059" s="46">
        <f>'Data_in-situ'!DP362</f>
        <v>8</v>
      </c>
      <c r="W1059" s="113">
        <f>'Data_in-situ'!DR362</f>
        <v>-4.3235288751980265</v>
      </c>
      <c r="X1059" s="113">
        <f>'Data_in-situ'!DS362</f>
        <v>9.6228681188427743</v>
      </c>
      <c r="Y1059" s="46">
        <f>'Data_in-situ'!DT362</f>
        <v>8</v>
      </c>
      <c r="AF1059" s="113">
        <f>'Data_in-situ'!EN202</f>
        <v>14.2</v>
      </c>
      <c r="AG1059" s="113">
        <f>'Data_in-situ'!EO202</f>
        <v>1.9091883092036779</v>
      </c>
      <c r="AH1059" s="110">
        <f>'Data_in-situ'!EP202</f>
        <v>3</v>
      </c>
      <c r="AI1059" s="113">
        <f>'Data_in-situ'!ER202</f>
        <v>-26.3</v>
      </c>
      <c r="AJ1059" s="113">
        <f>'Data_in-situ'!ES202</f>
        <v>4.6669047558312107</v>
      </c>
      <c r="AK1059" s="110">
        <f>'Data_in-situ'!ET202</f>
        <v>3</v>
      </c>
    </row>
    <row r="1060" spans="20:37" x14ac:dyDescent="0.3">
      <c r="T1060" s="113">
        <f>'Data_in-situ'!DN432</f>
        <v>75.653333333333322</v>
      </c>
      <c r="U1060" s="113">
        <f>'Data_in-situ'!DO432</f>
        <v>22.585942530698158</v>
      </c>
      <c r="V1060" s="46">
        <f>'Data_in-situ'!DP432</f>
        <v>3</v>
      </c>
      <c r="W1060" s="113">
        <f>'Data_in-situ'!DR432</f>
        <v>1.9466666666666665</v>
      </c>
      <c r="X1060" s="113">
        <f>'Data_in-situ'!DS432</f>
        <v>8.1752798117251011</v>
      </c>
      <c r="Y1060" s="46">
        <f>'Data_in-situ'!DT432</f>
        <v>3</v>
      </c>
      <c r="AF1060" s="113">
        <f>'Data_in-situ'!EN203</f>
        <v>3</v>
      </c>
      <c r="AG1060" s="113">
        <f>'Data_in-situ'!EO203</f>
        <v>1.22248919625388</v>
      </c>
      <c r="AH1060" s="110">
        <f>'Data_in-situ'!EP203</f>
        <v>3</v>
      </c>
      <c r="AI1060" s="113">
        <f>'Data_in-situ'!ER203</f>
        <v>-42</v>
      </c>
      <c r="AJ1060" s="113">
        <f>'Data_in-situ'!ES203</f>
        <v>9.5261902473861557</v>
      </c>
      <c r="AK1060" s="110">
        <f>'Data_in-situ'!ET203</f>
        <v>3</v>
      </c>
    </row>
    <row r="1061" spans="20:37" x14ac:dyDescent="0.3">
      <c r="T1061" s="113">
        <f>'Data_in-situ'!DN433</f>
        <v>36.813333333333333</v>
      </c>
      <c r="U1061" s="113">
        <f>'Data_in-situ'!DO433</f>
        <v>5.8889727457341818</v>
      </c>
      <c r="V1061" s="46">
        <f>'Data_in-situ'!DP433</f>
        <v>3</v>
      </c>
      <c r="W1061" s="113">
        <f>'Data_in-situ'!DR433</f>
        <v>0.97333333333333327</v>
      </c>
      <c r="X1061" s="113">
        <f>'Data_in-situ'!DS433</f>
        <v>1.1777945491468365</v>
      </c>
      <c r="Y1061" s="46">
        <f>'Data_in-situ'!DT433</f>
        <v>3</v>
      </c>
      <c r="AF1061" s="113">
        <f>'Data_in-situ'!EN204</f>
        <v>3</v>
      </c>
      <c r="AG1061" s="113">
        <f>'Data_in-situ'!EO204</f>
        <v>1.22248919625388</v>
      </c>
      <c r="AH1061" s="110">
        <f>'Data_in-situ'!EP204</f>
        <v>3</v>
      </c>
      <c r="AI1061" s="113">
        <f>'Data_in-situ'!ER204</f>
        <v>-41</v>
      </c>
      <c r="AJ1061" s="113">
        <f>'Data_in-situ'!ES204</f>
        <v>9.2993761938769612</v>
      </c>
      <c r="AK1061" s="110">
        <f>'Data_in-situ'!ET204</f>
        <v>3</v>
      </c>
    </row>
    <row r="1062" spans="20:37" x14ac:dyDescent="0.3">
      <c r="T1062" s="113">
        <f>'Data_in-situ'!DN444</f>
        <v>1231.8452874333798</v>
      </c>
      <c r="U1062" s="113">
        <f>'Data_in-situ'!DO444</f>
        <v>2386.9642276450431</v>
      </c>
      <c r="V1062" s="46">
        <f>'Data_in-situ'!DP444</f>
        <v>46</v>
      </c>
      <c r="W1062" s="113">
        <f>'Data_in-situ'!DR444</f>
        <v>23.778911502590674</v>
      </c>
      <c r="X1062" s="113">
        <f>'Data_in-situ'!DS444</f>
        <v>31.04286769933886</v>
      </c>
      <c r="Y1062" s="46">
        <f>'Data_in-situ'!DT444</f>
        <v>53</v>
      </c>
      <c r="AF1062" s="113">
        <f>'Data_in-situ'!EN205</f>
        <v>-10</v>
      </c>
      <c r="AG1062" s="113">
        <f>'Data_in-situ'!EO205</f>
        <v>23</v>
      </c>
      <c r="AH1062" s="110">
        <f>'Data_in-situ'!EP205</f>
        <v>4</v>
      </c>
      <c r="AI1062" s="113">
        <f>'Data_in-situ'!ER205</f>
        <v>-56</v>
      </c>
      <c r="AJ1062" s="113">
        <f>'Data_in-situ'!ES205</f>
        <v>34</v>
      </c>
      <c r="AK1062" s="110">
        <f>'Data_in-situ'!ET205</f>
        <v>4</v>
      </c>
    </row>
    <row r="1063" spans="20:37" x14ac:dyDescent="0.3">
      <c r="T1063" s="113">
        <f>'Data_in-situ'!DN445</f>
        <v>434.70588235294116</v>
      </c>
      <c r="U1063" s="113">
        <f>'Data_in-situ'!DO445</f>
        <v>437.34858971687066</v>
      </c>
      <c r="V1063" s="46">
        <f>'Data_in-situ'!DP445</f>
        <v>5</v>
      </c>
      <c r="W1063" s="113">
        <f>'Data_in-situ'!DR445</f>
        <v>78.82352941176471</v>
      </c>
      <c r="X1063" s="113">
        <f>'Data_in-situ'!DS445</f>
        <v>78.92004626469847</v>
      </c>
      <c r="Y1063" s="46">
        <f>'Data_in-situ'!DT445</f>
        <v>5</v>
      </c>
      <c r="AF1063" s="113">
        <f>'Data_in-situ'!EN212</f>
        <v>-15</v>
      </c>
      <c r="AG1063" s="113">
        <f>'Data_in-situ'!EO212</f>
        <v>13</v>
      </c>
      <c r="AH1063" s="110">
        <f>'Data_in-situ'!EP212</f>
        <v>9836</v>
      </c>
      <c r="AI1063" s="113">
        <f>'Data_in-situ'!ER212</f>
        <v>-68</v>
      </c>
      <c r="AJ1063" s="113">
        <f>'Data_in-situ'!ES212</f>
        <v>23</v>
      </c>
      <c r="AK1063" s="110">
        <f>'Data_in-situ'!ET212</f>
        <v>11052</v>
      </c>
    </row>
    <row r="1064" spans="20:37" x14ac:dyDescent="0.3">
      <c r="T1064" s="113">
        <f>'Data_in-situ'!DN454</f>
        <v>26.051392891450497</v>
      </c>
      <c r="U1064" s="113">
        <f>'Data_in-situ'!DO454</f>
        <v>12.515768654879148</v>
      </c>
      <c r="V1064" s="46">
        <f>'Data_in-situ'!DP454</f>
        <v>3</v>
      </c>
      <c r="W1064" s="113">
        <f>'Data_in-situ'!DR454</f>
        <v>-2.2790585975024058</v>
      </c>
      <c r="X1064" s="113">
        <f>'Data_in-situ'!DS454</f>
        <v>1.8593013863594432</v>
      </c>
      <c r="Y1064" s="46">
        <f>'Data_in-situ'!DT454</f>
        <v>3</v>
      </c>
      <c r="AF1064" s="113">
        <f>'Data_in-situ'!EN226</f>
        <v>-15</v>
      </c>
      <c r="AG1064" s="113">
        <f>'Data_in-situ'!EO226</f>
        <v>6.1124459812694001</v>
      </c>
      <c r="AH1064" s="110">
        <f>'Data_in-situ'!EP226</f>
        <v>4</v>
      </c>
      <c r="AI1064" s="113">
        <f>'Data_in-situ'!ER226</f>
        <v>-60</v>
      </c>
      <c r="AJ1064" s="113">
        <f>'Data_in-situ'!ES226</f>
        <v>13.608843210551651</v>
      </c>
      <c r="AK1064" s="110">
        <f>'Data_in-situ'!ET226</f>
        <v>4</v>
      </c>
    </row>
    <row r="1065" spans="20:37" x14ac:dyDescent="0.3">
      <c r="T1065" s="113">
        <f>'Data_in-situ'!DN459</f>
        <v>118.26666666666667</v>
      </c>
      <c r="U1065" s="113">
        <f>'Data_in-situ'!DO459</f>
        <v>131.85305726464713</v>
      </c>
      <c r="V1065" s="46">
        <f>'Data_in-situ'!DP459</f>
        <v>1</v>
      </c>
      <c r="W1065" s="113">
        <f>'Data_in-situ'!DR459</f>
        <v>26.133333333333336</v>
      </c>
      <c r="X1065" s="113">
        <f>'Data_in-situ'!DS459</f>
        <v>97.665919166357071</v>
      </c>
      <c r="Y1065" s="46">
        <f>'Data_in-situ'!DT459</f>
        <v>1</v>
      </c>
      <c r="AF1065" s="113">
        <f>'Data_in-situ'!EN227</f>
        <v>-9.6300000000000008</v>
      </c>
      <c r="AG1065" s="113">
        <f>'Data_in-situ'!EO227</f>
        <v>3.9241903199749553</v>
      </c>
      <c r="AH1065" s="110">
        <f>'Data_in-situ'!EP227</f>
        <v>4</v>
      </c>
      <c r="AI1065" s="113">
        <f>'Data_in-situ'!ER227</f>
        <v>-60</v>
      </c>
      <c r="AJ1065" s="113">
        <f>'Data_in-situ'!ES227</f>
        <v>13.608843210551651</v>
      </c>
      <c r="AK1065" s="110">
        <f>'Data_in-situ'!ET227</f>
        <v>4</v>
      </c>
    </row>
    <row r="1066" spans="20:37" x14ac:dyDescent="0.3">
      <c r="T1066" s="113">
        <f>'Data_in-situ'!DN460</f>
        <v>115.06666666666666</v>
      </c>
      <c r="U1066" s="113">
        <f>'Data_in-situ'!DO460</f>
        <v>128.28544353933538</v>
      </c>
      <c r="V1066" s="46">
        <f>'Data_in-situ'!DP460</f>
        <v>1</v>
      </c>
      <c r="W1066" s="113">
        <f>'Data_in-situ'!DR460</f>
        <v>31.733333333333334</v>
      </c>
      <c r="X1066" s="113">
        <f>'Data_in-situ'!DS460</f>
        <v>118.59433041629072</v>
      </c>
      <c r="Y1066" s="46">
        <f>'Data_in-situ'!DT460</f>
        <v>1</v>
      </c>
      <c r="AF1066" s="113">
        <f>'Data_in-situ'!EN228</f>
        <v>-8.65</v>
      </c>
      <c r="AG1066" s="113">
        <f>'Data_in-situ'!EO228</f>
        <v>3.5248438491986875</v>
      </c>
      <c r="AH1066" s="110">
        <f>'Data_in-situ'!EP228</f>
        <v>4</v>
      </c>
      <c r="AI1066" s="113">
        <f>'Data_in-situ'!ER228</f>
        <v>-60</v>
      </c>
      <c r="AJ1066" s="113">
        <f>'Data_in-situ'!ES228</f>
        <v>13.608843210551651</v>
      </c>
      <c r="AK1066" s="110">
        <f>'Data_in-situ'!ET228</f>
        <v>4</v>
      </c>
    </row>
    <row r="1067" spans="20:37" x14ac:dyDescent="0.3">
      <c r="T1067" s="113">
        <f>'Data_in-situ'!DN461</f>
        <v>105.2</v>
      </c>
      <c r="U1067" s="113">
        <f>'Data_in-situ'!DO461</f>
        <v>117.28530121962412</v>
      </c>
      <c r="V1067" s="46">
        <f>'Data_in-situ'!DP461</f>
        <v>1</v>
      </c>
      <c r="W1067" s="113">
        <f>'Data_in-situ'!DR461</f>
        <v>29.733333333333334</v>
      </c>
      <c r="X1067" s="113">
        <f>'Data_in-situ'!DS461</f>
        <v>111.11989782702869</v>
      </c>
      <c r="Y1067" s="46">
        <f>'Data_in-situ'!DT461</f>
        <v>1</v>
      </c>
      <c r="AF1067" s="113">
        <f>'Data_in-situ'!EN229</f>
        <v>-9.6199999999999992</v>
      </c>
      <c r="AG1067" s="113">
        <f>'Data_in-situ'!EO229</f>
        <v>3.9201153559874418</v>
      </c>
      <c r="AH1067" s="110">
        <f>'Data_in-situ'!EP229</f>
        <v>4</v>
      </c>
      <c r="AI1067" s="113">
        <f>'Data_in-situ'!ER229</f>
        <v>-80</v>
      </c>
      <c r="AJ1067" s="113">
        <f>'Data_in-situ'!ES229</f>
        <v>18.145124280735534</v>
      </c>
      <c r="AK1067" s="110">
        <f>'Data_in-situ'!ET229</f>
        <v>4</v>
      </c>
    </row>
    <row r="1068" spans="20:37" x14ac:dyDescent="0.3">
      <c r="AF1068" s="113">
        <f>'Data_in-situ'!EN230</f>
        <v>-5.36</v>
      </c>
      <c r="AG1068" s="113">
        <f>'Data_in-situ'!EO230</f>
        <v>2.1841806973069327</v>
      </c>
      <c r="AH1068" s="110">
        <f>'Data_in-situ'!EP230</f>
        <v>4</v>
      </c>
      <c r="AI1068" s="113">
        <f>'Data_in-situ'!ER230</f>
        <v>-80</v>
      </c>
      <c r="AJ1068" s="113">
        <f>'Data_in-situ'!ES230</f>
        <v>18.145124280735534</v>
      </c>
      <c r="AK1068" s="110">
        <f>'Data_in-situ'!ET230</f>
        <v>4</v>
      </c>
    </row>
    <row r="1069" spans="20:37" x14ac:dyDescent="0.3">
      <c r="AF1069" s="113">
        <f>'Data_in-situ'!EN252</f>
        <v>0</v>
      </c>
      <c r="AG1069" s="113">
        <f>'Data_in-situ'!EO252</f>
        <v>0</v>
      </c>
      <c r="AH1069" s="110">
        <f>'Data_in-situ'!EP252</f>
        <v>3</v>
      </c>
      <c r="AI1069" s="113">
        <f>'Data_in-situ'!ER252</f>
        <v>-50</v>
      </c>
      <c r="AJ1069" s="113">
        <f>'Data_in-situ'!ES252</f>
        <v>11.340702675459708</v>
      </c>
      <c r="AK1069" s="110">
        <f>'Data_in-situ'!ET252</f>
        <v>3</v>
      </c>
    </row>
    <row r="1070" spans="20:37" x14ac:dyDescent="0.3">
      <c r="AF1070" s="113">
        <f>'Data_in-situ'!EN262</f>
        <v>0</v>
      </c>
      <c r="AG1070" s="113">
        <f>'Data_in-situ'!EO262</f>
        <v>0</v>
      </c>
      <c r="AH1070" s="110">
        <f>'Data_in-situ'!EP262</f>
        <v>3</v>
      </c>
      <c r="AI1070" s="113">
        <f>'Data_in-situ'!ER262</f>
        <v>-50</v>
      </c>
      <c r="AJ1070" s="113">
        <f>'Data_in-situ'!ES262</f>
        <v>11.340702675459708</v>
      </c>
      <c r="AK1070" s="110">
        <f>'Data_in-situ'!ET262</f>
        <v>3</v>
      </c>
    </row>
    <row r="1071" spans="20:37" x14ac:dyDescent="0.3">
      <c r="AF1071" s="113">
        <f>'Data_in-situ'!EN280</f>
        <v>-24.4</v>
      </c>
      <c r="AG1071" s="113">
        <f>'Data_in-situ'!EO280</f>
        <v>9.9429121295315568</v>
      </c>
      <c r="AH1071" s="110">
        <f>'Data_in-situ'!EP280</f>
        <v>1</v>
      </c>
      <c r="AI1071" s="113">
        <f>'Data_in-situ'!ER280</f>
        <v>-83.7</v>
      </c>
      <c r="AJ1071" s="113">
        <f>'Data_in-situ'!ES280</f>
        <v>18.984336278719553</v>
      </c>
      <c r="AK1071" s="110">
        <f>'Data_in-situ'!ET280</f>
        <v>1</v>
      </c>
    </row>
    <row r="1072" spans="20:37" x14ac:dyDescent="0.3">
      <c r="AF1072" s="113">
        <f>'Data_in-situ'!EN282</f>
        <v>-24.4</v>
      </c>
      <c r="AG1072" s="113">
        <f>'Data_in-situ'!EO282</f>
        <v>9.9429121295315568</v>
      </c>
      <c r="AH1072" s="110">
        <f>'Data_in-situ'!EP282</f>
        <v>1</v>
      </c>
      <c r="AI1072" s="113">
        <f>'Data_in-situ'!ER282</f>
        <v>-63.8</v>
      </c>
      <c r="AJ1072" s="113">
        <f>'Data_in-situ'!ES282</f>
        <v>14.470736613886588</v>
      </c>
      <c r="AK1072" s="110">
        <f>'Data_in-situ'!ET282</f>
        <v>1</v>
      </c>
    </row>
    <row r="1073" spans="32:37" x14ac:dyDescent="0.3">
      <c r="AF1073" s="113">
        <f>'Data_in-situ'!EN284</f>
        <v>-24.4</v>
      </c>
      <c r="AG1073" s="113">
        <f>'Data_in-situ'!EO284</f>
        <v>9.9429121295315568</v>
      </c>
      <c r="AH1073" s="110">
        <f>'Data_in-situ'!EP284</f>
        <v>1</v>
      </c>
      <c r="AI1073" s="113">
        <f>'Data_in-situ'!ER284</f>
        <v>-83.7</v>
      </c>
      <c r="AJ1073" s="113">
        <f>'Data_in-situ'!ES284</f>
        <v>18.984336278719553</v>
      </c>
      <c r="AK1073" s="110">
        <f>'Data_in-situ'!ET284</f>
        <v>1</v>
      </c>
    </row>
    <row r="1074" spans="32:37" x14ac:dyDescent="0.3">
      <c r="AF1074" s="113">
        <f>'Data_in-situ'!EN286</f>
        <v>-24.4</v>
      </c>
      <c r="AG1074" s="113">
        <f>'Data_in-situ'!EO286</f>
        <v>9.9429121295315568</v>
      </c>
      <c r="AH1074" s="110">
        <f>'Data_in-situ'!EP286</f>
        <v>1</v>
      </c>
      <c r="AI1074" s="113">
        <f>'Data_in-situ'!ER286</f>
        <v>-63.8</v>
      </c>
      <c r="AJ1074" s="113">
        <f>'Data_in-situ'!ES286</f>
        <v>14.470736613886588</v>
      </c>
      <c r="AK1074" s="110">
        <f>'Data_in-situ'!ET286</f>
        <v>1</v>
      </c>
    </row>
    <row r="1075" spans="32:37" x14ac:dyDescent="0.3">
      <c r="AF1075" s="113">
        <f>'Data_in-situ'!EN288</f>
        <v>-24.4</v>
      </c>
      <c r="AG1075" s="113">
        <f>'Data_in-situ'!EO288</f>
        <v>9.9429121295315568</v>
      </c>
      <c r="AH1075" s="110">
        <f>'Data_in-situ'!EP288</f>
        <v>1</v>
      </c>
      <c r="AI1075" s="113">
        <f>'Data_in-situ'!ER288</f>
        <v>-83.7</v>
      </c>
      <c r="AJ1075" s="113">
        <f>'Data_in-situ'!ES288</f>
        <v>18.984336278719553</v>
      </c>
      <c r="AK1075" s="110">
        <f>'Data_in-situ'!ET288</f>
        <v>1</v>
      </c>
    </row>
    <row r="1076" spans="32:37" x14ac:dyDescent="0.3">
      <c r="AF1076" s="113">
        <f>'Data_in-situ'!EN290</f>
        <v>-24.4</v>
      </c>
      <c r="AG1076" s="113">
        <f>'Data_in-situ'!EO290</f>
        <v>9.9429121295315568</v>
      </c>
      <c r="AH1076" s="110">
        <f>'Data_in-situ'!EP290</f>
        <v>1</v>
      </c>
      <c r="AI1076" s="113">
        <f>'Data_in-situ'!ER290</f>
        <v>-63.8</v>
      </c>
      <c r="AJ1076" s="113">
        <f>'Data_in-situ'!ES290</f>
        <v>14.470736613886588</v>
      </c>
      <c r="AK1076" s="110">
        <f>'Data_in-situ'!ET290</f>
        <v>1</v>
      </c>
    </row>
    <row r="1077" spans="32:37" x14ac:dyDescent="0.3">
      <c r="AF1077" s="113">
        <f>'Data_in-situ'!EN305</f>
        <v>-48.7</v>
      </c>
      <c r="AG1077" s="113">
        <f>'Data_in-situ'!EO305</f>
        <v>19.845074619187987</v>
      </c>
      <c r="AH1077" s="110">
        <f>'Data_in-situ'!EP305</f>
        <v>1</v>
      </c>
      <c r="AI1077" s="113">
        <f>'Data_in-situ'!ER305</f>
        <v>-119.3</v>
      </c>
      <c r="AJ1077" s="113">
        <f>'Data_in-situ'!ES305</f>
        <v>27.058916583646866</v>
      </c>
      <c r="AK1077" s="110">
        <f>'Data_in-situ'!ET305</f>
        <v>1</v>
      </c>
    </row>
    <row r="1078" spans="32:37" x14ac:dyDescent="0.3">
      <c r="AF1078" s="113">
        <f>'Data_in-situ'!EN306</f>
        <v>-48.7</v>
      </c>
      <c r="AG1078" s="113">
        <f>'Data_in-situ'!EO306</f>
        <v>19.845074619187987</v>
      </c>
      <c r="AH1078" s="110">
        <f>'Data_in-situ'!EP306</f>
        <v>1</v>
      </c>
      <c r="AI1078" s="113">
        <f>'Data_in-situ'!ER306</f>
        <v>-85.1</v>
      </c>
      <c r="AJ1078" s="113">
        <f>'Data_in-situ'!ES306</f>
        <v>19.301875953632422</v>
      </c>
      <c r="AK1078" s="110">
        <f>'Data_in-situ'!ET306</f>
        <v>1</v>
      </c>
    </row>
    <row r="1079" spans="32:37" x14ac:dyDescent="0.3">
      <c r="AF1079" s="113">
        <f>'Data_in-situ'!EN307</f>
        <v>-48.7</v>
      </c>
      <c r="AG1079" s="113">
        <f>'Data_in-situ'!EO307</f>
        <v>19.845074619187987</v>
      </c>
      <c r="AH1079" s="110">
        <f>'Data_in-situ'!EP307</f>
        <v>1</v>
      </c>
      <c r="AI1079" s="113">
        <f>'Data_in-situ'!ER307</f>
        <v>-90</v>
      </c>
      <c r="AJ1079" s="113">
        <f>'Data_in-situ'!ES307</f>
        <v>20.413264815827475</v>
      </c>
      <c r="AK1079" s="110">
        <f>'Data_in-situ'!ET307</f>
        <v>1</v>
      </c>
    </row>
    <row r="1080" spans="32:37" x14ac:dyDescent="0.3">
      <c r="AF1080" s="113">
        <f>'Data_in-situ'!EN309</f>
        <v>-48.7</v>
      </c>
      <c r="AG1080" s="113">
        <f>'Data_in-situ'!EO309</f>
        <v>19.845074619187987</v>
      </c>
      <c r="AH1080" s="110">
        <f>'Data_in-situ'!EP309</f>
        <v>1</v>
      </c>
      <c r="AI1080" s="113">
        <f>'Data_in-situ'!ER309</f>
        <v>-119.3</v>
      </c>
      <c r="AJ1080" s="113">
        <f>'Data_in-situ'!ES309</f>
        <v>27.058916583646866</v>
      </c>
      <c r="AK1080" s="110">
        <f>'Data_in-situ'!ET309</f>
        <v>1</v>
      </c>
    </row>
    <row r="1081" spans="32:37" x14ac:dyDescent="0.3">
      <c r="AF1081" s="113">
        <f>'Data_in-situ'!EN310</f>
        <v>-48.7</v>
      </c>
      <c r="AG1081" s="113">
        <f>'Data_in-situ'!EO310</f>
        <v>19.845074619187987</v>
      </c>
      <c r="AH1081" s="110">
        <f>'Data_in-situ'!EP310</f>
        <v>1</v>
      </c>
      <c r="AI1081" s="113">
        <f>'Data_in-situ'!ER310</f>
        <v>-85.1</v>
      </c>
      <c r="AJ1081" s="113">
        <f>'Data_in-situ'!ES310</f>
        <v>19.301875953632422</v>
      </c>
      <c r="AK1081" s="110">
        <f>'Data_in-situ'!ET310</f>
        <v>1</v>
      </c>
    </row>
    <row r="1082" spans="32:37" x14ac:dyDescent="0.3">
      <c r="AF1082" s="113">
        <f>'Data_in-situ'!EN311</f>
        <v>-48.7</v>
      </c>
      <c r="AG1082" s="113">
        <f>'Data_in-situ'!EO311</f>
        <v>19.845074619187987</v>
      </c>
      <c r="AH1082" s="110">
        <f>'Data_in-situ'!EP311</f>
        <v>1</v>
      </c>
      <c r="AI1082" s="113">
        <f>'Data_in-situ'!ER311</f>
        <v>-90</v>
      </c>
      <c r="AJ1082" s="113">
        <f>'Data_in-situ'!ES311</f>
        <v>20.413264815827475</v>
      </c>
      <c r="AK1082" s="110">
        <f>'Data_in-situ'!ET311</f>
        <v>1</v>
      </c>
    </row>
    <row r="1083" spans="32:37" x14ac:dyDescent="0.3">
      <c r="AF1083" s="113">
        <f>'Data_in-situ'!EN313</f>
        <v>-48.7</v>
      </c>
      <c r="AG1083" s="113">
        <f>'Data_in-situ'!EO313</f>
        <v>19.845074619187987</v>
      </c>
      <c r="AH1083" s="110">
        <f>'Data_in-situ'!EP313</f>
        <v>1</v>
      </c>
      <c r="AI1083" s="113">
        <f>'Data_in-situ'!ER313</f>
        <v>-119.3</v>
      </c>
      <c r="AJ1083" s="113">
        <f>'Data_in-situ'!ES313</f>
        <v>27.058916583646866</v>
      </c>
      <c r="AK1083" s="110">
        <f>'Data_in-situ'!ET313</f>
        <v>1</v>
      </c>
    </row>
    <row r="1084" spans="32:37" x14ac:dyDescent="0.3">
      <c r="AF1084" s="113">
        <f>'Data_in-situ'!EN314</f>
        <v>-48.7</v>
      </c>
      <c r="AG1084" s="113">
        <f>'Data_in-situ'!EO314</f>
        <v>19.845074619187987</v>
      </c>
      <c r="AH1084" s="110">
        <f>'Data_in-situ'!EP314</f>
        <v>1</v>
      </c>
      <c r="AI1084" s="113">
        <f>'Data_in-situ'!ER314</f>
        <v>-85.1</v>
      </c>
      <c r="AJ1084" s="113">
        <f>'Data_in-situ'!ES314</f>
        <v>19.301875953632422</v>
      </c>
      <c r="AK1084" s="110">
        <f>'Data_in-situ'!ET314</f>
        <v>1</v>
      </c>
    </row>
    <row r="1085" spans="32:37" x14ac:dyDescent="0.3">
      <c r="AF1085" s="113">
        <f>'Data_in-situ'!EN315</f>
        <v>-48.7</v>
      </c>
      <c r="AG1085" s="113">
        <f>'Data_in-situ'!EO315</f>
        <v>19.845074619187987</v>
      </c>
      <c r="AH1085" s="110">
        <f>'Data_in-situ'!EP315</f>
        <v>1</v>
      </c>
      <c r="AI1085" s="113">
        <f>'Data_in-situ'!ER315</f>
        <v>-90</v>
      </c>
      <c r="AJ1085" s="113">
        <f>'Data_in-situ'!ES315</f>
        <v>20.413264815827475</v>
      </c>
      <c r="AK1085" s="110">
        <f>'Data_in-situ'!ET315</f>
        <v>1</v>
      </c>
    </row>
    <row r="1086" spans="32:37" x14ac:dyDescent="0.3">
      <c r="AF1086" s="113">
        <f>'Data_in-situ'!EN327</f>
        <v>-5.9</v>
      </c>
      <c r="AG1086" s="113">
        <f>'Data_in-situ'!EO327</f>
        <v>4.8</v>
      </c>
      <c r="AH1086" s="110">
        <f>'Data_in-situ'!EP327</f>
        <v>12</v>
      </c>
      <c r="AI1086" s="113">
        <f>'Data_in-situ'!ER327</f>
        <v>-39.700000000000003</v>
      </c>
      <c r="AJ1086" s="113">
        <f>'Data_in-situ'!ES327</f>
        <v>17.8</v>
      </c>
      <c r="AK1086" s="110">
        <f>'Data_in-situ'!ET327</f>
        <v>15</v>
      </c>
    </row>
    <row r="1087" spans="32:37" x14ac:dyDescent="0.3">
      <c r="AF1087" s="113">
        <f>'Data_in-situ'!EN356</f>
        <v>-10.6</v>
      </c>
      <c r="AG1087" s="113">
        <f>'Data_in-situ'!EO356</f>
        <v>7.7</v>
      </c>
      <c r="AH1087" s="110">
        <f>'Data_in-situ'!EP356</f>
        <v>3</v>
      </c>
      <c r="AI1087" s="113">
        <f>'Data_in-situ'!ER356</f>
        <v>-53.1</v>
      </c>
      <c r="AJ1087" s="113">
        <f>'Data_in-situ'!ES356</f>
        <v>10.3</v>
      </c>
      <c r="AK1087" s="110">
        <f>'Data_in-situ'!ET356</f>
        <v>1</v>
      </c>
    </row>
    <row r="1088" spans="32:37" x14ac:dyDescent="0.3">
      <c r="AF1088" s="113">
        <f>'Data_in-situ'!EN359</f>
        <v>-10.199999999999999</v>
      </c>
      <c r="AG1088" s="113">
        <f>'Data_in-situ'!EO359</f>
        <v>4.7</v>
      </c>
      <c r="AH1088" s="110">
        <f>'Data_in-situ'!EP359</f>
        <v>3</v>
      </c>
      <c r="AI1088" s="113">
        <f>'Data_in-situ'!ER359</f>
        <v>-57.1</v>
      </c>
      <c r="AJ1088" s="113">
        <f>'Data_in-situ'!ES359</f>
        <v>7.4</v>
      </c>
      <c r="AK1088" s="110">
        <f>'Data_in-situ'!ET359</f>
        <v>1</v>
      </c>
    </row>
    <row r="1089" spans="32:37" x14ac:dyDescent="0.3">
      <c r="AF1089" s="113">
        <f>'Data_in-situ'!EN362</f>
        <v>-45.647936632378602</v>
      </c>
      <c r="AG1089" s="113">
        <f>'Data_in-situ'!EO362</f>
        <v>18.60136978812152</v>
      </c>
      <c r="AH1089" s="110">
        <f>'Data_in-situ'!EP362</f>
        <v>8</v>
      </c>
      <c r="AI1089" s="113">
        <f>'Data_in-situ'!ER362</f>
        <v>-90.991470783038906</v>
      </c>
      <c r="AJ1089" s="113">
        <f>'Data_in-situ'!ES362</f>
        <v>20.638144323064466</v>
      </c>
      <c r="AK1089" s="110">
        <f>'Data_in-situ'!ET362</f>
        <v>8</v>
      </c>
    </row>
    <row r="1090" spans="32:37" x14ac:dyDescent="0.3">
      <c r="AF1090" s="113">
        <f>'Data_in-situ'!EN415</f>
        <v>-15.24193548387095</v>
      </c>
      <c r="AG1090" s="113">
        <f>'Data_in-situ'!EO415</f>
        <v>0.79834636585576813</v>
      </c>
      <c r="AH1090" s="110">
        <f>'Data_in-situ'!EP415</f>
        <v>3</v>
      </c>
      <c r="AI1090" s="113">
        <f>'Data_in-situ'!ER415</f>
        <v>-86.747311827956878</v>
      </c>
      <c r="AJ1090" s="113">
        <f>'Data_in-situ'!ES415</f>
        <v>35.741792340849045</v>
      </c>
      <c r="AK1090" s="110">
        <f>'Data_in-situ'!ET415</f>
        <v>3</v>
      </c>
    </row>
    <row r="1091" spans="32:37" x14ac:dyDescent="0.3">
      <c r="AF1091" s="113">
        <f>'Data_in-situ'!EN418</f>
        <v>-7.3</v>
      </c>
      <c r="AG1091" s="113">
        <f>'Data_in-situ'!EO418</f>
        <v>3.6</v>
      </c>
      <c r="AH1091" s="110">
        <f>'Data_in-situ'!EP418</f>
        <v>3</v>
      </c>
      <c r="AI1091" s="113">
        <f>'Data_in-situ'!ER418</f>
        <v>-75.599999999999994</v>
      </c>
      <c r="AJ1091" s="113">
        <f>'Data_in-situ'!ES418</f>
        <v>14.2</v>
      </c>
      <c r="AK1091" s="110">
        <f>'Data_in-situ'!ET418</f>
        <v>3</v>
      </c>
    </row>
    <row r="1092" spans="32:37" x14ac:dyDescent="0.3">
      <c r="AF1092" s="113">
        <f>'Data_in-situ'!EN419</f>
        <v>-4.2</v>
      </c>
      <c r="AG1092" s="113">
        <f>'Data_in-situ'!EO419</f>
        <v>5.2</v>
      </c>
      <c r="AH1092" s="110">
        <f>'Data_in-situ'!EP419</f>
        <v>3</v>
      </c>
      <c r="AI1092" s="113">
        <f>'Data_in-situ'!ER419</f>
        <v>-64.3</v>
      </c>
      <c r="AJ1092" s="113">
        <f>'Data_in-situ'!ES419</f>
        <v>5.9</v>
      </c>
      <c r="AK1092" s="110">
        <f>'Data_in-situ'!ET419</f>
        <v>3</v>
      </c>
    </row>
    <row r="1093" spans="32:37" x14ac:dyDescent="0.3">
      <c r="AF1093" s="113">
        <f>'Data_in-situ'!EN432</f>
        <v>-14.226633581472301</v>
      </c>
      <c r="AG1093" s="113">
        <f>'Data_in-situ'!EO432</f>
        <v>0.84179554111043309</v>
      </c>
      <c r="AH1093" s="110">
        <f>'Data_in-situ'!EP432</f>
        <v>3</v>
      </c>
      <c r="AI1093" s="113">
        <f>'Data_in-situ'!ER432</f>
        <v>-56.100981767180912</v>
      </c>
      <c r="AJ1093" s="113">
        <f>'Data_in-situ'!ES432</f>
        <v>3.5983168804300347</v>
      </c>
      <c r="AK1093" s="110">
        <f>'Data_in-situ'!ET432</f>
        <v>3</v>
      </c>
    </row>
    <row r="1094" spans="32:37" x14ac:dyDescent="0.3">
      <c r="AF1094" s="113">
        <f>'Data_in-situ'!EN433</f>
        <v>-12.821300563236036</v>
      </c>
      <c r="AG1094" s="113">
        <f>'Data_in-situ'!EO433</f>
        <v>0.77828981054787205</v>
      </c>
      <c r="AH1094" s="110">
        <f>'Data_in-situ'!EP433</f>
        <v>3</v>
      </c>
      <c r="AI1094" s="113">
        <f>'Data_in-situ'!ER433</f>
        <v>-49.305962854349943</v>
      </c>
      <c r="AJ1094" s="113">
        <f>'Data_in-situ'!ES433</f>
        <v>4.302708385623629</v>
      </c>
      <c r="AK1094" s="110">
        <f>'Data_in-situ'!ET433</f>
        <v>3</v>
      </c>
    </row>
    <row r="1095" spans="32:37" x14ac:dyDescent="0.3">
      <c r="AF1095" s="113">
        <f>'Data_in-situ'!EN444</f>
        <v>-15</v>
      </c>
      <c r="AG1095" s="113">
        <f>'Data_in-situ'!EO444</f>
        <v>13</v>
      </c>
      <c r="AH1095" s="110">
        <f>'Data_in-situ'!EP444</f>
        <v>9836</v>
      </c>
      <c r="AI1095" s="113">
        <f>'Data_in-situ'!ER444</f>
        <v>-55</v>
      </c>
      <c r="AJ1095" s="113">
        <f>'Data_in-situ'!ES444</f>
        <v>15</v>
      </c>
      <c r="AK1095" s="110">
        <f>'Data_in-situ'!ET444</f>
        <v>14736</v>
      </c>
    </row>
    <row r="1096" spans="32:37" x14ac:dyDescent="0.3">
      <c r="AF1096" s="113">
        <f>'Data_in-situ'!EN445</f>
        <v>6</v>
      </c>
      <c r="AG1096" s="113">
        <f>'Data_in-situ'!EO445</f>
        <v>22</v>
      </c>
      <c r="AH1096" s="110">
        <f>'Data_in-situ'!EP445</f>
        <v>5</v>
      </c>
      <c r="AI1096" s="113">
        <f>'Data_in-situ'!ER445</f>
        <v>-39</v>
      </c>
      <c r="AJ1096" s="113">
        <f>'Data_in-situ'!ES445</f>
        <v>15</v>
      </c>
      <c r="AK1096" s="110">
        <f>'Data_in-situ'!ET445</f>
        <v>5</v>
      </c>
    </row>
    <row r="1097" spans="32:37" x14ac:dyDescent="0.3">
      <c r="AF1097" s="113">
        <f>'Data_in-situ'!EN450</f>
        <v>-22</v>
      </c>
      <c r="AG1097" s="113">
        <f>'Data_in-situ'!EO450</f>
        <v>8.964920772528453</v>
      </c>
      <c r="AH1097" s="110">
        <f>'Data_in-situ'!EP450</f>
        <v>1</v>
      </c>
      <c r="AI1097" s="113">
        <f>'Data_in-situ'!ER450</f>
        <v>-77</v>
      </c>
      <c r="AJ1097" s="113">
        <f>'Data_in-situ'!ES450</f>
        <v>17.46468212020795</v>
      </c>
      <c r="AK1097" s="110">
        <f>'Data_in-situ'!ET450</f>
        <v>1</v>
      </c>
    </row>
    <row r="1098" spans="32:37" x14ac:dyDescent="0.3">
      <c r="AF1098" s="113">
        <f>'Data_in-situ'!EN451</f>
        <v>-17</v>
      </c>
      <c r="AG1098" s="113">
        <f>'Data_in-situ'!EO451</f>
        <v>6.9274387787719869</v>
      </c>
      <c r="AH1098" s="110">
        <f>'Data_in-situ'!EP451</f>
        <v>1</v>
      </c>
      <c r="AI1098" s="113">
        <f>'Data_in-situ'!ER451</f>
        <v>-73</v>
      </c>
      <c r="AJ1098" s="113">
        <f>'Data_in-situ'!ES451</f>
        <v>16.557425906171176</v>
      </c>
      <c r="AK1098" s="110">
        <f>'Data_in-situ'!ET451</f>
        <v>1</v>
      </c>
    </row>
    <row r="1099" spans="32:37" x14ac:dyDescent="0.3">
      <c r="AF1099" s="113">
        <f>'Data_in-situ'!EN452</f>
        <v>-11</v>
      </c>
      <c r="AG1099" s="113">
        <f>'Data_in-situ'!EO452</f>
        <v>4.4824603862642265</v>
      </c>
      <c r="AH1099" s="110">
        <f>'Data_in-situ'!EP452</f>
        <v>1</v>
      </c>
      <c r="AI1099" s="113">
        <f>'Data_in-situ'!ER452</f>
        <v>-59</v>
      </c>
      <c r="AJ1099" s="113">
        <f>'Data_in-situ'!ES452</f>
        <v>13.382029157042457</v>
      </c>
      <c r="AK1099" s="110">
        <f>'Data_in-situ'!ET452</f>
        <v>1</v>
      </c>
    </row>
    <row r="1100" spans="32:37" x14ac:dyDescent="0.3">
      <c r="AF1100" s="113">
        <f>'Data_in-situ'!EN453</f>
        <v>10</v>
      </c>
      <c r="AG1100" s="113">
        <f>'Data_in-situ'!EO453</f>
        <v>4.0749639875129331</v>
      </c>
      <c r="AH1100" s="110">
        <f>'Data_in-situ'!EP453</f>
        <v>1</v>
      </c>
      <c r="AI1100" s="113">
        <f>'Data_in-situ'!ER453</f>
        <v>-45</v>
      </c>
      <c r="AJ1100" s="113">
        <f>'Data_in-situ'!ES453</f>
        <v>10.206632407913737</v>
      </c>
      <c r="AK1100" s="110">
        <f>'Data_in-situ'!ET453</f>
        <v>1</v>
      </c>
    </row>
    <row r="1101" spans="32:37" x14ac:dyDescent="0.3">
      <c r="AF1101" s="113">
        <f>'Data_in-situ'!EN454</f>
        <v>-5.6149732620320822</v>
      </c>
      <c r="AG1101" s="113">
        <f>'Data_in-situ'!EO454</f>
        <v>0.89761221109140865</v>
      </c>
      <c r="AH1101" s="110">
        <f>'Data_in-situ'!EP454</f>
        <v>3</v>
      </c>
      <c r="AI1101" s="113">
        <f>'Data_in-situ'!ER454</f>
        <v>-132.2570532915361</v>
      </c>
      <c r="AJ1101" s="113">
        <f>'Data_in-situ'!ES454</f>
        <v>8.6718103212007449</v>
      </c>
      <c r="AK1101" s="110">
        <f>'Data_in-situ'!ET454</f>
        <v>3</v>
      </c>
    </row>
    <row r="1102" spans="32:37" x14ac:dyDescent="0.3">
      <c r="AF1102" s="113">
        <f>'Data_in-situ'!EN455</f>
        <v>-5.6149732620320822</v>
      </c>
      <c r="AG1102" s="113">
        <f>'Data_in-situ'!EO455</f>
        <v>0.89761221109140865</v>
      </c>
      <c r="AH1102" s="110">
        <f>'Data_in-situ'!EP455</f>
        <v>3</v>
      </c>
      <c r="AI1102" s="113">
        <f>'Data_in-situ'!ER455</f>
        <v>-65.23510971786834</v>
      </c>
      <c r="AJ1102" s="113">
        <f>'Data_in-situ'!ES455</f>
        <v>10.177520442006553</v>
      </c>
      <c r="AK1102" s="110">
        <f>'Data_in-situ'!ET455</f>
        <v>3</v>
      </c>
    </row>
    <row r="1103" spans="32:37" x14ac:dyDescent="0.3">
      <c r="AF1103" s="113">
        <f>'Data_in-situ'!EN459</f>
        <v>-7.6</v>
      </c>
      <c r="AG1103" s="113">
        <f>'Data_in-situ'!EO459</f>
        <v>3.0969726305098293</v>
      </c>
      <c r="AH1103" s="110">
        <f>'Data_in-situ'!EP459</f>
        <v>1</v>
      </c>
      <c r="AI1103" s="113">
        <f>'Data_in-situ'!ER459</f>
        <v>-66.400000000000006</v>
      </c>
      <c r="AJ1103" s="113">
        <f>'Data_in-situ'!ES459</f>
        <v>15.060453153010494</v>
      </c>
      <c r="AK1103" s="110">
        <f>'Data_in-situ'!ET459</f>
        <v>1</v>
      </c>
    </row>
    <row r="1104" spans="32:37" x14ac:dyDescent="0.3">
      <c r="AF1104" s="113">
        <f>'Data_in-situ'!EN460</f>
        <v>-2.4</v>
      </c>
      <c r="AG1104" s="113">
        <f>'Data_in-situ'!EO460</f>
        <v>0.97799135700310402</v>
      </c>
      <c r="AH1104" s="110">
        <f>'Data_in-situ'!EP460</f>
        <v>1</v>
      </c>
      <c r="AI1104" s="113">
        <f>'Data_in-situ'!ER460</f>
        <v>-61.5</v>
      </c>
      <c r="AJ1104" s="113">
        <f>'Data_in-situ'!ES460</f>
        <v>13.949064290815441</v>
      </c>
      <c r="AK1104" s="110">
        <f>'Data_in-situ'!ET460</f>
        <v>1</v>
      </c>
    </row>
    <row r="1105" spans="1:37" x14ac:dyDescent="0.3">
      <c r="AF1105" s="113">
        <f>'Data_in-situ'!EN461</f>
        <v>-4.8</v>
      </c>
      <c r="AG1105" s="113">
        <f>'Data_in-situ'!EO461</f>
        <v>1.955982714006208</v>
      </c>
      <c r="AH1105" s="110">
        <f>'Data_in-situ'!EP461</f>
        <v>1</v>
      </c>
      <c r="AI1105" s="113">
        <f>'Data_in-situ'!ER461</f>
        <v>-58.5</v>
      </c>
      <c r="AJ1105" s="113">
        <f>'Data_in-situ'!ES461</f>
        <v>13.268622130287859</v>
      </c>
      <c r="AK1105" s="110">
        <f>'Data_in-situ'!ET461</f>
        <v>1</v>
      </c>
    </row>
    <row r="1107" spans="1:37" x14ac:dyDescent="0.3">
      <c r="A1107" s="110" t="s">
        <v>831</v>
      </c>
      <c r="B1107" s="24">
        <f>AVERAGEA(B967:B1105)</f>
        <v>-31965.097575887885</v>
      </c>
      <c r="C1107" s="24">
        <f>STDEVA(B967:B1105)/SQRT(COUNT(B967:B1105))</f>
        <v>8253.4747194548909</v>
      </c>
      <c r="D1107" s="46">
        <f>COUNT(B967:B1105)</f>
        <v>37</v>
      </c>
      <c r="E1107" s="24">
        <f>AVERAGEA(E967:E1105)</f>
        <v>-33602.43168342884</v>
      </c>
      <c r="F1107" s="24">
        <f>STDEVA(E967:E1105)/SQRT(COUNT(E967:E1105))</f>
        <v>9335.7862915585411</v>
      </c>
      <c r="G1107" s="46">
        <f>COUNT(E967:E1105)</f>
        <v>37</v>
      </c>
      <c r="H1107" s="24">
        <f>AVERAGEA(H967:H1105)</f>
        <v>28588.931090693412</v>
      </c>
      <c r="I1107" s="24">
        <f>STDEVA(H967:H1105)/SQRT(COUNT(H967:H1105))</f>
        <v>7012.235733344869</v>
      </c>
      <c r="J1107" s="46">
        <f>COUNT(H967:H1105)</f>
        <v>37</v>
      </c>
      <c r="K1107" s="24">
        <f>AVERAGEA(K967:K1105)</f>
        <v>39708.134854556207</v>
      </c>
      <c r="L1107" s="24">
        <f>STDEVA(K967:K1105)/SQRT(COUNT(K967:K1105))</f>
        <v>8522.7795997145167</v>
      </c>
      <c r="M1107" s="46">
        <f>COUNT(K967:K1105)</f>
        <v>37</v>
      </c>
      <c r="N1107" s="24">
        <f>AVERAGEA(N967:N1105)</f>
        <v>-2979.9328767234629</v>
      </c>
      <c r="O1107" s="24">
        <f>STDEVA(N967:N1105)/SQRT(COUNT(N967:N1105))</f>
        <v>2926.9641689357909</v>
      </c>
      <c r="P1107" s="46">
        <f>COUNT(N967:N1105)</f>
        <v>46</v>
      </c>
      <c r="Q1107" s="24">
        <f>AVERAGEA(Q967:Q1105)</f>
        <v>5932.6795711586365</v>
      </c>
      <c r="R1107" s="24">
        <f>STDEVA(Q967:Q1105)/SQRT(COUNT(Q967:Q1105))</f>
        <v>2242.6036435334759</v>
      </c>
      <c r="S1107" s="46">
        <f>COUNT(Q967:Q1105)</f>
        <v>46</v>
      </c>
      <c r="T1107" s="113">
        <f>AVERAGEA(T967:T1105)</f>
        <v>238.76232598530311</v>
      </c>
      <c r="U1107" s="113">
        <f>STDEVA(T967:T1105)/SQRT(COUNT(T967:T1105))</f>
        <v>46.95046361451589</v>
      </c>
      <c r="V1107" s="46">
        <f>COUNT(T967:T1105)</f>
        <v>85</v>
      </c>
      <c r="W1107" s="113">
        <f>AVERAGEA(W967:W1105)</f>
        <v>4.1039718577590589</v>
      </c>
      <c r="X1107" s="113">
        <f>STDEVA(W967:W1105)/SQRT(COUNT(W967:W1105))</f>
        <v>1.1634986710988986</v>
      </c>
      <c r="Y1107" s="46">
        <f>COUNT(W967:W1105)</f>
        <v>85</v>
      </c>
      <c r="Z1107" s="113">
        <f>AVERAGEA(Z967:Z1105)</f>
        <v>0.90869384455807523</v>
      </c>
      <c r="AA1107" s="113">
        <f>STDEVA(Z967:Z1105)/SQRT(COUNT(Z967:Z1105))</f>
        <v>0.31699877821726574</v>
      </c>
      <c r="AB1107" s="46">
        <f>COUNT(Z967:Z1105)</f>
        <v>34</v>
      </c>
      <c r="AC1107" s="113">
        <f>AVERAGEA(AC967:AC1105)</f>
        <v>4.8800079259794353</v>
      </c>
      <c r="AD1107" s="113">
        <f>STDEVA(AC967:AC1105)/SQRT(COUNT(AC967:AC1105))</f>
        <v>1.3586118046111801</v>
      </c>
      <c r="AE1107" s="46">
        <f>COUNT(AC967:AC1105)</f>
        <v>34</v>
      </c>
      <c r="AF1107" s="113">
        <f>AVERAGEA(AF967:AF1105)</f>
        <v>-17.195767747537104</v>
      </c>
      <c r="AG1107" s="113">
        <f>STDEVA(AF967:AF1105)/SQRT(COUNT(AF967:AF1105))</f>
        <v>2.3747512429670019</v>
      </c>
      <c r="AH1107" s="110">
        <f>COUNT(AF967:AF1105)</f>
        <v>139</v>
      </c>
      <c r="AI1107" s="113">
        <f>AVERAGEA(AI967:AI1105)</f>
        <v>-74.292314903025016</v>
      </c>
      <c r="AJ1107" s="113">
        <f>STDEVA(AI967:AI1105)/SQRT(COUNT(AI967:AI1105))</f>
        <v>2.490249766016674</v>
      </c>
      <c r="AK1107" s="110">
        <f>COUNT(AI967:AI1105)</f>
        <v>139</v>
      </c>
    </row>
    <row r="1109" spans="1:37" x14ac:dyDescent="0.3">
      <c r="A1109" s="110" t="s">
        <v>979</v>
      </c>
      <c r="B1109" s="24">
        <f>'Data_in-situ'!CA35</f>
        <v>-9117.2313953462108</v>
      </c>
      <c r="C1109" s="24">
        <f>'Data_in-situ'!CB35</f>
        <v>2424.3247606001519</v>
      </c>
      <c r="D1109" s="46">
        <f>'Data_in-situ'!CC35</f>
        <v>3</v>
      </c>
      <c r="E1109" s="24">
        <f>'Data_in-situ'!CE35</f>
        <v>-4187.6052363562967</v>
      </c>
      <c r="F1109" s="24">
        <f>'Data_in-situ'!CF35</f>
        <v>3018.5350952743552</v>
      </c>
      <c r="G1109" s="46">
        <f>'Data_in-situ'!CG35</f>
        <v>3</v>
      </c>
      <c r="H1109" s="24">
        <f>'Data_in-situ'!CN35</f>
        <v>12663.516770662041</v>
      </c>
      <c r="I1109" s="24">
        <f>'Data_in-situ'!CO35</f>
        <v>2211.9149588307</v>
      </c>
      <c r="J1109" s="46">
        <f>'Data_in-situ'!CP35</f>
        <v>3</v>
      </c>
      <c r="K1109" s="24">
        <f>'Data_in-situ'!CR35</f>
        <v>8364.4600190841793</v>
      </c>
      <c r="L1109" s="24">
        <f>'Data_in-situ'!CS35</f>
        <v>6024.8326143304821</v>
      </c>
      <c r="M1109" s="46">
        <f>'Data_in-situ'!CT35</f>
        <v>3</v>
      </c>
      <c r="N1109" s="24">
        <f>'Data_in-situ'!DA35</f>
        <v>3546.2853753158306</v>
      </c>
      <c r="O1109" s="24">
        <f>'Data_in-situ'!DB35</f>
        <v>5941.7227544878542</v>
      </c>
      <c r="P1109" s="46">
        <f>'Data_in-situ'!DC35</f>
        <v>3</v>
      </c>
      <c r="Q1109" s="24">
        <f>'Data_in-situ'!DE35</f>
        <v>4176.8547827278826</v>
      </c>
      <c r="R1109" s="24">
        <f>'Data_in-situ'!DF35</f>
        <v>748.67399248676202</v>
      </c>
      <c r="S1109" s="46">
        <f>'Data_in-situ'!DG35</f>
        <v>3</v>
      </c>
      <c r="T1109" s="113">
        <f>'Data_in-situ'!DN53</f>
        <v>5.3866851938273443</v>
      </c>
      <c r="U1109" s="113">
        <f>'Data_in-situ'!DO53</f>
        <v>4.268024043852261</v>
      </c>
      <c r="V1109" s="46">
        <f>'Data_in-situ'!DP53</f>
        <v>3</v>
      </c>
      <c r="W1109" s="113">
        <f>'Data_in-situ'!DR53</f>
        <v>3.9980588354062441</v>
      </c>
      <c r="X1109" s="113">
        <f>'Data_in-situ'!DS53</f>
        <v>4.3503115567651003</v>
      </c>
      <c r="Y1109" s="46">
        <f>'Data_in-situ'!DT53</f>
        <v>3</v>
      </c>
      <c r="Z1109" s="113">
        <f>'Data_in-situ'!EA90</f>
        <v>0.12316304575332541</v>
      </c>
      <c r="AA1109" s="113">
        <f>'Data_in-situ'!EB90</f>
        <v>1.532860435877279</v>
      </c>
      <c r="AB1109" s="46">
        <f>'Data_in-situ'!EC90</f>
        <v>3</v>
      </c>
      <c r="AC1109" s="113">
        <f>'Data_in-situ'!EE90</f>
        <v>0.37414709355805537</v>
      </c>
      <c r="AD1109" s="113">
        <f>'Data_in-situ'!EF90</f>
        <v>1.1112977251351353</v>
      </c>
      <c r="AE1109" s="46">
        <f>'Data_in-situ'!EG90</f>
        <v>3</v>
      </c>
      <c r="AF1109" s="113">
        <f>'Data_in-situ'!EN35</f>
        <v>-38</v>
      </c>
      <c r="AG1109" s="113">
        <f>'Data_in-situ'!EO35</f>
        <v>7.6</v>
      </c>
      <c r="AH1109" s="110">
        <f>'Data_in-situ'!EP35</f>
        <v>3</v>
      </c>
      <c r="AI1109" s="113">
        <f>'Data_in-situ'!ER35</f>
        <v>-73</v>
      </c>
      <c r="AJ1109" s="113">
        <f>'Data_in-situ'!ES35</f>
        <v>10.3</v>
      </c>
      <c r="AK1109" s="110">
        <f>'Data_in-situ'!ET35</f>
        <v>3</v>
      </c>
    </row>
    <row r="1110" spans="1:37" x14ac:dyDescent="0.3">
      <c r="B1110" s="24">
        <f>'Data_in-situ'!CA41</f>
        <v>-7247.1260453614086</v>
      </c>
      <c r="C1110" s="24">
        <f>'Data_in-situ'!CB41</f>
        <v>2100.9616035887611</v>
      </c>
      <c r="D1110" s="46">
        <f>'Data_in-situ'!CC41</f>
        <v>3</v>
      </c>
      <c r="E1110" s="24">
        <f>'Data_in-situ'!CE41</f>
        <v>-4029.5823972485118</v>
      </c>
      <c r="F1110" s="24">
        <f>'Data_in-situ'!CF41</f>
        <v>3302.4435397646589</v>
      </c>
      <c r="G1110" s="46">
        <f>'Data_in-situ'!CG41</f>
        <v>3</v>
      </c>
      <c r="H1110" s="24">
        <f>'Data_in-situ'!CN41</f>
        <v>6440.2877983621229</v>
      </c>
      <c r="I1110" s="24">
        <f>'Data_in-situ'!CO41</f>
        <v>2181.3507268282779</v>
      </c>
      <c r="J1110" s="46">
        <f>'Data_in-situ'!CP41</f>
        <v>3</v>
      </c>
      <c r="K1110" s="24">
        <f>'Data_in-situ'!CR41</f>
        <v>16039.541465166916</v>
      </c>
      <c r="L1110" s="24">
        <f>'Data_in-situ'!CS41</f>
        <v>7252.7203244742068</v>
      </c>
      <c r="M1110" s="46">
        <f>'Data_in-situ'!CT41</f>
        <v>3</v>
      </c>
      <c r="N1110" s="24">
        <f>'Data_in-situ'!DA41</f>
        <v>-806.83824699928573</v>
      </c>
      <c r="O1110" s="24">
        <f>'Data_in-situ'!DB41</f>
        <v>461.4050593199143</v>
      </c>
      <c r="P1110" s="46">
        <f>'Data_in-situ'!DC41</f>
        <v>3</v>
      </c>
      <c r="Q1110" s="24">
        <f>'Data_in-situ'!DE41</f>
        <v>12009.959067918404</v>
      </c>
      <c r="R1110" s="24">
        <f>'Data_in-situ'!DF41</f>
        <v>2892.3831674824651</v>
      </c>
      <c r="S1110" s="46">
        <f>'Data_in-situ'!DG41</f>
        <v>3</v>
      </c>
      <c r="T1110" s="113">
        <f>'Data_in-situ'!DN59</f>
        <v>10.866266106411475</v>
      </c>
      <c r="U1110" s="113">
        <f>'Data_in-situ'!DO59</f>
        <v>5.3394122234557058</v>
      </c>
      <c r="V1110" s="46">
        <f>'Data_in-situ'!DP59</f>
        <v>3</v>
      </c>
      <c r="W1110" s="113">
        <f>'Data_in-situ'!DR59</f>
        <v>1.8694061542190537</v>
      </c>
      <c r="X1110" s="113">
        <f>'Data_in-situ'!DS59</f>
        <v>2.1264618086738842</v>
      </c>
      <c r="Y1110" s="46">
        <f>'Data_in-situ'!DT59</f>
        <v>3</v>
      </c>
      <c r="Z1110" s="113">
        <f>'Data_in-situ'!EA128</f>
        <v>0.61975925336567961</v>
      </c>
      <c r="AA1110" s="113">
        <f>'Data_in-situ'!EB128</f>
        <v>0.31937151793647711</v>
      </c>
      <c r="AB1110" s="46">
        <f>'Data_in-situ'!EC128</f>
        <v>18</v>
      </c>
      <c r="AC1110" s="113">
        <f>'Data_in-situ'!EE128</f>
        <v>0.85760492742086802</v>
      </c>
      <c r="AD1110" s="113">
        <f>'Data_in-situ'!EF128</f>
        <v>1.8545293886198424</v>
      </c>
      <c r="AE1110" s="46">
        <f>'Data_in-situ'!EG128</f>
        <v>18</v>
      </c>
      <c r="AF1110" s="113">
        <f>'Data_in-situ'!EN41</f>
        <v>-38</v>
      </c>
      <c r="AG1110" s="113">
        <f>'Data_in-situ'!EO41</f>
        <v>7.6</v>
      </c>
      <c r="AH1110" s="110">
        <f>'Data_in-situ'!EP41</f>
        <v>3</v>
      </c>
      <c r="AI1110" s="113">
        <f>'Data_in-situ'!ER41</f>
        <v>-73</v>
      </c>
      <c r="AJ1110" s="113">
        <f>'Data_in-situ'!ES41</f>
        <v>10.3</v>
      </c>
      <c r="AK1110" s="110">
        <f>'Data_in-situ'!ET41</f>
        <v>3</v>
      </c>
    </row>
    <row r="1111" spans="1:37" x14ac:dyDescent="0.3">
      <c r="B1111" s="24">
        <f>'Data_in-situ'!CA47</f>
        <v>-8294.385041352898</v>
      </c>
      <c r="C1111" s="24">
        <f>'Data_in-situ'!CB47</f>
        <v>1642.4661972156998</v>
      </c>
      <c r="D1111" s="46">
        <f>'Data_in-situ'!CC47</f>
        <v>3</v>
      </c>
      <c r="E1111" s="24">
        <f>'Data_in-situ'!CE47</f>
        <v>-4116.4949587577939</v>
      </c>
      <c r="F1111" s="24">
        <f>'Data_in-situ'!CF47</f>
        <v>2228.1690065442513</v>
      </c>
      <c r="G1111" s="46">
        <f>'Data_in-situ'!CG47</f>
        <v>3</v>
      </c>
      <c r="H1111" s="24">
        <f>'Data_in-situ'!CN47</f>
        <v>9925.2960228500779</v>
      </c>
      <c r="I1111" s="24">
        <f>'Data_in-situ'!CO47</f>
        <v>1567.0081026388868</v>
      </c>
      <c r="J1111" s="46">
        <f>'Data_in-situ'!CP47</f>
        <v>3</v>
      </c>
      <c r="K1111" s="24">
        <f>'Data_in-situ'!CR47</f>
        <v>11818.246669821412</v>
      </c>
      <c r="L1111" s="24">
        <f>'Data_in-situ'!CS47</f>
        <v>4651.0454986548657</v>
      </c>
      <c r="M1111" s="46">
        <f>'Data_in-situ'!CT47</f>
        <v>3</v>
      </c>
      <c r="N1111" s="24">
        <f>'Data_in-situ'!DA47</f>
        <v>1587.3797452740284</v>
      </c>
      <c r="O1111" s="24">
        <f>'Data_in-situ'!DB47</f>
        <v>3333.5525389363561</v>
      </c>
      <c r="P1111" s="46">
        <f>'Data_in-situ'!DC47</f>
        <v>3</v>
      </c>
      <c r="Q1111" s="24">
        <f>'Data_in-situ'!DE47</f>
        <v>7701.7517110636172</v>
      </c>
      <c r="R1111" s="24">
        <f>'Data_in-situ'!DF47</f>
        <v>1365.154161423319</v>
      </c>
      <c r="S1111" s="46">
        <f>'Data_in-situ'!DG47</f>
        <v>3</v>
      </c>
      <c r="T1111" s="113">
        <f>'Data_in-situ'!DN65</f>
        <v>7.7977007953643627</v>
      </c>
      <c r="U1111" s="113">
        <f>'Data_in-situ'!DO65</f>
        <v>3.3514104017873239</v>
      </c>
      <c r="V1111" s="46">
        <f>'Data_in-situ'!DP65</f>
        <v>3</v>
      </c>
      <c r="W1111" s="113">
        <f>'Data_in-situ'!DR65</f>
        <v>3.0401651288720082</v>
      </c>
      <c r="X1111" s="113">
        <f>'Data_in-situ'!DS65</f>
        <v>2.576926227735012</v>
      </c>
      <c r="Y1111" s="46">
        <f>'Data_in-situ'!DT65</f>
        <v>3</v>
      </c>
      <c r="Z1111" s="113">
        <f>'Data_in-situ'!EA130</f>
        <v>0.32108009511715851</v>
      </c>
      <c r="AA1111" s="113">
        <f>'Data_in-situ'!EB130</f>
        <v>0.19494609457370263</v>
      </c>
      <c r="AB1111" s="46">
        <f>'Data_in-situ'!EC130</f>
        <v>18</v>
      </c>
      <c r="AC1111" s="113">
        <f>'Data_in-situ'!EE130</f>
        <v>1.0977343070987131</v>
      </c>
      <c r="AD1111" s="113">
        <f>'Data_in-situ'!EF130</f>
        <v>0.53387084501368376</v>
      </c>
      <c r="AE1111" s="46">
        <f>'Data_in-situ'!EG130</f>
        <v>18</v>
      </c>
      <c r="AF1111" s="113">
        <f>'Data_in-situ'!EN47</f>
        <v>-38</v>
      </c>
      <c r="AG1111" s="113">
        <f>'Data_in-situ'!EO47</f>
        <v>5.412566119688516</v>
      </c>
      <c r="AH1111" s="110">
        <f>'Data_in-situ'!EP47</f>
        <v>3</v>
      </c>
      <c r="AI1111" s="113">
        <f>'Data_in-situ'!ER47</f>
        <v>-73</v>
      </c>
      <c r="AJ1111" s="113">
        <f>'Data_in-situ'!ES47</f>
        <v>7.3195252578292278</v>
      </c>
      <c r="AK1111" s="110">
        <f>'Data_in-situ'!ET47</f>
        <v>3</v>
      </c>
    </row>
    <row r="1112" spans="1:37" x14ac:dyDescent="0.3">
      <c r="B1112" s="24">
        <f>'Data_in-situ'!CA128</f>
        <v>-30804.409295502097</v>
      </c>
      <c r="C1112" s="24">
        <f>'Data_in-situ'!CB128</f>
        <v>7508.6897887327168</v>
      </c>
      <c r="D1112" s="46">
        <f>'Data_in-situ'!CC128</f>
        <v>48</v>
      </c>
      <c r="E1112" s="24">
        <f>'Data_in-situ'!CE128</f>
        <v>-23917.078756679508</v>
      </c>
      <c r="F1112" s="24">
        <f>'Data_in-situ'!CF128</f>
        <v>4465.2242350151555</v>
      </c>
      <c r="G1112" s="46">
        <f>'Data_in-situ'!CG128</f>
        <v>48</v>
      </c>
      <c r="H1112" s="24">
        <f>'Data_in-situ'!CN128</f>
        <v>25786.496613792402</v>
      </c>
      <c r="I1112" s="24">
        <f>'Data_in-situ'!CO128</f>
        <v>7450.7457504082913</v>
      </c>
      <c r="J1112" s="46">
        <f>'Data_in-situ'!CP128</f>
        <v>48</v>
      </c>
      <c r="K1112" s="24">
        <f>'Data_in-situ'!CR128</f>
        <v>19674.213717161841</v>
      </c>
      <c r="L1112" s="24">
        <f>'Data_in-situ'!CS128</f>
        <v>4051.362841738935</v>
      </c>
      <c r="M1112" s="46">
        <f>'Data_in-situ'!CT128</f>
        <v>48</v>
      </c>
      <c r="N1112" s="24">
        <f>'Data_in-situ'!DA128</f>
        <v>-5017.9126817096931</v>
      </c>
      <c r="O1112" s="24">
        <f>'Data_in-situ'!DB128</f>
        <v>931.02637244697166</v>
      </c>
      <c r="P1112" s="46">
        <f>'Data_in-situ'!DC128</f>
        <v>48</v>
      </c>
      <c r="Q1112" s="24">
        <f>'Data_in-situ'!DE128</f>
        <v>-4242.8650395176674</v>
      </c>
      <c r="R1112" s="24">
        <f>'Data_in-situ'!DF128</f>
        <v>1877.4148698526124</v>
      </c>
      <c r="S1112" s="46">
        <f>'Data_in-situ'!DG128</f>
        <v>48</v>
      </c>
      <c r="T1112" s="113">
        <f>'Data_in-situ'!DN79</f>
        <v>345.6</v>
      </c>
      <c r="U1112" s="113">
        <f>'Data_in-situ'!DO79</f>
        <v>358.40000000000003</v>
      </c>
      <c r="V1112" s="46">
        <f>'Data_in-situ'!DP79</f>
        <v>4</v>
      </c>
      <c r="W1112" s="113">
        <f>'Data_in-situ'!DR79</f>
        <v>-2.4</v>
      </c>
      <c r="X1112" s="113">
        <f>'Data_in-situ'!DS79</f>
        <v>0.8</v>
      </c>
      <c r="Y1112" s="46">
        <f>'Data_in-situ'!DT79</f>
        <v>4</v>
      </c>
      <c r="Z1112" s="113">
        <f>'Data_in-situ'!EA132</f>
        <v>0.6346932112781053</v>
      </c>
      <c r="AA1112" s="113">
        <f>'Data_in-situ'!EB132</f>
        <v>0.12856385073753784</v>
      </c>
      <c r="AB1112" s="46">
        <f>'Data_in-situ'!EC132</f>
        <v>21</v>
      </c>
      <c r="AC1112" s="113">
        <f>'Data_in-situ'!EE132</f>
        <v>0.75469233613036468</v>
      </c>
      <c r="AD1112" s="113">
        <f>'Data_in-situ'!EF132</f>
        <v>0.35864660190524744</v>
      </c>
      <c r="AE1112" s="46">
        <f>'Data_in-situ'!EG132</f>
        <v>21</v>
      </c>
      <c r="AF1112" s="113">
        <f>'Data_in-situ'!EN53</f>
        <v>-38</v>
      </c>
      <c r="AG1112" s="113">
        <f>'Data_in-situ'!EO53</f>
        <v>7.6</v>
      </c>
      <c r="AH1112" s="110">
        <f>'Data_in-situ'!EP53</f>
        <v>3</v>
      </c>
      <c r="AI1112" s="113">
        <f>'Data_in-situ'!ER53</f>
        <v>-73</v>
      </c>
      <c r="AJ1112" s="113">
        <f>'Data_in-situ'!ES53</f>
        <v>10.3</v>
      </c>
      <c r="AK1112" s="110">
        <f>'Data_in-situ'!ET53</f>
        <v>3</v>
      </c>
    </row>
    <row r="1113" spans="1:37" x14ac:dyDescent="0.3">
      <c r="B1113" s="24">
        <f>'Data_in-situ'!CA130</f>
        <v>-39843.491213361398</v>
      </c>
      <c r="C1113" s="24">
        <f>'Data_in-situ'!CB130</f>
        <v>12909.471724359584</v>
      </c>
      <c r="D1113" s="46">
        <f>'Data_in-situ'!CC130</f>
        <v>66</v>
      </c>
      <c r="E1113" s="24">
        <f>'Data_in-situ'!CE130</f>
        <v>-35035.77220338145</v>
      </c>
      <c r="F1113" s="24">
        <f>'Data_in-situ'!CF130</f>
        <v>6481.9820713073177</v>
      </c>
      <c r="G1113" s="46">
        <f>'Data_in-situ'!CG130</f>
        <v>66</v>
      </c>
      <c r="H1113" s="24">
        <f>'Data_in-situ'!CN130</f>
        <v>35408.568959456847</v>
      </c>
      <c r="I1113" s="24">
        <f>'Data_in-situ'!CO130</f>
        <v>12878.668982057387</v>
      </c>
      <c r="J1113" s="46">
        <f>'Data_in-situ'!CP130</f>
        <v>66</v>
      </c>
      <c r="K1113" s="24">
        <f>'Data_in-situ'!CR130</f>
        <v>26888.134502472181</v>
      </c>
      <c r="L1113" s="24">
        <f>'Data_in-situ'!CS130</f>
        <v>6047.8746396959068</v>
      </c>
      <c r="M1113" s="46">
        <f>'Data_in-situ'!CT130</f>
        <v>66</v>
      </c>
      <c r="N1113" s="24">
        <f>'Data_in-situ'!DA130</f>
        <v>-4434.9222539045541</v>
      </c>
      <c r="O1113" s="24">
        <f>'Data_in-situ'!DB130</f>
        <v>891.2605974868037</v>
      </c>
      <c r="P1113" s="46">
        <f>'Data_in-situ'!DC130</f>
        <v>66</v>
      </c>
      <c r="Q1113" s="24">
        <f>'Data_in-situ'!DE130</f>
        <v>-8147.6377009092694</v>
      </c>
      <c r="R1113" s="24">
        <f>'Data_in-situ'!DF130</f>
        <v>2332.2315312319697</v>
      </c>
      <c r="S1113" s="46">
        <f>'Data_in-situ'!DG130</f>
        <v>66</v>
      </c>
      <c r="T1113" s="113">
        <f>'Data_in-situ'!DN128</f>
        <v>214.33232862768773</v>
      </c>
      <c r="U1113" s="113">
        <f>'Data_in-situ'!DO128</f>
        <v>127.05286261842672</v>
      </c>
      <c r="V1113" s="46">
        <f>'Data_in-situ'!DP128</f>
        <v>18</v>
      </c>
      <c r="W1113" s="113">
        <f>'Data_in-situ'!DR128</f>
        <v>74.807487646490884</v>
      </c>
      <c r="X1113" s="113">
        <f>'Data_in-situ'!DS128</f>
        <v>46.844140538456692</v>
      </c>
      <c r="Y1113" s="46">
        <f>'Data_in-situ'!DT128</f>
        <v>18</v>
      </c>
      <c r="Z1113" s="113">
        <f>'Data_in-situ'!EA162</f>
        <v>2.1024738953323308</v>
      </c>
      <c r="AA1113" s="113">
        <f>'Data_in-situ'!EB162</f>
        <v>12.089176504021989</v>
      </c>
      <c r="AB1113" s="46">
        <f>'Data_in-situ'!EC162</f>
        <v>4</v>
      </c>
      <c r="AC1113" s="113">
        <f>'Data_in-situ'!EE162</f>
        <v>6.8008768905024581</v>
      </c>
      <c r="AD1113" s="113">
        <f>'Data_in-situ'!EF162</f>
        <v>10.154657115085213</v>
      </c>
      <c r="AE1113" s="46">
        <f>'Data_in-situ'!EG162</f>
        <v>4</v>
      </c>
      <c r="AF1113" s="113">
        <f>'Data_in-situ'!EN59</f>
        <v>-38</v>
      </c>
      <c r="AG1113" s="113">
        <f>'Data_in-situ'!EO59</f>
        <v>7.6</v>
      </c>
      <c r="AH1113" s="110">
        <f>'Data_in-situ'!EP59</f>
        <v>3</v>
      </c>
      <c r="AI1113" s="113">
        <f>'Data_in-situ'!ER59</f>
        <v>-73</v>
      </c>
      <c r="AJ1113" s="113">
        <f>'Data_in-situ'!ES59</f>
        <v>10.3</v>
      </c>
      <c r="AK1113" s="110">
        <f>'Data_in-situ'!ET59</f>
        <v>3</v>
      </c>
    </row>
    <row r="1114" spans="1:37" x14ac:dyDescent="0.3">
      <c r="B1114" s="24">
        <f>'Data_in-situ'!CA132</f>
        <v>-16584.165556391476</v>
      </c>
      <c r="C1114" s="24">
        <f>'Data_in-situ'!CB132</f>
        <v>3505.6021221629076</v>
      </c>
      <c r="D1114" s="46">
        <f>'Data_in-situ'!CC132</f>
        <v>57</v>
      </c>
      <c r="E1114" s="24">
        <f>'Data_in-situ'!CE132</f>
        <v>-18655.544302064984</v>
      </c>
      <c r="F1114" s="24">
        <f>'Data_in-situ'!CF132</f>
        <v>9333.8389055230891</v>
      </c>
      <c r="G1114" s="46">
        <f>'Data_in-situ'!CG132</f>
        <v>57</v>
      </c>
      <c r="H1114" s="24">
        <f>'Data_in-situ'!CN132</f>
        <v>12315.894090129594</v>
      </c>
      <c r="I1114" s="24">
        <f>'Data_in-situ'!CO132</f>
        <v>3346.1883831600085</v>
      </c>
      <c r="J1114" s="46">
        <f>'Data_in-situ'!CP132</f>
        <v>57</v>
      </c>
      <c r="K1114" s="24">
        <f>'Data_in-situ'!CR132</f>
        <v>12460.292931851514</v>
      </c>
      <c r="L1114" s="24">
        <f>'Data_in-situ'!CS132</f>
        <v>2060.2193631794362</v>
      </c>
      <c r="M1114" s="46">
        <f>'Data_in-situ'!CT132</f>
        <v>57</v>
      </c>
      <c r="N1114" s="24">
        <f>'Data_in-situ'!DA132</f>
        <v>-4268.271466261881</v>
      </c>
      <c r="O1114" s="24">
        <f>'Data_in-situ'!DB132</f>
        <v>1045.11699982255</v>
      </c>
      <c r="P1114" s="46">
        <f>'Data_in-situ'!DC132</f>
        <v>57</v>
      </c>
      <c r="Q1114" s="24">
        <f>'Data_in-situ'!DE132</f>
        <v>-6195.2513702134684</v>
      </c>
      <c r="R1114" s="24">
        <f>'Data_in-situ'!DF132</f>
        <v>9103.6281168464357</v>
      </c>
      <c r="S1114" s="46">
        <f>'Data_in-situ'!DG132</f>
        <v>57</v>
      </c>
      <c r="T1114" s="113">
        <f>'Data_in-situ'!DN130</f>
        <v>319.22459108513186</v>
      </c>
      <c r="U1114" s="113">
        <f>'Data_in-situ'!DO130</f>
        <v>121.19295255477282</v>
      </c>
      <c r="V1114" s="46">
        <f>'Data_in-situ'!DP130</f>
        <v>18</v>
      </c>
      <c r="W1114" s="113">
        <f>'Data_in-situ'!DR130</f>
        <v>222.57960625006015</v>
      </c>
      <c r="X1114" s="113">
        <f>'Data_in-situ'!DS130</f>
        <v>146.24752567167019</v>
      </c>
      <c r="Y1114" s="46">
        <f>'Data_in-situ'!DT130</f>
        <v>18</v>
      </c>
      <c r="Z1114" s="113">
        <f>'Data_in-situ'!EA163</f>
        <v>0.69244345015682884</v>
      </c>
      <c r="AA1114" s="113">
        <f>'Data_in-situ'!EB163</f>
        <v>3.9815338999377539</v>
      </c>
      <c r="AB1114" s="46">
        <f>'Data_in-situ'!EC163</f>
        <v>4</v>
      </c>
      <c r="AC1114" s="113">
        <f>'Data_in-situ'!EE163</f>
        <v>1.8900218026919515</v>
      </c>
      <c r="AD1114" s="113">
        <f>'Data_in-situ'!EF163</f>
        <v>2.8220659858105499</v>
      </c>
      <c r="AE1114" s="46">
        <f>'Data_in-situ'!EG163</f>
        <v>4</v>
      </c>
      <c r="AF1114" s="113">
        <f>'Data_in-situ'!EN65</f>
        <v>-38</v>
      </c>
      <c r="AG1114" s="113">
        <f>'Data_in-situ'!EO65</f>
        <v>5.412566119688516</v>
      </c>
      <c r="AH1114" s="110">
        <f>'Data_in-situ'!EP65</f>
        <v>3</v>
      </c>
      <c r="AI1114" s="113">
        <f>'Data_in-situ'!ER65</f>
        <v>-73</v>
      </c>
      <c r="AJ1114" s="113">
        <f>'Data_in-situ'!ES65</f>
        <v>7.3195252578292278</v>
      </c>
      <c r="AK1114" s="110">
        <f>'Data_in-situ'!ET65</f>
        <v>3</v>
      </c>
    </row>
    <row r="1115" spans="1:37" x14ac:dyDescent="0.3">
      <c r="B1115" s="24">
        <f>'Data_in-situ'!CA339</f>
        <v>-2994.9187190031953</v>
      </c>
      <c r="C1115" s="24">
        <f>'Data_in-situ'!CB339</f>
        <v>676.52043369186902</v>
      </c>
      <c r="D1115" s="46">
        <f>'Data_in-situ'!CC339</f>
        <v>3</v>
      </c>
      <c r="E1115" s="24">
        <f>'Data_in-situ'!CE339</f>
        <v>-2403.5364233284786</v>
      </c>
      <c r="F1115" s="24">
        <f>'Data_in-situ'!CF339</f>
        <v>338.39733243694133</v>
      </c>
      <c r="G1115" s="46">
        <f>'Data_in-situ'!CG339</f>
        <v>3</v>
      </c>
      <c r="H1115" s="24">
        <f>'Data_in-situ'!CN339</f>
        <v>3969.4505741620792</v>
      </c>
      <c r="I1115" s="24">
        <f>'Data_in-situ'!CO339</f>
        <v>723.08718823658228</v>
      </c>
      <c r="J1115" s="46">
        <f>'Data_in-situ'!CP339</f>
        <v>3</v>
      </c>
      <c r="K1115" s="24">
        <f>'Data_in-situ'!CR339</f>
        <v>4246.5463132141167</v>
      </c>
      <c r="L1115" s="24">
        <f>'Data_in-situ'!CS339</f>
        <v>528.2044209164568</v>
      </c>
      <c r="M1115" s="46">
        <f>'Data_in-situ'!CT339</f>
        <v>3</v>
      </c>
      <c r="N1115" s="24">
        <f>'Data_in-situ'!DA197</f>
        <v>-6476.6640398246809</v>
      </c>
      <c r="O1115" s="24">
        <f>'Data_in-situ'!DB197</f>
        <v>2851.847869896872</v>
      </c>
      <c r="P1115" s="46">
        <f>'Data_in-situ'!DC197</f>
        <v>3</v>
      </c>
      <c r="Q1115" s="24">
        <f>'Data_in-situ'!DE197</f>
        <v>303.7999143045227</v>
      </c>
      <c r="R1115" s="24">
        <f>'Data_in-situ'!DF197</f>
        <v>833.8763402434389</v>
      </c>
      <c r="S1115" s="46">
        <f>'Data_in-situ'!DG197</f>
        <v>3</v>
      </c>
      <c r="T1115" s="113">
        <f>'Data_in-situ'!DN132</f>
        <v>440.08296271455015</v>
      </c>
      <c r="U1115" s="113">
        <f>'Data_in-situ'!DO132</f>
        <v>113.40347895786114</v>
      </c>
      <c r="V1115" s="46">
        <f>'Data_in-situ'!DP132</f>
        <v>21</v>
      </c>
      <c r="W1115" s="113">
        <f>'Data_in-situ'!DR132</f>
        <v>251.76858211880577</v>
      </c>
      <c r="X1115" s="113">
        <f>'Data_in-situ'!DS132</f>
        <v>162.14335017466513</v>
      </c>
      <c r="Y1115" s="46">
        <f>'Data_in-situ'!DT132</f>
        <v>21</v>
      </c>
      <c r="Z1115" s="113">
        <f>'Data_in-situ'!EA164</f>
        <v>0.69244345015682884</v>
      </c>
      <c r="AA1115" s="113">
        <f>'Data_in-situ'!EB164</f>
        <v>3.9815338999377539</v>
      </c>
      <c r="AB1115" s="46">
        <f>'Data_in-situ'!EC164</f>
        <v>4</v>
      </c>
      <c r="AC1115" s="113">
        <f>'Data_in-situ'!EE164</f>
        <v>1.2029333397446536</v>
      </c>
      <c r="AD1115" s="113">
        <f>'Data_in-situ'!EF164</f>
        <v>1.7961471430941864</v>
      </c>
      <c r="AE1115" s="46">
        <f>'Data_in-situ'!EG164</f>
        <v>4</v>
      </c>
      <c r="AF1115" s="113">
        <f>'Data_in-situ'!EN90</f>
        <v>-26.8</v>
      </c>
      <c r="AG1115" s="113">
        <f>'Data_in-situ'!EO90</f>
        <v>10.920903486534662</v>
      </c>
      <c r="AH1115" s="110">
        <f>'Data_in-situ'!EP90</f>
        <v>3</v>
      </c>
      <c r="AI1115" s="113">
        <f>'Data_in-situ'!ER90</f>
        <v>-62.1</v>
      </c>
      <c r="AJ1115" s="113">
        <f>'Data_in-situ'!ES90</f>
        <v>14.085152722920959</v>
      </c>
      <c r="AK1115" s="110">
        <f>'Data_in-situ'!ET90</f>
        <v>3</v>
      </c>
    </row>
    <row r="1116" spans="1:37" x14ac:dyDescent="0.3">
      <c r="B1116" s="24">
        <f>'Data_in-situ'!CA342</f>
        <v>-2945.161089648047</v>
      </c>
      <c r="C1116" s="24">
        <f>'Data_in-situ'!CB342</f>
        <v>96.327483684879894</v>
      </c>
      <c r="D1116" s="46">
        <f>'Data_in-situ'!CC342</f>
        <v>3</v>
      </c>
      <c r="E1116" s="24">
        <f>'Data_in-situ'!CE342</f>
        <v>-2329.5681312375768</v>
      </c>
      <c r="F1116" s="24">
        <f>'Data_in-situ'!CF342</f>
        <v>936.72704913647306</v>
      </c>
      <c r="G1116" s="46">
        <f>'Data_in-situ'!CG342</f>
        <v>3</v>
      </c>
      <c r="H1116" s="24">
        <f>'Data_in-situ'!CN342</f>
        <v>2386.82655517393</v>
      </c>
      <c r="I1116" s="24">
        <f>'Data_in-situ'!CO342</f>
        <v>98.565445597832763</v>
      </c>
      <c r="J1116" s="46">
        <f>'Data_in-situ'!CP342</f>
        <v>3</v>
      </c>
      <c r="K1116" s="24">
        <f>'Data_in-situ'!CR342</f>
        <v>2420.4945007500228</v>
      </c>
      <c r="L1116" s="24">
        <f>'Data_in-situ'!CS342</f>
        <v>226.67580770330741</v>
      </c>
      <c r="M1116" s="46">
        <f>'Data_in-situ'!CT342</f>
        <v>3</v>
      </c>
      <c r="N1116" s="24">
        <f>'Data_in-situ'!DA198</f>
        <v>-5712.1472856207492</v>
      </c>
      <c r="O1116" s="24">
        <f>'Data_in-situ'!DB198</f>
        <v>3273.2058172899874</v>
      </c>
      <c r="P1116" s="46">
        <f>'Data_in-situ'!DC198</f>
        <v>3</v>
      </c>
      <c r="Q1116" s="24">
        <f>'Data_in-situ'!DE198</f>
        <v>-61.395104632969371</v>
      </c>
      <c r="R1116" s="24">
        <f>'Data_in-situ'!DF198</f>
        <v>529.41384138606963</v>
      </c>
      <c r="S1116" s="46">
        <f>'Data_in-situ'!DG198</f>
        <v>3</v>
      </c>
      <c r="T1116" s="113">
        <f>'Data_in-situ'!DN162</f>
        <v>4.1088183748609376E-2</v>
      </c>
      <c r="U1116" s="113">
        <f>'Data_in-situ'!DO162</f>
        <v>4.5808365090522003E-2</v>
      </c>
      <c r="V1116" s="46">
        <f>'Data_in-situ'!DP162</f>
        <v>4</v>
      </c>
      <c r="W1116" s="113">
        <f>'Data_in-situ'!DR162</f>
        <v>0.1749737827715355</v>
      </c>
      <c r="X1116" s="113">
        <f>'Data_in-situ'!DS162</f>
        <v>0.65391487210700916</v>
      </c>
      <c r="Y1116" s="46">
        <f>'Data_in-situ'!DT162</f>
        <v>4</v>
      </c>
      <c r="Z1116" s="113">
        <f>'Data_in-situ'!EA165</f>
        <v>0.69244345015682884</v>
      </c>
      <c r="AA1116" s="113">
        <f>'Data_in-situ'!EB165</f>
        <v>3.9815338999377539</v>
      </c>
      <c r="AB1116" s="46">
        <f>'Data_in-situ'!EC165</f>
        <v>4</v>
      </c>
      <c r="AC1116" s="113">
        <f>'Data_in-situ'!EE165</f>
        <v>1.5464775712183025</v>
      </c>
      <c r="AD1116" s="113">
        <f>'Data_in-situ'!EF165</f>
        <v>2.3091065644523678</v>
      </c>
      <c r="AE1116" s="46">
        <f>'Data_in-situ'!EG165</f>
        <v>4</v>
      </c>
      <c r="AF1116" s="113">
        <f>'Data_in-situ'!EN128</f>
        <v>-7.08</v>
      </c>
      <c r="AG1116" s="113">
        <f>'Data_in-situ'!EO128</f>
        <v>2.8850745031591569</v>
      </c>
      <c r="AH1116" s="110">
        <f>'Data_in-situ'!EP128</f>
        <v>18</v>
      </c>
      <c r="AI1116" s="113">
        <f>'Data_in-situ'!ER128</f>
        <v>-15.22</v>
      </c>
      <c r="AJ1116" s="113">
        <f>'Data_in-situ'!ES128</f>
        <v>3.4521098944099355</v>
      </c>
      <c r="AK1116" s="110">
        <f>'Data_in-situ'!ET128</f>
        <v>18</v>
      </c>
    </row>
    <row r="1117" spans="1:37" x14ac:dyDescent="0.3">
      <c r="B1117" s="24">
        <f>'Data_in-situ'!CA345</f>
        <v>-1544.0509482067121</v>
      </c>
      <c r="C1117" s="24">
        <f>'Data_in-situ'!CB345</f>
        <v>837.60714709123818</v>
      </c>
      <c r="D1117" s="46">
        <f>'Data_in-situ'!CC345</f>
        <v>3</v>
      </c>
      <c r="E1117" s="24">
        <f>'Data_in-situ'!CE345</f>
        <v>-1178.558304384421</v>
      </c>
      <c r="F1117" s="24">
        <f>'Data_in-situ'!CF345</f>
        <v>1103.8093288412595</v>
      </c>
      <c r="G1117" s="46">
        <f>'Data_in-situ'!CG345</f>
        <v>3</v>
      </c>
      <c r="H1117" s="24">
        <f>'Data_in-situ'!CN345</f>
        <v>821.95693707396595</v>
      </c>
      <c r="I1117" s="24">
        <f>'Data_in-situ'!CO345</f>
        <v>860.95304933064097</v>
      </c>
      <c r="J1117" s="46">
        <f>'Data_in-situ'!CP345</f>
        <v>3</v>
      </c>
      <c r="K1117" s="24">
        <f>'Data_in-situ'!CR345</f>
        <v>1214.1076881752506</v>
      </c>
      <c r="L1117" s="24">
        <f>'Data_in-situ'!CS345</f>
        <v>590.58610863952993</v>
      </c>
      <c r="M1117" s="46">
        <f>'Data_in-situ'!CT345</f>
        <v>3</v>
      </c>
      <c r="N1117" s="24">
        <f>'Data_in-situ'!DA201</f>
        <v>-2040</v>
      </c>
      <c r="O1117" s="24">
        <f>'Data_in-situ'!DB201</f>
        <v>6119.2993797198715</v>
      </c>
      <c r="P1117" s="46">
        <f>'Data_in-situ'!DC201</f>
        <v>3</v>
      </c>
      <c r="Q1117" s="24">
        <f>'Data_in-situ'!DE201</f>
        <v>5060</v>
      </c>
      <c r="R1117" s="24">
        <f>'Data_in-situ'!DF201</f>
        <v>698.59382571944718</v>
      </c>
      <c r="S1117" s="46">
        <f>'Data_in-situ'!DG201</f>
        <v>3</v>
      </c>
      <c r="T1117" s="113">
        <f>'Data_in-situ'!DN163</f>
        <v>-0.12122916895579239</v>
      </c>
      <c r="U1117" s="113">
        <f>'Data_in-situ'!DO163</f>
        <v>0.13515588971088227</v>
      </c>
      <c r="V1117" s="46">
        <f>'Data_in-situ'!DP163</f>
        <v>4</v>
      </c>
      <c r="W1117" s="113">
        <f>'Data_in-situ'!DR163</f>
        <v>6.1724726721622734E-2</v>
      </c>
      <c r="X1117" s="113">
        <f>'Data_in-situ'!DS163</f>
        <v>0.23067865448569461</v>
      </c>
      <c r="Y1117" s="46">
        <f>'Data_in-situ'!DT163</f>
        <v>4</v>
      </c>
      <c r="Z1117" s="113">
        <f>'Data_in-situ'!EA201</f>
        <v>0</v>
      </c>
      <c r="AA1117" s="113">
        <f>'Data_in-situ'!EB201</f>
        <v>0</v>
      </c>
      <c r="AB1117" s="46">
        <f>'Data_in-situ'!EC201</f>
        <v>3</v>
      </c>
      <c r="AC1117" s="113">
        <f>'Data_in-situ'!EE201</f>
        <v>0.03</v>
      </c>
      <c r="AD1117" s="113">
        <f>'Data_in-situ'!EF201</f>
        <v>4.4794181450040799E-2</v>
      </c>
      <c r="AE1117" s="46">
        <f>'Data_in-situ'!EG201</f>
        <v>3</v>
      </c>
      <c r="AF1117" s="113">
        <f>'Data_in-situ'!EN130</f>
        <v>-12.04</v>
      </c>
      <c r="AG1117" s="113">
        <f>'Data_in-situ'!EO130</f>
        <v>4.9062566409655712</v>
      </c>
      <c r="AH1117" s="110">
        <f>'Data_in-situ'!EP130</f>
        <v>18</v>
      </c>
      <c r="AI1117" s="113">
        <f>'Data_in-situ'!ER130</f>
        <v>-15.22</v>
      </c>
      <c r="AJ1117" s="113">
        <f>'Data_in-situ'!ES130</f>
        <v>3.4521098944099355</v>
      </c>
      <c r="AK1117" s="110">
        <f>'Data_in-situ'!ET130</f>
        <v>18</v>
      </c>
    </row>
    <row r="1118" spans="1:37" x14ac:dyDescent="0.3">
      <c r="B1118" s="24">
        <f>'Data_in-situ'!CA412</f>
        <v>-27659.550451779181</v>
      </c>
      <c r="C1118" s="24">
        <f>'Data_in-situ'!CB412</f>
        <v>2920.5942857142213</v>
      </c>
      <c r="D1118" s="46">
        <f>'Data_in-situ'!CC412</f>
        <v>3</v>
      </c>
      <c r="E1118" s="24">
        <f>'Data_in-situ'!CE412</f>
        <v>-19692.259359339321</v>
      </c>
      <c r="F1118" s="24">
        <f>'Data_in-situ'!CF412</f>
        <v>1592.4436015993197</v>
      </c>
      <c r="G1118" s="46">
        <f>'Data_in-situ'!CG412</f>
        <v>3</v>
      </c>
      <c r="H1118" s="24">
        <f>'Data_in-situ'!CN412</f>
        <v>26436.559507179623</v>
      </c>
      <c r="I1118" s="24">
        <f>'Data_in-situ'!CO412</f>
        <v>3571.7210373879325</v>
      </c>
      <c r="J1118" s="46">
        <f>'Data_in-situ'!CP412</f>
        <v>3</v>
      </c>
      <c r="K1118" s="24">
        <f>'Data_in-situ'!CR412</f>
        <v>20646.170885257681</v>
      </c>
      <c r="L1118" s="24">
        <f>'Data_in-situ'!CS412</f>
        <v>1492.9781828658879</v>
      </c>
      <c r="M1118" s="46">
        <f>'Data_in-situ'!CT412</f>
        <v>3</v>
      </c>
      <c r="N1118" s="24">
        <f>'Data_in-situ'!DA202</f>
        <v>-4180</v>
      </c>
      <c r="O1118" s="24">
        <f>'Data_in-situ'!DB202</f>
        <v>12538.564415308363</v>
      </c>
      <c r="P1118" s="46">
        <f>'Data_in-situ'!DC202</f>
        <v>3</v>
      </c>
      <c r="Q1118" s="24">
        <f>'Data_in-situ'!DE202</f>
        <v>1540</v>
      </c>
      <c r="R1118" s="24">
        <f>'Data_in-situ'!DF202</f>
        <v>1460.696181049753</v>
      </c>
      <c r="S1118" s="46">
        <f>'Data_in-situ'!DG202</f>
        <v>3</v>
      </c>
      <c r="T1118" s="113">
        <f>'Data_in-situ'!DN164</f>
        <v>-0.12122916895579239</v>
      </c>
      <c r="U1118" s="113">
        <f>'Data_in-situ'!DO164</f>
        <v>0.13515588971088227</v>
      </c>
      <c r="V1118" s="46">
        <f>'Data_in-situ'!DP164</f>
        <v>4</v>
      </c>
      <c r="W1118" s="113">
        <f>'Data_in-situ'!DR164</f>
        <v>-0.12344945344324547</v>
      </c>
      <c r="X1118" s="113">
        <f>'Data_in-situ'!DS164</f>
        <v>0.46135730897138921</v>
      </c>
      <c r="Y1118" s="46">
        <f>'Data_in-situ'!DT164</f>
        <v>4</v>
      </c>
      <c r="Z1118" s="113">
        <f>'Data_in-situ'!EA202</f>
        <v>0</v>
      </c>
      <c r="AA1118" s="113">
        <f>'Data_in-situ'!EB202</f>
        <v>0</v>
      </c>
      <c r="AB1118" s="46">
        <f>'Data_in-situ'!EC202</f>
        <v>3</v>
      </c>
      <c r="AC1118" s="113">
        <f>'Data_in-situ'!EE202</f>
        <v>0.05</v>
      </c>
      <c r="AD1118" s="113">
        <f>'Data_in-situ'!EF202</f>
        <v>7.4656969083401345E-2</v>
      </c>
      <c r="AE1118" s="46">
        <f>'Data_in-situ'!EG202</f>
        <v>3</v>
      </c>
      <c r="AF1118" s="113">
        <f>'Data_in-situ'!EN132</f>
        <v>-4.96</v>
      </c>
      <c r="AG1118" s="113">
        <f>'Data_in-situ'!EO132</f>
        <v>2.0211821378064148</v>
      </c>
      <c r="AH1118" s="110">
        <f>'Data_in-situ'!EP132</f>
        <v>21</v>
      </c>
      <c r="AI1118" s="113">
        <f>'Data_in-situ'!ER132</f>
        <v>-10.09</v>
      </c>
      <c r="AJ1118" s="113">
        <f>'Data_in-situ'!ES132</f>
        <v>2.2885537999077692</v>
      </c>
      <c r="AK1118" s="110">
        <f>'Data_in-situ'!ET132</f>
        <v>21</v>
      </c>
    </row>
    <row r="1119" spans="1:37" x14ac:dyDescent="0.3">
      <c r="N1119" s="24">
        <f>'Data_in-situ'!DA270</f>
        <v>2799.2431805620463</v>
      </c>
      <c r="O1119" s="24">
        <f>'Data_in-situ'!DB270</f>
        <v>1473.9559786073848</v>
      </c>
      <c r="P1119" s="46">
        <f>'Data_in-situ'!DC270</f>
        <v>20</v>
      </c>
      <c r="Q1119" s="24">
        <f>'Data_in-situ'!DE270</f>
        <v>6964.2392311529056</v>
      </c>
      <c r="R1119" s="24">
        <f>'Data_in-situ'!DF270</f>
        <v>2472.9188125624614</v>
      </c>
      <c r="S1119" s="46">
        <f>'Data_in-situ'!DG270</f>
        <v>20</v>
      </c>
      <c r="T1119" s="113">
        <f>'Data_in-situ'!DN165</f>
        <v>-0.12122916895579239</v>
      </c>
      <c r="U1119" s="113">
        <f>'Data_in-situ'!DO165</f>
        <v>0.13515588971088227</v>
      </c>
      <c r="V1119" s="46">
        <f>'Data_in-situ'!DP165</f>
        <v>4</v>
      </c>
      <c r="W1119" s="113">
        <f>'Data_in-situ'!DR165</f>
        <v>0.12344945344324547</v>
      </c>
      <c r="X1119" s="113">
        <f>'Data_in-situ'!DS165</f>
        <v>0.46135730897138921</v>
      </c>
      <c r="Y1119" s="46">
        <f>'Data_in-situ'!DT165</f>
        <v>4</v>
      </c>
      <c r="Z1119" s="113">
        <f>'Data_in-situ'!EA217</f>
        <v>1.3785046728971999</v>
      </c>
      <c r="AA1119" s="113">
        <f>'Data_in-situ'!EB217</f>
        <v>1.030159237619066</v>
      </c>
      <c r="AB1119" s="46">
        <f>'Data_in-situ'!EC217</f>
        <v>6</v>
      </c>
      <c r="AC1119" s="113">
        <f>'Data_in-situ'!EE217</f>
        <v>3.2242990654205603</v>
      </c>
      <c r="AD1119" s="113">
        <f>'Data_in-situ'!EF217</f>
        <v>3.548326262910205</v>
      </c>
      <c r="AE1119" s="46">
        <f>'Data_in-situ'!EG217</f>
        <v>6</v>
      </c>
      <c r="AF1119" s="113">
        <f>'Data_in-situ'!EN163</f>
        <v>-109</v>
      </c>
      <c r="AG1119" s="113">
        <f>'Data_in-situ'!EO163</f>
        <v>44.417107463890972</v>
      </c>
      <c r="AH1119" s="110">
        <f>'Data_in-situ'!EP163</f>
        <v>4</v>
      </c>
      <c r="AI1119" s="113">
        <f>'Data_in-situ'!ER163</f>
        <v>-121</v>
      </c>
      <c r="AJ1119" s="113">
        <f>'Data_in-situ'!ES163</f>
        <v>27.444500474612497</v>
      </c>
      <c r="AK1119" s="110">
        <f>'Data_in-situ'!ET163</f>
        <v>4</v>
      </c>
    </row>
    <row r="1120" spans="1:37" x14ac:dyDescent="0.3">
      <c r="N1120" s="24">
        <f>'Data_in-situ'!DA339</f>
        <v>974.5318551588839</v>
      </c>
      <c r="O1120" s="24">
        <f>'Data_in-situ'!DB339</f>
        <v>469.46628575554143</v>
      </c>
      <c r="P1120" s="46">
        <f>'Data_in-situ'!DC339</f>
        <v>3</v>
      </c>
      <c r="Q1120" s="24">
        <f>'Data_in-situ'!DE339</f>
        <v>1843.0098898856381</v>
      </c>
      <c r="R1120" s="24">
        <f>'Data_in-situ'!DF339</f>
        <v>320.75875891326473</v>
      </c>
      <c r="S1120" s="46">
        <f>'Data_in-situ'!DG339</f>
        <v>3</v>
      </c>
      <c r="T1120" s="113">
        <f>'Data_in-situ'!DN194</f>
        <v>116</v>
      </c>
      <c r="U1120" s="113">
        <f>'Data_in-situ'!DO194</f>
        <v>129.32599754255131</v>
      </c>
      <c r="V1120" s="46">
        <f>'Data_in-situ'!DP194</f>
        <v>6</v>
      </c>
      <c r="W1120" s="113">
        <f>'Data_in-situ'!DR194</f>
        <v>-9</v>
      </c>
      <c r="X1120" s="113">
        <f>'Data_in-situ'!DS194</f>
        <v>33.634946651679087</v>
      </c>
      <c r="Y1120" s="46">
        <f>'Data_in-situ'!DT194</f>
        <v>6</v>
      </c>
      <c r="Z1120" s="113">
        <f>'Data_in-situ'!EA218</f>
        <v>1.3785046728971999</v>
      </c>
      <c r="AA1120" s="113">
        <f>'Data_in-situ'!EB218</f>
        <v>1.030159237619066</v>
      </c>
      <c r="AB1120" s="46">
        <f>'Data_in-situ'!EC218</f>
        <v>6</v>
      </c>
      <c r="AC1120" s="113">
        <f>'Data_in-situ'!EE218</f>
        <v>2.8037383177570097</v>
      </c>
      <c r="AD1120" s="113">
        <f>'Data_in-situ'!EF218</f>
        <v>2.5181670252910933</v>
      </c>
      <c r="AE1120" s="46">
        <f>'Data_in-situ'!EG218</f>
        <v>6</v>
      </c>
      <c r="AF1120" s="113">
        <f>'Data_in-situ'!EN164</f>
        <v>-109</v>
      </c>
      <c r="AG1120" s="113">
        <f>'Data_in-situ'!EO164</f>
        <v>44.417107463890972</v>
      </c>
      <c r="AH1120" s="110">
        <f>'Data_in-situ'!EP164</f>
        <v>4</v>
      </c>
      <c r="AI1120" s="113">
        <f>'Data_in-situ'!ER164</f>
        <v>-119</v>
      </c>
      <c r="AJ1120" s="113">
        <f>'Data_in-situ'!ES164</f>
        <v>26.990872367594108</v>
      </c>
      <c r="AK1120" s="110">
        <f>'Data_in-situ'!ET164</f>
        <v>4</v>
      </c>
    </row>
    <row r="1121" spans="14:37" x14ac:dyDescent="0.3">
      <c r="N1121" s="24">
        <f>'Data_in-situ'!DA342</f>
        <v>-558.33453447411694</v>
      </c>
      <c r="O1121" s="24">
        <f>'Data_in-situ'!DB342</f>
        <v>748.7456945126147</v>
      </c>
      <c r="P1121" s="46">
        <f>'Data_in-situ'!DC342</f>
        <v>3</v>
      </c>
      <c r="Q1121" s="24">
        <f>'Data_in-situ'!DE342</f>
        <v>90.926369512445945</v>
      </c>
      <c r="R1121" s="24">
        <f>'Data_in-situ'!DF342</f>
        <v>382.25882942650333</v>
      </c>
      <c r="S1121" s="46">
        <f>'Data_in-situ'!DG342</f>
        <v>3</v>
      </c>
      <c r="T1121" s="113">
        <f>'Data_in-situ'!DN195</f>
        <v>157.55702481107656</v>
      </c>
      <c r="U1121" s="113">
        <f>'Data_in-situ'!DO195</f>
        <v>48.678566846799022</v>
      </c>
      <c r="V1121" s="46">
        <f>'Data_in-situ'!DP195</f>
        <v>3</v>
      </c>
      <c r="W1121" s="113">
        <f>'Data_in-situ'!DR195</f>
        <v>113.18254393770165</v>
      </c>
      <c r="X1121" s="113">
        <f>'Data_in-situ'!DS195</f>
        <v>73.207043848592377</v>
      </c>
      <c r="Y1121" s="46">
        <f>'Data_in-situ'!DT195</f>
        <v>3</v>
      </c>
      <c r="Z1121" s="113">
        <f>'Data_in-situ'!EA219</f>
        <v>2.294285714285714</v>
      </c>
      <c r="AA1121" s="113">
        <f>'Data_in-situ'!EB219</f>
        <v>0.87097412037749256</v>
      </c>
      <c r="AB1121" s="46">
        <f>'Data_in-situ'!EC219</f>
        <v>3</v>
      </c>
      <c r="AC1121" s="113">
        <f>'Data_in-situ'!EE219</f>
        <v>2.152857142857143</v>
      </c>
      <c r="AD1121" s="113">
        <f>'Data_in-situ'!EF219</f>
        <v>0.81653823785389912</v>
      </c>
      <c r="AE1121" s="46">
        <f>'Data_in-situ'!EG219</f>
        <v>3</v>
      </c>
      <c r="AF1121" s="113">
        <f>'Data_in-situ'!EN165</f>
        <v>-109</v>
      </c>
      <c r="AG1121" s="113">
        <f>'Data_in-situ'!EO165</f>
        <v>44.417107463890972</v>
      </c>
      <c r="AH1121" s="110">
        <f>'Data_in-situ'!EP165</f>
        <v>4</v>
      </c>
      <c r="AI1121" s="113">
        <f>'Data_in-situ'!ER165</f>
        <v>-138</v>
      </c>
      <c r="AJ1121" s="113">
        <f>'Data_in-situ'!ES165</f>
        <v>31.300339384268796</v>
      </c>
      <c r="AK1121" s="110">
        <f>'Data_in-situ'!ET165</f>
        <v>4</v>
      </c>
    </row>
    <row r="1122" spans="14:37" x14ac:dyDescent="0.3">
      <c r="N1122" s="24">
        <f>'Data_in-situ'!DA345</f>
        <v>-722.09401113274612</v>
      </c>
      <c r="O1122" s="24">
        <f>'Data_in-situ'!DB345</f>
        <v>355.55395504217751</v>
      </c>
      <c r="P1122" s="46">
        <f>'Data_in-situ'!DC345</f>
        <v>3</v>
      </c>
      <c r="Q1122" s="24">
        <f>'Data_in-situ'!DE345</f>
        <v>35.549383790829552</v>
      </c>
      <c r="R1122" s="24">
        <f>'Data_in-situ'!DF345</f>
        <v>98.404402630841858</v>
      </c>
      <c r="S1122" s="46">
        <f>'Data_in-situ'!DG345</f>
        <v>3</v>
      </c>
      <c r="T1122" s="113">
        <f>'Data_in-situ'!DN197</f>
        <v>155.82698820258872</v>
      </c>
      <c r="U1122" s="113">
        <f>'Data_in-situ'!DO197</f>
        <v>23.032741265577613</v>
      </c>
      <c r="V1122" s="46">
        <f>'Data_in-situ'!DP197</f>
        <v>3</v>
      </c>
      <c r="W1122" s="113">
        <f>'Data_in-situ'!DR197</f>
        <v>112.44558555457438</v>
      </c>
      <c r="X1122" s="113">
        <f>'Data_in-situ'!DS197</f>
        <v>45.444038695017397</v>
      </c>
      <c r="Y1122" s="46">
        <f>'Data_in-situ'!DT197</f>
        <v>3</v>
      </c>
      <c r="Z1122" s="113">
        <f>'Data_in-situ'!EA220</f>
        <v>0.3457142857142857</v>
      </c>
      <c r="AA1122" s="113">
        <f>'Data_in-situ'!EB220</f>
        <v>0.10887176504718657</v>
      </c>
      <c r="AB1122" s="46">
        <f>'Data_in-situ'!EC220</f>
        <v>3</v>
      </c>
      <c r="AC1122" s="113">
        <f>'Data_in-situ'!EE220</f>
        <v>0.29857142857142854</v>
      </c>
      <c r="AD1122" s="113">
        <f>'Data_in-situ'!EF220</f>
        <v>8.165382378538992E-2</v>
      </c>
      <c r="AE1122" s="46">
        <f>'Data_in-situ'!EG220</f>
        <v>3</v>
      </c>
      <c r="AF1122" s="113">
        <f>'Data_in-situ'!EN194</f>
        <v>-7</v>
      </c>
      <c r="AG1122" s="113">
        <f>'Data_in-situ'!EO194</f>
        <v>2.8524747912590533</v>
      </c>
      <c r="AH1122" s="110">
        <f>'Data_in-situ'!EP194</f>
        <v>6</v>
      </c>
      <c r="AI1122" s="113">
        <f>'Data_in-situ'!ER194</f>
        <v>-57</v>
      </c>
      <c r="AJ1122" s="113">
        <f>'Data_in-situ'!ES194</f>
        <v>12.928401050024068</v>
      </c>
      <c r="AK1122" s="110">
        <f>'Data_in-situ'!ET194</f>
        <v>6</v>
      </c>
    </row>
    <row r="1123" spans="14:37" x14ac:dyDescent="0.3">
      <c r="N1123" s="24">
        <f>'Data_in-situ'!DA400</f>
        <v>30.769259991496654</v>
      </c>
      <c r="O1123" s="24">
        <f>'Data_in-situ'!DB400</f>
        <v>92.297212539414176</v>
      </c>
      <c r="P1123" s="46">
        <f>'Data_in-situ'!DC400</f>
        <v>1</v>
      </c>
      <c r="Q1123" s="24">
        <f>'Data_in-situ'!DE400</f>
        <v>-12.040273178424011</v>
      </c>
      <c r="R1123" s="24">
        <f>'Data_in-situ'!DF400</f>
        <v>11.476099621415464</v>
      </c>
      <c r="S1123" s="46">
        <f>'Data_in-situ'!DG400</f>
        <v>1</v>
      </c>
      <c r="T1123" s="113">
        <f>'Data_in-situ'!DN198</f>
        <v>26.090957895544143</v>
      </c>
      <c r="U1123" s="113">
        <f>'Data_in-situ'!DO198</f>
        <v>4.5126597497032837</v>
      </c>
      <c r="V1123" s="46">
        <f>'Data_in-situ'!DP198</f>
        <v>3</v>
      </c>
      <c r="W1123" s="113">
        <f>'Data_in-situ'!DR198</f>
        <v>36.800373454224456</v>
      </c>
      <c r="X1123" s="113">
        <f>'Data_in-situ'!DS198</f>
        <v>16.18313151345119</v>
      </c>
      <c r="Y1123" s="46">
        <f>'Data_in-situ'!DT198</f>
        <v>3</v>
      </c>
      <c r="Z1123" s="113">
        <f>'Data_in-situ'!EA393</f>
        <v>5.8770295611265379E-2</v>
      </c>
      <c r="AA1123" s="113">
        <f>'Data_in-situ'!EB393</f>
        <v>0.33792784700702894</v>
      </c>
      <c r="AB1123" s="46">
        <f>'Data_in-situ'!EC393</f>
        <v>3</v>
      </c>
      <c r="AC1123" s="113">
        <f>'Data_in-situ'!EE393</f>
        <v>6.9833384230864909E-2</v>
      </c>
      <c r="AD1123" s="113">
        <f>'Data_in-situ'!EF393</f>
        <v>0.10427097615025936</v>
      </c>
      <c r="AE1123" s="46">
        <f>'Data_in-situ'!EG393</f>
        <v>3</v>
      </c>
      <c r="AF1123" s="113">
        <f>'Data_in-situ'!EN195</f>
        <v>-8.1</v>
      </c>
      <c r="AG1123" s="113">
        <f>'Data_in-situ'!EO195</f>
        <v>1.2</v>
      </c>
      <c r="AH1123" s="110">
        <f>'Data_in-situ'!EP195</f>
        <v>3</v>
      </c>
      <c r="AI1123" s="113">
        <f>'Data_in-situ'!ER195</f>
        <v>-13.1</v>
      </c>
      <c r="AJ1123" s="113">
        <f>'Data_in-situ'!ES195</f>
        <v>0.8</v>
      </c>
      <c r="AK1123" s="110">
        <f>'Data_in-situ'!ET195</f>
        <v>3</v>
      </c>
    </row>
    <row r="1124" spans="14:37" x14ac:dyDescent="0.3">
      <c r="N1124" s="24">
        <f>'Data_in-situ'!DA412</f>
        <v>-1222.9909445995581</v>
      </c>
      <c r="O1124" s="24">
        <f>'Data_in-situ'!DB412</f>
        <v>291.56979829815799</v>
      </c>
      <c r="P1124" s="46">
        <f>'Data_in-situ'!DC412</f>
        <v>3</v>
      </c>
      <c r="Q1124" s="24">
        <f>'Data_in-situ'!DE412</f>
        <v>953.91152591835998</v>
      </c>
      <c r="R1124" s="24">
        <f>'Data_in-situ'!DF412</f>
        <v>1166.1567239388746</v>
      </c>
      <c r="S1124" s="46">
        <f>'Data_in-situ'!DG412</f>
        <v>3</v>
      </c>
      <c r="T1124" s="113">
        <f>'Data_in-situ'!DN201</f>
        <v>54.705882352941174</v>
      </c>
      <c r="U1124" s="113">
        <f>'Data_in-situ'!DO201</f>
        <v>60.990455230513547</v>
      </c>
      <c r="V1124" s="46">
        <f>'Data_in-situ'!DP201</f>
        <v>3</v>
      </c>
      <c r="W1124" s="113">
        <f>'Data_in-situ'!DR201</f>
        <v>0</v>
      </c>
      <c r="X1124" s="113">
        <f>'Data_in-situ'!DS201</f>
        <v>0</v>
      </c>
      <c r="Y1124" s="46">
        <f>'Data_in-situ'!DT201</f>
        <v>3</v>
      </c>
      <c r="AF1124" s="113">
        <f>'Data_in-situ'!EN197</f>
        <v>-8.1</v>
      </c>
      <c r="AG1124" s="113">
        <f>'Data_in-situ'!EO197</f>
        <v>1.2</v>
      </c>
      <c r="AH1124" s="110">
        <f>'Data_in-situ'!EP197</f>
        <v>3</v>
      </c>
      <c r="AI1124" s="113">
        <f>'Data_in-situ'!ER197</f>
        <v>-13.1</v>
      </c>
      <c r="AJ1124" s="113">
        <f>'Data_in-situ'!ES197</f>
        <v>0.8</v>
      </c>
      <c r="AK1124" s="110">
        <f>'Data_in-situ'!ET197</f>
        <v>3</v>
      </c>
    </row>
    <row r="1125" spans="14:37" x14ac:dyDescent="0.3">
      <c r="T1125" s="113">
        <f>'Data_in-situ'!DN202</f>
        <v>57.352941176470587</v>
      </c>
      <c r="U1125" s="113">
        <f>'Data_in-situ'!DO202</f>
        <v>63.941606290054523</v>
      </c>
      <c r="V1125" s="46">
        <f>'Data_in-situ'!DP202</f>
        <v>3</v>
      </c>
      <c r="W1125" s="113">
        <f>'Data_in-situ'!DR202</f>
        <v>0</v>
      </c>
      <c r="X1125" s="113">
        <f>'Data_in-situ'!DS202</f>
        <v>0</v>
      </c>
      <c r="Y1125" s="46">
        <f>'Data_in-situ'!DT202</f>
        <v>3</v>
      </c>
      <c r="AF1125" s="113">
        <f>'Data_in-situ'!EN198</f>
        <v>-20.399999999999999</v>
      </c>
      <c r="AG1125" s="113">
        <f>'Data_in-situ'!EO198</f>
        <v>2.2999999999999998</v>
      </c>
      <c r="AH1125" s="110">
        <f>'Data_in-situ'!EP198</f>
        <v>3</v>
      </c>
      <c r="AI1125" s="113">
        <f>'Data_in-situ'!ER198</f>
        <v>-28.4</v>
      </c>
      <c r="AJ1125" s="113">
        <f>'Data_in-situ'!ES198</f>
        <v>3.2</v>
      </c>
      <c r="AK1125" s="110">
        <f>'Data_in-situ'!ET198</f>
        <v>3</v>
      </c>
    </row>
    <row r="1126" spans="14:37" x14ac:dyDescent="0.3">
      <c r="T1126" s="113">
        <f>'Data_in-situ'!DN217</f>
        <v>42.739726027397303</v>
      </c>
      <c r="U1126" s="113">
        <f>'Data_in-situ'!DO217</f>
        <v>33.554654010728207</v>
      </c>
      <c r="V1126" s="46">
        <f>'Data_in-situ'!DP217</f>
        <v>6</v>
      </c>
      <c r="W1126" s="113">
        <f>'Data_in-situ'!DR217</f>
        <v>15.6164383561644</v>
      </c>
      <c r="X1126" s="113">
        <f>'Data_in-situ'!DS217</f>
        <v>21.474978566866142</v>
      </c>
      <c r="Y1126" s="46">
        <f>'Data_in-situ'!DT217</f>
        <v>6</v>
      </c>
      <c r="AF1126" s="113">
        <f>'Data_in-situ'!EN201</f>
        <v>7.1</v>
      </c>
      <c r="AG1126" s="113">
        <f>'Data_in-situ'!EO201</f>
        <v>1.3435028842544376</v>
      </c>
      <c r="AH1126" s="110">
        <f>'Data_in-situ'!EP201</f>
        <v>3</v>
      </c>
      <c r="AI1126" s="113">
        <f>'Data_in-situ'!ER201</f>
        <v>-26</v>
      </c>
      <c r="AJ1126" s="113">
        <f>'Data_in-situ'!ES201</f>
        <v>5.6568542494923806</v>
      </c>
      <c r="AK1126" s="110">
        <f>'Data_in-situ'!ET201</f>
        <v>3</v>
      </c>
    </row>
    <row r="1127" spans="14:37" x14ac:dyDescent="0.3">
      <c r="T1127" s="113">
        <f>'Data_in-situ'!DN218</f>
        <v>42.739726027397296</v>
      </c>
      <c r="U1127" s="113">
        <f>'Data_in-situ'!DO218</f>
        <v>33.554654010728207</v>
      </c>
      <c r="V1127" s="46">
        <f>'Data_in-situ'!DP218</f>
        <v>6</v>
      </c>
      <c r="W1127" s="113">
        <f>'Data_in-situ'!DR218</f>
        <v>16.164383561643799</v>
      </c>
      <c r="X1127" s="113">
        <f>'Data_in-situ'!DS218</f>
        <v>14.764047764720594</v>
      </c>
      <c r="Y1127" s="46">
        <f>'Data_in-situ'!DT218</f>
        <v>6</v>
      </c>
      <c r="AF1127" s="113">
        <f>'Data_in-situ'!EN202</f>
        <v>14.2</v>
      </c>
      <c r="AG1127" s="113">
        <f>'Data_in-situ'!EO202</f>
        <v>1.9091883092036779</v>
      </c>
      <c r="AH1127" s="110">
        <f>'Data_in-situ'!EP202</f>
        <v>3</v>
      </c>
      <c r="AI1127" s="113">
        <f>'Data_in-situ'!ER202</f>
        <v>-26.3</v>
      </c>
      <c r="AJ1127" s="113">
        <f>'Data_in-situ'!ES202</f>
        <v>4.6669047558312107</v>
      </c>
      <c r="AK1127" s="110">
        <f>'Data_in-situ'!ET202</f>
        <v>3</v>
      </c>
    </row>
    <row r="1128" spans="14:37" x14ac:dyDescent="0.3">
      <c r="T1128" s="113">
        <f>'Data_in-situ'!DN219</f>
        <v>21.18</v>
      </c>
      <c r="U1128" s="113">
        <f>'Data_in-situ'!DO219</f>
        <v>2.2516660498395402</v>
      </c>
      <c r="V1128" s="46">
        <f>'Data_in-situ'!DP219</f>
        <v>3</v>
      </c>
      <c r="W1128" s="113">
        <f>'Data_in-situ'!DR219</f>
        <v>9.06</v>
      </c>
      <c r="X1128" s="113">
        <f>'Data_in-situ'!DS219</f>
        <v>0.95262794416288255</v>
      </c>
      <c r="Y1128" s="46">
        <f>'Data_in-situ'!DT219</f>
        <v>3</v>
      </c>
      <c r="AF1128" s="113">
        <f>'Data_in-situ'!EN217</f>
        <v>-37.626417233560076</v>
      </c>
      <c r="AG1128" s="113">
        <f>'Data_in-situ'!EO217</f>
        <v>4.4214357150460231</v>
      </c>
      <c r="AH1128" s="110">
        <f>'Data_in-situ'!EP217</f>
        <v>6</v>
      </c>
      <c r="AI1128" s="113">
        <f>'Data_in-situ'!ER217</f>
        <v>-45.222713794142358</v>
      </c>
      <c r="AJ1128" s="113">
        <f>'Data_in-situ'!ES217</f>
        <v>4.4131903136073891</v>
      </c>
      <c r="AK1128" s="110">
        <f>'Data_in-situ'!ET217</f>
        <v>6</v>
      </c>
    </row>
    <row r="1129" spans="14:37" x14ac:dyDescent="0.3">
      <c r="T1129" s="113">
        <f>'Data_in-situ'!DN220</f>
        <v>13.53</v>
      </c>
      <c r="U1129" s="113">
        <f>'Data_in-situ'!DO220</f>
        <v>1.593486742963367</v>
      </c>
      <c r="V1129" s="46">
        <f>'Data_in-situ'!DP220</f>
        <v>3</v>
      </c>
      <c r="W1129" s="113">
        <f>'Data_in-situ'!DR220</f>
        <v>3.23</v>
      </c>
      <c r="X1129" s="113">
        <f>'Data_in-situ'!DS220</f>
        <v>0.74478184725461716</v>
      </c>
      <c r="Y1129" s="46">
        <f>'Data_in-situ'!DT220</f>
        <v>3</v>
      </c>
      <c r="AF1129" s="113">
        <f>'Data_in-situ'!EN218</f>
        <v>-37.626417233560076</v>
      </c>
      <c r="AG1129" s="113">
        <f>'Data_in-situ'!EO218</f>
        <v>4.4214357150460231</v>
      </c>
      <c r="AH1129" s="110">
        <f>'Data_in-situ'!EP218</f>
        <v>6</v>
      </c>
      <c r="AI1129" s="113">
        <f>'Data_in-situ'!ER218</f>
        <v>-55.775689347117904</v>
      </c>
      <c r="AJ1129" s="113">
        <f>'Data_in-situ'!ES218</f>
        <v>3.8401258483742482</v>
      </c>
      <c r="AK1129" s="110">
        <f>'Data_in-situ'!ET218</f>
        <v>6</v>
      </c>
    </row>
    <row r="1130" spans="14:37" x14ac:dyDescent="0.3">
      <c r="T1130" s="113">
        <f>'Data_in-situ'!DN270</f>
        <v>9.7529199020319588</v>
      </c>
      <c r="U1130" s="113">
        <f>'Data_in-situ'!DO270</f>
        <v>10.616164230838427</v>
      </c>
      <c r="V1130" s="46">
        <f>'Data_in-situ'!DP270</f>
        <v>20</v>
      </c>
      <c r="W1130" s="113">
        <f>'Data_in-situ'!DR270</f>
        <v>1.5362827803916344E-2</v>
      </c>
      <c r="X1130" s="113">
        <f>'Data_in-situ'!DS270</f>
        <v>0.60544514040223285</v>
      </c>
      <c r="Y1130" s="46">
        <f>'Data_in-situ'!DT270</f>
        <v>20</v>
      </c>
      <c r="AF1130" s="113">
        <f>'Data_in-situ'!EN270</f>
        <v>0</v>
      </c>
      <c r="AG1130" s="113">
        <f>'Data_in-situ'!EO270</f>
        <v>0</v>
      </c>
      <c r="AH1130" s="110">
        <f>'Data_in-situ'!EP270</f>
        <v>20</v>
      </c>
      <c r="AI1130" s="113">
        <f>'Data_in-situ'!ER270</f>
        <v>-15</v>
      </c>
      <c r="AJ1130" s="113">
        <f>'Data_in-situ'!ES270</f>
        <v>3.4022108026379128</v>
      </c>
      <c r="AK1130" s="110">
        <f>'Data_in-situ'!ET270</f>
        <v>20</v>
      </c>
    </row>
    <row r="1131" spans="14:37" x14ac:dyDescent="0.3">
      <c r="T1131" s="113">
        <f>'Data_in-situ'!DN333</f>
        <v>224.95402018476722</v>
      </c>
      <c r="U1131" s="113">
        <f>'Data_in-situ'!DO333</f>
        <v>27.300798963122862</v>
      </c>
      <c r="V1131" s="46">
        <f>'Data_in-situ'!DP333</f>
        <v>3</v>
      </c>
      <c r="W1131" s="113">
        <f>'Data_in-situ'!DR333</f>
        <v>41.219419022620272</v>
      </c>
      <c r="X1131" s="113">
        <f>'Data_in-situ'!DS333</f>
        <v>28.248116299491517</v>
      </c>
      <c r="Y1131" s="46">
        <f>'Data_in-situ'!DT333</f>
        <v>3</v>
      </c>
      <c r="AF1131" s="113">
        <f>'Data_in-situ'!EN333</f>
        <v>-1</v>
      </c>
      <c r="AG1131" s="113">
        <f>'Data_in-situ'!EO333</f>
        <v>0.40749639875129334</v>
      </c>
      <c r="AH1131" s="110">
        <f>'Data_in-situ'!EP333</f>
        <v>3</v>
      </c>
      <c r="AI1131" s="113">
        <f>'Data_in-situ'!ER333</f>
        <v>-20</v>
      </c>
      <c r="AJ1131" s="113">
        <f>'Data_in-situ'!ES333</f>
        <v>4.5362810701838834</v>
      </c>
      <c r="AK1131" s="110">
        <f>'Data_in-situ'!ET333</f>
        <v>3</v>
      </c>
    </row>
    <row r="1132" spans="14:37" x14ac:dyDescent="0.3">
      <c r="T1132" s="113">
        <f>'Data_in-situ'!DN336</f>
        <v>493.10596214853945</v>
      </c>
      <c r="U1132" s="113">
        <f>'Data_in-situ'!DO336</f>
        <v>526.28285184988022</v>
      </c>
      <c r="V1132" s="46">
        <f>'Data_in-situ'!DP336</f>
        <v>3</v>
      </c>
      <c r="W1132" s="113">
        <f>'Data_in-situ'!DR336</f>
        <v>78.722119137960249</v>
      </c>
      <c r="X1132" s="113">
        <f>'Data_in-situ'!DS336</f>
        <v>80.04506331866223</v>
      </c>
      <c r="Y1132" s="46">
        <f>'Data_in-situ'!DT336</f>
        <v>3</v>
      </c>
      <c r="AF1132" s="113">
        <f>'Data_in-situ'!EN336</f>
        <v>-1</v>
      </c>
      <c r="AG1132" s="113">
        <f>'Data_in-situ'!EO336</f>
        <v>0.40749639875129334</v>
      </c>
      <c r="AH1132" s="110">
        <f>'Data_in-situ'!EP336</f>
        <v>3</v>
      </c>
      <c r="AI1132" s="113">
        <f>'Data_in-situ'!ER336</f>
        <v>-20</v>
      </c>
      <c r="AJ1132" s="113">
        <f>'Data_in-situ'!ES336</f>
        <v>4.5362810701838834</v>
      </c>
      <c r="AK1132" s="110">
        <f>'Data_in-situ'!ET336</f>
        <v>3</v>
      </c>
    </row>
    <row r="1133" spans="14:37" x14ac:dyDescent="0.3">
      <c r="T1133" s="113">
        <f>'Data_in-situ'!DN339</f>
        <v>119.51899620842497</v>
      </c>
      <c r="U1133" s="113">
        <f>'Data_in-situ'!DO339</f>
        <v>34.824121299588967</v>
      </c>
      <c r="V1133" s="46">
        <f>'Data_in-situ'!DP339</f>
        <v>3</v>
      </c>
      <c r="W1133" s="113">
        <f>'Data_in-situ'!DR339</f>
        <v>20.119884710538422</v>
      </c>
      <c r="X1133" s="113">
        <f>'Data_in-situ'!DS339</f>
        <v>3.7786326870241678</v>
      </c>
      <c r="Y1133" s="46">
        <f>'Data_in-situ'!DT339</f>
        <v>3</v>
      </c>
      <c r="AF1133" s="113">
        <f>'Data_in-situ'!EN339</f>
        <v>-18.728744939271266</v>
      </c>
      <c r="AG1133" s="113">
        <f>'Data_in-situ'!EO339</f>
        <v>0.97567994313706652</v>
      </c>
      <c r="AH1133" s="110">
        <f>'Data_in-situ'!EP339</f>
        <v>3</v>
      </c>
      <c r="AI1133" s="113">
        <f>'Data_in-situ'!ER339</f>
        <v>-28.769509981851183</v>
      </c>
      <c r="AJ1133" s="113">
        <f>'Data_in-situ'!ES339</f>
        <v>0.91964006572007306</v>
      </c>
      <c r="AK1133" s="110">
        <f>'Data_in-situ'!ET339</f>
        <v>3</v>
      </c>
    </row>
    <row r="1134" spans="14:37" x14ac:dyDescent="0.3">
      <c r="T1134" s="113">
        <f>'Data_in-situ'!DN342</f>
        <v>230.49976509958381</v>
      </c>
      <c r="U1134" s="113">
        <f>'Data_in-situ'!DO342</f>
        <v>197.03120287558829</v>
      </c>
      <c r="V1134" s="46">
        <f>'Data_in-situ'!DP342</f>
        <v>3</v>
      </c>
      <c r="W1134" s="113">
        <f>'Data_in-situ'!DR342</f>
        <v>118.90670603705591</v>
      </c>
      <c r="X1134" s="113">
        <f>'Data_in-situ'!DS342</f>
        <v>159.66597828472533</v>
      </c>
      <c r="Y1134" s="46">
        <f>'Data_in-situ'!DT342</f>
        <v>3</v>
      </c>
      <c r="AF1134" s="113">
        <f>'Data_in-situ'!EN342</f>
        <v>-11.142300194931776</v>
      </c>
      <c r="AG1134" s="113">
        <f>'Data_in-situ'!EO342</f>
        <v>0.60135887201815885</v>
      </c>
      <c r="AH1134" s="110">
        <f>'Data_in-situ'!EP342</f>
        <v>3</v>
      </c>
      <c r="AI1134" s="113">
        <f>'Data_in-situ'!ER342</f>
        <v>-18.027290448343074</v>
      </c>
      <c r="AJ1134" s="113">
        <f>'Data_in-situ'!ES342</f>
        <v>0.60993017965284302</v>
      </c>
      <c r="AK1134" s="110">
        <f>'Data_in-situ'!ET342</f>
        <v>3</v>
      </c>
    </row>
    <row r="1135" spans="14:37" x14ac:dyDescent="0.3">
      <c r="T1135" s="113">
        <f>'Data_in-situ'!DN345</f>
        <v>158.06344550056443</v>
      </c>
      <c r="U1135" s="113">
        <f>'Data_in-situ'!DO345</f>
        <v>156.23763874501105</v>
      </c>
      <c r="V1135" s="46">
        <f>'Data_in-situ'!DP345</f>
        <v>3</v>
      </c>
      <c r="W1135" s="113">
        <f>'Data_in-situ'!DR345</f>
        <v>533.27856040861434</v>
      </c>
      <c r="X1135" s="113">
        <f>'Data_in-situ'!DS345</f>
        <v>463.45283466494965</v>
      </c>
      <c r="Y1135" s="46">
        <f>'Data_in-situ'!DT345</f>
        <v>3</v>
      </c>
      <c r="AF1135" s="113">
        <f>'Data_in-situ'!EN345</f>
        <v>9.6094276094276143</v>
      </c>
      <c r="AG1135" s="113">
        <f>'Data_in-situ'!EO345</f>
        <v>0.82472710313952347</v>
      </c>
      <c r="AH1135" s="110">
        <f>'Data_in-situ'!EP345</f>
        <v>3</v>
      </c>
      <c r="AI1135" s="113">
        <f>'Data_in-situ'!ER345</f>
        <v>0.24242424242424274</v>
      </c>
      <c r="AJ1135" s="113">
        <f>'Data_in-situ'!ES345</f>
        <v>0.32506616373647801</v>
      </c>
      <c r="AK1135" s="110">
        <f>'Data_in-situ'!ET345</f>
        <v>3</v>
      </c>
    </row>
    <row r="1136" spans="14:37" x14ac:dyDescent="0.3">
      <c r="T1136" s="113">
        <f>'Data_in-situ'!DN360</f>
        <v>78.736738703339938</v>
      </c>
      <c r="U1136" s="113">
        <f>'Data_in-situ'!DO360</f>
        <v>27.597052434686233</v>
      </c>
      <c r="V1136" s="46">
        <f>'Data_in-situ'!DP360</f>
        <v>8</v>
      </c>
      <c r="W1136" s="113">
        <f>'Data_in-situ'!DR360</f>
        <v>125.2043222003928</v>
      </c>
      <c r="X1136" s="113">
        <f>'Data_in-situ'!DS360</f>
        <v>186.10419799607629</v>
      </c>
      <c r="Y1136" s="46">
        <f>'Data_in-situ'!DT360</f>
        <v>8</v>
      </c>
      <c r="AF1136" s="113">
        <f>'Data_in-situ'!EN360</f>
        <v>0</v>
      </c>
      <c r="AG1136" s="113">
        <f>'Data_in-situ'!EO360</f>
        <v>0</v>
      </c>
      <c r="AH1136" s="110">
        <f>'Data_in-situ'!EP360</f>
        <v>8</v>
      </c>
      <c r="AI1136" s="113">
        <f>'Data_in-situ'!ER360</f>
        <v>-20</v>
      </c>
      <c r="AJ1136" s="113">
        <f>'Data_in-situ'!ES360</f>
        <v>4.5362810701838834</v>
      </c>
      <c r="AK1136" s="110">
        <f>'Data_in-situ'!ET360</f>
        <v>8</v>
      </c>
    </row>
    <row r="1137" spans="1:37" x14ac:dyDescent="0.3">
      <c r="T1137" s="113">
        <f>'Data_in-situ'!DN400</f>
        <v>507.98367438755889</v>
      </c>
      <c r="U1137" s="113">
        <f>'Data_in-situ'!DO400</f>
        <v>309.25085319324296</v>
      </c>
      <c r="V1137" s="46">
        <f>'Data_in-situ'!DP400</f>
        <v>8</v>
      </c>
      <c r="W1137" s="113">
        <f>'Data_in-situ'!DR400</f>
        <v>12.765061923408211</v>
      </c>
      <c r="X1137" s="113">
        <f>'Data_in-situ'!DS400</f>
        <v>23.812364224373002</v>
      </c>
      <c r="Y1137" s="46">
        <f>'Data_in-situ'!DT400</f>
        <v>4</v>
      </c>
      <c r="AF1137" s="113">
        <f>'Data_in-situ'!EN372</f>
        <v>-40.51870340955886</v>
      </c>
      <c r="AG1137" s="113">
        <f>'Data_in-situ'!EO372</f>
        <v>20.370209301600063</v>
      </c>
      <c r="AH1137" s="110">
        <f>'Data_in-situ'!EP372</f>
        <v>6</v>
      </c>
      <c r="AI1137" s="113">
        <f>'Data_in-situ'!ER372</f>
        <v>-50.351292976661703</v>
      </c>
      <c r="AJ1137" s="113">
        <f>'Data_in-situ'!ES372</f>
        <v>17.957460020005087</v>
      </c>
      <c r="AK1137" s="110">
        <f>'Data_in-situ'!ET372</f>
        <v>6</v>
      </c>
    </row>
    <row r="1138" spans="1:37" x14ac:dyDescent="0.3">
      <c r="T1138" s="113">
        <f>'Data_in-situ'!DN414</f>
        <v>434.70588235294116</v>
      </c>
      <c r="U1138" s="113">
        <f>'Data_in-situ'!DO414</f>
        <v>437.34858971687066</v>
      </c>
      <c r="V1138" s="46">
        <f>'Data_in-situ'!DP414</f>
        <v>5</v>
      </c>
      <c r="W1138" s="113">
        <f>'Data_in-situ'!DR414</f>
        <v>15.294117647058824</v>
      </c>
      <c r="X1138" s="113">
        <f>'Data_in-situ'!DS414</f>
        <v>15.126342200733873</v>
      </c>
      <c r="Y1138" s="46">
        <f>'Data_in-situ'!DT414</f>
        <v>5</v>
      </c>
      <c r="AF1138" s="113">
        <f>'Data_in-situ'!EN373</f>
        <v>-40.51870340955886</v>
      </c>
      <c r="AG1138" s="113">
        <f>'Data_in-situ'!EO373</f>
        <v>20.370209301600063</v>
      </c>
      <c r="AH1138" s="110">
        <f>'Data_in-situ'!EP373</f>
        <v>6</v>
      </c>
      <c r="AI1138" s="113">
        <f>'Data_in-situ'!ER373</f>
        <v>-50.44953735219223</v>
      </c>
      <c r="AJ1138" s="113">
        <f>'Data_in-situ'!ES373</f>
        <v>14.661286194047287</v>
      </c>
      <c r="AK1138" s="110">
        <f>'Data_in-situ'!ET373</f>
        <v>6</v>
      </c>
    </row>
    <row r="1139" spans="1:37" x14ac:dyDescent="0.3">
      <c r="T1139" s="113">
        <f>'Data_in-situ'!DN445</f>
        <v>434.70588235294116</v>
      </c>
      <c r="U1139" s="113">
        <f>'Data_in-situ'!DO445</f>
        <v>437.34858971687066</v>
      </c>
      <c r="V1139" s="46">
        <f>'Data_in-situ'!DP445</f>
        <v>5</v>
      </c>
      <c r="W1139" s="113">
        <f>'Data_in-situ'!DR445</f>
        <v>78.82352941176471</v>
      </c>
      <c r="X1139" s="113">
        <f>'Data_in-situ'!DS445</f>
        <v>78.92004626469847</v>
      </c>
      <c r="Y1139" s="46">
        <f>'Data_in-situ'!DT445</f>
        <v>5</v>
      </c>
      <c r="AF1139" s="113">
        <f>'Data_in-situ'!EN400</f>
        <v>8.6888471563287055</v>
      </c>
      <c r="AG1139" s="113">
        <f>'Data_in-situ'!EO400</f>
        <v>0.9459684366413168</v>
      </c>
      <c r="AH1139" s="110">
        <f>'Data_in-situ'!EP400</f>
        <v>8</v>
      </c>
      <c r="AI1139" s="113">
        <f>'Data_in-situ'!ER400</f>
        <v>-10.544207227786568</v>
      </c>
      <c r="AJ1139" s="113">
        <f>'Data_in-situ'!ES400</f>
        <v>3.1095266572641616</v>
      </c>
      <c r="AK1139" s="110">
        <f>'Data_in-situ'!ET400</f>
        <v>8</v>
      </c>
    </row>
    <row r="1140" spans="1:37" x14ac:dyDescent="0.3">
      <c r="AF1140" s="113">
        <f>'Data_in-situ'!EN412</f>
        <v>-8.1</v>
      </c>
      <c r="AG1140" s="113">
        <f>'Data_in-situ'!EO412</f>
        <v>1.2</v>
      </c>
      <c r="AH1140" s="110">
        <f>'Data_in-situ'!EP412</f>
        <v>3</v>
      </c>
      <c r="AI1140" s="113">
        <f>'Data_in-situ'!ER412</f>
        <v>-13.1</v>
      </c>
      <c r="AJ1140" s="113">
        <f>'Data_in-situ'!ES412</f>
        <v>0.8</v>
      </c>
      <c r="AK1140" s="110">
        <f>'Data_in-situ'!ET412</f>
        <v>3</v>
      </c>
    </row>
    <row r="1141" spans="1:37" x14ac:dyDescent="0.3">
      <c r="AF1141" s="113">
        <f>'Data_in-situ'!EN414</f>
        <v>6</v>
      </c>
      <c r="AG1141" s="113">
        <f>'Data_in-situ'!EO414</f>
        <v>22</v>
      </c>
      <c r="AH1141" s="110">
        <f>'Data_in-situ'!EP414</f>
        <v>5</v>
      </c>
      <c r="AI1141" s="113">
        <f>'Data_in-situ'!ER414</f>
        <v>-14</v>
      </c>
      <c r="AJ1141" s="113">
        <f>'Data_in-situ'!ES414</f>
        <v>23</v>
      </c>
      <c r="AK1141" s="110">
        <f>'Data_in-situ'!ET414</f>
        <v>5</v>
      </c>
    </row>
    <row r="1142" spans="1:37" x14ac:dyDescent="0.3">
      <c r="AF1142" s="113">
        <f>'Data_in-situ'!EN445</f>
        <v>6</v>
      </c>
      <c r="AG1142" s="113">
        <f>'Data_in-situ'!EO445</f>
        <v>22</v>
      </c>
      <c r="AH1142" s="110">
        <f>'Data_in-situ'!EP445</f>
        <v>5</v>
      </c>
      <c r="AI1142" s="113">
        <f>'Data_in-situ'!ER445</f>
        <v>-39</v>
      </c>
      <c r="AJ1142" s="113">
        <f>'Data_in-situ'!ES445</f>
        <v>15</v>
      </c>
      <c r="AK1142" s="110">
        <f>'Data_in-situ'!ET445</f>
        <v>5</v>
      </c>
    </row>
    <row r="1144" spans="1:37" x14ac:dyDescent="0.3">
      <c r="A1144" s="110" t="s">
        <v>831</v>
      </c>
      <c r="B1144" s="24">
        <f>AVERAGEA(B1109:B1142)</f>
        <v>-14703.448975595262</v>
      </c>
      <c r="C1144" s="24">
        <f>STDEVA(B1109:B1142)/SQRT(COUNT(B1109:B1142))</f>
        <v>4267.5204321413366</v>
      </c>
      <c r="D1144" s="46">
        <f>COUNT(B1109:B1142)</f>
        <v>10</v>
      </c>
      <c r="E1144" s="24">
        <f>AVERAGEA(E1109:E1142)</f>
        <v>-11554.600007277835</v>
      </c>
      <c r="F1144" s="24">
        <f>STDEVA(E1109:E1142)/SQRT(COUNT(E1109:E1142))</f>
        <v>3746.9551580669745</v>
      </c>
      <c r="G1144" s="46">
        <f>COUNT(E1109:E1142)</f>
        <v>10</v>
      </c>
      <c r="H1144" s="24">
        <f>AVERAGEA(H1109:H1142)</f>
        <v>13615.485382884266</v>
      </c>
      <c r="I1144" s="24">
        <f>STDEVA(H1109:H1142)/SQRT(COUNT(H1109:H1142))</f>
        <v>3708.7752159345041</v>
      </c>
      <c r="J1144" s="46">
        <f>COUNT(H1109:H1142)</f>
        <v>10</v>
      </c>
      <c r="K1144" s="24">
        <f>AVERAGEA(K1109:K1142)</f>
        <v>12377.220869295512</v>
      </c>
      <c r="L1144" s="24">
        <f>STDEVA(K1109:K1142)/SQRT(COUNT(K1109:K1142))</f>
        <v>2691.3066074523331</v>
      </c>
      <c r="M1144" s="46">
        <f>COUNT(K1109:K1142)</f>
        <v>10</v>
      </c>
      <c r="N1144" s="24">
        <f>AVERAGEA(N1109:N1142)</f>
        <v>-1656.3728780140616</v>
      </c>
      <c r="O1144" s="24">
        <f>STDEVA(N1109:N1142)/SQRT(COUNT(N1109:N1142))</f>
        <v>769.85111714804214</v>
      </c>
      <c r="P1144" s="46">
        <f>COUNT(N1109:N1142)</f>
        <v>16</v>
      </c>
      <c r="Q1144" s="24">
        <f>AVERAGEA(Q1109:Q1142)</f>
        <v>1376.3007742389257</v>
      </c>
      <c r="R1144" s="24">
        <f>STDEVA(Q1109:Q1142)/SQRT(COUNT(Q1109:Q1142))</f>
        <v>1281.8446915135507</v>
      </c>
      <c r="S1144" s="46">
        <f>COUNT(Q1109:Q1142)</f>
        <v>16</v>
      </c>
      <c r="T1144" s="113">
        <f>AVERAGEA(T1109:T1142)</f>
        <v>152.3457570494827</v>
      </c>
      <c r="U1144" s="113">
        <f>STDEVA(T1109:T1142)/SQRT(COUNT(T1109:T1142))</f>
        <v>30.123834080189514</v>
      </c>
      <c r="V1144" s="46">
        <f>COUNT(T1109:T1142)</f>
        <v>31</v>
      </c>
      <c r="W1144" s="113">
        <f>AVERAGEA(W1109:W1142)</f>
        <v>60.572529446286246</v>
      </c>
      <c r="X1144" s="113">
        <f>STDEVA(W1109:W1142)/SQRT(COUNT(W1109:W1142))</f>
        <v>19.713514181757038</v>
      </c>
      <c r="Y1144" s="46">
        <f>COUNT(W1109:W1142)</f>
        <v>31</v>
      </c>
      <c r="Z1144" s="113">
        <f>AVERAGEA(Z1109:Z1142)</f>
        <v>0.75561863284818342</v>
      </c>
      <c r="AA1144" s="113">
        <f>STDEVA(Z1109:Z1142)/SQRT(COUNT(Z1109:Z1142))</f>
        <v>0.18755196853140282</v>
      </c>
      <c r="AB1144" s="46">
        <f>COUNT(Z1109:Z1142)</f>
        <v>15</v>
      </c>
      <c r="AC1144" s="113">
        <f>AVERAGEA(AC1109:AC1142)</f>
        <v>1.5435858404801581</v>
      </c>
      <c r="AD1144" s="113">
        <f>STDEVA(AC1109:AC1142)/SQRT(COUNT(AC1109:AC1142))</f>
        <v>0.45545484107205186</v>
      </c>
      <c r="AE1144" s="46">
        <f>COUNT(AC1109:AC1142)</f>
        <v>15</v>
      </c>
      <c r="AF1144" s="113">
        <f>AVERAGEA(AF1109:AF1142)</f>
        <v>-23.357147401608369</v>
      </c>
      <c r="AG1144" s="113">
        <f>STDEVA(AF1109:AF1142)/SQRT(COUNT(AF1109:AF1142))</f>
        <v>5.5404712022977849</v>
      </c>
      <c r="AH1144" s="110">
        <f>COUNT(AF1109:AF1142)</f>
        <v>34</v>
      </c>
      <c r="AI1144" s="113">
        <f>AVERAGEA(AI1109:AI1142)</f>
        <v>-43.603759320166787</v>
      </c>
      <c r="AJ1144" s="113">
        <f>STDEVA(AI1109:AI1142)/SQRT(COUNT(AI1109:AI1142))</f>
        <v>5.9840955023286284</v>
      </c>
      <c r="AK1144" s="110">
        <f>COUNT(AI1109:AI1142)</f>
        <v>34</v>
      </c>
    </row>
    <row r="1146" spans="1:37" x14ac:dyDescent="0.3">
      <c r="A1146" s="111" t="s">
        <v>970</v>
      </c>
      <c r="B1146" s="24">
        <f>'Data_in-situ'!CA37</f>
        <v>-10940.677674415452</v>
      </c>
      <c r="C1146" s="24">
        <f>'Data_in-situ'!CB37</f>
        <v>3587.5182834567399</v>
      </c>
      <c r="D1146" s="46">
        <f>'Data_in-situ'!CC37</f>
        <v>3</v>
      </c>
      <c r="E1146" s="24">
        <f>'Data_in-situ'!CE37</f>
        <v>-1303.6884226392244</v>
      </c>
      <c r="F1146" s="24">
        <f>'Data_in-situ'!CF37</f>
        <v>1460.696181049753</v>
      </c>
      <c r="G1146" s="46">
        <f>'Data_in-situ'!CG37</f>
        <v>3</v>
      </c>
      <c r="H1146" s="24">
        <f>'Data_in-situ'!CN37</f>
        <v>12156.97609983556</v>
      </c>
      <c r="I1146" s="24">
        <f>'Data_in-situ'!CO37</f>
        <v>3352.7816659818532</v>
      </c>
      <c r="J1146" s="46">
        <f>'Data_in-situ'!CP37</f>
        <v>3</v>
      </c>
      <c r="K1146" s="24">
        <f>'Data_in-situ'!CR37</f>
        <v>7583.1643030158775</v>
      </c>
      <c r="L1146" s="24">
        <f>'Data_in-situ'!CS37</f>
        <v>4282.3014654243434</v>
      </c>
      <c r="M1146" s="46">
        <f>'Data_in-situ'!CT37</f>
        <v>3</v>
      </c>
      <c r="N1146" s="24">
        <f>'Data_in-situ'!DA2</f>
        <v>-2080</v>
      </c>
      <c r="O1146" s="24">
        <f>'Data_in-situ'!DB2</f>
        <v>200</v>
      </c>
      <c r="P1146" s="46">
        <f>'Data_in-situ'!DC2</f>
        <v>4</v>
      </c>
      <c r="Q1146" s="24">
        <f>'Data_in-situ'!DE2</f>
        <v>-720</v>
      </c>
      <c r="R1146" s="24">
        <f>'Data_in-situ'!DF2</f>
        <v>580</v>
      </c>
      <c r="S1146" s="46">
        <f>'Data_in-situ'!DG2</f>
        <v>4</v>
      </c>
      <c r="T1146" s="113">
        <f>'Data_in-situ'!DN2</f>
        <v>155.93</v>
      </c>
      <c r="U1146" s="113">
        <f>'Data_in-situ'!DO2</f>
        <v>91.89</v>
      </c>
      <c r="V1146" s="46">
        <f>'Data_in-situ'!DP2</f>
        <v>3</v>
      </c>
      <c r="W1146" s="113">
        <f>'Data_in-situ'!DR2</f>
        <v>-0.52095000000000002</v>
      </c>
      <c r="X1146" s="113">
        <f>'Data_in-situ'!DS2</f>
        <v>0.42061931719786716</v>
      </c>
      <c r="Y1146" s="46">
        <f>'Data_in-situ'!DT2</f>
        <v>3</v>
      </c>
      <c r="Z1146" s="113">
        <f>'Data_in-situ'!EA8</f>
        <v>9.3216878849518445E-2</v>
      </c>
      <c r="AA1146" s="113">
        <f>'Data_in-situ'!EB8</f>
        <v>0.20553512952136199</v>
      </c>
      <c r="AB1146" s="46">
        <f>'Data_in-situ'!EC8</f>
        <v>3</v>
      </c>
      <c r="AC1146" s="113">
        <f>'Data_in-situ'!EE8</f>
        <v>1.1634570510397673</v>
      </c>
      <c r="AD1146" s="113">
        <f>'Data_in-situ'!EF8</f>
        <v>0.38922612585728023</v>
      </c>
      <c r="AE1146" s="46">
        <f>'Data_in-situ'!EG8</f>
        <v>3</v>
      </c>
      <c r="AF1146" s="113">
        <f>'Data_in-situ'!EN18</f>
        <v>-6.17</v>
      </c>
      <c r="AG1146" s="113">
        <f>'Data_in-situ'!EO18</f>
        <v>1.6</v>
      </c>
      <c r="AH1146" s="110">
        <f>'Data_in-situ'!EP18</f>
        <v>3</v>
      </c>
      <c r="AI1146" s="113">
        <f>'Data_in-situ'!ER18</f>
        <v>-32.340000000000003</v>
      </c>
      <c r="AJ1146" s="113">
        <f>'Data_in-situ'!ES18</f>
        <v>1.06</v>
      </c>
      <c r="AK1146" s="110">
        <f>'Data_in-situ'!ET18</f>
        <v>3</v>
      </c>
    </row>
    <row r="1147" spans="1:37" x14ac:dyDescent="0.3">
      <c r="B1147" s="24">
        <f>'Data_in-situ'!CA39</f>
        <v>-11180.604816398249</v>
      </c>
      <c r="C1147" s="24">
        <f>'Data_in-situ'!CB39</f>
        <v>6822.7682537892761</v>
      </c>
      <c r="D1147" s="46">
        <f>'Data_in-situ'!CC39</f>
        <v>3</v>
      </c>
      <c r="E1147" s="24">
        <f>'Data_in-situ'!CE39</f>
        <v>-2014.7911986242559</v>
      </c>
      <c r="F1147" s="24">
        <f>'Data_in-situ'!CF39</f>
        <v>1143.1535329954588</v>
      </c>
      <c r="G1147" s="46">
        <f>'Data_in-situ'!CG39</f>
        <v>3</v>
      </c>
      <c r="H1147" s="24">
        <f>'Data_in-situ'!CN39</f>
        <v>12213.258396594058</v>
      </c>
      <c r="I1147" s="24">
        <f>'Data_in-situ'!CO39</f>
        <v>5829.3069078214994</v>
      </c>
      <c r="J1147" s="46">
        <f>'Data_in-situ'!CP39</f>
        <v>3</v>
      </c>
      <c r="K1147" s="24">
        <f>'Data_in-situ'!CR39</f>
        <v>13236.068601627712</v>
      </c>
      <c r="L1147" s="24">
        <f>'Data_in-situ'!CS39</f>
        <v>2169.8026552469478</v>
      </c>
      <c r="M1147" s="46">
        <f>'Data_in-situ'!CT39</f>
        <v>3</v>
      </c>
      <c r="N1147" s="24">
        <f>'Data_in-situ'!DA37</f>
        <v>1216.2984254201074</v>
      </c>
      <c r="O1147" s="24">
        <f>'Data_in-situ'!DB37</f>
        <v>2060.9133169618808</v>
      </c>
      <c r="P1147" s="46">
        <f>'Data_in-situ'!DC37</f>
        <v>3</v>
      </c>
      <c r="Q1147" s="24">
        <f>'Data_in-situ'!DE37</f>
        <v>6279.4758803766526</v>
      </c>
      <c r="R1147" s="24">
        <f>'Data_in-situ'!DF37</f>
        <v>947.48073610146616</v>
      </c>
      <c r="S1147" s="46">
        <f>'Data_in-situ'!DG37</f>
        <v>3</v>
      </c>
      <c r="T1147" s="113">
        <f>'Data_in-situ'!DN4</f>
        <v>155.93</v>
      </c>
      <c r="U1147" s="113">
        <f>'Data_in-situ'!DO4</f>
        <v>91.89</v>
      </c>
      <c r="V1147" s="46">
        <f>'Data_in-situ'!DP4</f>
        <v>3</v>
      </c>
      <c r="W1147" s="113">
        <f>'Data_in-situ'!DR4</f>
        <v>-0.61299999999999999</v>
      </c>
      <c r="X1147" s="113">
        <f>'Data_in-situ'!DS4</f>
        <v>0.52600000000000002</v>
      </c>
      <c r="Y1147" s="46">
        <f>'Data_in-situ'!DT4</f>
        <v>3</v>
      </c>
      <c r="Z1147" s="113">
        <f>'Data_in-situ'!EA10</f>
        <v>0.10912682734488738</v>
      </c>
      <c r="AA1147" s="113">
        <f>'Data_in-situ'!EB10</f>
        <v>0.23951135746402341</v>
      </c>
      <c r="AB1147" s="46">
        <f>'Data_in-situ'!EC10</f>
        <v>3</v>
      </c>
      <c r="AC1147" s="113">
        <f>'Data_in-situ'!EE10</f>
        <v>1.8711108749125607</v>
      </c>
      <c r="AD1147" s="113">
        <f>'Data_in-situ'!EF10</f>
        <v>1.1438689414400234</v>
      </c>
      <c r="AE1147" s="46">
        <f>'Data_in-situ'!EG10</f>
        <v>3</v>
      </c>
      <c r="AF1147" s="113">
        <f>'Data_in-situ'!EN20</f>
        <v>-20.329999999999998</v>
      </c>
      <c r="AG1147" s="113">
        <f>'Data_in-situ'!EO20</f>
        <v>2.57</v>
      </c>
      <c r="AH1147" s="110">
        <f>'Data_in-situ'!EP20</f>
        <v>3</v>
      </c>
      <c r="AI1147" s="113">
        <f>'Data_in-situ'!ER20</f>
        <v>-32.340000000000003</v>
      </c>
      <c r="AJ1147" s="113">
        <f>'Data_in-situ'!ES20</f>
        <v>1.06</v>
      </c>
      <c r="AK1147" s="110">
        <f>'Data_in-situ'!ET20</f>
        <v>3</v>
      </c>
    </row>
    <row r="1148" spans="1:37" x14ac:dyDescent="0.3">
      <c r="B1148" s="24">
        <f>'Data_in-situ'!CA43</f>
        <v>-7369.2686191596349</v>
      </c>
      <c r="C1148" s="24">
        <f>'Data_in-situ'!CB43</f>
        <v>746.95892899118678</v>
      </c>
      <c r="D1148" s="46">
        <f>'Data_in-situ'!CC43</f>
        <v>3</v>
      </c>
      <c r="E1148" s="24">
        <f>'Data_in-situ'!CE43</f>
        <v>-3516.0081701482113</v>
      </c>
      <c r="F1148" s="24">
        <f>'Data_in-situ'!CF43</f>
        <v>4890.1567800361299</v>
      </c>
      <c r="G1148" s="46">
        <f>'Data_in-situ'!CG43</f>
        <v>3</v>
      </c>
      <c r="H1148" s="24">
        <f>'Data_in-situ'!CN43</f>
        <v>11939.302764655935</v>
      </c>
      <c r="I1148" s="24">
        <f>'Data_in-situ'!CO43</f>
        <v>4483.7070147716358</v>
      </c>
      <c r="J1148" s="46">
        <f>'Data_in-situ'!CP43</f>
        <v>3</v>
      </c>
      <c r="K1148" s="24">
        <f>'Data_in-situ'!CR43</f>
        <v>16131.458608233776</v>
      </c>
      <c r="L1148" s="24">
        <f>'Data_in-situ'!CS43</f>
        <v>7799.7123045882036</v>
      </c>
      <c r="M1148" s="46">
        <f>'Data_in-situ'!CT43</f>
        <v>3</v>
      </c>
      <c r="N1148" s="24">
        <f>'Data_in-situ'!DA39</f>
        <v>1032.6535801958089</v>
      </c>
      <c r="O1148" s="24">
        <f>'Data_in-situ'!DB39</f>
        <v>1588.5865996086475</v>
      </c>
      <c r="P1148" s="46">
        <f>'Data_in-situ'!DC39</f>
        <v>3</v>
      </c>
      <c r="Q1148" s="24">
        <f>'Data_in-situ'!DE39</f>
        <v>11221.277403003456</v>
      </c>
      <c r="R1148" s="24">
        <f>'Data_in-situ'!DF39</f>
        <v>1545.6282146126041</v>
      </c>
      <c r="S1148" s="46">
        <f>'Data_in-situ'!DG39</f>
        <v>3</v>
      </c>
      <c r="T1148" s="113">
        <f>'Data_in-situ'!DN5</f>
        <v>155.93</v>
      </c>
      <c r="U1148" s="113">
        <f>'Data_in-situ'!DO5</f>
        <v>91.89</v>
      </c>
      <c r="V1148" s="46">
        <f>'Data_in-situ'!DP5</f>
        <v>3</v>
      </c>
      <c r="W1148" s="113">
        <f>'Data_in-situ'!DR5</f>
        <v>-0.35</v>
      </c>
      <c r="X1148" s="113">
        <f>'Data_in-situ'!DS5</f>
        <v>0.70099999999999996</v>
      </c>
      <c r="Y1148" s="46">
        <f>'Data_in-situ'!DT5</f>
        <v>3</v>
      </c>
      <c r="Z1148" s="113">
        <f>'Data_in-situ'!EA11</f>
        <v>0.10912682734488738</v>
      </c>
      <c r="AA1148" s="113">
        <f>'Data_in-situ'!EB11</f>
        <v>0.23951135746402341</v>
      </c>
      <c r="AB1148" s="46">
        <f>'Data_in-situ'!EC11</f>
        <v>3</v>
      </c>
      <c r="AC1148" s="113">
        <f>'Data_in-situ'!EE11</f>
        <v>0.2673015535589372</v>
      </c>
      <c r="AD1148" s="113">
        <f>'Data_in-situ'!EF11</f>
        <v>0.16021073937933927</v>
      </c>
      <c r="AE1148" s="46">
        <f>'Data_in-situ'!EG11</f>
        <v>3</v>
      </c>
      <c r="AF1148" s="113">
        <f>'Data_in-situ'!EN22</f>
        <v>-6.17</v>
      </c>
      <c r="AG1148" s="113">
        <f>'Data_in-situ'!EO22</f>
        <v>1.6</v>
      </c>
      <c r="AH1148" s="110">
        <f>'Data_in-situ'!EP22</f>
        <v>3</v>
      </c>
      <c r="AI1148" s="113">
        <f>'Data_in-situ'!ER22</f>
        <v>-40</v>
      </c>
      <c r="AJ1148" s="113">
        <f>'Data_in-situ'!ES22</f>
        <v>0</v>
      </c>
      <c r="AK1148" s="110">
        <f>'Data_in-situ'!ET22</f>
        <v>3</v>
      </c>
    </row>
    <row r="1149" spans="1:37" x14ac:dyDescent="0.3">
      <c r="B1149" s="24">
        <f>'Data_in-situ'!CA45</f>
        <v>-7939.2672968846891</v>
      </c>
      <c r="C1149" s="24">
        <f>'Data_in-situ'!CB45</f>
        <v>2111.9731212798092</v>
      </c>
      <c r="D1149" s="46">
        <f>'Data_in-situ'!CC45</f>
        <v>3</v>
      </c>
      <c r="E1149" s="24">
        <f>'Data_in-situ'!CE45</f>
        <v>-3674.0310092559957</v>
      </c>
      <c r="F1149" s="24">
        <f>'Data_in-situ'!CF45</f>
        <v>3492.9691285972353</v>
      </c>
      <c r="G1149" s="46">
        <f>'Data_in-situ'!CG45</f>
        <v>3</v>
      </c>
      <c r="H1149" s="24">
        <f>'Data_in-situ'!CN45</f>
        <v>12286.087492260051</v>
      </c>
      <c r="I1149" s="24">
        <f>'Data_in-situ'!CO45</f>
        <v>4228.1100433523952</v>
      </c>
      <c r="J1149" s="46">
        <f>'Data_in-situ'!CP45</f>
        <v>3</v>
      </c>
      <c r="K1149" s="24">
        <f>'Data_in-situ'!CR45</f>
        <v>22335.865765246766</v>
      </c>
      <c r="L1149" s="24">
        <f>'Data_in-situ'!CS45</f>
        <v>5098.0031695624621</v>
      </c>
      <c r="M1149" s="46">
        <f>'Data_in-situ'!CT45</f>
        <v>3</v>
      </c>
      <c r="N1149" s="24">
        <f>'Data_in-situ'!DA43</f>
        <v>4570.0341454963</v>
      </c>
      <c r="O1149" s="24">
        <f>'Data_in-situ'!DB43</f>
        <v>2072.5073882436504</v>
      </c>
      <c r="P1149" s="46">
        <f>'Data_in-situ'!DC43</f>
        <v>3</v>
      </c>
      <c r="Q1149" s="24">
        <f>'Data_in-situ'!DE43</f>
        <v>12615.450438085565</v>
      </c>
      <c r="R1149" s="24">
        <f>'Data_in-situ'!DF43</f>
        <v>3401.8688612922183</v>
      </c>
      <c r="S1149" s="46">
        <f>'Data_in-situ'!DG43</f>
        <v>3</v>
      </c>
      <c r="T1149" s="113">
        <f>'Data_in-situ'!DN8</f>
        <v>77.679769199310513</v>
      </c>
      <c r="U1149" s="113">
        <f>'Data_in-situ'!DO8</f>
        <v>41.109363664076781</v>
      </c>
      <c r="V1149" s="46">
        <f>'Data_in-situ'!DP8</f>
        <v>3</v>
      </c>
      <c r="W1149" s="113">
        <f>'Data_in-situ'!DR8</f>
        <v>1.3178677201023323</v>
      </c>
      <c r="X1149" s="113">
        <f>'Data_in-situ'!DS8</f>
        <v>0.99682589896901586</v>
      </c>
      <c r="Y1149" s="46">
        <f>'Data_in-situ'!DT8</f>
        <v>3</v>
      </c>
      <c r="Z1149" s="113">
        <f>'Data_in-situ'!EA112</f>
        <v>1.8193831442341308</v>
      </c>
      <c r="AA1149" s="113">
        <f>'Data_in-situ'!EB112</f>
        <v>10.461411201308758</v>
      </c>
      <c r="AB1149" s="46">
        <f>'Data_in-situ'!EC112</f>
        <v>3</v>
      </c>
      <c r="AC1149" s="113">
        <f>'Data_in-situ'!EE112</f>
        <v>1.4382096725045124</v>
      </c>
      <c r="AD1149" s="113">
        <f>'Data_in-situ'!EF112</f>
        <v>2.1474475011123628</v>
      </c>
      <c r="AE1149" s="46">
        <f>'Data_in-situ'!EG112</f>
        <v>3</v>
      </c>
      <c r="AF1149" s="113">
        <f>'Data_in-situ'!EN23</f>
        <v>-6.17</v>
      </c>
      <c r="AG1149" s="113">
        <f>'Data_in-situ'!EO23</f>
        <v>1.6</v>
      </c>
      <c r="AH1149" s="110">
        <f>'Data_in-situ'!EP23</f>
        <v>3</v>
      </c>
      <c r="AI1149" s="113">
        <f>'Data_in-situ'!ER23</f>
        <v>-14.475524475524482</v>
      </c>
      <c r="AJ1149" s="113">
        <f>'Data_in-situ'!ES23</f>
        <v>3.4828674393339902</v>
      </c>
      <c r="AK1149" s="110">
        <f>'Data_in-situ'!ET23</f>
        <v>3</v>
      </c>
    </row>
    <row r="1150" spans="1:37" x14ac:dyDescent="0.3">
      <c r="B1150" s="24">
        <f>'Data_in-situ'!CA49</f>
        <v>-9369.2576901028933</v>
      </c>
      <c r="C1150" s="24">
        <f>'Data_in-situ'!CB49</f>
        <v>2035.7162873934246</v>
      </c>
      <c r="D1150" s="46">
        <f>'Data_in-situ'!CC49</f>
        <v>3</v>
      </c>
      <c r="E1150" s="24">
        <f>'Data_in-situ'!CE49</f>
        <v>-2299.2323090182686</v>
      </c>
      <c r="F1150" s="24">
        <f>'Data_in-situ'!CF49</f>
        <v>2342.6341654926264</v>
      </c>
      <c r="G1150" s="46">
        <f>'Data_in-situ'!CG49</f>
        <v>3</v>
      </c>
      <c r="H1150" s="24">
        <f>'Data_in-situ'!CN49</f>
        <v>12061.199832356524</v>
      </c>
      <c r="I1150" s="24">
        <f>'Data_in-situ'!CO49</f>
        <v>2723.4693933324475</v>
      </c>
      <c r="J1150" s="46">
        <f>'Data_in-situ'!CP49</f>
        <v>3</v>
      </c>
      <c r="K1150" s="24">
        <f>'Data_in-situ'!CR49</f>
        <v>11429.896740363933</v>
      </c>
      <c r="L1150" s="24">
        <f>'Data_in-situ'!CS49</f>
        <v>4226.8745195225956</v>
      </c>
      <c r="M1150" s="46">
        <f>'Data_in-situ'!CT49</f>
        <v>3</v>
      </c>
      <c r="N1150" s="24">
        <f>'Data_in-situ'!DA45</f>
        <v>4346.8201953753614</v>
      </c>
      <c r="O1150" s="24">
        <f>'Data_in-situ'!DB45</f>
        <v>1600.2428388061255</v>
      </c>
      <c r="P1150" s="46">
        <f>'Data_in-situ'!DC45</f>
        <v>3</v>
      </c>
      <c r="Q1150" s="24">
        <f>'Data_in-situ'!DE45</f>
        <v>18661.834755990771</v>
      </c>
      <c r="R1150" s="24">
        <f>'Data_in-situ'!DF45</f>
        <v>3804.3746385120953</v>
      </c>
      <c r="S1150" s="46">
        <f>'Data_in-situ'!DG45</f>
        <v>3</v>
      </c>
      <c r="T1150" s="113">
        <f>'Data_in-situ'!DN10</f>
        <v>80.930473720608589</v>
      </c>
      <c r="U1150" s="113">
        <f>'Data_in-situ'!DO10</f>
        <v>80.92749494901247</v>
      </c>
      <c r="V1150" s="46">
        <f>'Data_in-situ'!DP10</f>
        <v>3</v>
      </c>
      <c r="W1150" s="113">
        <f>'Data_in-situ'!DR10</f>
        <v>-0.14922022827514225</v>
      </c>
      <c r="X1150" s="113">
        <f>'Data_in-situ'!DS10</f>
        <v>1.9242287674114169</v>
      </c>
      <c r="Y1150" s="46">
        <f>'Data_in-situ'!DT10</f>
        <v>3</v>
      </c>
      <c r="Z1150" s="113">
        <f>'Data_in-situ'!EA113</f>
        <v>1.1072245992053424</v>
      </c>
      <c r="AA1150" s="113">
        <f>'Data_in-situ'!EB113</f>
        <v>6.3665159596536158</v>
      </c>
      <c r="AB1150" s="46">
        <f>'Data_in-situ'!EC113</f>
        <v>3</v>
      </c>
      <c r="AC1150" s="113">
        <f>'Data_in-situ'!EE113</f>
        <v>6.6685966855719432</v>
      </c>
      <c r="AD1150" s="113">
        <f>'Data_in-situ'!EF113</f>
        <v>9.9571443316883439</v>
      </c>
      <c r="AE1150" s="46">
        <f>'Data_in-situ'!EG113</f>
        <v>3</v>
      </c>
      <c r="AF1150" s="113">
        <f>'Data_in-situ'!EN26</f>
        <v>-20.329999999999998</v>
      </c>
      <c r="AG1150" s="113">
        <f>'Data_in-situ'!EO26</f>
        <v>2.57</v>
      </c>
      <c r="AH1150" s="110">
        <f>'Data_in-situ'!EP26</f>
        <v>3</v>
      </c>
      <c r="AI1150" s="113">
        <f>'Data_in-situ'!ER26</f>
        <v>-40</v>
      </c>
      <c r="AJ1150" s="113">
        <f>'Data_in-situ'!ES26</f>
        <v>0</v>
      </c>
      <c r="AK1150" s="110">
        <f>'Data_in-situ'!ET26</f>
        <v>3</v>
      </c>
    </row>
    <row r="1151" spans="1:37" x14ac:dyDescent="0.3">
      <c r="B1151" s="24">
        <f>'Data_in-situ'!CA51</f>
        <v>-9754.4163078122838</v>
      </c>
      <c r="C1151" s="24">
        <f>'Data_in-situ'!CB51</f>
        <v>3932.1332121217479</v>
      </c>
      <c r="D1151" s="46">
        <f>'Data_in-situ'!CC51</f>
        <v>3</v>
      </c>
      <c r="E1151" s="24">
        <f>'Data_in-situ'!CE51</f>
        <v>-2761.4491134085392</v>
      </c>
      <c r="F1151" s="24">
        <f>'Data_in-situ'!CF51</f>
        <v>1692.9192981356198</v>
      </c>
      <c r="G1151" s="46">
        <f>'Data_in-situ'!CG51</f>
        <v>3</v>
      </c>
      <c r="H1151" s="24">
        <f>'Data_in-situ'!CN51</f>
        <v>12245.303198687096</v>
      </c>
      <c r="I1151" s="24">
        <f>'Data_in-situ'!CO51</f>
        <v>3757.3069479498581</v>
      </c>
      <c r="J1151" s="46">
        <f>'Data_in-situ'!CP51</f>
        <v>3</v>
      </c>
      <c r="K1151" s="24">
        <f>'Data_in-situ'!CR51</f>
        <v>17330.977325256288</v>
      </c>
      <c r="L1151" s="24">
        <f>'Data_in-situ'!CS51</f>
        <v>2585.939777312642</v>
      </c>
      <c r="M1151" s="46">
        <f>'Data_in-situ'!CT51</f>
        <v>3</v>
      </c>
      <c r="N1151" s="24">
        <f>'Data_in-situ'!DA49</f>
        <v>2691.9421422536325</v>
      </c>
      <c r="O1151" s="24">
        <f>'Data_in-situ'!DB49</f>
        <v>1470.8979553996573</v>
      </c>
      <c r="P1151" s="46">
        <f>'Data_in-situ'!DC49</f>
        <v>3</v>
      </c>
      <c r="Q1151" s="24">
        <f>'Data_in-situ'!DE49</f>
        <v>9130.6644313456636</v>
      </c>
      <c r="R1151" s="24">
        <f>'Data_in-situ'!DF49</f>
        <v>1617.1067844170707</v>
      </c>
      <c r="S1151" s="46">
        <f>'Data_in-situ'!DG49</f>
        <v>3</v>
      </c>
      <c r="T1151" s="113">
        <f>'Data_in-situ'!DN11</f>
        <v>80.930473720608589</v>
      </c>
      <c r="U1151" s="113">
        <f>'Data_in-situ'!DO11</f>
        <v>80.92749494901247</v>
      </c>
      <c r="V1151" s="46">
        <f>'Data_in-situ'!DP11</f>
        <v>3</v>
      </c>
      <c r="W1151" s="113">
        <f>'Data_in-situ'!DR11</f>
        <v>2.5012626262626263</v>
      </c>
      <c r="X1151" s="113">
        <f>'Data_in-situ'!DS11</f>
        <v>2.3831947437160079</v>
      </c>
      <c r="Y1151" s="46">
        <f>'Data_in-situ'!DT11</f>
        <v>3</v>
      </c>
      <c r="Z1151" s="113">
        <f>'Data_in-situ'!EA114</f>
        <v>0.53231951884872231</v>
      </c>
      <c r="AA1151" s="113">
        <f>'Data_in-situ'!EB114</f>
        <v>3.0608249806026997</v>
      </c>
      <c r="AB1151" s="46">
        <f>'Data_in-situ'!EC114</f>
        <v>3</v>
      </c>
      <c r="AC1151" s="113">
        <f>'Data_in-situ'!EE114</f>
        <v>2.1039743148589367</v>
      </c>
      <c r="AD1151" s="113">
        <f>'Data_in-situ'!EF114</f>
        <v>3.141526907533883</v>
      </c>
      <c r="AE1151" s="46">
        <f>'Data_in-situ'!EG114</f>
        <v>3</v>
      </c>
      <c r="AF1151" s="113">
        <f>'Data_in-situ'!EN27</f>
        <v>-20.329999999999998</v>
      </c>
      <c r="AG1151" s="113">
        <f>'Data_in-situ'!EO27</f>
        <v>2.57</v>
      </c>
      <c r="AH1151" s="110">
        <f>'Data_in-situ'!EP27</f>
        <v>3</v>
      </c>
      <c r="AI1151" s="113">
        <f>'Data_in-situ'!ER27</f>
        <v>-14.475524475524482</v>
      </c>
      <c r="AJ1151" s="113">
        <f>'Data_in-situ'!ES27</f>
        <v>3.4828674393339902</v>
      </c>
      <c r="AK1151" s="110">
        <f>'Data_in-situ'!ET27</f>
        <v>3</v>
      </c>
    </row>
    <row r="1152" spans="1:37" x14ac:dyDescent="0.3">
      <c r="B1152" s="24">
        <f>'Data_in-situ'!CA222</f>
        <v>-17643.02413085182</v>
      </c>
      <c r="C1152" s="24">
        <f>'Data_in-situ'!CB222</f>
        <v>3122.5184951907863</v>
      </c>
      <c r="D1152" s="46">
        <f>'Data_in-situ'!CC222</f>
        <v>3</v>
      </c>
      <c r="E1152" s="24">
        <f>'Data_in-situ'!CE222</f>
        <v>-18545.337897111574</v>
      </c>
      <c r="F1152" s="24">
        <f>'Data_in-situ'!CF222</f>
        <v>1220.592996774214</v>
      </c>
      <c r="G1152" s="46">
        <f>'Data_in-situ'!CG222</f>
        <v>3</v>
      </c>
      <c r="H1152" s="24">
        <f>'Data_in-situ'!CN222</f>
        <v>12120.970993298208</v>
      </c>
      <c r="I1152" s="24">
        <f>'Data_in-situ'!CO222</f>
        <v>2737.6911459160037</v>
      </c>
      <c r="J1152" s="46">
        <f>'Data_in-situ'!CP222</f>
        <v>3</v>
      </c>
      <c r="K1152" s="24">
        <f>'Data_in-situ'!CR222</f>
        <v>14804.615301473419</v>
      </c>
      <c r="L1152" s="24">
        <f>'Data_in-situ'!CS222</f>
        <v>2182.1730906862158</v>
      </c>
      <c r="M1152" s="46">
        <f>'Data_in-situ'!CT222</f>
        <v>3</v>
      </c>
      <c r="N1152" s="24">
        <f>'Data_in-situ'!DA51</f>
        <v>2490.8868908748118</v>
      </c>
      <c r="O1152" s="24">
        <f>'Data_in-situ'!DB51</f>
        <v>1134.5350284056235</v>
      </c>
      <c r="P1152" s="46">
        <f>'Data_in-situ'!DC51</f>
        <v>3</v>
      </c>
      <c r="Q1152" s="24">
        <f>'Data_in-situ'!DE51</f>
        <v>14569.528211847748</v>
      </c>
      <c r="R1152" s="24">
        <f>'Data_in-situ'!DF51</f>
        <v>1911.412784772738</v>
      </c>
      <c r="S1152" s="46">
        <f>'Data_in-situ'!DG51</f>
        <v>3</v>
      </c>
      <c r="T1152" s="113">
        <f>'Data_in-situ'!DN18</f>
        <v>76.598647152414557</v>
      </c>
      <c r="U1152" s="113">
        <f>'Data_in-situ'!DO18</f>
        <v>97.385019539931207</v>
      </c>
      <c r="V1152" s="46">
        <f>'Data_in-situ'!DP18</f>
        <v>3</v>
      </c>
      <c r="W1152" s="113">
        <f>'Data_in-situ'!DR18</f>
        <v>1.2881413805511519</v>
      </c>
      <c r="X1152" s="113">
        <f>'Data_in-situ'!DS18</f>
        <v>5.0439358355151063</v>
      </c>
      <c r="Y1152" s="46">
        <f>'Data_in-situ'!DT18</f>
        <v>3</v>
      </c>
      <c r="Z1152" s="113">
        <f>'Data_in-situ'!EA115</f>
        <v>0.58480172493239913</v>
      </c>
      <c r="AA1152" s="113">
        <f>'Data_in-situ'!EB115</f>
        <v>3.3625964575635288</v>
      </c>
      <c r="AB1152" s="46">
        <f>'Data_in-situ'!EC115</f>
        <v>3</v>
      </c>
      <c r="AC1152" s="113">
        <f>'Data_in-situ'!EE115</f>
        <v>2.8250547138481497</v>
      </c>
      <c r="AD1152" s="113">
        <f>'Data_in-situ'!EF115</f>
        <v>4.2182004486135707</v>
      </c>
      <c r="AE1152" s="46">
        <f>'Data_in-situ'!EG115</f>
        <v>3</v>
      </c>
      <c r="AF1152" s="113">
        <f>'Data_in-situ'!EN37</f>
        <v>-47</v>
      </c>
      <c r="AG1152" s="113">
        <f>'Data_in-situ'!EO37</f>
        <v>6.8</v>
      </c>
      <c r="AH1152" s="110">
        <f>'Data_in-situ'!EP37</f>
        <v>3</v>
      </c>
      <c r="AI1152" s="113">
        <f>'Data_in-situ'!ER37</f>
        <v>-82</v>
      </c>
      <c r="AJ1152" s="113">
        <f>'Data_in-situ'!ES37</f>
        <v>12.3</v>
      </c>
      <c r="AK1152" s="110">
        <f>'Data_in-situ'!ET37</f>
        <v>3</v>
      </c>
    </row>
    <row r="1153" spans="2:37" x14ac:dyDescent="0.3">
      <c r="B1153" s="24">
        <f>'Data_in-situ'!CA223</f>
        <v>-16723.603637465083</v>
      </c>
      <c r="C1153" s="24">
        <f>'Data_in-situ'!CB223</f>
        <v>2362.7967430320127</v>
      </c>
      <c r="D1153" s="46">
        <f>'Data_in-situ'!CC223</f>
        <v>3</v>
      </c>
      <c r="E1153" s="24">
        <f>'Data_in-situ'!CE223</f>
        <v>-16792.689257373804</v>
      </c>
      <c r="F1153" s="24">
        <f>'Data_in-situ'!CF223</f>
        <v>2297.5736170821519</v>
      </c>
      <c r="G1153" s="46">
        <f>'Data_in-situ'!CG223</f>
        <v>3</v>
      </c>
      <c r="H1153" s="24">
        <f>'Data_in-situ'!CN223</f>
        <v>10565.625157874983</v>
      </c>
      <c r="I1153" s="24">
        <f>'Data_in-situ'!CO223</f>
        <v>3177.8813752357983</v>
      </c>
      <c r="J1153" s="46">
        <f>'Data_in-situ'!CP223</f>
        <v>3</v>
      </c>
      <c r="K1153" s="24">
        <f>'Data_in-situ'!CR223</f>
        <v>13251.044559960765</v>
      </c>
      <c r="L1153" s="24">
        <f>'Data_in-situ'!CS223</f>
        <v>2768.2995631046829</v>
      </c>
      <c r="M1153" s="46">
        <f>'Data_in-situ'!CT223</f>
        <v>3</v>
      </c>
      <c r="N1153" s="24">
        <f>'Data_in-situ'!DA222</f>
        <v>-5522.053137553612</v>
      </c>
      <c r="O1153" s="24">
        <f>'Data_in-situ'!DB222</f>
        <v>3799.0509125782523</v>
      </c>
      <c r="P1153" s="46">
        <f>'Data_in-situ'!DC222</f>
        <v>3</v>
      </c>
      <c r="Q1153" s="24">
        <f>'Data_in-situ'!DE222</f>
        <v>-3740.7225956381553</v>
      </c>
      <c r="R1153" s="24">
        <f>'Data_in-situ'!DF222</f>
        <v>3396.3473178087561</v>
      </c>
      <c r="S1153" s="46">
        <f>'Data_in-situ'!DG222</f>
        <v>3</v>
      </c>
      <c r="T1153" s="113">
        <f>'Data_in-situ'!DN20</f>
        <v>3.3104450261339187</v>
      </c>
      <c r="U1153" s="113">
        <f>'Data_in-situ'!DO20</f>
        <v>3.2225601192052182</v>
      </c>
      <c r="V1153" s="46">
        <f>'Data_in-situ'!DP20</f>
        <v>3</v>
      </c>
      <c r="W1153" s="113">
        <f>'Data_in-situ'!DR20</f>
        <v>0.97256818109938847</v>
      </c>
      <c r="X1153" s="113">
        <f>'Data_in-situ'!DS20</f>
        <v>5.0056318929545522</v>
      </c>
      <c r="Y1153" s="46">
        <f>'Data_in-situ'!DT20</f>
        <v>3</v>
      </c>
      <c r="Z1153" s="113">
        <f>'Data_in-situ'!EA116</f>
        <v>7.2261696923095198E-2</v>
      </c>
      <c r="AA1153" s="113">
        <f>'Data_in-situ'!EB116</f>
        <v>0.41550309400885854</v>
      </c>
      <c r="AB1153" s="46">
        <f>'Data_in-situ'!EC116</f>
        <v>3</v>
      </c>
      <c r="AC1153" s="113">
        <f>'Data_in-situ'!EE116</f>
        <v>1.5614749500456337</v>
      </c>
      <c r="AD1153" s="113">
        <f>'Data_in-situ'!EF116</f>
        <v>2.3314997414012506</v>
      </c>
      <c r="AE1153" s="46">
        <f>'Data_in-situ'!EG116</f>
        <v>3</v>
      </c>
      <c r="AF1153" s="113">
        <f>'Data_in-situ'!EN39</f>
        <v>-56</v>
      </c>
      <c r="AG1153" s="113">
        <f>'Data_in-situ'!EO39</f>
        <v>10.1</v>
      </c>
      <c r="AH1153" s="110">
        <f>'Data_in-situ'!EP39</f>
        <v>3</v>
      </c>
      <c r="AI1153" s="113">
        <f>'Data_in-situ'!ER39</f>
        <v>-91</v>
      </c>
      <c r="AJ1153" s="113">
        <f>'Data_in-situ'!ES39</f>
        <v>11.3</v>
      </c>
      <c r="AK1153" s="110">
        <f>'Data_in-situ'!ET39</f>
        <v>3</v>
      </c>
    </row>
    <row r="1154" spans="2:37" x14ac:dyDescent="0.3">
      <c r="B1154" s="24">
        <f>'Data_in-situ'!CA224</f>
        <v>-13221.293435196718</v>
      </c>
      <c r="C1154" s="24">
        <f>'Data_in-situ'!CB224</f>
        <v>5835.686028701105</v>
      </c>
      <c r="D1154" s="46">
        <f>'Data_in-situ'!CC224</f>
        <v>3</v>
      </c>
      <c r="E1154" s="24">
        <f>'Data_in-situ'!CE224</f>
        <v>-13858.019355218201</v>
      </c>
      <c r="F1154" s="24">
        <f>'Data_in-situ'!CF224</f>
        <v>8055.4344954724056</v>
      </c>
      <c r="G1154" s="46">
        <f>'Data_in-situ'!CG224</f>
        <v>3</v>
      </c>
      <c r="H1154" s="24">
        <f>'Data_in-situ'!CN224</f>
        <v>9278.44239752473</v>
      </c>
      <c r="I1154" s="24">
        <f>'Data_in-situ'!CO224</f>
        <v>3665.2968271222612</v>
      </c>
      <c r="J1154" s="46">
        <f>'Data_in-situ'!CP224</f>
        <v>3</v>
      </c>
      <c r="K1154" s="24">
        <f>'Data_in-situ'!CR224</f>
        <v>8910.18513514601</v>
      </c>
      <c r="L1154" s="24">
        <f>'Data_in-situ'!CS224</f>
        <v>4926.3065430817614</v>
      </c>
      <c r="M1154" s="46">
        <f>'Data_in-situ'!CT224</f>
        <v>3</v>
      </c>
      <c r="N1154" s="24">
        <f>'Data_in-situ'!DA223</f>
        <v>-6157.9784795900996</v>
      </c>
      <c r="O1154" s="24">
        <f>'Data_in-situ'!DB223</f>
        <v>2847.6279977138138</v>
      </c>
      <c r="P1154" s="46">
        <f>'Data_in-situ'!DC223</f>
        <v>3</v>
      </c>
      <c r="Q1154" s="24">
        <f>'Data_in-situ'!DE223</f>
        <v>-3541.6446974130395</v>
      </c>
      <c r="R1154" s="24">
        <f>'Data_in-situ'!DF223</f>
        <v>2451.0546798159935</v>
      </c>
      <c r="S1154" s="46">
        <f>'Data_in-situ'!DG223</f>
        <v>3</v>
      </c>
      <c r="T1154" s="113">
        <f>'Data_in-situ'!DN22</f>
        <v>69.189192430383997</v>
      </c>
      <c r="U1154" s="113">
        <f>'Data_in-situ'!DO22</f>
        <v>105.7403076411135</v>
      </c>
      <c r="V1154" s="46">
        <f>'Data_in-situ'!DP22</f>
        <v>3</v>
      </c>
      <c r="W1154" s="113">
        <f>'Data_in-situ'!DR22</f>
        <v>0.20126042349248477</v>
      </c>
      <c r="X1154" s="113">
        <f>'Data_in-situ'!DS22</f>
        <v>3.7673237667559927</v>
      </c>
      <c r="Y1154" s="46">
        <f>'Data_in-situ'!DT22</f>
        <v>3</v>
      </c>
      <c r="Z1154" s="113">
        <f>'Data_in-situ'!EA117</f>
        <v>1.0679983859531741</v>
      </c>
      <c r="AA1154" s="113">
        <f>'Data_in-situ'!EB117</f>
        <v>6.1409661363513326</v>
      </c>
      <c r="AB1154" s="46">
        <f>'Data_in-situ'!EC117</f>
        <v>3</v>
      </c>
      <c r="AC1154" s="113">
        <f>'Data_in-situ'!EE117</f>
        <v>1.9745850203174469</v>
      </c>
      <c r="AD1154" s="113">
        <f>'Data_in-situ'!EF117</f>
        <v>2.9483306562877405</v>
      </c>
      <c r="AE1154" s="46">
        <f>'Data_in-situ'!EG117</f>
        <v>3</v>
      </c>
      <c r="AF1154" s="113">
        <f>'Data_in-situ'!EN43</f>
        <v>-44</v>
      </c>
      <c r="AG1154" s="113">
        <f>'Data_in-situ'!EO43</f>
        <v>6.8</v>
      </c>
      <c r="AH1154" s="110">
        <f>'Data_in-situ'!EP43</f>
        <v>3</v>
      </c>
      <c r="AI1154" s="113">
        <f>'Data_in-situ'!ER43</f>
        <v>-79</v>
      </c>
      <c r="AJ1154" s="113">
        <f>'Data_in-situ'!ES43</f>
        <v>12.3</v>
      </c>
      <c r="AK1154" s="110">
        <f>'Data_in-situ'!ET43</f>
        <v>3</v>
      </c>
    </row>
    <row r="1155" spans="2:37" x14ac:dyDescent="0.3">
      <c r="B1155" s="24">
        <f>'Data_in-situ'!CA225</f>
        <v>-12433.234643422073</v>
      </c>
      <c r="C1155" s="24">
        <f>'Data_in-situ'!CB225</f>
        <v>4080.0979371640278</v>
      </c>
      <c r="D1155" s="46">
        <f>'Data_in-situ'!CC225</f>
        <v>3</v>
      </c>
      <c r="E1155" s="24">
        <f>'Data_in-situ'!CE225</f>
        <v>-12839.064123912327</v>
      </c>
      <c r="F1155" s="24">
        <f>'Data_in-situ'!CF225</f>
        <v>6079.7463275012169</v>
      </c>
      <c r="G1155" s="46">
        <f>'Data_in-situ'!CG225</f>
        <v>3</v>
      </c>
      <c r="H1155" s="24">
        <f>'Data_in-situ'!CN225</f>
        <v>8581.2184023350092</v>
      </c>
      <c r="I1155" s="24">
        <f>'Data_in-situ'!CO225</f>
        <v>3466.4725308910288</v>
      </c>
      <c r="J1155" s="46">
        <f>'Data_in-situ'!CP225</f>
        <v>3</v>
      </c>
      <c r="K1155" s="24">
        <f>'Data_in-situ'!CR225</f>
        <v>7630.773936253252</v>
      </c>
      <c r="L1155" s="24">
        <f>'Data_in-situ'!CS225</f>
        <v>3659.7826622477482</v>
      </c>
      <c r="M1155" s="46">
        <f>'Data_in-situ'!CT225</f>
        <v>3</v>
      </c>
      <c r="N1155" s="24">
        <f>'Data_in-situ'!DA224</f>
        <v>-3942.8510376719878</v>
      </c>
      <c r="O1155" s="24">
        <f>'Data_in-situ'!DB224</f>
        <v>3165.2218188801453</v>
      </c>
      <c r="P1155" s="46">
        <f>'Data_in-situ'!DC224</f>
        <v>3</v>
      </c>
      <c r="Q1155" s="24">
        <f>'Data_in-situ'!DE224</f>
        <v>-4947.8342200721909</v>
      </c>
      <c r="R1155" s="24">
        <f>'Data_in-situ'!DF224</f>
        <v>674.98350911365401</v>
      </c>
      <c r="S1155" s="46">
        <f>'Data_in-situ'!DG224</f>
        <v>3</v>
      </c>
      <c r="T1155" s="113">
        <f>'Data_in-situ'!DN23</f>
        <v>69.189192430383997</v>
      </c>
      <c r="U1155" s="113">
        <f>'Data_in-situ'!DO23</f>
        <v>105.7403076411135</v>
      </c>
      <c r="V1155" s="46">
        <f>'Data_in-situ'!DP23</f>
        <v>3</v>
      </c>
      <c r="W1155" s="113">
        <f>'Data_in-situ'!DR23</f>
        <v>3.6083118783295469</v>
      </c>
      <c r="X1155" s="113">
        <f>'Data_in-situ'!DS23</f>
        <v>8.7762753596190368</v>
      </c>
      <c r="Y1155" s="46">
        <f>'Data_in-situ'!DT23</f>
        <v>3</v>
      </c>
      <c r="Z1155" s="113">
        <f>'Data_in-situ'!EA118</f>
        <v>0.35237503307278556</v>
      </c>
      <c r="AA1155" s="113">
        <f>'Data_in-situ'!EB118</f>
        <v>2.0261483293014391</v>
      </c>
      <c r="AB1155" s="46">
        <f>'Data_in-situ'!EC118</f>
        <v>3</v>
      </c>
      <c r="AC1155" s="113">
        <f>'Data_in-situ'!EE118</f>
        <v>2.9072916465010485</v>
      </c>
      <c r="AD1155" s="113">
        <f>'Data_in-situ'!EF118</f>
        <v>4.3409916513851954</v>
      </c>
      <c r="AE1155" s="46">
        <f>'Data_in-situ'!EG118</f>
        <v>3</v>
      </c>
      <c r="AF1155" s="113">
        <f>'Data_in-situ'!EN45</f>
        <v>-50</v>
      </c>
      <c r="AG1155" s="113">
        <f>'Data_in-situ'!EO45</f>
        <v>6.8</v>
      </c>
      <c r="AH1155" s="110">
        <f>'Data_in-situ'!EP45</f>
        <v>3</v>
      </c>
      <c r="AI1155" s="113">
        <f>'Data_in-situ'!ER45</f>
        <v>-85</v>
      </c>
      <c r="AJ1155" s="113">
        <f>'Data_in-situ'!ES45</f>
        <v>12.3</v>
      </c>
      <c r="AK1155" s="110">
        <f>'Data_in-situ'!ET45</f>
        <v>3</v>
      </c>
    </row>
    <row r="1156" spans="2:37" x14ac:dyDescent="0.3">
      <c r="B1156" s="24">
        <f>'Data_in-situ'!CA246</f>
        <v>-129103.33333333334</v>
      </c>
      <c r="C1156" s="24">
        <f>'Data_in-situ'!CB246</f>
        <v>31476.743163089086</v>
      </c>
      <c r="D1156" s="46">
        <f>'Data_in-situ'!CC246</f>
        <v>1</v>
      </c>
      <c r="E1156" s="24">
        <f>'Data_in-situ'!CE246</f>
        <v>-116380</v>
      </c>
      <c r="F1156" s="24">
        <f>'Data_in-situ'!CF246</f>
        <v>43324.677444112938</v>
      </c>
      <c r="G1156" s="46">
        <f>'Data_in-situ'!CG246</f>
        <v>1</v>
      </c>
      <c r="H1156" s="24">
        <f>'Data_in-situ'!CN246</f>
        <v>136436.66666666666</v>
      </c>
      <c r="I1156" s="24">
        <f>'Data_in-situ'!CO246</f>
        <v>39242.911350487644</v>
      </c>
      <c r="J1156" s="46">
        <f>'Data_in-situ'!CP246</f>
        <v>1</v>
      </c>
      <c r="K1156" s="24">
        <f>'Data_in-situ'!CR246</f>
        <v>134603.33333333334</v>
      </c>
      <c r="L1156" s="24">
        <f>'Data_in-situ'!CS246</f>
        <v>35318.726117508595</v>
      </c>
      <c r="M1156" s="46">
        <f>'Data_in-situ'!CT246</f>
        <v>1</v>
      </c>
      <c r="N1156" s="24">
        <f>'Data_in-situ'!DA225</f>
        <v>-3852.0162410870635</v>
      </c>
      <c r="O1156" s="24">
        <f>'Data_in-situ'!DB225</f>
        <v>1523.8784102336624</v>
      </c>
      <c r="P1156" s="46">
        <f>'Data_in-situ'!DC225</f>
        <v>3</v>
      </c>
      <c r="Q1156" s="24">
        <f>'Data_in-situ'!DE225</f>
        <v>-5208.2901876590749</v>
      </c>
      <c r="R1156" s="24">
        <f>'Data_in-situ'!DF225</f>
        <v>1132.6794776566101</v>
      </c>
      <c r="S1156" s="46">
        <f>'Data_in-situ'!DG225</f>
        <v>3</v>
      </c>
      <c r="T1156" s="113">
        <f>'Data_in-situ'!DN26</f>
        <v>3.3518255889605926</v>
      </c>
      <c r="U1156" s="113">
        <f>'Data_in-situ'!DO26</f>
        <v>3.2126569880661773</v>
      </c>
      <c r="V1156" s="46">
        <f>'Data_in-situ'!DP26</f>
        <v>3</v>
      </c>
      <c r="W1156" s="113">
        <f>'Data_in-situ'!DR26</f>
        <v>0.1571071677160551</v>
      </c>
      <c r="X1156" s="113">
        <f>'Data_in-situ'!DS26</f>
        <v>2.9406674446616683</v>
      </c>
      <c r="Y1156" s="46">
        <f>'Data_in-situ'!DT26</f>
        <v>3</v>
      </c>
      <c r="Z1156" s="113">
        <f>'Data_in-situ'!EA119</f>
        <v>0.2322697401099488</v>
      </c>
      <c r="AA1156" s="113">
        <f>'Data_in-situ'!EB119</f>
        <v>1.3355456593141879</v>
      </c>
      <c r="AB1156" s="46">
        <f>'Data_in-situ'!EC119</f>
        <v>3</v>
      </c>
      <c r="AC1156" s="113">
        <f>'Data_in-situ'!EE119</f>
        <v>3.1939260341842504</v>
      </c>
      <c r="AD1156" s="113">
        <f>'Data_in-situ'!EF119</f>
        <v>4.7689767437752844</v>
      </c>
      <c r="AE1156" s="46">
        <f>'Data_in-situ'!EG119</f>
        <v>3</v>
      </c>
      <c r="AF1156" s="113">
        <f>'Data_in-situ'!EN49</f>
        <v>-45.680000000000007</v>
      </c>
      <c r="AG1156" s="113">
        <f>'Data_in-situ'!EO49</f>
        <v>4.842822317616041</v>
      </c>
      <c r="AH1156" s="110">
        <f>'Data_in-situ'!EP49</f>
        <v>3</v>
      </c>
      <c r="AI1156" s="113">
        <f>'Data_in-situ'!ER49</f>
        <v>-80.650000000000006</v>
      </c>
      <c r="AJ1156" s="113">
        <f>'Data_in-situ'!ES49</f>
        <v>8.7407922981844166</v>
      </c>
      <c r="AK1156" s="110">
        <f>'Data_in-situ'!ET49</f>
        <v>3</v>
      </c>
    </row>
    <row r="1157" spans="2:37" x14ac:dyDescent="0.3">
      <c r="B1157" s="24">
        <f>'Data_in-situ'!CA247</f>
        <v>-130313.33333333334</v>
      </c>
      <c r="C1157" s="24">
        <f>'Data_in-situ'!CB247</f>
        <v>31771.753820397222</v>
      </c>
      <c r="D1157" s="46">
        <f>'Data_in-situ'!CC247</f>
        <v>1</v>
      </c>
      <c r="E1157" s="24">
        <f>'Data_in-situ'!CE247</f>
        <v>-121146.66666666666</v>
      </c>
      <c r="F1157" s="24">
        <f>'Data_in-situ'!CF247</f>
        <v>45099.160137161038</v>
      </c>
      <c r="G1157" s="46">
        <f>'Data_in-situ'!CG247</f>
        <v>1</v>
      </c>
      <c r="H1157" s="24">
        <f>'Data_in-situ'!CN247</f>
        <v>132953.33333333334</v>
      </c>
      <c r="I1157" s="24">
        <f>'Data_in-situ'!CO247</f>
        <v>38241.009555729164</v>
      </c>
      <c r="J1157" s="46">
        <f>'Data_in-situ'!CP247</f>
        <v>1</v>
      </c>
      <c r="K1157" s="24">
        <f>'Data_in-situ'!CR247</f>
        <v>128553.33333333334</v>
      </c>
      <c r="L1157" s="24">
        <f>'Data_in-situ'!CS247</f>
        <v>33731.259539086117</v>
      </c>
      <c r="M1157" s="46">
        <f>'Data_in-situ'!CT247</f>
        <v>1</v>
      </c>
      <c r="N1157" s="24">
        <f>'Data_in-situ'!DA246</f>
        <v>7663.3333333333339</v>
      </c>
      <c r="O1157" s="24">
        <f>'Data_in-situ'!DB246</f>
        <v>22987.368094732003</v>
      </c>
      <c r="P1157" s="46">
        <f>'Data_in-situ'!DC246</f>
        <v>1</v>
      </c>
      <c r="Q1157" s="24">
        <f>'Data_in-situ'!DE246</f>
        <v>18223.333333333332</v>
      </c>
      <c r="R1157" s="24">
        <f>'Data_in-situ'!DF246</f>
        <v>17369.438854789216</v>
      </c>
      <c r="S1157" s="46">
        <f>'Data_in-situ'!DG246</f>
        <v>1</v>
      </c>
      <c r="T1157" s="113">
        <f>'Data_in-situ'!DN27</f>
        <v>3.3518255889605926</v>
      </c>
      <c r="U1157" s="113">
        <f>'Data_in-situ'!DO27</f>
        <v>3.2126569880661773</v>
      </c>
      <c r="V1157" s="46">
        <f>'Data_in-situ'!DP27</f>
        <v>3</v>
      </c>
      <c r="W1157" s="113">
        <f>'Data_in-situ'!DR27</f>
        <v>2.8167070783378438</v>
      </c>
      <c r="X1157" s="113">
        <f>'Data_in-situ'!DS27</f>
        <v>12.110678472354174</v>
      </c>
      <c r="Y1157" s="46">
        <f>'Data_in-situ'!DT27</f>
        <v>3</v>
      </c>
      <c r="Z1157" s="113">
        <f>'Data_in-situ'!EA120</f>
        <v>7.2775325769365226E-2</v>
      </c>
      <c r="AA1157" s="113">
        <f>'Data_in-situ'!EB120</f>
        <v>0.41845644805235027</v>
      </c>
      <c r="AB1157" s="46">
        <f>'Data_in-situ'!EC120</f>
        <v>3</v>
      </c>
      <c r="AC1157" s="113">
        <f>'Data_in-situ'!EE120</f>
        <v>1.917612896672684</v>
      </c>
      <c r="AD1157" s="113">
        <f>'Data_in-situ'!EF120</f>
        <v>2.8632633348164851</v>
      </c>
      <c r="AE1157" s="46">
        <f>'Data_in-situ'!EG120</f>
        <v>3</v>
      </c>
      <c r="AF1157" s="113">
        <f>'Data_in-situ'!EN51</f>
        <v>-53.36</v>
      </c>
      <c r="AG1157" s="113">
        <f>'Data_in-situ'!EO51</f>
        <v>6.3986248522631799</v>
      </c>
      <c r="AH1157" s="110">
        <f>'Data_in-situ'!EP51</f>
        <v>3</v>
      </c>
      <c r="AI1157" s="113">
        <f>'Data_in-situ'!ER51</f>
        <v>-88.300000000000011</v>
      </c>
      <c r="AJ1157" s="113">
        <f>'Data_in-situ'!ES51</f>
        <v>8.3224065029293062</v>
      </c>
      <c r="AK1157" s="110">
        <f>'Data_in-situ'!ET51</f>
        <v>3</v>
      </c>
    </row>
    <row r="1158" spans="2:37" x14ac:dyDescent="0.3">
      <c r="B1158" s="24">
        <f>'Data_in-situ'!CA248</f>
        <v>-120743.33333333334</v>
      </c>
      <c r="C1158" s="24">
        <f>'Data_in-situ'!CB248</f>
        <v>29438.487712596525</v>
      </c>
      <c r="D1158" s="46">
        <f>'Data_in-situ'!CC248</f>
        <v>1</v>
      </c>
      <c r="E1158" s="24">
        <f>'Data_in-situ'!CE248</f>
        <v>-111613.33333333334</v>
      </c>
      <c r="F1158" s="24">
        <f>'Data_in-situ'!CF248</f>
        <v>41550.194751064839</v>
      </c>
      <c r="G1158" s="46">
        <f>'Data_in-situ'!CG248</f>
        <v>1</v>
      </c>
      <c r="H1158" s="24">
        <f>'Data_in-situ'!CN248</f>
        <v>136986.66666666666</v>
      </c>
      <c r="I1158" s="24">
        <f>'Data_in-situ'!CO248</f>
        <v>39401.106370712667</v>
      </c>
      <c r="J1158" s="46">
        <f>'Data_in-situ'!CP248</f>
        <v>1</v>
      </c>
      <c r="K1158" s="24">
        <f>'Data_in-situ'!CR248</f>
        <v>130093.33333333334</v>
      </c>
      <c r="L1158" s="24">
        <f>'Data_in-situ'!CS248</f>
        <v>34135.341940866383</v>
      </c>
      <c r="M1158" s="46">
        <f>'Data_in-situ'!CT248</f>
        <v>1</v>
      </c>
      <c r="N1158" s="24">
        <f>'Data_in-situ'!DA247</f>
        <v>2640</v>
      </c>
      <c r="O1158" s="24">
        <f>'Data_in-situ'!DB247</f>
        <v>7919.0933149315979</v>
      </c>
      <c r="P1158" s="46">
        <f>'Data_in-situ'!DC247</f>
        <v>1</v>
      </c>
      <c r="Q1158" s="24">
        <f>'Data_in-situ'!DE247</f>
        <v>7406.6666666666661</v>
      </c>
      <c r="R1158" s="24">
        <f>'Data_in-situ'!DF247</f>
        <v>7059.610963113525</v>
      </c>
      <c r="S1158" s="46">
        <f>'Data_in-situ'!DG247</f>
        <v>1</v>
      </c>
      <c r="T1158" s="113">
        <f>'Data_in-situ'!DN55</f>
        <v>4.9255681733440708</v>
      </c>
      <c r="U1158" s="113">
        <f>'Data_in-situ'!DO55</f>
        <v>6.4838403831872826</v>
      </c>
      <c r="V1158" s="46">
        <f>'Data_in-situ'!DP55</f>
        <v>3</v>
      </c>
      <c r="W1158" s="113">
        <f>'Data_in-situ'!DR55</f>
        <v>4.361518729534084</v>
      </c>
      <c r="X1158" s="113">
        <f>'Data_in-situ'!DS55</f>
        <v>5.0347578591510027</v>
      </c>
      <c r="Y1158" s="46">
        <f>'Data_in-situ'!DT55</f>
        <v>3</v>
      </c>
      <c r="Z1158" s="113">
        <f>'Data_in-situ'!EA121</f>
        <v>0.31634988548724063</v>
      </c>
      <c r="AA1158" s="113">
        <f>'Data_in-situ'!EB121</f>
        <v>1.8190045599010327</v>
      </c>
      <c r="AB1158" s="46">
        <f>'Data_in-situ'!EC121</f>
        <v>3</v>
      </c>
      <c r="AC1158" s="113">
        <f>'Data_in-situ'!EE121</f>
        <v>3.5426919892100956</v>
      </c>
      <c r="AD1158" s="113">
        <f>'Data_in-situ'!EF121</f>
        <v>5.2897329262094335</v>
      </c>
      <c r="AE1158" s="46">
        <f>'Data_in-situ'!EG121</f>
        <v>3</v>
      </c>
      <c r="AF1158" s="113">
        <f>'Data_in-situ'!EN55</f>
        <v>-47</v>
      </c>
      <c r="AG1158" s="113">
        <f>'Data_in-situ'!EO55</f>
        <v>6.8</v>
      </c>
      <c r="AH1158" s="110">
        <f>'Data_in-situ'!EP55</f>
        <v>3</v>
      </c>
      <c r="AI1158" s="113">
        <f>'Data_in-situ'!ER55</f>
        <v>-82</v>
      </c>
      <c r="AJ1158" s="113">
        <f>'Data_in-situ'!ES55</f>
        <v>12.3</v>
      </c>
      <c r="AK1158" s="110">
        <f>'Data_in-situ'!ET55</f>
        <v>3</v>
      </c>
    </row>
    <row r="1159" spans="2:37" x14ac:dyDescent="0.3">
      <c r="B1159" s="24">
        <f>'Data_in-situ'!CA340</f>
        <v>-3247.736532945024</v>
      </c>
      <c r="C1159" s="24">
        <f>'Data_in-situ'!CB340</f>
        <v>576.55145764577287</v>
      </c>
      <c r="D1159" s="46">
        <f>'Data_in-situ'!CC340</f>
        <v>3</v>
      </c>
      <c r="E1159" s="24">
        <f>'Data_in-situ'!CE340</f>
        <v>-2538.1344630348735</v>
      </c>
      <c r="F1159" s="24">
        <f>'Data_in-situ'!CF340</f>
        <v>178.15163353403054</v>
      </c>
      <c r="G1159" s="46">
        <f>'Data_in-situ'!CG340</f>
        <v>3</v>
      </c>
      <c r="H1159" s="24">
        <f>'Data_in-situ'!CN340</f>
        <v>4869.5004136523185</v>
      </c>
      <c r="I1159" s="24">
        <f>'Data_in-situ'!CO340</f>
        <v>764.57941069494359</v>
      </c>
      <c r="J1159" s="46">
        <f>'Data_in-situ'!CP340</f>
        <v>3</v>
      </c>
      <c r="K1159" s="24">
        <f>'Data_in-situ'!CR340</f>
        <v>4268.1023858700255</v>
      </c>
      <c r="L1159" s="24">
        <f>'Data_in-situ'!CS340</f>
        <v>956.60990521947133</v>
      </c>
      <c r="M1159" s="46">
        <f>'Data_in-situ'!CT340</f>
        <v>3</v>
      </c>
      <c r="N1159" s="24">
        <f>'Data_in-situ'!DA248</f>
        <v>16243.333333333332</v>
      </c>
      <c r="O1159" s="24">
        <f>'Data_in-situ'!DB248</f>
        <v>48724.421368259689</v>
      </c>
      <c r="P1159" s="46">
        <f>'Data_in-situ'!DC248</f>
        <v>1</v>
      </c>
      <c r="Q1159" s="24">
        <f>'Data_in-situ'!DE248</f>
        <v>18480</v>
      </c>
      <c r="R1159" s="24">
        <f>'Data_in-situ'!DF248</f>
        <v>17614.07883865949</v>
      </c>
      <c r="S1159" s="46">
        <f>'Data_in-situ'!DG248</f>
        <v>1</v>
      </c>
      <c r="T1159" s="113">
        <f>'Data_in-situ'!DN57</f>
        <v>6.958675036383962</v>
      </c>
      <c r="U1159" s="113">
        <f>'Data_in-situ'!DO57</f>
        <v>1.1532569524351295</v>
      </c>
      <c r="V1159" s="46">
        <f>'Data_in-situ'!DP57</f>
        <v>3</v>
      </c>
      <c r="W1159" s="113">
        <f>'Data_in-situ'!DR57</f>
        <v>1.1758996574724245</v>
      </c>
      <c r="X1159" s="113">
        <f>'Data_in-situ'!DS57</f>
        <v>1.4564673447344252</v>
      </c>
      <c r="Y1159" s="46">
        <f>'Data_in-situ'!DT57</f>
        <v>3</v>
      </c>
      <c r="Z1159" s="113">
        <f>'Data_in-situ'!EA122</f>
        <v>2.1678509076928559E-2</v>
      </c>
      <c r="AA1159" s="113">
        <f>'Data_in-situ'!EB122</f>
        <v>0.12465092820265757</v>
      </c>
      <c r="AB1159" s="46">
        <f>'Data_in-situ'!EC122</f>
        <v>3</v>
      </c>
      <c r="AC1159" s="113">
        <f>'Data_in-situ'!EE122</f>
        <v>1.4195226818596671</v>
      </c>
      <c r="AD1159" s="113">
        <f>'Data_in-situ'!EF122</f>
        <v>2.1195452194556825</v>
      </c>
      <c r="AE1159" s="46">
        <f>'Data_in-situ'!EG122</f>
        <v>3</v>
      </c>
      <c r="AF1159" s="113">
        <f>'Data_in-situ'!EN57</f>
        <v>-56</v>
      </c>
      <c r="AG1159" s="113">
        <f>'Data_in-situ'!EO57</f>
        <v>10.1</v>
      </c>
      <c r="AH1159" s="110">
        <f>'Data_in-situ'!EP57</f>
        <v>3</v>
      </c>
      <c r="AI1159" s="113">
        <f>'Data_in-situ'!ER57</f>
        <v>-91</v>
      </c>
      <c r="AJ1159" s="113">
        <f>'Data_in-situ'!ES57</f>
        <v>11.3</v>
      </c>
      <c r="AK1159" s="110">
        <f>'Data_in-situ'!ET57</f>
        <v>3</v>
      </c>
    </row>
    <row r="1160" spans="2:37" x14ac:dyDescent="0.3">
      <c r="B1160" s="24">
        <f>'Data_in-situ'!CA341</f>
        <v>-4239.5602645629651</v>
      </c>
      <c r="C1160" s="24">
        <f>'Data_in-situ'!CB341</f>
        <v>1115.0244091372156</v>
      </c>
      <c r="D1160" s="46">
        <f>'Data_in-situ'!CC341</f>
        <v>3</v>
      </c>
      <c r="E1160" s="24">
        <f>'Data_in-situ'!CE341</f>
        <v>-3364.9509926598698</v>
      </c>
      <c r="F1160" s="24">
        <f>'Data_in-situ'!CF341</f>
        <v>1102.2450453899555</v>
      </c>
      <c r="G1160" s="46">
        <f>'Data_in-situ'!CG341</f>
        <v>3</v>
      </c>
      <c r="H1160" s="24">
        <f>'Data_in-situ'!CN341</f>
        <v>7477.3371280727561</v>
      </c>
      <c r="I1160" s="24">
        <f>'Data_in-situ'!CO341</f>
        <v>1843.7169743300331</v>
      </c>
      <c r="J1160" s="46">
        <f>'Data_in-situ'!CP341</f>
        <v>3</v>
      </c>
      <c r="K1160" s="24">
        <f>'Data_in-situ'!CR341</f>
        <v>5971.0321256868547</v>
      </c>
      <c r="L1160" s="24">
        <f>'Data_in-situ'!CS341</f>
        <v>1963.4643578324303</v>
      </c>
      <c r="M1160" s="46">
        <f>'Data_in-situ'!CT341</f>
        <v>3</v>
      </c>
      <c r="N1160" s="24">
        <f>'Data_in-situ'!DA340</f>
        <v>1621.7638807072944</v>
      </c>
      <c r="O1160" s="24">
        <f>'Data_in-situ'!DB340</f>
        <v>1098.3220496581039</v>
      </c>
      <c r="P1160" s="46">
        <f>'Data_in-situ'!DC340</f>
        <v>3</v>
      </c>
      <c r="Q1160" s="24">
        <f>'Data_in-situ'!DE340</f>
        <v>1729.967922835152</v>
      </c>
      <c r="R1160" s="24">
        <f>'Data_in-situ'!DF340</f>
        <v>370.59428586838715</v>
      </c>
      <c r="S1160" s="46">
        <f>'Data_in-situ'!DG340</f>
        <v>3</v>
      </c>
      <c r="T1160" s="113">
        <f>'Data_in-situ'!DN61</f>
        <v>9.9527304602972393</v>
      </c>
      <c r="U1160" s="113">
        <f>'Data_in-situ'!DO61</f>
        <v>3.6109447780902064</v>
      </c>
      <c r="V1160" s="46">
        <f>'Data_in-situ'!DP61</f>
        <v>3</v>
      </c>
      <c r="W1160" s="113">
        <f>'Data_in-situ'!DR61</f>
        <v>1.4557731833142631</v>
      </c>
      <c r="X1160" s="113">
        <f>'Data_in-situ'!DS61</f>
        <v>2.2523897859272677</v>
      </c>
      <c r="Y1160" s="46">
        <f>'Data_in-situ'!DT61</f>
        <v>3</v>
      </c>
      <c r="Z1160" s="113">
        <f>'Data_in-situ'!EA123</f>
        <v>6.2823434467833755E-2</v>
      </c>
      <c r="AA1160" s="113">
        <f>'Data_in-situ'!EB123</f>
        <v>0.36123330213831362</v>
      </c>
      <c r="AB1160" s="46">
        <f>'Data_in-situ'!EC123</f>
        <v>3</v>
      </c>
      <c r="AC1160" s="113">
        <f>'Data_in-situ'!EE123</f>
        <v>2.4682312753968088</v>
      </c>
      <c r="AD1160" s="113">
        <f>'Data_in-situ'!EF123</f>
        <v>3.6854133203596762</v>
      </c>
      <c r="AE1160" s="46">
        <f>'Data_in-situ'!EG123</f>
        <v>3</v>
      </c>
      <c r="AF1160" s="113">
        <f>'Data_in-situ'!EN61</f>
        <v>-44</v>
      </c>
      <c r="AG1160" s="113">
        <f>'Data_in-situ'!EO61</f>
        <v>6.8</v>
      </c>
      <c r="AH1160" s="110">
        <f>'Data_in-situ'!EP61</f>
        <v>3</v>
      </c>
      <c r="AI1160" s="113">
        <f>'Data_in-situ'!ER61</f>
        <v>-79</v>
      </c>
      <c r="AJ1160" s="113">
        <f>'Data_in-situ'!ES61</f>
        <v>12.3</v>
      </c>
      <c r="AK1160" s="110">
        <f>'Data_in-situ'!ET61</f>
        <v>3</v>
      </c>
    </row>
    <row r="1161" spans="2:37" x14ac:dyDescent="0.3">
      <c r="B1161" s="24">
        <f>'Data_in-situ'!CA343</f>
        <v>-2887.6945318012554</v>
      </c>
      <c r="C1161" s="24">
        <f>'Data_in-situ'!CB343</f>
        <v>116.06106513063514</v>
      </c>
      <c r="D1161" s="46">
        <f>'Data_in-situ'!CC343</f>
        <v>3</v>
      </c>
      <c r="E1161" s="24">
        <f>'Data_in-situ'!CE343</f>
        <v>-2017.0650892422923</v>
      </c>
      <c r="F1161" s="24">
        <f>'Data_in-situ'!CF343</f>
        <v>715.26564447368787</v>
      </c>
      <c r="G1161" s="46">
        <f>'Data_in-situ'!CG343</f>
        <v>3</v>
      </c>
      <c r="H1161" s="24">
        <f>'Data_in-situ'!CN343</f>
        <v>2301.5827496320044</v>
      </c>
      <c r="I1161" s="24">
        <f>'Data_in-situ'!CO343</f>
        <v>97.898666178602923</v>
      </c>
      <c r="J1161" s="46">
        <f>'Data_in-situ'!CP343</f>
        <v>3</v>
      </c>
      <c r="K1161" s="24">
        <f>'Data_in-situ'!CR343</f>
        <v>2420.4945007500228</v>
      </c>
      <c r="L1161" s="24">
        <f>'Data_in-situ'!CS343</f>
        <v>564.27419535299123</v>
      </c>
      <c r="M1161" s="46">
        <f>'Data_in-situ'!CT343</f>
        <v>3</v>
      </c>
      <c r="N1161" s="24">
        <f>'Data_in-situ'!DA341</f>
        <v>3237.7768635097909</v>
      </c>
      <c r="O1161" s="24">
        <f>'Data_in-situ'!DB341</f>
        <v>1588.2056081972487</v>
      </c>
      <c r="P1161" s="46">
        <f>'Data_in-situ'!DC341</f>
        <v>3</v>
      </c>
      <c r="Q1161" s="24">
        <f>'Data_in-situ'!DE341</f>
        <v>2606.0811330269848</v>
      </c>
      <c r="R1161" s="24">
        <f>'Data_in-situ'!DF341</f>
        <v>272.81038691279781</v>
      </c>
      <c r="S1161" s="46">
        <f>'Data_in-situ'!DG341</f>
        <v>3</v>
      </c>
      <c r="T1161" s="113">
        <f>'Data_in-situ'!DN63</f>
        <v>10.24121540117542</v>
      </c>
      <c r="U1161" s="113">
        <f>'Data_in-situ'!DO63</f>
        <v>7.0937907088882888</v>
      </c>
      <c r="V1161" s="46">
        <f>'Data_in-situ'!DP63</f>
        <v>3</v>
      </c>
      <c r="W1161" s="113">
        <f>'Data_in-situ'!DR63</f>
        <v>0.9615623609345133</v>
      </c>
      <c r="X1161" s="113">
        <f>'Data_in-situ'!DS63</f>
        <v>1.1781116185620597</v>
      </c>
      <c r="Y1161" s="46">
        <f>'Data_in-situ'!DT63</f>
        <v>3</v>
      </c>
      <c r="Z1161" s="113">
        <f>'Data_in-situ'!EA124</f>
        <v>2.0013214586575439</v>
      </c>
      <c r="AA1161" s="113">
        <f>'Data_in-situ'!EB124</f>
        <v>11.507552321439633</v>
      </c>
      <c r="AB1161" s="46">
        <f>'Data_in-situ'!EC124</f>
        <v>3</v>
      </c>
      <c r="AC1161" s="113">
        <f>'Data_in-situ'!EE124</f>
        <v>3.1161209570931105</v>
      </c>
      <c r="AD1161" s="113">
        <f>'Data_in-situ'!EF124</f>
        <v>4.6528029190767866</v>
      </c>
      <c r="AE1161" s="46">
        <f>'Data_in-situ'!EG124</f>
        <v>3</v>
      </c>
      <c r="AF1161" s="113">
        <f>'Data_in-situ'!EN63</f>
        <v>-50</v>
      </c>
      <c r="AG1161" s="113">
        <f>'Data_in-situ'!EO63</f>
        <v>6.8</v>
      </c>
      <c r="AH1161" s="110">
        <f>'Data_in-situ'!EP63</f>
        <v>3</v>
      </c>
      <c r="AI1161" s="113">
        <f>'Data_in-situ'!ER63</f>
        <v>-85</v>
      </c>
      <c r="AJ1161" s="113">
        <f>'Data_in-situ'!ES63</f>
        <v>12.3</v>
      </c>
      <c r="AK1161" s="110">
        <f>'Data_in-situ'!ET63</f>
        <v>3</v>
      </c>
    </row>
    <row r="1162" spans="2:37" x14ac:dyDescent="0.3">
      <c r="B1162" s="24">
        <f>'Data_in-situ'!CA344</f>
        <v>-2413.5954295652286</v>
      </c>
      <c r="C1162" s="24">
        <f>'Data_in-situ'!CB344</f>
        <v>229.44356214196344</v>
      </c>
      <c r="D1162" s="46">
        <f>'Data_in-situ'!CC344</f>
        <v>3</v>
      </c>
      <c r="E1162" s="24">
        <f>'Data_in-situ'!CE344</f>
        <v>-1974.4510380611171</v>
      </c>
      <c r="F1162" s="24">
        <f>'Data_in-situ'!CF344</f>
        <v>445.58850967321683</v>
      </c>
      <c r="G1162" s="46">
        <f>'Data_in-situ'!CG344</f>
        <v>3</v>
      </c>
      <c r="H1162" s="24">
        <f>'Data_in-situ'!CN344</f>
        <v>3307.4596550267315</v>
      </c>
      <c r="I1162" s="24">
        <f>'Data_in-situ'!CO344</f>
        <v>917.36533177060426</v>
      </c>
      <c r="J1162" s="46">
        <f>'Data_in-situ'!CP344</f>
        <v>3</v>
      </c>
      <c r="K1162" s="24">
        <f>'Data_in-situ'!CR344</f>
        <v>2945.9965963075938</v>
      </c>
      <c r="L1162" s="24">
        <f>'Data_in-situ'!CS344</f>
        <v>650.63940348918732</v>
      </c>
      <c r="M1162" s="46">
        <f>'Data_in-situ'!CT344</f>
        <v>3</v>
      </c>
      <c r="N1162" s="24">
        <f>'Data_in-situ'!DA343</f>
        <v>-586.111782169251</v>
      </c>
      <c r="O1162" s="24">
        <f>'Data_in-situ'!DB343</f>
        <v>363.91958912283872</v>
      </c>
      <c r="P1162" s="46">
        <f>'Data_in-situ'!DC343</f>
        <v>3</v>
      </c>
      <c r="Q1162" s="24">
        <f>'Data_in-situ'!DE343</f>
        <v>403.42941150773049</v>
      </c>
      <c r="R1162" s="24">
        <f>'Data_in-situ'!DF343</f>
        <v>463.61307598966926</v>
      </c>
      <c r="S1162" s="46">
        <f>'Data_in-situ'!DG343</f>
        <v>3</v>
      </c>
      <c r="T1162" s="113">
        <f>'Data_in-situ'!DN67</f>
        <v>7.1375195796034658</v>
      </c>
      <c r="U1162" s="113">
        <f>'Data_in-situ'!DO67</f>
        <v>3.9633493035082119</v>
      </c>
      <c r="V1162" s="46">
        <f>'Data_in-situ'!DP67</f>
        <v>3</v>
      </c>
      <c r="W1162" s="113">
        <f>'Data_in-situ'!DR67</f>
        <v>3.0539332337351648</v>
      </c>
      <c r="X1162" s="113">
        <f>'Data_in-situ'!DS67</f>
        <v>2.9487867124895311</v>
      </c>
      <c r="Y1162" s="46">
        <f>'Data_in-situ'!DT67</f>
        <v>3</v>
      </c>
      <c r="Z1162" s="113">
        <f>'Data_in-situ'!EA125</f>
        <v>2.0562742556670646</v>
      </c>
      <c r="AA1162" s="113">
        <f>'Data_in-situ'!EB125</f>
        <v>11.823529639356714</v>
      </c>
      <c r="AB1162" s="46">
        <f>'Data_in-situ'!EC125</f>
        <v>3</v>
      </c>
      <c r="AC1162" s="113">
        <f>'Data_in-situ'!EE125</f>
        <v>3.9594792820583411</v>
      </c>
      <c r="AD1162" s="113">
        <f>'Data_in-situ'!EF125</f>
        <v>5.9120544469399539</v>
      </c>
      <c r="AE1162" s="46">
        <f>'Data_in-situ'!EG125</f>
        <v>3</v>
      </c>
      <c r="AF1162" s="113">
        <f>'Data_in-situ'!EN67</f>
        <v>-45.680000000000007</v>
      </c>
      <c r="AG1162" s="113">
        <f>'Data_in-situ'!EO67</f>
        <v>4.842822317616041</v>
      </c>
      <c r="AH1162" s="110">
        <f>'Data_in-situ'!EP67</f>
        <v>3</v>
      </c>
      <c r="AI1162" s="113">
        <f>'Data_in-situ'!ER67</f>
        <v>-80.650000000000006</v>
      </c>
      <c r="AJ1162" s="113">
        <f>'Data_in-situ'!ES67</f>
        <v>8.7407922981844166</v>
      </c>
      <c r="AK1162" s="110">
        <f>'Data_in-situ'!ET67</f>
        <v>3</v>
      </c>
    </row>
    <row r="1163" spans="2:37" x14ac:dyDescent="0.3">
      <c r="B1163" s="24">
        <f>'Data_in-situ'!CA346</f>
        <v>-998.69911894347672</v>
      </c>
      <c r="C1163" s="24">
        <f>'Data_in-situ'!CB346</f>
        <v>642.0310889187042</v>
      </c>
      <c r="D1163" s="46">
        <f>'Data_in-situ'!CC346</f>
        <v>3</v>
      </c>
      <c r="E1163" s="24">
        <f>'Data_in-situ'!CE346</f>
        <v>-1433.3817215486201</v>
      </c>
      <c r="F1163" s="24">
        <f>'Data_in-situ'!CF346</f>
        <v>1186.7128562544101</v>
      </c>
      <c r="G1163" s="46">
        <f>'Data_in-situ'!CG346</f>
        <v>3</v>
      </c>
      <c r="H1163" s="24">
        <f>'Data_in-situ'!CN346</f>
        <v>688.14999382936685</v>
      </c>
      <c r="I1163" s="24">
        <f>'Data_in-situ'!CO346</f>
        <v>827.80955818446023</v>
      </c>
      <c r="J1163" s="46">
        <f>'Data_in-situ'!CP346</f>
        <v>3</v>
      </c>
      <c r="K1163" s="24">
        <f>'Data_in-situ'!CR346</f>
        <v>910.58076613143794</v>
      </c>
      <c r="L1163" s="24">
        <f>'Data_in-situ'!CS346</f>
        <v>867.05035134873242</v>
      </c>
      <c r="M1163" s="46">
        <f>'Data_in-situ'!CT346</f>
        <v>3</v>
      </c>
      <c r="N1163" s="24">
        <f>'Data_in-situ'!DA344</f>
        <v>893.86422546150288</v>
      </c>
      <c r="O1163" s="24">
        <f>'Data_in-situ'!DB344</f>
        <v>1145.1881990612055</v>
      </c>
      <c r="P1163" s="46">
        <f>'Data_in-situ'!DC344</f>
        <v>3</v>
      </c>
      <c r="Q1163" s="24">
        <f>'Data_in-situ'!DE344</f>
        <v>971.54555824647673</v>
      </c>
      <c r="R1163" s="24">
        <f>'Data_in-situ'!DF344</f>
        <v>320.49742821623516</v>
      </c>
      <c r="S1163" s="46">
        <f>'Data_in-situ'!DG344</f>
        <v>3</v>
      </c>
      <c r="T1163" s="113">
        <f>'Data_in-situ'!DN69</f>
        <v>8.4029927968922031</v>
      </c>
      <c r="U1163" s="113">
        <f>'Data_in-situ'!DO69</f>
        <v>3.1873816651232265</v>
      </c>
      <c r="V1163" s="46">
        <f>'Data_in-situ'!DP69</f>
        <v>3</v>
      </c>
      <c r="W1163" s="113">
        <f>'Data_in-situ'!DR69</f>
        <v>1.0794478740303646</v>
      </c>
      <c r="X1163" s="113">
        <f>'Data_in-situ'!DS69</f>
        <v>0.96059962800413323</v>
      </c>
      <c r="Y1163" s="46">
        <f>'Data_in-situ'!DT69</f>
        <v>3</v>
      </c>
      <c r="Z1163" s="113">
        <f>'Data_in-situ'!EA126</f>
        <v>0.1445233938461904</v>
      </c>
      <c r="AA1163" s="113">
        <f>'Data_in-situ'!EB126</f>
        <v>0.83100618801771708</v>
      </c>
      <c r="AB1163" s="46">
        <f>'Data_in-situ'!EC126</f>
        <v>3</v>
      </c>
      <c r="AC1163" s="113">
        <f>'Data_in-situ'!EE126</f>
        <v>2.2712362909754678</v>
      </c>
      <c r="AD1163" s="113">
        <f>'Data_in-situ'!EF126</f>
        <v>3.3912723511290923</v>
      </c>
      <c r="AE1163" s="46">
        <f>'Data_in-situ'!EG126</f>
        <v>3</v>
      </c>
      <c r="AF1163" s="113">
        <f>'Data_in-situ'!EN69</f>
        <v>-53.36</v>
      </c>
      <c r="AG1163" s="113">
        <f>'Data_in-situ'!EO69</f>
        <v>6.3986248522631799</v>
      </c>
      <c r="AH1163" s="110">
        <f>'Data_in-situ'!EP69</f>
        <v>3</v>
      </c>
      <c r="AI1163" s="113">
        <f>'Data_in-situ'!ER69</f>
        <v>-88.300000000000011</v>
      </c>
      <c r="AJ1163" s="113">
        <f>'Data_in-situ'!ES69</f>
        <v>8.3224065029293062</v>
      </c>
      <c r="AK1163" s="110">
        <f>'Data_in-situ'!ET69</f>
        <v>3</v>
      </c>
    </row>
    <row r="1164" spans="2:37" x14ac:dyDescent="0.3">
      <c r="B1164" s="24">
        <f>'Data_in-situ'!CA347</f>
        <v>-757.07836436037758</v>
      </c>
      <c r="C1164" s="24">
        <f>'Data_in-situ'!CB347</f>
        <v>753.46149598311479</v>
      </c>
      <c r="D1164" s="46">
        <f>'Data_in-situ'!CC347</f>
        <v>3</v>
      </c>
      <c r="E1164" s="24">
        <f>'Data_in-situ'!CE347</f>
        <v>-1751.9109930038685</v>
      </c>
      <c r="F1164" s="24">
        <f>'Data_in-situ'!CF347</f>
        <v>1655.7034599262597</v>
      </c>
      <c r="G1164" s="46">
        <f>'Data_in-situ'!CG347</f>
        <v>3</v>
      </c>
      <c r="H1164" s="24">
        <f>'Data_in-situ'!CN347</f>
        <v>764.61110425485197</v>
      </c>
      <c r="I1164" s="24">
        <f>'Data_in-situ'!CO347</f>
        <v>794.72773935581358</v>
      </c>
      <c r="J1164" s="46">
        <f>'Data_in-situ'!CP347</f>
        <v>3</v>
      </c>
      <c r="K1164" s="24">
        <f>'Data_in-situ'!CR347</f>
        <v>1696.1798584801293</v>
      </c>
      <c r="L1164" s="24">
        <f>'Data_in-situ'!CS347</f>
        <v>1486.728586277671</v>
      </c>
      <c r="M1164" s="46">
        <f>'Data_in-situ'!CT347</f>
        <v>3</v>
      </c>
      <c r="N1164" s="24">
        <f>'Data_in-situ'!DA346</f>
        <v>-310.54912511410987</v>
      </c>
      <c r="O1164" s="24">
        <f>'Data_in-situ'!DB346</f>
        <v>752.08332336197429</v>
      </c>
      <c r="P1164" s="46">
        <f>'Data_in-situ'!DC346</f>
        <v>3</v>
      </c>
      <c r="Q1164" s="24">
        <f>'Data_in-situ'!DE346</f>
        <v>-522.80095541718219</v>
      </c>
      <c r="R1164" s="24">
        <f>'Data_in-situ'!DF346</f>
        <v>196.66566541741983</v>
      </c>
      <c r="S1164" s="46">
        <f>'Data_in-situ'!DG346</f>
        <v>3</v>
      </c>
      <c r="T1164" s="113">
        <f>'Data_in-situ'!DN100</f>
        <v>29.877540000000003</v>
      </c>
      <c r="U1164" s="113">
        <f>'Data_in-situ'!DO100</f>
        <v>10.5768948600239</v>
      </c>
      <c r="V1164" s="46">
        <f>'Data_in-situ'!DP100</f>
        <v>3</v>
      </c>
      <c r="W1164" s="113">
        <f>'Data_in-situ'!DR100</f>
        <v>21.248370000000001</v>
      </c>
      <c r="X1164" s="113">
        <f>'Data_in-situ'!DS100</f>
        <v>3.4542118170720228</v>
      </c>
      <c r="Y1164" s="46">
        <f>'Data_in-situ'!DT100</f>
        <v>3</v>
      </c>
      <c r="Z1164" s="113">
        <f>'Data_in-situ'!EA127</f>
        <v>0.25129373787133502</v>
      </c>
      <c r="AA1164" s="113">
        <f>'Data_in-situ'!EB127</f>
        <v>1.4449332085532545</v>
      </c>
      <c r="AB1164" s="46">
        <f>'Data_in-situ'!EC127</f>
        <v>3</v>
      </c>
      <c r="AC1164" s="113">
        <f>'Data_in-situ'!EE127</f>
        <v>2.7150544029364894</v>
      </c>
      <c r="AD1164" s="113">
        <f>'Data_in-situ'!EF127</f>
        <v>4.0539546523956433</v>
      </c>
      <c r="AE1164" s="46">
        <f>'Data_in-situ'!EG127</f>
        <v>3</v>
      </c>
      <c r="AF1164" s="113">
        <f>'Data_in-situ'!EN100</f>
        <v>-5.833333333333333</v>
      </c>
      <c r="AG1164" s="113">
        <f>'Data_in-situ'!EO100</f>
        <v>5.3385391260156565</v>
      </c>
      <c r="AH1164" s="110">
        <f>'Data_in-situ'!EP100</f>
        <v>4</v>
      </c>
      <c r="AI1164" s="113">
        <f>'Data_in-situ'!ER100</f>
        <v>-19.5</v>
      </c>
      <c r="AJ1164" s="113">
        <f>'Data_in-situ'!ES100</f>
        <v>4.0620192023179804</v>
      </c>
      <c r="AK1164" s="110">
        <f>'Data_in-situ'!ET100</f>
        <v>4</v>
      </c>
    </row>
    <row r="1165" spans="2:37" x14ac:dyDescent="0.3">
      <c r="B1165" s="24">
        <f>'Data_in-situ'!CA348</f>
        <v>-3659.9602825374368</v>
      </c>
      <c r="C1165" s="24">
        <f>'Data_in-situ'!CB348</f>
        <v>593.4851284595926</v>
      </c>
      <c r="D1165" s="46">
        <f>'Data_in-situ'!CC348</f>
        <v>3</v>
      </c>
      <c r="E1165" s="24">
        <f>'Data_in-situ'!CE348</f>
        <v>-2778.6457143135131</v>
      </c>
      <c r="F1165" s="24">
        <f>'Data_in-situ'!CF348</f>
        <v>942.7176783399251</v>
      </c>
      <c r="G1165" s="46">
        <f>'Data_in-situ'!CG348</f>
        <v>3</v>
      </c>
      <c r="H1165" s="24">
        <f>'Data_in-situ'!CN348</f>
        <v>6251.1658250934079</v>
      </c>
      <c r="I1165" s="24">
        <f>'Data_in-situ'!CO348</f>
        <v>266.97663228644535</v>
      </c>
      <c r="J1165" s="46">
        <f>'Data_in-situ'!CP348</f>
        <v>3</v>
      </c>
      <c r="K1165" s="24">
        <f>'Data_in-situ'!CR348</f>
        <v>7838.2827472249573</v>
      </c>
      <c r="L1165" s="24">
        <f>'Data_in-situ'!CS348</f>
        <v>2291.0465602792738</v>
      </c>
      <c r="M1165" s="46">
        <f>'Data_in-situ'!CT348</f>
        <v>3</v>
      </c>
      <c r="N1165" s="24">
        <f>'Data_in-situ'!DA347</f>
        <v>7.5327398944743891</v>
      </c>
      <c r="O1165" s="24">
        <f>'Data_in-situ'!DB347</f>
        <v>385.89969557971807</v>
      </c>
      <c r="P1165" s="46">
        <f>'Data_in-situ'!DC347</f>
        <v>3</v>
      </c>
      <c r="Q1165" s="24">
        <f>'Data_in-situ'!DE347</f>
        <v>-55.731134523739229</v>
      </c>
      <c r="R1165" s="24">
        <f>'Data_in-situ'!DF347</f>
        <v>131.30398661871592</v>
      </c>
      <c r="S1165" s="46">
        <f>'Data_in-situ'!DG347</f>
        <v>3</v>
      </c>
      <c r="T1165" s="113">
        <f>'Data_in-situ'!DN101</f>
        <v>24.519000000000002</v>
      </c>
      <c r="U1165" s="113">
        <f>'Data_in-situ'!DO101</f>
        <v>3.8585295126511601</v>
      </c>
      <c r="V1165" s="46">
        <f>'Data_in-situ'!DP101</f>
        <v>3</v>
      </c>
      <c r="W1165" s="113">
        <f>'Data_in-situ'!DR101</f>
        <v>2.714</v>
      </c>
      <c r="X1165" s="113">
        <f>'Data_in-situ'!DS101</f>
        <v>1.8204276969987025</v>
      </c>
      <c r="Y1165" s="46">
        <f>'Data_in-situ'!DT101</f>
        <v>3</v>
      </c>
      <c r="Z1165" s="113">
        <f>'Data_in-situ'!EA166</f>
        <v>1.0757430488974113</v>
      </c>
      <c r="AA1165" s="113">
        <f>'Data_in-situ'!EB166</f>
        <v>6.1854977700162745</v>
      </c>
      <c r="AB1165" s="46">
        <f>'Data_in-situ'!EC166</f>
        <v>4</v>
      </c>
      <c r="AC1165" s="113">
        <f>'Data_in-situ'!EE166</f>
        <v>1.0103547459252158</v>
      </c>
      <c r="AD1165" s="113">
        <f>'Data_in-situ'!EF166</f>
        <v>1.508600460596133</v>
      </c>
      <c r="AE1165" s="46">
        <f>'Data_in-situ'!EG166</f>
        <v>4</v>
      </c>
      <c r="AF1165" s="113">
        <f>'Data_in-situ'!EN101</f>
        <v>-17.5</v>
      </c>
      <c r="AG1165" s="113">
        <f>'Data_in-situ'!EO101</f>
        <v>4.9497474683058327</v>
      </c>
      <c r="AH1165" s="110">
        <f>'Data_in-situ'!EP101</f>
        <v>4</v>
      </c>
      <c r="AI1165" s="113">
        <f>'Data_in-situ'!ER101</f>
        <v>-34</v>
      </c>
      <c r="AJ1165" s="113">
        <f>'Data_in-situ'!ES101</f>
        <v>11.313708498984761</v>
      </c>
      <c r="AK1165" s="110">
        <f>'Data_in-situ'!ET101</f>
        <v>4</v>
      </c>
    </row>
    <row r="1166" spans="2:37" x14ac:dyDescent="0.3">
      <c r="B1166" s="24">
        <f>'Data_in-situ'!CA349</f>
        <v>-4810.2335141920603</v>
      </c>
      <c r="C1166" s="24">
        <f>'Data_in-situ'!CB349</f>
        <v>507.91046480105655</v>
      </c>
      <c r="D1166" s="46">
        <f>'Data_in-situ'!CC349</f>
        <v>3</v>
      </c>
      <c r="E1166" s="24">
        <f>'Data_in-situ'!CE349</f>
        <v>-5079.1058870940042</v>
      </c>
      <c r="F1166" s="24">
        <f>'Data_in-situ'!CF349</f>
        <v>317.38779673465609</v>
      </c>
      <c r="G1166" s="46">
        <f>'Data_in-situ'!CG349</f>
        <v>3</v>
      </c>
      <c r="H1166" s="24">
        <f>'Data_in-situ'!CN349</f>
        <v>4762.0543630364182</v>
      </c>
      <c r="I1166" s="24">
        <f>'Data_in-situ'!CO349</f>
        <v>997.80477562796057</v>
      </c>
      <c r="J1166" s="46">
        <f>'Data_in-situ'!CP349</f>
        <v>3</v>
      </c>
      <c r="K1166" s="24">
        <f>'Data_in-situ'!CR349</f>
        <v>6143.1273286938667</v>
      </c>
      <c r="L1166" s="24">
        <f>'Data_in-situ'!CS349</f>
        <v>1144.5750412473667</v>
      </c>
      <c r="M1166" s="46">
        <f>'Data_in-situ'!CT349</f>
        <v>3</v>
      </c>
      <c r="N1166" s="24">
        <f>'Data_in-situ'!DA348</f>
        <v>2591.2055425559711</v>
      </c>
      <c r="O1166" s="24">
        <f>'Data_in-situ'!DB348</f>
        <v>1600.5466590475353</v>
      </c>
      <c r="P1166" s="46">
        <f>'Data_in-situ'!DC348</f>
        <v>3</v>
      </c>
      <c r="Q1166" s="24">
        <f>'Data_in-situ'!DE348</f>
        <v>5059.6370329114443</v>
      </c>
      <c r="R1166" s="24">
        <f>'Data_in-situ'!DF348</f>
        <v>1113.5441452092068</v>
      </c>
      <c r="S1166" s="46">
        <f>'Data_in-situ'!DG348</f>
        <v>3</v>
      </c>
      <c r="T1166" s="113">
        <f>'Data_in-situ'!DN102</f>
        <v>37.001000000000005</v>
      </c>
      <c r="U1166" s="113">
        <f>'Data_in-situ'!DO102</f>
        <v>14.229681127839795</v>
      </c>
      <c r="V1166" s="46">
        <f>'Data_in-situ'!DP102</f>
        <v>3</v>
      </c>
      <c r="W1166" s="113">
        <f>'Data_in-situ'!DR102</f>
        <v>17.568999999999999</v>
      </c>
      <c r="X1166" s="113">
        <f>'Data_in-situ'!DS102</f>
        <v>3.3260057125627429</v>
      </c>
      <c r="Y1166" s="46">
        <f>'Data_in-situ'!DT102</f>
        <v>3</v>
      </c>
      <c r="Z1166" s="113">
        <f>'Data_in-situ'!EA212</f>
        <v>4.2926101488275123E-2</v>
      </c>
      <c r="AA1166" s="113">
        <f>'Data_in-situ'!EB212</f>
        <v>0.24682409549693443</v>
      </c>
      <c r="AB1166" s="46">
        <f>'Data_in-situ'!EC212</f>
        <v>46</v>
      </c>
      <c r="AC1166" s="113">
        <f>'Data_in-situ'!EE212</f>
        <v>38.025961499819161</v>
      </c>
      <c r="AD1166" s="113">
        <f>'Data_in-situ'!EF212</f>
        <v>56.778060641172175</v>
      </c>
      <c r="AE1166" s="46">
        <f>'Data_in-situ'!EG212</f>
        <v>66</v>
      </c>
      <c r="AF1166" s="113">
        <f>'Data_in-situ'!EN102</f>
        <v>-10</v>
      </c>
      <c r="AG1166" s="113">
        <f>'Data_in-situ'!EO102</f>
        <v>5.6568542494923806</v>
      </c>
      <c r="AH1166" s="110">
        <f>'Data_in-situ'!EP102</f>
        <v>4</v>
      </c>
      <c r="AI1166" s="113">
        <f>'Data_in-situ'!ER102</f>
        <v>-16.5</v>
      </c>
      <c r="AJ1166" s="113">
        <f>'Data_in-situ'!ES102</f>
        <v>3.5355339059327378</v>
      </c>
      <c r="AK1166" s="110">
        <f>'Data_in-situ'!ET102</f>
        <v>4</v>
      </c>
    </row>
    <row r="1167" spans="2:37" x14ac:dyDescent="0.3">
      <c r="B1167" s="24">
        <f>'Data_in-situ'!CA350</f>
        <v>-1686.1959873118906</v>
      </c>
      <c r="C1167" s="24">
        <f>'Data_in-situ'!CB350</f>
        <v>951.52416117583982</v>
      </c>
      <c r="D1167" s="46">
        <f>'Data_in-situ'!CC350</f>
        <v>3</v>
      </c>
      <c r="E1167" s="24">
        <f>'Data_in-situ'!CE350</f>
        <v>-4019.3433355883844</v>
      </c>
      <c r="F1167" s="24">
        <f>'Data_in-situ'!CF350</f>
        <v>183.63556153089817</v>
      </c>
      <c r="G1167" s="46">
        <f>'Data_in-situ'!CG350</f>
        <v>3</v>
      </c>
      <c r="H1167" s="24">
        <f>'Data_in-situ'!CN350</f>
        <v>2652.4797917890141</v>
      </c>
      <c r="I1167" s="24">
        <f>'Data_in-situ'!CO350</f>
        <v>1183.1159884255349</v>
      </c>
      <c r="J1167" s="46">
        <f>'Data_in-situ'!CP350</f>
        <v>3</v>
      </c>
      <c r="K1167" s="24">
        <f>'Data_in-situ'!CR350</f>
        <v>3491.7303920170334</v>
      </c>
      <c r="L1167" s="24">
        <f>'Data_in-situ'!CS350</f>
        <v>187.13801568192349</v>
      </c>
      <c r="M1167" s="46">
        <f>'Data_in-situ'!CT350</f>
        <v>3</v>
      </c>
      <c r="N1167" s="24">
        <f>'Data_in-situ'!DA349</f>
        <v>-48.179151155642103</v>
      </c>
      <c r="O1167" s="24">
        <f>'Data_in-situ'!DB349</f>
        <v>1897.3884326053135</v>
      </c>
      <c r="P1167" s="46">
        <f>'Data_in-situ'!DC349</f>
        <v>3</v>
      </c>
      <c r="Q1167" s="24">
        <f>'Data_in-situ'!DE349</f>
        <v>1064.0214415998626</v>
      </c>
      <c r="R1167" s="24">
        <f>'Data_in-situ'!DF349</f>
        <v>385.19113146523358</v>
      </c>
      <c r="S1167" s="46">
        <f>'Data_in-situ'!DG349</f>
        <v>3</v>
      </c>
      <c r="T1167" s="113">
        <f>'Data_in-situ'!DN103</f>
        <v>29.018000000000001</v>
      </c>
      <c r="U1167" s="113">
        <f>'Data_in-situ'!DO103</f>
        <v>28.458867247309758</v>
      </c>
      <c r="V1167" s="46">
        <f>'Data_in-situ'!DP103</f>
        <v>3</v>
      </c>
      <c r="W1167" s="113">
        <f>'Data_in-situ'!DR103</f>
        <v>44.106000000000002</v>
      </c>
      <c r="X1167" s="113">
        <f>'Data_in-situ'!DS103</f>
        <v>9.7564479704449827</v>
      </c>
      <c r="Y1167" s="46">
        <f>'Data_in-situ'!DT103</f>
        <v>3</v>
      </c>
      <c r="Z1167" s="113">
        <f>'Data_in-situ'!EA439</f>
        <v>1.0999999999999999</v>
      </c>
      <c r="AA1167" s="113">
        <f>'Data_in-situ'!EB439</f>
        <v>6.3249746805166405</v>
      </c>
      <c r="AB1167" s="46">
        <f>'Data_in-situ'!EC439</f>
        <v>3</v>
      </c>
      <c r="AC1167" s="113">
        <f>'Data_in-situ'!EE439</f>
        <v>5.1857142857142851</v>
      </c>
      <c r="AD1167" s="113">
        <f>'Data_in-situ'!EF439</f>
        <v>7.7429942220784804</v>
      </c>
      <c r="AE1167" s="46">
        <f>'Data_in-situ'!EG439</f>
        <v>3</v>
      </c>
      <c r="AF1167" s="113">
        <f>'Data_in-situ'!EN103</f>
        <v>10</v>
      </c>
      <c r="AG1167" s="113">
        <f>'Data_in-situ'!EO103</f>
        <v>14.142135623730951</v>
      </c>
      <c r="AH1167" s="110">
        <f>'Data_in-situ'!EP103</f>
        <v>4</v>
      </c>
      <c r="AI1167" s="113">
        <f>'Data_in-situ'!ER103</f>
        <v>-8</v>
      </c>
      <c r="AJ1167" s="113">
        <f>'Data_in-situ'!ES103</f>
        <v>2.8284271247461903</v>
      </c>
      <c r="AK1167" s="110">
        <f>'Data_in-situ'!ET103</f>
        <v>4</v>
      </c>
    </row>
    <row r="1168" spans="2:37" x14ac:dyDescent="0.3">
      <c r="B1168" s="24">
        <f>'Data_in-situ'!CA351</f>
        <v>-7900.0449087308316</v>
      </c>
      <c r="C1168" s="24">
        <f>'Data_in-situ'!CB351</f>
        <v>1770.2016517990935</v>
      </c>
      <c r="D1168" s="46">
        <f>'Data_in-situ'!CC351</f>
        <v>3</v>
      </c>
      <c r="E1168" s="24">
        <f>'Data_in-situ'!CE351</f>
        <v>-3744.7097475457695</v>
      </c>
      <c r="F1168" s="24">
        <f>'Data_in-situ'!CF351</f>
        <v>2032.4000980341211</v>
      </c>
      <c r="G1168" s="46">
        <f>'Data_in-situ'!CG351</f>
        <v>3</v>
      </c>
      <c r="H1168" s="24">
        <f>'Data_in-situ'!CN351</f>
        <v>12362.931550325944</v>
      </c>
      <c r="I1168" s="24">
        <f>'Data_in-situ'!CO351</f>
        <v>2275.2743302978161</v>
      </c>
      <c r="J1168" s="46">
        <f>'Data_in-situ'!CP351</f>
        <v>3</v>
      </c>
      <c r="K1168" s="24">
        <f>'Data_in-situ'!CR351</f>
        <v>15082.727310832692</v>
      </c>
      <c r="L1168" s="24">
        <f>'Data_in-situ'!CS351</f>
        <v>2876.4150226571255</v>
      </c>
      <c r="M1168" s="46">
        <f>'Data_in-situ'!CT351</f>
        <v>3</v>
      </c>
      <c r="N1168" s="24">
        <f>'Data_in-situ'!DA350</f>
        <v>966.28380447712357</v>
      </c>
      <c r="O1168" s="24">
        <f>'Data_in-situ'!DB350</f>
        <v>2670.8132341684627</v>
      </c>
      <c r="P1168" s="46">
        <f>'Data_in-situ'!DC350</f>
        <v>3</v>
      </c>
      <c r="Q1168" s="24">
        <f>'Data_in-situ'!DE350</f>
        <v>-527.61294357135102</v>
      </c>
      <c r="R1168" s="24">
        <f>'Data_in-situ'!DF350</f>
        <v>119.07629993106522</v>
      </c>
      <c r="S1168" s="46">
        <f>'Data_in-situ'!DG350</f>
        <v>3</v>
      </c>
      <c r="Z1168" s="113">
        <f>'Data_in-situ'!EA440</f>
        <v>1.0999999999999999</v>
      </c>
      <c r="AA1168" s="113">
        <f>'Data_in-situ'!EB440</f>
        <v>6.3249746805166405</v>
      </c>
      <c r="AB1168" s="46">
        <f>'Data_in-situ'!EC440</f>
        <v>3</v>
      </c>
      <c r="AC1168" s="113">
        <f>'Data_in-situ'!EE440</f>
        <v>1.8857142857142857</v>
      </c>
      <c r="AD1168" s="113">
        <f>'Data_in-situ'!EF440</f>
        <v>2.8156342625739934</v>
      </c>
      <c r="AE1168" s="46">
        <f>'Data_in-situ'!EG440</f>
        <v>3</v>
      </c>
      <c r="AF1168" s="113">
        <f>'Data_in-situ'!EN112</f>
        <v>22</v>
      </c>
      <c r="AG1168" s="113">
        <f>'Data_in-situ'!EO112</f>
        <v>8.964920772528453</v>
      </c>
      <c r="AH1168" s="110">
        <f>'Data_in-situ'!EP112</f>
        <v>3</v>
      </c>
      <c r="AI1168" s="113">
        <f>'Data_in-situ'!ER112</f>
        <v>-35</v>
      </c>
      <c r="AJ1168" s="113">
        <f>'Data_in-situ'!ES112</f>
        <v>7.9384918728217961</v>
      </c>
      <c r="AK1168" s="110">
        <f>'Data_in-situ'!ET112</f>
        <v>3</v>
      </c>
    </row>
    <row r="1169" spans="2:37" x14ac:dyDescent="0.3">
      <c r="B1169" s="24">
        <f>'Data_in-situ'!CA352</f>
        <v>-10050.787546565918</v>
      </c>
      <c r="C1169" s="24">
        <f>'Data_in-situ'!CB352</f>
        <v>1612.547694762013</v>
      </c>
      <c r="D1169" s="46">
        <f>'Data_in-situ'!CC352</f>
        <v>3</v>
      </c>
      <c r="E1169" s="24">
        <f>'Data_in-situ'!CE352</f>
        <v>-12603.385992432437</v>
      </c>
      <c r="F1169" s="24">
        <f>'Data_in-situ'!CF352</f>
        <v>2731.1470412581525</v>
      </c>
      <c r="G1169" s="46">
        <f>'Data_in-situ'!CG352</f>
        <v>3</v>
      </c>
      <c r="H1169" s="24">
        <f>'Data_in-situ'!CN352</f>
        <v>9984.9658644122937</v>
      </c>
      <c r="I1169" s="24">
        <f>'Data_in-situ'!CO352</f>
        <v>333.56620847738458</v>
      </c>
      <c r="J1169" s="46">
        <f>'Data_in-situ'!CP352</f>
        <v>3</v>
      </c>
      <c r="K1169" s="24">
        <f>'Data_in-situ'!CR352</f>
        <v>15408.337460950899</v>
      </c>
      <c r="L1169" s="24">
        <f>'Data_in-situ'!CS352</f>
        <v>3231.8122751183146</v>
      </c>
      <c r="M1169" s="46">
        <f>'Data_in-situ'!CT352</f>
        <v>3</v>
      </c>
      <c r="N1169" s="24">
        <f>'Data_in-situ'!DA351</f>
        <v>4462.8866415951125</v>
      </c>
      <c r="O1169" s="24">
        <f>'Data_in-situ'!DB351</f>
        <v>2118.4369604304802</v>
      </c>
      <c r="P1169" s="46">
        <f>'Data_in-situ'!DC351</f>
        <v>3</v>
      </c>
      <c r="Q1169" s="24">
        <f>'Data_in-situ'!DE351</f>
        <v>11338.017563286921</v>
      </c>
      <c r="R1169" s="24">
        <f>'Data_in-situ'!DF351</f>
        <v>1981.8390153148923</v>
      </c>
      <c r="S1169" s="46">
        <f>'Data_in-situ'!DG351</f>
        <v>3</v>
      </c>
      <c r="AF1169" s="113">
        <f>'Data_in-situ'!EN113</f>
        <v>18</v>
      </c>
      <c r="AG1169" s="113">
        <f>'Data_in-situ'!EO113</f>
        <v>7.3349351775232803</v>
      </c>
      <c r="AH1169" s="110">
        <f>'Data_in-situ'!EP113</f>
        <v>3</v>
      </c>
      <c r="AI1169" s="113">
        <f>'Data_in-situ'!ER113</f>
        <v>-25</v>
      </c>
      <c r="AJ1169" s="113">
        <f>'Data_in-situ'!ES113</f>
        <v>5.670351337729854</v>
      </c>
      <c r="AK1169" s="110">
        <f>'Data_in-situ'!ET113</f>
        <v>3</v>
      </c>
    </row>
    <row r="1170" spans="2:37" x14ac:dyDescent="0.3">
      <c r="B1170" s="24">
        <f>'Data_in-situ'!CA353</f>
        <v>-3420.20536553287</v>
      </c>
      <c r="C1170" s="24">
        <f>'Data_in-situ'!CB353</f>
        <v>2581.3476538531618</v>
      </c>
      <c r="D1170" s="46">
        <f>'Data_in-situ'!CC353</f>
        <v>3</v>
      </c>
      <c r="E1170" s="24">
        <f>'Data_in-situ'!CE353</f>
        <v>-7240.463722401516</v>
      </c>
      <c r="F1170" s="24">
        <f>'Data_in-situ'!CF353</f>
        <v>1430.8247194500545</v>
      </c>
      <c r="G1170" s="46">
        <f>'Data_in-situ'!CG353</f>
        <v>3</v>
      </c>
      <c r="H1170" s="24">
        <f>'Data_in-situ'!CN353</f>
        <v>3050.2701206745783</v>
      </c>
      <c r="I1170" s="24">
        <f>'Data_in-situ'!CO353</f>
        <v>3364.4645178084379</v>
      </c>
      <c r="J1170" s="46">
        <f>'Data_in-situ'!CP353</f>
        <v>3</v>
      </c>
      <c r="K1170" s="24">
        <f>'Data_in-situ'!CR353</f>
        <v>7768.1278671058117</v>
      </c>
      <c r="L1170" s="24">
        <f>'Data_in-situ'!CS353</f>
        <v>631.5369644231871</v>
      </c>
      <c r="M1170" s="46">
        <f>'Data_in-situ'!CT353</f>
        <v>3</v>
      </c>
      <c r="N1170" s="24">
        <f>'Data_in-situ'!DA352</f>
        <v>-65.821682153624351</v>
      </c>
      <c r="O1170" s="24">
        <f>'Data_in-situ'!DB352</f>
        <v>2444.1125484173954</v>
      </c>
      <c r="P1170" s="46">
        <f>'Data_in-situ'!DC352</f>
        <v>3</v>
      </c>
      <c r="Q1170" s="24">
        <f>'Data_in-situ'!DE352</f>
        <v>2804.9514685184622</v>
      </c>
      <c r="R1170" s="24">
        <f>'Data_in-situ'!DF352</f>
        <v>528.03532028319501</v>
      </c>
      <c r="S1170" s="46">
        <f>'Data_in-situ'!DG352</f>
        <v>3</v>
      </c>
      <c r="AF1170" s="113">
        <f>'Data_in-situ'!EN114</f>
        <v>14</v>
      </c>
      <c r="AG1170" s="113">
        <f>'Data_in-situ'!EO114</f>
        <v>5.7049495825181067</v>
      </c>
      <c r="AH1170" s="110">
        <f>'Data_in-situ'!EP114</f>
        <v>3</v>
      </c>
      <c r="AI1170" s="113">
        <f>'Data_in-situ'!ER114</f>
        <v>-31</v>
      </c>
      <c r="AJ1170" s="113">
        <f>'Data_in-situ'!ES114</f>
        <v>7.0312356587850191</v>
      </c>
      <c r="AK1170" s="110">
        <f>'Data_in-situ'!ET114</f>
        <v>3</v>
      </c>
    </row>
    <row r="1171" spans="2:37" x14ac:dyDescent="0.3">
      <c r="B1171" s="24">
        <f>'Data_in-situ'!CA401</f>
        <v>-252.97619047619</v>
      </c>
      <c r="C1171" s="24">
        <f>'Data_in-situ'!CB401</f>
        <v>61.678241517097945</v>
      </c>
      <c r="D1171" s="46">
        <f>'Data_in-situ'!CC401</f>
        <v>1</v>
      </c>
      <c r="E1171" s="24">
        <f>'Data_in-situ'!CE401</f>
        <v>-259.32892988544108</v>
      </c>
      <c r="F1171" s="24">
        <f>'Data_in-situ'!CF401</f>
        <v>96.540146410153937</v>
      </c>
      <c r="G1171" s="46">
        <f>'Data_in-situ'!CG401</f>
        <v>1</v>
      </c>
      <c r="H1171" s="24">
        <f>'Data_in-situ'!CN401</f>
        <v>243.00271458600855</v>
      </c>
      <c r="I1171" s="24">
        <f>'Data_in-situ'!CO401</f>
        <v>69.894216997580699</v>
      </c>
      <c r="J1171" s="46">
        <f>'Data_in-situ'!CP401</f>
        <v>1</v>
      </c>
      <c r="K1171" s="24">
        <f>'Data_in-situ'!CR401</f>
        <v>278.68155282729083</v>
      </c>
      <c r="L1171" s="24">
        <f>'Data_in-situ'!CS401</f>
        <v>73.123578700198763</v>
      </c>
      <c r="M1171" s="46">
        <f>'Data_in-situ'!CT401</f>
        <v>1</v>
      </c>
      <c r="N1171" s="24">
        <f>'Data_in-situ'!DA353</f>
        <v>-369.93524485829175</v>
      </c>
      <c r="O1171" s="24">
        <f>'Data_in-situ'!DB353</f>
        <v>430.23040896760483</v>
      </c>
      <c r="P1171" s="46">
        <f>'Data_in-situ'!DC353</f>
        <v>3</v>
      </c>
      <c r="Q1171" s="24">
        <f>'Data_in-situ'!DE353</f>
        <v>527.66414470429572</v>
      </c>
      <c r="R1171" s="24">
        <f>'Data_in-situ'!DF353</f>
        <v>650.28157743771067</v>
      </c>
      <c r="S1171" s="46">
        <f>'Data_in-situ'!DG353</f>
        <v>3</v>
      </c>
      <c r="AF1171" s="113">
        <f>'Data_in-situ'!EN115</f>
        <v>8</v>
      </c>
      <c r="AG1171" s="113">
        <f>'Data_in-situ'!EO115</f>
        <v>3.2599711900103467</v>
      </c>
      <c r="AH1171" s="110">
        <f>'Data_in-situ'!EP115</f>
        <v>3</v>
      </c>
      <c r="AI1171" s="113">
        <f>'Data_in-situ'!ER115</f>
        <v>-30</v>
      </c>
      <c r="AJ1171" s="113">
        <f>'Data_in-situ'!ES115</f>
        <v>6.8044216052758255</v>
      </c>
      <c r="AK1171" s="110">
        <f>'Data_in-situ'!ET115</f>
        <v>3</v>
      </c>
    </row>
    <row r="1172" spans="2:37" x14ac:dyDescent="0.3">
      <c r="B1172" s="24">
        <f>'Data_in-situ'!CA404</f>
        <v>-1190.8947368421052</v>
      </c>
      <c r="C1172" s="24">
        <f>'Data_in-situ'!CB404</f>
        <v>8.1728070175438585</v>
      </c>
      <c r="D1172" s="46">
        <f>'Data_in-situ'!CC404</f>
        <v>4</v>
      </c>
      <c r="E1172" s="24">
        <f>'Data_in-situ'!CE404</f>
        <v>-1647.1117744611581</v>
      </c>
      <c r="F1172" s="24">
        <f>'Data_in-situ'!CF404</f>
        <v>42.213296514097145</v>
      </c>
      <c r="G1172" s="46">
        <f>'Data_in-situ'!CG404</f>
        <v>4</v>
      </c>
      <c r="H1172" s="24">
        <f>'Data_in-situ'!CN404</f>
        <v>1173.6539891420518</v>
      </c>
      <c r="I1172" s="24">
        <f>'Data_in-situ'!CO404</f>
        <v>59.312279426335792</v>
      </c>
      <c r="J1172" s="46">
        <f>'Data_in-situ'!CP404</f>
        <v>4</v>
      </c>
      <c r="K1172" s="24">
        <f>'Data_in-situ'!CR404</f>
        <v>1113.3378134148315</v>
      </c>
      <c r="L1172" s="24">
        <f>'Data_in-situ'!CS404</f>
        <v>77.030208091757075</v>
      </c>
      <c r="M1172" s="46">
        <f>'Data_in-situ'!CT404</f>
        <v>4</v>
      </c>
      <c r="N1172" s="24">
        <f>'Data_in-situ'!DA401</f>
        <v>-9.9734758901814473</v>
      </c>
      <c r="O1172" s="24">
        <f>'Data_in-situ'!DB401</f>
        <v>29.917002366881579</v>
      </c>
      <c r="P1172" s="46">
        <f>'Data_in-situ'!DC401</f>
        <v>1</v>
      </c>
      <c r="Q1172" s="24">
        <f>'Data_in-situ'!DE401</f>
        <v>19.352622941849745</v>
      </c>
      <c r="R1172" s="24">
        <f>'Data_in-situ'!DF401</f>
        <v>18.445813107824229</v>
      </c>
      <c r="S1172" s="46">
        <f>'Data_in-situ'!DG401</f>
        <v>1</v>
      </c>
      <c r="AF1172" s="113">
        <f>'Data_in-situ'!EN116</f>
        <v>55</v>
      </c>
      <c r="AG1172" s="113">
        <f>'Data_in-situ'!EO116</f>
        <v>22.412301931321135</v>
      </c>
      <c r="AH1172" s="110">
        <f>'Data_in-situ'!EP116</f>
        <v>3</v>
      </c>
      <c r="AI1172" s="113">
        <f>'Data_in-situ'!ER116</f>
        <v>-30</v>
      </c>
      <c r="AJ1172" s="113">
        <f>'Data_in-situ'!ES116</f>
        <v>6.8044216052758255</v>
      </c>
      <c r="AK1172" s="110">
        <f>'Data_in-situ'!ET116</f>
        <v>3</v>
      </c>
    </row>
    <row r="1173" spans="2:37" x14ac:dyDescent="0.3">
      <c r="B1173" s="24">
        <f>'Data_in-situ'!CA405</f>
        <v>-1587.859649122807</v>
      </c>
      <c r="C1173" s="24">
        <f>'Data_in-situ'!CB405</f>
        <v>7.4722807017543857</v>
      </c>
      <c r="D1173" s="46">
        <f>'Data_in-situ'!CC405</f>
        <v>4</v>
      </c>
      <c r="E1173" s="24">
        <f>'Data_in-situ'!CE405</f>
        <v>-1598.6673105064185</v>
      </c>
      <c r="F1173" s="24">
        <f>'Data_in-situ'!CF405</f>
        <v>44.336749279956244</v>
      </c>
      <c r="G1173" s="46">
        <f>'Data_in-situ'!CG405</f>
        <v>4</v>
      </c>
      <c r="H1173" s="24">
        <f>'Data_in-situ'!CN405</f>
        <v>1001.8997468285809</v>
      </c>
      <c r="I1173" s="24">
        <f>'Data_in-situ'!CO405</f>
        <v>31.53551699296025</v>
      </c>
      <c r="J1173" s="46">
        <f>'Data_in-situ'!CP405</f>
        <v>4</v>
      </c>
      <c r="K1173" s="24">
        <f>'Data_in-situ'!CR405</f>
        <v>1031.8740709698438</v>
      </c>
      <c r="L1173" s="24">
        <f>'Data_in-situ'!CS405</f>
        <v>95.91547767591031</v>
      </c>
      <c r="M1173" s="46">
        <f>'Data_in-situ'!CT405</f>
        <v>4</v>
      </c>
      <c r="N1173" s="24">
        <f>'Data_in-situ'!DA404</f>
        <v>-17.240747700053362</v>
      </c>
      <c r="O1173" s="24">
        <f>'Data_in-situ'!DB404</f>
        <v>1.8994060532667709</v>
      </c>
      <c r="P1173" s="46">
        <f>'Data_in-situ'!DC404</f>
        <v>4</v>
      </c>
      <c r="Q1173" s="24">
        <f>'Data_in-situ'!DE404</f>
        <v>-533.77396104632658</v>
      </c>
      <c r="R1173" s="24">
        <f>'Data_in-situ'!DF404</f>
        <v>650.20080041312121</v>
      </c>
      <c r="S1173" s="46">
        <f>'Data_in-situ'!DG404</f>
        <v>4</v>
      </c>
      <c r="AF1173" s="113">
        <f>'Data_in-situ'!EN117</f>
        <v>45</v>
      </c>
      <c r="AG1173" s="113">
        <f>'Data_in-situ'!EO117</f>
        <v>18.337337943808201</v>
      </c>
      <c r="AH1173" s="110">
        <f>'Data_in-situ'!EP117</f>
        <v>3</v>
      </c>
      <c r="AI1173" s="113">
        <f>'Data_in-situ'!ER117</f>
        <v>-32</v>
      </c>
      <c r="AJ1173" s="113">
        <f>'Data_in-situ'!ES117</f>
        <v>7.2580497122942136</v>
      </c>
      <c r="AK1173" s="110">
        <f>'Data_in-situ'!ET117</f>
        <v>3</v>
      </c>
    </row>
    <row r="1174" spans="2:37" x14ac:dyDescent="0.3">
      <c r="B1174" s="24">
        <f>'Data_in-situ'!CA406</f>
        <v>-1541.1578947368423</v>
      </c>
      <c r="C1174" s="24">
        <f>'Data_in-situ'!CB406</f>
        <v>7.2387719298245612</v>
      </c>
      <c r="D1174" s="46">
        <f>'Data_in-situ'!CC406</f>
        <v>4</v>
      </c>
      <c r="E1174" s="24">
        <f>'Data_in-situ'!CE406</f>
        <v>-2325.3342698275173</v>
      </c>
      <c r="F1174" s="24">
        <f>'Data_in-situ'!CF406</f>
        <v>61.965584260203691</v>
      </c>
      <c r="G1174" s="46">
        <f>'Data_in-situ'!CG406</f>
        <v>4</v>
      </c>
      <c r="H1174" s="24">
        <f>'Data_in-situ'!CN406</f>
        <v>1345.4082314555228</v>
      </c>
      <c r="I1174" s="24">
        <f>'Data_in-situ'!CO406</f>
        <v>87.695812130506496</v>
      </c>
      <c r="J1174" s="46">
        <f>'Data_in-situ'!CP406</f>
        <v>4</v>
      </c>
      <c r="K1174" s="24">
        <f>'Data_in-situ'!CR406</f>
        <v>1031.8740709698438</v>
      </c>
      <c r="L1174" s="24">
        <f>'Data_in-situ'!CS406</f>
        <v>302.96098741004602</v>
      </c>
      <c r="M1174" s="46">
        <f>'Data_in-situ'!CT406</f>
        <v>4</v>
      </c>
      <c r="N1174" s="24">
        <f>'Data_in-situ'!DA405</f>
        <v>-585.95990229422614</v>
      </c>
      <c r="O1174" s="24">
        <f>'Data_in-situ'!DB405</f>
        <v>247.14424390137435</v>
      </c>
      <c r="P1174" s="46">
        <f>'Data_in-situ'!DC405</f>
        <v>4</v>
      </c>
      <c r="Q1174" s="24">
        <f>'Data_in-situ'!DE405</f>
        <v>-566.79323953657467</v>
      </c>
      <c r="R1174" s="24">
        <f>'Data_in-situ'!DF405</f>
        <v>690.43890345404782</v>
      </c>
      <c r="S1174" s="46">
        <f>'Data_in-situ'!DG405</f>
        <v>4</v>
      </c>
      <c r="AF1174" s="113">
        <f>'Data_in-situ'!EN118</f>
        <v>37</v>
      </c>
      <c r="AG1174" s="113">
        <f>'Data_in-situ'!EO118</f>
        <v>15.077366753797854</v>
      </c>
      <c r="AH1174" s="110">
        <f>'Data_in-situ'!EP118</f>
        <v>3</v>
      </c>
      <c r="AI1174" s="113">
        <f>'Data_in-situ'!ER118</f>
        <v>-39</v>
      </c>
      <c r="AJ1174" s="113">
        <f>'Data_in-situ'!ES118</f>
        <v>8.8457480868585723</v>
      </c>
      <c r="AK1174" s="110">
        <f>'Data_in-situ'!ET118</f>
        <v>3</v>
      </c>
    </row>
    <row r="1175" spans="2:37" x14ac:dyDescent="0.3">
      <c r="B1175" s="24">
        <f>'Data_in-situ'!CA407</f>
        <v>-2129.6</v>
      </c>
      <c r="C1175" s="24">
        <f>'Data_in-situ'!CB407</f>
        <v>6.8256410256410263</v>
      </c>
      <c r="D1175" s="46">
        <f>'Data_in-situ'!CC407</f>
        <v>4</v>
      </c>
      <c r="E1175" s="24">
        <f>'Data_in-situ'!CE407</f>
        <v>-2860.45927166603</v>
      </c>
      <c r="F1175" s="24">
        <f>'Data_in-situ'!CF407</f>
        <v>83.041731299949717</v>
      </c>
      <c r="G1175" s="46">
        <f>'Data_in-situ'!CG407</f>
        <v>4</v>
      </c>
      <c r="H1175" s="24">
        <f>'Data_in-situ'!CN407</f>
        <v>1355.5373277970868</v>
      </c>
      <c r="I1175" s="24">
        <f>'Data_in-situ'!CO407</f>
        <v>118.50504120960676</v>
      </c>
      <c r="J1175" s="46">
        <f>'Data_in-situ'!CP407</f>
        <v>4</v>
      </c>
      <c r="K1175" s="24">
        <f>'Data_in-situ'!CR407</f>
        <v>1460.4986850650098</v>
      </c>
      <c r="L1175" s="24">
        <f>'Data_in-situ'!CS407</f>
        <v>101.18634540814155</v>
      </c>
      <c r="M1175" s="46">
        <f>'Data_in-situ'!CT407</f>
        <v>4</v>
      </c>
      <c r="N1175" s="24">
        <f>'Data_in-situ'!DA406</f>
        <v>-195.7496632813195</v>
      </c>
      <c r="O1175" s="24">
        <f>'Data_in-situ'!DB406</f>
        <v>14.333494088181441</v>
      </c>
      <c r="P1175" s="46">
        <f>'Data_in-situ'!DC406</f>
        <v>4</v>
      </c>
      <c r="Q1175" s="24">
        <f>'Data_in-situ'!DE406</f>
        <v>-1293.4601988576735</v>
      </c>
      <c r="R1175" s="24">
        <f>'Data_in-situ'!DF406</f>
        <v>1575.5989774270381</v>
      </c>
      <c r="S1175" s="46">
        <f>'Data_in-situ'!DG406</f>
        <v>4</v>
      </c>
      <c r="AF1175" s="113">
        <f>'Data_in-situ'!EN119</f>
        <v>24</v>
      </c>
      <c r="AG1175" s="113">
        <f>'Data_in-situ'!EO119</f>
        <v>9.7799135700310398</v>
      </c>
      <c r="AH1175" s="110">
        <f>'Data_in-situ'!EP119</f>
        <v>3</v>
      </c>
      <c r="AI1175" s="113">
        <f>'Data_in-situ'!ER119</f>
        <v>-36</v>
      </c>
      <c r="AJ1175" s="113">
        <f>'Data_in-situ'!ES119</f>
        <v>8.1653059263309906</v>
      </c>
      <c r="AK1175" s="110">
        <f>'Data_in-situ'!ET119</f>
        <v>3</v>
      </c>
    </row>
    <row r="1176" spans="2:37" x14ac:dyDescent="0.3">
      <c r="B1176" s="24">
        <f>'Data_in-situ'!CA408</f>
        <v>-2259.2871794871794</v>
      </c>
      <c r="C1176" s="24">
        <f>'Data_in-situ'!CB408</f>
        <v>13.651282051282053</v>
      </c>
      <c r="D1176" s="46">
        <f>'Data_in-situ'!CC408</f>
        <v>4</v>
      </c>
      <c r="E1176" s="24">
        <f>'Data_in-situ'!CE408</f>
        <v>-1940.0144565259704</v>
      </c>
      <c r="F1176" s="24">
        <f>'Data_in-situ'!CF408</f>
        <v>56.070928981894077</v>
      </c>
      <c r="G1176" s="46">
        <f>'Data_in-situ'!CG408</f>
        <v>4</v>
      </c>
      <c r="H1176" s="24">
        <f>'Data_in-situ'!CN408</f>
        <v>1857.5881899441558</v>
      </c>
      <c r="I1176" s="24">
        <f>'Data_in-situ'!CO408</f>
        <v>103.36331194089117</v>
      </c>
      <c r="J1176" s="46">
        <f>'Data_in-situ'!CP408</f>
        <v>4</v>
      </c>
      <c r="K1176" s="24">
        <f>'Data_in-situ'!CR408</f>
        <v>1587.498570722837</v>
      </c>
      <c r="L1176" s="24">
        <f>'Data_in-situ'!CS408</f>
        <v>105.69113003255019</v>
      </c>
      <c r="M1176" s="46">
        <f>'Data_in-situ'!CT408</f>
        <v>4</v>
      </c>
      <c r="N1176" s="24">
        <f>'Data_in-situ'!DA407</f>
        <v>-774.06267220291306</v>
      </c>
      <c r="O1176" s="24">
        <f>'Data_in-situ'!DB407</f>
        <v>326.74240251044733</v>
      </c>
      <c r="P1176" s="46">
        <f>'Data_in-situ'!DC407</f>
        <v>4</v>
      </c>
      <c r="Q1176" s="24">
        <f>'Data_in-situ'!DE407</f>
        <v>-1399.9605866010202</v>
      </c>
      <c r="R1176" s="24">
        <f>'Data_in-situ'!DF407</f>
        <v>96.005553517597278</v>
      </c>
      <c r="S1176" s="46">
        <f>'Data_in-situ'!DG407</f>
        <v>4</v>
      </c>
      <c r="AF1176" s="113">
        <f>'Data_in-situ'!EN120</f>
        <v>60</v>
      </c>
      <c r="AG1176" s="113">
        <f>'Data_in-situ'!EO120</f>
        <v>24.4497839250776</v>
      </c>
      <c r="AH1176" s="110">
        <f>'Data_in-situ'!EP120</f>
        <v>3</v>
      </c>
      <c r="AI1176" s="113">
        <f>'Data_in-situ'!ER120</f>
        <v>-38</v>
      </c>
      <c r="AJ1176" s="113">
        <f>'Data_in-situ'!ES120</f>
        <v>8.6189340333493778</v>
      </c>
      <c r="AK1176" s="110">
        <f>'Data_in-situ'!ET120</f>
        <v>3</v>
      </c>
    </row>
    <row r="1177" spans="2:37" x14ac:dyDescent="0.3">
      <c r="B1177" s="24">
        <f>'Data_in-situ'!CA413</f>
        <v>-13417.445102313484</v>
      </c>
      <c r="C1177" s="24">
        <f>'Data_in-situ'!CB413</f>
        <v>2513.9989496861413</v>
      </c>
      <c r="D1177" s="46">
        <f>'Data_in-situ'!CC413</f>
        <v>3</v>
      </c>
      <c r="E1177" s="24">
        <f>'Data_in-situ'!CE413</f>
        <v>-10261.140414323805</v>
      </c>
      <c r="F1177" s="24">
        <f>'Data_in-situ'!CF413</f>
        <v>928.25974642230233</v>
      </c>
      <c r="G1177" s="46">
        <f>'Data_in-situ'!CG413</f>
        <v>3</v>
      </c>
      <c r="H1177" s="24">
        <f>'Data_in-situ'!CN413</f>
        <v>12328.007487080895</v>
      </c>
      <c r="I1177" s="24">
        <f>'Data_in-situ'!CO413</f>
        <v>1844.6484474290598</v>
      </c>
      <c r="J1177" s="46">
        <f>'Data_in-situ'!CP413</f>
        <v>3</v>
      </c>
      <c r="K1177" s="24">
        <f>'Data_in-situ'!CR413</f>
        <v>10779.460950989149</v>
      </c>
      <c r="L1177" s="24">
        <f>'Data_in-situ'!CS413</f>
        <v>1426.079653929331</v>
      </c>
      <c r="M1177" s="46">
        <f>'Data_in-situ'!CT413</f>
        <v>3</v>
      </c>
      <c r="N1177" s="24">
        <f>'Data_in-situ'!DA408</f>
        <v>-401.69898954302357</v>
      </c>
      <c r="O1177" s="24">
        <f>'Data_in-situ'!DB408</f>
        <v>32.172723320258399</v>
      </c>
      <c r="P1177" s="46">
        <f>'Data_in-situ'!DC408</f>
        <v>4</v>
      </c>
      <c r="Q1177" s="24">
        <f>'Data_in-situ'!DE408</f>
        <v>-352.51588580313341</v>
      </c>
      <c r="R1177" s="24">
        <f>'Data_in-situ'!DF408</f>
        <v>429.43708601551509</v>
      </c>
      <c r="S1177" s="46">
        <f>'Data_in-situ'!DG408</f>
        <v>4</v>
      </c>
      <c r="AF1177" s="113">
        <f>'Data_in-situ'!EN121</f>
        <v>41</v>
      </c>
      <c r="AG1177" s="113">
        <f>'Data_in-situ'!EO121</f>
        <v>16.707352348803028</v>
      </c>
      <c r="AH1177" s="110">
        <f>'Data_in-situ'!EP121</f>
        <v>3</v>
      </c>
      <c r="AI1177" s="113">
        <f>'Data_in-situ'!ER121</f>
        <v>-31</v>
      </c>
      <c r="AJ1177" s="113">
        <f>'Data_in-situ'!ES121</f>
        <v>7.0312356587850191</v>
      </c>
      <c r="AK1177" s="110">
        <f>'Data_in-situ'!ET121</f>
        <v>3</v>
      </c>
    </row>
    <row r="1178" spans="2:37" x14ac:dyDescent="0.3">
      <c r="B1178" s="24">
        <f>'Data_in-situ'!CA415</f>
        <v>-17995.009527856251</v>
      </c>
      <c r="C1178" s="24">
        <f>'Data_in-situ'!CB415</f>
        <v>1848.1534882558306</v>
      </c>
      <c r="D1178" s="46">
        <f>'Data_in-situ'!CC415</f>
        <v>3</v>
      </c>
      <c r="E1178" s="24">
        <f>'Data_in-situ'!CE415</f>
        <v>-2054.5525514059905</v>
      </c>
      <c r="F1178" s="24">
        <f>'Data_in-situ'!CF415</f>
        <v>2813.7544962882453</v>
      </c>
      <c r="G1178" s="46">
        <f>'Data_in-situ'!CG415</f>
        <v>3</v>
      </c>
      <c r="H1178" s="24">
        <f>'Data_in-situ'!CN415</f>
        <v>11579.692563738146</v>
      </c>
      <c r="I1178" s="24">
        <f>'Data_in-situ'!CO415</f>
        <v>6378.0768142690904</v>
      </c>
      <c r="J1178" s="46">
        <f>'Data_in-situ'!CP415</f>
        <v>3</v>
      </c>
      <c r="K1178" s="24">
        <f>'Data_in-situ'!CR415</f>
        <v>3447.3943707861481</v>
      </c>
      <c r="L1178" s="24">
        <f>'Data_in-situ'!CS415</f>
        <v>3117.4820932763982</v>
      </c>
      <c r="M1178" s="46">
        <f>'Data_in-situ'!CT415</f>
        <v>3</v>
      </c>
      <c r="N1178" s="24">
        <f>'Data_in-situ'!DA413</f>
        <v>-1089.4376152325895</v>
      </c>
      <c r="O1178" s="24">
        <f>'Data_in-situ'!DB413</f>
        <v>396.38137595921512</v>
      </c>
      <c r="P1178" s="46">
        <f>'Data_in-situ'!DC413</f>
        <v>3</v>
      </c>
      <c r="Q1178" s="24">
        <f>'Data_in-situ'!DE413</f>
        <v>518.32053666534375</v>
      </c>
      <c r="R1178" s="24">
        <f>'Data_in-situ'!DF413</f>
        <v>639.04094931753639</v>
      </c>
      <c r="S1178" s="46">
        <f>'Data_in-situ'!DG413</f>
        <v>3</v>
      </c>
      <c r="AF1178" s="113">
        <f>'Data_in-situ'!EN122</f>
        <v>65</v>
      </c>
      <c r="AG1178" s="113">
        <f>'Data_in-situ'!EO122</f>
        <v>26.487265918834066</v>
      </c>
      <c r="AH1178" s="110">
        <f>'Data_in-situ'!EP122</f>
        <v>3</v>
      </c>
      <c r="AI1178" s="113">
        <f>'Data_in-situ'!ER122</f>
        <v>-38</v>
      </c>
      <c r="AJ1178" s="113">
        <f>'Data_in-situ'!ES122</f>
        <v>8.6189340333493778</v>
      </c>
      <c r="AK1178" s="110">
        <f>'Data_in-situ'!ET122</f>
        <v>3</v>
      </c>
    </row>
    <row r="1179" spans="2:37" x14ac:dyDescent="0.3">
      <c r="B1179" s="24">
        <f>'Data_in-situ'!CA450</f>
        <v>-131193.33333333334</v>
      </c>
      <c r="C1179" s="24">
        <f>'Data_in-situ'!CB450</f>
        <v>31986.307025712227</v>
      </c>
      <c r="D1179" s="46">
        <f>'Data_in-situ'!CC450</f>
        <v>1</v>
      </c>
      <c r="E1179" s="24">
        <f>'Data_in-situ'!CE450</f>
        <v>-154036.66666666666</v>
      </c>
      <c r="F1179" s="24">
        <f>'Data_in-situ'!CF450</f>
        <v>57343.090719192958</v>
      </c>
      <c r="G1179" s="46">
        <f>'Data_in-situ'!CG450</f>
        <v>1</v>
      </c>
      <c r="H1179" s="24">
        <f>'Data_in-situ'!CN450</f>
        <v>146923.33333333334</v>
      </c>
      <c r="I1179" s="24">
        <f>'Data_in-situ'!CO450</f>
        <v>42259.163069444774</v>
      </c>
      <c r="J1179" s="46">
        <f>'Data_in-situ'!CP450</f>
        <v>1</v>
      </c>
      <c r="K1179" s="24">
        <f>'Data_in-situ'!CR450</f>
        <v>176366.66666666666</v>
      </c>
      <c r="L1179" s="24">
        <f>'Data_in-situ'!CS450</f>
        <v>46277.056013406785</v>
      </c>
      <c r="M1179" s="46">
        <f>'Data_in-situ'!CT450</f>
        <v>1</v>
      </c>
      <c r="N1179" s="24">
        <f>'Data_in-situ'!DA415</f>
        <v>-6415.3169641181039</v>
      </c>
      <c r="O1179" s="24">
        <f>'Data_in-situ'!DB415</f>
        <v>6104.4403947098008</v>
      </c>
      <c r="P1179" s="46">
        <f>'Data_in-situ'!DC415</f>
        <v>3</v>
      </c>
      <c r="Q1179" s="24">
        <f>'Data_in-situ'!DE415</f>
        <v>1392.8418193801579</v>
      </c>
      <c r="R1179" s="24">
        <f>'Data_in-situ'!DF415</f>
        <v>1342.1923247123252</v>
      </c>
      <c r="S1179" s="46">
        <f>'Data_in-situ'!DG415</f>
        <v>3</v>
      </c>
      <c r="AF1179" s="113">
        <f>'Data_in-situ'!EN123</f>
        <v>50</v>
      </c>
      <c r="AG1179" s="113">
        <f>'Data_in-situ'!EO123</f>
        <v>20.374819937564666</v>
      </c>
      <c r="AH1179" s="110">
        <f>'Data_in-situ'!EP123</f>
        <v>3</v>
      </c>
      <c r="AI1179" s="113">
        <f>'Data_in-situ'!ER123</f>
        <v>-34</v>
      </c>
      <c r="AJ1179" s="113">
        <f>'Data_in-situ'!ES123</f>
        <v>7.7116778193126017</v>
      </c>
      <c r="AK1179" s="110">
        <f>'Data_in-situ'!ET123</f>
        <v>3</v>
      </c>
    </row>
    <row r="1180" spans="2:37" x14ac:dyDescent="0.3">
      <c r="B1180" s="24">
        <f>'Data_in-situ'!CA451</f>
        <v>-138600</v>
      </c>
      <c r="C1180" s="24">
        <f>'Data_in-situ'!CB451</f>
        <v>33792.129837113527</v>
      </c>
      <c r="D1180" s="46">
        <f>'Data_in-situ'!CC451</f>
        <v>1</v>
      </c>
      <c r="E1180" s="24">
        <f>'Data_in-situ'!CE451</f>
        <v>-152680</v>
      </c>
      <c r="F1180" s="24">
        <f>'Data_in-situ'!CF451</f>
        <v>56838.04564501773</v>
      </c>
      <c r="G1180" s="46">
        <f>'Data_in-situ'!CG451</f>
        <v>1</v>
      </c>
      <c r="H1180" s="24">
        <f>'Data_in-situ'!CN451</f>
        <v>150003.33333333334</v>
      </c>
      <c r="I1180" s="24">
        <f>'Data_in-situ'!CO451</f>
        <v>43145.055182704913</v>
      </c>
      <c r="J1180" s="46">
        <f>'Data_in-situ'!CP451</f>
        <v>1</v>
      </c>
      <c r="K1180" s="24">
        <f>'Data_in-situ'!CR451</f>
        <v>173836.66666666666</v>
      </c>
      <c r="L1180" s="24">
        <f>'Data_in-situ'!CS451</f>
        <v>45613.206353339207</v>
      </c>
      <c r="M1180" s="46">
        <f>'Data_in-situ'!CT451</f>
        <v>1</v>
      </c>
      <c r="N1180" s="24">
        <f>'Data_in-situ'!DA450</f>
        <v>15730</v>
      </c>
      <c r="O1180" s="24">
        <f>'Data_in-situ'!DB450</f>
        <v>47184.597668134105</v>
      </c>
      <c r="P1180" s="46">
        <f>'Data_in-situ'!DC450</f>
        <v>1</v>
      </c>
      <c r="Q1180" s="24">
        <f>'Data_in-situ'!DE450</f>
        <v>22330</v>
      </c>
      <c r="R1180" s="24">
        <f>'Data_in-situ'!DF450</f>
        <v>21283.678596713551</v>
      </c>
      <c r="S1180" s="46">
        <f>'Data_in-situ'!DG450</f>
        <v>1</v>
      </c>
      <c r="AF1180" s="113">
        <f>'Data_in-situ'!EN124</f>
        <v>15</v>
      </c>
      <c r="AG1180" s="113">
        <f>'Data_in-situ'!EO124</f>
        <v>6.1124459812694001</v>
      </c>
      <c r="AH1180" s="110">
        <f>'Data_in-situ'!EP124</f>
        <v>3</v>
      </c>
      <c r="AI1180" s="113">
        <f>'Data_in-situ'!ER124</f>
        <v>-35</v>
      </c>
      <c r="AJ1180" s="113">
        <f>'Data_in-situ'!ES124</f>
        <v>7.9384918728217961</v>
      </c>
      <c r="AK1180" s="110">
        <f>'Data_in-situ'!ET124</f>
        <v>3</v>
      </c>
    </row>
    <row r="1181" spans="2:37" x14ac:dyDescent="0.3">
      <c r="B1181" s="24">
        <f>'Data_in-situ'!CA452</f>
        <v>-135483.33333333334</v>
      </c>
      <c r="C1181" s="24">
        <f>'Data_in-situ'!CB452</f>
        <v>33032.253901622884</v>
      </c>
      <c r="D1181" s="46">
        <f>'Data_in-situ'!CC452</f>
        <v>1</v>
      </c>
      <c r="E1181" s="24">
        <f>'Data_in-situ'!CE452</f>
        <v>-150663.33333333334</v>
      </c>
      <c r="F1181" s="24">
        <f>'Data_in-situ'!CF452</f>
        <v>56087.302967189695</v>
      </c>
      <c r="G1181" s="46">
        <f>'Data_in-situ'!CG452</f>
        <v>1</v>
      </c>
      <c r="H1181" s="24">
        <f>'Data_in-situ'!CN452</f>
        <v>139810</v>
      </c>
      <c r="I1181" s="24">
        <f>'Data_in-situ'!CO452</f>
        <v>40213.174141201132</v>
      </c>
      <c r="J1181" s="46">
        <f>'Data_in-situ'!CP452</f>
        <v>1</v>
      </c>
      <c r="K1181" s="24">
        <f>'Data_in-situ'!CR452</f>
        <v>166356.66666666666</v>
      </c>
      <c r="L1181" s="24">
        <f>'Data_in-situ'!CS452</f>
        <v>43650.520401835049</v>
      </c>
      <c r="M1181" s="46">
        <f>'Data_in-situ'!CT452</f>
        <v>1</v>
      </c>
      <c r="N1181" s="24">
        <f>'Data_in-situ'!DA451</f>
        <v>11403.333333333334</v>
      </c>
      <c r="O1181" s="24">
        <f>'Data_in-situ'!DB451</f>
        <v>34206.08362421843</v>
      </c>
      <c r="P1181" s="46">
        <f>'Data_in-situ'!DC451</f>
        <v>1</v>
      </c>
      <c r="Q1181" s="24">
        <f>'Data_in-situ'!DE451</f>
        <v>21156.666666666668</v>
      </c>
      <c r="R1181" s="24">
        <f>'Data_in-situ'!DF451</f>
        <v>20165.32438473517</v>
      </c>
      <c r="S1181" s="46">
        <f>'Data_in-situ'!DG451</f>
        <v>1</v>
      </c>
      <c r="AF1181" s="113">
        <f>'Data_in-situ'!EN125</f>
        <v>17</v>
      </c>
      <c r="AG1181" s="113">
        <f>'Data_in-situ'!EO125</f>
        <v>6.9274387787719869</v>
      </c>
      <c r="AH1181" s="110">
        <f>'Data_in-situ'!EP125</f>
        <v>3</v>
      </c>
      <c r="AI1181" s="113">
        <f>'Data_in-situ'!ER125</f>
        <v>-37</v>
      </c>
      <c r="AJ1181" s="113">
        <f>'Data_in-situ'!ES125</f>
        <v>8.3921199798401851</v>
      </c>
      <c r="AK1181" s="110">
        <f>'Data_in-situ'!ET125</f>
        <v>3</v>
      </c>
    </row>
    <row r="1182" spans="2:37" x14ac:dyDescent="0.3">
      <c r="B1182" s="24">
        <f>'Data_in-situ'!CA462</f>
        <v>-51700</v>
      </c>
      <c r="C1182" s="24">
        <f>'Data_in-situ'!CB462</f>
        <v>12605.000812256634</v>
      </c>
      <c r="D1182" s="46">
        <f>'Data_in-situ'!CC462</f>
        <v>1</v>
      </c>
      <c r="E1182" s="24">
        <f>'Data_in-situ'!CE462</f>
        <v>-15510</v>
      </c>
      <c r="F1182" s="24">
        <f>'Data_in-situ'!CF462</f>
        <v>5773.8936858411389</v>
      </c>
      <c r="G1182" s="46">
        <f>'Data_in-situ'!CG462</f>
        <v>1</v>
      </c>
      <c r="H1182" s="24">
        <f>'Data_in-situ'!CN462</f>
        <v>39196.666666666664</v>
      </c>
      <c r="I1182" s="24">
        <f>'Data_in-situ'!CO462</f>
        <v>11274.031774703384</v>
      </c>
      <c r="J1182" s="46">
        <f>'Data_in-situ'!CP462</f>
        <v>1</v>
      </c>
      <c r="K1182" s="24">
        <f>'Data_in-situ'!CR462</f>
        <v>35236.666666666664</v>
      </c>
      <c r="L1182" s="24">
        <f>'Data_in-situ'!CS462</f>
        <v>9245.7901931151609</v>
      </c>
      <c r="M1182" s="46">
        <f>'Data_in-situ'!CT462</f>
        <v>1</v>
      </c>
      <c r="N1182" s="24">
        <f>'Data_in-situ'!DA452</f>
        <v>4326.666666666667</v>
      </c>
      <c r="O1182" s="24">
        <f>'Data_in-situ'!DB452</f>
        <v>12978.514043915675</v>
      </c>
      <c r="P1182" s="46">
        <f>'Data_in-situ'!DC452</f>
        <v>1</v>
      </c>
      <c r="Q1182" s="24">
        <f>'Data_in-situ'!DE452</f>
        <v>15693.333333333334</v>
      </c>
      <c r="R1182" s="24">
        <f>'Data_in-situ'!DF452</f>
        <v>14957.987585210836</v>
      </c>
      <c r="S1182" s="46">
        <f>'Data_in-situ'!DG452</f>
        <v>1</v>
      </c>
      <c r="AF1182" s="113">
        <f>'Data_in-situ'!EN126</f>
        <v>43</v>
      </c>
      <c r="AG1182" s="113">
        <f>'Data_in-situ'!EO126</f>
        <v>17.522345146305614</v>
      </c>
      <c r="AH1182" s="110">
        <f>'Data_in-situ'!EP126</f>
        <v>3</v>
      </c>
      <c r="AI1182" s="113">
        <f>'Data_in-situ'!ER126</f>
        <v>-31</v>
      </c>
      <c r="AJ1182" s="113">
        <f>'Data_in-situ'!ES126</f>
        <v>7.0312356587850191</v>
      </c>
      <c r="AK1182" s="110">
        <f>'Data_in-situ'!ET126</f>
        <v>3</v>
      </c>
    </row>
    <row r="1183" spans="2:37" x14ac:dyDescent="0.3">
      <c r="B1183" s="24">
        <f>'Data_in-situ'!CA463</f>
        <v>-52030</v>
      </c>
      <c r="C1183" s="24">
        <f>'Data_in-situ'!CB463</f>
        <v>12685.458264249761</v>
      </c>
      <c r="D1183" s="46">
        <f>'Data_in-situ'!CC463</f>
        <v>1</v>
      </c>
      <c r="E1183" s="24">
        <f>'Data_in-situ'!CE463</f>
        <v>-33366.666666666664</v>
      </c>
      <c r="F1183" s="24">
        <f>'Data_in-situ'!CF463</f>
        <v>12421.378851336727</v>
      </c>
      <c r="G1183" s="46">
        <f>'Data_in-situ'!CG463</f>
        <v>1</v>
      </c>
      <c r="H1183" s="24">
        <f>'Data_in-situ'!CN463</f>
        <v>53753.333333333336</v>
      </c>
      <c r="I1183" s="24">
        <f>'Data_in-situ'!CO463</f>
        <v>15460.926643325691</v>
      </c>
      <c r="J1183" s="46">
        <f>'Data_in-situ'!CP463</f>
        <v>1</v>
      </c>
      <c r="K1183" s="24">
        <f>'Data_in-situ'!CR463</f>
        <v>42936.666666666664</v>
      </c>
      <c r="L1183" s="24">
        <f>'Data_in-situ'!CS463</f>
        <v>11266.202202016497</v>
      </c>
      <c r="M1183" s="46">
        <f>'Data_in-situ'!CT463</f>
        <v>1</v>
      </c>
      <c r="N1183" s="24">
        <f>'Data_in-situ'!DA462</f>
        <v>-12503.333333333336</v>
      </c>
      <c r="O1183" s="24">
        <f>'Data_in-situ'!DB462</f>
        <v>37505.705838773269</v>
      </c>
      <c r="P1183" s="46">
        <f>'Data_in-situ'!DC462</f>
        <v>1</v>
      </c>
      <c r="Q1183" s="24">
        <f>'Data_in-situ'!DE462</f>
        <v>19726.666666666664</v>
      </c>
      <c r="R1183" s="24">
        <f>'Data_in-situ'!DF462</f>
        <v>18802.330188886517</v>
      </c>
      <c r="S1183" s="46">
        <f>'Data_in-situ'!DG462</f>
        <v>1</v>
      </c>
      <c r="AF1183" s="113">
        <f>'Data_in-situ'!EN127</f>
        <v>40</v>
      </c>
      <c r="AG1183" s="113">
        <f>'Data_in-situ'!EO127</f>
        <v>16.299855950051732</v>
      </c>
      <c r="AH1183" s="110">
        <f>'Data_in-situ'!EP127</f>
        <v>3</v>
      </c>
      <c r="AI1183" s="113">
        <f>'Data_in-situ'!ER127</f>
        <v>-30</v>
      </c>
      <c r="AJ1183" s="113">
        <f>'Data_in-situ'!ES127</f>
        <v>6.8044216052758255</v>
      </c>
      <c r="AK1183" s="110">
        <f>'Data_in-situ'!ET127</f>
        <v>3</v>
      </c>
    </row>
    <row r="1184" spans="2:37" x14ac:dyDescent="0.3">
      <c r="B1184" s="24">
        <f>'Data_in-situ'!CA464</f>
        <v>-51700</v>
      </c>
      <c r="C1184" s="24">
        <f>'Data_in-situ'!CB464</f>
        <v>12605.000812256634</v>
      </c>
      <c r="D1184" s="46">
        <f>'Data_in-situ'!CC464</f>
        <v>1</v>
      </c>
      <c r="E1184" s="24">
        <f>'Data_in-situ'!CE464</f>
        <v>-15510</v>
      </c>
      <c r="F1184" s="24">
        <f>'Data_in-situ'!CF464</f>
        <v>5773.8936858411389</v>
      </c>
      <c r="G1184" s="46">
        <f>'Data_in-situ'!CG464</f>
        <v>1</v>
      </c>
      <c r="H1184" s="24">
        <f>'Data_in-situ'!CN464</f>
        <v>39196.666666666664</v>
      </c>
      <c r="I1184" s="24">
        <f>'Data_in-situ'!CO464</f>
        <v>11274.031774703384</v>
      </c>
      <c r="J1184" s="46">
        <f>'Data_in-situ'!CP464</f>
        <v>1</v>
      </c>
      <c r="K1184" s="24">
        <f>'Data_in-situ'!CR464</f>
        <v>35236.666666666664</v>
      </c>
      <c r="L1184" s="24">
        <f>'Data_in-situ'!CS464</f>
        <v>9245.7901931151609</v>
      </c>
      <c r="M1184" s="46">
        <f>'Data_in-situ'!CT464</f>
        <v>1</v>
      </c>
      <c r="N1184" s="24">
        <f>'Data_in-situ'!DA463</f>
        <v>1723.3333333333358</v>
      </c>
      <c r="O1184" s="24">
        <f>'Data_in-situ'!DB463</f>
        <v>5169.4081361359113</v>
      </c>
      <c r="P1184" s="46">
        <f>'Data_in-situ'!DC463</f>
        <v>1</v>
      </c>
      <c r="Q1184" s="24">
        <f>'Data_in-situ'!DE463</f>
        <v>9570</v>
      </c>
      <c r="R1184" s="24">
        <f>'Data_in-situ'!DF463</f>
        <v>9121.5765414486632</v>
      </c>
      <c r="S1184" s="46">
        <f>'Data_in-situ'!DG463</f>
        <v>1</v>
      </c>
      <c r="T1184" s="113">
        <f>'Data_in-situ'!DN166</f>
        <v>-0.52800000000000002</v>
      </c>
      <c r="U1184" s="113">
        <f>'Data_in-situ'!DO166</f>
        <v>0.5886562646764405</v>
      </c>
      <c r="V1184" s="46">
        <f>'Data_in-situ'!DP166</f>
        <v>4</v>
      </c>
      <c r="W1184" s="113">
        <f>'Data_in-situ'!DR166</f>
        <v>-0.26133333333333336</v>
      </c>
      <c r="X1184" s="113">
        <f>'Data_in-situ'!DS166</f>
        <v>0.97665919166357074</v>
      </c>
      <c r="Y1184" s="46">
        <f>'Data_in-situ'!DT166</f>
        <v>4</v>
      </c>
      <c r="AF1184" s="113">
        <f>'Data_in-situ'!EN166</f>
        <v>-76</v>
      </c>
      <c r="AG1184" s="113">
        <f>'Data_in-situ'!EO166</f>
        <v>30.969726305098295</v>
      </c>
      <c r="AH1184" s="110">
        <f>'Data_in-situ'!EP166</f>
        <v>4</v>
      </c>
      <c r="AI1184" s="113">
        <f>'Data_in-situ'!ER166</f>
        <v>-84</v>
      </c>
      <c r="AJ1184" s="113">
        <f>'Data_in-situ'!ES166</f>
        <v>19.052380494772311</v>
      </c>
      <c r="AK1184" s="110">
        <f>'Data_in-situ'!ET166</f>
        <v>4</v>
      </c>
    </row>
    <row r="1185" spans="2:37" x14ac:dyDescent="0.3">
      <c r="B1185" s="24">
        <f>'Data_in-situ'!CA465</f>
        <v>-52030</v>
      </c>
      <c r="C1185" s="24">
        <f>'Data_in-situ'!CB465</f>
        <v>12685.458264249761</v>
      </c>
      <c r="D1185" s="46">
        <f>'Data_in-situ'!CC465</f>
        <v>1</v>
      </c>
      <c r="E1185" s="24">
        <f>'Data_in-situ'!CE465</f>
        <v>-33366.666666666664</v>
      </c>
      <c r="F1185" s="24">
        <f>'Data_in-situ'!CF465</f>
        <v>12421.378851336727</v>
      </c>
      <c r="G1185" s="46">
        <f>'Data_in-situ'!CG465</f>
        <v>1</v>
      </c>
      <c r="H1185" s="24">
        <f>'Data_in-situ'!CN465</f>
        <v>53753.333333333336</v>
      </c>
      <c r="I1185" s="24">
        <f>'Data_in-situ'!CO465</f>
        <v>15460.926643325691</v>
      </c>
      <c r="J1185" s="46">
        <f>'Data_in-situ'!CP465</f>
        <v>1</v>
      </c>
      <c r="K1185" s="24">
        <f>'Data_in-situ'!CR465</f>
        <v>42936.666666666664</v>
      </c>
      <c r="L1185" s="24">
        <f>'Data_in-situ'!CS465</f>
        <v>11266.202202016497</v>
      </c>
      <c r="M1185" s="46">
        <f>'Data_in-situ'!CT465</f>
        <v>1</v>
      </c>
      <c r="N1185" s="24">
        <f>'Data_in-situ'!DA464</f>
        <v>-12503.333333333336</v>
      </c>
      <c r="O1185" s="24">
        <f>'Data_in-situ'!DB464</f>
        <v>37505.705838773269</v>
      </c>
      <c r="P1185" s="46">
        <f>'Data_in-situ'!DC464</f>
        <v>1</v>
      </c>
      <c r="Q1185" s="24">
        <f>'Data_in-situ'!DE464</f>
        <v>19726.666666666664</v>
      </c>
      <c r="R1185" s="24">
        <f>'Data_in-situ'!DF464</f>
        <v>18802.330188886517</v>
      </c>
      <c r="S1185" s="46">
        <f>'Data_in-situ'!DG464</f>
        <v>1</v>
      </c>
      <c r="T1185" s="113">
        <f>'Data_in-situ'!DN196</f>
        <v>20.372391781452269</v>
      </c>
      <c r="U1185" s="113">
        <f>'Data_in-situ'!DO196</f>
        <v>47.083328695005008</v>
      </c>
      <c r="V1185" s="46">
        <f>'Data_in-situ'!DP196</f>
        <v>3</v>
      </c>
      <c r="W1185" s="113">
        <f>'Data_in-situ'!DR196</f>
        <v>23.189276423209868</v>
      </c>
      <c r="X1185" s="113">
        <f>'Data_in-situ'!DS196</f>
        <v>55.90659464438842</v>
      </c>
      <c r="Y1185" s="46">
        <f>'Data_in-situ'!DT196</f>
        <v>3</v>
      </c>
      <c r="AF1185" s="113">
        <f>'Data_in-situ'!EN173</f>
        <v>-14.041514041514047</v>
      </c>
      <c r="AG1185" s="113">
        <f>'Data_in-situ'!EO173</f>
        <v>3.8618262026084285</v>
      </c>
      <c r="AH1185" s="110">
        <f>'Data_in-situ'!EP173</f>
        <v>3</v>
      </c>
      <c r="AI1185" s="113">
        <f>'Data_in-situ'!ER173</f>
        <v>-37.912087912087912</v>
      </c>
      <c r="AJ1185" s="113">
        <f>'Data_in-situ'!ES173</f>
        <v>6.2846687384361628</v>
      </c>
      <c r="AK1185" s="110">
        <f>'Data_in-situ'!ET173</f>
        <v>3</v>
      </c>
    </row>
    <row r="1186" spans="2:37" x14ac:dyDescent="0.3">
      <c r="B1186" s="24">
        <f>'Data_in-situ'!CA466</f>
        <v>-51700</v>
      </c>
      <c r="C1186" s="24">
        <f>'Data_in-situ'!CB466</f>
        <v>12605.000812256634</v>
      </c>
      <c r="D1186" s="46">
        <f>'Data_in-situ'!CC466</f>
        <v>1</v>
      </c>
      <c r="E1186" s="24">
        <f>'Data_in-situ'!CE466</f>
        <v>-15510</v>
      </c>
      <c r="F1186" s="24">
        <f>'Data_in-situ'!CF466</f>
        <v>5773.8936858411389</v>
      </c>
      <c r="G1186" s="46">
        <f>'Data_in-situ'!CG466</f>
        <v>1</v>
      </c>
      <c r="H1186" s="24">
        <f>'Data_in-situ'!CN466</f>
        <v>39196.666666666664</v>
      </c>
      <c r="I1186" s="24">
        <f>'Data_in-situ'!CO466</f>
        <v>11274.031774703384</v>
      </c>
      <c r="J1186" s="46">
        <f>'Data_in-situ'!CP466</f>
        <v>1</v>
      </c>
      <c r="K1186" s="24">
        <f>'Data_in-situ'!CR466</f>
        <v>35236.666666666664</v>
      </c>
      <c r="L1186" s="24">
        <f>'Data_in-situ'!CS466</f>
        <v>9245.7901931151609</v>
      </c>
      <c r="M1186" s="46">
        <f>'Data_in-situ'!CT466</f>
        <v>1</v>
      </c>
      <c r="N1186" s="24">
        <f>'Data_in-situ'!DA465</f>
        <v>1723.3333333333358</v>
      </c>
      <c r="O1186" s="24">
        <f>'Data_in-situ'!DB465</f>
        <v>5169.4081361359113</v>
      </c>
      <c r="P1186" s="46">
        <f>'Data_in-situ'!DC465</f>
        <v>1</v>
      </c>
      <c r="Q1186" s="24">
        <f>'Data_in-situ'!DE465</f>
        <v>9570</v>
      </c>
      <c r="R1186" s="24">
        <f>'Data_in-situ'!DF465</f>
        <v>9121.5765414486632</v>
      </c>
      <c r="S1186" s="46">
        <f>'Data_in-situ'!DG465</f>
        <v>1</v>
      </c>
      <c r="T1186" s="113">
        <f>'Data_in-situ'!DN206</f>
        <v>463.27543921409523</v>
      </c>
      <c r="U1186" s="113">
        <f>'Data_in-situ'!DO206</f>
        <v>273.82684401702096</v>
      </c>
      <c r="V1186" s="46">
        <f>'Data_in-situ'!DP206</f>
        <v>10</v>
      </c>
      <c r="W1186" s="113">
        <f>'Data_in-situ'!DR206</f>
        <v>96.95483735641497</v>
      </c>
      <c r="X1186" s="113">
        <f>'Data_in-situ'!DS206</f>
        <v>59.158355726925045</v>
      </c>
      <c r="Y1186" s="46">
        <f>'Data_in-situ'!DT206</f>
        <v>10</v>
      </c>
      <c r="AF1186" s="113">
        <f>'Data_in-situ'!EN174</f>
        <v>-8</v>
      </c>
      <c r="AG1186" s="113">
        <f>'Data_in-situ'!EO174</f>
        <v>3.2599711900103467</v>
      </c>
      <c r="AH1186" s="110">
        <f>'Data_in-situ'!EP174</f>
        <v>3</v>
      </c>
      <c r="AI1186" s="113">
        <f>'Data_in-situ'!ER174</f>
        <v>-11</v>
      </c>
      <c r="AJ1186" s="113">
        <f>'Data_in-situ'!ES174</f>
        <v>2.4949545886011357</v>
      </c>
      <c r="AK1186" s="110">
        <f>'Data_in-situ'!ET174</f>
        <v>3</v>
      </c>
    </row>
    <row r="1187" spans="2:37" x14ac:dyDescent="0.3">
      <c r="B1187" s="24">
        <f>'Data_in-situ'!CA467</f>
        <v>-52030</v>
      </c>
      <c r="C1187" s="24">
        <f>'Data_in-situ'!CB467</f>
        <v>12685.458264249761</v>
      </c>
      <c r="D1187" s="46">
        <f>'Data_in-situ'!CC467</f>
        <v>1</v>
      </c>
      <c r="E1187" s="24">
        <f>'Data_in-situ'!CE467</f>
        <v>-33366.666666666664</v>
      </c>
      <c r="F1187" s="24">
        <f>'Data_in-situ'!CF467</f>
        <v>12421.378851336727</v>
      </c>
      <c r="G1187" s="46">
        <f>'Data_in-situ'!CG467</f>
        <v>1</v>
      </c>
      <c r="H1187" s="24">
        <f>'Data_in-situ'!CN467</f>
        <v>53753.333333333336</v>
      </c>
      <c r="I1187" s="24">
        <f>'Data_in-situ'!CO467</f>
        <v>15460.926643325691</v>
      </c>
      <c r="J1187" s="46">
        <f>'Data_in-situ'!CP467</f>
        <v>1</v>
      </c>
      <c r="K1187" s="24">
        <f>'Data_in-situ'!CR467</f>
        <v>42936.666666666664</v>
      </c>
      <c r="L1187" s="24">
        <f>'Data_in-situ'!CS467</f>
        <v>11266.202202016497</v>
      </c>
      <c r="M1187" s="46">
        <f>'Data_in-situ'!CT467</f>
        <v>1</v>
      </c>
      <c r="N1187" s="24">
        <f>'Data_in-situ'!DA466</f>
        <v>-12503.333333333336</v>
      </c>
      <c r="O1187" s="24">
        <f>'Data_in-situ'!DB466</f>
        <v>37505.705838773269</v>
      </c>
      <c r="P1187" s="46">
        <f>'Data_in-situ'!DC466</f>
        <v>1</v>
      </c>
      <c r="Q1187" s="24">
        <f>'Data_in-situ'!DE466</f>
        <v>19726.666666666664</v>
      </c>
      <c r="R1187" s="24">
        <f>'Data_in-situ'!DF466</f>
        <v>18802.330188886517</v>
      </c>
      <c r="S1187" s="46">
        <f>'Data_in-situ'!DG466</f>
        <v>1</v>
      </c>
      <c r="T1187" s="113">
        <f>'Data_in-situ'!DN208</f>
        <v>576.05784950966154</v>
      </c>
      <c r="U1187" s="113">
        <f>'Data_in-situ'!DO208</f>
        <v>329.18150586510939</v>
      </c>
      <c r="V1187" s="46">
        <f>'Data_in-situ'!DP208</f>
        <v>4</v>
      </c>
      <c r="W1187" s="113">
        <f>'Data_in-situ'!DR208</f>
        <v>132.21114184965677</v>
      </c>
      <c r="X1187" s="113">
        <f>'Data_in-situ'!DS208</f>
        <v>124.13591126677807</v>
      </c>
      <c r="Y1187" s="46">
        <f>'Data_in-situ'!DT208</f>
        <v>4</v>
      </c>
      <c r="AF1187" s="113">
        <f>'Data_in-situ'!EN175</f>
        <v>-8</v>
      </c>
      <c r="AG1187" s="113">
        <f>'Data_in-situ'!EO175</f>
        <v>3.2599711900103467</v>
      </c>
      <c r="AH1187" s="110">
        <f>'Data_in-situ'!EP175</f>
        <v>3</v>
      </c>
      <c r="AI1187" s="113">
        <f>'Data_in-situ'!ER175</f>
        <v>-19</v>
      </c>
      <c r="AJ1187" s="113">
        <f>'Data_in-situ'!ES175</f>
        <v>4.3094670166746889</v>
      </c>
      <c r="AK1187" s="110">
        <f>'Data_in-situ'!ET175</f>
        <v>3</v>
      </c>
    </row>
    <row r="1188" spans="2:37" x14ac:dyDescent="0.3">
      <c r="N1188" s="24">
        <f>'Data_in-situ'!DA467</f>
        <v>1723.3333333333358</v>
      </c>
      <c r="O1188" s="24">
        <f>'Data_in-situ'!DB467</f>
        <v>5169.4081361359113</v>
      </c>
      <c r="P1188" s="46">
        <f>'Data_in-situ'!DC467</f>
        <v>1</v>
      </c>
      <c r="Q1188" s="24">
        <f>'Data_in-situ'!DE467</f>
        <v>9570</v>
      </c>
      <c r="R1188" s="24">
        <f>'Data_in-situ'!DF467</f>
        <v>9121.5765414486632</v>
      </c>
      <c r="S1188" s="46">
        <f>'Data_in-situ'!DG467</f>
        <v>1</v>
      </c>
      <c r="T1188" s="113">
        <f>'Data_in-situ'!DN212</f>
        <v>70.824570735895975</v>
      </c>
      <c r="U1188" s="113">
        <f>'Data_in-situ'!DO212</f>
        <v>78.960847077092538</v>
      </c>
      <c r="V1188" s="46">
        <f>'Data_in-situ'!DP212</f>
        <v>46</v>
      </c>
      <c r="W1188" s="113">
        <f>'Data_in-situ'!DR212</f>
        <v>-0.12589285714285717</v>
      </c>
      <c r="X1188" s="113">
        <f>'Data_in-situ'!DS212</f>
        <v>0.47048883709193973</v>
      </c>
      <c r="Y1188" s="46">
        <f>'Data_in-situ'!DT212</f>
        <v>66</v>
      </c>
      <c r="AF1188" s="113">
        <f>'Data_in-situ'!EN196</f>
        <v>-20.399999999999999</v>
      </c>
      <c r="AG1188" s="113">
        <f>'Data_in-situ'!EO196</f>
        <v>2.2999999999999998</v>
      </c>
      <c r="AH1188" s="110">
        <f>'Data_in-situ'!EP196</f>
        <v>3</v>
      </c>
      <c r="AI1188" s="113">
        <f>'Data_in-situ'!ER196</f>
        <v>-28.4</v>
      </c>
      <c r="AJ1188" s="113">
        <f>'Data_in-situ'!ES196</f>
        <v>3.2</v>
      </c>
      <c r="AK1188" s="110">
        <f>'Data_in-situ'!ET196</f>
        <v>3</v>
      </c>
    </row>
    <row r="1189" spans="2:37" x14ac:dyDescent="0.3">
      <c r="T1189" s="113">
        <f>'Data_in-situ'!DN280</f>
        <v>4.3449126612056599</v>
      </c>
      <c r="U1189" s="113">
        <f>'Data_in-situ'!DO280</f>
        <v>9.5961779850217681</v>
      </c>
      <c r="V1189" s="46">
        <f>'Data_in-situ'!DP280</f>
        <v>6</v>
      </c>
      <c r="W1189" s="113">
        <f>'Data_in-situ'!DR280</f>
        <v>-0.16115570294991843</v>
      </c>
      <c r="X1189" s="113">
        <f>'Data_in-situ'!DS280</f>
        <v>0.55821924153316771</v>
      </c>
      <c r="Y1189" s="46">
        <f>'Data_in-situ'!DT280</f>
        <v>6</v>
      </c>
      <c r="AF1189" s="113">
        <f>'Data_in-situ'!EN206</f>
        <v>3</v>
      </c>
      <c r="AG1189" s="113">
        <f>'Data_in-situ'!EO206</f>
        <v>3</v>
      </c>
      <c r="AH1189" s="110">
        <f>'Data_in-situ'!EP206</f>
        <v>10</v>
      </c>
      <c r="AI1189" s="113">
        <f>'Data_in-situ'!ER206</f>
        <v>4</v>
      </c>
      <c r="AJ1189" s="113">
        <f>'Data_in-situ'!ES206</f>
        <v>2</v>
      </c>
      <c r="AK1189" s="110">
        <f>'Data_in-situ'!ET206</f>
        <v>10</v>
      </c>
    </row>
    <row r="1190" spans="2:37" x14ac:dyDescent="0.3">
      <c r="T1190" s="113">
        <f>'Data_in-situ'!DN281</f>
        <v>4.3449126612056599</v>
      </c>
      <c r="U1190" s="113">
        <f>'Data_in-situ'!DO281</f>
        <v>9.5961779850217681</v>
      </c>
      <c r="V1190" s="46">
        <f>'Data_in-situ'!DP281</f>
        <v>6</v>
      </c>
      <c r="W1190" s="113">
        <f>'Data_in-situ'!DR281</f>
        <v>-5.3718567649972807E-2</v>
      </c>
      <c r="X1190" s="113">
        <f>'Data_in-situ'!DS281</f>
        <v>0.5398869703372956</v>
      </c>
      <c r="Y1190" s="46">
        <f>'Data_in-situ'!DT281</f>
        <v>6</v>
      </c>
      <c r="AF1190" s="113">
        <f>'Data_in-situ'!EN208</f>
        <v>3</v>
      </c>
      <c r="AG1190" s="113">
        <f>'Data_in-situ'!EO208</f>
        <v>3</v>
      </c>
      <c r="AH1190" s="110">
        <f>'Data_in-situ'!EP208</f>
        <v>10</v>
      </c>
      <c r="AI1190" s="113">
        <f>'Data_in-situ'!ER208</f>
        <v>4</v>
      </c>
      <c r="AJ1190" s="113">
        <f>'Data_in-situ'!ES208</f>
        <v>2</v>
      </c>
      <c r="AK1190" s="110">
        <f>'Data_in-situ'!ET208</f>
        <v>10</v>
      </c>
    </row>
    <row r="1191" spans="2:37" x14ac:dyDescent="0.3">
      <c r="T1191" s="113">
        <f>'Data_in-situ'!DN282</f>
        <v>4.3449126612056599</v>
      </c>
      <c r="U1191" s="113">
        <f>'Data_in-situ'!DO282</f>
        <v>9.5961779850217681</v>
      </c>
      <c r="V1191" s="46">
        <f>'Data_in-situ'!DP282</f>
        <v>6</v>
      </c>
      <c r="W1191" s="113">
        <f>'Data_in-situ'!DR282</f>
        <v>5.3718567649972807E-2</v>
      </c>
      <c r="X1191" s="113">
        <f>'Data_in-situ'!DS282</f>
        <v>0.43312042016840363</v>
      </c>
      <c r="Y1191" s="46">
        <f>'Data_in-situ'!DT282</f>
        <v>6</v>
      </c>
      <c r="AF1191" s="113">
        <f>'Data_in-situ'!EN212</f>
        <v>-15</v>
      </c>
      <c r="AG1191" s="113">
        <f>'Data_in-situ'!EO212</f>
        <v>13</v>
      </c>
      <c r="AH1191" s="110">
        <f>'Data_in-situ'!EP212</f>
        <v>9836</v>
      </c>
      <c r="AI1191" s="113">
        <f>'Data_in-situ'!ER212</f>
        <v>-68</v>
      </c>
      <c r="AJ1191" s="113">
        <f>'Data_in-situ'!ES212</f>
        <v>23</v>
      </c>
      <c r="AK1191" s="110">
        <f>'Data_in-situ'!ET212</f>
        <v>11052</v>
      </c>
    </row>
    <row r="1192" spans="2:37" x14ac:dyDescent="0.3">
      <c r="T1192" s="113">
        <f>'Data_in-situ'!DN283</f>
        <v>4.3449126612056599</v>
      </c>
      <c r="U1192" s="113">
        <f>'Data_in-situ'!DO283</f>
        <v>9.5961779850217681</v>
      </c>
      <c r="V1192" s="46">
        <f>'Data_in-situ'!DP283</f>
        <v>6</v>
      </c>
      <c r="W1192" s="113">
        <f>'Data_in-situ'!DR283</f>
        <v>5.3718567649972807E-2</v>
      </c>
      <c r="X1192" s="113">
        <f>'Data_in-situ'!DS283</f>
        <v>0.43312042016840363</v>
      </c>
      <c r="Y1192" s="46">
        <f>'Data_in-situ'!DT283</f>
        <v>6</v>
      </c>
      <c r="AF1192" s="113">
        <f>'Data_in-situ'!EN280</f>
        <v>-24.4</v>
      </c>
      <c r="AG1192" s="113">
        <f>'Data_in-situ'!EO280</f>
        <v>9.9429121295315568</v>
      </c>
      <c r="AH1192" s="110">
        <f>'Data_in-situ'!EP280</f>
        <v>1</v>
      </c>
      <c r="AI1192" s="113">
        <f>'Data_in-situ'!ER280</f>
        <v>-83.7</v>
      </c>
      <c r="AJ1192" s="113">
        <f>'Data_in-situ'!ES280</f>
        <v>18.984336278719553</v>
      </c>
      <c r="AK1192" s="110">
        <f>'Data_in-situ'!ET280</f>
        <v>1</v>
      </c>
    </row>
    <row r="1193" spans="2:37" x14ac:dyDescent="0.3">
      <c r="T1193" s="113">
        <f>'Data_in-situ'!DN284</f>
        <v>27.51778018763585</v>
      </c>
      <c r="U1193" s="113">
        <f>'Data_in-situ'!DO284</f>
        <v>12.137611972737048</v>
      </c>
      <c r="V1193" s="46">
        <f>'Data_in-situ'!DP284</f>
        <v>6</v>
      </c>
      <c r="W1193" s="113">
        <f>'Data_in-situ'!DR284</f>
        <v>-0.16115570294991843</v>
      </c>
      <c r="X1193" s="113">
        <f>'Data_in-situ'!DS284</f>
        <v>0.5610292847687105</v>
      </c>
      <c r="Y1193" s="46">
        <f>'Data_in-situ'!DT284</f>
        <v>6</v>
      </c>
      <c r="AF1193" s="113">
        <f>'Data_in-situ'!EN281</f>
        <v>-24.4</v>
      </c>
      <c r="AG1193" s="113">
        <f>'Data_in-situ'!EO281</f>
        <v>9.9429121295315568</v>
      </c>
      <c r="AH1193" s="110">
        <f>'Data_in-situ'!EP281</f>
        <v>1</v>
      </c>
      <c r="AI1193" s="113">
        <f>'Data_in-situ'!ER281</f>
        <v>-49.1</v>
      </c>
      <c r="AJ1193" s="113">
        <f>'Data_in-situ'!ES281</f>
        <v>11.136570027301435</v>
      </c>
      <c r="AK1193" s="110">
        <f>'Data_in-situ'!ET281</f>
        <v>1</v>
      </c>
    </row>
    <row r="1194" spans="2:37" x14ac:dyDescent="0.3">
      <c r="T1194" s="113">
        <f>'Data_in-situ'!DN285</f>
        <v>27.51778018763585</v>
      </c>
      <c r="U1194" s="113">
        <f>'Data_in-situ'!DO285</f>
        <v>12.137611972737048</v>
      </c>
      <c r="V1194" s="46">
        <f>'Data_in-situ'!DP285</f>
        <v>6</v>
      </c>
      <c r="W1194" s="113">
        <f>'Data_in-situ'!DR285</f>
        <v>-5.3718567649972807E-2</v>
      </c>
      <c r="X1194" s="113">
        <f>'Data_in-situ'!DS285</f>
        <v>11.665364622891369</v>
      </c>
      <c r="Y1194" s="46">
        <f>'Data_in-situ'!DT285</f>
        <v>6</v>
      </c>
      <c r="AF1194" s="113">
        <f>'Data_in-situ'!EN282</f>
        <v>-24.4</v>
      </c>
      <c r="AG1194" s="113">
        <f>'Data_in-situ'!EO282</f>
        <v>9.9429121295315568</v>
      </c>
      <c r="AH1194" s="110">
        <f>'Data_in-situ'!EP282</f>
        <v>1</v>
      </c>
      <c r="AI1194" s="113">
        <f>'Data_in-situ'!ER282</f>
        <v>-63.8</v>
      </c>
      <c r="AJ1194" s="113">
        <f>'Data_in-situ'!ES282</f>
        <v>14.470736613886588</v>
      </c>
      <c r="AK1194" s="110">
        <f>'Data_in-situ'!ET282</f>
        <v>1</v>
      </c>
    </row>
    <row r="1195" spans="2:37" x14ac:dyDescent="0.3">
      <c r="T1195" s="113">
        <f>'Data_in-situ'!DN286</f>
        <v>27.51778018763585</v>
      </c>
      <c r="U1195" s="113">
        <f>'Data_in-situ'!DO286</f>
        <v>12.137611972737048</v>
      </c>
      <c r="V1195" s="46">
        <f>'Data_in-situ'!DP286</f>
        <v>6</v>
      </c>
      <c r="W1195" s="113">
        <f>'Data_in-situ'!DR286</f>
        <v>5.3718567649972807E-2</v>
      </c>
      <c r="X1195" s="113">
        <f>'Data_in-situ'!DS286</f>
        <v>1.4941129876440691</v>
      </c>
      <c r="Y1195" s="46">
        <f>'Data_in-situ'!DT286</f>
        <v>6</v>
      </c>
      <c r="AF1195" s="113">
        <f>'Data_in-situ'!EN283</f>
        <v>-24.4</v>
      </c>
      <c r="AG1195" s="113">
        <f>'Data_in-situ'!EO283</f>
        <v>9.9429121295315568</v>
      </c>
      <c r="AH1195" s="110">
        <f>'Data_in-situ'!EP283</f>
        <v>1</v>
      </c>
      <c r="AI1195" s="113">
        <f>'Data_in-situ'!ER283</f>
        <v>-34.4</v>
      </c>
      <c r="AJ1195" s="113">
        <f>'Data_in-situ'!ES283</f>
        <v>7.8024034407162794</v>
      </c>
      <c r="AK1195" s="110">
        <f>'Data_in-situ'!ET283</f>
        <v>1</v>
      </c>
    </row>
    <row r="1196" spans="2:37" x14ac:dyDescent="0.3">
      <c r="T1196" s="113">
        <f>'Data_in-situ'!DN287</f>
        <v>27.51778018763585</v>
      </c>
      <c r="U1196" s="113">
        <f>'Data_in-situ'!DO287</f>
        <v>12.137611972737048</v>
      </c>
      <c r="V1196" s="46">
        <f>'Data_in-situ'!DP287</f>
        <v>6</v>
      </c>
      <c r="W1196" s="113">
        <f>'Data_in-situ'!DR287</f>
        <v>5.3718567649972807E-2</v>
      </c>
      <c r="X1196" s="113">
        <f>'Data_in-situ'!DS287</f>
        <v>0.43312042016840363</v>
      </c>
      <c r="Y1196" s="46">
        <f>'Data_in-situ'!DT287</f>
        <v>6</v>
      </c>
      <c r="AF1196" s="113">
        <f>'Data_in-situ'!EN284</f>
        <v>-24.4</v>
      </c>
      <c r="AG1196" s="113">
        <f>'Data_in-situ'!EO284</f>
        <v>9.9429121295315568</v>
      </c>
      <c r="AH1196" s="110">
        <f>'Data_in-situ'!EP284</f>
        <v>1</v>
      </c>
      <c r="AI1196" s="113">
        <f>'Data_in-situ'!ER284</f>
        <v>-83.7</v>
      </c>
      <c r="AJ1196" s="113">
        <f>'Data_in-situ'!ES284</f>
        <v>18.984336278719553</v>
      </c>
      <c r="AK1196" s="110">
        <f>'Data_in-situ'!ET284</f>
        <v>1</v>
      </c>
    </row>
    <row r="1197" spans="2:37" x14ac:dyDescent="0.3">
      <c r="T1197" s="113">
        <f>'Data_in-situ'!DN288</f>
        <v>17.621034681556281</v>
      </c>
      <c r="U1197" s="113">
        <f>'Data_in-situ'!DO288</f>
        <v>25.060650744317332</v>
      </c>
      <c r="V1197" s="46">
        <f>'Data_in-situ'!DP288</f>
        <v>6</v>
      </c>
      <c r="W1197" s="113">
        <f>'Data_in-situ'!DR288</f>
        <v>-0.16115570294991843</v>
      </c>
      <c r="X1197" s="113">
        <f>'Data_in-situ'!DS288</f>
        <v>0.5610292847687105</v>
      </c>
      <c r="Y1197" s="46">
        <f>'Data_in-situ'!DT288</f>
        <v>6</v>
      </c>
      <c r="AF1197" s="113">
        <f>'Data_in-situ'!EN285</f>
        <v>-24.4</v>
      </c>
      <c r="AG1197" s="113">
        <f>'Data_in-situ'!EO285</f>
        <v>9.9429121295315568</v>
      </c>
      <c r="AH1197" s="110">
        <f>'Data_in-situ'!EP285</f>
        <v>1</v>
      </c>
      <c r="AI1197" s="113">
        <f>'Data_in-situ'!ER285</f>
        <v>-49.1</v>
      </c>
      <c r="AJ1197" s="113">
        <f>'Data_in-situ'!ES285</f>
        <v>11.136570027301435</v>
      </c>
      <c r="AK1197" s="110">
        <f>'Data_in-situ'!ET285</f>
        <v>1</v>
      </c>
    </row>
    <row r="1198" spans="2:37" x14ac:dyDescent="0.3">
      <c r="T1198" s="113">
        <f>'Data_in-situ'!DN289</f>
        <v>17.621034681556281</v>
      </c>
      <c r="U1198" s="113">
        <f>'Data_in-situ'!DO289</f>
        <v>25.060650744317332</v>
      </c>
      <c r="V1198" s="46">
        <f>'Data_in-situ'!DP289</f>
        <v>6</v>
      </c>
      <c r="W1198" s="113">
        <f>'Data_in-situ'!DR289</f>
        <v>-5.3718567649972807E-2</v>
      </c>
      <c r="X1198" s="113">
        <f>'Data_in-situ'!DS289</f>
        <v>0.5398869703372956</v>
      </c>
      <c r="Y1198" s="46">
        <f>'Data_in-situ'!DT289</f>
        <v>6</v>
      </c>
      <c r="AF1198" s="113">
        <f>'Data_in-situ'!EN286</f>
        <v>-24.4</v>
      </c>
      <c r="AG1198" s="113">
        <f>'Data_in-situ'!EO286</f>
        <v>9.9429121295315568</v>
      </c>
      <c r="AH1198" s="110">
        <f>'Data_in-situ'!EP286</f>
        <v>1</v>
      </c>
      <c r="AI1198" s="113">
        <f>'Data_in-situ'!ER286</f>
        <v>-63.8</v>
      </c>
      <c r="AJ1198" s="113">
        <f>'Data_in-situ'!ES286</f>
        <v>14.470736613886588</v>
      </c>
      <c r="AK1198" s="110">
        <f>'Data_in-situ'!ET286</f>
        <v>1</v>
      </c>
    </row>
    <row r="1199" spans="2:37" x14ac:dyDescent="0.3">
      <c r="T1199" s="113">
        <f>'Data_in-situ'!DN290</f>
        <v>17.621034681556281</v>
      </c>
      <c r="U1199" s="113">
        <f>'Data_in-situ'!DO290</f>
        <v>25.060650744317332</v>
      </c>
      <c r="V1199" s="46">
        <f>'Data_in-situ'!DP290</f>
        <v>6</v>
      </c>
      <c r="W1199" s="113">
        <f>'Data_in-situ'!DR290</f>
        <v>5.3718567649972807E-2</v>
      </c>
      <c r="X1199" s="113">
        <f>'Data_in-situ'!DS290</f>
        <v>0.43312042016840363</v>
      </c>
      <c r="Y1199" s="46">
        <f>'Data_in-situ'!DT290</f>
        <v>6</v>
      </c>
      <c r="AF1199" s="113">
        <f>'Data_in-situ'!EN287</f>
        <v>-24.4</v>
      </c>
      <c r="AG1199" s="113">
        <f>'Data_in-situ'!EO287</f>
        <v>9.9429121295315568</v>
      </c>
      <c r="AH1199" s="110">
        <f>'Data_in-situ'!EP287</f>
        <v>1</v>
      </c>
      <c r="AI1199" s="113">
        <f>'Data_in-situ'!ER287</f>
        <v>-34.4</v>
      </c>
      <c r="AJ1199" s="113">
        <f>'Data_in-situ'!ES287</f>
        <v>7.8024034407162794</v>
      </c>
      <c r="AK1199" s="110">
        <f>'Data_in-situ'!ET287</f>
        <v>1</v>
      </c>
    </row>
    <row r="1200" spans="2:37" x14ac:dyDescent="0.3">
      <c r="T1200" s="113">
        <f>'Data_in-situ'!DN291</f>
        <v>17.621034681556281</v>
      </c>
      <c r="U1200" s="113">
        <f>'Data_in-situ'!DO291</f>
        <v>25.060650744317332</v>
      </c>
      <c r="V1200" s="46">
        <f>'Data_in-situ'!DP291</f>
        <v>6</v>
      </c>
      <c r="W1200" s="113">
        <f>'Data_in-situ'!DR291</f>
        <v>5.3718567649972807E-2</v>
      </c>
      <c r="X1200" s="113">
        <f>'Data_in-situ'!DS291</f>
        <v>0.43312042016840363</v>
      </c>
      <c r="Y1200" s="46">
        <f>'Data_in-situ'!DT291</f>
        <v>6</v>
      </c>
      <c r="AF1200" s="113">
        <f>'Data_in-situ'!EN288</f>
        <v>-24.4</v>
      </c>
      <c r="AG1200" s="113">
        <f>'Data_in-situ'!EO288</f>
        <v>9.9429121295315568</v>
      </c>
      <c r="AH1200" s="110">
        <f>'Data_in-situ'!EP288</f>
        <v>1</v>
      </c>
      <c r="AI1200" s="113">
        <f>'Data_in-situ'!ER288</f>
        <v>-83.7</v>
      </c>
      <c r="AJ1200" s="113">
        <f>'Data_in-situ'!ES288</f>
        <v>18.984336278719553</v>
      </c>
      <c r="AK1200" s="110">
        <f>'Data_in-situ'!ET288</f>
        <v>1</v>
      </c>
    </row>
    <row r="1201" spans="20:37" x14ac:dyDescent="0.3">
      <c r="T1201" s="113">
        <f>'Data_in-situ'!DN292</f>
        <v>3.0332504908479376</v>
      </c>
      <c r="U1201" s="113">
        <f>'Data_in-situ'!DO292</f>
        <v>6.9539999999999997</v>
      </c>
      <c r="V1201" s="46">
        <f>'Data_in-situ'!DP292</f>
        <v>6</v>
      </c>
      <c r="W1201" s="113">
        <f>'Data_in-situ'!DR292</f>
        <v>5.3718567649972807E-2</v>
      </c>
      <c r="X1201" s="113">
        <f>'Data_in-situ'!DS292</f>
        <v>0.48646678719420772</v>
      </c>
      <c r="Y1201" s="46">
        <f>'Data_in-situ'!DT292</f>
        <v>6</v>
      </c>
      <c r="AF1201" s="113">
        <f>'Data_in-situ'!EN289</f>
        <v>-24.4</v>
      </c>
      <c r="AG1201" s="113">
        <f>'Data_in-situ'!EO289</f>
        <v>9.9429121295315568</v>
      </c>
      <c r="AH1201" s="110">
        <f>'Data_in-situ'!EP289</f>
        <v>1</v>
      </c>
      <c r="AI1201" s="113">
        <f>'Data_in-situ'!ER289</f>
        <v>-49.1</v>
      </c>
      <c r="AJ1201" s="113">
        <f>'Data_in-situ'!ES289</f>
        <v>11.136570027301435</v>
      </c>
      <c r="AK1201" s="110">
        <f>'Data_in-situ'!ET289</f>
        <v>1</v>
      </c>
    </row>
    <row r="1202" spans="20:37" x14ac:dyDescent="0.3">
      <c r="T1202" s="113">
        <f>'Data_in-situ'!DN293</f>
        <v>3.0332504908479376</v>
      </c>
      <c r="U1202" s="113">
        <f>'Data_in-situ'!DO293</f>
        <v>10.126673956829368</v>
      </c>
      <c r="V1202" s="46">
        <f>'Data_in-situ'!DP293</f>
        <v>6</v>
      </c>
      <c r="W1202" s="113">
        <f>'Data_in-situ'!DR293</f>
        <v>-0.10743713529994561</v>
      </c>
      <c r="X1202" s="113">
        <f>'Data_in-situ'!DS293</f>
        <v>0.27043803155784618</v>
      </c>
      <c r="Y1202" s="46">
        <f>'Data_in-situ'!DT293</f>
        <v>6</v>
      </c>
      <c r="AF1202" s="113">
        <f>'Data_in-situ'!EN290</f>
        <v>-24.4</v>
      </c>
      <c r="AG1202" s="113">
        <f>'Data_in-situ'!EO290</f>
        <v>9.9429121295315568</v>
      </c>
      <c r="AH1202" s="110">
        <f>'Data_in-situ'!EP290</f>
        <v>1</v>
      </c>
      <c r="AI1202" s="113">
        <f>'Data_in-situ'!ER290</f>
        <v>-63.8</v>
      </c>
      <c r="AJ1202" s="113">
        <f>'Data_in-situ'!ES290</f>
        <v>14.470736613886588</v>
      </c>
      <c r="AK1202" s="110">
        <f>'Data_in-situ'!ET290</f>
        <v>1</v>
      </c>
    </row>
    <row r="1203" spans="20:37" x14ac:dyDescent="0.3">
      <c r="T1203" s="113">
        <f>'Data_in-situ'!DN294</f>
        <v>3.0332504908479376</v>
      </c>
      <c r="U1203" s="113">
        <f>'Data_in-situ'!DO294</f>
        <v>10.126673956829368</v>
      </c>
      <c r="V1203" s="46">
        <f>'Data_in-situ'!DP294</f>
        <v>6</v>
      </c>
      <c r="W1203" s="113">
        <f>'Data_in-situ'!DR294</f>
        <v>-0.10743713529994561</v>
      </c>
      <c r="X1203" s="113">
        <f>'Data_in-situ'!DS294</f>
        <v>0.39119879833905941</v>
      </c>
      <c r="Y1203" s="46">
        <f>'Data_in-situ'!DT294</f>
        <v>6</v>
      </c>
      <c r="AF1203" s="113">
        <f>'Data_in-situ'!EN291</f>
        <v>-24.4</v>
      </c>
      <c r="AG1203" s="113">
        <f>'Data_in-situ'!EO291</f>
        <v>9.9429121295315568</v>
      </c>
      <c r="AH1203" s="110">
        <f>'Data_in-situ'!EP291</f>
        <v>1</v>
      </c>
      <c r="AI1203" s="113">
        <f>'Data_in-situ'!ER291</f>
        <v>-34.4</v>
      </c>
      <c r="AJ1203" s="113">
        <f>'Data_in-situ'!ES291</f>
        <v>7.8024034407162794</v>
      </c>
      <c r="AK1203" s="110">
        <f>'Data_in-situ'!ET291</f>
        <v>1</v>
      </c>
    </row>
    <row r="1204" spans="20:37" x14ac:dyDescent="0.3">
      <c r="T1204" s="113">
        <f>'Data_in-situ'!DN295</f>
        <v>3.0332504908479376</v>
      </c>
      <c r="U1204" s="113">
        <f>'Data_in-situ'!DO295</f>
        <v>10.126673956829368</v>
      </c>
      <c r="V1204" s="46">
        <f>'Data_in-situ'!DP295</f>
        <v>6</v>
      </c>
      <c r="W1204" s="113">
        <f>'Data_in-situ'!DR295</f>
        <v>-5.3718567649972807E-2</v>
      </c>
      <c r="X1204" s="113">
        <f>'Data_in-situ'!DS295</f>
        <v>0.37987896850363267</v>
      </c>
      <c r="Y1204" s="46">
        <f>'Data_in-situ'!DT295</f>
        <v>6</v>
      </c>
      <c r="AF1204" s="113">
        <f>'Data_in-situ'!EN292</f>
        <v>-20.8</v>
      </c>
      <c r="AG1204" s="113">
        <f>'Data_in-situ'!EO292</f>
        <v>8.475925094026902</v>
      </c>
      <c r="AH1204" s="110">
        <f>'Data_in-situ'!EP292</f>
        <v>1</v>
      </c>
      <c r="AI1204" s="113">
        <f>'Data_in-situ'!ER292</f>
        <v>-48.2</v>
      </c>
      <c r="AJ1204" s="113">
        <f>'Data_in-situ'!ES292</f>
        <v>10.93243737914316</v>
      </c>
      <c r="AK1204" s="110">
        <f>'Data_in-situ'!ET292</f>
        <v>1</v>
      </c>
    </row>
    <row r="1205" spans="20:37" x14ac:dyDescent="0.3">
      <c r="T1205" s="113">
        <f>'Data_in-situ'!DN296</f>
        <v>11.627460214917093</v>
      </c>
      <c r="U1205" s="113">
        <f>'Data_in-situ'!DO296</f>
        <v>19.919328099494376</v>
      </c>
      <c r="V1205" s="46">
        <f>'Data_in-situ'!DP296</f>
        <v>6</v>
      </c>
      <c r="W1205" s="113">
        <f>'Data_in-situ'!DR296</f>
        <v>5.3718567649972807E-2</v>
      </c>
      <c r="X1205" s="113">
        <f>'Data_in-situ'!DS296</f>
        <v>0.48646678719420772</v>
      </c>
      <c r="Y1205" s="46">
        <f>'Data_in-situ'!DT296</f>
        <v>6</v>
      </c>
      <c r="AF1205" s="113">
        <f>'Data_in-situ'!EN293</f>
        <v>-20.8</v>
      </c>
      <c r="AG1205" s="113">
        <f>'Data_in-situ'!EO293</f>
        <v>8.475925094026902</v>
      </c>
      <c r="AH1205" s="110">
        <f>'Data_in-situ'!EP293</f>
        <v>1</v>
      </c>
      <c r="AI1205" s="113">
        <f>'Data_in-situ'!ER293</f>
        <v>-46</v>
      </c>
      <c r="AJ1205" s="113">
        <f>'Data_in-situ'!ES293</f>
        <v>10.433446461422932</v>
      </c>
      <c r="AK1205" s="110">
        <f>'Data_in-situ'!ET293</f>
        <v>1</v>
      </c>
    </row>
    <row r="1206" spans="20:37" x14ac:dyDescent="0.3">
      <c r="T1206" s="113">
        <f>'Data_in-situ'!DN297</f>
        <v>11.627460214917093</v>
      </c>
      <c r="U1206" s="113">
        <f>'Data_in-situ'!DO297</f>
        <v>19.919328099494376</v>
      </c>
      <c r="V1206" s="46">
        <f>'Data_in-situ'!DP297</f>
        <v>6</v>
      </c>
      <c r="W1206" s="113">
        <f>'Data_in-situ'!DR297</f>
        <v>-0.10743713529994561</v>
      </c>
      <c r="X1206" s="113">
        <f>'Data_in-situ'!DS297</f>
        <v>0.28944787367187741</v>
      </c>
      <c r="Y1206" s="46">
        <f>'Data_in-situ'!DT297</f>
        <v>6</v>
      </c>
      <c r="AF1206" s="113">
        <f>'Data_in-situ'!EN294</f>
        <v>-20.8</v>
      </c>
      <c r="AG1206" s="113">
        <f>'Data_in-situ'!EO294</f>
        <v>8.475925094026902</v>
      </c>
      <c r="AH1206" s="110">
        <f>'Data_in-situ'!EP294</f>
        <v>1</v>
      </c>
      <c r="AI1206" s="113">
        <f>'Data_in-situ'!ER294</f>
        <v>-40</v>
      </c>
      <c r="AJ1206" s="113">
        <f>'Data_in-situ'!ES294</f>
        <v>9.0725621403677668</v>
      </c>
      <c r="AK1206" s="110">
        <f>'Data_in-situ'!ET294</f>
        <v>1</v>
      </c>
    </row>
    <row r="1207" spans="20:37" x14ac:dyDescent="0.3">
      <c r="T1207" s="113">
        <f>'Data_in-situ'!DN298</f>
        <v>11.627460214917093</v>
      </c>
      <c r="U1207" s="113">
        <f>'Data_in-situ'!DO298</f>
        <v>19.919328099494376</v>
      </c>
      <c r="V1207" s="46">
        <f>'Data_in-situ'!DP298</f>
        <v>6</v>
      </c>
      <c r="W1207" s="113">
        <f>'Data_in-situ'!DR298</f>
        <v>-0.10743713529994561</v>
      </c>
      <c r="X1207" s="113">
        <f>'Data_in-situ'!DS298</f>
        <v>0.39119879833905941</v>
      </c>
      <c r="Y1207" s="46">
        <f>'Data_in-situ'!DT298</f>
        <v>6</v>
      </c>
      <c r="AF1207" s="113">
        <f>'Data_in-situ'!EN295</f>
        <v>-20.8</v>
      </c>
      <c r="AG1207" s="113">
        <f>'Data_in-situ'!EO295</f>
        <v>8.475925094026902</v>
      </c>
      <c r="AH1207" s="110">
        <f>'Data_in-situ'!EP295</f>
        <v>1</v>
      </c>
      <c r="AI1207" s="113">
        <f>'Data_in-situ'!ER295</f>
        <v>-31.5</v>
      </c>
      <c r="AJ1207" s="113">
        <f>'Data_in-situ'!ES295</f>
        <v>7.1446426855396163</v>
      </c>
      <c r="AK1207" s="110">
        <f>'Data_in-situ'!ET295</f>
        <v>1</v>
      </c>
    </row>
    <row r="1208" spans="20:37" x14ac:dyDescent="0.3">
      <c r="T1208" s="113">
        <f>'Data_in-situ'!DN299</f>
        <v>11.627460214917093</v>
      </c>
      <c r="U1208" s="113">
        <f>'Data_in-situ'!DO299</f>
        <v>19.919328099494376</v>
      </c>
      <c r="V1208" s="46">
        <f>'Data_in-situ'!DP299</f>
        <v>6</v>
      </c>
      <c r="W1208" s="113">
        <f>'Data_in-situ'!DR299</f>
        <v>-5.3718567649972807E-2</v>
      </c>
      <c r="X1208" s="113">
        <f>'Data_in-situ'!DS299</f>
        <v>0.37987896850363267</v>
      </c>
      <c r="Y1208" s="46">
        <f>'Data_in-situ'!DT299</f>
        <v>6</v>
      </c>
      <c r="AF1208" s="113">
        <f>'Data_in-situ'!EN296</f>
        <v>-20.8</v>
      </c>
      <c r="AG1208" s="113">
        <f>'Data_in-situ'!EO296</f>
        <v>8.475925094026902</v>
      </c>
      <c r="AH1208" s="110">
        <f>'Data_in-situ'!EP296</f>
        <v>1</v>
      </c>
      <c r="AI1208" s="113">
        <f>'Data_in-situ'!ER296</f>
        <v>-48.2</v>
      </c>
      <c r="AJ1208" s="113">
        <f>'Data_in-situ'!ES296</f>
        <v>10.93243737914316</v>
      </c>
      <c r="AK1208" s="110">
        <f>'Data_in-situ'!ET296</f>
        <v>1</v>
      </c>
    </row>
    <row r="1209" spans="20:37" x14ac:dyDescent="0.3">
      <c r="T1209" s="113">
        <f>'Data_in-situ'!DN300</f>
        <v>13.144085460341062</v>
      </c>
      <c r="U1209" s="113">
        <f>'Data_in-situ'!DO300</f>
        <v>20.285444054594439</v>
      </c>
      <c r="V1209" s="46">
        <f>'Data_in-situ'!DP300</f>
        <v>6</v>
      </c>
      <c r="W1209" s="113">
        <f>'Data_in-situ'!DR300</f>
        <v>5.3718567649972807E-2</v>
      </c>
      <c r="X1209" s="113">
        <f>'Data_in-situ'!DS300</f>
        <v>0.48646678719420772</v>
      </c>
      <c r="Y1209" s="46">
        <f>'Data_in-situ'!DT300</f>
        <v>6</v>
      </c>
      <c r="AF1209" s="113">
        <f>'Data_in-situ'!EN297</f>
        <v>-20.8</v>
      </c>
      <c r="AG1209" s="113">
        <f>'Data_in-situ'!EO297</f>
        <v>8.475925094026902</v>
      </c>
      <c r="AH1209" s="110">
        <f>'Data_in-situ'!EP297</f>
        <v>1</v>
      </c>
      <c r="AI1209" s="113">
        <f>'Data_in-situ'!ER297</f>
        <v>-46</v>
      </c>
      <c r="AJ1209" s="113">
        <f>'Data_in-situ'!ES297</f>
        <v>10.433446461422932</v>
      </c>
      <c r="AK1209" s="110">
        <f>'Data_in-situ'!ET297</f>
        <v>1</v>
      </c>
    </row>
    <row r="1210" spans="20:37" x14ac:dyDescent="0.3">
      <c r="T1210" s="113">
        <f>'Data_in-situ'!DN301</f>
        <v>13.144085460341062</v>
      </c>
      <c r="U1210" s="113">
        <f>'Data_in-situ'!DO301</f>
        <v>20.285444054594439</v>
      </c>
      <c r="V1210" s="46">
        <f>'Data_in-situ'!DP301</f>
        <v>6</v>
      </c>
      <c r="W1210" s="113">
        <f>'Data_in-situ'!DR301</f>
        <v>-0.10743713529994561</v>
      </c>
      <c r="X1210" s="113">
        <f>'Data_in-situ'!DS301</f>
        <v>0.28944787367187741</v>
      </c>
      <c r="Y1210" s="46">
        <f>'Data_in-situ'!DT301</f>
        <v>6</v>
      </c>
      <c r="AF1210" s="113">
        <f>'Data_in-situ'!EN298</f>
        <v>-20.8</v>
      </c>
      <c r="AG1210" s="113">
        <f>'Data_in-situ'!EO298</f>
        <v>8.475925094026902</v>
      </c>
      <c r="AH1210" s="110">
        <f>'Data_in-situ'!EP298</f>
        <v>1</v>
      </c>
      <c r="AI1210" s="113">
        <f>'Data_in-situ'!ER298</f>
        <v>-40</v>
      </c>
      <c r="AJ1210" s="113">
        <f>'Data_in-situ'!ES298</f>
        <v>9.0725621403677668</v>
      </c>
      <c r="AK1210" s="110">
        <f>'Data_in-situ'!ET298</f>
        <v>1</v>
      </c>
    </row>
    <row r="1211" spans="20:37" x14ac:dyDescent="0.3">
      <c r="T1211" s="113">
        <f>'Data_in-situ'!DN302</f>
        <v>13.144085460341062</v>
      </c>
      <c r="U1211" s="113">
        <f>'Data_in-situ'!DO302</f>
        <v>20.285444054594439</v>
      </c>
      <c r="V1211" s="46">
        <f>'Data_in-situ'!DP302</f>
        <v>6</v>
      </c>
      <c r="W1211" s="113">
        <f>'Data_in-situ'!DR302</f>
        <v>-0.10743713529994561</v>
      </c>
      <c r="X1211" s="113">
        <f>'Data_in-situ'!DS302</f>
        <v>0.39119879833905941</v>
      </c>
      <c r="Y1211" s="46">
        <f>'Data_in-situ'!DT302</f>
        <v>6</v>
      </c>
      <c r="AF1211" s="113">
        <f>'Data_in-situ'!EN299</f>
        <v>-20.8</v>
      </c>
      <c r="AG1211" s="113">
        <f>'Data_in-situ'!EO299</f>
        <v>8.475925094026902</v>
      </c>
      <c r="AH1211" s="110">
        <f>'Data_in-situ'!EP299</f>
        <v>1</v>
      </c>
      <c r="AI1211" s="113">
        <f>'Data_in-situ'!ER299</f>
        <v>-31.5</v>
      </c>
      <c r="AJ1211" s="113">
        <f>'Data_in-situ'!ES299</f>
        <v>7.1446426855396163</v>
      </c>
      <c r="AK1211" s="110">
        <f>'Data_in-situ'!ET299</f>
        <v>1</v>
      </c>
    </row>
    <row r="1212" spans="20:37" x14ac:dyDescent="0.3">
      <c r="T1212" s="113">
        <f>'Data_in-situ'!DN303</f>
        <v>13.144085460341062</v>
      </c>
      <c r="U1212" s="113">
        <f>'Data_in-situ'!DO303</f>
        <v>20.285444054594439</v>
      </c>
      <c r="V1212" s="46">
        <f>'Data_in-situ'!DP303</f>
        <v>6</v>
      </c>
      <c r="W1212" s="113">
        <f>'Data_in-situ'!DR303</f>
        <v>-5.3718567649972807E-2</v>
      </c>
      <c r="X1212" s="113">
        <f>'Data_in-situ'!DS303</f>
        <v>0.39119879833905941</v>
      </c>
      <c r="Y1212" s="46">
        <f>'Data_in-situ'!DT303</f>
        <v>6</v>
      </c>
      <c r="AF1212" s="113">
        <f>'Data_in-situ'!EN300</f>
        <v>-20.8</v>
      </c>
      <c r="AG1212" s="113">
        <f>'Data_in-situ'!EO300</f>
        <v>8.475925094026902</v>
      </c>
      <c r="AH1212" s="110">
        <f>'Data_in-situ'!EP300</f>
        <v>1</v>
      </c>
      <c r="AI1212" s="113">
        <f>'Data_in-situ'!ER300</f>
        <v>-48.2</v>
      </c>
      <c r="AJ1212" s="113">
        <f>'Data_in-situ'!ES300</f>
        <v>10.93243737914316</v>
      </c>
      <c r="AK1212" s="110">
        <f>'Data_in-situ'!ET300</f>
        <v>1</v>
      </c>
    </row>
    <row r="1213" spans="20:37" x14ac:dyDescent="0.3">
      <c r="T1213" s="113">
        <f>'Data_in-situ'!DN304</f>
        <v>0.25277087423732814</v>
      </c>
      <c r="U1213" s="113">
        <f>'Data_in-situ'!DO304</f>
        <v>2.0397555922164208</v>
      </c>
      <c r="V1213" s="46">
        <f>'Data_in-situ'!DP304</f>
        <v>6</v>
      </c>
      <c r="W1213" s="113">
        <f>'Data_in-situ'!DR304</f>
        <v>-0.16115570294991843</v>
      </c>
      <c r="X1213" s="113">
        <f>'Data_in-situ'!DS304</f>
        <v>0.5610292847687105</v>
      </c>
      <c r="Y1213" s="46">
        <f>'Data_in-situ'!DT304</f>
        <v>6</v>
      </c>
      <c r="AF1213" s="113">
        <f>'Data_in-situ'!EN301</f>
        <v>-20.8</v>
      </c>
      <c r="AG1213" s="113">
        <f>'Data_in-situ'!EO301</f>
        <v>8.475925094026902</v>
      </c>
      <c r="AH1213" s="110">
        <f>'Data_in-situ'!EP301</f>
        <v>1</v>
      </c>
      <c r="AI1213" s="113">
        <f>'Data_in-situ'!ER301</f>
        <v>-46</v>
      </c>
      <c r="AJ1213" s="113">
        <f>'Data_in-situ'!ES301</f>
        <v>10.433446461422932</v>
      </c>
      <c r="AK1213" s="110">
        <f>'Data_in-situ'!ET301</f>
        <v>1</v>
      </c>
    </row>
    <row r="1214" spans="20:37" x14ac:dyDescent="0.3">
      <c r="T1214" s="113">
        <f>'Data_in-situ'!DN305</f>
        <v>0.25277087423732814</v>
      </c>
      <c r="U1214" s="113">
        <f>'Data_in-situ'!DO305</f>
        <v>2.0397555922164208</v>
      </c>
      <c r="V1214" s="46">
        <f>'Data_in-situ'!DP305</f>
        <v>6</v>
      </c>
      <c r="W1214" s="113">
        <f>'Data_in-situ'!DR305</f>
        <v>-0.16115570294991843</v>
      </c>
      <c r="X1214" s="113">
        <f>'Data_in-situ'!DS305</f>
        <v>0.5610292847687105</v>
      </c>
      <c r="Y1214" s="46">
        <f>'Data_in-situ'!DT305</f>
        <v>6</v>
      </c>
      <c r="AF1214" s="113">
        <f>'Data_in-situ'!EN302</f>
        <v>-20.8</v>
      </c>
      <c r="AG1214" s="113">
        <f>'Data_in-situ'!EO302</f>
        <v>8.475925094026902</v>
      </c>
      <c r="AH1214" s="110">
        <f>'Data_in-situ'!EP302</f>
        <v>1</v>
      </c>
      <c r="AI1214" s="113">
        <f>'Data_in-situ'!ER302</f>
        <v>-40</v>
      </c>
      <c r="AJ1214" s="113">
        <f>'Data_in-situ'!ES302</f>
        <v>9.0725621403677668</v>
      </c>
      <c r="AK1214" s="110">
        <f>'Data_in-situ'!ET302</f>
        <v>1</v>
      </c>
    </row>
    <row r="1215" spans="20:37" x14ac:dyDescent="0.3">
      <c r="T1215" s="113">
        <f>'Data_in-situ'!DN306</f>
        <v>0.25277087423732814</v>
      </c>
      <c r="U1215" s="113">
        <f>'Data_in-situ'!DO306</f>
        <v>2.0397555922164208</v>
      </c>
      <c r="V1215" s="46">
        <f>'Data_in-situ'!DP306</f>
        <v>6</v>
      </c>
      <c r="W1215" s="113">
        <f>'Data_in-situ'!DR306</f>
        <v>-0.16115570294991843</v>
      </c>
      <c r="X1215" s="113">
        <f>'Data_in-situ'!DS306</f>
        <v>0.50982923873701236</v>
      </c>
      <c r="Y1215" s="46">
        <f>'Data_in-situ'!DT306</f>
        <v>6</v>
      </c>
      <c r="AF1215" s="113">
        <f>'Data_in-situ'!EN303</f>
        <v>-20.8</v>
      </c>
      <c r="AG1215" s="113">
        <f>'Data_in-situ'!EO303</f>
        <v>8.475925094026902</v>
      </c>
      <c r="AH1215" s="110">
        <f>'Data_in-situ'!EP303</f>
        <v>1</v>
      </c>
      <c r="AI1215" s="113">
        <f>'Data_in-situ'!ER303</f>
        <v>-31.5</v>
      </c>
      <c r="AJ1215" s="113">
        <f>'Data_in-situ'!ES303</f>
        <v>7.1446426855396163</v>
      </c>
      <c r="AK1215" s="110">
        <f>'Data_in-situ'!ET303</f>
        <v>1</v>
      </c>
    </row>
    <row r="1216" spans="20:37" x14ac:dyDescent="0.3">
      <c r="T1216" s="113">
        <f>'Data_in-situ'!DN307</f>
        <v>0.25277087423732814</v>
      </c>
      <c r="U1216" s="113">
        <f>'Data_in-situ'!DO307</f>
        <v>2.0397555922164208</v>
      </c>
      <c r="V1216" s="46">
        <f>'Data_in-situ'!DP307</f>
        <v>6</v>
      </c>
      <c r="W1216" s="113">
        <f>'Data_in-situ'!DR307</f>
        <v>-0.21487427059989123</v>
      </c>
      <c r="X1216" s="113">
        <f>'Data_in-situ'!DS307</f>
        <v>0.52942636938081877</v>
      </c>
      <c r="Y1216" s="46">
        <f>'Data_in-situ'!DT307</f>
        <v>6</v>
      </c>
      <c r="AF1216" s="113">
        <f>'Data_in-situ'!EN304</f>
        <v>-48.7</v>
      </c>
      <c r="AG1216" s="113">
        <f>'Data_in-situ'!EO304</f>
        <v>19.845074619187987</v>
      </c>
      <c r="AH1216" s="110">
        <f>'Data_in-situ'!EP304</f>
        <v>1</v>
      </c>
      <c r="AI1216" s="113">
        <f>'Data_in-situ'!ER304</f>
        <v>-77.599999999999994</v>
      </c>
      <c r="AJ1216" s="113">
        <f>'Data_in-situ'!ES304</f>
        <v>17.600770552313467</v>
      </c>
      <c r="AK1216" s="110">
        <f>'Data_in-situ'!ET304</f>
        <v>1</v>
      </c>
    </row>
    <row r="1217" spans="20:37" x14ac:dyDescent="0.3">
      <c r="T1217" s="113">
        <f>'Data_in-situ'!DN308</f>
        <v>1.2638543711866406</v>
      </c>
      <c r="U1217" s="113">
        <f>'Data_in-situ'!DO308</f>
        <v>3.7827422106480872</v>
      </c>
      <c r="V1217" s="46">
        <f>'Data_in-situ'!DP308</f>
        <v>6</v>
      </c>
      <c r="W1217" s="113">
        <f>'Data_in-situ'!DR308</f>
        <v>-0.16115570294991843</v>
      </c>
      <c r="X1217" s="113">
        <f>'Data_in-situ'!DS308</f>
        <v>0.5610292847687105</v>
      </c>
      <c r="Y1217" s="46">
        <f>'Data_in-situ'!DT308</f>
        <v>6</v>
      </c>
      <c r="AF1217" s="113">
        <f>'Data_in-situ'!EN305</f>
        <v>-48.7</v>
      </c>
      <c r="AG1217" s="113">
        <f>'Data_in-situ'!EO305</f>
        <v>19.845074619187987</v>
      </c>
      <c r="AH1217" s="110">
        <f>'Data_in-situ'!EP305</f>
        <v>1</v>
      </c>
      <c r="AI1217" s="113">
        <f>'Data_in-situ'!ER305</f>
        <v>-119.3</v>
      </c>
      <c r="AJ1217" s="113">
        <f>'Data_in-situ'!ES305</f>
        <v>27.058916583646866</v>
      </c>
      <c r="AK1217" s="110">
        <f>'Data_in-situ'!ET305</f>
        <v>1</v>
      </c>
    </row>
    <row r="1218" spans="20:37" x14ac:dyDescent="0.3">
      <c r="T1218" s="113">
        <f>'Data_in-situ'!DN309</f>
        <v>1.2638543711866406</v>
      </c>
      <c r="U1218" s="113">
        <f>'Data_in-situ'!DO309</f>
        <v>3.7827422106480872</v>
      </c>
      <c r="V1218" s="46">
        <f>'Data_in-situ'!DP309</f>
        <v>6</v>
      </c>
      <c r="W1218" s="113">
        <f>'Data_in-situ'!DR309</f>
        <v>-0.16115570294991843</v>
      </c>
      <c r="X1218" s="113">
        <f>'Data_in-situ'!DS309</f>
        <v>0.5610292847687105</v>
      </c>
      <c r="Y1218" s="46">
        <f>'Data_in-situ'!DT309</f>
        <v>6</v>
      </c>
      <c r="AF1218" s="113">
        <f>'Data_in-situ'!EN306</f>
        <v>-48.7</v>
      </c>
      <c r="AG1218" s="113">
        <f>'Data_in-situ'!EO306</f>
        <v>19.845074619187987</v>
      </c>
      <c r="AH1218" s="110">
        <f>'Data_in-situ'!EP306</f>
        <v>1</v>
      </c>
      <c r="AI1218" s="113">
        <f>'Data_in-situ'!ER306</f>
        <v>-85.1</v>
      </c>
      <c r="AJ1218" s="113">
        <f>'Data_in-situ'!ES306</f>
        <v>19.301875953632422</v>
      </c>
      <c r="AK1218" s="110">
        <f>'Data_in-situ'!ET306</f>
        <v>1</v>
      </c>
    </row>
    <row r="1219" spans="20:37" x14ac:dyDescent="0.3">
      <c r="T1219" s="113">
        <f>'Data_in-situ'!DN310</f>
        <v>1.2638543711866406</v>
      </c>
      <c r="U1219" s="113">
        <f>'Data_in-situ'!DO310</f>
        <v>3.7827422106480872</v>
      </c>
      <c r="V1219" s="46">
        <f>'Data_in-situ'!DP310</f>
        <v>6</v>
      </c>
      <c r="W1219" s="113">
        <f>'Data_in-situ'!DR310</f>
        <v>-0.16115570294991843</v>
      </c>
      <c r="X1219" s="113">
        <f>'Data_in-situ'!DS310</f>
        <v>0.5610292847687105</v>
      </c>
      <c r="Y1219" s="46">
        <f>'Data_in-situ'!DT310</f>
        <v>6</v>
      </c>
      <c r="AF1219" s="113">
        <f>'Data_in-situ'!EN307</f>
        <v>-48.7</v>
      </c>
      <c r="AG1219" s="113">
        <f>'Data_in-situ'!EO307</f>
        <v>19.845074619187987</v>
      </c>
      <c r="AH1219" s="110">
        <f>'Data_in-situ'!EP307</f>
        <v>1</v>
      </c>
      <c r="AI1219" s="113">
        <f>'Data_in-situ'!ER307</f>
        <v>-90</v>
      </c>
      <c r="AJ1219" s="113">
        <f>'Data_in-situ'!ES307</f>
        <v>20.413264815827475</v>
      </c>
      <c r="AK1219" s="110">
        <f>'Data_in-situ'!ET307</f>
        <v>1</v>
      </c>
    </row>
    <row r="1220" spans="20:37" x14ac:dyDescent="0.3">
      <c r="T1220" s="113">
        <f>'Data_in-situ'!DN311</f>
        <v>1.2638543711866406</v>
      </c>
      <c r="U1220" s="113">
        <f>'Data_in-situ'!DO311</f>
        <v>3.7827422106480872</v>
      </c>
      <c r="V1220" s="46">
        <f>'Data_in-situ'!DP311</f>
        <v>6</v>
      </c>
      <c r="W1220" s="113">
        <f>'Data_in-situ'!DR311</f>
        <v>-0.21487427059989123</v>
      </c>
      <c r="X1220" s="113">
        <f>'Data_in-situ'!DS311</f>
        <v>0.52942636938081877</v>
      </c>
      <c r="Y1220" s="46">
        <f>'Data_in-situ'!DT311</f>
        <v>6</v>
      </c>
      <c r="AF1220" s="113">
        <f>'Data_in-situ'!EN308</f>
        <v>-48.7</v>
      </c>
      <c r="AG1220" s="113">
        <f>'Data_in-situ'!EO308</f>
        <v>19.845074619187987</v>
      </c>
      <c r="AH1220" s="110">
        <f>'Data_in-situ'!EP308</f>
        <v>1</v>
      </c>
      <c r="AI1220" s="113">
        <f>'Data_in-situ'!ER308</f>
        <v>-77.599999999999994</v>
      </c>
      <c r="AJ1220" s="113">
        <f>'Data_in-situ'!ES308</f>
        <v>17.600770552313467</v>
      </c>
      <c r="AK1220" s="110">
        <f>'Data_in-situ'!ET308</f>
        <v>1</v>
      </c>
    </row>
    <row r="1221" spans="20:37" x14ac:dyDescent="0.3">
      <c r="T1221" s="113">
        <f>'Data_in-situ'!DN312</f>
        <v>0.75831262271198441</v>
      </c>
      <c r="U1221" s="113">
        <f>'Data_in-situ'!DO312</f>
        <v>2.1753507933433238</v>
      </c>
      <c r="V1221" s="46">
        <f>'Data_in-situ'!DP312</f>
        <v>6</v>
      </c>
      <c r="W1221" s="113">
        <f>'Data_in-situ'!DR312</f>
        <v>-0.16115570294991843</v>
      </c>
      <c r="X1221" s="113">
        <f>'Data_in-situ'!DS312</f>
        <v>0.5610292847687105</v>
      </c>
      <c r="Y1221" s="46">
        <f>'Data_in-situ'!DT312</f>
        <v>6</v>
      </c>
      <c r="AF1221" s="113">
        <f>'Data_in-situ'!EN309</f>
        <v>-48.7</v>
      </c>
      <c r="AG1221" s="113">
        <f>'Data_in-situ'!EO309</f>
        <v>19.845074619187987</v>
      </c>
      <c r="AH1221" s="110">
        <f>'Data_in-situ'!EP309</f>
        <v>1</v>
      </c>
      <c r="AI1221" s="113">
        <f>'Data_in-situ'!ER309</f>
        <v>-119.3</v>
      </c>
      <c r="AJ1221" s="113">
        <f>'Data_in-situ'!ES309</f>
        <v>27.058916583646866</v>
      </c>
      <c r="AK1221" s="110">
        <f>'Data_in-situ'!ET309</f>
        <v>1</v>
      </c>
    </row>
    <row r="1222" spans="20:37" x14ac:dyDescent="0.3">
      <c r="T1222" s="113">
        <f>'Data_in-situ'!DN313</f>
        <v>0.75831262271198441</v>
      </c>
      <c r="U1222" s="113">
        <f>'Data_in-situ'!DO313</f>
        <v>2.1753507933433238</v>
      </c>
      <c r="V1222" s="46">
        <f>'Data_in-situ'!DP313</f>
        <v>6</v>
      </c>
      <c r="W1222" s="113">
        <f>'Data_in-situ'!DR313</f>
        <v>-0.16115570294991843</v>
      </c>
      <c r="X1222" s="113">
        <f>'Data_in-situ'!DS313</f>
        <v>0.5610292847687105</v>
      </c>
      <c r="Y1222" s="46">
        <f>'Data_in-situ'!DT313</f>
        <v>6</v>
      </c>
      <c r="AF1222" s="113">
        <f>'Data_in-situ'!EN310</f>
        <v>-48.7</v>
      </c>
      <c r="AG1222" s="113">
        <f>'Data_in-situ'!EO310</f>
        <v>19.845074619187987</v>
      </c>
      <c r="AH1222" s="110">
        <f>'Data_in-situ'!EP310</f>
        <v>1</v>
      </c>
      <c r="AI1222" s="113">
        <f>'Data_in-situ'!ER310</f>
        <v>-85.1</v>
      </c>
      <c r="AJ1222" s="113">
        <f>'Data_in-situ'!ES310</f>
        <v>19.301875953632422</v>
      </c>
      <c r="AK1222" s="110">
        <f>'Data_in-situ'!ET310</f>
        <v>1</v>
      </c>
    </row>
    <row r="1223" spans="20:37" x14ac:dyDescent="0.3">
      <c r="T1223" s="113">
        <f>'Data_in-situ'!DN314</f>
        <v>0.75831262271198441</v>
      </c>
      <c r="U1223" s="113">
        <f>'Data_in-situ'!DO314</f>
        <v>2.1753507933433238</v>
      </c>
      <c r="V1223" s="46">
        <f>'Data_in-situ'!DP314</f>
        <v>6</v>
      </c>
      <c r="W1223" s="113">
        <f>'Data_in-situ'!DR314</f>
        <v>-0.16115570294991843</v>
      </c>
      <c r="X1223" s="113">
        <f>'Data_in-situ'!DS314</f>
        <v>0.52942636938081877</v>
      </c>
      <c r="Y1223" s="46">
        <f>'Data_in-situ'!DT314</f>
        <v>6</v>
      </c>
      <c r="AF1223" s="113">
        <f>'Data_in-situ'!EN311</f>
        <v>-48.7</v>
      </c>
      <c r="AG1223" s="113">
        <f>'Data_in-situ'!EO311</f>
        <v>19.845074619187987</v>
      </c>
      <c r="AH1223" s="110">
        <f>'Data_in-situ'!EP311</f>
        <v>1</v>
      </c>
      <c r="AI1223" s="113">
        <f>'Data_in-situ'!ER311</f>
        <v>-90</v>
      </c>
      <c r="AJ1223" s="113">
        <f>'Data_in-situ'!ES311</f>
        <v>20.413264815827475</v>
      </c>
      <c r="AK1223" s="110">
        <f>'Data_in-situ'!ET311</f>
        <v>1</v>
      </c>
    </row>
    <row r="1224" spans="20:37" x14ac:dyDescent="0.3">
      <c r="T1224" s="113">
        <f>'Data_in-situ'!DN315</f>
        <v>0.75831262271198441</v>
      </c>
      <c r="U1224" s="113">
        <f>'Data_in-situ'!DO315</f>
        <v>2.1753507933433238</v>
      </c>
      <c r="V1224" s="46">
        <f>'Data_in-situ'!DP315</f>
        <v>6</v>
      </c>
      <c r="W1224" s="113">
        <f>'Data_in-situ'!DR315</f>
        <v>-0.21487427059989123</v>
      </c>
      <c r="X1224" s="113">
        <f>'Data_in-situ'!DS315</f>
        <v>0.52942636938081877</v>
      </c>
      <c r="Y1224" s="46">
        <f>'Data_in-situ'!DT315</f>
        <v>6</v>
      </c>
      <c r="AF1224" s="113">
        <f>'Data_in-situ'!EN312</f>
        <v>-48.7</v>
      </c>
      <c r="AG1224" s="113">
        <f>'Data_in-situ'!EO312</f>
        <v>19.845074619187987</v>
      </c>
      <c r="AH1224" s="110">
        <f>'Data_in-situ'!EP312</f>
        <v>1</v>
      </c>
      <c r="AI1224" s="113">
        <f>'Data_in-situ'!ER312</f>
        <v>-77.599999999999994</v>
      </c>
      <c r="AJ1224" s="113">
        <f>'Data_in-situ'!ES312</f>
        <v>17.600770552313467</v>
      </c>
      <c r="AK1224" s="110">
        <f>'Data_in-situ'!ET312</f>
        <v>1</v>
      </c>
    </row>
    <row r="1225" spans="20:37" x14ac:dyDescent="0.3">
      <c r="T1225" s="113">
        <f>'Data_in-situ'!DN334</f>
        <v>319.73915567142052</v>
      </c>
      <c r="U1225" s="113">
        <f>'Data_in-situ'!DO334</f>
        <v>43.930407967061235</v>
      </c>
      <c r="V1225" s="46">
        <f>'Data_in-situ'!DP334</f>
        <v>3</v>
      </c>
      <c r="W1225" s="113">
        <f>'Data_in-situ'!DR334</f>
        <v>51.711287050105334</v>
      </c>
      <c r="X1225" s="113">
        <f>'Data_in-situ'!DS334</f>
        <v>35.138864518591532</v>
      </c>
      <c r="Y1225" s="46">
        <f>'Data_in-situ'!DT334</f>
        <v>3</v>
      </c>
      <c r="AF1225" s="113">
        <f>'Data_in-situ'!EN313</f>
        <v>-48.7</v>
      </c>
      <c r="AG1225" s="113">
        <f>'Data_in-situ'!EO313</f>
        <v>19.845074619187987</v>
      </c>
      <c r="AH1225" s="110">
        <f>'Data_in-situ'!EP313</f>
        <v>1</v>
      </c>
      <c r="AI1225" s="113">
        <f>'Data_in-situ'!ER313</f>
        <v>-119.3</v>
      </c>
      <c r="AJ1225" s="113">
        <f>'Data_in-situ'!ES313</f>
        <v>27.058916583646866</v>
      </c>
      <c r="AK1225" s="110">
        <f>'Data_in-situ'!ET313</f>
        <v>1</v>
      </c>
    </row>
    <row r="1226" spans="20:37" x14ac:dyDescent="0.3">
      <c r="T1226" s="113">
        <f>'Data_in-situ'!DN335</f>
        <v>231.15879516066161</v>
      </c>
      <c r="U1226" s="113">
        <f>'Data_in-situ'!DO335</f>
        <v>29.849428994378311</v>
      </c>
      <c r="V1226" s="46">
        <f>'Data_in-situ'!DP335</f>
        <v>3</v>
      </c>
      <c r="W1226" s="113">
        <f>'Data_in-situ'!DR335</f>
        <v>36.322102883026695</v>
      </c>
      <c r="X1226" s="113">
        <f>'Data_in-situ'!DS335</f>
        <v>24.783672418143286</v>
      </c>
      <c r="Y1226" s="46">
        <f>'Data_in-situ'!DT335</f>
        <v>3</v>
      </c>
      <c r="AF1226" s="113">
        <f>'Data_in-situ'!EN314</f>
        <v>-48.7</v>
      </c>
      <c r="AG1226" s="113">
        <f>'Data_in-situ'!EO314</f>
        <v>19.845074619187987</v>
      </c>
      <c r="AH1226" s="110">
        <f>'Data_in-situ'!EP314</f>
        <v>1</v>
      </c>
      <c r="AI1226" s="113">
        <f>'Data_in-situ'!ER314</f>
        <v>-85.1</v>
      </c>
      <c r="AJ1226" s="113">
        <f>'Data_in-situ'!ES314</f>
        <v>19.301875953632422</v>
      </c>
      <c r="AK1226" s="110">
        <f>'Data_in-situ'!ET314</f>
        <v>1</v>
      </c>
    </row>
    <row r="1227" spans="20:37" x14ac:dyDescent="0.3">
      <c r="T1227" s="113">
        <f>'Data_in-situ'!DN337</f>
        <v>806.56888052092813</v>
      </c>
      <c r="U1227" s="113">
        <f>'Data_in-situ'!DO337</f>
        <v>856.38159693760133</v>
      </c>
      <c r="V1227" s="46">
        <f>'Data_in-situ'!DP337</f>
        <v>3</v>
      </c>
      <c r="W1227" s="113">
        <f>'Data_in-situ'!DR337</f>
        <v>84.62740503626496</v>
      </c>
      <c r="X1227" s="113">
        <f>'Data_in-situ'!DS337</f>
        <v>85.525142019325685</v>
      </c>
      <c r="Y1227" s="46">
        <f>'Data_in-situ'!DT337</f>
        <v>3</v>
      </c>
      <c r="AF1227" s="113">
        <f>'Data_in-situ'!EN315</f>
        <v>-48.7</v>
      </c>
      <c r="AG1227" s="113">
        <f>'Data_in-situ'!EO315</f>
        <v>19.845074619187987</v>
      </c>
      <c r="AH1227" s="110">
        <f>'Data_in-situ'!EP315</f>
        <v>1</v>
      </c>
      <c r="AI1227" s="113">
        <f>'Data_in-situ'!ER315</f>
        <v>-90</v>
      </c>
      <c r="AJ1227" s="113">
        <f>'Data_in-situ'!ES315</f>
        <v>20.413264815827475</v>
      </c>
      <c r="AK1227" s="110">
        <f>'Data_in-situ'!ET315</f>
        <v>1</v>
      </c>
    </row>
    <row r="1228" spans="20:37" x14ac:dyDescent="0.3">
      <c r="T1228" s="113">
        <f>'Data_in-situ'!DN338</f>
        <v>660.5745513402162</v>
      </c>
      <c r="U1228" s="113">
        <f>'Data_in-situ'!DO338</f>
        <v>706.60737149083172</v>
      </c>
      <c r="V1228" s="46">
        <f>'Data_in-situ'!DP338</f>
        <v>3</v>
      </c>
      <c r="W1228" s="113">
        <f>'Data_in-situ'!DR338</f>
        <v>60.94615675196922</v>
      </c>
      <c r="X1228" s="113">
        <f>'Data_in-situ'!DS338</f>
        <v>61.833294541817786</v>
      </c>
      <c r="Y1228" s="46">
        <f>'Data_in-situ'!DT338</f>
        <v>3</v>
      </c>
      <c r="AF1228" s="113">
        <f>'Data_in-situ'!EN334</f>
        <v>-1</v>
      </c>
      <c r="AG1228" s="113">
        <f>'Data_in-situ'!EO334</f>
        <v>0.40749639875129334</v>
      </c>
      <c r="AH1228" s="110">
        <f>'Data_in-situ'!EP334</f>
        <v>3</v>
      </c>
      <c r="AI1228" s="113">
        <f>'Data_in-situ'!ER334</f>
        <v>-20</v>
      </c>
      <c r="AJ1228" s="113">
        <f>'Data_in-situ'!ES334</f>
        <v>4.5362810701838834</v>
      </c>
      <c r="AK1228" s="110">
        <f>'Data_in-situ'!ET334</f>
        <v>3</v>
      </c>
    </row>
    <row r="1229" spans="20:37" x14ac:dyDescent="0.3">
      <c r="T1229" s="113">
        <f>'Data_in-situ'!DN340</f>
        <v>756.9536426533582</v>
      </c>
      <c r="U1229" s="113">
        <f>'Data_in-situ'!DO340</f>
        <v>966.52380476916505</v>
      </c>
      <c r="V1229" s="46">
        <f>'Data_in-situ'!DP340</f>
        <v>3</v>
      </c>
      <c r="W1229" s="113">
        <f>'Data_in-situ'!DR340</f>
        <v>140.83919297376897</v>
      </c>
      <c r="X1229" s="113">
        <f>'Data_in-situ'!DS340</f>
        <v>231.79656525897315</v>
      </c>
      <c r="Y1229" s="46">
        <f>'Data_in-situ'!DT340</f>
        <v>3</v>
      </c>
      <c r="AF1229" s="113">
        <f>'Data_in-situ'!EN335</f>
        <v>-1</v>
      </c>
      <c r="AG1229" s="113">
        <f>'Data_in-situ'!EO335</f>
        <v>0.40749639875129334</v>
      </c>
      <c r="AH1229" s="110">
        <f>'Data_in-situ'!EP335</f>
        <v>3</v>
      </c>
      <c r="AI1229" s="113">
        <f>'Data_in-situ'!ER335</f>
        <v>-20</v>
      </c>
      <c r="AJ1229" s="113">
        <f>'Data_in-situ'!ES335</f>
        <v>4.5362810701838834</v>
      </c>
      <c r="AK1229" s="110">
        <f>'Data_in-situ'!ET335</f>
        <v>3</v>
      </c>
    </row>
    <row r="1230" spans="20:37" x14ac:dyDescent="0.3">
      <c r="T1230" s="113">
        <f>'Data_in-situ'!DN341</f>
        <v>99.599163507020805</v>
      </c>
      <c r="U1230" s="113">
        <f>'Data_in-situ'!DO341</f>
        <v>34.500209307573023</v>
      </c>
      <c r="V1230" s="46">
        <f>'Data_in-situ'!DP341</f>
        <v>3</v>
      </c>
      <c r="W1230" s="113">
        <f>'Data_in-situ'!DR341</f>
        <v>2.0119884710538427</v>
      </c>
      <c r="X1230" s="113">
        <f>'Data_in-situ'!DS341</f>
        <v>4.1125976308977705</v>
      </c>
      <c r="Y1230" s="46">
        <f>'Data_in-situ'!DT341</f>
        <v>3</v>
      </c>
      <c r="AF1230" s="113">
        <f>'Data_in-situ'!EN337</f>
        <v>-1</v>
      </c>
      <c r="AG1230" s="113">
        <f>'Data_in-situ'!EO337</f>
        <v>0.40749639875129334</v>
      </c>
      <c r="AH1230" s="110">
        <f>'Data_in-situ'!EP337</f>
        <v>3</v>
      </c>
      <c r="AI1230" s="113">
        <f>'Data_in-situ'!ER337</f>
        <v>-20</v>
      </c>
      <c r="AJ1230" s="113">
        <f>'Data_in-situ'!ES337</f>
        <v>4.5362810701838834</v>
      </c>
      <c r="AK1230" s="110">
        <f>'Data_in-situ'!ET337</f>
        <v>3</v>
      </c>
    </row>
    <row r="1231" spans="20:37" x14ac:dyDescent="0.3">
      <c r="T1231" s="113">
        <f>'Data_in-situ'!DN343</f>
        <v>1089.6352531980324</v>
      </c>
      <c r="U1231" s="113">
        <f>'Data_in-situ'!DO343</f>
        <v>927.78982978332431</v>
      </c>
      <c r="V1231" s="46">
        <f>'Data_in-situ'!DP343</f>
        <v>3</v>
      </c>
      <c r="W1231" s="113">
        <f>'Data_in-situ'!DR343</f>
        <v>639.12354494917554</v>
      </c>
      <c r="X1231" s="113">
        <f>'Data_in-situ'!DS343</f>
        <v>304.35692868746287</v>
      </c>
      <c r="Y1231" s="46">
        <f>'Data_in-situ'!DT343</f>
        <v>3</v>
      </c>
      <c r="AF1231" s="113">
        <f>'Data_in-situ'!EN338</f>
        <v>-1</v>
      </c>
      <c r="AG1231" s="113">
        <f>'Data_in-situ'!EO338</f>
        <v>0.40749639875129334</v>
      </c>
      <c r="AH1231" s="110">
        <f>'Data_in-situ'!EP338</f>
        <v>3</v>
      </c>
      <c r="AI1231" s="113">
        <f>'Data_in-situ'!ER338</f>
        <v>-20</v>
      </c>
      <c r="AJ1231" s="113">
        <f>'Data_in-situ'!ES338</f>
        <v>4.5362810701838834</v>
      </c>
      <c r="AK1231" s="110">
        <f>'Data_in-situ'!ET338</f>
        <v>3</v>
      </c>
    </row>
    <row r="1232" spans="20:37" x14ac:dyDescent="0.3">
      <c r="T1232" s="113">
        <f>'Data_in-situ'!DN344</f>
        <v>146.68166869973513</v>
      </c>
      <c r="U1232" s="113">
        <f>'Data_in-situ'!DO344</f>
        <v>127.23656397839687</v>
      </c>
      <c r="V1232" s="46">
        <f>'Data_in-situ'!DP344</f>
        <v>3</v>
      </c>
      <c r="W1232" s="113">
        <f>'Data_in-situ'!DR344</f>
        <v>29.726676509263978</v>
      </c>
      <c r="X1232" s="113">
        <f>'Data_in-situ'!DS344</f>
        <v>18.92341152926349</v>
      </c>
      <c r="Y1232" s="46">
        <f>'Data_in-situ'!DT344</f>
        <v>3</v>
      </c>
      <c r="AF1232" s="113">
        <f>'Data_in-situ'!EN340</f>
        <v>-15.910685805422641</v>
      </c>
      <c r="AG1232" s="113">
        <f>'Data_in-situ'!EO340</f>
        <v>1.0227837765091556</v>
      </c>
      <c r="AH1232" s="110">
        <f>'Data_in-situ'!EP340</f>
        <v>3</v>
      </c>
      <c r="AI1232" s="113">
        <f>'Data_in-situ'!ER340</f>
        <v>-23.453947368421044</v>
      </c>
      <c r="AJ1232" s="113">
        <f>'Data_in-situ'!ES340</f>
        <v>1.196189530474022</v>
      </c>
      <c r="AK1232" s="110">
        <f>'Data_in-situ'!ET340</f>
        <v>3</v>
      </c>
    </row>
    <row r="1233" spans="20:37" x14ac:dyDescent="0.3">
      <c r="T1233" s="113">
        <f>'Data_in-situ'!DN346</f>
        <v>1422.5710095050797</v>
      </c>
      <c r="U1233" s="113">
        <f>'Data_in-situ'!DO346</f>
        <v>1619.3061390358012</v>
      </c>
      <c r="V1233" s="46">
        <f>'Data_in-situ'!DP346</f>
        <v>3</v>
      </c>
      <c r="W1233" s="113">
        <f>'Data_in-situ'!DR346</f>
        <v>1233.2066709449209</v>
      </c>
      <c r="X1233" s="113">
        <f>'Data_in-situ'!DS346</f>
        <v>527.21983078939115</v>
      </c>
      <c r="Y1233" s="46">
        <f>'Data_in-situ'!DT346</f>
        <v>3</v>
      </c>
      <c r="AF1233" s="113">
        <f>'Data_in-situ'!EN341</f>
        <v>-11.595789473684208</v>
      </c>
      <c r="AG1233" s="113">
        <f>'Data_in-situ'!EO341</f>
        <v>0.44954804430300416</v>
      </c>
      <c r="AH1233" s="110">
        <f>'Data_in-situ'!EP341</f>
        <v>3</v>
      </c>
      <c r="AI1233" s="113">
        <f>'Data_in-situ'!ER341</f>
        <v>-23.208711433756811</v>
      </c>
      <c r="AJ1233" s="113">
        <f>'Data_in-situ'!ES341</f>
        <v>0.78101283680717748</v>
      </c>
      <c r="AK1233" s="110">
        <f>'Data_in-situ'!ET341</f>
        <v>3</v>
      </c>
    </row>
    <row r="1234" spans="20:37" x14ac:dyDescent="0.3">
      <c r="T1234" s="113">
        <f>'Data_in-situ'!DN347</f>
        <v>87.813025278091345</v>
      </c>
      <c r="U1234" s="113">
        <f>'Data_in-situ'!DO347</f>
        <v>511.88953557062587</v>
      </c>
      <c r="V1234" s="46">
        <f>'Data_in-situ'!DP347</f>
        <v>3</v>
      </c>
      <c r="W1234" s="113">
        <f>'Data_in-situ'!DR347</f>
        <v>83.324775063845991</v>
      </c>
      <c r="X1234" s="113">
        <f>'Data_in-situ'!DS347</f>
        <v>58.045203910854234</v>
      </c>
      <c r="Y1234" s="46">
        <f>'Data_in-situ'!DT347</f>
        <v>3</v>
      </c>
      <c r="AF1234" s="113">
        <f>'Data_in-situ'!EN343</f>
        <v>-7.5049786628733965</v>
      </c>
      <c r="AG1234" s="113">
        <f>'Data_in-situ'!EO343</f>
        <v>0.56147558903179429</v>
      </c>
      <c r="AH1234" s="110">
        <f>'Data_in-situ'!EP343</f>
        <v>3</v>
      </c>
      <c r="AI1234" s="113">
        <f>'Data_in-situ'!ER343</f>
        <v>-14.886247877758912</v>
      </c>
      <c r="AJ1234" s="113">
        <f>'Data_in-situ'!ES343</f>
        <v>0.59475310250266267</v>
      </c>
      <c r="AK1234" s="110">
        <f>'Data_in-situ'!ET343</f>
        <v>3</v>
      </c>
    </row>
    <row r="1235" spans="20:37" x14ac:dyDescent="0.3">
      <c r="T1235" s="113">
        <f>'Data_in-situ'!DN361</f>
        <v>193.62208240634681</v>
      </c>
      <c r="U1235" s="113">
        <f>'Data_in-situ'!DO361</f>
        <v>614.14718799845184</v>
      </c>
      <c r="V1235" s="46">
        <f>'Data_in-situ'!DP361</f>
        <v>8</v>
      </c>
      <c r="W1235" s="113">
        <f>'Data_in-situ'!DR361</f>
        <v>-17.39938687312296</v>
      </c>
      <c r="X1235" s="113">
        <f>'Data_in-situ'!DS361</f>
        <v>20.727267101856409</v>
      </c>
      <c r="Y1235" s="46">
        <f>'Data_in-situ'!DT361</f>
        <v>8</v>
      </c>
      <c r="AF1235" s="113">
        <f>'Data_in-situ'!EN344</f>
        <v>-5.9727095516569193</v>
      </c>
      <c r="AG1235" s="113">
        <f>'Data_in-situ'!EO344</f>
        <v>0.38993551592449915</v>
      </c>
      <c r="AH1235" s="110">
        <f>'Data_in-situ'!EP344</f>
        <v>3</v>
      </c>
      <c r="AI1235" s="113">
        <f>'Data_in-situ'!ER344</f>
        <v>-14.607809847198643</v>
      </c>
      <c r="AJ1235" s="113">
        <f>'Data_in-situ'!ES344</f>
        <v>0.44735902456710497</v>
      </c>
      <c r="AK1235" s="110">
        <f>'Data_in-situ'!ET344</f>
        <v>3</v>
      </c>
    </row>
    <row r="1236" spans="20:37" x14ac:dyDescent="0.3">
      <c r="T1236" s="113">
        <f>'Data_in-situ'!DN362</f>
        <v>13.000958989688872</v>
      </c>
      <c r="U1236" s="113">
        <f>'Data_in-situ'!DO362</f>
        <v>49.021154863031335</v>
      </c>
      <c r="V1236" s="46">
        <f>'Data_in-situ'!DP362</f>
        <v>8</v>
      </c>
      <c r="W1236" s="113">
        <f>'Data_in-situ'!DR362</f>
        <v>-4.3235288751980265</v>
      </c>
      <c r="X1236" s="113">
        <f>'Data_in-situ'!DS362</f>
        <v>9.6228681188427743</v>
      </c>
      <c r="Y1236" s="46">
        <f>'Data_in-situ'!DT362</f>
        <v>8</v>
      </c>
      <c r="AF1236" s="113">
        <f>'Data_in-situ'!EN346</f>
        <v>10.734402852049913</v>
      </c>
      <c r="AG1236" s="113">
        <f>'Data_in-situ'!EO346</f>
        <v>0.89907795198284091</v>
      </c>
      <c r="AH1236" s="110">
        <f>'Data_in-situ'!EP346</f>
        <v>3</v>
      </c>
      <c r="AI1236" s="113">
        <f>'Data_in-situ'!ER346</f>
        <v>1.4153297682709467</v>
      </c>
      <c r="AJ1236" s="113">
        <f>'Data_in-situ'!ES346</f>
        <v>0.51951553041500198</v>
      </c>
      <c r="AK1236" s="110">
        <f>'Data_in-situ'!ET346</f>
        <v>3</v>
      </c>
    </row>
    <row r="1237" spans="20:37" x14ac:dyDescent="0.3">
      <c r="T1237" s="113">
        <f>'Data_in-situ'!DN363</f>
        <v>92.536237514844473</v>
      </c>
      <c r="U1237" s="113">
        <f>'Data_in-situ'!DO363</f>
        <v>343.16618940866766</v>
      </c>
      <c r="V1237" s="46">
        <f>'Data_in-situ'!DP363</f>
        <v>8</v>
      </c>
      <c r="W1237" s="113">
        <f>'Data_in-situ'!DR363</f>
        <v>-4.3235288751980265</v>
      </c>
      <c r="X1237" s="113">
        <f>'Data_in-situ'!DS363</f>
        <v>4.2368888087214085</v>
      </c>
      <c r="Y1237" s="46">
        <f>'Data_in-situ'!DT363</f>
        <v>8</v>
      </c>
      <c r="AF1237" s="113">
        <f>'Data_in-situ'!EN347</f>
        <v>21.878787878787879</v>
      </c>
      <c r="AG1237" s="113">
        <f>'Data_in-situ'!EO347</f>
        <v>1.1081772383933699</v>
      </c>
      <c r="AH1237" s="110">
        <f>'Data_in-situ'!EP347</f>
        <v>3</v>
      </c>
      <c r="AI1237" s="113">
        <f>'Data_in-situ'!ER347</f>
        <v>0.76837548416496004</v>
      </c>
      <c r="AJ1237" s="113">
        <f>'Data_in-situ'!ES347</f>
        <v>1.2709978400329951</v>
      </c>
      <c r="AK1237" s="110">
        <f>'Data_in-situ'!ET347</f>
        <v>3</v>
      </c>
    </row>
    <row r="1238" spans="20:37" x14ac:dyDescent="0.3">
      <c r="T1238" s="113">
        <f>'Data_in-situ'!DN459</f>
        <v>118.26666666666667</v>
      </c>
      <c r="U1238" s="113">
        <f>'Data_in-situ'!DO459</f>
        <v>131.85305726464713</v>
      </c>
      <c r="V1238" s="46">
        <f>'Data_in-situ'!DP459</f>
        <v>1</v>
      </c>
      <c r="W1238" s="113">
        <f>'Data_in-situ'!DR459</f>
        <v>26.133333333333336</v>
      </c>
      <c r="X1238" s="113">
        <f>'Data_in-situ'!DS459</f>
        <v>97.665919166357071</v>
      </c>
      <c r="Y1238" s="46">
        <f>'Data_in-situ'!DT459</f>
        <v>1</v>
      </c>
      <c r="AF1238" s="113">
        <f>'Data_in-situ'!EN348</f>
        <v>-17.5</v>
      </c>
      <c r="AG1238" s="113">
        <f>'Data_in-situ'!EO348</f>
        <v>4.9497474683058327</v>
      </c>
      <c r="AH1238" s="110">
        <f>'Data_in-situ'!EP348</f>
        <v>4</v>
      </c>
      <c r="AI1238" s="113">
        <f>'Data_in-situ'!ER348</f>
        <v>-34</v>
      </c>
      <c r="AJ1238" s="113">
        <f>'Data_in-situ'!ES348</f>
        <v>11.313708498984761</v>
      </c>
      <c r="AK1238" s="110">
        <f>'Data_in-situ'!ET348</f>
        <v>4</v>
      </c>
    </row>
    <row r="1239" spans="20:37" x14ac:dyDescent="0.3">
      <c r="AF1239" s="113">
        <f>'Data_in-situ'!EN349</f>
        <v>-10</v>
      </c>
      <c r="AG1239" s="113">
        <f>'Data_in-situ'!EO349</f>
        <v>5.6568542494923806</v>
      </c>
      <c r="AH1239" s="110">
        <f>'Data_in-situ'!EP349</f>
        <v>4</v>
      </c>
      <c r="AI1239" s="113">
        <f>'Data_in-situ'!ER349</f>
        <v>-16.5</v>
      </c>
      <c r="AJ1239" s="113">
        <f>'Data_in-situ'!ES349</f>
        <v>3.5355339059327378</v>
      </c>
      <c r="AK1239" s="110">
        <f>'Data_in-situ'!ET349</f>
        <v>4</v>
      </c>
    </row>
    <row r="1240" spans="20:37" x14ac:dyDescent="0.3">
      <c r="AF1240" s="113">
        <f>'Data_in-situ'!EN350</f>
        <v>10</v>
      </c>
      <c r="AG1240" s="113">
        <f>'Data_in-situ'!EO350</f>
        <v>14.142135623730951</v>
      </c>
      <c r="AH1240" s="110">
        <f>'Data_in-situ'!EP350</f>
        <v>4</v>
      </c>
      <c r="AI1240" s="113">
        <f>'Data_in-situ'!ER350</f>
        <v>-8</v>
      </c>
      <c r="AJ1240" s="113">
        <f>'Data_in-situ'!ES350</f>
        <v>2.8284271247461903</v>
      </c>
      <c r="AK1240" s="110">
        <f>'Data_in-situ'!ET350</f>
        <v>4</v>
      </c>
    </row>
    <row r="1241" spans="20:37" x14ac:dyDescent="0.3">
      <c r="AF1241" s="113">
        <f>'Data_in-situ'!EN351</f>
        <v>-17.5</v>
      </c>
      <c r="AG1241" s="113">
        <f>'Data_in-situ'!EO351</f>
        <v>4.9497474683058327</v>
      </c>
      <c r="AH1241" s="110">
        <f>'Data_in-situ'!EP351</f>
        <v>4</v>
      </c>
      <c r="AI1241" s="113">
        <f>'Data_in-situ'!ER351</f>
        <v>-34</v>
      </c>
      <c r="AJ1241" s="113">
        <f>'Data_in-situ'!ES351</f>
        <v>11.313708498984761</v>
      </c>
      <c r="AK1241" s="110">
        <f>'Data_in-situ'!ET351</f>
        <v>4</v>
      </c>
    </row>
    <row r="1242" spans="20:37" x14ac:dyDescent="0.3">
      <c r="AF1242" s="113">
        <f>'Data_in-situ'!EN352</f>
        <v>-10</v>
      </c>
      <c r="AG1242" s="113">
        <f>'Data_in-situ'!EO352</f>
        <v>5.6568542494923806</v>
      </c>
      <c r="AH1242" s="110">
        <f>'Data_in-situ'!EP352</f>
        <v>4</v>
      </c>
      <c r="AI1242" s="113">
        <f>'Data_in-situ'!ER352</f>
        <v>-16.5</v>
      </c>
      <c r="AJ1242" s="113">
        <f>'Data_in-situ'!ES352</f>
        <v>3.5355339059327378</v>
      </c>
      <c r="AK1242" s="110">
        <f>'Data_in-situ'!ET352</f>
        <v>4</v>
      </c>
    </row>
    <row r="1243" spans="20:37" x14ac:dyDescent="0.3">
      <c r="AF1243" s="113">
        <f>'Data_in-situ'!EN353</f>
        <v>10</v>
      </c>
      <c r="AG1243" s="113">
        <f>'Data_in-situ'!EO353</f>
        <v>14.142135623730951</v>
      </c>
      <c r="AH1243" s="110">
        <f>'Data_in-situ'!EP353</f>
        <v>4</v>
      </c>
      <c r="AI1243" s="113">
        <f>'Data_in-situ'!ER353</f>
        <v>-8</v>
      </c>
      <c r="AJ1243" s="113">
        <f>'Data_in-situ'!ES353</f>
        <v>2.8284271247461903</v>
      </c>
      <c r="AK1243" s="110">
        <f>'Data_in-situ'!ET353</f>
        <v>4</v>
      </c>
    </row>
    <row r="1244" spans="20:37" x14ac:dyDescent="0.3">
      <c r="AF1244" s="113">
        <f>'Data_in-situ'!EN361</f>
        <v>-22.8355929225071</v>
      </c>
      <c r="AG1244" s="113">
        <f>'Data_in-situ'!EO361</f>
        <v>9.3054218792721652</v>
      </c>
      <c r="AH1244" s="110">
        <f>'Data_in-situ'!EP361</f>
        <v>8</v>
      </c>
      <c r="AI1244" s="113">
        <f>'Data_in-situ'!ER361</f>
        <v>-45.187277814574003</v>
      </c>
      <c r="AJ1244" s="113">
        <f>'Data_in-situ'!ES361</f>
        <v>10.249109648169611</v>
      </c>
      <c r="AK1244" s="110">
        <f>'Data_in-situ'!ET361</f>
        <v>8</v>
      </c>
    </row>
    <row r="1245" spans="20:37" x14ac:dyDescent="0.3">
      <c r="AF1245" s="113">
        <f>'Data_in-situ'!EN362</f>
        <v>-45.647936632378602</v>
      </c>
      <c r="AG1245" s="113">
        <f>'Data_in-situ'!EO362</f>
        <v>18.60136978812152</v>
      </c>
      <c r="AH1245" s="110">
        <f>'Data_in-situ'!EP362</f>
        <v>8</v>
      </c>
      <c r="AI1245" s="113">
        <f>'Data_in-situ'!ER362</f>
        <v>-90.991470783038906</v>
      </c>
      <c r="AJ1245" s="113">
        <f>'Data_in-situ'!ES362</f>
        <v>20.638144323064466</v>
      </c>
      <c r="AK1245" s="110">
        <f>'Data_in-situ'!ET362</f>
        <v>8</v>
      </c>
    </row>
    <row r="1246" spans="20:37" x14ac:dyDescent="0.3">
      <c r="AF1246" s="113">
        <f>'Data_in-situ'!EN363</f>
        <v>-18.912423460077601</v>
      </c>
      <c r="AG1246" s="113">
        <f>'Data_in-situ'!EO363</f>
        <v>7.7067444516410974</v>
      </c>
      <c r="AH1246" s="110">
        <f>'Data_in-situ'!EP363</f>
        <v>8</v>
      </c>
      <c r="AI1246" s="113">
        <f>'Data_in-situ'!ER363</f>
        <v>-40.3060245198091</v>
      </c>
      <c r="AJ1246" s="113">
        <f>'Data_in-situ'!ES363</f>
        <v>9.1419728021788735</v>
      </c>
      <c r="AK1246" s="110">
        <f>'Data_in-situ'!ET363</f>
        <v>8</v>
      </c>
    </row>
    <row r="1247" spans="20:37" x14ac:dyDescent="0.3">
      <c r="AF1247" s="113">
        <f>'Data_in-situ'!EN374</f>
        <v>-18.43977174360656</v>
      </c>
      <c r="AG1247" s="113">
        <f>'Data_in-situ'!EO374</f>
        <v>7.4660723000216542</v>
      </c>
      <c r="AH1247" s="110">
        <f>'Data_in-situ'!EP374</f>
        <v>6</v>
      </c>
      <c r="AI1247" s="113">
        <f>'Data_in-situ'!ER374</f>
        <v>-32.926909210095033</v>
      </c>
      <c r="AJ1247" s="113">
        <f>'Data_in-situ'!ES374</f>
        <v>5.9181798677139321</v>
      </c>
      <c r="AK1247" s="110">
        <f>'Data_in-situ'!ET374</f>
        <v>6</v>
      </c>
    </row>
    <row r="1248" spans="20:37" x14ac:dyDescent="0.3">
      <c r="AF1248" s="113">
        <f>'Data_in-situ'!EN375</f>
        <v>-18.43977174360656</v>
      </c>
      <c r="AG1248" s="113">
        <f>'Data_in-situ'!EO375</f>
        <v>7.4660723000216542</v>
      </c>
      <c r="AH1248" s="110">
        <f>'Data_in-situ'!EP375</f>
        <v>6</v>
      </c>
      <c r="AI1248" s="113">
        <f>'Data_in-situ'!ER375</f>
        <v>-40.367064742679283</v>
      </c>
      <c r="AJ1248" s="113">
        <f>'Data_in-situ'!ES375</f>
        <v>4.0843551355325198</v>
      </c>
      <c r="AK1248" s="110">
        <f>'Data_in-situ'!ET375</f>
        <v>6</v>
      </c>
    </row>
    <row r="1249" spans="1:37" x14ac:dyDescent="0.3">
      <c r="AF1249" s="113">
        <f>'Data_in-situ'!EN376</f>
        <v>-25.327560341085523</v>
      </c>
      <c r="AG1249" s="113">
        <f>'Data_in-situ'!EO376</f>
        <v>3.7216854561993782</v>
      </c>
      <c r="AH1249" s="110">
        <f>'Data_in-situ'!EP376</f>
        <v>6</v>
      </c>
      <c r="AI1249" s="113">
        <f>'Data_in-situ'!ER376</f>
        <v>-38.138726825441289</v>
      </c>
      <c r="AJ1249" s="113">
        <f>'Data_in-situ'!ES376</f>
        <v>2.9417033415847209</v>
      </c>
      <c r="AK1249" s="110">
        <f>'Data_in-situ'!ET376</f>
        <v>6</v>
      </c>
    </row>
    <row r="1250" spans="1:37" x14ac:dyDescent="0.3">
      <c r="AF1250" s="113">
        <f>'Data_in-situ'!EN377</f>
        <v>-25.327560341085523</v>
      </c>
      <c r="AG1250" s="113">
        <f>'Data_in-situ'!EO377</f>
        <v>3.7216854561993782</v>
      </c>
      <c r="AH1250" s="110">
        <f>'Data_in-situ'!EP377</f>
        <v>6</v>
      </c>
      <c r="AI1250" s="113">
        <f>'Data_in-situ'!ER377</f>
        <v>-44.870926010354054</v>
      </c>
      <c r="AJ1250" s="113">
        <f>'Data_in-situ'!ES377</f>
        <v>2.2702362142729355</v>
      </c>
      <c r="AK1250" s="110">
        <f>'Data_in-situ'!ET377</f>
        <v>6</v>
      </c>
    </row>
    <row r="1251" spans="1:37" x14ac:dyDescent="0.3">
      <c r="AF1251" s="113">
        <f>'Data_in-situ'!EN378</f>
        <v>-48.76169720736587</v>
      </c>
      <c r="AG1251" s="113">
        <f>'Data_in-situ'!EO378</f>
        <v>3.8844664928993486</v>
      </c>
      <c r="AH1251" s="110">
        <f>'Data_in-situ'!EP378</f>
        <v>6</v>
      </c>
      <c r="AI1251" s="113">
        <f>'Data_in-situ'!ER378</f>
        <v>-60.453706185710573</v>
      </c>
      <c r="AJ1251" s="113">
        <f>'Data_in-situ'!ES378</f>
        <v>3.5711359265362042</v>
      </c>
      <c r="AK1251" s="110">
        <f>'Data_in-situ'!ET378</f>
        <v>6</v>
      </c>
    </row>
    <row r="1252" spans="1:37" x14ac:dyDescent="0.3">
      <c r="AF1252" s="113">
        <f>'Data_in-situ'!EN379</f>
        <v>-48.76169720736587</v>
      </c>
      <c r="AG1252" s="113">
        <f>'Data_in-situ'!EO379</f>
        <v>3.8844664928993486</v>
      </c>
      <c r="AH1252" s="110">
        <f>'Data_in-situ'!EP379</f>
        <v>6</v>
      </c>
      <c r="AI1252" s="113">
        <f>'Data_in-situ'!ER379</f>
        <v>-64.194692039592596</v>
      </c>
      <c r="AJ1252" s="113">
        <f>'Data_in-situ'!ES379</f>
        <v>3.0503400500711311</v>
      </c>
      <c r="AK1252" s="110">
        <f>'Data_in-situ'!ET379</f>
        <v>6</v>
      </c>
    </row>
    <row r="1253" spans="1:37" x14ac:dyDescent="0.3">
      <c r="AF1253" s="113">
        <f>'Data_in-situ'!EN413</f>
        <v>-20.399999999999999</v>
      </c>
      <c r="AG1253" s="113">
        <f>'Data_in-situ'!EO413</f>
        <v>2.2999999999999998</v>
      </c>
      <c r="AH1253" s="110">
        <f>'Data_in-situ'!EP413</f>
        <v>3</v>
      </c>
      <c r="AI1253" s="113">
        <f>'Data_in-situ'!ER413</f>
        <v>-28.4</v>
      </c>
      <c r="AJ1253" s="113">
        <f>'Data_in-situ'!ES413</f>
        <v>3.2</v>
      </c>
      <c r="AK1253" s="110">
        <f>'Data_in-situ'!ET413</f>
        <v>3</v>
      </c>
    </row>
    <row r="1254" spans="1:37" x14ac:dyDescent="0.3">
      <c r="AF1254" s="113">
        <f>'Data_in-situ'!EN415</f>
        <v>-15.24193548387095</v>
      </c>
      <c r="AG1254" s="113">
        <f>'Data_in-situ'!EO415</f>
        <v>0.79834636585576813</v>
      </c>
      <c r="AH1254" s="110">
        <f>'Data_in-situ'!EP415</f>
        <v>3</v>
      </c>
      <c r="AI1254" s="113">
        <f>'Data_in-situ'!ER415</f>
        <v>-86.747311827956878</v>
      </c>
      <c r="AJ1254" s="113">
        <f>'Data_in-situ'!ES415</f>
        <v>35.741792340849045</v>
      </c>
      <c r="AK1254" s="110">
        <f>'Data_in-situ'!ET415</f>
        <v>3</v>
      </c>
    </row>
    <row r="1255" spans="1:37" x14ac:dyDescent="0.3">
      <c r="AF1255" s="113">
        <f>'Data_in-situ'!EN439</f>
        <v>-45.3</v>
      </c>
      <c r="AG1255" s="113">
        <f>'Data_in-situ'!EO439</f>
        <v>5.7157676649772942</v>
      </c>
      <c r="AH1255" s="110">
        <f>'Data_in-situ'!EP439</f>
        <v>3</v>
      </c>
      <c r="AI1255" s="113">
        <f>'Data_in-situ'!ER439</f>
        <v>-60.2</v>
      </c>
      <c r="AJ1255" s="113">
        <f>'Data_in-situ'!ES439</f>
        <v>4.676537180435969</v>
      </c>
      <c r="AK1255" s="110">
        <f>'Data_in-situ'!ET439</f>
        <v>3</v>
      </c>
    </row>
    <row r="1256" spans="1:37" x14ac:dyDescent="0.3">
      <c r="AF1256" s="113">
        <f>'Data_in-situ'!EN440</f>
        <v>-45.3</v>
      </c>
      <c r="AG1256" s="113">
        <f>'Data_in-situ'!EO440</f>
        <v>5.7157676649772942</v>
      </c>
      <c r="AH1256" s="110">
        <f>'Data_in-situ'!EP440</f>
        <v>3</v>
      </c>
      <c r="AI1256" s="113">
        <f>'Data_in-situ'!ER440</f>
        <v>-27.4</v>
      </c>
      <c r="AJ1256" s="113">
        <f>'Data_in-situ'!ES440</f>
        <v>4.5033320996790804</v>
      </c>
      <c r="AK1256" s="110">
        <f>'Data_in-situ'!ET440</f>
        <v>3</v>
      </c>
    </row>
    <row r="1257" spans="1:37" x14ac:dyDescent="0.3">
      <c r="AF1257" s="113">
        <f>'Data_in-situ'!EN450</f>
        <v>-22</v>
      </c>
      <c r="AG1257" s="113">
        <f>'Data_in-situ'!EO450</f>
        <v>8.964920772528453</v>
      </c>
      <c r="AH1257" s="110">
        <f>'Data_in-situ'!EP450</f>
        <v>1</v>
      </c>
      <c r="AI1257" s="113">
        <f>'Data_in-situ'!ER450</f>
        <v>-77</v>
      </c>
      <c r="AJ1257" s="113">
        <f>'Data_in-situ'!ES450</f>
        <v>17.46468212020795</v>
      </c>
      <c r="AK1257" s="110">
        <f>'Data_in-situ'!ET450</f>
        <v>1</v>
      </c>
    </row>
    <row r="1258" spans="1:37" x14ac:dyDescent="0.3">
      <c r="AF1258" s="113">
        <f>'Data_in-situ'!EN451</f>
        <v>-17</v>
      </c>
      <c r="AG1258" s="113">
        <f>'Data_in-situ'!EO451</f>
        <v>6.9274387787719869</v>
      </c>
      <c r="AH1258" s="110">
        <f>'Data_in-situ'!EP451</f>
        <v>1</v>
      </c>
      <c r="AI1258" s="113">
        <f>'Data_in-situ'!ER451</f>
        <v>-73</v>
      </c>
      <c r="AJ1258" s="113">
        <f>'Data_in-situ'!ES451</f>
        <v>16.557425906171176</v>
      </c>
      <c r="AK1258" s="110">
        <f>'Data_in-situ'!ET451</f>
        <v>1</v>
      </c>
    </row>
    <row r="1259" spans="1:37" x14ac:dyDescent="0.3">
      <c r="AF1259" s="113">
        <f>'Data_in-situ'!EN452</f>
        <v>-11</v>
      </c>
      <c r="AG1259" s="113">
        <f>'Data_in-situ'!EO452</f>
        <v>4.4824603862642265</v>
      </c>
      <c r="AH1259" s="110">
        <f>'Data_in-situ'!EP452</f>
        <v>1</v>
      </c>
      <c r="AI1259" s="113">
        <f>'Data_in-situ'!ER452</f>
        <v>-59</v>
      </c>
      <c r="AJ1259" s="113">
        <f>'Data_in-situ'!ES452</f>
        <v>13.382029157042457</v>
      </c>
      <c r="AK1259" s="110">
        <f>'Data_in-situ'!ET452</f>
        <v>1</v>
      </c>
    </row>
    <row r="1260" spans="1:37" x14ac:dyDescent="0.3">
      <c r="AF1260" s="113">
        <f>'Data_in-situ'!EN459</f>
        <v>-7.6</v>
      </c>
      <c r="AG1260" s="113">
        <f>'Data_in-situ'!EO459</f>
        <v>3.0969726305098293</v>
      </c>
      <c r="AH1260" s="110">
        <f>'Data_in-situ'!EP459</f>
        <v>1</v>
      </c>
      <c r="AI1260" s="113">
        <f>'Data_in-situ'!ER459</f>
        <v>-66.400000000000006</v>
      </c>
      <c r="AJ1260" s="113">
        <f>'Data_in-situ'!ES459</f>
        <v>15.060453153010494</v>
      </c>
      <c r="AK1260" s="110">
        <f>'Data_in-situ'!ET459</f>
        <v>1</v>
      </c>
    </row>
    <row r="1262" spans="1:37" x14ac:dyDescent="0.3">
      <c r="A1262" s="110" t="s">
        <v>831</v>
      </c>
      <c r="B1262" s="24">
        <f>AVERAGEA(B1146:B1260)</f>
        <v>-30943.984215387143</v>
      </c>
      <c r="C1262" s="24">
        <f>STDEVA(B1146:B1260)/SQRT(COUNT(B1146:B1260))</f>
        <v>6865.7815312986449</v>
      </c>
      <c r="D1262" s="46">
        <f>COUNT(B1146:B1260)</f>
        <v>42</v>
      </c>
      <c r="E1262" s="24">
        <f>AVERAGEA(E1146:E1260)</f>
        <v>-26243.963536481882</v>
      </c>
      <c r="F1262" s="24">
        <f>STDEVA(E1146:E1260)/SQRT(COUNT(E1146:E1260))</f>
        <v>7108.5823121755102</v>
      </c>
      <c r="G1262" s="46">
        <f>COUNT(E1146:E1260)</f>
        <v>42</v>
      </c>
      <c r="H1262" s="24">
        <f>AVERAGEA(H1146:H1260)</f>
        <v>31542.119449503032</v>
      </c>
      <c r="I1262" s="24">
        <f>STDEVA(H1146:H1260)/SQRT(COUNT(H1146:H1260))</f>
        <v>7317.6590265554087</v>
      </c>
      <c r="J1262" s="110">
        <f>COUNT(H1146:H1260)</f>
        <v>42</v>
      </c>
      <c r="K1262" s="24">
        <f>AVERAGEA(K1146:K1260)</f>
        <v>32658.31880243749</v>
      </c>
      <c r="L1262" s="24">
        <f>STDEVA(K1146:K1260)/SQRT(COUNT(K1146:K1260))</f>
        <v>7913.1139702452238</v>
      </c>
      <c r="M1262" s="110">
        <f>COUNT(K1146:K1260)</f>
        <v>42</v>
      </c>
      <c r="N1262" s="24">
        <f>AVERAGEA(N1146:N1260)</f>
        <v>543.52743797367123</v>
      </c>
      <c r="O1262" s="24">
        <f>STDEVA(N1146:N1260)/SQRT(COUNT(N1146:N1260))</f>
        <v>891.50842040835312</v>
      </c>
      <c r="P1262" s="110">
        <f>COUNT(N1146:N1260)</f>
        <v>43</v>
      </c>
      <c r="Q1262" s="24">
        <f>AVERAGEA(Q1146:Q1260)</f>
        <v>6248.4400272124421</v>
      </c>
      <c r="R1262" s="24">
        <f>STDEVA(Q1146:Q1260)/SQRT(COUNT(Q1146:Q1260))</f>
        <v>1269.9819935161172</v>
      </c>
      <c r="S1262" s="110">
        <f>COUNT(Q1146:Q1260)</f>
        <v>43</v>
      </c>
      <c r="T1262" s="113">
        <f>AVERAGEA(T1146:T1260)</f>
        <v>111.52380876515863</v>
      </c>
      <c r="U1262" s="113">
        <f>STDEVA(T1146:T1260)/SQRT(COUNT(T1146:T1260))</f>
        <v>28.751092266834039</v>
      </c>
      <c r="V1262" s="110">
        <f>COUNT(T1146:T1260)</f>
        <v>77</v>
      </c>
      <c r="W1262" s="113">
        <f>AVERAGEA(W1146:W1260)</f>
        <v>35.321926255748096</v>
      </c>
      <c r="X1262" s="113">
        <f>STDEVA(W1146:W1260)/SQRT(COUNT(W1146:W1260))</f>
        <v>18.0517509567708</v>
      </c>
      <c r="Y1262" s="110">
        <f>COUNT(W1146:W1260)</f>
        <v>77</v>
      </c>
      <c r="Z1262" s="113">
        <f>AVERAGEA(Z1146:Z1260)</f>
        <v>0.62286145774122093</v>
      </c>
      <c r="AA1262" s="113">
        <f>STDEVA(Z1146:Z1260)/SQRT(COUNT(Z1146:Z1260))</f>
        <v>0.13774992186133</v>
      </c>
      <c r="AB1262" s="110">
        <f>COUNT(Z1146:Z1260)</f>
        <v>23</v>
      </c>
      <c r="AC1262" s="113">
        <f>AVERAGEA(AC1146:AC1260)</f>
        <v>4.06489900481386</v>
      </c>
      <c r="AD1262" s="113">
        <f>STDEVA(AC1146:AC1260)/SQRT(COUNT(AC1146:AC1260))</f>
        <v>1.5708056452103685</v>
      </c>
      <c r="AE1262" s="110">
        <f>COUNT(AC1146:AC1260)</f>
        <v>23</v>
      </c>
      <c r="AF1262" s="113">
        <f>AVERAGEA(AF1146:AF1260)</f>
        <v>-16.581058845396488</v>
      </c>
      <c r="AG1262" s="113">
        <f>STDEVA(AF1146:AF1260)/SQRT(COUNT(AF1146:AF1260))</f>
        <v>2.6021691407566698</v>
      </c>
      <c r="AH1262" s="110">
        <f>COUNT(AF1146:AF1260)</f>
        <v>115</v>
      </c>
      <c r="AI1262" s="113">
        <f>AVERAGEA(AI1146:AI1260)</f>
        <v>-48.247828331279017</v>
      </c>
      <c r="AJ1262" s="113">
        <f>STDEVA(AI1146:AI1260)/SQRT(COUNT(AI1146:AI1260))</f>
        <v>2.6711057061119399</v>
      </c>
      <c r="AK1262" s="110">
        <f>COUNT(AI1146:AI1260)</f>
        <v>115</v>
      </c>
    </row>
    <row r="1264" spans="1:37" x14ac:dyDescent="0.3">
      <c r="A1264" s="111" t="s">
        <v>969</v>
      </c>
      <c r="B1264" s="24">
        <f>'Data_in-situ'!CA36</f>
        <v>-9117.2313953462108</v>
      </c>
      <c r="C1264" s="24">
        <f>'Data_in-situ'!CB36</f>
        <v>2424.3247606001519</v>
      </c>
      <c r="D1264" s="46">
        <f>'Data_in-situ'!CC36</f>
        <v>3</v>
      </c>
      <c r="E1264" s="24">
        <f>'Data_in-situ'!CE36</f>
        <v>-11061.598737544933</v>
      </c>
      <c r="F1264" s="24">
        <f>'Data_in-situ'!CF36</f>
        <v>1546.857501085957</v>
      </c>
      <c r="G1264" s="46">
        <f>'Data_in-situ'!CG36</f>
        <v>3</v>
      </c>
      <c r="H1264" s="24">
        <f>'Data_in-situ'!CN36</f>
        <v>12663.516770662041</v>
      </c>
      <c r="I1264" s="24">
        <f>'Data_in-situ'!CO36</f>
        <v>2211.9149588307</v>
      </c>
      <c r="J1264" s="46">
        <f>'Data_in-situ'!CP36</f>
        <v>3</v>
      </c>
      <c r="K1264" s="24">
        <f>'Data_in-situ'!CR36</f>
        <v>13557.778602361719</v>
      </c>
      <c r="L1264" s="24">
        <f>'Data_in-situ'!CS36</f>
        <v>1534.7793518535277</v>
      </c>
      <c r="M1264" s="46">
        <f>'Data_in-situ'!CT36</f>
        <v>3</v>
      </c>
      <c r="N1264" s="24">
        <f>'Data_in-situ'!DA3</f>
        <v>-2080</v>
      </c>
      <c r="O1264" s="24">
        <f>'Data_in-situ'!DB3</f>
        <v>200</v>
      </c>
      <c r="P1264" s="46">
        <f>'Data_in-situ'!DC3</f>
        <v>4</v>
      </c>
      <c r="Q1264" s="24">
        <f>'Data_in-situ'!DE3</f>
        <v>-1200</v>
      </c>
      <c r="R1264" s="24">
        <f>'Data_in-situ'!DF3</f>
        <v>800</v>
      </c>
      <c r="S1264" s="46">
        <f>'Data_in-situ'!DG3</f>
        <v>4</v>
      </c>
      <c r="T1264" s="113">
        <f>'Data_in-situ'!DN3</f>
        <v>155.93</v>
      </c>
      <c r="U1264" s="113">
        <f>'Data_in-situ'!DO3</f>
        <v>91.89</v>
      </c>
      <c r="V1264" s="46">
        <f>'Data_in-situ'!DP3</f>
        <v>3</v>
      </c>
      <c r="W1264" s="113">
        <f>'Data_in-situ'!DR3</f>
        <v>-0.50150000000000006</v>
      </c>
      <c r="X1264" s="113">
        <f>'Data_in-situ'!DS3</f>
        <v>0.69631979003903077</v>
      </c>
      <c r="Y1264" s="46">
        <f>'Data_in-situ'!DT3</f>
        <v>3</v>
      </c>
      <c r="Z1264" s="113">
        <f>'Data_in-situ'!EA9</f>
        <v>9.3216878849518445E-2</v>
      </c>
      <c r="AA1264" s="113">
        <f>'Data_in-situ'!EB9</f>
        <v>0.20553512952136199</v>
      </c>
      <c r="AB1264" s="46">
        <f>'Data_in-situ'!EC9</f>
        <v>3</v>
      </c>
      <c r="AC1264" s="113">
        <f>'Data_in-situ'!EE9</f>
        <v>1.6177151825214293</v>
      </c>
      <c r="AD1264" s="113">
        <f>'Data_in-situ'!EF9</f>
        <v>0.53878192787841905</v>
      </c>
      <c r="AE1264" s="46">
        <f>'Data_in-situ'!EG9</f>
        <v>3</v>
      </c>
      <c r="AF1264" s="113">
        <f>'Data_in-situ'!EN17</f>
        <v>-31.375000000000004</v>
      </c>
      <c r="AG1264" s="113">
        <f>'Data_in-situ'!EO17</f>
        <v>10.767974391685748</v>
      </c>
      <c r="AH1264" s="110">
        <f>'Data_in-situ'!EP17</f>
        <v>4</v>
      </c>
      <c r="AI1264" s="113">
        <f>'Data_in-situ'!ER17</f>
        <v>-57.38</v>
      </c>
      <c r="AJ1264" s="113">
        <f>'Data_in-situ'!ES17</f>
        <v>9.4499999999999993</v>
      </c>
      <c r="AK1264" s="110">
        <f>'Data_in-situ'!ET17</f>
        <v>4</v>
      </c>
    </row>
    <row r="1265" spans="2:37" x14ac:dyDescent="0.3">
      <c r="B1265" s="24">
        <f>'Data_in-situ'!CA38</f>
        <v>-10940.677674415452</v>
      </c>
      <c r="C1265" s="24">
        <f>'Data_in-situ'!CB38</f>
        <v>3587.5182834567399</v>
      </c>
      <c r="D1265" s="46">
        <f>'Data_in-situ'!CC38</f>
        <v>3</v>
      </c>
      <c r="E1265" s="24">
        <f>'Data_in-situ'!CE38</f>
        <v>-13155.401355723083</v>
      </c>
      <c r="F1265" s="24">
        <f>'Data_in-situ'!CF38</f>
        <v>4763.1397208144126</v>
      </c>
      <c r="G1265" s="46">
        <f>'Data_in-situ'!CG38</f>
        <v>3</v>
      </c>
      <c r="H1265" s="24">
        <f>'Data_in-situ'!CN38</f>
        <v>12156.97609983556</v>
      </c>
      <c r="I1265" s="24">
        <f>'Data_in-situ'!CO38</f>
        <v>3352.7816659818532</v>
      </c>
      <c r="J1265" s="46">
        <f>'Data_in-situ'!CP38</f>
        <v>3</v>
      </c>
      <c r="K1265" s="24">
        <f>'Data_in-situ'!CR38</f>
        <v>16131.458608233776</v>
      </c>
      <c r="L1265" s="24">
        <f>'Data_in-situ'!CS38</f>
        <v>7799.7123045882036</v>
      </c>
      <c r="M1265" s="46">
        <f>'Data_in-situ'!CT38</f>
        <v>3</v>
      </c>
      <c r="N1265" s="24">
        <f>'Data_in-situ'!DA36</f>
        <v>3546.2853753158306</v>
      </c>
      <c r="O1265" s="24">
        <f>'Data_in-situ'!DB36</f>
        <v>5941.7227544878542</v>
      </c>
      <c r="P1265" s="46">
        <f>'Data_in-situ'!DC36</f>
        <v>3</v>
      </c>
      <c r="Q1265" s="24">
        <f>'Data_in-situ'!DE36</f>
        <v>2496.179864816786</v>
      </c>
      <c r="R1265" s="24">
        <f>'Data_in-situ'!DF36</f>
        <v>441.86562565211784</v>
      </c>
      <c r="S1265" s="46">
        <f>'Data_in-situ'!DG36</f>
        <v>3</v>
      </c>
      <c r="T1265" s="113">
        <f>'Data_in-situ'!DN6</f>
        <v>155.93</v>
      </c>
      <c r="U1265" s="113">
        <f>'Data_in-situ'!DO6</f>
        <v>91.89</v>
      </c>
      <c r="V1265" s="46">
        <f>'Data_in-situ'!DP6</f>
        <v>3</v>
      </c>
      <c r="W1265" s="113">
        <f>'Data_in-situ'!DR6</f>
        <v>-0.96399999999999997</v>
      </c>
      <c r="X1265" s="113">
        <f>'Data_in-situ'!DS6</f>
        <v>0.26300000000000001</v>
      </c>
      <c r="Y1265" s="46">
        <f>'Data_in-situ'!DT6</f>
        <v>3</v>
      </c>
      <c r="Z1265" s="113">
        <f>'Data_in-situ'!EA12</f>
        <v>0.10912682734488738</v>
      </c>
      <c r="AA1265" s="113">
        <f>'Data_in-situ'!EB12</f>
        <v>0.23951135746402341</v>
      </c>
      <c r="AB1265" s="46">
        <f>'Data_in-situ'!EC12</f>
        <v>3</v>
      </c>
      <c r="AC1265" s="113">
        <f>'Data_in-situ'!EE12</f>
        <v>1.6305394767095169</v>
      </c>
      <c r="AD1265" s="113">
        <f>'Data_in-situ'!EF12</f>
        <v>0.96616422362470822</v>
      </c>
      <c r="AE1265" s="46">
        <f>'Data_in-situ'!EG12</f>
        <v>3</v>
      </c>
      <c r="AF1265" s="113">
        <f>'Data_in-situ'!EN19</f>
        <v>-6.17</v>
      </c>
      <c r="AG1265" s="113">
        <f>'Data_in-situ'!EO19</f>
        <v>1.6</v>
      </c>
      <c r="AH1265" s="110">
        <f>'Data_in-situ'!EP19</f>
        <v>3</v>
      </c>
      <c r="AI1265" s="113">
        <f>'Data_in-situ'!ER19</f>
        <v>-37.89</v>
      </c>
      <c r="AJ1265" s="113">
        <f>'Data_in-situ'!ES19</f>
        <v>1.4</v>
      </c>
      <c r="AK1265" s="110">
        <f>'Data_in-situ'!ET19</f>
        <v>3</v>
      </c>
    </row>
    <row r="1266" spans="2:37" x14ac:dyDescent="0.3">
      <c r="B1266" s="24">
        <f>'Data_in-situ'!CA40</f>
        <v>-11180.604816398249</v>
      </c>
      <c r="C1266" s="24">
        <f>'Data_in-situ'!CB40</f>
        <v>6822.7682537892761</v>
      </c>
      <c r="D1266" s="46">
        <f>'Data_in-situ'!CC40</f>
        <v>3</v>
      </c>
      <c r="E1266" s="24">
        <f>'Data_in-situ'!CE40</f>
        <v>-13708.481292600329</v>
      </c>
      <c r="F1266" s="24">
        <f>'Data_in-situ'!CF40</f>
        <v>4128.0544247058242</v>
      </c>
      <c r="G1266" s="46">
        <f>'Data_in-situ'!CG40</f>
        <v>3</v>
      </c>
      <c r="H1266" s="24">
        <f>'Data_in-situ'!CN40</f>
        <v>12213.258396594058</v>
      </c>
      <c r="I1266" s="24">
        <f>'Data_in-situ'!CO40</f>
        <v>5829.3069078214994</v>
      </c>
      <c r="J1266" s="46">
        <f>'Data_in-situ'!CP40</f>
        <v>3</v>
      </c>
      <c r="K1266" s="24">
        <f>'Data_in-situ'!CR40</f>
        <v>16774.878609701791</v>
      </c>
      <c r="L1266" s="24">
        <f>'Data_in-situ'!CS40</f>
        <v>6880.9051275668298</v>
      </c>
      <c r="M1266" s="46">
        <f>'Data_in-situ'!CT40</f>
        <v>3</v>
      </c>
      <c r="N1266" s="24">
        <f>'Data_in-situ'!DA38</f>
        <v>1216.2984254201074</v>
      </c>
      <c r="O1266" s="24">
        <f>'Data_in-situ'!DB38</f>
        <v>2060.9133169618808</v>
      </c>
      <c r="P1266" s="46">
        <f>'Data_in-situ'!DC38</f>
        <v>3</v>
      </c>
      <c r="Q1266" s="24">
        <f>'Data_in-situ'!DE38</f>
        <v>2976.0572525106927</v>
      </c>
      <c r="R1266" s="24">
        <f>'Data_in-situ'!DF38</f>
        <v>692.55442504565758</v>
      </c>
      <c r="S1266" s="46">
        <f>'Data_in-situ'!DG38</f>
        <v>3</v>
      </c>
      <c r="T1266" s="113">
        <f>'Data_in-situ'!DN7</f>
        <v>155.93</v>
      </c>
      <c r="U1266" s="113">
        <f>'Data_in-situ'!DO7</f>
        <v>91.89</v>
      </c>
      <c r="V1266" s="46">
        <f>'Data_in-situ'!DP7</f>
        <v>3</v>
      </c>
      <c r="W1266" s="113">
        <f>'Data_in-situ'!DR7</f>
        <v>0.35</v>
      </c>
      <c r="X1266" s="113">
        <f>'Data_in-situ'!DS7</f>
        <v>1.927</v>
      </c>
      <c r="Y1266" s="46">
        <f>'Data_in-situ'!DT7</f>
        <v>3</v>
      </c>
      <c r="Z1266" s="113">
        <f>'Data_in-situ'!EA13</f>
        <v>0.10912682734488738</v>
      </c>
      <c r="AA1266" s="113">
        <f>'Data_in-situ'!EB13</f>
        <v>0.23951135746402341</v>
      </c>
      <c r="AB1266" s="46">
        <f>'Data_in-situ'!EC13</f>
        <v>3</v>
      </c>
      <c r="AC1266" s="113">
        <f>'Data_in-situ'!EE13</f>
        <v>2.1116822731156044</v>
      </c>
      <c r="AD1266" s="113">
        <f>'Data_in-situ'!EF13</f>
        <v>0.9849415206790767</v>
      </c>
      <c r="AE1266" s="46">
        <f>'Data_in-situ'!EG13</f>
        <v>3</v>
      </c>
      <c r="AF1266" s="113">
        <f>'Data_in-situ'!EN21</f>
        <v>-20.329999999999998</v>
      </c>
      <c r="AG1266" s="113">
        <f>'Data_in-situ'!EO21</f>
        <v>2.57</v>
      </c>
      <c r="AH1266" s="110">
        <f>'Data_in-situ'!EP21</f>
        <v>3</v>
      </c>
      <c r="AI1266" s="113">
        <f>'Data_in-situ'!ER21</f>
        <v>-37.89</v>
      </c>
      <c r="AJ1266" s="113">
        <f>'Data_in-situ'!ES21</f>
        <v>1.4</v>
      </c>
      <c r="AK1266" s="110">
        <f>'Data_in-situ'!ET21</f>
        <v>3</v>
      </c>
    </row>
    <row r="1267" spans="2:37" x14ac:dyDescent="0.3">
      <c r="B1267" s="24">
        <f>'Data_in-situ'!CA42</f>
        <v>-7247.1260453614086</v>
      </c>
      <c r="C1267" s="24">
        <f>'Data_in-situ'!CB42</f>
        <v>2100.9616035887611</v>
      </c>
      <c r="D1267" s="46">
        <f>'Data_in-situ'!CC42</f>
        <v>3</v>
      </c>
      <c r="E1267" s="24">
        <f>'Data_in-situ'!CE42</f>
        <v>-4582.6623341257582</v>
      </c>
      <c r="F1267" s="24">
        <f>'Data_in-situ'!CF42</f>
        <v>1206.6620626063177</v>
      </c>
      <c r="G1267" s="46">
        <f>'Data_in-situ'!CG42</f>
        <v>3</v>
      </c>
      <c r="H1267" s="24">
        <f>'Data_in-situ'!CN42</f>
        <v>6440.2877983621229</v>
      </c>
      <c r="I1267" s="24">
        <f>'Data_in-situ'!CO42</f>
        <v>2181.3507268282779</v>
      </c>
      <c r="J1267" s="46">
        <f>'Data_in-situ'!CP42</f>
        <v>3</v>
      </c>
      <c r="K1267" s="24">
        <f>'Data_in-situ'!CR42</f>
        <v>24633.794341918241</v>
      </c>
      <c r="L1267" s="24">
        <f>'Data_in-situ'!CS42</f>
        <v>2489.5274353362884</v>
      </c>
      <c r="M1267" s="46">
        <f>'Data_in-situ'!CT42</f>
        <v>3</v>
      </c>
      <c r="N1267" s="24">
        <f>'Data_in-situ'!DA40</f>
        <v>1032.6535801958089</v>
      </c>
      <c r="O1267" s="24">
        <f>'Data_in-situ'!DB40</f>
        <v>1588.5865996086475</v>
      </c>
      <c r="P1267" s="46">
        <f>'Data_in-situ'!DC40</f>
        <v>3</v>
      </c>
      <c r="Q1267" s="24">
        <f>'Data_in-situ'!DE40</f>
        <v>3066.3973171014622</v>
      </c>
      <c r="R1267" s="24">
        <f>'Data_in-situ'!DF40</f>
        <v>896.27712667386777</v>
      </c>
      <c r="S1267" s="46">
        <f>'Data_in-situ'!DG40</f>
        <v>3</v>
      </c>
      <c r="T1267" s="113">
        <f>'Data_in-situ'!DN9</f>
        <v>77.679769199310513</v>
      </c>
      <c r="U1267" s="113">
        <f>'Data_in-situ'!DO9</f>
        <v>41.109363664076781</v>
      </c>
      <c r="V1267" s="46">
        <f>'Data_in-situ'!DP9</f>
        <v>3</v>
      </c>
      <c r="W1267" s="113">
        <f>'Data_in-situ'!DR9</f>
        <v>-1.0998745633936757</v>
      </c>
      <c r="X1267" s="113">
        <f>'Data_in-situ'!DS9</f>
        <v>0.82147395233930254</v>
      </c>
      <c r="Y1267" s="46">
        <f>'Data_in-situ'!DT9</f>
        <v>3</v>
      </c>
      <c r="Z1267" s="113">
        <f>'Data_in-situ'!EA84</f>
        <v>-0.10183500000000001</v>
      </c>
      <c r="AA1267" s="113">
        <f>'Data_in-situ'!EB84</f>
        <v>6.3291E-2</v>
      </c>
      <c r="AB1267" s="46">
        <f>'Data_in-situ'!EC84</f>
        <v>3</v>
      </c>
      <c r="AC1267" s="113">
        <f>'Data_in-situ'!EE84</f>
        <v>2.9631794999999999</v>
      </c>
      <c r="AD1267" s="113">
        <f>'Data_in-situ'!EF84</f>
        <v>0.67948399999999998</v>
      </c>
      <c r="AE1267" s="46">
        <f>'Data_in-situ'!EG84</f>
        <v>3</v>
      </c>
      <c r="AF1267" s="113">
        <f>'Data_in-situ'!EN24</f>
        <v>-6.17</v>
      </c>
      <c r="AG1267" s="113">
        <f>'Data_in-situ'!EO24</f>
        <v>1.6</v>
      </c>
      <c r="AH1267" s="110">
        <f>'Data_in-situ'!EP24</f>
        <v>3</v>
      </c>
      <c r="AI1267" s="113">
        <f>'Data_in-situ'!ER24</f>
        <v>-40</v>
      </c>
      <c r="AJ1267" s="113">
        <f>'Data_in-situ'!ES24</f>
        <v>0</v>
      </c>
      <c r="AK1267" s="110">
        <f>'Data_in-situ'!ET24</f>
        <v>3</v>
      </c>
    </row>
    <row r="1268" spans="2:37" x14ac:dyDescent="0.3">
      <c r="B1268" s="24">
        <f>'Data_in-situ'!CA44</f>
        <v>-7369.2686191596349</v>
      </c>
      <c r="C1268" s="24">
        <f>'Data_in-situ'!CB44</f>
        <v>746.95892899118678</v>
      </c>
      <c r="D1268" s="46">
        <f>'Data_in-situ'!CC44</f>
        <v>3</v>
      </c>
      <c r="E1268" s="24">
        <f>'Data_in-situ'!CE44</f>
        <v>-4661.6737536796509</v>
      </c>
      <c r="F1268" s="24">
        <f>'Data_in-situ'!CF44</f>
        <v>1270.1705922171766</v>
      </c>
      <c r="G1268" s="46">
        <f>'Data_in-situ'!CG44</f>
        <v>3</v>
      </c>
      <c r="H1268" s="24">
        <f>'Data_in-situ'!CN44</f>
        <v>11939.302764655935</v>
      </c>
      <c r="I1268" s="24">
        <f>'Data_in-situ'!CO44</f>
        <v>4483.7070147716358</v>
      </c>
      <c r="J1268" s="46">
        <f>'Data_in-situ'!CP44</f>
        <v>3</v>
      </c>
      <c r="K1268" s="24">
        <f>'Data_in-situ'!CR44</f>
        <v>23300.995767448785</v>
      </c>
      <c r="L1268" s="24">
        <f>'Data_in-situ'!CS44</f>
        <v>3584.4542083747219</v>
      </c>
      <c r="M1268" s="46">
        <f>'Data_in-situ'!CT44</f>
        <v>3</v>
      </c>
      <c r="N1268" s="24">
        <f>'Data_in-situ'!DA42</f>
        <v>-806.83824699928573</v>
      </c>
      <c r="O1268" s="24">
        <f>'Data_in-situ'!DB42</f>
        <v>461.4050593199143</v>
      </c>
      <c r="P1268" s="46">
        <f>'Data_in-situ'!DC42</f>
        <v>3</v>
      </c>
      <c r="Q1268" s="24">
        <f>'Data_in-situ'!DE42</f>
        <v>20051.132007792483</v>
      </c>
      <c r="R1268" s="24">
        <f>'Data_in-situ'!DF42</f>
        <v>2691.1988636577989</v>
      </c>
      <c r="S1268" s="46">
        <f>'Data_in-situ'!DG42</f>
        <v>3</v>
      </c>
      <c r="T1268" s="113">
        <f>'Data_in-situ'!DN12</f>
        <v>80.930473720608589</v>
      </c>
      <c r="U1268" s="113">
        <f>'Data_in-situ'!DO12</f>
        <v>80.92749494901247</v>
      </c>
      <c r="V1268" s="46">
        <f>'Data_in-situ'!DP12</f>
        <v>3</v>
      </c>
      <c r="W1268" s="113">
        <f>'Data_in-situ'!DR12</f>
        <v>-2.9015044386833213</v>
      </c>
      <c r="X1268" s="113">
        <f>'Data_in-situ'!DS12</f>
        <v>2.2386157093008641</v>
      </c>
      <c r="Y1268" s="46">
        <f>'Data_in-situ'!DT12</f>
        <v>3</v>
      </c>
      <c r="Z1268" s="113">
        <f>'Data_in-situ'!EA86</f>
        <v>-1.4600000000000002E-2</v>
      </c>
      <c r="AA1268" s="113">
        <f>'Data_in-situ'!EB86</f>
        <v>8.8257000000000002E-2</v>
      </c>
      <c r="AB1268" s="46">
        <f>'Data_in-situ'!EC86</f>
        <v>3</v>
      </c>
      <c r="AC1268" s="113">
        <f>'Data_in-situ'!EE86</f>
        <v>7.8840000000000004E-3</v>
      </c>
      <c r="AD1268" s="113">
        <f>'Data_in-situ'!EF86</f>
        <v>4.9822500000000006E-2</v>
      </c>
      <c r="AE1268" s="46">
        <f>'Data_in-situ'!EG86</f>
        <v>3</v>
      </c>
      <c r="AF1268" s="113">
        <f>'Data_in-situ'!EN25</f>
        <v>-6.17</v>
      </c>
      <c r="AG1268" s="113">
        <f>'Data_in-situ'!EO25</f>
        <v>1.6</v>
      </c>
      <c r="AH1268" s="110">
        <f>'Data_in-situ'!EP25</f>
        <v>3</v>
      </c>
      <c r="AI1268" s="113">
        <f>'Data_in-situ'!ER25</f>
        <v>-31.710108073744415</v>
      </c>
      <c r="AJ1268" s="113">
        <f>'Data_in-situ'!ES25</f>
        <v>5.4726041682006299</v>
      </c>
      <c r="AK1268" s="110">
        <f>'Data_in-situ'!ET25</f>
        <v>3</v>
      </c>
    </row>
    <row r="1269" spans="2:37" x14ac:dyDescent="0.3">
      <c r="B1269" s="24">
        <f>'Data_in-situ'!CA46</f>
        <v>-7939.2672968846891</v>
      </c>
      <c r="C1269" s="24">
        <f>'Data_in-situ'!CB46</f>
        <v>2111.9731212798092</v>
      </c>
      <c r="D1269" s="46">
        <f>'Data_in-situ'!CC46</f>
        <v>3</v>
      </c>
      <c r="E1269" s="24">
        <f>'Data_in-situ'!CE46</f>
        <v>-4859.2023025643821</v>
      </c>
      <c r="F1269" s="24">
        <f>'Data_in-situ'!CF46</f>
        <v>1397.1876514388941</v>
      </c>
      <c r="G1269" s="46">
        <f>'Data_in-situ'!CG46</f>
        <v>3</v>
      </c>
      <c r="H1269" s="24">
        <f>'Data_in-situ'!CN46</f>
        <v>12286.087492260051</v>
      </c>
      <c r="I1269" s="24">
        <f>'Data_in-situ'!CO46</f>
        <v>2603.8497140452123</v>
      </c>
      <c r="J1269" s="46">
        <f>'Data_in-situ'!CP46</f>
        <v>3</v>
      </c>
      <c r="K1269" s="24">
        <f>'Data_in-situ'!CR46</f>
        <v>23071.202909781641</v>
      </c>
      <c r="L1269" s="24">
        <f>'Data_in-situ'!CS46</f>
        <v>3447.7118721915385</v>
      </c>
      <c r="M1269" s="46">
        <f>'Data_in-situ'!CT46</f>
        <v>3</v>
      </c>
      <c r="N1269" s="24">
        <f>'Data_in-situ'!DA44</f>
        <v>4570.0341454963</v>
      </c>
      <c r="O1269" s="24">
        <f>'Data_in-situ'!DB44</f>
        <v>2072.5073882436504</v>
      </c>
      <c r="P1269" s="46">
        <f>'Data_in-situ'!DC44</f>
        <v>3</v>
      </c>
      <c r="Q1269" s="24">
        <f>'Data_in-situ'!DE44</f>
        <v>18639.322013769135</v>
      </c>
      <c r="R1269" s="24">
        <f>'Data_in-situ'!DF44</f>
        <v>3134.054571327079</v>
      </c>
      <c r="S1269" s="46">
        <f>'Data_in-situ'!DG44</f>
        <v>3</v>
      </c>
      <c r="T1269" s="113">
        <f>'Data_in-situ'!DN13</f>
        <v>80.930473720608589</v>
      </c>
      <c r="U1269" s="113">
        <f>'Data_in-situ'!DO13</f>
        <v>80.92749494901247</v>
      </c>
      <c r="V1269" s="46">
        <f>'Data_in-situ'!DP13</f>
        <v>3</v>
      </c>
      <c r="W1269" s="113">
        <f>'Data_in-situ'!DR13</f>
        <v>1.1401515151515151</v>
      </c>
      <c r="X1269" s="113">
        <f>'Data_in-situ'!DS13</f>
        <v>0.60565777356465134</v>
      </c>
      <c r="Y1269" s="46">
        <f>'Data_in-situ'!DT13</f>
        <v>3</v>
      </c>
      <c r="Z1269" s="113">
        <f>'Data_in-situ'!EA98</f>
        <v>-9.6326468671612098E-2</v>
      </c>
      <c r="AA1269" s="113">
        <f>'Data_in-situ'!EB98</f>
        <v>5.4029389318036893E-2</v>
      </c>
      <c r="AB1269" s="46">
        <f>'Data_in-situ'!EC98</f>
        <v>3</v>
      </c>
      <c r="AC1269" s="113">
        <f>'Data_in-situ'!EE98</f>
        <v>1.5454704465443767</v>
      </c>
      <c r="AD1269" s="113">
        <f>'Data_in-situ'!EF98</f>
        <v>0.28931759999999995</v>
      </c>
      <c r="AE1269" s="46">
        <f>'Data_in-situ'!EG98</f>
        <v>3</v>
      </c>
      <c r="AF1269" s="113">
        <f>'Data_in-situ'!EN28</f>
        <v>-20.329999999999998</v>
      </c>
      <c r="AG1269" s="113">
        <f>'Data_in-situ'!EO28</f>
        <v>2.57</v>
      </c>
      <c r="AH1269" s="110">
        <f>'Data_in-situ'!EP28</f>
        <v>3</v>
      </c>
      <c r="AI1269" s="113">
        <f>'Data_in-situ'!ER28</f>
        <v>-40</v>
      </c>
      <c r="AJ1269" s="113">
        <f>'Data_in-situ'!ES28</f>
        <v>0</v>
      </c>
      <c r="AK1269" s="110">
        <f>'Data_in-situ'!ET28</f>
        <v>3</v>
      </c>
    </row>
    <row r="1270" spans="2:37" x14ac:dyDescent="0.3">
      <c r="B1270" s="24">
        <f>'Data_in-situ'!CA48</f>
        <v>-8294.385041352898</v>
      </c>
      <c r="C1270" s="24">
        <f>'Data_in-situ'!CB48</f>
        <v>1642.4661972156998</v>
      </c>
      <c r="D1270" s="46">
        <f>'Data_in-situ'!CC48</f>
        <v>3</v>
      </c>
      <c r="E1270" s="24">
        <f>'Data_in-situ'!CE48</f>
        <v>-7951.7092639037292</v>
      </c>
      <c r="F1270" s="24">
        <f>'Data_in-situ'!CF48</f>
        <v>991.198558307697</v>
      </c>
      <c r="G1270" s="46">
        <f>'Data_in-situ'!CG48</f>
        <v>3</v>
      </c>
      <c r="H1270" s="24">
        <f>'Data_in-situ'!CN48</f>
        <v>9925.2960228500779</v>
      </c>
      <c r="I1270" s="24">
        <f>'Data_in-situ'!CO48</f>
        <v>1567.0081026388868</v>
      </c>
      <c r="J1270" s="46">
        <f>'Data_in-situ'!CP48</f>
        <v>3</v>
      </c>
      <c r="K1270" s="24">
        <f>'Data_in-situ'!CR48</f>
        <v>18874.266157348848</v>
      </c>
      <c r="L1270" s="24">
        <f>'Data_in-situ'!CS48</f>
        <v>1436.9763260046241</v>
      </c>
      <c r="M1270" s="46">
        <f>'Data_in-situ'!CT48</f>
        <v>3</v>
      </c>
      <c r="N1270" s="24">
        <f>'Data_in-situ'!DA46</f>
        <v>4346.8201953753614</v>
      </c>
      <c r="O1270" s="24">
        <f>'Data_in-situ'!DB46</f>
        <v>1600.2428388061255</v>
      </c>
      <c r="P1270" s="46">
        <f>'Data_in-situ'!DC46</f>
        <v>3</v>
      </c>
      <c r="Q1270" s="24">
        <f>'Data_in-situ'!DE46</f>
        <v>18212.000607217258</v>
      </c>
      <c r="R1270" s="24">
        <f>'Data_in-situ'!DF46</f>
        <v>4028.2334522837918</v>
      </c>
      <c r="S1270" s="46">
        <f>'Data_in-situ'!DG46</f>
        <v>3</v>
      </c>
      <c r="T1270" s="113">
        <f>'Data_in-situ'!DN16</f>
        <v>382.09999892536933</v>
      </c>
      <c r="U1270" s="113">
        <f>'Data_in-situ'!DO16</f>
        <v>116.45849359259256</v>
      </c>
      <c r="V1270" s="46">
        <f>'Data_in-situ'!DP16</f>
        <v>9</v>
      </c>
      <c r="W1270" s="113">
        <f>'Data_in-situ'!DR16</f>
        <v>31.035112032198569</v>
      </c>
      <c r="X1270" s="113">
        <f>'Data_in-situ'!DS16</f>
        <v>65.358501102872523</v>
      </c>
      <c r="Y1270" s="46">
        <f>'Data_in-situ'!DT16</f>
        <v>9</v>
      </c>
      <c r="Z1270" s="113">
        <f>'Data_in-situ'!EA99</f>
        <v>-0.40440266730939189</v>
      </c>
      <c r="AA1270" s="113">
        <f>'Data_in-situ'!EB99</f>
        <v>1.1600159999999999</v>
      </c>
      <c r="AB1270" s="46">
        <f>'Data_in-situ'!EC99</f>
        <v>24</v>
      </c>
      <c r="AC1270" s="113">
        <f>'Data_in-situ'!EE99</f>
        <v>0.41440059292199383</v>
      </c>
      <c r="AD1270" s="113">
        <f>'Data_in-situ'!EF99</f>
        <v>1.3178879999999999</v>
      </c>
      <c r="AE1270" s="46">
        <f>'Data_in-situ'!EG99</f>
        <v>15</v>
      </c>
      <c r="AF1270" s="113">
        <f>'Data_in-situ'!EN29</f>
        <v>-20.329999999999998</v>
      </c>
      <c r="AG1270" s="113">
        <f>'Data_in-situ'!EO29</f>
        <v>2.57</v>
      </c>
      <c r="AH1270" s="110">
        <f>'Data_in-situ'!EP29</f>
        <v>3</v>
      </c>
      <c r="AI1270" s="113">
        <f>'Data_in-situ'!ER29</f>
        <v>-31.710108073744415</v>
      </c>
      <c r="AJ1270" s="113">
        <f>'Data_in-situ'!ES29</f>
        <v>5.4726041682006299</v>
      </c>
      <c r="AK1270" s="110">
        <f>'Data_in-situ'!ET29</f>
        <v>3</v>
      </c>
    </row>
    <row r="1271" spans="2:37" x14ac:dyDescent="0.3">
      <c r="B1271" s="24">
        <f>'Data_in-situ'!CA50</f>
        <v>-9369.2576901028933</v>
      </c>
      <c r="C1271" s="24">
        <f>'Data_in-situ'!CB50</f>
        <v>2035.7162873934246</v>
      </c>
      <c r="D1271" s="46">
        <f>'Data_in-situ'!CC50</f>
        <v>3</v>
      </c>
      <c r="E1271" s="24">
        <f>'Data_in-situ'!CE50</f>
        <v>-9078.4121067422348</v>
      </c>
      <c r="F1271" s="24">
        <f>'Data_in-situ'!CF50</f>
        <v>2550.7669434897421</v>
      </c>
      <c r="G1271" s="46">
        <f>'Data_in-situ'!CG50</f>
        <v>3</v>
      </c>
      <c r="H1271" s="24">
        <f>'Data_in-situ'!CN50</f>
        <v>12061.199832356524</v>
      </c>
      <c r="I1271" s="24">
        <f>'Data_in-situ'!CO50</f>
        <v>2723.4693933324475</v>
      </c>
      <c r="J1271" s="46">
        <f>'Data_in-situ'!CP50</f>
        <v>3</v>
      </c>
      <c r="K1271" s="24">
        <f>'Data_in-situ'!CR50</f>
        <v>19572.836444656983</v>
      </c>
      <c r="L1271" s="24">
        <f>'Data_in-situ'!CS50</f>
        <v>4405.6978485162454</v>
      </c>
      <c r="M1271" s="46">
        <f>'Data_in-situ'!CT50</f>
        <v>3</v>
      </c>
      <c r="N1271" s="24">
        <f>'Data_in-situ'!DA48</f>
        <v>1456.7860366045747</v>
      </c>
      <c r="O1271" s="24">
        <f>'Data_in-situ'!DB48</f>
        <v>3333.5525389363561</v>
      </c>
      <c r="P1271" s="46">
        <f>'Data_in-situ'!DC48</f>
        <v>3</v>
      </c>
      <c r="Q1271" s="24">
        <f>'Data_in-situ'!DE48</f>
        <v>10922.55689344512</v>
      </c>
      <c r="R1271" s="24">
        <f>'Data_in-situ'!DF48</f>
        <v>1312.0511177126614</v>
      </c>
      <c r="S1271" s="46">
        <f>'Data_in-situ'!DG48</f>
        <v>3</v>
      </c>
      <c r="T1271" s="113">
        <f>'Data_in-situ'!DN17</f>
        <v>60.942159705621961</v>
      </c>
      <c r="U1271" s="113">
        <f>'Data_in-situ'!DO17</f>
        <v>16.400357502575496</v>
      </c>
      <c r="V1271" s="46">
        <f>'Data_in-situ'!DP17</f>
        <v>12</v>
      </c>
      <c r="W1271" s="113">
        <f>'Data_in-situ'!DR17</f>
        <v>31.035112032198569</v>
      </c>
      <c r="X1271" s="113">
        <f>'Data_in-situ'!DS17</f>
        <v>65.358501102872523</v>
      </c>
      <c r="Y1271" s="46">
        <f>'Data_in-situ'!DT17</f>
        <v>12</v>
      </c>
      <c r="Z1271" s="113">
        <f>'Data_in-situ'!EA104</f>
        <v>2.2785714285714288E-2</v>
      </c>
      <c r="AA1271" s="113">
        <f>'Data_in-situ'!EB104</f>
        <v>0.13101733266784471</v>
      </c>
      <c r="AB1271" s="46">
        <f>'Data_in-situ'!EC104</f>
        <v>3</v>
      </c>
      <c r="AC1271" s="113">
        <f>'Data_in-situ'!EE104</f>
        <v>2.1057142857142859</v>
      </c>
      <c r="AD1271" s="113">
        <f>'Data_in-situ'!EF104</f>
        <v>3.1441249265409592</v>
      </c>
      <c r="AE1271" s="46">
        <f>'Data_in-situ'!EG104</f>
        <v>3</v>
      </c>
      <c r="AF1271" s="113">
        <f>'Data_in-situ'!EN36</f>
        <v>-38</v>
      </c>
      <c r="AG1271" s="113">
        <f>'Data_in-situ'!EO36</f>
        <v>7.6</v>
      </c>
      <c r="AH1271" s="110">
        <f>'Data_in-situ'!EP36</f>
        <v>3</v>
      </c>
      <c r="AI1271" s="113">
        <f>'Data_in-situ'!ER36</f>
        <v>-112</v>
      </c>
      <c r="AJ1271" s="113">
        <f>'Data_in-situ'!ES36</f>
        <v>15.2</v>
      </c>
      <c r="AK1271" s="110">
        <f>'Data_in-situ'!ET36</f>
        <v>3</v>
      </c>
    </row>
    <row r="1272" spans="2:37" x14ac:dyDescent="0.3">
      <c r="B1272" s="24">
        <f>'Data_in-situ'!CA52</f>
        <v>-9754.4163078122838</v>
      </c>
      <c r="C1272" s="24">
        <f>'Data_in-situ'!CB52</f>
        <v>3932.1332121217479</v>
      </c>
      <c r="D1272" s="46">
        <f>'Data_in-situ'!CC52</f>
        <v>3</v>
      </c>
      <c r="E1272" s="24">
        <f>'Data_in-situ'!CE52</f>
        <v>-9460.8273773830751</v>
      </c>
      <c r="F1272" s="24">
        <f>'Data_in-situ'!CF52</f>
        <v>2248.9137051770867</v>
      </c>
      <c r="G1272" s="46">
        <f>'Data_in-situ'!CG52</f>
        <v>3</v>
      </c>
      <c r="H1272" s="24">
        <f>'Data_in-situ'!CN52</f>
        <v>12245.303198687096</v>
      </c>
      <c r="I1272" s="24">
        <f>'Data_in-situ'!CO52</f>
        <v>3459.6241558518745</v>
      </c>
      <c r="J1272" s="46">
        <f>'Data_in-situ'!CP52</f>
        <v>3</v>
      </c>
      <c r="K1272" s="24">
        <f>'Data_in-situ'!CR52</f>
        <v>19797.114273740117</v>
      </c>
      <c r="L1272" s="24">
        <f>'Data_in-situ'!CS52</f>
        <v>3942.244199118858</v>
      </c>
      <c r="M1272" s="46">
        <f>'Data_in-situ'!CT52</f>
        <v>3</v>
      </c>
      <c r="N1272" s="24">
        <f>'Data_in-situ'!DA50</f>
        <v>2691.9421422536325</v>
      </c>
      <c r="O1272" s="24">
        <f>'Data_in-situ'!DB50</f>
        <v>1470.8979553996573</v>
      </c>
      <c r="P1272" s="46">
        <f>'Data_in-situ'!DC50</f>
        <v>3</v>
      </c>
      <c r="Q1272" s="24">
        <f>'Data_in-situ'!DE50</f>
        <v>10494.424337914745</v>
      </c>
      <c r="R1272" s="24">
        <f>'Data_in-situ'!DF50</f>
        <v>1546.8515977021152</v>
      </c>
      <c r="S1272" s="46">
        <f>'Data_in-situ'!DG50</f>
        <v>3</v>
      </c>
      <c r="T1272" s="113">
        <f>'Data_in-situ'!DN19</f>
        <v>76.598647152414557</v>
      </c>
      <c r="U1272" s="113">
        <f>'Data_in-situ'!DO19</f>
        <v>97.385019539931207</v>
      </c>
      <c r="V1272" s="46">
        <f>'Data_in-situ'!DP19</f>
        <v>3</v>
      </c>
      <c r="W1272" s="113">
        <f>'Data_in-situ'!DR19</f>
        <v>-0.99087798503934754</v>
      </c>
      <c r="X1272" s="113">
        <f>'Data_in-situ'!DS19</f>
        <v>2.1111905341845492</v>
      </c>
      <c r="Y1272" s="46">
        <f>'Data_in-situ'!DT19</f>
        <v>3</v>
      </c>
      <c r="Z1272" s="113">
        <f>'Data_in-situ'!EA106</f>
        <v>5.3428571428571429E-2</v>
      </c>
      <c r="AA1272" s="113">
        <f>'Data_in-situ'!EB106</f>
        <v>0.30721305591080827</v>
      </c>
      <c r="AB1272" s="46">
        <f>'Data_in-situ'!EC106</f>
        <v>3</v>
      </c>
      <c r="AC1272" s="113">
        <f>'Data_in-situ'!EE106</f>
        <v>5.7985714285714279E-2</v>
      </c>
      <c r="AD1272" s="113">
        <f>'Data_in-situ'!EF106</f>
        <v>8.6580753574150279E-2</v>
      </c>
      <c r="AE1272" s="46">
        <f>'Data_in-situ'!EG106</f>
        <v>3</v>
      </c>
      <c r="AF1272" s="113">
        <f>'Data_in-situ'!EN38</f>
        <v>-47</v>
      </c>
      <c r="AG1272" s="113">
        <f>'Data_in-situ'!EO38</f>
        <v>6.8</v>
      </c>
      <c r="AH1272" s="110">
        <f>'Data_in-situ'!EP38</f>
        <v>3</v>
      </c>
      <c r="AI1272" s="113">
        <f>'Data_in-situ'!ER38</f>
        <v>-120</v>
      </c>
      <c r="AJ1272" s="113">
        <f>'Data_in-situ'!ES38</f>
        <v>11.8</v>
      </c>
      <c r="AK1272" s="110">
        <f>'Data_in-situ'!ET38</f>
        <v>3</v>
      </c>
    </row>
    <row r="1273" spans="2:37" x14ac:dyDescent="0.3">
      <c r="B1273" s="24">
        <f>'Data_in-situ'!CA71</f>
        <v>-9117.231395346209</v>
      </c>
      <c r="C1273" s="24">
        <f>'Data_in-situ'!CB71</f>
        <v>2424.3247606001519</v>
      </c>
      <c r="D1273" s="46">
        <f>'Data_in-situ'!CC71</f>
        <v>3</v>
      </c>
      <c r="E1273" s="24">
        <f>'Data_in-situ'!CE71</f>
        <v>-11061.598737544935</v>
      </c>
      <c r="F1273" s="24">
        <f>'Data_in-situ'!CF71</f>
        <v>12004.393621698095</v>
      </c>
      <c r="G1273" s="46">
        <f>'Data_in-situ'!CG71</f>
        <v>3</v>
      </c>
      <c r="H1273" s="24">
        <f>'Data_in-situ'!CN71</f>
        <v>12663.516770662041</v>
      </c>
      <c r="I1273" s="24">
        <f>'Data_in-situ'!CO71</f>
        <v>2011.7619468526057</v>
      </c>
      <c r="J1273" s="46">
        <f>'Data_in-situ'!CP71</f>
        <v>3</v>
      </c>
      <c r="K1273" s="24">
        <f>'Data_in-situ'!CR71</f>
        <v>13557.778602361721</v>
      </c>
      <c r="L1273" s="24">
        <f>'Data_in-situ'!CS71</f>
        <v>1534.7793518535277</v>
      </c>
      <c r="M1273" s="46">
        <f>'Data_in-situ'!CT71</f>
        <v>3</v>
      </c>
      <c r="N1273" s="24">
        <f>'Data_in-situ'!DA52</f>
        <v>2490.8868908748118</v>
      </c>
      <c r="O1273" s="24">
        <f>'Data_in-situ'!DB52</f>
        <v>1134.5350284056235</v>
      </c>
      <c r="P1273" s="46">
        <f>'Data_in-situ'!DC52</f>
        <v>3</v>
      </c>
      <c r="Q1273" s="24">
        <f>'Data_in-situ'!DE52</f>
        <v>10336.286896357044</v>
      </c>
      <c r="R1273" s="24">
        <f>'Data_in-situ'!DF52</f>
        <v>1988.9291863416881</v>
      </c>
      <c r="S1273" s="46">
        <f>'Data_in-situ'!DG52</f>
        <v>3</v>
      </c>
      <c r="T1273" s="113">
        <f>'Data_in-situ'!DN21</f>
        <v>3.3104450261339187</v>
      </c>
      <c r="U1273" s="113">
        <f>'Data_in-situ'!DO21</f>
        <v>3.2225601192052182</v>
      </c>
      <c r="V1273" s="46">
        <f>'Data_in-situ'!DP21</f>
        <v>3</v>
      </c>
      <c r="W1273" s="113">
        <f>'Data_in-situ'!DR21</f>
        <v>-0.74812937007645264</v>
      </c>
      <c r="X1273" s="113">
        <f>'Data_in-situ'!DS21</f>
        <v>2.0565387107113464</v>
      </c>
      <c r="Y1273" s="46">
        <f>'Data_in-situ'!DT21</f>
        <v>3</v>
      </c>
      <c r="Z1273" s="113">
        <f>'Data_in-situ'!EA108</f>
        <v>1.9171428571428568E-2</v>
      </c>
      <c r="AA1273" s="113">
        <f>'Data_in-situ'!EB108</f>
        <v>0.11023527300329002</v>
      </c>
      <c r="AB1273" s="46">
        <f>'Data_in-situ'!EC108</f>
        <v>3</v>
      </c>
      <c r="AC1273" s="113">
        <f>'Data_in-situ'!EE108</f>
        <v>3.0642857142857142E-2</v>
      </c>
      <c r="AD1273" s="113">
        <f>'Data_in-situ'!EF108</f>
        <v>4.5754056766827388E-2</v>
      </c>
      <c r="AE1273" s="46">
        <f>'Data_in-situ'!EG108</f>
        <v>3</v>
      </c>
      <c r="AF1273" s="113">
        <f>'Data_in-situ'!EN40</f>
        <v>-56</v>
      </c>
      <c r="AG1273" s="113">
        <f>'Data_in-situ'!EO40</f>
        <v>10.1</v>
      </c>
      <c r="AH1273" s="110">
        <f>'Data_in-situ'!EP40</f>
        <v>3</v>
      </c>
      <c r="AI1273" s="113">
        <f>'Data_in-situ'!ER40</f>
        <v>-128</v>
      </c>
      <c r="AJ1273" s="113">
        <f>'Data_in-situ'!ES40</f>
        <v>14.2</v>
      </c>
      <c r="AK1273" s="110">
        <f>'Data_in-situ'!ET40</f>
        <v>3</v>
      </c>
    </row>
    <row r="1274" spans="2:37" x14ac:dyDescent="0.3">
      <c r="B1274" s="24">
        <f>'Data_in-situ'!CA72</f>
        <v>-10940.677674415452</v>
      </c>
      <c r="C1274" s="24">
        <f>'Data_in-situ'!CB72</f>
        <v>3587.5182834567408</v>
      </c>
      <c r="D1274" s="46">
        <f>'Data_in-situ'!CC72</f>
        <v>3</v>
      </c>
      <c r="E1274" s="24">
        <f>'Data_in-situ'!CE72</f>
        <v>-13155.401355723083</v>
      </c>
      <c r="F1274" s="24">
        <f>'Data_in-situ'!CF72</f>
        <v>5176.9391284347485</v>
      </c>
      <c r="G1274" s="46">
        <f>'Data_in-situ'!CG72</f>
        <v>3</v>
      </c>
      <c r="H1274" s="24">
        <f>'Data_in-situ'!CN72</f>
        <v>12156.97609983556</v>
      </c>
      <c r="I1274" s="24">
        <f>'Data_in-situ'!CO72</f>
        <v>3352.7816659818532</v>
      </c>
      <c r="J1274" s="46">
        <f>'Data_in-situ'!CP72</f>
        <v>3</v>
      </c>
      <c r="K1274" s="24">
        <f>'Data_in-situ'!CR72</f>
        <v>16499.127180501211</v>
      </c>
      <c r="L1274" s="24">
        <f>'Data_in-situ'!CS72</f>
        <v>2145.4857374487219</v>
      </c>
      <c r="M1274" s="46">
        <f>'Data_in-situ'!CT72</f>
        <v>3</v>
      </c>
      <c r="N1274" s="24">
        <f>'Data_in-situ'!DA71</f>
        <v>3546.2853753158324</v>
      </c>
      <c r="O1274" s="24">
        <f>'Data_in-situ'!DB71</f>
        <v>5941.722754487856</v>
      </c>
      <c r="P1274" s="46">
        <f>'Data_in-situ'!DC71</f>
        <v>3</v>
      </c>
      <c r="Q1274" s="24">
        <f>'Data_in-situ'!DE71</f>
        <v>2496.179864816786</v>
      </c>
      <c r="R1274" s="24">
        <f>'Data_in-situ'!DF71</f>
        <v>441.8656256521171</v>
      </c>
      <c r="S1274" s="46">
        <f>'Data_in-situ'!DG71</f>
        <v>3</v>
      </c>
      <c r="T1274" s="113">
        <f>'Data_in-situ'!DN24</f>
        <v>69.189192430383997</v>
      </c>
      <c r="U1274" s="113">
        <f>'Data_in-situ'!DO24</f>
        <v>105.7403076411135</v>
      </c>
      <c r="V1274" s="46">
        <f>'Data_in-situ'!DP24</f>
        <v>3</v>
      </c>
      <c r="W1274" s="113">
        <f>'Data_in-situ'!DR24</f>
        <v>-2.3432463592339285</v>
      </c>
      <c r="X1274" s="113">
        <f>'Data_in-situ'!DS24</f>
        <v>2.1725078783546201</v>
      </c>
      <c r="Y1274" s="46">
        <f>'Data_in-situ'!DT24</f>
        <v>3</v>
      </c>
      <c r="Z1274" s="113">
        <f>'Data_in-situ'!EA110</f>
        <v>5.4528571428571426E-2</v>
      </c>
      <c r="AA1274" s="113">
        <f>'Data_in-situ'!EB110</f>
        <v>0.3135380305913249</v>
      </c>
      <c r="AB1274" s="46">
        <f>'Data_in-situ'!EC110</f>
        <v>3</v>
      </c>
      <c r="AC1274" s="113">
        <f>'Data_in-situ'!EE110</f>
        <v>3.5828571428571425E-2</v>
      </c>
      <c r="AD1274" s="113">
        <f>'Data_in-situ'!EF110</f>
        <v>5.3497050988905864E-2</v>
      </c>
      <c r="AE1274" s="46">
        <f>'Data_in-situ'!EG110</f>
        <v>3</v>
      </c>
      <c r="AF1274" s="113">
        <f>'Data_in-situ'!EN42</f>
        <v>-38</v>
      </c>
      <c r="AG1274" s="113">
        <f>'Data_in-situ'!EO42</f>
        <v>7.6</v>
      </c>
      <c r="AH1274" s="110">
        <f>'Data_in-situ'!EP42</f>
        <v>3</v>
      </c>
      <c r="AI1274" s="113">
        <f>'Data_in-situ'!ER42</f>
        <v>-112</v>
      </c>
      <c r="AJ1274" s="113">
        <f>'Data_in-situ'!ES42</f>
        <v>15.2</v>
      </c>
      <c r="AK1274" s="110">
        <f>'Data_in-situ'!ET42</f>
        <v>3</v>
      </c>
    </row>
    <row r="1275" spans="2:37" x14ac:dyDescent="0.3">
      <c r="B1275" s="24">
        <f>'Data_in-situ'!CA73</f>
        <v>-7247.1260453614077</v>
      </c>
      <c r="C1275" s="24">
        <f>'Data_in-situ'!CB73</f>
        <v>2100.9616035887616</v>
      </c>
      <c r="D1275" s="46">
        <f>'Data_in-situ'!CC73</f>
        <v>3</v>
      </c>
      <c r="E1275" s="24">
        <f>'Data_in-situ'!CE73</f>
        <v>-4582.6623341257582</v>
      </c>
      <c r="F1275" s="24">
        <f>'Data_in-situ'!CF73</f>
        <v>1321.5627260440792</v>
      </c>
      <c r="G1275" s="46">
        <f>'Data_in-situ'!CG73</f>
        <v>3</v>
      </c>
      <c r="H1275" s="24">
        <f>'Data_in-situ'!CN73</f>
        <v>6440.2877983621229</v>
      </c>
      <c r="I1275" s="24">
        <f>'Data_in-situ'!CO73</f>
        <v>2181.3507268282779</v>
      </c>
      <c r="J1275" s="46">
        <f>'Data_in-situ'!CP73</f>
        <v>3</v>
      </c>
      <c r="K1275" s="24">
        <f>'Data_in-situ'!CR73</f>
        <v>24633.794341918241</v>
      </c>
      <c r="L1275" s="24">
        <f>'Data_in-situ'!CS73</f>
        <v>2489.5274353362884</v>
      </c>
      <c r="M1275" s="46">
        <f>'Data_in-situ'!CT73</f>
        <v>3</v>
      </c>
      <c r="N1275" s="24">
        <f>'Data_in-situ'!DA72</f>
        <v>1216.2984254201074</v>
      </c>
      <c r="O1275" s="24">
        <f>'Data_in-situ'!DB72</f>
        <v>2060.9133169618799</v>
      </c>
      <c r="P1275" s="46">
        <f>'Data_in-situ'!DC72</f>
        <v>3</v>
      </c>
      <c r="Q1275" s="24">
        <f>'Data_in-situ'!DE72</f>
        <v>3343.7258247781283</v>
      </c>
      <c r="R1275" s="24">
        <f>'Data_in-situ'!DF72</f>
        <v>717.82293341401112</v>
      </c>
      <c r="S1275" s="46">
        <f>'Data_in-situ'!DG72</f>
        <v>3</v>
      </c>
      <c r="T1275" s="113">
        <f>'Data_in-situ'!DN25</f>
        <v>69.189192430383997</v>
      </c>
      <c r="U1275" s="113">
        <f>'Data_in-situ'!DO25</f>
        <v>105.7403076411135</v>
      </c>
      <c r="V1275" s="46">
        <f>'Data_in-situ'!DP25</f>
        <v>3</v>
      </c>
      <c r="W1275" s="113">
        <f>'Data_in-situ'!DR25</f>
        <v>1.9694770013193148</v>
      </c>
      <c r="X1275" s="113">
        <f>'Data_in-situ'!DS25</f>
        <v>4.4704507627185972</v>
      </c>
      <c r="Y1275" s="46">
        <f>'Data_in-situ'!DT25</f>
        <v>3</v>
      </c>
      <c r="Z1275" s="113">
        <f>'Data_in-situ'!EA131</f>
        <v>0.32108009511715851</v>
      </c>
      <c r="AA1275" s="113">
        <f>'Data_in-situ'!EB131</f>
        <v>0.19494609457370263</v>
      </c>
      <c r="AB1275" s="46">
        <f>'Data_in-situ'!EC131</f>
        <v>18</v>
      </c>
      <c r="AC1275" s="113">
        <f>'Data_in-situ'!EE131</f>
        <v>0.69751867430230663</v>
      </c>
      <c r="AD1275" s="113">
        <f>'Data_in-situ'!EF131</f>
        <v>0.31514419303530533</v>
      </c>
      <c r="AE1275" s="46">
        <f>'Data_in-situ'!EG131</f>
        <v>18</v>
      </c>
      <c r="AF1275" s="113">
        <f>'Data_in-situ'!EN44</f>
        <v>-44</v>
      </c>
      <c r="AG1275" s="113">
        <f>'Data_in-situ'!EO44</f>
        <v>6.8</v>
      </c>
      <c r="AH1275" s="110">
        <f>'Data_in-situ'!EP44</f>
        <v>3</v>
      </c>
      <c r="AI1275" s="113">
        <f>'Data_in-situ'!ER44</f>
        <v>-116</v>
      </c>
      <c r="AJ1275" s="113">
        <f>'Data_in-situ'!ES44</f>
        <v>11.8</v>
      </c>
      <c r="AK1275" s="110">
        <f>'Data_in-situ'!ET44</f>
        <v>3</v>
      </c>
    </row>
    <row r="1276" spans="2:37" x14ac:dyDescent="0.3">
      <c r="B1276" s="24">
        <f>'Data_in-situ'!CA74</f>
        <v>-7369.268619159634</v>
      </c>
      <c r="C1276" s="24">
        <f>'Data_in-situ'!CB74</f>
        <v>746.95892899118678</v>
      </c>
      <c r="D1276" s="46">
        <f>'Data_in-situ'!CC74</f>
        <v>3</v>
      </c>
      <c r="E1276" s="24">
        <f>'Data_in-situ'!CE74</f>
        <v>-4661.6737536796509</v>
      </c>
      <c r="F1276" s="24">
        <f>'Data_in-situ'!CF74</f>
        <v>1389.6358486823906</v>
      </c>
      <c r="G1276" s="46">
        <f>'Data_in-situ'!CG74</f>
        <v>3</v>
      </c>
      <c r="H1276" s="24">
        <f>'Data_in-situ'!CN74</f>
        <v>11939.302764655935</v>
      </c>
      <c r="I1276" s="24">
        <f>'Data_in-situ'!CO74</f>
        <v>4483.7070147716368</v>
      </c>
      <c r="J1276" s="46">
        <f>'Data_in-situ'!CP74</f>
        <v>3</v>
      </c>
      <c r="K1276" s="24">
        <f>'Data_in-situ'!CR74</f>
        <v>23300.995767448785</v>
      </c>
      <c r="L1276" s="24">
        <f>'Data_in-situ'!CS74</f>
        <v>3584.4542083747219</v>
      </c>
      <c r="M1276" s="46">
        <f>'Data_in-situ'!CT74</f>
        <v>3</v>
      </c>
      <c r="N1276" s="24">
        <f>'Data_in-situ'!DA73</f>
        <v>-806.83824699928482</v>
      </c>
      <c r="O1276" s="24">
        <f>'Data_in-situ'!DB73</f>
        <v>1429.0549882340658</v>
      </c>
      <c r="P1276" s="46">
        <f>'Data_in-situ'!DC73</f>
        <v>3</v>
      </c>
      <c r="Q1276" s="24">
        <f>'Data_in-situ'!DE73</f>
        <v>20051.132007792483</v>
      </c>
      <c r="R1276" s="24">
        <f>'Data_in-situ'!DF73</f>
        <v>2691.1988636577994</v>
      </c>
      <c r="S1276" s="46">
        <f>'Data_in-situ'!DG73</f>
        <v>3</v>
      </c>
      <c r="T1276" s="113">
        <f>'Data_in-situ'!DN28</f>
        <v>3.3518255889605926</v>
      </c>
      <c r="U1276" s="113">
        <f>'Data_in-situ'!DO28</f>
        <v>3.2126569880661773</v>
      </c>
      <c r="V1276" s="46">
        <f>'Data_in-situ'!DP28</f>
        <v>3</v>
      </c>
      <c r="W1276" s="113">
        <f>'Data_in-situ'!DR28</f>
        <v>-1.8291763098369263</v>
      </c>
      <c r="X1276" s="113">
        <f>'Data_in-situ'!DS28</f>
        <v>1.6561975194588527</v>
      </c>
      <c r="Y1276" s="46">
        <f>'Data_in-situ'!DT28</f>
        <v>3</v>
      </c>
      <c r="Z1276" s="113">
        <f>'Data_in-situ'!EA135</f>
        <v>0.2</v>
      </c>
      <c r="AA1276" s="113">
        <f>'Data_in-situ'!EB135</f>
        <v>0.51961524227066314</v>
      </c>
      <c r="AB1276" s="46">
        <f>'Data_in-situ'!EC135</f>
        <v>3</v>
      </c>
      <c r="AC1276" s="113">
        <f>'Data_in-situ'!EE135</f>
        <v>0.9</v>
      </c>
      <c r="AD1276" s="113">
        <f>'Data_in-situ'!EF135</f>
        <v>1.0392304845413263</v>
      </c>
      <c r="AE1276" s="46">
        <f>'Data_in-situ'!EG135</f>
        <v>3</v>
      </c>
      <c r="AF1276" s="113">
        <f>'Data_in-situ'!EN46</f>
        <v>-50</v>
      </c>
      <c r="AG1276" s="113">
        <f>'Data_in-situ'!EO46</f>
        <v>6.8</v>
      </c>
      <c r="AH1276" s="110">
        <f>'Data_in-situ'!EP46</f>
        <v>3</v>
      </c>
      <c r="AI1276" s="113">
        <f>'Data_in-situ'!ER46</f>
        <v>-120</v>
      </c>
      <c r="AJ1276" s="113">
        <f>'Data_in-situ'!ES46</f>
        <v>11.8</v>
      </c>
      <c r="AK1276" s="110">
        <f>'Data_in-situ'!ET46</f>
        <v>3</v>
      </c>
    </row>
    <row r="1277" spans="2:37" x14ac:dyDescent="0.3">
      <c r="B1277" s="24">
        <f>'Data_in-situ'!CA75</f>
        <v>-8294.3850413528962</v>
      </c>
      <c r="C1277" s="24">
        <f>'Data_in-situ'!CB75</f>
        <v>1642.4661972156998</v>
      </c>
      <c r="D1277" s="46">
        <f>'Data_in-situ'!CC75</f>
        <v>3</v>
      </c>
      <c r="E1277" s="24">
        <f>'Data_in-situ'!CE75</f>
        <v>-8210.866720040498</v>
      </c>
      <c r="F1277" s="24">
        <f>'Data_in-situ'!CF75</f>
        <v>6747.5626737645262</v>
      </c>
      <c r="G1277" s="46">
        <f>'Data_in-situ'!CG75</f>
        <v>3</v>
      </c>
      <c r="H1277" s="24">
        <f>'Data_in-situ'!CN75</f>
        <v>9925.2960228500779</v>
      </c>
      <c r="I1277" s="24">
        <f>'Data_in-situ'!CO75</f>
        <v>1480.0009145095366</v>
      </c>
      <c r="J1277" s="46">
        <f>'Data_in-situ'!CP75</f>
        <v>3</v>
      </c>
      <c r="K1277" s="24">
        <f>'Data_in-situ'!CR75</f>
        <v>18431.22552776659</v>
      </c>
      <c r="L1277" s="24">
        <f>'Data_in-situ'!CS75</f>
        <v>1392.33025401075</v>
      </c>
      <c r="M1277" s="46">
        <f>'Data_in-situ'!CT75</f>
        <v>3</v>
      </c>
      <c r="N1277" s="24">
        <f>'Data_in-situ'!DA74</f>
        <v>4570.0341454963009</v>
      </c>
      <c r="O1277" s="24">
        <f>'Data_in-situ'!DB74</f>
        <v>7489.8905028845447</v>
      </c>
      <c r="P1277" s="46">
        <f>'Data_in-situ'!DC74</f>
        <v>3</v>
      </c>
      <c r="Q1277" s="24">
        <f>'Data_in-situ'!DE74</f>
        <v>18639.322013769135</v>
      </c>
      <c r="R1277" s="24">
        <f>'Data_in-situ'!DF74</f>
        <v>3134.0545713270785</v>
      </c>
      <c r="S1277" s="46">
        <f>'Data_in-situ'!DG74</f>
        <v>3</v>
      </c>
      <c r="T1277" s="113">
        <f>'Data_in-situ'!DN29</f>
        <v>3.3518255889605926</v>
      </c>
      <c r="U1277" s="113">
        <f>'Data_in-situ'!DO29</f>
        <v>3.2126569880661773</v>
      </c>
      <c r="V1277" s="46">
        <f>'Data_in-situ'!DP29</f>
        <v>3</v>
      </c>
      <c r="W1277" s="113">
        <f>'Data_in-situ'!DR29</f>
        <v>1.5374058555071104</v>
      </c>
      <c r="X1277" s="113">
        <f>'Data_in-situ'!DS29</f>
        <v>3.4762119230029214</v>
      </c>
      <c r="Y1277" s="46">
        <f>'Data_in-situ'!DT29</f>
        <v>3</v>
      </c>
      <c r="Z1277" s="113">
        <f>'Data_in-situ'!EA143</f>
        <v>1</v>
      </c>
      <c r="AA1277" s="113">
        <f>'Data_in-situ'!EB143</f>
        <v>1.5811388300841898</v>
      </c>
      <c r="AB1277" s="46">
        <f>'Data_in-situ'!EC143</f>
        <v>10</v>
      </c>
      <c r="AC1277" s="113">
        <f>'Data_in-situ'!EE143</f>
        <v>11</v>
      </c>
      <c r="AD1277" s="113">
        <f>'Data_in-situ'!EF143</f>
        <v>13.914021704740872</v>
      </c>
      <c r="AE1277" s="46">
        <f>'Data_in-situ'!EG143</f>
        <v>10</v>
      </c>
      <c r="AF1277" s="113">
        <f>'Data_in-situ'!EN48</f>
        <v>-38</v>
      </c>
      <c r="AG1277" s="113">
        <f>'Data_in-situ'!EO48</f>
        <v>5.412566119688516</v>
      </c>
      <c r="AH1277" s="110">
        <f>'Data_in-situ'!EP48</f>
        <v>3</v>
      </c>
      <c r="AI1277" s="113">
        <f>'Data_in-situ'!ER48</f>
        <v>-112</v>
      </c>
      <c r="AJ1277" s="113">
        <f>'Data_in-situ'!ES48</f>
        <v>10.756618055876112</v>
      </c>
      <c r="AK1277" s="110">
        <f>'Data_in-situ'!ET48</f>
        <v>3</v>
      </c>
    </row>
    <row r="1278" spans="2:37" x14ac:dyDescent="0.3">
      <c r="B1278" s="24">
        <f>'Data_in-situ'!CA76</f>
        <v>-9369.2576901028915</v>
      </c>
      <c r="C1278" s="24">
        <f>'Data_in-situ'!CB76</f>
        <v>2035.7162873934251</v>
      </c>
      <c r="D1278" s="46">
        <f>'Data_in-situ'!CC76</f>
        <v>3</v>
      </c>
      <c r="E1278" s="24">
        <f>'Data_in-situ'!CE76</f>
        <v>-9418.1612108239733</v>
      </c>
      <c r="F1278" s="24">
        <f>'Data_in-situ'!CF76</f>
        <v>2962.8630952565604</v>
      </c>
      <c r="G1278" s="46">
        <f>'Data_in-situ'!CG76</f>
        <v>3</v>
      </c>
      <c r="H1278" s="24">
        <f>'Data_in-situ'!CN76</f>
        <v>12061.199832356524</v>
      </c>
      <c r="I1278" s="24">
        <f>'Data_in-situ'!CO76</f>
        <v>2723.4693933324479</v>
      </c>
      <c r="J1278" s="46">
        <f>'Data_in-situ'!CP76</f>
        <v>3</v>
      </c>
      <c r="K1278" s="24">
        <f>'Data_in-situ'!CR76</f>
        <v>19491.949358758146</v>
      </c>
      <c r="L1278" s="24">
        <f>'Data_in-situ'!CS76</f>
        <v>1982.6669401893841</v>
      </c>
      <c r="M1278" s="46">
        <f>'Data_in-situ'!CT76</f>
        <v>3</v>
      </c>
      <c r="N1278" s="24">
        <f>'Data_in-situ'!DA75</f>
        <v>1630.9109814971816</v>
      </c>
      <c r="O1278" s="24">
        <f>'Data_in-situ'!DB75</f>
        <v>3386.2554087633621</v>
      </c>
      <c r="P1278" s="46">
        <f>'Data_in-situ'!DC75</f>
        <v>3</v>
      </c>
      <c r="Q1278" s="24">
        <f>'Data_in-situ'!DE75</f>
        <v>10220.358807726092</v>
      </c>
      <c r="R1278" s="24">
        <f>'Data_in-situ'!DF75</f>
        <v>1209.7052702050512</v>
      </c>
      <c r="S1278" s="46">
        <f>'Data_in-situ'!DG75</f>
        <v>3</v>
      </c>
      <c r="T1278" s="113">
        <f>'Data_in-situ'!DN34</f>
        <v>218.59000000000026</v>
      </c>
      <c r="U1278" s="113">
        <f>'Data_in-situ'!DO34</f>
        <v>226.1967612500232</v>
      </c>
      <c r="V1278" s="46">
        <f>'Data_in-situ'!DP34</f>
        <v>25</v>
      </c>
      <c r="W1278" s="113">
        <f>'Data_in-situ'!DR34</f>
        <v>-1.3730769230769226</v>
      </c>
      <c r="X1278" s="113">
        <f>'Data_in-situ'!DS34</f>
        <v>0.50491400638738226</v>
      </c>
      <c r="Y1278" s="46">
        <f>'Data_in-situ'!DT34</f>
        <v>75</v>
      </c>
      <c r="Z1278" s="113">
        <f>'Data_in-situ'!EA144</f>
        <v>1</v>
      </c>
      <c r="AA1278" s="113">
        <f>'Data_in-situ'!EB144</f>
        <v>1.5811388300841898</v>
      </c>
      <c r="AB1278" s="46">
        <f>'Data_in-situ'!EC144</f>
        <v>10</v>
      </c>
      <c r="AC1278" s="113">
        <f>'Data_in-situ'!EE144</f>
        <v>6</v>
      </c>
      <c r="AD1278" s="113">
        <f>'Data_in-situ'!EF144</f>
        <v>8.538149682454625</v>
      </c>
      <c r="AE1278" s="46">
        <f>'Data_in-situ'!EG144</f>
        <v>10</v>
      </c>
      <c r="AF1278" s="113">
        <f>'Data_in-situ'!EN50</f>
        <v>-45.680000000000007</v>
      </c>
      <c r="AG1278" s="113">
        <f>'Data_in-situ'!EO50</f>
        <v>4.842822317616041</v>
      </c>
      <c r="AH1278" s="110">
        <f>'Data_in-situ'!EP50</f>
        <v>3</v>
      </c>
      <c r="AI1278" s="113">
        <f>'Data_in-situ'!ER50</f>
        <v>-118.08000000000001</v>
      </c>
      <c r="AJ1278" s="113">
        <f>'Data_in-situ'!ES50</f>
        <v>8.3505324381143513</v>
      </c>
      <c r="AK1278" s="110">
        <f>'Data_in-situ'!ET50</f>
        <v>3</v>
      </c>
    </row>
    <row r="1279" spans="2:37" x14ac:dyDescent="0.3">
      <c r="B1279" s="24">
        <f>'Data_in-situ'!CA131</f>
        <v>-39843.491213361398</v>
      </c>
      <c r="C1279" s="24">
        <f>'Data_in-situ'!CB131</f>
        <v>12909.471724359584</v>
      </c>
      <c r="D1279" s="46">
        <f>'Data_in-situ'!CC131</f>
        <v>66</v>
      </c>
      <c r="E1279" s="24">
        <f>'Data_in-situ'!CE131</f>
        <v>-47094.824204889017</v>
      </c>
      <c r="F1279" s="24">
        <f>'Data_in-situ'!CF131</f>
        <v>13325.726368768714</v>
      </c>
      <c r="G1279" s="46">
        <f>'Data_in-situ'!CG131</f>
        <v>66</v>
      </c>
      <c r="H1279" s="24">
        <f>'Data_in-situ'!CN131</f>
        <v>35408.568959456847</v>
      </c>
      <c r="I1279" s="24">
        <f>'Data_in-situ'!CO131</f>
        <v>12878.668982057387</v>
      </c>
      <c r="J1279" s="46">
        <f>'Data_in-situ'!CP131</f>
        <v>66</v>
      </c>
      <c r="K1279" s="24">
        <f>'Data_in-situ'!CR131</f>
        <v>52464.145688921722</v>
      </c>
      <c r="L1279" s="24">
        <f>'Data_in-situ'!CS131</f>
        <v>12723.425553607172</v>
      </c>
      <c r="M1279" s="46">
        <f>'Data_in-situ'!CT131</f>
        <v>66</v>
      </c>
      <c r="N1279" s="24">
        <f>'Data_in-situ'!DA76</f>
        <v>2691.9421422536325</v>
      </c>
      <c r="O1279" s="24">
        <f>'Data_in-situ'!DB76</f>
        <v>3491.7953924879967</v>
      </c>
      <c r="P1279" s="46">
        <f>'Data_in-situ'!DC76</f>
        <v>3</v>
      </c>
      <c r="Q1279" s="24">
        <f>'Data_in-situ'!DE76</f>
        <v>10073.788147934172</v>
      </c>
      <c r="R1279" s="24">
        <f>'Data_in-situ'!DF76</f>
        <v>1436.3793028165639</v>
      </c>
      <c r="S1279" s="46">
        <f>'Data_in-situ'!DG76</f>
        <v>3</v>
      </c>
      <c r="T1279" s="113">
        <f>'Data_in-situ'!DN54</f>
        <v>5.3866851938273443</v>
      </c>
      <c r="U1279" s="113">
        <f>'Data_in-situ'!DO54</f>
        <v>4.268024043852261</v>
      </c>
      <c r="V1279" s="46">
        <f>'Data_in-situ'!DP54</f>
        <v>3</v>
      </c>
      <c r="W1279" s="113">
        <f>'Data_in-situ'!DR54</f>
        <v>2.6938792153004636</v>
      </c>
      <c r="X1279" s="113">
        <f>'Data_in-situ'!DS54</f>
        <v>4.3447601701580973</v>
      </c>
      <c r="Y1279" s="46">
        <f>'Data_in-situ'!DT54</f>
        <v>3</v>
      </c>
      <c r="Z1279" s="113">
        <f>'Data_in-situ'!EA205</f>
        <v>0.87842857142857156</v>
      </c>
      <c r="AA1279" s="113">
        <f>'Data_in-situ'!EB205</f>
        <v>0.16185714285714287</v>
      </c>
      <c r="AB1279" s="46">
        <f>'Data_in-situ'!EC205</f>
        <v>4</v>
      </c>
      <c r="AC1279" s="113">
        <f>'Data_in-situ'!EE205</f>
        <v>24.849</v>
      </c>
      <c r="AD1279" s="113">
        <f>'Data_in-situ'!EF205</f>
        <v>0.65528571428571425</v>
      </c>
      <c r="AE1279" s="46">
        <f>'Data_in-situ'!EG205</f>
        <v>4</v>
      </c>
      <c r="AF1279" s="113">
        <f>'Data_in-situ'!EN52</f>
        <v>-53.36</v>
      </c>
      <c r="AG1279" s="113">
        <f>'Data_in-situ'!EO52</f>
        <v>6.3986248522631799</v>
      </c>
      <c r="AH1279" s="110">
        <f>'Data_in-situ'!EP52</f>
        <v>3</v>
      </c>
      <c r="AI1279" s="113">
        <f>'Data_in-situ'!ER52</f>
        <v>-124.16</v>
      </c>
      <c r="AJ1279" s="113">
        <f>'Data_in-situ'!ES52</f>
        <v>9.3061459262145689</v>
      </c>
      <c r="AK1279" s="110">
        <f>'Data_in-situ'!ET52</f>
        <v>3</v>
      </c>
    </row>
    <row r="1280" spans="2:37" x14ac:dyDescent="0.3">
      <c r="B1280" s="24">
        <f>'Data_in-situ'!CA249</f>
        <v>-128773.33333333334</v>
      </c>
      <c r="C1280" s="24">
        <f>'Data_in-situ'!CB249</f>
        <v>31396.285711095959</v>
      </c>
      <c r="D1280" s="46">
        <f>'Data_in-situ'!CC249</f>
        <v>1</v>
      </c>
      <c r="E1280" s="24">
        <f>'Data_in-situ'!CE249</f>
        <v>-118946.66666666666</v>
      </c>
      <c r="F1280" s="24">
        <f>'Data_in-situ'!CF249</f>
        <v>44280.168124984993</v>
      </c>
      <c r="G1280" s="46">
        <f>'Data_in-situ'!CG249</f>
        <v>1</v>
      </c>
      <c r="H1280" s="24">
        <f>'Data_in-situ'!CN249</f>
        <v>127783.33333333334</v>
      </c>
      <c r="I1280" s="24">
        <f>'Data_in-situ'!CO249</f>
        <v>36753.97636561394</v>
      </c>
      <c r="J1280" s="46">
        <f>'Data_in-situ'!CP249</f>
        <v>1</v>
      </c>
      <c r="K1280" s="24">
        <f>'Data_in-situ'!CR249</f>
        <v>122870</v>
      </c>
      <c r="L1280" s="24">
        <f>'Data_in-situ'!CS249</f>
        <v>32240.003056325604</v>
      </c>
      <c r="M1280" s="46">
        <f>'Data_in-situ'!CT249</f>
        <v>1</v>
      </c>
      <c r="N1280" s="24">
        <f>'Data_in-situ'!DA131</f>
        <v>-4434.9222539045541</v>
      </c>
      <c r="O1280" s="24">
        <f>'Data_in-situ'!DB131</f>
        <v>891.2605974868037</v>
      </c>
      <c r="P1280" s="46">
        <f>'Data_in-situ'!DC131</f>
        <v>66</v>
      </c>
      <c r="Q1280" s="24">
        <f>'Data_in-situ'!DE131</f>
        <v>5369.3214840327073</v>
      </c>
      <c r="R1280" s="24">
        <f>'Data_in-situ'!DF131</f>
        <v>3960.9879370068538</v>
      </c>
      <c r="S1280" s="46">
        <f>'Data_in-situ'!DG131</f>
        <v>66</v>
      </c>
      <c r="T1280" s="113">
        <f>'Data_in-situ'!DN56</f>
        <v>4.9255681733440708</v>
      </c>
      <c r="U1280" s="113">
        <f>'Data_in-situ'!DO56</f>
        <v>6.4838403831872826</v>
      </c>
      <c r="V1280" s="46">
        <f>'Data_in-situ'!DP56</f>
        <v>3</v>
      </c>
      <c r="W1280" s="113">
        <f>'Data_in-situ'!DR56</f>
        <v>2.5655992526671083</v>
      </c>
      <c r="X1280" s="113">
        <f>'Data_in-situ'!DS56</f>
        <v>2.1677925245184233</v>
      </c>
      <c r="Y1280" s="46">
        <f>'Data_in-situ'!DT56</f>
        <v>3</v>
      </c>
      <c r="Z1280" s="113">
        <f>'Data_in-situ'!EA221</f>
        <v>1.1800914940670852</v>
      </c>
      <c r="AA1280" s="113">
        <f>'Data_in-situ'!EB221</f>
        <v>0.73618285714285703</v>
      </c>
      <c r="AB1280" s="46">
        <f>'Data_in-situ'!EC221</f>
        <v>2</v>
      </c>
      <c r="AC1280" s="113">
        <f>'Data_in-situ'!EE221</f>
        <v>0.9163634502292034</v>
      </c>
      <c r="AD1280" s="113">
        <f>'Data_in-situ'!EF221</f>
        <v>0.55673828571428574</v>
      </c>
      <c r="AE1280" s="46">
        <f>'Data_in-situ'!EG221</f>
        <v>6</v>
      </c>
      <c r="AF1280" s="113">
        <f>'Data_in-situ'!EN54</f>
        <v>-38</v>
      </c>
      <c r="AG1280" s="113">
        <f>'Data_in-situ'!EO54</f>
        <v>7.6</v>
      </c>
      <c r="AH1280" s="110">
        <f>'Data_in-situ'!EP54</f>
        <v>3</v>
      </c>
      <c r="AI1280" s="113">
        <f>'Data_in-situ'!ER54</f>
        <v>-112</v>
      </c>
      <c r="AJ1280" s="113">
        <f>'Data_in-situ'!ES54</f>
        <v>15.2</v>
      </c>
      <c r="AK1280" s="110">
        <f>'Data_in-situ'!ET54</f>
        <v>3</v>
      </c>
    </row>
    <row r="1281" spans="2:37" x14ac:dyDescent="0.3">
      <c r="B1281" s="24">
        <f>'Data_in-situ'!CA402</f>
        <v>-270.83333333333297</v>
      </c>
      <c r="C1281" s="24">
        <f>'Data_in-situ'!CB402</f>
        <v>66.031999741834312</v>
      </c>
      <c r="D1281" s="46">
        <f>'Data_in-situ'!CC402</f>
        <v>1</v>
      </c>
      <c r="E1281" s="24">
        <f>'Data_in-situ'!CE402</f>
        <v>-301.00679361702942</v>
      </c>
      <c r="F1281" s="24">
        <f>'Data_in-situ'!CF402</f>
        <v>112.05552708321424</v>
      </c>
      <c r="G1281" s="46">
        <f>'Data_in-situ'!CG402</f>
        <v>1</v>
      </c>
      <c r="H1281" s="24">
        <f>'Data_in-situ'!CN402</f>
        <v>252.06998005563568</v>
      </c>
      <c r="I1281" s="24">
        <f>'Data_in-situ'!CO402</f>
        <v>72.502210169132198</v>
      </c>
      <c r="J1281" s="46">
        <f>'Data_in-situ'!CP402</f>
        <v>1</v>
      </c>
      <c r="K1281" s="24">
        <f>'Data_in-situ'!CR402</f>
        <v>294.16386131769627</v>
      </c>
      <c r="L1281" s="24">
        <f>'Data_in-situ'!CS402</f>
        <v>77.18599973909879</v>
      </c>
      <c r="M1281" s="46">
        <f>'Data_in-situ'!CT402</f>
        <v>1</v>
      </c>
      <c r="N1281" s="24">
        <f>'Data_in-situ'!DA135</f>
        <v>2000</v>
      </c>
      <c r="O1281" s="24">
        <f>'Data_in-situ'!DB135</f>
        <v>5999.3131173724232</v>
      </c>
      <c r="P1281" s="46">
        <f>'Data_in-situ'!DC135</f>
        <v>3</v>
      </c>
      <c r="Q1281" s="24">
        <f>'Data_in-situ'!DE135</f>
        <v>-6800</v>
      </c>
      <c r="R1281" s="24">
        <f>'Data_in-situ'!DF135</f>
        <v>6481.3710012383399</v>
      </c>
      <c r="S1281" s="46">
        <f>'Data_in-situ'!DG135</f>
        <v>3</v>
      </c>
      <c r="T1281" s="113">
        <f>'Data_in-situ'!DN58</f>
        <v>6.958675036383962</v>
      </c>
      <c r="U1281" s="113">
        <f>'Data_in-situ'!DO58</f>
        <v>1.1532569524351295</v>
      </c>
      <c r="V1281" s="46">
        <f>'Data_in-situ'!DP58</f>
        <v>3</v>
      </c>
      <c r="W1281" s="113">
        <f>'Data_in-situ'!DR58</f>
        <v>1.090379682383521</v>
      </c>
      <c r="X1281" s="113">
        <f>'Data_in-situ'!DS58</f>
        <v>2.1822665028157022</v>
      </c>
      <c r="Y1281" s="46">
        <f>'Data_in-situ'!DT58</f>
        <v>3</v>
      </c>
      <c r="Z1281" s="113">
        <f>'Data_in-situ'!EA250</f>
        <v>4.7842000883736189E-3</v>
      </c>
      <c r="AA1281" s="113">
        <f>'Data_in-situ'!EB250</f>
        <v>5.7651671572041305E-2</v>
      </c>
      <c r="AB1281" s="46">
        <f>'Data_in-situ'!EC250</f>
        <v>3</v>
      </c>
      <c r="AC1281" s="113">
        <f>'Data_in-situ'!EE250</f>
        <v>2.8668507573783328</v>
      </c>
      <c r="AD1281" s="113">
        <f>'Data_in-situ'!EF250</f>
        <v>1.8611493473177243</v>
      </c>
      <c r="AE1281" s="46">
        <f>'Data_in-situ'!EG250</f>
        <v>3</v>
      </c>
      <c r="AF1281" s="113">
        <f>'Data_in-situ'!EN56</f>
        <v>-47</v>
      </c>
      <c r="AG1281" s="113">
        <f>'Data_in-situ'!EO56</f>
        <v>6.8</v>
      </c>
      <c r="AH1281" s="110">
        <f>'Data_in-situ'!EP56</f>
        <v>3</v>
      </c>
      <c r="AI1281" s="113">
        <f>'Data_in-situ'!ER56</f>
        <v>-120</v>
      </c>
      <c r="AJ1281" s="113">
        <f>'Data_in-situ'!ES56</f>
        <v>11.8</v>
      </c>
      <c r="AK1281" s="110">
        <f>'Data_in-situ'!ET56</f>
        <v>3</v>
      </c>
    </row>
    <row r="1282" spans="2:37" x14ac:dyDescent="0.3">
      <c r="B1282" s="24">
        <f>'Data_in-situ'!CA403</f>
        <v>-241.07142857142901</v>
      </c>
      <c r="C1282" s="24">
        <f>'Data_in-situ'!CB403</f>
        <v>58.775736033940618</v>
      </c>
      <c r="D1282" s="46">
        <f>'Data_in-situ'!CC403</f>
        <v>1</v>
      </c>
      <c r="E1282" s="24">
        <f>'Data_in-situ'!CE403</f>
        <v>-271.67792654665266</v>
      </c>
      <c r="F1282" s="24">
        <f>'Data_in-situ'!CF403</f>
        <v>101.13729623920892</v>
      </c>
      <c r="G1282" s="46">
        <f>'Data_in-situ'!CG403</f>
        <v>1</v>
      </c>
      <c r="H1282" s="24">
        <f>'Data_in-situ'!CN403</f>
        <v>217.61437127105197</v>
      </c>
      <c r="I1282" s="24">
        <f>'Data_in-situ'!CO403</f>
        <v>62.591836117236312</v>
      </c>
      <c r="J1282" s="46">
        <f>'Data_in-situ'!CP403</f>
        <v>1</v>
      </c>
      <c r="K1282" s="24">
        <f>'Data_in-situ'!CR403</f>
        <v>295.88411781662973</v>
      </c>
      <c r="L1282" s="24">
        <f>'Data_in-situ'!CS403</f>
        <v>77.637379854532</v>
      </c>
      <c r="M1282" s="46">
        <f>'Data_in-situ'!CT403</f>
        <v>1</v>
      </c>
      <c r="N1282" s="24">
        <f>'Data_in-situ'!DA249</f>
        <v>-990</v>
      </c>
      <c r="O1282" s="24">
        <f>'Data_in-situ'!DB249</f>
        <v>2969.6599930993493</v>
      </c>
      <c r="P1282" s="46">
        <f>'Data_in-situ'!DC249</f>
        <v>1</v>
      </c>
      <c r="Q1282" s="24">
        <f>'Data_in-situ'!DE249</f>
        <v>3923.333333333333</v>
      </c>
      <c r="R1282" s="24">
        <f>'Data_in-situ'!DF249</f>
        <v>3739.4968963027086</v>
      </c>
      <c r="S1282" s="46">
        <f>'Data_in-situ'!DG249</f>
        <v>1</v>
      </c>
      <c r="T1282" s="113">
        <f>'Data_in-situ'!DN60</f>
        <v>10.866266106411475</v>
      </c>
      <c r="U1282" s="113">
        <f>'Data_in-situ'!DO60</f>
        <v>5.3394122234557058</v>
      </c>
      <c r="V1282" s="46">
        <f>'Data_in-situ'!DP60</f>
        <v>3</v>
      </c>
      <c r="W1282" s="113">
        <f>'Data_in-situ'!DR60</f>
        <v>1.2247833424193799</v>
      </c>
      <c r="X1282" s="113">
        <f>'Data_in-situ'!DS60</f>
        <v>3.4037999999999999</v>
      </c>
      <c r="Y1282" s="46">
        <f>'Data_in-situ'!DT60</f>
        <v>3</v>
      </c>
      <c r="Z1282" s="113">
        <f>'Data_in-situ'!EA251</f>
        <v>2.9121217929230725E-2</v>
      </c>
      <c r="AA1282" s="113">
        <f>'Data_in-situ'!EB251</f>
        <v>6.8659445106331193E-2</v>
      </c>
      <c r="AB1282" s="46">
        <f>'Data_in-situ'!EC251</f>
        <v>3</v>
      </c>
      <c r="AC1282" s="113">
        <f>'Data_in-situ'!EE251</f>
        <v>0.10511786110387221</v>
      </c>
      <c r="AD1282" s="113">
        <f>'Data_in-situ'!EF251</f>
        <v>0.10740648717807684</v>
      </c>
      <c r="AE1282" s="46">
        <f>'Data_in-situ'!EG251</f>
        <v>3</v>
      </c>
      <c r="AF1282" s="113">
        <f>'Data_in-situ'!EN58</f>
        <v>-56</v>
      </c>
      <c r="AG1282" s="113">
        <f>'Data_in-situ'!EO58</f>
        <v>10.1</v>
      </c>
      <c r="AH1282" s="110">
        <f>'Data_in-situ'!EP58</f>
        <v>3</v>
      </c>
      <c r="AI1282" s="113">
        <f>'Data_in-situ'!ER58</f>
        <v>-128</v>
      </c>
      <c r="AJ1282" s="113">
        <f>'Data_in-situ'!ES58</f>
        <v>14.2</v>
      </c>
      <c r="AK1282" s="110">
        <f>'Data_in-situ'!ET58</f>
        <v>3</v>
      </c>
    </row>
    <row r="1283" spans="2:37" x14ac:dyDescent="0.3">
      <c r="B1283" s="24">
        <f>'Data_in-situ'!CA453</f>
        <v>-134383.33333333334</v>
      </c>
      <c r="C1283" s="24">
        <f>'Data_in-situ'!CB453</f>
        <v>32764.062394979126</v>
      </c>
      <c r="D1283" s="46">
        <f>'Data_in-situ'!CC453</f>
        <v>1</v>
      </c>
      <c r="E1283" s="24">
        <f>'Data_in-situ'!CE453</f>
        <v>-148133.33333333334</v>
      </c>
      <c r="F1283" s="24">
        <f>'Data_in-situ'!CF453</f>
        <v>55145.46215318724</v>
      </c>
      <c r="G1283" s="46">
        <f>'Data_in-situ'!CG453</f>
        <v>1</v>
      </c>
      <c r="H1283" s="24">
        <f>'Data_in-situ'!CN453</f>
        <v>136253.33333333334</v>
      </c>
      <c r="I1283" s="24">
        <f>'Data_in-situ'!CO453</f>
        <v>39190.179677079308</v>
      </c>
      <c r="J1283" s="46">
        <f>'Data_in-situ'!CP453</f>
        <v>1</v>
      </c>
      <c r="K1283" s="24">
        <f>'Data_in-situ'!CR453</f>
        <v>161810</v>
      </c>
      <c r="L1283" s="24">
        <f>'Data_in-situ'!CS453</f>
        <v>42457.515215626641</v>
      </c>
      <c r="M1283" s="46">
        <f>'Data_in-situ'!CT453</f>
        <v>1</v>
      </c>
      <c r="N1283" s="24">
        <f>'Data_in-situ'!DA396</f>
        <v>-1484.6994535519118</v>
      </c>
      <c r="O1283" s="24">
        <f>'Data_in-situ'!DB396</f>
        <v>4453.588453524826</v>
      </c>
      <c r="P1283" s="46">
        <f>'Data_in-situ'!DC396</f>
        <v>1</v>
      </c>
      <c r="Q1283" s="24">
        <f>'Data_in-situ'!DE396</f>
        <v>390.71038251366002</v>
      </c>
      <c r="R1283" s="24">
        <f>'Data_in-situ'!DF396</f>
        <v>372.40278575099637</v>
      </c>
      <c r="S1283" s="46">
        <f>'Data_in-situ'!DG396</f>
        <v>1</v>
      </c>
      <c r="T1283" s="113">
        <f>'Data_in-situ'!DN62</f>
        <v>9.9527304602972393</v>
      </c>
      <c r="U1283" s="113">
        <f>'Data_in-situ'!DO62</f>
        <v>3.6109447780902064</v>
      </c>
      <c r="V1283" s="46">
        <f>'Data_in-situ'!DP62</f>
        <v>3</v>
      </c>
      <c r="W1283" s="113">
        <f>'Data_in-situ'!DR62</f>
        <v>1.0045372150544916</v>
      </c>
      <c r="X1283" s="113">
        <f>'Data_in-situ'!DS62</f>
        <v>1.2391823776598332</v>
      </c>
      <c r="Y1283" s="46">
        <f>'Data_in-situ'!DT62</f>
        <v>3</v>
      </c>
      <c r="Z1283" s="113">
        <f>'Data_in-situ'!EA260</f>
        <v>4.7842000883736184E-2</v>
      </c>
      <c r="AA1283" s="113">
        <f>'Data_in-situ'!EB260</f>
        <v>4.4106351316338478E-2</v>
      </c>
      <c r="AB1283" s="46">
        <f>'Data_in-situ'!EC260</f>
        <v>3</v>
      </c>
      <c r="AC1283" s="113">
        <f>'Data_in-situ'!EE260</f>
        <v>0.82820132990929607</v>
      </c>
      <c r="AD1283" s="113">
        <f>'Data_in-situ'!EF260</f>
        <v>0.5966246705874263</v>
      </c>
      <c r="AE1283" s="46">
        <f>'Data_in-situ'!EG260</f>
        <v>3</v>
      </c>
      <c r="AF1283" s="113">
        <f>'Data_in-situ'!EN60</f>
        <v>-38</v>
      </c>
      <c r="AG1283" s="113">
        <f>'Data_in-situ'!EO60</f>
        <v>7.6</v>
      </c>
      <c r="AH1283" s="110">
        <f>'Data_in-situ'!EP60</f>
        <v>3</v>
      </c>
      <c r="AI1283" s="113">
        <f>'Data_in-situ'!ER60</f>
        <v>-112</v>
      </c>
      <c r="AJ1283" s="113">
        <f>'Data_in-situ'!ES60</f>
        <v>15.2</v>
      </c>
      <c r="AK1283" s="110">
        <f>'Data_in-situ'!ET60</f>
        <v>3</v>
      </c>
    </row>
    <row r="1284" spans="2:37" x14ac:dyDescent="0.3">
      <c r="B1284" s="24">
        <f>'Data_in-situ'!CA454</f>
        <v>-160161.20218579238</v>
      </c>
      <c r="C1284" s="24">
        <f>'Data_in-situ'!CB454</f>
        <v>10636.467274593098</v>
      </c>
      <c r="D1284" s="46">
        <f>'Data_in-situ'!CC454</f>
        <v>3</v>
      </c>
      <c r="E1284" s="24">
        <f>'Data_in-situ'!CE454</f>
        <v>-207277.44990892528</v>
      </c>
      <c r="F1284" s="24">
        <f>'Data_in-situ'!CF454</f>
        <v>21272.601806047955</v>
      </c>
      <c r="G1284" s="46">
        <f>'Data_in-situ'!CG454</f>
        <v>3</v>
      </c>
      <c r="H1284" s="24">
        <f>'Data_in-situ'!CN454</f>
        <v>67306.558222944135</v>
      </c>
      <c r="I1284" s="24">
        <f>'Data_in-situ'!CO454</f>
        <v>13632.710832908837</v>
      </c>
      <c r="J1284" s="46">
        <f>'Data_in-situ'!CP454</f>
        <v>3</v>
      </c>
      <c r="K1284" s="24">
        <f>'Data_in-situ'!CR454</f>
        <v>144420.60780366213</v>
      </c>
      <c r="L1284" s="24">
        <f>'Data_in-situ'!CS454</f>
        <v>24745.786342212687</v>
      </c>
      <c r="M1284" s="46">
        <f>'Data_in-situ'!CT454</f>
        <v>3</v>
      </c>
      <c r="N1284" s="24">
        <f>'Data_in-situ'!DA397</f>
        <v>-1316.3934426229509</v>
      </c>
      <c r="O1284" s="24">
        <f>'Data_in-situ'!DB397</f>
        <v>3948.7282239754559</v>
      </c>
      <c r="P1284" s="46">
        <f>'Data_in-situ'!DC397</f>
        <v>1</v>
      </c>
      <c r="Q1284" s="24">
        <f>'Data_in-situ'!DE397</f>
        <v>54.098360655737935</v>
      </c>
      <c r="R1284" s="24">
        <f>'Data_in-situ'!DF397</f>
        <v>51.563462642446027</v>
      </c>
      <c r="S1284" s="46">
        <f>'Data_in-situ'!DG397</f>
        <v>1</v>
      </c>
      <c r="T1284" s="113">
        <f>'Data_in-situ'!DN64</f>
        <v>10.24121540117542</v>
      </c>
      <c r="U1284" s="113">
        <f>'Data_in-situ'!DO64</f>
        <v>7.0937907088882888</v>
      </c>
      <c r="V1284" s="46">
        <f>'Data_in-situ'!DP64</f>
        <v>3</v>
      </c>
      <c r="W1284" s="113">
        <f>'Data_in-situ'!DR64</f>
        <v>0.45660782502476893</v>
      </c>
      <c r="X1284" s="113">
        <f>'Data_in-situ'!DS64</f>
        <v>1.5313900415070829</v>
      </c>
      <c r="Y1284" s="46">
        <f>'Data_in-situ'!DT64</f>
        <v>3</v>
      </c>
      <c r="Z1284" s="113">
        <f>'Data_in-situ'!EA261</f>
        <v>0.27041130934285673</v>
      </c>
      <c r="AA1284" s="113">
        <f>'Data_in-situ'!EB261</f>
        <v>0.17637490766446459</v>
      </c>
      <c r="AB1284" s="46">
        <f>'Data_in-situ'!EC261</f>
        <v>3</v>
      </c>
      <c r="AC1284" s="113">
        <f>'Data_in-situ'!EE261</f>
        <v>1.0193247137345183</v>
      </c>
      <c r="AD1284" s="113">
        <f>'Data_in-situ'!EF261</f>
        <v>0.85363748658627392</v>
      </c>
      <c r="AE1284" s="46">
        <f>'Data_in-situ'!EG261</f>
        <v>3</v>
      </c>
      <c r="AF1284" s="113">
        <f>'Data_in-situ'!EN62</f>
        <v>-44</v>
      </c>
      <c r="AG1284" s="113">
        <f>'Data_in-situ'!EO62</f>
        <v>6.8</v>
      </c>
      <c r="AH1284" s="110">
        <f>'Data_in-situ'!EP62</f>
        <v>3</v>
      </c>
      <c r="AI1284" s="113">
        <f>'Data_in-situ'!ER62</f>
        <v>-116</v>
      </c>
      <c r="AJ1284" s="113">
        <f>'Data_in-situ'!ES62</f>
        <v>11.8</v>
      </c>
      <c r="AK1284" s="110">
        <f>'Data_in-situ'!ET62</f>
        <v>3</v>
      </c>
    </row>
    <row r="1285" spans="2:37" x14ac:dyDescent="0.3">
      <c r="B1285" s="24">
        <f>'Data_in-situ'!CA455</f>
        <v>-160161.20218579238</v>
      </c>
      <c r="C1285" s="24">
        <f>'Data_in-situ'!CB455</f>
        <v>10636.467274593098</v>
      </c>
      <c r="D1285" s="46">
        <f>'Data_in-situ'!CC455</f>
        <v>3</v>
      </c>
      <c r="E1285" s="24">
        <f>'Data_in-situ'!CE455</f>
        <v>-129453.33333333317</v>
      </c>
      <c r="F1285" s="24">
        <f>'Data_in-situ'!CF455</f>
        <v>6791.9062619830866</v>
      </c>
      <c r="G1285" s="46">
        <f>'Data_in-situ'!CG455</f>
        <v>3</v>
      </c>
      <c r="H1285" s="24">
        <f>'Data_in-situ'!CN455</f>
        <v>67306.558222944135</v>
      </c>
      <c r="I1285" s="24">
        <f>'Data_in-situ'!CO455</f>
        <v>13632.710832908837</v>
      </c>
      <c r="J1285" s="46">
        <f>'Data_in-situ'!CP455</f>
        <v>3</v>
      </c>
      <c r="K1285" s="24">
        <f>'Data_in-situ'!CR455</f>
        <v>78968.070175438406</v>
      </c>
      <c r="L1285" s="24">
        <f>'Data_in-situ'!CS455</f>
        <v>7711.5970214802783</v>
      </c>
      <c r="M1285" s="46">
        <f>'Data_in-situ'!CT455</f>
        <v>3</v>
      </c>
      <c r="N1285" s="24">
        <f>'Data_in-situ'!DA398</f>
        <v>-1484.6994535519118</v>
      </c>
      <c r="O1285" s="24">
        <f>'Data_in-situ'!DB398</f>
        <v>4453.588453524826</v>
      </c>
      <c r="P1285" s="46">
        <f>'Data_in-situ'!DC398</f>
        <v>1</v>
      </c>
      <c r="Q1285" s="24">
        <f>'Data_in-situ'!DE398</f>
        <v>847.54098360655883</v>
      </c>
      <c r="R1285" s="24">
        <f>'Data_in-situ'!DF398</f>
        <v>807.82758139831913</v>
      </c>
      <c r="S1285" s="46">
        <f>'Data_in-situ'!DG398</f>
        <v>1</v>
      </c>
      <c r="T1285" s="113">
        <f>'Data_in-situ'!DN66</f>
        <v>7.7977007953643627</v>
      </c>
      <c r="U1285" s="113">
        <f>'Data_in-situ'!DO66</f>
        <v>3.3514104017873239</v>
      </c>
      <c r="V1285" s="46">
        <f>'Data_in-situ'!DP66</f>
        <v>3</v>
      </c>
      <c r="W1285" s="113">
        <f>'Data_in-situ'!DR66</f>
        <v>1.9887131963175433</v>
      </c>
      <c r="X1285" s="113">
        <f>'Data_in-situ'!DS66</f>
        <v>2.7881365985407487</v>
      </c>
      <c r="Y1285" s="46">
        <f>'Data_in-situ'!DT66</f>
        <v>3</v>
      </c>
      <c r="AF1285" s="113">
        <f>'Data_in-situ'!EN64</f>
        <v>-50</v>
      </c>
      <c r="AG1285" s="113">
        <f>'Data_in-situ'!EO64</f>
        <v>6.8</v>
      </c>
      <c r="AH1285" s="110">
        <f>'Data_in-situ'!EP64</f>
        <v>3</v>
      </c>
      <c r="AI1285" s="113">
        <f>'Data_in-situ'!ER64</f>
        <v>-120</v>
      </c>
      <c r="AJ1285" s="113">
        <f>'Data_in-situ'!ES64</f>
        <v>11.8</v>
      </c>
      <c r="AK1285" s="110">
        <f>'Data_in-situ'!ET64</f>
        <v>3</v>
      </c>
    </row>
    <row r="1286" spans="2:37" x14ac:dyDescent="0.3">
      <c r="N1286" s="24">
        <f>'Data_in-situ'!DA399</f>
        <v>-2037.7049180327876</v>
      </c>
      <c r="O1286" s="24">
        <f>'Data_in-situ'!DB399</f>
        <v>6112.4149220442005</v>
      </c>
      <c r="P1286" s="46">
        <f>'Data_in-situ'!DC399</f>
        <v>1</v>
      </c>
      <c r="Q1286" s="24">
        <f>'Data_in-situ'!DE399</f>
        <v>-571.03825136612102</v>
      </c>
      <c r="R1286" s="24">
        <f>'Data_in-situ'!DF399</f>
        <v>544.28099455915094</v>
      </c>
      <c r="S1286" s="46">
        <f>'Data_in-situ'!DG399</f>
        <v>1</v>
      </c>
      <c r="T1286" s="113">
        <f>'Data_in-situ'!DN68</f>
        <v>7.1375195796034658</v>
      </c>
      <c r="U1286" s="113">
        <f>'Data_in-situ'!DO68</f>
        <v>3.9633493035082119</v>
      </c>
      <c r="V1286" s="46">
        <f>'Data_in-situ'!DP68</f>
        <v>3</v>
      </c>
      <c r="W1286" s="113">
        <f>'Data_in-situ'!DR68</f>
        <v>1.8162894746130522</v>
      </c>
      <c r="X1286" s="113">
        <f>'Data_in-situ'!DS68</f>
        <v>1.2745561332707356</v>
      </c>
      <c r="Y1286" s="46">
        <f>'Data_in-situ'!DT68</f>
        <v>3</v>
      </c>
      <c r="AF1286" s="113">
        <f>'Data_in-situ'!EN66</f>
        <v>-38</v>
      </c>
      <c r="AG1286" s="113">
        <f>'Data_in-situ'!EO66</f>
        <v>5.412566119688516</v>
      </c>
      <c r="AH1286" s="110">
        <f>'Data_in-situ'!EP66</f>
        <v>3</v>
      </c>
      <c r="AI1286" s="113">
        <f>'Data_in-situ'!ER66</f>
        <v>-112</v>
      </c>
      <c r="AJ1286" s="113">
        <f>'Data_in-situ'!ES66</f>
        <v>10.756618055876112</v>
      </c>
      <c r="AK1286" s="110">
        <f>'Data_in-situ'!ET66</f>
        <v>3</v>
      </c>
    </row>
    <row r="1287" spans="2:37" x14ac:dyDescent="0.3">
      <c r="N1287" s="24">
        <f>'Data_in-situ'!DA402</f>
        <v>-18.763353277697291</v>
      </c>
      <c r="O1287" s="24">
        <f>'Data_in-situ'!DB402</f>
        <v>56.283615722391104</v>
      </c>
      <c r="P1287" s="46">
        <f>'Data_in-situ'!DC402</f>
        <v>1</v>
      </c>
      <c r="Q1287" s="24">
        <f>'Data_in-situ'!DE402</f>
        <v>-6.8429322993331425</v>
      </c>
      <c r="R1287" s="24">
        <f>'Data_in-situ'!DF402</f>
        <v>6.5222916129904451</v>
      </c>
      <c r="S1287" s="46">
        <f>'Data_in-situ'!DG402</f>
        <v>1</v>
      </c>
      <c r="T1287" s="113">
        <f>'Data_in-situ'!DN70</f>
        <v>8.4029927968922031</v>
      </c>
      <c r="U1287" s="113">
        <f>'Data_in-situ'!DO70</f>
        <v>3.1873816651232265</v>
      </c>
      <c r="V1287" s="46">
        <f>'Data_in-situ'!DP70</f>
        <v>3</v>
      </c>
      <c r="W1287" s="113">
        <f>'Data_in-situ'!DR70</f>
        <v>0.78616919085132009</v>
      </c>
      <c r="X1287" s="113">
        <f>'Data_in-situ'!DS70</f>
        <v>1.3520526050253143</v>
      </c>
      <c r="Y1287" s="46">
        <f>'Data_in-situ'!DT70</f>
        <v>3</v>
      </c>
      <c r="AF1287" s="113">
        <f>'Data_in-situ'!EN68</f>
        <v>-45.680000000000007</v>
      </c>
      <c r="AG1287" s="113">
        <f>'Data_in-situ'!EO68</f>
        <v>4.842822317616041</v>
      </c>
      <c r="AH1287" s="110">
        <f>'Data_in-situ'!EP68</f>
        <v>3</v>
      </c>
      <c r="AI1287" s="113">
        <f>'Data_in-situ'!ER68</f>
        <v>-118.08000000000001</v>
      </c>
      <c r="AJ1287" s="113">
        <f>'Data_in-situ'!ES68</f>
        <v>8.3505324381143513</v>
      </c>
      <c r="AK1287" s="110">
        <f>'Data_in-situ'!ET68</f>
        <v>3</v>
      </c>
    </row>
    <row r="1288" spans="2:37" x14ac:dyDescent="0.3">
      <c r="N1288" s="24">
        <f>'Data_in-situ'!DA403</f>
        <v>-23.457057300377045</v>
      </c>
      <c r="O1288" s="24">
        <f>'Data_in-situ'!DB403</f>
        <v>70.363115778554274</v>
      </c>
      <c r="P1288" s="46">
        <f>'Data_in-situ'!DC403</f>
        <v>1</v>
      </c>
      <c r="Q1288" s="24">
        <f>'Data_in-situ'!DE403</f>
        <v>24.206191269977069</v>
      </c>
      <c r="R1288" s="24">
        <f>'Data_in-situ'!DF403</f>
        <v>23.071956786420301</v>
      </c>
      <c r="S1288" s="46">
        <f>'Data_in-situ'!DG403</f>
        <v>1</v>
      </c>
      <c r="T1288" s="113">
        <f>'Data_in-situ'!DN84</f>
        <v>255.99999999999997</v>
      </c>
      <c r="U1288" s="113">
        <f>'Data_in-situ'!DO84</f>
        <v>285.40909802494076</v>
      </c>
      <c r="V1288" s="46">
        <f>'Data_in-situ'!DP84</f>
        <v>3</v>
      </c>
      <c r="W1288" s="113">
        <f>'Data_in-situ'!DR84</f>
        <v>-0.4</v>
      </c>
      <c r="X1288" s="113">
        <f>'Data_in-situ'!DS84</f>
        <v>1.494886517852404</v>
      </c>
      <c r="Y1288" s="46">
        <f>'Data_in-situ'!DT84</f>
        <v>3</v>
      </c>
      <c r="AF1288" s="113">
        <f>'Data_in-situ'!EN70</f>
        <v>-53.36</v>
      </c>
      <c r="AG1288" s="113">
        <f>'Data_in-situ'!EO70</f>
        <v>6.3986248522631799</v>
      </c>
      <c r="AH1288" s="110">
        <f>'Data_in-situ'!EP70</f>
        <v>3</v>
      </c>
      <c r="AI1288" s="113">
        <f>'Data_in-situ'!ER70</f>
        <v>-124.16</v>
      </c>
      <c r="AJ1288" s="113">
        <f>'Data_in-situ'!ES70</f>
        <v>9.3061459262145689</v>
      </c>
      <c r="AK1288" s="110">
        <f>'Data_in-situ'!ET70</f>
        <v>3</v>
      </c>
    </row>
    <row r="1289" spans="2:37" x14ac:dyDescent="0.3">
      <c r="N1289" s="24">
        <f>'Data_in-situ'!DA453</f>
        <v>1870</v>
      </c>
      <c r="O1289" s="24">
        <f>'Data_in-situ'!DB453</f>
        <v>5609.3577647432157</v>
      </c>
      <c r="P1289" s="46">
        <f>'Data_in-situ'!DC453</f>
        <v>1</v>
      </c>
      <c r="Q1289" s="24">
        <f>'Data_in-situ'!DE453</f>
        <v>13676.666666666666</v>
      </c>
      <c r="R1289" s="24">
        <f>'Data_in-situ'!DF453</f>
        <v>13035.816283372995</v>
      </c>
      <c r="S1289" s="46">
        <f>'Data_in-situ'!DG453</f>
        <v>1</v>
      </c>
      <c r="T1289" s="113">
        <f>'Data_in-situ'!DN86</f>
        <v>78.666666666666671</v>
      </c>
      <c r="U1289" s="113">
        <f>'Data_in-situ'!DO86</f>
        <v>87.703837413914115</v>
      </c>
      <c r="V1289" s="46">
        <f>'Data_in-situ'!DP86</f>
        <v>3</v>
      </c>
      <c r="W1289" s="113">
        <f>'Data_in-situ'!DR86</f>
        <v>34.666666666666664</v>
      </c>
      <c r="X1289" s="113">
        <f>'Data_in-situ'!DS86</f>
        <v>129.55683154720833</v>
      </c>
      <c r="Y1289" s="46">
        <f>'Data_in-situ'!DT86</f>
        <v>3</v>
      </c>
      <c r="AF1289" s="113">
        <f>'Data_in-situ'!EN71</f>
        <v>-38</v>
      </c>
      <c r="AG1289" s="113">
        <f>'Data_in-situ'!EO71</f>
        <v>7.6</v>
      </c>
      <c r="AH1289" s="110">
        <f>'Data_in-situ'!EP71</f>
        <v>3</v>
      </c>
      <c r="AI1289" s="113">
        <f>'Data_in-situ'!ER71</f>
        <v>-112</v>
      </c>
      <c r="AJ1289" s="113">
        <f>'Data_in-situ'!ES71</f>
        <v>15.2</v>
      </c>
      <c r="AK1289" s="110">
        <f>'Data_in-situ'!ET71</f>
        <v>3</v>
      </c>
    </row>
    <row r="1290" spans="2:37" x14ac:dyDescent="0.3">
      <c r="N1290" s="24">
        <f>'Data_in-situ'!DA454</f>
        <v>-92854.643962848248</v>
      </c>
      <c r="O1290" s="24">
        <f>'Data_in-situ'!DB454</f>
        <v>8527.3893173831366</v>
      </c>
      <c r="P1290" s="46">
        <f>'Data_in-situ'!DC454</f>
        <v>3</v>
      </c>
      <c r="Q1290" s="24">
        <f>'Data_in-situ'!DE454</f>
        <v>-62856.84210526316</v>
      </c>
      <c r="R1290" s="24">
        <f>'Data_in-situ'!DF454</f>
        <v>12642.403019037374</v>
      </c>
      <c r="S1290" s="46">
        <f>'Data_in-situ'!DG454</f>
        <v>3</v>
      </c>
      <c r="T1290" s="113">
        <f>'Data_in-situ'!DN88</f>
        <v>17.100000000000001</v>
      </c>
      <c r="U1290" s="113">
        <f>'Data_in-situ'!DO88</f>
        <v>7.9674337148168348</v>
      </c>
      <c r="V1290" s="46">
        <f>'Data_in-situ'!DP88</f>
        <v>3</v>
      </c>
      <c r="W1290" s="113">
        <f>'Data_in-situ'!DR88</f>
        <v>11.100000000000001</v>
      </c>
      <c r="X1290" s="113">
        <f>'Data_in-situ'!DS88</f>
        <v>4.3301270189221928</v>
      </c>
      <c r="Y1290" s="46">
        <f>'Data_in-situ'!DT88</f>
        <v>3</v>
      </c>
      <c r="AF1290" s="113">
        <f>'Data_in-situ'!EN72</f>
        <v>-47</v>
      </c>
      <c r="AG1290" s="113">
        <f>'Data_in-situ'!EO72</f>
        <v>6.8</v>
      </c>
      <c r="AH1290" s="110">
        <f>'Data_in-situ'!EP72</f>
        <v>3</v>
      </c>
      <c r="AI1290" s="113">
        <f>'Data_in-situ'!ER72</f>
        <v>-120</v>
      </c>
      <c r="AJ1290" s="113">
        <f>'Data_in-situ'!ES72</f>
        <v>11.8</v>
      </c>
      <c r="AK1290" s="110">
        <f>'Data_in-situ'!ET72</f>
        <v>3</v>
      </c>
    </row>
    <row r="1291" spans="2:37" x14ac:dyDescent="0.3">
      <c r="N1291" s="24">
        <f>'Data_in-situ'!DA455</f>
        <v>-92854.643962848248</v>
      </c>
      <c r="O1291" s="24">
        <f>'Data_in-situ'!DB455</f>
        <v>8527.3893173831366</v>
      </c>
      <c r="P1291" s="46">
        <f>'Data_in-situ'!DC455</f>
        <v>3</v>
      </c>
      <c r="Q1291" s="24">
        <f>'Data_in-situ'!DE455</f>
        <v>-50485.263157894762</v>
      </c>
      <c r="R1291" s="24">
        <f>'Data_in-situ'!DF455</f>
        <v>3652.2236993561119</v>
      </c>
      <c r="S1291" s="46">
        <f>'Data_in-situ'!DG455</f>
        <v>3</v>
      </c>
      <c r="T1291" s="113">
        <f>'Data_in-situ'!DN89</f>
        <v>17.3</v>
      </c>
      <c r="U1291" s="113">
        <f>'Data_in-situ'!DO89</f>
        <v>8.1406387955737234</v>
      </c>
      <c r="V1291" s="46">
        <f>'Data_in-situ'!DP89</f>
        <v>3</v>
      </c>
      <c r="W1291" s="113">
        <f>'Data_in-situ'!DR89</f>
        <v>12.5</v>
      </c>
      <c r="X1291" s="113">
        <f>'Data_in-situ'!DS89</f>
        <v>5.0229473419497435</v>
      </c>
      <c r="Y1291" s="46">
        <f>'Data_in-situ'!DT89</f>
        <v>3</v>
      </c>
      <c r="AF1291" s="113">
        <f>'Data_in-situ'!EN73</f>
        <v>-38</v>
      </c>
      <c r="AG1291" s="113">
        <f>'Data_in-situ'!EO73</f>
        <v>7.6</v>
      </c>
      <c r="AH1291" s="110">
        <f>'Data_in-situ'!EP73</f>
        <v>3</v>
      </c>
      <c r="AI1291" s="113">
        <f>'Data_in-situ'!ER73</f>
        <v>-112</v>
      </c>
      <c r="AJ1291" s="113">
        <f>'Data_in-situ'!ES73</f>
        <v>15.2</v>
      </c>
      <c r="AK1291" s="110">
        <f>'Data_in-situ'!ET73</f>
        <v>3</v>
      </c>
    </row>
    <row r="1292" spans="2:37" x14ac:dyDescent="0.3">
      <c r="T1292" s="113">
        <f>'Data_in-situ'!DN98</f>
        <v>29.564989329793384</v>
      </c>
      <c r="U1292" s="113">
        <f>'Data_in-situ'!DO98</f>
        <v>10.677333333333335</v>
      </c>
      <c r="V1292" s="46">
        <f>'Data_in-situ'!DP98</f>
        <v>3</v>
      </c>
      <c r="W1292" s="113">
        <f>'Data_in-situ'!DR98</f>
        <v>7.9918819188191907</v>
      </c>
      <c r="X1292" s="113">
        <f>'Data_in-situ'!DS98</f>
        <v>0.87360000000000004</v>
      </c>
      <c r="Y1292" s="46">
        <f>'Data_in-situ'!DT98</f>
        <v>3</v>
      </c>
      <c r="AF1292" s="113">
        <f>'Data_in-situ'!EN74</f>
        <v>-44</v>
      </c>
      <c r="AG1292" s="113">
        <f>'Data_in-situ'!EO74</f>
        <v>6.8</v>
      </c>
      <c r="AH1292" s="110">
        <f>'Data_in-situ'!EP74</f>
        <v>3</v>
      </c>
      <c r="AI1292" s="113">
        <f>'Data_in-situ'!ER74</f>
        <v>-116</v>
      </c>
      <c r="AJ1292" s="113">
        <f>'Data_in-situ'!ES74</f>
        <v>11.8</v>
      </c>
      <c r="AK1292" s="110">
        <f>'Data_in-situ'!ET74</f>
        <v>3</v>
      </c>
    </row>
    <row r="1293" spans="2:37" x14ac:dyDescent="0.3">
      <c r="T1293" s="113">
        <f>'Data_in-situ'!DN99</f>
        <v>142.07619872372933</v>
      </c>
      <c r="U1293" s="113">
        <f>'Data_in-situ'!DO99</f>
        <v>118.22720000000001</v>
      </c>
      <c r="V1293" s="46">
        <f>'Data_in-situ'!DP99</f>
        <v>24</v>
      </c>
      <c r="W1293" s="113">
        <f>'Data_in-situ'!DR99</f>
        <v>1.3426361623616241</v>
      </c>
      <c r="X1293" s="113">
        <f>'Data_in-situ'!DS99</f>
        <v>1.8695039999999998</v>
      </c>
      <c r="Y1293" s="46">
        <f>'Data_in-situ'!DT99</f>
        <v>15</v>
      </c>
      <c r="AF1293" s="113">
        <f>'Data_in-situ'!EN75</f>
        <v>-38</v>
      </c>
      <c r="AG1293" s="113">
        <f>'Data_in-situ'!EO75</f>
        <v>5.412566119688516</v>
      </c>
      <c r="AH1293" s="110">
        <f>'Data_in-situ'!EP75</f>
        <v>3</v>
      </c>
      <c r="AI1293" s="113">
        <f>'Data_in-situ'!ER75</f>
        <v>-112</v>
      </c>
      <c r="AJ1293" s="113">
        <f>'Data_in-situ'!ES75</f>
        <v>10.825132239377032</v>
      </c>
      <c r="AK1293" s="110">
        <f>'Data_in-situ'!ET75</f>
        <v>3</v>
      </c>
    </row>
    <row r="1294" spans="2:37" x14ac:dyDescent="0.3">
      <c r="T1294" s="113">
        <f>'Data_in-situ'!DN104</f>
        <v>277.33333333333331</v>
      </c>
      <c r="U1294" s="113">
        <f>'Data_in-situ'!DO104</f>
        <v>309.19318952701917</v>
      </c>
      <c r="V1294" s="46">
        <f>'Data_in-situ'!DP104</f>
        <v>3</v>
      </c>
      <c r="W1294" s="113">
        <f>'Data_in-situ'!DR104</f>
        <v>0.04</v>
      </c>
      <c r="X1294" s="113">
        <f>'Data_in-situ'!DS104</f>
        <v>0.1494886517852404</v>
      </c>
      <c r="Y1294" s="46">
        <f>'Data_in-situ'!DT104</f>
        <v>3</v>
      </c>
      <c r="AF1294" s="113">
        <f>'Data_in-situ'!EN76</f>
        <v>-45.680000000000007</v>
      </c>
      <c r="AG1294" s="113">
        <f>'Data_in-situ'!EO76</f>
        <v>4.842822317616041</v>
      </c>
      <c r="AH1294" s="110">
        <f>'Data_in-situ'!EP76</f>
        <v>3</v>
      </c>
      <c r="AI1294" s="113">
        <f>'Data_in-situ'!ER76</f>
        <v>-118.24000000000001</v>
      </c>
      <c r="AJ1294" s="113">
        <f>'Data_in-situ'!ES76</f>
        <v>8.4037210805690119</v>
      </c>
      <c r="AK1294" s="110">
        <f>'Data_in-situ'!ET76</f>
        <v>3</v>
      </c>
    </row>
    <row r="1295" spans="2:37" x14ac:dyDescent="0.3">
      <c r="T1295" s="113">
        <f>'Data_in-situ'!DN106</f>
        <v>100.8</v>
      </c>
      <c r="U1295" s="113">
        <f>'Data_in-situ'!DO106</f>
        <v>112.37983234732044</v>
      </c>
      <c r="V1295" s="46">
        <f>'Data_in-situ'!DP106</f>
        <v>3</v>
      </c>
      <c r="W1295" s="113">
        <f>'Data_in-situ'!DR106</f>
        <v>1.0666666666666667</v>
      </c>
      <c r="X1295" s="113">
        <f>'Data_in-situ'!DS106</f>
        <v>3.9863640476064104</v>
      </c>
      <c r="Y1295" s="46">
        <f>'Data_in-situ'!DT106</f>
        <v>3</v>
      </c>
      <c r="AF1295" s="113">
        <f>'Data_in-situ'!EN84</f>
        <v>-2.8</v>
      </c>
      <c r="AG1295" s="113">
        <f>'Data_in-situ'!EO84</f>
        <v>0.72</v>
      </c>
      <c r="AH1295" s="110">
        <f>'Data_in-situ'!EP84</f>
        <v>3</v>
      </c>
      <c r="AI1295" s="113">
        <f>'Data_in-situ'!ER84</f>
        <v>-23.33</v>
      </c>
      <c r="AJ1295" s="113">
        <f>'Data_in-situ'!ES84</f>
        <v>3.46</v>
      </c>
      <c r="AK1295" s="110">
        <f>'Data_in-situ'!ET84</f>
        <v>3</v>
      </c>
    </row>
    <row r="1296" spans="2:37" x14ac:dyDescent="0.3">
      <c r="T1296" s="113">
        <f>'Data_in-situ'!DN108</f>
        <v>24</v>
      </c>
      <c r="U1296" s="113">
        <f>'Data_in-situ'!DO108</f>
        <v>26.757102939838202</v>
      </c>
      <c r="V1296" s="46">
        <f>'Data_in-situ'!DP108</f>
        <v>3</v>
      </c>
      <c r="W1296" s="113">
        <f>'Data_in-situ'!DR108</f>
        <v>7.8666666666666663</v>
      </c>
      <c r="X1296" s="113">
        <f>'Data_in-situ'!DS108</f>
        <v>29.399434851097276</v>
      </c>
      <c r="Y1296" s="46">
        <f>'Data_in-situ'!DT108</f>
        <v>3</v>
      </c>
      <c r="AF1296" s="113">
        <f>'Data_in-situ'!EN86</f>
        <v>-11.68</v>
      </c>
      <c r="AG1296" s="113">
        <f>'Data_in-situ'!EO86</f>
        <v>1.82</v>
      </c>
      <c r="AH1296" s="110">
        <f>'Data_in-situ'!EP86</f>
        <v>3</v>
      </c>
      <c r="AI1296" s="113">
        <f>'Data_in-situ'!ER86</f>
        <v>-20.88</v>
      </c>
      <c r="AJ1296" s="113">
        <f>'Data_in-situ'!ES86</f>
        <v>1.28</v>
      </c>
      <c r="AK1296" s="110">
        <f>'Data_in-situ'!ET86</f>
        <v>3</v>
      </c>
    </row>
    <row r="1297" spans="20:37" x14ac:dyDescent="0.3">
      <c r="T1297" s="113">
        <f>'Data_in-situ'!DN110</f>
        <v>59.466666666666661</v>
      </c>
      <c r="U1297" s="113">
        <f>'Data_in-situ'!DO110</f>
        <v>66.298155062043534</v>
      </c>
      <c r="V1297" s="46">
        <f>'Data_in-situ'!DP110</f>
        <v>3</v>
      </c>
      <c r="W1297" s="113">
        <f>'Data_in-situ'!DR110</f>
        <v>27.333333333333329</v>
      </c>
      <c r="X1297" s="113">
        <f>'Data_in-situ'!DS110</f>
        <v>102.15057871991425</v>
      </c>
      <c r="Y1297" s="46">
        <f>'Data_in-situ'!DT110</f>
        <v>3</v>
      </c>
      <c r="AF1297" s="113">
        <f>'Data_in-situ'!EN98</f>
        <v>3.3333333333333335</v>
      </c>
      <c r="AG1297" s="113">
        <f>'Data_in-situ'!EO98</f>
        <v>1.5275252316519463</v>
      </c>
      <c r="AH1297" s="110">
        <f>'Data_in-situ'!EP98</f>
        <v>3</v>
      </c>
      <c r="AI1297" s="113">
        <f>'Data_in-situ'!ER98</f>
        <v>-18.100000000000001</v>
      </c>
      <c r="AJ1297" s="113">
        <f>'Data_in-situ'!ES98</f>
        <v>5.6</v>
      </c>
      <c r="AK1297" s="110">
        <f>'Data_in-situ'!ET98</f>
        <v>3</v>
      </c>
    </row>
    <row r="1298" spans="20:37" x14ac:dyDescent="0.3">
      <c r="T1298" s="113">
        <f>'Data_in-situ'!DN131</f>
        <v>319.22459108513186</v>
      </c>
      <c r="U1298" s="113">
        <f>'Data_in-situ'!DO131</f>
        <v>121.19295255477282</v>
      </c>
      <c r="V1298" s="46">
        <f>'Data_in-situ'!DP131</f>
        <v>18</v>
      </c>
      <c r="W1298" s="113">
        <f>'Data_in-situ'!DR131</f>
        <v>5.4661003499523613</v>
      </c>
      <c r="X1298" s="113">
        <f>'Data_in-situ'!DS131</f>
        <v>11.395301936593999</v>
      </c>
      <c r="Y1298" s="46">
        <f>'Data_in-situ'!DT131</f>
        <v>18</v>
      </c>
      <c r="AF1298" s="113">
        <f>'Data_in-situ'!EN99</f>
        <v>6.52</v>
      </c>
      <c r="AG1298" s="113">
        <f>'Data_in-situ'!EO99</f>
        <v>6.22</v>
      </c>
      <c r="AH1298" s="110">
        <f>'Data_in-situ'!EP99</f>
        <v>4</v>
      </c>
      <c r="AI1298" s="113">
        <f>'Data_in-situ'!ER99</f>
        <v>-36.47</v>
      </c>
      <c r="AJ1298" s="113">
        <f>'Data_in-situ'!ES99</f>
        <v>14.77</v>
      </c>
      <c r="AK1298" s="110">
        <f>'Data_in-situ'!ET99</f>
        <v>4</v>
      </c>
    </row>
    <row r="1299" spans="20:37" x14ac:dyDescent="0.3">
      <c r="T1299" s="113">
        <f>'Data_in-situ'!DN135</f>
        <v>106</v>
      </c>
      <c r="U1299" s="113">
        <f>'Data_in-situ'!DO135</f>
        <v>76.556645694544372</v>
      </c>
      <c r="V1299" s="46">
        <f>'Data_in-situ'!DP135</f>
        <v>3</v>
      </c>
      <c r="W1299" s="113">
        <f>'Data_in-situ'!DR135</f>
        <v>1</v>
      </c>
      <c r="X1299" s="113">
        <f>'Data_in-situ'!DS135</f>
        <v>2.0784609690826525</v>
      </c>
      <c r="Y1299" s="46">
        <f>'Data_in-situ'!DT135</f>
        <v>3</v>
      </c>
      <c r="AF1299" s="113">
        <f>'Data_in-situ'!EN104</f>
        <v>-27.34</v>
      </c>
      <c r="AG1299" s="113">
        <f>'Data_in-situ'!EO104</f>
        <v>6.04</v>
      </c>
      <c r="AH1299" s="110">
        <f>'Data_in-situ'!EP104</f>
        <v>3</v>
      </c>
      <c r="AI1299" s="113">
        <f>'Data_in-situ'!ER104</f>
        <v>-42.07</v>
      </c>
      <c r="AJ1299" s="113">
        <f>'Data_in-situ'!ES104</f>
        <v>2.04</v>
      </c>
      <c r="AK1299" s="110">
        <f>'Data_in-situ'!ET104</f>
        <v>3</v>
      </c>
    </row>
    <row r="1300" spans="20:37" x14ac:dyDescent="0.3">
      <c r="T1300" s="113">
        <f>'Data_in-situ'!DN143</f>
        <v>51</v>
      </c>
      <c r="U1300" s="113">
        <f>'Data_in-situ'!DO143</f>
        <v>61.031958841249725</v>
      </c>
      <c r="V1300" s="46">
        <f>'Data_in-situ'!DP143</f>
        <v>3</v>
      </c>
      <c r="W1300" s="113">
        <f>'Data_in-situ'!DR143</f>
        <v>1</v>
      </c>
      <c r="X1300" s="113">
        <f>'Data_in-situ'!DS143</f>
        <v>5.6920997883030831</v>
      </c>
      <c r="Y1300" s="46">
        <f>'Data_in-situ'!DT143</f>
        <v>10</v>
      </c>
      <c r="AF1300" s="113">
        <f>'Data_in-situ'!EN106</f>
        <v>-2.62</v>
      </c>
      <c r="AG1300" s="113">
        <f>'Data_in-situ'!EO106</f>
        <v>0.79</v>
      </c>
      <c r="AH1300" s="110">
        <f>'Data_in-situ'!EP106</f>
        <v>3</v>
      </c>
      <c r="AI1300" s="113">
        <f>'Data_in-situ'!ER106</f>
        <v>-21.88</v>
      </c>
      <c r="AJ1300" s="113">
        <f>'Data_in-situ'!ES106</f>
        <v>3.76</v>
      </c>
      <c r="AK1300" s="110">
        <f>'Data_in-situ'!ET106</f>
        <v>3</v>
      </c>
    </row>
    <row r="1301" spans="20:37" x14ac:dyDescent="0.3">
      <c r="T1301" s="113">
        <f>'Data_in-situ'!DN144</f>
        <v>101</v>
      </c>
      <c r="U1301" s="113">
        <f>'Data_in-situ'!DO144</f>
        <v>133.44811725910563</v>
      </c>
      <c r="V1301" s="46">
        <f>'Data_in-situ'!DP144</f>
        <v>3</v>
      </c>
      <c r="W1301" s="113">
        <f>'Data_in-situ'!DR144</f>
        <v>17</v>
      </c>
      <c r="X1301" s="113">
        <f>'Data_in-situ'!DS144</f>
        <v>24.981993515330199</v>
      </c>
      <c r="Y1301" s="46">
        <f>'Data_in-situ'!DT144</f>
        <v>10</v>
      </c>
      <c r="AF1301" s="113">
        <f>'Data_in-situ'!EN108</f>
        <v>-10.75</v>
      </c>
      <c r="AG1301" s="113">
        <f>'Data_in-situ'!EO108</f>
        <v>1.853</v>
      </c>
      <c r="AH1301" s="110">
        <f>'Data_in-situ'!EP108</f>
        <v>3</v>
      </c>
      <c r="AI1301" s="113">
        <f>'Data_in-situ'!ER108</f>
        <v>-20.14</v>
      </c>
      <c r="AJ1301" s="113">
        <f>'Data_in-situ'!ES108</f>
        <v>1.87</v>
      </c>
      <c r="AK1301" s="110">
        <f>'Data_in-situ'!ET108</f>
        <v>3</v>
      </c>
    </row>
    <row r="1302" spans="20:37" x14ac:dyDescent="0.3">
      <c r="T1302" s="113">
        <f>'Data_in-situ'!DN205</f>
        <v>1.365079365079364</v>
      </c>
      <c r="U1302" s="113">
        <f>'Data_in-situ'!DO205</f>
        <v>1.1269841269841301</v>
      </c>
      <c r="V1302" s="46">
        <f>'Data_in-situ'!DP205</f>
        <v>4</v>
      </c>
      <c r="W1302" s="113">
        <f>'Data_in-situ'!DR205</f>
        <v>-2.3809523809523801E-2</v>
      </c>
      <c r="X1302" s="113">
        <f>'Data_in-situ'!DS205</f>
        <v>4.7619047619047603E-2</v>
      </c>
      <c r="Y1302" s="46">
        <f>'Data_in-situ'!DT205</f>
        <v>4</v>
      </c>
      <c r="AF1302" s="113">
        <f>'Data_in-situ'!EN110</f>
        <v>-6.95</v>
      </c>
      <c r="AG1302" s="113">
        <f>'Data_in-situ'!EO110</f>
        <v>1.41</v>
      </c>
      <c r="AH1302" s="110">
        <f>'Data_in-situ'!EP110</f>
        <v>3</v>
      </c>
      <c r="AI1302" s="113">
        <f>'Data_in-situ'!ER110</f>
        <v>-21.5</v>
      </c>
      <c r="AJ1302" s="113">
        <f>'Data_in-situ'!ES110</f>
        <v>1.76</v>
      </c>
      <c r="AK1302" s="110">
        <f>'Data_in-situ'!ET110</f>
        <v>3</v>
      </c>
    </row>
    <row r="1303" spans="20:37" x14ac:dyDescent="0.3">
      <c r="T1303" s="113">
        <f>'Data_in-situ'!DN207</f>
        <v>-3.4702280090943463</v>
      </c>
      <c r="U1303" s="113">
        <f>'Data_in-situ'!DO207</f>
        <v>1.9645331933110226</v>
      </c>
      <c r="V1303" s="46">
        <f>'Data_in-situ'!DP207</f>
        <v>10</v>
      </c>
      <c r="W1303" s="113">
        <f>'Data_in-situ'!DR207</f>
        <v>5.0366149276059726</v>
      </c>
      <c r="X1303" s="113">
        <f>'Data_in-situ'!DS207</f>
        <v>17.873807602780403</v>
      </c>
      <c r="Y1303" s="46">
        <f>'Data_in-situ'!DT207</f>
        <v>10</v>
      </c>
      <c r="AF1303" s="113">
        <f>'Data_in-situ'!EN131</f>
        <v>-12.04</v>
      </c>
      <c r="AG1303" s="113">
        <f>'Data_in-situ'!EO131</f>
        <v>4.9062566409655712</v>
      </c>
      <c r="AH1303" s="110">
        <f>'Data_in-situ'!EP131</f>
        <v>18</v>
      </c>
      <c r="AI1303" s="113">
        <f>'Data_in-situ'!ER131</f>
        <v>-24.07</v>
      </c>
      <c r="AJ1303" s="113">
        <f>'Data_in-situ'!ES131</f>
        <v>5.459414267966304</v>
      </c>
      <c r="AK1303" s="110">
        <f>'Data_in-situ'!ET131</f>
        <v>18</v>
      </c>
    </row>
    <row r="1304" spans="20:37" x14ac:dyDescent="0.3">
      <c r="T1304" s="113">
        <f>'Data_in-situ'!DN209</f>
        <v>-5.2053420136415198</v>
      </c>
      <c r="U1304" s="113">
        <f>'Data_in-situ'!DO209</f>
        <v>2.2181869265634826</v>
      </c>
      <c r="V1304" s="46">
        <f>'Data_in-situ'!DP209</f>
        <v>4</v>
      </c>
      <c r="W1304" s="113">
        <f>'Data_in-situ'!DR209</f>
        <v>-1.2591537319014932</v>
      </c>
      <c r="X1304" s="113">
        <f>'Data_in-situ'!DS209</f>
        <v>2.6242999817463004</v>
      </c>
      <c r="Y1304" s="46">
        <f>'Data_in-situ'!DT209</f>
        <v>4</v>
      </c>
      <c r="AF1304" s="113">
        <f>'Data_in-situ'!EN135</f>
        <v>-6.8927332639611532</v>
      </c>
      <c r="AG1304" s="113">
        <f>'Data_in-situ'!EO135</f>
        <v>1.3328157064282187</v>
      </c>
      <c r="AH1304" s="110">
        <f>'Data_in-situ'!EP135</f>
        <v>3</v>
      </c>
      <c r="AI1304" s="113">
        <f>'Data_in-situ'!ER135</f>
        <v>-25.764809902740932</v>
      </c>
      <c r="AJ1304" s="113">
        <f>'Data_in-situ'!ES135</f>
        <v>2.3806323207959159</v>
      </c>
      <c r="AK1304" s="110">
        <f>'Data_in-situ'!ET135</f>
        <v>3</v>
      </c>
    </row>
    <row r="1305" spans="20:37" x14ac:dyDescent="0.3">
      <c r="T1305" s="113">
        <f>'Data_in-situ'!DN210</f>
        <v>34.702280090943461</v>
      </c>
      <c r="U1305" s="113">
        <f>'Data_in-situ'!DO210</f>
        <v>38.688853360019664</v>
      </c>
      <c r="V1305" s="46">
        <f>'Data_in-situ'!DP210</f>
        <v>10</v>
      </c>
      <c r="W1305" s="113">
        <f>'Data_in-situ'!DR210</f>
        <v>27.701382101832849</v>
      </c>
      <c r="X1305" s="113">
        <f>'Data_in-situ'!DS210</f>
        <v>103.52605657476954</v>
      </c>
      <c r="Y1305" s="46">
        <f>'Data_in-situ'!DT210</f>
        <v>10</v>
      </c>
      <c r="AF1305" s="113">
        <f>'Data_in-situ'!EN143</f>
        <v>-0.59</v>
      </c>
      <c r="AG1305" s="113">
        <f>'Data_in-situ'!EO143</f>
        <v>1.75</v>
      </c>
      <c r="AH1305" s="110">
        <f>'Data_in-situ'!EP143</f>
        <v>4</v>
      </c>
      <c r="AI1305" s="113">
        <f>'Data_in-situ'!ER143</f>
        <v>-17.329999999999998</v>
      </c>
      <c r="AJ1305" s="113">
        <f>'Data_in-situ'!ES143</f>
        <v>1.8</v>
      </c>
      <c r="AK1305" s="110">
        <f>'Data_in-situ'!ET143</f>
        <v>4</v>
      </c>
    </row>
    <row r="1306" spans="20:37" x14ac:dyDescent="0.3">
      <c r="T1306" s="113">
        <f>'Data_in-situ'!DN221</f>
        <v>102.01732234975572</v>
      </c>
      <c r="U1306" s="113">
        <f>'Data_in-situ'!DO221</f>
        <v>83.345787424497175</v>
      </c>
      <c r="V1306" s="46">
        <f>'Data_in-situ'!DP221</f>
        <v>2</v>
      </c>
      <c r="W1306" s="113">
        <f>'Data_in-situ'!DR221</f>
        <v>0.61419354838709672</v>
      </c>
      <c r="X1306" s="113">
        <f>'Data_in-situ'!DS221</f>
        <v>11.86963649409887</v>
      </c>
      <c r="Y1306" s="46">
        <f>'Data_in-situ'!DT221</f>
        <v>6</v>
      </c>
      <c r="AF1306" s="113">
        <f>'Data_in-situ'!EN144</f>
        <v>-2.0499999999999998</v>
      </c>
      <c r="AG1306" s="113">
        <f>'Data_in-situ'!EO144</f>
        <v>1.38</v>
      </c>
      <c r="AH1306" s="110">
        <f>'Data_in-situ'!EP144</f>
        <v>4</v>
      </c>
      <c r="AI1306" s="113">
        <f>'Data_in-situ'!ER144</f>
        <v>-21.37</v>
      </c>
      <c r="AJ1306" s="113">
        <f>'Data_in-situ'!ES144</f>
        <v>1.45</v>
      </c>
      <c r="AK1306" s="110">
        <f>'Data_in-situ'!ET144</f>
        <v>4</v>
      </c>
    </row>
    <row r="1307" spans="20:37" x14ac:dyDescent="0.3">
      <c r="T1307" s="113">
        <f>'Data_in-situ'!DN316</f>
        <v>93.1</v>
      </c>
      <c r="U1307" s="113">
        <f>'Data_in-situ'!DO316</f>
        <v>103.79526182078902</v>
      </c>
      <c r="V1307" s="46">
        <f>'Data_in-situ'!DP316</f>
        <v>18</v>
      </c>
      <c r="W1307" s="113">
        <f>'Data_in-situ'!DR316</f>
        <v>32.799999999999997</v>
      </c>
      <c r="X1307" s="113">
        <f>'Data_in-situ'!DS316</f>
        <v>122.58069446389712</v>
      </c>
      <c r="Y1307" s="46">
        <f>'Data_in-situ'!DT316</f>
        <v>18</v>
      </c>
      <c r="AF1307" s="113">
        <f>'Data_in-situ'!EN205</f>
        <v>-10</v>
      </c>
      <c r="AG1307" s="113">
        <f>'Data_in-situ'!EO205</f>
        <v>23</v>
      </c>
      <c r="AH1307" s="110">
        <f>'Data_in-situ'!EP205</f>
        <v>4</v>
      </c>
      <c r="AI1307" s="113">
        <f>'Data_in-situ'!ER205</f>
        <v>-56</v>
      </c>
      <c r="AJ1307" s="113">
        <f>'Data_in-situ'!ES205</f>
        <v>34</v>
      </c>
      <c r="AK1307" s="110">
        <f>'Data_in-situ'!ET205</f>
        <v>4</v>
      </c>
    </row>
    <row r="1308" spans="20:37" x14ac:dyDescent="0.3">
      <c r="T1308" s="113">
        <f>'Data_in-situ'!DN318</f>
        <v>57.9</v>
      </c>
      <c r="U1308" s="113">
        <f>'Data_in-situ'!DO318</f>
        <v>64.551510842359662</v>
      </c>
      <c r="V1308" s="46">
        <f>'Data_in-situ'!DP318</f>
        <v>18</v>
      </c>
      <c r="W1308" s="113">
        <f>'Data_in-situ'!DR318</f>
        <v>31.7</v>
      </c>
      <c r="X1308" s="113">
        <f>'Data_in-situ'!DS318</f>
        <v>118.46975653980302</v>
      </c>
      <c r="Y1308" s="46">
        <f>'Data_in-situ'!DT318</f>
        <v>18</v>
      </c>
      <c r="AF1308" s="113">
        <f>'Data_in-situ'!EN207</f>
        <v>-19</v>
      </c>
      <c r="AG1308" s="113">
        <f>'Data_in-situ'!EO207</f>
        <v>4</v>
      </c>
      <c r="AH1308" s="110">
        <f>'Data_in-situ'!EP207</f>
        <v>10</v>
      </c>
      <c r="AI1308" s="113">
        <f>'Data_in-situ'!ER207</f>
        <v>-17</v>
      </c>
      <c r="AJ1308" s="113">
        <f>'Data_in-situ'!ES207</f>
        <v>7</v>
      </c>
      <c r="AK1308" s="110">
        <f>'Data_in-situ'!ET207</f>
        <v>10</v>
      </c>
    </row>
    <row r="1309" spans="20:37" x14ac:dyDescent="0.3">
      <c r="T1309" s="113">
        <f>'Data_in-situ'!DN320</f>
        <v>78.099999999999994</v>
      </c>
      <c r="U1309" s="113">
        <f>'Data_in-situ'!DO320</f>
        <v>87.072072483390144</v>
      </c>
      <c r="V1309" s="46">
        <f>'Data_in-situ'!DP320</f>
        <v>17</v>
      </c>
      <c r="W1309" s="113">
        <f>'Data_in-situ'!DR320</f>
        <v>34.9</v>
      </c>
      <c r="X1309" s="113">
        <f>'Data_in-situ'!DS320</f>
        <v>130.42884868262223</v>
      </c>
      <c r="Y1309" s="46">
        <f>'Data_in-situ'!DT320</f>
        <v>18</v>
      </c>
      <c r="AF1309" s="113">
        <f>'Data_in-situ'!EN209</f>
        <v>-19</v>
      </c>
      <c r="AG1309" s="113">
        <f>'Data_in-situ'!EO209</f>
        <v>4</v>
      </c>
      <c r="AH1309" s="110">
        <f>'Data_in-situ'!EP209</f>
        <v>10</v>
      </c>
      <c r="AI1309" s="113">
        <f>'Data_in-situ'!ER209</f>
        <v>-17</v>
      </c>
      <c r="AJ1309" s="113">
        <f>'Data_in-situ'!ES209</f>
        <v>7</v>
      </c>
      <c r="AK1309" s="110">
        <f>'Data_in-situ'!ET209</f>
        <v>10</v>
      </c>
    </row>
    <row r="1310" spans="20:37" x14ac:dyDescent="0.3">
      <c r="T1310" s="113">
        <f>'Data_in-situ'!DN322</f>
        <v>43.6</v>
      </c>
      <c r="U1310" s="113">
        <f>'Data_in-situ'!DO322</f>
        <v>48.608737007372731</v>
      </c>
      <c r="V1310" s="46">
        <f>'Data_in-situ'!DP322</f>
        <v>18</v>
      </c>
      <c r="W1310" s="113">
        <f>'Data_in-situ'!DR322</f>
        <v>14.1</v>
      </c>
      <c r="X1310" s="113">
        <f>'Data_in-situ'!DS322</f>
        <v>52.694749754297241</v>
      </c>
      <c r="Y1310" s="46">
        <f>'Data_in-situ'!DT322</f>
        <v>18</v>
      </c>
      <c r="AF1310" s="113">
        <f>'Data_in-situ'!EN221</f>
        <v>-16</v>
      </c>
      <c r="AG1310" s="113">
        <f>'Data_in-situ'!EO221</f>
        <v>0.7</v>
      </c>
      <c r="AH1310" s="110">
        <f>'Data_in-situ'!EP221</f>
        <v>2</v>
      </c>
      <c r="AI1310" s="113">
        <f>'Data_in-situ'!ER221</f>
        <v>-44</v>
      </c>
      <c r="AJ1310" s="113">
        <f>'Data_in-situ'!ES221</f>
        <v>14</v>
      </c>
      <c r="AK1310" s="110">
        <f>'Data_in-situ'!ET221</f>
        <v>6</v>
      </c>
    </row>
    <row r="1311" spans="20:37" x14ac:dyDescent="0.3">
      <c r="T1311" s="113">
        <f>'Data_in-situ'!DN324</f>
        <v>19.7</v>
      </c>
      <c r="U1311" s="113">
        <f>'Data_in-situ'!DO324</f>
        <v>21.963121996450521</v>
      </c>
      <c r="V1311" s="46">
        <f>'Data_in-situ'!DP324</f>
        <v>18</v>
      </c>
      <c r="W1311" s="113">
        <f>'Data_in-situ'!DR324</f>
        <v>10.7</v>
      </c>
      <c r="X1311" s="113">
        <f>'Data_in-situ'!DS324</f>
        <v>39.9882143525518</v>
      </c>
      <c r="Y1311" s="46">
        <f>'Data_in-situ'!DT324</f>
        <v>18</v>
      </c>
      <c r="AF1311" s="113">
        <f>'Data_in-situ'!EN231</f>
        <v>-11</v>
      </c>
      <c r="AG1311" s="113">
        <f>'Data_in-situ'!EO231</f>
        <v>4.4824603862642265</v>
      </c>
      <c r="AH1311" s="110">
        <f>'Data_in-situ'!EP231</f>
        <v>3</v>
      </c>
      <c r="AI1311" s="113">
        <f>'Data_in-situ'!ER231</f>
        <v>-23</v>
      </c>
      <c r="AJ1311" s="113">
        <f>'Data_in-situ'!ES231</f>
        <v>5.2167232307114659</v>
      </c>
      <c r="AK1311" s="110">
        <f>'Data_in-situ'!ET231</f>
        <v>3</v>
      </c>
    </row>
    <row r="1312" spans="20:37" x14ac:dyDescent="0.3">
      <c r="T1312" s="113">
        <f>'Data_in-situ'!DN389</f>
        <v>68</v>
      </c>
      <c r="U1312" s="113">
        <f>'Data_in-situ'!DO389</f>
        <v>56.982751846655269</v>
      </c>
      <c r="V1312" s="46">
        <f>'Data_in-situ'!DP389</f>
        <v>4</v>
      </c>
      <c r="W1312" s="113">
        <f>'Data_in-situ'!DR389</f>
        <v>15.999999999999998</v>
      </c>
      <c r="X1312" s="113">
        <f>'Data_in-situ'!DS389</f>
        <v>88.274002438097213</v>
      </c>
      <c r="Y1312" s="46">
        <f>'Data_in-situ'!DT389</f>
        <v>4</v>
      </c>
      <c r="AF1312" s="113">
        <f>'Data_in-situ'!EN232</f>
        <v>-11</v>
      </c>
      <c r="AG1312" s="113">
        <f>'Data_in-situ'!EO232</f>
        <v>4.4824603862642265</v>
      </c>
      <c r="AH1312" s="110">
        <f>'Data_in-situ'!EP232</f>
        <v>3</v>
      </c>
      <c r="AI1312" s="113">
        <f>'Data_in-situ'!ER232</f>
        <v>-23</v>
      </c>
      <c r="AJ1312" s="113">
        <f>'Data_in-situ'!ES232</f>
        <v>5.2167232307114659</v>
      </c>
      <c r="AK1312" s="110">
        <f>'Data_in-situ'!ET232</f>
        <v>3</v>
      </c>
    </row>
    <row r="1313" spans="20:37" x14ac:dyDescent="0.3">
      <c r="T1313" s="113">
        <f>'Data_in-situ'!DN390</f>
        <v>67.999999999999986</v>
      </c>
      <c r="U1313" s="113">
        <f>'Data_in-situ'!DO390</f>
        <v>56.982751846655255</v>
      </c>
      <c r="V1313" s="46">
        <f>'Data_in-situ'!DP390</f>
        <v>4</v>
      </c>
      <c r="W1313" s="113">
        <f>'Data_in-situ'!DR390</f>
        <v>40</v>
      </c>
      <c r="X1313" s="113">
        <f>'Data_in-situ'!DS390</f>
        <v>220.68500609524307</v>
      </c>
      <c r="Y1313" s="46">
        <f>'Data_in-situ'!DT390</f>
        <v>4</v>
      </c>
      <c r="AF1313" s="113">
        <f>'Data_in-situ'!EN233</f>
        <v>-15</v>
      </c>
      <c r="AG1313" s="113">
        <f>'Data_in-situ'!EO233</f>
        <v>6.1124459812694001</v>
      </c>
      <c r="AH1313" s="110">
        <f>'Data_in-situ'!EP233</f>
        <v>3</v>
      </c>
      <c r="AI1313" s="113">
        <f>'Data_in-situ'!ER233</f>
        <v>-20</v>
      </c>
      <c r="AJ1313" s="113">
        <f>'Data_in-situ'!ES233</f>
        <v>4.5362810701838834</v>
      </c>
      <c r="AK1313" s="110">
        <f>'Data_in-situ'!ET233</f>
        <v>3</v>
      </c>
    </row>
    <row r="1314" spans="20:37" x14ac:dyDescent="0.3">
      <c r="T1314" s="113">
        <f>'Data_in-situ'!DN391</f>
        <v>441.33333333333337</v>
      </c>
      <c r="U1314" s="113">
        <f>'Data_in-situ'!DO391</f>
        <v>369.82923257339007</v>
      </c>
      <c r="V1314" s="46">
        <f>'Data_in-situ'!DP391</f>
        <v>4</v>
      </c>
      <c r="W1314" s="113">
        <f>'Data_in-situ'!DR391</f>
        <v>0</v>
      </c>
      <c r="X1314" s="113">
        <f>'Data_in-situ'!DS391</f>
        <v>0</v>
      </c>
      <c r="Y1314" s="46">
        <f>'Data_in-situ'!DT391</f>
        <v>4</v>
      </c>
      <c r="AF1314" s="113">
        <f>'Data_in-situ'!EN234</f>
        <v>-15</v>
      </c>
      <c r="AG1314" s="113">
        <f>'Data_in-situ'!EO234</f>
        <v>6.1124459812694001</v>
      </c>
      <c r="AH1314" s="110">
        <f>'Data_in-situ'!EP234</f>
        <v>3</v>
      </c>
      <c r="AI1314" s="113">
        <f>'Data_in-situ'!ER234</f>
        <v>-20</v>
      </c>
      <c r="AJ1314" s="113">
        <f>'Data_in-situ'!ES234</f>
        <v>4.5362810701838834</v>
      </c>
      <c r="AK1314" s="110">
        <f>'Data_in-situ'!ET234</f>
        <v>3</v>
      </c>
    </row>
    <row r="1315" spans="20:37" x14ac:dyDescent="0.3">
      <c r="T1315" s="113">
        <f>'Data_in-situ'!DN397</f>
        <v>94.039460020768402</v>
      </c>
      <c r="U1315" s="113">
        <f>'Data_in-situ'!DO397</f>
        <v>104.84264634093746</v>
      </c>
      <c r="V1315" s="46">
        <f>'Data_in-situ'!DP397</f>
        <v>1</v>
      </c>
      <c r="W1315" s="113">
        <f>'Data_in-situ'!DR397</f>
        <v>47.85046728971961</v>
      </c>
      <c r="X1315" s="113">
        <f>'Data_in-situ'!DS397</f>
        <v>178.82754606084828</v>
      </c>
      <c r="Y1315" s="46">
        <f>'Data_in-situ'!DT397</f>
        <v>1</v>
      </c>
      <c r="AF1315" s="113">
        <f>'Data_in-situ'!EN235</f>
        <v>-12</v>
      </c>
      <c r="AG1315" s="113">
        <f>'Data_in-situ'!EO235</f>
        <v>4.8899567850155199</v>
      </c>
      <c r="AH1315" s="110">
        <f>'Data_in-situ'!EP235</f>
        <v>3</v>
      </c>
      <c r="AI1315" s="113">
        <f>'Data_in-situ'!ER235</f>
        <v>-14</v>
      </c>
      <c r="AJ1315" s="113">
        <f>'Data_in-situ'!ES235</f>
        <v>3.1753967491287183</v>
      </c>
      <c r="AK1315" s="110">
        <f>'Data_in-situ'!ET235</f>
        <v>3</v>
      </c>
    </row>
    <row r="1316" spans="20:37" x14ac:dyDescent="0.3">
      <c r="T1316" s="113">
        <f>'Data_in-situ'!DN398</f>
        <v>84.070612668743479</v>
      </c>
      <c r="U1316" s="113">
        <f>'Data_in-situ'!DO398</f>
        <v>93.728584891368115</v>
      </c>
      <c r="V1316" s="46">
        <f>'Data_in-situ'!DP398</f>
        <v>1</v>
      </c>
      <c r="W1316" s="113">
        <f>'Data_in-situ'!DR398</f>
        <v>46.853582554517196</v>
      </c>
      <c r="X1316" s="113">
        <f>'Data_in-situ'!DS398</f>
        <v>175.10197218458089</v>
      </c>
      <c r="Y1316" s="46">
        <f>'Data_in-situ'!DT398</f>
        <v>1</v>
      </c>
      <c r="AF1316" s="113">
        <f>'Data_in-situ'!EN236</f>
        <v>-12</v>
      </c>
      <c r="AG1316" s="113">
        <f>'Data_in-situ'!EO236</f>
        <v>4.8899567850155199</v>
      </c>
      <c r="AH1316" s="110">
        <f>'Data_in-situ'!EP236</f>
        <v>3</v>
      </c>
      <c r="AI1316" s="113">
        <f>'Data_in-situ'!ER236</f>
        <v>-14</v>
      </c>
      <c r="AJ1316" s="113">
        <f>'Data_in-situ'!ES236</f>
        <v>3.1753967491287183</v>
      </c>
      <c r="AK1316" s="110">
        <f>'Data_in-situ'!ET236</f>
        <v>3</v>
      </c>
    </row>
    <row r="1317" spans="20:37" x14ac:dyDescent="0.3">
      <c r="T1317" s="113">
        <f>'Data_in-situ'!DN399</f>
        <v>100.35306334371759</v>
      </c>
      <c r="U1317" s="113">
        <f>'Data_in-situ'!DO399</f>
        <v>111.88155192566481</v>
      </c>
      <c r="V1317" s="46">
        <f>'Data_in-situ'!DP399</f>
        <v>1</v>
      </c>
      <c r="W1317" s="113">
        <f>'Data_in-situ'!DR399</f>
        <v>50.176531671858797</v>
      </c>
      <c r="X1317" s="113">
        <f>'Data_in-situ'!DS399</f>
        <v>187.52055177213964</v>
      </c>
      <c r="Y1317" s="46">
        <f>'Data_in-situ'!DT399</f>
        <v>1</v>
      </c>
      <c r="AF1317" s="113">
        <f>'Data_in-situ'!EN237</f>
        <v>-22</v>
      </c>
      <c r="AG1317" s="113">
        <f>'Data_in-situ'!EO237</f>
        <v>8.964920772528453</v>
      </c>
      <c r="AH1317" s="110">
        <f>'Data_in-situ'!EP237</f>
        <v>3</v>
      </c>
      <c r="AI1317" s="113">
        <f>'Data_in-situ'!ER237</f>
        <v>-31</v>
      </c>
      <c r="AJ1317" s="113">
        <f>'Data_in-situ'!ES237</f>
        <v>7.0312356587850191</v>
      </c>
      <c r="AK1317" s="110">
        <f>'Data_in-situ'!ET237</f>
        <v>3</v>
      </c>
    </row>
    <row r="1318" spans="20:37" x14ac:dyDescent="0.3">
      <c r="T1318" s="113">
        <f>'Data_in-situ'!DN446</f>
        <v>434.70588235294116</v>
      </c>
      <c r="U1318" s="113">
        <f>'Data_in-situ'!DO446</f>
        <v>437.34858971687066</v>
      </c>
      <c r="V1318" s="46">
        <f>'Data_in-situ'!DP446</f>
        <v>5</v>
      </c>
      <c r="W1318" s="113">
        <f>'Data_in-situ'!DR446</f>
        <v>225.58823529411765</v>
      </c>
      <c r="X1318" s="113">
        <f>'Data_in-situ'!DS446</f>
        <v>225.57979890659644</v>
      </c>
      <c r="Y1318" s="46">
        <f>'Data_in-situ'!DT446</f>
        <v>5</v>
      </c>
      <c r="AF1318" s="113">
        <f>'Data_in-situ'!EN238</f>
        <v>-22</v>
      </c>
      <c r="AG1318" s="113">
        <f>'Data_in-situ'!EO238</f>
        <v>8.964920772528453</v>
      </c>
      <c r="AH1318" s="110">
        <f>'Data_in-situ'!EP238</f>
        <v>3</v>
      </c>
      <c r="AI1318" s="113">
        <f>'Data_in-situ'!ER238</f>
        <v>-31</v>
      </c>
      <c r="AJ1318" s="113">
        <f>'Data_in-situ'!ES238</f>
        <v>7.0312356587850191</v>
      </c>
      <c r="AK1318" s="110">
        <f>'Data_in-situ'!ET238</f>
        <v>3</v>
      </c>
    </row>
    <row r="1319" spans="20:37" x14ac:dyDescent="0.3">
      <c r="T1319" s="113">
        <f>'Data_in-situ'!DN454</f>
        <v>26.051392891450497</v>
      </c>
      <c r="U1319" s="113">
        <f>'Data_in-situ'!DO454</f>
        <v>12.515768654879148</v>
      </c>
      <c r="V1319" s="46">
        <f>'Data_in-situ'!DP454</f>
        <v>3</v>
      </c>
      <c r="W1319" s="113">
        <f>'Data_in-situ'!DR454</f>
        <v>-2.2790585975024058</v>
      </c>
      <c r="X1319" s="113">
        <f>'Data_in-situ'!DS454</f>
        <v>1.8593013863594432</v>
      </c>
      <c r="Y1319" s="46">
        <f>'Data_in-situ'!DT454</f>
        <v>3</v>
      </c>
      <c r="AF1319" s="113">
        <f>'Data_in-situ'!EN239</f>
        <v>-2</v>
      </c>
      <c r="AG1319" s="113">
        <f>'Data_in-situ'!EO239</f>
        <v>0.81499279750258669</v>
      </c>
      <c r="AH1319" s="110">
        <f>'Data_in-situ'!EP239</f>
        <v>3</v>
      </c>
      <c r="AI1319" s="113">
        <f>'Data_in-situ'!ER239</f>
        <v>-30</v>
      </c>
      <c r="AJ1319" s="113">
        <f>'Data_in-situ'!ES239</f>
        <v>6.8044216052758255</v>
      </c>
      <c r="AK1319" s="110">
        <f>'Data_in-situ'!ET239</f>
        <v>3</v>
      </c>
    </row>
    <row r="1320" spans="20:37" x14ac:dyDescent="0.3">
      <c r="T1320" s="113">
        <f>'Data_in-situ'!DN456</f>
        <v>118.26666666666667</v>
      </c>
      <c r="U1320" s="113">
        <f>'Data_in-situ'!DO456</f>
        <v>131.85305726464713</v>
      </c>
      <c r="V1320" s="46">
        <f>'Data_in-situ'!DP456</f>
        <v>1</v>
      </c>
      <c r="W1320" s="113">
        <f>'Data_in-situ'!DR456</f>
        <v>58</v>
      </c>
      <c r="X1320" s="113">
        <f>'Data_in-situ'!DS456</f>
        <v>216.75854508859857</v>
      </c>
      <c r="Y1320" s="46">
        <f>'Data_in-situ'!DT456</f>
        <v>1</v>
      </c>
      <c r="AF1320" s="113">
        <f>'Data_in-situ'!EN240</f>
        <v>-2</v>
      </c>
      <c r="AG1320" s="113">
        <f>'Data_in-situ'!EO240</f>
        <v>0.81499279750258669</v>
      </c>
      <c r="AH1320" s="110">
        <f>'Data_in-situ'!EP240</f>
        <v>3</v>
      </c>
      <c r="AI1320" s="113">
        <f>'Data_in-situ'!ER240</f>
        <v>-30</v>
      </c>
      <c r="AJ1320" s="113">
        <f>'Data_in-situ'!ES240</f>
        <v>6.8044216052758255</v>
      </c>
      <c r="AK1320" s="110">
        <f>'Data_in-situ'!ET240</f>
        <v>3</v>
      </c>
    </row>
    <row r="1321" spans="20:37" x14ac:dyDescent="0.3">
      <c r="T1321" s="113">
        <f>'Data_in-situ'!DN457</f>
        <v>115.06666666666666</v>
      </c>
      <c r="U1321" s="113">
        <f>'Data_in-situ'!DO457</f>
        <v>128.28544353933538</v>
      </c>
      <c r="V1321" s="46">
        <f>'Data_in-situ'!DP457</f>
        <v>1</v>
      </c>
      <c r="W1321" s="113">
        <f>'Data_in-situ'!DR457</f>
        <v>63.333333333333336</v>
      </c>
      <c r="X1321" s="113">
        <f>'Data_in-situ'!DS457</f>
        <v>236.69036532663063</v>
      </c>
      <c r="Y1321" s="46">
        <f>'Data_in-situ'!DT457</f>
        <v>1</v>
      </c>
      <c r="AF1321" s="113">
        <f>'Data_in-situ'!EN241</f>
        <v>-20</v>
      </c>
      <c r="AG1321" s="113">
        <f>'Data_in-situ'!EO241</f>
        <v>8.1499279750258662</v>
      </c>
      <c r="AH1321" s="110">
        <f>'Data_in-situ'!EP241</f>
        <v>3</v>
      </c>
      <c r="AI1321" s="113">
        <f>'Data_in-situ'!ER241</f>
        <v>-36</v>
      </c>
      <c r="AJ1321" s="113">
        <f>'Data_in-situ'!ES241</f>
        <v>8.1653059263309906</v>
      </c>
      <c r="AK1321" s="110">
        <f>'Data_in-situ'!ET241</f>
        <v>3</v>
      </c>
    </row>
    <row r="1322" spans="20:37" x14ac:dyDescent="0.3">
      <c r="T1322" s="113">
        <f>'Data_in-situ'!DN458</f>
        <v>105.2</v>
      </c>
      <c r="U1322" s="113">
        <f>'Data_in-situ'!DO458</f>
        <v>117.28530121962412</v>
      </c>
      <c r="V1322" s="46">
        <f>'Data_in-situ'!DP458</f>
        <v>1</v>
      </c>
      <c r="W1322" s="113">
        <f>'Data_in-situ'!DR458</f>
        <v>45.466666666666669</v>
      </c>
      <c r="X1322" s="113">
        <f>'Data_in-situ'!DS458</f>
        <v>169.91876752922326</v>
      </c>
      <c r="Y1322" s="46">
        <f>'Data_in-situ'!DT458</f>
        <v>1</v>
      </c>
      <c r="AF1322" s="113">
        <f>'Data_in-situ'!EN242</f>
        <v>-20</v>
      </c>
      <c r="AG1322" s="113">
        <f>'Data_in-situ'!EO242</f>
        <v>8.1499279750258662</v>
      </c>
      <c r="AH1322" s="110">
        <f>'Data_in-situ'!EP242</f>
        <v>3</v>
      </c>
      <c r="AI1322" s="113">
        <f>'Data_in-situ'!ER242</f>
        <v>-36</v>
      </c>
      <c r="AJ1322" s="113">
        <f>'Data_in-situ'!ES242</f>
        <v>8.1653059263309906</v>
      </c>
      <c r="AK1322" s="110">
        <f>'Data_in-situ'!ET242</f>
        <v>3</v>
      </c>
    </row>
    <row r="1323" spans="20:37" x14ac:dyDescent="0.3">
      <c r="T1323" s="113">
        <f>'Data_in-situ'!DN460</f>
        <v>115.06666666666666</v>
      </c>
      <c r="U1323" s="113">
        <f>'Data_in-situ'!DO460</f>
        <v>128.28544353933538</v>
      </c>
      <c r="V1323" s="46">
        <f>'Data_in-situ'!DP460</f>
        <v>1</v>
      </c>
      <c r="W1323" s="113">
        <f>'Data_in-situ'!DR460</f>
        <v>31.733333333333334</v>
      </c>
      <c r="X1323" s="113">
        <f>'Data_in-situ'!DS460</f>
        <v>118.59433041629072</v>
      </c>
      <c r="Y1323" s="46">
        <f>'Data_in-situ'!DT460</f>
        <v>1</v>
      </c>
      <c r="AF1323" s="113">
        <f>'Data_in-situ'!EN243</f>
        <v>-16</v>
      </c>
      <c r="AG1323" s="113">
        <f>'Data_in-situ'!EO243</f>
        <v>6.5199423800206935</v>
      </c>
      <c r="AH1323" s="110">
        <f>'Data_in-situ'!EP243</f>
        <v>3</v>
      </c>
      <c r="AI1323" s="113">
        <f>'Data_in-situ'!ER243</f>
        <v>-43</v>
      </c>
      <c r="AJ1323" s="113">
        <f>'Data_in-situ'!ES243</f>
        <v>9.7530043008953502</v>
      </c>
      <c r="AK1323" s="110">
        <f>'Data_in-situ'!ET243</f>
        <v>3</v>
      </c>
    </row>
    <row r="1324" spans="20:37" x14ac:dyDescent="0.3">
      <c r="T1324" s="113">
        <f>'Data_in-situ'!DN461</f>
        <v>105.2</v>
      </c>
      <c r="U1324" s="113">
        <f>'Data_in-situ'!DO461</f>
        <v>117.28530121962412</v>
      </c>
      <c r="V1324" s="46">
        <f>'Data_in-situ'!DP461</f>
        <v>1</v>
      </c>
      <c r="W1324" s="113">
        <f>'Data_in-situ'!DR461</f>
        <v>29.733333333333334</v>
      </c>
      <c r="X1324" s="113">
        <f>'Data_in-situ'!DS461</f>
        <v>111.11989782702869</v>
      </c>
      <c r="Y1324" s="46">
        <f>'Data_in-situ'!DT461</f>
        <v>1</v>
      </c>
      <c r="AF1324" s="113">
        <f>'Data_in-situ'!EN244</f>
        <v>-16</v>
      </c>
      <c r="AG1324" s="113">
        <f>'Data_in-situ'!EO244</f>
        <v>6.5199423800206935</v>
      </c>
      <c r="AH1324" s="110">
        <f>'Data_in-situ'!EP244</f>
        <v>3</v>
      </c>
      <c r="AI1324" s="113">
        <f>'Data_in-situ'!ER244</f>
        <v>-21</v>
      </c>
      <c r="AJ1324" s="113">
        <f>'Data_in-situ'!ES244</f>
        <v>4.7630951236930779</v>
      </c>
      <c r="AK1324" s="110">
        <f>'Data_in-situ'!ET244</f>
        <v>3</v>
      </c>
    </row>
    <row r="1325" spans="20:37" x14ac:dyDescent="0.3">
      <c r="AF1325" s="113">
        <f>'Data_in-situ'!EN245</f>
        <v>-16</v>
      </c>
      <c r="AG1325" s="113">
        <f>'Data_in-situ'!EO245</f>
        <v>6.5199423800206935</v>
      </c>
      <c r="AH1325" s="110">
        <f>'Data_in-situ'!EP245</f>
        <v>3</v>
      </c>
      <c r="AI1325" s="113">
        <f>'Data_in-situ'!ER245</f>
        <v>-21</v>
      </c>
      <c r="AJ1325" s="113">
        <f>'Data_in-situ'!ES245</f>
        <v>4.7630951236930779</v>
      </c>
      <c r="AK1325" s="110">
        <f>'Data_in-situ'!ET245</f>
        <v>3</v>
      </c>
    </row>
    <row r="1326" spans="20:37" x14ac:dyDescent="0.3">
      <c r="AF1326" s="113">
        <f>'Data_in-situ'!EN250</f>
        <v>-4</v>
      </c>
      <c r="AG1326" s="113">
        <f>'Data_in-situ'!EO250</f>
        <v>1.6299855950051734</v>
      </c>
      <c r="AH1326" s="110">
        <f>'Data_in-situ'!EP250</f>
        <v>3</v>
      </c>
      <c r="AI1326" s="113">
        <f>'Data_in-situ'!ER250</f>
        <v>-31</v>
      </c>
      <c r="AJ1326" s="113">
        <f>'Data_in-situ'!ES250</f>
        <v>7.0312356587850191</v>
      </c>
      <c r="AK1326" s="110">
        <f>'Data_in-situ'!ET250</f>
        <v>3</v>
      </c>
    </row>
    <row r="1327" spans="20:37" x14ac:dyDescent="0.3">
      <c r="AF1327" s="113">
        <f>'Data_in-situ'!EN251</f>
        <v>-21</v>
      </c>
      <c r="AG1327" s="113">
        <f>'Data_in-situ'!EO251</f>
        <v>8.5574243737771596</v>
      </c>
      <c r="AH1327" s="110">
        <f>'Data_in-situ'!EP251</f>
        <v>3</v>
      </c>
      <c r="AI1327" s="113">
        <f>'Data_in-situ'!ER251</f>
        <v>-38</v>
      </c>
      <c r="AJ1327" s="113">
        <f>'Data_in-situ'!ES251</f>
        <v>8.6189340333493778</v>
      </c>
      <c r="AK1327" s="110">
        <f>'Data_in-situ'!ET251</f>
        <v>3</v>
      </c>
    </row>
    <row r="1328" spans="20:37" x14ac:dyDescent="0.3">
      <c r="AF1328" s="113">
        <f>'Data_in-situ'!EN252</f>
        <v>0</v>
      </c>
      <c r="AG1328" s="113">
        <f>'Data_in-situ'!EO252</f>
        <v>0</v>
      </c>
      <c r="AH1328" s="110">
        <f>'Data_in-situ'!EP252</f>
        <v>3</v>
      </c>
      <c r="AI1328" s="113">
        <f>'Data_in-situ'!ER252</f>
        <v>-50</v>
      </c>
      <c r="AJ1328" s="113">
        <f>'Data_in-situ'!ES252</f>
        <v>11.340702675459708</v>
      </c>
      <c r="AK1328" s="110">
        <f>'Data_in-situ'!ET252</f>
        <v>3</v>
      </c>
    </row>
    <row r="1329" spans="32:37" x14ac:dyDescent="0.3">
      <c r="AF1329" s="113">
        <f>'Data_in-situ'!EN260</f>
        <v>-4</v>
      </c>
      <c r="AG1329" s="113">
        <f>'Data_in-situ'!EO260</f>
        <v>1.6299855950051734</v>
      </c>
      <c r="AH1329" s="110">
        <f>'Data_in-situ'!EP260</f>
        <v>3</v>
      </c>
      <c r="AI1329" s="113">
        <f>'Data_in-situ'!ER260</f>
        <v>-31</v>
      </c>
      <c r="AJ1329" s="113">
        <f>'Data_in-situ'!ES260</f>
        <v>7.0312356587850191</v>
      </c>
      <c r="AK1329" s="110">
        <f>'Data_in-situ'!ET260</f>
        <v>3</v>
      </c>
    </row>
    <row r="1330" spans="32:37" x14ac:dyDescent="0.3">
      <c r="AF1330" s="113">
        <f>'Data_in-situ'!EN261</f>
        <v>-21</v>
      </c>
      <c r="AG1330" s="113">
        <f>'Data_in-situ'!EO261</f>
        <v>8.5574243737771596</v>
      </c>
      <c r="AH1330" s="110">
        <f>'Data_in-situ'!EP261</f>
        <v>3</v>
      </c>
      <c r="AI1330" s="113">
        <f>'Data_in-situ'!ER261</f>
        <v>-38</v>
      </c>
      <c r="AJ1330" s="113">
        <f>'Data_in-situ'!ES261</f>
        <v>8.6189340333493778</v>
      </c>
      <c r="AK1330" s="110">
        <f>'Data_in-situ'!ET261</f>
        <v>3</v>
      </c>
    </row>
    <row r="1331" spans="32:37" x14ac:dyDescent="0.3">
      <c r="AF1331" s="113">
        <f>'Data_in-situ'!EN262</f>
        <v>0</v>
      </c>
      <c r="AG1331" s="113">
        <f>'Data_in-situ'!EO262</f>
        <v>0</v>
      </c>
      <c r="AH1331" s="110">
        <f>'Data_in-situ'!EP262</f>
        <v>3</v>
      </c>
      <c r="AI1331" s="113">
        <f>'Data_in-situ'!ER262</f>
        <v>-50</v>
      </c>
      <c r="AJ1331" s="113">
        <f>'Data_in-situ'!ES262</f>
        <v>11.340702675459708</v>
      </c>
      <c r="AK1331" s="110">
        <f>'Data_in-situ'!ET262</f>
        <v>3</v>
      </c>
    </row>
    <row r="1332" spans="32:37" x14ac:dyDescent="0.3">
      <c r="AF1332" s="113">
        <f>'Data_in-situ'!EN316</f>
        <v>-7.2</v>
      </c>
      <c r="AG1332" s="113">
        <f>'Data_in-situ'!EO316</f>
        <v>5.7</v>
      </c>
      <c r="AH1332" s="110">
        <f>'Data_in-situ'!EP316</f>
        <v>18</v>
      </c>
      <c r="AI1332" s="113">
        <f>'Data_in-situ'!ER316</f>
        <v>-22.1</v>
      </c>
      <c r="AJ1332" s="113">
        <f>'Data_in-situ'!ES316</f>
        <v>8.6</v>
      </c>
      <c r="AK1332" s="110">
        <f>'Data_in-situ'!ET316</f>
        <v>18</v>
      </c>
    </row>
    <row r="1333" spans="32:37" x14ac:dyDescent="0.3">
      <c r="AF1333" s="113">
        <f>'Data_in-situ'!EN318</f>
        <v>-10.3</v>
      </c>
      <c r="AG1333" s="113">
        <f>'Data_in-situ'!EO318</f>
        <v>8</v>
      </c>
      <c r="AH1333" s="110">
        <f>'Data_in-situ'!EP318</f>
        <v>18</v>
      </c>
      <c r="AI1333" s="113">
        <f>'Data_in-situ'!ER318</f>
        <v>-20.6</v>
      </c>
      <c r="AJ1333" s="113">
        <f>'Data_in-situ'!ES318</f>
        <v>9.6999999999999993</v>
      </c>
      <c r="AK1333" s="110">
        <f>'Data_in-situ'!ET318</f>
        <v>18</v>
      </c>
    </row>
    <row r="1334" spans="32:37" x14ac:dyDescent="0.3">
      <c r="AF1334" s="113">
        <f>'Data_in-situ'!EN320</f>
        <v>-7.1</v>
      </c>
      <c r="AG1334" s="113">
        <f>'Data_in-situ'!EO320</f>
        <v>4.7</v>
      </c>
      <c r="AH1334" s="110">
        <f>'Data_in-situ'!EP320</f>
        <v>17</v>
      </c>
      <c r="AI1334" s="113">
        <f>'Data_in-situ'!ER320</f>
        <v>-11.8</v>
      </c>
      <c r="AJ1334" s="113">
        <f>'Data_in-situ'!ES320</f>
        <v>6.6</v>
      </c>
      <c r="AK1334" s="110">
        <f>'Data_in-situ'!ET320</f>
        <v>18</v>
      </c>
    </row>
    <row r="1335" spans="32:37" x14ac:dyDescent="0.3">
      <c r="AF1335" s="113">
        <f>'Data_in-situ'!EN322</f>
        <v>-12.6</v>
      </c>
      <c r="AG1335" s="113">
        <f>'Data_in-situ'!EO322</f>
        <v>7.6</v>
      </c>
      <c r="AH1335" s="110">
        <f>'Data_in-situ'!EP322</f>
        <v>18</v>
      </c>
      <c r="AI1335" s="113">
        <f>'Data_in-situ'!ER322</f>
        <v>-18</v>
      </c>
      <c r="AJ1335" s="113">
        <f>'Data_in-situ'!ES322</f>
        <v>8.5</v>
      </c>
      <c r="AK1335" s="110">
        <f>'Data_in-situ'!ET322</f>
        <v>18</v>
      </c>
    </row>
    <row r="1336" spans="32:37" x14ac:dyDescent="0.3">
      <c r="AF1336" s="113">
        <f>'Data_in-situ'!EN324</f>
        <v>-17.100000000000001</v>
      </c>
      <c r="AG1336" s="113">
        <f>'Data_in-situ'!EO324</f>
        <v>5.2</v>
      </c>
      <c r="AH1336" s="110">
        <f>'Data_in-situ'!EP324</f>
        <v>18</v>
      </c>
      <c r="AI1336" s="113">
        <f>'Data_in-situ'!ER324</f>
        <v>-28.9</v>
      </c>
      <c r="AJ1336" s="113">
        <f>'Data_in-situ'!ES324</f>
        <v>7.5</v>
      </c>
      <c r="AK1336" s="110">
        <f>'Data_in-situ'!ET324</f>
        <v>18</v>
      </c>
    </row>
    <row r="1337" spans="32:37" x14ac:dyDescent="0.3">
      <c r="AF1337" s="113">
        <f>'Data_in-situ'!EN389</f>
        <v>-16</v>
      </c>
      <c r="AG1337" s="113">
        <f>'Data_in-situ'!EO389</f>
        <v>6.5199423800206935</v>
      </c>
      <c r="AH1337" s="110">
        <f>'Data_in-situ'!EP389</f>
        <v>4</v>
      </c>
      <c r="AI1337" s="113">
        <f>'Data_in-situ'!ER389</f>
        <v>-21</v>
      </c>
      <c r="AJ1337" s="113">
        <f>'Data_in-situ'!ES389</f>
        <v>4.7630951236930779</v>
      </c>
      <c r="AK1337" s="110">
        <f>'Data_in-situ'!ET389</f>
        <v>4</v>
      </c>
    </row>
    <row r="1338" spans="32:37" x14ac:dyDescent="0.3">
      <c r="AF1338" s="113">
        <f>'Data_in-situ'!EN390</f>
        <v>-15</v>
      </c>
      <c r="AG1338" s="113">
        <f>'Data_in-situ'!EO390</f>
        <v>6.1124459812694001</v>
      </c>
      <c r="AH1338" s="110">
        <f>'Data_in-situ'!EP390</f>
        <v>4</v>
      </c>
      <c r="AI1338" s="113">
        <f>'Data_in-situ'!ER390</f>
        <v>-20</v>
      </c>
      <c r="AJ1338" s="113">
        <f>'Data_in-situ'!ES390</f>
        <v>4.5362810701838834</v>
      </c>
      <c r="AK1338" s="110">
        <f>'Data_in-situ'!ET390</f>
        <v>4</v>
      </c>
    </row>
    <row r="1339" spans="32:37" x14ac:dyDescent="0.3">
      <c r="AF1339" s="113">
        <f>'Data_in-situ'!EN391</f>
        <v>-2</v>
      </c>
      <c r="AG1339" s="113">
        <f>'Data_in-situ'!EO391</f>
        <v>0.81499279750258669</v>
      </c>
      <c r="AH1339" s="110">
        <f>'Data_in-situ'!EP391</f>
        <v>4</v>
      </c>
      <c r="AI1339" s="113">
        <f>'Data_in-situ'!ER391</f>
        <v>-30</v>
      </c>
      <c r="AJ1339" s="113">
        <f>'Data_in-situ'!ES391</f>
        <v>6.8044216052758255</v>
      </c>
      <c r="AK1339" s="110">
        <f>'Data_in-situ'!ET391</f>
        <v>4</v>
      </c>
    </row>
    <row r="1340" spans="32:37" x14ac:dyDescent="0.3">
      <c r="AF1340" s="113">
        <f>'Data_in-situ'!EN446</f>
        <v>6</v>
      </c>
      <c r="AG1340" s="113">
        <f>'Data_in-situ'!EO446</f>
        <v>22</v>
      </c>
      <c r="AH1340" s="110">
        <f>'Data_in-situ'!EP446</f>
        <v>5</v>
      </c>
      <c r="AI1340" s="113">
        <f>'Data_in-situ'!ER446</f>
        <v>-21</v>
      </c>
      <c r="AJ1340" s="113">
        <f>'Data_in-situ'!ES446</f>
        <v>18</v>
      </c>
      <c r="AK1340" s="110">
        <f>'Data_in-situ'!ET446</f>
        <v>5</v>
      </c>
    </row>
    <row r="1341" spans="32:37" x14ac:dyDescent="0.3">
      <c r="AF1341" s="113">
        <f>'Data_in-situ'!EN453</f>
        <v>10</v>
      </c>
      <c r="AG1341" s="113">
        <f>'Data_in-situ'!EO453</f>
        <v>4.0749639875129331</v>
      </c>
      <c r="AH1341" s="110">
        <f>'Data_in-situ'!EP453</f>
        <v>1</v>
      </c>
      <c r="AI1341" s="113">
        <f>'Data_in-situ'!ER453</f>
        <v>-45</v>
      </c>
      <c r="AJ1341" s="113">
        <f>'Data_in-situ'!ES453</f>
        <v>10.206632407913737</v>
      </c>
      <c r="AK1341" s="110">
        <f>'Data_in-situ'!ET453</f>
        <v>1</v>
      </c>
    </row>
    <row r="1342" spans="32:37" x14ac:dyDescent="0.3">
      <c r="AF1342" s="113">
        <f>'Data_in-situ'!EN454</f>
        <v>-5.6149732620320822</v>
      </c>
      <c r="AG1342" s="113">
        <f>'Data_in-situ'!EO454</f>
        <v>0.89761221109140865</v>
      </c>
      <c r="AH1342" s="110">
        <f>'Data_in-situ'!EP454</f>
        <v>3</v>
      </c>
      <c r="AI1342" s="113">
        <f>'Data_in-situ'!ER454</f>
        <v>-132.2570532915361</v>
      </c>
      <c r="AJ1342" s="113">
        <f>'Data_in-situ'!ES454</f>
        <v>8.6718103212007449</v>
      </c>
      <c r="AK1342" s="110">
        <f>'Data_in-situ'!ET454</f>
        <v>3</v>
      </c>
    </row>
    <row r="1343" spans="32:37" x14ac:dyDescent="0.3">
      <c r="AF1343" s="113">
        <f>'Data_in-situ'!EN455</f>
        <v>-5.6149732620320822</v>
      </c>
      <c r="AG1343" s="113">
        <f>'Data_in-situ'!EO455</f>
        <v>0.89761221109140865</v>
      </c>
      <c r="AH1343" s="110">
        <f>'Data_in-situ'!EP455</f>
        <v>3</v>
      </c>
      <c r="AI1343" s="113">
        <f>'Data_in-situ'!ER455</f>
        <v>-65.23510971786834</v>
      </c>
      <c r="AJ1343" s="113">
        <f>'Data_in-situ'!ES455</f>
        <v>10.177520442006553</v>
      </c>
      <c r="AK1343" s="110">
        <f>'Data_in-situ'!ET455</f>
        <v>3</v>
      </c>
    </row>
    <row r="1344" spans="32:37" x14ac:dyDescent="0.3">
      <c r="AF1344" s="113">
        <f>'Data_in-situ'!EN456</f>
        <v>-7.6</v>
      </c>
      <c r="AG1344" s="113">
        <f>'Data_in-situ'!EO456</f>
        <v>3.0969726305098293</v>
      </c>
      <c r="AH1344" s="110">
        <f>'Data_in-situ'!EP456</f>
        <v>1</v>
      </c>
      <c r="AI1344" s="113">
        <f>'Data_in-situ'!ER456</f>
        <v>-20.2</v>
      </c>
      <c r="AJ1344" s="113">
        <f>'Data_in-situ'!ES456</f>
        <v>4.5816438808857223</v>
      </c>
      <c r="AK1344" s="110">
        <f>'Data_in-situ'!ET456</f>
        <v>1</v>
      </c>
    </row>
    <row r="1345" spans="1:37" x14ac:dyDescent="0.3">
      <c r="AF1345" s="113">
        <f>'Data_in-situ'!EN457</f>
        <v>-2.4</v>
      </c>
      <c r="AG1345" s="113">
        <f>'Data_in-situ'!EO457</f>
        <v>0.97799135700310402</v>
      </c>
      <c r="AH1345" s="110">
        <f>'Data_in-situ'!EP457</f>
        <v>1</v>
      </c>
      <c r="AI1345" s="113">
        <f>'Data_in-situ'!ER457</f>
        <v>-23.2</v>
      </c>
      <c r="AJ1345" s="113">
        <f>'Data_in-situ'!ES457</f>
        <v>5.2620860414133048</v>
      </c>
      <c r="AK1345" s="110">
        <f>'Data_in-situ'!ET457</f>
        <v>1</v>
      </c>
    </row>
    <row r="1346" spans="1:37" x14ac:dyDescent="0.3">
      <c r="AF1346" s="113">
        <f>'Data_in-situ'!EN458</f>
        <v>-4.8</v>
      </c>
      <c r="AG1346" s="113">
        <f>'Data_in-situ'!EO458</f>
        <v>1.955982714006208</v>
      </c>
      <c r="AH1346" s="110">
        <f>'Data_in-situ'!EP458</f>
        <v>1</v>
      </c>
      <c r="AI1346" s="113">
        <f>'Data_in-situ'!ER458</f>
        <v>-19</v>
      </c>
      <c r="AJ1346" s="113">
        <f>'Data_in-situ'!ES458</f>
        <v>4.3094670166746889</v>
      </c>
      <c r="AK1346" s="110">
        <f>'Data_in-situ'!ET458</f>
        <v>1</v>
      </c>
    </row>
    <row r="1347" spans="1:37" x14ac:dyDescent="0.3">
      <c r="AF1347" s="113">
        <f>'Data_in-situ'!EN460</f>
        <v>-2.4</v>
      </c>
      <c r="AG1347" s="113">
        <f>'Data_in-situ'!EO460</f>
        <v>0.97799135700310402</v>
      </c>
      <c r="AH1347" s="110">
        <f>'Data_in-situ'!EP460</f>
        <v>1</v>
      </c>
      <c r="AI1347" s="113">
        <f>'Data_in-situ'!ER460</f>
        <v>-61.5</v>
      </c>
      <c r="AJ1347" s="113">
        <f>'Data_in-situ'!ES460</f>
        <v>13.949064290815441</v>
      </c>
      <c r="AK1347" s="110">
        <f>'Data_in-situ'!ET460</f>
        <v>1</v>
      </c>
    </row>
    <row r="1348" spans="1:37" x14ac:dyDescent="0.3">
      <c r="AF1348" s="113">
        <f>'Data_in-situ'!EN461</f>
        <v>-4.8</v>
      </c>
      <c r="AG1348" s="113">
        <f>'Data_in-situ'!EO461</f>
        <v>1.955982714006208</v>
      </c>
      <c r="AH1348" s="110">
        <f>'Data_in-situ'!EP461</f>
        <v>1</v>
      </c>
      <c r="AI1348" s="113">
        <f>'Data_in-situ'!ER461</f>
        <v>-58.5</v>
      </c>
      <c r="AJ1348" s="113">
        <f>'Data_in-situ'!ES461</f>
        <v>13.268622130287859</v>
      </c>
      <c r="AK1348" s="110">
        <f>'Data_in-situ'!ET461</f>
        <v>1</v>
      </c>
    </row>
    <row r="1350" spans="1:37" x14ac:dyDescent="0.3">
      <c r="A1350" s="110" t="s">
        <v>831</v>
      </c>
      <c r="B1350" s="24">
        <f>AVERAGEA(B1264:B1348)</f>
        <v>-34426.574925731351</v>
      </c>
      <c r="C1350" s="24">
        <f>STDEVA(B1264:B1348)/SQRT(COUNT(B1264:B1348))</f>
        <v>11647.212631014168</v>
      </c>
      <c r="D1350" s="46">
        <f>COUNT(B1264:B1348)</f>
        <v>22</v>
      </c>
      <c r="E1350" s="24">
        <f>AVERAGEA(E1264:E1348)</f>
        <v>-35504.028400159827</v>
      </c>
      <c r="F1350" s="24">
        <f>STDEVA(E1264:E1348)/SQRT(COUNT(E1264:E1348))</f>
        <v>12447.231899559229</v>
      </c>
      <c r="G1350" s="46">
        <f>COUNT(E1264:E1348)</f>
        <v>22</v>
      </c>
      <c r="H1350" s="24">
        <f>AVERAGEA(H1264:H1348)</f>
        <v>27347.538367651101</v>
      </c>
      <c r="I1350" s="24">
        <f>STDEVA(H1264:H1348)/SQRT(COUNT(H1264:H1348))</f>
        <v>8148.5970235132245</v>
      </c>
      <c r="J1350" s="110">
        <f>COUNT(H1264:H1348)</f>
        <v>22</v>
      </c>
      <c r="K1350" s="24">
        <f>AVERAGEA(K1264:K1348)</f>
        <v>38761.457642777423</v>
      </c>
      <c r="L1350" s="24">
        <f>STDEVA(K1264:K1348)/SQRT(COUNT(K1264:K1348))</f>
        <v>9751.8677968155425</v>
      </c>
      <c r="M1350" s="110">
        <f>COUNT(K1264:K1348)</f>
        <v>22</v>
      </c>
      <c r="N1350" s="24">
        <f>AVERAGEA(N1264:N1348)</f>
        <v>-5797.0152318006358</v>
      </c>
      <c r="O1350" s="24">
        <f>STDEVA(N1264:N1348)/SQRT(COUNT(N1264:N1348))</f>
        <v>4666.4413255556747</v>
      </c>
      <c r="P1350" s="110">
        <f>COUNT(N1264:N1348)</f>
        <v>28</v>
      </c>
      <c r="Q1350" s="24">
        <f>AVERAGEA(Q1264:Q1348)</f>
        <v>2299.4555290355993</v>
      </c>
      <c r="R1350" s="24">
        <f>STDEVA(Q1264:Q1348)/SQRT(COUNT(Q1264:Q1348))</f>
        <v>3459.2455124501039</v>
      </c>
      <c r="S1350" s="110">
        <f>COUNT(Q1264:Q1348)</f>
        <v>28</v>
      </c>
      <c r="T1350" s="113">
        <f>AVERAGEA(T1264:T1348)</f>
        <v>90.857682938219256</v>
      </c>
      <c r="U1350" s="113">
        <f>STDEVA(T1264:T1348)/SQRT(COUNT(T1264:T1348))</f>
        <v>13.087683922947006</v>
      </c>
      <c r="V1350" s="110">
        <f>COUNT(T1264:T1348)</f>
        <v>61</v>
      </c>
      <c r="W1350" s="113">
        <f>AVERAGEA(W1264:W1348)</f>
        <v>16.469548112256149</v>
      </c>
      <c r="X1350" s="113">
        <f>STDEVA(W1264:W1348)/SQRT(COUNT(W1264:W1348))</f>
        <v>4.1688667311269763</v>
      </c>
      <c r="Y1350" s="110">
        <f>COUNT(W1264:W1348)</f>
        <v>61</v>
      </c>
      <c r="Z1350" s="113">
        <f>AVERAGEA(Z1264:Z1348)</f>
        <v>0.22742759867283746</v>
      </c>
      <c r="AA1350" s="113">
        <f>STDEVA(Z1264:Z1348)/SQRT(COUNT(Z1264:Z1348))</f>
        <v>9.1548359287202188E-2</v>
      </c>
      <c r="AB1350" s="110">
        <f>COUNT(Z1264:Z1348)</f>
        <v>21</v>
      </c>
      <c r="AC1350" s="113">
        <f>AVERAGEA(AC1264:AC1348)</f>
        <v>2.9382580803353275</v>
      </c>
      <c r="AD1350" s="113">
        <f>STDEVA(AC1264:AC1348)/SQRT(COUNT(AC1264:AC1348))</f>
        <v>1.2255013453052392</v>
      </c>
      <c r="AE1350" s="110">
        <f>COUNT(AC1264:AC1348)</f>
        <v>21</v>
      </c>
      <c r="AF1350" s="113">
        <f>AVERAGEA(AF1264:AF1348)</f>
        <v>-19.83558054652578</v>
      </c>
      <c r="AG1350" s="113">
        <f>STDEVA(AF1264:AF1348)/SQRT(COUNT(AF1264:AF1348))</f>
        <v>1.9024109511774052</v>
      </c>
      <c r="AH1350" s="110">
        <f>COUNT(AF1264:AF1348)</f>
        <v>85</v>
      </c>
      <c r="AI1350" s="113">
        <f>AVERAGEA(AI1264:AI1348)</f>
        <v>-56.088202224230983</v>
      </c>
      <c r="AJ1350" s="113">
        <f>STDEVA(AI1264:AI1348)/SQRT(COUNT(AI1264:AI1348))</f>
        <v>4.520286247152729</v>
      </c>
      <c r="AK1350" s="110">
        <f>COUNT(AI1264:AI1348)</f>
        <v>85</v>
      </c>
    </row>
    <row r="1352" spans="1:37" x14ac:dyDescent="0.3">
      <c r="A1352" s="110" t="s">
        <v>845</v>
      </c>
      <c r="B1352" s="24">
        <f>'Data_in-situ'!CA129</f>
        <v>-30804.409295502097</v>
      </c>
      <c r="C1352" s="24">
        <f>'Data_in-situ'!CB129</f>
        <v>7508.6897887327168</v>
      </c>
      <c r="D1352" s="46">
        <f>'Data_in-situ'!CC129</f>
        <v>48</v>
      </c>
      <c r="E1352" s="24">
        <f>'Data_in-situ'!CE129</f>
        <v>-22424.619825270362</v>
      </c>
      <c r="F1352" s="24">
        <f>'Data_in-situ'!CF129</f>
        <v>7078.0868325420652</v>
      </c>
      <c r="G1352" s="46">
        <f>'Data_in-situ'!CG129</f>
        <v>48</v>
      </c>
      <c r="H1352" s="24">
        <f>'Data_in-situ'!CN129</f>
        <v>25786.496613792402</v>
      </c>
      <c r="I1352" s="24">
        <f>'Data_in-situ'!CO129</f>
        <v>7450.7457504082913</v>
      </c>
      <c r="J1352" s="46">
        <f>'Data_in-situ'!CP129</f>
        <v>48</v>
      </c>
      <c r="K1352" s="24">
        <f>'Data_in-situ'!CR129</f>
        <v>34101.631064272638</v>
      </c>
      <c r="L1352" s="24">
        <f>'Data_in-situ'!CS129</f>
        <v>6764.0540443406962</v>
      </c>
      <c r="M1352" s="46">
        <f>'Data_in-situ'!CT129</f>
        <v>48</v>
      </c>
      <c r="N1352" s="24">
        <f>'Data_in-situ'!DA32</f>
        <v>8950.3333333333303</v>
      </c>
      <c r="O1352" s="24">
        <f>'Data_in-situ'!DB32</f>
        <v>4633.1130043536723</v>
      </c>
      <c r="P1352" s="46">
        <f>'Data_in-situ'!DC32</f>
        <v>6</v>
      </c>
      <c r="Q1352" s="24">
        <f>'Data_in-situ'!DE32</f>
        <v>19004.333333333336</v>
      </c>
      <c r="R1352" s="24">
        <f>'Data_in-situ'!DF32</f>
        <v>11808.648436162748</v>
      </c>
      <c r="S1352" s="46">
        <f>'Data_in-situ'!DG32</f>
        <v>6</v>
      </c>
      <c r="T1352" s="113">
        <f>'Data_in-situ'!DN14</f>
        <v>1212.2979432249506</v>
      </c>
      <c r="U1352" s="113">
        <f>'Data_in-situ'!DO14</f>
        <v>324.6860048502561</v>
      </c>
      <c r="V1352" s="46">
        <f>'Data_in-situ'!DP14</f>
        <v>9</v>
      </c>
      <c r="W1352" s="113">
        <f>'Data_in-situ'!DR14</f>
        <v>4.8030530526021593</v>
      </c>
      <c r="X1352" s="113">
        <f>'Data_in-situ'!DS14</f>
        <v>10.100613157809143</v>
      </c>
      <c r="Y1352" s="46">
        <f>'Data_in-situ'!DT14</f>
        <v>9</v>
      </c>
      <c r="Z1352" s="113">
        <f>'Data_in-situ'!EA85</f>
        <v>2.8688999999999999E-2</v>
      </c>
      <c r="AA1352" s="113">
        <f>'Data_in-situ'!EB85</f>
        <v>4.7267500000000004E-2</v>
      </c>
      <c r="AB1352" s="46">
        <f>'Data_in-situ'!EC85</f>
        <v>3</v>
      </c>
      <c r="AC1352" s="113">
        <f>'Data_in-situ'!EE85</f>
        <v>0.80300000000000005</v>
      </c>
      <c r="AD1352" s="113">
        <f>'Data_in-situ'!EF85</f>
        <v>0.225132</v>
      </c>
      <c r="AE1352" s="46">
        <f>'Data_in-situ'!EG85</f>
        <v>3</v>
      </c>
      <c r="AF1352" s="113">
        <f>'Data_in-situ'!EN14</f>
        <v>11.41</v>
      </c>
      <c r="AG1352" s="113">
        <f>'Data_in-situ'!EO14</f>
        <v>3.1216542489519883</v>
      </c>
      <c r="AH1352" s="110">
        <f>'Data_in-situ'!EP14</f>
        <v>4</v>
      </c>
      <c r="AI1352" s="113">
        <f>'Data_in-situ'!ER14</f>
        <v>-91.8</v>
      </c>
      <c r="AJ1352" s="113">
        <f>'Data_in-situ'!ES14</f>
        <v>9.6999999999999993</v>
      </c>
      <c r="AK1352" s="110">
        <f>'Data_in-situ'!ET14</f>
        <v>4</v>
      </c>
    </row>
    <row r="1353" spans="1:37" x14ac:dyDescent="0.3">
      <c r="B1353" s="24">
        <f>'Data_in-situ'!CA133</f>
        <v>-16584.165556391476</v>
      </c>
      <c r="C1353" s="24">
        <f>'Data_in-situ'!CB133</f>
        <v>3505.6021221629076</v>
      </c>
      <c r="D1353" s="46">
        <f>'Data_in-situ'!CC133</f>
        <v>57</v>
      </c>
      <c r="E1353" s="24">
        <f>'Data_in-situ'!CE133</f>
        <v>-16893.314446670054</v>
      </c>
      <c r="F1353" s="24">
        <f>'Data_in-situ'!CF133</f>
        <v>9325.4215781383391</v>
      </c>
      <c r="G1353" s="46">
        <f>'Data_in-situ'!CG133</f>
        <v>57</v>
      </c>
      <c r="H1353" s="24">
        <f>'Data_in-situ'!CN133</f>
        <v>12315.894090129594</v>
      </c>
      <c r="I1353" s="24">
        <f>'Data_in-situ'!CO133</f>
        <v>3346.1883831600085</v>
      </c>
      <c r="J1353" s="46">
        <f>'Data_in-situ'!CP133</f>
        <v>57</v>
      </c>
      <c r="K1353" s="24">
        <f>'Data_in-situ'!CR133</f>
        <v>11148.593839338751</v>
      </c>
      <c r="L1353" s="24">
        <f>'Data_in-situ'!CS133</f>
        <v>2042.0451589318177</v>
      </c>
      <c r="M1353" s="46">
        <f>'Data_in-situ'!CT133</f>
        <v>57</v>
      </c>
      <c r="N1353" s="24">
        <f>'Data_in-situ'!DA129</f>
        <v>-5017.9126817096931</v>
      </c>
      <c r="O1353" s="24">
        <f>'Data_in-situ'!DB129</f>
        <v>931.02637244697166</v>
      </c>
      <c r="P1353" s="46">
        <f>'Data_in-situ'!DC129</f>
        <v>48</v>
      </c>
      <c r="Q1353" s="24">
        <f>'Data_in-situ'!DE129</f>
        <v>11677.011239002279</v>
      </c>
      <c r="R1353" s="24">
        <f>'Data_in-situ'!DF129</f>
        <v>2084.9187260523231</v>
      </c>
      <c r="S1353" s="46">
        <f>'Data_in-situ'!DG129</f>
        <v>48</v>
      </c>
      <c r="T1353" s="113">
        <f>'Data_in-situ'!DN15</f>
        <v>2106.5008889916066</v>
      </c>
      <c r="U1353" s="113">
        <f>'Data_in-situ'!DO15</f>
        <v>550.27007995085796</v>
      </c>
      <c r="V1353" s="46">
        <f>'Data_in-situ'!DP15</f>
        <v>12</v>
      </c>
      <c r="W1353" s="113">
        <f>'Data_in-situ'!DR15</f>
        <v>-0.36946561943093542</v>
      </c>
      <c r="X1353" s="113">
        <f>'Data_in-situ'!DS15</f>
        <v>0.8584618328302922</v>
      </c>
      <c r="Y1353" s="46">
        <f>'Data_in-situ'!DT15</f>
        <v>12</v>
      </c>
      <c r="Z1353" s="113">
        <f>'Data_in-situ'!EA87</f>
        <v>7.3730000000000004E-2</v>
      </c>
      <c r="AA1353" s="113">
        <f>'Data_in-situ'!EB87</f>
        <v>3.5076500000000004E-2</v>
      </c>
      <c r="AB1353" s="46">
        <f>'Data_in-situ'!EC87</f>
        <v>3</v>
      </c>
      <c r="AC1353" s="113">
        <f>'Data_in-situ'!EE87</f>
        <v>8.0263499999999988E-2</v>
      </c>
      <c r="AD1353" s="113">
        <f>'Data_in-situ'!EF87</f>
        <v>2.8396999999999999E-2</v>
      </c>
      <c r="AE1353" s="46">
        <f>'Data_in-situ'!EG87</f>
        <v>3</v>
      </c>
      <c r="AF1353" s="113">
        <f>'Data_in-situ'!EN15</f>
        <v>5.6550000000000002</v>
      </c>
      <c r="AG1353" s="113">
        <f>'Data_in-situ'!EO15</f>
        <v>3.8089383363346805</v>
      </c>
      <c r="AH1353" s="110">
        <f>'Data_in-situ'!EP15</f>
        <v>4</v>
      </c>
      <c r="AI1353" s="113">
        <f>'Data_in-situ'!ER15</f>
        <v>-105</v>
      </c>
      <c r="AJ1353" s="113">
        <f>'Data_in-situ'!ES15</f>
        <v>8.1</v>
      </c>
      <c r="AK1353" s="110">
        <f>'Data_in-situ'!ET15</f>
        <v>4</v>
      </c>
    </row>
    <row r="1354" spans="1:37" x14ac:dyDescent="0.3">
      <c r="B1354" s="24">
        <f>'Data_in-situ'!CA354</f>
        <v>-5163.6593652646679</v>
      </c>
      <c r="C1354" s="24">
        <f>'Data_in-situ'!CB354</f>
        <v>1258.9541681504393</v>
      </c>
      <c r="D1354" s="46">
        <f>'Data_in-situ'!CC354</f>
        <v>3</v>
      </c>
      <c r="E1354" s="24">
        <f>'Data_in-situ'!CE354</f>
        <v>-11281.753283847371</v>
      </c>
      <c r="F1354" s="24">
        <f>'Data_in-situ'!CF354</f>
        <v>4199.848101278134</v>
      </c>
      <c r="G1354" s="46">
        <f>'Data_in-situ'!CG354</f>
        <v>3</v>
      </c>
      <c r="H1354" s="24">
        <f>'Data_in-situ'!CN354</f>
        <v>3223.0754152425534</v>
      </c>
      <c r="I1354" s="24">
        <f>'Data_in-situ'!CO354</f>
        <v>927.04451000195218</v>
      </c>
      <c r="J1354" s="46">
        <f>'Data_in-situ'!CP354</f>
        <v>3</v>
      </c>
      <c r="K1354" s="24">
        <f>'Data_in-situ'!CR354</f>
        <v>10128.851360772116</v>
      </c>
      <c r="L1354" s="24">
        <f>'Data_in-situ'!CS354</f>
        <v>2657.7211591793016</v>
      </c>
      <c r="M1354" s="46">
        <f>'Data_in-situ'!CT354</f>
        <v>3</v>
      </c>
      <c r="N1354" s="24">
        <f>'Data_in-situ'!DA133</f>
        <v>-4268.271466261881</v>
      </c>
      <c r="O1354" s="24">
        <f>'Data_in-situ'!DB133</f>
        <v>1045.11699982255</v>
      </c>
      <c r="P1354" s="46">
        <f>'Data_in-situ'!DC133</f>
        <v>57</v>
      </c>
      <c r="Q1354" s="24">
        <f>'Data_in-situ'!DE133</f>
        <v>-5744.7206073313027</v>
      </c>
      <c r="R1354" s="24">
        <f>'Data_in-situ'!DF133</f>
        <v>9099.0955143295014</v>
      </c>
      <c r="S1354" s="46">
        <f>'Data_in-situ'!DG133</f>
        <v>57</v>
      </c>
      <c r="T1354" s="113">
        <f>'Data_in-situ'!DN32</f>
        <v>88</v>
      </c>
      <c r="U1354" s="113">
        <f>'Data_in-situ'!DO32</f>
        <v>60.472215842392352</v>
      </c>
      <c r="V1354" s="46">
        <f>'Data_in-situ'!DP32</f>
        <v>6</v>
      </c>
      <c r="W1354" s="113">
        <f>'Data_in-situ'!DR32</f>
        <v>-2</v>
      </c>
      <c r="X1354" s="113">
        <f>'Data_in-situ'!DS32</f>
        <v>5.9628479399994392</v>
      </c>
      <c r="Y1354" s="46">
        <f>'Data_in-situ'!DT32</f>
        <v>6</v>
      </c>
      <c r="Z1354" s="113">
        <f>'Data_in-situ'!EA91</f>
        <v>1.5714285714285715E-2</v>
      </c>
      <c r="AA1354" s="113">
        <f>'Data_in-situ'!EB91</f>
        <v>9.0356781150237736E-2</v>
      </c>
      <c r="AB1354" s="46">
        <f>'Data_in-situ'!EC91</f>
        <v>3</v>
      </c>
      <c r="AC1354" s="113">
        <f>'Data_in-situ'!EE91</f>
        <v>1.0214285714285716</v>
      </c>
      <c r="AD1354" s="113">
        <f>'Data_in-situ'!EF91</f>
        <v>1.5251352255609132</v>
      </c>
      <c r="AE1354" s="46">
        <f>'Data_in-situ'!EG91</f>
        <v>3</v>
      </c>
      <c r="AF1354" s="113">
        <f>'Data_in-situ'!EN32</f>
        <v>-15.3</v>
      </c>
      <c r="AG1354" s="113">
        <f>'Data_in-situ'!EO32</f>
        <v>3.2</v>
      </c>
      <c r="AH1354" s="110">
        <f>'Data_in-situ'!EP32</f>
        <v>6</v>
      </c>
      <c r="AI1354" s="113">
        <f>'Data_in-situ'!ER32</f>
        <v>-47.7</v>
      </c>
      <c r="AJ1354" s="113">
        <f>'Data_in-situ'!ES32</f>
        <v>6.2</v>
      </c>
      <c r="AK1354" s="110">
        <f>'Data_in-situ'!ET32</f>
        <v>6</v>
      </c>
    </row>
    <row r="1355" spans="1:37" x14ac:dyDescent="0.3">
      <c r="B1355" s="24">
        <f>'Data_in-situ'!CA355</f>
        <v>-6328.9988329119469</v>
      </c>
      <c r="C1355" s="24">
        <f>'Data_in-situ'!CB355</f>
        <v>1543.0761204956746</v>
      </c>
      <c r="D1355" s="46">
        <f>'Data_in-situ'!CC355</f>
        <v>3</v>
      </c>
      <c r="E1355" s="24">
        <f>'Data_in-situ'!CE355</f>
        <v>-6508.7452571599624</v>
      </c>
      <c r="F1355" s="24">
        <f>'Data_in-situ'!CF355</f>
        <v>2423.0047158648849</v>
      </c>
      <c r="G1355" s="46">
        <f>'Data_in-situ'!CG355</f>
        <v>3</v>
      </c>
      <c r="H1355" s="24">
        <f>'Data_in-situ'!CN355</f>
        <v>5111.9658604723854</v>
      </c>
      <c r="I1355" s="24">
        <f>'Data_in-situ'!CO355</f>
        <v>1470.3409867037487</v>
      </c>
      <c r="J1355" s="46">
        <f>'Data_in-situ'!CP355</f>
        <v>3</v>
      </c>
      <c r="K1355" s="24">
        <f>'Data_in-situ'!CR355</f>
        <v>5566.4186230898367</v>
      </c>
      <c r="L1355" s="24">
        <f>'Data_in-situ'!CS355</f>
        <v>1460.579095151006</v>
      </c>
      <c r="M1355" s="46">
        <f>'Data_in-situ'!CT355</f>
        <v>3</v>
      </c>
      <c r="N1355" s="24">
        <f>'Data_in-situ'!DA136</f>
        <v>2000</v>
      </c>
      <c r="O1355" s="24">
        <f>'Data_in-situ'!DB136</f>
        <v>5999.3131173724232</v>
      </c>
      <c r="P1355" s="46">
        <f>'Data_in-situ'!DC136</f>
        <v>3</v>
      </c>
      <c r="Q1355" s="24">
        <f>'Data_in-situ'!DE136</f>
        <v>-6800</v>
      </c>
      <c r="R1355" s="24">
        <f>'Data_in-situ'!DF136</f>
        <v>6481.3710012383399</v>
      </c>
      <c r="S1355" s="46">
        <f>'Data_in-situ'!DG136</f>
        <v>3</v>
      </c>
      <c r="T1355" s="113">
        <f>'Data_in-situ'!DN81</f>
        <v>131.4</v>
      </c>
      <c r="U1355" s="113">
        <f>'Data_in-situ'!DO81</f>
        <v>146.49513859561415</v>
      </c>
      <c r="V1355" s="46">
        <f>'Data_in-situ'!DP81</f>
        <v>3</v>
      </c>
      <c r="W1355" s="113">
        <f>'Data_in-situ'!DR81</f>
        <v>38.799999999999997</v>
      </c>
      <c r="X1355" s="113">
        <f>'Data_in-situ'!DS81</f>
        <v>145.00399223168318</v>
      </c>
      <c r="Y1355" s="46">
        <f>'Data_in-situ'!DT81</f>
        <v>3</v>
      </c>
      <c r="Z1355" s="113">
        <f>'Data_in-situ'!EA92</f>
        <v>2.357142857142857E-2</v>
      </c>
      <c r="AA1355" s="113">
        <f>'Data_in-situ'!EB92</f>
        <v>0.13553517172535659</v>
      </c>
      <c r="AB1355" s="46">
        <f>'Data_in-situ'!EC92</f>
        <v>3</v>
      </c>
      <c r="AC1355" s="113">
        <f>'Data_in-situ'!EE92</f>
        <v>2.1214285714285714</v>
      </c>
      <c r="AD1355" s="113">
        <f>'Data_in-situ'!EF92</f>
        <v>3.1675885453957426</v>
      </c>
      <c r="AE1355" s="46">
        <f>'Data_in-situ'!EG92</f>
        <v>3</v>
      </c>
      <c r="AF1355" s="113">
        <f>'Data_in-situ'!EN81</f>
        <v>-9</v>
      </c>
      <c r="AG1355" s="113">
        <f>'Data_in-situ'!EO81</f>
        <v>3.6674675887616401</v>
      </c>
      <c r="AH1355" s="110">
        <f>'Data_in-situ'!EP81</f>
        <v>3</v>
      </c>
      <c r="AI1355" s="113">
        <f>'Data_in-situ'!ER81</f>
        <v>-15</v>
      </c>
      <c r="AJ1355" s="113">
        <f>'Data_in-situ'!ES81</f>
        <v>3.4022108026379128</v>
      </c>
      <c r="AK1355" s="110">
        <f>'Data_in-situ'!ET81</f>
        <v>3</v>
      </c>
    </row>
    <row r="1356" spans="1:37" x14ac:dyDescent="0.3">
      <c r="B1356" s="24">
        <f>'Data_in-situ'!CA356</f>
        <v>-6328.9988329119469</v>
      </c>
      <c r="C1356" s="24">
        <f>'Data_in-situ'!CB356</f>
        <v>1543.0761204956746</v>
      </c>
      <c r="D1356" s="46">
        <f>'Data_in-situ'!CC356</f>
        <v>3</v>
      </c>
      <c r="E1356" s="24">
        <f>'Data_in-situ'!CE356</f>
        <v>-4475.6377749118492</v>
      </c>
      <c r="F1356" s="24">
        <f>'Data_in-situ'!CF356</f>
        <v>1666.1416304755389</v>
      </c>
      <c r="G1356" s="46">
        <f>'Data_in-situ'!CG356</f>
        <v>3</v>
      </c>
      <c r="H1356" s="24">
        <f>'Data_in-situ'!CN356</f>
        <v>5111.9658604723854</v>
      </c>
      <c r="I1356" s="24">
        <f>'Data_in-situ'!CO356</f>
        <v>1470.3409867037487</v>
      </c>
      <c r="J1356" s="46">
        <f>'Data_in-situ'!CP356</f>
        <v>3</v>
      </c>
      <c r="K1356" s="24">
        <f>'Data_in-situ'!CR356</f>
        <v>5547.6173892807064</v>
      </c>
      <c r="L1356" s="24">
        <f>'Data_in-situ'!CS356</f>
        <v>1455.6458174146255</v>
      </c>
      <c r="M1356" s="46">
        <f>'Data_in-situ'!CT356</f>
        <v>3</v>
      </c>
      <c r="N1356" s="24">
        <f>'Data_in-situ'!DA137</f>
        <v>2000</v>
      </c>
      <c r="O1356" s="24">
        <f>'Data_in-situ'!DB137</f>
        <v>5999.3131173724232</v>
      </c>
      <c r="P1356" s="46">
        <f>'Data_in-situ'!DC137</f>
        <v>3</v>
      </c>
      <c r="Q1356" s="24">
        <f>'Data_in-situ'!DE137</f>
        <v>-8000</v>
      </c>
      <c r="R1356" s="24">
        <f>'Data_in-situ'!DF137</f>
        <v>7625.1423543980472</v>
      </c>
      <c r="S1356" s="46">
        <f>'Data_in-situ'!DG137</f>
        <v>3</v>
      </c>
      <c r="T1356" s="113">
        <f>'Data_in-situ'!DN82</f>
        <v>131.4</v>
      </c>
      <c r="U1356" s="113">
        <f>'Data_in-situ'!DO82</f>
        <v>146.49513859561415</v>
      </c>
      <c r="V1356" s="46">
        <f>'Data_in-situ'!DP82</f>
        <v>3</v>
      </c>
      <c r="W1356" s="113">
        <f>'Data_in-situ'!DR82</f>
        <v>1.4000000000000001</v>
      </c>
      <c r="X1356" s="113">
        <f>'Data_in-situ'!DS82</f>
        <v>5.2321028124834141</v>
      </c>
      <c r="Y1356" s="46">
        <f>'Data_in-situ'!DT82</f>
        <v>3</v>
      </c>
      <c r="Z1356" s="113">
        <f>'Data_in-situ'!EA93</f>
        <v>2.357142857142857E-2</v>
      </c>
      <c r="AA1356" s="113">
        <f>'Data_in-situ'!EB93</f>
        <v>0.13553517172535659</v>
      </c>
      <c r="AB1356" s="46">
        <f>'Data_in-situ'!EC93</f>
        <v>3</v>
      </c>
      <c r="AC1356" s="113">
        <f>'Data_in-situ'!EE93</f>
        <v>0.80142857142857149</v>
      </c>
      <c r="AD1356" s="113">
        <f>'Data_in-situ'!EF93</f>
        <v>1.1966445615939472</v>
      </c>
      <c r="AE1356" s="46">
        <f>'Data_in-situ'!EG93</f>
        <v>3</v>
      </c>
      <c r="AF1356" s="113">
        <f>'Data_in-situ'!EN82</f>
        <v>-9</v>
      </c>
      <c r="AG1356" s="113">
        <f>'Data_in-situ'!EO82</f>
        <v>3.6674675887616401</v>
      </c>
      <c r="AH1356" s="110">
        <f>'Data_in-situ'!EP82</f>
        <v>3</v>
      </c>
      <c r="AI1356" s="113">
        <f>'Data_in-situ'!ER82</f>
        <v>-21</v>
      </c>
      <c r="AJ1356" s="113">
        <f>'Data_in-situ'!ES82</f>
        <v>4.7630951236930779</v>
      </c>
      <c r="AK1356" s="110">
        <f>'Data_in-situ'!ET82</f>
        <v>3</v>
      </c>
    </row>
    <row r="1357" spans="1:37" x14ac:dyDescent="0.3">
      <c r="B1357" s="24">
        <f>'Data_in-situ'!CA357</f>
        <v>-6053.2911236122554</v>
      </c>
      <c r="C1357" s="24">
        <f>'Data_in-situ'!CB357</f>
        <v>1475.8556969044168</v>
      </c>
      <c r="D1357" s="46">
        <f>'Data_in-situ'!CC357</f>
        <v>3</v>
      </c>
      <c r="E1357" s="24">
        <f>'Data_in-situ'!CE357</f>
        <v>-11865.719502913866</v>
      </c>
      <c r="F1357" s="24">
        <f>'Data_in-situ'!CF357</f>
        <v>4417.2406780036381</v>
      </c>
      <c r="G1357" s="46">
        <f>'Data_in-situ'!CG357</f>
        <v>3</v>
      </c>
      <c r="H1357" s="24">
        <f>'Data_in-situ'!CN357</f>
        <v>4090.62426273851</v>
      </c>
      <c r="I1357" s="24">
        <f>'Data_in-situ'!CO357</f>
        <v>1176.575250867078</v>
      </c>
      <c r="J1357" s="46">
        <f>'Data_in-situ'!CP357</f>
        <v>3</v>
      </c>
      <c r="K1357" s="24">
        <f>'Data_in-situ'!CR357</f>
        <v>9751.573269002236</v>
      </c>
      <c r="L1357" s="24">
        <f>'Data_in-situ'!CS357</f>
        <v>2558.7267192692693</v>
      </c>
      <c r="M1357" s="46">
        <f>'Data_in-situ'!CT357</f>
        <v>3</v>
      </c>
      <c r="N1357" s="24">
        <f>'Data_in-situ'!DA138</f>
        <v>2000</v>
      </c>
      <c r="O1357" s="24">
        <f>'Data_in-situ'!DB138</f>
        <v>5999.3131173724232</v>
      </c>
      <c r="P1357" s="46">
        <f>'Data_in-situ'!DC138</f>
        <v>3</v>
      </c>
      <c r="Q1357" s="24">
        <f>'Data_in-situ'!DE138</f>
        <v>-8000</v>
      </c>
      <c r="R1357" s="24">
        <f>'Data_in-situ'!DF138</f>
        <v>7625.1423543980472</v>
      </c>
      <c r="S1357" s="46">
        <f>'Data_in-situ'!DG138</f>
        <v>3</v>
      </c>
      <c r="T1357" s="113">
        <f>'Data_in-situ'!DN83</f>
        <v>131.4</v>
      </c>
      <c r="U1357" s="113">
        <f>'Data_in-situ'!DO83</f>
        <v>146.49513859561415</v>
      </c>
      <c r="V1357" s="46">
        <f>'Data_in-situ'!DP83</f>
        <v>3</v>
      </c>
      <c r="W1357" s="113">
        <f>'Data_in-situ'!DR83</f>
        <v>3.6</v>
      </c>
      <c r="X1357" s="113">
        <f>'Data_in-situ'!DS83</f>
        <v>13.453978660671636</v>
      </c>
      <c r="Y1357" s="46">
        <f>'Data_in-situ'!DT83</f>
        <v>3</v>
      </c>
      <c r="Z1357" s="113">
        <f>'Data_in-situ'!EA94</f>
        <v>1.5714285714285715E-2</v>
      </c>
      <c r="AA1357" s="113">
        <f>'Data_in-situ'!EB94</f>
        <v>9.0356781150237736E-2</v>
      </c>
      <c r="AB1357" s="46">
        <f>'Data_in-situ'!EC94</f>
        <v>3</v>
      </c>
      <c r="AC1357" s="113">
        <f>'Data_in-situ'!EE94</f>
        <v>1.7285714285714286E-2</v>
      </c>
      <c r="AD1357" s="113">
        <f>'Data_in-situ'!EF94</f>
        <v>2.5809980740261605E-2</v>
      </c>
      <c r="AE1357" s="46">
        <f>'Data_in-situ'!EG94</f>
        <v>3</v>
      </c>
      <c r="AF1357" s="113">
        <f>'Data_in-situ'!EN83</f>
        <v>-9</v>
      </c>
      <c r="AG1357" s="113">
        <f>'Data_in-situ'!EO83</f>
        <v>3.6674675887616401</v>
      </c>
      <c r="AH1357" s="110">
        <f>'Data_in-situ'!EP83</f>
        <v>3</v>
      </c>
      <c r="AI1357" s="113">
        <f>'Data_in-situ'!ER83</f>
        <v>-26</v>
      </c>
      <c r="AJ1357" s="113">
        <f>'Data_in-situ'!ES83</f>
        <v>5.8971653912390485</v>
      </c>
      <c r="AK1357" s="110">
        <f>'Data_in-situ'!ET83</f>
        <v>3</v>
      </c>
    </row>
    <row r="1358" spans="1:37" x14ac:dyDescent="0.3">
      <c r="B1358" s="24">
        <f>'Data_in-situ'!CA358</f>
        <v>-8439.7813360929867</v>
      </c>
      <c r="C1358" s="24">
        <f>'Data_in-situ'!CB358</f>
        <v>2057.7069747914984</v>
      </c>
      <c r="D1358" s="46">
        <f>'Data_in-situ'!CC358</f>
        <v>3</v>
      </c>
      <c r="E1358" s="24">
        <f>'Data_in-situ'!CE358</f>
        <v>-8092.5650763993508</v>
      </c>
      <c r="F1358" s="24">
        <f>'Data_in-situ'!CF358</f>
        <v>3012.6118889026902</v>
      </c>
      <c r="G1358" s="46">
        <f>'Data_in-situ'!CG358</f>
        <v>3</v>
      </c>
      <c r="H1358" s="24">
        <f>'Data_in-situ'!CN358</f>
        <v>5436.6394443079935</v>
      </c>
      <c r="I1358" s="24">
        <f>'Data_in-situ'!CO358</f>
        <v>1563.7259760881216</v>
      </c>
      <c r="J1358" s="46">
        <f>'Data_in-situ'!CP358</f>
        <v>3</v>
      </c>
      <c r="K1358" s="24">
        <f>'Data_in-situ'!CR358</f>
        <v>7258.5296659115611</v>
      </c>
      <c r="L1358" s="24">
        <f>'Data_in-situ'!CS358</f>
        <v>1904.5740914252362</v>
      </c>
      <c r="M1358" s="46">
        <f>'Data_in-situ'!CT358</f>
        <v>3</v>
      </c>
      <c r="N1358" s="24">
        <f>'Data_in-situ'!DA139</f>
        <v>2000</v>
      </c>
      <c r="O1358" s="24">
        <f>'Data_in-situ'!DB139</f>
        <v>5999.3131173724232</v>
      </c>
      <c r="P1358" s="46">
        <f>'Data_in-situ'!DC139</f>
        <v>3</v>
      </c>
      <c r="Q1358" s="24">
        <f>'Data_in-situ'!DE139</f>
        <v>-2000</v>
      </c>
      <c r="R1358" s="24">
        <f>'Data_in-situ'!DF139</f>
        <v>1906.2855885995118</v>
      </c>
      <c r="S1358" s="46">
        <f>'Data_in-situ'!DG139</f>
        <v>3</v>
      </c>
      <c r="T1358" s="113">
        <f>'Data_in-situ'!DN85</f>
        <v>580</v>
      </c>
      <c r="U1358" s="113">
        <f>'Data_in-situ'!DO85</f>
        <v>646.62998771275659</v>
      </c>
      <c r="V1358" s="46">
        <f>'Data_in-situ'!DP85</f>
        <v>3</v>
      </c>
      <c r="W1358" s="113">
        <f>'Data_in-situ'!DR85</f>
        <v>0.53333333333333333</v>
      </c>
      <c r="X1358" s="113">
        <f>'Data_in-situ'!DS85</f>
        <v>1.9931820238032052</v>
      </c>
      <c r="Y1358" s="46">
        <f>'Data_in-situ'!DT85</f>
        <v>3</v>
      </c>
      <c r="Z1358" s="113">
        <f>'Data_in-situ'!EA95</f>
        <v>1.8857142857142857E-2</v>
      </c>
      <c r="AA1358" s="113">
        <f>'Data_in-situ'!EB95</f>
        <v>0.10842813738028528</v>
      </c>
      <c r="AB1358" s="46">
        <f>'Data_in-situ'!EC95</f>
        <v>3</v>
      </c>
      <c r="AC1358" s="113">
        <f>'Data_in-situ'!EE95</f>
        <v>2.0428571428571428E-2</v>
      </c>
      <c r="AD1358" s="113">
        <f>'Data_in-situ'!EF95</f>
        <v>3.0502704511218261E-2</v>
      </c>
      <c r="AE1358" s="46">
        <f>'Data_in-situ'!EG95</f>
        <v>3</v>
      </c>
      <c r="AF1358" s="113">
        <f>'Data_in-situ'!EN85</f>
        <v>-5.04</v>
      </c>
      <c r="AG1358" s="113">
        <f>'Data_in-situ'!EO85</f>
        <v>1.83</v>
      </c>
      <c r="AH1358" s="110">
        <f>'Data_in-situ'!EP85</f>
        <v>3</v>
      </c>
      <c r="AI1358" s="113">
        <f>'Data_in-situ'!ER85</f>
        <v>-37.299999999999997</v>
      </c>
      <c r="AJ1358" s="113">
        <f>'Data_in-situ'!ES85</f>
        <v>7.39</v>
      </c>
      <c r="AK1358" s="110">
        <f>'Data_in-situ'!ET85</f>
        <v>3</v>
      </c>
    </row>
    <row r="1359" spans="1:37" x14ac:dyDescent="0.3">
      <c r="B1359" s="24">
        <f>'Data_in-situ'!CA359</f>
        <v>-8439.7813360929867</v>
      </c>
      <c r="C1359" s="24">
        <f>'Data_in-situ'!CB359</f>
        <v>2057.7069747914984</v>
      </c>
      <c r="D1359" s="46">
        <f>'Data_in-situ'!CC359</f>
        <v>3</v>
      </c>
      <c r="E1359" s="24">
        <f>'Data_in-situ'!CE359</f>
        <v>-6425.7832666283757</v>
      </c>
      <c r="F1359" s="24">
        <f>'Data_in-situ'!CF359</f>
        <v>2392.1205306105239</v>
      </c>
      <c r="G1359" s="46">
        <f>'Data_in-situ'!CG359</f>
        <v>3</v>
      </c>
      <c r="H1359" s="24">
        <f>'Data_in-situ'!CN359</f>
        <v>5436.6394443079935</v>
      </c>
      <c r="I1359" s="24">
        <f>'Data_in-situ'!CO359</f>
        <v>1563.7259760881216</v>
      </c>
      <c r="J1359" s="46">
        <f>'Data_in-situ'!CP359</f>
        <v>3</v>
      </c>
      <c r="K1359" s="24">
        <f>'Data_in-situ'!CR359</f>
        <v>7678.4238876488043</v>
      </c>
      <c r="L1359" s="24">
        <f>'Data_in-situ'!CS359</f>
        <v>2014.7506275377307</v>
      </c>
      <c r="M1359" s="46">
        <f>'Data_in-situ'!CT359</f>
        <v>3</v>
      </c>
      <c r="N1359" s="24">
        <f>'Data_in-situ'!DA140</f>
        <v>2000</v>
      </c>
      <c r="O1359" s="24">
        <f>'Data_in-situ'!DB140</f>
        <v>5999.3131173724232</v>
      </c>
      <c r="P1359" s="46">
        <f>'Data_in-situ'!DC140</f>
        <v>3</v>
      </c>
      <c r="Q1359" s="24">
        <f>'Data_in-situ'!DE140</f>
        <v>-1999</v>
      </c>
      <c r="R1359" s="24">
        <f>'Data_in-situ'!DF140</f>
        <v>1905.332445805212</v>
      </c>
      <c r="S1359" s="46">
        <f>'Data_in-situ'!DG140</f>
        <v>3</v>
      </c>
      <c r="T1359" s="113">
        <f>'Data_in-situ'!DN87</f>
        <v>31.999999999999996</v>
      </c>
      <c r="U1359" s="113">
        <f>'Data_in-situ'!DO87</f>
        <v>35.676137253117595</v>
      </c>
      <c r="V1359" s="46">
        <f>'Data_in-situ'!DP87</f>
        <v>3</v>
      </c>
      <c r="W1359" s="113">
        <f>'Data_in-situ'!DR87</f>
        <v>14.666666666666668</v>
      </c>
      <c r="X1359" s="113">
        <f>'Data_in-situ'!DS87</f>
        <v>54.812505654588151</v>
      </c>
      <c r="Y1359" s="46">
        <f>'Data_in-situ'!DT87</f>
        <v>3</v>
      </c>
      <c r="Z1359" s="113">
        <f>'Data_in-situ'!EA96</f>
        <v>1.257142857142857E-2</v>
      </c>
      <c r="AA1359" s="113">
        <f>'Data_in-situ'!EB96</f>
        <v>7.2285424920190175E-2</v>
      </c>
      <c r="AB1359" s="46">
        <f>'Data_in-situ'!EC96</f>
        <v>3</v>
      </c>
      <c r="AC1359" s="113">
        <f>'Data_in-situ'!EE96</f>
        <v>1.4142857142857141E-2</v>
      </c>
      <c r="AD1359" s="113">
        <f>'Data_in-situ'!EF96</f>
        <v>2.1117256969304946E-2</v>
      </c>
      <c r="AE1359" s="46">
        <f>'Data_in-situ'!EG96</f>
        <v>3</v>
      </c>
      <c r="AF1359" s="113">
        <f>'Data_in-situ'!EN87</f>
        <v>-20.85</v>
      </c>
      <c r="AG1359" s="113">
        <f>'Data_in-situ'!EO87</f>
        <v>5.42</v>
      </c>
      <c r="AH1359" s="110">
        <f>'Data_in-situ'!EP87</f>
        <v>3</v>
      </c>
      <c r="AI1359" s="113">
        <f>'Data_in-situ'!ER87</f>
        <v>-21.08</v>
      </c>
      <c r="AJ1359" s="113">
        <f>'Data_in-situ'!ES87</f>
        <v>7.29</v>
      </c>
      <c r="AK1359" s="110">
        <f>'Data_in-situ'!ET87</f>
        <v>3</v>
      </c>
    </row>
    <row r="1360" spans="1:37" x14ac:dyDescent="0.3">
      <c r="B1360" s="24">
        <f>'Data_in-situ'!CA416</f>
        <v>-5231.5</v>
      </c>
      <c r="C1360" s="24">
        <f>'Data_in-situ'!CB416</f>
        <v>774.59070169847246</v>
      </c>
      <c r="D1360" s="46">
        <f>'Data_in-situ'!CC416</f>
        <v>5</v>
      </c>
      <c r="E1360" s="24">
        <f>'Data_in-situ'!CE416</f>
        <v>-7422.0454386397278</v>
      </c>
      <c r="F1360" s="24">
        <f>'Data_in-situ'!CF416</f>
        <v>3514.8314125090737</v>
      </c>
      <c r="G1360" s="46">
        <f>'Data_in-situ'!CG416</f>
        <v>5</v>
      </c>
      <c r="H1360" s="24">
        <f>'Data_in-situ'!CN416</f>
        <v>4243.1025450256775</v>
      </c>
      <c r="I1360" s="24">
        <f>'Data_in-situ'!CO416</f>
        <v>1520.7492674654977</v>
      </c>
      <c r="J1360" s="46">
        <f>'Data_in-situ'!CP416</f>
        <v>5</v>
      </c>
      <c r="K1360" s="24">
        <f>'Data_in-situ'!CR416</f>
        <v>7080.9624577142204</v>
      </c>
      <c r="L1360" s="24">
        <f>'Data_in-situ'!CS416</f>
        <v>2727.0864177083622</v>
      </c>
      <c r="M1360" s="46">
        <f>'Data_in-situ'!CT416</f>
        <v>5</v>
      </c>
      <c r="N1360" s="24">
        <f>'Data_in-situ'!DA168</f>
        <v>25.237137365721058</v>
      </c>
      <c r="O1360" s="24">
        <f>'Data_in-situ'!DB168</f>
        <v>75.702744621550025</v>
      </c>
      <c r="P1360" s="46">
        <f>'Data_in-situ'!DC168</f>
        <v>3</v>
      </c>
      <c r="Q1360" s="24">
        <f>'Data_in-situ'!DE168</f>
        <v>227.90960825112143</v>
      </c>
      <c r="R1360" s="24">
        <f>'Data_in-situ'!DF168</f>
        <v>217.23040085623657</v>
      </c>
      <c r="S1360" s="46">
        <f>'Data_in-situ'!DG168</f>
        <v>3</v>
      </c>
      <c r="T1360" s="113">
        <f>'Data_in-situ'!DN105</f>
        <v>326.66666666666663</v>
      </c>
      <c r="U1360" s="113">
        <f>'Data_in-situ'!DO105</f>
        <v>364.19390112557551</v>
      </c>
      <c r="V1360" s="46">
        <f>'Data_in-situ'!DP105</f>
        <v>3</v>
      </c>
      <c r="W1360" s="113">
        <f>'Data_in-situ'!DR105</f>
        <v>-0.10666666666666666</v>
      </c>
      <c r="X1360" s="113">
        <f>'Data_in-situ'!DS105</f>
        <v>0.39863640476064105</v>
      </c>
      <c r="Y1360" s="46">
        <f>'Data_in-situ'!DT105</f>
        <v>3</v>
      </c>
      <c r="Z1360" s="113">
        <f>'Data_in-situ'!EA97</f>
        <v>1.257142857142857E-2</v>
      </c>
      <c r="AA1360" s="113">
        <f>'Data_in-situ'!EB97</f>
        <v>7.2285424920190175E-2</v>
      </c>
      <c r="AB1360" s="46">
        <f>'Data_in-situ'!EC97</f>
        <v>3</v>
      </c>
      <c r="AC1360" s="113">
        <f>'Data_in-situ'!EE97</f>
        <v>1.4142857142857141E-2</v>
      </c>
      <c r="AD1360" s="113">
        <f>'Data_in-situ'!EF97</f>
        <v>2.1117256969304946E-2</v>
      </c>
      <c r="AE1360" s="46">
        <f>'Data_in-situ'!EG97</f>
        <v>3</v>
      </c>
      <c r="AF1360" s="113">
        <f>'Data_in-situ'!EN91</f>
        <v>-27.34</v>
      </c>
      <c r="AG1360" s="113">
        <f>'Data_in-situ'!EO91</f>
        <v>6.04</v>
      </c>
      <c r="AH1360" s="110">
        <f>'Data_in-situ'!EP91</f>
        <v>3</v>
      </c>
      <c r="AI1360" s="113">
        <f>'Data_in-situ'!ER91</f>
        <v>-42.07</v>
      </c>
      <c r="AJ1360" s="113">
        <f>'Data_in-situ'!ES91</f>
        <v>2.04</v>
      </c>
      <c r="AK1360" s="110">
        <f>'Data_in-situ'!ET91</f>
        <v>3</v>
      </c>
    </row>
    <row r="1361" spans="2:37" x14ac:dyDescent="0.3">
      <c r="B1361" s="24">
        <f>'Data_in-situ'!CA417</f>
        <v>-7616.0068848250821</v>
      </c>
      <c r="C1361" s="24">
        <f>'Data_in-situ'!CB417</f>
        <v>1856.8621464095218</v>
      </c>
      <c r="D1361" s="46">
        <f>'Data_in-situ'!CC417</f>
        <v>5</v>
      </c>
      <c r="E1361" s="24">
        <f>'Data_in-situ'!CE417</f>
        <v>-11234.346432115035</v>
      </c>
      <c r="F1361" s="24">
        <f>'Data_in-situ'!CF417</f>
        <v>2636.9713135995598</v>
      </c>
      <c r="G1361" s="46">
        <f>'Data_in-situ'!CG417</f>
        <v>5</v>
      </c>
      <c r="H1361" s="24">
        <f>'Data_in-situ'!CN417</f>
        <v>7943.3298263910074</v>
      </c>
      <c r="I1361" s="24">
        <f>'Data_in-situ'!CO417</f>
        <v>2284.7185864362959</v>
      </c>
      <c r="J1361" s="46">
        <f>'Data_in-situ'!CP417</f>
        <v>5</v>
      </c>
      <c r="K1361" s="24">
        <f>'Data_in-situ'!CR417</f>
        <v>12092.326878238955</v>
      </c>
      <c r="L1361" s="24">
        <f>'Data_in-situ'!CS417</f>
        <v>4450.7541788118779</v>
      </c>
      <c r="M1361" s="46">
        <f>'Data_in-situ'!CT417</f>
        <v>5</v>
      </c>
      <c r="N1361" s="24">
        <f>'Data_in-situ'!DA169</f>
        <v>826.51624872736215</v>
      </c>
      <c r="O1361" s="24">
        <f>'Data_in-situ'!DB169</f>
        <v>2479.2648863557561</v>
      </c>
      <c r="P1361" s="46">
        <f>'Data_in-situ'!DC169</f>
        <v>3</v>
      </c>
      <c r="Q1361" s="24">
        <f>'Data_in-situ'!DE169</f>
        <v>-2686.077525816791</v>
      </c>
      <c r="R1361" s="24">
        <f>'Data_in-situ'!DF169</f>
        <v>2560.2154386627908</v>
      </c>
      <c r="S1361" s="46">
        <f>'Data_in-situ'!DG169</f>
        <v>3</v>
      </c>
      <c r="T1361" s="113">
        <f>'Data_in-situ'!DN107</f>
        <v>93.066666666666677</v>
      </c>
      <c r="U1361" s="113">
        <f>'Data_in-situ'!DO107</f>
        <v>103.75809917781704</v>
      </c>
      <c r="V1361" s="46">
        <f>'Data_in-situ'!DP107</f>
        <v>3</v>
      </c>
      <c r="W1361" s="113">
        <f>'Data_in-situ'!DR107</f>
        <v>0.13333333333333333</v>
      </c>
      <c r="X1361" s="113">
        <f>'Data_in-situ'!DS107</f>
        <v>0.4982955059508013</v>
      </c>
      <c r="Y1361" s="46">
        <f>'Data_in-situ'!DT107</f>
        <v>3</v>
      </c>
      <c r="Z1361" s="113">
        <f>'Data_in-situ'!EA105</f>
        <v>9.1928571428571401E-2</v>
      </c>
      <c r="AA1361" s="113">
        <f>'Data_in-situ'!EB105</f>
        <v>0.52858716972889053</v>
      </c>
      <c r="AB1361" s="46">
        <f>'Data_in-situ'!EC105</f>
        <v>3</v>
      </c>
      <c r="AC1361" s="113">
        <f>'Data_in-situ'!EE105</f>
        <v>0.87057142857142855</v>
      </c>
      <c r="AD1361" s="113">
        <f>'Data_in-situ'!EF105</f>
        <v>1.2998844845549935</v>
      </c>
      <c r="AE1361" s="46">
        <f>'Data_in-situ'!EG105</f>
        <v>3</v>
      </c>
      <c r="AF1361" s="113">
        <f>'Data_in-situ'!EN92</f>
        <v>-2.62</v>
      </c>
      <c r="AG1361" s="113">
        <f>'Data_in-situ'!EO92</f>
        <v>0.79</v>
      </c>
      <c r="AH1361" s="110">
        <f>'Data_in-situ'!EP92</f>
        <v>3</v>
      </c>
      <c r="AI1361" s="113">
        <f>'Data_in-situ'!ER92</f>
        <v>-21.88</v>
      </c>
      <c r="AJ1361" s="113">
        <f>'Data_in-situ'!ES92</f>
        <v>3.76</v>
      </c>
      <c r="AK1361" s="110">
        <f>'Data_in-situ'!ET92</f>
        <v>3</v>
      </c>
    </row>
    <row r="1362" spans="2:37" x14ac:dyDescent="0.3">
      <c r="B1362" s="24">
        <f>'Data_in-situ'!CA447</f>
        <v>-13830.844197002392</v>
      </c>
      <c r="C1362" s="24">
        <f>'Data_in-situ'!CB447</f>
        <v>2274.6676845640554</v>
      </c>
      <c r="D1362" s="46">
        <f>'Data_in-situ'!CC447</f>
        <v>3</v>
      </c>
      <c r="E1362" s="24">
        <f>'Data_in-situ'!CE447</f>
        <v>-66220.372894871383</v>
      </c>
      <c r="F1362" s="24">
        <f>'Data_in-situ'!CF447</f>
        <v>9098.6707382562217</v>
      </c>
      <c r="G1362" s="46">
        <f>'Data_in-situ'!CG447</f>
        <v>3</v>
      </c>
      <c r="H1362" s="24">
        <f>'Data_in-situ'!CN447</f>
        <v>8766.0655826625862</v>
      </c>
      <c r="I1362" s="24">
        <f>'Data_in-situ'!CO447</f>
        <v>227.4667684564055</v>
      </c>
      <c r="J1362" s="46">
        <f>'Data_in-situ'!CP447</f>
        <v>3</v>
      </c>
      <c r="K1362" s="24">
        <f>'Data_in-situ'!CR447</f>
        <v>41998.127476961054</v>
      </c>
      <c r="L1362" s="24">
        <f>'Data_in-situ'!CS447</f>
        <v>6824.003053692164</v>
      </c>
      <c r="M1362" s="46">
        <f>'Data_in-situ'!CT447</f>
        <v>3</v>
      </c>
      <c r="N1362" s="24">
        <f>'Data_in-situ'!DA170</f>
        <v>-870.68123911737575</v>
      </c>
      <c r="O1362" s="24">
        <f>'Data_in-situ'!DB170</f>
        <v>2611.7446894434738</v>
      </c>
      <c r="P1362" s="46">
        <f>'Data_in-situ'!DC170</f>
        <v>3</v>
      </c>
      <c r="Q1362" s="24">
        <f>'Data_in-situ'!DE170</f>
        <v>-911.63843300448298</v>
      </c>
      <c r="R1362" s="24">
        <f>'Data_in-situ'!DF170</f>
        <v>868.92160342494367</v>
      </c>
      <c r="S1362" s="46">
        <f>'Data_in-situ'!DG170</f>
        <v>3</v>
      </c>
      <c r="T1362" s="113">
        <f>'Data_in-situ'!DN109</f>
        <v>24.133333333333336</v>
      </c>
      <c r="U1362" s="113">
        <f>'Data_in-situ'!DO109</f>
        <v>26.905753511726196</v>
      </c>
      <c r="V1362" s="46">
        <f>'Data_in-situ'!DP109</f>
        <v>3</v>
      </c>
      <c r="W1362" s="113">
        <f>'Data_in-situ'!DR109</f>
        <v>8.4</v>
      </c>
      <c r="X1362" s="113">
        <f>'Data_in-situ'!DS109</f>
        <v>31.392616874900483</v>
      </c>
      <c r="Y1362" s="46">
        <f>'Data_in-situ'!DT109</f>
        <v>3</v>
      </c>
      <c r="Z1362" s="113">
        <f>'Data_in-situ'!EA107</f>
        <v>0.24042857142857144</v>
      </c>
      <c r="AA1362" s="113">
        <f>'Data_in-situ'!EB107</f>
        <v>1.3824587515986373</v>
      </c>
      <c r="AB1362" s="46">
        <f>'Data_in-situ'!EC107</f>
        <v>3</v>
      </c>
      <c r="AC1362" s="113">
        <f>'Data_in-situ'!EE107</f>
        <v>0.88314285714285712</v>
      </c>
      <c r="AD1362" s="113">
        <f>'Data_in-situ'!EF107</f>
        <v>1.3186553796388201</v>
      </c>
      <c r="AE1362" s="46">
        <f>'Data_in-situ'!EG107</f>
        <v>3</v>
      </c>
      <c r="AF1362" s="113">
        <f>'Data_in-situ'!EN93</f>
        <v>-6.51</v>
      </c>
      <c r="AG1362" s="113">
        <f>'Data_in-situ'!EO93</f>
        <v>2.2799999999999998</v>
      </c>
      <c r="AH1362" s="110">
        <f>'Data_in-situ'!EP93</f>
        <v>3</v>
      </c>
      <c r="AI1362" s="113">
        <f>'Data_in-situ'!ER93</f>
        <v>-46.73</v>
      </c>
      <c r="AJ1362" s="113">
        <f>'Data_in-situ'!ES93</f>
        <v>5.78</v>
      </c>
      <c r="AK1362" s="110">
        <f>'Data_in-situ'!ET93</f>
        <v>3</v>
      </c>
    </row>
    <row r="1363" spans="2:37" x14ac:dyDescent="0.3">
      <c r="B1363" s="24">
        <f>'Data_in-situ'!CA448</f>
        <v>-32633.333333333332</v>
      </c>
      <c r="C1363" s="24">
        <f>'Data_in-situ'!CB448</f>
        <v>3600</v>
      </c>
      <c r="D1363" s="46">
        <f>'Data_in-situ'!CC448</f>
        <v>3</v>
      </c>
      <c r="E1363" s="24">
        <f>'Data_in-situ'!CE448</f>
        <v>-65926.666666666672</v>
      </c>
      <c r="F1363" s="24">
        <f>'Data_in-situ'!CF448</f>
        <v>5926</v>
      </c>
      <c r="G1363" s="46">
        <f>'Data_in-situ'!CG448</f>
        <v>3</v>
      </c>
      <c r="H1363" s="24">
        <f>'Data_in-situ'!CN448</f>
        <v>30690</v>
      </c>
      <c r="I1363" s="24">
        <f>'Data_in-situ'!CO448</f>
        <v>3652</v>
      </c>
      <c r="J1363" s="46">
        <f>'Data_in-situ'!CP448</f>
        <v>3</v>
      </c>
      <c r="K1363" s="24">
        <f>'Data_in-situ'!CR448</f>
        <v>61160</v>
      </c>
      <c r="L1363" s="24">
        <f>'Data_in-situ'!CS448</f>
        <v>6593</v>
      </c>
      <c r="M1363" s="46">
        <f>'Data_in-situ'!CT448</f>
        <v>3</v>
      </c>
      <c r="N1363" s="24">
        <f>'Data_in-situ'!DA171</f>
        <v>82.020696438593234</v>
      </c>
      <c r="O1363" s="24">
        <f>'Data_in-situ'!DB171</f>
        <v>246.03392002003699</v>
      </c>
      <c r="P1363" s="46">
        <f>'Data_in-situ'!DC171</f>
        <v>3</v>
      </c>
      <c r="Q1363" s="24">
        <f>'Data_in-situ'!DE171</f>
        <v>-4541.9129072902078</v>
      </c>
      <c r="R1363" s="24">
        <f>'Data_in-situ'!DF171</f>
        <v>4329.0915599207165</v>
      </c>
      <c r="S1363" s="46">
        <f>'Data_in-situ'!DG171</f>
        <v>3</v>
      </c>
      <c r="T1363" s="113">
        <f>'Data_in-situ'!DN111</f>
        <v>50.8</v>
      </c>
      <c r="U1363" s="113">
        <f>'Data_in-situ'!DO111</f>
        <v>56.635867889324189</v>
      </c>
      <c r="V1363" s="46">
        <f>'Data_in-situ'!DP111</f>
        <v>3</v>
      </c>
      <c r="W1363" s="113">
        <f>'Data_in-situ'!DR111</f>
        <v>28.133333333333329</v>
      </c>
      <c r="X1363" s="113">
        <f>'Data_in-situ'!DS111</f>
        <v>105.14035175561906</v>
      </c>
      <c r="Y1363" s="46">
        <f>'Data_in-situ'!DT111</f>
        <v>3</v>
      </c>
      <c r="Z1363" s="113">
        <f>'Data_in-situ'!EA109</f>
        <v>4.7771428571428562E-2</v>
      </c>
      <c r="AA1363" s="113">
        <f>'Data_in-situ'!EB109</f>
        <v>0.27468461469672267</v>
      </c>
      <c r="AB1363" s="46">
        <f>'Data_in-situ'!EC109</f>
        <v>3</v>
      </c>
      <c r="AC1363" s="113">
        <f>'Data_in-situ'!EE109</f>
        <v>0.21685714285714286</v>
      </c>
      <c r="AD1363" s="113">
        <f>'Data_in-situ'!EF109</f>
        <v>0.32379794019600922</v>
      </c>
      <c r="AE1363" s="46">
        <f>'Data_in-situ'!EG109</f>
        <v>3</v>
      </c>
      <c r="AF1363" s="113">
        <f>'Data_in-situ'!EN94</f>
        <v>-10.75</v>
      </c>
      <c r="AG1363" s="113">
        <f>'Data_in-situ'!EO94</f>
        <v>1.853</v>
      </c>
      <c r="AH1363" s="110">
        <f>'Data_in-situ'!EP94</f>
        <v>3</v>
      </c>
      <c r="AI1363" s="113">
        <f>'Data_in-situ'!ER94</f>
        <v>-20.14</v>
      </c>
      <c r="AJ1363" s="113">
        <f>'Data_in-situ'!ES94</f>
        <v>1.87</v>
      </c>
      <c r="AK1363" s="110">
        <f>'Data_in-situ'!ET94</f>
        <v>3</v>
      </c>
    </row>
    <row r="1364" spans="2:37" x14ac:dyDescent="0.3">
      <c r="B1364" s="24">
        <f>'Data_in-situ'!CA449</f>
        <v>-36630</v>
      </c>
      <c r="C1364" s="24">
        <f>'Data_in-situ'!CB449</f>
        <v>4321</v>
      </c>
      <c r="D1364" s="46">
        <f>'Data_in-situ'!CC449</f>
        <v>3</v>
      </c>
      <c r="E1364" s="24">
        <f>'Data_in-situ'!CE449</f>
        <v>-75753.333333333328</v>
      </c>
      <c r="F1364" s="24">
        <f>'Data_in-situ'!CF449</f>
        <v>7859</v>
      </c>
      <c r="G1364" s="46">
        <f>'Data_in-situ'!CG449</f>
        <v>3</v>
      </c>
      <c r="H1364" s="24">
        <f>'Data_in-situ'!CN449</f>
        <v>33953.333333333336</v>
      </c>
      <c r="I1364" s="24">
        <f>'Data_in-situ'!CO449</f>
        <v>4126</v>
      </c>
      <c r="J1364" s="46">
        <f>'Data_in-situ'!CP449</f>
        <v>3</v>
      </c>
      <c r="K1364" s="24">
        <f>'Data_in-situ'!CR449</f>
        <v>64753.333333333336</v>
      </c>
      <c r="L1364" s="24">
        <f>'Data_in-situ'!CS449</f>
        <v>9463</v>
      </c>
      <c r="M1364" s="46">
        <f>'Data_in-situ'!CT449</f>
        <v>3</v>
      </c>
      <c r="N1364" s="24">
        <f>'Data_in-situ'!DA354</f>
        <v>-1940.5839500221145</v>
      </c>
      <c r="O1364" s="24">
        <f>'Data_in-situ'!DB354</f>
        <v>5821.085373365031</v>
      </c>
      <c r="P1364" s="46">
        <f>'Data_in-situ'!DC354</f>
        <v>3</v>
      </c>
      <c r="Q1364" s="24">
        <f>'Data_in-situ'!DE354</f>
        <v>-1152.9019230752547</v>
      </c>
      <c r="R1364" s="24">
        <f>'Data_in-situ'!DF354</f>
        <v>1098.8801605135104</v>
      </c>
      <c r="S1364" s="46">
        <f>'Data_in-situ'!DG354</f>
        <v>3</v>
      </c>
      <c r="T1364" s="113">
        <f>'Data_in-situ'!DN129</f>
        <v>214.33232862768773</v>
      </c>
      <c r="U1364" s="113">
        <f>'Data_in-situ'!DO129</f>
        <v>127.05286261842672</v>
      </c>
      <c r="V1364" s="46">
        <f>'Data_in-situ'!DP129</f>
        <v>18</v>
      </c>
      <c r="W1364" s="113">
        <f>'Data_in-situ'!DR129</f>
        <v>3.701330808396313</v>
      </c>
      <c r="X1364" s="113">
        <f>'Data_in-situ'!DS129</f>
        <v>11.16614647740138</v>
      </c>
      <c r="Y1364" s="46">
        <f>'Data_in-situ'!DT129</f>
        <v>18</v>
      </c>
      <c r="Z1364" s="113">
        <f>'Data_in-situ'!EA111</f>
        <v>8.4699999999999998E-2</v>
      </c>
      <c r="AA1364" s="113">
        <f>'Data_in-situ'!EB111</f>
        <v>0.48702305039978139</v>
      </c>
      <c r="AB1364" s="46">
        <f>'Data_in-situ'!EC111</f>
        <v>3</v>
      </c>
      <c r="AC1364" s="113">
        <f>'Data_in-situ'!EE111</f>
        <v>6.1599999999999995E-2</v>
      </c>
      <c r="AD1364" s="113">
        <f>'Data_in-situ'!EF111</f>
        <v>9.1977385910750442E-2</v>
      </c>
      <c r="AE1364" s="46">
        <f>'Data_in-situ'!EG111</f>
        <v>3</v>
      </c>
      <c r="AF1364" s="113">
        <f>'Data_in-situ'!EN95</f>
        <v>-24.62</v>
      </c>
      <c r="AG1364" s="113">
        <f>'Data_in-situ'!EO95</f>
        <v>6.88</v>
      </c>
      <c r="AH1364" s="110">
        <f>'Data_in-situ'!EP95</f>
        <v>3</v>
      </c>
      <c r="AI1364" s="113">
        <f>'Data_in-situ'!ER95</f>
        <v>-23.22</v>
      </c>
      <c r="AJ1364" s="113">
        <f>'Data_in-situ'!ES95</f>
        <v>6.41</v>
      </c>
      <c r="AK1364" s="110">
        <f>'Data_in-situ'!ET95</f>
        <v>3</v>
      </c>
    </row>
    <row r="1365" spans="2:37" x14ac:dyDescent="0.3">
      <c r="B1365" s="24">
        <f>'Data_in-situ'!CA468</f>
        <v>-38630</v>
      </c>
      <c r="C1365" s="24">
        <f>'Data_in-situ'!CB468</f>
        <v>9418.3980924076168</v>
      </c>
      <c r="D1365" s="46">
        <f>'Data_in-situ'!CC468</f>
        <v>1</v>
      </c>
      <c r="E1365" s="24">
        <f>'Data_in-situ'!CE468</f>
        <v>-35990</v>
      </c>
      <c r="F1365" s="24">
        <f>'Data_in-situ'!CF468</f>
        <v>880</v>
      </c>
      <c r="G1365" s="46">
        <f>'Data_in-situ'!CG468</f>
        <v>1</v>
      </c>
      <c r="H1365" s="24">
        <f>'Data_in-situ'!CN468</f>
        <v>37280</v>
      </c>
      <c r="I1365" s="24">
        <f>'Data_in-situ'!CO468</f>
        <v>1760</v>
      </c>
      <c r="J1365" s="46">
        <f>'Data_in-situ'!CP468</f>
        <v>1</v>
      </c>
      <c r="K1365" s="24">
        <f>'Data_in-situ'!CR468</f>
        <v>35670</v>
      </c>
      <c r="L1365" s="24">
        <f>'Data_in-situ'!CS468</f>
        <v>670</v>
      </c>
      <c r="M1365" s="46">
        <f>'Data_in-situ'!CT468</f>
        <v>1</v>
      </c>
      <c r="N1365" s="24">
        <f>'Data_in-situ'!DA355</f>
        <v>-1217.0329724395615</v>
      </c>
      <c r="O1365" s="24">
        <f>'Data_in-situ'!DB355</f>
        <v>3650.6809379157057</v>
      </c>
      <c r="P1365" s="46">
        <f>'Data_in-situ'!DC355</f>
        <v>3</v>
      </c>
      <c r="Q1365" s="24">
        <f>'Data_in-situ'!DE355</f>
        <v>-942.32663407012569</v>
      </c>
      <c r="R1365" s="24">
        <f>'Data_in-situ'!DF355</f>
        <v>898.17184114068311</v>
      </c>
      <c r="S1365" s="46">
        <f>'Data_in-situ'!DG355</f>
        <v>3</v>
      </c>
      <c r="T1365" s="113">
        <f>'Data_in-situ'!DN133</f>
        <v>440.08296271455015</v>
      </c>
      <c r="U1365" s="113">
        <f>'Data_in-situ'!DO133</f>
        <v>113.40347895786114</v>
      </c>
      <c r="V1365" s="46">
        <f>'Data_in-situ'!DP133</f>
        <v>21</v>
      </c>
      <c r="W1365" s="113">
        <f>'Data_in-situ'!DR133</f>
        <v>25.550114778634466</v>
      </c>
      <c r="X1365" s="113">
        <f>'Data_in-situ'!DS133</f>
        <v>18.733958929588759</v>
      </c>
      <c r="Y1365" s="46">
        <f>'Data_in-situ'!DT133</f>
        <v>21</v>
      </c>
      <c r="Z1365" s="113">
        <f>'Data_in-situ'!EA129</f>
        <v>0.61975925336567961</v>
      </c>
      <c r="AA1365" s="113">
        <f>'Data_in-situ'!EB129</f>
        <v>0.31937151793647711</v>
      </c>
      <c r="AB1365" s="46">
        <f>'Data_in-situ'!EC129</f>
        <v>18</v>
      </c>
      <c r="AC1365" s="113">
        <f>'Data_in-situ'!EE129</f>
        <v>1.2578205602172745</v>
      </c>
      <c r="AD1365" s="113">
        <f>'Data_in-situ'!EF129</f>
        <v>0.63959090137404107</v>
      </c>
      <c r="AE1365" s="46">
        <f>'Data_in-situ'!EG129</f>
        <v>18</v>
      </c>
      <c r="AF1365" s="113">
        <f>'Data_in-situ'!EN96</f>
        <v>-6.95</v>
      </c>
      <c r="AG1365" s="113">
        <f>'Data_in-situ'!EO96</f>
        <v>1.41</v>
      </c>
      <c r="AH1365" s="110">
        <f>'Data_in-situ'!EP96</f>
        <v>3</v>
      </c>
      <c r="AI1365" s="113">
        <f>'Data_in-situ'!ER96</f>
        <v>-21.5</v>
      </c>
      <c r="AJ1365" s="113">
        <f>'Data_in-situ'!ES96</f>
        <v>1.76</v>
      </c>
      <c r="AK1365" s="110">
        <f>'Data_in-situ'!ET96</f>
        <v>3</v>
      </c>
    </row>
    <row r="1366" spans="2:37" x14ac:dyDescent="0.3">
      <c r="N1366" s="24">
        <f>'Data_in-situ'!DA356</f>
        <v>-1217.0329724395615</v>
      </c>
      <c r="O1366" s="24">
        <f>'Data_in-situ'!DB356</f>
        <v>3650.6809379157057</v>
      </c>
      <c r="P1366" s="46">
        <f>'Data_in-situ'!DC356</f>
        <v>3</v>
      </c>
      <c r="Q1366" s="24">
        <f>'Data_in-situ'!DE356</f>
        <v>1071.9796143688573</v>
      </c>
      <c r="R1366" s="24">
        <f>'Data_in-situ'!DF356</f>
        <v>1021.7496450719074</v>
      </c>
      <c r="S1366" s="46">
        <f>'Data_in-situ'!DG356</f>
        <v>3</v>
      </c>
      <c r="T1366" s="113">
        <f>'Data_in-situ'!DN136</f>
        <v>122</v>
      </c>
      <c r="U1366" s="113">
        <f>'Data_in-situ'!DO136</f>
        <v>57.850496972800492</v>
      </c>
      <c r="V1366" s="46">
        <f>'Data_in-situ'!DP136</f>
        <v>3</v>
      </c>
      <c r="W1366" s="113">
        <f>'Data_in-situ'!DR136</f>
        <v>0</v>
      </c>
      <c r="X1366" s="113">
        <f>'Data_in-situ'!DS136</f>
        <v>2.4248711305964279</v>
      </c>
      <c r="Y1366" s="46">
        <f>'Data_in-situ'!DT136</f>
        <v>3</v>
      </c>
      <c r="Z1366" s="113">
        <f>'Data_in-situ'!EA133</f>
        <v>0.6346932112781053</v>
      </c>
      <c r="AA1366" s="113">
        <f>'Data_in-situ'!EB133</f>
        <v>0.12856385073753784</v>
      </c>
      <c r="AB1366" s="46">
        <f>'Data_in-situ'!EC133</f>
        <v>21</v>
      </c>
      <c r="AC1366" s="113">
        <f>'Data_in-situ'!EE133</f>
        <v>0.77756180086158733</v>
      </c>
      <c r="AD1366" s="113">
        <f>'Data_in-situ'!EF133</f>
        <v>0.42421666014248416</v>
      </c>
      <c r="AE1366" s="46">
        <f>'Data_in-situ'!EG133</f>
        <v>21</v>
      </c>
      <c r="AF1366" s="113">
        <f>'Data_in-situ'!EN97</f>
        <v>-14.43</v>
      </c>
      <c r="AG1366" s="113">
        <f>'Data_in-situ'!EO97</f>
        <v>3.89</v>
      </c>
      <c r="AH1366" s="110">
        <f>'Data_in-situ'!EP97</f>
        <v>3</v>
      </c>
      <c r="AI1366" s="113">
        <f>'Data_in-situ'!ER97</f>
        <v>-28.3</v>
      </c>
      <c r="AJ1366" s="113">
        <f>'Data_in-situ'!ES97</f>
        <v>4.55</v>
      </c>
      <c r="AK1366" s="110">
        <f>'Data_in-situ'!ET97</f>
        <v>3</v>
      </c>
    </row>
    <row r="1367" spans="2:37" x14ac:dyDescent="0.3">
      <c r="N1367" s="24">
        <f>'Data_in-situ'!DA357</f>
        <v>-1962.6668608737455</v>
      </c>
      <c r="O1367" s="24">
        <f>'Data_in-situ'!DB357</f>
        <v>5887.3265217360085</v>
      </c>
      <c r="P1367" s="46">
        <f>'Data_in-situ'!DC357</f>
        <v>3</v>
      </c>
      <c r="Q1367" s="24">
        <f>'Data_in-situ'!DE357</f>
        <v>-2114.1462339116297</v>
      </c>
      <c r="R1367" s="24">
        <f>'Data_in-situ'!DF357</f>
        <v>2015.0832489488362</v>
      </c>
      <c r="S1367" s="46">
        <f>'Data_in-situ'!DG357</f>
        <v>3</v>
      </c>
      <c r="T1367" s="113">
        <f>'Data_in-situ'!DN137</f>
        <v>106</v>
      </c>
      <c r="U1367" s="113">
        <f>'Data_in-situ'!DO137</f>
        <v>76.556645694544372</v>
      </c>
      <c r="V1367" s="46">
        <f>'Data_in-situ'!DP137</f>
        <v>3</v>
      </c>
      <c r="W1367" s="113">
        <f>'Data_in-situ'!DR137</f>
        <v>4</v>
      </c>
      <c r="X1367" s="113">
        <f>'Data_in-situ'!DS137</f>
        <v>4.1569219381653051</v>
      </c>
      <c r="Y1367" s="46">
        <f>'Data_in-situ'!DT137</f>
        <v>3</v>
      </c>
      <c r="Z1367" s="113">
        <f>'Data_in-situ'!EA136</f>
        <v>0.3</v>
      </c>
      <c r="AA1367" s="113">
        <f>'Data_in-situ'!EB136</f>
        <v>0.8660254037844386</v>
      </c>
      <c r="AB1367" s="46">
        <f>'Data_in-situ'!EC136</f>
        <v>3</v>
      </c>
      <c r="AC1367" s="113">
        <f>'Data_in-situ'!EE136</f>
        <v>0.7</v>
      </c>
      <c r="AD1367" s="113">
        <f>'Data_in-situ'!EF136</f>
        <v>0.8660254037844386</v>
      </c>
      <c r="AE1367" s="46">
        <f>'Data_in-situ'!EG136</f>
        <v>3</v>
      </c>
      <c r="AF1367" s="113">
        <f>'Data_in-situ'!EN105</f>
        <v>-27.34</v>
      </c>
      <c r="AG1367" s="113">
        <f>'Data_in-situ'!EO105</f>
        <v>6.04</v>
      </c>
      <c r="AH1367" s="110">
        <f>'Data_in-situ'!EP105</f>
        <v>3</v>
      </c>
      <c r="AI1367" s="113">
        <f>'Data_in-situ'!ER105</f>
        <v>-42.07</v>
      </c>
      <c r="AJ1367" s="113">
        <f>'Data_in-situ'!ES105</f>
        <v>2.04</v>
      </c>
      <c r="AK1367" s="110">
        <f>'Data_in-situ'!ET105</f>
        <v>3</v>
      </c>
    </row>
    <row r="1368" spans="2:37" x14ac:dyDescent="0.3">
      <c r="N1368" s="24">
        <f>'Data_in-situ'!DA358</f>
        <v>-3003.1418917849933</v>
      </c>
      <c r="O1368" s="24">
        <f>'Data_in-situ'!DB358</f>
        <v>9008.3942723581713</v>
      </c>
      <c r="P1368" s="46">
        <f>'Data_in-situ'!DC358</f>
        <v>3</v>
      </c>
      <c r="Q1368" s="24">
        <f>'Data_in-situ'!DE358</f>
        <v>-834.0354104877897</v>
      </c>
      <c r="R1368" s="24">
        <f>'Data_in-situ'!DF358</f>
        <v>794.95484169727581</v>
      </c>
      <c r="S1368" s="46">
        <f>'Data_in-situ'!DG358</f>
        <v>3</v>
      </c>
      <c r="T1368" s="113">
        <f>'Data_in-situ'!DN138</f>
        <v>122</v>
      </c>
      <c r="U1368" s="113">
        <f>'Data_in-situ'!DO138</f>
        <v>57.850496972800492</v>
      </c>
      <c r="V1368" s="46">
        <f>'Data_in-situ'!DP138</f>
        <v>3</v>
      </c>
      <c r="W1368" s="113">
        <f>'Data_in-situ'!DR138</f>
        <v>5</v>
      </c>
      <c r="X1368" s="113">
        <f>'Data_in-situ'!DS138</f>
        <v>6.9282032302755088</v>
      </c>
      <c r="Y1368" s="46">
        <f>'Data_in-situ'!DT138</f>
        <v>3</v>
      </c>
      <c r="Z1368" s="113">
        <f>'Data_in-situ'!EA137</f>
        <v>0.2</v>
      </c>
      <c r="AA1368" s="113">
        <f>'Data_in-situ'!EB137</f>
        <v>0.51961524227066314</v>
      </c>
      <c r="AB1368" s="46">
        <f>'Data_in-situ'!EC137</f>
        <v>3</v>
      </c>
      <c r="AC1368" s="113">
        <f>'Data_in-situ'!EE137</f>
        <v>0.6</v>
      </c>
      <c r="AD1368" s="113">
        <f>'Data_in-situ'!EF137</f>
        <v>0.51961524227066314</v>
      </c>
      <c r="AE1368" s="46">
        <f>'Data_in-situ'!EG137</f>
        <v>3</v>
      </c>
      <c r="AF1368" s="113">
        <f>'Data_in-situ'!EN107</f>
        <v>-6.51</v>
      </c>
      <c r="AG1368" s="113">
        <f>'Data_in-situ'!EO107</f>
        <v>2.2799999999999998</v>
      </c>
      <c r="AH1368" s="110">
        <f>'Data_in-situ'!EP107</f>
        <v>3</v>
      </c>
      <c r="AI1368" s="113">
        <f>'Data_in-situ'!ER107</f>
        <v>-46.73</v>
      </c>
      <c r="AJ1368" s="113">
        <f>'Data_in-situ'!ES107</f>
        <v>5.78</v>
      </c>
      <c r="AK1368" s="110">
        <f>'Data_in-situ'!ET107</f>
        <v>3</v>
      </c>
    </row>
    <row r="1369" spans="2:37" x14ac:dyDescent="0.3">
      <c r="N1369" s="24">
        <f>'Data_in-situ'!DA359</f>
        <v>-3003.1418917849933</v>
      </c>
      <c r="O1369" s="24">
        <f>'Data_in-situ'!DB359</f>
        <v>9008.3942723581713</v>
      </c>
      <c r="P1369" s="46">
        <f>'Data_in-situ'!DC359</f>
        <v>3</v>
      </c>
      <c r="Q1369" s="24">
        <f>'Data_in-situ'!DE359</f>
        <v>1252.6406210204286</v>
      </c>
      <c r="R1369" s="24">
        <f>'Data_in-situ'!DF359</f>
        <v>1193.9453817727929</v>
      </c>
      <c r="S1369" s="46">
        <f>'Data_in-situ'!DG359</f>
        <v>3</v>
      </c>
      <c r="T1369" s="113">
        <f>'Data_in-situ'!DN139</f>
        <v>106</v>
      </c>
      <c r="U1369" s="113">
        <f>'Data_in-situ'!DO139</f>
        <v>76.556645694544372</v>
      </c>
      <c r="V1369" s="46">
        <f>'Data_in-situ'!DP139</f>
        <v>3</v>
      </c>
      <c r="W1369" s="113">
        <f>'Data_in-situ'!DR139</f>
        <v>5</v>
      </c>
      <c r="X1369" s="113">
        <f>'Data_in-situ'!DS139</f>
        <v>3.2908965343808667</v>
      </c>
      <c r="Y1369" s="46">
        <f>'Data_in-situ'!DT139</f>
        <v>3</v>
      </c>
      <c r="Z1369" s="113">
        <f>'Data_in-situ'!EA138</f>
        <v>0.3</v>
      </c>
      <c r="AA1369" s="113">
        <f>'Data_in-situ'!EB138</f>
        <v>0.8660254037844386</v>
      </c>
      <c r="AB1369" s="46">
        <f>'Data_in-situ'!EC138</f>
        <v>3</v>
      </c>
      <c r="AC1369" s="113">
        <f>'Data_in-situ'!EE138</f>
        <v>0.4</v>
      </c>
      <c r="AD1369" s="113">
        <f>'Data_in-situ'!EF138</f>
        <v>0.69282032302755092</v>
      </c>
      <c r="AE1369" s="46">
        <f>'Data_in-situ'!EG138</f>
        <v>3</v>
      </c>
      <c r="AF1369" s="113">
        <f>'Data_in-situ'!EN109</f>
        <v>-24.62</v>
      </c>
      <c r="AG1369" s="113">
        <f>'Data_in-situ'!EO109</f>
        <v>6.88</v>
      </c>
      <c r="AH1369" s="110">
        <f>'Data_in-situ'!EP109</f>
        <v>3</v>
      </c>
      <c r="AI1369" s="113">
        <f>'Data_in-situ'!ER109</f>
        <v>-23.22</v>
      </c>
      <c r="AJ1369" s="113">
        <f>'Data_in-situ'!ES109</f>
        <v>6.41</v>
      </c>
      <c r="AK1369" s="110">
        <f>'Data_in-situ'!ET109</f>
        <v>3</v>
      </c>
    </row>
    <row r="1370" spans="2:37" x14ac:dyDescent="0.3">
      <c r="N1370" s="24">
        <f>'Data_in-situ'!DA416</f>
        <v>-988.3974549743225</v>
      </c>
      <c r="O1370" s="24">
        <f>'Data_in-situ'!DB416</f>
        <v>1706.6543556486708</v>
      </c>
      <c r="P1370" s="46">
        <f>'Data_in-situ'!DC416</f>
        <v>5</v>
      </c>
      <c r="Q1370" s="24">
        <f>'Data_in-situ'!DE416</f>
        <v>-341.0829809255074</v>
      </c>
      <c r="R1370" s="24">
        <f>'Data_in-situ'!DF416</f>
        <v>4448.7121943333168</v>
      </c>
      <c r="S1370" s="46">
        <f>'Data_in-situ'!DG416</f>
        <v>5</v>
      </c>
      <c r="T1370" s="113">
        <f>'Data_in-situ'!DN140</f>
        <v>122</v>
      </c>
      <c r="U1370" s="113">
        <f>'Data_in-situ'!DO140</f>
        <v>57.850496972800492</v>
      </c>
      <c r="V1370" s="46">
        <f>'Data_in-situ'!DP140</f>
        <v>3</v>
      </c>
      <c r="W1370" s="113">
        <f>'Data_in-situ'!DR140</f>
        <v>16</v>
      </c>
      <c r="X1370" s="113">
        <f>'Data_in-situ'!DS140</f>
        <v>12.297560733739028</v>
      </c>
      <c r="Y1370" s="46">
        <f>'Data_in-situ'!DT140</f>
        <v>3</v>
      </c>
      <c r="Z1370" s="113">
        <f>'Data_in-situ'!EA139</f>
        <v>0.2</v>
      </c>
      <c r="AA1370" s="113">
        <f>'Data_in-situ'!EB139</f>
        <v>0.51961524227066314</v>
      </c>
      <c r="AB1370" s="46">
        <f>'Data_in-situ'!EC139</f>
        <v>3</v>
      </c>
      <c r="AC1370" s="113">
        <f>'Data_in-situ'!EE139</f>
        <v>0.3</v>
      </c>
      <c r="AD1370" s="113">
        <f>'Data_in-situ'!EF139</f>
        <v>0.51961524227066314</v>
      </c>
      <c r="AE1370" s="46">
        <f>'Data_in-situ'!EG139</f>
        <v>3</v>
      </c>
      <c r="AF1370" s="113">
        <f>'Data_in-situ'!EN111</f>
        <v>-14.43</v>
      </c>
      <c r="AG1370" s="113">
        <f>'Data_in-situ'!EO111</f>
        <v>3.89</v>
      </c>
      <c r="AH1370" s="110">
        <f>'Data_in-situ'!EP111</f>
        <v>3</v>
      </c>
      <c r="AI1370" s="113">
        <f>'Data_in-situ'!ER111</f>
        <v>-28.3</v>
      </c>
      <c r="AJ1370" s="113">
        <f>'Data_in-situ'!ES111</f>
        <v>4.55</v>
      </c>
      <c r="AK1370" s="110">
        <f>'Data_in-situ'!ET111</f>
        <v>3</v>
      </c>
    </row>
    <row r="1371" spans="2:37" x14ac:dyDescent="0.3">
      <c r="N1371" s="24">
        <f>'Data_in-situ'!DA417</f>
        <v>327.32294156592525</v>
      </c>
      <c r="O1371" s="24">
        <f>'Data_in-situ'!DB417</f>
        <v>2944.1256851527319</v>
      </c>
      <c r="P1371" s="46">
        <f>'Data_in-situ'!DC417</f>
        <v>5</v>
      </c>
      <c r="Q1371" s="24">
        <f>'Data_in-situ'!DE417</f>
        <v>857.98044612392005</v>
      </c>
      <c r="R1371" s="24">
        <f>'Data_in-situ'!DF417</f>
        <v>5173.2804359476186</v>
      </c>
      <c r="S1371" s="46">
        <f>'Data_in-situ'!DG417</f>
        <v>5</v>
      </c>
      <c r="T1371" s="113">
        <f>'Data_in-situ'!DN145</f>
        <v>244.12367999999998</v>
      </c>
      <c r="U1371" s="113">
        <f>'Data_in-situ'!DO145</f>
        <v>272.16843482550502</v>
      </c>
      <c r="V1371" s="46">
        <f>'Data_in-situ'!DP145</f>
        <v>4</v>
      </c>
      <c r="W1371" s="113">
        <f>'Data_in-situ'!DR145</f>
        <v>190.38399999999999</v>
      </c>
      <c r="X1371" s="113">
        <f>'Data_in-situ'!DS145</f>
        <v>711.50618703703014</v>
      </c>
      <c r="Y1371" s="46">
        <f>'Data_in-situ'!DT145</f>
        <v>6</v>
      </c>
      <c r="Z1371" s="113">
        <f>'Data_in-situ'!EA140</f>
        <v>0.3</v>
      </c>
      <c r="AA1371" s="113">
        <f>'Data_in-situ'!EB140</f>
        <v>0.8660254037844386</v>
      </c>
      <c r="AB1371" s="46">
        <f>'Data_in-situ'!EC140</f>
        <v>3</v>
      </c>
      <c r="AC1371" s="113">
        <f>'Data_in-situ'!EE140</f>
        <v>0.4</v>
      </c>
      <c r="AD1371" s="113">
        <f>'Data_in-situ'!EF140</f>
        <v>1.0392304845413263</v>
      </c>
      <c r="AE1371" s="46">
        <f>'Data_in-situ'!EG140</f>
        <v>3</v>
      </c>
      <c r="AF1371" s="113">
        <f>'Data_in-situ'!EN129</f>
        <v>-7.08</v>
      </c>
      <c r="AG1371" s="113">
        <f>'Data_in-situ'!EO129</f>
        <v>2.8850745031591569</v>
      </c>
      <c r="AH1371" s="110">
        <f>'Data_in-situ'!EP129</f>
        <v>18</v>
      </c>
      <c r="AI1371" s="113">
        <f>'Data_in-situ'!ER129</f>
        <v>-36.11</v>
      </c>
      <c r="AJ1371" s="113">
        <f>'Data_in-situ'!ES129</f>
        <v>8.190255472217002</v>
      </c>
      <c r="AK1371" s="110">
        <f>'Data_in-situ'!ET129</f>
        <v>18</v>
      </c>
    </row>
    <row r="1372" spans="2:37" x14ac:dyDescent="0.3">
      <c r="N1372" s="24">
        <f>'Data_in-situ'!DA447</f>
        <v>-4783.7690721649478</v>
      </c>
      <c r="O1372" s="24">
        <f>'Data_in-situ'!DB447</f>
        <v>1766.9819161761379</v>
      </c>
      <c r="P1372" s="46">
        <f>'Data_in-situ'!DC447</f>
        <v>3</v>
      </c>
      <c r="Q1372" s="24">
        <f>'Data_in-situ'!DE447</f>
        <v>-17986.9717113402</v>
      </c>
      <c r="R1372" s="24">
        <f>'Data_in-situ'!DF447</f>
        <v>3327.1138134409139</v>
      </c>
      <c r="S1372" s="46">
        <f>'Data_in-situ'!DG447</f>
        <v>3</v>
      </c>
      <c r="T1372" s="113">
        <f>'Data_in-situ'!DN167</f>
        <v>2.9175154909077907</v>
      </c>
      <c r="U1372" s="113">
        <f>'Data_in-situ'!DO167</f>
        <v>16.507200000000001</v>
      </c>
      <c r="V1372" s="46">
        <f>'Data_in-situ'!DP167</f>
        <v>8</v>
      </c>
      <c r="W1372" s="113">
        <f>'Data_in-situ'!DR167</f>
        <v>-0.3033323434259278</v>
      </c>
      <c r="X1372" s="113">
        <f>'Data_in-situ'!DS167</f>
        <v>3.4939236241769644</v>
      </c>
      <c r="Y1372" s="46">
        <f>'Data_in-situ'!DT167</f>
        <v>8</v>
      </c>
      <c r="Z1372" s="113">
        <f>'Data_in-situ'!EA145</f>
        <v>-6.8828571428571433E-2</v>
      </c>
      <c r="AA1372" s="113">
        <f>'Data_in-situ'!EB145</f>
        <v>0.39576270143804132</v>
      </c>
      <c r="AB1372" s="46">
        <f>'Data_in-situ'!EC145</f>
        <v>4</v>
      </c>
      <c r="AC1372" s="113">
        <f>'Data_in-situ'!EE145</f>
        <v>0.19271999999999997</v>
      </c>
      <c r="AD1372" s="113">
        <f>'Data_in-situ'!EF145</f>
        <v>0.28775782163506208</v>
      </c>
      <c r="AE1372" s="46">
        <f>'Data_in-situ'!EG145</f>
        <v>4</v>
      </c>
      <c r="AF1372" s="113">
        <f>'Data_in-situ'!EN133</f>
        <v>-4.96</v>
      </c>
      <c r="AG1372" s="113">
        <f>'Data_in-situ'!EO133</f>
        <v>2.0211821378064148</v>
      </c>
      <c r="AH1372" s="110">
        <f>'Data_in-situ'!EP133</f>
        <v>21</v>
      </c>
      <c r="AI1372" s="113">
        <f>'Data_in-situ'!ER133</f>
        <v>-14.16</v>
      </c>
      <c r="AJ1372" s="113">
        <f>'Data_in-situ'!ES133</f>
        <v>3.2116869976901894</v>
      </c>
      <c r="AK1372" s="110">
        <f>'Data_in-situ'!ET133</f>
        <v>21</v>
      </c>
    </row>
    <row r="1373" spans="2:37" x14ac:dyDescent="0.3">
      <c r="N1373" s="24">
        <f>'Data_in-situ'!DA448</f>
        <v>-1943.3333333333333</v>
      </c>
      <c r="O1373" s="24">
        <f>'Data_in-situ'!DB448</f>
        <v>436</v>
      </c>
      <c r="P1373" s="46">
        <f>'Data_in-situ'!DC448</f>
        <v>3</v>
      </c>
      <c r="Q1373" s="24">
        <f>'Data_in-situ'!DE448</f>
        <v>-4766.666666666667</v>
      </c>
      <c r="R1373" s="24">
        <f>'Data_in-situ'!DF448</f>
        <v>1203</v>
      </c>
      <c r="S1373" s="46">
        <f>'Data_in-situ'!DG448</f>
        <v>3</v>
      </c>
      <c r="T1373" s="113">
        <f>'Data_in-situ'!DN168</f>
        <v>11.795840386040403</v>
      </c>
      <c r="U1373" s="113">
        <f>'Data_in-situ'!DO168</f>
        <v>13.150938144632661</v>
      </c>
      <c r="V1373" s="46">
        <f>'Data_in-situ'!DP168</f>
        <v>3</v>
      </c>
      <c r="W1373" s="113">
        <f>'Data_in-situ'!DR168</f>
        <v>0.26812694984226471</v>
      </c>
      <c r="X1373" s="113">
        <f>'Data_in-situ'!DS168</f>
        <v>1.002048405980223</v>
      </c>
      <c r="Y1373" s="46">
        <f>'Data_in-situ'!DT168</f>
        <v>3</v>
      </c>
      <c r="Z1373" s="113">
        <f>'Data_in-situ'!EA168</f>
        <v>9.3513037184644965</v>
      </c>
      <c r="AA1373" s="113">
        <f>'Data_in-situ'!EB168</f>
        <v>53.769781135553693</v>
      </c>
      <c r="AB1373" s="46">
        <f>'Data_in-situ'!EC168</f>
        <v>3</v>
      </c>
      <c r="AC1373" s="113">
        <f>'Data_in-situ'!EE168</f>
        <v>12.26580629480485</v>
      </c>
      <c r="AD1373" s="113">
        <f>'Data_in-situ'!EF168</f>
        <v>18.314558426684705</v>
      </c>
      <c r="AE1373" s="46">
        <f>'Data_in-situ'!EG168</f>
        <v>3</v>
      </c>
      <c r="AF1373" s="113">
        <f>'Data_in-situ'!EN136</f>
        <v>-7.2545662413056524</v>
      </c>
      <c r="AG1373" s="113">
        <f>'Data_in-situ'!EO136</f>
        <v>1.3531236339616048</v>
      </c>
      <c r="AH1373" s="110">
        <f>'Data_in-situ'!EP136</f>
        <v>3</v>
      </c>
      <c r="AI1373" s="113">
        <f>'Data_in-situ'!ER136</f>
        <v>-28.596491228070171</v>
      </c>
      <c r="AJ1373" s="113">
        <f>'Data_in-situ'!ES136</f>
        <v>2.2785559654849021</v>
      </c>
      <c r="AK1373" s="110">
        <f>'Data_in-situ'!ET136</f>
        <v>3</v>
      </c>
    </row>
    <row r="1374" spans="2:37" x14ac:dyDescent="0.3">
      <c r="N1374" s="24">
        <f>'Data_in-situ'!DA449</f>
        <v>-2676.6666666666665</v>
      </c>
      <c r="O1374" s="24">
        <f>'Data_in-situ'!DB449</f>
        <v>563</v>
      </c>
      <c r="P1374" s="46">
        <f>'Data_in-situ'!DC449</f>
        <v>3</v>
      </c>
      <c r="Q1374" s="24">
        <f>'Data_in-situ'!DE449</f>
        <v>-11000</v>
      </c>
      <c r="R1374" s="24">
        <f>'Data_in-situ'!DF449</f>
        <v>2602</v>
      </c>
      <c r="S1374" s="46">
        <f>'Data_in-situ'!DG449</f>
        <v>3</v>
      </c>
      <c r="T1374" s="113">
        <f>'Data_in-situ'!DN169</f>
        <v>14.661871345978286</v>
      </c>
      <c r="U1374" s="113">
        <f>'Data_in-situ'!DO169</f>
        <v>16.346216703958547</v>
      </c>
      <c r="V1374" s="46">
        <f>'Data_in-situ'!DP169</f>
        <v>3</v>
      </c>
      <c r="W1374" s="113">
        <f>'Data_in-situ'!DR169</f>
        <v>4.2578559634951523</v>
      </c>
      <c r="X1374" s="113">
        <f>'Data_in-situ'!DS169</f>
        <v>15.912528686965901</v>
      </c>
      <c r="Y1374" s="46">
        <f>'Data_in-situ'!DT169</f>
        <v>3</v>
      </c>
      <c r="Z1374" s="113">
        <f>'Data_in-situ'!EA169</f>
        <v>10.444427313037668</v>
      </c>
      <c r="AA1374" s="113">
        <f>'Data_in-situ'!EB169</f>
        <v>60.055216643145187</v>
      </c>
      <c r="AB1374" s="46">
        <f>'Data_in-situ'!EC169</f>
        <v>3</v>
      </c>
      <c r="AC1374" s="113">
        <f>'Data_in-situ'!EE169</f>
        <v>19.289099302725344</v>
      </c>
      <c r="AD1374" s="113">
        <f>'Data_in-situ'!EF169</f>
        <v>28.801313805804487</v>
      </c>
      <c r="AE1374" s="46">
        <f>'Data_in-situ'!EG169</f>
        <v>3</v>
      </c>
      <c r="AF1374" s="113">
        <f>'Data_in-situ'!EN137</f>
        <v>-6.8927332639611532</v>
      </c>
      <c r="AG1374" s="113">
        <f>'Data_in-situ'!EO137</f>
        <v>1.3328157064282187</v>
      </c>
      <c r="AH1374" s="110">
        <f>'Data_in-situ'!EP137</f>
        <v>3</v>
      </c>
      <c r="AI1374" s="113">
        <f>'Data_in-situ'!ER137</f>
        <v>-20.420000000000002</v>
      </c>
      <c r="AJ1374" s="113">
        <f>'Data_in-situ'!ES137</f>
        <v>3.03</v>
      </c>
      <c r="AK1374" s="110">
        <f>'Data_in-situ'!ET137</f>
        <v>3</v>
      </c>
    </row>
    <row r="1375" spans="2:37" x14ac:dyDescent="0.3">
      <c r="N1375" s="24">
        <f>'Data_in-situ'!DA468</f>
        <v>-1350</v>
      </c>
      <c r="O1375" s="24">
        <f>'Data_in-situ'!DB468</f>
        <v>2670</v>
      </c>
      <c r="P1375" s="46">
        <f>'Data_in-situ'!DC468</f>
        <v>1</v>
      </c>
      <c r="Q1375" s="24">
        <f>'Data_in-situ'!DE468</f>
        <v>-320</v>
      </c>
      <c r="R1375" s="24">
        <f>'Data_in-situ'!DF468</f>
        <v>1110</v>
      </c>
      <c r="S1375" s="46">
        <f>'Data_in-situ'!DG468</f>
        <v>1</v>
      </c>
      <c r="T1375" s="113">
        <f>'Data_in-situ'!DN170</f>
        <v>5.1084348128521384</v>
      </c>
      <c r="U1375" s="113">
        <f>'Data_in-situ'!DO170</f>
        <v>5.6952881728724067</v>
      </c>
      <c r="V1375" s="46">
        <f>'Data_in-situ'!DP170</f>
        <v>3</v>
      </c>
      <c r="W1375" s="113">
        <f>'Data_in-situ'!DR170</f>
        <v>-0.69713006958988755</v>
      </c>
      <c r="X1375" s="113">
        <f>'Data_in-situ'!DS170</f>
        <v>2.6053258555485774</v>
      </c>
      <c r="Y1375" s="46">
        <f>'Data_in-situ'!DT170</f>
        <v>3</v>
      </c>
      <c r="Z1375" s="113">
        <f>'Data_in-situ'!EA203</f>
        <v>0.80142857142857149</v>
      </c>
      <c r="AA1375" s="113">
        <f>'Data_in-situ'!EB203</f>
        <v>0.1905255888325765</v>
      </c>
      <c r="AB1375" s="46">
        <f>'Data_in-situ'!EC203</f>
        <v>3</v>
      </c>
      <c r="AC1375" s="113">
        <f>'Data_in-situ'!EE203</f>
        <v>1.5242857142857142</v>
      </c>
      <c r="AD1375" s="113">
        <f>'Data_in-situ'!EF203</f>
        <v>0.3538332364033564</v>
      </c>
      <c r="AE1375" s="46">
        <f>'Data_in-situ'!EG203</f>
        <v>3</v>
      </c>
      <c r="AF1375" s="113">
        <f>'Data_in-situ'!EN138</f>
        <v>-7.2545662413056524</v>
      </c>
      <c r="AG1375" s="113">
        <f>'Data_in-situ'!EO138</f>
        <v>1.3531236339616048</v>
      </c>
      <c r="AH1375" s="110">
        <f>'Data_in-situ'!EP138</f>
        <v>3</v>
      </c>
      <c r="AI1375" s="113">
        <f>'Data_in-situ'!ER138</f>
        <v>-22.46</v>
      </c>
      <c r="AJ1375" s="113">
        <f>'Data_in-situ'!ES138</f>
        <v>2.21</v>
      </c>
      <c r="AK1375" s="110">
        <f>'Data_in-situ'!ET138</f>
        <v>3</v>
      </c>
    </row>
    <row r="1376" spans="2:37" x14ac:dyDescent="0.3">
      <c r="T1376" s="113">
        <f>'Data_in-situ'!DN171</f>
        <v>8.2133016861181183</v>
      </c>
      <c r="U1376" s="113">
        <f>'Data_in-situ'!DO171</f>
        <v>9.1568399454753813</v>
      </c>
      <c r="V1376" s="46">
        <f>'Data_in-situ'!DP171</f>
        <v>3</v>
      </c>
      <c r="W1376" s="113">
        <f>'Data_in-situ'!DR171</f>
        <v>3.0351970722144359</v>
      </c>
      <c r="X1376" s="113">
        <f>'Data_in-situ'!DS171</f>
        <v>11.343187955696123</v>
      </c>
      <c r="Y1376" s="46">
        <f>'Data_in-situ'!DT171</f>
        <v>3</v>
      </c>
      <c r="Z1376" s="113">
        <f>'Data_in-situ'!EA204</f>
        <v>0.80142857142857149</v>
      </c>
      <c r="AA1376" s="113">
        <f>'Data_in-situ'!EB204</f>
        <v>0.1905255888325765</v>
      </c>
      <c r="AB1376" s="46">
        <f>'Data_in-situ'!EC204</f>
        <v>3</v>
      </c>
      <c r="AC1376" s="113">
        <f>'Data_in-situ'!EE204</f>
        <v>1.4614285714285715</v>
      </c>
      <c r="AD1376" s="113">
        <f>'Data_in-situ'!EF204</f>
        <v>0.21774353009437314</v>
      </c>
      <c r="AE1376" s="46">
        <f>'Data_in-situ'!EG204</f>
        <v>3</v>
      </c>
      <c r="AF1376" s="113">
        <f>'Data_in-situ'!EN139</f>
        <v>-6.8927332639611532</v>
      </c>
      <c r="AG1376" s="113">
        <f>'Data_in-situ'!EO139</f>
        <v>1.3328157064282187</v>
      </c>
      <c r="AH1376" s="110">
        <f>'Data_in-situ'!EP139</f>
        <v>3</v>
      </c>
      <c r="AI1376" s="113">
        <f>'Data_in-situ'!ER139</f>
        <v>-16.070318436140084</v>
      </c>
      <c r="AJ1376" s="113">
        <f>'Data_in-situ'!ES139</f>
        <v>1.1726469643872839</v>
      </c>
      <c r="AK1376" s="110">
        <f>'Data_in-situ'!ET139</f>
        <v>3</v>
      </c>
    </row>
    <row r="1377" spans="20:37" x14ac:dyDescent="0.3">
      <c r="T1377" s="113">
        <f>'Data_in-situ'!DN176</f>
        <v>1294.4026579568806</v>
      </c>
      <c r="U1377" s="113">
        <f>'Data_in-situ'!DO176</f>
        <v>1425.6221977894311</v>
      </c>
      <c r="V1377" s="46">
        <f>'Data_in-situ'!DP176</f>
        <v>4</v>
      </c>
      <c r="W1377" s="113">
        <f>'Data_in-situ'!DR176</f>
        <v>22.36227209479982</v>
      </c>
      <c r="X1377" s="113">
        <f>'Data_in-situ'!DS176</f>
        <v>23.370237472575557</v>
      </c>
      <c r="Y1377" s="46">
        <f>'Data_in-situ'!DT176</f>
        <v>3</v>
      </c>
      <c r="Z1377" s="113">
        <f>'Data_in-situ'!EA211</f>
        <v>-0.17393369108406392</v>
      </c>
      <c r="AA1377" s="113">
        <f>'Data_in-situ'!EB211</f>
        <v>1.6605685683663671</v>
      </c>
      <c r="AB1377" s="46">
        <f>'Data_in-situ'!EC211</f>
        <v>46</v>
      </c>
      <c r="AC1377" s="113">
        <f>'Data_in-situ'!EE211</f>
        <v>6.6517114309370617</v>
      </c>
      <c r="AD1377" s="113">
        <f>'Data_in-situ'!EF211</f>
        <v>10.95710857096801</v>
      </c>
      <c r="AE1377" s="46">
        <f>'Data_in-situ'!EG211</f>
        <v>73</v>
      </c>
      <c r="AF1377" s="113">
        <f>'Data_in-situ'!EN140</f>
        <v>-7.2545662413056524</v>
      </c>
      <c r="AG1377" s="113">
        <f>'Data_in-situ'!EO140</f>
        <v>1.3531236339616048</v>
      </c>
      <c r="AH1377" s="110">
        <f>'Data_in-situ'!EP140</f>
        <v>3</v>
      </c>
      <c r="AI1377" s="113">
        <f>'Data_in-situ'!ER140</f>
        <v>-18.404147413501633</v>
      </c>
      <c r="AJ1377" s="113">
        <f>'Data_in-situ'!ES140</f>
        <v>1.4652840768454194</v>
      </c>
      <c r="AK1377" s="110">
        <f>'Data_in-situ'!ET140</f>
        <v>3</v>
      </c>
    </row>
    <row r="1378" spans="20:37" x14ac:dyDescent="0.3">
      <c r="T1378" s="113">
        <f>'Data_in-situ'!DN177</f>
        <v>835.37440260212782</v>
      </c>
      <c r="U1378" s="113">
        <f>'Data_in-situ'!DO177</f>
        <v>1277.3279087005756</v>
      </c>
      <c r="V1378" s="46">
        <f>'Data_in-situ'!DP177</f>
        <v>4</v>
      </c>
      <c r="W1378" s="113">
        <f>'Data_in-situ'!DR177</f>
        <v>14.31185414067193</v>
      </c>
      <c r="X1378" s="113">
        <f>'Data_in-situ'!DS177</f>
        <v>14.416523575818015</v>
      </c>
      <c r="Y1378" s="46">
        <f>'Data_in-situ'!DT177</f>
        <v>3</v>
      </c>
      <c r="Z1378" s="113">
        <f>'Data_in-situ'!EA254</f>
        <v>1.9797330692495084E-2</v>
      </c>
      <c r="AA1378" s="113">
        <f>'Data_in-situ'!EB254</f>
        <v>9.4097353220211316E-2</v>
      </c>
      <c r="AB1378" s="46">
        <f>'Data_in-situ'!EC254</f>
        <v>3</v>
      </c>
      <c r="AC1378" s="113">
        <f>'Data_in-situ'!EE254</f>
        <v>2.4487558815364012E-2</v>
      </c>
      <c r="AD1378" s="113">
        <f>'Data_in-situ'!EF254</f>
        <v>5.089541115262039E-2</v>
      </c>
      <c r="AE1378" s="46">
        <f>'Data_in-situ'!EG254</f>
        <v>3</v>
      </c>
      <c r="AF1378" s="113">
        <f>'Data_in-situ'!EN145</f>
        <v>-5</v>
      </c>
      <c r="AG1378" s="113">
        <f>'Data_in-situ'!EO145</f>
        <v>2.0374819937564665</v>
      </c>
      <c r="AH1378" s="110">
        <f>'Data_in-situ'!EP145</f>
        <v>4</v>
      </c>
      <c r="AI1378" s="113">
        <f>'Data_in-situ'!ER145</f>
        <v>-7.666666666666667</v>
      </c>
      <c r="AJ1378" s="113">
        <f>'Data_in-situ'!ES145</f>
        <v>1.7389077435704887</v>
      </c>
      <c r="AK1378" s="110">
        <f>'Data_in-situ'!ET145</f>
        <v>6</v>
      </c>
    </row>
    <row r="1379" spans="20:37" x14ac:dyDescent="0.3">
      <c r="T1379" s="113">
        <f>'Data_in-situ'!DN178</f>
        <v>564.51922087106243</v>
      </c>
      <c r="U1379" s="113">
        <f>'Data_in-situ'!DO178</f>
        <v>574.53047753186331</v>
      </c>
      <c r="V1379" s="46">
        <f>'Data_in-situ'!DP178</f>
        <v>4</v>
      </c>
      <c r="W1379" s="113">
        <f>'Data_in-situ'!DR178</f>
        <v>18.784308559631839</v>
      </c>
      <c r="X1379" s="113">
        <f>'Data_in-situ'!DS178</f>
        <v>16.576139153459437</v>
      </c>
      <c r="Y1379" s="46">
        <f>'Data_in-situ'!DT178</f>
        <v>3</v>
      </c>
      <c r="Z1379" s="113">
        <f>'Data_in-situ'!EA255</f>
        <v>-0.1060571287097951</v>
      </c>
      <c r="AA1379" s="113">
        <f>'Data_in-situ'!EB255</f>
        <v>0.28407129566600942</v>
      </c>
      <c r="AB1379" s="46">
        <f>'Data_in-situ'!EC255</f>
        <v>3</v>
      </c>
      <c r="AC1379" s="113">
        <f>'Data_in-situ'!EE255</f>
        <v>-1.1798551065584481E-2</v>
      </c>
      <c r="AD1379" s="113">
        <f>'Data_in-situ'!EF255</f>
        <v>4.6464249030440392E-2</v>
      </c>
      <c r="AE1379" s="46">
        <f>'Data_in-situ'!EG255</f>
        <v>3</v>
      </c>
      <c r="AF1379" s="113">
        <f>'Data_in-situ'!EN167</f>
        <v>-18</v>
      </c>
      <c r="AG1379" s="113">
        <f>'Data_in-situ'!EO167</f>
        <v>7.3349351775232803</v>
      </c>
      <c r="AH1379" s="110">
        <f>'Data_in-situ'!EP167</f>
        <v>3</v>
      </c>
      <c r="AI1379" s="113">
        <f>'Data_in-situ'!ER167</f>
        <v>-37</v>
      </c>
      <c r="AJ1379" s="113">
        <f>'Data_in-situ'!ES167</f>
        <v>8.3921199798401851</v>
      </c>
      <c r="AK1379" s="110">
        <f>'Data_in-situ'!ET167</f>
        <v>3</v>
      </c>
    </row>
    <row r="1380" spans="20:37" x14ac:dyDescent="0.3">
      <c r="T1380" s="113">
        <f>'Data_in-situ'!DN179</f>
        <v>140.79806050736187</v>
      </c>
      <c r="U1380" s="113">
        <f>'Data_in-situ'!DO179</f>
        <v>57.85185596345088</v>
      </c>
      <c r="V1380" s="46">
        <f>'Data_in-situ'!DP179</f>
        <v>3</v>
      </c>
      <c r="W1380" s="113">
        <f>'Data_in-situ'!DR179</f>
        <v>22.365263658588713</v>
      </c>
      <c r="X1380" s="113">
        <f>'Data_in-situ'!DS179</f>
        <v>28.96859337526929</v>
      </c>
      <c r="Y1380" s="46">
        <f>'Data_in-situ'!DT179</f>
        <v>3</v>
      </c>
      <c r="Z1380" s="113">
        <f>'Data_in-situ'!EA256</f>
        <v>-4.2277844422856668E-2</v>
      </c>
      <c r="AA1380" s="113">
        <f>'Data_in-situ'!EB256</f>
        <v>0.1213395789758789</v>
      </c>
      <c r="AB1380" s="46">
        <f>'Data_in-situ'!EC256</f>
        <v>3</v>
      </c>
      <c r="AC1380" s="113">
        <f>'Data_in-situ'!EE256</f>
        <v>4.8975117630728024E-2</v>
      </c>
      <c r="AD1380" s="113">
        <f>'Data_in-situ'!EF256</f>
        <v>0.13610077440950419</v>
      </c>
      <c r="AE1380" s="46">
        <f>'Data_in-situ'!EG256</f>
        <v>3</v>
      </c>
      <c r="AF1380" s="113">
        <f>'Data_in-situ'!EN168</f>
        <v>-7.118297455968686</v>
      </c>
      <c r="AG1380" s="113">
        <f>'Data_in-situ'!EO168</f>
        <v>2.0896725316659488</v>
      </c>
      <c r="AH1380" s="110">
        <f>'Data_in-situ'!EP168</f>
        <v>3</v>
      </c>
      <c r="AI1380" s="113">
        <f>'Data_in-situ'!ER168</f>
        <v>-41.42054794520547</v>
      </c>
      <c r="AJ1380" s="113">
        <f>'Data_in-situ'!ES168</f>
        <v>4.0513805156967972</v>
      </c>
      <c r="AK1380" s="110">
        <f>'Data_in-situ'!ET168</f>
        <v>3</v>
      </c>
    </row>
    <row r="1381" spans="20:37" x14ac:dyDescent="0.3">
      <c r="T1381" s="113">
        <f>'Data_in-situ'!DN180</f>
        <v>129.84710024567806</v>
      </c>
      <c r="U1381" s="113">
        <f>'Data_in-situ'!DO180</f>
        <v>45.955805142101362</v>
      </c>
      <c r="V1381" s="46">
        <f>'Data_in-situ'!DP180</f>
        <v>3</v>
      </c>
      <c r="W1381" s="113">
        <f>'Data_in-situ'!DR180</f>
        <v>14.486591233404059</v>
      </c>
      <c r="X1381" s="113">
        <f>'Data_in-situ'!DS180</f>
        <v>18.662006281146603</v>
      </c>
      <c r="Y1381" s="46">
        <f>'Data_in-situ'!DT180</f>
        <v>3</v>
      </c>
      <c r="Z1381" s="113">
        <f>'Data_in-situ'!EA257</f>
        <v>-4.2422851483918042E-3</v>
      </c>
      <c r="AA1381" s="113">
        <f>'Data_in-situ'!EB257</f>
        <v>0.15345744896774013</v>
      </c>
      <c r="AB1381" s="46">
        <f>'Data_in-situ'!EC257</f>
        <v>3</v>
      </c>
      <c r="AC1381" s="113">
        <f>'Data_in-situ'!EE257</f>
        <v>0.11130708552438189</v>
      </c>
      <c r="AD1381" s="113">
        <f>'Data_in-situ'!EF257</f>
        <v>0.10440008400553796</v>
      </c>
      <c r="AE1381" s="46">
        <f>'Data_in-situ'!EG257</f>
        <v>3</v>
      </c>
      <c r="AF1381" s="113">
        <f>'Data_in-situ'!EN169</f>
        <v>-23.325205479452055</v>
      </c>
      <c r="AG1381" s="113">
        <f>'Data_in-situ'!EO169</f>
        <v>9.1345235133236322</v>
      </c>
      <c r="AH1381" s="110">
        <f>'Data_in-situ'!EP169</f>
        <v>3</v>
      </c>
      <c r="AI1381" s="113">
        <f>'Data_in-situ'!ER169</f>
        <v>-50.248283223625691</v>
      </c>
      <c r="AJ1381" s="113">
        <f>'Data_in-situ'!ES169</f>
        <v>5.5408758417852315</v>
      </c>
      <c r="AK1381" s="110">
        <f>'Data_in-situ'!ET169</f>
        <v>3</v>
      </c>
    </row>
    <row r="1382" spans="20:37" x14ac:dyDescent="0.3">
      <c r="T1382" s="113">
        <f>'Data_in-situ'!DN181</f>
        <v>159.57113524167664</v>
      </c>
      <c r="U1382" s="113">
        <f>'Data_in-situ'!DO181</f>
        <v>73.816751459863269</v>
      </c>
      <c r="V1382" s="46">
        <f>'Data_in-situ'!DP181</f>
        <v>3</v>
      </c>
      <c r="W1382" s="113">
        <f>'Data_in-situ'!DR181</f>
        <v>15.757344850369346</v>
      </c>
      <c r="X1382" s="113">
        <f>'Data_in-situ'!DS181</f>
        <v>19.375072891550516</v>
      </c>
      <c r="Y1382" s="46">
        <f>'Data_in-situ'!DT181</f>
        <v>3</v>
      </c>
      <c r="Z1382" s="113">
        <f>'Data_in-situ'!EA258</f>
        <v>-5.3028564354897549E-2</v>
      </c>
      <c r="AA1382" s="113">
        <f>'Data_in-situ'!EB258</f>
        <v>0.14435421348527655</v>
      </c>
      <c r="AB1382" s="46">
        <f>'Data_in-situ'!EC258</f>
        <v>3</v>
      </c>
      <c r="AC1382" s="113">
        <f>'Data_in-situ'!EE258</f>
        <v>-7.5688818156579678E-3</v>
      </c>
      <c r="AD1382" s="113">
        <f>'Data_in-situ'!EF258</f>
        <v>3.6346822857934974E-2</v>
      </c>
      <c r="AE1382" s="46">
        <f>'Data_in-situ'!EG258</f>
        <v>3</v>
      </c>
      <c r="AF1382" s="113">
        <f>'Data_in-situ'!EN170</f>
        <v>-5.9909980430528433</v>
      </c>
      <c r="AG1382" s="113">
        <f>'Data_in-situ'!EO170</f>
        <v>3.1338536679828461</v>
      </c>
      <c r="AH1382" s="110">
        <f>'Data_in-situ'!EP170</f>
        <v>3</v>
      </c>
      <c r="AI1382" s="113">
        <f>'Data_in-situ'!ER170</f>
        <v>-25.035567514677091</v>
      </c>
      <c r="AJ1382" s="113">
        <f>'Data_in-situ'!ES170</f>
        <v>3.3576627131775418</v>
      </c>
      <c r="AK1382" s="110">
        <f>'Data_in-situ'!ET170</f>
        <v>3</v>
      </c>
    </row>
    <row r="1383" spans="20:37" x14ac:dyDescent="0.3">
      <c r="T1383" s="113">
        <f>'Data_in-situ'!DN182</f>
        <v>1413.9420186433458</v>
      </c>
      <c r="U1383" s="113">
        <f>'Data_in-situ'!DO182</f>
        <v>520.26850212340003</v>
      </c>
      <c r="V1383" s="46">
        <f>'Data_in-situ'!DP182</f>
        <v>3</v>
      </c>
      <c r="W1383" s="113">
        <f>'Data_in-situ'!DR182</f>
        <v>5.2453106713176574</v>
      </c>
      <c r="X1383" s="113">
        <f>'Data_in-situ'!DS182</f>
        <v>10.686883582340696</v>
      </c>
      <c r="Y1383" s="46">
        <f>'Data_in-situ'!DT182</f>
        <v>3</v>
      </c>
      <c r="Z1383" s="113">
        <f>'Data_in-situ'!EA259</f>
        <v>-2.1211425741959021E-3</v>
      </c>
      <c r="AA1383" s="113">
        <f>'Data_in-situ'!EB259</f>
        <v>0.11034884630218306</v>
      </c>
      <c r="AB1383" s="46">
        <f>'Data_in-situ'!EC259</f>
        <v>3</v>
      </c>
      <c r="AC1383" s="113">
        <f>'Data_in-situ'!EE259</f>
        <v>6.0105826183166223E-3</v>
      </c>
      <c r="AD1383" s="113">
        <f>'Data_in-situ'!EF259</f>
        <v>5.4024465971174704E-2</v>
      </c>
      <c r="AE1383" s="46">
        <f>'Data_in-situ'!EG259</f>
        <v>3</v>
      </c>
      <c r="AF1383" s="113">
        <f>'Data_in-situ'!EN171</f>
        <v>-28.456673189823867</v>
      </c>
      <c r="AG1383" s="113">
        <f>'Data_in-situ'!EO171</f>
        <v>9.4179374135466869</v>
      </c>
      <c r="AH1383" s="110">
        <f>'Data_in-situ'!EP171</f>
        <v>3</v>
      </c>
      <c r="AI1383" s="113">
        <f>'Data_in-situ'!ER171</f>
        <v>-19.023532289628182</v>
      </c>
      <c r="AJ1383" s="113">
        <f>'Data_in-situ'!ES171</f>
        <v>6.0791484886821818</v>
      </c>
      <c r="AK1383" s="110">
        <f>'Data_in-situ'!ET171</f>
        <v>3</v>
      </c>
    </row>
    <row r="1384" spans="20:37" x14ac:dyDescent="0.3">
      <c r="T1384" s="113">
        <f>'Data_in-situ'!DN183</f>
        <v>965.8440732691339</v>
      </c>
      <c r="U1384" s="113">
        <f>'Data_in-situ'!DO183</f>
        <v>308.47001167764779</v>
      </c>
      <c r="V1384" s="46">
        <f>'Data_in-situ'!DP183</f>
        <v>3</v>
      </c>
      <c r="W1384" s="113">
        <f>'Data_in-situ'!DR183</f>
        <v>5.2453106713176574</v>
      </c>
      <c r="X1384" s="113">
        <f>'Data_in-situ'!DS183</f>
        <v>10.686883582340696</v>
      </c>
      <c r="Y1384" s="46">
        <f>'Data_in-situ'!DT183</f>
        <v>3</v>
      </c>
      <c r="Z1384" s="113">
        <f>'Data_in-situ'!EA264</f>
        <v>8.484570296783607E-2</v>
      </c>
      <c r="AA1384" s="113">
        <f>'Data_in-situ'!EB264</f>
        <v>0.23150687644726506</v>
      </c>
      <c r="AB1384" s="46">
        <f>'Data_in-situ'!EC264</f>
        <v>3</v>
      </c>
      <c r="AC1384" s="113">
        <f>'Data_in-situ'!EE264</f>
        <v>0.16473448657608519</v>
      </c>
      <c r="AD1384" s="113">
        <f>'Data_in-situ'!EF264</f>
        <v>0.18337619194833357</v>
      </c>
      <c r="AE1384" s="46">
        <f>'Data_in-situ'!EG264</f>
        <v>3</v>
      </c>
      <c r="AF1384" s="113">
        <f>'Data_in-situ'!EN176</f>
        <v>-7.2</v>
      </c>
      <c r="AG1384" s="113">
        <f>'Data_in-situ'!EO176</f>
        <v>2.1</v>
      </c>
      <c r="AH1384" s="110">
        <f>'Data_in-situ'!EP176</f>
        <v>4</v>
      </c>
      <c r="AI1384" s="113">
        <f>'Data_in-situ'!ER176</f>
        <v>-39.6</v>
      </c>
      <c r="AJ1384" s="113">
        <f>'Data_in-situ'!ES176</f>
        <v>17.2</v>
      </c>
      <c r="AK1384" s="110">
        <f>'Data_in-situ'!ET176</f>
        <v>3</v>
      </c>
    </row>
    <row r="1385" spans="20:37" x14ac:dyDescent="0.3">
      <c r="T1385" s="113">
        <f>'Data_in-situ'!DN184</f>
        <v>1212.2979432249506</v>
      </c>
      <c r="U1385" s="113">
        <f>'Data_in-situ'!DO184</f>
        <v>318.03950472765939</v>
      </c>
      <c r="V1385" s="46">
        <f>'Data_in-situ'!DP184</f>
        <v>3</v>
      </c>
      <c r="W1385" s="113">
        <f>'Data_in-situ'!DR184</f>
        <v>5.2453106713176574</v>
      </c>
      <c r="X1385" s="113">
        <f>'Data_in-situ'!DS184</f>
        <v>10.686883582340696</v>
      </c>
      <c r="Y1385" s="46">
        <f>'Data_in-situ'!DT184</f>
        <v>3</v>
      </c>
      <c r="Z1385" s="113">
        <f>'Data_in-situ'!EA265</f>
        <v>7.7775227720516399E-2</v>
      </c>
      <c r="AA1385" s="113">
        <f>'Data_in-situ'!EB265</f>
        <v>0.21037856459857804</v>
      </c>
      <c r="AB1385" s="46">
        <f>'Data_in-situ'!EC265</f>
        <v>3</v>
      </c>
      <c r="AC1385" s="113">
        <f>'Data_in-situ'!EE265</f>
        <v>4.0070550788777477E-2</v>
      </c>
      <c r="AD1385" s="113">
        <f>'Data_in-situ'!EF265</f>
        <v>1.5796303365028162E-2</v>
      </c>
      <c r="AE1385" s="46">
        <f>'Data_in-situ'!EG265</f>
        <v>3</v>
      </c>
      <c r="AF1385" s="113">
        <f>'Data_in-situ'!EN177</f>
        <v>-9.1999999999999993</v>
      </c>
      <c r="AG1385" s="113">
        <f>'Data_in-situ'!EO177</f>
        <v>4.8</v>
      </c>
      <c r="AH1385" s="110">
        <f>'Data_in-situ'!EP177</f>
        <v>4</v>
      </c>
      <c r="AI1385" s="113">
        <f>'Data_in-situ'!ER177</f>
        <v>-41</v>
      </c>
      <c r="AJ1385" s="113">
        <f>'Data_in-situ'!ES177</f>
        <v>11</v>
      </c>
      <c r="AK1385" s="110">
        <f>'Data_in-situ'!ET177</f>
        <v>3</v>
      </c>
    </row>
    <row r="1386" spans="20:37" x14ac:dyDescent="0.3">
      <c r="T1386" s="113">
        <f>'Data_in-situ'!DN185</f>
        <v>319.20253634957294</v>
      </c>
      <c r="U1386" s="113">
        <f>'Data_in-situ'!DO185</f>
        <v>123.29702910462079</v>
      </c>
      <c r="V1386" s="46">
        <f>'Data_in-situ'!DP185</f>
        <v>3</v>
      </c>
      <c r="W1386" s="113">
        <f>'Data_in-situ'!DR185</f>
        <v>5.2453106713176574</v>
      </c>
      <c r="X1386" s="113">
        <f>'Data_in-situ'!DS185</f>
        <v>10.686883582340696</v>
      </c>
      <c r="Y1386" s="46">
        <f>'Data_in-situ'!DT185</f>
        <v>3</v>
      </c>
      <c r="Z1386" s="113">
        <f>'Data_in-situ'!EA266</f>
        <v>8.3674900420237147E-2</v>
      </c>
      <c r="AA1386" s="113">
        <f>'Data_in-situ'!EB266</f>
        <v>0.22267558913078545</v>
      </c>
      <c r="AB1386" s="46">
        <f>'Data_in-situ'!EC266</f>
        <v>3</v>
      </c>
      <c r="AC1386" s="113">
        <f>'Data_in-situ'!EE266</f>
        <v>0.1068548021034066</v>
      </c>
      <c r="AD1386" s="113">
        <f>'Data_in-situ'!EF266</f>
        <v>0.12190903765819365</v>
      </c>
      <c r="AE1386" s="46">
        <f>'Data_in-situ'!EG266</f>
        <v>3</v>
      </c>
      <c r="AF1386" s="113">
        <f>'Data_in-situ'!EN178</f>
        <v>-9.6999999999999993</v>
      </c>
      <c r="AG1386" s="113">
        <f>'Data_in-situ'!EO178</f>
        <v>3.7</v>
      </c>
      <c r="AH1386" s="110">
        <f>'Data_in-situ'!EP178</f>
        <v>4</v>
      </c>
      <c r="AI1386" s="113">
        <f>'Data_in-situ'!ER178</f>
        <v>-45.2</v>
      </c>
      <c r="AJ1386" s="113">
        <f>'Data_in-situ'!ES178</f>
        <v>11.5</v>
      </c>
      <c r="AK1386" s="110">
        <f>'Data_in-situ'!ET178</f>
        <v>3</v>
      </c>
    </row>
    <row r="1387" spans="20:37" x14ac:dyDescent="0.3">
      <c r="T1387" s="113">
        <f>'Data_in-situ'!DN186</f>
        <v>396.02095568448323</v>
      </c>
      <c r="U1387" s="113">
        <f>'Data_in-situ'!DO186</f>
        <v>825.11321611621167</v>
      </c>
      <c r="V1387" s="46">
        <f>'Data_in-situ'!DP186</f>
        <v>3</v>
      </c>
      <c r="W1387" s="113">
        <f>'Data_in-situ'!DR186</f>
        <v>5.2453106713176574</v>
      </c>
      <c r="X1387" s="113">
        <f>'Data_in-situ'!DS186</f>
        <v>10.686883582340696</v>
      </c>
      <c r="Y1387" s="46">
        <f>'Data_in-situ'!DT186</f>
        <v>3</v>
      </c>
      <c r="Z1387" s="113">
        <f>'Data_in-situ'!EA268</f>
        <v>-1.2019807920443442E-2</v>
      </c>
      <c r="AA1387" s="113">
        <f>'Data_in-situ'!EB268</f>
        <v>6.5123648236046217E-2</v>
      </c>
      <c r="AB1387" s="46">
        <f>'Data_in-situ'!EC268</f>
        <v>3</v>
      </c>
      <c r="AC1387" s="113">
        <f>'Data_in-situ'!EE268</f>
        <v>2.8939842236339292E-2</v>
      </c>
      <c r="AD1387" s="113">
        <f>'Data_in-situ'!EF268</f>
        <v>6.2567123803824801E-2</v>
      </c>
      <c r="AE1387" s="46">
        <f>'Data_in-situ'!EG268</f>
        <v>3</v>
      </c>
      <c r="AF1387" s="113">
        <f>'Data_in-situ'!EN179</f>
        <v>-6.75</v>
      </c>
      <c r="AG1387" s="113">
        <f>'Data_in-situ'!EO179</f>
        <v>4.0326790102858423</v>
      </c>
      <c r="AH1387" s="110">
        <f>'Data_in-situ'!EP179</f>
        <v>3</v>
      </c>
      <c r="AI1387" s="113">
        <f>'Data_in-situ'!ER179</f>
        <v>-13.2</v>
      </c>
      <c r="AJ1387" s="113">
        <f>'Data_in-situ'!ES179</f>
        <v>6.5</v>
      </c>
      <c r="AK1387" s="110">
        <f>'Data_in-situ'!ET179</f>
        <v>3</v>
      </c>
    </row>
    <row r="1388" spans="20:37" x14ac:dyDescent="0.3">
      <c r="T1388" s="113">
        <f>'Data_in-situ'!DN187</f>
        <v>353.77082505028261</v>
      </c>
      <c r="U1388" s="113">
        <f>'Data_in-situ'!DO187</f>
        <v>377.4427718737299</v>
      </c>
      <c r="V1388" s="46">
        <f>'Data_in-situ'!DP187</f>
        <v>3</v>
      </c>
      <c r="W1388" s="113">
        <f>'Data_in-situ'!DR187</f>
        <v>5.2453106713176574</v>
      </c>
      <c r="X1388" s="113">
        <f>'Data_in-situ'!DS187</f>
        <v>10.686883582340696</v>
      </c>
      <c r="Y1388" s="46">
        <f>'Data_in-situ'!DT187</f>
        <v>3</v>
      </c>
      <c r="AF1388" s="113">
        <f>'Data_in-situ'!EN180</f>
        <v>-7.05</v>
      </c>
      <c r="AG1388" s="113">
        <f>'Data_in-situ'!EO180</f>
        <v>2.8714108030722461</v>
      </c>
      <c r="AH1388" s="110">
        <f>'Data_in-situ'!EP180</f>
        <v>3</v>
      </c>
      <c r="AI1388" s="113">
        <f>'Data_in-situ'!ER180</f>
        <v>-16.899999999999999</v>
      </c>
      <c r="AJ1388" s="113">
        <f>'Data_in-situ'!ES180</f>
        <v>10.5</v>
      </c>
      <c r="AK1388" s="110">
        <f>'Data_in-situ'!ET180</f>
        <v>3</v>
      </c>
    </row>
    <row r="1389" spans="20:37" x14ac:dyDescent="0.3">
      <c r="T1389" s="113">
        <f>'Data_in-situ'!DN188</f>
        <v>1212.2979432249506</v>
      </c>
      <c r="U1389" s="113">
        <f>'Data_in-situ'!DO188</f>
        <v>318.03950472765939</v>
      </c>
      <c r="V1389" s="46">
        <f>'Data_in-situ'!DP188</f>
        <v>3</v>
      </c>
      <c r="W1389" s="113">
        <f>'Data_in-situ'!DR188</f>
        <v>4.8706456233663973</v>
      </c>
      <c r="X1389" s="113">
        <f>'Data_in-situ'!DS188</f>
        <v>10.042950275238745</v>
      </c>
      <c r="Y1389" s="46">
        <f>'Data_in-situ'!DT188</f>
        <v>3</v>
      </c>
      <c r="AF1389" s="113">
        <f>'Data_in-situ'!EN181</f>
        <v>-8.5500000000000007</v>
      </c>
      <c r="AG1389" s="113">
        <f>'Data_in-situ'!EO181</f>
        <v>4.9678969393496883</v>
      </c>
      <c r="AH1389" s="110">
        <f>'Data_in-situ'!EP181</f>
        <v>3</v>
      </c>
      <c r="AI1389" s="113">
        <f>'Data_in-situ'!ER181</f>
        <v>-16.2</v>
      </c>
      <c r="AJ1389" s="113">
        <f>'Data_in-situ'!ES181</f>
        <v>8</v>
      </c>
      <c r="AK1389" s="110">
        <f>'Data_in-situ'!ET181</f>
        <v>3</v>
      </c>
    </row>
    <row r="1390" spans="20:37" x14ac:dyDescent="0.3">
      <c r="T1390" s="113">
        <f>'Data_in-situ'!DN189</f>
        <v>1212.2979432249506</v>
      </c>
      <c r="U1390" s="113">
        <f>'Data_in-situ'!DO189</f>
        <v>318.03950472765939</v>
      </c>
      <c r="V1390" s="46">
        <f>'Data_in-situ'!DP189</f>
        <v>3</v>
      </c>
      <c r="W1390" s="113">
        <f>'Data_in-situ'!DR189</f>
        <v>4.4959805754151345</v>
      </c>
      <c r="X1390" s="113">
        <f>'Data_in-situ'!DS189</f>
        <v>9.194274493457808</v>
      </c>
      <c r="Y1390" s="46">
        <f>'Data_in-situ'!DT189</f>
        <v>3</v>
      </c>
      <c r="AF1390" s="113">
        <f>'Data_in-situ'!EN182</f>
        <v>10.513333333333334</v>
      </c>
      <c r="AG1390" s="113">
        <f>'Data_in-situ'!EO182</f>
        <v>1.0373523991392701</v>
      </c>
      <c r="AH1390" s="110">
        <f>'Data_in-situ'!EP182</f>
        <v>3</v>
      </c>
      <c r="AI1390" s="113">
        <f>'Data_in-situ'!ER182</f>
        <v>-89.296666666666667</v>
      </c>
      <c r="AJ1390" s="113">
        <f>'Data_in-situ'!ES182</f>
        <v>4.948066962629615</v>
      </c>
      <c r="AK1390" s="110">
        <f>'Data_in-situ'!ET182</f>
        <v>3</v>
      </c>
    </row>
    <row r="1391" spans="20:37" x14ac:dyDescent="0.3">
      <c r="T1391" s="113">
        <f>'Data_in-situ'!DN190</f>
        <v>1212.2979432249506</v>
      </c>
      <c r="U1391" s="113">
        <f>'Data_in-situ'!DO190</f>
        <v>318.03950472765939</v>
      </c>
      <c r="V1391" s="46">
        <f>'Data_in-situ'!DP190</f>
        <v>3</v>
      </c>
      <c r="W1391" s="113">
        <f>'Data_in-situ'!DR190</f>
        <v>6.3693058151714421</v>
      </c>
      <c r="X1391" s="113">
        <f>'Data_in-situ'!DS190</f>
        <v>13.141978030809039</v>
      </c>
      <c r="Y1391" s="46">
        <f>'Data_in-situ'!DT190</f>
        <v>3</v>
      </c>
      <c r="AF1391" s="113">
        <f>'Data_in-situ'!EN183</f>
        <v>21.581790123456788</v>
      </c>
      <c r="AG1391" s="113">
        <f>'Data_in-situ'!EO183</f>
        <v>1.1499049536443477</v>
      </c>
      <c r="AH1391" s="110">
        <f>'Data_in-situ'!EP183</f>
        <v>3</v>
      </c>
      <c r="AI1391" s="113">
        <f>'Data_in-situ'!ER183</f>
        <v>-89.296666666666667</v>
      </c>
      <c r="AJ1391" s="113">
        <f>'Data_in-situ'!ES183</f>
        <v>4.948066962629615</v>
      </c>
      <c r="AK1391" s="110">
        <f>'Data_in-situ'!ET183</f>
        <v>3</v>
      </c>
    </row>
    <row r="1392" spans="20:37" x14ac:dyDescent="0.3">
      <c r="T1392" s="113">
        <f>'Data_in-situ'!DN191</f>
        <v>353.77082505028261</v>
      </c>
      <c r="U1392" s="113">
        <f>'Data_in-situ'!DO191</f>
        <v>377.4427718737299</v>
      </c>
      <c r="V1392" s="46">
        <f>'Data_in-situ'!DP191</f>
        <v>3</v>
      </c>
      <c r="W1392" s="113">
        <f>'Data_in-situ'!DR191</f>
        <v>4.8706456233663973</v>
      </c>
      <c r="X1392" s="113">
        <f>'Data_in-situ'!DS191</f>
        <v>10.042950275238745</v>
      </c>
      <c r="Y1392" s="46">
        <f>'Data_in-situ'!DT191</f>
        <v>3</v>
      </c>
      <c r="AF1392" s="113">
        <f>'Data_in-situ'!EN184</f>
        <v>15.494138888888889</v>
      </c>
      <c r="AG1392" s="113">
        <f>'Data_in-situ'!EO184</f>
        <v>0.77024816389862394</v>
      </c>
      <c r="AH1392" s="110">
        <f>'Data_in-situ'!EP184</f>
        <v>3</v>
      </c>
      <c r="AI1392" s="113">
        <f>'Data_in-situ'!ER184</f>
        <v>-89.296666666666667</v>
      </c>
      <c r="AJ1392" s="113">
        <f>'Data_in-situ'!ES184</f>
        <v>4.948066962629615</v>
      </c>
      <c r="AK1392" s="110">
        <f>'Data_in-situ'!ET184</f>
        <v>3</v>
      </c>
    </row>
    <row r="1393" spans="20:37" x14ac:dyDescent="0.3">
      <c r="T1393" s="113">
        <f>'Data_in-situ'!DN192</f>
        <v>353.77082505028261</v>
      </c>
      <c r="U1393" s="113">
        <f>'Data_in-situ'!DO192</f>
        <v>377.4427718737299</v>
      </c>
      <c r="V1393" s="46">
        <f>'Data_in-situ'!DP192</f>
        <v>3</v>
      </c>
      <c r="W1393" s="113">
        <f>'Data_in-situ'!DR192</f>
        <v>4.4959805754151345</v>
      </c>
      <c r="X1393" s="113">
        <f>'Data_in-situ'!DS192</f>
        <v>9.194274493457808</v>
      </c>
      <c r="Y1393" s="46">
        <f>'Data_in-situ'!DT192</f>
        <v>3</v>
      </c>
      <c r="AF1393" s="113">
        <f>'Data_in-situ'!EN185</f>
        <v>-29.297839506172831</v>
      </c>
      <c r="AG1393" s="113">
        <f>'Data_in-situ'!EO185</f>
        <v>7.4871417952407429</v>
      </c>
      <c r="AH1393" s="110">
        <f>'Data_in-situ'!EP185</f>
        <v>3</v>
      </c>
      <c r="AI1393" s="113">
        <f>'Data_in-situ'!ER185</f>
        <v>-89.296666666666667</v>
      </c>
      <c r="AJ1393" s="113">
        <f>'Data_in-situ'!ES185</f>
        <v>4.948066962629615</v>
      </c>
      <c r="AK1393" s="110">
        <f>'Data_in-situ'!ET185</f>
        <v>3</v>
      </c>
    </row>
    <row r="1394" spans="20:37" x14ac:dyDescent="0.3">
      <c r="T1394" s="113">
        <f>'Data_in-situ'!DN193</f>
        <v>353.77082505028261</v>
      </c>
      <c r="U1394" s="113">
        <f>'Data_in-situ'!DO193</f>
        <v>377.4427718737299</v>
      </c>
      <c r="V1394" s="46">
        <f>'Data_in-situ'!DP193</f>
        <v>3</v>
      </c>
      <c r="W1394" s="113">
        <f>'Data_in-situ'!DR193</f>
        <v>6.3693058151714421</v>
      </c>
      <c r="X1394" s="113">
        <f>'Data_in-situ'!DS193</f>
        <v>13.141978030809039</v>
      </c>
      <c r="Y1394" s="46">
        <f>'Data_in-situ'!DT193</f>
        <v>3</v>
      </c>
      <c r="AF1394" s="113">
        <f>'Data_in-situ'!EN186</f>
        <v>-15.092592592592601</v>
      </c>
      <c r="AG1394" s="113">
        <f>'Data_in-situ'!EO186</f>
        <v>7.11534501237022</v>
      </c>
      <c r="AH1394" s="110">
        <f>'Data_in-situ'!EP186</f>
        <v>3</v>
      </c>
      <c r="AI1394" s="113">
        <f>'Data_in-situ'!ER186</f>
        <v>-89.296666666666667</v>
      </c>
      <c r="AJ1394" s="113">
        <f>'Data_in-situ'!ES186</f>
        <v>4.948066962629615</v>
      </c>
      <c r="AK1394" s="110">
        <f>'Data_in-situ'!ET186</f>
        <v>3</v>
      </c>
    </row>
    <row r="1395" spans="20:37" x14ac:dyDescent="0.3">
      <c r="T1395" s="113">
        <f>'Data_in-situ'!DN211</f>
        <v>679.54671344272833</v>
      </c>
      <c r="U1395" s="113">
        <f>'Data_in-situ'!DO211</f>
        <v>860.0591867401946</v>
      </c>
      <c r="V1395" s="46">
        <f>'Data_in-situ'!DP211</f>
        <v>46</v>
      </c>
      <c r="W1395" s="113">
        <f>'Data_in-situ'!DR211</f>
        <v>15.65177995944169</v>
      </c>
      <c r="X1395" s="113">
        <f>'Data_in-situ'!DS211</f>
        <v>24.385487937237958</v>
      </c>
      <c r="Y1395" s="46">
        <f>'Data_in-situ'!DT211</f>
        <v>73</v>
      </c>
      <c r="AF1395" s="113">
        <f>'Data_in-situ'!EN187</f>
        <v>-22.905478395061731</v>
      </c>
      <c r="AG1395" s="113">
        <f>'Data_in-situ'!EO187</f>
        <v>5.2162753162474411</v>
      </c>
      <c r="AH1395" s="110">
        <f>'Data_in-situ'!EP187</f>
        <v>3</v>
      </c>
      <c r="AI1395" s="113">
        <f>'Data_in-situ'!ER187</f>
        <v>-89.296666666666667</v>
      </c>
      <c r="AJ1395" s="113">
        <f>'Data_in-situ'!ES187</f>
        <v>4.948066962629615</v>
      </c>
      <c r="AK1395" s="110">
        <f>'Data_in-situ'!ET187</f>
        <v>3</v>
      </c>
    </row>
    <row r="1396" spans="20:37" x14ac:dyDescent="0.3">
      <c r="T1396" s="113">
        <f>'Data_in-situ'!DN317</f>
        <v>82.2</v>
      </c>
      <c r="U1396" s="113">
        <f>'Data_in-situ'!DO317</f>
        <v>91.643077568945841</v>
      </c>
      <c r="V1396" s="46">
        <f>'Data_in-situ'!DP317</f>
        <v>15</v>
      </c>
      <c r="W1396" s="113">
        <f>'Data_in-situ'!DR317</f>
        <v>27.8</v>
      </c>
      <c r="X1396" s="113">
        <f>'Data_in-situ'!DS317</f>
        <v>103.89461299074208</v>
      </c>
      <c r="Y1396" s="46">
        <f>'Data_in-situ'!DT317</f>
        <v>15</v>
      </c>
      <c r="AF1396" s="113">
        <f>'Data_in-situ'!EN188</f>
        <v>15.494138888888889</v>
      </c>
      <c r="AG1396" s="113">
        <f>'Data_in-situ'!EO188</f>
        <v>0.77024816389862394</v>
      </c>
      <c r="AH1396" s="110">
        <f>'Data_in-situ'!EP188</f>
        <v>3</v>
      </c>
      <c r="AI1396" s="113">
        <f>'Data_in-situ'!ER188</f>
        <v>-91.63</v>
      </c>
      <c r="AJ1396" s="113">
        <f>'Data_in-situ'!ES188</f>
        <v>7.7942286340599471</v>
      </c>
      <c r="AK1396" s="110">
        <f>'Data_in-situ'!ET188</f>
        <v>3</v>
      </c>
    </row>
    <row r="1397" spans="20:37" x14ac:dyDescent="0.3">
      <c r="T1397" s="113">
        <f>'Data_in-situ'!DN319</f>
        <v>38.4</v>
      </c>
      <c r="U1397" s="113">
        <f>'Data_in-situ'!DO319</f>
        <v>42.81136470374112</v>
      </c>
      <c r="V1397" s="46">
        <f>'Data_in-situ'!DP319</f>
        <v>12</v>
      </c>
      <c r="W1397" s="113">
        <f>'Data_in-situ'!DR319</f>
        <v>22.1</v>
      </c>
      <c r="X1397" s="113">
        <f>'Data_in-situ'!DS319</f>
        <v>82.592480111345324</v>
      </c>
      <c r="Y1397" s="46">
        <f>'Data_in-situ'!DT319</f>
        <v>12</v>
      </c>
      <c r="AF1397" s="113">
        <f>'Data_in-situ'!EN189</f>
        <v>15.494138888888889</v>
      </c>
      <c r="AG1397" s="113">
        <f>'Data_in-situ'!EO189</f>
        <v>0.77024816389862394</v>
      </c>
      <c r="AH1397" s="110">
        <f>'Data_in-situ'!EP189</f>
        <v>3</v>
      </c>
      <c r="AI1397" s="113">
        <f>'Data_in-situ'!ER189</f>
        <v>-87.6</v>
      </c>
      <c r="AJ1397" s="113">
        <f>'Data_in-situ'!ES189</f>
        <v>10.825317547305483</v>
      </c>
      <c r="AK1397" s="110">
        <f>'Data_in-situ'!ET189</f>
        <v>3</v>
      </c>
    </row>
    <row r="1398" spans="20:37" x14ac:dyDescent="0.3">
      <c r="T1398" s="113">
        <f>'Data_in-situ'!DN321</f>
        <v>53.5</v>
      </c>
      <c r="U1398" s="113">
        <f>'Data_in-situ'!DO321</f>
        <v>59.64604197005599</v>
      </c>
      <c r="V1398" s="46">
        <f>'Data_in-situ'!DP321</f>
        <v>15</v>
      </c>
      <c r="W1398" s="113">
        <f>'Data_in-situ'!DR321</f>
        <v>34.5</v>
      </c>
      <c r="X1398" s="113">
        <f>'Data_in-situ'!DS321</f>
        <v>128.93396216476984</v>
      </c>
      <c r="Y1398" s="46">
        <f>'Data_in-situ'!DT321</f>
        <v>15</v>
      </c>
      <c r="AF1398" s="113">
        <f>'Data_in-situ'!EN190</f>
        <v>15.494138888888889</v>
      </c>
      <c r="AG1398" s="113">
        <f>'Data_in-situ'!EO190</f>
        <v>0.77024816389862394</v>
      </c>
      <c r="AH1398" s="110">
        <f>'Data_in-situ'!EP190</f>
        <v>3</v>
      </c>
      <c r="AI1398" s="113">
        <f>'Data_in-situ'!ER190</f>
        <v>-89.296666666666667</v>
      </c>
      <c r="AJ1398" s="113">
        <f>'Data_in-situ'!ES190</f>
        <v>6.512511036458978</v>
      </c>
      <c r="AK1398" s="110">
        <f>'Data_in-situ'!ET190</f>
        <v>3</v>
      </c>
    </row>
    <row r="1399" spans="20:37" x14ac:dyDescent="0.3">
      <c r="T1399" s="113">
        <f>'Data_in-situ'!DN323</f>
        <v>24.4</v>
      </c>
      <c r="U1399" s="113">
        <f>'Data_in-situ'!DO323</f>
        <v>27.203054655502171</v>
      </c>
      <c r="V1399" s="46">
        <f>'Data_in-situ'!DP323</f>
        <v>29</v>
      </c>
      <c r="W1399" s="113">
        <f>'Data_in-situ'!DR323</f>
        <v>5.6</v>
      </c>
      <c r="X1399" s="113">
        <f>'Data_in-situ'!DS323</f>
        <v>20.928411249933653</v>
      </c>
      <c r="Y1399" s="46">
        <f>'Data_in-situ'!DT323</f>
        <v>33</v>
      </c>
      <c r="AF1399" s="113">
        <f>'Data_in-situ'!EN191</f>
        <v>-22.905478395061731</v>
      </c>
      <c r="AG1399" s="113">
        <f>'Data_in-situ'!EO191</f>
        <v>5.2162753162474411</v>
      </c>
      <c r="AH1399" s="110">
        <f>'Data_in-situ'!EP191</f>
        <v>3</v>
      </c>
      <c r="AI1399" s="113">
        <f>'Data_in-situ'!ER191</f>
        <v>-91.63</v>
      </c>
      <c r="AJ1399" s="113">
        <f>'Data_in-situ'!ES191</f>
        <v>7.7942286340599471</v>
      </c>
      <c r="AK1399" s="110">
        <f>'Data_in-situ'!ET191</f>
        <v>3</v>
      </c>
    </row>
    <row r="1400" spans="20:37" x14ac:dyDescent="0.3">
      <c r="T1400" s="113">
        <f>'Data_in-situ'!DN325</f>
        <v>19.899999999999999</v>
      </c>
      <c r="U1400" s="113">
        <f>'Data_in-situ'!DO325</f>
        <v>22.186097854282508</v>
      </c>
      <c r="V1400" s="46">
        <f>'Data_in-situ'!DP325</f>
        <v>12</v>
      </c>
      <c r="W1400" s="113">
        <f>'Data_in-situ'!DR325</f>
        <v>11.3</v>
      </c>
      <c r="X1400" s="113">
        <f>'Data_in-situ'!DS325</f>
        <v>42.230544129330411</v>
      </c>
      <c r="Y1400" s="46">
        <f>'Data_in-situ'!DT325</f>
        <v>12</v>
      </c>
      <c r="AF1400" s="113">
        <f>'Data_in-situ'!EN192</f>
        <v>-22.905478395061731</v>
      </c>
      <c r="AG1400" s="113">
        <f>'Data_in-situ'!EO192</f>
        <v>5.2162753162474411</v>
      </c>
      <c r="AH1400" s="110">
        <f>'Data_in-situ'!EP192</f>
        <v>3</v>
      </c>
      <c r="AI1400" s="113">
        <f>'Data_in-situ'!ER192</f>
        <v>-87.6</v>
      </c>
      <c r="AJ1400" s="113">
        <f>'Data_in-situ'!ES192</f>
        <v>10.825317547305483</v>
      </c>
      <c r="AK1400" s="110">
        <f>'Data_in-situ'!ET192</f>
        <v>3</v>
      </c>
    </row>
    <row r="1401" spans="20:37" x14ac:dyDescent="0.3">
      <c r="T1401" s="113">
        <f>'Data_in-situ'!DN326</f>
        <v>220.49</v>
      </c>
      <c r="U1401" s="113">
        <f>'Data_in-situ'!DO326</f>
        <v>245.81973446687189</v>
      </c>
      <c r="V1401" s="46">
        <f>'Data_in-situ'!DP326</f>
        <v>18</v>
      </c>
      <c r="W1401" s="113">
        <f>'Data_in-situ'!DR326</f>
        <v>-0.5</v>
      </c>
      <c r="X1401" s="113">
        <f>'Data_in-situ'!DS326</f>
        <v>1.868608147315505</v>
      </c>
      <c r="Y1401" s="46">
        <f>'Data_in-situ'!DT326</f>
        <v>18</v>
      </c>
      <c r="AF1401" s="113">
        <f>'Data_in-situ'!EN193</f>
        <v>-22.905478395061731</v>
      </c>
      <c r="AG1401" s="113">
        <f>'Data_in-situ'!EO193</f>
        <v>5.2162753162474411</v>
      </c>
      <c r="AH1401" s="110">
        <f>'Data_in-situ'!EP193</f>
        <v>3</v>
      </c>
      <c r="AI1401" s="113">
        <f>'Data_in-situ'!ER193</f>
        <v>-89.296666666666667</v>
      </c>
      <c r="AJ1401" s="113">
        <f>'Data_in-situ'!ES193</f>
        <v>6.512511036458978</v>
      </c>
      <c r="AK1401" s="110">
        <f>'Data_in-situ'!ET193</f>
        <v>3</v>
      </c>
    </row>
    <row r="1402" spans="20:37" x14ac:dyDescent="0.3">
      <c r="T1402" s="113">
        <f>'Data_in-situ'!DN328</f>
        <v>180.3</v>
      </c>
      <c r="U1402" s="113">
        <f>'Data_in-situ'!DO328</f>
        <v>201.0127358355345</v>
      </c>
      <c r="V1402" s="46">
        <f>'Data_in-situ'!DP328</f>
        <v>18</v>
      </c>
      <c r="W1402" s="113">
        <f>'Data_in-situ'!DR328</f>
        <v>0.2</v>
      </c>
      <c r="X1402" s="113">
        <f>'Data_in-situ'!DS328</f>
        <v>0.747443258926202</v>
      </c>
      <c r="Y1402" s="46">
        <f>'Data_in-situ'!DT328</f>
        <v>18</v>
      </c>
      <c r="AF1402" s="113">
        <f>'Data_in-situ'!EN203</f>
        <v>3</v>
      </c>
      <c r="AG1402" s="113">
        <f>'Data_in-situ'!EO203</f>
        <v>1.22248919625388</v>
      </c>
      <c r="AH1402" s="110">
        <f>'Data_in-situ'!EP203</f>
        <v>3</v>
      </c>
      <c r="AI1402" s="113">
        <f>'Data_in-situ'!ER203</f>
        <v>-42</v>
      </c>
      <c r="AJ1402" s="113">
        <f>'Data_in-situ'!ES203</f>
        <v>9.5261902473861557</v>
      </c>
      <c r="AK1402" s="110">
        <f>'Data_in-situ'!ET203</f>
        <v>3</v>
      </c>
    </row>
    <row r="1403" spans="20:37" x14ac:dyDescent="0.3">
      <c r="T1403" s="113">
        <f>'Data_in-situ'!DN330</f>
        <v>23.9</v>
      </c>
      <c r="U1403" s="113">
        <f>'Data_in-situ'!DO330</f>
        <v>26.645615010922207</v>
      </c>
      <c r="V1403" s="46">
        <f>'Data_in-situ'!DP330</f>
        <v>10</v>
      </c>
      <c r="W1403" s="113">
        <f>'Data_in-situ'!DR330</f>
        <v>8.6999999999999993</v>
      </c>
      <c r="X1403" s="113">
        <f>'Data_in-situ'!DS330</f>
        <v>32.513781763289785</v>
      </c>
      <c r="Y1403" s="46">
        <f>'Data_in-situ'!DT330</f>
        <v>15</v>
      </c>
      <c r="AF1403" s="113">
        <f>'Data_in-situ'!EN204</f>
        <v>3</v>
      </c>
      <c r="AG1403" s="113">
        <f>'Data_in-situ'!EO204</f>
        <v>1.22248919625388</v>
      </c>
      <c r="AH1403" s="110">
        <f>'Data_in-situ'!EP204</f>
        <v>3</v>
      </c>
      <c r="AI1403" s="113">
        <f>'Data_in-situ'!ER204</f>
        <v>-41</v>
      </c>
      <c r="AJ1403" s="113">
        <f>'Data_in-situ'!ES204</f>
        <v>9.2993761938769612</v>
      </c>
      <c r="AK1403" s="110">
        <f>'Data_in-situ'!ET204</f>
        <v>3</v>
      </c>
    </row>
    <row r="1404" spans="20:37" x14ac:dyDescent="0.3">
      <c r="T1404" s="113">
        <f>'Data_in-situ'!DN354</f>
        <v>129.83859113829968</v>
      </c>
      <c r="U1404" s="113">
        <f>'Data_in-situ'!DO354</f>
        <v>144.75435619379368</v>
      </c>
      <c r="V1404" s="46">
        <f>'Data_in-situ'!DP354</f>
        <v>3</v>
      </c>
      <c r="W1404" s="113">
        <f>'Data_in-situ'!DR354</f>
        <v>3.2289849407087479</v>
      </c>
      <c r="X1404" s="113">
        <f>'Data_in-situ'!DS354</f>
        <v>12.067415135534878</v>
      </c>
      <c r="Y1404" s="46">
        <f>'Data_in-situ'!DT354</f>
        <v>3</v>
      </c>
      <c r="AF1404" s="113">
        <f>'Data_in-situ'!EN211</f>
        <v>-15</v>
      </c>
      <c r="AG1404" s="113">
        <f>'Data_in-situ'!EO211</f>
        <v>13</v>
      </c>
      <c r="AH1404" s="110">
        <f>'Data_in-situ'!EP211</f>
        <v>9836</v>
      </c>
      <c r="AI1404" s="113">
        <f>'Data_in-situ'!ER211</f>
        <v>-22</v>
      </c>
      <c r="AJ1404" s="113">
        <f>'Data_in-situ'!ES211</f>
        <v>10</v>
      </c>
      <c r="AK1404" s="110">
        <f>'Data_in-situ'!ET211</f>
        <v>11052</v>
      </c>
    </row>
    <row r="1405" spans="20:37" x14ac:dyDescent="0.3">
      <c r="T1405" s="113">
        <f>'Data_in-situ'!DN355</f>
        <v>104.97588219692315</v>
      </c>
      <c r="U1405" s="113">
        <f>'Data_in-situ'!DO355</f>
        <v>117.03543692264172</v>
      </c>
      <c r="V1405" s="46">
        <f>'Data_in-situ'!DP355</f>
        <v>3</v>
      </c>
      <c r="W1405" s="113">
        <f>'Data_in-situ'!DR355</f>
        <v>16.732012874581695</v>
      </c>
      <c r="X1405" s="113">
        <f>'Data_in-situ'!DS355</f>
        <v>62.531151156862556</v>
      </c>
      <c r="Y1405" s="46">
        <f>'Data_in-situ'!DT355</f>
        <v>3</v>
      </c>
      <c r="AF1405" s="113">
        <f>'Data_in-situ'!EN254</f>
        <v>-28</v>
      </c>
      <c r="AG1405" s="113">
        <f>'Data_in-situ'!EO254</f>
        <v>11.409899165036213</v>
      </c>
      <c r="AH1405" s="110">
        <f>'Data_in-situ'!EP254</f>
        <v>3</v>
      </c>
      <c r="AI1405" s="113">
        <f>'Data_in-situ'!ER254</f>
        <v>-36</v>
      </c>
      <c r="AJ1405" s="113">
        <f>'Data_in-situ'!ES254</f>
        <v>8.1653059263309906</v>
      </c>
      <c r="AK1405" s="110">
        <f>'Data_in-situ'!ET254</f>
        <v>3</v>
      </c>
    </row>
    <row r="1406" spans="20:37" x14ac:dyDescent="0.3">
      <c r="T1406" s="113">
        <f>'Data_in-situ'!DN356</f>
        <v>104.97588219692315</v>
      </c>
      <c r="U1406" s="113">
        <f>'Data_in-situ'!DO356</f>
        <v>117.03543692264172</v>
      </c>
      <c r="V1406" s="46">
        <f>'Data_in-situ'!DP356</f>
        <v>3</v>
      </c>
      <c r="W1406" s="113">
        <f>'Data_in-situ'!DR356</f>
        <v>0</v>
      </c>
      <c r="X1406" s="113">
        <f>'Data_in-situ'!DS356</f>
        <v>0</v>
      </c>
      <c r="Y1406" s="46">
        <f>'Data_in-situ'!DT356</f>
        <v>3</v>
      </c>
      <c r="AF1406" s="113">
        <f>'Data_in-situ'!EN255</f>
        <v>-18</v>
      </c>
      <c r="AG1406" s="113">
        <f>'Data_in-situ'!EO255</f>
        <v>7.3349351775232803</v>
      </c>
      <c r="AH1406" s="110">
        <f>'Data_in-situ'!EP255</f>
        <v>3</v>
      </c>
      <c r="AI1406" s="113">
        <f>'Data_in-situ'!ER255</f>
        <v>-24</v>
      </c>
      <c r="AJ1406" s="113">
        <f>'Data_in-situ'!ES255</f>
        <v>5.4435372842206604</v>
      </c>
      <c r="AK1406" s="110">
        <f>'Data_in-situ'!ET255</f>
        <v>3</v>
      </c>
    </row>
    <row r="1407" spans="20:37" x14ac:dyDescent="0.3">
      <c r="T1407" s="113">
        <f>'Data_in-situ'!DN357</f>
        <v>113.26345184404866</v>
      </c>
      <c r="U1407" s="113">
        <f>'Data_in-situ'!DO357</f>
        <v>126.27507667969238</v>
      </c>
      <c r="V1407" s="46">
        <f>'Data_in-situ'!DP357</f>
        <v>3</v>
      </c>
      <c r="W1407" s="113">
        <f>'Data_in-situ'!DR357</f>
        <v>5.2837935393415876</v>
      </c>
      <c r="X1407" s="113">
        <f>'Data_in-situ'!DS357</f>
        <v>19.746679312693438</v>
      </c>
      <c r="Y1407" s="46">
        <f>'Data_in-situ'!DT357</f>
        <v>3</v>
      </c>
      <c r="AF1407" s="113">
        <f>'Data_in-situ'!EN256</f>
        <v>-11</v>
      </c>
      <c r="AG1407" s="113">
        <f>'Data_in-situ'!EO256</f>
        <v>4.4824603862642265</v>
      </c>
      <c r="AH1407" s="110">
        <f>'Data_in-situ'!EP256</f>
        <v>3</v>
      </c>
      <c r="AI1407" s="113">
        <f>'Data_in-situ'!ER256</f>
        <v>-13</v>
      </c>
      <c r="AJ1407" s="113">
        <f>'Data_in-situ'!ES256</f>
        <v>2.9485826956195242</v>
      </c>
      <c r="AK1407" s="110">
        <f>'Data_in-situ'!ET256</f>
        <v>3</v>
      </c>
    </row>
    <row r="1408" spans="20:37" x14ac:dyDescent="0.3">
      <c r="T1408" s="113">
        <f>'Data_in-situ'!DN358</f>
        <v>109.11966702048591</v>
      </c>
      <c r="U1408" s="113">
        <f>'Data_in-situ'!DO358</f>
        <v>121.65525680116704</v>
      </c>
      <c r="V1408" s="46">
        <f>'Data_in-situ'!DP358</f>
        <v>3</v>
      </c>
      <c r="W1408" s="113">
        <f>'Data_in-situ'!DR358</f>
        <v>3.5225290262277253</v>
      </c>
      <c r="X1408" s="113">
        <f>'Data_in-situ'!DS358</f>
        <v>13.164452875128958</v>
      </c>
      <c r="Y1408" s="46">
        <f>'Data_in-situ'!DT358</f>
        <v>3</v>
      </c>
      <c r="AF1408" s="113">
        <f>'Data_in-situ'!EN257</f>
        <v>-16</v>
      </c>
      <c r="AG1408" s="113">
        <f>'Data_in-situ'!EO257</f>
        <v>6.5199423800206935</v>
      </c>
      <c r="AH1408" s="110">
        <f>'Data_in-situ'!EP257</f>
        <v>3</v>
      </c>
      <c r="AI1408" s="113">
        <f>'Data_in-situ'!ER257</f>
        <v>-20</v>
      </c>
      <c r="AJ1408" s="113">
        <f>'Data_in-situ'!ES257</f>
        <v>4.5362810701838834</v>
      </c>
      <c r="AK1408" s="110">
        <f>'Data_in-situ'!ET257</f>
        <v>3</v>
      </c>
    </row>
    <row r="1409" spans="20:37" x14ac:dyDescent="0.3">
      <c r="T1409" s="113">
        <f>'Data_in-situ'!DN359</f>
        <v>109.11966702048591</v>
      </c>
      <c r="U1409" s="113">
        <f>'Data_in-situ'!DO359</f>
        <v>121.65525680116704</v>
      </c>
      <c r="V1409" s="46">
        <f>'Data_in-situ'!DP359</f>
        <v>3</v>
      </c>
      <c r="W1409" s="113">
        <f>'Data_in-situ'!DR359</f>
        <v>0.88063225655693134</v>
      </c>
      <c r="X1409" s="113">
        <f>'Data_in-situ'!DS359</f>
        <v>3.2911132187822396</v>
      </c>
      <c r="Y1409" s="46">
        <f>'Data_in-situ'!DT359</f>
        <v>3</v>
      </c>
      <c r="AF1409" s="113">
        <f>'Data_in-situ'!EN258</f>
        <v>-12</v>
      </c>
      <c r="AG1409" s="113">
        <f>'Data_in-situ'!EO258</f>
        <v>4.8899567850155199</v>
      </c>
      <c r="AH1409" s="110">
        <f>'Data_in-situ'!EP258</f>
        <v>3</v>
      </c>
      <c r="AI1409" s="113">
        <f>'Data_in-situ'!ER258</f>
        <v>-27</v>
      </c>
      <c r="AJ1409" s="113">
        <f>'Data_in-situ'!ES258</f>
        <v>6.123979444748243</v>
      </c>
      <c r="AK1409" s="110">
        <f>'Data_in-situ'!ET258</f>
        <v>3</v>
      </c>
    </row>
    <row r="1410" spans="20:37" x14ac:dyDescent="0.3">
      <c r="T1410" s="113">
        <f>'Data_in-situ'!DN416</f>
        <v>102.39147844674257</v>
      </c>
      <c r="U1410" s="113">
        <f>'Data_in-situ'!DO416</f>
        <v>25.149528090905832</v>
      </c>
      <c r="V1410" s="46">
        <f>'Data_in-situ'!DP416</f>
        <v>5</v>
      </c>
      <c r="W1410" s="113">
        <f>'Data_in-situ'!DR416</f>
        <v>6.6536659384301489</v>
      </c>
      <c r="X1410" s="113">
        <f>'Data_in-situ'!DS416</f>
        <v>9.0885183749652523</v>
      </c>
      <c r="Y1410" s="46">
        <f>'Data_in-situ'!DT416</f>
        <v>5</v>
      </c>
      <c r="AF1410" s="113">
        <f>'Data_in-situ'!EN264</f>
        <v>-28</v>
      </c>
      <c r="AG1410" s="113">
        <f>'Data_in-situ'!EO264</f>
        <v>11.409899165036213</v>
      </c>
      <c r="AH1410" s="110">
        <f>'Data_in-situ'!EP264</f>
        <v>3</v>
      </c>
      <c r="AI1410" s="113">
        <f>'Data_in-situ'!ER264</f>
        <v>-36</v>
      </c>
      <c r="AJ1410" s="113">
        <f>'Data_in-situ'!ES264</f>
        <v>8.1653059263309906</v>
      </c>
      <c r="AK1410" s="110">
        <f>'Data_in-situ'!ET264</f>
        <v>3</v>
      </c>
    </row>
    <row r="1411" spans="20:37" x14ac:dyDescent="0.3">
      <c r="T1411" s="113">
        <f>'Data_in-situ'!DN417</f>
        <v>970.38416592642932</v>
      </c>
      <c r="U1411" s="113">
        <f>'Data_in-situ'!DO417</f>
        <v>1081.8612091201044</v>
      </c>
      <c r="V1411" s="46">
        <f>'Data_in-situ'!DP417</f>
        <v>5</v>
      </c>
      <c r="W1411" s="113">
        <f>'Data_in-situ'!DR417</f>
        <v>2.3483526841518167</v>
      </c>
      <c r="X1411" s="113">
        <f>'Data_in-situ'!DS417</f>
        <v>4.0730546894946382</v>
      </c>
      <c r="Y1411" s="46">
        <f>'Data_in-situ'!DT417</f>
        <v>6</v>
      </c>
      <c r="AF1411" s="113">
        <f>'Data_in-situ'!EN265</f>
        <v>-18</v>
      </c>
      <c r="AG1411" s="113">
        <f>'Data_in-situ'!EO265</f>
        <v>7.3349351775232803</v>
      </c>
      <c r="AH1411" s="110">
        <f>'Data_in-situ'!EP265</f>
        <v>3</v>
      </c>
      <c r="AI1411" s="113">
        <f>'Data_in-situ'!ER265</f>
        <v>-24</v>
      </c>
      <c r="AJ1411" s="113">
        <f>'Data_in-situ'!ES265</f>
        <v>5.4435372842206604</v>
      </c>
      <c r="AK1411" s="110">
        <f>'Data_in-situ'!ET265</f>
        <v>3</v>
      </c>
    </row>
    <row r="1412" spans="20:37" x14ac:dyDescent="0.3">
      <c r="AF1412" s="113">
        <f>'Data_in-situ'!EN266</f>
        <v>-11</v>
      </c>
      <c r="AG1412" s="113">
        <f>'Data_in-situ'!EO266</f>
        <v>4.4824603862642265</v>
      </c>
      <c r="AH1412" s="110">
        <f>'Data_in-situ'!EP266</f>
        <v>3</v>
      </c>
      <c r="AI1412" s="113">
        <f>'Data_in-situ'!ER266</f>
        <v>-13</v>
      </c>
      <c r="AJ1412" s="113">
        <f>'Data_in-situ'!ES266</f>
        <v>2.9485826956195242</v>
      </c>
      <c r="AK1412" s="110">
        <f>'Data_in-situ'!ET266</f>
        <v>3</v>
      </c>
    </row>
    <row r="1413" spans="20:37" x14ac:dyDescent="0.3">
      <c r="AF1413" s="113">
        <f>'Data_in-situ'!EN267</f>
        <v>-16</v>
      </c>
      <c r="AG1413" s="113">
        <f>'Data_in-situ'!EO267</f>
        <v>6.5199423800206935</v>
      </c>
      <c r="AH1413" s="110">
        <f>'Data_in-situ'!EP267</f>
        <v>3</v>
      </c>
      <c r="AI1413" s="113">
        <f>'Data_in-situ'!ER267</f>
        <v>-20</v>
      </c>
      <c r="AJ1413" s="113">
        <f>'Data_in-situ'!ES267</f>
        <v>4.5362810701838834</v>
      </c>
      <c r="AK1413" s="110">
        <f>'Data_in-situ'!ET267</f>
        <v>3</v>
      </c>
    </row>
    <row r="1414" spans="20:37" x14ac:dyDescent="0.3">
      <c r="AF1414" s="113">
        <f>'Data_in-situ'!EN268</f>
        <v>-12</v>
      </c>
      <c r="AG1414" s="113">
        <f>'Data_in-situ'!EO268</f>
        <v>4.8899567850155199</v>
      </c>
      <c r="AH1414" s="110">
        <f>'Data_in-situ'!EP268</f>
        <v>3</v>
      </c>
      <c r="AI1414" s="113">
        <f>'Data_in-situ'!ER268</f>
        <v>-27</v>
      </c>
      <c r="AJ1414" s="113">
        <f>'Data_in-situ'!ES268</f>
        <v>6.123979444748243</v>
      </c>
      <c r="AK1414" s="110">
        <f>'Data_in-situ'!ET268</f>
        <v>3</v>
      </c>
    </row>
    <row r="1415" spans="20:37" x14ac:dyDescent="0.3">
      <c r="AF1415" s="113">
        <f>'Data_in-situ'!EN317</f>
        <v>-18.7</v>
      </c>
      <c r="AG1415" s="113">
        <f>'Data_in-situ'!EO317</f>
        <v>7.2</v>
      </c>
      <c r="AH1415" s="110">
        <f>'Data_in-situ'!EP317</f>
        <v>15</v>
      </c>
      <c r="AI1415" s="113">
        <f>'Data_in-situ'!ER317</f>
        <v>-34.5</v>
      </c>
      <c r="AJ1415" s="113">
        <f>'Data_in-situ'!ES317</f>
        <v>9.3000000000000007</v>
      </c>
      <c r="AK1415" s="110">
        <f>'Data_in-situ'!ET317</f>
        <v>15</v>
      </c>
    </row>
    <row r="1416" spans="20:37" x14ac:dyDescent="0.3">
      <c r="AF1416" s="113">
        <f>'Data_in-situ'!EN319</f>
        <v>-27.8</v>
      </c>
      <c r="AG1416" s="113">
        <f>'Data_in-situ'!EO319</f>
        <v>9.3000000000000007</v>
      </c>
      <c r="AH1416" s="110">
        <f>'Data_in-situ'!EP319</f>
        <v>12</v>
      </c>
      <c r="AI1416" s="113">
        <f>'Data_in-situ'!ER319</f>
        <v>-31.9</v>
      </c>
      <c r="AJ1416" s="113">
        <f>'Data_in-situ'!ES319</f>
        <v>7.5</v>
      </c>
      <c r="AK1416" s="110">
        <f>'Data_in-situ'!ET319</f>
        <v>12</v>
      </c>
    </row>
    <row r="1417" spans="20:37" x14ac:dyDescent="0.3">
      <c r="AF1417" s="113">
        <f>'Data_in-situ'!EN321</f>
        <v>-16.600000000000001</v>
      </c>
      <c r="AG1417" s="113">
        <f>'Data_in-situ'!EO321</f>
        <v>8.1999999999999993</v>
      </c>
      <c r="AH1417" s="110">
        <f>'Data_in-situ'!EP321</f>
        <v>15</v>
      </c>
      <c r="AI1417" s="113">
        <f>'Data_in-situ'!ER321</f>
        <v>-17.100000000000001</v>
      </c>
      <c r="AJ1417" s="113">
        <f>'Data_in-situ'!ES321</f>
        <v>11.3</v>
      </c>
      <c r="AK1417" s="110">
        <f>'Data_in-situ'!ET321</f>
        <v>15</v>
      </c>
    </row>
    <row r="1418" spans="20:37" x14ac:dyDescent="0.3">
      <c r="AF1418" s="113">
        <f>'Data_in-situ'!EN323</f>
        <v>-26.2</v>
      </c>
      <c r="AG1418" s="113">
        <f>'Data_in-situ'!EO323</f>
        <v>12.1</v>
      </c>
      <c r="AH1418" s="110">
        <f>'Data_in-situ'!EP323</f>
        <v>29</v>
      </c>
      <c r="AI1418" s="113">
        <f>'Data_in-situ'!ER323</f>
        <v>-30</v>
      </c>
      <c r="AJ1418" s="113">
        <f>'Data_in-situ'!ES323</f>
        <v>11.2</v>
      </c>
      <c r="AK1418" s="110">
        <f>'Data_in-situ'!ET323</f>
        <v>33</v>
      </c>
    </row>
    <row r="1419" spans="20:37" x14ac:dyDescent="0.3">
      <c r="AF1419" s="113">
        <f>'Data_in-situ'!EN325</f>
        <v>-38.9</v>
      </c>
      <c r="AG1419" s="113">
        <f>'Data_in-situ'!EO325</f>
        <v>9.4</v>
      </c>
      <c r="AH1419" s="110">
        <f>'Data_in-situ'!EP325</f>
        <v>12</v>
      </c>
      <c r="AI1419" s="113">
        <f>'Data_in-situ'!ER325</f>
        <v>-44.7</v>
      </c>
      <c r="AJ1419" s="113">
        <f>'Data_in-situ'!ES325</f>
        <v>8.9</v>
      </c>
      <c r="AK1419" s="110">
        <f>'Data_in-situ'!ET325</f>
        <v>12</v>
      </c>
    </row>
    <row r="1420" spans="20:37" x14ac:dyDescent="0.3">
      <c r="AF1420" s="113">
        <f>'Data_in-situ'!EN326</f>
        <v>-2.5</v>
      </c>
      <c r="AG1420" s="113">
        <f>'Data_in-situ'!EO326</f>
        <v>2.2999999999999998</v>
      </c>
      <c r="AH1420" s="110">
        <f>'Data_in-situ'!EP326</f>
        <v>18</v>
      </c>
      <c r="AI1420" s="113">
        <f>'Data_in-situ'!ER326</f>
        <v>-30.1</v>
      </c>
      <c r="AJ1420" s="113">
        <f>'Data_in-situ'!ES326</f>
        <v>13.9</v>
      </c>
      <c r="AK1420" s="110">
        <f>'Data_in-situ'!ET326</f>
        <v>18</v>
      </c>
    </row>
    <row r="1421" spans="20:37" x14ac:dyDescent="0.3">
      <c r="AF1421" s="113">
        <f>'Data_in-situ'!EN328</f>
        <v>-8.3000000000000007</v>
      </c>
      <c r="AG1421" s="113">
        <f>'Data_in-situ'!EO328</f>
        <v>7.5</v>
      </c>
      <c r="AH1421" s="110">
        <f>'Data_in-situ'!EP328</f>
        <v>18</v>
      </c>
      <c r="AI1421" s="113">
        <f>'Data_in-situ'!ER328</f>
        <v>-32</v>
      </c>
      <c r="AJ1421" s="113">
        <f>'Data_in-situ'!ES328</f>
        <v>17.2</v>
      </c>
      <c r="AK1421" s="110">
        <f>'Data_in-situ'!ET328</f>
        <v>18</v>
      </c>
    </row>
    <row r="1422" spans="20:37" x14ac:dyDescent="0.3">
      <c r="AF1422" s="113">
        <f>'Data_in-situ'!EN330</f>
        <v>-27.5</v>
      </c>
      <c r="AG1422" s="113">
        <f>'Data_in-situ'!EO330</f>
        <v>13.7</v>
      </c>
      <c r="AH1422" s="110">
        <f>'Data_in-situ'!EP330</f>
        <v>10</v>
      </c>
      <c r="AI1422" s="113">
        <f>'Data_in-situ'!ER330</f>
        <v>-43.3</v>
      </c>
      <c r="AJ1422" s="113">
        <f>'Data_in-situ'!ES330</f>
        <v>10.7</v>
      </c>
      <c r="AK1422" s="110">
        <f>'Data_in-situ'!ET330</f>
        <v>15</v>
      </c>
    </row>
    <row r="1423" spans="20:37" x14ac:dyDescent="0.3">
      <c r="AF1423" s="113">
        <f>'Data_in-situ'!EN354</f>
        <v>-2.9</v>
      </c>
      <c r="AG1423" s="113">
        <f>'Data_in-situ'!EO354</f>
        <v>2.4</v>
      </c>
      <c r="AH1423" s="110">
        <f>'Data_in-situ'!EP354</f>
        <v>3</v>
      </c>
      <c r="AI1423" s="113">
        <f>'Data_in-situ'!ER354</f>
        <v>-24.2</v>
      </c>
      <c r="AJ1423" s="113">
        <f>'Data_in-situ'!ES354</f>
        <v>10.3</v>
      </c>
      <c r="AK1423" s="110">
        <f>'Data_in-situ'!ET354</f>
        <v>2</v>
      </c>
    </row>
    <row r="1424" spans="20:37" x14ac:dyDescent="0.3">
      <c r="AF1424" s="113">
        <f>'Data_in-situ'!EN355</f>
        <v>-10.6</v>
      </c>
      <c r="AG1424" s="113">
        <f>'Data_in-situ'!EO355</f>
        <v>7.7</v>
      </c>
      <c r="AH1424" s="110">
        <f>'Data_in-situ'!EP355</f>
        <v>3</v>
      </c>
      <c r="AI1424" s="113">
        <f>'Data_in-situ'!ER355</f>
        <v>-13.2</v>
      </c>
      <c r="AJ1424" s="113">
        <f>'Data_in-situ'!ES355</f>
        <v>6.5</v>
      </c>
      <c r="AK1424" s="110">
        <f>'Data_in-situ'!ET355</f>
        <v>3</v>
      </c>
    </row>
    <row r="1425" spans="1:37" x14ac:dyDescent="0.3">
      <c r="AF1425" s="113">
        <f>'Data_in-situ'!EN356</f>
        <v>-10.6</v>
      </c>
      <c r="AG1425" s="113">
        <f>'Data_in-situ'!EO356</f>
        <v>7.7</v>
      </c>
      <c r="AH1425" s="110">
        <f>'Data_in-situ'!EP356</f>
        <v>3</v>
      </c>
      <c r="AI1425" s="113">
        <f>'Data_in-situ'!ER356</f>
        <v>-53.1</v>
      </c>
      <c r="AJ1425" s="113">
        <f>'Data_in-situ'!ES356</f>
        <v>10.3</v>
      </c>
      <c r="AK1425" s="110">
        <f>'Data_in-situ'!ET356</f>
        <v>1</v>
      </c>
    </row>
    <row r="1426" spans="1:37" x14ac:dyDescent="0.3">
      <c r="AF1426" s="113">
        <f>'Data_in-situ'!EN357</f>
        <v>-3.9</v>
      </c>
      <c r="AG1426" s="113">
        <f>'Data_in-situ'!EO357</f>
        <v>3.3</v>
      </c>
      <c r="AH1426" s="110">
        <f>'Data_in-situ'!EP357</f>
        <v>3</v>
      </c>
      <c r="AI1426" s="113">
        <f>'Data_in-situ'!ER357</f>
        <v>-25.6</v>
      </c>
      <c r="AJ1426" s="113">
        <f>'Data_in-situ'!ES357</f>
        <v>10.3</v>
      </c>
      <c r="AK1426" s="110">
        <f>'Data_in-situ'!ET357</f>
        <v>2</v>
      </c>
    </row>
    <row r="1427" spans="1:37" x14ac:dyDescent="0.3">
      <c r="AF1427" s="113">
        <f>'Data_in-situ'!EN358</f>
        <v>-10.199999999999999</v>
      </c>
      <c r="AG1427" s="113">
        <f>'Data_in-situ'!EO358</f>
        <v>4.7</v>
      </c>
      <c r="AH1427" s="110">
        <f>'Data_in-situ'!EP358</f>
        <v>3</v>
      </c>
      <c r="AI1427" s="113">
        <f>'Data_in-situ'!ER358</f>
        <v>-16.899999999999999</v>
      </c>
      <c r="AJ1427" s="113">
        <f>'Data_in-situ'!ES358</f>
        <v>10.3</v>
      </c>
      <c r="AK1427" s="110">
        <f>'Data_in-situ'!ET358</f>
        <v>3</v>
      </c>
    </row>
    <row r="1428" spans="1:37" x14ac:dyDescent="0.3">
      <c r="AF1428" s="113">
        <f>'Data_in-situ'!EN359</f>
        <v>-10.199999999999999</v>
      </c>
      <c r="AG1428" s="113">
        <f>'Data_in-situ'!EO359</f>
        <v>4.7</v>
      </c>
      <c r="AH1428" s="110">
        <f>'Data_in-situ'!EP359</f>
        <v>3</v>
      </c>
      <c r="AI1428" s="113">
        <f>'Data_in-situ'!ER359</f>
        <v>-57.1</v>
      </c>
      <c r="AJ1428" s="113">
        <f>'Data_in-situ'!ES359</f>
        <v>7.4</v>
      </c>
      <c r="AK1428" s="110">
        <f>'Data_in-situ'!ET359</f>
        <v>1</v>
      </c>
    </row>
    <row r="1429" spans="1:37" x14ac:dyDescent="0.3">
      <c r="AF1429" s="113">
        <f>'Data_in-situ'!EN416</f>
        <v>-9.4</v>
      </c>
      <c r="AG1429" s="113">
        <f>'Data_in-situ'!EO416</f>
        <v>9.3000000000000007</v>
      </c>
      <c r="AH1429" s="110">
        <f>'Data_in-situ'!EP416</f>
        <v>5</v>
      </c>
      <c r="AI1429" s="113">
        <f>'Data_in-situ'!ER416</f>
        <v>-21.2</v>
      </c>
      <c r="AJ1429" s="113">
        <f>'Data_in-situ'!ES416</f>
        <v>14.9</v>
      </c>
      <c r="AK1429" s="110">
        <f>'Data_in-situ'!ET416</f>
        <v>5</v>
      </c>
    </row>
    <row r="1430" spans="1:37" x14ac:dyDescent="0.3">
      <c r="AF1430" s="113">
        <f>'Data_in-situ'!EN417</f>
        <v>-6.5</v>
      </c>
      <c r="AG1430" s="113">
        <f>'Data_in-situ'!EO417</f>
        <v>3.5</v>
      </c>
      <c r="AH1430" s="110">
        <f>'Data_in-situ'!EP417</f>
        <v>5</v>
      </c>
      <c r="AI1430" s="113">
        <f>'Data_in-situ'!ER417</f>
        <v>-30.6</v>
      </c>
      <c r="AJ1430" s="113">
        <f>'Data_in-situ'!ES417</f>
        <v>14.8</v>
      </c>
      <c r="AK1430" s="110">
        <f>'Data_in-situ'!ET417</f>
        <v>5</v>
      </c>
    </row>
    <row r="1431" spans="1:37" x14ac:dyDescent="0.3">
      <c r="AF1431" s="113">
        <f>'Data_in-situ'!EN447</f>
        <v>-17.3</v>
      </c>
      <c r="AG1431" s="113">
        <f>'Data_in-situ'!EO447</f>
        <v>2.2516660498395402</v>
      </c>
      <c r="AH1431" s="110">
        <f>'Data_in-situ'!EP447</f>
        <v>3</v>
      </c>
      <c r="AI1431" s="113">
        <f>'Data_in-situ'!ER447</f>
        <v>-21.9</v>
      </c>
      <c r="AJ1431" s="113">
        <f>'Data_in-situ'!ES447</f>
        <v>3.4641016151377544</v>
      </c>
      <c r="AK1431" s="110">
        <f>'Data_in-situ'!ET447</f>
        <v>3</v>
      </c>
    </row>
    <row r="1432" spans="1:37" x14ac:dyDescent="0.3">
      <c r="AF1432" s="113">
        <f>'Data_in-situ'!EN448</f>
        <v>-6</v>
      </c>
      <c r="AG1432" s="113">
        <f>'Data_in-situ'!EO448</f>
        <v>-3</v>
      </c>
      <c r="AH1432" s="110">
        <f>'Data_in-situ'!EP448</f>
        <v>3</v>
      </c>
      <c r="AI1432" s="113">
        <f>'Data_in-situ'!ER448</f>
        <v>-21.8</v>
      </c>
      <c r="AJ1432" s="113">
        <f>'Data_in-situ'!ES448</f>
        <v>6.5</v>
      </c>
      <c r="AK1432" s="110">
        <f>'Data_in-situ'!ET448</f>
        <v>3</v>
      </c>
    </row>
    <row r="1433" spans="1:37" x14ac:dyDescent="0.3">
      <c r="AF1433" s="113">
        <f>'Data_in-situ'!EN449</f>
        <v>-7</v>
      </c>
      <c r="AG1433" s="113">
        <f>'Data_in-situ'!EO449</f>
        <v>4</v>
      </c>
      <c r="AH1433" s="110">
        <f>'Data_in-situ'!EP449</f>
        <v>3</v>
      </c>
      <c r="AI1433" s="113">
        <f>'Data_in-situ'!ER449</f>
        <v>-22.6</v>
      </c>
      <c r="AJ1433" s="113">
        <f>'Data_in-situ'!ES449</f>
        <v>5.6</v>
      </c>
      <c r="AK1433" s="110">
        <f>'Data_in-situ'!ET449</f>
        <v>3</v>
      </c>
    </row>
    <row r="1435" spans="1:37" x14ac:dyDescent="0.3">
      <c r="A1435" s="110" t="s">
        <v>831</v>
      </c>
      <c r="B1435" s="24">
        <f>AVERAGEA(B1352:B1433)</f>
        <v>-15908.197863852942</v>
      </c>
      <c r="C1435" s="24">
        <f>STDEVA(B1352:B1433)/SQRT(COUNT(B1352:B1433))</f>
        <v>3431.0045465196454</v>
      </c>
      <c r="D1435" s="46">
        <f>COUNT(B1352:B1433)</f>
        <v>14</v>
      </c>
      <c r="E1435" s="24">
        <f>AVERAGEA(E1352:E1433)</f>
        <v>-25036.778799959098</v>
      </c>
      <c r="F1435" s="24">
        <f>STDEVA(E1352:E1433)/SQRT(COUNT(E1352:E1433))</f>
        <v>6792.1821082930064</v>
      </c>
      <c r="G1435" s="46">
        <f>COUNT(E1352:E1433)</f>
        <v>14</v>
      </c>
      <c r="H1435" s="24">
        <f>AVERAGEA(H1352:H1433)</f>
        <v>13527.795162776887</v>
      </c>
      <c r="I1435" s="24">
        <f>STDEVA(H1352:H1433)/SQRT(COUNT(H1352:H1433))</f>
        <v>3344.3036975583691</v>
      </c>
      <c r="J1435" s="110">
        <f>COUNT(H1352:H1433)</f>
        <v>14</v>
      </c>
      <c r="K1435" s="24">
        <f>AVERAGEA(K1352:K1433)</f>
        <v>22424.027803254587</v>
      </c>
      <c r="L1435" s="24">
        <f>STDEVA(K1352:K1433)/SQRT(COUNT(K1352:K1433))</f>
        <v>5637.7272061878048</v>
      </c>
      <c r="M1435" s="110">
        <f>COUNT(K1352:K1433)</f>
        <v>14</v>
      </c>
      <c r="N1435" s="24">
        <f>AVERAGEA(N1352:N1433)</f>
        <v>-584.63342067259407</v>
      </c>
      <c r="O1435" s="24">
        <f>STDEVA(N1352:N1433)/SQRT(COUNT(N1352:N1433))</f>
        <v>605.08356534577365</v>
      </c>
      <c r="P1435" s="110">
        <f>COUNT(N1352:N1433)</f>
        <v>24</v>
      </c>
      <c r="Q1435" s="24">
        <f>AVERAGEA(Q1352:Q1433)</f>
        <v>-1918.734423825834</v>
      </c>
      <c r="R1435" s="24">
        <f>STDEVA(Q1352:Q1433)/SQRT(COUNT(Q1352:Q1433))</f>
        <v>1431.6763722264234</v>
      </c>
      <c r="S1435" s="110">
        <f>COUNT(Q1352:Q1433)</f>
        <v>24</v>
      </c>
      <c r="T1435" s="113">
        <f>AVERAGEA(T1352:T1433)</f>
        <v>366.29006946087816</v>
      </c>
      <c r="U1435" s="113">
        <f>STDEVA(T1352:T1433)/SQRT(COUNT(T1352:T1433))</f>
        <v>59.770462077000438</v>
      </c>
      <c r="V1435" s="110">
        <f>COUNT(T1352:T1433)</f>
        <v>60</v>
      </c>
      <c r="W1435" s="113">
        <f>AVERAGEA(W1352:W1433)</f>
        <v>11.486714406757601</v>
      </c>
      <c r="X1435" s="113">
        <f>STDEVA(W1352:W1433)/SQRT(COUNT(W1352:W1433))</f>
        <v>3.2605287794178972</v>
      </c>
      <c r="Y1435" s="110">
        <f>COUNT(W1352:W1433)</f>
        <v>60</v>
      </c>
      <c r="Z1435" s="113">
        <f>AVERAGEA(Z1352:Z1433)</f>
        <v>0.67906788236558213</v>
      </c>
      <c r="AA1435" s="113">
        <f>STDEVA(Z1352:Z1433)/SQRT(COUNT(Z1352:Z1433))</f>
        <v>0.38059013886530918</v>
      </c>
      <c r="AB1435" s="110">
        <f>COUNT(Z1352:Z1433)</f>
        <v>36</v>
      </c>
      <c r="AC1435" s="113">
        <f>AVERAGEA(AC1352:AC1433)</f>
        <v>1.4793935253202697</v>
      </c>
      <c r="AD1435" s="113">
        <f>STDEVA(AC1352:AC1433)/SQRT(COUNT(AC1352:AC1433))</f>
        <v>0.63270747068888278</v>
      </c>
      <c r="AE1435" s="110">
        <f>COUNT(AC1352:AC1433)</f>
        <v>36</v>
      </c>
      <c r="AF1435" s="113">
        <f>AVERAGEA(AF1352:AF1433)</f>
        <v>-10.770926903497603</v>
      </c>
      <c r="AG1435" s="113">
        <f>STDEVA(AF1352:AF1433)/SQRT(COUNT(AF1352:AF1433))</f>
        <v>1.2929933718839115</v>
      </c>
      <c r="AH1435" s="110">
        <f>COUNT(AF1352:AF1433)</f>
        <v>82</v>
      </c>
      <c r="AI1435" s="113">
        <f>AVERAGEA(AI1352:AI1433)</f>
        <v>-39.114498634766427</v>
      </c>
      <c r="AJ1435" s="113">
        <f>STDEVA(AI1352:AI1433)/SQRT(COUNT(AI1352:AI1433))</f>
        <v>2.8495093922841059</v>
      </c>
      <c r="AK1435" s="110">
        <f>COUNT(AI1352:AI1433)</f>
        <v>82</v>
      </c>
    </row>
    <row r="1437" spans="1:37" x14ac:dyDescent="0.3">
      <c r="A1437" s="110" t="s">
        <v>978</v>
      </c>
      <c r="B1437" s="24">
        <f>'Data_in-situ'!CA199</f>
        <v>-17120.448467345523</v>
      </c>
      <c r="C1437" s="24">
        <f>'Data_in-situ'!CB199</f>
        <v>4174.1444262492878</v>
      </c>
      <c r="D1437" s="46">
        <f>'Data_in-situ'!CC199</f>
        <v>1</v>
      </c>
      <c r="E1437" s="24">
        <f>'Data_in-situ'!CE199</f>
        <v>-14041.350510064822</v>
      </c>
      <c r="F1437" s="24">
        <f>'Data_in-situ'!CF199</f>
        <v>5227.1608672305301</v>
      </c>
      <c r="G1437" s="46">
        <f>'Data_in-situ'!CG199</f>
        <v>1</v>
      </c>
      <c r="H1437" s="24">
        <f>'Data_in-situ'!CN199</f>
        <v>12896.16741487473</v>
      </c>
      <c r="I1437" s="24">
        <f>'Data_in-situ'!CO199</f>
        <v>3709.2899364025543</v>
      </c>
      <c r="J1437" s="46">
        <f>'Data_in-situ'!CP199</f>
        <v>1</v>
      </c>
      <c r="K1437" s="24">
        <f>'Data_in-situ'!CR199</f>
        <v>14385.676578962597</v>
      </c>
      <c r="L1437" s="24">
        <f>'Data_in-situ'!CS199</f>
        <v>3774.6745086112619</v>
      </c>
      <c r="M1437" s="46">
        <f>'Data_in-situ'!CT199</f>
        <v>1</v>
      </c>
      <c r="N1437" s="24">
        <f>'Data_in-situ'!DA199</f>
        <v>-4224.281052470792</v>
      </c>
      <c r="O1437" s="24">
        <f>'Data_in-situ'!DB199</f>
        <v>12671.392364777903</v>
      </c>
      <c r="P1437" s="46">
        <f>'Data_in-situ'!DC199</f>
        <v>1</v>
      </c>
      <c r="Q1437" s="24">
        <f>'Data_in-situ'!DE199</f>
        <v>344.32606889777549</v>
      </c>
      <c r="R1437" s="24">
        <f>'Data_in-situ'!DF199</f>
        <v>328.19191145947599</v>
      </c>
      <c r="S1437" s="46">
        <f>'Data_in-situ'!DG199</f>
        <v>1</v>
      </c>
      <c r="T1437" s="113">
        <f>'Data_in-situ'!DN33</f>
        <v>172</v>
      </c>
      <c r="U1437" s="113">
        <f>'Data_in-situ'!DO33</f>
        <v>22</v>
      </c>
      <c r="V1437" s="46">
        <f>'Data_in-situ'!DP33</f>
        <v>6</v>
      </c>
      <c r="W1437" s="113">
        <f>'Data_in-situ'!DR33</f>
        <v>-1.5</v>
      </c>
      <c r="X1437" s="113">
        <f>'Data_in-situ'!DS33</f>
        <v>0.6</v>
      </c>
      <c r="Y1437" s="46">
        <f>'Data_in-situ'!DT33</f>
        <v>6</v>
      </c>
      <c r="Z1437" s="113">
        <f>'Data_in-situ'!EA33</f>
        <v>0.3</v>
      </c>
      <c r="AA1437" s="113">
        <f>'Data_in-situ'!EB33</f>
        <v>0.35</v>
      </c>
      <c r="AB1437" s="46">
        <f>'Data_in-situ'!EC33</f>
        <v>6</v>
      </c>
      <c r="AC1437" s="113">
        <f>'Data_in-situ'!EE33</f>
        <v>3</v>
      </c>
      <c r="AD1437" s="113">
        <f>'Data_in-situ'!EF33</f>
        <v>0.95</v>
      </c>
      <c r="AE1437" s="46">
        <f>'Data_in-situ'!EG33</f>
        <v>6</v>
      </c>
      <c r="AF1437" s="113">
        <f>'Data_in-situ'!EN33</f>
        <v>-9</v>
      </c>
      <c r="AG1437" s="113">
        <f>'Data_in-situ'!EO33</f>
        <v>1.9</v>
      </c>
      <c r="AH1437" s="110">
        <f>'Data_in-situ'!EP33</f>
        <v>3</v>
      </c>
      <c r="AI1437" s="113">
        <f>'Data_in-situ'!ER33</f>
        <v>-34.51</v>
      </c>
      <c r="AJ1437" s="113">
        <f>'Data_in-situ'!ES33</f>
        <v>4.08</v>
      </c>
      <c r="AK1437" s="110">
        <f>'Data_in-situ'!ET33</f>
        <v>3</v>
      </c>
    </row>
    <row r="1438" spans="1:37" x14ac:dyDescent="0.3">
      <c r="B1438" s="24">
        <f>'Data_in-situ'!CA200</f>
        <v>-15725.784017121432</v>
      </c>
      <c r="C1438" s="24">
        <f>'Data_in-situ'!CB200</f>
        <v>3834.1106442782989</v>
      </c>
      <c r="D1438" s="46">
        <f>'Data_in-situ'!CC200</f>
        <v>1</v>
      </c>
      <c r="E1438" s="24">
        <f>'Data_in-situ'!CE200</f>
        <v>-16611.232720206455</v>
      </c>
      <c r="F1438" s="24">
        <f>'Data_in-situ'!CF200</f>
        <v>6183.8485955665874</v>
      </c>
      <c r="G1438" s="46">
        <f>'Data_in-situ'!CG200</f>
        <v>1</v>
      </c>
      <c r="H1438" s="24">
        <f>'Data_in-situ'!CN200</f>
        <v>12587.493371634213</v>
      </c>
      <c r="I1438" s="24">
        <f>'Data_in-situ'!CO200</f>
        <v>3620.5068518327839</v>
      </c>
      <c r="J1438" s="46">
        <f>'Data_in-situ'!CP200</f>
        <v>1</v>
      </c>
      <c r="K1438" s="24">
        <f>'Data_in-situ'!CR200</f>
        <v>17012.76988978263</v>
      </c>
      <c r="L1438" s="24">
        <f>'Data_in-situ'!CS200</f>
        <v>4464.0005961028419</v>
      </c>
      <c r="M1438" s="46">
        <f>'Data_in-situ'!CT200</f>
        <v>1</v>
      </c>
      <c r="N1438" s="24">
        <f>'Data_in-situ'!DA200</f>
        <v>-3138.2906454872195</v>
      </c>
      <c r="O1438" s="24">
        <f>'Data_in-situ'!DB200</f>
        <v>9413.7941177993216</v>
      </c>
      <c r="P1438" s="46">
        <f>'Data_in-situ'!DC200</f>
        <v>1</v>
      </c>
      <c r="Q1438" s="24">
        <f>'Data_in-situ'!DE200</f>
        <v>401.53716957617513</v>
      </c>
      <c r="R1438" s="24">
        <f>'Data_in-situ'!DF200</f>
        <v>382.72225982505051</v>
      </c>
      <c r="S1438" s="46">
        <f>'Data_in-situ'!DG200</f>
        <v>1</v>
      </c>
      <c r="T1438" s="113">
        <f>'Data_in-situ'!DN77</f>
        <v>107.85213477594468</v>
      </c>
      <c r="U1438" s="113">
        <f>'Data_in-situ'!DO77</f>
        <v>101.11467674058741</v>
      </c>
      <c r="V1438" s="46">
        <f>'Data_in-situ'!DP77</f>
        <v>6</v>
      </c>
      <c r="W1438" s="113">
        <f>'Data_in-situ'!DR77</f>
        <v>11.097</v>
      </c>
      <c r="X1438" s="113">
        <f>'Data_in-situ'!DS77</f>
        <v>12.912818417114034</v>
      </c>
      <c r="Y1438" s="46">
        <f>'Data_in-situ'!DT77</f>
        <v>6</v>
      </c>
      <c r="Z1438" s="113">
        <f>'Data_in-situ'!EA141</f>
        <v>1</v>
      </c>
      <c r="AA1438" s="113">
        <f>'Data_in-situ'!EB141</f>
        <v>1.5811388300841898</v>
      </c>
      <c r="AB1438" s="46">
        <f>'Data_in-situ'!EC141</f>
        <v>10</v>
      </c>
      <c r="AC1438" s="113">
        <f>'Data_in-situ'!EE141</f>
        <v>2</v>
      </c>
      <c r="AD1438" s="113">
        <f>'Data_in-situ'!EF141</f>
        <v>2.8460498941515415</v>
      </c>
      <c r="AE1438" s="46">
        <f>'Data_in-situ'!EG141</f>
        <v>10</v>
      </c>
      <c r="AF1438" s="113">
        <f>'Data_in-situ'!EN77</f>
        <v>-4.5</v>
      </c>
      <c r="AG1438" s="113">
        <f>'Data_in-situ'!EO77</f>
        <v>2.7658633371878665</v>
      </c>
      <c r="AH1438" s="110">
        <f>'Data_in-situ'!EP77</f>
        <v>2</v>
      </c>
      <c r="AI1438" s="113">
        <f>'Data_in-situ'!ER77</f>
        <v>-18.45</v>
      </c>
      <c r="AJ1438" s="113">
        <f>'Data_in-situ'!ES77</f>
        <v>8.9505586417832035</v>
      </c>
      <c r="AK1438" s="110">
        <f>'Data_in-situ'!ET77</f>
        <v>2</v>
      </c>
    </row>
    <row r="1439" spans="1:37" x14ac:dyDescent="0.3">
      <c r="B1439" s="24">
        <f>'Data_in-situ'!CA271</f>
        <v>-40673.401413977677</v>
      </c>
      <c r="C1439" s="24">
        <f>'Data_in-situ'!CB271</f>
        <v>10107.748850350723</v>
      </c>
      <c r="D1439" s="46">
        <f>'Data_in-situ'!CC271</f>
        <v>8</v>
      </c>
      <c r="E1439" s="24">
        <f>'Data_in-situ'!CE271</f>
        <v>-44668.814018586389</v>
      </c>
      <c r="F1439" s="24">
        <f>'Data_in-situ'!CF271</f>
        <v>7435.5187362050165</v>
      </c>
      <c r="G1439" s="46">
        <f>'Data_in-situ'!CG271</f>
        <v>8</v>
      </c>
      <c r="H1439" s="24">
        <f>'Data_in-situ'!CN271</f>
        <v>25646.988483892328</v>
      </c>
      <c r="I1439" s="24">
        <f>'Data_in-situ'!CO271</f>
        <v>7128.4662989719045</v>
      </c>
      <c r="J1439" s="46">
        <f>'Data_in-situ'!CP271</f>
        <v>8</v>
      </c>
      <c r="K1439" s="24">
        <f>'Data_in-situ'!CR271</f>
        <v>30448.252211184394</v>
      </c>
      <c r="L1439" s="24">
        <f>'Data_in-situ'!CS271</f>
        <v>38699.412338334165</v>
      </c>
      <c r="M1439" s="46">
        <f>'Data_in-situ'!CT271</f>
        <v>8</v>
      </c>
      <c r="N1439" s="24">
        <f>'Data_in-situ'!DA213</f>
        <v>-5500</v>
      </c>
      <c r="O1439" s="24">
        <f>'Data_in-situ'!DB213</f>
        <v>16498.111072774162</v>
      </c>
      <c r="P1439" s="46">
        <f>'Data_in-situ'!DC213</f>
        <v>3</v>
      </c>
      <c r="Q1439" s="24">
        <f>'Data_in-situ'!DE213</f>
        <v>-5500</v>
      </c>
      <c r="R1439" s="24">
        <f>'Data_in-situ'!DF213</f>
        <v>5242.2853686486578</v>
      </c>
      <c r="S1439" s="46">
        <f>'Data_in-situ'!DG213</f>
        <v>3</v>
      </c>
      <c r="T1439" s="113">
        <f>'Data_in-situ'!DN141</f>
        <v>51</v>
      </c>
      <c r="U1439" s="113">
        <f>'Data_in-situ'!DO141</f>
        <v>61.031958841249725</v>
      </c>
      <c r="V1439" s="46">
        <f>'Data_in-situ'!DP141</f>
        <v>3</v>
      </c>
      <c r="W1439" s="113">
        <f>'Data_in-situ'!DR141</f>
        <v>5</v>
      </c>
      <c r="X1439" s="113">
        <f>'Data_in-situ'!DS141</f>
        <v>6.008327554319921</v>
      </c>
      <c r="Y1439" s="46">
        <f>'Data_in-situ'!DT141</f>
        <v>10</v>
      </c>
      <c r="Z1439" s="113">
        <f>'Data_in-situ'!EA142</f>
        <v>1</v>
      </c>
      <c r="AA1439" s="113">
        <f>'Data_in-situ'!EB142</f>
        <v>1.5811388300841898</v>
      </c>
      <c r="AB1439" s="46">
        <f>'Data_in-situ'!EC142</f>
        <v>10</v>
      </c>
      <c r="AC1439" s="113">
        <f>'Data_in-situ'!EE142</f>
        <v>2</v>
      </c>
      <c r="AD1439" s="113">
        <f>'Data_in-situ'!EF142</f>
        <v>4.4271887242357311</v>
      </c>
      <c r="AE1439" s="46">
        <f>'Data_in-situ'!EG142</f>
        <v>10</v>
      </c>
      <c r="AF1439" s="113">
        <f>'Data_in-situ'!EN141</f>
        <v>-0.59</v>
      </c>
      <c r="AG1439" s="113">
        <f>'Data_in-situ'!EO141</f>
        <v>1.75</v>
      </c>
      <c r="AH1439" s="110">
        <f>'Data_in-situ'!EP141</f>
        <v>4</v>
      </c>
      <c r="AI1439" s="113">
        <f>'Data_in-situ'!ER141</f>
        <v>-18.989999999999998</v>
      </c>
      <c r="AJ1439" s="113">
        <f>'Data_in-situ'!ES141</f>
        <v>2.77</v>
      </c>
      <c r="AK1439" s="110">
        <f>'Data_in-situ'!ET141</f>
        <v>4</v>
      </c>
    </row>
    <row r="1440" spans="1:37" x14ac:dyDescent="0.3">
      <c r="B1440" s="24">
        <f>'Data_in-situ'!CA418</f>
        <v>-31496.666666666664</v>
      </c>
      <c r="C1440" s="24">
        <f>'Data_in-situ'!CB418</f>
        <v>7679.2168068996079</v>
      </c>
      <c r="D1440" s="46">
        <f>'Data_in-situ'!CC418</f>
        <v>1</v>
      </c>
      <c r="E1440" s="24">
        <f>'Data_in-situ'!CE418</f>
        <v>-47703.333333333328</v>
      </c>
      <c r="F1440" s="24">
        <f>'Data_in-situ'!CF418</f>
        <v>17758.476797350639</v>
      </c>
      <c r="G1440" s="46">
        <f>'Data_in-situ'!CG418</f>
        <v>1</v>
      </c>
      <c r="H1440" s="24">
        <f>'Data_in-situ'!CN418</f>
        <v>24456.666666666664</v>
      </c>
      <c r="I1440" s="24">
        <f>'Data_in-situ'!CO418</f>
        <v>7034.4052326727378</v>
      </c>
      <c r="J1440" s="46">
        <f>'Data_in-situ'!CP418</f>
        <v>1</v>
      </c>
      <c r="K1440" s="24">
        <f>'Data_in-situ'!CR418</f>
        <v>44476.666666666672</v>
      </c>
      <c r="L1440" s="24">
        <f>'Data_in-situ'!CS418</f>
        <v>11670.284603796765</v>
      </c>
      <c r="M1440" s="46">
        <f>'Data_in-situ'!CT418</f>
        <v>1</v>
      </c>
      <c r="N1440" s="24">
        <f>'Data_in-situ'!DA214</f>
        <v>-5500</v>
      </c>
      <c r="O1440" s="24">
        <f>'Data_in-situ'!DB214</f>
        <v>16498.111072774162</v>
      </c>
      <c r="P1440" s="46">
        <f>'Data_in-situ'!DC214</f>
        <v>3</v>
      </c>
      <c r="Q1440" s="24">
        <f>'Data_in-situ'!DE214</f>
        <v>-5500</v>
      </c>
      <c r="R1440" s="24">
        <f>'Data_in-situ'!DF214</f>
        <v>5242.2853686486578</v>
      </c>
      <c r="S1440" s="46">
        <f>'Data_in-situ'!DG214</f>
        <v>3</v>
      </c>
      <c r="T1440" s="113">
        <f>'Data_in-situ'!DN142</f>
        <v>101</v>
      </c>
      <c r="U1440" s="113">
        <f>'Data_in-situ'!DO142</f>
        <v>133.44811725910563</v>
      </c>
      <c r="V1440" s="46">
        <f>'Data_in-situ'!DP142</f>
        <v>3</v>
      </c>
      <c r="W1440" s="113">
        <f>'Data_in-situ'!DR142</f>
        <v>13</v>
      </c>
      <c r="X1440" s="113">
        <f>'Data_in-situ'!DS142</f>
        <v>25.93067681338071</v>
      </c>
      <c r="Y1440" s="46">
        <f>'Data_in-situ'!DT142</f>
        <v>10</v>
      </c>
      <c r="Z1440" s="113">
        <f>'Data_in-situ'!EA214</f>
        <v>0.7</v>
      </c>
      <c r="AA1440" s="113">
        <f>'Data_in-situ'!EB214</f>
        <v>4.0249838876014987</v>
      </c>
      <c r="AB1440" s="46">
        <f>'Data_in-situ'!EC214</f>
        <v>3</v>
      </c>
      <c r="AC1440" s="113">
        <f>'Data_in-situ'!EE214</f>
        <v>0.8</v>
      </c>
      <c r="AD1440" s="113">
        <f>'Data_in-situ'!EF214</f>
        <v>1.1945115053344215</v>
      </c>
      <c r="AE1440" s="46">
        <f>'Data_in-situ'!EG214</f>
        <v>3</v>
      </c>
      <c r="AF1440" s="113">
        <f>'Data_in-situ'!EN142</f>
        <v>-2.0499999999999998</v>
      </c>
      <c r="AG1440" s="113">
        <f>'Data_in-situ'!EO142</f>
        <v>1.38</v>
      </c>
      <c r="AH1440" s="110">
        <f>'Data_in-situ'!EP142</f>
        <v>4</v>
      </c>
      <c r="AI1440" s="113">
        <f>'Data_in-situ'!ER142</f>
        <v>-16.7</v>
      </c>
      <c r="AJ1440" s="113">
        <f>'Data_in-situ'!ES142</f>
        <v>1.42</v>
      </c>
      <c r="AK1440" s="110">
        <f>'Data_in-situ'!ET142</f>
        <v>4</v>
      </c>
    </row>
    <row r="1441" spans="2:37" x14ac:dyDescent="0.3">
      <c r="B1441" s="24">
        <f>'Data_in-situ'!CA419</f>
        <v>-30323.333333333336</v>
      </c>
      <c r="C1441" s="24">
        <f>'Data_in-situ'!CB419</f>
        <v>7393.145866479601</v>
      </c>
      <c r="D1441" s="46">
        <f>'Data_in-situ'!CC419</f>
        <v>1</v>
      </c>
      <c r="E1441" s="24">
        <f>'Data_in-situ'!CE419</f>
        <v>-45173.333333333328</v>
      </c>
      <c r="F1441" s="24">
        <f>'Data_in-situ'!CF419</f>
        <v>16816.635983348184</v>
      </c>
      <c r="G1441" s="46">
        <f>'Data_in-situ'!CG419</f>
        <v>1</v>
      </c>
      <c r="H1441" s="24">
        <f>'Data_in-situ'!CN419</f>
        <v>22513.333333333336</v>
      </c>
      <c r="I1441" s="24">
        <f>'Data_in-situ'!CO419</f>
        <v>6475.4494945443212</v>
      </c>
      <c r="J1441" s="46">
        <f>'Data_in-situ'!CP419</f>
        <v>1</v>
      </c>
      <c r="K1441" s="24">
        <f>'Data_in-situ'!CR419</f>
        <v>43303.333333333328</v>
      </c>
      <c r="L1441" s="24">
        <f>'Data_in-situ'!CS419</f>
        <v>11362.412297678464</v>
      </c>
      <c r="M1441" s="46">
        <f>'Data_in-situ'!CT419</f>
        <v>1</v>
      </c>
      <c r="N1441" s="24">
        <f>'Data_in-situ'!DA271</f>
        <v>-15026.412930085349</v>
      </c>
      <c r="O1441" s="24">
        <f>'Data_in-situ'!DB271</f>
        <v>12368.573830371251</v>
      </c>
      <c r="P1441" s="46">
        <f>'Data_in-situ'!DC271</f>
        <v>8</v>
      </c>
      <c r="Q1441" s="24">
        <f>'Data_in-situ'!DE271</f>
        <v>-14220.561807401995</v>
      </c>
      <c r="R1441" s="24">
        <f>'Data_in-situ'!DF271</f>
        <v>39407.251289691172</v>
      </c>
      <c r="S1441" s="46">
        <f>'Data_in-situ'!DG271</f>
        <v>8</v>
      </c>
      <c r="T1441" s="113">
        <f>'Data_in-situ'!DN200</f>
        <v>245.98402154970469</v>
      </c>
      <c r="U1441" s="113">
        <f>'Data_in-situ'!DO200</f>
        <v>274.24249109003443</v>
      </c>
      <c r="V1441" s="46">
        <f>'Data_in-situ'!DP200</f>
        <v>1</v>
      </c>
      <c r="W1441" s="113">
        <f>'Data_in-situ'!DR200</f>
        <v>137.10405045597599</v>
      </c>
      <c r="X1441" s="113">
        <f>'Data_in-situ'!DS200</f>
        <v>512.38749142398558</v>
      </c>
      <c r="Y1441" s="46">
        <f>'Data_in-situ'!DT200</f>
        <v>1</v>
      </c>
      <c r="Z1441" s="113">
        <f>'Data_in-situ'!EA216</f>
        <v>7.5428571428571428E-2</v>
      </c>
      <c r="AA1441" s="113">
        <f>'Data_in-situ'!EB216</f>
        <v>0.15514226519224084</v>
      </c>
      <c r="AB1441" s="46">
        <f>'Data_in-situ'!EC216</f>
        <v>3</v>
      </c>
      <c r="AC1441" s="113">
        <f>'Data_in-situ'!EE216</f>
        <v>6.4428571428571418E-2</v>
      </c>
      <c r="AD1441" s="113">
        <f>'Data_in-situ'!EF216</f>
        <v>0.21502173596819346</v>
      </c>
      <c r="AE1441" s="46">
        <f>'Data_in-situ'!EG216</f>
        <v>3</v>
      </c>
      <c r="AF1441" s="113">
        <f>'Data_in-situ'!EN199</f>
        <v>-20.100000000000001</v>
      </c>
      <c r="AG1441" s="113">
        <f>'Data_in-situ'!EO199</f>
        <v>2</v>
      </c>
      <c r="AH1441" s="110">
        <f>'Data_in-situ'!EP199</f>
        <v>16</v>
      </c>
      <c r="AI1441" s="113">
        <f>'Data_in-situ'!ER199</f>
        <v>-38.200000000000003</v>
      </c>
      <c r="AJ1441" s="113">
        <f>'Data_in-situ'!ES199</f>
        <v>2</v>
      </c>
      <c r="AK1441" s="110">
        <f>'Data_in-situ'!ET199</f>
        <v>16</v>
      </c>
    </row>
    <row r="1442" spans="2:37" x14ac:dyDescent="0.3">
      <c r="B1442" s="24">
        <f>'Data_in-situ'!CA432</f>
        <v>-7090</v>
      </c>
      <c r="C1442" s="24">
        <f>'Data_in-situ'!CB432</f>
        <v>1524.2047106606119</v>
      </c>
      <c r="D1442" s="46">
        <f>'Data_in-situ'!CC432</f>
        <v>3</v>
      </c>
      <c r="E1442" s="24">
        <f>'Data_in-situ'!CE432</f>
        <v>-18490</v>
      </c>
      <c r="F1442" s="24">
        <f>'Data_in-situ'!CF432</f>
        <v>3689.2682201217081</v>
      </c>
      <c r="G1442" s="46">
        <f>'Data_in-situ'!CG432</f>
        <v>3</v>
      </c>
      <c r="H1442" s="24">
        <f>'Data_in-situ'!CN432</f>
        <v>7020</v>
      </c>
      <c r="I1442" s="24">
        <f>'Data_in-situ'!CO432</f>
        <v>1299.038105676658</v>
      </c>
      <c r="J1442" s="46">
        <f>'Data_in-situ'!CP432</f>
        <v>3</v>
      </c>
      <c r="K1442" s="24">
        <f>'Data_in-situ'!CR432</f>
        <v>23060</v>
      </c>
      <c r="L1442" s="24">
        <f>'Data_in-situ'!CS432</f>
        <v>2424.871130596428</v>
      </c>
      <c r="M1442" s="46">
        <f>'Data_in-situ'!CT432</f>
        <v>3</v>
      </c>
      <c r="N1442" s="24">
        <f>'Data_in-situ'!DA418</f>
        <v>-7040</v>
      </c>
      <c r="O1442" s="24">
        <f>'Data_in-situ'!DB418</f>
        <v>1650</v>
      </c>
      <c r="P1442" s="46">
        <f>'Data_in-situ'!DC418</f>
        <v>1</v>
      </c>
      <c r="Q1442" s="24">
        <f>'Data_in-situ'!DE418</f>
        <v>-3226.666666666667</v>
      </c>
      <c r="R1442" s="24">
        <f>'Data_in-situ'!DF418</f>
        <v>953.33333333333326</v>
      </c>
      <c r="S1442" s="46">
        <f>'Data_in-situ'!DG418</f>
        <v>1</v>
      </c>
      <c r="T1442" s="113">
        <f>'Data_in-situ'!DN213</f>
        <v>5.4</v>
      </c>
      <c r="U1442" s="113">
        <f>'Data_in-situ'!DO213</f>
        <v>6.0203481614635956</v>
      </c>
      <c r="V1442" s="46">
        <f>'Data_in-situ'!DP213</f>
        <v>3</v>
      </c>
      <c r="W1442" s="113">
        <f>'Data_in-situ'!DR213</f>
        <v>1.4</v>
      </c>
      <c r="X1442" s="113">
        <f>'Data_in-situ'!DS213</f>
        <v>5.2321028124834132</v>
      </c>
      <c r="Y1442" s="46">
        <f>'Data_in-situ'!DT213</f>
        <v>3</v>
      </c>
      <c r="Z1442" s="113">
        <f>'Data_in-situ'!EA432</f>
        <v>0.14142857142857143</v>
      </c>
      <c r="AA1442" s="113">
        <f>'Data_in-situ'!EB432</f>
        <v>0.29939735387976307</v>
      </c>
      <c r="AB1442" s="46">
        <f>'Data_in-situ'!EC432</f>
        <v>3</v>
      </c>
      <c r="AC1442" s="113">
        <f>'Data_in-situ'!EE432</f>
        <v>1.8071428571428574</v>
      </c>
      <c r="AD1442" s="113">
        <f>'Data_in-situ'!EF432</f>
        <v>2.1229994184201382</v>
      </c>
      <c r="AE1442" s="46">
        <f>'Data_in-situ'!EG432</f>
        <v>3</v>
      </c>
      <c r="AF1442" s="113">
        <f>'Data_in-situ'!EN200</f>
        <v>-23</v>
      </c>
      <c r="AG1442" s="113">
        <f>'Data_in-situ'!EO200</f>
        <v>3.2</v>
      </c>
      <c r="AH1442" s="110">
        <f>'Data_in-situ'!EP200</f>
        <v>16</v>
      </c>
      <c r="AI1442" s="113">
        <f>'Data_in-situ'!ER200</f>
        <v>-35.299999999999997</v>
      </c>
      <c r="AJ1442" s="113">
        <f>'Data_in-situ'!ES200</f>
        <v>4.4000000000000004</v>
      </c>
      <c r="AK1442" s="110">
        <f>'Data_in-situ'!ET200</f>
        <v>16</v>
      </c>
    </row>
    <row r="1443" spans="2:37" x14ac:dyDescent="0.3">
      <c r="B1443" s="24">
        <f>'Data_in-situ'!CA433</f>
        <v>-6290</v>
      </c>
      <c r="C1443" s="24">
        <f>'Data_in-situ'!CB433</f>
        <v>1316.3586137523466</v>
      </c>
      <c r="D1443" s="46">
        <f>'Data_in-situ'!CC433</f>
        <v>3</v>
      </c>
      <c r="E1443" s="24">
        <f>'Data_in-situ'!CE433</f>
        <v>-19210</v>
      </c>
      <c r="F1443" s="24">
        <f>'Data_in-situ'!CF433</f>
        <v>3290.8965343808668</v>
      </c>
      <c r="G1443" s="46">
        <f>'Data_in-situ'!CG433</f>
        <v>3</v>
      </c>
      <c r="H1443" s="24">
        <f>'Data_in-situ'!CN433</f>
        <v>5020</v>
      </c>
      <c r="I1443" s="24">
        <f>'Data_in-situ'!CO433</f>
        <v>917.98692801150492</v>
      </c>
      <c r="J1443" s="46">
        <f>'Data_in-situ'!CP433</f>
        <v>3</v>
      </c>
      <c r="K1443" s="24">
        <f>'Data_in-situ'!CR433</f>
        <v>24030</v>
      </c>
      <c r="L1443" s="24">
        <f>'Data_in-situ'!CS433</f>
        <v>2459.5121467478057</v>
      </c>
      <c r="M1443" s="46">
        <f>'Data_in-situ'!CT433</f>
        <v>3</v>
      </c>
      <c r="N1443" s="24">
        <f>'Data_in-situ'!DA419</f>
        <v>-7846.6666666666661</v>
      </c>
      <c r="O1443" s="24">
        <f>'Data_in-situ'!DB419</f>
        <v>1466.6666666666665</v>
      </c>
      <c r="P1443" s="46">
        <f>'Data_in-situ'!DC419</f>
        <v>1</v>
      </c>
      <c r="Q1443" s="24">
        <f>'Data_in-situ'!DE419</f>
        <v>-1870</v>
      </c>
      <c r="R1443" s="24">
        <f>'Data_in-situ'!DF419</f>
        <v>1283.3333333333335</v>
      </c>
      <c r="S1443" s="46">
        <f>'Data_in-situ'!DG419</f>
        <v>1</v>
      </c>
      <c r="T1443" s="113">
        <f>'Data_in-situ'!DN214</f>
        <v>7.5</v>
      </c>
      <c r="U1443" s="113">
        <f>'Data_in-situ'!DO214</f>
        <v>8.3615946686994373</v>
      </c>
      <c r="V1443" s="46">
        <f>'Data_in-situ'!DP214</f>
        <v>3</v>
      </c>
      <c r="W1443" s="113">
        <f>'Data_in-situ'!DR214</f>
        <v>1.6</v>
      </c>
      <c r="X1443" s="113">
        <f>'Data_in-situ'!DS214</f>
        <v>5.979546071409616</v>
      </c>
      <c r="Y1443" s="46">
        <f>'Data_in-situ'!DT214</f>
        <v>3</v>
      </c>
      <c r="Z1443" s="113">
        <f>'Data_in-situ'!EA433</f>
        <v>0.11</v>
      </c>
      <c r="AA1443" s="113">
        <f>'Data_in-situ'!EB433</f>
        <v>0.65323059028311947</v>
      </c>
      <c r="AB1443" s="46">
        <f>'Data_in-situ'!EC433</f>
        <v>3</v>
      </c>
      <c r="AC1443" s="113">
        <f>'Data_in-situ'!EE433</f>
        <v>4.0071428571428571</v>
      </c>
      <c r="AD1443" s="113">
        <f>'Data_in-situ'!EF433</f>
        <v>2.7490120674414609</v>
      </c>
      <c r="AE1443" s="46">
        <f>'Data_in-situ'!EG433</f>
        <v>3</v>
      </c>
      <c r="AF1443" s="113">
        <f>'Data_in-situ'!EN213</f>
        <v>-14.909844559585478</v>
      </c>
      <c r="AG1443" s="113">
        <f>'Data_in-situ'!EO213</f>
        <v>1.0723470663621506</v>
      </c>
      <c r="AH1443" s="110">
        <f>'Data_in-situ'!EP213</f>
        <v>3</v>
      </c>
      <c r="AI1443" s="113">
        <f>'Data_in-situ'!ER213</f>
        <v>-31.98942141623488</v>
      </c>
      <c r="AJ1443" s="113">
        <f>'Data_in-situ'!ES213</f>
        <v>1.5801931444910506</v>
      </c>
      <c r="AK1443" s="110">
        <f>'Data_in-situ'!ET213</f>
        <v>3</v>
      </c>
    </row>
    <row r="1444" spans="2:37" x14ac:dyDescent="0.3">
      <c r="N1444" s="24">
        <f>'Data_in-situ'!DA432</f>
        <v>-80</v>
      </c>
      <c r="O1444" s="24">
        <f>'Data_in-situ'!DB432</f>
        <v>2009.1789367798974</v>
      </c>
      <c r="P1444" s="46">
        <f>'Data_in-situ'!DC432</f>
        <v>3</v>
      </c>
      <c r="Q1444" s="24">
        <f>'Data_in-situ'!DE432</f>
        <v>4580</v>
      </c>
      <c r="R1444" s="24">
        <f>'Data_in-situ'!DF432</f>
        <v>4416.7295593006365</v>
      </c>
      <c r="S1444" s="46">
        <f>'Data_in-situ'!DG432</f>
        <v>3</v>
      </c>
      <c r="T1444" s="113">
        <f>'Data_in-situ'!DN216</f>
        <v>36.386666666666663</v>
      </c>
      <c r="U1444" s="113">
        <f>'Data_in-situ'!DO216</f>
        <v>4.1569219381653051</v>
      </c>
      <c r="V1444" s="46">
        <f>'Data_in-situ'!DP216</f>
        <v>3</v>
      </c>
      <c r="W1444" s="113">
        <f>'Data_in-situ'!DR216</f>
        <v>12.573333333333332</v>
      </c>
      <c r="X1444" s="113">
        <f>'Data_in-situ'!DS216</f>
        <v>5.1268703904038775</v>
      </c>
      <c r="Y1444" s="46">
        <f>'Data_in-situ'!DT216</f>
        <v>3</v>
      </c>
      <c r="Z1444" s="113">
        <f>'Data_in-situ'!EA434</f>
        <v>0.31428571428571433</v>
      </c>
      <c r="AA1444" s="113">
        <f>'Data_in-situ'!EB434</f>
        <v>1.8071356230047548</v>
      </c>
      <c r="AB1444" s="46">
        <f>'Data_in-situ'!EC434</f>
        <v>3</v>
      </c>
      <c r="AC1444" s="113">
        <f>'Data_in-situ'!EE434</f>
        <v>14.614285714285716</v>
      </c>
      <c r="AD1444" s="113">
        <f>'Data_in-situ'!EF434</f>
        <v>21.821165534948449</v>
      </c>
      <c r="AE1444" s="46">
        <f>'Data_in-situ'!EG434</f>
        <v>3</v>
      </c>
      <c r="AF1444" s="113">
        <f>'Data_in-situ'!EN214</f>
        <v>-13.449581506576324</v>
      </c>
      <c r="AG1444" s="113">
        <f>'Data_in-situ'!EO214</f>
        <v>1.4236979793576987</v>
      </c>
      <c r="AH1444" s="110">
        <f>'Data_in-situ'!EP214</f>
        <v>3</v>
      </c>
      <c r="AI1444" s="113">
        <f>'Data_in-situ'!ER214</f>
        <v>-31.606217616580317</v>
      </c>
      <c r="AJ1444" s="113">
        <f>'Data_in-situ'!ES214</f>
        <v>2.0517717022532898</v>
      </c>
      <c r="AK1444" s="110">
        <f>'Data_in-situ'!ET214</f>
        <v>3</v>
      </c>
    </row>
    <row r="1445" spans="2:37" x14ac:dyDescent="0.3">
      <c r="N1445" s="24">
        <f>'Data_in-situ'!DA433</f>
        <v>-1270</v>
      </c>
      <c r="O1445" s="24">
        <f>'Data_in-situ'!DB433</f>
        <v>1593.4867429633669</v>
      </c>
      <c r="P1445" s="46">
        <f>'Data_in-situ'!DC433</f>
        <v>3</v>
      </c>
      <c r="Q1445" s="24">
        <f>'Data_in-situ'!DE433</f>
        <v>4820</v>
      </c>
      <c r="R1445" s="24">
        <f>'Data_in-situ'!DF433</f>
        <v>4122.2809220139279</v>
      </c>
      <c r="S1445" s="46">
        <f>'Data_in-situ'!DG433</f>
        <v>3</v>
      </c>
      <c r="T1445" s="113">
        <f>'Data_in-situ'!DN271</f>
        <v>28.501072212251554</v>
      </c>
      <c r="U1445" s="113">
        <f>'Data_in-situ'!DO271</f>
        <v>28.652903393199384</v>
      </c>
      <c r="V1445" s="46">
        <f>'Data_in-situ'!DP271</f>
        <v>8</v>
      </c>
      <c r="W1445" s="113">
        <f>'Data_in-situ'!DR271</f>
        <v>2.155113237216562</v>
      </c>
      <c r="X1445" s="113">
        <f>'Data_in-situ'!DS271</f>
        <v>5.8344440438614322</v>
      </c>
      <c r="Y1445" s="46">
        <f>'Data_in-situ'!DT271</f>
        <v>8</v>
      </c>
      <c r="Z1445" s="113">
        <f>'Data_in-situ'!EA435</f>
        <v>0.31428571428571433</v>
      </c>
      <c r="AA1445" s="113">
        <f>'Data_in-situ'!EB435</f>
        <v>1.8071356230047548</v>
      </c>
      <c r="AB1445" s="46">
        <f>'Data_in-situ'!EC435</f>
        <v>3</v>
      </c>
      <c r="AC1445" s="113">
        <f>'Data_in-situ'!EE435</f>
        <v>12.257142857142856</v>
      </c>
      <c r="AD1445" s="113">
        <f>'Data_in-situ'!EF435</f>
        <v>18.301622706730956</v>
      </c>
      <c r="AE1445" s="46">
        <f>'Data_in-situ'!EG435</f>
        <v>3</v>
      </c>
      <c r="AF1445" s="113">
        <f>'Data_in-situ'!EN216</f>
        <v>-15</v>
      </c>
      <c r="AG1445" s="113">
        <f>'Data_in-situ'!EO216</f>
        <v>6.1124459812694001</v>
      </c>
      <c r="AH1445" s="110">
        <f>'Data_in-situ'!EP216</f>
        <v>3</v>
      </c>
      <c r="AI1445" s="113">
        <f>'Data_in-situ'!ER216</f>
        <v>-38</v>
      </c>
      <c r="AJ1445" s="113">
        <f>'Data_in-situ'!ES216</f>
        <v>8.6189340333493778</v>
      </c>
      <c r="AK1445" s="110">
        <f>'Data_in-situ'!ET216</f>
        <v>3</v>
      </c>
    </row>
    <row r="1446" spans="2:37" x14ac:dyDescent="0.3">
      <c r="T1446" s="113">
        <f>'Data_in-situ'!DN272</f>
        <v>14.883893266398051</v>
      </c>
      <c r="U1446" s="113">
        <f>'Data_in-situ'!DO272</f>
        <v>86.792053465048554</v>
      </c>
      <c r="V1446" s="46">
        <f>'Data_in-situ'!DP272</f>
        <v>8</v>
      </c>
      <c r="W1446" s="113">
        <f>'Data_in-situ'!DR272</f>
        <v>1.7398230320846468</v>
      </c>
      <c r="X1446" s="113">
        <f>'Data_in-situ'!DS272</f>
        <v>9.0283655795287849</v>
      </c>
      <c r="Y1446" s="46">
        <f>'Data_in-situ'!DT272</f>
        <v>8</v>
      </c>
      <c r="Z1446" s="113">
        <f>'Data_in-situ'!EA437</f>
        <v>4.07</v>
      </c>
      <c r="AA1446" s="113">
        <f>'Data_in-situ'!EB437</f>
        <v>1.72</v>
      </c>
      <c r="AB1446" s="46">
        <f>'Data_in-situ'!EC437</f>
        <v>3</v>
      </c>
      <c r="AC1446" s="113">
        <f>'Data_in-situ'!EE437</f>
        <v>4.9000000000000004</v>
      </c>
      <c r="AD1446" s="113">
        <f>'Data_in-situ'!EF437</f>
        <v>1.52</v>
      </c>
      <c r="AE1446" s="46">
        <f>'Data_in-situ'!EG437</f>
        <v>3</v>
      </c>
      <c r="AF1446" s="113">
        <f>'Data_in-situ'!EN271</f>
        <v>-26.2</v>
      </c>
      <c r="AG1446" s="113">
        <f>'Data_in-situ'!EO271</f>
        <v>1.6</v>
      </c>
      <c r="AH1446" s="110">
        <f>'Data_in-situ'!EP271</f>
        <v>4</v>
      </c>
      <c r="AI1446" s="113">
        <f>'Data_in-situ'!ER271</f>
        <v>-42</v>
      </c>
      <c r="AJ1446" s="113">
        <f>'Data_in-situ'!ES271</f>
        <v>1.6</v>
      </c>
      <c r="AK1446" s="110">
        <f>'Data_in-situ'!ET271</f>
        <v>4</v>
      </c>
    </row>
    <row r="1447" spans="2:37" x14ac:dyDescent="0.3">
      <c r="T1447" s="113">
        <f>'Data_in-situ'!DN273</f>
        <v>40.553216435983082</v>
      </c>
      <c r="U1447" s="113">
        <f>'Data_in-situ'!DO273</f>
        <v>36.04252387554827</v>
      </c>
      <c r="V1447" s="46">
        <f>'Data_in-situ'!DP273</f>
        <v>8</v>
      </c>
      <c r="W1447" s="113">
        <f>'Data_in-situ'!DR273</f>
        <v>2.0877876385015846</v>
      </c>
      <c r="X1447" s="113">
        <f>'Data_in-situ'!DS273</f>
        <v>4.899966604705579</v>
      </c>
      <c r="Y1447" s="46">
        <f>'Data_in-situ'!DT273</f>
        <v>8</v>
      </c>
      <c r="Z1447" s="113">
        <f>'Data_in-situ'!EA438</f>
        <v>4.07</v>
      </c>
      <c r="AA1447" s="113">
        <f>'Data_in-situ'!EB438</f>
        <v>1.72</v>
      </c>
      <c r="AB1447" s="46">
        <f>'Data_in-situ'!EC438</f>
        <v>3</v>
      </c>
      <c r="AC1447" s="113">
        <f>'Data_in-situ'!EE438</f>
        <v>2.09</v>
      </c>
      <c r="AD1447" s="113">
        <f>'Data_in-situ'!EF438</f>
        <v>0.79</v>
      </c>
      <c r="AE1447" s="46">
        <f>'Data_in-situ'!EG438</f>
        <v>3</v>
      </c>
      <c r="AF1447" s="113">
        <f>'Data_in-situ'!EN327</f>
        <v>-5.9</v>
      </c>
      <c r="AG1447" s="113">
        <f>'Data_in-situ'!EO327</f>
        <v>4.8</v>
      </c>
      <c r="AH1447" s="110">
        <f>'Data_in-situ'!EP327</f>
        <v>12</v>
      </c>
      <c r="AI1447" s="113">
        <f>'Data_in-situ'!ER327</f>
        <v>-39.700000000000003</v>
      </c>
      <c r="AJ1447" s="113">
        <f>'Data_in-situ'!ES327</f>
        <v>17.8</v>
      </c>
      <c r="AK1447" s="110">
        <f>'Data_in-situ'!ET327</f>
        <v>15</v>
      </c>
    </row>
    <row r="1448" spans="2:37" x14ac:dyDescent="0.3">
      <c r="T1448" s="113">
        <f>'Data_in-situ'!DN327</f>
        <v>395.8</v>
      </c>
      <c r="U1448" s="113">
        <f>'Data_in-situ'!DO327</f>
        <v>441.26922264949837</v>
      </c>
      <c r="V1448" s="46">
        <f>'Data_in-situ'!DP327</f>
        <v>12</v>
      </c>
      <c r="W1448" s="113">
        <f>'Data_in-situ'!DR327</f>
        <v>0.2</v>
      </c>
      <c r="X1448" s="113">
        <f>'Data_in-situ'!DS327</f>
        <v>0.747443258926202</v>
      </c>
      <c r="Y1448" s="46">
        <f>'Data_in-situ'!DT327</f>
        <v>15</v>
      </c>
      <c r="Z1448" s="113">
        <f>'Data_in-situ'!EA441</f>
        <v>0.3</v>
      </c>
      <c r="AA1448" s="113">
        <f>'Data_in-situ'!EB441</f>
        <v>0.35</v>
      </c>
      <c r="AB1448" s="46">
        <f>'Data_in-situ'!EC441</f>
        <v>6</v>
      </c>
      <c r="AC1448" s="113">
        <f>'Data_in-situ'!EE441</f>
        <v>3.7</v>
      </c>
      <c r="AD1448" s="113">
        <f>'Data_in-situ'!EF441</f>
        <v>1.05</v>
      </c>
      <c r="AE1448" s="46">
        <f>'Data_in-situ'!EG441</f>
        <v>6</v>
      </c>
      <c r="AF1448" s="113">
        <f>'Data_in-situ'!EN329</f>
        <v>-32.799999999999997</v>
      </c>
      <c r="AG1448" s="113">
        <f>'Data_in-situ'!EO329</f>
        <v>14.8</v>
      </c>
      <c r="AH1448" s="110">
        <f>'Data_in-situ'!EP329</f>
        <v>15</v>
      </c>
      <c r="AI1448" s="113">
        <f>'Data_in-situ'!ER329</f>
        <v>-48.3</v>
      </c>
      <c r="AJ1448" s="113">
        <f>'Data_in-situ'!ES329</f>
        <v>15.3</v>
      </c>
      <c r="AK1448" s="110">
        <f>'Data_in-situ'!ET329</f>
        <v>15</v>
      </c>
    </row>
    <row r="1449" spans="2:37" x14ac:dyDescent="0.3">
      <c r="T1449" s="113">
        <f>'Data_in-situ'!DN329</f>
        <v>22.6</v>
      </c>
      <c r="U1449" s="113">
        <f>'Data_in-situ'!DO329</f>
        <v>25.196271935014309</v>
      </c>
      <c r="V1449" s="46">
        <f>'Data_in-situ'!DP329</f>
        <v>15</v>
      </c>
      <c r="W1449" s="113">
        <f>'Data_in-situ'!DR329</f>
        <v>0.03</v>
      </c>
      <c r="X1449" s="113">
        <f>'Data_in-situ'!DS329</f>
        <v>0.11211648883893029</v>
      </c>
      <c r="Y1449" s="46">
        <f>'Data_in-situ'!DT329</f>
        <v>15</v>
      </c>
      <c r="Z1449" s="113">
        <f>'Data_in-situ'!EA442</f>
        <v>0.3</v>
      </c>
      <c r="AA1449" s="113">
        <f>'Data_in-situ'!EB442</f>
        <v>0.35</v>
      </c>
      <c r="AB1449" s="46">
        <f>'Data_in-situ'!EC442</f>
        <v>6</v>
      </c>
      <c r="AC1449" s="113">
        <f>'Data_in-situ'!EE442</f>
        <v>1.5</v>
      </c>
      <c r="AD1449" s="113">
        <f>'Data_in-situ'!EF442</f>
        <v>0.6</v>
      </c>
      <c r="AE1449" s="46">
        <f>'Data_in-situ'!EG442</f>
        <v>6</v>
      </c>
      <c r="AF1449" s="113">
        <f>'Data_in-situ'!EN418</f>
        <v>-7.3</v>
      </c>
      <c r="AG1449" s="113">
        <f>'Data_in-situ'!EO418</f>
        <v>3.6</v>
      </c>
      <c r="AH1449" s="110">
        <f>'Data_in-situ'!EP418</f>
        <v>3</v>
      </c>
      <c r="AI1449" s="113">
        <f>'Data_in-situ'!ER418</f>
        <v>-75.599999999999994</v>
      </c>
      <c r="AJ1449" s="113">
        <f>'Data_in-situ'!ES418</f>
        <v>14.2</v>
      </c>
      <c r="AK1449" s="110">
        <f>'Data_in-situ'!ET418</f>
        <v>3</v>
      </c>
    </row>
    <row r="1450" spans="2:37" x14ac:dyDescent="0.3">
      <c r="T1450" s="113">
        <f>'Data_in-situ'!DN432</f>
        <v>75.653333333333322</v>
      </c>
      <c r="U1450" s="113">
        <f>'Data_in-situ'!DO432</f>
        <v>22.585942530698158</v>
      </c>
      <c r="V1450" s="46">
        <f>'Data_in-situ'!DP432</f>
        <v>3</v>
      </c>
      <c r="W1450" s="113">
        <f>'Data_in-situ'!DR432</f>
        <v>1.9466666666666665</v>
      </c>
      <c r="X1450" s="113">
        <f>'Data_in-situ'!DS432</f>
        <v>8.1752798117251011</v>
      </c>
      <c r="Y1450" s="46">
        <f>'Data_in-situ'!DT432</f>
        <v>3</v>
      </c>
      <c r="Z1450" s="113">
        <f>'Data_in-situ'!EA443</f>
        <v>0.3</v>
      </c>
      <c r="AA1450" s="113">
        <f>'Data_in-situ'!EB443</f>
        <v>0.35</v>
      </c>
      <c r="AB1450" s="46">
        <f>'Data_in-situ'!EC443</f>
        <v>6</v>
      </c>
      <c r="AC1450" s="113">
        <f>'Data_in-situ'!EE443</f>
        <v>37.700000000000003</v>
      </c>
      <c r="AD1450" s="113">
        <f>'Data_in-situ'!EF443</f>
        <v>2.95</v>
      </c>
      <c r="AE1450" s="46">
        <f>'Data_in-situ'!EG443</f>
        <v>4</v>
      </c>
      <c r="AF1450" s="113">
        <f>'Data_in-situ'!EN419</f>
        <v>-4.2</v>
      </c>
      <c r="AG1450" s="113">
        <f>'Data_in-situ'!EO419</f>
        <v>5.2</v>
      </c>
      <c r="AH1450" s="110">
        <f>'Data_in-situ'!EP419</f>
        <v>3</v>
      </c>
      <c r="AI1450" s="113">
        <f>'Data_in-situ'!ER419</f>
        <v>-64.3</v>
      </c>
      <c r="AJ1450" s="113">
        <f>'Data_in-situ'!ES419</f>
        <v>5.9</v>
      </c>
      <c r="AK1450" s="110">
        <f>'Data_in-situ'!ET419</f>
        <v>3</v>
      </c>
    </row>
    <row r="1451" spans="2:37" x14ac:dyDescent="0.3">
      <c r="T1451" s="113">
        <f>'Data_in-situ'!DN433</f>
        <v>36.813333333333333</v>
      </c>
      <c r="U1451" s="113">
        <f>'Data_in-situ'!DO433</f>
        <v>5.8889727457341818</v>
      </c>
      <c r="V1451" s="46">
        <f>'Data_in-situ'!DP433</f>
        <v>3</v>
      </c>
      <c r="W1451" s="113">
        <f>'Data_in-situ'!DR433</f>
        <v>0.97333333333333327</v>
      </c>
      <c r="X1451" s="113">
        <f>'Data_in-situ'!DS433</f>
        <v>1.1777945491468365</v>
      </c>
      <c r="Y1451" s="46">
        <f>'Data_in-situ'!DT433</f>
        <v>3</v>
      </c>
      <c r="Z1451" s="113">
        <f>'Data_in-situ'!EA444</f>
        <v>-0.35536232754524372</v>
      </c>
      <c r="AA1451" s="113">
        <f>'Data_in-situ'!EB444</f>
        <v>38.250757143327704</v>
      </c>
      <c r="AB1451" s="46">
        <f>'Data_in-situ'!EC444</f>
        <v>46</v>
      </c>
      <c r="AC1451" s="113">
        <f>'Data_in-situ'!EE444</f>
        <v>20.199714045305026</v>
      </c>
      <c r="AD1451" s="113">
        <f>'Data_in-situ'!EF444</f>
        <v>184.05347959835046</v>
      </c>
      <c r="AE1451" s="46">
        <f>'Data_in-situ'!EG444</f>
        <v>53</v>
      </c>
      <c r="AF1451" s="113">
        <f>'Data_in-situ'!EN432</f>
        <v>-14.226633581472301</v>
      </c>
      <c r="AG1451" s="113">
        <f>'Data_in-situ'!EO432</f>
        <v>0.84179554111043309</v>
      </c>
      <c r="AH1451" s="110">
        <f>'Data_in-situ'!EP432</f>
        <v>3</v>
      </c>
      <c r="AI1451" s="113">
        <f>'Data_in-situ'!ER432</f>
        <v>-56.100981767180912</v>
      </c>
      <c r="AJ1451" s="113">
        <f>'Data_in-situ'!ES432</f>
        <v>3.5983168804300347</v>
      </c>
      <c r="AK1451" s="110">
        <f>'Data_in-situ'!ET432</f>
        <v>3</v>
      </c>
    </row>
    <row r="1452" spans="2:37" x14ac:dyDescent="0.3">
      <c r="T1452" s="113">
        <f>'Data_in-situ'!DN434</f>
        <v>198.66666666666666</v>
      </c>
      <c r="U1452" s="113">
        <f>'Data_in-situ'!DO434</f>
        <v>221.4893521131051</v>
      </c>
      <c r="V1452" s="46">
        <f>'Data_in-situ'!DP434</f>
        <v>3</v>
      </c>
      <c r="W1452" s="113">
        <f>'Data_in-situ'!DR434</f>
        <v>2.8000000000000003</v>
      </c>
      <c r="X1452" s="113">
        <f>'Data_in-situ'!DS434</f>
        <v>10.464205624966828</v>
      </c>
      <c r="Y1452" s="46">
        <f>'Data_in-situ'!DT434</f>
        <v>3</v>
      </c>
      <c r="AF1452" s="113">
        <f>'Data_in-situ'!EN433</f>
        <v>-12.821300563236036</v>
      </c>
      <c r="AG1452" s="113">
        <f>'Data_in-situ'!EO433</f>
        <v>0.77828981054787205</v>
      </c>
      <c r="AH1452" s="110">
        <f>'Data_in-situ'!EP433</f>
        <v>3</v>
      </c>
      <c r="AI1452" s="113">
        <f>'Data_in-situ'!ER433</f>
        <v>-49.305962854349943</v>
      </c>
      <c r="AJ1452" s="113">
        <f>'Data_in-situ'!ES433</f>
        <v>4.302708385623629</v>
      </c>
      <c r="AK1452" s="110">
        <f>'Data_in-situ'!ET433</f>
        <v>3</v>
      </c>
    </row>
    <row r="1453" spans="2:37" x14ac:dyDescent="0.3">
      <c r="T1453" s="113">
        <f>'Data_in-situ'!DN435</f>
        <v>345.33333333333331</v>
      </c>
      <c r="U1453" s="113">
        <f>'Data_in-situ'!DO435</f>
        <v>385.00498118989412</v>
      </c>
      <c r="V1453" s="46">
        <f>'Data_in-situ'!DP435</f>
        <v>3</v>
      </c>
      <c r="W1453" s="113">
        <f>'Data_in-situ'!DR435</f>
        <v>1.3333333333333333</v>
      </c>
      <c r="X1453" s="113">
        <f>'Data_in-situ'!DS435</f>
        <v>4.9829550595080132</v>
      </c>
      <c r="Y1453" s="46">
        <f>'Data_in-situ'!DT435</f>
        <v>3</v>
      </c>
      <c r="AF1453" s="113">
        <f>'Data_in-situ'!EN443</f>
        <v>-9</v>
      </c>
      <c r="AG1453" s="113">
        <f>'Data_in-situ'!EO443</f>
        <v>1.9</v>
      </c>
      <c r="AH1453" s="110">
        <f>'Data_in-situ'!EP443</f>
        <v>3</v>
      </c>
      <c r="AI1453" s="113">
        <f>'Data_in-situ'!ER443</f>
        <v>-37.76</v>
      </c>
      <c r="AJ1453" s="113">
        <f>'Data_in-situ'!ES443</f>
        <v>2.68</v>
      </c>
      <c r="AK1453" s="110">
        <f>'Data_in-situ'!ET443</f>
        <v>3</v>
      </c>
    </row>
    <row r="1454" spans="2:37" x14ac:dyDescent="0.3">
      <c r="T1454" s="113">
        <f>'Data_in-situ'!DN437</f>
        <v>199.12</v>
      </c>
      <c r="U1454" s="113">
        <f>'Data_in-situ'!DO437</f>
        <v>39.04</v>
      </c>
      <c r="V1454" s="46">
        <f>'Data_in-situ'!DP437</f>
        <v>3</v>
      </c>
      <c r="W1454" s="113">
        <f>'Data_in-situ'!DR437</f>
        <v>-1.37</v>
      </c>
      <c r="X1454" s="113">
        <f>'Data_in-situ'!DS437</f>
        <v>0.68</v>
      </c>
      <c r="Y1454" s="46">
        <f>'Data_in-situ'!DT437</f>
        <v>3</v>
      </c>
      <c r="AF1454" s="113">
        <f>'Data_in-situ'!EN444</f>
        <v>-15</v>
      </c>
      <c r="AG1454" s="113">
        <f>'Data_in-situ'!EO444</f>
        <v>13</v>
      </c>
      <c r="AH1454" s="110">
        <f>'Data_in-situ'!EP444</f>
        <v>9836</v>
      </c>
      <c r="AI1454" s="113">
        <f>'Data_in-situ'!ER444</f>
        <v>-55</v>
      </c>
      <c r="AJ1454" s="113">
        <f>'Data_in-situ'!ES444</f>
        <v>15</v>
      </c>
      <c r="AK1454" s="110">
        <f>'Data_in-situ'!ET444</f>
        <v>14736</v>
      </c>
    </row>
    <row r="1455" spans="2:37" x14ac:dyDescent="0.3">
      <c r="T1455" s="113">
        <f>'Data_in-situ'!DN438</f>
        <v>199.12</v>
      </c>
      <c r="U1455" s="113">
        <f>'Data_in-situ'!DO438</f>
        <v>39.04</v>
      </c>
      <c r="V1455" s="46">
        <f>'Data_in-situ'!DP438</f>
        <v>3</v>
      </c>
      <c r="W1455" s="113">
        <f>'Data_in-situ'!DR438</f>
        <v>94.82</v>
      </c>
      <c r="X1455" s="113">
        <f>'Data_in-situ'!DS438</f>
        <v>9.86</v>
      </c>
      <c r="Y1455" s="46">
        <f>'Data_in-situ'!DT438</f>
        <v>3</v>
      </c>
    </row>
    <row r="1456" spans="2:37" x14ac:dyDescent="0.3">
      <c r="T1456" s="113">
        <f>'Data_in-situ'!DN441</f>
        <v>172</v>
      </c>
      <c r="U1456" s="113">
        <f>'Data_in-situ'!DO441</f>
        <v>22</v>
      </c>
      <c r="V1456" s="46">
        <f>'Data_in-situ'!DP441</f>
        <v>6</v>
      </c>
      <c r="W1456" s="113">
        <f>'Data_in-situ'!DR441</f>
        <v>1.5</v>
      </c>
      <c r="X1456" s="113">
        <f>'Data_in-situ'!DS441</f>
        <v>1.6</v>
      </c>
      <c r="Y1456" s="46">
        <f>'Data_in-situ'!DT441</f>
        <v>6</v>
      </c>
    </row>
    <row r="1457" spans="1:37" x14ac:dyDescent="0.3">
      <c r="T1457" s="113">
        <f>'Data_in-situ'!DN442</f>
        <v>172</v>
      </c>
      <c r="U1457" s="113">
        <f>'Data_in-situ'!DO442</f>
        <v>22</v>
      </c>
      <c r="V1457" s="46">
        <f>'Data_in-situ'!DP442</f>
        <v>6</v>
      </c>
      <c r="W1457" s="113">
        <f>'Data_in-situ'!DR442</f>
        <v>-1.4</v>
      </c>
      <c r="X1457" s="113">
        <f>'Data_in-situ'!DS442</f>
        <v>1.5</v>
      </c>
      <c r="Y1457" s="46">
        <f>'Data_in-situ'!DT442</f>
        <v>6</v>
      </c>
    </row>
    <row r="1458" spans="1:37" x14ac:dyDescent="0.3">
      <c r="T1458" s="113">
        <f>'Data_in-situ'!DN443</f>
        <v>172</v>
      </c>
      <c r="U1458" s="113">
        <f>'Data_in-situ'!DO443</f>
        <v>22</v>
      </c>
      <c r="V1458" s="46">
        <f>'Data_in-situ'!DP443</f>
        <v>6</v>
      </c>
      <c r="W1458" s="113">
        <f>'Data_in-situ'!DR443</f>
        <v>-0.6</v>
      </c>
      <c r="X1458" s="113">
        <f>'Data_in-situ'!DS443</f>
        <v>0.65</v>
      </c>
      <c r="Y1458" s="46">
        <f>'Data_in-situ'!DT443</f>
        <v>4</v>
      </c>
    </row>
    <row r="1459" spans="1:37" x14ac:dyDescent="0.3">
      <c r="T1459" s="113">
        <f>'Data_in-situ'!DN444</f>
        <v>1231.8452874333798</v>
      </c>
      <c r="U1459" s="113">
        <f>'Data_in-situ'!DO444</f>
        <v>2386.9642276450431</v>
      </c>
      <c r="V1459" s="46">
        <f>'Data_in-situ'!DP444</f>
        <v>46</v>
      </c>
      <c r="W1459" s="113">
        <f>'Data_in-situ'!DR444</f>
        <v>23.778911502590674</v>
      </c>
      <c r="X1459" s="113">
        <f>'Data_in-situ'!DS444</f>
        <v>31.04286769933886</v>
      </c>
      <c r="Y1459" s="46">
        <f>'Data_in-situ'!DT444</f>
        <v>53</v>
      </c>
    </row>
    <row r="1461" spans="1:37" x14ac:dyDescent="0.3">
      <c r="A1461" s="110" t="s">
        <v>831</v>
      </c>
      <c r="B1461" s="24">
        <f>AVERAGEA(B1437:B1459)</f>
        <v>-21245.661985492094</v>
      </c>
      <c r="C1461" s="24">
        <f>STDEVA(B1437:B1459)/SQRT(COUNT(B1437:B1459))</f>
        <v>4967.6700114742298</v>
      </c>
      <c r="D1461" s="46">
        <f>COUNT(B1437:B1459)</f>
        <v>7</v>
      </c>
      <c r="E1461" s="24">
        <f>AVERAGEA(E1437:E1459)</f>
        <v>-29414.009130789193</v>
      </c>
      <c r="F1461" s="24">
        <f>STDEVA(E1437:E1459)/SQRT(COUNT(E1437:E1459))</f>
        <v>5853.8758954887153</v>
      </c>
      <c r="G1461" s="46">
        <f>COUNT(E1437:E1459)</f>
        <v>7</v>
      </c>
      <c r="H1461" s="24">
        <f>AVERAGEA(H1437:H1459)</f>
        <v>15734.378467200182</v>
      </c>
      <c r="I1461" s="24">
        <f>STDEVA(H1437:H1459)/SQRT(COUNT(H1437:H1459))</f>
        <v>3195.938656530649</v>
      </c>
      <c r="J1461" s="46">
        <f>COUNT(H1437:H1459)</f>
        <v>7</v>
      </c>
      <c r="K1461" s="24">
        <f>AVERAGEA(K1437:K1459)</f>
        <v>28102.385525704227</v>
      </c>
      <c r="L1461" s="24">
        <f>STDEVA(K1437:K1459)/SQRT(COUNT(K1437:K1459))</f>
        <v>4519.3410881441287</v>
      </c>
      <c r="M1461" s="46">
        <f>COUNT(K1437:K1459)</f>
        <v>7</v>
      </c>
      <c r="N1461" s="24">
        <f>AVERAGEA(N1437:N1459)</f>
        <v>-5513.9612549677804</v>
      </c>
      <c r="O1461" s="24">
        <f>STDEVA(N1437:N1459)/SQRT(COUNT(N1437:N1459))</f>
        <v>1458.2317270197188</v>
      </c>
      <c r="P1461" s="46">
        <f>COUNT(N1437:N1459)</f>
        <v>9</v>
      </c>
      <c r="Q1461" s="24">
        <f>AVERAGEA(Q1437:Q1459)</f>
        <v>-2241.2628039549681</v>
      </c>
      <c r="R1461" s="24">
        <f>STDEVA(Q1437:Q1459)/SQRT(COUNT(Q1437:Q1459))</f>
        <v>1957.5775769666304</v>
      </c>
      <c r="S1461" s="46">
        <f>COUNT(Q1437:Q1459)</f>
        <v>9</v>
      </c>
      <c r="T1461" s="113">
        <f>AVERAGEA(T1437:T1459)</f>
        <v>175.30491126117369</v>
      </c>
      <c r="U1461" s="113">
        <f>STDEVA(T1437:T1459)/SQRT(COUNT(T1437:T1459))</f>
        <v>52.979325466504783</v>
      </c>
      <c r="V1461" s="46">
        <f>COUNT(T1437:T1459)</f>
        <v>23</v>
      </c>
      <c r="W1461" s="113">
        <f>AVERAGEA(W1437:W1459)</f>
        <v>13.489971849262442</v>
      </c>
      <c r="X1461" s="113">
        <f>STDEVA(W1437:W1459)/SQRT(COUNT(W1437:W1459))</f>
        <v>6.9843330879154175</v>
      </c>
      <c r="Y1461" s="46">
        <f>COUNT(W1437:W1459)</f>
        <v>23</v>
      </c>
      <c r="Z1461" s="113">
        <f>AVERAGEA(Z1437:Z1459)</f>
        <v>0.84267108292555537</v>
      </c>
      <c r="AA1461" s="113">
        <f>STDEVA(Z1437:Z1459)/SQRT(COUNT(Z1437:Z1459))</f>
        <v>0.34976186868092801</v>
      </c>
      <c r="AB1461" s="46">
        <f>COUNT(Z1437:Z1459)</f>
        <v>15</v>
      </c>
      <c r="AC1461" s="113">
        <f>AVERAGEA(AC1437:AC1459)</f>
        <v>7.3759904601631927</v>
      </c>
      <c r="AD1461" s="113">
        <f>STDEVA(AC1437:AC1459)/SQRT(COUNT(AC1437:AC1459))</f>
        <v>2.6352374309488247</v>
      </c>
      <c r="AE1461" s="46">
        <f>COUNT(AC1437:AC1459)</f>
        <v>15</v>
      </c>
      <c r="AF1461" s="113">
        <f>AVERAGEA(AF1437:AF1459)</f>
        <v>-12.780408900603895</v>
      </c>
      <c r="AG1461" s="113">
        <f>STDEVA(AF1437:AF1459)/SQRT(COUNT(AF1437:AF1459))</f>
        <v>2.0353965975793606</v>
      </c>
      <c r="AH1461" s="46">
        <f>COUNT(AF1437:AF1459)</f>
        <v>18</v>
      </c>
      <c r="AI1461" s="113">
        <f>AVERAGEA(AI1437:AI1459)</f>
        <v>-40.656254647463662</v>
      </c>
      <c r="AJ1461" s="113">
        <f>STDEVA(AI1437:AI1459)/SQRT(COUNT(AI1437:AI1459))</f>
        <v>3.6790103046909572</v>
      </c>
      <c r="AK1461" s="46">
        <f>COUNT(AI1437:AI1459)</f>
        <v>18</v>
      </c>
    </row>
    <row r="1463" spans="1:37" x14ac:dyDescent="0.3">
      <c r="A1463" s="110" t="s">
        <v>840</v>
      </c>
      <c r="B1463" s="24">
        <f>'Data_in-situ'!CA246</f>
        <v>-129103.33333333334</v>
      </c>
      <c r="C1463" s="24">
        <f>'Data_in-situ'!CB246</f>
        <v>31476.743163089086</v>
      </c>
      <c r="D1463" s="46">
        <f>'Data_in-situ'!CC246</f>
        <v>1</v>
      </c>
      <c r="E1463" s="24">
        <f>'Data_in-situ'!CE246</f>
        <v>-116380</v>
      </c>
      <c r="F1463" s="24">
        <f>'Data_in-situ'!CF246</f>
        <v>43324.677444112938</v>
      </c>
      <c r="G1463" s="46">
        <f>'Data_in-situ'!CG246</f>
        <v>1</v>
      </c>
      <c r="H1463" s="24">
        <f>'Data_in-situ'!CN246</f>
        <v>136436.66666666666</v>
      </c>
      <c r="I1463" s="24">
        <f>'Data_in-situ'!CO246</f>
        <v>39242.911350487644</v>
      </c>
      <c r="J1463" s="46">
        <f>'Data_in-situ'!CP246</f>
        <v>1</v>
      </c>
      <c r="K1463" s="24">
        <f>'Data_in-situ'!CR246</f>
        <v>134603.33333333334</v>
      </c>
      <c r="L1463" s="24">
        <f>'Data_in-situ'!CS246</f>
        <v>35318.726117508595</v>
      </c>
      <c r="M1463" s="46">
        <f>'Data_in-situ'!CT246</f>
        <v>1</v>
      </c>
      <c r="N1463" s="24">
        <f>'Data_in-situ'!DA226</f>
        <v>-4000</v>
      </c>
      <c r="O1463" s="24">
        <f>'Data_in-situ'!DB226</f>
        <v>11998.626234744846</v>
      </c>
      <c r="P1463" s="46">
        <f>'Data_in-situ'!DC226</f>
        <v>4</v>
      </c>
      <c r="Q1463" s="24">
        <f>'Data_in-situ'!DE226</f>
        <v>2600</v>
      </c>
      <c r="R1463" s="24">
        <f>'Data_in-situ'!DF226</f>
        <v>2478.1712651793655</v>
      </c>
      <c r="S1463" s="46">
        <f>'Data_in-situ'!DG226</f>
        <v>4</v>
      </c>
      <c r="T1463" s="113">
        <f>'Data_in-situ'!DN34</f>
        <v>218.59000000000026</v>
      </c>
      <c r="U1463" s="113">
        <f>'Data_in-situ'!DO34</f>
        <v>226.1967612500232</v>
      </c>
      <c r="V1463" s="46">
        <f>'Data_in-situ'!DP34</f>
        <v>25</v>
      </c>
      <c r="W1463" s="113">
        <f>'Data_in-situ'!DR34</f>
        <v>-1.3730769230769226</v>
      </c>
      <c r="X1463" s="113">
        <f>'Data_in-situ'!DS34</f>
        <v>0.50491400638738226</v>
      </c>
      <c r="Y1463" s="46">
        <f>'Data_in-situ'!DT34</f>
        <v>75</v>
      </c>
      <c r="Z1463" s="113">
        <f>'Data_in-situ'!EA98</f>
        <v>-9.6326468671612098E-2</v>
      </c>
      <c r="AA1463" s="113">
        <f>'Data_in-situ'!EB98</f>
        <v>5.4029389318036893E-2</v>
      </c>
      <c r="AB1463" s="46">
        <f>'Data_in-situ'!EC98</f>
        <v>3</v>
      </c>
      <c r="AC1463" s="113">
        <f>'Data_in-situ'!EE98</f>
        <v>1.5454704465443767</v>
      </c>
      <c r="AD1463" s="113">
        <f>'Data_in-situ'!EF98</f>
        <v>0.28931759999999995</v>
      </c>
      <c r="AE1463" s="46">
        <f>'Data_in-situ'!EG98</f>
        <v>3</v>
      </c>
      <c r="AF1463" s="113">
        <f>'Data_in-situ'!EN98</f>
        <v>3.3333333333333335</v>
      </c>
      <c r="AG1463" s="113">
        <f>'Data_in-situ'!EO98</f>
        <v>1.5275252316519463</v>
      </c>
      <c r="AH1463" s="110">
        <f>'Data_in-situ'!EP98</f>
        <v>3</v>
      </c>
      <c r="AI1463" s="113">
        <f>'Data_in-situ'!ER98</f>
        <v>-18.100000000000001</v>
      </c>
      <c r="AJ1463" s="113">
        <f>'Data_in-situ'!ES98</f>
        <v>5.6</v>
      </c>
      <c r="AK1463" s="110">
        <f>'Data_in-situ'!ET98</f>
        <v>3</v>
      </c>
    </row>
    <row r="1464" spans="1:37" x14ac:dyDescent="0.3">
      <c r="B1464" s="24">
        <f>'Data_in-situ'!CA247</f>
        <v>-130313.33333333334</v>
      </c>
      <c r="C1464" s="24">
        <f>'Data_in-situ'!CB247</f>
        <v>31771.753820397222</v>
      </c>
      <c r="D1464" s="46">
        <f>'Data_in-situ'!CC247</f>
        <v>1</v>
      </c>
      <c r="E1464" s="24">
        <f>'Data_in-situ'!CE247</f>
        <v>-121146.66666666666</v>
      </c>
      <c r="F1464" s="24">
        <f>'Data_in-situ'!CF247</f>
        <v>45099.160137161038</v>
      </c>
      <c r="G1464" s="46">
        <f>'Data_in-situ'!CG247</f>
        <v>1</v>
      </c>
      <c r="H1464" s="24">
        <f>'Data_in-situ'!CN247</f>
        <v>132953.33333333334</v>
      </c>
      <c r="I1464" s="24">
        <f>'Data_in-situ'!CO247</f>
        <v>38241.009555729164</v>
      </c>
      <c r="J1464" s="46">
        <f>'Data_in-situ'!CP247</f>
        <v>1</v>
      </c>
      <c r="K1464" s="24">
        <f>'Data_in-situ'!CR247</f>
        <v>128553.33333333334</v>
      </c>
      <c r="L1464" s="24">
        <f>'Data_in-situ'!CS247</f>
        <v>33731.259539086117</v>
      </c>
      <c r="M1464" s="46">
        <f>'Data_in-situ'!CT247</f>
        <v>1</v>
      </c>
      <c r="N1464" s="24">
        <f>'Data_in-situ'!DA227</f>
        <v>-2700</v>
      </c>
      <c r="O1464" s="24">
        <f>'Data_in-situ'!DB227</f>
        <v>8099.0727084527707</v>
      </c>
      <c r="P1464" s="46">
        <f>'Data_in-situ'!DC227</f>
        <v>4</v>
      </c>
      <c r="Q1464" s="24">
        <f>'Data_in-situ'!DE227</f>
        <v>3900</v>
      </c>
      <c r="R1464" s="24">
        <f>'Data_in-situ'!DF227</f>
        <v>3717.256897769048</v>
      </c>
      <c r="S1464" s="46">
        <f>'Data_in-situ'!DG227</f>
        <v>4</v>
      </c>
      <c r="T1464" s="113">
        <f>'Data_in-situ'!DN79</f>
        <v>345.6</v>
      </c>
      <c r="U1464" s="113">
        <f>'Data_in-situ'!DO79</f>
        <v>358.40000000000003</v>
      </c>
      <c r="V1464" s="46">
        <f>'Data_in-situ'!DP79</f>
        <v>4</v>
      </c>
      <c r="W1464" s="113">
        <f>'Data_in-situ'!DR79</f>
        <v>-2.4</v>
      </c>
      <c r="X1464" s="113">
        <f>'Data_in-situ'!DS79</f>
        <v>0.8</v>
      </c>
      <c r="Y1464" s="46">
        <f>'Data_in-situ'!DT79</f>
        <v>4</v>
      </c>
      <c r="Z1464" s="113">
        <f>'Data_in-situ'!EA99</f>
        <v>-0.40440266730939189</v>
      </c>
      <c r="AA1464" s="113">
        <f>'Data_in-situ'!EB99</f>
        <v>1.1600159999999999</v>
      </c>
      <c r="AB1464" s="46">
        <f>'Data_in-situ'!EC99</f>
        <v>24</v>
      </c>
      <c r="AC1464" s="113">
        <f>'Data_in-situ'!EE99</f>
        <v>0.41440059292199383</v>
      </c>
      <c r="AD1464" s="113">
        <f>'Data_in-situ'!EF99</f>
        <v>1.3178879999999999</v>
      </c>
      <c r="AE1464" s="46">
        <f>'Data_in-situ'!EG99</f>
        <v>15</v>
      </c>
      <c r="AF1464" s="113">
        <f>'Data_in-situ'!EN99</f>
        <v>6.52</v>
      </c>
      <c r="AG1464" s="113">
        <f>'Data_in-situ'!EO99</f>
        <v>6.22</v>
      </c>
      <c r="AH1464" s="110">
        <f>'Data_in-situ'!EP99</f>
        <v>4</v>
      </c>
      <c r="AI1464" s="113">
        <f>'Data_in-situ'!ER99</f>
        <v>-36.47</v>
      </c>
      <c r="AJ1464" s="113">
        <f>'Data_in-situ'!ES99</f>
        <v>14.77</v>
      </c>
      <c r="AK1464" s="110">
        <f>'Data_in-situ'!ET99</f>
        <v>4</v>
      </c>
    </row>
    <row r="1465" spans="1:37" x14ac:dyDescent="0.3">
      <c r="B1465" s="24">
        <f>'Data_in-situ'!CA248</f>
        <v>-120743.33333333334</v>
      </c>
      <c r="C1465" s="24">
        <f>'Data_in-situ'!CB248</f>
        <v>29438.487712596525</v>
      </c>
      <c r="D1465" s="46">
        <f>'Data_in-situ'!CC248</f>
        <v>1</v>
      </c>
      <c r="E1465" s="24">
        <f>'Data_in-situ'!CE248</f>
        <v>-111613.33333333334</v>
      </c>
      <c r="F1465" s="24">
        <f>'Data_in-situ'!CF248</f>
        <v>41550.194751064839</v>
      </c>
      <c r="G1465" s="46">
        <f>'Data_in-situ'!CG248</f>
        <v>1</v>
      </c>
      <c r="H1465" s="24">
        <f>'Data_in-situ'!CN248</f>
        <v>136986.66666666666</v>
      </c>
      <c r="I1465" s="24">
        <f>'Data_in-situ'!CO248</f>
        <v>39401.106370712667</v>
      </c>
      <c r="J1465" s="46">
        <f>'Data_in-situ'!CP248</f>
        <v>1</v>
      </c>
      <c r="K1465" s="24">
        <f>'Data_in-situ'!CR248</f>
        <v>130093.33333333334</v>
      </c>
      <c r="L1465" s="24">
        <f>'Data_in-situ'!CS248</f>
        <v>34135.341940866383</v>
      </c>
      <c r="M1465" s="46">
        <f>'Data_in-situ'!CT248</f>
        <v>1</v>
      </c>
      <c r="N1465" s="24">
        <f>'Data_in-situ'!DA228</f>
        <v>-2400</v>
      </c>
      <c r="O1465" s="24">
        <f>'Data_in-situ'!DB228</f>
        <v>7199.1757408469075</v>
      </c>
      <c r="P1465" s="46">
        <f>'Data_in-situ'!DC228</f>
        <v>4</v>
      </c>
      <c r="Q1465" s="24">
        <f>'Data_in-situ'!DE228</f>
        <v>4200</v>
      </c>
      <c r="R1465" s="24">
        <f>'Data_in-situ'!DF228</f>
        <v>4003.1997360589748</v>
      </c>
      <c r="S1465" s="46">
        <f>'Data_in-situ'!DG228</f>
        <v>4</v>
      </c>
      <c r="T1465" s="113">
        <f>'Data_in-situ'!DN88</f>
        <v>17.100000000000001</v>
      </c>
      <c r="U1465" s="113">
        <f>'Data_in-situ'!DO88</f>
        <v>7.9674337148168348</v>
      </c>
      <c r="V1465" s="46">
        <f>'Data_in-situ'!DP88</f>
        <v>3</v>
      </c>
      <c r="W1465" s="113">
        <f>'Data_in-situ'!DR88</f>
        <v>11.100000000000001</v>
      </c>
      <c r="X1465" s="113">
        <f>'Data_in-situ'!DS88</f>
        <v>4.3301270189221928</v>
      </c>
      <c r="Y1465" s="46">
        <f>'Data_in-situ'!DT88</f>
        <v>3</v>
      </c>
      <c r="Z1465" s="113">
        <f>'Data_in-situ'!EA152</f>
        <v>4.2428571428571429</v>
      </c>
      <c r="AA1465" s="113">
        <f>'Data_in-situ'!EB152</f>
        <v>2.9857142857142853</v>
      </c>
      <c r="AB1465" s="46">
        <f>'Data_in-situ'!EC152</f>
        <v>7</v>
      </c>
      <c r="AC1465" s="113">
        <f>'Data_in-situ'!EE152</f>
        <v>3.7714285714285714</v>
      </c>
      <c r="AD1465" s="113">
        <f>'Data_in-situ'!EF152</f>
        <v>1.7285714285714289</v>
      </c>
      <c r="AE1465" s="46">
        <f>'Data_in-situ'!EG152</f>
        <v>10</v>
      </c>
      <c r="AF1465" s="113">
        <f>'Data_in-situ'!EN152</f>
        <v>-18.3</v>
      </c>
      <c r="AG1465" s="113">
        <f>'Data_in-situ'!EO152</f>
        <v>5.8</v>
      </c>
      <c r="AH1465" s="110">
        <f>'Data_in-situ'!EP152</f>
        <v>12</v>
      </c>
      <c r="AI1465" s="113">
        <f>'Data_in-situ'!ER152</f>
        <v>-39.6</v>
      </c>
      <c r="AJ1465" s="113">
        <f>'Data_in-situ'!ES152</f>
        <v>3.6</v>
      </c>
      <c r="AK1465" s="110">
        <f>'Data_in-situ'!ET152</f>
        <v>23</v>
      </c>
    </row>
    <row r="1466" spans="1:37" x14ac:dyDescent="0.3">
      <c r="B1466" s="24">
        <f>'Data_in-situ'!CA249</f>
        <v>-128773.33333333334</v>
      </c>
      <c r="C1466" s="24">
        <f>'Data_in-situ'!CB249</f>
        <v>31396.285711095959</v>
      </c>
      <c r="D1466" s="46">
        <f>'Data_in-situ'!CC249</f>
        <v>1</v>
      </c>
      <c r="E1466" s="24">
        <f>'Data_in-situ'!CE249</f>
        <v>-118946.66666666666</v>
      </c>
      <c r="F1466" s="24">
        <f>'Data_in-situ'!CF249</f>
        <v>44280.168124984993</v>
      </c>
      <c r="G1466" s="46">
        <f>'Data_in-situ'!CG249</f>
        <v>1</v>
      </c>
      <c r="H1466" s="24">
        <f>'Data_in-situ'!CN249</f>
        <v>127783.33333333334</v>
      </c>
      <c r="I1466" s="24">
        <f>'Data_in-situ'!CO249</f>
        <v>36753.97636561394</v>
      </c>
      <c r="J1466" s="46">
        <f>'Data_in-situ'!CP249</f>
        <v>1</v>
      </c>
      <c r="K1466" s="24">
        <f>'Data_in-situ'!CR249</f>
        <v>122870</v>
      </c>
      <c r="L1466" s="24">
        <f>'Data_in-situ'!CS249</f>
        <v>32240.003056325604</v>
      </c>
      <c r="M1466" s="46">
        <f>'Data_in-situ'!CT249</f>
        <v>1</v>
      </c>
      <c r="N1466" s="24">
        <f>'Data_in-situ'!DA229</f>
        <v>-2700</v>
      </c>
      <c r="O1466" s="24">
        <f>'Data_in-situ'!DB229</f>
        <v>8099.0727084527707</v>
      </c>
      <c r="P1466" s="46">
        <f>'Data_in-situ'!DC229</f>
        <v>4</v>
      </c>
      <c r="Q1466" s="24">
        <f>'Data_in-situ'!DE229</f>
        <v>5300</v>
      </c>
      <c r="R1466" s="24">
        <f>'Data_in-situ'!DF229</f>
        <v>5051.6568097887066</v>
      </c>
      <c r="S1466" s="46">
        <f>'Data_in-situ'!DG229</f>
        <v>4</v>
      </c>
      <c r="T1466" s="113">
        <f>'Data_in-situ'!DN89</f>
        <v>17.3</v>
      </c>
      <c r="U1466" s="113">
        <f>'Data_in-situ'!DO89</f>
        <v>8.1406387955737234</v>
      </c>
      <c r="V1466" s="46">
        <f>'Data_in-situ'!DP89</f>
        <v>3</v>
      </c>
      <c r="W1466" s="113">
        <f>'Data_in-situ'!DR89</f>
        <v>12.5</v>
      </c>
      <c r="X1466" s="113">
        <f>'Data_in-situ'!DS89</f>
        <v>5.0229473419497435</v>
      </c>
      <c r="Y1466" s="46">
        <f>'Data_in-situ'!DT89</f>
        <v>3</v>
      </c>
      <c r="Z1466" s="113">
        <f>'Data_in-situ'!EA153</f>
        <v>4.2428571428571429</v>
      </c>
      <c r="AA1466" s="113">
        <f>'Data_in-situ'!EB153</f>
        <v>2.9857142857142853</v>
      </c>
      <c r="AB1466" s="46">
        <f>'Data_in-situ'!EC153</f>
        <v>7</v>
      </c>
      <c r="AC1466" s="113">
        <f>'Data_in-situ'!EE153</f>
        <v>7.8571428571428568</v>
      </c>
      <c r="AD1466" s="113">
        <f>'Data_in-situ'!EF153</f>
        <v>4.2428571428571429</v>
      </c>
      <c r="AE1466" s="46">
        <f>'Data_in-situ'!EG153</f>
        <v>8</v>
      </c>
      <c r="AF1466" s="113">
        <f>'Data_in-situ'!EN153</f>
        <v>-18.3</v>
      </c>
      <c r="AG1466" s="113">
        <f>'Data_in-situ'!EO153</f>
        <v>5.8</v>
      </c>
      <c r="AH1466" s="110">
        <f>'Data_in-situ'!EP153</f>
        <v>12</v>
      </c>
      <c r="AI1466" s="113">
        <f>'Data_in-situ'!ER153</f>
        <v>-55.5</v>
      </c>
      <c r="AJ1466" s="113">
        <f>'Data_in-situ'!ES153</f>
        <v>4.4000000000000004</v>
      </c>
      <c r="AK1466" s="110">
        <f>'Data_in-situ'!ET153</f>
        <v>25</v>
      </c>
    </row>
    <row r="1467" spans="1:37" x14ac:dyDescent="0.3">
      <c r="B1467" s="24">
        <f>'Data_in-situ'!CA450</f>
        <v>-131193.33333333334</v>
      </c>
      <c r="C1467" s="24">
        <f>'Data_in-situ'!CB450</f>
        <v>31986.307025712227</v>
      </c>
      <c r="D1467" s="46">
        <f>'Data_in-situ'!CC450</f>
        <v>1</v>
      </c>
      <c r="E1467" s="24">
        <f>'Data_in-situ'!CE450</f>
        <v>-154036.66666666666</v>
      </c>
      <c r="F1467" s="24">
        <f>'Data_in-situ'!CF450</f>
        <v>57343.090719192958</v>
      </c>
      <c r="G1467" s="46">
        <f>'Data_in-situ'!CG450</f>
        <v>1</v>
      </c>
      <c r="H1467" s="24">
        <f>'Data_in-situ'!CN450</f>
        <v>146923.33333333334</v>
      </c>
      <c r="I1467" s="24">
        <f>'Data_in-situ'!CO450</f>
        <v>42259.163069444774</v>
      </c>
      <c r="J1467" s="46">
        <f>'Data_in-situ'!CP450</f>
        <v>1</v>
      </c>
      <c r="K1467" s="24">
        <f>'Data_in-situ'!CR450</f>
        <v>176366.66666666666</v>
      </c>
      <c r="L1467" s="24">
        <f>'Data_in-situ'!CS450</f>
        <v>46277.056013406785</v>
      </c>
      <c r="M1467" s="46">
        <f>'Data_in-situ'!CT450</f>
        <v>1</v>
      </c>
      <c r="N1467" s="24">
        <f>'Data_in-situ'!DA230</f>
        <v>-2850</v>
      </c>
      <c r="O1467" s="24">
        <f>'Data_in-situ'!DB230</f>
        <v>8549.0211922557028</v>
      </c>
      <c r="P1467" s="46">
        <f>'Data_in-situ'!DC230</f>
        <v>4</v>
      </c>
      <c r="Q1467" s="24">
        <f>'Data_in-situ'!DE230</f>
        <v>5150</v>
      </c>
      <c r="R1467" s="24">
        <f>'Data_in-situ'!DF230</f>
        <v>4908.6853906437427</v>
      </c>
      <c r="S1467" s="46">
        <f>'Data_in-situ'!DG230</f>
        <v>4</v>
      </c>
      <c r="T1467" s="113">
        <f>'Data_in-situ'!DN98</f>
        <v>29.564989329793384</v>
      </c>
      <c r="U1467" s="113">
        <f>'Data_in-situ'!DO98</f>
        <v>10.677333333333335</v>
      </c>
      <c r="V1467" s="46">
        <f>'Data_in-situ'!DP98</f>
        <v>3</v>
      </c>
      <c r="W1467" s="113">
        <f>'Data_in-situ'!DR98</f>
        <v>7.9918819188191907</v>
      </c>
      <c r="X1467" s="113">
        <f>'Data_in-situ'!DS98</f>
        <v>0.87360000000000004</v>
      </c>
      <c r="Y1467" s="46">
        <f>'Data_in-situ'!DT98</f>
        <v>3</v>
      </c>
      <c r="Z1467" s="113">
        <f>'Data_in-situ'!EA154</f>
        <v>4.2428571428571429</v>
      </c>
      <c r="AA1467" s="113">
        <f>'Data_in-situ'!EB154</f>
        <v>2.9857142857142853</v>
      </c>
      <c r="AB1467" s="46">
        <f>'Data_in-situ'!EC154</f>
        <v>7</v>
      </c>
      <c r="AC1467" s="113">
        <f>'Data_in-situ'!EE154</f>
        <v>1.8857142857142857</v>
      </c>
      <c r="AD1467" s="113">
        <f>'Data_in-situ'!EF154</f>
        <v>2.8156342625739934</v>
      </c>
      <c r="AE1467" s="46">
        <f>'Data_in-situ'!EG154</f>
        <v>1</v>
      </c>
      <c r="AF1467" s="113">
        <f>'Data_in-situ'!EN154</f>
        <v>-18.3</v>
      </c>
      <c r="AG1467" s="113">
        <f>'Data_in-situ'!EO154</f>
        <v>5.8</v>
      </c>
      <c r="AH1467" s="110">
        <f>'Data_in-situ'!EP154</f>
        <v>12</v>
      </c>
      <c r="AI1467" s="113">
        <f>'Data_in-situ'!ER154</f>
        <v>-65.5</v>
      </c>
      <c r="AJ1467" s="113">
        <f>'Data_in-situ'!ES154</f>
        <v>5</v>
      </c>
      <c r="AK1467" s="110">
        <f>'Data_in-situ'!ET154</f>
        <v>7</v>
      </c>
    </row>
    <row r="1468" spans="1:37" x14ac:dyDescent="0.3">
      <c r="B1468" s="24">
        <f>'Data_in-situ'!CA451</f>
        <v>-138600</v>
      </c>
      <c r="C1468" s="24">
        <f>'Data_in-situ'!CB451</f>
        <v>33792.129837113527</v>
      </c>
      <c r="D1468" s="46">
        <f>'Data_in-situ'!CC451</f>
        <v>1</v>
      </c>
      <c r="E1468" s="24">
        <f>'Data_in-situ'!CE451</f>
        <v>-152680</v>
      </c>
      <c r="F1468" s="24">
        <f>'Data_in-situ'!CF451</f>
        <v>56838.04564501773</v>
      </c>
      <c r="G1468" s="46">
        <f>'Data_in-situ'!CG451</f>
        <v>1</v>
      </c>
      <c r="H1468" s="24">
        <f>'Data_in-situ'!CN451</f>
        <v>150003.33333333334</v>
      </c>
      <c r="I1468" s="24">
        <f>'Data_in-situ'!CO451</f>
        <v>43145.055182704913</v>
      </c>
      <c r="J1468" s="46">
        <f>'Data_in-situ'!CP451</f>
        <v>1</v>
      </c>
      <c r="K1468" s="24">
        <f>'Data_in-situ'!CR451</f>
        <v>173836.66666666666</v>
      </c>
      <c r="L1468" s="24">
        <f>'Data_in-situ'!CS451</f>
        <v>45613.206353339207</v>
      </c>
      <c r="M1468" s="46">
        <f>'Data_in-situ'!CT451</f>
        <v>1</v>
      </c>
      <c r="N1468" s="24">
        <f>'Data_in-situ'!DA246</f>
        <v>7663.3333333333339</v>
      </c>
      <c r="O1468" s="24">
        <f>'Data_in-situ'!DB246</f>
        <v>22987.368094732003</v>
      </c>
      <c r="P1468" s="46">
        <f>'Data_in-situ'!DC246</f>
        <v>1</v>
      </c>
      <c r="Q1468" s="24">
        <f>'Data_in-situ'!DE246</f>
        <v>18223.333333333332</v>
      </c>
      <c r="R1468" s="24">
        <f>'Data_in-situ'!DF246</f>
        <v>17369.438854789216</v>
      </c>
      <c r="S1468" s="46">
        <f>'Data_in-situ'!DG246</f>
        <v>1</v>
      </c>
      <c r="T1468" s="113">
        <f>'Data_in-situ'!DN99</f>
        <v>142.07619872372933</v>
      </c>
      <c r="U1468" s="113">
        <f>'Data_in-situ'!DO99</f>
        <v>118.22720000000001</v>
      </c>
      <c r="V1468" s="46">
        <f>'Data_in-situ'!DP99</f>
        <v>24</v>
      </c>
      <c r="W1468" s="113">
        <f>'Data_in-situ'!DR99</f>
        <v>1.3426361623616241</v>
      </c>
      <c r="X1468" s="113">
        <f>'Data_in-situ'!DS99</f>
        <v>1.8695039999999998</v>
      </c>
      <c r="Y1468" s="46">
        <f>'Data_in-situ'!DT99</f>
        <v>15</v>
      </c>
      <c r="Z1468" s="113">
        <f>'Data_in-situ'!EA172</f>
        <v>0.74525790987535934</v>
      </c>
      <c r="AA1468" s="113">
        <f>'Data_in-situ'!EB172</f>
        <v>0.23830443450184333</v>
      </c>
      <c r="AB1468" s="46">
        <f>'Data_in-situ'!EC172</f>
        <v>3</v>
      </c>
      <c r="AC1468" s="113">
        <f>'Data_in-situ'!EE172</f>
        <v>2.0509990412272292</v>
      </c>
      <c r="AD1468" s="113">
        <f>'Data_in-situ'!EF172</f>
        <v>1.58486712384372</v>
      </c>
      <c r="AE1468" s="46">
        <f>'Data_in-situ'!EG172</f>
        <v>3</v>
      </c>
      <c r="AF1468" s="113">
        <f>'Data_in-situ'!EN155</f>
        <v>-18.3</v>
      </c>
      <c r="AG1468" s="113">
        <f>'Data_in-situ'!EO155</f>
        <v>5.8</v>
      </c>
      <c r="AH1468" s="110">
        <f>'Data_in-situ'!EP155</f>
        <v>12</v>
      </c>
      <c r="AI1468" s="113">
        <f>'Data_in-situ'!ER155</f>
        <v>-78.599999999999994</v>
      </c>
      <c r="AJ1468" s="113">
        <f>'Data_in-situ'!ES155</f>
        <v>7.5</v>
      </c>
      <c r="AK1468" s="110">
        <f>'Data_in-situ'!ET155</f>
        <v>8</v>
      </c>
    </row>
    <row r="1469" spans="1:37" x14ac:dyDescent="0.3">
      <c r="B1469" s="24">
        <f>'Data_in-situ'!CA452</f>
        <v>-135483.33333333334</v>
      </c>
      <c r="C1469" s="24">
        <f>'Data_in-situ'!CB452</f>
        <v>33032.253901622884</v>
      </c>
      <c r="D1469" s="46">
        <f>'Data_in-situ'!CC452</f>
        <v>1</v>
      </c>
      <c r="E1469" s="24">
        <f>'Data_in-situ'!CE452</f>
        <v>-150663.33333333334</v>
      </c>
      <c r="F1469" s="24">
        <f>'Data_in-situ'!CF452</f>
        <v>56087.302967189695</v>
      </c>
      <c r="G1469" s="46">
        <f>'Data_in-situ'!CG452</f>
        <v>1</v>
      </c>
      <c r="H1469" s="24">
        <f>'Data_in-situ'!CN452</f>
        <v>139810</v>
      </c>
      <c r="I1469" s="24">
        <f>'Data_in-situ'!CO452</f>
        <v>40213.174141201132</v>
      </c>
      <c r="J1469" s="46">
        <f>'Data_in-situ'!CP452</f>
        <v>1</v>
      </c>
      <c r="K1469" s="24">
        <f>'Data_in-situ'!CR452</f>
        <v>166356.66666666666</v>
      </c>
      <c r="L1469" s="24">
        <f>'Data_in-situ'!CS452</f>
        <v>43650.520401835049</v>
      </c>
      <c r="M1469" s="46">
        <f>'Data_in-situ'!CT452</f>
        <v>1</v>
      </c>
      <c r="N1469" s="24">
        <f>'Data_in-situ'!DA247</f>
        <v>2640</v>
      </c>
      <c r="O1469" s="24">
        <f>'Data_in-situ'!DB247</f>
        <v>7919.0933149315979</v>
      </c>
      <c r="P1469" s="46">
        <f>'Data_in-situ'!DC247</f>
        <v>1</v>
      </c>
      <c r="Q1469" s="24">
        <f>'Data_in-situ'!DE247</f>
        <v>7406.6666666666661</v>
      </c>
      <c r="R1469" s="24">
        <f>'Data_in-situ'!DF247</f>
        <v>7059.610963113525</v>
      </c>
      <c r="S1469" s="46">
        <f>'Data_in-situ'!DG247</f>
        <v>1</v>
      </c>
      <c r="T1469" s="113">
        <f>'Data_in-situ'!DN152</f>
        <v>38.133333333333333</v>
      </c>
      <c r="U1469" s="113">
        <f>'Data_in-situ'!DO152</f>
        <v>12.933333333333332</v>
      </c>
      <c r="V1469" s="46">
        <f>'Data_in-situ'!DP152</f>
        <v>8</v>
      </c>
      <c r="W1469" s="113">
        <f>'Data_in-situ'!DR152</f>
        <v>4.9333333333333336</v>
      </c>
      <c r="X1469" s="113">
        <f>'Data_in-situ'!DS152</f>
        <v>2.5333333333333332</v>
      </c>
      <c r="Y1469" s="46">
        <f>'Data_in-situ'!DT152</f>
        <v>7</v>
      </c>
      <c r="Z1469" s="113">
        <f>'Data_in-situ'!EA205</f>
        <v>0.87842857142857156</v>
      </c>
      <c r="AA1469" s="113">
        <f>'Data_in-situ'!EB205</f>
        <v>0.16185714285714287</v>
      </c>
      <c r="AB1469" s="46">
        <f>'Data_in-situ'!EC205</f>
        <v>4</v>
      </c>
      <c r="AC1469" s="113">
        <f>'Data_in-situ'!EE205</f>
        <v>24.849</v>
      </c>
      <c r="AD1469" s="113">
        <f>'Data_in-situ'!EF205</f>
        <v>0.65528571428571425</v>
      </c>
      <c r="AE1469" s="46">
        <f>'Data_in-situ'!EG205</f>
        <v>4</v>
      </c>
      <c r="AF1469" s="113">
        <f>'Data_in-situ'!EN173</f>
        <v>-14.041514041514047</v>
      </c>
      <c r="AG1469" s="113">
        <f>'Data_in-situ'!EO173</f>
        <v>3.8618262026084285</v>
      </c>
      <c r="AH1469" s="110">
        <f>'Data_in-situ'!EP173</f>
        <v>3</v>
      </c>
      <c r="AI1469" s="113">
        <f>'Data_in-situ'!ER173</f>
        <v>-37.912087912087912</v>
      </c>
      <c r="AJ1469" s="113">
        <f>'Data_in-situ'!ES173</f>
        <v>6.2846687384361628</v>
      </c>
      <c r="AK1469" s="110">
        <f>'Data_in-situ'!ET173</f>
        <v>3</v>
      </c>
    </row>
    <row r="1470" spans="1:37" x14ac:dyDescent="0.3">
      <c r="B1470" s="24">
        <f>'Data_in-situ'!CA453</f>
        <v>-134383.33333333334</v>
      </c>
      <c r="C1470" s="24">
        <f>'Data_in-situ'!CB453</f>
        <v>32764.062394979126</v>
      </c>
      <c r="D1470" s="46">
        <f>'Data_in-situ'!CC453</f>
        <v>1</v>
      </c>
      <c r="E1470" s="24">
        <f>'Data_in-situ'!CE453</f>
        <v>-148133.33333333334</v>
      </c>
      <c r="F1470" s="24">
        <f>'Data_in-situ'!CF453</f>
        <v>55145.46215318724</v>
      </c>
      <c r="G1470" s="46">
        <f>'Data_in-situ'!CG453</f>
        <v>1</v>
      </c>
      <c r="H1470" s="24">
        <f>'Data_in-situ'!CN453</f>
        <v>136253.33333333334</v>
      </c>
      <c r="I1470" s="24">
        <f>'Data_in-situ'!CO453</f>
        <v>39190.179677079308</v>
      </c>
      <c r="J1470" s="46">
        <f>'Data_in-situ'!CP453</f>
        <v>1</v>
      </c>
      <c r="K1470" s="24">
        <f>'Data_in-situ'!CR453</f>
        <v>161810</v>
      </c>
      <c r="L1470" s="24">
        <f>'Data_in-situ'!CS453</f>
        <v>42457.515215626641</v>
      </c>
      <c r="M1470" s="46">
        <f>'Data_in-situ'!CT453</f>
        <v>1</v>
      </c>
      <c r="N1470" s="24">
        <f>'Data_in-situ'!DA248</f>
        <v>16243.333333333332</v>
      </c>
      <c r="O1470" s="24">
        <f>'Data_in-situ'!DB248</f>
        <v>48724.421368259689</v>
      </c>
      <c r="P1470" s="46">
        <f>'Data_in-situ'!DC248</f>
        <v>1</v>
      </c>
      <c r="Q1470" s="24">
        <f>'Data_in-situ'!DE248</f>
        <v>18480</v>
      </c>
      <c r="R1470" s="24">
        <f>'Data_in-situ'!DF248</f>
        <v>17614.07883865949</v>
      </c>
      <c r="S1470" s="46">
        <f>'Data_in-situ'!DG248</f>
        <v>1</v>
      </c>
      <c r="T1470" s="113">
        <f>'Data_in-situ'!DN153</f>
        <v>38.133333333333333</v>
      </c>
      <c r="U1470" s="113">
        <f>'Data_in-situ'!DO153</f>
        <v>12.933333333333332</v>
      </c>
      <c r="V1470" s="46">
        <f>'Data_in-situ'!DP153</f>
        <v>8</v>
      </c>
      <c r="W1470" s="113">
        <f>'Data_in-situ'!DR153</f>
        <v>6.9333333333333336</v>
      </c>
      <c r="X1470" s="113">
        <f>'Data_in-situ'!DS153</f>
        <v>6.8</v>
      </c>
      <c r="Y1470" s="46">
        <f>'Data_in-situ'!DT153</f>
        <v>5</v>
      </c>
      <c r="Z1470" s="113">
        <f>'Data_in-situ'!EA221</f>
        <v>1.1800914940670852</v>
      </c>
      <c r="AA1470" s="113">
        <f>'Data_in-situ'!EB221</f>
        <v>0.73618285714285703</v>
      </c>
      <c r="AB1470" s="46">
        <f>'Data_in-situ'!EC221</f>
        <v>2</v>
      </c>
      <c r="AC1470" s="113">
        <f>'Data_in-situ'!EE221</f>
        <v>0.9163634502292034</v>
      </c>
      <c r="AD1470" s="113">
        <f>'Data_in-situ'!EF221</f>
        <v>0.55673828571428574</v>
      </c>
      <c r="AE1470" s="46">
        <f>'Data_in-situ'!EG221</f>
        <v>6</v>
      </c>
      <c r="AF1470" s="113">
        <f>'Data_in-situ'!EN194</f>
        <v>-7</v>
      </c>
      <c r="AG1470" s="113">
        <f>'Data_in-situ'!EO194</f>
        <v>2.8524747912590533</v>
      </c>
      <c r="AH1470" s="110">
        <f>'Data_in-situ'!EP194</f>
        <v>6</v>
      </c>
      <c r="AI1470" s="113">
        <f>'Data_in-situ'!ER194</f>
        <v>-57</v>
      </c>
      <c r="AJ1470" s="113">
        <f>'Data_in-situ'!ES194</f>
        <v>12.928401050024068</v>
      </c>
      <c r="AK1470" s="110">
        <f>'Data_in-situ'!ET194</f>
        <v>6</v>
      </c>
    </row>
    <row r="1471" spans="1:37" x14ac:dyDescent="0.3">
      <c r="B1471" s="24">
        <f>'Data_in-situ'!CA454</f>
        <v>-160161.20218579238</v>
      </c>
      <c r="C1471" s="24">
        <f>'Data_in-situ'!CB454</f>
        <v>10636.467274593098</v>
      </c>
      <c r="D1471" s="46">
        <f>'Data_in-situ'!CC454</f>
        <v>3</v>
      </c>
      <c r="E1471" s="24">
        <f>'Data_in-situ'!CE454</f>
        <v>-207277.44990892528</v>
      </c>
      <c r="F1471" s="24">
        <f>'Data_in-situ'!CF454</f>
        <v>21272.601806047955</v>
      </c>
      <c r="G1471" s="46">
        <f>'Data_in-situ'!CG454</f>
        <v>3</v>
      </c>
      <c r="H1471" s="24">
        <f>'Data_in-situ'!CN454</f>
        <v>67306.558222944135</v>
      </c>
      <c r="I1471" s="24">
        <f>'Data_in-situ'!CO454</f>
        <v>13632.710832908837</v>
      </c>
      <c r="J1471" s="46">
        <f>'Data_in-situ'!CP454</f>
        <v>3</v>
      </c>
      <c r="K1471" s="24">
        <f>'Data_in-situ'!CR454</f>
        <v>144420.60780366213</v>
      </c>
      <c r="L1471" s="24">
        <f>'Data_in-situ'!CS454</f>
        <v>24745.786342212687</v>
      </c>
      <c r="M1471" s="46">
        <f>'Data_in-situ'!CT454</f>
        <v>3</v>
      </c>
      <c r="N1471" s="24">
        <f>'Data_in-situ'!DA249</f>
        <v>-990</v>
      </c>
      <c r="O1471" s="24">
        <f>'Data_in-situ'!DB249</f>
        <v>2969.6599930993493</v>
      </c>
      <c r="P1471" s="46">
        <f>'Data_in-situ'!DC249</f>
        <v>1</v>
      </c>
      <c r="Q1471" s="24">
        <f>'Data_in-situ'!DE249</f>
        <v>3923.333333333333</v>
      </c>
      <c r="R1471" s="24">
        <f>'Data_in-situ'!DF249</f>
        <v>3739.4968963027086</v>
      </c>
      <c r="S1471" s="46">
        <f>'Data_in-situ'!DG249</f>
        <v>1</v>
      </c>
      <c r="T1471" s="113">
        <f>'Data_in-situ'!DN154</f>
        <v>38.133333333333333</v>
      </c>
      <c r="U1471" s="113">
        <f>'Data_in-situ'!DO154</f>
        <v>12.933333333333332</v>
      </c>
      <c r="V1471" s="46">
        <f>'Data_in-situ'!DP154</f>
        <v>8</v>
      </c>
      <c r="W1471" s="113">
        <f>'Data_in-situ'!DR154</f>
        <v>-0.26666666666666666</v>
      </c>
      <c r="X1471" s="113">
        <f>'Data_in-situ'!DS154</f>
        <v>0.9965910119016026</v>
      </c>
      <c r="Y1471" s="46">
        <f>'Data_in-situ'!DT154</f>
        <v>1</v>
      </c>
      <c r="Z1471" s="113">
        <f>'Data_in-situ'!EA410</f>
        <v>0.97428571428571431</v>
      </c>
      <c r="AA1471" s="113">
        <f>'Data_in-situ'!EB410</f>
        <v>0.17285714285714285</v>
      </c>
      <c r="AB1471" s="46">
        <f>'Data_in-situ'!EC410</f>
        <v>4</v>
      </c>
      <c r="AC1471" s="113">
        <f>'Data_in-situ'!EE410</f>
        <v>11.157142857142857</v>
      </c>
      <c r="AD1471" s="113">
        <f>'Data_in-situ'!EF410</f>
        <v>1.8857142857142857</v>
      </c>
      <c r="AE1471" s="46">
        <f>'Data_in-situ'!EG410</f>
        <v>4</v>
      </c>
      <c r="AF1471" s="113">
        <f>'Data_in-situ'!EN205</f>
        <v>-10</v>
      </c>
      <c r="AG1471" s="113">
        <f>'Data_in-situ'!EO205</f>
        <v>23</v>
      </c>
      <c r="AH1471" s="110">
        <f>'Data_in-situ'!EP205</f>
        <v>4</v>
      </c>
      <c r="AI1471" s="113">
        <f>'Data_in-situ'!ER205</f>
        <v>-56</v>
      </c>
      <c r="AJ1471" s="113">
        <f>'Data_in-situ'!ES205</f>
        <v>34</v>
      </c>
      <c r="AK1471" s="110">
        <f>'Data_in-situ'!ET205</f>
        <v>4</v>
      </c>
    </row>
    <row r="1472" spans="1:37" x14ac:dyDescent="0.3">
      <c r="B1472" s="24">
        <f>'Data_in-situ'!CA455</f>
        <v>-160161.20218579238</v>
      </c>
      <c r="C1472" s="24">
        <f>'Data_in-situ'!CB455</f>
        <v>10636.467274593098</v>
      </c>
      <c r="D1472" s="46">
        <f>'Data_in-situ'!CC455</f>
        <v>3</v>
      </c>
      <c r="E1472" s="24">
        <f>'Data_in-situ'!CE455</f>
        <v>-129453.33333333317</v>
      </c>
      <c r="F1472" s="24">
        <f>'Data_in-situ'!CF455</f>
        <v>6791.9062619830866</v>
      </c>
      <c r="G1472" s="46">
        <f>'Data_in-situ'!CG455</f>
        <v>3</v>
      </c>
      <c r="H1472" s="24">
        <f>'Data_in-situ'!CN455</f>
        <v>67306.558222944135</v>
      </c>
      <c r="I1472" s="24">
        <f>'Data_in-situ'!CO455</f>
        <v>13632.710832908837</v>
      </c>
      <c r="J1472" s="46">
        <f>'Data_in-situ'!CP455</f>
        <v>3</v>
      </c>
      <c r="K1472" s="24">
        <f>'Data_in-situ'!CR455</f>
        <v>78968.070175438406</v>
      </c>
      <c r="L1472" s="24">
        <f>'Data_in-situ'!CS455</f>
        <v>7711.5970214802783</v>
      </c>
      <c r="M1472" s="46">
        <f>'Data_in-situ'!CT455</f>
        <v>3</v>
      </c>
      <c r="N1472" s="24">
        <f>'Data_in-situ'!DA450</f>
        <v>15730</v>
      </c>
      <c r="O1472" s="24">
        <f>'Data_in-situ'!DB450</f>
        <v>47184.597668134105</v>
      </c>
      <c r="P1472" s="46">
        <f>'Data_in-situ'!DC450</f>
        <v>1</v>
      </c>
      <c r="Q1472" s="24">
        <f>'Data_in-situ'!DE450</f>
        <v>22330</v>
      </c>
      <c r="R1472" s="24">
        <f>'Data_in-situ'!DF450</f>
        <v>21283.678596713551</v>
      </c>
      <c r="S1472" s="46">
        <f>'Data_in-situ'!DG450</f>
        <v>1</v>
      </c>
      <c r="T1472" s="113">
        <f>'Data_in-situ'!DN155</f>
        <v>38.133333333333333</v>
      </c>
      <c r="U1472" s="113">
        <f>'Data_in-situ'!DO155</f>
        <v>12.933333333333332</v>
      </c>
      <c r="V1472" s="46">
        <f>'Data_in-situ'!DP155</f>
        <v>8</v>
      </c>
      <c r="W1472" s="113">
        <f>'Data_in-situ'!DR155</f>
        <v>2.6666666666666665</v>
      </c>
      <c r="X1472" s="113">
        <f>'Data_in-situ'!DS155</f>
        <v>3.6</v>
      </c>
      <c r="Y1472" s="46">
        <f>'Data_in-situ'!DT155</f>
        <v>5</v>
      </c>
      <c r="Z1472" s="113">
        <f>'Data_in-situ'!EA411</f>
        <v>6.9142857142857155</v>
      </c>
      <c r="AA1472" s="113">
        <f>'Data_in-situ'!EB411</f>
        <v>1.8857142857142857</v>
      </c>
      <c r="AB1472" s="46">
        <f>'Data_in-situ'!EC411</f>
        <v>4</v>
      </c>
      <c r="AC1472" s="113">
        <f>'Data_in-situ'!EE411</f>
        <v>36.142857142857146</v>
      </c>
      <c r="AD1472" s="113">
        <f>'Data_in-situ'!EF411</f>
        <v>15.400000000000002</v>
      </c>
      <c r="AE1472" s="46">
        <f>'Data_in-situ'!EG411</f>
        <v>4</v>
      </c>
      <c r="AF1472" s="113">
        <f>'Data_in-situ'!EN221</f>
        <v>-16</v>
      </c>
      <c r="AG1472" s="113">
        <f>'Data_in-situ'!EO221</f>
        <v>0.7</v>
      </c>
      <c r="AH1472" s="110">
        <f>'Data_in-situ'!EP221</f>
        <v>2</v>
      </c>
      <c r="AI1472" s="113">
        <f>'Data_in-situ'!ER221</f>
        <v>-44</v>
      </c>
      <c r="AJ1472" s="113">
        <f>'Data_in-situ'!ES221</f>
        <v>14</v>
      </c>
      <c r="AK1472" s="110">
        <f>'Data_in-situ'!ET221</f>
        <v>6</v>
      </c>
    </row>
    <row r="1473" spans="14:37" x14ac:dyDescent="0.3">
      <c r="N1473" s="24">
        <f>'Data_in-situ'!DA451</f>
        <v>11403.333333333334</v>
      </c>
      <c r="O1473" s="24">
        <f>'Data_in-situ'!DB451</f>
        <v>34206.08362421843</v>
      </c>
      <c r="P1473" s="46">
        <f>'Data_in-situ'!DC451</f>
        <v>1</v>
      </c>
      <c r="Q1473" s="24">
        <f>'Data_in-situ'!DE451</f>
        <v>21156.666666666668</v>
      </c>
      <c r="R1473" s="24">
        <f>'Data_in-situ'!DF451</f>
        <v>20165.32438473517</v>
      </c>
      <c r="S1473" s="46">
        <f>'Data_in-situ'!DG451</f>
        <v>1</v>
      </c>
      <c r="T1473" s="113">
        <f>'Data_in-situ'!DN194</f>
        <v>116</v>
      </c>
      <c r="U1473" s="113">
        <f>'Data_in-situ'!DO194</f>
        <v>129.32599754255131</v>
      </c>
      <c r="V1473" s="46">
        <f>'Data_in-situ'!DP194</f>
        <v>6</v>
      </c>
      <c r="W1473" s="113">
        <f>'Data_in-situ'!DR194</f>
        <v>-9</v>
      </c>
      <c r="X1473" s="113">
        <f>'Data_in-situ'!DS194</f>
        <v>33.634946651679087</v>
      </c>
      <c r="Y1473" s="46">
        <f>'Data_in-situ'!DT194</f>
        <v>6</v>
      </c>
      <c r="Z1473" s="113">
        <f>'Data_in-situ'!EA439</f>
        <v>1.0999999999999999</v>
      </c>
      <c r="AA1473" s="113">
        <f>'Data_in-situ'!EB439</f>
        <v>6.3249746805166405</v>
      </c>
      <c r="AB1473" s="46">
        <f>'Data_in-situ'!EC439</f>
        <v>3</v>
      </c>
      <c r="AC1473" s="113">
        <f>'Data_in-situ'!EE439</f>
        <v>5.1857142857142851</v>
      </c>
      <c r="AD1473" s="113">
        <f>'Data_in-situ'!EF439</f>
        <v>7.7429942220784804</v>
      </c>
      <c r="AE1473" s="46">
        <f>'Data_in-situ'!EG439</f>
        <v>3</v>
      </c>
      <c r="AF1473" s="113">
        <f>'Data_in-situ'!EN226</f>
        <v>-15</v>
      </c>
      <c r="AG1473" s="113">
        <f>'Data_in-situ'!EO226</f>
        <v>6.1124459812694001</v>
      </c>
      <c r="AH1473" s="110">
        <f>'Data_in-situ'!EP226</f>
        <v>4</v>
      </c>
      <c r="AI1473" s="113">
        <f>'Data_in-situ'!ER226</f>
        <v>-60</v>
      </c>
      <c r="AJ1473" s="113">
        <f>'Data_in-situ'!ES226</f>
        <v>13.608843210551651</v>
      </c>
      <c r="AK1473" s="110">
        <f>'Data_in-situ'!ET226</f>
        <v>4</v>
      </c>
    </row>
    <row r="1474" spans="14:37" x14ac:dyDescent="0.3">
      <c r="N1474" s="24">
        <f>'Data_in-situ'!DA452</f>
        <v>4326.666666666667</v>
      </c>
      <c r="O1474" s="24">
        <f>'Data_in-situ'!DB452</f>
        <v>12978.514043915675</v>
      </c>
      <c r="P1474" s="46">
        <f>'Data_in-situ'!DC452</f>
        <v>1</v>
      </c>
      <c r="Q1474" s="24">
        <f>'Data_in-situ'!DE452</f>
        <v>15693.333333333334</v>
      </c>
      <c r="R1474" s="24">
        <f>'Data_in-situ'!DF452</f>
        <v>14957.987585210836</v>
      </c>
      <c r="S1474" s="46">
        <f>'Data_in-situ'!DG452</f>
        <v>1</v>
      </c>
      <c r="T1474" s="113">
        <f>'Data_in-situ'!DN205</f>
        <v>1.365079365079364</v>
      </c>
      <c r="U1474" s="113">
        <f>'Data_in-situ'!DO205</f>
        <v>1.1269841269841301</v>
      </c>
      <c r="V1474" s="46">
        <f>'Data_in-situ'!DP205</f>
        <v>4</v>
      </c>
      <c r="W1474" s="113">
        <f>'Data_in-situ'!DR205</f>
        <v>-2.3809523809523801E-2</v>
      </c>
      <c r="X1474" s="113">
        <f>'Data_in-situ'!DS205</f>
        <v>4.7619047619047603E-2</v>
      </c>
      <c r="Y1474" s="46">
        <f>'Data_in-situ'!DT205</f>
        <v>4</v>
      </c>
      <c r="Z1474" s="113">
        <f>'Data_in-situ'!EA440</f>
        <v>1.0999999999999999</v>
      </c>
      <c r="AA1474" s="113">
        <f>'Data_in-situ'!EB440</f>
        <v>6.3249746805166405</v>
      </c>
      <c r="AB1474" s="46">
        <f>'Data_in-situ'!EC440</f>
        <v>3</v>
      </c>
      <c r="AC1474" s="113">
        <f>'Data_in-situ'!EE440</f>
        <v>1.8857142857142857</v>
      </c>
      <c r="AD1474" s="113">
        <f>'Data_in-situ'!EF440</f>
        <v>2.8156342625739934</v>
      </c>
      <c r="AE1474" s="46">
        <f>'Data_in-situ'!EG440</f>
        <v>3</v>
      </c>
      <c r="AF1474" s="113">
        <f>'Data_in-situ'!EN227</f>
        <v>-9.6300000000000008</v>
      </c>
      <c r="AG1474" s="113">
        <f>'Data_in-situ'!EO227</f>
        <v>3.9241903199749553</v>
      </c>
      <c r="AH1474" s="110">
        <f>'Data_in-situ'!EP227</f>
        <v>4</v>
      </c>
      <c r="AI1474" s="113">
        <f>'Data_in-situ'!ER227</f>
        <v>-60</v>
      </c>
      <c r="AJ1474" s="113">
        <f>'Data_in-situ'!ES227</f>
        <v>13.608843210551651</v>
      </c>
      <c r="AK1474" s="110">
        <f>'Data_in-situ'!ET227</f>
        <v>4</v>
      </c>
    </row>
    <row r="1475" spans="14:37" x14ac:dyDescent="0.3">
      <c r="N1475" s="24">
        <f>'Data_in-situ'!DA453</f>
        <v>1870</v>
      </c>
      <c r="O1475" s="24">
        <f>'Data_in-situ'!DB453</f>
        <v>5609.3577647432157</v>
      </c>
      <c r="P1475" s="46">
        <f>'Data_in-situ'!DC453</f>
        <v>1</v>
      </c>
      <c r="Q1475" s="24">
        <f>'Data_in-situ'!DE453</f>
        <v>13676.666666666666</v>
      </c>
      <c r="R1475" s="24">
        <f>'Data_in-situ'!DF453</f>
        <v>13035.816283372995</v>
      </c>
      <c r="S1475" s="46">
        <f>'Data_in-situ'!DG453</f>
        <v>1</v>
      </c>
      <c r="T1475" s="113">
        <f>'Data_in-situ'!DN221</f>
        <v>102.01732234975572</v>
      </c>
      <c r="U1475" s="113">
        <f>'Data_in-situ'!DO221</f>
        <v>83.345787424497175</v>
      </c>
      <c r="V1475" s="46">
        <f>'Data_in-situ'!DP221</f>
        <v>2</v>
      </c>
      <c r="W1475" s="113">
        <f>'Data_in-situ'!DR221</f>
        <v>0.61419354838709672</v>
      </c>
      <c r="X1475" s="113">
        <f>'Data_in-situ'!DS221</f>
        <v>11.86963649409887</v>
      </c>
      <c r="Y1475" s="46">
        <f>'Data_in-situ'!DT221</f>
        <v>6</v>
      </c>
      <c r="AF1475" s="113">
        <f>'Data_in-situ'!EN228</f>
        <v>-8.65</v>
      </c>
      <c r="AG1475" s="113">
        <f>'Data_in-situ'!EO228</f>
        <v>3.5248438491986875</v>
      </c>
      <c r="AH1475" s="110">
        <f>'Data_in-situ'!EP228</f>
        <v>4</v>
      </c>
      <c r="AI1475" s="113">
        <f>'Data_in-situ'!ER228</f>
        <v>-60</v>
      </c>
      <c r="AJ1475" s="113">
        <f>'Data_in-situ'!ES228</f>
        <v>13.608843210551651</v>
      </c>
      <c r="AK1475" s="110">
        <f>'Data_in-situ'!ET228</f>
        <v>4</v>
      </c>
    </row>
    <row r="1476" spans="14:37" x14ac:dyDescent="0.3">
      <c r="N1476" s="24">
        <f>'Data_in-situ'!DA454</f>
        <v>-92854.643962848248</v>
      </c>
      <c r="O1476" s="24">
        <f>'Data_in-situ'!DB454</f>
        <v>8527.3893173831366</v>
      </c>
      <c r="P1476" s="46">
        <f>'Data_in-situ'!DC454</f>
        <v>3</v>
      </c>
      <c r="Q1476" s="24">
        <f>'Data_in-situ'!DE454</f>
        <v>-62856.84210526316</v>
      </c>
      <c r="R1476" s="24">
        <f>'Data_in-situ'!DF454</f>
        <v>12642.403019037374</v>
      </c>
      <c r="S1476" s="46">
        <f>'Data_in-situ'!DG454</f>
        <v>3</v>
      </c>
      <c r="T1476" s="113">
        <f>'Data_in-situ'!DN226</f>
        <v>23</v>
      </c>
      <c r="U1476" s="113">
        <f>'Data_in-situ'!DO226</f>
        <v>25.642223650678275</v>
      </c>
      <c r="V1476" s="46">
        <f>'Data_in-situ'!DP226</f>
        <v>4</v>
      </c>
      <c r="W1476" s="113">
        <f>'Data_in-situ'!DR226</f>
        <v>0.03</v>
      </c>
      <c r="X1476" s="113">
        <f>'Data_in-situ'!DS226</f>
        <v>0.11211648883893029</v>
      </c>
      <c r="Y1476" s="46">
        <f>'Data_in-situ'!DT226</f>
        <v>4</v>
      </c>
      <c r="AF1476" s="113">
        <f>'Data_in-situ'!EN229</f>
        <v>-9.6199999999999992</v>
      </c>
      <c r="AG1476" s="113">
        <f>'Data_in-situ'!EO229</f>
        <v>3.9201153559874418</v>
      </c>
      <c r="AH1476" s="110">
        <f>'Data_in-situ'!EP229</f>
        <v>4</v>
      </c>
      <c r="AI1476" s="113">
        <f>'Data_in-situ'!ER229</f>
        <v>-80</v>
      </c>
      <c r="AJ1476" s="113">
        <f>'Data_in-situ'!ES229</f>
        <v>18.145124280735534</v>
      </c>
      <c r="AK1476" s="110">
        <f>'Data_in-situ'!ET229</f>
        <v>4</v>
      </c>
    </row>
    <row r="1477" spans="14:37" x14ac:dyDescent="0.3">
      <c r="N1477" s="24">
        <f>'Data_in-situ'!DA455</f>
        <v>-92854.643962848248</v>
      </c>
      <c r="O1477" s="24">
        <f>'Data_in-situ'!DB455</f>
        <v>8527.3893173831366</v>
      </c>
      <c r="P1477" s="46">
        <f>'Data_in-situ'!DC455</f>
        <v>3</v>
      </c>
      <c r="Q1477" s="24">
        <f>'Data_in-situ'!DE455</f>
        <v>-50485.263157894762</v>
      </c>
      <c r="R1477" s="24">
        <f>'Data_in-situ'!DF455</f>
        <v>3652.2236993561119</v>
      </c>
      <c r="S1477" s="46">
        <f>'Data_in-situ'!DG455</f>
        <v>3</v>
      </c>
      <c r="T1477" s="113">
        <f>'Data_in-situ'!DN227</f>
        <v>23</v>
      </c>
      <c r="U1477" s="113">
        <f>'Data_in-situ'!DO227</f>
        <v>25.642223650678275</v>
      </c>
      <c r="V1477" s="46">
        <f>'Data_in-situ'!DP227</f>
        <v>4</v>
      </c>
      <c r="W1477" s="113">
        <f>'Data_in-situ'!DR227</f>
        <v>0.03</v>
      </c>
      <c r="X1477" s="113">
        <f>'Data_in-situ'!DS227</f>
        <v>0.11211648883893029</v>
      </c>
      <c r="Y1477" s="46">
        <f>'Data_in-situ'!DT227</f>
        <v>4</v>
      </c>
      <c r="AF1477" s="113">
        <f>'Data_in-situ'!EN230</f>
        <v>-5.36</v>
      </c>
      <c r="AG1477" s="113">
        <f>'Data_in-situ'!EO230</f>
        <v>2.1841806973069327</v>
      </c>
      <c r="AH1477" s="110">
        <f>'Data_in-situ'!EP230</f>
        <v>4</v>
      </c>
      <c r="AI1477" s="113">
        <f>'Data_in-situ'!ER230</f>
        <v>-80</v>
      </c>
      <c r="AJ1477" s="113">
        <f>'Data_in-situ'!ES230</f>
        <v>18.145124280735534</v>
      </c>
      <c r="AK1477" s="110">
        <f>'Data_in-situ'!ET230</f>
        <v>4</v>
      </c>
    </row>
    <row r="1478" spans="14:37" x14ac:dyDescent="0.3">
      <c r="T1478" s="113">
        <f>'Data_in-situ'!DN228</f>
        <v>23</v>
      </c>
      <c r="U1478" s="113">
        <f>'Data_in-situ'!DO228</f>
        <v>25.642223650678275</v>
      </c>
      <c r="V1478" s="46">
        <f>'Data_in-situ'!DP228</f>
        <v>4</v>
      </c>
      <c r="W1478" s="113">
        <f>'Data_in-situ'!DR228</f>
        <v>0.03</v>
      </c>
      <c r="X1478" s="113">
        <f>'Data_in-situ'!DS228</f>
        <v>0.11211648883893029</v>
      </c>
      <c r="Y1478" s="46">
        <f>'Data_in-situ'!DT228</f>
        <v>4</v>
      </c>
      <c r="AF1478" s="113">
        <f>'Data_in-situ'!EN414</f>
        <v>6</v>
      </c>
      <c r="AG1478" s="113">
        <f>'Data_in-situ'!EO414</f>
        <v>22</v>
      </c>
      <c r="AH1478" s="110">
        <f>'Data_in-situ'!EP414</f>
        <v>5</v>
      </c>
      <c r="AI1478" s="113">
        <f>'Data_in-situ'!ER414</f>
        <v>-14</v>
      </c>
      <c r="AJ1478" s="113">
        <f>'Data_in-situ'!ES414</f>
        <v>23</v>
      </c>
      <c r="AK1478" s="110">
        <f>'Data_in-situ'!ET414</f>
        <v>5</v>
      </c>
    </row>
    <row r="1479" spans="14:37" x14ac:dyDescent="0.3">
      <c r="T1479" s="113">
        <f>'Data_in-situ'!DN229</f>
        <v>23</v>
      </c>
      <c r="U1479" s="113">
        <f>'Data_in-situ'!DO229</f>
        <v>25.642223650678275</v>
      </c>
      <c r="V1479" s="46">
        <f>'Data_in-situ'!DP229</f>
        <v>4</v>
      </c>
      <c r="W1479" s="113">
        <f>'Data_in-situ'!DR229</f>
        <v>2.2000000000000002</v>
      </c>
      <c r="X1479" s="113">
        <f>'Data_in-situ'!DS229</f>
        <v>8.2218758481882226</v>
      </c>
      <c r="Y1479" s="46">
        <f>'Data_in-situ'!DT229</f>
        <v>4</v>
      </c>
      <c r="AF1479" s="113">
        <f>'Data_in-situ'!EN439</f>
        <v>-45.3</v>
      </c>
      <c r="AG1479" s="113">
        <f>'Data_in-situ'!EO439</f>
        <v>5.7157676649772942</v>
      </c>
      <c r="AH1479" s="110">
        <f>'Data_in-situ'!EP439</f>
        <v>3</v>
      </c>
      <c r="AI1479" s="113">
        <f>'Data_in-situ'!ER439</f>
        <v>-60.2</v>
      </c>
      <c r="AJ1479" s="113">
        <f>'Data_in-situ'!ES439</f>
        <v>4.676537180435969</v>
      </c>
      <c r="AK1479" s="110">
        <f>'Data_in-situ'!ET439</f>
        <v>3</v>
      </c>
    </row>
    <row r="1480" spans="14:37" x14ac:dyDescent="0.3">
      <c r="T1480" s="113">
        <f>'Data_in-situ'!DN230</f>
        <v>23</v>
      </c>
      <c r="U1480" s="113">
        <f>'Data_in-situ'!DO230</f>
        <v>25.642223650678275</v>
      </c>
      <c r="V1480" s="46">
        <f>'Data_in-situ'!DP230</f>
        <v>4</v>
      </c>
      <c r="W1480" s="113">
        <f>'Data_in-situ'!DR230</f>
        <v>2.2000000000000002</v>
      </c>
      <c r="X1480" s="113">
        <f>'Data_in-situ'!DS230</f>
        <v>8.2218758481882226</v>
      </c>
      <c r="Y1480" s="46">
        <f>'Data_in-situ'!DT230</f>
        <v>4</v>
      </c>
      <c r="AF1480" s="113">
        <f>'Data_in-situ'!EN440</f>
        <v>-45.3</v>
      </c>
      <c r="AG1480" s="113">
        <f>'Data_in-situ'!EO440</f>
        <v>5.7157676649772942</v>
      </c>
      <c r="AH1480" s="110">
        <f>'Data_in-situ'!EP440</f>
        <v>3</v>
      </c>
      <c r="AI1480" s="113">
        <f>'Data_in-situ'!ER440</f>
        <v>-27.4</v>
      </c>
      <c r="AJ1480" s="113">
        <f>'Data_in-situ'!ES440</f>
        <v>4.5033320996790804</v>
      </c>
      <c r="AK1480" s="110">
        <f>'Data_in-situ'!ET440</f>
        <v>3</v>
      </c>
    </row>
    <row r="1481" spans="14:37" x14ac:dyDescent="0.3">
      <c r="T1481" s="113">
        <f>'Data_in-situ'!DN392</f>
        <v>12.847999999999999</v>
      </c>
      <c r="U1481" s="113">
        <f>'Data_in-situ'!DO392</f>
        <v>8.1760000000000002</v>
      </c>
      <c r="V1481" s="46">
        <f>'Data_in-situ'!DP392</f>
        <v>2</v>
      </c>
      <c r="W1481" s="113">
        <f>'Data_in-situ'!DR392</f>
        <v>-3.5040000000000004</v>
      </c>
      <c r="X1481" s="113">
        <f>'Data_in-situ'!DS392</f>
        <v>1.1680000000000001</v>
      </c>
      <c r="Y1481" s="46">
        <f>'Data_in-situ'!DT392</f>
        <v>2</v>
      </c>
      <c r="AF1481" s="113">
        <f>'Data_in-situ'!EN445</f>
        <v>6</v>
      </c>
      <c r="AG1481" s="113">
        <f>'Data_in-situ'!EO445</f>
        <v>22</v>
      </c>
      <c r="AH1481" s="110">
        <f>'Data_in-situ'!EP445</f>
        <v>5</v>
      </c>
      <c r="AI1481" s="113">
        <f>'Data_in-situ'!ER445</f>
        <v>-39</v>
      </c>
      <c r="AJ1481" s="113">
        <f>'Data_in-situ'!ES445</f>
        <v>15</v>
      </c>
      <c r="AK1481" s="110">
        <f>'Data_in-situ'!ET445</f>
        <v>5</v>
      </c>
    </row>
    <row r="1482" spans="14:37" x14ac:dyDescent="0.3">
      <c r="T1482" s="113">
        <f>'Data_in-situ'!DN409</f>
        <v>96.36</v>
      </c>
      <c r="U1482" s="113">
        <f>'Data_in-situ'!DO409</f>
        <v>53.436</v>
      </c>
      <c r="V1482" s="46">
        <f>'Data_in-situ'!DP409</f>
        <v>5</v>
      </c>
      <c r="W1482" s="113">
        <f>'Data_in-situ'!DR409</f>
        <v>120.88799999999998</v>
      </c>
      <c r="X1482" s="113">
        <f>'Data_in-situ'!DS409</f>
        <v>71.831999999999994</v>
      </c>
      <c r="Y1482" s="46">
        <f>'Data_in-situ'!DT409</f>
        <v>5</v>
      </c>
      <c r="AF1482" s="113">
        <f>'Data_in-situ'!EN446</f>
        <v>6</v>
      </c>
      <c r="AG1482" s="113">
        <f>'Data_in-situ'!EO446</f>
        <v>22</v>
      </c>
      <c r="AH1482" s="110">
        <f>'Data_in-situ'!EP446</f>
        <v>5</v>
      </c>
      <c r="AI1482" s="113">
        <f>'Data_in-situ'!ER446</f>
        <v>-21</v>
      </c>
      <c r="AJ1482" s="113">
        <f>'Data_in-situ'!ES446</f>
        <v>18</v>
      </c>
      <c r="AK1482" s="110">
        <f>'Data_in-situ'!ET446</f>
        <v>5</v>
      </c>
    </row>
    <row r="1483" spans="14:37" x14ac:dyDescent="0.3">
      <c r="T1483" s="113">
        <f>'Data_in-situ'!DN414</f>
        <v>434.70588235294116</v>
      </c>
      <c r="U1483" s="113">
        <f>'Data_in-situ'!DO414</f>
        <v>437.34858971687066</v>
      </c>
      <c r="V1483" s="46">
        <f>'Data_in-situ'!DP414</f>
        <v>5</v>
      </c>
      <c r="W1483" s="113">
        <f>'Data_in-situ'!DR414</f>
        <v>15.294117647058824</v>
      </c>
      <c r="X1483" s="113">
        <f>'Data_in-situ'!DS414</f>
        <v>15.126342200733873</v>
      </c>
      <c r="Y1483" s="46">
        <f>'Data_in-situ'!DT414</f>
        <v>5</v>
      </c>
      <c r="AF1483" s="113">
        <f>'Data_in-situ'!EN450</f>
        <v>-22</v>
      </c>
      <c r="AG1483" s="113">
        <f>'Data_in-situ'!EO450</f>
        <v>8.964920772528453</v>
      </c>
      <c r="AH1483" s="110">
        <f>'Data_in-situ'!EP450</f>
        <v>1</v>
      </c>
      <c r="AI1483" s="113">
        <f>'Data_in-situ'!ER450</f>
        <v>-77</v>
      </c>
      <c r="AJ1483" s="113">
        <f>'Data_in-situ'!ES450</f>
        <v>17.46468212020795</v>
      </c>
      <c r="AK1483" s="110">
        <f>'Data_in-situ'!ET450</f>
        <v>1</v>
      </c>
    </row>
    <row r="1484" spans="14:37" x14ac:dyDescent="0.3">
      <c r="T1484" s="113">
        <f>'Data_in-situ'!DN445</f>
        <v>434.70588235294116</v>
      </c>
      <c r="U1484" s="113">
        <f>'Data_in-situ'!DO445</f>
        <v>437.34858971687066</v>
      </c>
      <c r="V1484" s="46">
        <f>'Data_in-situ'!DP445</f>
        <v>5</v>
      </c>
      <c r="W1484" s="113">
        <f>'Data_in-situ'!DR445</f>
        <v>78.82352941176471</v>
      </c>
      <c r="X1484" s="113">
        <f>'Data_in-situ'!DS445</f>
        <v>78.92004626469847</v>
      </c>
      <c r="Y1484" s="46">
        <f>'Data_in-situ'!DT445</f>
        <v>5</v>
      </c>
      <c r="AF1484" s="113">
        <f>'Data_in-situ'!EN451</f>
        <v>-17</v>
      </c>
      <c r="AG1484" s="113">
        <f>'Data_in-situ'!EO451</f>
        <v>6.9274387787719869</v>
      </c>
      <c r="AH1484" s="110">
        <f>'Data_in-situ'!EP451</f>
        <v>1</v>
      </c>
      <c r="AI1484" s="113">
        <f>'Data_in-situ'!ER451</f>
        <v>-73</v>
      </c>
      <c r="AJ1484" s="113">
        <f>'Data_in-situ'!ES451</f>
        <v>16.557425906171176</v>
      </c>
      <c r="AK1484" s="110">
        <f>'Data_in-situ'!ET451</f>
        <v>1</v>
      </c>
    </row>
    <row r="1485" spans="14:37" x14ac:dyDescent="0.3">
      <c r="T1485" s="113">
        <f>'Data_in-situ'!DN446</f>
        <v>434.70588235294116</v>
      </c>
      <c r="U1485" s="113">
        <f>'Data_in-situ'!DO446</f>
        <v>437.34858971687066</v>
      </c>
      <c r="V1485" s="46">
        <f>'Data_in-situ'!DP446</f>
        <v>5</v>
      </c>
      <c r="W1485" s="113">
        <f>'Data_in-situ'!DR446</f>
        <v>225.58823529411765</v>
      </c>
      <c r="X1485" s="113">
        <f>'Data_in-situ'!DS446</f>
        <v>225.57979890659644</v>
      </c>
      <c r="Y1485" s="46">
        <f>'Data_in-situ'!DT446</f>
        <v>5</v>
      </c>
      <c r="AF1485" s="113">
        <f>'Data_in-situ'!EN452</f>
        <v>-11</v>
      </c>
      <c r="AG1485" s="113">
        <f>'Data_in-situ'!EO452</f>
        <v>4.4824603862642265</v>
      </c>
      <c r="AH1485" s="110">
        <f>'Data_in-situ'!EP452</f>
        <v>1</v>
      </c>
      <c r="AI1485" s="113">
        <f>'Data_in-situ'!ER452</f>
        <v>-59</v>
      </c>
      <c r="AJ1485" s="113">
        <f>'Data_in-situ'!ES452</f>
        <v>13.382029157042457</v>
      </c>
      <c r="AK1485" s="110">
        <f>'Data_in-situ'!ET452</f>
        <v>1</v>
      </c>
    </row>
    <row r="1486" spans="14:37" x14ac:dyDescent="0.3">
      <c r="T1486" s="113">
        <f>'Data_in-situ'!DN454</f>
        <v>26.051392891450497</v>
      </c>
      <c r="U1486" s="113">
        <f>'Data_in-situ'!DO454</f>
        <v>12.515768654879148</v>
      </c>
      <c r="V1486" s="46">
        <f>'Data_in-situ'!DP454</f>
        <v>3</v>
      </c>
      <c r="W1486" s="113">
        <f>'Data_in-situ'!DR454</f>
        <v>-2.2790585975024058</v>
      </c>
      <c r="X1486" s="113">
        <f>'Data_in-situ'!DS454</f>
        <v>1.8593013863594432</v>
      </c>
      <c r="Y1486" s="46">
        <f>'Data_in-situ'!DT454</f>
        <v>3</v>
      </c>
      <c r="AF1486" s="113">
        <f>'Data_in-situ'!EN453</f>
        <v>10</v>
      </c>
      <c r="AG1486" s="113">
        <f>'Data_in-situ'!EO453</f>
        <v>4.0749639875129331</v>
      </c>
      <c r="AH1486" s="110">
        <f>'Data_in-situ'!EP453</f>
        <v>1</v>
      </c>
      <c r="AI1486" s="113">
        <f>'Data_in-situ'!ER453</f>
        <v>-45</v>
      </c>
      <c r="AJ1486" s="113">
        <f>'Data_in-situ'!ES453</f>
        <v>10.206632407913737</v>
      </c>
      <c r="AK1486" s="110">
        <f>'Data_in-situ'!ET453</f>
        <v>1</v>
      </c>
    </row>
    <row r="1487" spans="14:37" x14ac:dyDescent="0.3">
      <c r="T1487" s="113">
        <f>'Data_in-situ'!DN456</f>
        <v>118.26666666666667</v>
      </c>
      <c r="U1487" s="113">
        <f>'Data_in-situ'!DO456</f>
        <v>131.85305726464713</v>
      </c>
      <c r="V1487" s="46">
        <f>'Data_in-situ'!DP456</f>
        <v>1</v>
      </c>
      <c r="W1487" s="113">
        <f>'Data_in-situ'!DR456</f>
        <v>58</v>
      </c>
      <c r="X1487" s="113">
        <f>'Data_in-situ'!DS456</f>
        <v>216.75854508859857</v>
      </c>
      <c r="Y1487" s="46">
        <f>'Data_in-situ'!DT456</f>
        <v>1</v>
      </c>
      <c r="AF1487" s="113">
        <f>'Data_in-situ'!EN454</f>
        <v>-5.6149732620320822</v>
      </c>
      <c r="AG1487" s="113">
        <f>'Data_in-situ'!EO454</f>
        <v>0.89761221109140865</v>
      </c>
      <c r="AH1487" s="110">
        <f>'Data_in-situ'!EP454</f>
        <v>3</v>
      </c>
      <c r="AI1487" s="113">
        <f>'Data_in-situ'!ER454</f>
        <v>-132.2570532915361</v>
      </c>
      <c r="AJ1487" s="113">
        <f>'Data_in-situ'!ES454</f>
        <v>8.6718103212007449</v>
      </c>
      <c r="AK1487" s="110">
        <f>'Data_in-situ'!ET454</f>
        <v>3</v>
      </c>
    </row>
    <row r="1488" spans="14:37" x14ac:dyDescent="0.3">
      <c r="T1488" s="113">
        <f>'Data_in-situ'!DN457</f>
        <v>115.06666666666666</v>
      </c>
      <c r="U1488" s="113">
        <f>'Data_in-situ'!DO457</f>
        <v>128.28544353933538</v>
      </c>
      <c r="V1488" s="46">
        <f>'Data_in-situ'!DP457</f>
        <v>1</v>
      </c>
      <c r="W1488" s="113">
        <f>'Data_in-situ'!DR457</f>
        <v>63.333333333333336</v>
      </c>
      <c r="X1488" s="113">
        <f>'Data_in-situ'!DS457</f>
        <v>236.69036532663063</v>
      </c>
      <c r="Y1488" s="46">
        <f>'Data_in-situ'!DT457</f>
        <v>1</v>
      </c>
      <c r="AF1488" s="113">
        <f>'Data_in-situ'!EN455</f>
        <v>-5.6149732620320822</v>
      </c>
      <c r="AG1488" s="113">
        <f>'Data_in-situ'!EO455</f>
        <v>0.89761221109140865</v>
      </c>
      <c r="AH1488" s="110">
        <f>'Data_in-situ'!EP455</f>
        <v>3</v>
      </c>
      <c r="AI1488" s="113">
        <f>'Data_in-situ'!ER455</f>
        <v>-65.23510971786834</v>
      </c>
      <c r="AJ1488" s="113">
        <f>'Data_in-situ'!ES455</f>
        <v>10.177520442006553</v>
      </c>
      <c r="AK1488" s="110">
        <f>'Data_in-situ'!ET455</f>
        <v>3</v>
      </c>
    </row>
    <row r="1489" spans="1:37" x14ac:dyDescent="0.3">
      <c r="T1489" s="113">
        <f>'Data_in-situ'!DN458</f>
        <v>105.2</v>
      </c>
      <c r="U1489" s="113">
        <f>'Data_in-situ'!DO458</f>
        <v>117.28530121962412</v>
      </c>
      <c r="V1489" s="46">
        <f>'Data_in-situ'!DP458</f>
        <v>1</v>
      </c>
      <c r="W1489" s="113">
        <f>'Data_in-situ'!DR458</f>
        <v>45.466666666666669</v>
      </c>
      <c r="X1489" s="113">
        <f>'Data_in-situ'!DS458</f>
        <v>169.91876752922326</v>
      </c>
      <c r="Y1489" s="46">
        <f>'Data_in-situ'!DT458</f>
        <v>1</v>
      </c>
      <c r="AF1489" s="113">
        <f>'Data_in-situ'!EN456</f>
        <v>-7.6</v>
      </c>
      <c r="AG1489" s="113">
        <f>'Data_in-situ'!EO456</f>
        <v>3.0969726305098293</v>
      </c>
      <c r="AH1489" s="110">
        <f>'Data_in-situ'!EP456</f>
        <v>1</v>
      </c>
      <c r="AI1489" s="113">
        <f>'Data_in-situ'!ER456</f>
        <v>-20.2</v>
      </c>
      <c r="AJ1489" s="113">
        <f>'Data_in-situ'!ES456</f>
        <v>4.5816438808857223</v>
      </c>
      <c r="AK1489" s="110">
        <f>'Data_in-situ'!ET456</f>
        <v>1</v>
      </c>
    </row>
    <row r="1490" spans="1:37" x14ac:dyDescent="0.3">
      <c r="T1490" s="113">
        <f>'Data_in-situ'!DN459</f>
        <v>118.26666666666667</v>
      </c>
      <c r="U1490" s="113">
        <f>'Data_in-situ'!DO459</f>
        <v>131.85305726464713</v>
      </c>
      <c r="V1490" s="46">
        <f>'Data_in-situ'!DP459</f>
        <v>1</v>
      </c>
      <c r="W1490" s="113">
        <f>'Data_in-situ'!DR459</f>
        <v>26.133333333333336</v>
      </c>
      <c r="X1490" s="113">
        <f>'Data_in-situ'!DS459</f>
        <v>97.665919166357071</v>
      </c>
      <c r="Y1490" s="46">
        <f>'Data_in-situ'!DT459</f>
        <v>1</v>
      </c>
      <c r="AF1490" s="113">
        <f>'Data_in-situ'!EN457</f>
        <v>-2.4</v>
      </c>
      <c r="AG1490" s="113">
        <f>'Data_in-situ'!EO457</f>
        <v>0.97799135700310402</v>
      </c>
      <c r="AH1490" s="110">
        <f>'Data_in-situ'!EP457</f>
        <v>1</v>
      </c>
      <c r="AI1490" s="113">
        <f>'Data_in-situ'!ER457</f>
        <v>-23.2</v>
      </c>
      <c r="AJ1490" s="113">
        <f>'Data_in-situ'!ES457</f>
        <v>5.2620860414133048</v>
      </c>
      <c r="AK1490" s="110">
        <f>'Data_in-situ'!ET457</f>
        <v>1</v>
      </c>
    </row>
    <row r="1491" spans="1:37" x14ac:dyDescent="0.3">
      <c r="T1491" s="113">
        <f>'Data_in-situ'!DN460</f>
        <v>115.06666666666666</v>
      </c>
      <c r="U1491" s="113">
        <f>'Data_in-situ'!DO460</f>
        <v>128.28544353933538</v>
      </c>
      <c r="V1491" s="46">
        <f>'Data_in-situ'!DP460</f>
        <v>1</v>
      </c>
      <c r="W1491" s="113">
        <f>'Data_in-situ'!DR460</f>
        <v>31.733333333333334</v>
      </c>
      <c r="X1491" s="113">
        <f>'Data_in-situ'!DS460</f>
        <v>118.59433041629072</v>
      </c>
      <c r="Y1491" s="46">
        <f>'Data_in-situ'!DT460</f>
        <v>1</v>
      </c>
      <c r="AF1491" s="113">
        <f>'Data_in-situ'!EN458</f>
        <v>-4.8</v>
      </c>
      <c r="AG1491" s="113">
        <f>'Data_in-situ'!EO458</f>
        <v>1.955982714006208</v>
      </c>
      <c r="AH1491" s="110">
        <f>'Data_in-situ'!EP458</f>
        <v>1</v>
      </c>
      <c r="AI1491" s="113">
        <f>'Data_in-situ'!ER458</f>
        <v>-19</v>
      </c>
      <c r="AJ1491" s="113">
        <f>'Data_in-situ'!ES458</f>
        <v>4.3094670166746889</v>
      </c>
      <c r="AK1491" s="110">
        <f>'Data_in-situ'!ET458</f>
        <v>1</v>
      </c>
    </row>
    <row r="1492" spans="1:37" x14ac:dyDescent="0.3">
      <c r="T1492" s="113">
        <f>'Data_in-situ'!DN461</f>
        <v>105.2</v>
      </c>
      <c r="U1492" s="113">
        <f>'Data_in-situ'!DO461</f>
        <v>117.28530121962412</v>
      </c>
      <c r="V1492" s="46">
        <f>'Data_in-situ'!DP461</f>
        <v>1</v>
      </c>
      <c r="W1492" s="113">
        <f>'Data_in-situ'!DR461</f>
        <v>29.733333333333334</v>
      </c>
      <c r="X1492" s="113">
        <f>'Data_in-situ'!DS461</f>
        <v>111.11989782702869</v>
      </c>
      <c r="Y1492" s="46">
        <f>'Data_in-situ'!DT461</f>
        <v>1</v>
      </c>
      <c r="AF1492" s="113">
        <f>'Data_in-situ'!EN459</f>
        <v>-7.6</v>
      </c>
      <c r="AG1492" s="113">
        <f>'Data_in-situ'!EO459</f>
        <v>3.0969726305098293</v>
      </c>
      <c r="AH1492" s="110">
        <f>'Data_in-situ'!EP459</f>
        <v>1</v>
      </c>
      <c r="AI1492" s="113">
        <f>'Data_in-situ'!ER459</f>
        <v>-66.400000000000006</v>
      </c>
      <c r="AJ1492" s="113">
        <f>'Data_in-situ'!ES459</f>
        <v>15.060453153010494</v>
      </c>
      <c r="AK1492" s="110">
        <f>'Data_in-situ'!ET459</f>
        <v>1</v>
      </c>
    </row>
    <row r="1493" spans="1:37" x14ac:dyDescent="0.3">
      <c r="AF1493" s="113">
        <f>'Data_in-situ'!EN460</f>
        <v>-2.4</v>
      </c>
      <c r="AG1493" s="113">
        <f>'Data_in-situ'!EO460</f>
        <v>0.97799135700310402</v>
      </c>
      <c r="AH1493" s="110">
        <f>'Data_in-situ'!EP460</f>
        <v>1</v>
      </c>
      <c r="AI1493" s="113">
        <f>'Data_in-situ'!ER460</f>
        <v>-61.5</v>
      </c>
      <c r="AJ1493" s="113">
        <f>'Data_in-situ'!ES460</f>
        <v>13.949064290815441</v>
      </c>
      <c r="AK1493" s="110">
        <f>'Data_in-situ'!ET460</f>
        <v>1</v>
      </c>
    </row>
    <row r="1494" spans="1:37" x14ac:dyDescent="0.3">
      <c r="AF1494" s="113">
        <f>'Data_in-situ'!EN461</f>
        <v>-4.8</v>
      </c>
      <c r="AG1494" s="113">
        <f>'Data_in-situ'!EO461</f>
        <v>1.955982714006208</v>
      </c>
      <c r="AH1494" s="110">
        <f>'Data_in-situ'!EP461</f>
        <v>1</v>
      </c>
      <c r="AI1494" s="113">
        <f>'Data_in-situ'!ER461</f>
        <v>-58.5</v>
      </c>
      <c r="AJ1494" s="113">
        <f>'Data_in-situ'!ES461</f>
        <v>13.268622130287859</v>
      </c>
      <c r="AK1494" s="110">
        <f>'Data_in-situ'!ET461</f>
        <v>1</v>
      </c>
    </row>
    <row r="1496" spans="1:37" x14ac:dyDescent="0.3">
      <c r="A1496" s="110" t="s">
        <v>831</v>
      </c>
      <c r="B1496" s="24">
        <f>AVERAGEA(B1463:B1494)</f>
        <v>-136891.57377049181</v>
      </c>
      <c r="C1496" s="24">
        <f>STDEVA(B1463:B1494)/SQRT(COUNT(B1463:B1494))</f>
        <v>4159.6149955667825</v>
      </c>
      <c r="D1496" s="46">
        <f>COUNT(B1463:B1494)</f>
        <v>10</v>
      </c>
      <c r="E1496" s="24">
        <f>AVERAGEA(E1463:E1494)</f>
        <v>-141033.07832422585</v>
      </c>
      <c r="F1496" s="24">
        <f>STDEVA(E1463:E1494)/SQRT(COUNT(E1463:E1494))</f>
        <v>9022.7375757352129</v>
      </c>
      <c r="G1496" s="46">
        <f>COUNT(E1463:E1494)</f>
        <v>10</v>
      </c>
      <c r="H1496" s="24">
        <f>AVERAGEA(H1463:H1494)</f>
        <v>124176.31164458883</v>
      </c>
      <c r="I1496" s="24">
        <f>STDEVA(H1463:H1494)/SQRT(COUNT(H1463:H1494))</f>
        <v>9688.2142800230467</v>
      </c>
      <c r="J1496" s="110">
        <f>COUNT(H1463:H1494)</f>
        <v>10</v>
      </c>
      <c r="K1496" s="24">
        <f>AVERAGEA(K1463:K1494)</f>
        <v>141787.86779791006</v>
      </c>
      <c r="L1496" s="24">
        <f>STDEVA(K1463:K1494)/SQRT(COUNT(K1463:K1494))</f>
        <v>9370.1696210798091</v>
      </c>
      <c r="M1496" s="110">
        <f>COUNT(K1463:K1494)</f>
        <v>10</v>
      </c>
      <c r="N1496" s="24">
        <f>AVERAGEA(N1463:N1494)</f>
        <v>-9431.5080839353232</v>
      </c>
      <c r="O1496" s="24">
        <f>STDEVA(N1463:N1494)/SQRT(COUNT(N1463:N1494))</f>
        <v>8913.4302762969965</v>
      </c>
      <c r="P1496" s="110">
        <f>COUNT(N1463:N1494)</f>
        <v>15</v>
      </c>
      <c r="Q1496" s="24">
        <f>AVERAGEA(Q1463:Q1494)</f>
        <v>1913.1929824561385</v>
      </c>
      <c r="R1496" s="24">
        <f>STDEVA(Q1463:Q1494)/SQRT(COUNT(Q1463:Q1494))</f>
        <v>6422.6085728264052</v>
      </c>
      <c r="S1496" s="110">
        <f>COUNT(Q1463:Q1494)</f>
        <v>15</v>
      </c>
      <c r="T1496" s="113">
        <f>AVERAGEA(T1463:T1494)</f>
        <v>112.45302099062106</v>
      </c>
      <c r="U1496" s="113">
        <f>STDEVA(T1463:T1494)/SQRT(COUNT(T1463:T1494))</f>
        <v>23.8639414339222</v>
      </c>
      <c r="V1496" s="110">
        <f>COUNT(T1463:T1494)</f>
        <v>30</v>
      </c>
      <c r="W1496" s="113">
        <f>AVERAGEA(W1463:W1494)</f>
        <v>24.290643853492899</v>
      </c>
      <c r="X1496" s="113">
        <f>STDEVA(W1463:W1494)/SQRT(COUNT(W1463:W1494))</f>
        <v>8.7629848078583539</v>
      </c>
      <c r="Y1496" s="110">
        <f>COUNT(W1463:W1494)</f>
        <v>30</v>
      </c>
      <c r="Z1496" s="113">
        <f>AVERAGEA(Z1463:Z1494)</f>
        <v>2.0933493080444059</v>
      </c>
      <c r="AA1496" s="113">
        <f>STDEVA(Z1463:Z1494)/SQRT(COUNT(Z1463:Z1494))</f>
        <v>0.64836178311207449</v>
      </c>
      <c r="AB1496" s="110">
        <f>COUNT(Z1463:Z1494)</f>
        <v>12</v>
      </c>
      <c r="AC1496" s="113">
        <f>AVERAGEA(AC1463:AC1494)</f>
        <v>8.1384956513864246</v>
      </c>
      <c r="AD1496" s="113">
        <f>STDEVA(AC1463:AC1494)/SQRT(COUNT(AC1463:AC1494))</f>
        <v>3.2227973275384274</v>
      </c>
      <c r="AE1496" s="110">
        <f>COUNT(AC1463:AC1494)</f>
        <v>12</v>
      </c>
      <c r="AF1496" s="113">
        <f>AVERAGEA(AF1463:AF1494)</f>
        <v>-9.7524414760076557</v>
      </c>
      <c r="AG1496" s="113">
        <f>STDEVA(AF1463:AF1494)/SQRT(COUNT(AF1463:AF1494))</f>
        <v>2.2243183092598384</v>
      </c>
      <c r="AH1496" s="110">
        <f>COUNT(AF1463:AF1494)</f>
        <v>32</v>
      </c>
      <c r="AI1496" s="113">
        <f>AVERAGEA(AI1463:AI1494)</f>
        <v>-52.830445341296638</v>
      </c>
      <c r="AJ1496" s="113">
        <f>STDEVA(AI1463:AI1494)/SQRT(COUNT(AI1463:AI1494))</f>
        <v>4.3514822322220024</v>
      </c>
      <c r="AK1496" s="110">
        <f>COUNT(AI1463:AI1494)</f>
        <v>32</v>
      </c>
    </row>
    <row r="1498" spans="1:37" ht="15.6" x14ac:dyDescent="0.3">
      <c r="A1498" s="14" t="s">
        <v>16</v>
      </c>
      <c r="B1498" s="24">
        <f>'Data_in-situ'!CA199</f>
        <v>-17120.448467345523</v>
      </c>
      <c r="C1498" s="24">
        <f>'Data_in-situ'!CB199</f>
        <v>4174.1444262492878</v>
      </c>
      <c r="D1498" s="46">
        <f>'Data_in-situ'!CC199</f>
        <v>1</v>
      </c>
      <c r="E1498" s="24">
        <f>'Data_in-situ'!CE199</f>
        <v>-14041.350510064822</v>
      </c>
      <c r="F1498" s="24">
        <f>'Data_in-situ'!CF199</f>
        <v>5227.1608672305301</v>
      </c>
      <c r="G1498" s="46">
        <f>'Data_in-situ'!CG199</f>
        <v>1</v>
      </c>
      <c r="H1498" s="24">
        <f>'Data_in-situ'!CN199</f>
        <v>12896.16741487473</v>
      </c>
      <c r="I1498" s="24">
        <f>'Data_in-situ'!CO199</f>
        <v>3709.2899364025543</v>
      </c>
      <c r="J1498" s="46">
        <f>'Data_in-situ'!CP199</f>
        <v>1</v>
      </c>
      <c r="K1498" s="24">
        <f>'Data_in-situ'!CR199</f>
        <v>14385.676578962597</v>
      </c>
      <c r="L1498" s="24">
        <f>'Data_in-situ'!CS199</f>
        <v>3774.6745086112619</v>
      </c>
      <c r="M1498" s="46">
        <f>'Data_in-situ'!CT199</f>
        <v>1</v>
      </c>
      <c r="N1498" s="24">
        <f>'Data_in-situ'!DA2</f>
        <v>-2080</v>
      </c>
      <c r="O1498" s="24">
        <f>'Data_in-situ'!DB2</f>
        <v>200</v>
      </c>
      <c r="P1498" s="46">
        <f>'Data_in-situ'!DC2</f>
        <v>4</v>
      </c>
      <c r="Q1498" s="24">
        <f>'Data_in-situ'!DE2</f>
        <v>-720</v>
      </c>
      <c r="R1498" s="24">
        <f>'Data_in-situ'!DF2</f>
        <v>580</v>
      </c>
      <c r="S1498" s="46">
        <f>'Data_in-situ'!DG2</f>
        <v>4</v>
      </c>
      <c r="T1498" s="113">
        <f>'Data_in-situ'!DN2</f>
        <v>155.93</v>
      </c>
      <c r="U1498" s="113">
        <f>'Data_in-situ'!DO2</f>
        <v>91.89</v>
      </c>
      <c r="V1498" s="46">
        <f>'Data_in-situ'!DP2</f>
        <v>3</v>
      </c>
      <c r="W1498" s="113">
        <f>'Data_in-situ'!DR2</f>
        <v>-0.52095000000000002</v>
      </c>
      <c r="X1498" s="113">
        <f>'Data_in-situ'!DS2</f>
        <v>0.42061931719786716</v>
      </c>
      <c r="Y1498" s="46">
        <f>'Data_in-situ'!DT2</f>
        <v>3</v>
      </c>
      <c r="Z1498" s="113">
        <f>'Data_in-situ'!EA8</f>
        <v>9.3216878849518445E-2</v>
      </c>
      <c r="AA1498" s="113">
        <f>'Data_in-situ'!EB8</f>
        <v>0.20553512952136199</v>
      </c>
      <c r="AB1498" s="46">
        <f>'Data_in-situ'!EC8</f>
        <v>3</v>
      </c>
      <c r="AC1498" s="113">
        <f>'Data_in-situ'!EE8</f>
        <v>1.1634570510397673</v>
      </c>
      <c r="AD1498" s="113">
        <f>'Data_in-situ'!EF8</f>
        <v>0.38922612585728023</v>
      </c>
      <c r="AE1498" s="46">
        <f>'Data_in-situ'!EG8</f>
        <v>3</v>
      </c>
      <c r="AF1498" s="113">
        <f>'Data_in-situ'!EN14</f>
        <v>11.41</v>
      </c>
      <c r="AG1498" s="113">
        <f>'Data_in-situ'!EO14</f>
        <v>3.1216542489519883</v>
      </c>
      <c r="AH1498" s="110">
        <f>'Data_in-situ'!EP14</f>
        <v>4</v>
      </c>
      <c r="AI1498" s="113">
        <f>'Data_in-situ'!ER14</f>
        <v>-91.8</v>
      </c>
      <c r="AJ1498" s="113">
        <f>'Data_in-situ'!ES14</f>
        <v>9.6999999999999993</v>
      </c>
      <c r="AK1498" s="110">
        <f>'Data_in-situ'!ET14</f>
        <v>4</v>
      </c>
    </row>
    <row r="1499" spans="1:37" x14ac:dyDescent="0.3">
      <c r="B1499" s="24">
        <f>'Data_in-situ'!CA200</f>
        <v>-15725.784017121432</v>
      </c>
      <c r="C1499" s="24">
        <f>'Data_in-situ'!CB200</f>
        <v>3834.1106442782989</v>
      </c>
      <c r="D1499" s="46">
        <f>'Data_in-situ'!CC200</f>
        <v>1</v>
      </c>
      <c r="E1499" s="24">
        <f>'Data_in-situ'!CE200</f>
        <v>-16611.232720206455</v>
      </c>
      <c r="F1499" s="24">
        <f>'Data_in-situ'!CF200</f>
        <v>6183.8485955665874</v>
      </c>
      <c r="G1499" s="46">
        <f>'Data_in-situ'!CG200</f>
        <v>1</v>
      </c>
      <c r="H1499" s="24">
        <f>'Data_in-situ'!CN200</f>
        <v>12587.493371634213</v>
      </c>
      <c r="I1499" s="24">
        <f>'Data_in-situ'!CO200</f>
        <v>3620.5068518327839</v>
      </c>
      <c r="J1499" s="46">
        <f>'Data_in-situ'!CP200</f>
        <v>1</v>
      </c>
      <c r="K1499" s="24">
        <f>'Data_in-situ'!CR200</f>
        <v>17012.76988978263</v>
      </c>
      <c r="L1499" s="24">
        <f>'Data_in-situ'!CS200</f>
        <v>4464.0005961028419</v>
      </c>
      <c r="M1499" s="46">
        <f>'Data_in-situ'!CT200</f>
        <v>1</v>
      </c>
      <c r="N1499" s="24">
        <f>'Data_in-situ'!DA3</f>
        <v>-2080</v>
      </c>
      <c r="O1499" s="24">
        <f>'Data_in-situ'!DB3</f>
        <v>200</v>
      </c>
      <c r="P1499" s="46">
        <f>'Data_in-situ'!DC3</f>
        <v>4</v>
      </c>
      <c r="Q1499" s="24">
        <f>'Data_in-situ'!DE3</f>
        <v>-1200</v>
      </c>
      <c r="R1499" s="24">
        <f>'Data_in-situ'!DF3</f>
        <v>800</v>
      </c>
      <c r="S1499" s="46">
        <f>'Data_in-situ'!DG3</f>
        <v>4</v>
      </c>
      <c r="T1499" s="113">
        <f>'Data_in-situ'!DN3</f>
        <v>155.93</v>
      </c>
      <c r="U1499" s="113">
        <f>'Data_in-situ'!DO3</f>
        <v>91.89</v>
      </c>
      <c r="V1499" s="46">
        <f>'Data_in-situ'!DP3</f>
        <v>3</v>
      </c>
      <c r="W1499" s="113">
        <f>'Data_in-situ'!DR3</f>
        <v>-0.50150000000000006</v>
      </c>
      <c r="X1499" s="113">
        <f>'Data_in-situ'!DS3</f>
        <v>0.69631979003903077</v>
      </c>
      <c r="Y1499" s="46">
        <f>'Data_in-situ'!DT3</f>
        <v>3</v>
      </c>
      <c r="Z1499" s="113">
        <f>'Data_in-situ'!EA9</f>
        <v>9.3216878849518445E-2</v>
      </c>
      <c r="AA1499" s="113">
        <f>'Data_in-situ'!EB9</f>
        <v>0.20553512952136199</v>
      </c>
      <c r="AB1499" s="46">
        <f>'Data_in-situ'!EC9</f>
        <v>3</v>
      </c>
      <c r="AC1499" s="113">
        <f>'Data_in-situ'!EE9</f>
        <v>1.6177151825214293</v>
      </c>
      <c r="AD1499" s="113">
        <f>'Data_in-situ'!EF9</f>
        <v>0.53878192787841905</v>
      </c>
      <c r="AE1499" s="46">
        <f>'Data_in-situ'!EG9</f>
        <v>3</v>
      </c>
      <c r="AF1499" s="113">
        <f>'Data_in-situ'!EN15</f>
        <v>5.6550000000000002</v>
      </c>
      <c r="AG1499" s="113">
        <f>'Data_in-situ'!EO15</f>
        <v>3.8089383363346805</v>
      </c>
      <c r="AH1499" s="110">
        <f>'Data_in-situ'!EP15</f>
        <v>4</v>
      </c>
      <c r="AI1499" s="113">
        <f>'Data_in-situ'!ER15</f>
        <v>-105</v>
      </c>
      <c r="AJ1499" s="113">
        <f>'Data_in-situ'!ES15</f>
        <v>8.1</v>
      </c>
      <c r="AK1499" s="110">
        <f>'Data_in-situ'!ET15</f>
        <v>4</v>
      </c>
    </row>
    <row r="1500" spans="1:37" x14ac:dyDescent="0.3">
      <c r="B1500" s="24">
        <f>'Data_in-situ'!CA271</f>
        <v>-40673.401413977677</v>
      </c>
      <c r="C1500" s="24">
        <f>'Data_in-situ'!CB271</f>
        <v>10107.748850350723</v>
      </c>
      <c r="D1500" s="46">
        <f>'Data_in-situ'!CC271</f>
        <v>8</v>
      </c>
      <c r="E1500" s="24">
        <f>'Data_in-situ'!CE271</f>
        <v>-44668.814018586389</v>
      </c>
      <c r="F1500" s="24">
        <f>'Data_in-situ'!CF271</f>
        <v>7435.5187362050165</v>
      </c>
      <c r="G1500" s="46">
        <f>'Data_in-situ'!CG271</f>
        <v>8</v>
      </c>
      <c r="H1500" s="24">
        <f>'Data_in-situ'!CN271</f>
        <v>25646.988483892328</v>
      </c>
      <c r="I1500" s="24">
        <f>'Data_in-situ'!CO271</f>
        <v>7128.4662989719045</v>
      </c>
      <c r="J1500" s="46">
        <f>'Data_in-situ'!CP271</f>
        <v>8</v>
      </c>
      <c r="K1500" s="24">
        <f>'Data_in-situ'!CR271</f>
        <v>30448.252211184394</v>
      </c>
      <c r="L1500" s="24">
        <f>'Data_in-situ'!CS271</f>
        <v>38699.412338334165</v>
      </c>
      <c r="M1500" s="46">
        <f>'Data_in-situ'!CT271</f>
        <v>8</v>
      </c>
      <c r="N1500" s="24">
        <f>'Data_in-situ'!DA32</f>
        <v>8950.3333333333303</v>
      </c>
      <c r="O1500" s="24">
        <f>'Data_in-situ'!DB32</f>
        <v>4633.1130043536723</v>
      </c>
      <c r="P1500" s="46">
        <f>'Data_in-situ'!DC32</f>
        <v>6</v>
      </c>
      <c r="Q1500" s="24">
        <f>'Data_in-situ'!DE32</f>
        <v>19004.333333333336</v>
      </c>
      <c r="R1500" s="24">
        <f>'Data_in-situ'!DF32</f>
        <v>11808.648436162748</v>
      </c>
      <c r="S1500" s="46">
        <f>'Data_in-situ'!DG32</f>
        <v>6</v>
      </c>
      <c r="T1500" s="113">
        <f>'Data_in-situ'!DN4</f>
        <v>155.93</v>
      </c>
      <c r="U1500" s="113">
        <f>'Data_in-situ'!DO4</f>
        <v>91.89</v>
      </c>
      <c r="V1500" s="46">
        <f>'Data_in-situ'!DP4</f>
        <v>3</v>
      </c>
      <c r="W1500" s="113">
        <f>'Data_in-situ'!DR4</f>
        <v>-0.61299999999999999</v>
      </c>
      <c r="X1500" s="113">
        <f>'Data_in-situ'!DS4</f>
        <v>0.52600000000000002</v>
      </c>
      <c r="Y1500" s="46">
        <f>'Data_in-situ'!DT4</f>
        <v>3</v>
      </c>
      <c r="Z1500" s="113">
        <f>'Data_in-situ'!EA10</f>
        <v>0.10912682734488738</v>
      </c>
      <c r="AA1500" s="113">
        <f>'Data_in-situ'!EB10</f>
        <v>0.23951135746402341</v>
      </c>
      <c r="AB1500" s="46">
        <f>'Data_in-situ'!EC10</f>
        <v>3</v>
      </c>
      <c r="AC1500" s="113">
        <f>'Data_in-situ'!EE10</f>
        <v>1.8711108749125607</v>
      </c>
      <c r="AD1500" s="113">
        <f>'Data_in-situ'!EF10</f>
        <v>1.1438689414400234</v>
      </c>
      <c r="AE1500" s="46">
        <f>'Data_in-situ'!EG10</f>
        <v>3</v>
      </c>
      <c r="AF1500" s="113">
        <f>'Data_in-situ'!EN17</f>
        <v>-31.375000000000004</v>
      </c>
      <c r="AG1500" s="113">
        <f>'Data_in-situ'!EO17</f>
        <v>10.767974391685748</v>
      </c>
      <c r="AH1500" s="110">
        <f>'Data_in-situ'!EP17</f>
        <v>4</v>
      </c>
      <c r="AI1500" s="113">
        <f>'Data_in-situ'!ER17</f>
        <v>-57.38</v>
      </c>
      <c r="AJ1500" s="113">
        <f>'Data_in-situ'!ES17</f>
        <v>9.4499999999999993</v>
      </c>
      <c r="AK1500" s="110">
        <f>'Data_in-situ'!ET17</f>
        <v>4</v>
      </c>
    </row>
    <row r="1501" spans="1:37" x14ac:dyDescent="0.3">
      <c r="B1501" s="24">
        <f>'Data_in-situ'!CA339</f>
        <v>-2994.9187190031953</v>
      </c>
      <c r="C1501" s="24">
        <f>'Data_in-situ'!CB339</f>
        <v>676.52043369186902</v>
      </c>
      <c r="D1501" s="46">
        <f>'Data_in-situ'!CC339</f>
        <v>3</v>
      </c>
      <c r="E1501" s="24">
        <f>'Data_in-situ'!CE339</f>
        <v>-2403.5364233284786</v>
      </c>
      <c r="F1501" s="24">
        <f>'Data_in-situ'!CF339</f>
        <v>338.39733243694133</v>
      </c>
      <c r="G1501" s="46">
        <f>'Data_in-situ'!CG339</f>
        <v>3</v>
      </c>
      <c r="H1501" s="24">
        <f>'Data_in-situ'!CN339</f>
        <v>3969.4505741620792</v>
      </c>
      <c r="I1501" s="24">
        <f>'Data_in-situ'!CO339</f>
        <v>723.08718823658228</v>
      </c>
      <c r="J1501" s="46">
        <f>'Data_in-situ'!CP339</f>
        <v>3</v>
      </c>
      <c r="K1501" s="24">
        <f>'Data_in-situ'!CR339</f>
        <v>4246.5463132141167</v>
      </c>
      <c r="L1501" s="24">
        <f>'Data_in-situ'!CS339</f>
        <v>528.2044209164568</v>
      </c>
      <c r="M1501" s="46">
        <f>'Data_in-situ'!CT339</f>
        <v>3</v>
      </c>
      <c r="N1501" s="24">
        <f>'Data_in-situ'!DA199</f>
        <v>-4224.281052470792</v>
      </c>
      <c r="O1501" s="24">
        <f>'Data_in-situ'!DB199</f>
        <v>12671.392364777903</v>
      </c>
      <c r="P1501" s="46">
        <f>'Data_in-situ'!DC199</f>
        <v>1</v>
      </c>
      <c r="Q1501" s="24">
        <f>'Data_in-situ'!DE199</f>
        <v>344.32606889777549</v>
      </c>
      <c r="R1501" s="24">
        <f>'Data_in-situ'!DF199</f>
        <v>328.19191145947599</v>
      </c>
      <c r="S1501" s="46">
        <f>'Data_in-situ'!DG199</f>
        <v>1</v>
      </c>
      <c r="T1501" s="113">
        <f>'Data_in-situ'!DN5</f>
        <v>155.93</v>
      </c>
      <c r="U1501" s="113">
        <f>'Data_in-situ'!DO5</f>
        <v>91.89</v>
      </c>
      <c r="V1501" s="46">
        <f>'Data_in-situ'!DP5</f>
        <v>3</v>
      </c>
      <c r="W1501" s="113">
        <f>'Data_in-situ'!DR5</f>
        <v>-0.35</v>
      </c>
      <c r="X1501" s="113">
        <f>'Data_in-situ'!DS5</f>
        <v>0.70099999999999996</v>
      </c>
      <c r="Y1501" s="46">
        <f>'Data_in-situ'!DT5</f>
        <v>3</v>
      </c>
      <c r="Z1501" s="113">
        <f>'Data_in-situ'!EA11</f>
        <v>0.10912682734488738</v>
      </c>
      <c r="AA1501" s="113">
        <f>'Data_in-situ'!EB11</f>
        <v>0.23951135746402341</v>
      </c>
      <c r="AB1501" s="46">
        <f>'Data_in-situ'!EC11</f>
        <v>3</v>
      </c>
      <c r="AC1501" s="113">
        <f>'Data_in-situ'!EE11</f>
        <v>0.2673015535589372</v>
      </c>
      <c r="AD1501" s="113">
        <f>'Data_in-situ'!EF11</f>
        <v>0.16021073937933927</v>
      </c>
      <c r="AE1501" s="46">
        <f>'Data_in-situ'!EG11</f>
        <v>3</v>
      </c>
      <c r="AF1501" s="113">
        <f>'Data_in-situ'!EN18</f>
        <v>-6.17</v>
      </c>
      <c r="AG1501" s="113">
        <f>'Data_in-situ'!EO18</f>
        <v>1.6</v>
      </c>
      <c r="AH1501" s="110">
        <f>'Data_in-situ'!EP18</f>
        <v>3</v>
      </c>
      <c r="AI1501" s="113">
        <f>'Data_in-situ'!ER18</f>
        <v>-32.340000000000003</v>
      </c>
      <c r="AJ1501" s="113">
        <f>'Data_in-situ'!ES18</f>
        <v>1.06</v>
      </c>
      <c r="AK1501" s="110">
        <f>'Data_in-situ'!ET18</f>
        <v>3</v>
      </c>
    </row>
    <row r="1502" spans="1:37" x14ac:dyDescent="0.3">
      <c r="B1502" s="24">
        <f>'Data_in-situ'!CA340</f>
        <v>-3247.736532945024</v>
      </c>
      <c r="C1502" s="24">
        <f>'Data_in-situ'!CB340</f>
        <v>576.55145764577287</v>
      </c>
      <c r="D1502" s="46">
        <f>'Data_in-situ'!CC340</f>
        <v>3</v>
      </c>
      <c r="E1502" s="24">
        <f>'Data_in-situ'!CE340</f>
        <v>-2538.1344630348735</v>
      </c>
      <c r="F1502" s="24">
        <f>'Data_in-situ'!CF340</f>
        <v>178.15163353403054</v>
      </c>
      <c r="G1502" s="46">
        <f>'Data_in-situ'!CG340</f>
        <v>3</v>
      </c>
      <c r="H1502" s="24">
        <f>'Data_in-situ'!CN340</f>
        <v>4869.5004136523185</v>
      </c>
      <c r="I1502" s="24">
        <f>'Data_in-situ'!CO340</f>
        <v>764.57941069494359</v>
      </c>
      <c r="J1502" s="46">
        <f>'Data_in-situ'!CP340</f>
        <v>3</v>
      </c>
      <c r="K1502" s="24">
        <f>'Data_in-situ'!CR340</f>
        <v>4268.1023858700255</v>
      </c>
      <c r="L1502" s="24">
        <f>'Data_in-situ'!CS340</f>
        <v>956.60990521947133</v>
      </c>
      <c r="M1502" s="46">
        <f>'Data_in-situ'!CT340</f>
        <v>3</v>
      </c>
      <c r="N1502" s="24">
        <f>'Data_in-situ'!DA200</f>
        <v>-3138.2906454872195</v>
      </c>
      <c r="O1502" s="24">
        <f>'Data_in-situ'!DB200</f>
        <v>9413.7941177993216</v>
      </c>
      <c r="P1502" s="46">
        <f>'Data_in-situ'!DC200</f>
        <v>1</v>
      </c>
      <c r="Q1502" s="24">
        <f>'Data_in-situ'!DE200</f>
        <v>401.53716957617513</v>
      </c>
      <c r="R1502" s="24">
        <f>'Data_in-situ'!DF200</f>
        <v>382.72225982505051</v>
      </c>
      <c r="S1502" s="46">
        <f>'Data_in-situ'!DG200</f>
        <v>1</v>
      </c>
      <c r="T1502" s="113">
        <f>'Data_in-situ'!DN6</f>
        <v>155.93</v>
      </c>
      <c r="U1502" s="113">
        <f>'Data_in-situ'!DO6</f>
        <v>91.89</v>
      </c>
      <c r="V1502" s="46">
        <f>'Data_in-situ'!DP6</f>
        <v>3</v>
      </c>
      <c r="W1502" s="113">
        <f>'Data_in-situ'!DR6</f>
        <v>-0.96399999999999997</v>
      </c>
      <c r="X1502" s="113">
        <f>'Data_in-situ'!DS6</f>
        <v>0.26300000000000001</v>
      </c>
      <c r="Y1502" s="46">
        <f>'Data_in-situ'!DT6</f>
        <v>3</v>
      </c>
      <c r="Z1502" s="113">
        <f>'Data_in-situ'!EA12</f>
        <v>0.10912682734488738</v>
      </c>
      <c r="AA1502" s="113">
        <f>'Data_in-situ'!EB12</f>
        <v>0.23951135746402341</v>
      </c>
      <c r="AB1502" s="46">
        <f>'Data_in-situ'!EC12</f>
        <v>3</v>
      </c>
      <c r="AC1502" s="113">
        <f>'Data_in-situ'!EE12</f>
        <v>1.6305394767095169</v>
      </c>
      <c r="AD1502" s="113">
        <f>'Data_in-situ'!EF12</f>
        <v>0.96616422362470822</v>
      </c>
      <c r="AE1502" s="46">
        <f>'Data_in-situ'!EG12</f>
        <v>3</v>
      </c>
      <c r="AF1502" s="113">
        <f>'Data_in-situ'!EN19</f>
        <v>-6.17</v>
      </c>
      <c r="AG1502" s="113">
        <f>'Data_in-situ'!EO19</f>
        <v>1.6</v>
      </c>
      <c r="AH1502" s="110">
        <f>'Data_in-situ'!EP19</f>
        <v>3</v>
      </c>
      <c r="AI1502" s="113">
        <f>'Data_in-situ'!ER19</f>
        <v>-37.89</v>
      </c>
      <c r="AJ1502" s="113">
        <f>'Data_in-situ'!ES19</f>
        <v>1.4</v>
      </c>
      <c r="AK1502" s="110">
        <f>'Data_in-situ'!ET19</f>
        <v>3</v>
      </c>
    </row>
    <row r="1503" spans="1:37" x14ac:dyDescent="0.3">
      <c r="B1503" s="24">
        <f>'Data_in-situ'!CA341</f>
        <v>-4239.5602645629651</v>
      </c>
      <c r="C1503" s="24">
        <f>'Data_in-situ'!CB341</f>
        <v>1115.0244091372156</v>
      </c>
      <c r="D1503" s="46">
        <f>'Data_in-situ'!CC341</f>
        <v>3</v>
      </c>
      <c r="E1503" s="24">
        <f>'Data_in-situ'!CE341</f>
        <v>-3364.9509926598698</v>
      </c>
      <c r="F1503" s="24">
        <f>'Data_in-situ'!CF341</f>
        <v>1102.2450453899555</v>
      </c>
      <c r="G1503" s="46">
        <f>'Data_in-situ'!CG341</f>
        <v>3</v>
      </c>
      <c r="H1503" s="24">
        <f>'Data_in-situ'!CN341</f>
        <v>7477.3371280727561</v>
      </c>
      <c r="I1503" s="24">
        <f>'Data_in-situ'!CO341</f>
        <v>1843.7169743300331</v>
      </c>
      <c r="J1503" s="46">
        <f>'Data_in-situ'!CP341</f>
        <v>3</v>
      </c>
      <c r="K1503" s="24">
        <f>'Data_in-situ'!CR341</f>
        <v>5971.0321256868547</v>
      </c>
      <c r="L1503" s="24">
        <f>'Data_in-situ'!CS341</f>
        <v>1963.4643578324303</v>
      </c>
      <c r="M1503" s="46">
        <f>'Data_in-situ'!CT341</f>
        <v>3</v>
      </c>
      <c r="N1503" s="24">
        <f>'Data_in-situ'!DA201</f>
        <v>-2040</v>
      </c>
      <c r="O1503" s="24">
        <f>'Data_in-situ'!DB201</f>
        <v>6119.2993797198715</v>
      </c>
      <c r="P1503" s="46">
        <f>'Data_in-situ'!DC201</f>
        <v>3</v>
      </c>
      <c r="Q1503" s="24">
        <f>'Data_in-situ'!DE201</f>
        <v>5060</v>
      </c>
      <c r="R1503" s="24">
        <f>'Data_in-situ'!DF201</f>
        <v>698.59382571944718</v>
      </c>
      <c r="S1503" s="46">
        <f>'Data_in-situ'!DG201</f>
        <v>3</v>
      </c>
      <c r="T1503" s="113">
        <f>'Data_in-situ'!DN7</f>
        <v>155.93</v>
      </c>
      <c r="U1503" s="113">
        <f>'Data_in-situ'!DO7</f>
        <v>91.89</v>
      </c>
      <c r="V1503" s="46">
        <f>'Data_in-situ'!DP7</f>
        <v>3</v>
      </c>
      <c r="W1503" s="113">
        <f>'Data_in-situ'!DR7</f>
        <v>0.35</v>
      </c>
      <c r="X1503" s="113">
        <f>'Data_in-situ'!DS7</f>
        <v>1.927</v>
      </c>
      <c r="Y1503" s="46">
        <f>'Data_in-situ'!DT7</f>
        <v>3</v>
      </c>
      <c r="Z1503" s="113">
        <f>'Data_in-situ'!EA13</f>
        <v>0.10912682734488738</v>
      </c>
      <c r="AA1503" s="113">
        <f>'Data_in-situ'!EB13</f>
        <v>0.23951135746402341</v>
      </c>
      <c r="AB1503" s="46">
        <f>'Data_in-situ'!EC13</f>
        <v>3</v>
      </c>
      <c r="AC1503" s="113">
        <f>'Data_in-situ'!EE13</f>
        <v>2.1116822731156044</v>
      </c>
      <c r="AD1503" s="113">
        <f>'Data_in-situ'!EF13</f>
        <v>0.9849415206790767</v>
      </c>
      <c r="AE1503" s="46">
        <f>'Data_in-situ'!EG13</f>
        <v>3</v>
      </c>
      <c r="AF1503" s="113">
        <f>'Data_in-situ'!EN20</f>
        <v>-20.329999999999998</v>
      </c>
      <c r="AG1503" s="113">
        <f>'Data_in-situ'!EO20</f>
        <v>2.57</v>
      </c>
      <c r="AH1503" s="110">
        <f>'Data_in-situ'!EP20</f>
        <v>3</v>
      </c>
      <c r="AI1503" s="113">
        <f>'Data_in-situ'!ER20</f>
        <v>-32.340000000000003</v>
      </c>
      <c r="AJ1503" s="113">
        <f>'Data_in-situ'!ES20</f>
        <v>1.06</v>
      </c>
      <c r="AK1503" s="110">
        <f>'Data_in-situ'!ET20</f>
        <v>3</v>
      </c>
    </row>
    <row r="1504" spans="1:37" x14ac:dyDescent="0.3">
      <c r="B1504" s="24">
        <f>'Data_in-situ'!CA342</f>
        <v>-2945.161089648047</v>
      </c>
      <c r="C1504" s="24">
        <f>'Data_in-situ'!CB342</f>
        <v>96.327483684879894</v>
      </c>
      <c r="D1504" s="46">
        <f>'Data_in-situ'!CC342</f>
        <v>3</v>
      </c>
      <c r="E1504" s="24">
        <f>'Data_in-situ'!CE342</f>
        <v>-2329.5681312375768</v>
      </c>
      <c r="F1504" s="24">
        <f>'Data_in-situ'!CF342</f>
        <v>936.72704913647306</v>
      </c>
      <c r="G1504" s="46">
        <f>'Data_in-situ'!CG342</f>
        <v>3</v>
      </c>
      <c r="H1504" s="24">
        <f>'Data_in-situ'!CN342</f>
        <v>2386.82655517393</v>
      </c>
      <c r="I1504" s="24">
        <f>'Data_in-situ'!CO342</f>
        <v>98.565445597832763</v>
      </c>
      <c r="J1504" s="46">
        <f>'Data_in-situ'!CP342</f>
        <v>3</v>
      </c>
      <c r="K1504" s="24">
        <f>'Data_in-situ'!CR342</f>
        <v>2420.4945007500228</v>
      </c>
      <c r="L1504" s="24">
        <f>'Data_in-situ'!CS342</f>
        <v>226.67580770330741</v>
      </c>
      <c r="M1504" s="46">
        <f>'Data_in-situ'!CT342</f>
        <v>3</v>
      </c>
      <c r="N1504" s="24">
        <f>'Data_in-situ'!DA202</f>
        <v>-4180</v>
      </c>
      <c r="O1504" s="24">
        <f>'Data_in-situ'!DB202</f>
        <v>12538.564415308363</v>
      </c>
      <c r="P1504" s="46">
        <f>'Data_in-situ'!DC202</f>
        <v>3</v>
      </c>
      <c r="Q1504" s="24">
        <f>'Data_in-situ'!DE202</f>
        <v>1540</v>
      </c>
      <c r="R1504" s="24">
        <f>'Data_in-situ'!DF202</f>
        <v>1460.696181049753</v>
      </c>
      <c r="S1504" s="46">
        <f>'Data_in-situ'!DG202</f>
        <v>3</v>
      </c>
      <c r="T1504" s="113">
        <f>'Data_in-situ'!DN8</f>
        <v>77.679769199310513</v>
      </c>
      <c r="U1504" s="113">
        <f>'Data_in-situ'!DO8</f>
        <v>41.109363664076781</v>
      </c>
      <c r="V1504" s="46">
        <f>'Data_in-situ'!DP8</f>
        <v>3</v>
      </c>
      <c r="W1504" s="113">
        <f>'Data_in-situ'!DR8</f>
        <v>1.3178677201023323</v>
      </c>
      <c r="X1504" s="113">
        <f>'Data_in-situ'!DS8</f>
        <v>0.99682589896901586</v>
      </c>
      <c r="Y1504" s="46">
        <f>'Data_in-situ'!DT8</f>
        <v>3</v>
      </c>
      <c r="Z1504" s="113">
        <f>'Data_in-situ'!EA33</f>
        <v>0.3</v>
      </c>
      <c r="AA1504" s="113">
        <f>'Data_in-situ'!EB33</f>
        <v>0.35</v>
      </c>
      <c r="AB1504" s="46">
        <f>'Data_in-situ'!EC33</f>
        <v>6</v>
      </c>
      <c r="AC1504" s="113">
        <f>'Data_in-situ'!EE33</f>
        <v>3</v>
      </c>
      <c r="AD1504" s="113">
        <f>'Data_in-situ'!EF33</f>
        <v>0.95</v>
      </c>
      <c r="AE1504" s="46">
        <f>'Data_in-situ'!EG33</f>
        <v>6</v>
      </c>
      <c r="AF1504" s="113">
        <f>'Data_in-situ'!EN21</f>
        <v>-20.329999999999998</v>
      </c>
      <c r="AG1504" s="113">
        <f>'Data_in-situ'!EO21</f>
        <v>2.57</v>
      </c>
      <c r="AH1504" s="110">
        <f>'Data_in-situ'!EP21</f>
        <v>3</v>
      </c>
      <c r="AI1504" s="113">
        <f>'Data_in-situ'!ER21</f>
        <v>-37.89</v>
      </c>
      <c r="AJ1504" s="113">
        <f>'Data_in-situ'!ES21</f>
        <v>1.4</v>
      </c>
      <c r="AK1504" s="110">
        <f>'Data_in-situ'!ET21</f>
        <v>3</v>
      </c>
    </row>
    <row r="1505" spans="2:37" x14ac:dyDescent="0.3">
      <c r="B1505" s="24">
        <f>'Data_in-situ'!CA343</f>
        <v>-2887.6945318012554</v>
      </c>
      <c r="C1505" s="24">
        <f>'Data_in-situ'!CB343</f>
        <v>116.06106513063514</v>
      </c>
      <c r="D1505" s="46">
        <f>'Data_in-situ'!CC343</f>
        <v>3</v>
      </c>
      <c r="E1505" s="24">
        <f>'Data_in-situ'!CE343</f>
        <v>-2017.0650892422923</v>
      </c>
      <c r="F1505" s="24">
        <f>'Data_in-situ'!CF343</f>
        <v>715.26564447368787</v>
      </c>
      <c r="G1505" s="46">
        <f>'Data_in-situ'!CG343</f>
        <v>3</v>
      </c>
      <c r="H1505" s="24">
        <f>'Data_in-situ'!CN343</f>
        <v>2301.5827496320044</v>
      </c>
      <c r="I1505" s="24">
        <f>'Data_in-situ'!CO343</f>
        <v>97.898666178602923</v>
      </c>
      <c r="J1505" s="46">
        <f>'Data_in-situ'!CP343</f>
        <v>3</v>
      </c>
      <c r="K1505" s="24">
        <f>'Data_in-situ'!CR343</f>
        <v>2420.4945007500228</v>
      </c>
      <c r="L1505" s="24">
        <f>'Data_in-situ'!CS343</f>
        <v>564.27419535299123</v>
      </c>
      <c r="M1505" s="46">
        <f>'Data_in-situ'!CT343</f>
        <v>3</v>
      </c>
      <c r="N1505" s="24">
        <f>'Data_in-situ'!DA213</f>
        <v>-5500</v>
      </c>
      <c r="O1505" s="24">
        <f>'Data_in-situ'!DB213</f>
        <v>16498.111072774162</v>
      </c>
      <c r="P1505" s="46">
        <f>'Data_in-situ'!DC213</f>
        <v>3</v>
      </c>
      <c r="Q1505" s="24">
        <f>'Data_in-situ'!DE213</f>
        <v>-5500</v>
      </c>
      <c r="R1505" s="24">
        <f>'Data_in-situ'!DF213</f>
        <v>5242.2853686486578</v>
      </c>
      <c r="S1505" s="46">
        <f>'Data_in-situ'!DG213</f>
        <v>3</v>
      </c>
      <c r="T1505" s="113">
        <f>'Data_in-situ'!DN9</f>
        <v>77.679769199310513</v>
      </c>
      <c r="U1505" s="113">
        <f>'Data_in-situ'!DO9</f>
        <v>41.109363664076781</v>
      </c>
      <c r="V1505" s="46">
        <f>'Data_in-situ'!DP9</f>
        <v>3</v>
      </c>
      <c r="W1505" s="113">
        <f>'Data_in-situ'!DR9</f>
        <v>-1.0998745633936757</v>
      </c>
      <c r="X1505" s="113">
        <f>'Data_in-situ'!DS9</f>
        <v>0.82147395233930254</v>
      </c>
      <c r="Y1505" s="46">
        <f>'Data_in-situ'!DT9</f>
        <v>3</v>
      </c>
      <c r="Z1505" s="113">
        <f>'Data_in-situ'!EA90</f>
        <v>0.12316304575332541</v>
      </c>
      <c r="AA1505" s="113">
        <f>'Data_in-situ'!EB90</f>
        <v>1.532860435877279</v>
      </c>
      <c r="AB1505" s="46">
        <f>'Data_in-situ'!EC90</f>
        <v>3</v>
      </c>
      <c r="AC1505" s="113">
        <f>'Data_in-situ'!EE90</f>
        <v>0.37414709355805537</v>
      </c>
      <c r="AD1505" s="113">
        <f>'Data_in-situ'!EF90</f>
        <v>1.1112977251351353</v>
      </c>
      <c r="AE1505" s="46">
        <f>'Data_in-situ'!EG90</f>
        <v>3</v>
      </c>
      <c r="AF1505" s="113">
        <f>'Data_in-situ'!EN22</f>
        <v>-6.17</v>
      </c>
      <c r="AG1505" s="113">
        <f>'Data_in-situ'!EO22</f>
        <v>1.6</v>
      </c>
      <c r="AH1505" s="110">
        <f>'Data_in-situ'!EP22</f>
        <v>3</v>
      </c>
      <c r="AI1505" s="113">
        <f>'Data_in-situ'!ER22</f>
        <v>-40</v>
      </c>
      <c r="AJ1505" s="113">
        <f>'Data_in-situ'!ES22</f>
        <v>0</v>
      </c>
      <c r="AK1505" s="110">
        <f>'Data_in-situ'!ET22</f>
        <v>3</v>
      </c>
    </row>
    <row r="1506" spans="2:37" x14ac:dyDescent="0.3">
      <c r="B1506" s="24">
        <f>'Data_in-situ'!CA344</f>
        <v>-2413.5954295652286</v>
      </c>
      <c r="C1506" s="24">
        <f>'Data_in-situ'!CB344</f>
        <v>229.44356214196344</v>
      </c>
      <c r="D1506" s="46">
        <f>'Data_in-situ'!CC344</f>
        <v>3</v>
      </c>
      <c r="E1506" s="24">
        <f>'Data_in-situ'!CE344</f>
        <v>-1974.4510380611171</v>
      </c>
      <c r="F1506" s="24">
        <f>'Data_in-situ'!CF344</f>
        <v>445.58850967321683</v>
      </c>
      <c r="G1506" s="46">
        <f>'Data_in-situ'!CG344</f>
        <v>3</v>
      </c>
      <c r="H1506" s="24">
        <f>'Data_in-situ'!CN344</f>
        <v>3307.4596550267315</v>
      </c>
      <c r="I1506" s="24">
        <f>'Data_in-situ'!CO344</f>
        <v>917.36533177060426</v>
      </c>
      <c r="J1506" s="46">
        <f>'Data_in-situ'!CP344</f>
        <v>3</v>
      </c>
      <c r="K1506" s="24">
        <f>'Data_in-situ'!CR344</f>
        <v>2945.9965963075938</v>
      </c>
      <c r="L1506" s="24">
        <f>'Data_in-situ'!CS344</f>
        <v>650.63940348918732</v>
      </c>
      <c r="M1506" s="46">
        <f>'Data_in-situ'!CT344</f>
        <v>3</v>
      </c>
      <c r="N1506" s="24">
        <f>'Data_in-situ'!DA214</f>
        <v>-5500</v>
      </c>
      <c r="O1506" s="24">
        <f>'Data_in-situ'!DB214</f>
        <v>16498.111072774162</v>
      </c>
      <c r="P1506" s="46">
        <f>'Data_in-situ'!DC214</f>
        <v>3</v>
      </c>
      <c r="Q1506" s="24">
        <f>'Data_in-situ'!DE214</f>
        <v>-5500</v>
      </c>
      <c r="R1506" s="24">
        <f>'Data_in-situ'!DF214</f>
        <v>5242.2853686486578</v>
      </c>
      <c r="S1506" s="46">
        <f>'Data_in-situ'!DG214</f>
        <v>3</v>
      </c>
      <c r="T1506" s="113">
        <f>'Data_in-situ'!DN10</f>
        <v>80.930473720608589</v>
      </c>
      <c r="U1506" s="113">
        <f>'Data_in-situ'!DO10</f>
        <v>80.92749494901247</v>
      </c>
      <c r="V1506" s="46">
        <f>'Data_in-situ'!DP10</f>
        <v>3</v>
      </c>
      <c r="W1506" s="113">
        <f>'Data_in-situ'!DR10</f>
        <v>-0.14922022827514225</v>
      </c>
      <c r="X1506" s="113">
        <f>'Data_in-situ'!DS10</f>
        <v>1.9242287674114169</v>
      </c>
      <c r="Y1506" s="46">
        <f>'Data_in-situ'!DT10</f>
        <v>3</v>
      </c>
      <c r="Z1506" s="113">
        <f>'Data_in-situ'!EA112</f>
        <v>1.8193831442341308</v>
      </c>
      <c r="AA1506" s="113">
        <f>'Data_in-situ'!EB112</f>
        <v>10.461411201308758</v>
      </c>
      <c r="AB1506" s="46">
        <f>'Data_in-situ'!EC112</f>
        <v>3</v>
      </c>
      <c r="AC1506" s="113">
        <f>'Data_in-situ'!EE112</f>
        <v>1.4382096725045124</v>
      </c>
      <c r="AD1506" s="113">
        <f>'Data_in-situ'!EF112</f>
        <v>2.1474475011123628</v>
      </c>
      <c r="AE1506" s="46">
        <f>'Data_in-situ'!EG112</f>
        <v>3</v>
      </c>
      <c r="AF1506" s="113">
        <f>'Data_in-situ'!EN23</f>
        <v>-6.17</v>
      </c>
      <c r="AG1506" s="113">
        <f>'Data_in-situ'!EO23</f>
        <v>1.6</v>
      </c>
      <c r="AH1506" s="110">
        <f>'Data_in-situ'!EP23</f>
        <v>3</v>
      </c>
      <c r="AI1506" s="113">
        <f>'Data_in-situ'!ER23</f>
        <v>-14.475524475524482</v>
      </c>
      <c r="AJ1506" s="113">
        <f>'Data_in-situ'!ES23</f>
        <v>3.4828674393339902</v>
      </c>
      <c r="AK1506" s="110">
        <f>'Data_in-situ'!ET23</f>
        <v>3</v>
      </c>
    </row>
    <row r="1507" spans="2:37" x14ac:dyDescent="0.3">
      <c r="B1507" s="24">
        <f>'Data_in-situ'!CA345</f>
        <v>-1544.0509482067121</v>
      </c>
      <c r="C1507" s="24">
        <f>'Data_in-situ'!CB345</f>
        <v>837.60714709123818</v>
      </c>
      <c r="D1507" s="46">
        <f>'Data_in-situ'!CC345</f>
        <v>3</v>
      </c>
      <c r="E1507" s="24">
        <f>'Data_in-situ'!CE345</f>
        <v>-1178.558304384421</v>
      </c>
      <c r="F1507" s="24">
        <f>'Data_in-situ'!CF345</f>
        <v>1103.8093288412595</v>
      </c>
      <c r="G1507" s="46">
        <f>'Data_in-situ'!CG345</f>
        <v>3</v>
      </c>
      <c r="H1507" s="24">
        <f>'Data_in-situ'!CN345</f>
        <v>821.95693707396595</v>
      </c>
      <c r="I1507" s="24">
        <f>'Data_in-situ'!CO345</f>
        <v>860.95304933064097</v>
      </c>
      <c r="J1507" s="46">
        <f>'Data_in-situ'!CP345</f>
        <v>3</v>
      </c>
      <c r="K1507" s="24">
        <f>'Data_in-situ'!CR345</f>
        <v>1214.1076881752506</v>
      </c>
      <c r="L1507" s="24">
        <f>'Data_in-situ'!CS345</f>
        <v>590.58610863952993</v>
      </c>
      <c r="M1507" s="46">
        <f>'Data_in-situ'!CT345</f>
        <v>3</v>
      </c>
      <c r="N1507" s="24">
        <f>'Data_in-situ'!DA271</f>
        <v>-15026.412930085349</v>
      </c>
      <c r="O1507" s="24">
        <f>'Data_in-situ'!DB271</f>
        <v>12368.573830371251</v>
      </c>
      <c r="P1507" s="46">
        <f>'Data_in-situ'!DC271</f>
        <v>8</v>
      </c>
      <c r="Q1507" s="24">
        <f>'Data_in-situ'!DE271</f>
        <v>-14220.561807401995</v>
      </c>
      <c r="R1507" s="24">
        <f>'Data_in-situ'!DF271</f>
        <v>39407.251289691172</v>
      </c>
      <c r="S1507" s="46">
        <f>'Data_in-situ'!DG271</f>
        <v>8</v>
      </c>
      <c r="T1507" s="113">
        <f>'Data_in-situ'!DN11</f>
        <v>80.930473720608589</v>
      </c>
      <c r="U1507" s="113">
        <f>'Data_in-situ'!DO11</f>
        <v>80.92749494901247</v>
      </c>
      <c r="V1507" s="46">
        <f>'Data_in-situ'!DP11</f>
        <v>3</v>
      </c>
      <c r="W1507" s="113">
        <f>'Data_in-situ'!DR11</f>
        <v>2.5012626262626263</v>
      </c>
      <c r="X1507" s="113">
        <f>'Data_in-situ'!DS11</f>
        <v>2.3831947437160079</v>
      </c>
      <c r="Y1507" s="46">
        <f>'Data_in-situ'!DT11</f>
        <v>3</v>
      </c>
      <c r="Z1507" s="113">
        <f>'Data_in-situ'!EA113</f>
        <v>1.1072245992053424</v>
      </c>
      <c r="AA1507" s="113">
        <f>'Data_in-situ'!EB113</f>
        <v>6.3665159596536158</v>
      </c>
      <c r="AB1507" s="46">
        <f>'Data_in-situ'!EC113</f>
        <v>3</v>
      </c>
      <c r="AC1507" s="113">
        <f>'Data_in-situ'!EE113</f>
        <v>6.6685966855719432</v>
      </c>
      <c r="AD1507" s="113">
        <f>'Data_in-situ'!EF113</f>
        <v>9.9571443316883439</v>
      </c>
      <c r="AE1507" s="46">
        <f>'Data_in-situ'!EG113</f>
        <v>3</v>
      </c>
      <c r="AF1507" s="113">
        <f>'Data_in-situ'!EN24</f>
        <v>-6.17</v>
      </c>
      <c r="AG1507" s="113">
        <f>'Data_in-situ'!EO24</f>
        <v>1.6</v>
      </c>
      <c r="AH1507" s="110">
        <f>'Data_in-situ'!EP24</f>
        <v>3</v>
      </c>
      <c r="AI1507" s="113">
        <f>'Data_in-situ'!ER24</f>
        <v>-40</v>
      </c>
      <c r="AJ1507" s="113">
        <f>'Data_in-situ'!ES24</f>
        <v>0</v>
      </c>
      <c r="AK1507" s="110">
        <f>'Data_in-situ'!ET24</f>
        <v>3</v>
      </c>
    </row>
    <row r="1508" spans="2:37" x14ac:dyDescent="0.3">
      <c r="B1508" s="24">
        <f>'Data_in-situ'!CA346</f>
        <v>-998.69911894347672</v>
      </c>
      <c r="C1508" s="24">
        <f>'Data_in-situ'!CB346</f>
        <v>642.0310889187042</v>
      </c>
      <c r="D1508" s="46">
        <f>'Data_in-situ'!CC346</f>
        <v>3</v>
      </c>
      <c r="E1508" s="24">
        <f>'Data_in-situ'!CE346</f>
        <v>-1433.3817215486201</v>
      </c>
      <c r="F1508" s="24">
        <f>'Data_in-situ'!CF346</f>
        <v>1186.7128562544101</v>
      </c>
      <c r="G1508" s="46">
        <f>'Data_in-situ'!CG346</f>
        <v>3</v>
      </c>
      <c r="H1508" s="24">
        <f>'Data_in-situ'!CN346</f>
        <v>688.14999382936685</v>
      </c>
      <c r="I1508" s="24">
        <f>'Data_in-situ'!CO346</f>
        <v>827.80955818446023</v>
      </c>
      <c r="J1508" s="46">
        <f>'Data_in-situ'!CP346</f>
        <v>3</v>
      </c>
      <c r="K1508" s="24">
        <f>'Data_in-situ'!CR346</f>
        <v>910.58076613143794</v>
      </c>
      <c r="L1508" s="24">
        <f>'Data_in-situ'!CS346</f>
        <v>867.05035134873242</v>
      </c>
      <c r="M1508" s="46">
        <f>'Data_in-situ'!CT346</f>
        <v>3</v>
      </c>
      <c r="N1508" s="24">
        <f>'Data_in-situ'!DA339</f>
        <v>974.5318551588839</v>
      </c>
      <c r="O1508" s="24">
        <f>'Data_in-situ'!DB339</f>
        <v>469.46628575554143</v>
      </c>
      <c r="P1508" s="46">
        <f>'Data_in-situ'!DC339</f>
        <v>3</v>
      </c>
      <c r="Q1508" s="24">
        <f>'Data_in-situ'!DE339</f>
        <v>1843.0098898856381</v>
      </c>
      <c r="R1508" s="24">
        <f>'Data_in-situ'!DF339</f>
        <v>320.75875891326473</v>
      </c>
      <c r="S1508" s="46">
        <f>'Data_in-situ'!DG339</f>
        <v>3</v>
      </c>
      <c r="T1508" s="113">
        <f>'Data_in-situ'!DN12</f>
        <v>80.930473720608589</v>
      </c>
      <c r="U1508" s="113">
        <f>'Data_in-situ'!DO12</f>
        <v>80.92749494901247</v>
      </c>
      <c r="V1508" s="46">
        <f>'Data_in-situ'!DP12</f>
        <v>3</v>
      </c>
      <c r="W1508" s="113">
        <f>'Data_in-situ'!DR12</f>
        <v>-2.9015044386833213</v>
      </c>
      <c r="X1508" s="113">
        <f>'Data_in-situ'!DS12</f>
        <v>2.2386157093008641</v>
      </c>
      <c r="Y1508" s="46">
        <f>'Data_in-situ'!DT12</f>
        <v>3</v>
      </c>
      <c r="Z1508" s="113">
        <f>'Data_in-situ'!EA114</f>
        <v>0.53231951884872231</v>
      </c>
      <c r="AA1508" s="113">
        <f>'Data_in-situ'!EB114</f>
        <v>3.0608249806026997</v>
      </c>
      <c r="AB1508" s="46">
        <f>'Data_in-situ'!EC114</f>
        <v>3</v>
      </c>
      <c r="AC1508" s="113">
        <f>'Data_in-situ'!EE114</f>
        <v>2.1039743148589367</v>
      </c>
      <c r="AD1508" s="113">
        <f>'Data_in-situ'!EF114</f>
        <v>3.141526907533883</v>
      </c>
      <c r="AE1508" s="46">
        <f>'Data_in-situ'!EG114</f>
        <v>3</v>
      </c>
      <c r="AF1508" s="113">
        <f>'Data_in-situ'!EN25</f>
        <v>-6.17</v>
      </c>
      <c r="AG1508" s="113">
        <f>'Data_in-situ'!EO25</f>
        <v>1.6</v>
      </c>
      <c r="AH1508" s="110">
        <f>'Data_in-situ'!EP25</f>
        <v>3</v>
      </c>
      <c r="AI1508" s="113">
        <f>'Data_in-situ'!ER25</f>
        <v>-31.710108073744415</v>
      </c>
      <c r="AJ1508" s="113">
        <f>'Data_in-situ'!ES25</f>
        <v>5.4726041682006299</v>
      </c>
      <c r="AK1508" s="110">
        <f>'Data_in-situ'!ET25</f>
        <v>3</v>
      </c>
    </row>
    <row r="1509" spans="2:37" x14ac:dyDescent="0.3">
      <c r="B1509" s="24">
        <f>'Data_in-situ'!CA347</f>
        <v>-757.07836436037758</v>
      </c>
      <c r="C1509" s="24">
        <f>'Data_in-situ'!CB347</f>
        <v>753.46149598311479</v>
      </c>
      <c r="D1509" s="46">
        <f>'Data_in-situ'!CC347</f>
        <v>3</v>
      </c>
      <c r="E1509" s="24">
        <f>'Data_in-situ'!CE347</f>
        <v>-1751.9109930038685</v>
      </c>
      <c r="F1509" s="24">
        <f>'Data_in-situ'!CF347</f>
        <v>1655.7034599262597</v>
      </c>
      <c r="G1509" s="46">
        <f>'Data_in-situ'!CG347</f>
        <v>3</v>
      </c>
      <c r="H1509" s="24">
        <f>'Data_in-situ'!CN347</f>
        <v>764.61110425485197</v>
      </c>
      <c r="I1509" s="24">
        <f>'Data_in-situ'!CO347</f>
        <v>794.72773935581358</v>
      </c>
      <c r="J1509" s="46">
        <f>'Data_in-situ'!CP347</f>
        <v>3</v>
      </c>
      <c r="K1509" s="24">
        <f>'Data_in-situ'!CR347</f>
        <v>1696.1798584801293</v>
      </c>
      <c r="L1509" s="24">
        <f>'Data_in-situ'!CS347</f>
        <v>1486.728586277671</v>
      </c>
      <c r="M1509" s="46">
        <f>'Data_in-situ'!CT347</f>
        <v>3</v>
      </c>
      <c r="N1509" s="24">
        <f>'Data_in-situ'!DA340</f>
        <v>1621.7638807072944</v>
      </c>
      <c r="O1509" s="24">
        <f>'Data_in-situ'!DB340</f>
        <v>1098.3220496581039</v>
      </c>
      <c r="P1509" s="46">
        <f>'Data_in-situ'!DC340</f>
        <v>3</v>
      </c>
      <c r="Q1509" s="24">
        <f>'Data_in-situ'!DE340</f>
        <v>1729.967922835152</v>
      </c>
      <c r="R1509" s="24">
        <f>'Data_in-situ'!DF340</f>
        <v>370.59428586838715</v>
      </c>
      <c r="S1509" s="46">
        <f>'Data_in-situ'!DG340</f>
        <v>3</v>
      </c>
      <c r="T1509" s="113">
        <f>'Data_in-situ'!DN13</f>
        <v>80.930473720608589</v>
      </c>
      <c r="U1509" s="113">
        <f>'Data_in-situ'!DO13</f>
        <v>80.92749494901247</v>
      </c>
      <c r="V1509" s="46">
        <f>'Data_in-situ'!DP13</f>
        <v>3</v>
      </c>
      <c r="W1509" s="113">
        <f>'Data_in-situ'!DR13</f>
        <v>1.1401515151515151</v>
      </c>
      <c r="X1509" s="113">
        <f>'Data_in-situ'!DS13</f>
        <v>0.60565777356465134</v>
      </c>
      <c r="Y1509" s="46">
        <f>'Data_in-situ'!DT13</f>
        <v>3</v>
      </c>
      <c r="Z1509" s="113">
        <f>'Data_in-situ'!EA115</f>
        <v>0.58480172493239913</v>
      </c>
      <c r="AA1509" s="113">
        <f>'Data_in-situ'!EB115</f>
        <v>3.3625964575635288</v>
      </c>
      <c r="AB1509" s="46">
        <f>'Data_in-situ'!EC115</f>
        <v>3</v>
      </c>
      <c r="AC1509" s="113">
        <f>'Data_in-situ'!EE115</f>
        <v>2.8250547138481497</v>
      </c>
      <c r="AD1509" s="113">
        <f>'Data_in-situ'!EF115</f>
        <v>4.2182004486135707</v>
      </c>
      <c r="AE1509" s="46">
        <f>'Data_in-situ'!EG115</f>
        <v>3</v>
      </c>
      <c r="AF1509" s="113">
        <f>'Data_in-situ'!EN26</f>
        <v>-20.329999999999998</v>
      </c>
      <c r="AG1509" s="113">
        <f>'Data_in-situ'!EO26</f>
        <v>2.57</v>
      </c>
      <c r="AH1509" s="110">
        <f>'Data_in-situ'!EP26</f>
        <v>3</v>
      </c>
      <c r="AI1509" s="113">
        <f>'Data_in-situ'!ER26</f>
        <v>-40</v>
      </c>
      <c r="AJ1509" s="113">
        <f>'Data_in-situ'!ES26</f>
        <v>0</v>
      </c>
      <c r="AK1509" s="110">
        <f>'Data_in-situ'!ET26</f>
        <v>3</v>
      </c>
    </row>
    <row r="1510" spans="2:37" x14ac:dyDescent="0.3">
      <c r="B1510" s="24">
        <f>'Data_in-situ'!CA348</f>
        <v>-3659.9602825374368</v>
      </c>
      <c r="C1510" s="24">
        <f>'Data_in-situ'!CB348</f>
        <v>593.4851284595926</v>
      </c>
      <c r="D1510" s="46">
        <f>'Data_in-situ'!CC348</f>
        <v>3</v>
      </c>
      <c r="E1510" s="24">
        <f>'Data_in-situ'!CE348</f>
        <v>-2778.6457143135131</v>
      </c>
      <c r="F1510" s="24">
        <f>'Data_in-situ'!CF348</f>
        <v>942.7176783399251</v>
      </c>
      <c r="G1510" s="46">
        <f>'Data_in-situ'!CG348</f>
        <v>3</v>
      </c>
      <c r="H1510" s="24">
        <f>'Data_in-situ'!CN348</f>
        <v>6251.1658250934079</v>
      </c>
      <c r="I1510" s="24">
        <f>'Data_in-situ'!CO348</f>
        <v>266.97663228644535</v>
      </c>
      <c r="J1510" s="46">
        <f>'Data_in-situ'!CP348</f>
        <v>3</v>
      </c>
      <c r="K1510" s="24">
        <f>'Data_in-situ'!CR348</f>
        <v>7838.2827472249573</v>
      </c>
      <c r="L1510" s="24">
        <f>'Data_in-situ'!CS348</f>
        <v>2291.0465602792738</v>
      </c>
      <c r="M1510" s="46">
        <f>'Data_in-situ'!CT348</f>
        <v>3</v>
      </c>
      <c r="N1510" s="24">
        <f>'Data_in-situ'!DA341</f>
        <v>3237.7768635097909</v>
      </c>
      <c r="O1510" s="24">
        <f>'Data_in-situ'!DB341</f>
        <v>1588.2056081972487</v>
      </c>
      <c r="P1510" s="46">
        <f>'Data_in-situ'!DC341</f>
        <v>3</v>
      </c>
      <c r="Q1510" s="24">
        <f>'Data_in-situ'!DE341</f>
        <v>2606.0811330269848</v>
      </c>
      <c r="R1510" s="24">
        <f>'Data_in-situ'!DF341</f>
        <v>272.81038691279781</v>
      </c>
      <c r="S1510" s="46">
        <f>'Data_in-situ'!DG341</f>
        <v>3</v>
      </c>
      <c r="T1510" s="113">
        <f>'Data_in-situ'!DN14</f>
        <v>1212.2979432249506</v>
      </c>
      <c r="U1510" s="113">
        <f>'Data_in-situ'!DO14</f>
        <v>324.6860048502561</v>
      </c>
      <c r="V1510" s="46">
        <f>'Data_in-situ'!DP14</f>
        <v>9</v>
      </c>
      <c r="W1510" s="113">
        <f>'Data_in-situ'!DR14</f>
        <v>4.8030530526021593</v>
      </c>
      <c r="X1510" s="113">
        <f>'Data_in-situ'!DS14</f>
        <v>10.100613157809143</v>
      </c>
      <c r="Y1510" s="46">
        <f>'Data_in-situ'!DT14</f>
        <v>9</v>
      </c>
      <c r="Z1510" s="113">
        <f>'Data_in-situ'!EA116</f>
        <v>7.2261696923095198E-2</v>
      </c>
      <c r="AA1510" s="113">
        <f>'Data_in-situ'!EB116</f>
        <v>0.41550309400885854</v>
      </c>
      <c r="AB1510" s="46">
        <f>'Data_in-situ'!EC116</f>
        <v>3</v>
      </c>
      <c r="AC1510" s="113">
        <f>'Data_in-situ'!EE116</f>
        <v>1.5614749500456337</v>
      </c>
      <c r="AD1510" s="113">
        <f>'Data_in-situ'!EF116</f>
        <v>2.3314997414012506</v>
      </c>
      <c r="AE1510" s="46">
        <f>'Data_in-situ'!EG116</f>
        <v>3</v>
      </c>
      <c r="AF1510" s="113">
        <f>'Data_in-situ'!EN27</f>
        <v>-20.329999999999998</v>
      </c>
      <c r="AG1510" s="113">
        <f>'Data_in-situ'!EO27</f>
        <v>2.57</v>
      </c>
      <c r="AH1510" s="110">
        <f>'Data_in-situ'!EP27</f>
        <v>3</v>
      </c>
      <c r="AI1510" s="113">
        <f>'Data_in-situ'!ER27</f>
        <v>-14.475524475524482</v>
      </c>
      <c r="AJ1510" s="113">
        <f>'Data_in-situ'!ES27</f>
        <v>3.4828674393339902</v>
      </c>
      <c r="AK1510" s="110">
        <f>'Data_in-situ'!ET27</f>
        <v>3</v>
      </c>
    </row>
    <row r="1511" spans="2:37" x14ac:dyDescent="0.3">
      <c r="B1511" s="24">
        <f>'Data_in-situ'!CA349</f>
        <v>-4810.2335141920603</v>
      </c>
      <c r="C1511" s="24">
        <f>'Data_in-situ'!CB349</f>
        <v>507.91046480105655</v>
      </c>
      <c r="D1511" s="46">
        <f>'Data_in-situ'!CC349</f>
        <v>3</v>
      </c>
      <c r="E1511" s="24">
        <f>'Data_in-situ'!CE349</f>
        <v>-5079.1058870940042</v>
      </c>
      <c r="F1511" s="24">
        <f>'Data_in-situ'!CF349</f>
        <v>317.38779673465609</v>
      </c>
      <c r="G1511" s="46">
        <f>'Data_in-situ'!CG349</f>
        <v>3</v>
      </c>
      <c r="H1511" s="24">
        <f>'Data_in-situ'!CN349</f>
        <v>4762.0543630364182</v>
      </c>
      <c r="I1511" s="24">
        <f>'Data_in-situ'!CO349</f>
        <v>997.80477562796057</v>
      </c>
      <c r="J1511" s="46">
        <f>'Data_in-situ'!CP349</f>
        <v>3</v>
      </c>
      <c r="K1511" s="24">
        <f>'Data_in-situ'!CR349</f>
        <v>6143.1273286938667</v>
      </c>
      <c r="L1511" s="24">
        <f>'Data_in-situ'!CS349</f>
        <v>1144.5750412473667</v>
      </c>
      <c r="M1511" s="46">
        <f>'Data_in-situ'!CT349</f>
        <v>3</v>
      </c>
      <c r="N1511" s="24">
        <f>'Data_in-situ'!DA342</f>
        <v>-558.33453447411694</v>
      </c>
      <c r="O1511" s="24">
        <f>'Data_in-situ'!DB342</f>
        <v>748.7456945126147</v>
      </c>
      <c r="P1511" s="46">
        <f>'Data_in-situ'!DC342</f>
        <v>3</v>
      </c>
      <c r="Q1511" s="24">
        <f>'Data_in-situ'!DE342</f>
        <v>90.926369512445945</v>
      </c>
      <c r="R1511" s="24">
        <f>'Data_in-situ'!DF342</f>
        <v>382.25882942650333</v>
      </c>
      <c r="S1511" s="46">
        <f>'Data_in-situ'!DG342</f>
        <v>3</v>
      </c>
      <c r="T1511" s="113">
        <f>'Data_in-situ'!DN15</f>
        <v>2106.5008889916066</v>
      </c>
      <c r="U1511" s="113">
        <f>'Data_in-situ'!DO15</f>
        <v>550.27007995085796</v>
      </c>
      <c r="V1511" s="46">
        <f>'Data_in-situ'!DP15</f>
        <v>12</v>
      </c>
      <c r="W1511" s="113">
        <f>'Data_in-situ'!DR15</f>
        <v>-0.36946561943093542</v>
      </c>
      <c r="X1511" s="113">
        <f>'Data_in-situ'!DS15</f>
        <v>0.8584618328302922</v>
      </c>
      <c r="Y1511" s="46">
        <f>'Data_in-situ'!DT15</f>
        <v>12</v>
      </c>
      <c r="Z1511" s="113">
        <f>'Data_in-situ'!EA117</f>
        <v>1.0679983859531741</v>
      </c>
      <c r="AA1511" s="113">
        <f>'Data_in-situ'!EB117</f>
        <v>6.1409661363513326</v>
      </c>
      <c r="AB1511" s="46">
        <f>'Data_in-situ'!EC117</f>
        <v>3</v>
      </c>
      <c r="AC1511" s="113">
        <f>'Data_in-situ'!EE117</f>
        <v>1.9745850203174469</v>
      </c>
      <c r="AD1511" s="113">
        <f>'Data_in-situ'!EF117</f>
        <v>2.9483306562877405</v>
      </c>
      <c r="AE1511" s="46">
        <f>'Data_in-situ'!EG117</f>
        <v>3</v>
      </c>
      <c r="AF1511" s="113">
        <f>'Data_in-situ'!EN28</f>
        <v>-20.329999999999998</v>
      </c>
      <c r="AG1511" s="113">
        <f>'Data_in-situ'!EO28</f>
        <v>2.57</v>
      </c>
      <c r="AH1511" s="110">
        <f>'Data_in-situ'!EP28</f>
        <v>3</v>
      </c>
      <c r="AI1511" s="113">
        <f>'Data_in-situ'!ER28</f>
        <v>-40</v>
      </c>
      <c r="AJ1511" s="113">
        <f>'Data_in-situ'!ES28</f>
        <v>0</v>
      </c>
      <c r="AK1511" s="110">
        <f>'Data_in-situ'!ET28</f>
        <v>3</v>
      </c>
    </row>
    <row r="1512" spans="2:37" x14ac:dyDescent="0.3">
      <c r="B1512" s="24">
        <f>'Data_in-situ'!CA350</f>
        <v>-1686.1959873118906</v>
      </c>
      <c r="C1512" s="24">
        <f>'Data_in-situ'!CB350</f>
        <v>951.52416117583982</v>
      </c>
      <c r="D1512" s="46">
        <f>'Data_in-situ'!CC350</f>
        <v>3</v>
      </c>
      <c r="E1512" s="24">
        <f>'Data_in-situ'!CE350</f>
        <v>-4019.3433355883844</v>
      </c>
      <c r="F1512" s="24">
        <f>'Data_in-situ'!CF350</f>
        <v>183.63556153089817</v>
      </c>
      <c r="G1512" s="46">
        <f>'Data_in-situ'!CG350</f>
        <v>3</v>
      </c>
      <c r="H1512" s="24">
        <f>'Data_in-situ'!CN350</f>
        <v>2652.4797917890141</v>
      </c>
      <c r="I1512" s="24">
        <f>'Data_in-situ'!CO350</f>
        <v>1183.1159884255349</v>
      </c>
      <c r="J1512" s="46">
        <f>'Data_in-situ'!CP350</f>
        <v>3</v>
      </c>
      <c r="K1512" s="24">
        <f>'Data_in-situ'!CR350</f>
        <v>3491.7303920170334</v>
      </c>
      <c r="L1512" s="24">
        <f>'Data_in-situ'!CS350</f>
        <v>187.13801568192349</v>
      </c>
      <c r="M1512" s="46">
        <f>'Data_in-situ'!CT350</f>
        <v>3</v>
      </c>
      <c r="N1512" s="24">
        <f>'Data_in-situ'!DA343</f>
        <v>-586.111782169251</v>
      </c>
      <c r="O1512" s="24">
        <f>'Data_in-situ'!DB343</f>
        <v>363.91958912283872</v>
      </c>
      <c r="P1512" s="46">
        <f>'Data_in-situ'!DC343</f>
        <v>3</v>
      </c>
      <c r="Q1512" s="24">
        <f>'Data_in-situ'!DE343</f>
        <v>403.42941150773049</v>
      </c>
      <c r="R1512" s="24">
        <f>'Data_in-situ'!DF343</f>
        <v>463.61307598966926</v>
      </c>
      <c r="S1512" s="46">
        <f>'Data_in-situ'!DG343</f>
        <v>3</v>
      </c>
      <c r="T1512" s="113">
        <f>'Data_in-situ'!DN16</f>
        <v>382.09999892536933</v>
      </c>
      <c r="U1512" s="113">
        <f>'Data_in-situ'!DO16</f>
        <v>116.45849359259256</v>
      </c>
      <c r="V1512" s="46">
        <f>'Data_in-situ'!DP16</f>
        <v>9</v>
      </c>
      <c r="W1512" s="113">
        <f>'Data_in-situ'!DR16</f>
        <v>31.035112032198569</v>
      </c>
      <c r="X1512" s="113">
        <f>'Data_in-situ'!DS16</f>
        <v>65.358501102872523</v>
      </c>
      <c r="Y1512" s="46">
        <f>'Data_in-situ'!DT16</f>
        <v>9</v>
      </c>
      <c r="Z1512" s="113">
        <f>'Data_in-situ'!EA118</f>
        <v>0.35237503307278556</v>
      </c>
      <c r="AA1512" s="113">
        <f>'Data_in-situ'!EB118</f>
        <v>2.0261483293014391</v>
      </c>
      <c r="AB1512" s="46">
        <f>'Data_in-situ'!EC118</f>
        <v>3</v>
      </c>
      <c r="AC1512" s="113">
        <f>'Data_in-situ'!EE118</f>
        <v>2.9072916465010485</v>
      </c>
      <c r="AD1512" s="113">
        <f>'Data_in-situ'!EF118</f>
        <v>4.3409916513851954</v>
      </c>
      <c r="AE1512" s="46">
        <f>'Data_in-situ'!EG118</f>
        <v>3</v>
      </c>
      <c r="AF1512" s="113">
        <f>'Data_in-situ'!EN29</f>
        <v>-20.329999999999998</v>
      </c>
      <c r="AG1512" s="113">
        <f>'Data_in-situ'!EO29</f>
        <v>2.57</v>
      </c>
      <c r="AH1512" s="110">
        <f>'Data_in-situ'!EP29</f>
        <v>3</v>
      </c>
      <c r="AI1512" s="113">
        <f>'Data_in-situ'!ER29</f>
        <v>-31.710108073744415</v>
      </c>
      <c r="AJ1512" s="113">
        <f>'Data_in-situ'!ES29</f>
        <v>5.4726041682006299</v>
      </c>
      <c r="AK1512" s="110">
        <f>'Data_in-situ'!ET29</f>
        <v>3</v>
      </c>
    </row>
    <row r="1513" spans="2:37" x14ac:dyDescent="0.3">
      <c r="B1513" s="24">
        <f>'Data_in-situ'!CA351</f>
        <v>-7900.0449087308316</v>
      </c>
      <c r="C1513" s="24">
        <f>'Data_in-situ'!CB351</f>
        <v>1770.2016517990935</v>
      </c>
      <c r="D1513" s="46">
        <f>'Data_in-situ'!CC351</f>
        <v>3</v>
      </c>
      <c r="E1513" s="24">
        <f>'Data_in-situ'!CE351</f>
        <v>-3744.7097475457695</v>
      </c>
      <c r="F1513" s="24">
        <f>'Data_in-situ'!CF351</f>
        <v>2032.4000980341211</v>
      </c>
      <c r="G1513" s="46">
        <f>'Data_in-situ'!CG351</f>
        <v>3</v>
      </c>
      <c r="H1513" s="24">
        <f>'Data_in-situ'!CN351</f>
        <v>12362.931550325944</v>
      </c>
      <c r="I1513" s="24">
        <f>'Data_in-situ'!CO351</f>
        <v>2275.2743302978161</v>
      </c>
      <c r="J1513" s="46">
        <f>'Data_in-situ'!CP351</f>
        <v>3</v>
      </c>
      <c r="K1513" s="24">
        <f>'Data_in-situ'!CR351</f>
        <v>15082.727310832692</v>
      </c>
      <c r="L1513" s="24">
        <f>'Data_in-situ'!CS351</f>
        <v>2876.4150226571255</v>
      </c>
      <c r="M1513" s="46">
        <f>'Data_in-situ'!CT351</f>
        <v>3</v>
      </c>
      <c r="N1513" s="24">
        <f>'Data_in-situ'!DA344</f>
        <v>893.86422546150288</v>
      </c>
      <c r="O1513" s="24">
        <f>'Data_in-situ'!DB344</f>
        <v>1145.1881990612055</v>
      </c>
      <c r="P1513" s="46">
        <f>'Data_in-situ'!DC344</f>
        <v>3</v>
      </c>
      <c r="Q1513" s="24">
        <f>'Data_in-situ'!DE344</f>
        <v>971.54555824647673</v>
      </c>
      <c r="R1513" s="24">
        <f>'Data_in-situ'!DF344</f>
        <v>320.49742821623516</v>
      </c>
      <c r="S1513" s="46">
        <f>'Data_in-situ'!DG344</f>
        <v>3</v>
      </c>
      <c r="T1513" s="113">
        <f>'Data_in-situ'!DN17</f>
        <v>60.942159705621961</v>
      </c>
      <c r="U1513" s="113">
        <f>'Data_in-situ'!DO17</f>
        <v>16.400357502575496</v>
      </c>
      <c r="V1513" s="46">
        <f>'Data_in-situ'!DP17</f>
        <v>12</v>
      </c>
      <c r="W1513" s="113">
        <f>'Data_in-situ'!DR17</f>
        <v>31.035112032198569</v>
      </c>
      <c r="X1513" s="113">
        <f>'Data_in-situ'!DS17</f>
        <v>65.358501102872523</v>
      </c>
      <c r="Y1513" s="46">
        <f>'Data_in-situ'!DT17</f>
        <v>12</v>
      </c>
      <c r="Z1513" s="113">
        <f>'Data_in-situ'!EA119</f>
        <v>0.2322697401099488</v>
      </c>
      <c r="AA1513" s="113">
        <f>'Data_in-situ'!EB119</f>
        <v>1.3355456593141879</v>
      </c>
      <c r="AB1513" s="46">
        <f>'Data_in-situ'!EC119</f>
        <v>3</v>
      </c>
      <c r="AC1513" s="113">
        <f>'Data_in-situ'!EE119</f>
        <v>3.1939260341842504</v>
      </c>
      <c r="AD1513" s="113">
        <f>'Data_in-situ'!EF119</f>
        <v>4.7689767437752844</v>
      </c>
      <c r="AE1513" s="46">
        <f>'Data_in-situ'!EG119</f>
        <v>3</v>
      </c>
      <c r="AF1513" s="113">
        <f>'Data_in-situ'!EN32</f>
        <v>-15.3</v>
      </c>
      <c r="AG1513" s="113">
        <f>'Data_in-situ'!EO32</f>
        <v>3.2</v>
      </c>
      <c r="AH1513" s="110">
        <f>'Data_in-situ'!EP32</f>
        <v>6</v>
      </c>
      <c r="AI1513" s="113">
        <f>'Data_in-situ'!ER32</f>
        <v>-47.7</v>
      </c>
      <c r="AJ1513" s="113">
        <f>'Data_in-situ'!ES32</f>
        <v>6.2</v>
      </c>
      <c r="AK1513" s="110">
        <f>'Data_in-situ'!ET32</f>
        <v>6</v>
      </c>
    </row>
    <row r="1514" spans="2:37" x14ac:dyDescent="0.3">
      <c r="B1514" s="24">
        <f>'Data_in-situ'!CA352</f>
        <v>-10050.787546565918</v>
      </c>
      <c r="C1514" s="24">
        <f>'Data_in-situ'!CB352</f>
        <v>1612.547694762013</v>
      </c>
      <c r="D1514" s="46">
        <f>'Data_in-situ'!CC352</f>
        <v>3</v>
      </c>
      <c r="E1514" s="24">
        <f>'Data_in-situ'!CE352</f>
        <v>-12603.385992432437</v>
      </c>
      <c r="F1514" s="24">
        <f>'Data_in-situ'!CF352</f>
        <v>2731.1470412581525</v>
      </c>
      <c r="G1514" s="46">
        <f>'Data_in-situ'!CG352</f>
        <v>3</v>
      </c>
      <c r="H1514" s="24">
        <f>'Data_in-situ'!CN352</f>
        <v>9984.9658644122937</v>
      </c>
      <c r="I1514" s="24">
        <f>'Data_in-situ'!CO352</f>
        <v>333.56620847738458</v>
      </c>
      <c r="J1514" s="46">
        <f>'Data_in-situ'!CP352</f>
        <v>3</v>
      </c>
      <c r="K1514" s="24">
        <f>'Data_in-situ'!CR352</f>
        <v>15408.337460950899</v>
      </c>
      <c r="L1514" s="24">
        <f>'Data_in-situ'!CS352</f>
        <v>3231.8122751183146</v>
      </c>
      <c r="M1514" s="46">
        <f>'Data_in-situ'!CT352</f>
        <v>3</v>
      </c>
      <c r="N1514" s="24">
        <f>'Data_in-situ'!DA345</f>
        <v>-722.09401113274612</v>
      </c>
      <c r="O1514" s="24">
        <f>'Data_in-situ'!DB345</f>
        <v>355.55395504217751</v>
      </c>
      <c r="P1514" s="46">
        <f>'Data_in-situ'!DC345</f>
        <v>3</v>
      </c>
      <c r="Q1514" s="24">
        <f>'Data_in-situ'!DE345</f>
        <v>35.549383790829552</v>
      </c>
      <c r="R1514" s="24">
        <f>'Data_in-situ'!DF345</f>
        <v>98.404402630841858</v>
      </c>
      <c r="S1514" s="46">
        <f>'Data_in-situ'!DG345</f>
        <v>3</v>
      </c>
      <c r="T1514" s="113">
        <f>'Data_in-situ'!DN18</f>
        <v>76.598647152414557</v>
      </c>
      <c r="U1514" s="113">
        <f>'Data_in-situ'!DO18</f>
        <v>97.385019539931207</v>
      </c>
      <c r="V1514" s="46">
        <f>'Data_in-situ'!DP18</f>
        <v>3</v>
      </c>
      <c r="W1514" s="113">
        <f>'Data_in-situ'!DR18</f>
        <v>1.2881413805511519</v>
      </c>
      <c r="X1514" s="113">
        <f>'Data_in-situ'!DS18</f>
        <v>5.0439358355151063</v>
      </c>
      <c r="Y1514" s="46">
        <f>'Data_in-situ'!DT18</f>
        <v>3</v>
      </c>
      <c r="Z1514" s="113">
        <f>'Data_in-situ'!EA120</f>
        <v>7.2775325769365226E-2</v>
      </c>
      <c r="AA1514" s="113">
        <f>'Data_in-situ'!EB120</f>
        <v>0.41845644805235027</v>
      </c>
      <c r="AB1514" s="46">
        <f>'Data_in-situ'!EC120</f>
        <v>3</v>
      </c>
      <c r="AC1514" s="113">
        <f>'Data_in-situ'!EE120</f>
        <v>1.917612896672684</v>
      </c>
      <c r="AD1514" s="113">
        <f>'Data_in-situ'!EF120</f>
        <v>2.8632633348164851</v>
      </c>
      <c r="AE1514" s="46">
        <f>'Data_in-situ'!EG120</f>
        <v>3</v>
      </c>
      <c r="AF1514" s="113">
        <f>'Data_in-situ'!EN33</f>
        <v>-9</v>
      </c>
      <c r="AG1514" s="113">
        <f>'Data_in-situ'!EO33</f>
        <v>1.9</v>
      </c>
      <c r="AH1514" s="110">
        <f>'Data_in-situ'!EP33</f>
        <v>3</v>
      </c>
      <c r="AI1514" s="113">
        <f>'Data_in-situ'!ER33</f>
        <v>-34.51</v>
      </c>
      <c r="AJ1514" s="113">
        <f>'Data_in-situ'!ES33</f>
        <v>4.08</v>
      </c>
      <c r="AK1514" s="110">
        <f>'Data_in-situ'!ET33</f>
        <v>3</v>
      </c>
    </row>
    <row r="1515" spans="2:37" x14ac:dyDescent="0.3">
      <c r="B1515" s="24">
        <f>'Data_in-situ'!CA353</f>
        <v>-3420.20536553287</v>
      </c>
      <c r="C1515" s="24">
        <f>'Data_in-situ'!CB353</f>
        <v>2581.3476538531618</v>
      </c>
      <c r="D1515" s="46">
        <f>'Data_in-situ'!CC353</f>
        <v>3</v>
      </c>
      <c r="E1515" s="24">
        <f>'Data_in-situ'!CE353</f>
        <v>-7240.463722401516</v>
      </c>
      <c r="F1515" s="24">
        <f>'Data_in-situ'!CF353</f>
        <v>1430.8247194500545</v>
      </c>
      <c r="G1515" s="46">
        <f>'Data_in-situ'!CG353</f>
        <v>3</v>
      </c>
      <c r="H1515" s="24">
        <f>'Data_in-situ'!CN353</f>
        <v>3050.2701206745783</v>
      </c>
      <c r="I1515" s="24">
        <f>'Data_in-situ'!CO353</f>
        <v>3364.4645178084379</v>
      </c>
      <c r="J1515" s="46">
        <f>'Data_in-situ'!CP353</f>
        <v>3</v>
      </c>
      <c r="K1515" s="24">
        <f>'Data_in-situ'!CR353</f>
        <v>7768.1278671058117</v>
      </c>
      <c r="L1515" s="24">
        <f>'Data_in-situ'!CS353</f>
        <v>631.5369644231871</v>
      </c>
      <c r="M1515" s="46">
        <f>'Data_in-situ'!CT353</f>
        <v>3</v>
      </c>
      <c r="N1515" s="24">
        <f>'Data_in-situ'!DA346</f>
        <v>-310.54912511410987</v>
      </c>
      <c r="O1515" s="24">
        <f>'Data_in-situ'!DB346</f>
        <v>752.08332336197429</v>
      </c>
      <c r="P1515" s="46">
        <f>'Data_in-situ'!DC346</f>
        <v>3</v>
      </c>
      <c r="Q1515" s="24">
        <f>'Data_in-situ'!DE346</f>
        <v>-522.80095541718219</v>
      </c>
      <c r="R1515" s="24">
        <f>'Data_in-situ'!DF346</f>
        <v>196.66566541741983</v>
      </c>
      <c r="S1515" s="46">
        <f>'Data_in-situ'!DG346</f>
        <v>3</v>
      </c>
      <c r="T1515" s="113">
        <f>'Data_in-situ'!DN19</f>
        <v>76.598647152414557</v>
      </c>
      <c r="U1515" s="113">
        <f>'Data_in-situ'!DO19</f>
        <v>97.385019539931207</v>
      </c>
      <c r="V1515" s="46">
        <f>'Data_in-situ'!DP19</f>
        <v>3</v>
      </c>
      <c r="W1515" s="113">
        <f>'Data_in-situ'!DR19</f>
        <v>-0.99087798503934754</v>
      </c>
      <c r="X1515" s="113">
        <f>'Data_in-situ'!DS19</f>
        <v>2.1111905341845492</v>
      </c>
      <c r="Y1515" s="46">
        <f>'Data_in-situ'!DT19</f>
        <v>3</v>
      </c>
      <c r="Z1515" s="113">
        <f>'Data_in-situ'!EA121</f>
        <v>0.31634988548724063</v>
      </c>
      <c r="AA1515" s="113">
        <f>'Data_in-situ'!EB121</f>
        <v>1.8190045599010327</v>
      </c>
      <c r="AB1515" s="46">
        <f>'Data_in-situ'!EC121</f>
        <v>3</v>
      </c>
      <c r="AC1515" s="113">
        <f>'Data_in-situ'!EE121</f>
        <v>3.5426919892100956</v>
      </c>
      <c r="AD1515" s="113">
        <f>'Data_in-situ'!EF121</f>
        <v>5.2897329262094335</v>
      </c>
      <c r="AE1515" s="46">
        <f>'Data_in-situ'!EG121</f>
        <v>3</v>
      </c>
      <c r="AF1515" s="113">
        <f>'Data_in-situ'!EN90</f>
        <v>-26.8</v>
      </c>
      <c r="AG1515" s="113">
        <f>'Data_in-situ'!EO90</f>
        <v>10.920903486534662</v>
      </c>
      <c r="AH1515" s="110">
        <f>'Data_in-situ'!EP90</f>
        <v>3</v>
      </c>
      <c r="AI1515" s="113">
        <f>'Data_in-situ'!ER90</f>
        <v>-62.1</v>
      </c>
      <c r="AJ1515" s="113">
        <f>'Data_in-situ'!ES90</f>
        <v>14.085152722920959</v>
      </c>
      <c r="AK1515" s="110">
        <f>'Data_in-situ'!ET90</f>
        <v>3</v>
      </c>
    </row>
    <row r="1516" spans="2:37" x14ac:dyDescent="0.3">
      <c r="B1516" s="24">
        <f>'Data_in-situ'!CA354</f>
        <v>-5163.6593652646679</v>
      </c>
      <c r="C1516" s="24">
        <f>'Data_in-situ'!CB354</f>
        <v>1258.9541681504393</v>
      </c>
      <c r="D1516" s="46">
        <f>'Data_in-situ'!CC354</f>
        <v>3</v>
      </c>
      <c r="E1516" s="24">
        <f>'Data_in-situ'!CE354</f>
        <v>-11281.753283847371</v>
      </c>
      <c r="F1516" s="24">
        <f>'Data_in-situ'!CF354</f>
        <v>4199.848101278134</v>
      </c>
      <c r="G1516" s="46">
        <f>'Data_in-situ'!CG354</f>
        <v>3</v>
      </c>
      <c r="H1516" s="24">
        <f>'Data_in-situ'!CN354</f>
        <v>3223.0754152425534</v>
      </c>
      <c r="I1516" s="24">
        <f>'Data_in-situ'!CO354</f>
        <v>927.04451000195218</v>
      </c>
      <c r="J1516" s="46">
        <f>'Data_in-situ'!CP354</f>
        <v>3</v>
      </c>
      <c r="K1516" s="24">
        <f>'Data_in-situ'!CR354</f>
        <v>10128.851360772116</v>
      </c>
      <c r="L1516" s="24">
        <f>'Data_in-situ'!CS354</f>
        <v>2657.7211591793016</v>
      </c>
      <c r="M1516" s="46">
        <f>'Data_in-situ'!CT354</f>
        <v>3</v>
      </c>
      <c r="N1516" s="24">
        <f>'Data_in-situ'!DA347</f>
        <v>7.5327398944743891</v>
      </c>
      <c r="O1516" s="24">
        <f>'Data_in-situ'!DB347</f>
        <v>385.89969557971807</v>
      </c>
      <c r="P1516" s="46">
        <f>'Data_in-situ'!DC347</f>
        <v>3</v>
      </c>
      <c r="Q1516" s="24">
        <f>'Data_in-situ'!DE347</f>
        <v>-55.731134523739229</v>
      </c>
      <c r="R1516" s="24">
        <f>'Data_in-situ'!DF347</f>
        <v>131.30398661871592</v>
      </c>
      <c r="S1516" s="46">
        <f>'Data_in-situ'!DG347</f>
        <v>3</v>
      </c>
      <c r="T1516" s="113">
        <f>'Data_in-situ'!DN20</f>
        <v>3.3104450261339187</v>
      </c>
      <c r="U1516" s="113">
        <f>'Data_in-situ'!DO20</f>
        <v>3.2225601192052182</v>
      </c>
      <c r="V1516" s="46">
        <f>'Data_in-situ'!DP20</f>
        <v>3</v>
      </c>
      <c r="W1516" s="113">
        <f>'Data_in-situ'!DR20</f>
        <v>0.97256818109938847</v>
      </c>
      <c r="X1516" s="113">
        <f>'Data_in-situ'!DS20</f>
        <v>5.0056318929545522</v>
      </c>
      <c r="Y1516" s="46">
        <f>'Data_in-situ'!DT20</f>
        <v>3</v>
      </c>
      <c r="Z1516" s="113">
        <f>'Data_in-situ'!EA122</f>
        <v>2.1678509076928559E-2</v>
      </c>
      <c r="AA1516" s="113">
        <f>'Data_in-situ'!EB122</f>
        <v>0.12465092820265757</v>
      </c>
      <c r="AB1516" s="46">
        <f>'Data_in-situ'!EC122</f>
        <v>3</v>
      </c>
      <c r="AC1516" s="113">
        <f>'Data_in-situ'!EE122</f>
        <v>1.4195226818596671</v>
      </c>
      <c r="AD1516" s="113">
        <f>'Data_in-situ'!EF122</f>
        <v>2.1195452194556825</v>
      </c>
      <c r="AE1516" s="46">
        <f>'Data_in-situ'!EG122</f>
        <v>3</v>
      </c>
      <c r="AF1516" s="113">
        <f>'Data_in-situ'!EN100</f>
        <v>-5.833333333333333</v>
      </c>
      <c r="AG1516" s="113">
        <f>'Data_in-situ'!EO100</f>
        <v>5.3385391260156565</v>
      </c>
      <c r="AH1516" s="110">
        <f>'Data_in-situ'!EP100</f>
        <v>4</v>
      </c>
      <c r="AI1516" s="113">
        <f>'Data_in-situ'!ER100</f>
        <v>-19.5</v>
      </c>
      <c r="AJ1516" s="113">
        <f>'Data_in-situ'!ES100</f>
        <v>4.0620192023179804</v>
      </c>
      <c r="AK1516" s="110">
        <f>'Data_in-situ'!ET100</f>
        <v>4</v>
      </c>
    </row>
    <row r="1517" spans="2:37" x14ac:dyDescent="0.3">
      <c r="B1517" s="24">
        <f>'Data_in-situ'!CA355</f>
        <v>-6328.9988329119469</v>
      </c>
      <c r="C1517" s="24">
        <f>'Data_in-situ'!CB355</f>
        <v>1543.0761204956746</v>
      </c>
      <c r="D1517" s="46">
        <f>'Data_in-situ'!CC355</f>
        <v>3</v>
      </c>
      <c r="E1517" s="24">
        <f>'Data_in-situ'!CE355</f>
        <v>-6508.7452571599624</v>
      </c>
      <c r="F1517" s="24">
        <f>'Data_in-situ'!CF355</f>
        <v>2423.0047158648849</v>
      </c>
      <c r="G1517" s="46">
        <f>'Data_in-situ'!CG355</f>
        <v>3</v>
      </c>
      <c r="H1517" s="24">
        <f>'Data_in-situ'!CN355</f>
        <v>5111.9658604723854</v>
      </c>
      <c r="I1517" s="24">
        <f>'Data_in-situ'!CO355</f>
        <v>1470.3409867037487</v>
      </c>
      <c r="J1517" s="46">
        <f>'Data_in-situ'!CP355</f>
        <v>3</v>
      </c>
      <c r="K1517" s="24">
        <f>'Data_in-situ'!CR355</f>
        <v>5566.4186230898367</v>
      </c>
      <c r="L1517" s="24">
        <f>'Data_in-situ'!CS355</f>
        <v>1460.579095151006</v>
      </c>
      <c r="M1517" s="46">
        <f>'Data_in-situ'!CT355</f>
        <v>3</v>
      </c>
      <c r="N1517" s="24">
        <f>'Data_in-situ'!DA348</f>
        <v>2591.2055425559711</v>
      </c>
      <c r="O1517" s="24">
        <f>'Data_in-situ'!DB348</f>
        <v>1600.5466590475353</v>
      </c>
      <c r="P1517" s="46">
        <f>'Data_in-situ'!DC348</f>
        <v>3</v>
      </c>
      <c r="Q1517" s="24">
        <f>'Data_in-situ'!DE348</f>
        <v>5059.6370329114443</v>
      </c>
      <c r="R1517" s="24">
        <f>'Data_in-situ'!DF348</f>
        <v>1113.5441452092068</v>
      </c>
      <c r="S1517" s="46">
        <f>'Data_in-situ'!DG348</f>
        <v>3</v>
      </c>
      <c r="T1517" s="113">
        <f>'Data_in-situ'!DN21</f>
        <v>3.3104450261339187</v>
      </c>
      <c r="U1517" s="113">
        <f>'Data_in-situ'!DO21</f>
        <v>3.2225601192052182</v>
      </c>
      <c r="V1517" s="46">
        <f>'Data_in-situ'!DP21</f>
        <v>3</v>
      </c>
      <c r="W1517" s="113">
        <f>'Data_in-situ'!DR21</f>
        <v>-0.74812937007645264</v>
      </c>
      <c r="X1517" s="113">
        <f>'Data_in-situ'!DS21</f>
        <v>2.0565387107113464</v>
      </c>
      <c r="Y1517" s="46">
        <f>'Data_in-situ'!DT21</f>
        <v>3</v>
      </c>
      <c r="Z1517" s="113">
        <f>'Data_in-situ'!EA123</f>
        <v>6.2823434467833755E-2</v>
      </c>
      <c r="AA1517" s="113">
        <f>'Data_in-situ'!EB123</f>
        <v>0.36123330213831362</v>
      </c>
      <c r="AB1517" s="46">
        <f>'Data_in-situ'!EC123</f>
        <v>3</v>
      </c>
      <c r="AC1517" s="113">
        <f>'Data_in-situ'!EE123</f>
        <v>2.4682312753968088</v>
      </c>
      <c r="AD1517" s="113">
        <f>'Data_in-situ'!EF123</f>
        <v>3.6854133203596762</v>
      </c>
      <c r="AE1517" s="46">
        <f>'Data_in-situ'!EG123</f>
        <v>3</v>
      </c>
      <c r="AF1517" s="113">
        <f>'Data_in-situ'!EN101</f>
        <v>-17.5</v>
      </c>
      <c r="AG1517" s="113">
        <f>'Data_in-situ'!EO101</f>
        <v>4.9497474683058327</v>
      </c>
      <c r="AH1517" s="110">
        <f>'Data_in-situ'!EP101</f>
        <v>4</v>
      </c>
      <c r="AI1517" s="113">
        <f>'Data_in-situ'!ER101</f>
        <v>-34</v>
      </c>
      <c r="AJ1517" s="113">
        <f>'Data_in-situ'!ES101</f>
        <v>11.313708498984761</v>
      </c>
      <c r="AK1517" s="110">
        <f>'Data_in-situ'!ET101</f>
        <v>4</v>
      </c>
    </row>
    <row r="1518" spans="2:37" x14ac:dyDescent="0.3">
      <c r="B1518" s="24">
        <f>'Data_in-situ'!CA356</f>
        <v>-6328.9988329119469</v>
      </c>
      <c r="C1518" s="24">
        <f>'Data_in-situ'!CB356</f>
        <v>1543.0761204956746</v>
      </c>
      <c r="D1518" s="46">
        <f>'Data_in-situ'!CC356</f>
        <v>3</v>
      </c>
      <c r="E1518" s="24">
        <f>'Data_in-situ'!CE356</f>
        <v>-4475.6377749118492</v>
      </c>
      <c r="F1518" s="24">
        <f>'Data_in-situ'!CF356</f>
        <v>1666.1416304755389</v>
      </c>
      <c r="G1518" s="46">
        <f>'Data_in-situ'!CG356</f>
        <v>3</v>
      </c>
      <c r="H1518" s="24">
        <f>'Data_in-situ'!CN356</f>
        <v>5111.9658604723854</v>
      </c>
      <c r="I1518" s="24">
        <f>'Data_in-situ'!CO356</f>
        <v>1470.3409867037487</v>
      </c>
      <c r="J1518" s="46">
        <f>'Data_in-situ'!CP356</f>
        <v>3</v>
      </c>
      <c r="K1518" s="24">
        <f>'Data_in-situ'!CR356</f>
        <v>5547.6173892807064</v>
      </c>
      <c r="L1518" s="24">
        <f>'Data_in-situ'!CS356</f>
        <v>1455.6458174146255</v>
      </c>
      <c r="M1518" s="46">
        <f>'Data_in-situ'!CT356</f>
        <v>3</v>
      </c>
      <c r="N1518" s="24">
        <f>'Data_in-situ'!DA349</f>
        <v>-48.179151155642103</v>
      </c>
      <c r="O1518" s="24">
        <f>'Data_in-situ'!DB349</f>
        <v>1897.3884326053135</v>
      </c>
      <c r="P1518" s="46">
        <f>'Data_in-situ'!DC349</f>
        <v>3</v>
      </c>
      <c r="Q1518" s="24">
        <f>'Data_in-situ'!DE349</f>
        <v>1064.0214415998626</v>
      </c>
      <c r="R1518" s="24">
        <f>'Data_in-situ'!DF349</f>
        <v>385.19113146523358</v>
      </c>
      <c r="S1518" s="46">
        <f>'Data_in-situ'!DG349</f>
        <v>3</v>
      </c>
      <c r="T1518" s="113">
        <f>'Data_in-situ'!DN22</f>
        <v>69.189192430383997</v>
      </c>
      <c r="U1518" s="113">
        <f>'Data_in-situ'!DO22</f>
        <v>105.7403076411135</v>
      </c>
      <c r="V1518" s="46">
        <f>'Data_in-situ'!DP22</f>
        <v>3</v>
      </c>
      <c r="W1518" s="113">
        <f>'Data_in-situ'!DR22</f>
        <v>0.20126042349248477</v>
      </c>
      <c r="X1518" s="113">
        <f>'Data_in-situ'!DS22</f>
        <v>3.7673237667559927</v>
      </c>
      <c r="Y1518" s="46">
        <f>'Data_in-situ'!DT22</f>
        <v>3</v>
      </c>
      <c r="Z1518" s="113">
        <f>'Data_in-situ'!EA124</f>
        <v>2.0013214586575439</v>
      </c>
      <c r="AA1518" s="113">
        <f>'Data_in-situ'!EB124</f>
        <v>11.507552321439633</v>
      </c>
      <c r="AB1518" s="46">
        <f>'Data_in-situ'!EC124</f>
        <v>3</v>
      </c>
      <c r="AC1518" s="113">
        <f>'Data_in-situ'!EE124</f>
        <v>3.1161209570931105</v>
      </c>
      <c r="AD1518" s="113">
        <f>'Data_in-situ'!EF124</f>
        <v>4.6528029190767866</v>
      </c>
      <c r="AE1518" s="46">
        <f>'Data_in-situ'!EG124</f>
        <v>3</v>
      </c>
      <c r="AF1518" s="113">
        <f>'Data_in-situ'!EN102</f>
        <v>-10</v>
      </c>
      <c r="AG1518" s="113">
        <f>'Data_in-situ'!EO102</f>
        <v>5.6568542494923806</v>
      </c>
      <c r="AH1518" s="110">
        <f>'Data_in-situ'!EP102</f>
        <v>4</v>
      </c>
      <c r="AI1518" s="113">
        <f>'Data_in-situ'!ER102</f>
        <v>-16.5</v>
      </c>
      <c r="AJ1518" s="113">
        <f>'Data_in-situ'!ES102</f>
        <v>3.5355339059327378</v>
      </c>
      <c r="AK1518" s="110">
        <f>'Data_in-situ'!ET102</f>
        <v>4</v>
      </c>
    </row>
    <row r="1519" spans="2:37" x14ac:dyDescent="0.3">
      <c r="B1519" s="24">
        <f>'Data_in-situ'!CA357</f>
        <v>-6053.2911236122554</v>
      </c>
      <c r="C1519" s="24">
        <f>'Data_in-situ'!CB357</f>
        <v>1475.8556969044168</v>
      </c>
      <c r="D1519" s="46">
        <f>'Data_in-situ'!CC357</f>
        <v>3</v>
      </c>
      <c r="E1519" s="24">
        <f>'Data_in-situ'!CE357</f>
        <v>-11865.719502913866</v>
      </c>
      <c r="F1519" s="24">
        <f>'Data_in-situ'!CF357</f>
        <v>4417.2406780036381</v>
      </c>
      <c r="G1519" s="46">
        <f>'Data_in-situ'!CG357</f>
        <v>3</v>
      </c>
      <c r="H1519" s="24">
        <f>'Data_in-situ'!CN357</f>
        <v>4090.62426273851</v>
      </c>
      <c r="I1519" s="24">
        <f>'Data_in-situ'!CO357</f>
        <v>1176.575250867078</v>
      </c>
      <c r="J1519" s="46">
        <f>'Data_in-situ'!CP357</f>
        <v>3</v>
      </c>
      <c r="K1519" s="24">
        <f>'Data_in-situ'!CR357</f>
        <v>9751.573269002236</v>
      </c>
      <c r="L1519" s="24">
        <f>'Data_in-situ'!CS357</f>
        <v>2558.7267192692693</v>
      </c>
      <c r="M1519" s="46">
        <f>'Data_in-situ'!CT357</f>
        <v>3</v>
      </c>
      <c r="N1519" s="24">
        <f>'Data_in-situ'!DA350</f>
        <v>966.28380447712357</v>
      </c>
      <c r="O1519" s="24">
        <f>'Data_in-situ'!DB350</f>
        <v>2670.8132341684627</v>
      </c>
      <c r="P1519" s="46">
        <f>'Data_in-situ'!DC350</f>
        <v>3</v>
      </c>
      <c r="Q1519" s="24">
        <f>'Data_in-situ'!DE350</f>
        <v>-527.61294357135102</v>
      </c>
      <c r="R1519" s="24">
        <f>'Data_in-situ'!DF350</f>
        <v>119.07629993106522</v>
      </c>
      <c r="S1519" s="46">
        <f>'Data_in-situ'!DG350</f>
        <v>3</v>
      </c>
      <c r="T1519" s="113">
        <f>'Data_in-situ'!DN23</f>
        <v>69.189192430383997</v>
      </c>
      <c r="U1519" s="113">
        <f>'Data_in-situ'!DO23</f>
        <v>105.7403076411135</v>
      </c>
      <c r="V1519" s="46">
        <f>'Data_in-situ'!DP23</f>
        <v>3</v>
      </c>
      <c r="W1519" s="113">
        <f>'Data_in-situ'!DR23</f>
        <v>3.6083118783295469</v>
      </c>
      <c r="X1519" s="113">
        <f>'Data_in-situ'!DS23</f>
        <v>8.7762753596190368</v>
      </c>
      <c r="Y1519" s="46">
        <f>'Data_in-situ'!DT23</f>
        <v>3</v>
      </c>
      <c r="Z1519" s="113">
        <f>'Data_in-situ'!EA125</f>
        <v>2.0562742556670646</v>
      </c>
      <c r="AA1519" s="113">
        <f>'Data_in-situ'!EB125</f>
        <v>11.823529639356714</v>
      </c>
      <c r="AB1519" s="46">
        <f>'Data_in-situ'!EC125</f>
        <v>3</v>
      </c>
      <c r="AC1519" s="113">
        <f>'Data_in-situ'!EE125</f>
        <v>3.9594792820583411</v>
      </c>
      <c r="AD1519" s="113">
        <f>'Data_in-situ'!EF125</f>
        <v>5.9120544469399539</v>
      </c>
      <c r="AE1519" s="46">
        <f>'Data_in-situ'!EG125</f>
        <v>3</v>
      </c>
      <c r="AF1519" s="113">
        <f>'Data_in-situ'!EN103</f>
        <v>10</v>
      </c>
      <c r="AG1519" s="113">
        <f>'Data_in-situ'!EO103</f>
        <v>14.142135623730951</v>
      </c>
      <c r="AH1519" s="110">
        <f>'Data_in-situ'!EP103</f>
        <v>4</v>
      </c>
      <c r="AI1519" s="113">
        <f>'Data_in-situ'!ER103</f>
        <v>-8</v>
      </c>
      <c r="AJ1519" s="113">
        <f>'Data_in-situ'!ES103</f>
        <v>2.8284271247461903</v>
      </c>
      <c r="AK1519" s="110">
        <f>'Data_in-situ'!ET103</f>
        <v>4</v>
      </c>
    </row>
    <row r="1520" spans="2:37" x14ac:dyDescent="0.3">
      <c r="B1520" s="24">
        <f>'Data_in-situ'!CA358</f>
        <v>-8439.7813360929867</v>
      </c>
      <c r="C1520" s="24">
        <f>'Data_in-situ'!CB358</f>
        <v>2057.7069747914984</v>
      </c>
      <c r="D1520" s="46">
        <f>'Data_in-situ'!CC358</f>
        <v>3</v>
      </c>
      <c r="E1520" s="24">
        <f>'Data_in-situ'!CE358</f>
        <v>-8092.5650763993508</v>
      </c>
      <c r="F1520" s="24">
        <f>'Data_in-situ'!CF358</f>
        <v>3012.6118889026902</v>
      </c>
      <c r="G1520" s="46">
        <f>'Data_in-situ'!CG358</f>
        <v>3</v>
      </c>
      <c r="H1520" s="24">
        <f>'Data_in-situ'!CN358</f>
        <v>5436.6394443079935</v>
      </c>
      <c r="I1520" s="24">
        <f>'Data_in-situ'!CO358</f>
        <v>1563.7259760881216</v>
      </c>
      <c r="J1520" s="46">
        <f>'Data_in-situ'!CP358</f>
        <v>3</v>
      </c>
      <c r="K1520" s="24">
        <f>'Data_in-situ'!CR358</f>
        <v>7258.5296659115611</v>
      </c>
      <c r="L1520" s="24">
        <f>'Data_in-situ'!CS358</f>
        <v>1904.5740914252362</v>
      </c>
      <c r="M1520" s="46">
        <f>'Data_in-situ'!CT358</f>
        <v>3</v>
      </c>
      <c r="N1520" s="24">
        <f>'Data_in-situ'!DA351</f>
        <v>4462.8866415951125</v>
      </c>
      <c r="O1520" s="24">
        <f>'Data_in-situ'!DB351</f>
        <v>2118.4369604304802</v>
      </c>
      <c r="P1520" s="46">
        <f>'Data_in-situ'!DC351</f>
        <v>3</v>
      </c>
      <c r="Q1520" s="24">
        <f>'Data_in-situ'!DE351</f>
        <v>11338.017563286921</v>
      </c>
      <c r="R1520" s="24">
        <f>'Data_in-situ'!DF351</f>
        <v>1981.8390153148923</v>
      </c>
      <c r="S1520" s="46">
        <f>'Data_in-situ'!DG351</f>
        <v>3</v>
      </c>
      <c r="T1520" s="113">
        <f>'Data_in-situ'!DN24</f>
        <v>69.189192430383997</v>
      </c>
      <c r="U1520" s="113">
        <f>'Data_in-situ'!DO24</f>
        <v>105.7403076411135</v>
      </c>
      <c r="V1520" s="46">
        <f>'Data_in-situ'!DP24</f>
        <v>3</v>
      </c>
      <c r="W1520" s="113">
        <f>'Data_in-situ'!DR24</f>
        <v>-2.3432463592339285</v>
      </c>
      <c r="X1520" s="113">
        <f>'Data_in-situ'!DS24</f>
        <v>2.1725078783546201</v>
      </c>
      <c r="Y1520" s="46">
        <f>'Data_in-situ'!DT24</f>
        <v>3</v>
      </c>
      <c r="Z1520" s="113">
        <f>'Data_in-situ'!EA126</f>
        <v>0.1445233938461904</v>
      </c>
      <c r="AA1520" s="113">
        <f>'Data_in-situ'!EB126</f>
        <v>0.83100618801771708</v>
      </c>
      <c r="AB1520" s="46">
        <f>'Data_in-situ'!EC126</f>
        <v>3</v>
      </c>
      <c r="AC1520" s="113">
        <f>'Data_in-situ'!EE126</f>
        <v>2.2712362909754678</v>
      </c>
      <c r="AD1520" s="113">
        <f>'Data_in-situ'!EF126</f>
        <v>3.3912723511290923</v>
      </c>
      <c r="AE1520" s="46">
        <f>'Data_in-situ'!EG126</f>
        <v>3</v>
      </c>
      <c r="AF1520" s="113">
        <f>'Data_in-situ'!EN112</f>
        <v>22</v>
      </c>
      <c r="AG1520" s="113">
        <f>'Data_in-situ'!EO112</f>
        <v>8.964920772528453</v>
      </c>
      <c r="AH1520" s="110">
        <f>'Data_in-situ'!EP112</f>
        <v>3</v>
      </c>
      <c r="AI1520" s="113">
        <f>'Data_in-situ'!ER112</f>
        <v>-35</v>
      </c>
      <c r="AJ1520" s="113">
        <f>'Data_in-situ'!ES112</f>
        <v>7.9384918728217961</v>
      </c>
      <c r="AK1520" s="110">
        <f>'Data_in-situ'!ET112</f>
        <v>3</v>
      </c>
    </row>
    <row r="1521" spans="2:37" x14ac:dyDescent="0.3">
      <c r="B1521" s="24">
        <f>'Data_in-situ'!CA359</f>
        <v>-8439.7813360929867</v>
      </c>
      <c r="C1521" s="24">
        <f>'Data_in-situ'!CB359</f>
        <v>2057.7069747914984</v>
      </c>
      <c r="D1521" s="46">
        <f>'Data_in-situ'!CC359</f>
        <v>3</v>
      </c>
      <c r="E1521" s="24">
        <f>'Data_in-situ'!CE359</f>
        <v>-6425.7832666283757</v>
      </c>
      <c r="F1521" s="24">
        <f>'Data_in-situ'!CF359</f>
        <v>2392.1205306105239</v>
      </c>
      <c r="G1521" s="46">
        <f>'Data_in-situ'!CG359</f>
        <v>3</v>
      </c>
      <c r="H1521" s="24">
        <f>'Data_in-situ'!CN359</f>
        <v>5436.6394443079935</v>
      </c>
      <c r="I1521" s="24">
        <f>'Data_in-situ'!CO359</f>
        <v>1563.7259760881216</v>
      </c>
      <c r="J1521" s="46">
        <f>'Data_in-situ'!CP359</f>
        <v>3</v>
      </c>
      <c r="K1521" s="24">
        <f>'Data_in-situ'!CR359</f>
        <v>7678.4238876488043</v>
      </c>
      <c r="L1521" s="24">
        <f>'Data_in-situ'!CS359</f>
        <v>2014.7506275377307</v>
      </c>
      <c r="M1521" s="46">
        <f>'Data_in-situ'!CT359</f>
        <v>3</v>
      </c>
      <c r="N1521" s="24">
        <f>'Data_in-situ'!DA352</f>
        <v>-65.821682153624351</v>
      </c>
      <c r="O1521" s="24">
        <f>'Data_in-situ'!DB352</f>
        <v>2444.1125484173954</v>
      </c>
      <c r="P1521" s="46">
        <f>'Data_in-situ'!DC352</f>
        <v>3</v>
      </c>
      <c r="Q1521" s="24">
        <f>'Data_in-situ'!DE352</f>
        <v>2804.9514685184622</v>
      </c>
      <c r="R1521" s="24">
        <f>'Data_in-situ'!DF352</f>
        <v>528.03532028319501</v>
      </c>
      <c r="S1521" s="46">
        <f>'Data_in-situ'!DG352</f>
        <v>3</v>
      </c>
      <c r="T1521" s="113">
        <f>'Data_in-situ'!DN25</f>
        <v>69.189192430383997</v>
      </c>
      <c r="U1521" s="113">
        <f>'Data_in-situ'!DO25</f>
        <v>105.7403076411135</v>
      </c>
      <c r="V1521" s="46">
        <f>'Data_in-situ'!DP25</f>
        <v>3</v>
      </c>
      <c r="W1521" s="113">
        <f>'Data_in-situ'!DR25</f>
        <v>1.9694770013193148</v>
      </c>
      <c r="X1521" s="113">
        <f>'Data_in-situ'!DS25</f>
        <v>4.4704507627185972</v>
      </c>
      <c r="Y1521" s="46">
        <f>'Data_in-situ'!DT25</f>
        <v>3</v>
      </c>
      <c r="Z1521" s="113">
        <f>'Data_in-situ'!EA127</f>
        <v>0.25129373787133502</v>
      </c>
      <c r="AA1521" s="113">
        <f>'Data_in-situ'!EB127</f>
        <v>1.4449332085532545</v>
      </c>
      <c r="AB1521" s="46">
        <f>'Data_in-situ'!EC127</f>
        <v>3</v>
      </c>
      <c r="AC1521" s="113">
        <f>'Data_in-situ'!EE127</f>
        <v>2.7150544029364894</v>
      </c>
      <c r="AD1521" s="113">
        <f>'Data_in-situ'!EF127</f>
        <v>4.0539546523956433</v>
      </c>
      <c r="AE1521" s="46">
        <f>'Data_in-situ'!EG127</f>
        <v>3</v>
      </c>
      <c r="AF1521" s="113">
        <f>'Data_in-situ'!EN113</f>
        <v>18</v>
      </c>
      <c r="AG1521" s="113">
        <f>'Data_in-situ'!EO113</f>
        <v>7.3349351775232803</v>
      </c>
      <c r="AH1521" s="110">
        <f>'Data_in-situ'!EP113</f>
        <v>3</v>
      </c>
      <c r="AI1521" s="113">
        <f>'Data_in-situ'!ER113</f>
        <v>-25</v>
      </c>
      <c r="AJ1521" s="113">
        <f>'Data_in-situ'!ES113</f>
        <v>5.670351337729854</v>
      </c>
      <c r="AK1521" s="110">
        <f>'Data_in-situ'!ET113</f>
        <v>3</v>
      </c>
    </row>
    <row r="1522" spans="2:37" x14ac:dyDescent="0.3">
      <c r="B1522" s="24">
        <f>'Data_in-situ'!CA415</f>
        <v>-17995.009527856251</v>
      </c>
      <c r="C1522" s="24">
        <f>'Data_in-situ'!CB415</f>
        <v>1848.1534882558306</v>
      </c>
      <c r="D1522" s="46">
        <f>'Data_in-situ'!CC415</f>
        <v>3</v>
      </c>
      <c r="E1522" s="24">
        <f>'Data_in-situ'!CE415</f>
        <v>-2054.5525514059905</v>
      </c>
      <c r="F1522" s="24">
        <f>'Data_in-situ'!CF415</f>
        <v>2813.7544962882453</v>
      </c>
      <c r="G1522" s="46">
        <f>'Data_in-situ'!CG415</f>
        <v>3</v>
      </c>
      <c r="H1522" s="24">
        <f>'Data_in-situ'!CN415</f>
        <v>11579.692563738146</v>
      </c>
      <c r="I1522" s="24">
        <f>'Data_in-situ'!CO415</f>
        <v>6378.0768142690904</v>
      </c>
      <c r="J1522" s="46">
        <f>'Data_in-situ'!CP415</f>
        <v>3</v>
      </c>
      <c r="K1522" s="24">
        <f>'Data_in-situ'!CR415</f>
        <v>3447.3943707861481</v>
      </c>
      <c r="L1522" s="24">
        <f>'Data_in-situ'!CS415</f>
        <v>3117.4820932763982</v>
      </c>
      <c r="M1522" s="46">
        <f>'Data_in-situ'!CT415</f>
        <v>3</v>
      </c>
      <c r="N1522" s="24">
        <f>'Data_in-situ'!DA353</f>
        <v>-369.93524485829175</v>
      </c>
      <c r="O1522" s="24">
        <f>'Data_in-situ'!DB353</f>
        <v>430.23040896760483</v>
      </c>
      <c r="P1522" s="46">
        <f>'Data_in-situ'!DC353</f>
        <v>3</v>
      </c>
      <c r="Q1522" s="24">
        <f>'Data_in-situ'!DE353</f>
        <v>527.66414470429572</v>
      </c>
      <c r="R1522" s="24">
        <f>'Data_in-situ'!DF353</f>
        <v>650.28157743771067</v>
      </c>
      <c r="S1522" s="46">
        <f>'Data_in-situ'!DG353</f>
        <v>3</v>
      </c>
      <c r="T1522" s="113">
        <f>'Data_in-situ'!DN26</f>
        <v>3.3518255889605926</v>
      </c>
      <c r="U1522" s="113">
        <f>'Data_in-situ'!DO26</f>
        <v>3.2126569880661773</v>
      </c>
      <c r="V1522" s="46">
        <f>'Data_in-situ'!DP26</f>
        <v>3</v>
      </c>
      <c r="W1522" s="113">
        <f>'Data_in-situ'!DR26</f>
        <v>0.1571071677160551</v>
      </c>
      <c r="X1522" s="113">
        <f>'Data_in-situ'!DS26</f>
        <v>2.9406674446616683</v>
      </c>
      <c r="Y1522" s="46">
        <f>'Data_in-situ'!DT26</f>
        <v>3</v>
      </c>
      <c r="Z1522" s="113">
        <f>'Data_in-situ'!EA145</f>
        <v>-6.8828571428571433E-2</v>
      </c>
      <c r="AA1522" s="113">
        <f>'Data_in-situ'!EB145</f>
        <v>0.39576270143804132</v>
      </c>
      <c r="AB1522" s="46">
        <f>'Data_in-situ'!EC145</f>
        <v>4</v>
      </c>
      <c r="AC1522" s="113">
        <f>'Data_in-situ'!EE145</f>
        <v>0.19271999999999997</v>
      </c>
      <c r="AD1522" s="113">
        <f>'Data_in-situ'!EF145</f>
        <v>0.28775782163506208</v>
      </c>
      <c r="AE1522" s="46">
        <f>'Data_in-situ'!EG145</f>
        <v>4</v>
      </c>
      <c r="AF1522" s="113">
        <f>'Data_in-situ'!EN114</f>
        <v>14</v>
      </c>
      <c r="AG1522" s="113">
        <f>'Data_in-situ'!EO114</f>
        <v>5.7049495825181067</v>
      </c>
      <c r="AH1522" s="110">
        <f>'Data_in-situ'!EP114</f>
        <v>3</v>
      </c>
      <c r="AI1522" s="113">
        <f>'Data_in-situ'!ER114</f>
        <v>-31</v>
      </c>
      <c r="AJ1522" s="113">
        <f>'Data_in-situ'!ES114</f>
        <v>7.0312356587850191</v>
      </c>
      <c r="AK1522" s="110">
        <f>'Data_in-situ'!ET114</f>
        <v>3</v>
      </c>
    </row>
    <row r="1523" spans="2:37" x14ac:dyDescent="0.3">
      <c r="B1523" s="24">
        <f>'Data_in-situ'!CA416</f>
        <v>-5231.5</v>
      </c>
      <c r="C1523" s="24">
        <f>'Data_in-situ'!CB416</f>
        <v>774.59070169847246</v>
      </c>
      <c r="D1523" s="46">
        <f>'Data_in-situ'!CC416</f>
        <v>5</v>
      </c>
      <c r="E1523" s="24">
        <f>'Data_in-situ'!CE416</f>
        <v>-7422.0454386397278</v>
      </c>
      <c r="F1523" s="24">
        <f>'Data_in-situ'!CF416</f>
        <v>3514.8314125090737</v>
      </c>
      <c r="G1523" s="46">
        <f>'Data_in-situ'!CG416</f>
        <v>5</v>
      </c>
      <c r="H1523" s="24">
        <f>'Data_in-situ'!CN416</f>
        <v>4243.1025450256775</v>
      </c>
      <c r="I1523" s="24">
        <f>'Data_in-situ'!CO416</f>
        <v>1520.7492674654977</v>
      </c>
      <c r="J1523" s="46">
        <f>'Data_in-situ'!CP416</f>
        <v>5</v>
      </c>
      <c r="K1523" s="24">
        <f>'Data_in-situ'!CR416</f>
        <v>7080.9624577142204</v>
      </c>
      <c r="L1523" s="24">
        <f>'Data_in-situ'!CS416</f>
        <v>2727.0864177083622</v>
      </c>
      <c r="M1523" s="46">
        <f>'Data_in-situ'!CT416</f>
        <v>5</v>
      </c>
      <c r="N1523" s="24">
        <f>'Data_in-situ'!DA354</f>
        <v>-1940.5839500221145</v>
      </c>
      <c r="O1523" s="24">
        <f>'Data_in-situ'!DB354</f>
        <v>5821.085373365031</v>
      </c>
      <c r="P1523" s="46">
        <f>'Data_in-situ'!DC354</f>
        <v>3</v>
      </c>
      <c r="Q1523" s="24">
        <f>'Data_in-situ'!DE354</f>
        <v>-1152.9019230752547</v>
      </c>
      <c r="R1523" s="24">
        <f>'Data_in-situ'!DF354</f>
        <v>1098.8801605135104</v>
      </c>
      <c r="S1523" s="46">
        <f>'Data_in-situ'!DG354</f>
        <v>3</v>
      </c>
      <c r="T1523" s="113">
        <f>'Data_in-situ'!DN27</f>
        <v>3.3518255889605926</v>
      </c>
      <c r="U1523" s="113">
        <f>'Data_in-situ'!DO27</f>
        <v>3.2126569880661773</v>
      </c>
      <c r="V1523" s="46">
        <f>'Data_in-situ'!DP27</f>
        <v>3</v>
      </c>
      <c r="W1523" s="113">
        <f>'Data_in-situ'!DR27</f>
        <v>2.8167070783378438</v>
      </c>
      <c r="X1523" s="113">
        <f>'Data_in-situ'!DS27</f>
        <v>12.110678472354174</v>
      </c>
      <c r="Y1523" s="46">
        <f>'Data_in-situ'!DT27</f>
        <v>3</v>
      </c>
      <c r="Z1523" s="113">
        <f>'Data_in-situ'!EA146</f>
        <v>-6.8828571428571433E-2</v>
      </c>
      <c r="AA1523" s="113">
        <f>'Data_in-situ'!EB146</f>
        <v>0.39576270143804132</v>
      </c>
      <c r="AB1523" s="46">
        <f>'Data_in-situ'!EC146</f>
        <v>4</v>
      </c>
      <c r="AC1523" s="113">
        <f>'Data_in-situ'!EE146</f>
        <v>4.5977485714285713</v>
      </c>
      <c r="AD1523" s="113">
        <f>'Data_in-situ'!EF146</f>
        <v>6.8650794590079105</v>
      </c>
      <c r="AE1523" s="46">
        <f>'Data_in-situ'!EG146</f>
        <v>4</v>
      </c>
      <c r="AF1523" s="113">
        <f>'Data_in-situ'!EN115</f>
        <v>8</v>
      </c>
      <c r="AG1523" s="113">
        <f>'Data_in-situ'!EO115</f>
        <v>3.2599711900103467</v>
      </c>
      <c r="AH1523" s="110">
        <f>'Data_in-situ'!EP115</f>
        <v>3</v>
      </c>
      <c r="AI1523" s="113">
        <f>'Data_in-situ'!ER115</f>
        <v>-30</v>
      </c>
      <c r="AJ1523" s="113">
        <f>'Data_in-situ'!ES115</f>
        <v>6.8044216052758255</v>
      </c>
      <c r="AK1523" s="110">
        <f>'Data_in-situ'!ET115</f>
        <v>3</v>
      </c>
    </row>
    <row r="1524" spans="2:37" x14ac:dyDescent="0.3">
      <c r="B1524" s="24">
        <f>'Data_in-situ'!CA417</f>
        <v>-7616.0068848250821</v>
      </c>
      <c r="C1524" s="24">
        <f>'Data_in-situ'!CB417</f>
        <v>1856.8621464095218</v>
      </c>
      <c r="D1524" s="46">
        <f>'Data_in-situ'!CC417</f>
        <v>5</v>
      </c>
      <c r="E1524" s="24">
        <f>'Data_in-situ'!CE417</f>
        <v>-11234.346432115035</v>
      </c>
      <c r="F1524" s="24">
        <f>'Data_in-situ'!CF417</f>
        <v>2636.9713135995598</v>
      </c>
      <c r="G1524" s="46">
        <f>'Data_in-situ'!CG417</f>
        <v>5</v>
      </c>
      <c r="H1524" s="24">
        <f>'Data_in-situ'!CN417</f>
        <v>7943.3298263910074</v>
      </c>
      <c r="I1524" s="24">
        <f>'Data_in-situ'!CO417</f>
        <v>2284.7185864362959</v>
      </c>
      <c r="J1524" s="46">
        <f>'Data_in-situ'!CP417</f>
        <v>5</v>
      </c>
      <c r="K1524" s="24">
        <f>'Data_in-situ'!CR417</f>
        <v>12092.326878238955</v>
      </c>
      <c r="L1524" s="24">
        <f>'Data_in-situ'!CS417</f>
        <v>4450.7541788118779</v>
      </c>
      <c r="M1524" s="46">
        <f>'Data_in-situ'!CT417</f>
        <v>5</v>
      </c>
      <c r="N1524" s="24">
        <f>'Data_in-situ'!DA355</f>
        <v>-1217.0329724395615</v>
      </c>
      <c r="O1524" s="24">
        <f>'Data_in-situ'!DB355</f>
        <v>3650.6809379157057</v>
      </c>
      <c r="P1524" s="46">
        <f>'Data_in-situ'!DC355</f>
        <v>3</v>
      </c>
      <c r="Q1524" s="24">
        <f>'Data_in-situ'!DE355</f>
        <v>-942.32663407012569</v>
      </c>
      <c r="R1524" s="24">
        <f>'Data_in-situ'!DF355</f>
        <v>898.17184114068311</v>
      </c>
      <c r="S1524" s="46">
        <f>'Data_in-situ'!DG355</f>
        <v>3</v>
      </c>
      <c r="T1524" s="113">
        <f>'Data_in-situ'!DN28</f>
        <v>3.3518255889605926</v>
      </c>
      <c r="U1524" s="113">
        <f>'Data_in-situ'!DO28</f>
        <v>3.2126569880661773</v>
      </c>
      <c r="V1524" s="46">
        <f>'Data_in-situ'!DP28</f>
        <v>3</v>
      </c>
      <c r="W1524" s="113">
        <f>'Data_in-situ'!DR28</f>
        <v>-1.8291763098369263</v>
      </c>
      <c r="X1524" s="113">
        <f>'Data_in-situ'!DS28</f>
        <v>1.6561975194588527</v>
      </c>
      <c r="Y1524" s="46">
        <f>'Data_in-situ'!DT28</f>
        <v>3</v>
      </c>
      <c r="Z1524" s="113">
        <f>'Data_in-situ'!EA156</f>
        <v>-0.65249999999999997</v>
      </c>
      <c r="AA1524" s="113">
        <f>'Data_in-situ'!EB156</f>
        <v>9.3070564627061342E-2</v>
      </c>
      <c r="AB1524" s="46">
        <f>'Data_in-situ'!EC156</f>
        <v>4</v>
      </c>
      <c r="AC1524" s="113">
        <f>'Data_in-situ'!EE156</f>
        <v>0.6623</v>
      </c>
      <c r="AD1524" s="113">
        <f>'Data_in-situ'!EF156</f>
        <v>6.1265079776329362E-2</v>
      </c>
      <c r="AE1524" s="46">
        <f>'Data_in-situ'!EG156</f>
        <v>4</v>
      </c>
      <c r="AF1524" s="113">
        <f>'Data_in-situ'!EN116</f>
        <v>55</v>
      </c>
      <c r="AG1524" s="113">
        <f>'Data_in-situ'!EO116</f>
        <v>22.412301931321135</v>
      </c>
      <c r="AH1524" s="110">
        <f>'Data_in-situ'!EP116</f>
        <v>3</v>
      </c>
      <c r="AI1524" s="113">
        <f>'Data_in-situ'!ER116</f>
        <v>-30</v>
      </c>
      <c r="AJ1524" s="113">
        <f>'Data_in-situ'!ES116</f>
        <v>6.8044216052758255</v>
      </c>
      <c r="AK1524" s="110">
        <f>'Data_in-situ'!ET116</f>
        <v>3</v>
      </c>
    </row>
    <row r="1525" spans="2:37" x14ac:dyDescent="0.3">
      <c r="B1525" s="24">
        <f>'Data_in-situ'!CA418</f>
        <v>-31496.666666666664</v>
      </c>
      <c r="C1525" s="24">
        <f>'Data_in-situ'!CB418</f>
        <v>7679.2168068996079</v>
      </c>
      <c r="D1525" s="46">
        <f>'Data_in-situ'!CC418</f>
        <v>1</v>
      </c>
      <c r="E1525" s="24">
        <f>'Data_in-situ'!CE418</f>
        <v>-47703.333333333328</v>
      </c>
      <c r="F1525" s="24">
        <f>'Data_in-situ'!CF418</f>
        <v>17758.476797350639</v>
      </c>
      <c r="G1525" s="46">
        <f>'Data_in-situ'!CG418</f>
        <v>1</v>
      </c>
      <c r="H1525" s="24">
        <f>'Data_in-situ'!CN418</f>
        <v>24456.666666666664</v>
      </c>
      <c r="I1525" s="24">
        <f>'Data_in-situ'!CO418</f>
        <v>7034.4052326727378</v>
      </c>
      <c r="J1525" s="46">
        <f>'Data_in-situ'!CP418</f>
        <v>1</v>
      </c>
      <c r="K1525" s="24">
        <f>'Data_in-situ'!CR418</f>
        <v>44476.666666666672</v>
      </c>
      <c r="L1525" s="24">
        <f>'Data_in-situ'!CS418</f>
        <v>11670.284603796765</v>
      </c>
      <c r="M1525" s="46">
        <f>'Data_in-situ'!CT418</f>
        <v>1</v>
      </c>
      <c r="N1525" s="24">
        <f>'Data_in-situ'!DA356</f>
        <v>-1217.0329724395615</v>
      </c>
      <c r="O1525" s="24">
        <f>'Data_in-situ'!DB356</f>
        <v>3650.6809379157057</v>
      </c>
      <c r="P1525" s="46">
        <f>'Data_in-situ'!DC356</f>
        <v>3</v>
      </c>
      <c r="Q1525" s="24">
        <f>'Data_in-situ'!DE356</f>
        <v>1071.9796143688573</v>
      </c>
      <c r="R1525" s="24">
        <f>'Data_in-situ'!DF356</f>
        <v>1021.7496450719074</v>
      </c>
      <c r="S1525" s="46">
        <f>'Data_in-situ'!DG356</f>
        <v>3</v>
      </c>
      <c r="T1525" s="113">
        <f>'Data_in-situ'!DN29</f>
        <v>3.3518255889605926</v>
      </c>
      <c r="U1525" s="113">
        <f>'Data_in-situ'!DO29</f>
        <v>3.2126569880661773</v>
      </c>
      <c r="V1525" s="46">
        <f>'Data_in-situ'!DP29</f>
        <v>3</v>
      </c>
      <c r="W1525" s="113">
        <f>'Data_in-situ'!DR29</f>
        <v>1.5374058555071104</v>
      </c>
      <c r="X1525" s="113">
        <f>'Data_in-situ'!DS29</f>
        <v>3.4762119230029214</v>
      </c>
      <c r="Y1525" s="46">
        <f>'Data_in-situ'!DT29</f>
        <v>3</v>
      </c>
      <c r="Z1525" s="113">
        <f>'Data_in-situ'!EA157</f>
        <v>-0.65249999999999997</v>
      </c>
      <c r="AA1525" s="113">
        <f>'Data_in-situ'!EB157</f>
        <v>9.3070564627061342E-2</v>
      </c>
      <c r="AB1525" s="46">
        <f>'Data_in-situ'!EC157</f>
        <v>4</v>
      </c>
      <c r="AC1525" s="113">
        <f>'Data_in-situ'!EE157</f>
        <v>0.12470000000000003</v>
      </c>
      <c r="AD1525" s="113">
        <f>'Data_in-situ'!EF157</f>
        <v>4.1450211097170543E-2</v>
      </c>
      <c r="AE1525" s="46">
        <f>'Data_in-situ'!EG157</f>
        <v>4</v>
      </c>
      <c r="AF1525" s="113">
        <f>'Data_in-situ'!EN117</f>
        <v>45</v>
      </c>
      <c r="AG1525" s="113">
        <f>'Data_in-situ'!EO117</f>
        <v>18.337337943808201</v>
      </c>
      <c r="AH1525" s="110">
        <f>'Data_in-situ'!EP117</f>
        <v>3</v>
      </c>
      <c r="AI1525" s="113">
        <f>'Data_in-situ'!ER117</f>
        <v>-32</v>
      </c>
      <c r="AJ1525" s="113">
        <f>'Data_in-situ'!ES117</f>
        <v>7.2580497122942136</v>
      </c>
      <c r="AK1525" s="110">
        <f>'Data_in-situ'!ET117</f>
        <v>3</v>
      </c>
    </row>
    <row r="1526" spans="2:37" x14ac:dyDescent="0.3">
      <c r="B1526" s="24">
        <f>'Data_in-situ'!CA419</f>
        <v>-30323.333333333336</v>
      </c>
      <c r="C1526" s="24">
        <f>'Data_in-situ'!CB419</f>
        <v>7393.145866479601</v>
      </c>
      <c r="D1526" s="46">
        <f>'Data_in-situ'!CC419</f>
        <v>1</v>
      </c>
      <c r="E1526" s="24">
        <f>'Data_in-situ'!CE419</f>
        <v>-45173.333333333328</v>
      </c>
      <c r="F1526" s="24">
        <f>'Data_in-situ'!CF419</f>
        <v>16816.635983348184</v>
      </c>
      <c r="G1526" s="46">
        <f>'Data_in-situ'!CG419</f>
        <v>1</v>
      </c>
      <c r="H1526" s="24">
        <f>'Data_in-situ'!CN419</f>
        <v>22513.333333333336</v>
      </c>
      <c r="I1526" s="24">
        <f>'Data_in-situ'!CO419</f>
        <v>6475.4494945443212</v>
      </c>
      <c r="J1526" s="46">
        <f>'Data_in-situ'!CP419</f>
        <v>1</v>
      </c>
      <c r="K1526" s="24">
        <f>'Data_in-situ'!CR419</f>
        <v>43303.333333333328</v>
      </c>
      <c r="L1526" s="24">
        <f>'Data_in-situ'!CS419</f>
        <v>11362.412297678464</v>
      </c>
      <c r="M1526" s="46">
        <f>'Data_in-situ'!CT419</f>
        <v>1</v>
      </c>
      <c r="N1526" s="24">
        <f>'Data_in-situ'!DA357</f>
        <v>-1962.6668608737455</v>
      </c>
      <c r="O1526" s="24">
        <f>'Data_in-situ'!DB357</f>
        <v>5887.3265217360085</v>
      </c>
      <c r="P1526" s="46">
        <f>'Data_in-situ'!DC357</f>
        <v>3</v>
      </c>
      <c r="Q1526" s="24">
        <f>'Data_in-situ'!DE357</f>
        <v>-2114.1462339116297</v>
      </c>
      <c r="R1526" s="24">
        <f>'Data_in-situ'!DF357</f>
        <v>2015.0832489488362</v>
      </c>
      <c r="S1526" s="46">
        <f>'Data_in-situ'!DG357</f>
        <v>3</v>
      </c>
      <c r="T1526" s="113">
        <f>'Data_in-situ'!DN32</f>
        <v>88</v>
      </c>
      <c r="U1526" s="113">
        <f>'Data_in-situ'!DO32</f>
        <v>60.472215842392352</v>
      </c>
      <c r="V1526" s="46">
        <f>'Data_in-situ'!DP32</f>
        <v>6</v>
      </c>
      <c r="W1526" s="113">
        <f>'Data_in-situ'!DR32</f>
        <v>-2</v>
      </c>
      <c r="X1526" s="113">
        <f>'Data_in-situ'!DS32</f>
        <v>5.9628479399994392</v>
      </c>
      <c r="Y1526" s="46">
        <f>'Data_in-situ'!DT32</f>
        <v>6</v>
      </c>
      <c r="Z1526" s="113">
        <f>'Data_in-situ'!EA158</f>
        <v>-0.65249999999999997</v>
      </c>
      <c r="AA1526" s="113">
        <f>'Data_in-situ'!EB158</f>
        <v>9.3070564627061342E-2</v>
      </c>
      <c r="AB1526" s="46">
        <f>'Data_in-situ'!EC158</f>
        <v>4</v>
      </c>
      <c r="AC1526" s="113">
        <f>'Data_in-situ'!EE158</f>
        <v>0.42030000000000001</v>
      </c>
      <c r="AD1526" s="113">
        <f>'Data_in-situ'!EF158</f>
        <v>2.773084924772409E-2</v>
      </c>
      <c r="AE1526" s="46">
        <f>'Data_in-situ'!EG158</f>
        <v>4</v>
      </c>
      <c r="AF1526" s="113">
        <f>'Data_in-situ'!EN118</f>
        <v>37</v>
      </c>
      <c r="AG1526" s="113">
        <f>'Data_in-situ'!EO118</f>
        <v>15.077366753797854</v>
      </c>
      <c r="AH1526" s="110">
        <f>'Data_in-situ'!EP118</f>
        <v>3</v>
      </c>
      <c r="AI1526" s="113">
        <f>'Data_in-situ'!ER118</f>
        <v>-39</v>
      </c>
      <c r="AJ1526" s="113">
        <f>'Data_in-situ'!ES118</f>
        <v>8.8457480868585723</v>
      </c>
      <c r="AK1526" s="110">
        <f>'Data_in-situ'!ET118</f>
        <v>3</v>
      </c>
    </row>
    <row r="1527" spans="2:37" x14ac:dyDescent="0.3">
      <c r="B1527" s="24">
        <f>'Data_in-situ'!CA432</f>
        <v>-7090</v>
      </c>
      <c r="C1527" s="24">
        <f>'Data_in-situ'!CB432</f>
        <v>1524.2047106606119</v>
      </c>
      <c r="D1527" s="46">
        <f>'Data_in-situ'!CC432</f>
        <v>3</v>
      </c>
      <c r="E1527" s="24">
        <f>'Data_in-situ'!CE432</f>
        <v>-18490</v>
      </c>
      <c r="F1527" s="24">
        <f>'Data_in-situ'!CF432</f>
        <v>3689.2682201217081</v>
      </c>
      <c r="G1527" s="46">
        <f>'Data_in-situ'!CG432</f>
        <v>3</v>
      </c>
      <c r="H1527" s="24">
        <f>'Data_in-situ'!CN432</f>
        <v>7020</v>
      </c>
      <c r="I1527" s="24">
        <f>'Data_in-situ'!CO432</f>
        <v>1299.038105676658</v>
      </c>
      <c r="J1527" s="46">
        <f>'Data_in-situ'!CP432</f>
        <v>3</v>
      </c>
      <c r="K1527" s="24">
        <f>'Data_in-situ'!CR432</f>
        <v>23060</v>
      </c>
      <c r="L1527" s="24">
        <f>'Data_in-situ'!CS432</f>
        <v>2424.871130596428</v>
      </c>
      <c r="M1527" s="46">
        <f>'Data_in-situ'!CT432</f>
        <v>3</v>
      </c>
      <c r="N1527" s="24">
        <f>'Data_in-situ'!DA358</f>
        <v>-3003.1418917849933</v>
      </c>
      <c r="O1527" s="24">
        <f>'Data_in-situ'!DB358</f>
        <v>9008.3942723581713</v>
      </c>
      <c r="P1527" s="46">
        <f>'Data_in-situ'!DC358</f>
        <v>3</v>
      </c>
      <c r="Q1527" s="24">
        <f>'Data_in-situ'!DE358</f>
        <v>-834.0354104877897</v>
      </c>
      <c r="R1527" s="24">
        <f>'Data_in-situ'!DF358</f>
        <v>794.95484169727581</v>
      </c>
      <c r="S1527" s="46">
        <f>'Data_in-situ'!DG358</f>
        <v>3</v>
      </c>
      <c r="T1527" s="113">
        <f>'Data_in-situ'!DN33</f>
        <v>172</v>
      </c>
      <c r="U1527" s="113">
        <f>'Data_in-situ'!DO33</f>
        <v>22</v>
      </c>
      <c r="V1527" s="46">
        <f>'Data_in-situ'!DP33</f>
        <v>6</v>
      </c>
      <c r="W1527" s="113">
        <f>'Data_in-situ'!DR33</f>
        <v>-1.5</v>
      </c>
      <c r="X1527" s="113">
        <f>'Data_in-situ'!DS33</f>
        <v>0.6</v>
      </c>
      <c r="Y1527" s="46">
        <f>'Data_in-situ'!DT33</f>
        <v>6</v>
      </c>
      <c r="Z1527" s="113">
        <f>'Data_in-situ'!EA159</f>
        <v>-0.36220000000000002</v>
      </c>
      <c r="AA1527" s="113">
        <f>'Data_in-situ'!EB159</f>
        <v>0.55423680859358304</v>
      </c>
      <c r="AB1527" s="46">
        <f>'Data_in-situ'!EC159</f>
        <v>4</v>
      </c>
      <c r="AC1527" s="113">
        <f>'Data_in-situ'!EE159</f>
        <v>-2.8500000000000001E-2</v>
      </c>
      <c r="AD1527" s="113">
        <f>'Data_in-situ'!EF159</f>
        <v>9.9569071503153028E-2</v>
      </c>
      <c r="AE1527" s="46">
        <f>'Data_in-situ'!EG159</f>
        <v>4</v>
      </c>
      <c r="AF1527" s="113">
        <f>'Data_in-situ'!EN119</f>
        <v>24</v>
      </c>
      <c r="AG1527" s="113">
        <f>'Data_in-situ'!EO119</f>
        <v>9.7799135700310398</v>
      </c>
      <c r="AH1527" s="110">
        <f>'Data_in-situ'!EP119</f>
        <v>3</v>
      </c>
      <c r="AI1527" s="113">
        <f>'Data_in-situ'!ER119</f>
        <v>-36</v>
      </c>
      <c r="AJ1527" s="113">
        <f>'Data_in-situ'!ES119</f>
        <v>8.1653059263309906</v>
      </c>
      <c r="AK1527" s="110">
        <f>'Data_in-situ'!ET119</f>
        <v>3</v>
      </c>
    </row>
    <row r="1528" spans="2:37" x14ac:dyDescent="0.3">
      <c r="B1528" s="24">
        <f>'Data_in-situ'!CA433</f>
        <v>-6290</v>
      </c>
      <c r="C1528" s="24">
        <f>'Data_in-situ'!CB433</f>
        <v>1316.3586137523466</v>
      </c>
      <c r="D1528" s="46">
        <f>'Data_in-situ'!CC433</f>
        <v>3</v>
      </c>
      <c r="E1528" s="24">
        <f>'Data_in-situ'!CE433</f>
        <v>-19210</v>
      </c>
      <c r="F1528" s="24">
        <f>'Data_in-situ'!CF433</f>
        <v>3290.8965343808668</v>
      </c>
      <c r="G1528" s="46">
        <f>'Data_in-situ'!CG433</f>
        <v>3</v>
      </c>
      <c r="H1528" s="24">
        <f>'Data_in-situ'!CN433</f>
        <v>5020</v>
      </c>
      <c r="I1528" s="24">
        <f>'Data_in-situ'!CO433</f>
        <v>917.98692801150492</v>
      </c>
      <c r="J1528" s="46">
        <f>'Data_in-situ'!CP433</f>
        <v>3</v>
      </c>
      <c r="K1528" s="24">
        <f>'Data_in-situ'!CR433</f>
        <v>24030</v>
      </c>
      <c r="L1528" s="24">
        <f>'Data_in-situ'!CS433</f>
        <v>2459.5121467478057</v>
      </c>
      <c r="M1528" s="46">
        <f>'Data_in-situ'!CT433</f>
        <v>3</v>
      </c>
      <c r="N1528" s="24">
        <f>'Data_in-situ'!DA359</f>
        <v>-3003.1418917849933</v>
      </c>
      <c r="O1528" s="24">
        <f>'Data_in-situ'!DB359</f>
        <v>9008.3942723581713</v>
      </c>
      <c r="P1528" s="46">
        <f>'Data_in-situ'!DC359</f>
        <v>3</v>
      </c>
      <c r="Q1528" s="24">
        <f>'Data_in-situ'!DE359</f>
        <v>1252.6406210204286</v>
      </c>
      <c r="R1528" s="24">
        <f>'Data_in-situ'!DF359</f>
        <v>1193.9453817727929</v>
      </c>
      <c r="S1528" s="46">
        <f>'Data_in-situ'!DG359</f>
        <v>3</v>
      </c>
      <c r="T1528" s="113">
        <f>'Data_in-situ'!DN100</f>
        <v>29.877540000000003</v>
      </c>
      <c r="U1528" s="113">
        <f>'Data_in-situ'!DO100</f>
        <v>10.5768948600239</v>
      </c>
      <c r="V1528" s="46">
        <f>'Data_in-situ'!DP100</f>
        <v>3</v>
      </c>
      <c r="W1528" s="113">
        <f>'Data_in-situ'!DR100</f>
        <v>21.248370000000001</v>
      </c>
      <c r="X1528" s="113">
        <f>'Data_in-situ'!DS100</f>
        <v>3.4542118170720228</v>
      </c>
      <c r="Y1528" s="46">
        <f>'Data_in-situ'!DT100</f>
        <v>3</v>
      </c>
      <c r="Z1528" s="113">
        <f>'Data_in-situ'!EA160</f>
        <v>-0.36220000000000002</v>
      </c>
      <c r="AA1528" s="113">
        <f>'Data_in-situ'!EB160</f>
        <v>0.55423680859358304</v>
      </c>
      <c r="AB1528" s="46">
        <f>'Data_in-situ'!EC160</f>
        <v>4</v>
      </c>
      <c r="AC1528" s="113">
        <f>'Data_in-situ'!EE160</f>
        <v>8.210000000000002E-2</v>
      </c>
      <c r="AD1528" s="113">
        <f>'Data_in-situ'!EF160</f>
        <v>1.2639620247459968E-2</v>
      </c>
      <c r="AE1528" s="46">
        <f>'Data_in-situ'!EG160</f>
        <v>4</v>
      </c>
      <c r="AF1528" s="113">
        <f>'Data_in-situ'!EN120</f>
        <v>60</v>
      </c>
      <c r="AG1528" s="113">
        <f>'Data_in-situ'!EO120</f>
        <v>24.4497839250776</v>
      </c>
      <c r="AH1528" s="110">
        <f>'Data_in-situ'!EP120</f>
        <v>3</v>
      </c>
      <c r="AI1528" s="113">
        <f>'Data_in-situ'!ER120</f>
        <v>-38</v>
      </c>
      <c r="AJ1528" s="113">
        <f>'Data_in-situ'!ES120</f>
        <v>8.6189340333493778</v>
      </c>
      <c r="AK1528" s="110">
        <f>'Data_in-situ'!ET120</f>
        <v>3</v>
      </c>
    </row>
    <row r="1529" spans="2:37" x14ac:dyDescent="0.3">
      <c r="B1529" s="24">
        <f>'Data_in-situ'!CA448</f>
        <v>-32633.333333333332</v>
      </c>
      <c r="C1529" s="24">
        <f>'Data_in-situ'!CB448</f>
        <v>3600</v>
      </c>
      <c r="D1529" s="46">
        <f>'Data_in-situ'!CC448</f>
        <v>3</v>
      </c>
      <c r="E1529" s="24">
        <f>'Data_in-situ'!CE448</f>
        <v>-65926.666666666672</v>
      </c>
      <c r="F1529" s="24">
        <f>'Data_in-situ'!CF448</f>
        <v>5926</v>
      </c>
      <c r="G1529" s="46">
        <f>'Data_in-situ'!CG448</f>
        <v>3</v>
      </c>
      <c r="H1529" s="24">
        <f>'Data_in-situ'!CN448</f>
        <v>30690</v>
      </c>
      <c r="I1529" s="24">
        <f>'Data_in-situ'!CO448</f>
        <v>3652</v>
      </c>
      <c r="J1529" s="46">
        <f>'Data_in-situ'!CP448</f>
        <v>3</v>
      </c>
      <c r="K1529" s="24">
        <f>'Data_in-situ'!CR448</f>
        <v>61160</v>
      </c>
      <c r="L1529" s="24">
        <f>'Data_in-situ'!CS448</f>
        <v>6593</v>
      </c>
      <c r="M1529" s="46">
        <f>'Data_in-situ'!CT448</f>
        <v>3</v>
      </c>
      <c r="N1529" s="24">
        <f>'Data_in-situ'!DA415</f>
        <v>-6415.3169641181039</v>
      </c>
      <c r="O1529" s="24">
        <f>'Data_in-situ'!DB415</f>
        <v>6104.4403947098008</v>
      </c>
      <c r="P1529" s="46">
        <f>'Data_in-situ'!DC415</f>
        <v>3</v>
      </c>
      <c r="Q1529" s="24">
        <f>'Data_in-situ'!DE415</f>
        <v>1392.8418193801579</v>
      </c>
      <c r="R1529" s="24">
        <f>'Data_in-situ'!DF415</f>
        <v>1342.1923247123252</v>
      </c>
      <c r="S1529" s="46">
        <f>'Data_in-situ'!DG415</f>
        <v>3</v>
      </c>
      <c r="T1529" s="113">
        <f>'Data_in-situ'!DN101</f>
        <v>24.519000000000002</v>
      </c>
      <c r="U1529" s="113">
        <f>'Data_in-situ'!DO101</f>
        <v>3.8585295126511601</v>
      </c>
      <c r="V1529" s="46">
        <f>'Data_in-situ'!DP101</f>
        <v>3</v>
      </c>
      <c r="W1529" s="113">
        <f>'Data_in-situ'!DR101</f>
        <v>2.714</v>
      </c>
      <c r="X1529" s="113">
        <f>'Data_in-situ'!DS101</f>
        <v>1.8204276969987025</v>
      </c>
      <c r="Y1529" s="46">
        <f>'Data_in-situ'!DT101</f>
        <v>3</v>
      </c>
      <c r="Z1529" s="113">
        <f>'Data_in-situ'!EA161</f>
        <v>-0.36220000000000002</v>
      </c>
      <c r="AA1529" s="113">
        <f>'Data_in-situ'!EB161</f>
        <v>0.55423680859358304</v>
      </c>
      <c r="AB1529" s="46">
        <f>'Data_in-situ'!EC161</f>
        <v>4</v>
      </c>
      <c r="AC1529" s="113">
        <f>'Data_in-situ'!EE161</f>
        <v>0.3004</v>
      </c>
      <c r="AD1529" s="113">
        <f>'Data_in-situ'!EF161</f>
        <v>2.3186418438387587E-2</v>
      </c>
      <c r="AE1529" s="46">
        <f>'Data_in-situ'!EG161</f>
        <v>4</v>
      </c>
      <c r="AF1529" s="113">
        <f>'Data_in-situ'!EN121</f>
        <v>41</v>
      </c>
      <c r="AG1529" s="113">
        <f>'Data_in-situ'!EO121</f>
        <v>16.707352348803028</v>
      </c>
      <c r="AH1529" s="110">
        <f>'Data_in-situ'!EP121</f>
        <v>3</v>
      </c>
      <c r="AI1529" s="113">
        <f>'Data_in-situ'!ER121</f>
        <v>-31</v>
      </c>
      <c r="AJ1529" s="113">
        <f>'Data_in-situ'!ES121</f>
        <v>7.0312356587850191</v>
      </c>
      <c r="AK1529" s="110">
        <f>'Data_in-situ'!ET121</f>
        <v>3</v>
      </c>
    </row>
    <row r="1530" spans="2:37" x14ac:dyDescent="0.3">
      <c r="B1530" s="24">
        <f>'Data_in-situ'!CA449</f>
        <v>-36630</v>
      </c>
      <c r="C1530" s="24">
        <f>'Data_in-situ'!CB449</f>
        <v>4321</v>
      </c>
      <c r="D1530" s="46">
        <f>'Data_in-situ'!CC449</f>
        <v>3</v>
      </c>
      <c r="E1530" s="24">
        <f>'Data_in-situ'!CE449</f>
        <v>-75753.333333333328</v>
      </c>
      <c r="F1530" s="24">
        <f>'Data_in-situ'!CF449</f>
        <v>7859</v>
      </c>
      <c r="G1530" s="46">
        <f>'Data_in-situ'!CG449</f>
        <v>3</v>
      </c>
      <c r="H1530" s="24">
        <f>'Data_in-situ'!CN449</f>
        <v>33953.333333333336</v>
      </c>
      <c r="I1530" s="24">
        <f>'Data_in-situ'!CO449</f>
        <v>4126</v>
      </c>
      <c r="J1530" s="46">
        <f>'Data_in-situ'!CP449</f>
        <v>3</v>
      </c>
      <c r="K1530" s="24">
        <f>'Data_in-situ'!CR449</f>
        <v>64753.333333333336</v>
      </c>
      <c r="L1530" s="24">
        <f>'Data_in-situ'!CS449</f>
        <v>9463</v>
      </c>
      <c r="M1530" s="46">
        <f>'Data_in-situ'!CT449</f>
        <v>3</v>
      </c>
      <c r="N1530" s="24">
        <f>'Data_in-situ'!DA416</f>
        <v>-988.3974549743225</v>
      </c>
      <c r="O1530" s="24">
        <f>'Data_in-situ'!DB416</f>
        <v>1706.6543556486708</v>
      </c>
      <c r="P1530" s="46">
        <f>'Data_in-situ'!DC416</f>
        <v>5</v>
      </c>
      <c r="Q1530" s="24">
        <f>'Data_in-situ'!DE416</f>
        <v>-341.0829809255074</v>
      </c>
      <c r="R1530" s="24">
        <f>'Data_in-situ'!DF416</f>
        <v>4448.7121943333168</v>
      </c>
      <c r="S1530" s="46">
        <f>'Data_in-situ'!DG416</f>
        <v>5</v>
      </c>
      <c r="T1530" s="113">
        <f>'Data_in-situ'!DN102</f>
        <v>37.001000000000005</v>
      </c>
      <c r="U1530" s="113">
        <f>'Data_in-situ'!DO102</f>
        <v>14.229681127839795</v>
      </c>
      <c r="V1530" s="46">
        <f>'Data_in-situ'!DP102</f>
        <v>3</v>
      </c>
      <c r="W1530" s="113">
        <f>'Data_in-situ'!DR102</f>
        <v>17.568999999999999</v>
      </c>
      <c r="X1530" s="113">
        <f>'Data_in-situ'!DS102</f>
        <v>3.3260057125627429</v>
      </c>
      <c r="Y1530" s="46">
        <f>'Data_in-situ'!DT102</f>
        <v>3</v>
      </c>
      <c r="Z1530" s="113">
        <f>'Data_in-situ'!EA162</f>
        <v>2.1024738953323308</v>
      </c>
      <c r="AA1530" s="113">
        <f>'Data_in-situ'!EB162</f>
        <v>12.089176504021989</v>
      </c>
      <c r="AB1530" s="46">
        <f>'Data_in-situ'!EC162</f>
        <v>4</v>
      </c>
      <c r="AC1530" s="113">
        <f>'Data_in-situ'!EE162</f>
        <v>6.8008768905024581</v>
      </c>
      <c r="AD1530" s="113">
        <f>'Data_in-situ'!EF162</f>
        <v>10.154657115085213</v>
      </c>
      <c r="AE1530" s="46">
        <f>'Data_in-situ'!EG162</f>
        <v>4</v>
      </c>
      <c r="AF1530" s="113">
        <f>'Data_in-situ'!EN122</f>
        <v>65</v>
      </c>
      <c r="AG1530" s="113">
        <f>'Data_in-situ'!EO122</f>
        <v>26.487265918834066</v>
      </c>
      <c r="AH1530" s="110">
        <f>'Data_in-situ'!EP122</f>
        <v>3</v>
      </c>
      <c r="AI1530" s="113">
        <f>'Data_in-situ'!ER122</f>
        <v>-38</v>
      </c>
      <c r="AJ1530" s="113">
        <f>'Data_in-situ'!ES122</f>
        <v>8.6189340333493778</v>
      </c>
      <c r="AK1530" s="110">
        <f>'Data_in-situ'!ET122</f>
        <v>3</v>
      </c>
    </row>
    <row r="1531" spans="2:37" x14ac:dyDescent="0.3">
      <c r="B1531" s="24">
        <f>'Data_in-situ'!CA462</f>
        <v>-51700</v>
      </c>
      <c r="C1531" s="24">
        <f>'Data_in-situ'!CB462</f>
        <v>12605.000812256634</v>
      </c>
      <c r="D1531" s="46">
        <f>'Data_in-situ'!CC462</f>
        <v>1</v>
      </c>
      <c r="E1531" s="24">
        <f>'Data_in-situ'!CE462</f>
        <v>-15510</v>
      </c>
      <c r="F1531" s="24">
        <f>'Data_in-situ'!CF462</f>
        <v>5773.8936858411389</v>
      </c>
      <c r="G1531" s="46">
        <f>'Data_in-situ'!CG462</f>
        <v>1</v>
      </c>
      <c r="H1531" s="24">
        <f>'Data_in-situ'!CN462</f>
        <v>39196.666666666664</v>
      </c>
      <c r="I1531" s="24">
        <f>'Data_in-situ'!CO462</f>
        <v>11274.031774703384</v>
      </c>
      <c r="J1531" s="46">
        <f>'Data_in-situ'!CP462</f>
        <v>1</v>
      </c>
      <c r="K1531" s="24">
        <f>'Data_in-situ'!CR462</f>
        <v>35236.666666666664</v>
      </c>
      <c r="L1531" s="24">
        <f>'Data_in-situ'!CS462</f>
        <v>9245.7901931151609</v>
      </c>
      <c r="M1531" s="46">
        <f>'Data_in-situ'!CT462</f>
        <v>1</v>
      </c>
      <c r="N1531" s="24">
        <f>'Data_in-situ'!DA417</f>
        <v>327.32294156592525</v>
      </c>
      <c r="O1531" s="24">
        <f>'Data_in-situ'!DB417</f>
        <v>2944.1256851527319</v>
      </c>
      <c r="P1531" s="46">
        <f>'Data_in-situ'!DC417</f>
        <v>5</v>
      </c>
      <c r="Q1531" s="24">
        <f>'Data_in-situ'!DE417</f>
        <v>857.98044612392005</v>
      </c>
      <c r="R1531" s="24">
        <f>'Data_in-situ'!DF417</f>
        <v>5173.2804359476186</v>
      </c>
      <c r="S1531" s="46">
        <f>'Data_in-situ'!DG417</f>
        <v>5</v>
      </c>
      <c r="T1531" s="113">
        <f>'Data_in-situ'!DN103</f>
        <v>29.018000000000001</v>
      </c>
      <c r="U1531" s="113">
        <f>'Data_in-situ'!DO103</f>
        <v>28.458867247309758</v>
      </c>
      <c r="V1531" s="46">
        <f>'Data_in-situ'!DP103</f>
        <v>3</v>
      </c>
      <c r="W1531" s="113">
        <f>'Data_in-situ'!DR103</f>
        <v>44.106000000000002</v>
      </c>
      <c r="X1531" s="113">
        <f>'Data_in-situ'!DS103</f>
        <v>9.7564479704449827</v>
      </c>
      <c r="Y1531" s="46">
        <f>'Data_in-situ'!DT103</f>
        <v>3</v>
      </c>
      <c r="Z1531" s="113">
        <f>'Data_in-situ'!EA163</f>
        <v>0.69244345015682884</v>
      </c>
      <c r="AA1531" s="113">
        <f>'Data_in-situ'!EB163</f>
        <v>3.9815338999377539</v>
      </c>
      <c r="AB1531" s="46">
        <f>'Data_in-situ'!EC163</f>
        <v>4</v>
      </c>
      <c r="AC1531" s="113">
        <f>'Data_in-situ'!EE163</f>
        <v>1.8900218026919515</v>
      </c>
      <c r="AD1531" s="113">
        <f>'Data_in-situ'!EF163</f>
        <v>2.8220659858105499</v>
      </c>
      <c r="AE1531" s="46">
        <f>'Data_in-situ'!EG163</f>
        <v>4</v>
      </c>
      <c r="AF1531" s="113">
        <f>'Data_in-situ'!EN123</f>
        <v>50</v>
      </c>
      <c r="AG1531" s="113">
        <f>'Data_in-situ'!EO123</f>
        <v>20.374819937564666</v>
      </c>
      <c r="AH1531" s="110">
        <f>'Data_in-situ'!EP123</f>
        <v>3</v>
      </c>
      <c r="AI1531" s="113">
        <f>'Data_in-situ'!ER123</f>
        <v>-34</v>
      </c>
      <c r="AJ1531" s="113">
        <f>'Data_in-situ'!ES123</f>
        <v>7.7116778193126017</v>
      </c>
      <c r="AK1531" s="110">
        <f>'Data_in-situ'!ET123</f>
        <v>3</v>
      </c>
    </row>
    <row r="1532" spans="2:37" x14ac:dyDescent="0.3">
      <c r="B1532" s="24">
        <f>'Data_in-situ'!CA463</f>
        <v>-52030</v>
      </c>
      <c r="C1532" s="24">
        <f>'Data_in-situ'!CB463</f>
        <v>12685.458264249761</v>
      </c>
      <c r="D1532" s="46">
        <f>'Data_in-situ'!CC463</f>
        <v>1</v>
      </c>
      <c r="E1532" s="24">
        <f>'Data_in-situ'!CE463</f>
        <v>-33366.666666666664</v>
      </c>
      <c r="F1532" s="24">
        <f>'Data_in-situ'!CF463</f>
        <v>12421.378851336727</v>
      </c>
      <c r="G1532" s="46">
        <f>'Data_in-situ'!CG463</f>
        <v>1</v>
      </c>
      <c r="H1532" s="24">
        <f>'Data_in-situ'!CN463</f>
        <v>53753.333333333336</v>
      </c>
      <c r="I1532" s="24">
        <f>'Data_in-situ'!CO463</f>
        <v>15460.926643325691</v>
      </c>
      <c r="J1532" s="46">
        <f>'Data_in-situ'!CP463</f>
        <v>1</v>
      </c>
      <c r="K1532" s="24">
        <f>'Data_in-situ'!CR463</f>
        <v>42936.666666666664</v>
      </c>
      <c r="L1532" s="24">
        <f>'Data_in-situ'!CS463</f>
        <v>11266.202202016497</v>
      </c>
      <c r="M1532" s="46">
        <f>'Data_in-situ'!CT463</f>
        <v>1</v>
      </c>
      <c r="N1532" s="24">
        <f>'Data_in-situ'!DA418</f>
        <v>-7040</v>
      </c>
      <c r="O1532" s="24">
        <f>'Data_in-situ'!DB418</f>
        <v>1650</v>
      </c>
      <c r="P1532" s="46">
        <f>'Data_in-situ'!DC418</f>
        <v>1</v>
      </c>
      <c r="Q1532" s="24">
        <f>'Data_in-situ'!DE418</f>
        <v>-3226.666666666667</v>
      </c>
      <c r="R1532" s="24">
        <f>'Data_in-situ'!DF418</f>
        <v>953.33333333333326</v>
      </c>
      <c r="S1532" s="46">
        <f>'Data_in-situ'!DG418</f>
        <v>1</v>
      </c>
      <c r="Z1532" s="113">
        <f>'Data_in-situ'!EA164</f>
        <v>0.69244345015682884</v>
      </c>
      <c r="AA1532" s="113">
        <f>'Data_in-situ'!EB164</f>
        <v>3.9815338999377539</v>
      </c>
      <c r="AB1532" s="46">
        <f>'Data_in-situ'!EC164</f>
        <v>4</v>
      </c>
      <c r="AC1532" s="113">
        <f>'Data_in-situ'!EE164</f>
        <v>1.2029333397446536</v>
      </c>
      <c r="AD1532" s="113">
        <f>'Data_in-situ'!EF164</f>
        <v>1.7961471430941864</v>
      </c>
      <c r="AE1532" s="46">
        <f>'Data_in-situ'!EG164</f>
        <v>4</v>
      </c>
      <c r="AF1532" s="113">
        <f>'Data_in-situ'!EN124</f>
        <v>15</v>
      </c>
      <c r="AG1532" s="113">
        <f>'Data_in-situ'!EO124</f>
        <v>6.1124459812694001</v>
      </c>
      <c r="AH1532" s="110">
        <f>'Data_in-situ'!EP124</f>
        <v>3</v>
      </c>
      <c r="AI1532" s="113">
        <f>'Data_in-situ'!ER124</f>
        <v>-35</v>
      </c>
      <c r="AJ1532" s="113">
        <f>'Data_in-situ'!ES124</f>
        <v>7.9384918728217961</v>
      </c>
      <c r="AK1532" s="110">
        <f>'Data_in-situ'!ET124</f>
        <v>3</v>
      </c>
    </row>
    <row r="1533" spans="2:37" x14ac:dyDescent="0.3">
      <c r="B1533" s="24">
        <f>'Data_in-situ'!CA464</f>
        <v>-51700</v>
      </c>
      <c r="C1533" s="24">
        <f>'Data_in-situ'!CB464</f>
        <v>12605.000812256634</v>
      </c>
      <c r="D1533" s="46">
        <f>'Data_in-situ'!CC464</f>
        <v>1</v>
      </c>
      <c r="E1533" s="24">
        <f>'Data_in-situ'!CE464</f>
        <v>-15510</v>
      </c>
      <c r="F1533" s="24">
        <f>'Data_in-situ'!CF464</f>
        <v>5773.8936858411389</v>
      </c>
      <c r="G1533" s="46">
        <f>'Data_in-situ'!CG464</f>
        <v>1</v>
      </c>
      <c r="H1533" s="24">
        <f>'Data_in-situ'!CN464</f>
        <v>39196.666666666664</v>
      </c>
      <c r="I1533" s="24">
        <f>'Data_in-situ'!CO464</f>
        <v>11274.031774703384</v>
      </c>
      <c r="J1533" s="46">
        <f>'Data_in-situ'!CP464</f>
        <v>1</v>
      </c>
      <c r="K1533" s="24">
        <f>'Data_in-situ'!CR464</f>
        <v>35236.666666666664</v>
      </c>
      <c r="L1533" s="24">
        <f>'Data_in-situ'!CS464</f>
        <v>9245.7901931151609</v>
      </c>
      <c r="M1533" s="46">
        <f>'Data_in-situ'!CT464</f>
        <v>1</v>
      </c>
      <c r="N1533" s="24">
        <f>'Data_in-situ'!DA419</f>
        <v>-7846.6666666666661</v>
      </c>
      <c r="O1533" s="24">
        <f>'Data_in-situ'!DB419</f>
        <v>1466.6666666666665</v>
      </c>
      <c r="P1533" s="46">
        <f>'Data_in-situ'!DC419</f>
        <v>1</v>
      </c>
      <c r="Q1533" s="24">
        <f>'Data_in-situ'!DE419</f>
        <v>-1870</v>
      </c>
      <c r="R1533" s="24">
        <f>'Data_in-situ'!DF419</f>
        <v>1283.3333333333335</v>
      </c>
      <c r="S1533" s="46">
        <f>'Data_in-situ'!DG419</f>
        <v>1</v>
      </c>
      <c r="Z1533" s="113">
        <f>'Data_in-situ'!EA165</f>
        <v>0.69244345015682884</v>
      </c>
      <c r="AA1533" s="113">
        <f>'Data_in-situ'!EB165</f>
        <v>3.9815338999377539</v>
      </c>
      <c r="AB1533" s="46">
        <f>'Data_in-situ'!EC165</f>
        <v>4</v>
      </c>
      <c r="AC1533" s="113">
        <f>'Data_in-situ'!EE165</f>
        <v>1.5464775712183025</v>
      </c>
      <c r="AD1533" s="113">
        <f>'Data_in-situ'!EF165</f>
        <v>2.3091065644523678</v>
      </c>
      <c r="AE1533" s="46">
        <f>'Data_in-situ'!EG165</f>
        <v>4</v>
      </c>
      <c r="AF1533" s="113">
        <f>'Data_in-situ'!EN125</f>
        <v>17</v>
      </c>
      <c r="AG1533" s="113">
        <f>'Data_in-situ'!EO125</f>
        <v>6.9274387787719869</v>
      </c>
      <c r="AH1533" s="110">
        <f>'Data_in-situ'!EP125</f>
        <v>3</v>
      </c>
      <c r="AI1533" s="113">
        <f>'Data_in-situ'!ER125</f>
        <v>-37</v>
      </c>
      <c r="AJ1533" s="113">
        <f>'Data_in-situ'!ES125</f>
        <v>8.3921199798401851</v>
      </c>
      <c r="AK1533" s="110">
        <f>'Data_in-situ'!ET125</f>
        <v>3</v>
      </c>
    </row>
    <row r="1534" spans="2:37" x14ac:dyDescent="0.3">
      <c r="B1534" s="24">
        <f>'Data_in-situ'!CA465</f>
        <v>-52030</v>
      </c>
      <c r="C1534" s="24">
        <f>'Data_in-situ'!CB465</f>
        <v>12685.458264249761</v>
      </c>
      <c r="D1534" s="46">
        <f>'Data_in-situ'!CC465</f>
        <v>1</v>
      </c>
      <c r="E1534" s="24">
        <f>'Data_in-situ'!CE465</f>
        <v>-33366.666666666664</v>
      </c>
      <c r="F1534" s="24">
        <f>'Data_in-situ'!CF465</f>
        <v>12421.378851336727</v>
      </c>
      <c r="G1534" s="46">
        <f>'Data_in-situ'!CG465</f>
        <v>1</v>
      </c>
      <c r="H1534" s="24">
        <f>'Data_in-situ'!CN465</f>
        <v>53753.333333333336</v>
      </c>
      <c r="I1534" s="24">
        <f>'Data_in-situ'!CO465</f>
        <v>15460.926643325691</v>
      </c>
      <c r="J1534" s="46">
        <f>'Data_in-situ'!CP465</f>
        <v>1</v>
      </c>
      <c r="K1534" s="24">
        <f>'Data_in-situ'!CR465</f>
        <v>42936.666666666664</v>
      </c>
      <c r="L1534" s="24">
        <f>'Data_in-situ'!CS465</f>
        <v>11266.202202016497</v>
      </c>
      <c r="M1534" s="46">
        <f>'Data_in-situ'!CT465</f>
        <v>1</v>
      </c>
      <c r="N1534" s="24">
        <f>'Data_in-situ'!DA420</f>
        <v>-655.74999999999989</v>
      </c>
      <c r="O1534" s="24">
        <f>'Data_in-situ'!DB420</f>
        <v>1124.8403001463512</v>
      </c>
      <c r="P1534" s="46">
        <f>'Data_in-situ'!DC420</f>
        <v>3</v>
      </c>
      <c r="Q1534" s="24">
        <f>'Data_in-situ'!DE420</f>
        <v>13852.474999999999</v>
      </c>
      <c r="R1534" s="24">
        <f>'Data_in-situ'!DF420</f>
        <v>8765.263715525527</v>
      </c>
      <c r="S1534" s="46">
        <f>'Data_in-situ'!DG420</f>
        <v>3</v>
      </c>
      <c r="Z1534" s="113">
        <f>'Data_in-situ'!EA166</f>
        <v>1.0757430488974113</v>
      </c>
      <c r="AA1534" s="113">
        <f>'Data_in-situ'!EB166</f>
        <v>6.1854977700162745</v>
      </c>
      <c r="AB1534" s="46">
        <f>'Data_in-situ'!EC166</f>
        <v>4</v>
      </c>
      <c r="AC1534" s="113">
        <f>'Data_in-situ'!EE166</f>
        <v>1.0103547459252158</v>
      </c>
      <c r="AD1534" s="113">
        <f>'Data_in-situ'!EF166</f>
        <v>1.508600460596133</v>
      </c>
      <c r="AE1534" s="46">
        <f>'Data_in-situ'!EG166</f>
        <v>4</v>
      </c>
      <c r="AF1534" s="113">
        <f>'Data_in-situ'!EN126</f>
        <v>43</v>
      </c>
      <c r="AG1534" s="113">
        <f>'Data_in-situ'!EO126</f>
        <v>17.522345146305614</v>
      </c>
      <c r="AH1534" s="110">
        <f>'Data_in-situ'!EP126</f>
        <v>3</v>
      </c>
      <c r="AI1534" s="113">
        <f>'Data_in-situ'!ER126</f>
        <v>-31</v>
      </c>
      <c r="AJ1534" s="113">
        <f>'Data_in-situ'!ES126</f>
        <v>7.0312356587850191</v>
      </c>
      <c r="AK1534" s="110">
        <f>'Data_in-situ'!ET126</f>
        <v>3</v>
      </c>
    </row>
    <row r="1535" spans="2:37" x14ac:dyDescent="0.3">
      <c r="B1535" s="24">
        <f>'Data_in-situ'!CA466</f>
        <v>-51700</v>
      </c>
      <c r="C1535" s="24">
        <f>'Data_in-situ'!CB466</f>
        <v>12605.000812256634</v>
      </c>
      <c r="D1535" s="46">
        <f>'Data_in-situ'!CC466</f>
        <v>1</v>
      </c>
      <c r="E1535" s="24">
        <f>'Data_in-situ'!CE466</f>
        <v>-15510</v>
      </c>
      <c r="F1535" s="24">
        <f>'Data_in-situ'!CF466</f>
        <v>5773.8936858411389</v>
      </c>
      <c r="G1535" s="46">
        <f>'Data_in-situ'!CG466</f>
        <v>1</v>
      </c>
      <c r="H1535" s="24">
        <f>'Data_in-situ'!CN466</f>
        <v>39196.666666666664</v>
      </c>
      <c r="I1535" s="24">
        <f>'Data_in-situ'!CO466</f>
        <v>11274.031774703384</v>
      </c>
      <c r="J1535" s="46">
        <f>'Data_in-situ'!CP466</f>
        <v>1</v>
      </c>
      <c r="K1535" s="24">
        <f>'Data_in-situ'!CR466</f>
        <v>35236.666666666664</v>
      </c>
      <c r="L1535" s="24">
        <f>'Data_in-situ'!CS466</f>
        <v>9245.7901931151609</v>
      </c>
      <c r="M1535" s="46">
        <f>'Data_in-situ'!CT466</f>
        <v>1</v>
      </c>
      <c r="N1535" s="24">
        <f>'Data_in-situ'!DA421</f>
        <v>-388.52499999999998</v>
      </c>
      <c r="O1535" s="24">
        <f>'Data_in-situ'!DB421</f>
        <v>1170.5952194111908</v>
      </c>
      <c r="P1535" s="46">
        <f>'Data_in-situ'!DC421</f>
        <v>3</v>
      </c>
      <c r="Q1535" s="24">
        <f>'Data_in-situ'!DE421</f>
        <v>10594.25</v>
      </c>
      <c r="R1535" s="24">
        <f>'Data_in-situ'!DF421</f>
        <v>5864.6849566565243</v>
      </c>
      <c r="S1535" s="46">
        <f>'Data_in-situ'!DG421</f>
        <v>3</v>
      </c>
      <c r="Z1535" s="113">
        <f>'Data_in-situ'!EA201</f>
        <v>0</v>
      </c>
      <c r="AA1535" s="113">
        <f>'Data_in-situ'!EB201</f>
        <v>0</v>
      </c>
      <c r="AB1535" s="46">
        <f>'Data_in-situ'!EC201</f>
        <v>3</v>
      </c>
      <c r="AC1535" s="113">
        <f>'Data_in-situ'!EE201</f>
        <v>0.03</v>
      </c>
      <c r="AD1535" s="113">
        <f>'Data_in-situ'!EF201</f>
        <v>4.4794181450040799E-2</v>
      </c>
      <c r="AE1535" s="46">
        <f>'Data_in-situ'!EG201</f>
        <v>3</v>
      </c>
      <c r="AF1535" s="113">
        <f>'Data_in-situ'!EN127</f>
        <v>40</v>
      </c>
      <c r="AG1535" s="113">
        <f>'Data_in-situ'!EO127</f>
        <v>16.299855950051732</v>
      </c>
      <c r="AH1535" s="110">
        <f>'Data_in-situ'!EP127</f>
        <v>3</v>
      </c>
      <c r="AI1535" s="113">
        <f>'Data_in-situ'!ER127</f>
        <v>-30</v>
      </c>
      <c r="AJ1535" s="113">
        <f>'Data_in-situ'!ES127</f>
        <v>6.8044216052758255</v>
      </c>
      <c r="AK1535" s="110">
        <f>'Data_in-situ'!ET127</f>
        <v>3</v>
      </c>
    </row>
    <row r="1536" spans="2:37" x14ac:dyDescent="0.3">
      <c r="B1536" s="24">
        <f>'Data_in-situ'!CA467</f>
        <v>-52030</v>
      </c>
      <c r="C1536" s="24">
        <f>'Data_in-situ'!CB467</f>
        <v>12685.458264249761</v>
      </c>
      <c r="D1536" s="46">
        <f>'Data_in-situ'!CC467</f>
        <v>1</v>
      </c>
      <c r="E1536" s="24">
        <f>'Data_in-situ'!CE467</f>
        <v>-33366.666666666664</v>
      </c>
      <c r="F1536" s="24">
        <f>'Data_in-situ'!CF467</f>
        <v>12421.378851336727</v>
      </c>
      <c r="G1536" s="46">
        <f>'Data_in-situ'!CG467</f>
        <v>1</v>
      </c>
      <c r="H1536" s="24">
        <f>'Data_in-situ'!CN467</f>
        <v>53753.333333333336</v>
      </c>
      <c r="I1536" s="24">
        <f>'Data_in-situ'!CO467</f>
        <v>15460.926643325691</v>
      </c>
      <c r="J1536" s="46">
        <f>'Data_in-situ'!CP467</f>
        <v>1</v>
      </c>
      <c r="K1536" s="24">
        <f>'Data_in-situ'!CR467</f>
        <v>42936.666666666664</v>
      </c>
      <c r="L1536" s="24">
        <f>'Data_in-situ'!CS467</f>
        <v>11266.202202016497</v>
      </c>
      <c r="M1536" s="46">
        <f>'Data_in-situ'!CT467</f>
        <v>1</v>
      </c>
      <c r="N1536" s="24">
        <f>'Data_in-situ'!DA422</f>
        <v>-1372.9750000000001</v>
      </c>
      <c r="O1536" s="24">
        <f>'Data_in-situ'!DB422</f>
        <v>924.10220135094733</v>
      </c>
      <c r="P1536" s="46">
        <f>'Data_in-situ'!DC422</f>
        <v>3</v>
      </c>
      <c r="Q1536" s="24">
        <f>'Data_in-situ'!DE422</f>
        <v>9692.625</v>
      </c>
      <c r="R1536" s="24">
        <f>'Data_in-situ'!DF422</f>
        <v>5495.0505473296917</v>
      </c>
      <c r="S1536" s="46">
        <f>'Data_in-situ'!DG422</f>
        <v>3</v>
      </c>
      <c r="Z1536" s="113">
        <f>'Data_in-situ'!EA202</f>
        <v>0</v>
      </c>
      <c r="AA1536" s="113">
        <f>'Data_in-situ'!EB202</f>
        <v>0</v>
      </c>
      <c r="AB1536" s="46">
        <f>'Data_in-situ'!EC202</f>
        <v>3</v>
      </c>
      <c r="AC1536" s="113">
        <f>'Data_in-situ'!EE202</f>
        <v>0.05</v>
      </c>
      <c r="AD1536" s="113">
        <f>'Data_in-situ'!EF202</f>
        <v>7.4656969083401345E-2</v>
      </c>
      <c r="AE1536" s="46">
        <f>'Data_in-situ'!EG202</f>
        <v>3</v>
      </c>
      <c r="AF1536" s="113">
        <f>'Data_in-situ'!EN134</f>
        <v>-24.4</v>
      </c>
      <c r="AG1536" s="113">
        <f>'Data_in-situ'!EO134</f>
        <v>23.902301144450508</v>
      </c>
      <c r="AH1536" s="110">
        <f>'Data_in-situ'!EP134</f>
        <v>3</v>
      </c>
      <c r="AI1536" s="113">
        <f>'Data_in-situ'!ER134</f>
        <v>-57.4</v>
      </c>
      <c r="AJ1536" s="113">
        <f>'Data_in-situ'!ES134</f>
        <v>28.405633244129582</v>
      </c>
      <c r="AK1536" s="110">
        <f>'Data_in-situ'!ET134</f>
        <v>3</v>
      </c>
    </row>
    <row r="1537" spans="2:37" x14ac:dyDescent="0.3">
      <c r="B1537" s="24">
        <f>'Data_in-situ'!CA468</f>
        <v>-38630</v>
      </c>
      <c r="C1537" s="24">
        <f>'Data_in-situ'!CB468</f>
        <v>9418.3980924076168</v>
      </c>
      <c r="D1537" s="46">
        <f>'Data_in-situ'!CC468</f>
        <v>1</v>
      </c>
      <c r="E1537" s="24">
        <f>'Data_in-situ'!CE468</f>
        <v>-35990</v>
      </c>
      <c r="F1537" s="24">
        <f>'Data_in-situ'!CF468</f>
        <v>880</v>
      </c>
      <c r="G1537" s="46">
        <f>'Data_in-situ'!CG468</f>
        <v>1</v>
      </c>
      <c r="H1537" s="24">
        <f>'Data_in-situ'!CN468</f>
        <v>37280</v>
      </c>
      <c r="I1537" s="24">
        <f>'Data_in-situ'!CO468</f>
        <v>1760</v>
      </c>
      <c r="J1537" s="46">
        <f>'Data_in-situ'!CP468</f>
        <v>1</v>
      </c>
      <c r="K1537" s="24">
        <f>'Data_in-situ'!CR468</f>
        <v>35670</v>
      </c>
      <c r="L1537" s="24">
        <f>'Data_in-situ'!CS468</f>
        <v>670</v>
      </c>
      <c r="M1537" s="46">
        <f>'Data_in-situ'!CT468</f>
        <v>1</v>
      </c>
      <c r="N1537" s="24">
        <f>'Data_in-situ'!DA423</f>
        <v>-1372.9750000000001</v>
      </c>
      <c r="O1537" s="24">
        <f>'Data_in-situ'!DB423</f>
        <v>924.10220135094733</v>
      </c>
      <c r="P1537" s="46">
        <f>'Data_in-situ'!DC423</f>
        <v>3</v>
      </c>
      <c r="Q1537" s="24">
        <f>'Data_in-situ'!DE423</f>
        <v>17704.899999999998</v>
      </c>
      <c r="R1537" s="24">
        <f>'Data_in-situ'!DF423</f>
        <v>3753.2231304129346</v>
      </c>
      <c r="S1537" s="46">
        <f>'Data_in-situ'!DG423</f>
        <v>3</v>
      </c>
      <c r="Z1537" s="113">
        <f>'Data_in-situ'!EA203</f>
        <v>0.80142857142857149</v>
      </c>
      <c r="AA1537" s="113">
        <f>'Data_in-situ'!EB203</f>
        <v>0.1905255888325765</v>
      </c>
      <c r="AB1537" s="46">
        <f>'Data_in-situ'!EC203</f>
        <v>3</v>
      </c>
      <c r="AC1537" s="113">
        <f>'Data_in-situ'!EE203</f>
        <v>1.5242857142857142</v>
      </c>
      <c r="AD1537" s="113">
        <f>'Data_in-situ'!EF203</f>
        <v>0.3538332364033564</v>
      </c>
      <c r="AE1537" s="46">
        <f>'Data_in-situ'!EG203</f>
        <v>3</v>
      </c>
      <c r="AF1537" s="113">
        <f>'Data_in-situ'!EN145</f>
        <v>-5</v>
      </c>
      <c r="AG1537" s="113">
        <f>'Data_in-situ'!EO145</f>
        <v>2.0374819937564665</v>
      </c>
      <c r="AH1537" s="110">
        <f>'Data_in-situ'!EP145</f>
        <v>4</v>
      </c>
      <c r="AI1537" s="113">
        <f>'Data_in-situ'!ER145</f>
        <v>-7.666666666666667</v>
      </c>
      <c r="AJ1537" s="113">
        <f>'Data_in-situ'!ES145</f>
        <v>1.7389077435704887</v>
      </c>
      <c r="AK1537" s="110">
        <f>'Data_in-situ'!ET145</f>
        <v>6</v>
      </c>
    </row>
    <row r="1538" spans="2:37" x14ac:dyDescent="0.3">
      <c r="B1538" s="24">
        <f>'Data_in-situ'!CA469</f>
        <v>-21404.3</v>
      </c>
      <c r="C1538" s="24">
        <f>'Data_in-situ'!CB469</f>
        <v>5218.5922415045388</v>
      </c>
      <c r="D1538" s="46">
        <f>'Data_in-situ'!CC469</f>
        <v>1</v>
      </c>
      <c r="E1538" s="24">
        <f>'Data_in-situ'!CE469</f>
        <v>-19205.5</v>
      </c>
      <c r="F1538" s="24">
        <f>'Data_in-situ'!CF469</f>
        <v>7149.6141317486772</v>
      </c>
      <c r="G1538" s="46">
        <f>'Data_in-situ'!CG469</f>
        <v>1</v>
      </c>
      <c r="H1538" s="24">
        <f>'Data_in-situ'!CN469</f>
        <v>15413.8</v>
      </c>
      <c r="I1538" s="24">
        <f>'Data_in-situ'!CO469</f>
        <v>4433.4298231717758</v>
      </c>
      <c r="J1538" s="46">
        <f>'Data_in-situ'!CP469</f>
        <v>1</v>
      </c>
      <c r="K1538" s="24">
        <f>'Data_in-situ'!CR469</f>
        <v>13847.5</v>
      </c>
      <c r="L1538" s="24">
        <f>'Data_in-situ'!CS469</f>
        <v>3633.4617263975647</v>
      </c>
      <c r="M1538" s="46">
        <f>'Data_in-situ'!CT469</f>
        <v>1</v>
      </c>
      <c r="N1538" s="24">
        <f>'Data_in-situ'!DA424</f>
        <v>81.850000000000023</v>
      </c>
      <c r="O1538" s="24">
        <f>'Data_in-situ'!DB424</f>
        <v>1631.6723826083066</v>
      </c>
      <c r="P1538" s="46">
        <f>'Data_in-situ'!DC424</f>
        <v>3</v>
      </c>
      <c r="Q1538" s="24">
        <f>'Data_in-situ'!DE424</f>
        <v>9282.7649999999994</v>
      </c>
      <c r="R1538" s="24">
        <f>'Data_in-situ'!DF424</f>
        <v>6092.1653911731855</v>
      </c>
      <c r="S1538" s="46">
        <f>'Data_in-situ'!DG424</f>
        <v>3</v>
      </c>
      <c r="Z1538" s="113">
        <f>'Data_in-situ'!EA204</f>
        <v>0.80142857142857149</v>
      </c>
      <c r="AA1538" s="113">
        <f>'Data_in-situ'!EB204</f>
        <v>0.1905255888325765</v>
      </c>
      <c r="AB1538" s="46">
        <f>'Data_in-situ'!EC204</f>
        <v>3</v>
      </c>
      <c r="AC1538" s="113">
        <f>'Data_in-situ'!EE204</f>
        <v>1.4614285714285715</v>
      </c>
      <c r="AD1538" s="113">
        <f>'Data_in-situ'!EF204</f>
        <v>0.21774353009437314</v>
      </c>
      <c r="AE1538" s="46">
        <f>'Data_in-situ'!EG204</f>
        <v>3</v>
      </c>
      <c r="AF1538" s="113">
        <f>'Data_in-situ'!EN146</f>
        <v>-5</v>
      </c>
      <c r="AG1538" s="113">
        <f>'Data_in-situ'!EO146</f>
        <v>2.0374819937564665</v>
      </c>
      <c r="AH1538" s="110">
        <f>'Data_in-situ'!EP146</f>
        <v>4</v>
      </c>
      <c r="AI1538" s="113">
        <f>'Data_in-situ'!ER146</f>
        <v>-54.4</v>
      </c>
      <c r="AJ1538" s="113">
        <f>'Data_in-situ'!ES146</f>
        <v>12.338684510900162</v>
      </c>
      <c r="AK1538" s="110">
        <f>'Data_in-situ'!ET146</f>
        <v>6</v>
      </c>
    </row>
    <row r="1539" spans="2:37" x14ac:dyDescent="0.3">
      <c r="N1539" s="24">
        <f>'Data_in-situ'!DA425</f>
        <v>-983.60000000000014</v>
      </c>
      <c r="O1539" s="24">
        <f>'Data_in-situ'!DB425</f>
        <v>94.627709120179674</v>
      </c>
      <c r="P1539" s="46">
        <f>'Data_in-situ'!DC425</f>
        <v>3</v>
      </c>
      <c r="Q1539" s="24">
        <f>'Data_in-situ'!DE425</f>
        <v>8811.4750000000004</v>
      </c>
      <c r="R1539" s="24">
        <f>'Data_in-situ'!DF425</f>
        <v>5873.9289174885607</v>
      </c>
      <c r="S1539" s="46">
        <f>'Data_in-situ'!DG425</f>
        <v>3</v>
      </c>
      <c r="Z1539" s="113">
        <f>'Data_in-situ'!EA214</f>
        <v>0.7</v>
      </c>
      <c r="AA1539" s="113">
        <f>'Data_in-situ'!EB214</f>
        <v>4.0249838876014987</v>
      </c>
      <c r="AB1539" s="46">
        <f>'Data_in-situ'!EC214</f>
        <v>3</v>
      </c>
      <c r="AC1539" s="113">
        <f>'Data_in-situ'!EE214</f>
        <v>0.8</v>
      </c>
      <c r="AD1539" s="113">
        <f>'Data_in-situ'!EF214</f>
        <v>1.1945115053344215</v>
      </c>
      <c r="AE1539" s="46">
        <f>'Data_in-situ'!EG214</f>
        <v>3</v>
      </c>
      <c r="AF1539" s="113">
        <f>'Data_in-situ'!EN163</f>
        <v>-109</v>
      </c>
      <c r="AG1539" s="113">
        <f>'Data_in-situ'!EO163</f>
        <v>44.417107463890972</v>
      </c>
      <c r="AH1539" s="110">
        <f>'Data_in-situ'!EP163</f>
        <v>4</v>
      </c>
      <c r="AI1539" s="113">
        <f>'Data_in-situ'!ER163</f>
        <v>-121</v>
      </c>
      <c r="AJ1539" s="113">
        <f>'Data_in-situ'!ES163</f>
        <v>27.444500474612497</v>
      </c>
      <c r="AK1539" s="110">
        <f>'Data_in-situ'!ET163</f>
        <v>4</v>
      </c>
    </row>
    <row r="1540" spans="2:37" x14ac:dyDescent="0.3">
      <c r="N1540" s="24">
        <f>'Data_in-situ'!DA432</f>
        <v>-80</v>
      </c>
      <c r="O1540" s="24">
        <f>'Data_in-situ'!DB432</f>
        <v>2009.1789367798974</v>
      </c>
      <c r="P1540" s="46">
        <f>'Data_in-situ'!DC432</f>
        <v>3</v>
      </c>
      <c r="Q1540" s="24">
        <f>'Data_in-situ'!DE432</f>
        <v>4580</v>
      </c>
      <c r="R1540" s="24">
        <f>'Data_in-situ'!DF432</f>
        <v>4416.7295593006365</v>
      </c>
      <c r="S1540" s="46">
        <f>'Data_in-situ'!DG432</f>
        <v>3</v>
      </c>
      <c r="Z1540" s="113">
        <f>'Data_in-situ'!EA215</f>
        <v>0.59306776707157072</v>
      </c>
      <c r="AA1540" s="113">
        <f>'Data_in-situ'!EB215</f>
        <v>2.3125422244636824</v>
      </c>
      <c r="AB1540" s="46">
        <f>'Data_in-situ'!EC215</f>
        <v>34</v>
      </c>
      <c r="AC1540" s="113">
        <f>'Data_in-situ'!EE215</f>
        <v>4.4926884730055843</v>
      </c>
      <c r="AD1540" s="113">
        <f>'Data_in-situ'!EF215</f>
        <v>1.7938809583770348</v>
      </c>
      <c r="AE1540" s="46">
        <f>'Data_in-situ'!EG215</f>
        <v>12</v>
      </c>
      <c r="AF1540" s="113">
        <f>'Data_in-situ'!EN164</f>
        <v>-109</v>
      </c>
      <c r="AG1540" s="113">
        <f>'Data_in-situ'!EO164</f>
        <v>44.417107463890972</v>
      </c>
      <c r="AH1540" s="110">
        <f>'Data_in-situ'!EP164</f>
        <v>4</v>
      </c>
      <c r="AI1540" s="113">
        <f>'Data_in-situ'!ER164</f>
        <v>-119</v>
      </c>
      <c r="AJ1540" s="113">
        <f>'Data_in-situ'!ES164</f>
        <v>26.990872367594108</v>
      </c>
      <c r="AK1540" s="110">
        <f>'Data_in-situ'!ET164</f>
        <v>4</v>
      </c>
    </row>
    <row r="1541" spans="2:37" x14ac:dyDescent="0.3">
      <c r="N1541" s="24">
        <f>'Data_in-situ'!DA433</f>
        <v>-1270</v>
      </c>
      <c r="O1541" s="24">
        <f>'Data_in-situ'!DB433</f>
        <v>1593.4867429633669</v>
      </c>
      <c r="P1541" s="46">
        <f>'Data_in-situ'!DC433</f>
        <v>3</v>
      </c>
      <c r="Q1541" s="24">
        <f>'Data_in-situ'!DE433</f>
        <v>4820</v>
      </c>
      <c r="R1541" s="24">
        <f>'Data_in-situ'!DF433</f>
        <v>4122.2809220139279</v>
      </c>
      <c r="S1541" s="46">
        <f>'Data_in-situ'!DG433</f>
        <v>3</v>
      </c>
      <c r="Z1541" s="113">
        <f>'Data_in-situ'!EA216</f>
        <v>7.5428571428571428E-2</v>
      </c>
      <c r="AA1541" s="113">
        <f>'Data_in-situ'!EB216</f>
        <v>0.15514226519224084</v>
      </c>
      <c r="AB1541" s="46">
        <f>'Data_in-situ'!EC216</f>
        <v>3</v>
      </c>
      <c r="AC1541" s="113">
        <f>'Data_in-situ'!EE216</f>
        <v>6.4428571428571418E-2</v>
      </c>
      <c r="AD1541" s="113">
        <f>'Data_in-situ'!EF216</f>
        <v>0.21502173596819346</v>
      </c>
      <c r="AE1541" s="46">
        <f>'Data_in-situ'!EG216</f>
        <v>3</v>
      </c>
      <c r="AF1541" s="113">
        <f>'Data_in-situ'!EN165</f>
        <v>-109</v>
      </c>
      <c r="AG1541" s="113">
        <f>'Data_in-situ'!EO165</f>
        <v>44.417107463890972</v>
      </c>
      <c r="AH1541" s="110">
        <f>'Data_in-situ'!EP165</f>
        <v>4</v>
      </c>
      <c r="AI1541" s="113">
        <f>'Data_in-situ'!ER165</f>
        <v>-138</v>
      </c>
      <c r="AJ1541" s="113">
        <f>'Data_in-situ'!ES165</f>
        <v>31.300339384268796</v>
      </c>
      <c r="AK1541" s="110">
        <f>'Data_in-situ'!ET165</f>
        <v>4</v>
      </c>
    </row>
    <row r="1542" spans="2:37" x14ac:dyDescent="0.3">
      <c r="N1542" s="24">
        <f>'Data_in-situ'!DA448</f>
        <v>-1943.3333333333333</v>
      </c>
      <c r="O1542" s="24">
        <f>'Data_in-situ'!DB448</f>
        <v>436</v>
      </c>
      <c r="P1542" s="46">
        <f>'Data_in-situ'!DC448</f>
        <v>3</v>
      </c>
      <c r="Q1542" s="24">
        <f>'Data_in-situ'!DE448</f>
        <v>-4766.666666666667</v>
      </c>
      <c r="R1542" s="24">
        <f>'Data_in-situ'!DF448</f>
        <v>1203</v>
      </c>
      <c r="S1542" s="46">
        <f>'Data_in-situ'!DG448</f>
        <v>3</v>
      </c>
      <c r="Z1542" s="113">
        <f>'Data_in-situ'!EA217</f>
        <v>1.3785046728971999</v>
      </c>
      <c r="AA1542" s="113">
        <f>'Data_in-situ'!EB217</f>
        <v>1.030159237619066</v>
      </c>
      <c r="AB1542" s="46">
        <f>'Data_in-situ'!EC217</f>
        <v>6</v>
      </c>
      <c r="AC1542" s="113">
        <f>'Data_in-situ'!EE217</f>
        <v>3.2242990654205603</v>
      </c>
      <c r="AD1542" s="113">
        <f>'Data_in-situ'!EF217</f>
        <v>3.548326262910205</v>
      </c>
      <c r="AE1542" s="46">
        <f>'Data_in-situ'!EG217</f>
        <v>6</v>
      </c>
      <c r="AF1542" s="113">
        <f>'Data_in-situ'!EN166</f>
        <v>-76</v>
      </c>
      <c r="AG1542" s="113">
        <f>'Data_in-situ'!EO166</f>
        <v>30.969726305098295</v>
      </c>
      <c r="AH1542" s="110">
        <f>'Data_in-situ'!EP166</f>
        <v>4</v>
      </c>
      <c r="AI1542" s="113">
        <f>'Data_in-situ'!ER166</f>
        <v>-84</v>
      </c>
      <c r="AJ1542" s="113">
        <f>'Data_in-situ'!ES166</f>
        <v>19.052380494772311</v>
      </c>
      <c r="AK1542" s="110">
        <f>'Data_in-situ'!ET166</f>
        <v>4</v>
      </c>
    </row>
    <row r="1543" spans="2:37" x14ac:dyDescent="0.3">
      <c r="N1543" s="24">
        <f>'Data_in-situ'!DA449</f>
        <v>-2676.6666666666665</v>
      </c>
      <c r="O1543" s="24">
        <f>'Data_in-situ'!DB449</f>
        <v>563</v>
      </c>
      <c r="P1543" s="46">
        <f>'Data_in-situ'!DC449</f>
        <v>3</v>
      </c>
      <c r="Q1543" s="24">
        <f>'Data_in-situ'!DE449</f>
        <v>-11000</v>
      </c>
      <c r="R1543" s="24">
        <f>'Data_in-situ'!DF449</f>
        <v>2602</v>
      </c>
      <c r="S1543" s="46">
        <f>'Data_in-situ'!DG449</f>
        <v>3</v>
      </c>
      <c r="Z1543" s="113">
        <f>'Data_in-situ'!EA218</f>
        <v>1.3785046728971999</v>
      </c>
      <c r="AA1543" s="113">
        <f>'Data_in-situ'!EB218</f>
        <v>1.030159237619066</v>
      </c>
      <c r="AB1543" s="46">
        <f>'Data_in-situ'!EC218</f>
        <v>6</v>
      </c>
      <c r="AC1543" s="113">
        <f>'Data_in-situ'!EE218</f>
        <v>2.8037383177570097</v>
      </c>
      <c r="AD1543" s="113">
        <f>'Data_in-situ'!EF218</f>
        <v>2.5181670252910933</v>
      </c>
      <c r="AE1543" s="46">
        <f>'Data_in-situ'!EG218</f>
        <v>6</v>
      </c>
      <c r="AF1543" s="113">
        <f>'Data_in-situ'!EN174</f>
        <v>-8</v>
      </c>
      <c r="AG1543" s="113">
        <f>'Data_in-situ'!EO174</f>
        <v>3.2599711900103467</v>
      </c>
      <c r="AH1543" s="110">
        <f>'Data_in-situ'!EP174</f>
        <v>3</v>
      </c>
      <c r="AI1543" s="113">
        <f>'Data_in-situ'!ER174</f>
        <v>-11</v>
      </c>
      <c r="AJ1543" s="113">
        <f>'Data_in-situ'!ES174</f>
        <v>2.4949545886011357</v>
      </c>
      <c r="AK1543" s="110">
        <f>'Data_in-situ'!ET174</f>
        <v>3</v>
      </c>
    </row>
    <row r="1544" spans="2:37" x14ac:dyDescent="0.3">
      <c r="N1544" s="24">
        <f>'Data_in-situ'!DA462</f>
        <v>-12503.333333333336</v>
      </c>
      <c r="O1544" s="24">
        <f>'Data_in-situ'!DB462</f>
        <v>37505.705838773269</v>
      </c>
      <c r="P1544" s="46">
        <f>'Data_in-situ'!DC462</f>
        <v>1</v>
      </c>
      <c r="Q1544" s="24">
        <f>'Data_in-situ'!DE462</f>
        <v>19726.666666666664</v>
      </c>
      <c r="R1544" s="24">
        <f>'Data_in-situ'!DF462</f>
        <v>18802.330188886517</v>
      </c>
      <c r="S1544" s="46">
        <f>'Data_in-situ'!DG462</f>
        <v>1</v>
      </c>
      <c r="Z1544" s="113">
        <f>'Data_in-situ'!EA219</f>
        <v>2.294285714285714</v>
      </c>
      <c r="AA1544" s="113">
        <f>'Data_in-situ'!EB219</f>
        <v>0.87097412037749256</v>
      </c>
      <c r="AB1544" s="46">
        <f>'Data_in-situ'!EC219</f>
        <v>3</v>
      </c>
      <c r="AC1544" s="113">
        <f>'Data_in-situ'!EE219</f>
        <v>2.152857142857143</v>
      </c>
      <c r="AD1544" s="113">
        <f>'Data_in-situ'!EF219</f>
        <v>0.81653823785389912</v>
      </c>
      <c r="AE1544" s="46">
        <f>'Data_in-situ'!EG219</f>
        <v>3</v>
      </c>
      <c r="AF1544" s="113">
        <f>'Data_in-situ'!EN175</f>
        <v>-8</v>
      </c>
      <c r="AG1544" s="113">
        <f>'Data_in-situ'!EO175</f>
        <v>3.2599711900103467</v>
      </c>
      <c r="AH1544" s="110">
        <f>'Data_in-situ'!EP175</f>
        <v>3</v>
      </c>
      <c r="AI1544" s="113">
        <f>'Data_in-situ'!ER175</f>
        <v>-19</v>
      </c>
      <c r="AJ1544" s="113">
        <f>'Data_in-situ'!ES175</f>
        <v>4.3094670166746889</v>
      </c>
      <c r="AK1544" s="110">
        <f>'Data_in-situ'!ET175</f>
        <v>3</v>
      </c>
    </row>
    <row r="1545" spans="2:37" x14ac:dyDescent="0.3">
      <c r="N1545" s="24">
        <f>'Data_in-situ'!DA463</f>
        <v>1723.3333333333358</v>
      </c>
      <c r="O1545" s="24">
        <f>'Data_in-situ'!DB463</f>
        <v>5169.4081361359113</v>
      </c>
      <c r="P1545" s="46">
        <f>'Data_in-situ'!DC463</f>
        <v>1</v>
      </c>
      <c r="Q1545" s="24">
        <f>'Data_in-situ'!DE463</f>
        <v>9570</v>
      </c>
      <c r="R1545" s="24">
        <f>'Data_in-situ'!DF463</f>
        <v>9121.5765414486632</v>
      </c>
      <c r="S1545" s="46">
        <f>'Data_in-situ'!DG463</f>
        <v>1</v>
      </c>
      <c r="Z1545" s="113">
        <f>'Data_in-situ'!EA220</f>
        <v>0.3457142857142857</v>
      </c>
      <c r="AA1545" s="113">
        <f>'Data_in-situ'!EB220</f>
        <v>0.10887176504718657</v>
      </c>
      <c r="AB1545" s="46">
        <f>'Data_in-situ'!EC220</f>
        <v>3</v>
      </c>
      <c r="AC1545" s="113">
        <f>'Data_in-situ'!EE220</f>
        <v>0.29857142857142854</v>
      </c>
      <c r="AD1545" s="113">
        <f>'Data_in-situ'!EF220</f>
        <v>8.165382378538992E-2</v>
      </c>
      <c r="AE1545" s="46">
        <f>'Data_in-situ'!EG220</f>
        <v>3</v>
      </c>
      <c r="AF1545" s="113">
        <f>'Data_in-situ'!EN176</f>
        <v>-7.2</v>
      </c>
      <c r="AG1545" s="113">
        <f>'Data_in-situ'!EO176</f>
        <v>2.1</v>
      </c>
      <c r="AH1545" s="110">
        <f>'Data_in-situ'!EP176</f>
        <v>4</v>
      </c>
      <c r="AI1545" s="113">
        <f>'Data_in-situ'!ER176</f>
        <v>-39.6</v>
      </c>
      <c r="AJ1545" s="113">
        <f>'Data_in-situ'!ES176</f>
        <v>17.2</v>
      </c>
      <c r="AK1545" s="110">
        <f>'Data_in-situ'!ET176</f>
        <v>3</v>
      </c>
    </row>
    <row r="1546" spans="2:37" x14ac:dyDescent="0.3">
      <c r="N1546" s="24">
        <f>'Data_in-situ'!DA464</f>
        <v>-12503.333333333336</v>
      </c>
      <c r="O1546" s="24">
        <f>'Data_in-situ'!DB464</f>
        <v>37505.705838773269</v>
      </c>
      <c r="P1546" s="46">
        <f>'Data_in-situ'!DC464</f>
        <v>1</v>
      </c>
      <c r="Q1546" s="24">
        <f>'Data_in-situ'!DE464</f>
        <v>19726.666666666664</v>
      </c>
      <c r="R1546" s="24">
        <f>'Data_in-situ'!DF464</f>
        <v>18802.330188886517</v>
      </c>
      <c r="S1546" s="46">
        <f>'Data_in-situ'!DG464</f>
        <v>1</v>
      </c>
      <c r="Z1546" s="113">
        <f>'Data_in-situ'!EA393</f>
        <v>5.8770295611265379E-2</v>
      </c>
      <c r="AA1546" s="113">
        <f>'Data_in-situ'!EB393</f>
        <v>0.33792784700702894</v>
      </c>
      <c r="AB1546" s="46">
        <f>'Data_in-situ'!EC393</f>
        <v>3</v>
      </c>
      <c r="AC1546" s="113">
        <f>'Data_in-situ'!EE393</f>
        <v>6.9833384230864909E-2</v>
      </c>
      <c r="AD1546" s="113">
        <f>'Data_in-situ'!EF393</f>
        <v>0.10427097615025936</v>
      </c>
      <c r="AE1546" s="46">
        <f>'Data_in-situ'!EG393</f>
        <v>3</v>
      </c>
      <c r="AF1546" s="113">
        <f>'Data_in-situ'!EN177</f>
        <v>-9.1999999999999993</v>
      </c>
      <c r="AG1546" s="113">
        <f>'Data_in-situ'!EO177</f>
        <v>4.8</v>
      </c>
      <c r="AH1546" s="110">
        <f>'Data_in-situ'!EP177</f>
        <v>4</v>
      </c>
      <c r="AI1546" s="113">
        <f>'Data_in-situ'!ER177</f>
        <v>-41</v>
      </c>
      <c r="AJ1546" s="113">
        <f>'Data_in-situ'!ES177</f>
        <v>11</v>
      </c>
      <c r="AK1546" s="110">
        <f>'Data_in-situ'!ET177</f>
        <v>3</v>
      </c>
    </row>
    <row r="1547" spans="2:37" x14ac:dyDescent="0.3">
      <c r="N1547" s="24">
        <f>'Data_in-situ'!DA465</f>
        <v>1723.3333333333358</v>
      </c>
      <c r="O1547" s="24">
        <f>'Data_in-situ'!DB465</f>
        <v>5169.4081361359113</v>
      </c>
      <c r="P1547" s="46">
        <f>'Data_in-situ'!DC465</f>
        <v>1</v>
      </c>
      <c r="Q1547" s="24">
        <f>'Data_in-situ'!DE465</f>
        <v>9570</v>
      </c>
      <c r="R1547" s="24">
        <f>'Data_in-situ'!DF465</f>
        <v>9121.5765414486632</v>
      </c>
      <c r="S1547" s="46">
        <f>'Data_in-situ'!DG465</f>
        <v>1</v>
      </c>
      <c r="Z1547" s="113">
        <f>'Data_in-situ'!EA420</f>
        <v>0.17500000000000002</v>
      </c>
      <c r="AA1547" s="113">
        <f>'Data_in-situ'!EB420</f>
        <v>6.6645830077107365E-2</v>
      </c>
      <c r="AB1547" s="46">
        <f>'Data_in-situ'!EC420</f>
        <v>3</v>
      </c>
      <c r="AC1547" s="113">
        <f>'Data_in-situ'!EE420</f>
        <v>3.8644999999999996</v>
      </c>
      <c r="AD1547" s="113">
        <f>'Data_in-situ'!EF420</f>
        <v>2.343140076194052</v>
      </c>
      <c r="AE1547" s="46">
        <f>'Data_in-situ'!EG420</f>
        <v>3</v>
      </c>
      <c r="AF1547" s="113">
        <f>'Data_in-situ'!EN178</f>
        <v>-9.6999999999999993</v>
      </c>
      <c r="AG1547" s="113">
        <f>'Data_in-situ'!EO178</f>
        <v>3.7</v>
      </c>
      <c r="AH1547" s="110">
        <f>'Data_in-situ'!EP178</f>
        <v>4</v>
      </c>
      <c r="AI1547" s="113">
        <f>'Data_in-situ'!ER178</f>
        <v>-45.2</v>
      </c>
      <c r="AJ1547" s="113">
        <f>'Data_in-situ'!ES178</f>
        <v>11.5</v>
      </c>
      <c r="AK1547" s="110">
        <f>'Data_in-situ'!ET178</f>
        <v>3</v>
      </c>
    </row>
    <row r="1548" spans="2:37" x14ac:dyDescent="0.3">
      <c r="N1548" s="24">
        <f>'Data_in-situ'!DA466</f>
        <v>-12503.333333333336</v>
      </c>
      <c r="O1548" s="24">
        <f>'Data_in-situ'!DB466</f>
        <v>37505.705838773269</v>
      </c>
      <c r="P1548" s="46">
        <f>'Data_in-situ'!DC466</f>
        <v>1</v>
      </c>
      <c r="Q1548" s="24">
        <f>'Data_in-situ'!DE466</f>
        <v>19726.666666666664</v>
      </c>
      <c r="R1548" s="24">
        <f>'Data_in-situ'!DF466</f>
        <v>18802.330188886517</v>
      </c>
      <c r="S1548" s="46">
        <f>'Data_in-situ'!DG466</f>
        <v>1</v>
      </c>
      <c r="T1548" s="113">
        <f>'Data_in-situ'!DN134</f>
        <v>3.1</v>
      </c>
      <c r="U1548" s="113">
        <f>'Data_in-situ'!DO134</f>
        <v>0.1</v>
      </c>
      <c r="V1548" s="46">
        <f>'Data_in-situ'!DP134</f>
        <v>3</v>
      </c>
      <c r="W1548" s="113">
        <f>'Data_in-situ'!DR134</f>
        <v>-2.8100000000000005</v>
      </c>
      <c r="X1548" s="113">
        <f>'Data_in-situ'!DS134</f>
        <v>0.1</v>
      </c>
      <c r="Y1548" s="46">
        <f>'Data_in-situ'!DT134</f>
        <v>3</v>
      </c>
      <c r="Z1548" s="113">
        <f>'Data_in-situ'!EA421</f>
        <v>0.81500000000000006</v>
      </c>
      <c r="AA1548" s="113">
        <f>'Data_in-situ'!EB421</f>
        <v>0.72028350899720972</v>
      </c>
      <c r="AB1548" s="46">
        <f>'Data_in-situ'!EC421</f>
        <v>3</v>
      </c>
      <c r="AC1548" s="113">
        <f>'Data_in-situ'!EE421</f>
        <v>5.5957499999999989</v>
      </c>
      <c r="AD1548" s="113">
        <f>'Data_in-situ'!EF421</f>
        <v>4.4151157143197661</v>
      </c>
      <c r="AE1548" s="46">
        <f>'Data_in-situ'!EG421</f>
        <v>3</v>
      </c>
      <c r="AF1548" s="113">
        <f>'Data_in-situ'!EN179</f>
        <v>-6.75</v>
      </c>
      <c r="AG1548" s="113">
        <f>'Data_in-situ'!EO179</f>
        <v>4.0326790102858423</v>
      </c>
      <c r="AH1548" s="110">
        <f>'Data_in-situ'!EP179</f>
        <v>3</v>
      </c>
      <c r="AI1548" s="113">
        <f>'Data_in-situ'!ER179</f>
        <v>-13.2</v>
      </c>
      <c r="AJ1548" s="113">
        <f>'Data_in-situ'!ES179</f>
        <v>6.5</v>
      </c>
      <c r="AK1548" s="110">
        <f>'Data_in-situ'!ET179</f>
        <v>3</v>
      </c>
    </row>
    <row r="1549" spans="2:37" x14ac:dyDescent="0.3">
      <c r="N1549" s="24">
        <f>'Data_in-situ'!DA467</f>
        <v>1723.3333333333358</v>
      </c>
      <c r="O1549" s="24">
        <f>'Data_in-situ'!DB467</f>
        <v>5169.4081361359113</v>
      </c>
      <c r="P1549" s="46">
        <f>'Data_in-situ'!DC467</f>
        <v>1</v>
      </c>
      <c r="Q1549" s="24">
        <f>'Data_in-situ'!DE467</f>
        <v>9570</v>
      </c>
      <c r="R1549" s="24">
        <f>'Data_in-situ'!DF467</f>
        <v>9121.5765414486632</v>
      </c>
      <c r="S1549" s="46">
        <f>'Data_in-situ'!DG467</f>
        <v>1</v>
      </c>
      <c r="T1549" s="113">
        <f>'Data_in-situ'!DN145</f>
        <v>244.12367999999998</v>
      </c>
      <c r="U1549" s="113">
        <f>'Data_in-situ'!DO145</f>
        <v>272.16843482550502</v>
      </c>
      <c r="V1549" s="46">
        <f>'Data_in-situ'!DP145</f>
        <v>4</v>
      </c>
      <c r="W1549" s="113">
        <f>'Data_in-situ'!DR145</f>
        <v>190.38399999999999</v>
      </c>
      <c r="X1549" s="113">
        <f>'Data_in-situ'!DS145</f>
        <v>711.50618703703014</v>
      </c>
      <c r="Y1549" s="46">
        <f>'Data_in-situ'!DT145</f>
        <v>6</v>
      </c>
      <c r="Z1549" s="113">
        <f>'Data_in-situ'!EA424</f>
        <v>5.5000000000000014E-3</v>
      </c>
      <c r="AA1549" s="113">
        <f>'Data_in-situ'!EB424</f>
        <v>3.892835299196034E-2</v>
      </c>
      <c r="AB1549" s="46">
        <f>'Data_in-situ'!EC424</f>
        <v>3</v>
      </c>
      <c r="AC1549" s="113">
        <f>'Data_in-situ'!EE424</f>
        <v>0.55899999999999994</v>
      </c>
      <c r="AD1549" s="113">
        <f>'Data_in-situ'!EF424</f>
        <v>0.83462586428491037</v>
      </c>
      <c r="AE1549" s="46">
        <f>'Data_in-situ'!EG424</f>
        <v>3</v>
      </c>
      <c r="AF1549" s="113">
        <f>'Data_in-situ'!EN180</f>
        <v>-7.05</v>
      </c>
      <c r="AG1549" s="113">
        <f>'Data_in-situ'!EO180</f>
        <v>2.8714108030722461</v>
      </c>
      <c r="AH1549" s="110">
        <f>'Data_in-situ'!EP180</f>
        <v>3</v>
      </c>
      <c r="AI1549" s="113">
        <f>'Data_in-situ'!ER180</f>
        <v>-16.899999999999999</v>
      </c>
      <c r="AJ1549" s="113">
        <f>'Data_in-situ'!ES180</f>
        <v>10.5</v>
      </c>
      <c r="AK1549" s="110">
        <f>'Data_in-situ'!ET180</f>
        <v>3</v>
      </c>
    </row>
    <row r="1550" spans="2:37" x14ac:dyDescent="0.3">
      <c r="N1550" s="24">
        <f>'Data_in-situ'!DA468</f>
        <v>-1350</v>
      </c>
      <c r="O1550" s="24">
        <f>'Data_in-situ'!DB468</f>
        <v>2670</v>
      </c>
      <c r="P1550" s="46">
        <f>'Data_in-situ'!DC468</f>
        <v>1</v>
      </c>
      <c r="Q1550" s="24">
        <f>'Data_in-situ'!DE468</f>
        <v>-320</v>
      </c>
      <c r="R1550" s="24">
        <f>'Data_in-situ'!DF468</f>
        <v>1110</v>
      </c>
      <c r="S1550" s="46">
        <f>'Data_in-situ'!DG468</f>
        <v>1</v>
      </c>
      <c r="T1550" s="113">
        <f>'Data_in-situ'!DN146</f>
        <v>244.12367999999998</v>
      </c>
      <c r="U1550" s="113">
        <f>'Data_in-situ'!DO146</f>
        <v>272.16843482550502</v>
      </c>
      <c r="V1550" s="46">
        <f>'Data_in-situ'!DP146</f>
        <v>4</v>
      </c>
      <c r="W1550" s="113">
        <f>'Data_in-situ'!DR146</f>
        <v>6.7043200000000001</v>
      </c>
      <c r="X1550" s="113">
        <f>'Data_in-situ'!DS146</f>
        <v>25.055493948420573</v>
      </c>
      <c r="Y1550" s="46">
        <f>'Data_in-situ'!DT146</f>
        <v>6</v>
      </c>
      <c r="Z1550" s="113">
        <f>'Data_in-situ'!EA432</f>
        <v>0.14142857142857143</v>
      </c>
      <c r="AA1550" s="113">
        <f>'Data_in-situ'!EB432</f>
        <v>0.29939735387976307</v>
      </c>
      <c r="AB1550" s="46">
        <f>'Data_in-situ'!EC432</f>
        <v>3</v>
      </c>
      <c r="AC1550" s="113">
        <f>'Data_in-situ'!EE432</f>
        <v>1.8071428571428574</v>
      </c>
      <c r="AD1550" s="113">
        <f>'Data_in-situ'!EF432</f>
        <v>2.1229994184201382</v>
      </c>
      <c r="AE1550" s="46">
        <f>'Data_in-situ'!EG432</f>
        <v>3</v>
      </c>
      <c r="AF1550" s="113">
        <f>'Data_in-situ'!EN181</f>
        <v>-8.5500000000000007</v>
      </c>
      <c r="AG1550" s="113">
        <f>'Data_in-situ'!EO181</f>
        <v>4.9678969393496883</v>
      </c>
      <c r="AH1550" s="110">
        <f>'Data_in-situ'!EP181</f>
        <v>3</v>
      </c>
      <c r="AI1550" s="113">
        <f>'Data_in-situ'!ER181</f>
        <v>-16.2</v>
      </c>
      <c r="AJ1550" s="113">
        <f>'Data_in-situ'!ES181</f>
        <v>8</v>
      </c>
      <c r="AK1550" s="110">
        <f>'Data_in-situ'!ET181</f>
        <v>3</v>
      </c>
    </row>
    <row r="1551" spans="2:37" x14ac:dyDescent="0.3">
      <c r="N1551" s="24">
        <f>'Data_in-situ'!DA469</f>
        <v>-5990.5</v>
      </c>
      <c r="O1551" s="24">
        <f>'Data_in-situ'!DB469</f>
        <v>17969.442614809748</v>
      </c>
      <c r="P1551" s="46">
        <f>'Data_in-situ'!DC469</f>
        <v>1</v>
      </c>
      <c r="Q1551" s="24">
        <f>'Data_in-situ'!DE469</f>
        <v>-5358</v>
      </c>
      <c r="R1551" s="24">
        <f>'Data_in-situ'!DF469</f>
        <v>5106.9390918580921</v>
      </c>
      <c r="S1551" s="46">
        <f>'Data_in-situ'!DG469</f>
        <v>1</v>
      </c>
      <c r="T1551" s="113">
        <f>'Data_in-situ'!DN156</f>
        <v>34.884300000000003</v>
      </c>
      <c r="U1551" s="113">
        <f>'Data_in-situ'!DO156</f>
        <v>2.7604911899877527</v>
      </c>
      <c r="V1551" s="46">
        <f>'Data_in-situ'!DP156</f>
        <v>4</v>
      </c>
      <c r="W1551" s="113">
        <f>'Data_in-situ'!DR156</f>
        <v>15.5944</v>
      </c>
      <c r="X1551" s="113">
        <f>'Data_in-situ'!DS156</f>
        <v>2.1027833031484722</v>
      </c>
      <c r="Y1551" s="46">
        <f>'Data_in-situ'!DT156</f>
        <v>4</v>
      </c>
      <c r="Z1551" s="113">
        <f>'Data_in-situ'!EA433</f>
        <v>0.11</v>
      </c>
      <c r="AA1551" s="113">
        <f>'Data_in-situ'!EB433</f>
        <v>0.65323059028311947</v>
      </c>
      <c r="AB1551" s="46">
        <f>'Data_in-situ'!EC433</f>
        <v>3</v>
      </c>
      <c r="AC1551" s="113">
        <f>'Data_in-situ'!EE433</f>
        <v>4.0071428571428571</v>
      </c>
      <c r="AD1551" s="113">
        <f>'Data_in-situ'!EF433</f>
        <v>2.7490120674414609</v>
      </c>
      <c r="AE1551" s="46">
        <f>'Data_in-situ'!EG433</f>
        <v>3</v>
      </c>
      <c r="AF1551" s="113">
        <f>'Data_in-situ'!EN182</f>
        <v>10.513333333333334</v>
      </c>
      <c r="AG1551" s="113">
        <f>'Data_in-situ'!EO182</f>
        <v>1.0373523991392701</v>
      </c>
      <c r="AH1551" s="110">
        <f>'Data_in-situ'!EP182</f>
        <v>3</v>
      </c>
      <c r="AI1551" s="113">
        <f>'Data_in-situ'!ER182</f>
        <v>-89.296666666666667</v>
      </c>
      <c r="AJ1551" s="113">
        <f>'Data_in-situ'!ES182</f>
        <v>4.948066962629615</v>
      </c>
      <c r="AK1551" s="110">
        <f>'Data_in-situ'!ET182</f>
        <v>3</v>
      </c>
    </row>
    <row r="1552" spans="2:37" x14ac:dyDescent="0.3">
      <c r="T1552" s="113">
        <f>'Data_in-situ'!DN157</f>
        <v>34.884300000000003</v>
      </c>
      <c r="U1552" s="113">
        <f>'Data_in-situ'!DO157</f>
        <v>2.7604911899877527</v>
      </c>
      <c r="V1552" s="46">
        <f>'Data_in-situ'!DP157</f>
        <v>4</v>
      </c>
      <c r="W1552" s="113">
        <f>'Data_in-situ'!DR157</f>
        <v>-3.7234000000000003</v>
      </c>
      <c r="X1552" s="113">
        <f>'Data_in-situ'!DS157</f>
        <v>0.33700001483679487</v>
      </c>
      <c r="Y1552" s="46">
        <f>'Data_in-situ'!DT157</f>
        <v>4</v>
      </c>
      <c r="Z1552" s="113">
        <f>'Data_in-situ'!EA436</f>
        <v>3.5419581632883812</v>
      </c>
      <c r="AA1552" s="113">
        <f>'Data_in-situ'!EB436</f>
        <v>380.03451144768485</v>
      </c>
      <c r="AB1552" s="46">
        <f>'Data_in-situ'!EC436</f>
        <v>34</v>
      </c>
      <c r="AC1552" s="113">
        <f>'Data_in-situ'!EE436</f>
        <v>22.445963773156404</v>
      </c>
      <c r="AD1552" s="113">
        <f>'Data_in-situ'!EF436</f>
        <v>202.87353243311873</v>
      </c>
      <c r="AE1552" s="46">
        <f>'Data_in-situ'!EG436</f>
        <v>9</v>
      </c>
      <c r="AF1552" s="113">
        <f>'Data_in-situ'!EN183</f>
        <v>21.581790123456788</v>
      </c>
      <c r="AG1552" s="113">
        <f>'Data_in-situ'!EO183</f>
        <v>1.1499049536443477</v>
      </c>
      <c r="AH1552" s="110">
        <f>'Data_in-situ'!EP183</f>
        <v>3</v>
      </c>
      <c r="AI1552" s="113">
        <f>'Data_in-situ'!ER183</f>
        <v>-89.296666666666667</v>
      </c>
      <c r="AJ1552" s="113">
        <f>'Data_in-situ'!ES183</f>
        <v>4.948066962629615</v>
      </c>
      <c r="AK1552" s="110">
        <f>'Data_in-situ'!ET183</f>
        <v>3</v>
      </c>
    </row>
    <row r="1553" spans="20:37" x14ac:dyDescent="0.3">
      <c r="T1553" s="113">
        <f>'Data_in-situ'!DN158</f>
        <v>34.884300000000003</v>
      </c>
      <c r="U1553" s="113">
        <f>'Data_in-situ'!DO158</f>
        <v>2.7604911899877527</v>
      </c>
      <c r="V1553" s="46">
        <f>'Data_in-situ'!DP158</f>
        <v>4</v>
      </c>
      <c r="W1553" s="113">
        <f>'Data_in-situ'!DR158</f>
        <v>-6.8844000000000012</v>
      </c>
      <c r="X1553" s="113">
        <f>'Data_in-situ'!DS158</f>
        <v>0.4472975072588713</v>
      </c>
      <c r="Y1553" s="46">
        <f>'Data_in-situ'!DT158</f>
        <v>4</v>
      </c>
      <c r="Z1553" s="113">
        <f>'Data_in-situ'!EA437</f>
        <v>4.07</v>
      </c>
      <c r="AA1553" s="113">
        <f>'Data_in-situ'!EB437</f>
        <v>1.72</v>
      </c>
      <c r="AB1553" s="46">
        <f>'Data_in-situ'!EC437</f>
        <v>3</v>
      </c>
      <c r="AC1553" s="113">
        <f>'Data_in-situ'!EE437</f>
        <v>4.9000000000000004</v>
      </c>
      <c r="AD1553" s="113">
        <f>'Data_in-situ'!EF437</f>
        <v>1.52</v>
      </c>
      <c r="AE1553" s="46">
        <f>'Data_in-situ'!EG437</f>
        <v>3</v>
      </c>
      <c r="AF1553" s="113">
        <f>'Data_in-situ'!EN184</f>
        <v>15.494138888888889</v>
      </c>
      <c r="AG1553" s="113">
        <f>'Data_in-situ'!EO184</f>
        <v>0.77024816389862394</v>
      </c>
      <c r="AH1553" s="110">
        <f>'Data_in-situ'!EP184</f>
        <v>3</v>
      </c>
      <c r="AI1553" s="113">
        <f>'Data_in-situ'!ER184</f>
        <v>-89.296666666666667</v>
      </c>
      <c r="AJ1553" s="113">
        <f>'Data_in-situ'!ES184</f>
        <v>4.948066962629615</v>
      </c>
      <c r="AK1553" s="110">
        <f>'Data_in-situ'!ET184</f>
        <v>3</v>
      </c>
    </row>
    <row r="1554" spans="20:37" x14ac:dyDescent="0.3">
      <c r="T1554" s="113">
        <f>'Data_in-situ'!DN159</f>
        <v>12.3249</v>
      </c>
      <c r="U1554" s="113">
        <f>'Data_in-situ'!DO159</f>
        <v>4.0482329046140624</v>
      </c>
      <c r="V1554" s="46">
        <f>'Data_in-situ'!DP159</f>
        <v>4</v>
      </c>
      <c r="W1554" s="113">
        <f>'Data_in-situ'!DR159</f>
        <v>4.5682</v>
      </c>
      <c r="X1554" s="113">
        <f>'Data_in-situ'!DS159</f>
        <v>1.4385784823915586</v>
      </c>
      <c r="Y1554" s="46">
        <f>'Data_in-situ'!DT159</f>
        <v>4</v>
      </c>
      <c r="Z1554" s="113">
        <f>'Data_in-situ'!EA438</f>
        <v>4.07</v>
      </c>
      <c r="AA1554" s="113">
        <f>'Data_in-situ'!EB438</f>
        <v>1.72</v>
      </c>
      <c r="AB1554" s="46">
        <f>'Data_in-situ'!EC438</f>
        <v>3</v>
      </c>
      <c r="AC1554" s="113">
        <f>'Data_in-situ'!EE438</f>
        <v>2.09</v>
      </c>
      <c r="AD1554" s="113">
        <f>'Data_in-situ'!EF438</f>
        <v>0.79</v>
      </c>
      <c r="AE1554" s="46">
        <f>'Data_in-situ'!EG438</f>
        <v>3</v>
      </c>
      <c r="AF1554" s="113">
        <f>'Data_in-situ'!EN185</f>
        <v>-29.297839506172831</v>
      </c>
      <c r="AG1554" s="113">
        <f>'Data_in-situ'!EO185</f>
        <v>7.4871417952407429</v>
      </c>
      <c r="AH1554" s="110">
        <f>'Data_in-situ'!EP185</f>
        <v>3</v>
      </c>
      <c r="AI1554" s="113">
        <f>'Data_in-situ'!ER185</f>
        <v>-89.296666666666667</v>
      </c>
      <c r="AJ1554" s="113">
        <f>'Data_in-situ'!ES185</f>
        <v>4.948066962629615</v>
      </c>
      <c r="AK1554" s="110">
        <f>'Data_in-situ'!ET185</f>
        <v>3</v>
      </c>
    </row>
    <row r="1555" spans="20:37" x14ac:dyDescent="0.3">
      <c r="T1555" s="113">
        <f>'Data_in-situ'!DN160</f>
        <v>12.3249</v>
      </c>
      <c r="U1555" s="113">
        <f>'Data_in-situ'!DO160</f>
        <v>4.0482329046140624</v>
      </c>
      <c r="V1555" s="46">
        <f>'Data_in-situ'!DP160</f>
        <v>4</v>
      </c>
      <c r="W1555" s="113">
        <f>'Data_in-situ'!DR160</f>
        <v>-2.4133</v>
      </c>
      <c r="X1555" s="113">
        <f>'Data_in-situ'!DS160</f>
        <v>0.28343706532491475</v>
      </c>
      <c r="Y1555" s="46">
        <f>'Data_in-situ'!DT160</f>
        <v>4</v>
      </c>
      <c r="Z1555" s="113">
        <f>'Data_in-situ'!EA441</f>
        <v>0.3</v>
      </c>
      <c r="AA1555" s="113">
        <f>'Data_in-situ'!EB441</f>
        <v>0.35</v>
      </c>
      <c r="AB1555" s="46">
        <f>'Data_in-situ'!EC441</f>
        <v>6</v>
      </c>
      <c r="AC1555" s="113">
        <f>'Data_in-situ'!EE441</f>
        <v>3.7</v>
      </c>
      <c r="AD1555" s="113">
        <f>'Data_in-situ'!EF441</f>
        <v>1.05</v>
      </c>
      <c r="AE1555" s="46">
        <f>'Data_in-situ'!EG441</f>
        <v>6</v>
      </c>
      <c r="AF1555" s="113">
        <f>'Data_in-situ'!EN186</f>
        <v>-15.092592592592601</v>
      </c>
      <c r="AG1555" s="113">
        <f>'Data_in-situ'!EO186</f>
        <v>7.11534501237022</v>
      </c>
      <c r="AH1555" s="110">
        <f>'Data_in-situ'!EP186</f>
        <v>3</v>
      </c>
      <c r="AI1555" s="113">
        <f>'Data_in-situ'!ER186</f>
        <v>-89.296666666666667</v>
      </c>
      <c r="AJ1555" s="113">
        <f>'Data_in-situ'!ES186</f>
        <v>4.948066962629615</v>
      </c>
      <c r="AK1555" s="110">
        <f>'Data_in-situ'!ET186</f>
        <v>3</v>
      </c>
    </row>
    <row r="1556" spans="20:37" x14ac:dyDescent="0.3">
      <c r="T1556" s="113">
        <f>'Data_in-situ'!DN161</f>
        <v>12.3249</v>
      </c>
      <c r="U1556" s="113">
        <f>'Data_in-situ'!DO161</f>
        <v>4.0482329046140624</v>
      </c>
      <c r="V1556" s="46">
        <f>'Data_in-situ'!DP161</f>
        <v>4</v>
      </c>
      <c r="W1556" s="113">
        <f>'Data_in-situ'!DR161</f>
        <v>0.28770000000000012</v>
      </c>
      <c r="X1556" s="113">
        <f>'Data_in-situ'!DS161</f>
        <v>0.26312447624650959</v>
      </c>
      <c r="Y1556" s="46">
        <f>'Data_in-situ'!DT161</f>
        <v>4</v>
      </c>
      <c r="Z1556" s="113">
        <f>'Data_in-situ'!EA442</f>
        <v>0.3</v>
      </c>
      <c r="AA1556" s="113">
        <f>'Data_in-situ'!EB442</f>
        <v>0.35</v>
      </c>
      <c r="AB1556" s="46">
        <f>'Data_in-situ'!EC442</f>
        <v>6</v>
      </c>
      <c r="AC1556" s="113">
        <f>'Data_in-situ'!EE442</f>
        <v>1.5</v>
      </c>
      <c r="AD1556" s="113">
        <f>'Data_in-situ'!EF442</f>
        <v>0.6</v>
      </c>
      <c r="AE1556" s="46">
        <f>'Data_in-situ'!EG442</f>
        <v>6</v>
      </c>
      <c r="AF1556" s="113">
        <f>'Data_in-situ'!EN187</f>
        <v>-22.905478395061731</v>
      </c>
      <c r="AG1556" s="113">
        <f>'Data_in-situ'!EO187</f>
        <v>5.2162753162474411</v>
      </c>
      <c r="AH1556" s="110">
        <f>'Data_in-situ'!EP187</f>
        <v>3</v>
      </c>
      <c r="AI1556" s="113">
        <f>'Data_in-situ'!ER187</f>
        <v>-89.296666666666667</v>
      </c>
      <c r="AJ1556" s="113">
        <f>'Data_in-situ'!ES187</f>
        <v>4.948066962629615</v>
      </c>
      <c r="AK1556" s="110">
        <f>'Data_in-situ'!ET187</f>
        <v>3</v>
      </c>
    </row>
    <row r="1557" spans="20:37" x14ac:dyDescent="0.3">
      <c r="T1557" s="113">
        <f>'Data_in-situ'!DN162</f>
        <v>4.1088183748609376E-2</v>
      </c>
      <c r="U1557" s="113">
        <f>'Data_in-situ'!DO162</f>
        <v>4.5808365090522003E-2</v>
      </c>
      <c r="V1557" s="46">
        <f>'Data_in-situ'!DP162</f>
        <v>4</v>
      </c>
      <c r="W1557" s="113">
        <f>'Data_in-situ'!DR162</f>
        <v>0.1749737827715355</v>
      </c>
      <c r="X1557" s="113">
        <f>'Data_in-situ'!DS162</f>
        <v>0.65391487210700916</v>
      </c>
      <c r="Y1557" s="46">
        <f>'Data_in-situ'!DT162</f>
        <v>4</v>
      </c>
      <c r="Z1557" s="113">
        <f>'Data_in-situ'!EA443</f>
        <v>0.3</v>
      </c>
      <c r="AA1557" s="113">
        <f>'Data_in-situ'!EB443</f>
        <v>0.35</v>
      </c>
      <c r="AB1557" s="46">
        <f>'Data_in-situ'!EC443</f>
        <v>6</v>
      </c>
      <c r="AC1557" s="113">
        <f>'Data_in-situ'!EE443</f>
        <v>37.700000000000003</v>
      </c>
      <c r="AD1557" s="113">
        <f>'Data_in-situ'!EF443</f>
        <v>2.95</v>
      </c>
      <c r="AE1557" s="46">
        <f>'Data_in-situ'!EG443</f>
        <v>4</v>
      </c>
      <c r="AF1557" s="113">
        <f>'Data_in-situ'!EN188</f>
        <v>15.494138888888889</v>
      </c>
      <c r="AG1557" s="113">
        <f>'Data_in-situ'!EO188</f>
        <v>0.77024816389862394</v>
      </c>
      <c r="AH1557" s="110">
        <f>'Data_in-situ'!EP188</f>
        <v>3</v>
      </c>
      <c r="AI1557" s="113">
        <f>'Data_in-situ'!ER188</f>
        <v>-91.63</v>
      </c>
      <c r="AJ1557" s="113">
        <f>'Data_in-situ'!ES188</f>
        <v>7.7942286340599471</v>
      </c>
      <c r="AK1557" s="110">
        <f>'Data_in-situ'!ET188</f>
        <v>3</v>
      </c>
    </row>
    <row r="1558" spans="20:37" x14ac:dyDescent="0.3">
      <c r="T1558" s="113">
        <f>'Data_in-situ'!DN163</f>
        <v>-0.12122916895579239</v>
      </c>
      <c r="U1558" s="113">
        <f>'Data_in-situ'!DO163</f>
        <v>0.13515588971088227</v>
      </c>
      <c r="V1558" s="46">
        <f>'Data_in-situ'!DP163</f>
        <v>4</v>
      </c>
      <c r="W1558" s="113">
        <f>'Data_in-situ'!DR163</f>
        <v>6.1724726721622734E-2</v>
      </c>
      <c r="X1558" s="113">
        <f>'Data_in-situ'!DS163</f>
        <v>0.23067865448569461</v>
      </c>
      <c r="Y1558" s="46">
        <f>'Data_in-situ'!DT163</f>
        <v>4</v>
      </c>
      <c r="AF1558" s="113">
        <f>'Data_in-situ'!EN189</f>
        <v>15.494138888888889</v>
      </c>
      <c r="AG1558" s="113">
        <f>'Data_in-situ'!EO189</f>
        <v>0.77024816389862394</v>
      </c>
      <c r="AH1558" s="110">
        <f>'Data_in-situ'!EP189</f>
        <v>3</v>
      </c>
      <c r="AI1558" s="113">
        <f>'Data_in-situ'!ER189</f>
        <v>-87.6</v>
      </c>
      <c r="AJ1558" s="113">
        <f>'Data_in-situ'!ES189</f>
        <v>10.825317547305483</v>
      </c>
      <c r="AK1558" s="110">
        <f>'Data_in-situ'!ET189</f>
        <v>3</v>
      </c>
    </row>
    <row r="1559" spans="20:37" x14ac:dyDescent="0.3">
      <c r="T1559" s="113">
        <f>'Data_in-situ'!DN164</f>
        <v>-0.12122916895579239</v>
      </c>
      <c r="U1559" s="113">
        <f>'Data_in-situ'!DO164</f>
        <v>0.13515588971088227</v>
      </c>
      <c r="V1559" s="46">
        <f>'Data_in-situ'!DP164</f>
        <v>4</v>
      </c>
      <c r="W1559" s="113">
        <f>'Data_in-situ'!DR164</f>
        <v>-0.12344945344324547</v>
      </c>
      <c r="X1559" s="113">
        <f>'Data_in-situ'!DS164</f>
        <v>0.46135730897138921</v>
      </c>
      <c r="Y1559" s="46">
        <f>'Data_in-situ'!DT164</f>
        <v>4</v>
      </c>
      <c r="AF1559" s="113">
        <f>'Data_in-situ'!EN190</f>
        <v>15.494138888888889</v>
      </c>
      <c r="AG1559" s="113">
        <f>'Data_in-situ'!EO190</f>
        <v>0.77024816389862394</v>
      </c>
      <c r="AH1559" s="110">
        <f>'Data_in-situ'!EP190</f>
        <v>3</v>
      </c>
      <c r="AI1559" s="113">
        <f>'Data_in-situ'!ER190</f>
        <v>-89.296666666666667</v>
      </c>
      <c r="AJ1559" s="113">
        <f>'Data_in-situ'!ES190</f>
        <v>6.512511036458978</v>
      </c>
      <c r="AK1559" s="110">
        <f>'Data_in-situ'!ET190</f>
        <v>3</v>
      </c>
    </row>
    <row r="1560" spans="20:37" x14ac:dyDescent="0.3">
      <c r="T1560" s="113">
        <f>'Data_in-situ'!DN165</f>
        <v>-0.12122916895579239</v>
      </c>
      <c r="U1560" s="113">
        <f>'Data_in-situ'!DO165</f>
        <v>0.13515588971088227</v>
      </c>
      <c r="V1560" s="46">
        <f>'Data_in-situ'!DP165</f>
        <v>4</v>
      </c>
      <c r="W1560" s="113">
        <f>'Data_in-situ'!DR165</f>
        <v>0.12344945344324547</v>
      </c>
      <c r="X1560" s="113">
        <f>'Data_in-situ'!DS165</f>
        <v>0.46135730897138921</v>
      </c>
      <c r="Y1560" s="46">
        <f>'Data_in-situ'!DT165</f>
        <v>4</v>
      </c>
      <c r="AF1560" s="113">
        <f>'Data_in-situ'!EN191</f>
        <v>-22.905478395061731</v>
      </c>
      <c r="AG1560" s="113">
        <f>'Data_in-situ'!EO191</f>
        <v>5.2162753162474411</v>
      </c>
      <c r="AH1560" s="110">
        <f>'Data_in-situ'!EP191</f>
        <v>3</v>
      </c>
      <c r="AI1560" s="113">
        <f>'Data_in-situ'!ER191</f>
        <v>-91.63</v>
      </c>
      <c r="AJ1560" s="113">
        <f>'Data_in-situ'!ES191</f>
        <v>7.7942286340599471</v>
      </c>
      <c r="AK1560" s="110">
        <f>'Data_in-situ'!ET191</f>
        <v>3</v>
      </c>
    </row>
    <row r="1561" spans="20:37" x14ac:dyDescent="0.3">
      <c r="T1561" s="113">
        <f>'Data_in-situ'!DN166</f>
        <v>-0.52800000000000002</v>
      </c>
      <c r="U1561" s="113">
        <f>'Data_in-situ'!DO166</f>
        <v>0.5886562646764405</v>
      </c>
      <c r="V1561" s="46">
        <f>'Data_in-situ'!DP166</f>
        <v>4</v>
      </c>
      <c r="W1561" s="113">
        <f>'Data_in-situ'!DR166</f>
        <v>-0.26133333333333336</v>
      </c>
      <c r="X1561" s="113">
        <f>'Data_in-situ'!DS166</f>
        <v>0.97665919166357074</v>
      </c>
      <c r="Y1561" s="46">
        <f>'Data_in-situ'!DT166</f>
        <v>4</v>
      </c>
      <c r="AF1561" s="113">
        <f>'Data_in-situ'!EN192</f>
        <v>-22.905478395061731</v>
      </c>
      <c r="AG1561" s="113">
        <f>'Data_in-situ'!EO192</f>
        <v>5.2162753162474411</v>
      </c>
      <c r="AH1561" s="110">
        <f>'Data_in-situ'!EP192</f>
        <v>3</v>
      </c>
      <c r="AI1561" s="113">
        <f>'Data_in-situ'!ER192</f>
        <v>-87.6</v>
      </c>
      <c r="AJ1561" s="113">
        <f>'Data_in-situ'!ES192</f>
        <v>10.825317547305483</v>
      </c>
      <c r="AK1561" s="110">
        <f>'Data_in-situ'!ET192</f>
        <v>3</v>
      </c>
    </row>
    <row r="1562" spans="20:37" x14ac:dyDescent="0.3">
      <c r="T1562" s="113">
        <f>'Data_in-situ'!DN176</f>
        <v>1294.4026579568806</v>
      </c>
      <c r="U1562" s="113">
        <f>'Data_in-situ'!DO176</f>
        <v>1425.6221977894311</v>
      </c>
      <c r="V1562" s="46">
        <f>'Data_in-situ'!DP176</f>
        <v>4</v>
      </c>
      <c r="W1562" s="113">
        <f>'Data_in-situ'!DR176</f>
        <v>22.36227209479982</v>
      </c>
      <c r="X1562" s="113">
        <f>'Data_in-situ'!DS176</f>
        <v>23.370237472575557</v>
      </c>
      <c r="Y1562" s="46">
        <f>'Data_in-situ'!DT176</f>
        <v>3</v>
      </c>
      <c r="AF1562" s="113">
        <f>'Data_in-situ'!EN193</f>
        <v>-22.905478395061731</v>
      </c>
      <c r="AG1562" s="113">
        <f>'Data_in-situ'!EO193</f>
        <v>5.2162753162474411</v>
      </c>
      <c r="AH1562" s="110">
        <f>'Data_in-situ'!EP193</f>
        <v>3</v>
      </c>
      <c r="AI1562" s="113">
        <f>'Data_in-situ'!ER193</f>
        <v>-89.296666666666667</v>
      </c>
      <c r="AJ1562" s="113">
        <f>'Data_in-situ'!ES193</f>
        <v>6.512511036458978</v>
      </c>
      <c r="AK1562" s="110">
        <f>'Data_in-situ'!ET193</f>
        <v>3</v>
      </c>
    </row>
    <row r="1563" spans="20:37" x14ac:dyDescent="0.3">
      <c r="T1563" s="113">
        <f>'Data_in-situ'!DN177</f>
        <v>835.37440260212782</v>
      </c>
      <c r="U1563" s="113">
        <f>'Data_in-situ'!DO177</f>
        <v>1277.3279087005756</v>
      </c>
      <c r="V1563" s="46">
        <f>'Data_in-situ'!DP177</f>
        <v>4</v>
      </c>
      <c r="W1563" s="113">
        <f>'Data_in-situ'!DR177</f>
        <v>14.31185414067193</v>
      </c>
      <c r="X1563" s="113">
        <f>'Data_in-situ'!DS177</f>
        <v>14.416523575818015</v>
      </c>
      <c r="Y1563" s="46">
        <f>'Data_in-situ'!DT177</f>
        <v>3</v>
      </c>
      <c r="AF1563" s="113">
        <f>'Data_in-situ'!EN199</f>
        <v>-20.100000000000001</v>
      </c>
      <c r="AG1563" s="113">
        <f>'Data_in-situ'!EO199</f>
        <v>2</v>
      </c>
      <c r="AH1563" s="110">
        <f>'Data_in-situ'!EP199</f>
        <v>16</v>
      </c>
      <c r="AI1563" s="113">
        <f>'Data_in-situ'!ER199</f>
        <v>-38.200000000000003</v>
      </c>
      <c r="AJ1563" s="113">
        <f>'Data_in-situ'!ES199</f>
        <v>2</v>
      </c>
      <c r="AK1563" s="110">
        <f>'Data_in-situ'!ET199</f>
        <v>16</v>
      </c>
    </row>
    <row r="1564" spans="20:37" x14ac:dyDescent="0.3">
      <c r="T1564" s="113">
        <f>'Data_in-situ'!DN178</f>
        <v>564.51922087106243</v>
      </c>
      <c r="U1564" s="113">
        <f>'Data_in-situ'!DO178</f>
        <v>574.53047753186331</v>
      </c>
      <c r="V1564" s="46">
        <f>'Data_in-situ'!DP178</f>
        <v>4</v>
      </c>
      <c r="W1564" s="113">
        <f>'Data_in-situ'!DR178</f>
        <v>18.784308559631839</v>
      </c>
      <c r="X1564" s="113">
        <f>'Data_in-situ'!DS178</f>
        <v>16.576139153459437</v>
      </c>
      <c r="Y1564" s="46">
        <f>'Data_in-situ'!DT178</f>
        <v>3</v>
      </c>
      <c r="AF1564" s="113">
        <f>'Data_in-situ'!EN200</f>
        <v>-23</v>
      </c>
      <c r="AG1564" s="113">
        <f>'Data_in-situ'!EO200</f>
        <v>3.2</v>
      </c>
      <c r="AH1564" s="110">
        <f>'Data_in-situ'!EP200</f>
        <v>16</v>
      </c>
      <c r="AI1564" s="113">
        <f>'Data_in-situ'!ER200</f>
        <v>-35.299999999999997</v>
      </c>
      <c r="AJ1564" s="113">
        <f>'Data_in-situ'!ES200</f>
        <v>4.4000000000000004</v>
      </c>
      <c r="AK1564" s="110">
        <f>'Data_in-situ'!ET200</f>
        <v>16</v>
      </c>
    </row>
    <row r="1565" spans="20:37" x14ac:dyDescent="0.3">
      <c r="T1565" s="113">
        <f>'Data_in-situ'!DN179</f>
        <v>140.79806050736187</v>
      </c>
      <c r="U1565" s="113">
        <f>'Data_in-situ'!DO179</f>
        <v>57.85185596345088</v>
      </c>
      <c r="V1565" s="46">
        <f>'Data_in-situ'!DP179</f>
        <v>3</v>
      </c>
      <c r="W1565" s="113">
        <f>'Data_in-situ'!DR179</f>
        <v>22.365263658588713</v>
      </c>
      <c r="X1565" s="113">
        <f>'Data_in-situ'!DS179</f>
        <v>28.96859337526929</v>
      </c>
      <c r="Y1565" s="46">
        <f>'Data_in-situ'!DT179</f>
        <v>3</v>
      </c>
      <c r="AF1565" s="113">
        <f>'Data_in-situ'!EN201</f>
        <v>7.1</v>
      </c>
      <c r="AG1565" s="113">
        <f>'Data_in-situ'!EO201</f>
        <v>1.3435028842544376</v>
      </c>
      <c r="AH1565" s="110">
        <f>'Data_in-situ'!EP201</f>
        <v>3</v>
      </c>
      <c r="AI1565" s="113">
        <f>'Data_in-situ'!ER201</f>
        <v>-26</v>
      </c>
      <c r="AJ1565" s="113">
        <f>'Data_in-situ'!ES201</f>
        <v>5.6568542494923806</v>
      </c>
      <c r="AK1565" s="110">
        <f>'Data_in-situ'!ET201</f>
        <v>3</v>
      </c>
    </row>
    <row r="1566" spans="20:37" x14ac:dyDescent="0.3">
      <c r="T1566" s="113">
        <f>'Data_in-situ'!DN180</f>
        <v>129.84710024567806</v>
      </c>
      <c r="U1566" s="113">
        <f>'Data_in-situ'!DO180</f>
        <v>45.955805142101362</v>
      </c>
      <c r="V1566" s="46">
        <f>'Data_in-situ'!DP180</f>
        <v>3</v>
      </c>
      <c r="W1566" s="113">
        <f>'Data_in-situ'!DR180</f>
        <v>14.486591233404059</v>
      </c>
      <c r="X1566" s="113">
        <f>'Data_in-situ'!DS180</f>
        <v>18.662006281146603</v>
      </c>
      <c r="Y1566" s="46">
        <f>'Data_in-situ'!DT180</f>
        <v>3</v>
      </c>
      <c r="AF1566" s="113">
        <f>'Data_in-situ'!EN202</f>
        <v>14.2</v>
      </c>
      <c r="AG1566" s="113">
        <f>'Data_in-situ'!EO202</f>
        <v>1.9091883092036779</v>
      </c>
      <c r="AH1566" s="110">
        <f>'Data_in-situ'!EP202</f>
        <v>3</v>
      </c>
      <c r="AI1566" s="113">
        <f>'Data_in-situ'!ER202</f>
        <v>-26.3</v>
      </c>
      <c r="AJ1566" s="113">
        <f>'Data_in-situ'!ES202</f>
        <v>4.6669047558312107</v>
      </c>
      <c r="AK1566" s="110">
        <f>'Data_in-situ'!ET202</f>
        <v>3</v>
      </c>
    </row>
    <row r="1567" spans="20:37" x14ac:dyDescent="0.3">
      <c r="T1567" s="113">
        <f>'Data_in-situ'!DN181</f>
        <v>159.57113524167664</v>
      </c>
      <c r="U1567" s="113">
        <f>'Data_in-situ'!DO181</f>
        <v>73.816751459863269</v>
      </c>
      <c r="V1567" s="46">
        <f>'Data_in-situ'!DP181</f>
        <v>3</v>
      </c>
      <c r="W1567" s="113">
        <f>'Data_in-situ'!DR181</f>
        <v>15.757344850369346</v>
      </c>
      <c r="X1567" s="113">
        <f>'Data_in-situ'!DS181</f>
        <v>19.375072891550516</v>
      </c>
      <c r="Y1567" s="46">
        <f>'Data_in-situ'!DT181</f>
        <v>3</v>
      </c>
      <c r="AF1567" s="113">
        <f>'Data_in-situ'!EN203</f>
        <v>3</v>
      </c>
      <c r="AG1567" s="113">
        <f>'Data_in-situ'!EO203</f>
        <v>1.22248919625388</v>
      </c>
      <c r="AH1567" s="110">
        <f>'Data_in-situ'!EP203</f>
        <v>3</v>
      </c>
      <c r="AI1567" s="113">
        <f>'Data_in-situ'!ER203</f>
        <v>-42</v>
      </c>
      <c r="AJ1567" s="113">
        <f>'Data_in-situ'!ES203</f>
        <v>9.5261902473861557</v>
      </c>
      <c r="AK1567" s="110">
        <f>'Data_in-situ'!ET203</f>
        <v>3</v>
      </c>
    </row>
    <row r="1568" spans="20:37" x14ac:dyDescent="0.3">
      <c r="T1568" s="113">
        <f>'Data_in-situ'!DN182</f>
        <v>1413.9420186433458</v>
      </c>
      <c r="U1568" s="113">
        <f>'Data_in-situ'!DO182</f>
        <v>520.26850212340003</v>
      </c>
      <c r="V1568" s="46">
        <f>'Data_in-situ'!DP182</f>
        <v>3</v>
      </c>
      <c r="W1568" s="113">
        <f>'Data_in-situ'!DR182</f>
        <v>5.2453106713176574</v>
      </c>
      <c r="X1568" s="113">
        <f>'Data_in-situ'!DS182</f>
        <v>10.686883582340696</v>
      </c>
      <c r="Y1568" s="46">
        <f>'Data_in-situ'!DT182</f>
        <v>3</v>
      </c>
      <c r="AF1568" s="113">
        <f>'Data_in-situ'!EN204</f>
        <v>3</v>
      </c>
      <c r="AG1568" s="113">
        <f>'Data_in-situ'!EO204</f>
        <v>1.22248919625388</v>
      </c>
      <c r="AH1568" s="110">
        <f>'Data_in-situ'!EP204</f>
        <v>3</v>
      </c>
      <c r="AI1568" s="113">
        <f>'Data_in-situ'!ER204</f>
        <v>-41</v>
      </c>
      <c r="AJ1568" s="113">
        <f>'Data_in-situ'!ES204</f>
        <v>9.2993761938769612</v>
      </c>
      <c r="AK1568" s="110">
        <f>'Data_in-situ'!ET204</f>
        <v>3</v>
      </c>
    </row>
    <row r="1569" spans="20:37" x14ac:dyDescent="0.3">
      <c r="T1569" s="113">
        <f>'Data_in-situ'!DN183</f>
        <v>965.8440732691339</v>
      </c>
      <c r="U1569" s="113">
        <f>'Data_in-situ'!DO183</f>
        <v>308.47001167764779</v>
      </c>
      <c r="V1569" s="46">
        <f>'Data_in-situ'!DP183</f>
        <v>3</v>
      </c>
      <c r="W1569" s="113">
        <f>'Data_in-situ'!DR183</f>
        <v>5.2453106713176574</v>
      </c>
      <c r="X1569" s="113">
        <f>'Data_in-situ'!DS183</f>
        <v>10.686883582340696</v>
      </c>
      <c r="Y1569" s="46">
        <f>'Data_in-situ'!DT183</f>
        <v>3</v>
      </c>
      <c r="AF1569" s="113">
        <f>'Data_in-situ'!EN213</f>
        <v>-14.909844559585478</v>
      </c>
      <c r="AG1569" s="113">
        <f>'Data_in-situ'!EO213</f>
        <v>1.0723470663621506</v>
      </c>
      <c r="AH1569" s="110">
        <f>'Data_in-situ'!EP213</f>
        <v>3</v>
      </c>
      <c r="AI1569" s="113">
        <f>'Data_in-situ'!ER213</f>
        <v>-31.98942141623488</v>
      </c>
      <c r="AJ1569" s="113">
        <f>'Data_in-situ'!ES213</f>
        <v>1.5801931444910506</v>
      </c>
      <c r="AK1569" s="110">
        <f>'Data_in-situ'!ET213</f>
        <v>3</v>
      </c>
    </row>
    <row r="1570" spans="20:37" x14ac:dyDescent="0.3">
      <c r="T1570" s="113">
        <f>'Data_in-situ'!DN184</f>
        <v>1212.2979432249506</v>
      </c>
      <c r="U1570" s="113">
        <f>'Data_in-situ'!DO184</f>
        <v>318.03950472765939</v>
      </c>
      <c r="V1570" s="46">
        <f>'Data_in-situ'!DP184</f>
        <v>3</v>
      </c>
      <c r="W1570" s="113">
        <f>'Data_in-situ'!DR184</f>
        <v>5.2453106713176574</v>
      </c>
      <c r="X1570" s="113">
        <f>'Data_in-situ'!DS184</f>
        <v>10.686883582340696</v>
      </c>
      <c r="Y1570" s="46">
        <f>'Data_in-situ'!DT184</f>
        <v>3</v>
      </c>
      <c r="AF1570" s="113">
        <f>'Data_in-situ'!EN214</f>
        <v>-13.449581506576324</v>
      </c>
      <c r="AG1570" s="113">
        <f>'Data_in-situ'!EO214</f>
        <v>1.4236979793576987</v>
      </c>
      <c r="AH1570" s="110">
        <f>'Data_in-situ'!EP214</f>
        <v>3</v>
      </c>
      <c r="AI1570" s="113">
        <f>'Data_in-situ'!ER214</f>
        <v>-31.606217616580317</v>
      </c>
      <c r="AJ1570" s="113">
        <f>'Data_in-situ'!ES214</f>
        <v>2.0517717022532898</v>
      </c>
      <c r="AK1570" s="110">
        <f>'Data_in-situ'!ET214</f>
        <v>3</v>
      </c>
    </row>
    <row r="1571" spans="20:37" x14ac:dyDescent="0.3">
      <c r="T1571" s="113">
        <f>'Data_in-situ'!DN185</f>
        <v>319.20253634957294</v>
      </c>
      <c r="U1571" s="113">
        <f>'Data_in-situ'!DO185</f>
        <v>123.29702910462079</v>
      </c>
      <c r="V1571" s="46">
        <f>'Data_in-situ'!DP185</f>
        <v>3</v>
      </c>
      <c r="W1571" s="113">
        <f>'Data_in-situ'!DR185</f>
        <v>5.2453106713176574</v>
      </c>
      <c r="X1571" s="113">
        <f>'Data_in-situ'!DS185</f>
        <v>10.686883582340696</v>
      </c>
      <c r="Y1571" s="46">
        <f>'Data_in-situ'!DT185</f>
        <v>3</v>
      </c>
      <c r="AF1571" s="113">
        <f>'Data_in-situ'!EN216</f>
        <v>-15</v>
      </c>
      <c r="AG1571" s="113">
        <f>'Data_in-situ'!EO216</f>
        <v>6.1124459812694001</v>
      </c>
      <c r="AH1571" s="110">
        <f>'Data_in-situ'!EP216</f>
        <v>3</v>
      </c>
      <c r="AI1571" s="113">
        <f>'Data_in-situ'!ER216</f>
        <v>-38</v>
      </c>
      <c r="AJ1571" s="113">
        <f>'Data_in-situ'!ES216</f>
        <v>8.6189340333493778</v>
      </c>
      <c r="AK1571" s="110">
        <f>'Data_in-situ'!ET216</f>
        <v>3</v>
      </c>
    </row>
    <row r="1572" spans="20:37" x14ac:dyDescent="0.3">
      <c r="T1572" s="113">
        <f>'Data_in-situ'!DN186</f>
        <v>396.02095568448323</v>
      </c>
      <c r="U1572" s="113">
        <f>'Data_in-situ'!DO186</f>
        <v>825.11321611621167</v>
      </c>
      <c r="V1572" s="46">
        <f>'Data_in-situ'!DP186</f>
        <v>3</v>
      </c>
      <c r="W1572" s="113">
        <f>'Data_in-situ'!DR186</f>
        <v>5.2453106713176574</v>
      </c>
      <c r="X1572" s="113">
        <f>'Data_in-situ'!DS186</f>
        <v>10.686883582340696</v>
      </c>
      <c r="Y1572" s="46">
        <f>'Data_in-situ'!DT186</f>
        <v>3</v>
      </c>
      <c r="AF1572" s="113">
        <f>'Data_in-situ'!EN217</f>
        <v>-37.626417233560076</v>
      </c>
      <c r="AG1572" s="113">
        <f>'Data_in-situ'!EO217</f>
        <v>4.4214357150460231</v>
      </c>
      <c r="AH1572" s="110">
        <f>'Data_in-situ'!EP217</f>
        <v>6</v>
      </c>
      <c r="AI1572" s="113">
        <f>'Data_in-situ'!ER217</f>
        <v>-45.222713794142358</v>
      </c>
      <c r="AJ1572" s="113">
        <f>'Data_in-situ'!ES217</f>
        <v>4.4131903136073891</v>
      </c>
      <c r="AK1572" s="110">
        <f>'Data_in-situ'!ET217</f>
        <v>6</v>
      </c>
    </row>
    <row r="1573" spans="20:37" x14ac:dyDescent="0.3">
      <c r="T1573" s="113">
        <f>'Data_in-situ'!DN187</f>
        <v>353.77082505028261</v>
      </c>
      <c r="U1573" s="113">
        <f>'Data_in-situ'!DO187</f>
        <v>377.4427718737299</v>
      </c>
      <c r="V1573" s="46">
        <f>'Data_in-situ'!DP187</f>
        <v>3</v>
      </c>
      <c r="W1573" s="113">
        <f>'Data_in-situ'!DR187</f>
        <v>5.2453106713176574</v>
      </c>
      <c r="X1573" s="113">
        <f>'Data_in-situ'!DS187</f>
        <v>10.686883582340696</v>
      </c>
      <c r="Y1573" s="46">
        <f>'Data_in-situ'!DT187</f>
        <v>3</v>
      </c>
      <c r="AF1573" s="113">
        <f>'Data_in-situ'!EN218</f>
        <v>-37.626417233560076</v>
      </c>
      <c r="AG1573" s="113">
        <f>'Data_in-situ'!EO218</f>
        <v>4.4214357150460231</v>
      </c>
      <c r="AH1573" s="110">
        <f>'Data_in-situ'!EP218</f>
        <v>6</v>
      </c>
      <c r="AI1573" s="113">
        <f>'Data_in-situ'!ER218</f>
        <v>-55.775689347117904</v>
      </c>
      <c r="AJ1573" s="113">
        <f>'Data_in-situ'!ES218</f>
        <v>3.8401258483742482</v>
      </c>
      <c r="AK1573" s="110">
        <f>'Data_in-situ'!ET218</f>
        <v>6</v>
      </c>
    </row>
    <row r="1574" spans="20:37" x14ac:dyDescent="0.3">
      <c r="T1574" s="113">
        <f>'Data_in-situ'!DN188</f>
        <v>1212.2979432249506</v>
      </c>
      <c r="U1574" s="113">
        <f>'Data_in-situ'!DO188</f>
        <v>318.03950472765939</v>
      </c>
      <c r="V1574" s="46">
        <f>'Data_in-situ'!DP188</f>
        <v>3</v>
      </c>
      <c r="W1574" s="113">
        <f>'Data_in-situ'!DR188</f>
        <v>4.8706456233663973</v>
      </c>
      <c r="X1574" s="113">
        <f>'Data_in-situ'!DS188</f>
        <v>10.042950275238745</v>
      </c>
      <c r="Y1574" s="46">
        <f>'Data_in-situ'!DT188</f>
        <v>3</v>
      </c>
      <c r="AF1574" s="113">
        <f>'Data_in-situ'!EN271</f>
        <v>-26.2</v>
      </c>
      <c r="AG1574" s="113">
        <f>'Data_in-situ'!EO271</f>
        <v>1.6</v>
      </c>
      <c r="AH1574" s="110">
        <f>'Data_in-situ'!EP271</f>
        <v>4</v>
      </c>
      <c r="AI1574" s="113">
        <f>'Data_in-situ'!ER271</f>
        <v>-42</v>
      </c>
      <c r="AJ1574" s="113">
        <f>'Data_in-situ'!ES271</f>
        <v>1.6</v>
      </c>
      <c r="AK1574" s="110">
        <f>'Data_in-situ'!ET271</f>
        <v>4</v>
      </c>
    </row>
    <row r="1575" spans="20:37" x14ac:dyDescent="0.3">
      <c r="T1575" s="113">
        <f>'Data_in-situ'!DN189</f>
        <v>1212.2979432249506</v>
      </c>
      <c r="U1575" s="113">
        <f>'Data_in-situ'!DO189</f>
        <v>318.03950472765939</v>
      </c>
      <c r="V1575" s="46">
        <f>'Data_in-situ'!DP189</f>
        <v>3</v>
      </c>
      <c r="W1575" s="113">
        <f>'Data_in-situ'!DR189</f>
        <v>4.4959805754151345</v>
      </c>
      <c r="X1575" s="113">
        <f>'Data_in-situ'!DS189</f>
        <v>9.194274493457808</v>
      </c>
      <c r="Y1575" s="46">
        <f>'Data_in-situ'!DT189</f>
        <v>3</v>
      </c>
      <c r="AF1575" s="113">
        <f>'Data_in-situ'!EN274</f>
        <v>1.2156862745098034</v>
      </c>
      <c r="AG1575" s="113">
        <f>'Data_in-situ'!EO274</f>
        <v>0.49768216864884945</v>
      </c>
      <c r="AH1575" s="110">
        <f>'Data_in-situ'!EP274</f>
        <v>5</v>
      </c>
      <c r="AI1575" s="113">
        <f>'Data_in-situ'!ER274</f>
        <v>-1.3627450980392155</v>
      </c>
      <c r="AJ1575" s="113">
        <f>'Data_in-situ'!ES274</f>
        <v>0.94222961725764198</v>
      </c>
      <c r="AK1575" s="110">
        <f>'Data_in-situ'!ET274</f>
        <v>5</v>
      </c>
    </row>
    <row r="1576" spans="20:37" x14ac:dyDescent="0.3">
      <c r="T1576" s="113">
        <f>'Data_in-situ'!DN190</f>
        <v>1212.2979432249506</v>
      </c>
      <c r="U1576" s="113">
        <f>'Data_in-situ'!DO190</f>
        <v>318.03950472765939</v>
      </c>
      <c r="V1576" s="46">
        <f>'Data_in-situ'!DP190</f>
        <v>3</v>
      </c>
      <c r="W1576" s="113">
        <f>'Data_in-situ'!DR190</f>
        <v>6.3693058151714421</v>
      </c>
      <c r="X1576" s="113">
        <f>'Data_in-situ'!DS190</f>
        <v>13.141978030809039</v>
      </c>
      <c r="Y1576" s="46">
        <f>'Data_in-situ'!DT190</f>
        <v>3</v>
      </c>
      <c r="AF1576" s="113">
        <f>'Data_in-situ'!EN275</f>
        <v>1.6638655462184853</v>
      </c>
      <c r="AG1576" s="113">
        <f>'Data_in-situ'!EO275</f>
        <v>0.34418289379886746</v>
      </c>
      <c r="AH1576" s="110">
        <f>'Data_in-situ'!EP275</f>
        <v>5</v>
      </c>
      <c r="AI1576" s="113">
        <f>'Data_in-situ'!ER275</f>
        <v>-0.55462184873949671</v>
      </c>
      <c r="AJ1576" s="113">
        <f>'Data_in-situ'!ES275</f>
        <v>0.63167690703653101</v>
      </c>
      <c r="AK1576" s="110">
        <f>'Data_in-situ'!ET275</f>
        <v>5</v>
      </c>
    </row>
    <row r="1577" spans="20:37" x14ac:dyDescent="0.3">
      <c r="T1577" s="113">
        <f>'Data_in-situ'!DN191</f>
        <v>353.77082505028261</v>
      </c>
      <c r="U1577" s="113">
        <f>'Data_in-situ'!DO191</f>
        <v>377.4427718737299</v>
      </c>
      <c r="V1577" s="46">
        <f>'Data_in-situ'!DP191</f>
        <v>3</v>
      </c>
      <c r="W1577" s="113">
        <f>'Data_in-situ'!DR191</f>
        <v>4.8706456233663973</v>
      </c>
      <c r="X1577" s="113">
        <f>'Data_in-situ'!DS191</f>
        <v>10.042950275238745</v>
      </c>
      <c r="Y1577" s="46">
        <f>'Data_in-situ'!DT191</f>
        <v>3</v>
      </c>
      <c r="AF1577" s="113">
        <f>'Data_in-situ'!EN276</f>
        <v>1.3882352941176466</v>
      </c>
      <c r="AG1577" s="113">
        <f>'Data_in-situ'!EO276</f>
        <v>0.46526399843023991</v>
      </c>
      <c r="AH1577" s="110">
        <f>'Data_in-situ'!EP276</f>
        <v>5</v>
      </c>
      <c r="AI1577" s="113">
        <f>'Data_in-situ'!ER276</f>
        <v>-1.0352941176470594</v>
      </c>
      <c r="AJ1577" s="113">
        <f>'Data_in-situ'!ES276</f>
        <v>0.83640987539045919</v>
      </c>
      <c r="AK1577" s="110">
        <f>'Data_in-situ'!ET276</f>
        <v>5</v>
      </c>
    </row>
    <row r="1578" spans="20:37" x14ac:dyDescent="0.3">
      <c r="T1578" s="113">
        <f>'Data_in-situ'!DN192</f>
        <v>353.77082505028261</v>
      </c>
      <c r="U1578" s="113">
        <f>'Data_in-situ'!DO192</f>
        <v>377.4427718737299</v>
      </c>
      <c r="V1578" s="46">
        <f>'Data_in-situ'!DP192</f>
        <v>3</v>
      </c>
      <c r="W1578" s="113">
        <f>'Data_in-situ'!DR192</f>
        <v>4.4959805754151345</v>
      </c>
      <c r="X1578" s="113">
        <f>'Data_in-situ'!DS192</f>
        <v>9.194274493457808</v>
      </c>
      <c r="Y1578" s="46">
        <f>'Data_in-situ'!DT192</f>
        <v>3</v>
      </c>
      <c r="AF1578" s="113">
        <f>'Data_in-situ'!EN277</f>
        <v>0.28104575163398426</v>
      </c>
      <c r="AG1578" s="113">
        <f>'Data_in-situ'!EO277</f>
        <v>1.0823202980922819</v>
      </c>
      <c r="AH1578" s="110">
        <f>'Data_in-situ'!EP277</f>
        <v>5</v>
      </c>
      <c r="AI1578" s="113">
        <f>'Data_in-situ'!ER277</f>
        <v>0.57352941176470584</v>
      </c>
      <c r="AJ1578" s="113">
        <f>'Data_in-situ'!ES277</f>
        <v>0.95907460925260324</v>
      </c>
      <c r="AK1578" s="110">
        <f>'Data_in-situ'!ET277</f>
        <v>5</v>
      </c>
    </row>
    <row r="1579" spans="20:37" x14ac:dyDescent="0.3">
      <c r="T1579" s="113">
        <f>'Data_in-situ'!DN193</f>
        <v>353.77082505028261</v>
      </c>
      <c r="U1579" s="113">
        <f>'Data_in-situ'!DO193</f>
        <v>377.4427718737299</v>
      </c>
      <c r="V1579" s="46">
        <f>'Data_in-situ'!DP193</f>
        <v>3</v>
      </c>
      <c r="W1579" s="113">
        <f>'Data_in-situ'!DR193</f>
        <v>6.3693058151714421</v>
      </c>
      <c r="X1579" s="113">
        <f>'Data_in-situ'!DS193</f>
        <v>13.141978030809039</v>
      </c>
      <c r="Y1579" s="46">
        <f>'Data_in-situ'!DT193</f>
        <v>3</v>
      </c>
      <c r="AF1579" s="113">
        <f>'Data_in-situ'!EN278</f>
        <v>1.4575163398692808</v>
      </c>
      <c r="AG1579" s="113">
        <f>'Data_in-situ'!EO278</f>
        <v>0.75703059071343026</v>
      </c>
      <c r="AH1579" s="110">
        <f>'Data_in-situ'!EP278</f>
        <v>5</v>
      </c>
      <c r="AI1579" s="113">
        <f>'Data_in-situ'!ER278</f>
        <v>1.1487889273356398</v>
      </c>
      <c r="AJ1579" s="113">
        <f>'Data_in-situ'!ES278</f>
        <v>0.755435518283471</v>
      </c>
      <c r="AK1579" s="110">
        <f>'Data_in-situ'!ET278</f>
        <v>5</v>
      </c>
    </row>
    <row r="1580" spans="20:37" x14ac:dyDescent="0.3">
      <c r="T1580" s="113">
        <f>'Data_in-situ'!DN200</f>
        <v>245.98402154970469</v>
      </c>
      <c r="U1580" s="113">
        <f>'Data_in-situ'!DO200</f>
        <v>274.24249109003443</v>
      </c>
      <c r="V1580" s="46">
        <f>'Data_in-situ'!DP200</f>
        <v>1</v>
      </c>
      <c r="W1580" s="113">
        <f>'Data_in-situ'!DR200</f>
        <v>137.10405045597599</v>
      </c>
      <c r="X1580" s="113">
        <f>'Data_in-situ'!DS200</f>
        <v>512.38749142398558</v>
      </c>
      <c r="Y1580" s="46">
        <f>'Data_in-situ'!DT200</f>
        <v>1</v>
      </c>
      <c r="AF1580" s="113">
        <f>'Data_in-situ'!EN279</f>
        <v>3.0092879256965936</v>
      </c>
      <c r="AG1580" s="113">
        <f>'Data_in-situ'!EO279</f>
        <v>0.8290793279171158</v>
      </c>
      <c r="AH1580" s="110">
        <f>'Data_in-situ'!EP279</f>
        <v>5</v>
      </c>
      <c r="AI1580" s="113">
        <f>'Data_in-situ'!ER279</f>
        <v>2.8111455108359125</v>
      </c>
      <c r="AJ1580" s="113">
        <f>'Data_in-situ'!ES279</f>
        <v>0.80714422344061043</v>
      </c>
      <c r="AK1580" s="110">
        <f>'Data_in-situ'!ET279</f>
        <v>5</v>
      </c>
    </row>
    <row r="1581" spans="20:37" x14ac:dyDescent="0.3">
      <c r="T1581" s="113">
        <f>'Data_in-situ'!DN201</f>
        <v>54.705882352941174</v>
      </c>
      <c r="U1581" s="113">
        <f>'Data_in-situ'!DO201</f>
        <v>60.990455230513547</v>
      </c>
      <c r="V1581" s="46">
        <f>'Data_in-situ'!DP201</f>
        <v>3</v>
      </c>
      <c r="W1581" s="113">
        <f>'Data_in-situ'!DR201</f>
        <v>0</v>
      </c>
      <c r="X1581" s="113">
        <f>'Data_in-situ'!DS201</f>
        <v>0</v>
      </c>
      <c r="Y1581" s="46">
        <f>'Data_in-situ'!DT201</f>
        <v>3</v>
      </c>
      <c r="AF1581" s="113">
        <f>'Data_in-situ'!EN280</f>
        <v>-24.4</v>
      </c>
      <c r="AG1581" s="113">
        <f>'Data_in-situ'!EO280</f>
        <v>9.9429121295315568</v>
      </c>
      <c r="AH1581" s="110">
        <f>'Data_in-situ'!EP280</f>
        <v>1</v>
      </c>
      <c r="AI1581" s="113">
        <f>'Data_in-situ'!ER280</f>
        <v>-83.7</v>
      </c>
      <c r="AJ1581" s="113">
        <f>'Data_in-situ'!ES280</f>
        <v>18.984336278719553</v>
      </c>
      <c r="AK1581" s="110">
        <f>'Data_in-situ'!ET280</f>
        <v>1</v>
      </c>
    </row>
    <row r="1582" spans="20:37" x14ac:dyDescent="0.3">
      <c r="T1582" s="113">
        <f>'Data_in-situ'!DN202</f>
        <v>57.352941176470587</v>
      </c>
      <c r="U1582" s="113">
        <f>'Data_in-situ'!DO202</f>
        <v>63.941606290054523</v>
      </c>
      <c r="V1582" s="46">
        <f>'Data_in-situ'!DP202</f>
        <v>3</v>
      </c>
      <c r="W1582" s="113">
        <f>'Data_in-situ'!DR202</f>
        <v>0</v>
      </c>
      <c r="X1582" s="113">
        <f>'Data_in-situ'!DS202</f>
        <v>0</v>
      </c>
      <c r="Y1582" s="46">
        <f>'Data_in-situ'!DT202</f>
        <v>3</v>
      </c>
      <c r="AF1582" s="113">
        <f>'Data_in-situ'!EN281</f>
        <v>-24.4</v>
      </c>
      <c r="AG1582" s="113">
        <f>'Data_in-situ'!EO281</f>
        <v>9.9429121295315568</v>
      </c>
      <c r="AH1582" s="110">
        <f>'Data_in-situ'!EP281</f>
        <v>1</v>
      </c>
      <c r="AI1582" s="113">
        <f>'Data_in-situ'!ER281</f>
        <v>-49.1</v>
      </c>
      <c r="AJ1582" s="113">
        <f>'Data_in-situ'!ES281</f>
        <v>11.136570027301435</v>
      </c>
      <c r="AK1582" s="110">
        <f>'Data_in-situ'!ET281</f>
        <v>1</v>
      </c>
    </row>
    <row r="1583" spans="20:37" x14ac:dyDescent="0.3">
      <c r="T1583" s="113">
        <f>'Data_in-situ'!DN213</f>
        <v>5.4</v>
      </c>
      <c r="U1583" s="113">
        <f>'Data_in-situ'!DO213</f>
        <v>6.0203481614635956</v>
      </c>
      <c r="V1583" s="46">
        <f>'Data_in-situ'!DP213</f>
        <v>3</v>
      </c>
      <c r="W1583" s="113">
        <f>'Data_in-situ'!DR213</f>
        <v>1.4</v>
      </c>
      <c r="X1583" s="113">
        <f>'Data_in-situ'!DS213</f>
        <v>5.2321028124834132</v>
      </c>
      <c r="Y1583" s="46">
        <f>'Data_in-situ'!DT213</f>
        <v>3</v>
      </c>
      <c r="AF1583" s="113">
        <f>'Data_in-situ'!EN282</f>
        <v>-24.4</v>
      </c>
      <c r="AG1583" s="113">
        <f>'Data_in-situ'!EO282</f>
        <v>9.9429121295315568</v>
      </c>
      <c r="AH1583" s="110">
        <f>'Data_in-situ'!EP282</f>
        <v>1</v>
      </c>
      <c r="AI1583" s="113">
        <f>'Data_in-situ'!ER282</f>
        <v>-63.8</v>
      </c>
      <c r="AJ1583" s="113">
        <f>'Data_in-situ'!ES282</f>
        <v>14.470736613886588</v>
      </c>
      <c r="AK1583" s="110">
        <f>'Data_in-situ'!ET282</f>
        <v>1</v>
      </c>
    </row>
    <row r="1584" spans="20:37" x14ac:dyDescent="0.3">
      <c r="T1584" s="113">
        <f>'Data_in-situ'!DN214</f>
        <v>7.5</v>
      </c>
      <c r="U1584" s="113">
        <f>'Data_in-situ'!DO214</f>
        <v>8.3615946686994373</v>
      </c>
      <c r="V1584" s="46">
        <f>'Data_in-situ'!DP214</f>
        <v>3</v>
      </c>
      <c r="W1584" s="113">
        <f>'Data_in-situ'!DR214</f>
        <v>1.6</v>
      </c>
      <c r="X1584" s="113">
        <f>'Data_in-situ'!DS214</f>
        <v>5.979546071409616</v>
      </c>
      <c r="Y1584" s="46">
        <f>'Data_in-situ'!DT214</f>
        <v>3</v>
      </c>
      <c r="AF1584" s="113">
        <f>'Data_in-situ'!EN283</f>
        <v>-24.4</v>
      </c>
      <c r="AG1584" s="113">
        <f>'Data_in-situ'!EO283</f>
        <v>9.9429121295315568</v>
      </c>
      <c r="AH1584" s="110">
        <f>'Data_in-situ'!EP283</f>
        <v>1</v>
      </c>
      <c r="AI1584" s="113">
        <f>'Data_in-situ'!ER283</f>
        <v>-34.4</v>
      </c>
      <c r="AJ1584" s="113">
        <f>'Data_in-situ'!ES283</f>
        <v>7.8024034407162794</v>
      </c>
      <c r="AK1584" s="110">
        <f>'Data_in-situ'!ET283</f>
        <v>1</v>
      </c>
    </row>
    <row r="1585" spans="20:37" x14ac:dyDescent="0.3">
      <c r="T1585" s="113">
        <f>'Data_in-situ'!DN215</f>
        <v>1948.0617366827116</v>
      </c>
      <c r="U1585" s="113">
        <f>'Data_in-situ'!DO215</f>
        <v>3162.7708177229088</v>
      </c>
      <c r="V1585" s="46">
        <f>'Data_in-situ'!DP215</f>
        <v>34</v>
      </c>
      <c r="W1585" s="113">
        <f>'Data_in-situ'!DR215</f>
        <v>12.698456613428982</v>
      </c>
      <c r="X1585" s="113">
        <f>'Data_in-situ'!DS215</f>
        <v>4.590471281452122</v>
      </c>
      <c r="Y1585" s="46">
        <f>'Data_in-situ'!DT215</f>
        <v>12</v>
      </c>
      <c r="AF1585" s="113">
        <f>'Data_in-situ'!EN284</f>
        <v>-24.4</v>
      </c>
      <c r="AG1585" s="113">
        <f>'Data_in-situ'!EO284</f>
        <v>9.9429121295315568</v>
      </c>
      <c r="AH1585" s="110">
        <f>'Data_in-situ'!EP284</f>
        <v>1</v>
      </c>
      <c r="AI1585" s="113">
        <f>'Data_in-situ'!ER284</f>
        <v>-83.7</v>
      </c>
      <c r="AJ1585" s="113">
        <f>'Data_in-situ'!ES284</f>
        <v>18.984336278719553</v>
      </c>
      <c r="AK1585" s="110">
        <f>'Data_in-situ'!ET284</f>
        <v>1</v>
      </c>
    </row>
    <row r="1586" spans="20:37" x14ac:dyDescent="0.3">
      <c r="T1586" s="113">
        <f>'Data_in-situ'!DN216</f>
        <v>36.386666666666663</v>
      </c>
      <c r="U1586" s="113">
        <f>'Data_in-situ'!DO216</f>
        <v>4.1569219381653051</v>
      </c>
      <c r="V1586" s="46">
        <f>'Data_in-situ'!DP216</f>
        <v>3</v>
      </c>
      <c r="W1586" s="113">
        <f>'Data_in-situ'!DR216</f>
        <v>12.573333333333332</v>
      </c>
      <c r="X1586" s="113">
        <f>'Data_in-situ'!DS216</f>
        <v>5.1268703904038775</v>
      </c>
      <c r="Y1586" s="46">
        <f>'Data_in-situ'!DT216</f>
        <v>3</v>
      </c>
      <c r="AF1586" s="113">
        <f>'Data_in-situ'!EN285</f>
        <v>-24.4</v>
      </c>
      <c r="AG1586" s="113">
        <f>'Data_in-situ'!EO285</f>
        <v>9.9429121295315568</v>
      </c>
      <c r="AH1586" s="110">
        <f>'Data_in-situ'!EP285</f>
        <v>1</v>
      </c>
      <c r="AI1586" s="113">
        <f>'Data_in-situ'!ER285</f>
        <v>-49.1</v>
      </c>
      <c r="AJ1586" s="113">
        <f>'Data_in-situ'!ES285</f>
        <v>11.136570027301435</v>
      </c>
      <c r="AK1586" s="110">
        <f>'Data_in-situ'!ET285</f>
        <v>1</v>
      </c>
    </row>
    <row r="1587" spans="20:37" x14ac:dyDescent="0.3">
      <c r="T1587" s="113">
        <f>'Data_in-situ'!DN217</f>
        <v>42.739726027397303</v>
      </c>
      <c r="U1587" s="113">
        <f>'Data_in-situ'!DO217</f>
        <v>33.554654010728207</v>
      </c>
      <c r="V1587" s="46">
        <f>'Data_in-situ'!DP217</f>
        <v>6</v>
      </c>
      <c r="W1587" s="113">
        <f>'Data_in-situ'!DR217</f>
        <v>15.6164383561644</v>
      </c>
      <c r="X1587" s="113">
        <f>'Data_in-situ'!DS217</f>
        <v>21.474978566866142</v>
      </c>
      <c r="Y1587" s="46">
        <f>'Data_in-situ'!DT217</f>
        <v>6</v>
      </c>
      <c r="AF1587" s="113">
        <f>'Data_in-situ'!EN286</f>
        <v>-24.4</v>
      </c>
      <c r="AG1587" s="113">
        <f>'Data_in-situ'!EO286</f>
        <v>9.9429121295315568</v>
      </c>
      <c r="AH1587" s="110">
        <f>'Data_in-situ'!EP286</f>
        <v>1</v>
      </c>
      <c r="AI1587" s="113">
        <f>'Data_in-situ'!ER286</f>
        <v>-63.8</v>
      </c>
      <c r="AJ1587" s="113">
        <f>'Data_in-situ'!ES286</f>
        <v>14.470736613886588</v>
      </c>
      <c r="AK1587" s="110">
        <f>'Data_in-situ'!ET286</f>
        <v>1</v>
      </c>
    </row>
    <row r="1588" spans="20:37" x14ac:dyDescent="0.3">
      <c r="T1588" s="113">
        <f>'Data_in-situ'!DN218</f>
        <v>42.739726027397296</v>
      </c>
      <c r="U1588" s="113">
        <f>'Data_in-situ'!DO218</f>
        <v>33.554654010728207</v>
      </c>
      <c r="V1588" s="46">
        <f>'Data_in-situ'!DP218</f>
        <v>6</v>
      </c>
      <c r="W1588" s="113">
        <f>'Data_in-situ'!DR218</f>
        <v>16.164383561643799</v>
      </c>
      <c r="X1588" s="113">
        <f>'Data_in-situ'!DS218</f>
        <v>14.764047764720594</v>
      </c>
      <c r="Y1588" s="46">
        <f>'Data_in-situ'!DT218</f>
        <v>6</v>
      </c>
      <c r="AF1588" s="113">
        <f>'Data_in-situ'!EN287</f>
        <v>-24.4</v>
      </c>
      <c r="AG1588" s="113">
        <f>'Data_in-situ'!EO287</f>
        <v>9.9429121295315568</v>
      </c>
      <c r="AH1588" s="110">
        <f>'Data_in-situ'!EP287</f>
        <v>1</v>
      </c>
      <c r="AI1588" s="113">
        <f>'Data_in-situ'!ER287</f>
        <v>-34.4</v>
      </c>
      <c r="AJ1588" s="113">
        <f>'Data_in-situ'!ES287</f>
        <v>7.8024034407162794</v>
      </c>
      <c r="AK1588" s="110">
        <f>'Data_in-situ'!ET287</f>
        <v>1</v>
      </c>
    </row>
    <row r="1589" spans="20:37" x14ac:dyDescent="0.3">
      <c r="T1589" s="113">
        <f>'Data_in-situ'!DN219</f>
        <v>21.18</v>
      </c>
      <c r="U1589" s="113">
        <f>'Data_in-situ'!DO219</f>
        <v>2.2516660498395402</v>
      </c>
      <c r="V1589" s="46">
        <f>'Data_in-situ'!DP219</f>
        <v>3</v>
      </c>
      <c r="W1589" s="113">
        <f>'Data_in-situ'!DR219</f>
        <v>9.06</v>
      </c>
      <c r="X1589" s="113">
        <f>'Data_in-situ'!DS219</f>
        <v>0.95262794416288255</v>
      </c>
      <c r="Y1589" s="46">
        <f>'Data_in-situ'!DT219</f>
        <v>3</v>
      </c>
      <c r="AF1589" s="113">
        <f>'Data_in-situ'!EN288</f>
        <v>-24.4</v>
      </c>
      <c r="AG1589" s="113">
        <f>'Data_in-situ'!EO288</f>
        <v>9.9429121295315568</v>
      </c>
      <c r="AH1589" s="110">
        <f>'Data_in-situ'!EP288</f>
        <v>1</v>
      </c>
      <c r="AI1589" s="113">
        <f>'Data_in-situ'!ER288</f>
        <v>-83.7</v>
      </c>
      <c r="AJ1589" s="113">
        <f>'Data_in-situ'!ES288</f>
        <v>18.984336278719553</v>
      </c>
      <c r="AK1589" s="110">
        <f>'Data_in-situ'!ET288</f>
        <v>1</v>
      </c>
    </row>
    <row r="1590" spans="20:37" x14ac:dyDescent="0.3">
      <c r="T1590" s="113">
        <f>'Data_in-situ'!DN220</f>
        <v>13.53</v>
      </c>
      <c r="U1590" s="113">
        <f>'Data_in-situ'!DO220</f>
        <v>1.593486742963367</v>
      </c>
      <c r="V1590" s="46">
        <f>'Data_in-situ'!DP220</f>
        <v>3</v>
      </c>
      <c r="W1590" s="113">
        <f>'Data_in-situ'!DR220</f>
        <v>3.23</v>
      </c>
      <c r="X1590" s="113">
        <f>'Data_in-situ'!DS220</f>
        <v>0.74478184725461716</v>
      </c>
      <c r="Y1590" s="46">
        <f>'Data_in-situ'!DT220</f>
        <v>3</v>
      </c>
      <c r="AF1590" s="113">
        <f>'Data_in-situ'!EN289</f>
        <v>-24.4</v>
      </c>
      <c r="AG1590" s="113">
        <f>'Data_in-situ'!EO289</f>
        <v>9.9429121295315568</v>
      </c>
      <c r="AH1590" s="110">
        <f>'Data_in-situ'!EP289</f>
        <v>1</v>
      </c>
      <c r="AI1590" s="113">
        <f>'Data_in-situ'!ER289</f>
        <v>-49.1</v>
      </c>
      <c r="AJ1590" s="113">
        <f>'Data_in-situ'!ES289</f>
        <v>11.136570027301435</v>
      </c>
      <c r="AK1590" s="110">
        <f>'Data_in-situ'!ET289</f>
        <v>1</v>
      </c>
    </row>
    <row r="1591" spans="20:37" x14ac:dyDescent="0.3">
      <c r="T1591" s="113">
        <f>'Data_in-situ'!DN271</f>
        <v>28.501072212251554</v>
      </c>
      <c r="U1591" s="113">
        <f>'Data_in-situ'!DO271</f>
        <v>28.652903393199384</v>
      </c>
      <c r="V1591" s="46">
        <f>'Data_in-situ'!DP271</f>
        <v>8</v>
      </c>
      <c r="W1591" s="113">
        <f>'Data_in-situ'!DR271</f>
        <v>2.155113237216562</v>
      </c>
      <c r="X1591" s="113">
        <f>'Data_in-situ'!DS271</f>
        <v>5.8344440438614322</v>
      </c>
      <c r="Y1591" s="46">
        <f>'Data_in-situ'!DT271</f>
        <v>8</v>
      </c>
      <c r="AF1591" s="113">
        <f>'Data_in-situ'!EN290</f>
        <v>-24.4</v>
      </c>
      <c r="AG1591" s="113">
        <f>'Data_in-situ'!EO290</f>
        <v>9.9429121295315568</v>
      </c>
      <c r="AH1591" s="110">
        <f>'Data_in-situ'!EP290</f>
        <v>1</v>
      </c>
      <c r="AI1591" s="113">
        <f>'Data_in-situ'!ER290</f>
        <v>-63.8</v>
      </c>
      <c r="AJ1591" s="113">
        <f>'Data_in-situ'!ES290</f>
        <v>14.470736613886588</v>
      </c>
      <c r="AK1591" s="110">
        <f>'Data_in-situ'!ET290</f>
        <v>1</v>
      </c>
    </row>
    <row r="1592" spans="20:37" x14ac:dyDescent="0.3">
      <c r="T1592" s="113">
        <f>'Data_in-situ'!DN272</f>
        <v>14.883893266398051</v>
      </c>
      <c r="U1592" s="113">
        <f>'Data_in-situ'!DO272</f>
        <v>86.792053465048554</v>
      </c>
      <c r="V1592" s="46">
        <f>'Data_in-situ'!DP272</f>
        <v>8</v>
      </c>
      <c r="W1592" s="113">
        <f>'Data_in-situ'!DR272</f>
        <v>1.7398230320846468</v>
      </c>
      <c r="X1592" s="113">
        <f>'Data_in-situ'!DS272</f>
        <v>9.0283655795287849</v>
      </c>
      <c r="Y1592" s="46">
        <f>'Data_in-situ'!DT272</f>
        <v>8</v>
      </c>
      <c r="AF1592" s="113">
        <f>'Data_in-situ'!EN291</f>
        <v>-24.4</v>
      </c>
      <c r="AG1592" s="113">
        <f>'Data_in-situ'!EO291</f>
        <v>9.9429121295315568</v>
      </c>
      <c r="AH1592" s="110">
        <f>'Data_in-situ'!EP291</f>
        <v>1</v>
      </c>
      <c r="AI1592" s="113">
        <f>'Data_in-situ'!ER291</f>
        <v>-34.4</v>
      </c>
      <c r="AJ1592" s="113">
        <f>'Data_in-situ'!ES291</f>
        <v>7.8024034407162794</v>
      </c>
      <c r="AK1592" s="110">
        <f>'Data_in-situ'!ET291</f>
        <v>1</v>
      </c>
    </row>
    <row r="1593" spans="20:37" x14ac:dyDescent="0.3">
      <c r="T1593" s="113">
        <f>'Data_in-situ'!DN273</f>
        <v>40.553216435983082</v>
      </c>
      <c r="U1593" s="113">
        <f>'Data_in-situ'!DO273</f>
        <v>36.04252387554827</v>
      </c>
      <c r="V1593" s="46">
        <f>'Data_in-situ'!DP273</f>
        <v>8</v>
      </c>
      <c r="W1593" s="113">
        <f>'Data_in-situ'!DR273</f>
        <v>2.0877876385015846</v>
      </c>
      <c r="X1593" s="113">
        <f>'Data_in-situ'!DS273</f>
        <v>4.899966604705579</v>
      </c>
      <c r="Y1593" s="46">
        <f>'Data_in-situ'!DT273</f>
        <v>8</v>
      </c>
      <c r="AF1593" s="113">
        <f>'Data_in-situ'!EN292</f>
        <v>-20.8</v>
      </c>
      <c r="AG1593" s="113">
        <f>'Data_in-situ'!EO292</f>
        <v>8.475925094026902</v>
      </c>
      <c r="AH1593" s="110">
        <f>'Data_in-situ'!EP292</f>
        <v>1</v>
      </c>
      <c r="AI1593" s="113">
        <f>'Data_in-situ'!ER292</f>
        <v>-48.2</v>
      </c>
      <c r="AJ1593" s="113">
        <f>'Data_in-situ'!ES292</f>
        <v>10.93243737914316</v>
      </c>
      <c r="AK1593" s="110">
        <f>'Data_in-situ'!ET292</f>
        <v>1</v>
      </c>
    </row>
    <row r="1594" spans="20:37" x14ac:dyDescent="0.3">
      <c r="T1594" s="113">
        <f>'Data_in-situ'!DN274</f>
        <v>185.20163025788599</v>
      </c>
      <c r="U1594" s="113">
        <f>'Data_in-situ'!DO274</f>
        <v>63.221490486987811</v>
      </c>
      <c r="V1594" s="46">
        <f>'Data_in-situ'!DP274</f>
        <v>5</v>
      </c>
      <c r="W1594" s="113">
        <f>'Data_in-situ'!DR274</f>
        <v>121.18643762191216</v>
      </c>
      <c r="X1594" s="113">
        <f>'Data_in-situ'!DS274</f>
        <v>57.510183803125116</v>
      </c>
      <c r="Y1594" s="46">
        <f>'Data_in-situ'!DT274</f>
        <v>5</v>
      </c>
      <c r="AF1594" s="113">
        <f>'Data_in-situ'!EN293</f>
        <v>-20.8</v>
      </c>
      <c r="AG1594" s="113">
        <f>'Data_in-situ'!EO293</f>
        <v>8.475925094026902</v>
      </c>
      <c r="AH1594" s="110">
        <f>'Data_in-situ'!EP293</f>
        <v>1</v>
      </c>
      <c r="AI1594" s="113">
        <f>'Data_in-situ'!ER293</f>
        <v>-46</v>
      </c>
      <c r="AJ1594" s="113">
        <f>'Data_in-situ'!ES293</f>
        <v>10.433446461422932</v>
      </c>
      <c r="AK1594" s="110">
        <f>'Data_in-situ'!ET293</f>
        <v>1</v>
      </c>
    </row>
    <row r="1595" spans="20:37" x14ac:dyDescent="0.3">
      <c r="T1595" s="113">
        <f>'Data_in-situ'!DN275</f>
        <v>72.37222075218537</v>
      </c>
      <c r="U1595" s="113">
        <f>'Data_in-situ'!DO275</f>
        <v>16.290298496553017</v>
      </c>
      <c r="V1595" s="46">
        <f>'Data_in-situ'!DP275</f>
        <v>5</v>
      </c>
      <c r="W1595" s="113">
        <f>'Data_in-situ'!DR275</f>
        <v>28.308613297303122</v>
      </c>
      <c r="X1595" s="113">
        <f>'Data_in-situ'!DS275</f>
        <v>7.7013419089793729</v>
      </c>
      <c r="Y1595" s="46">
        <f>'Data_in-situ'!DT275</f>
        <v>5</v>
      </c>
      <c r="AF1595" s="113">
        <f>'Data_in-situ'!EN294</f>
        <v>-20.8</v>
      </c>
      <c r="AG1595" s="113">
        <f>'Data_in-situ'!EO294</f>
        <v>8.475925094026902</v>
      </c>
      <c r="AH1595" s="110">
        <f>'Data_in-situ'!EP294</f>
        <v>1</v>
      </c>
      <c r="AI1595" s="113">
        <f>'Data_in-situ'!ER294</f>
        <v>-40</v>
      </c>
      <c r="AJ1595" s="113">
        <f>'Data_in-situ'!ES294</f>
        <v>9.0725621403677668</v>
      </c>
      <c r="AK1595" s="110">
        <f>'Data_in-situ'!ET294</f>
        <v>1</v>
      </c>
    </row>
    <row r="1596" spans="20:37" x14ac:dyDescent="0.3">
      <c r="T1596" s="113">
        <f>'Data_in-situ'!DN276</f>
        <v>49.465244035227812</v>
      </c>
      <c r="U1596" s="113">
        <f>'Data_in-situ'!DO276</f>
        <v>13.371607139963906</v>
      </c>
      <c r="V1596" s="46">
        <f>'Data_in-situ'!DP276</f>
        <v>5</v>
      </c>
      <c r="W1596" s="113">
        <f>'Data_in-situ'!DR276</f>
        <v>54.340166693175355</v>
      </c>
      <c r="X1596" s="113">
        <f>'Data_in-situ'!DS276</f>
        <v>13.781971178631771</v>
      </c>
      <c r="Y1596" s="46">
        <f>'Data_in-situ'!DT276</f>
        <v>5</v>
      </c>
      <c r="AF1596" s="113">
        <f>'Data_in-situ'!EN295</f>
        <v>-20.8</v>
      </c>
      <c r="AG1596" s="113">
        <f>'Data_in-situ'!EO295</f>
        <v>8.475925094026902</v>
      </c>
      <c r="AH1596" s="110">
        <f>'Data_in-situ'!EP295</f>
        <v>1</v>
      </c>
      <c r="AI1596" s="113">
        <f>'Data_in-situ'!ER295</f>
        <v>-31.5</v>
      </c>
      <c r="AJ1596" s="113">
        <f>'Data_in-situ'!ES295</f>
        <v>7.1446426855396163</v>
      </c>
      <c r="AK1596" s="110">
        <f>'Data_in-situ'!ET295</f>
        <v>1</v>
      </c>
    </row>
    <row r="1597" spans="20:37" x14ac:dyDescent="0.3">
      <c r="T1597" s="113">
        <f>'Data_in-situ'!DN277</f>
        <v>161.00136320152035</v>
      </c>
      <c r="U1597" s="113">
        <f>'Data_in-situ'!DO277</f>
        <v>78.597780685425604</v>
      </c>
      <c r="V1597" s="46">
        <f>'Data_in-situ'!DP277</f>
        <v>5</v>
      </c>
      <c r="W1597" s="113">
        <f>'Data_in-situ'!DR277</f>
        <v>91.076976090565751</v>
      </c>
      <c r="X1597" s="113">
        <f>'Data_in-situ'!DS277</f>
        <v>23.599794088555864</v>
      </c>
      <c r="Y1597" s="46">
        <f>'Data_in-situ'!DT277</f>
        <v>5</v>
      </c>
      <c r="AF1597" s="113">
        <f>'Data_in-situ'!EN296</f>
        <v>-20.8</v>
      </c>
      <c r="AG1597" s="113">
        <f>'Data_in-situ'!EO296</f>
        <v>8.475925094026902</v>
      </c>
      <c r="AH1597" s="110">
        <f>'Data_in-situ'!EP296</f>
        <v>1</v>
      </c>
      <c r="AI1597" s="113">
        <f>'Data_in-situ'!ER296</f>
        <v>-48.2</v>
      </c>
      <c r="AJ1597" s="113">
        <f>'Data_in-situ'!ES296</f>
        <v>10.93243737914316</v>
      </c>
      <c r="AK1597" s="110">
        <f>'Data_in-situ'!ET296</f>
        <v>1</v>
      </c>
    </row>
    <row r="1598" spans="20:37" x14ac:dyDescent="0.3">
      <c r="T1598" s="113">
        <f>'Data_in-situ'!DN278</f>
        <v>33.182385393713595</v>
      </c>
      <c r="U1598" s="113">
        <f>'Data_in-situ'!DO278</f>
        <v>11.04758962718873</v>
      </c>
      <c r="V1598" s="46">
        <f>'Data_in-situ'!DP278</f>
        <v>5</v>
      </c>
      <c r="W1598" s="113">
        <f>'Data_in-situ'!DR278</f>
        <v>70.577515694920223</v>
      </c>
      <c r="X1598" s="113">
        <f>'Data_in-situ'!DS278</f>
        <v>17.997218807343039</v>
      </c>
      <c r="Y1598" s="46">
        <f>'Data_in-situ'!DT278</f>
        <v>5</v>
      </c>
      <c r="AF1598" s="113">
        <f>'Data_in-situ'!EN297</f>
        <v>-20.8</v>
      </c>
      <c r="AG1598" s="113">
        <f>'Data_in-situ'!EO297</f>
        <v>8.475925094026902</v>
      </c>
      <c r="AH1598" s="110">
        <f>'Data_in-situ'!EP297</f>
        <v>1</v>
      </c>
      <c r="AI1598" s="113">
        <f>'Data_in-situ'!ER297</f>
        <v>-46</v>
      </c>
      <c r="AJ1598" s="113">
        <f>'Data_in-situ'!ES297</f>
        <v>10.433446461422932</v>
      </c>
      <c r="AK1598" s="110">
        <f>'Data_in-situ'!ET297</f>
        <v>1</v>
      </c>
    </row>
    <row r="1599" spans="20:37" x14ac:dyDescent="0.3">
      <c r="T1599" s="113">
        <f>'Data_in-situ'!DN279</f>
        <v>149.58826237069499</v>
      </c>
      <c r="U1599" s="113">
        <f>'Data_in-situ'!DO279</f>
        <v>54.002575188816245</v>
      </c>
      <c r="V1599" s="46">
        <f>'Data_in-situ'!DP279</f>
        <v>5</v>
      </c>
      <c r="W1599" s="113">
        <f>'Data_in-situ'!DR279</f>
        <v>185.74509306894518</v>
      </c>
      <c r="X1599" s="113">
        <f>'Data_in-situ'!DS279</f>
        <v>48.73879916451105</v>
      </c>
      <c r="Y1599" s="46">
        <f>'Data_in-situ'!DT279</f>
        <v>5</v>
      </c>
      <c r="AF1599" s="113">
        <f>'Data_in-situ'!EN298</f>
        <v>-20.8</v>
      </c>
      <c r="AG1599" s="113">
        <f>'Data_in-situ'!EO298</f>
        <v>8.475925094026902</v>
      </c>
      <c r="AH1599" s="110">
        <f>'Data_in-situ'!EP298</f>
        <v>1</v>
      </c>
      <c r="AI1599" s="113">
        <f>'Data_in-situ'!ER298</f>
        <v>-40</v>
      </c>
      <c r="AJ1599" s="113">
        <f>'Data_in-situ'!ES298</f>
        <v>9.0725621403677668</v>
      </c>
      <c r="AK1599" s="110">
        <f>'Data_in-situ'!ET298</f>
        <v>1</v>
      </c>
    </row>
    <row r="1600" spans="20:37" x14ac:dyDescent="0.3">
      <c r="T1600" s="113">
        <f>'Data_in-situ'!DN280</f>
        <v>4.3449126612056599</v>
      </c>
      <c r="U1600" s="113">
        <f>'Data_in-situ'!DO280</f>
        <v>9.5961779850217681</v>
      </c>
      <c r="V1600" s="46">
        <f>'Data_in-situ'!DP280</f>
        <v>6</v>
      </c>
      <c r="W1600" s="113">
        <f>'Data_in-situ'!DR280</f>
        <v>-0.16115570294991843</v>
      </c>
      <c r="X1600" s="113">
        <f>'Data_in-situ'!DS280</f>
        <v>0.55821924153316771</v>
      </c>
      <c r="Y1600" s="46">
        <f>'Data_in-situ'!DT280</f>
        <v>6</v>
      </c>
      <c r="AF1600" s="113">
        <f>'Data_in-situ'!EN299</f>
        <v>-20.8</v>
      </c>
      <c r="AG1600" s="113">
        <f>'Data_in-situ'!EO299</f>
        <v>8.475925094026902</v>
      </c>
      <c r="AH1600" s="110">
        <f>'Data_in-situ'!EP299</f>
        <v>1</v>
      </c>
      <c r="AI1600" s="113">
        <f>'Data_in-situ'!ER299</f>
        <v>-31.5</v>
      </c>
      <c r="AJ1600" s="113">
        <f>'Data_in-situ'!ES299</f>
        <v>7.1446426855396163</v>
      </c>
      <c r="AK1600" s="110">
        <f>'Data_in-situ'!ET299</f>
        <v>1</v>
      </c>
    </row>
    <row r="1601" spans="20:37" x14ac:dyDescent="0.3">
      <c r="T1601" s="113">
        <f>'Data_in-situ'!DN281</f>
        <v>4.3449126612056599</v>
      </c>
      <c r="U1601" s="113">
        <f>'Data_in-situ'!DO281</f>
        <v>9.5961779850217681</v>
      </c>
      <c r="V1601" s="46">
        <f>'Data_in-situ'!DP281</f>
        <v>6</v>
      </c>
      <c r="W1601" s="113">
        <f>'Data_in-situ'!DR281</f>
        <v>-5.3718567649972807E-2</v>
      </c>
      <c r="X1601" s="113">
        <f>'Data_in-situ'!DS281</f>
        <v>0.5398869703372956</v>
      </c>
      <c r="Y1601" s="46">
        <f>'Data_in-situ'!DT281</f>
        <v>6</v>
      </c>
      <c r="AF1601" s="113">
        <f>'Data_in-situ'!EN300</f>
        <v>-20.8</v>
      </c>
      <c r="AG1601" s="113">
        <f>'Data_in-situ'!EO300</f>
        <v>8.475925094026902</v>
      </c>
      <c r="AH1601" s="110">
        <f>'Data_in-situ'!EP300</f>
        <v>1</v>
      </c>
      <c r="AI1601" s="113">
        <f>'Data_in-situ'!ER300</f>
        <v>-48.2</v>
      </c>
      <c r="AJ1601" s="113">
        <f>'Data_in-situ'!ES300</f>
        <v>10.93243737914316</v>
      </c>
      <c r="AK1601" s="110">
        <f>'Data_in-situ'!ET300</f>
        <v>1</v>
      </c>
    </row>
    <row r="1602" spans="20:37" x14ac:dyDescent="0.3">
      <c r="T1602" s="113">
        <f>'Data_in-situ'!DN282</f>
        <v>4.3449126612056599</v>
      </c>
      <c r="U1602" s="113">
        <f>'Data_in-situ'!DO282</f>
        <v>9.5961779850217681</v>
      </c>
      <c r="V1602" s="46">
        <f>'Data_in-situ'!DP282</f>
        <v>6</v>
      </c>
      <c r="W1602" s="113">
        <f>'Data_in-situ'!DR282</f>
        <v>5.3718567649972807E-2</v>
      </c>
      <c r="X1602" s="113">
        <f>'Data_in-situ'!DS282</f>
        <v>0.43312042016840363</v>
      </c>
      <c r="Y1602" s="46">
        <f>'Data_in-situ'!DT282</f>
        <v>6</v>
      </c>
      <c r="AF1602" s="113">
        <f>'Data_in-situ'!EN301</f>
        <v>-20.8</v>
      </c>
      <c r="AG1602" s="113">
        <f>'Data_in-situ'!EO301</f>
        <v>8.475925094026902</v>
      </c>
      <c r="AH1602" s="110">
        <f>'Data_in-situ'!EP301</f>
        <v>1</v>
      </c>
      <c r="AI1602" s="113">
        <f>'Data_in-situ'!ER301</f>
        <v>-46</v>
      </c>
      <c r="AJ1602" s="113">
        <f>'Data_in-situ'!ES301</f>
        <v>10.433446461422932</v>
      </c>
      <c r="AK1602" s="110">
        <f>'Data_in-situ'!ET301</f>
        <v>1</v>
      </c>
    </row>
    <row r="1603" spans="20:37" x14ac:dyDescent="0.3">
      <c r="T1603" s="113">
        <f>'Data_in-situ'!DN283</f>
        <v>4.3449126612056599</v>
      </c>
      <c r="U1603" s="113">
        <f>'Data_in-situ'!DO283</f>
        <v>9.5961779850217681</v>
      </c>
      <c r="V1603" s="46">
        <f>'Data_in-situ'!DP283</f>
        <v>6</v>
      </c>
      <c r="W1603" s="113">
        <f>'Data_in-situ'!DR283</f>
        <v>5.3718567649972807E-2</v>
      </c>
      <c r="X1603" s="113">
        <f>'Data_in-situ'!DS283</f>
        <v>0.43312042016840363</v>
      </c>
      <c r="Y1603" s="46">
        <f>'Data_in-situ'!DT283</f>
        <v>6</v>
      </c>
      <c r="AF1603" s="113">
        <f>'Data_in-situ'!EN302</f>
        <v>-20.8</v>
      </c>
      <c r="AG1603" s="113">
        <f>'Data_in-situ'!EO302</f>
        <v>8.475925094026902</v>
      </c>
      <c r="AH1603" s="110">
        <f>'Data_in-situ'!EP302</f>
        <v>1</v>
      </c>
      <c r="AI1603" s="113">
        <f>'Data_in-situ'!ER302</f>
        <v>-40</v>
      </c>
      <c r="AJ1603" s="113">
        <f>'Data_in-situ'!ES302</f>
        <v>9.0725621403677668</v>
      </c>
      <c r="AK1603" s="110">
        <f>'Data_in-situ'!ET302</f>
        <v>1</v>
      </c>
    </row>
    <row r="1604" spans="20:37" x14ac:dyDescent="0.3">
      <c r="T1604" s="113">
        <f>'Data_in-situ'!DN284</f>
        <v>27.51778018763585</v>
      </c>
      <c r="U1604" s="113">
        <f>'Data_in-situ'!DO284</f>
        <v>12.137611972737048</v>
      </c>
      <c r="V1604" s="46">
        <f>'Data_in-situ'!DP284</f>
        <v>6</v>
      </c>
      <c r="W1604" s="113">
        <f>'Data_in-situ'!DR284</f>
        <v>-0.16115570294991843</v>
      </c>
      <c r="X1604" s="113">
        <f>'Data_in-situ'!DS284</f>
        <v>0.5610292847687105</v>
      </c>
      <c r="Y1604" s="46">
        <f>'Data_in-situ'!DT284</f>
        <v>6</v>
      </c>
      <c r="AF1604" s="113">
        <f>'Data_in-situ'!EN303</f>
        <v>-20.8</v>
      </c>
      <c r="AG1604" s="113">
        <f>'Data_in-situ'!EO303</f>
        <v>8.475925094026902</v>
      </c>
      <c r="AH1604" s="110">
        <f>'Data_in-situ'!EP303</f>
        <v>1</v>
      </c>
      <c r="AI1604" s="113">
        <f>'Data_in-situ'!ER303</f>
        <v>-31.5</v>
      </c>
      <c r="AJ1604" s="113">
        <f>'Data_in-situ'!ES303</f>
        <v>7.1446426855396163</v>
      </c>
      <c r="AK1604" s="110">
        <f>'Data_in-situ'!ET303</f>
        <v>1</v>
      </c>
    </row>
    <row r="1605" spans="20:37" x14ac:dyDescent="0.3">
      <c r="T1605" s="113">
        <f>'Data_in-situ'!DN285</f>
        <v>27.51778018763585</v>
      </c>
      <c r="U1605" s="113">
        <f>'Data_in-situ'!DO285</f>
        <v>12.137611972737048</v>
      </c>
      <c r="V1605" s="46">
        <f>'Data_in-situ'!DP285</f>
        <v>6</v>
      </c>
      <c r="W1605" s="113">
        <f>'Data_in-situ'!DR285</f>
        <v>-5.3718567649972807E-2</v>
      </c>
      <c r="X1605" s="113">
        <f>'Data_in-situ'!DS285</f>
        <v>11.665364622891369</v>
      </c>
      <c r="Y1605" s="46">
        <f>'Data_in-situ'!DT285</f>
        <v>6</v>
      </c>
      <c r="AF1605" s="113">
        <f>'Data_in-situ'!EN304</f>
        <v>-48.7</v>
      </c>
      <c r="AG1605" s="113">
        <f>'Data_in-situ'!EO304</f>
        <v>19.845074619187987</v>
      </c>
      <c r="AH1605" s="110">
        <f>'Data_in-situ'!EP304</f>
        <v>1</v>
      </c>
      <c r="AI1605" s="113">
        <f>'Data_in-situ'!ER304</f>
        <v>-77.599999999999994</v>
      </c>
      <c r="AJ1605" s="113">
        <f>'Data_in-situ'!ES304</f>
        <v>17.600770552313467</v>
      </c>
      <c r="AK1605" s="110">
        <f>'Data_in-situ'!ET304</f>
        <v>1</v>
      </c>
    </row>
    <row r="1606" spans="20:37" x14ac:dyDescent="0.3">
      <c r="T1606" s="113">
        <f>'Data_in-situ'!DN286</f>
        <v>27.51778018763585</v>
      </c>
      <c r="U1606" s="113">
        <f>'Data_in-situ'!DO286</f>
        <v>12.137611972737048</v>
      </c>
      <c r="V1606" s="46">
        <f>'Data_in-situ'!DP286</f>
        <v>6</v>
      </c>
      <c r="W1606" s="113">
        <f>'Data_in-situ'!DR286</f>
        <v>5.3718567649972807E-2</v>
      </c>
      <c r="X1606" s="113">
        <f>'Data_in-situ'!DS286</f>
        <v>1.4941129876440691</v>
      </c>
      <c r="Y1606" s="46">
        <f>'Data_in-situ'!DT286</f>
        <v>6</v>
      </c>
      <c r="AF1606" s="113">
        <f>'Data_in-situ'!EN305</f>
        <v>-48.7</v>
      </c>
      <c r="AG1606" s="113">
        <f>'Data_in-situ'!EO305</f>
        <v>19.845074619187987</v>
      </c>
      <c r="AH1606" s="110">
        <f>'Data_in-situ'!EP305</f>
        <v>1</v>
      </c>
      <c r="AI1606" s="113">
        <f>'Data_in-situ'!ER305</f>
        <v>-119.3</v>
      </c>
      <c r="AJ1606" s="113">
        <f>'Data_in-situ'!ES305</f>
        <v>27.058916583646866</v>
      </c>
      <c r="AK1606" s="110">
        <f>'Data_in-situ'!ET305</f>
        <v>1</v>
      </c>
    </row>
    <row r="1607" spans="20:37" x14ac:dyDescent="0.3">
      <c r="T1607" s="113">
        <f>'Data_in-situ'!DN287</f>
        <v>27.51778018763585</v>
      </c>
      <c r="U1607" s="113">
        <f>'Data_in-situ'!DO287</f>
        <v>12.137611972737048</v>
      </c>
      <c r="V1607" s="46">
        <f>'Data_in-situ'!DP287</f>
        <v>6</v>
      </c>
      <c r="W1607" s="113">
        <f>'Data_in-situ'!DR287</f>
        <v>5.3718567649972807E-2</v>
      </c>
      <c r="X1607" s="113">
        <f>'Data_in-situ'!DS287</f>
        <v>0.43312042016840363</v>
      </c>
      <c r="Y1607" s="46">
        <f>'Data_in-situ'!DT287</f>
        <v>6</v>
      </c>
      <c r="AF1607" s="113">
        <f>'Data_in-situ'!EN306</f>
        <v>-48.7</v>
      </c>
      <c r="AG1607" s="113">
        <f>'Data_in-situ'!EO306</f>
        <v>19.845074619187987</v>
      </c>
      <c r="AH1607" s="110">
        <f>'Data_in-situ'!EP306</f>
        <v>1</v>
      </c>
      <c r="AI1607" s="113">
        <f>'Data_in-situ'!ER306</f>
        <v>-85.1</v>
      </c>
      <c r="AJ1607" s="113">
        <f>'Data_in-situ'!ES306</f>
        <v>19.301875953632422</v>
      </c>
      <c r="AK1607" s="110">
        <f>'Data_in-situ'!ET306</f>
        <v>1</v>
      </c>
    </row>
    <row r="1608" spans="20:37" x14ac:dyDescent="0.3">
      <c r="T1608" s="113">
        <f>'Data_in-situ'!DN288</f>
        <v>17.621034681556281</v>
      </c>
      <c r="U1608" s="113">
        <f>'Data_in-situ'!DO288</f>
        <v>25.060650744317332</v>
      </c>
      <c r="V1608" s="46">
        <f>'Data_in-situ'!DP288</f>
        <v>6</v>
      </c>
      <c r="W1608" s="113">
        <f>'Data_in-situ'!DR288</f>
        <v>-0.16115570294991843</v>
      </c>
      <c r="X1608" s="113">
        <f>'Data_in-situ'!DS288</f>
        <v>0.5610292847687105</v>
      </c>
      <c r="Y1608" s="46">
        <f>'Data_in-situ'!DT288</f>
        <v>6</v>
      </c>
      <c r="AF1608" s="113">
        <f>'Data_in-situ'!EN307</f>
        <v>-48.7</v>
      </c>
      <c r="AG1608" s="113">
        <f>'Data_in-situ'!EO307</f>
        <v>19.845074619187987</v>
      </c>
      <c r="AH1608" s="110">
        <f>'Data_in-situ'!EP307</f>
        <v>1</v>
      </c>
      <c r="AI1608" s="113">
        <f>'Data_in-situ'!ER307</f>
        <v>-90</v>
      </c>
      <c r="AJ1608" s="113">
        <f>'Data_in-situ'!ES307</f>
        <v>20.413264815827475</v>
      </c>
      <c r="AK1608" s="110">
        <f>'Data_in-situ'!ET307</f>
        <v>1</v>
      </c>
    </row>
    <row r="1609" spans="20:37" x14ac:dyDescent="0.3">
      <c r="T1609" s="113">
        <f>'Data_in-situ'!DN289</f>
        <v>17.621034681556281</v>
      </c>
      <c r="U1609" s="113">
        <f>'Data_in-situ'!DO289</f>
        <v>25.060650744317332</v>
      </c>
      <c r="V1609" s="46">
        <f>'Data_in-situ'!DP289</f>
        <v>6</v>
      </c>
      <c r="W1609" s="113">
        <f>'Data_in-situ'!DR289</f>
        <v>-5.3718567649972807E-2</v>
      </c>
      <c r="X1609" s="113">
        <f>'Data_in-situ'!DS289</f>
        <v>0.5398869703372956</v>
      </c>
      <c r="Y1609" s="46">
        <f>'Data_in-situ'!DT289</f>
        <v>6</v>
      </c>
      <c r="AF1609" s="113">
        <f>'Data_in-situ'!EN308</f>
        <v>-48.7</v>
      </c>
      <c r="AG1609" s="113">
        <f>'Data_in-situ'!EO308</f>
        <v>19.845074619187987</v>
      </c>
      <c r="AH1609" s="110">
        <f>'Data_in-situ'!EP308</f>
        <v>1</v>
      </c>
      <c r="AI1609" s="113">
        <f>'Data_in-situ'!ER308</f>
        <v>-77.599999999999994</v>
      </c>
      <c r="AJ1609" s="113">
        <f>'Data_in-situ'!ES308</f>
        <v>17.600770552313467</v>
      </c>
      <c r="AK1609" s="110">
        <f>'Data_in-situ'!ET308</f>
        <v>1</v>
      </c>
    </row>
    <row r="1610" spans="20:37" x14ac:dyDescent="0.3">
      <c r="T1610" s="113">
        <f>'Data_in-situ'!DN290</f>
        <v>17.621034681556281</v>
      </c>
      <c r="U1610" s="113">
        <f>'Data_in-situ'!DO290</f>
        <v>25.060650744317332</v>
      </c>
      <c r="V1610" s="46">
        <f>'Data_in-situ'!DP290</f>
        <v>6</v>
      </c>
      <c r="W1610" s="113">
        <f>'Data_in-situ'!DR290</f>
        <v>5.3718567649972807E-2</v>
      </c>
      <c r="X1610" s="113">
        <f>'Data_in-situ'!DS290</f>
        <v>0.43312042016840363</v>
      </c>
      <c r="Y1610" s="46">
        <f>'Data_in-situ'!DT290</f>
        <v>6</v>
      </c>
      <c r="AF1610" s="113">
        <f>'Data_in-situ'!EN309</f>
        <v>-48.7</v>
      </c>
      <c r="AG1610" s="113">
        <f>'Data_in-situ'!EO309</f>
        <v>19.845074619187987</v>
      </c>
      <c r="AH1610" s="110">
        <f>'Data_in-situ'!EP309</f>
        <v>1</v>
      </c>
      <c r="AI1610" s="113">
        <f>'Data_in-situ'!ER309</f>
        <v>-119.3</v>
      </c>
      <c r="AJ1610" s="113">
        <f>'Data_in-situ'!ES309</f>
        <v>27.058916583646866</v>
      </c>
      <c r="AK1610" s="110">
        <f>'Data_in-situ'!ET309</f>
        <v>1</v>
      </c>
    </row>
    <row r="1611" spans="20:37" x14ac:dyDescent="0.3">
      <c r="T1611" s="113">
        <f>'Data_in-situ'!DN291</f>
        <v>17.621034681556281</v>
      </c>
      <c r="U1611" s="113">
        <f>'Data_in-situ'!DO291</f>
        <v>25.060650744317332</v>
      </c>
      <c r="V1611" s="46">
        <f>'Data_in-situ'!DP291</f>
        <v>6</v>
      </c>
      <c r="W1611" s="113">
        <f>'Data_in-situ'!DR291</f>
        <v>5.3718567649972807E-2</v>
      </c>
      <c r="X1611" s="113">
        <f>'Data_in-situ'!DS291</f>
        <v>0.43312042016840363</v>
      </c>
      <c r="Y1611" s="46">
        <f>'Data_in-situ'!DT291</f>
        <v>6</v>
      </c>
      <c r="AF1611" s="113">
        <f>'Data_in-situ'!EN310</f>
        <v>-48.7</v>
      </c>
      <c r="AG1611" s="113">
        <f>'Data_in-situ'!EO310</f>
        <v>19.845074619187987</v>
      </c>
      <c r="AH1611" s="110">
        <f>'Data_in-situ'!EP310</f>
        <v>1</v>
      </c>
      <c r="AI1611" s="113">
        <f>'Data_in-situ'!ER310</f>
        <v>-85.1</v>
      </c>
      <c r="AJ1611" s="113">
        <f>'Data_in-situ'!ES310</f>
        <v>19.301875953632422</v>
      </c>
      <c r="AK1611" s="110">
        <f>'Data_in-situ'!ET310</f>
        <v>1</v>
      </c>
    </row>
    <row r="1612" spans="20:37" x14ac:dyDescent="0.3">
      <c r="T1612" s="113">
        <f>'Data_in-situ'!DN292</f>
        <v>3.0332504908479376</v>
      </c>
      <c r="U1612" s="113">
        <f>'Data_in-situ'!DO292</f>
        <v>6.9539999999999997</v>
      </c>
      <c r="V1612" s="46">
        <f>'Data_in-situ'!DP292</f>
        <v>6</v>
      </c>
      <c r="W1612" s="113">
        <f>'Data_in-situ'!DR292</f>
        <v>5.3718567649972807E-2</v>
      </c>
      <c r="X1612" s="113">
        <f>'Data_in-situ'!DS292</f>
        <v>0.48646678719420772</v>
      </c>
      <c r="Y1612" s="46">
        <f>'Data_in-situ'!DT292</f>
        <v>6</v>
      </c>
      <c r="AF1612" s="113">
        <f>'Data_in-situ'!EN311</f>
        <v>-48.7</v>
      </c>
      <c r="AG1612" s="113">
        <f>'Data_in-situ'!EO311</f>
        <v>19.845074619187987</v>
      </c>
      <c r="AH1612" s="110">
        <f>'Data_in-situ'!EP311</f>
        <v>1</v>
      </c>
      <c r="AI1612" s="113">
        <f>'Data_in-situ'!ER311</f>
        <v>-90</v>
      </c>
      <c r="AJ1612" s="113">
        <f>'Data_in-situ'!ES311</f>
        <v>20.413264815827475</v>
      </c>
      <c r="AK1612" s="110">
        <f>'Data_in-situ'!ET311</f>
        <v>1</v>
      </c>
    </row>
    <row r="1613" spans="20:37" x14ac:dyDescent="0.3">
      <c r="T1613" s="113">
        <f>'Data_in-situ'!DN293</f>
        <v>3.0332504908479376</v>
      </c>
      <c r="U1613" s="113">
        <f>'Data_in-situ'!DO293</f>
        <v>10.126673956829368</v>
      </c>
      <c r="V1613" s="46">
        <f>'Data_in-situ'!DP293</f>
        <v>6</v>
      </c>
      <c r="W1613" s="113">
        <f>'Data_in-situ'!DR293</f>
        <v>-0.10743713529994561</v>
      </c>
      <c r="X1613" s="113">
        <f>'Data_in-situ'!DS293</f>
        <v>0.27043803155784618</v>
      </c>
      <c r="Y1613" s="46">
        <f>'Data_in-situ'!DT293</f>
        <v>6</v>
      </c>
      <c r="AF1613" s="113">
        <f>'Data_in-situ'!EN312</f>
        <v>-48.7</v>
      </c>
      <c r="AG1613" s="113">
        <f>'Data_in-situ'!EO312</f>
        <v>19.845074619187987</v>
      </c>
      <c r="AH1613" s="110">
        <f>'Data_in-situ'!EP312</f>
        <v>1</v>
      </c>
      <c r="AI1613" s="113">
        <f>'Data_in-situ'!ER312</f>
        <v>-77.599999999999994</v>
      </c>
      <c r="AJ1613" s="113">
        <f>'Data_in-situ'!ES312</f>
        <v>17.600770552313467</v>
      </c>
      <c r="AK1613" s="110">
        <f>'Data_in-situ'!ET312</f>
        <v>1</v>
      </c>
    </row>
    <row r="1614" spans="20:37" x14ac:dyDescent="0.3">
      <c r="T1614" s="113">
        <f>'Data_in-situ'!DN294</f>
        <v>3.0332504908479376</v>
      </c>
      <c r="U1614" s="113">
        <f>'Data_in-situ'!DO294</f>
        <v>10.126673956829368</v>
      </c>
      <c r="V1614" s="46">
        <f>'Data_in-situ'!DP294</f>
        <v>6</v>
      </c>
      <c r="W1614" s="113">
        <f>'Data_in-situ'!DR294</f>
        <v>-0.10743713529994561</v>
      </c>
      <c r="X1614" s="113">
        <f>'Data_in-situ'!DS294</f>
        <v>0.39119879833905941</v>
      </c>
      <c r="Y1614" s="46">
        <f>'Data_in-situ'!DT294</f>
        <v>6</v>
      </c>
      <c r="AF1614" s="113">
        <f>'Data_in-situ'!EN313</f>
        <v>-48.7</v>
      </c>
      <c r="AG1614" s="113">
        <f>'Data_in-situ'!EO313</f>
        <v>19.845074619187987</v>
      </c>
      <c r="AH1614" s="110">
        <f>'Data_in-situ'!EP313</f>
        <v>1</v>
      </c>
      <c r="AI1614" s="113">
        <f>'Data_in-situ'!ER313</f>
        <v>-119.3</v>
      </c>
      <c r="AJ1614" s="113">
        <f>'Data_in-situ'!ES313</f>
        <v>27.058916583646866</v>
      </c>
      <c r="AK1614" s="110">
        <f>'Data_in-situ'!ET313</f>
        <v>1</v>
      </c>
    </row>
    <row r="1615" spans="20:37" x14ac:dyDescent="0.3">
      <c r="T1615" s="113">
        <f>'Data_in-situ'!DN295</f>
        <v>3.0332504908479376</v>
      </c>
      <c r="U1615" s="113">
        <f>'Data_in-situ'!DO295</f>
        <v>10.126673956829368</v>
      </c>
      <c r="V1615" s="46">
        <f>'Data_in-situ'!DP295</f>
        <v>6</v>
      </c>
      <c r="W1615" s="113">
        <f>'Data_in-situ'!DR295</f>
        <v>-5.3718567649972807E-2</v>
      </c>
      <c r="X1615" s="113">
        <f>'Data_in-situ'!DS295</f>
        <v>0.37987896850363267</v>
      </c>
      <c r="Y1615" s="46">
        <f>'Data_in-situ'!DT295</f>
        <v>6</v>
      </c>
      <c r="AF1615" s="113">
        <f>'Data_in-situ'!EN314</f>
        <v>-48.7</v>
      </c>
      <c r="AG1615" s="113">
        <f>'Data_in-situ'!EO314</f>
        <v>19.845074619187987</v>
      </c>
      <c r="AH1615" s="110">
        <f>'Data_in-situ'!EP314</f>
        <v>1</v>
      </c>
      <c r="AI1615" s="113">
        <f>'Data_in-situ'!ER314</f>
        <v>-85.1</v>
      </c>
      <c r="AJ1615" s="113">
        <f>'Data_in-situ'!ES314</f>
        <v>19.301875953632422</v>
      </c>
      <c r="AK1615" s="110">
        <f>'Data_in-situ'!ET314</f>
        <v>1</v>
      </c>
    </row>
    <row r="1616" spans="20:37" x14ac:dyDescent="0.3">
      <c r="T1616" s="113">
        <f>'Data_in-situ'!DN296</f>
        <v>11.627460214917093</v>
      </c>
      <c r="U1616" s="113">
        <f>'Data_in-situ'!DO296</f>
        <v>19.919328099494376</v>
      </c>
      <c r="V1616" s="46">
        <f>'Data_in-situ'!DP296</f>
        <v>6</v>
      </c>
      <c r="W1616" s="113">
        <f>'Data_in-situ'!DR296</f>
        <v>5.3718567649972807E-2</v>
      </c>
      <c r="X1616" s="113">
        <f>'Data_in-situ'!DS296</f>
        <v>0.48646678719420772</v>
      </c>
      <c r="Y1616" s="46">
        <f>'Data_in-situ'!DT296</f>
        <v>6</v>
      </c>
      <c r="AF1616" s="113">
        <f>'Data_in-situ'!EN315</f>
        <v>-48.7</v>
      </c>
      <c r="AG1616" s="113">
        <f>'Data_in-situ'!EO315</f>
        <v>19.845074619187987</v>
      </c>
      <c r="AH1616" s="110">
        <f>'Data_in-situ'!EP315</f>
        <v>1</v>
      </c>
      <c r="AI1616" s="113">
        <f>'Data_in-situ'!ER315</f>
        <v>-90</v>
      </c>
      <c r="AJ1616" s="113">
        <f>'Data_in-situ'!ES315</f>
        <v>20.413264815827475</v>
      </c>
      <c r="AK1616" s="110">
        <f>'Data_in-situ'!ET315</f>
        <v>1</v>
      </c>
    </row>
    <row r="1617" spans="20:37" x14ac:dyDescent="0.3">
      <c r="T1617" s="113">
        <f>'Data_in-situ'!DN297</f>
        <v>11.627460214917093</v>
      </c>
      <c r="U1617" s="113">
        <f>'Data_in-situ'!DO297</f>
        <v>19.919328099494376</v>
      </c>
      <c r="V1617" s="46">
        <f>'Data_in-situ'!DP297</f>
        <v>6</v>
      </c>
      <c r="W1617" s="113">
        <f>'Data_in-situ'!DR297</f>
        <v>-0.10743713529994561</v>
      </c>
      <c r="X1617" s="113">
        <f>'Data_in-situ'!DS297</f>
        <v>0.28944787367187741</v>
      </c>
      <c r="Y1617" s="46">
        <f>'Data_in-situ'!DT297</f>
        <v>6</v>
      </c>
      <c r="AF1617" s="113">
        <f>'Data_in-situ'!EN331</f>
        <v>-1.7536945812807845</v>
      </c>
      <c r="AG1617" s="113">
        <f>'Data_in-situ'!EO331</f>
        <v>0.69808857905462174</v>
      </c>
      <c r="AH1617" s="110">
        <f>'Data_in-situ'!EP331</f>
        <v>3</v>
      </c>
      <c r="AI1617" s="113">
        <f>'Data_in-situ'!ER331</f>
        <v>-7.7635467980295543</v>
      </c>
      <c r="AJ1617" s="113">
        <f>'Data_in-situ'!ES331</f>
        <v>0.98832726576778518</v>
      </c>
      <c r="AK1617" s="110">
        <f>'Data_in-situ'!ET331</f>
        <v>3</v>
      </c>
    </row>
    <row r="1618" spans="20:37" x14ac:dyDescent="0.3">
      <c r="T1618" s="113">
        <f>'Data_in-situ'!DN298</f>
        <v>11.627460214917093</v>
      </c>
      <c r="U1618" s="113">
        <f>'Data_in-situ'!DO298</f>
        <v>19.919328099494376</v>
      </c>
      <c r="V1618" s="46">
        <f>'Data_in-situ'!DP298</f>
        <v>6</v>
      </c>
      <c r="W1618" s="113">
        <f>'Data_in-situ'!DR298</f>
        <v>-0.10743713529994561</v>
      </c>
      <c r="X1618" s="113">
        <f>'Data_in-situ'!DS298</f>
        <v>0.39119879833905941</v>
      </c>
      <c r="Y1618" s="46">
        <f>'Data_in-situ'!DT298</f>
        <v>6</v>
      </c>
      <c r="AF1618" s="113">
        <f>'Data_in-situ'!EN332</f>
        <v>-1.7536945812807845</v>
      </c>
      <c r="AG1618" s="113">
        <f>'Data_in-situ'!EO332</f>
        <v>0.69808857905462174</v>
      </c>
      <c r="AH1618" s="110">
        <f>'Data_in-situ'!EP332</f>
        <v>3</v>
      </c>
      <c r="AI1618" s="113">
        <f>'Data_in-situ'!ER332</f>
        <v>-13.556650246305416</v>
      </c>
      <c r="AJ1618" s="113">
        <f>'Data_in-situ'!ES332</f>
        <v>1.7667087815907134</v>
      </c>
      <c r="AK1618" s="110">
        <f>'Data_in-situ'!ET332</f>
        <v>3</v>
      </c>
    </row>
    <row r="1619" spans="20:37" x14ac:dyDescent="0.3">
      <c r="T1619" s="113">
        <f>'Data_in-situ'!DN299</f>
        <v>11.627460214917093</v>
      </c>
      <c r="U1619" s="113">
        <f>'Data_in-situ'!DO299</f>
        <v>19.919328099494376</v>
      </c>
      <c r="V1619" s="46">
        <f>'Data_in-situ'!DP299</f>
        <v>6</v>
      </c>
      <c r="W1619" s="113">
        <f>'Data_in-situ'!DR299</f>
        <v>-5.3718567649972807E-2</v>
      </c>
      <c r="X1619" s="113">
        <f>'Data_in-situ'!DS299</f>
        <v>0.37987896850363267</v>
      </c>
      <c r="Y1619" s="46">
        <f>'Data_in-situ'!DT299</f>
        <v>6</v>
      </c>
      <c r="AF1619" s="113">
        <f>'Data_in-situ'!EN333</f>
        <v>-1</v>
      </c>
      <c r="AG1619" s="113">
        <f>'Data_in-situ'!EO333</f>
        <v>0.40749639875129334</v>
      </c>
      <c r="AH1619" s="110">
        <f>'Data_in-situ'!EP333</f>
        <v>3</v>
      </c>
      <c r="AI1619" s="113">
        <f>'Data_in-situ'!ER333</f>
        <v>-20</v>
      </c>
      <c r="AJ1619" s="113">
        <f>'Data_in-situ'!ES333</f>
        <v>4.5362810701838834</v>
      </c>
      <c r="AK1619" s="110">
        <f>'Data_in-situ'!ET333</f>
        <v>3</v>
      </c>
    </row>
    <row r="1620" spans="20:37" x14ac:dyDescent="0.3">
      <c r="T1620" s="113">
        <f>'Data_in-situ'!DN300</f>
        <v>13.144085460341062</v>
      </c>
      <c r="U1620" s="113">
        <f>'Data_in-situ'!DO300</f>
        <v>20.285444054594439</v>
      </c>
      <c r="V1620" s="46">
        <f>'Data_in-situ'!DP300</f>
        <v>6</v>
      </c>
      <c r="W1620" s="113">
        <f>'Data_in-situ'!DR300</f>
        <v>5.3718567649972807E-2</v>
      </c>
      <c r="X1620" s="113">
        <f>'Data_in-situ'!DS300</f>
        <v>0.48646678719420772</v>
      </c>
      <c r="Y1620" s="46">
        <f>'Data_in-situ'!DT300</f>
        <v>6</v>
      </c>
      <c r="AF1620" s="113">
        <f>'Data_in-situ'!EN334</f>
        <v>-1</v>
      </c>
      <c r="AG1620" s="113">
        <f>'Data_in-situ'!EO334</f>
        <v>0.40749639875129334</v>
      </c>
      <c r="AH1620" s="110">
        <f>'Data_in-situ'!EP334</f>
        <v>3</v>
      </c>
      <c r="AI1620" s="113">
        <f>'Data_in-situ'!ER334</f>
        <v>-20</v>
      </c>
      <c r="AJ1620" s="113">
        <f>'Data_in-situ'!ES334</f>
        <v>4.5362810701838834</v>
      </c>
      <c r="AK1620" s="110">
        <f>'Data_in-situ'!ET334</f>
        <v>3</v>
      </c>
    </row>
    <row r="1621" spans="20:37" x14ac:dyDescent="0.3">
      <c r="T1621" s="113">
        <f>'Data_in-situ'!DN301</f>
        <v>13.144085460341062</v>
      </c>
      <c r="U1621" s="113">
        <f>'Data_in-situ'!DO301</f>
        <v>20.285444054594439</v>
      </c>
      <c r="V1621" s="46">
        <f>'Data_in-situ'!DP301</f>
        <v>6</v>
      </c>
      <c r="W1621" s="113">
        <f>'Data_in-situ'!DR301</f>
        <v>-0.10743713529994561</v>
      </c>
      <c r="X1621" s="113">
        <f>'Data_in-situ'!DS301</f>
        <v>0.28944787367187741</v>
      </c>
      <c r="Y1621" s="46">
        <f>'Data_in-situ'!DT301</f>
        <v>6</v>
      </c>
      <c r="AF1621" s="113">
        <f>'Data_in-situ'!EN335</f>
        <v>-1</v>
      </c>
      <c r="AG1621" s="113">
        <f>'Data_in-situ'!EO335</f>
        <v>0.40749639875129334</v>
      </c>
      <c r="AH1621" s="110">
        <f>'Data_in-situ'!EP335</f>
        <v>3</v>
      </c>
      <c r="AI1621" s="113">
        <f>'Data_in-situ'!ER335</f>
        <v>-20</v>
      </c>
      <c r="AJ1621" s="113">
        <f>'Data_in-situ'!ES335</f>
        <v>4.5362810701838834</v>
      </c>
      <c r="AK1621" s="110">
        <f>'Data_in-situ'!ET335</f>
        <v>3</v>
      </c>
    </row>
    <row r="1622" spans="20:37" x14ac:dyDescent="0.3">
      <c r="T1622" s="113">
        <f>'Data_in-situ'!DN302</f>
        <v>13.144085460341062</v>
      </c>
      <c r="U1622" s="113">
        <f>'Data_in-situ'!DO302</f>
        <v>20.285444054594439</v>
      </c>
      <c r="V1622" s="46">
        <f>'Data_in-situ'!DP302</f>
        <v>6</v>
      </c>
      <c r="W1622" s="113">
        <f>'Data_in-situ'!DR302</f>
        <v>-0.10743713529994561</v>
      </c>
      <c r="X1622" s="113">
        <f>'Data_in-situ'!DS302</f>
        <v>0.39119879833905941</v>
      </c>
      <c r="Y1622" s="46">
        <f>'Data_in-situ'!DT302</f>
        <v>6</v>
      </c>
      <c r="AF1622" s="113">
        <f>'Data_in-situ'!EN336</f>
        <v>-1</v>
      </c>
      <c r="AG1622" s="113">
        <f>'Data_in-situ'!EO336</f>
        <v>0.40749639875129334</v>
      </c>
      <c r="AH1622" s="110">
        <f>'Data_in-situ'!EP336</f>
        <v>3</v>
      </c>
      <c r="AI1622" s="113">
        <f>'Data_in-situ'!ER336</f>
        <v>-20</v>
      </c>
      <c r="AJ1622" s="113">
        <f>'Data_in-situ'!ES336</f>
        <v>4.5362810701838834</v>
      </c>
      <c r="AK1622" s="110">
        <f>'Data_in-situ'!ET336</f>
        <v>3</v>
      </c>
    </row>
    <row r="1623" spans="20:37" x14ac:dyDescent="0.3">
      <c r="T1623" s="113">
        <f>'Data_in-situ'!DN303</f>
        <v>13.144085460341062</v>
      </c>
      <c r="U1623" s="113">
        <f>'Data_in-situ'!DO303</f>
        <v>20.285444054594439</v>
      </c>
      <c r="V1623" s="46">
        <f>'Data_in-situ'!DP303</f>
        <v>6</v>
      </c>
      <c r="W1623" s="113">
        <f>'Data_in-situ'!DR303</f>
        <v>-5.3718567649972807E-2</v>
      </c>
      <c r="X1623" s="113">
        <f>'Data_in-situ'!DS303</f>
        <v>0.39119879833905941</v>
      </c>
      <c r="Y1623" s="46">
        <f>'Data_in-situ'!DT303</f>
        <v>6</v>
      </c>
      <c r="AF1623" s="113">
        <f>'Data_in-situ'!EN337</f>
        <v>-1</v>
      </c>
      <c r="AG1623" s="113">
        <f>'Data_in-situ'!EO337</f>
        <v>0.40749639875129334</v>
      </c>
      <c r="AH1623" s="110">
        <f>'Data_in-situ'!EP337</f>
        <v>3</v>
      </c>
      <c r="AI1623" s="113">
        <f>'Data_in-situ'!ER337</f>
        <v>-20</v>
      </c>
      <c r="AJ1623" s="113">
        <f>'Data_in-situ'!ES337</f>
        <v>4.5362810701838834</v>
      </c>
      <c r="AK1623" s="110">
        <f>'Data_in-situ'!ET337</f>
        <v>3</v>
      </c>
    </row>
    <row r="1624" spans="20:37" x14ac:dyDescent="0.3">
      <c r="T1624" s="113">
        <f>'Data_in-situ'!DN304</f>
        <v>0.25277087423732814</v>
      </c>
      <c r="U1624" s="113">
        <f>'Data_in-situ'!DO304</f>
        <v>2.0397555922164208</v>
      </c>
      <c r="V1624" s="46">
        <f>'Data_in-situ'!DP304</f>
        <v>6</v>
      </c>
      <c r="W1624" s="113">
        <f>'Data_in-situ'!DR304</f>
        <v>-0.16115570294991843</v>
      </c>
      <c r="X1624" s="113">
        <f>'Data_in-situ'!DS304</f>
        <v>0.5610292847687105</v>
      </c>
      <c r="Y1624" s="46">
        <f>'Data_in-situ'!DT304</f>
        <v>6</v>
      </c>
      <c r="AF1624" s="113">
        <f>'Data_in-situ'!EN338</f>
        <v>-1</v>
      </c>
      <c r="AG1624" s="113">
        <f>'Data_in-situ'!EO338</f>
        <v>0.40749639875129334</v>
      </c>
      <c r="AH1624" s="110">
        <f>'Data_in-situ'!EP338</f>
        <v>3</v>
      </c>
      <c r="AI1624" s="113">
        <f>'Data_in-situ'!ER338</f>
        <v>-20</v>
      </c>
      <c r="AJ1624" s="113">
        <f>'Data_in-situ'!ES338</f>
        <v>4.5362810701838834</v>
      </c>
      <c r="AK1624" s="110">
        <f>'Data_in-situ'!ET338</f>
        <v>3</v>
      </c>
    </row>
    <row r="1625" spans="20:37" x14ac:dyDescent="0.3">
      <c r="T1625" s="113">
        <f>'Data_in-situ'!DN305</f>
        <v>0.25277087423732814</v>
      </c>
      <c r="U1625" s="113">
        <f>'Data_in-situ'!DO305</f>
        <v>2.0397555922164208</v>
      </c>
      <c r="V1625" s="46">
        <f>'Data_in-situ'!DP305</f>
        <v>6</v>
      </c>
      <c r="W1625" s="113">
        <f>'Data_in-situ'!DR305</f>
        <v>-0.16115570294991843</v>
      </c>
      <c r="X1625" s="113">
        <f>'Data_in-situ'!DS305</f>
        <v>0.5610292847687105</v>
      </c>
      <c r="Y1625" s="46">
        <f>'Data_in-situ'!DT305</f>
        <v>6</v>
      </c>
      <c r="AF1625" s="113">
        <f>'Data_in-situ'!EN339</f>
        <v>-18.728744939271266</v>
      </c>
      <c r="AG1625" s="113">
        <f>'Data_in-situ'!EO339</f>
        <v>0.97567994313706652</v>
      </c>
      <c r="AH1625" s="110">
        <f>'Data_in-situ'!EP339</f>
        <v>3</v>
      </c>
      <c r="AI1625" s="113">
        <f>'Data_in-situ'!ER339</f>
        <v>-28.769509981851183</v>
      </c>
      <c r="AJ1625" s="113">
        <f>'Data_in-situ'!ES339</f>
        <v>0.91964006572007306</v>
      </c>
      <c r="AK1625" s="110">
        <f>'Data_in-situ'!ET339</f>
        <v>3</v>
      </c>
    </row>
    <row r="1626" spans="20:37" x14ac:dyDescent="0.3">
      <c r="T1626" s="113">
        <f>'Data_in-situ'!DN306</f>
        <v>0.25277087423732814</v>
      </c>
      <c r="U1626" s="113">
        <f>'Data_in-situ'!DO306</f>
        <v>2.0397555922164208</v>
      </c>
      <c r="V1626" s="46">
        <f>'Data_in-situ'!DP306</f>
        <v>6</v>
      </c>
      <c r="W1626" s="113">
        <f>'Data_in-situ'!DR306</f>
        <v>-0.16115570294991843</v>
      </c>
      <c r="X1626" s="113">
        <f>'Data_in-situ'!DS306</f>
        <v>0.50982923873701236</v>
      </c>
      <c r="Y1626" s="46">
        <f>'Data_in-situ'!DT306</f>
        <v>6</v>
      </c>
      <c r="AF1626" s="113">
        <f>'Data_in-situ'!EN340</f>
        <v>-15.910685805422641</v>
      </c>
      <c r="AG1626" s="113">
        <f>'Data_in-situ'!EO340</f>
        <v>1.0227837765091556</v>
      </c>
      <c r="AH1626" s="110">
        <f>'Data_in-situ'!EP340</f>
        <v>3</v>
      </c>
      <c r="AI1626" s="113">
        <f>'Data_in-situ'!ER340</f>
        <v>-23.453947368421044</v>
      </c>
      <c r="AJ1626" s="113">
        <f>'Data_in-situ'!ES340</f>
        <v>1.196189530474022</v>
      </c>
      <c r="AK1626" s="110">
        <f>'Data_in-situ'!ET340</f>
        <v>3</v>
      </c>
    </row>
    <row r="1627" spans="20:37" x14ac:dyDescent="0.3">
      <c r="T1627" s="113">
        <f>'Data_in-situ'!DN307</f>
        <v>0.25277087423732814</v>
      </c>
      <c r="U1627" s="113">
        <f>'Data_in-situ'!DO307</f>
        <v>2.0397555922164208</v>
      </c>
      <c r="V1627" s="46">
        <f>'Data_in-situ'!DP307</f>
        <v>6</v>
      </c>
      <c r="W1627" s="113">
        <f>'Data_in-situ'!DR307</f>
        <v>-0.21487427059989123</v>
      </c>
      <c r="X1627" s="113">
        <f>'Data_in-situ'!DS307</f>
        <v>0.52942636938081877</v>
      </c>
      <c r="Y1627" s="46">
        <f>'Data_in-situ'!DT307</f>
        <v>6</v>
      </c>
      <c r="AF1627" s="113">
        <f>'Data_in-situ'!EN341</f>
        <v>-11.595789473684208</v>
      </c>
      <c r="AG1627" s="113">
        <f>'Data_in-situ'!EO341</f>
        <v>0.44954804430300416</v>
      </c>
      <c r="AH1627" s="110">
        <f>'Data_in-situ'!EP341</f>
        <v>3</v>
      </c>
      <c r="AI1627" s="113">
        <f>'Data_in-situ'!ER341</f>
        <v>-23.208711433756811</v>
      </c>
      <c r="AJ1627" s="113">
        <f>'Data_in-situ'!ES341</f>
        <v>0.78101283680717748</v>
      </c>
      <c r="AK1627" s="110">
        <f>'Data_in-situ'!ET341</f>
        <v>3</v>
      </c>
    </row>
    <row r="1628" spans="20:37" x14ac:dyDescent="0.3">
      <c r="T1628" s="113">
        <f>'Data_in-situ'!DN308</f>
        <v>1.2638543711866406</v>
      </c>
      <c r="U1628" s="113">
        <f>'Data_in-situ'!DO308</f>
        <v>3.7827422106480872</v>
      </c>
      <c r="V1628" s="46">
        <f>'Data_in-situ'!DP308</f>
        <v>6</v>
      </c>
      <c r="W1628" s="113">
        <f>'Data_in-situ'!DR308</f>
        <v>-0.16115570294991843</v>
      </c>
      <c r="X1628" s="113">
        <f>'Data_in-situ'!DS308</f>
        <v>0.5610292847687105</v>
      </c>
      <c r="Y1628" s="46">
        <f>'Data_in-situ'!DT308</f>
        <v>6</v>
      </c>
      <c r="AF1628" s="113">
        <f>'Data_in-situ'!EN342</f>
        <v>-11.142300194931776</v>
      </c>
      <c r="AG1628" s="113">
        <f>'Data_in-situ'!EO342</f>
        <v>0.60135887201815885</v>
      </c>
      <c r="AH1628" s="110">
        <f>'Data_in-situ'!EP342</f>
        <v>3</v>
      </c>
      <c r="AI1628" s="113">
        <f>'Data_in-situ'!ER342</f>
        <v>-18.027290448343074</v>
      </c>
      <c r="AJ1628" s="113">
        <f>'Data_in-situ'!ES342</f>
        <v>0.60993017965284302</v>
      </c>
      <c r="AK1628" s="110">
        <f>'Data_in-situ'!ET342</f>
        <v>3</v>
      </c>
    </row>
    <row r="1629" spans="20:37" x14ac:dyDescent="0.3">
      <c r="T1629" s="113">
        <f>'Data_in-situ'!DN309</f>
        <v>1.2638543711866406</v>
      </c>
      <c r="U1629" s="113">
        <f>'Data_in-situ'!DO309</f>
        <v>3.7827422106480872</v>
      </c>
      <c r="V1629" s="46">
        <f>'Data_in-situ'!DP309</f>
        <v>6</v>
      </c>
      <c r="W1629" s="113">
        <f>'Data_in-situ'!DR309</f>
        <v>-0.16115570294991843</v>
      </c>
      <c r="X1629" s="113">
        <f>'Data_in-situ'!DS309</f>
        <v>0.5610292847687105</v>
      </c>
      <c r="Y1629" s="46">
        <f>'Data_in-situ'!DT309</f>
        <v>6</v>
      </c>
      <c r="AF1629" s="113">
        <f>'Data_in-situ'!EN343</f>
        <v>-7.5049786628733965</v>
      </c>
      <c r="AG1629" s="113">
        <f>'Data_in-situ'!EO343</f>
        <v>0.56147558903179429</v>
      </c>
      <c r="AH1629" s="110">
        <f>'Data_in-situ'!EP343</f>
        <v>3</v>
      </c>
      <c r="AI1629" s="113">
        <f>'Data_in-situ'!ER343</f>
        <v>-14.886247877758912</v>
      </c>
      <c r="AJ1629" s="113">
        <f>'Data_in-situ'!ES343</f>
        <v>0.59475310250266267</v>
      </c>
      <c r="AK1629" s="110">
        <f>'Data_in-situ'!ET343</f>
        <v>3</v>
      </c>
    </row>
    <row r="1630" spans="20:37" x14ac:dyDescent="0.3">
      <c r="T1630" s="113">
        <f>'Data_in-situ'!DN310</f>
        <v>1.2638543711866406</v>
      </c>
      <c r="U1630" s="113">
        <f>'Data_in-situ'!DO310</f>
        <v>3.7827422106480872</v>
      </c>
      <c r="V1630" s="46">
        <f>'Data_in-situ'!DP310</f>
        <v>6</v>
      </c>
      <c r="W1630" s="113">
        <f>'Data_in-situ'!DR310</f>
        <v>-0.16115570294991843</v>
      </c>
      <c r="X1630" s="113">
        <f>'Data_in-situ'!DS310</f>
        <v>0.5610292847687105</v>
      </c>
      <c r="Y1630" s="46">
        <f>'Data_in-situ'!DT310</f>
        <v>6</v>
      </c>
      <c r="AF1630" s="113">
        <f>'Data_in-situ'!EN344</f>
        <v>-5.9727095516569193</v>
      </c>
      <c r="AG1630" s="113">
        <f>'Data_in-situ'!EO344</f>
        <v>0.38993551592449915</v>
      </c>
      <c r="AH1630" s="110">
        <f>'Data_in-situ'!EP344</f>
        <v>3</v>
      </c>
      <c r="AI1630" s="113">
        <f>'Data_in-situ'!ER344</f>
        <v>-14.607809847198643</v>
      </c>
      <c r="AJ1630" s="113">
        <f>'Data_in-situ'!ES344</f>
        <v>0.44735902456710497</v>
      </c>
      <c r="AK1630" s="110">
        <f>'Data_in-situ'!ET344</f>
        <v>3</v>
      </c>
    </row>
    <row r="1631" spans="20:37" x14ac:dyDescent="0.3">
      <c r="T1631" s="113">
        <f>'Data_in-situ'!DN311</f>
        <v>1.2638543711866406</v>
      </c>
      <c r="U1631" s="113">
        <f>'Data_in-situ'!DO311</f>
        <v>3.7827422106480872</v>
      </c>
      <c r="V1631" s="46">
        <f>'Data_in-situ'!DP311</f>
        <v>6</v>
      </c>
      <c r="W1631" s="113">
        <f>'Data_in-situ'!DR311</f>
        <v>-0.21487427059989123</v>
      </c>
      <c r="X1631" s="113">
        <f>'Data_in-situ'!DS311</f>
        <v>0.52942636938081877</v>
      </c>
      <c r="Y1631" s="46">
        <f>'Data_in-situ'!DT311</f>
        <v>6</v>
      </c>
      <c r="AF1631" s="113">
        <f>'Data_in-situ'!EN345</f>
        <v>9.6094276094276143</v>
      </c>
      <c r="AG1631" s="113">
        <f>'Data_in-situ'!EO345</f>
        <v>0.82472710313952347</v>
      </c>
      <c r="AH1631" s="110">
        <f>'Data_in-situ'!EP345</f>
        <v>3</v>
      </c>
      <c r="AI1631" s="113">
        <f>'Data_in-situ'!ER345</f>
        <v>0.24242424242424274</v>
      </c>
      <c r="AJ1631" s="113">
        <f>'Data_in-situ'!ES345</f>
        <v>0.32506616373647801</v>
      </c>
      <c r="AK1631" s="110">
        <f>'Data_in-situ'!ET345</f>
        <v>3</v>
      </c>
    </row>
    <row r="1632" spans="20:37" x14ac:dyDescent="0.3">
      <c r="T1632" s="113">
        <f>'Data_in-situ'!DN312</f>
        <v>0.75831262271198441</v>
      </c>
      <c r="U1632" s="113">
        <f>'Data_in-situ'!DO312</f>
        <v>2.1753507933433238</v>
      </c>
      <c r="V1632" s="46">
        <f>'Data_in-situ'!DP312</f>
        <v>6</v>
      </c>
      <c r="W1632" s="113">
        <f>'Data_in-situ'!DR312</f>
        <v>-0.16115570294991843</v>
      </c>
      <c r="X1632" s="113">
        <f>'Data_in-situ'!DS312</f>
        <v>0.5610292847687105</v>
      </c>
      <c r="Y1632" s="46">
        <f>'Data_in-situ'!DT312</f>
        <v>6</v>
      </c>
      <c r="AF1632" s="113">
        <f>'Data_in-situ'!EN346</f>
        <v>10.734402852049913</v>
      </c>
      <c r="AG1632" s="113">
        <f>'Data_in-situ'!EO346</f>
        <v>0.89907795198284091</v>
      </c>
      <c r="AH1632" s="110">
        <f>'Data_in-situ'!EP346</f>
        <v>3</v>
      </c>
      <c r="AI1632" s="113">
        <f>'Data_in-situ'!ER346</f>
        <v>1.4153297682709467</v>
      </c>
      <c r="AJ1632" s="113">
        <f>'Data_in-situ'!ES346</f>
        <v>0.51951553041500198</v>
      </c>
      <c r="AK1632" s="110">
        <f>'Data_in-situ'!ET346</f>
        <v>3</v>
      </c>
    </row>
    <row r="1633" spans="20:37" x14ac:dyDescent="0.3">
      <c r="T1633" s="113">
        <f>'Data_in-situ'!DN313</f>
        <v>0.75831262271198441</v>
      </c>
      <c r="U1633" s="113">
        <f>'Data_in-situ'!DO313</f>
        <v>2.1753507933433238</v>
      </c>
      <c r="V1633" s="46">
        <f>'Data_in-situ'!DP313</f>
        <v>6</v>
      </c>
      <c r="W1633" s="113">
        <f>'Data_in-situ'!DR313</f>
        <v>-0.16115570294991843</v>
      </c>
      <c r="X1633" s="113">
        <f>'Data_in-situ'!DS313</f>
        <v>0.5610292847687105</v>
      </c>
      <c r="Y1633" s="46">
        <f>'Data_in-situ'!DT313</f>
        <v>6</v>
      </c>
      <c r="AF1633" s="113">
        <f>'Data_in-situ'!EN347</f>
        <v>21.878787878787879</v>
      </c>
      <c r="AG1633" s="113">
        <f>'Data_in-situ'!EO347</f>
        <v>1.1081772383933699</v>
      </c>
      <c r="AH1633" s="110">
        <f>'Data_in-situ'!EP347</f>
        <v>3</v>
      </c>
      <c r="AI1633" s="113">
        <f>'Data_in-situ'!ER347</f>
        <v>0.76837548416496004</v>
      </c>
      <c r="AJ1633" s="113">
        <f>'Data_in-situ'!ES347</f>
        <v>1.2709978400329951</v>
      </c>
      <c r="AK1633" s="110">
        <f>'Data_in-situ'!ET347</f>
        <v>3</v>
      </c>
    </row>
    <row r="1634" spans="20:37" x14ac:dyDescent="0.3">
      <c r="T1634" s="113">
        <f>'Data_in-situ'!DN314</f>
        <v>0.75831262271198441</v>
      </c>
      <c r="U1634" s="113">
        <f>'Data_in-situ'!DO314</f>
        <v>2.1753507933433238</v>
      </c>
      <c r="V1634" s="46">
        <f>'Data_in-situ'!DP314</f>
        <v>6</v>
      </c>
      <c r="W1634" s="113">
        <f>'Data_in-situ'!DR314</f>
        <v>-0.16115570294991843</v>
      </c>
      <c r="X1634" s="113">
        <f>'Data_in-situ'!DS314</f>
        <v>0.52942636938081877</v>
      </c>
      <c r="Y1634" s="46">
        <f>'Data_in-situ'!DT314</f>
        <v>6</v>
      </c>
      <c r="AF1634" s="113">
        <f>'Data_in-situ'!EN348</f>
        <v>-17.5</v>
      </c>
      <c r="AG1634" s="113">
        <f>'Data_in-situ'!EO348</f>
        <v>4.9497474683058327</v>
      </c>
      <c r="AH1634" s="110">
        <f>'Data_in-situ'!EP348</f>
        <v>4</v>
      </c>
      <c r="AI1634" s="113">
        <f>'Data_in-situ'!ER348</f>
        <v>-34</v>
      </c>
      <c r="AJ1634" s="113">
        <f>'Data_in-situ'!ES348</f>
        <v>11.313708498984761</v>
      </c>
      <c r="AK1634" s="110">
        <f>'Data_in-situ'!ET348</f>
        <v>4</v>
      </c>
    </row>
    <row r="1635" spans="20:37" x14ac:dyDescent="0.3">
      <c r="T1635" s="113">
        <f>'Data_in-situ'!DN315</f>
        <v>0.75831262271198441</v>
      </c>
      <c r="U1635" s="113">
        <f>'Data_in-situ'!DO315</f>
        <v>2.1753507933433238</v>
      </c>
      <c r="V1635" s="46">
        <f>'Data_in-situ'!DP315</f>
        <v>6</v>
      </c>
      <c r="W1635" s="113">
        <f>'Data_in-situ'!DR315</f>
        <v>-0.21487427059989123</v>
      </c>
      <c r="X1635" s="113">
        <f>'Data_in-situ'!DS315</f>
        <v>0.52942636938081877</v>
      </c>
      <c r="Y1635" s="46">
        <f>'Data_in-situ'!DT315</f>
        <v>6</v>
      </c>
      <c r="AF1635" s="113">
        <f>'Data_in-situ'!EN349</f>
        <v>-10</v>
      </c>
      <c r="AG1635" s="113">
        <f>'Data_in-situ'!EO349</f>
        <v>5.6568542494923806</v>
      </c>
      <c r="AH1635" s="110">
        <f>'Data_in-situ'!EP349</f>
        <v>4</v>
      </c>
      <c r="AI1635" s="113">
        <f>'Data_in-situ'!ER349</f>
        <v>-16.5</v>
      </c>
      <c r="AJ1635" s="113">
        <f>'Data_in-situ'!ES349</f>
        <v>3.5355339059327378</v>
      </c>
      <c r="AK1635" s="110">
        <f>'Data_in-situ'!ET349</f>
        <v>4</v>
      </c>
    </row>
    <row r="1636" spans="20:37" x14ac:dyDescent="0.3">
      <c r="T1636" s="113">
        <f>'Data_in-situ'!DN331</f>
        <v>130.67000000000002</v>
      </c>
      <c r="U1636" s="113">
        <f>'Data_in-situ'!DO331</f>
        <v>68.193149695063454</v>
      </c>
      <c r="V1636" s="46">
        <f>'Data_in-situ'!DP331</f>
        <v>3</v>
      </c>
      <c r="W1636" s="113">
        <f>'Data_in-situ'!DR331</f>
        <v>61.027999999999992</v>
      </c>
      <c r="X1636" s="113">
        <f>'Data_in-situ'!DS331</f>
        <v>43.24238046176459</v>
      </c>
      <c r="Y1636" s="46">
        <f>'Data_in-situ'!DT331</f>
        <v>3</v>
      </c>
      <c r="AF1636" s="113">
        <f>'Data_in-situ'!EN350</f>
        <v>10</v>
      </c>
      <c r="AG1636" s="113">
        <f>'Data_in-situ'!EO350</f>
        <v>14.142135623730951</v>
      </c>
      <c r="AH1636" s="110">
        <f>'Data_in-situ'!EP350</f>
        <v>4</v>
      </c>
      <c r="AI1636" s="113">
        <f>'Data_in-situ'!ER350</f>
        <v>-8</v>
      </c>
      <c r="AJ1636" s="113">
        <f>'Data_in-situ'!ES350</f>
        <v>2.8284271247461903</v>
      </c>
      <c r="AK1636" s="110">
        <f>'Data_in-situ'!ET350</f>
        <v>4</v>
      </c>
    </row>
    <row r="1637" spans="20:37" x14ac:dyDescent="0.3">
      <c r="T1637" s="113">
        <f>'Data_in-situ'!DN332</f>
        <v>130.67000000000002</v>
      </c>
      <c r="U1637" s="113">
        <f>'Data_in-situ'!DO332</f>
        <v>68.193149695063454</v>
      </c>
      <c r="V1637" s="46">
        <f>'Data_in-situ'!DP332</f>
        <v>3</v>
      </c>
      <c r="W1637" s="113">
        <f>'Data_in-situ'!DR332</f>
        <v>1.3626666666666667</v>
      </c>
      <c r="X1637" s="113">
        <f>'Data_in-situ'!DS332</f>
        <v>1.5172765074303363</v>
      </c>
      <c r="Y1637" s="46">
        <f>'Data_in-situ'!DT332</f>
        <v>3</v>
      </c>
      <c r="AF1637" s="113">
        <f>'Data_in-situ'!EN351</f>
        <v>-17.5</v>
      </c>
      <c r="AG1637" s="113">
        <f>'Data_in-situ'!EO351</f>
        <v>4.9497474683058327</v>
      </c>
      <c r="AH1637" s="110">
        <f>'Data_in-situ'!EP351</f>
        <v>4</v>
      </c>
      <c r="AI1637" s="113">
        <f>'Data_in-situ'!ER351</f>
        <v>-34</v>
      </c>
      <c r="AJ1637" s="113">
        <f>'Data_in-situ'!ES351</f>
        <v>11.313708498984761</v>
      </c>
      <c r="AK1637" s="110">
        <f>'Data_in-situ'!ET351</f>
        <v>4</v>
      </c>
    </row>
    <row r="1638" spans="20:37" x14ac:dyDescent="0.3">
      <c r="T1638" s="113">
        <f>'Data_in-situ'!DN333</f>
        <v>224.95402018476722</v>
      </c>
      <c r="U1638" s="113">
        <f>'Data_in-situ'!DO333</f>
        <v>27.300798963122862</v>
      </c>
      <c r="V1638" s="46">
        <f>'Data_in-situ'!DP333</f>
        <v>3</v>
      </c>
      <c r="W1638" s="113">
        <f>'Data_in-situ'!DR333</f>
        <v>41.219419022620272</v>
      </c>
      <c r="X1638" s="113">
        <f>'Data_in-situ'!DS333</f>
        <v>28.248116299491517</v>
      </c>
      <c r="Y1638" s="46">
        <f>'Data_in-situ'!DT333</f>
        <v>3</v>
      </c>
      <c r="AF1638" s="113">
        <f>'Data_in-situ'!EN352</f>
        <v>-10</v>
      </c>
      <c r="AG1638" s="113">
        <f>'Data_in-situ'!EO352</f>
        <v>5.6568542494923806</v>
      </c>
      <c r="AH1638" s="110">
        <f>'Data_in-situ'!EP352</f>
        <v>4</v>
      </c>
      <c r="AI1638" s="113">
        <f>'Data_in-situ'!ER352</f>
        <v>-16.5</v>
      </c>
      <c r="AJ1638" s="113">
        <f>'Data_in-situ'!ES352</f>
        <v>3.5355339059327378</v>
      </c>
      <c r="AK1638" s="110">
        <f>'Data_in-situ'!ET352</f>
        <v>4</v>
      </c>
    </row>
    <row r="1639" spans="20:37" x14ac:dyDescent="0.3">
      <c r="T1639" s="113">
        <f>'Data_in-situ'!DN334</f>
        <v>319.73915567142052</v>
      </c>
      <c r="U1639" s="113">
        <f>'Data_in-situ'!DO334</f>
        <v>43.930407967061235</v>
      </c>
      <c r="V1639" s="46">
        <f>'Data_in-situ'!DP334</f>
        <v>3</v>
      </c>
      <c r="W1639" s="113">
        <f>'Data_in-situ'!DR334</f>
        <v>51.711287050105334</v>
      </c>
      <c r="X1639" s="113">
        <f>'Data_in-situ'!DS334</f>
        <v>35.138864518591532</v>
      </c>
      <c r="Y1639" s="46">
        <f>'Data_in-situ'!DT334</f>
        <v>3</v>
      </c>
      <c r="AF1639" s="113">
        <f>'Data_in-situ'!EN353</f>
        <v>10</v>
      </c>
      <c r="AG1639" s="113">
        <f>'Data_in-situ'!EO353</f>
        <v>14.142135623730951</v>
      </c>
      <c r="AH1639" s="110">
        <f>'Data_in-situ'!EP353</f>
        <v>4</v>
      </c>
      <c r="AI1639" s="113">
        <f>'Data_in-situ'!ER353</f>
        <v>-8</v>
      </c>
      <c r="AJ1639" s="113">
        <f>'Data_in-situ'!ES353</f>
        <v>2.8284271247461903</v>
      </c>
      <c r="AK1639" s="110">
        <f>'Data_in-situ'!ET353</f>
        <v>4</v>
      </c>
    </row>
    <row r="1640" spans="20:37" x14ac:dyDescent="0.3">
      <c r="T1640" s="113">
        <f>'Data_in-situ'!DN335</f>
        <v>231.15879516066161</v>
      </c>
      <c r="U1640" s="113">
        <f>'Data_in-situ'!DO335</f>
        <v>29.849428994378311</v>
      </c>
      <c r="V1640" s="46">
        <f>'Data_in-situ'!DP335</f>
        <v>3</v>
      </c>
      <c r="W1640" s="113">
        <f>'Data_in-situ'!DR335</f>
        <v>36.322102883026695</v>
      </c>
      <c r="X1640" s="113">
        <f>'Data_in-situ'!DS335</f>
        <v>24.783672418143286</v>
      </c>
      <c r="Y1640" s="46">
        <f>'Data_in-situ'!DT335</f>
        <v>3</v>
      </c>
      <c r="AF1640" s="113">
        <f>'Data_in-situ'!EN354</f>
        <v>-2.9</v>
      </c>
      <c r="AG1640" s="113">
        <f>'Data_in-situ'!EO354</f>
        <v>2.4</v>
      </c>
      <c r="AH1640" s="110">
        <f>'Data_in-situ'!EP354</f>
        <v>3</v>
      </c>
      <c r="AI1640" s="113">
        <f>'Data_in-situ'!ER354</f>
        <v>-24.2</v>
      </c>
      <c r="AJ1640" s="113">
        <f>'Data_in-situ'!ES354</f>
        <v>10.3</v>
      </c>
      <c r="AK1640" s="110">
        <f>'Data_in-situ'!ET354</f>
        <v>2</v>
      </c>
    </row>
    <row r="1641" spans="20:37" x14ac:dyDescent="0.3">
      <c r="T1641" s="113">
        <f>'Data_in-situ'!DN336</f>
        <v>493.10596214853945</v>
      </c>
      <c r="U1641" s="113">
        <f>'Data_in-situ'!DO336</f>
        <v>526.28285184988022</v>
      </c>
      <c r="V1641" s="46">
        <f>'Data_in-situ'!DP336</f>
        <v>3</v>
      </c>
      <c r="W1641" s="113">
        <f>'Data_in-situ'!DR336</f>
        <v>78.722119137960249</v>
      </c>
      <c r="X1641" s="113">
        <f>'Data_in-situ'!DS336</f>
        <v>80.04506331866223</v>
      </c>
      <c r="Y1641" s="46">
        <f>'Data_in-situ'!DT336</f>
        <v>3</v>
      </c>
      <c r="AF1641" s="113">
        <f>'Data_in-situ'!EN355</f>
        <v>-10.6</v>
      </c>
      <c r="AG1641" s="113">
        <f>'Data_in-situ'!EO355</f>
        <v>7.7</v>
      </c>
      <c r="AH1641" s="110">
        <f>'Data_in-situ'!EP355</f>
        <v>3</v>
      </c>
      <c r="AI1641" s="113">
        <f>'Data_in-situ'!ER355</f>
        <v>-13.2</v>
      </c>
      <c r="AJ1641" s="113">
        <f>'Data_in-situ'!ES355</f>
        <v>6.5</v>
      </c>
      <c r="AK1641" s="110">
        <f>'Data_in-situ'!ET355</f>
        <v>3</v>
      </c>
    </row>
    <row r="1642" spans="20:37" x14ac:dyDescent="0.3">
      <c r="T1642" s="113">
        <f>'Data_in-situ'!DN337</f>
        <v>806.56888052092813</v>
      </c>
      <c r="U1642" s="113">
        <f>'Data_in-situ'!DO337</f>
        <v>856.38159693760133</v>
      </c>
      <c r="V1642" s="46">
        <f>'Data_in-situ'!DP337</f>
        <v>3</v>
      </c>
      <c r="W1642" s="113">
        <f>'Data_in-situ'!DR337</f>
        <v>84.62740503626496</v>
      </c>
      <c r="X1642" s="113">
        <f>'Data_in-situ'!DS337</f>
        <v>85.525142019325685</v>
      </c>
      <c r="Y1642" s="46">
        <f>'Data_in-situ'!DT337</f>
        <v>3</v>
      </c>
      <c r="AF1642" s="113">
        <f>'Data_in-situ'!EN356</f>
        <v>-10.6</v>
      </c>
      <c r="AG1642" s="113">
        <f>'Data_in-situ'!EO356</f>
        <v>7.7</v>
      </c>
      <c r="AH1642" s="110">
        <f>'Data_in-situ'!EP356</f>
        <v>3</v>
      </c>
      <c r="AI1642" s="113">
        <f>'Data_in-situ'!ER356</f>
        <v>-53.1</v>
      </c>
      <c r="AJ1642" s="113">
        <f>'Data_in-situ'!ES356</f>
        <v>10.3</v>
      </c>
      <c r="AK1642" s="110">
        <f>'Data_in-situ'!ET356</f>
        <v>1</v>
      </c>
    </row>
    <row r="1643" spans="20:37" x14ac:dyDescent="0.3">
      <c r="T1643" s="113">
        <f>'Data_in-situ'!DN338</f>
        <v>660.5745513402162</v>
      </c>
      <c r="U1643" s="113">
        <f>'Data_in-situ'!DO338</f>
        <v>706.60737149083172</v>
      </c>
      <c r="V1643" s="46">
        <f>'Data_in-situ'!DP338</f>
        <v>3</v>
      </c>
      <c r="W1643" s="113">
        <f>'Data_in-situ'!DR338</f>
        <v>60.94615675196922</v>
      </c>
      <c r="X1643" s="113">
        <f>'Data_in-situ'!DS338</f>
        <v>61.833294541817786</v>
      </c>
      <c r="Y1643" s="46">
        <f>'Data_in-situ'!DT338</f>
        <v>3</v>
      </c>
      <c r="AF1643" s="113">
        <f>'Data_in-situ'!EN357</f>
        <v>-3.9</v>
      </c>
      <c r="AG1643" s="113">
        <f>'Data_in-situ'!EO357</f>
        <v>3.3</v>
      </c>
      <c r="AH1643" s="110">
        <f>'Data_in-situ'!EP357</f>
        <v>3</v>
      </c>
      <c r="AI1643" s="113">
        <f>'Data_in-situ'!ER357</f>
        <v>-25.6</v>
      </c>
      <c r="AJ1643" s="113">
        <f>'Data_in-situ'!ES357</f>
        <v>10.3</v>
      </c>
      <c r="AK1643" s="110">
        <f>'Data_in-situ'!ET357</f>
        <v>2</v>
      </c>
    </row>
    <row r="1644" spans="20:37" x14ac:dyDescent="0.3">
      <c r="T1644" s="113">
        <f>'Data_in-situ'!DN339</f>
        <v>119.51899620842497</v>
      </c>
      <c r="U1644" s="113">
        <f>'Data_in-situ'!DO339</f>
        <v>34.824121299588967</v>
      </c>
      <c r="V1644" s="46">
        <f>'Data_in-situ'!DP339</f>
        <v>3</v>
      </c>
      <c r="W1644" s="113">
        <f>'Data_in-situ'!DR339</f>
        <v>20.119884710538422</v>
      </c>
      <c r="X1644" s="113">
        <f>'Data_in-situ'!DS339</f>
        <v>3.7786326870241678</v>
      </c>
      <c r="Y1644" s="46">
        <f>'Data_in-situ'!DT339</f>
        <v>3</v>
      </c>
      <c r="AF1644" s="113">
        <f>'Data_in-situ'!EN358</f>
        <v>-10.199999999999999</v>
      </c>
      <c r="AG1644" s="113">
        <f>'Data_in-situ'!EO358</f>
        <v>4.7</v>
      </c>
      <c r="AH1644" s="110">
        <f>'Data_in-situ'!EP358</f>
        <v>3</v>
      </c>
      <c r="AI1644" s="113">
        <f>'Data_in-situ'!ER358</f>
        <v>-16.899999999999999</v>
      </c>
      <c r="AJ1644" s="113">
        <f>'Data_in-situ'!ES358</f>
        <v>10.3</v>
      </c>
      <c r="AK1644" s="110">
        <f>'Data_in-situ'!ET358</f>
        <v>3</v>
      </c>
    </row>
    <row r="1645" spans="20:37" x14ac:dyDescent="0.3">
      <c r="T1645" s="113">
        <f>'Data_in-situ'!DN340</f>
        <v>756.9536426533582</v>
      </c>
      <c r="U1645" s="113">
        <f>'Data_in-situ'!DO340</f>
        <v>966.52380476916505</v>
      </c>
      <c r="V1645" s="46">
        <f>'Data_in-situ'!DP340</f>
        <v>3</v>
      </c>
      <c r="W1645" s="113">
        <f>'Data_in-situ'!DR340</f>
        <v>140.83919297376897</v>
      </c>
      <c r="X1645" s="113">
        <f>'Data_in-situ'!DS340</f>
        <v>231.79656525897315</v>
      </c>
      <c r="Y1645" s="46">
        <f>'Data_in-situ'!DT340</f>
        <v>3</v>
      </c>
      <c r="AF1645" s="113">
        <f>'Data_in-situ'!EN359</f>
        <v>-10.199999999999999</v>
      </c>
      <c r="AG1645" s="113">
        <f>'Data_in-situ'!EO359</f>
        <v>4.7</v>
      </c>
      <c r="AH1645" s="110">
        <f>'Data_in-situ'!EP359</f>
        <v>3</v>
      </c>
      <c r="AI1645" s="113">
        <f>'Data_in-situ'!ER359</f>
        <v>-57.1</v>
      </c>
      <c r="AJ1645" s="113">
        <f>'Data_in-situ'!ES359</f>
        <v>7.4</v>
      </c>
      <c r="AK1645" s="110">
        <f>'Data_in-situ'!ET359</f>
        <v>1</v>
      </c>
    </row>
    <row r="1646" spans="20:37" x14ac:dyDescent="0.3">
      <c r="T1646" s="113">
        <f>'Data_in-situ'!DN341</f>
        <v>99.599163507020805</v>
      </c>
      <c r="U1646" s="113">
        <f>'Data_in-situ'!DO341</f>
        <v>34.500209307573023</v>
      </c>
      <c r="V1646" s="46">
        <f>'Data_in-situ'!DP341</f>
        <v>3</v>
      </c>
      <c r="W1646" s="113">
        <f>'Data_in-situ'!DR341</f>
        <v>2.0119884710538427</v>
      </c>
      <c r="X1646" s="113">
        <f>'Data_in-situ'!DS341</f>
        <v>4.1125976308977705</v>
      </c>
      <c r="Y1646" s="46">
        <f>'Data_in-situ'!DT341</f>
        <v>3</v>
      </c>
      <c r="AF1646" s="113">
        <f>'Data_in-situ'!EN360</f>
        <v>0</v>
      </c>
      <c r="AG1646" s="113">
        <f>'Data_in-situ'!EO360</f>
        <v>0</v>
      </c>
      <c r="AH1646" s="110">
        <f>'Data_in-situ'!EP360</f>
        <v>8</v>
      </c>
      <c r="AI1646" s="113">
        <f>'Data_in-situ'!ER360</f>
        <v>-20</v>
      </c>
      <c r="AJ1646" s="113">
        <f>'Data_in-situ'!ES360</f>
        <v>4.5362810701838834</v>
      </c>
      <c r="AK1646" s="110">
        <f>'Data_in-situ'!ET360</f>
        <v>8</v>
      </c>
    </row>
    <row r="1647" spans="20:37" x14ac:dyDescent="0.3">
      <c r="T1647" s="113">
        <f>'Data_in-situ'!DN342</f>
        <v>230.49976509958381</v>
      </c>
      <c r="U1647" s="113">
        <f>'Data_in-situ'!DO342</f>
        <v>197.03120287558829</v>
      </c>
      <c r="V1647" s="46">
        <f>'Data_in-situ'!DP342</f>
        <v>3</v>
      </c>
      <c r="W1647" s="113">
        <f>'Data_in-situ'!DR342</f>
        <v>118.90670603705591</v>
      </c>
      <c r="X1647" s="113">
        <f>'Data_in-situ'!DS342</f>
        <v>159.66597828472533</v>
      </c>
      <c r="Y1647" s="46">
        <f>'Data_in-situ'!DT342</f>
        <v>3</v>
      </c>
      <c r="AF1647" s="113">
        <f>'Data_in-situ'!EN372</f>
        <v>-40.51870340955886</v>
      </c>
      <c r="AG1647" s="113">
        <f>'Data_in-situ'!EO372</f>
        <v>20.370209301600063</v>
      </c>
      <c r="AH1647" s="110">
        <f>'Data_in-situ'!EP372</f>
        <v>6</v>
      </c>
      <c r="AI1647" s="113">
        <f>'Data_in-situ'!ER372</f>
        <v>-50.351292976661703</v>
      </c>
      <c r="AJ1647" s="113">
        <f>'Data_in-situ'!ES372</f>
        <v>17.957460020005087</v>
      </c>
      <c r="AK1647" s="110">
        <f>'Data_in-situ'!ET372</f>
        <v>6</v>
      </c>
    </row>
    <row r="1648" spans="20:37" x14ac:dyDescent="0.3">
      <c r="T1648" s="113">
        <f>'Data_in-situ'!DN343</f>
        <v>1089.6352531980324</v>
      </c>
      <c r="U1648" s="113">
        <f>'Data_in-situ'!DO343</f>
        <v>927.78982978332431</v>
      </c>
      <c r="V1648" s="46">
        <f>'Data_in-situ'!DP343</f>
        <v>3</v>
      </c>
      <c r="W1648" s="113">
        <f>'Data_in-situ'!DR343</f>
        <v>639.12354494917554</v>
      </c>
      <c r="X1648" s="113">
        <f>'Data_in-situ'!DS343</f>
        <v>304.35692868746287</v>
      </c>
      <c r="Y1648" s="46">
        <f>'Data_in-situ'!DT343</f>
        <v>3</v>
      </c>
      <c r="AF1648" s="113">
        <f>'Data_in-situ'!EN373</f>
        <v>-40.51870340955886</v>
      </c>
      <c r="AG1648" s="113">
        <f>'Data_in-situ'!EO373</f>
        <v>20.370209301600063</v>
      </c>
      <c r="AH1648" s="110">
        <f>'Data_in-situ'!EP373</f>
        <v>6</v>
      </c>
      <c r="AI1648" s="113">
        <f>'Data_in-situ'!ER373</f>
        <v>-50.44953735219223</v>
      </c>
      <c r="AJ1648" s="113">
        <f>'Data_in-situ'!ES373</f>
        <v>14.661286194047287</v>
      </c>
      <c r="AK1648" s="110">
        <f>'Data_in-situ'!ET373</f>
        <v>6</v>
      </c>
    </row>
    <row r="1649" spans="20:37" x14ac:dyDescent="0.3">
      <c r="T1649" s="113">
        <f>'Data_in-situ'!DN344</f>
        <v>146.68166869973513</v>
      </c>
      <c r="U1649" s="113">
        <f>'Data_in-situ'!DO344</f>
        <v>127.23656397839687</v>
      </c>
      <c r="V1649" s="46">
        <f>'Data_in-situ'!DP344</f>
        <v>3</v>
      </c>
      <c r="W1649" s="113">
        <f>'Data_in-situ'!DR344</f>
        <v>29.726676509263978</v>
      </c>
      <c r="X1649" s="113">
        <f>'Data_in-situ'!DS344</f>
        <v>18.92341152926349</v>
      </c>
      <c r="Y1649" s="46">
        <f>'Data_in-situ'!DT344</f>
        <v>3</v>
      </c>
      <c r="AF1649" s="113">
        <f>'Data_in-situ'!EN374</f>
        <v>-18.43977174360656</v>
      </c>
      <c r="AG1649" s="113">
        <f>'Data_in-situ'!EO374</f>
        <v>7.4660723000216542</v>
      </c>
      <c r="AH1649" s="110">
        <f>'Data_in-situ'!EP374</f>
        <v>6</v>
      </c>
      <c r="AI1649" s="113">
        <f>'Data_in-situ'!ER374</f>
        <v>-32.926909210095033</v>
      </c>
      <c r="AJ1649" s="113">
        <f>'Data_in-situ'!ES374</f>
        <v>5.9181798677139321</v>
      </c>
      <c r="AK1649" s="110">
        <f>'Data_in-situ'!ET374</f>
        <v>6</v>
      </c>
    </row>
    <row r="1650" spans="20:37" x14ac:dyDescent="0.3">
      <c r="T1650" s="113">
        <f>'Data_in-situ'!DN345</f>
        <v>158.06344550056443</v>
      </c>
      <c r="U1650" s="113">
        <f>'Data_in-situ'!DO345</f>
        <v>156.23763874501105</v>
      </c>
      <c r="V1650" s="46">
        <f>'Data_in-situ'!DP345</f>
        <v>3</v>
      </c>
      <c r="W1650" s="113">
        <f>'Data_in-situ'!DR345</f>
        <v>533.27856040861434</v>
      </c>
      <c r="X1650" s="113">
        <f>'Data_in-situ'!DS345</f>
        <v>463.45283466494965</v>
      </c>
      <c r="Y1650" s="46">
        <f>'Data_in-situ'!DT345</f>
        <v>3</v>
      </c>
      <c r="AF1650" s="113">
        <f>'Data_in-situ'!EN375</f>
        <v>-18.43977174360656</v>
      </c>
      <c r="AG1650" s="113">
        <f>'Data_in-situ'!EO375</f>
        <v>7.4660723000216542</v>
      </c>
      <c r="AH1650" s="110">
        <f>'Data_in-situ'!EP375</f>
        <v>6</v>
      </c>
      <c r="AI1650" s="113">
        <f>'Data_in-situ'!ER375</f>
        <v>-40.367064742679283</v>
      </c>
      <c r="AJ1650" s="113">
        <f>'Data_in-situ'!ES375</f>
        <v>4.0843551355325198</v>
      </c>
      <c r="AK1650" s="110">
        <f>'Data_in-situ'!ET375</f>
        <v>6</v>
      </c>
    </row>
    <row r="1651" spans="20:37" x14ac:dyDescent="0.3">
      <c r="T1651" s="113">
        <f>'Data_in-situ'!DN346</f>
        <v>1422.5710095050797</v>
      </c>
      <c r="U1651" s="113">
        <f>'Data_in-situ'!DO346</f>
        <v>1619.3061390358012</v>
      </c>
      <c r="V1651" s="46">
        <f>'Data_in-situ'!DP346</f>
        <v>3</v>
      </c>
      <c r="W1651" s="113">
        <f>'Data_in-situ'!DR346</f>
        <v>1233.2066709449209</v>
      </c>
      <c r="X1651" s="113">
        <f>'Data_in-situ'!DS346</f>
        <v>527.21983078939115</v>
      </c>
      <c r="Y1651" s="46">
        <f>'Data_in-situ'!DT346</f>
        <v>3</v>
      </c>
      <c r="AF1651" s="113">
        <f>'Data_in-situ'!EN376</f>
        <v>-25.327560341085523</v>
      </c>
      <c r="AG1651" s="113">
        <f>'Data_in-situ'!EO376</f>
        <v>3.7216854561993782</v>
      </c>
      <c r="AH1651" s="110">
        <f>'Data_in-situ'!EP376</f>
        <v>6</v>
      </c>
      <c r="AI1651" s="113">
        <f>'Data_in-situ'!ER376</f>
        <v>-38.138726825441289</v>
      </c>
      <c r="AJ1651" s="113">
        <f>'Data_in-situ'!ES376</f>
        <v>2.9417033415847209</v>
      </c>
      <c r="AK1651" s="110">
        <f>'Data_in-situ'!ET376</f>
        <v>6</v>
      </c>
    </row>
    <row r="1652" spans="20:37" x14ac:dyDescent="0.3">
      <c r="T1652" s="113">
        <f>'Data_in-situ'!DN347</f>
        <v>87.813025278091345</v>
      </c>
      <c r="U1652" s="113">
        <f>'Data_in-situ'!DO347</f>
        <v>511.88953557062587</v>
      </c>
      <c r="V1652" s="46">
        <f>'Data_in-situ'!DP347</f>
        <v>3</v>
      </c>
      <c r="W1652" s="113">
        <f>'Data_in-situ'!DR347</f>
        <v>83.324775063845991</v>
      </c>
      <c r="X1652" s="113">
        <f>'Data_in-situ'!DS347</f>
        <v>58.045203910854234</v>
      </c>
      <c r="Y1652" s="46">
        <f>'Data_in-situ'!DT347</f>
        <v>3</v>
      </c>
      <c r="AF1652" s="113">
        <f>'Data_in-situ'!EN377</f>
        <v>-25.327560341085523</v>
      </c>
      <c r="AG1652" s="113">
        <f>'Data_in-situ'!EO377</f>
        <v>3.7216854561993782</v>
      </c>
      <c r="AH1652" s="110">
        <f>'Data_in-situ'!EP377</f>
        <v>6</v>
      </c>
      <c r="AI1652" s="113">
        <f>'Data_in-situ'!ER377</f>
        <v>-44.870926010354054</v>
      </c>
      <c r="AJ1652" s="113">
        <f>'Data_in-situ'!ES377</f>
        <v>2.2702362142729355</v>
      </c>
      <c r="AK1652" s="110">
        <f>'Data_in-situ'!ET377</f>
        <v>6</v>
      </c>
    </row>
    <row r="1653" spans="20:37" x14ac:dyDescent="0.3">
      <c r="T1653" s="113">
        <f>'Data_in-situ'!DN354</f>
        <v>129.83859113829968</v>
      </c>
      <c r="U1653" s="113">
        <f>'Data_in-situ'!DO354</f>
        <v>144.75435619379368</v>
      </c>
      <c r="V1653" s="46">
        <f>'Data_in-situ'!DP354</f>
        <v>3</v>
      </c>
      <c r="W1653" s="113">
        <f>'Data_in-situ'!DR354</f>
        <v>3.2289849407087479</v>
      </c>
      <c r="X1653" s="113">
        <f>'Data_in-situ'!DS354</f>
        <v>12.067415135534878</v>
      </c>
      <c r="Y1653" s="46">
        <f>'Data_in-situ'!DT354</f>
        <v>3</v>
      </c>
      <c r="AF1653" s="113">
        <f>'Data_in-situ'!EN378</f>
        <v>-48.76169720736587</v>
      </c>
      <c r="AG1653" s="113">
        <f>'Data_in-situ'!EO378</f>
        <v>3.8844664928993486</v>
      </c>
      <c r="AH1653" s="110">
        <f>'Data_in-situ'!EP378</f>
        <v>6</v>
      </c>
      <c r="AI1653" s="113">
        <f>'Data_in-situ'!ER378</f>
        <v>-60.453706185710573</v>
      </c>
      <c r="AJ1653" s="113">
        <f>'Data_in-situ'!ES378</f>
        <v>3.5711359265362042</v>
      </c>
      <c r="AK1653" s="110">
        <f>'Data_in-situ'!ET378</f>
        <v>6</v>
      </c>
    </row>
    <row r="1654" spans="20:37" x14ac:dyDescent="0.3">
      <c r="T1654" s="113">
        <f>'Data_in-situ'!DN355</f>
        <v>104.97588219692315</v>
      </c>
      <c r="U1654" s="113">
        <f>'Data_in-situ'!DO355</f>
        <v>117.03543692264172</v>
      </c>
      <c r="V1654" s="46">
        <f>'Data_in-situ'!DP355</f>
        <v>3</v>
      </c>
      <c r="W1654" s="113">
        <f>'Data_in-situ'!DR355</f>
        <v>16.732012874581695</v>
      </c>
      <c r="X1654" s="113">
        <f>'Data_in-situ'!DS355</f>
        <v>62.531151156862556</v>
      </c>
      <c r="Y1654" s="46">
        <f>'Data_in-situ'!DT355</f>
        <v>3</v>
      </c>
      <c r="AF1654" s="113">
        <f>'Data_in-situ'!EN379</f>
        <v>-48.76169720736587</v>
      </c>
      <c r="AG1654" s="113">
        <f>'Data_in-situ'!EO379</f>
        <v>3.8844664928993486</v>
      </c>
      <c r="AH1654" s="110">
        <f>'Data_in-situ'!EP379</f>
        <v>6</v>
      </c>
      <c r="AI1654" s="113">
        <f>'Data_in-situ'!ER379</f>
        <v>-64.194692039592596</v>
      </c>
      <c r="AJ1654" s="113">
        <f>'Data_in-situ'!ES379</f>
        <v>3.0503400500711311</v>
      </c>
      <c r="AK1654" s="110">
        <f>'Data_in-situ'!ET379</f>
        <v>6</v>
      </c>
    </row>
    <row r="1655" spans="20:37" x14ac:dyDescent="0.3">
      <c r="T1655" s="113">
        <f>'Data_in-situ'!DN356</f>
        <v>104.97588219692315</v>
      </c>
      <c r="U1655" s="113">
        <f>'Data_in-situ'!DO356</f>
        <v>117.03543692264172</v>
      </c>
      <c r="V1655" s="46">
        <f>'Data_in-situ'!DP356</f>
        <v>3</v>
      </c>
      <c r="W1655" s="113">
        <f>'Data_in-situ'!DR356</f>
        <v>0</v>
      </c>
      <c r="X1655" s="113">
        <f>'Data_in-situ'!DS356</f>
        <v>0</v>
      </c>
      <c r="Y1655" s="46">
        <f>'Data_in-situ'!DT356</f>
        <v>3</v>
      </c>
      <c r="AF1655" s="113">
        <f>'Data_in-situ'!EN415</f>
        <v>-15.24193548387095</v>
      </c>
      <c r="AG1655" s="113">
        <f>'Data_in-situ'!EO415</f>
        <v>0.79834636585576813</v>
      </c>
      <c r="AH1655" s="110">
        <f>'Data_in-situ'!EP415</f>
        <v>3</v>
      </c>
      <c r="AI1655" s="113">
        <f>'Data_in-situ'!ER415</f>
        <v>-86.747311827956878</v>
      </c>
      <c r="AJ1655" s="113">
        <f>'Data_in-situ'!ES415</f>
        <v>35.741792340849045</v>
      </c>
      <c r="AK1655" s="110">
        <f>'Data_in-situ'!ET415</f>
        <v>3</v>
      </c>
    </row>
    <row r="1656" spans="20:37" x14ac:dyDescent="0.3">
      <c r="T1656" s="113">
        <f>'Data_in-situ'!DN357</f>
        <v>113.26345184404866</v>
      </c>
      <c r="U1656" s="113">
        <f>'Data_in-situ'!DO357</f>
        <v>126.27507667969238</v>
      </c>
      <c r="V1656" s="46">
        <f>'Data_in-situ'!DP357</f>
        <v>3</v>
      </c>
      <c r="W1656" s="113">
        <f>'Data_in-situ'!DR357</f>
        <v>5.2837935393415876</v>
      </c>
      <c r="X1656" s="113">
        <f>'Data_in-situ'!DS357</f>
        <v>19.746679312693438</v>
      </c>
      <c r="Y1656" s="46">
        <f>'Data_in-situ'!DT357</f>
        <v>3</v>
      </c>
      <c r="AF1656" s="113">
        <f>'Data_in-situ'!EN416</f>
        <v>-9.4</v>
      </c>
      <c r="AG1656" s="113">
        <f>'Data_in-situ'!EO416</f>
        <v>9.3000000000000007</v>
      </c>
      <c r="AH1656" s="110">
        <f>'Data_in-situ'!EP416</f>
        <v>5</v>
      </c>
      <c r="AI1656" s="113">
        <f>'Data_in-situ'!ER416</f>
        <v>-21.2</v>
      </c>
      <c r="AJ1656" s="113">
        <f>'Data_in-situ'!ES416</f>
        <v>14.9</v>
      </c>
      <c r="AK1656" s="110">
        <f>'Data_in-situ'!ET416</f>
        <v>5</v>
      </c>
    </row>
    <row r="1657" spans="20:37" x14ac:dyDescent="0.3">
      <c r="T1657" s="113">
        <f>'Data_in-situ'!DN358</f>
        <v>109.11966702048591</v>
      </c>
      <c r="U1657" s="113">
        <f>'Data_in-situ'!DO358</f>
        <v>121.65525680116704</v>
      </c>
      <c r="V1657" s="46">
        <f>'Data_in-situ'!DP358</f>
        <v>3</v>
      </c>
      <c r="W1657" s="113">
        <f>'Data_in-situ'!DR358</f>
        <v>3.5225290262277253</v>
      </c>
      <c r="X1657" s="113">
        <f>'Data_in-situ'!DS358</f>
        <v>13.164452875128958</v>
      </c>
      <c r="Y1657" s="46">
        <f>'Data_in-situ'!DT358</f>
        <v>3</v>
      </c>
      <c r="AF1657" s="113">
        <f>'Data_in-situ'!EN417</f>
        <v>-6.5</v>
      </c>
      <c r="AG1657" s="113">
        <f>'Data_in-situ'!EO417</f>
        <v>3.5</v>
      </c>
      <c r="AH1657" s="110">
        <f>'Data_in-situ'!EP417</f>
        <v>5</v>
      </c>
      <c r="AI1657" s="113">
        <f>'Data_in-situ'!ER417</f>
        <v>-30.6</v>
      </c>
      <c r="AJ1657" s="113">
        <f>'Data_in-situ'!ES417</f>
        <v>14.8</v>
      </c>
      <c r="AK1657" s="110">
        <f>'Data_in-situ'!ET417</f>
        <v>5</v>
      </c>
    </row>
    <row r="1658" spans="20:37" x14ac:dyDescent="0.3">
      <c r="T1658" s="113">
        <f>'Data_in-situ'!DN359</f>
        <v>109.11966702048591</v>
      </c>
      <c r="U1658" s="113">
        <f>'Data_in-situ'!DO359</f>
        <v>121.65525680116704</v>
      </c>
      <c r="V1658" s="46">
        <f>'Data_in-situ'!DP359</f>
        <v>3</v>
      </c>
      <c r="W1658" s="113">
        <f>'Data_in-situ'!DR359</f>
        <v>0.88063225655693134</v>
      </c>
      <c r="X1658" s="113">
        <f>'Data_in-situ'!DS359</f>
        <v>3.2911132187822396</v>
      </c>
      <c r="Y1658" s="46">
        <f>'Data_in-situ'!DT359</f>
        <v>3</v>
      </c>
      <c r="AF1658" s="113">
        <f>'Data_in-situ'!EN418</f>
        <v>-7.3</v>
      </c>
      <c r="AG1658" s="113">
        <f>'Data_in-situ'!EO418</f>
        <v>3.6</v>
      </c>
      <c r="AH1658" s="110">
        <f>'Data_in-situ'!EP418</f>
        <v>3</v>
      </c>
      <c r="AI1658" s="113">
        <f>'Data_in-situ'!ER418</f>
        <v>-75.599999999999994</v>
      </c>
      <c r="AJ1658" s="113">
        <f>'Data_in-situ'!ES418</f>
        <v>14.2</v>
      </c>
      <c r="AK1658" s="110">
        <f>'Data_in-situ'!ET418</f>
        <v>3</v>
      </c>
    </row>
    <row r="1659" spans="20:37" x14ac:dyDescent="0.3">
      <c r="T1659" s="113">
        <f>'Data_in-situ'!DN360</f>
        <v>78.736738703339938</v>
      </c>
      <c r="U1659" s="113">
        <f>'Data_in-situ'!DO360</f>
        <v>27.597052434686233</v>
      </c>
      <c r="V1659" s="46">
        <f>'Data_in-situ'!DP360</f>
        <v>8</v>
      </c>
      <c r="W1659" s="113">
        <f>'Data_in-situ'!DR360</f>
        <v>125.2043222003928</v>
      </c>
      <c r="X1659" s="113">
        <f>'Data_in-situ'!DS360</f>
        <v>186.10419799607629</v>
      </c>
      <c r="Y1659" s="46">
        <f>'Data_in-situ'!DT360</f>
        <v>8</v>
      </c>
      <c r="AF1659" s="113">
        <f>'Data_in-situ'!EN419</f>
        <v>-4.2</v>
      </c>
      <c r="AG1659" s="113">
        <f>'Data_in-situ'!EO419</f>
        <v>5.2</v>
      </c>
      <c r="AH1659" s="110">
        <f>'Data_in-situ'!EP419</f>
        <v>3</v>
      </c>
      <c r="AI1659" s="113">
        <f>'Data_in-situ'!ER419</f>
        <v>-64.3</v>
      </c>
      <c r="AJ1659" s="113">
        <f>'Data_in-situ'!ES419</f>
        <v>5.9</v>
      </c>
      <c r="AK1659" s="110">
        <f>'Data_in-situ'!ET419</f>
        <v>3</v>
      </c>
    </row>
    <row r="1660" spans="20:37" x14ac:dyDescent="0.3">
      <c r="T1660" s="113">
        <f>'Data_in-situ'!DN388</f>
        <v>42</v>
      </c>
      <c r="U1660" s="113">
        <f>'Data_in-situ'!DO388</f>
        <v>46.824930144716852</v>
      </c>
      <c r="V1660" s="46">
        <f>'Data_in-situ'!DP388</f>
        <v>3</v>
      </c>
      <c r="W1660" s="113">
        <f>'Data_in-situ'!DR388</f>
        <v>2</v>
      </c>
      <c r="X1660" s="113">
        <f>'Data_in-situ'!DS388</f>
        <v>7.4744325892620198</v>
      </c>
      <c r="Y1660" s="46">
        <f>'Data_in-situ'!DT388</f>
        <v>3</v>
      </c>
      <c r="AF1660" s="113">
        <f>'Data_in-situ'!EN432</f>
        <v>-14.226633581472301</v>
      </c>
      <c r="AG1660" s="113">
        <f>'Data_in-situ'!EO432</f>
        <v>0.84179554111043309</v>
      </c>
      <c r="AH1660" s="110">
        <f>'Data_in-situ'!EP432</f>
        <v>3</v>
      </c>
      <c r="AI1660" s="113">
        <f>'Data_in-situ'!ER432</f>
        <v>-56.100981767180912</v>
      </c>
      <c r="AJ1660" s="113">
        <f>'Data_in-situ'!ES432</f>
        <v>3.5983168804300347</v>
      </c>
      <c r="AK1660" s="110">
        <f>'Data_in-situ'!ET432</f>
        <v>3</v>
      </c>
    </row>
    <row r="1661" spans="20:37" x14ac:dyDescent="0.3">
      <c r="T1661" s="113">
        <f>'Data_in-situ'!DN394</f>
        <v>3.0991760299625515</v>
      </c>
      <c r="U1661" s="113">
        <f>'Data_in-situ'!DO394</f>
        <v>0.97725273241836819</v>
      </c>
      <c r="V1661" s="46">
        <f>'Data_in-situ'!DP394</f>
        <v>4</v>
      </c>
      <c r="W1661" s="113">
        <f>'Data_in-situ'!DR394</f>
        <v>1.5322846441947573</v>
      </c>
      <c r="X1661" s="113">
        <f>'Data_in-situ'!DS394</f>
        <v>0.41650576982959864</v>
      </c>
      <c r="Y1661" s="46">
        <f>'Data_in-situ'!DT394</f>
        <v>4</v>
      </c>
      <c r="AF1661" s="113">
        <f>'Data_in-situ'!EN433</f>
        <v>-12.821300563236036</v>
      </c>
      <c r="AG1661" s="113">
        <f>'Data_in-situ'!EO433</f>
        <v>0.77828981054787205</v>
      </c>
      <c r="AH1661" s="110">
        <f>'Data_in-situ'!EP433</f>
        <v>3</v>
      </c>
      <c r="AI1661" s="113">
        <f>'Data_in-situ'!ER433</f>
        <v>-49.305962854349943</v>
      </c>
      <c r="AJ1661" s="113">
        <f>'Data_in-situ'!ES433</f>
        <v>4.302708385623629</v>
      </c>
      <c r="AK1661" s="110">
        <f>'Data_in-situ'!ET433</f>
        <v>3</v>
      </c>
    </row>
    <row r="1662" spans="20:37" x14ac:dyDescent="0.3">
      <c r="T1662" s="113">
        <f>'Data_in-situ'!DN395</f>
        <v>3.0991760299625515</v>
      </c>
      <c r="U1662" s="113">
        <f>'Data_in-situ'!DO395</f>
        <v>0.97725273241836819</v>
      </c>
      <c r="V1662" s="46">
        <f>'Data_in-situ'!DP395</f>
        <v>4</v>
      </c>
      <c r="W1662" s="113">
        <f>'Data_in-situ'!DR395</f>
        <v>0.58179775280898871</v>
      </c>
      <c r="X1662" s="113">
        <f>'Data_in-situ'!DS395</f>
        <v>0.21030694588731111</v>
      </c>
      <c r="Y1662" s="46">
        <f>'Data_in-situ'!DT395</f>
        <v>4</v>
      </c>
      <c r="AF1662" s="113">
        <f>'Data_in-situ'!EN443</f>
        <v>-9</v>
      </c>
      <c r="AG1662" s="113">
        <f>'Data_in-situ'!EO443</f>
        <v>1.9</v>
      </c>
      <c r="AH1662" s="110">
        <f>'Data_in-situ'!EP443</f>
        <v>3</v>
      </c>
      <c r="AI1662" s="113">
        <f>'Data_in-situ'!ER443</f>
        <v>-37.76</v>
      </c>
      <c r="AJ1662" s="113">
        <f>'Data_in-situ'!ES443</f>
        <v>2.68</v>
      </c>
      <c r="AK1662" s="110">
        <f>'Data_in-situ'!ET443</f>
        <v>3</v>
      </c>
    </row>
    <row r="1663" spans="20:37" x14ac:dyDescent="0.3">
      <c r="T1663" s="113">
        <f>'Data_in-situ'!DN416</f>
        <v>102.39147844674257</v>
      </c>
      <c r="U1663" s="113">
        <f>'Data_in-situ'!DO416</f>
        <v>25.149528090905832</v>
      </c>
      <c r="V1663" s="46">
        <f>'Data_in-situ'!DP416</f>
        <v>5</v>
      </c>
      <c r="W1663" s="113">
        <f>'Data_in-situ'!DR416</f>
        <v>6.6536659384301489</v>
      </c>
      <c r="X1663" s="113">
        <f>'Data_in-situ'!DS416</f>
        <v>9.0885183749652523</v>
      </c>
      <c r="Y1663" s="46">
        <f>'Data_in-situ'!DT416</f>
        <v>5</v>
      </c>
      <c r="AF1663" s="113">
        <f>'Data_in-situ'!EN448</f>
        <v>-6</v>
      </c>
      <c r="AG1663" s="113">
        <f>'Data_in-situ'!EO448</f>
        <v>-3</v>
      </c>
      <c r="AH1663" s="110">
        <f>'Data_in-situ'!EP448</f>
        <v>3</v>
      </c>
      <c r="AI1663" s="113">
        <f>'Data_in-situ'!ER448</f>
        <v>-21.8</v>
      </c>
      <c r="AJ1663" s="113">
        <f>'Data_in-situ'!ES448</f>
        <v>6.5</v>
      </c>
      <c r="AK1663" s="110">
        <f>'Data_in-situ'!ET448</f>
        <v>3</v>
      </c>
    </row>
    <row r="1664" spans="20:37" x14ac:dyDescent="0.3">
      <c r="T1664" s="113">
        <f>'Data_in-situ'!DN417</f>
        <v>970.38416592642932</v>
      </c>
      <c r="U1664" s="113">
        <f>'Data_in-situ'!DO417</f>
        <v>1081.8612091201044</v>
      </c>
      <c r="V1664" s="46">
        <f>'Data_in-situ'!DP417</f>
        <v>5</v>
      </c>
      <c r="W1664" s="113">
        <f>'Data_in-situ'!DR417</f>
        <v>2.3483526841518167</v>
      </c>
      <c r="X1664" s="113">
        <f>'Data_in-situ'!DS417</f>
        <v>4.0730546894946382</v>
      </c>
      <c r="Y1664" s="46">
        <f>'Data_in-situ'!DT417</f>
        <v>6</v>
      </c>
      <c r="AF1664" s="113">
        <f>'Data_in-situ'!EN449</f>
        <v>-7</v>
      </c>
      <c r="AG1664" s="113">
        <f>'Data_in-situ'!EO449</f>
        <v>4</v>
      </c>
      <c r="AH1664" s="110">
        <f>'Data_in-situ'!EP449</f>
        <v>3</v>
      </c>
      <c r="AI1664" s="113">
        <f>'Data_in-situ'!ER449</f>
        <v>-22.6</v>
      </c>
      <c r="AJ1664" s="113">
        <f>'Data_in-situ'!ES449</f>
        <v>5.6</v>
      </c>
      <c r="AK1664" s="110">
        <f>'Data_in-situ'!ET449</f>
        <v>3</v>
      </c>
    </row>
    <row r="1665" spans="20:25" x14ac:dyDescent="0.3">
      <c r="T1665" s="113">
        <f>'Data_in-situ'!DN420</f>
        <v>132.85</v>
      </c>
      <c r="U1665" s="113">
        <f>'Data_in-situ'!DO420</f>
        <v>167.40306896828386</v>
      </c>
      <c r="V1665" s="46">
        <f>'Data_in-situ'!DP420</f>
        <v>3</v>
      </c>
      <c r="W1665" s="113">
        <f>'Data_in-situ'!DR420</f>
        <v>10.199999999999999</v>
      </c>
      <c r="X1665" s="113">
        <f>'Data_in-situ'!DS420</f>
        <v>15.571341196784134</v>
      </c>
      <c r="Y1665" s="46">
        <f>'Data_in-situ'!DT420</f>
        <v>3</v>
      </c>
    </row>
    <row r="1666" spans="20:25" x14ac:dyDescent="0.3">
      <c r="T1666" s="113">
        <f>'Data_in-situ'!DN421</f>
        <v>136.1</v>
      </c>
      <c r="U1666" s="113">
        <f>'Data_in-situ'!DO421</f>
        <v>88.336949611511187</v>
      </c>
      <c r="V1666" s="46">
        <f>'Data_in-situ'!DP421</f>
        <v>3</v>
      </c>
      <c r="W1666" s="113">
        <f>'Data_in-situ'!DR421</f>
        <v>18.149999999999999</v>
      </c>
      <c r="X1666" s="113">
        <f>'Data_in-situ'!DS421</f>
        <v>9.7939181808576166</v>
      </c>
      <c r="Y1666" s="46">
        <f>'Data_in-situ'!DT421</f>
        <v>3</v>
      </c>
    </row>
    <row r="1667" spans="20:25" x14ac:dyDescent="0.3">
      <c r="T1667" s="113">
        <f>'Data_in-situ'!DN422</f>
        <v>136.1</v>
      </c>
      <c r="U1667" s="113">
        <f>'Data_in-situ'!DO422</f>
        <v>88.336949611511187</v>
      </c>
      <c r="V1667" s="46">
        <f>'Data_in-situ'!DP422</f>
        <v>3</v>
      </c>
      <c r="W1667" s="113">
        <f>'Data_in-situ'!DR422</f>
        <v>9.9</v>
      </c>
      <c r="X1667" s="113">
        <f>'Data_in-situ'!DS422</f>
        <v>15.571341196784134</v>
      </c>
      <c r="Y1667" s="46">
        <f>'Data_in-situ'!DT422</f>
        <v>3</v>
      </c>
    </row>
    <row r="1668" spans="20:25" x14ac:dyDescent="0.3">
      <c r="T1668" s="113">
        <f>'Data_in-situ'!DN423</f>
        <v>136.1</v>
      </c>
      <c r="U1668" s="113">
        <f>'Data_in-situ'!DO423</f>
        <v>88.336949611511187</v>
      </c>
      <c r="V1668" s="46">
        <f>'Data_in-situ'!DP423</f>
        <v>3</v>
      </c>
      <c r="W1668" s="113">
        <f>'Data_in-situ'!DR423</f>
        <v>1</v>
      </c>
      <c r="X1668" s="113">
        <f>'Data_in-situ'!DS423</f>
        <v>5.0560195147302718</v>
      </c>
      <c r="Y1668" s="46">
        <f>'Data_in-situ'!DT423</f>
        <v>3</v>
      </c>
    </row>
    <row r="1669" spans="20:25" x14ac:dyDescent="0.3">
      <c r="T1669" s="113">
        <f>'Data_in-situ'!DN424</f>
        <v>107.675</v>
      </c>
      <c r="U1669" s="113">
        <f>'Data_in-situ'!DO424</f>
        <v>94.631879978859843</v>
      </c>
      <c r="V1669" s="46">
        <f>'Data_in-situ'!DP424</f>
        <v>3</v>
      </c>
      <c r="W1669" s="113">
        <f>'Data_in-situ'!DR424</f>
        <v>39.175000000000004</v>
      </c>
      <c r="X1669" s="113">
        <f>'Data_in-situ'!DS424</f>
        <v>27.610222291752745</v>
      </c>
      <c r="Y1669" s="46">
        <f>'Data_in-situ'!DT424</f>
        <v>3</v>
      </c>
    </row>
    <row r="1670" spans="20:25" x14ac:dyDescent="0.3">
      <c r="T1670" s="113">
        <f>'Data_in-situ'!DN426</f>
        <v>34.4</v>
      </c>
      <c r="U1670" s="113">
        <f>'Data_in-situ'!DO426</f>
        <v>38.351847547101421</v>
      </c>
      <c r="V1670" s="46">
        <f>'Data_in-situ'!DP426</f>
        <v>4</v>
      </c>
      <c r="W1670" s="113">
        <f>'Data_in-situ'!DR426</f>
        <v>-3.0666666666666664</v>
      </c>
      <c r="X1670" s="113">
        <f>'Data_in-situ'!DS426</f>
        <v>11.46079663686843</v>
      </c>
      <c r="Y1670" s="46">
        <f>'Data_in-situ'!DT426</f>
        <v>4</v>
      </c>
    </row>
    <row r="1671" spans="20:25" x14ac:dyDescent="0.3">
      <c r="T1671" s="113">
        <f>'Data_in-situ'!DN427</f>
        <v>34.4</v>
      </c>
      <c r="U1671" s="113">
        <f>'Data_in-situ'!DO427</f>
        <v>38.351847547101421</v>
      </c>
      <c r="V1671" s="46">
        <f>'Data_in-situ'!DP427</f>
        <v>4</v>
      </c>
      <c r="W1671" s="113">
        <f>'Data_in-situ'!DR427</f>
        <v>0.16</v>
      </c>
      <c r="X1671" s="113">
        <f>'Data_in-situ'!DS427</f>
        <v>0.5979546071409616</v>
      </c>
      <c r="Y1671" s="46">
        <f>'Data_in-situ'!DT427</f>
        <v>4</v>
      </c>
    </row>
    <row r="1672" spans="20:25" x14ac:dyDescent="0.3">
      <c r="T1672" s="113">
        <f>'Data_in-situ'!DN428</f>
        <v>84.266666666666666</v>
      </c>
      <c r="U1672" s="113">
        <f>'Data_in-situ'!DO428</f>
        <v>93.947161433209686</v>
      </c>
      <c r="V1672" s="46">
        <f>'Data_in-situ'!DP428</f>
        <v>4</v>
      </c>
      <c r="W1672" s="113">
        <f>'Data_in-situ'!DR428</f>
        <v>-1.4666666666666668</v>
      </c>
      <c r="X1672" s="113">
        <f>'Data_in-situ'!DS428</f>
        <v>5.4812505654588151</v>
      </c>
      <c r="Y1672" s="46">
        <f>'Data_in-situ'!DT428</f>
        <v>4</v>
      </c>
    </row>
    <row r="1673" spans="20:25" x14ac:dyDescent="0.3">
      <c r="T1673" s="113">
        <f>'Data_in-situ'!DN429</f>
        <v>16</v>
      </c>
      <c r="U1673" s="113">
        <f>'Data_in-situ'!DO429</f>
        <v>17.838068626558801</v>
      </c>
      <c r="V1673" s="46">
        <f>'Data_in-situ'!DP429</f>
        <v>4</v>
      </c>
      <c r="W1673" s="113">
        <f>'Data_in-situ'!DR429</f>
        <v>-2.36</v>
      </c>
      <c r="X1673" s="113">
        <f>'Data_in-situ'!DS429</f>
        <v>8.8198304553291837</v>
      </c>
      <c r="Y1673" s="46">
        <f>'Data_in-situ'!DT429</f>
        <v>4</v>
      </c>
    </row>
    <row r="1674" spans="20:25" x14ac:dyDescent="0.3">
      <c r="T1674" s="113">
        <f>'Data_in-situ'!DN430</f>
        <v>11.866666666666667</v>
      </c>
      <c r="U1674" s="113">
        <f>'Data_in-situ'!DO430</f>
        <v>13.229900898031111</v>
      </c>
      <c r="V1674" s="46">
        <f>'Data_in-situ'!DP430</f>
        <v>4</v>
      </c>
      <c r="W1674" s="113">
        <f>'Data_in-situ'!DR430</f>
        <v>-0.6</v>
      </c>
      <c r="X1674" s="113">
        <f>'Data_in-situ'!DS430</f>
        <v>2.2423297767786057</v>
      </c>
      <c r="Y1674" s="46">
        <f>'Data_in-situ'!DT430</f>
        <v>4</v>
      </c>
    </row>
    <row r="1675" spans="20:25" x14ac:dyDescent="0.3">
      <c r="T1675" s="113">
        <f>'Data_in-situ'!DN431</f>
        <v>21.066666666666666</v>
      </c>
      <c r="U1675" s="113">
        <f>'Data_in-situ'!DO431</f>
        <v>23.486790358302422</v>
      </c>
      <c r="V1675" s="46">
        <f>'Data_in-situ'!DP431</f>
        <v>4</v>
      </c>
      <c r="W1675" s="113">
        <f>'Data_in-situ'!DR431</f>
        <v>-2.48</v>
      </c>
      <c r="X1675" s="113">
        <f>'Data_in-situ'!DS431</f>
        <v>9.2682964106849042</v>
      </c>
      <c r="Y1675" s="46">
        <f>'Data_in-situ'!DT431</f>
        <v>4</v>
      </c>
    </row>
    <row r="1676" spans="20:25" x14ac:dyDescent="0.3">
      <c r="T1676" s="113">
        <f>'Data_in-situ'!DN432</f>
        <v>75.653333333333322</v>
      </c>
      <c r="U1676" s="113">
        <f>'Data_in-situ'!DO432</f>
        <v>22.585942530698158</v>
      </c>
      <c r="V1676" s="46">
        <f>'Data_in-situ'!DP432</f>
        <v>3</v>
      </c>
      <c r="W1676" s="113">
        <f>'Data_in-situ'!DR432</f>
        <v>1.9466666666666665</v>
      </c>
      <c r="X1676" s="113">
        <f>'Data_in-situ'!DS432</f>
        <v>8.1752798117251011</v>
      </c>
      <c r="Y1676" s="46">
        <f>'Data_in-situ'!DT432</f>
        <v>3</v>
      </c>
    </row>
    <row r="1677" spans="20:25" x14ac:dyDescent="0.3">
      <c r="T1677" s="113">
        <f>'Data_in-situ'!DN433</f>
        <v>36.813333333333333</v>
      </c>
      <c r="U1677" s="113">
        <f>'Data_in-situ'!DO433</f>
        <v>5.8889727457341818</v>
      </c>
      <c r="V1677" s="46">
        <f>'Data_in-situ'!DP433</f>
        <v>3</v>
      </c>
      <c r="W1677" s="113">
        <f>'Data_in-situ'!DR433</f>
        <v>0.97333333333333327</v>
      </c>
      <c r="X1677" s="113">
        <f>'Data_in-situ'!DS433</f>
        <v>1.1777945491468365</v>
      </c>
      <c r="Y1677" s="46">
        <f>'Data_in-situ'!DT433</f>
        <v>3</v>
      </c>
    </row>
    <row r="1678" spans="20:25" x14ac:dyDescent="0.3">
      <c r="T1678" s="113">
        <f>'Data_in-situ'!DN436</f>
        <v>1745.8411157183666</v>
      </c>
      <c r="U1678" s="113">
        <f>'Data_in-situ'!DO436</f>
        <v>3724.2538477145881</v>
      </c>
      <c r="V1678" s="46">
        <f>'Data_in-situ'!DP436</f>
        <v>34</v>
      </c>
      <c r="W1678" s="113">
        <f>'Data_in-situ'!DR436</f>
        <v>-3.7758090112974552</v>
      </c>
      <c r="X1678" s="113">
        <f>'Data_in-situ'!DS436</f>
        <v>115.31009388698878</v>
      </c>
      <c r="Y1678" s="46">
        <f>'Data_in-situ'!DT436</f>
        <v>9</v>
      </c>
    </row>
    <row r="1679" spans="20:25" x14ac:dyDescent="0.3">
      <c r="T1679" s="113">
        <f>'Data_in-situ'!DN437</f>
        <v>199.12</v>
      </c>
      <c r="U1679" s="113">
        <f>'Data_in-situ'!DO437</f>
        <v>39.04</v>
      </c>
      <c r="V1679" s="46">
        <f>'Data_in-situ'!DP437</f>
        <v>3</v>
      </c>
      <c r="W1679" s="113">
        <f>'Data_in-situ'!DR437</f>
        <v>-1.37</v>
      </c>
      <c r="X1679" s="113">
        <f>'Data_in-situ'!DS437</f>
        <v>0.68</v>
      </c>
      <c r="Y1679" s="46">
        <f>'Data_in-situ'!DT437</f>
        <v>3</v>
      </c>
    </row>
    <row r="1680" spans="20:25" x14ac:dyDescent="0.3">
      <c r="T1680" s="113">
        <f>'Data_in-situ'!DN438</f>
        <v>199.12</v>
      </c>
      <c r="U1680" s="113">
        <f>'Data_in-situ'!DO438</f>
        <v>39.04</v>
      </c>
      <c r="V1680" s="46">
        <f>'Data_in-situ'!DP438</f>
        <v>3</v>
      </c>
      <c r="W1680" s="113">
        <f>'Data_in-situ'!DR438</f>
        <v>94.82</v>
      </c>
      <c r="X1680" s="113">
        <f>'Data_in-situ'!DS438</f>
        <v>9.86</v>
      </c>
      <c r="Y1680" s="46">
        <f>'Data_in-situ'!DT438</f>
        <v>3</v>
      </c>
    </row>
    <row r="1681" spans="1:37" x14ac:dyDescent="0.3">
      <c r="T1681" s="113">
        <f>'Data_in-situ'!DN441</f>
        <v>172</v>
      </c>
      <c r="U1681" s="113">
        <f>'Data_in-situ'!DO441</f>
        <v>22</v>
      </c>
      <c r="V1681" s="46">
        <f>'Data_in-situ'!DP441</f>
        <v>6</v>
      </c>
      <c r="W1681" s="113">
        <f>'Data_in-situ'!DR441</f>
        <v>1.5</v>
      </c>
      <c r="X1681" s="113">
        <f>'Data_in-situ'!DS441</f>
        <v>1.6</v>
      </c>
      <c r="Y1681" s="46">
        <f>'Data_in-situ'!DT441</f>
        <v>6</v>
      </c>
    </row>
    <row r="1682" spans="1:37" x14ac:dyDescent="0.3">
      <c r="T1682" s="113">
        <f>'Data_in-situ'!DN442</f>
        <v>172</v>
      </c>
      <c r="U1682" s="113">
        <f>'Data_in-situ'!DO442</f>
        <v>22</v>
      </c>
      <c r="V1682" s="46">
        <f>'Data_in-situ'!DP442</f>
        <v>6</v>
      </c>
      <c r="W1682" s="113">
        <f>'Data_in-situ'!DR442</f>
        <v>-1.4</v>
      </c>
      <c r="X1682" s="113">
        <f>'Data_in-situ'!DS442</f>
        <v>1.5</v>
      </c>
      <c r="Y1682" s="46">
        <f>'Data_in-situ'!DT442</f>
        <v>6</v>
      </c>
    </row>
    <row r="1683" spans="1:37" x14ac:dyDescent="0.3">
      <c r="T1683" s="113">
        <f>'Data_in-situ'!DN443</f>
        <v>172</v>
      </c>
      <c r="U1683" s="113">
        <f>'Data_in-situ'!DO443</f>
        <v>22</v>
      </c>
      <c r="V1683" s="46">
        <f>'Data_in-situ'!DP443</f>
        <v>6</v>
      </c>
      <c r="W1683" s="113">
        <f>'Data_in-situ'!DR443</f>
        <v>-0.6</v>
      </c>
      <c r="X1683" s="113">
        <f>'Data_in-situ'!DS443</f>
        <v>0.65</v>
      </c>
      <c r="Y1683" s="46">
        <f>'Data_in-situ'!DT443</f>
        <v>4</v>
      </c>
    </row>
    <row r="1685" spans="1:37" x14ac:dyDescent="0.3">
      <c r="A1685" s="110" t="s">
        <v>831</v>
      </c>
      <c r="B1685" s="24">
        <f>AVERAGEA(B1498:B1683)</f>
        <v>-17423.419928664716</v>
      </c>
      <c r="C1685" s="24">
        <f>STDEVA(B1498:B1683)/SQRT(COUNT(B1498:B1683))</f>
        <v>2839.2413166488036</v>
      </c>
      <c r="D1685" s="46">
        <f>COUNT(B1498:B1683)</f>
        <v>41</v>
      </c>
      <c r="E1685" s="24">
        <f>AVERAGEA(E1498:E1683)</f>
        <v>-16420.046928181036</v>
      </c>
      <c r="F1685" s="24">
        <f>STDEVA(E1498:E1683)/SQRT(COUNT(E1498:E1683))</f>
        <v>2836.294783035929</v>
      </c>
      <c r="G1685" s="46">
        <f>COUNT(E1498:E1683)</f>
        <v>41</v>
      </c>
      <c r="H1685" s="24">
        <f>AVERAGEA(H1498:H1683)</f>
        <v>15223.306352503439</v>
      </c>
      <c r="I1685" s="24">
        <f>STDEVA(H1498:H1683)/SQRT(COUNT(H1498:H1683))</f>
        <v>2525.8578832713338</v>
      </c>
      <c r="J1685" s="46">
        <f>COUNT(H1498:H1683)</f>
        <v>41</v>
      </c>
      <c r="K1685" s="24">
        <f>AVERAGEA(K1498:K1683)</f>
        <v>18464.52433555849</v>
      </c>
      <c r="L1685" s="24">
        <f>STDEVA(K1498:K1683)/SQRT(COUNT(K1498:K1683))</f>
        <v>2746.8575617365209</v>
      </c>
      <c r="M1685" s="46">
        <f>COUNT(K1498:K1683)</f>
        <v>41</v>
      </c>
      <c r="N1685" s="24">
        <f>AVERAGEA(N1498:N1683)</f>
        <v>-1988.3882399249221</v>
      </c>
      <c r="O1685" s="24">
        <f>STDEVA(N1498:N1683)/SQRT(COUNT(N1498:N1683))</f>
        <v>582.23789636037225</v>
      </c>
      <c r="P1685" s="46">
        <f>COUNT(N1498:N1683)</f>
        <v>54</v>
      </c>
      <c r="Q1685" s="24">
        <f>AVERAGEA(Q1498:Q1683)</f>
        <v>3082.5258710334988</v>
      </c>
      <c r="R1685" s="24">
        <f>STDEVA(Q1498:Q1683)/SQRT(COUNT(Q1498:Q1683))</f>
        <v>1003.2005913736649</v>
      </c>
      <c r="S1685" s="46">
        <f>COUNT(Q1498:Q1683)</f>
        <v>54</v>
      </c>
      <c r="T1685" s="113">
        <f>AVERAGEA(T1498:T1683)</f>
        <v>207.37976261173517</v>
      </c>
      <c r="U1685" s="113">
        <f>STDEVA(T1498:T1683)/SQRT(COUNT(T1498:T1683))</f>
        <v>29.649501071054932</v>
      </c>
      <c r="V1685" s="46">
        <f>COUNT(T1498:T1683)</f>
        <v>170</v>
      </c>
      <c r="W1685" s="113">
        <f>AVERAGEA(W1498:W1683)</f>
        <v>28.440810772406326</v>
      </c>
      <c r="X1685" s="113">
        <f>STDEVA(W1498:W1683)/SQRT(COUNT(W1498:W1683))</f>
        <v>8.950665780570322</v>
      </c>
      <c r="Y1685" s="46">
        <f>COUNT(W1498:W1683)</f>
        <v>170</v>
      </c>
      <c r="Z1685" s="113">
        <f>AVERAGEA(Z1498:Z1683)</f>
        <v>0.60119313277129993</v>
      </c>
      <c r="AA1685" s="113">
        <f>STDEVA(Z1498:Z1683)/SQRT(COUNT(Z1498:Z1683))</f>
        <v>0.13028094820268318</v>
      </c>
      <c r="AB1685" s="46">
        <f>COUNT(Z1498:Z1683)</f>
        <v>60</v>
      </c>
      <c r="AC1685" s="113">
        <f>AVERAGEA(AC1498:AC1683)</f>
        <v>3.0010513232898197</v>
      </c>
      <c r="AD1685" s="113">
        <f>STDEVA(AC1498:AC1683)/SQRT(COUNT(AC1498:AC1683))</f>
        <v>0.71104867751065359</v>
      </c>
      <c r="AE1685" s="46">
        <f>COUNT(AC1498:AC1683)</f>
        <v>60</v>
      </c>
      <c r="AF1685" s="113">
        <f>AVERAGEA(AF1498:AF1683)</f>
        <v>-11.947640346605896</v>
      </c>
      <c r="AG1685" s="113">
        <f>STDEVA(AF1498:AF1683)/SQRT(COUNT(AF1498:AF1683))</f>
        <v>2.0206338323114381</v>
      </c>
      <c r="AH1685" s="46">
        <f>COUNT(AF1498:AF1683)</f>
        <v>167</v>
      </c>
      <c r="AI1685" s="113">
        <f>AVERAGEA(AI1498:AI1683)</f>
        <v>-44.624845513689365</v>
      </c>
      <c r="AJ1685" s="113">
        <f>STDEVA(AI1498:AI1683)/SQRT(COUNT(AI1498:AI1683))</f>
        <v>2.3013033749980289</v>
      </c>
      <c r="AK1685" s="46">
        <f>COUNT(AI1498:AI1683)</f>
        <v>167</v>
      </c>
    </row>
    <row r="1687" spans="1:37" ht="15.6" x14ac:dyDescent="0.3">
      <c r="A1687" s="14" t="s">
        <v>84</v>
      </c>
      <c r="B1687" s="24">
        <f>'Data_in-situ'!CA30</f>
        <v>-40736.294508300089</v>
      </c>
      <c r="C1687" s="24">
        <f>'Data_in-situ'!CB30</f>
        <v>9264.5737614785212</v>
      </c>
      <c r="D1687" s="46">
        <f>'Data_in-situ'!CC30</f>
        <v>6</v>
      </c>
      <c r="E1687" s="24">
        <f>'Data_in-situ'!CE30</f>
        <v>-30951.137650990822</v>
      </c>
      <c r="F1687" s="24">
        <f>'Data_in-situ'!CF30</f>
        <v>7720.4781345655592</v>
      </c>
      <c r="G1687" s="46">
        <f>'Data_in-situ'!CG30</f>
        <v>6</v>
      </c>
      <c r="H1687" s="24">
        <f>'Data_in-situ'!CN30</f>
        <v>23661.813178740125</v>
      </c>
      <c r="I1687" s="24">
        <f>'Data_in-situ'!CO30</f>
        <v>8127.2621692012581</v>
      </c>
      <c r="J1687" s="46">
        <f>'Data_in-situ'!CP30</f>
        <v>6</v>
      </c>
      <c r="K1687" s="24">
        <f>'Data_in-situ'!CR30</f>
        <v>17959.926513784052</v>
      </c>
      <c r="L1687" s="24">
        <f>'Data_in-situ'!CS30</f>
        <v>6049.9193018093547</v>
      </c>
      <c r="M1687" s="46">
        <f>'Data_in-situ'!CT30</f>
        <v>6</v>
      </c>
      <c r="N1687" s="24">
        <f>'Data_in-situ'!DA30</f>
        <v>-17074.481329559963</v>
      </c>
      <c r="O1687" s="24">
        <f>'Data_in-situ'!DB30</f>
        <v>1832.3959637482985</v>
      </c>
      <c r="P1687" s="46">
        <f>'Data_in-situ'!DC30</f>
        <v>6</v>
      </c>
      <c r="Q1687" s="24">
        <f>'Data_in-situ'!DE30</f>
        <v>-12991.21113720677</v>
      </c>
      <c r="R1687" s="24">
        <f>'Data_in-situ'!DF30</f>
        <v>15856.449105704574</v>
      </c>
      <c r="S1687" s="46">
        <f>'Data_in-situ'!DG30</f>
        <v>6</v>
      </c>
      <c r="T1687" s="113">
        <f>'Data_in-situ'!DN30</f>
        <v>155.37117670145557</v>
      </c>
      <c r="U1687" s="113">
        <f>'Data_in-situ'!DO30</f>
        <v>42.709219724301029</v>
      </c>
      <c r="V1687" s="46">
        <f>'Data_in-situ'!DP30</f>
        <v>6</v>
      </c>
      <c r="W1687" s="113">
        <f>'Data_in-situ'!DR30</f>
        <v>185.22204309442213</v>
      </c>
      <c r="X1687" s="113">
        <f>'Data_in-situ'!DS30</f>
        <v>44.646673389917268</v>
      </c>
      <c r="Y1687" s="46">
        <f>'Data_in-situ'!DT30</f>
        <v>6</v>
      </c>
      <c r="Z1687" s="113">
        <f>'Data_in-situ'!EA84</f>
        <v>-0.10183500000000001</v>
      </c>
      <c r="AA1687" s="113">
        <f>'Data_in-situ'!EB84</f>
        <v>6.3291E-2</v>
      </c>
      <c r="AB1687" s="46">
        <f>'Data_in-situ'!EC84</f>
        <v>3</v>
      </c>
      <c r="AC1687" s="113">
        <f>'Data_in-situ'!EE84</f>
        <v>2.9631794999999999</v>
      </c>
      <c r="AD1687" s="113">
        <f>'Data_in-situ'!EF84</f>
        <v>0.67948399999999998</v>
      </c>
      <c r="AE1687" s="46">
        <f>'Data_in-situ'!EG84</f>
        <v>3</v>
      </c>
      <c r="AF1687" s="113">
        <f>'Data_in-situ'!EN35</f>
        <v>-38</v>
      </c>
      <c r="AG1687" s="113">
        <f>'Data_in-situ'!EO35</f>
        <v>7.6</v>
      </c>
      <c r="AH1687" s="110">
        <f>'Data_in-situ'!EP35</f>
        <v>3</v>
      </c>
      <c r="AI1687" s="113">
        <f>'Data_in-situ'!ER35</f>
        <v>-73</v>
      </c>
      <c r="AJ1687" s="113">
        <f>'Data_in-situ'!ES35</f>
        <v>10.3</v>
      </c>
      <c r="AK1687" s="110">
        <f>'Data_in-situ'!ET35</f>
        <v>3</v>
      </c>
    </row>
    <row r="1688" spans="1:37" x14ac:dyDescent="0.3">
      <c r="B1688" s="24">
        <f>'Data_in-situ'!CA31</f>
        <v>-29498.69602325177</v>
      </c>
      <c r="C1688" s="24">
        <f>'Data_in-situ'!CB31</f>
        <v>5661.6839653480265</v>
      </c>
      <c r="D1688" s="46">
        <f>'Data_in-situ'!CC31</f>
        <v>6</v>
      </c>
      <c r="E1688" s="24">
        <f>'Data_in-situ'!CE31</f>
        <v>-23758.267633507035</v>
      </c>
      <c r="F1688" s="24">
        <f>'Data_in-situ'!CF31</f>
        <v>4117.5883384349272</v>
      </c>
      <c r="G1688" s="46">
        <f>'Data_in-situ'!CG31</f>
        <v>6</v>
      </c>
      <c r="H1688" s="24">
        <f>'Data_in-situ'!CN31</f>
        <v>24809.052605588167</v>
      </c>
      <c r="I1688" s="24">
        <f>'Data_in-situ'!CO31</f>
        <v>6528.4178481847057</v>
      </c>
      <c r="J1688" s="46">
        <f>'Data_in-situ'!CP31</f>
        <v>6</v>
      </c>
      <c r="K1688" s="24">
        <f>'Data_in-situ'!CR31</f>
        <v>21625.217639046135</v>
      </c>
      <c r="L1688" s="24">
        <f>'Data_in-situ'!CS31</f>
        <v>4944.4422331318983</v>
      </c>
      <c r="M1688" s="46">
        <f>'Data_in-situ'!CT31</f>
        <v>6</v>
      </c>
      <c r="N1688" s="24">
        <f>'Data_in-situ'!DA31</f>
        <v>-4689.643417663603</v>
      </c>
      <c r="O1688" s="24">
        <f>'Data_in-situ'!DB31</f>
        <v>822.55847950944644</v>
      </c>
      <c r="P1688" s="46">
        <f>'Data_in-situ'!DC31</f>
        <v>6</v>
      </c>
      <c r="Q1688" s="24">
        <f>'Data_in-situ'!DE31</f>
        <v>-2133.0499944609001</v>
      </c>
      <c r="R1688" s="24">
        <f>'Data_in-situ'!DF31</f>
        <v>2649.3488808970865</v>
      </c>
      <c r="S1688" s="46">
        <f>'Data_in-situ'!DG31</f>
        <v>6</v>
      </c>
      <c r="T1688" s="113">
        <f>'Data_in-situ'!DN31</f>
        <v>12.121705834279082</v>
      </c>
      <c r="U1688" s="113">
        <f>'Data_in-situ'!DO31</f>
        <v>3.2958824722656956</v>
      </c>
      <c r="V1688" s="46">
        <f>'Data_in-situ'!DP31</f>
        <v>6</v>
      </c>
      <c r="W1688" s="113">
        <f>'Data_in-situ'!DR31</f>
        <v>18.390311681684526</v>
      </c>
      <c r="X1688" s="113">
        <f>'Data_in-situ'!DS31</f>
        <v>4.9126277024028253</v>
      </c>
      <c r="Y1688" s="46">
        <f>'Data_in-situ'!DT31</f>
        <v>6</v>
      </c>
      <c r="Z1688" s="113">
        <f>'Data_in-situ'!EA85</f>
        <v>2.8688999999999999E-2</v>
      </c>
      <c r="AA1688" s="113">
        <f>'Data_in-situ'!EB85</f>
        <v>4.7267500000000004E-2</v>
      </c>
      <c r="AB1688" s="46">
        <f>'Data_in-situ'!EC85</f>
        <v>3</v>
      </c>
      <c r="AC1688" s="113">
        <f>'Data_in-situ'!EE85</f>
        <v>0.80300000000000005</v>
      </c>
      <c r="AD1688" s="113">
        <f>'Data_in-situ'!EF85</f>
        <v>0.225132</v>
      </c>
      <c r="AE1688" s="46">
        <f>'Data_in-situ'!EG85</f>
        <v>3</v>
      </c>
      <c r="AF1688" s="113">
        <f>'Data_in-situ'!EN36</f>
        <v>-38</v>
      </c>
      <c r="AG1688" s="113">
        <f>'Data_in-situ'!EO36</f>
        <v>7.6</v>
      </c>
      <c r="AH1688" s="110">
        <f>'Data_in-situ'!EP36</f>
        <v>3</v>
      </c>
      <c r="AI1688" s="113">
        <f>'Data_in-situ'!ER36</f>
        <v>-112</v>
      </c>
      <c r="AJ1688" s="113">
        <f>'Data_in-situ'!ES36</f>
        <v>15.2</v>
      </c>
      <c r="AK1688" s="110">
        <f>'Data_in-situ'!ET36</f>
        <v>3</v>
      </c>
    </row>
    <row r="1689" spans="1:37" x14ac:dyDescent="0.3">
      <c r="B1689" s="24">
        <f>'Data_in-situ'!CA35</f>
        <v>-9117.2313953462108</v>
      </c>
      <c r="C1689" s="24">
        <f>'Data_in-situ'!CB35</f>
        <v>2424.3247606001519</v>
      </c>
      <c r="D1689" s="46">
        <f>'Data_in-situ'!CC35</f>
        <v>3</v>
      </c>
      <c r="E1689" s="24">
        <f>'Data_in-situ'!CE35</f>
        <v>-4187.6052363562967</v>
      </c>
      <c r="F1689" s="24">
        <f>'Data_in-situ'!CF35</f>
        <v>3018.5350952743552</v>
      </c>
      <c r="G1689" s="46">
        <f>'Data_in-situ'!CG35</f>
        <v>3</v>
      </c>
      <c r="H1689" s="24">
        <f>'Data_in-situ'!CN35</f>
        <v>12663.516770662041</v>
      </c>
      <c r="I1689" s="24">
        <f>'Data_in-situ'!CO35</f>
        <v>2211.9149588307</v>
      </c>
      <c r="J1689" s="46">
        <f>'Data_in-situ'!CP35</f>
        <v>3</v>
      </c>
      <c r="K1689" s="24">
        <f>'Data_in-situ'!CR35</f>
        <v>8364.4600190841793</v>
      </c>
      <c r="L1689" s="24">
        <f>'Data_in-situ'!CS35</f>
        <v>6024.8326143304821</v>
      </c>
      <c r="M1689" s="46">
        <f>'Data_in-situ'!CT35</f>
        <v>3</v>
      </c>
      <c r="N1689" s="24">
        <f>'Data_in-situ'!DA35</f>
        <v>3546.2853753158306</v>
      </c>
      <c r="O1689" s="24">
        <f>'Data_in-situ'!DB35</f>
        <v>5941.7227544878542</v>
      </c>
      <c r="P1689" s="46">
        <f>'Data_in-situ'!DC35</f>
        <v>3</v>
      </c>
      <c r="Q1689" s="24">
        <f>'Data_in-situ'!DE35</f>
        <v>4176.8547827278826</v>
      </c>
      <c r="R1689" s="24">
        <f>'Data_in-situ'!DF35</f>
        <v>748.67399248676202</v>
      </c>
      <c r="S1689" s="46">
        <f>'Data_in-situ'!DG35</f>
        <v>3</v>
      </c>
      <c r="T1689" s="113">
        <f>'Data_in-situ'!DN53</f>
        <v>5.3866851938273443</v>
      </c>
      <c r="U1689" s="113">
        <f>'Data_in-situ'!DO53</f>
        <v>4.268024043852261</v>
      </c>
      <c r="V1689" s="46">
        <f>'Data_in-situ'!DP53</f>
        <v>3</v>
      </c>
      <c r="W1689" s="113">
        <f>'Data_in-situ'!DR53</f>
        <v>3.9980588354062441</v>
      </c>
      <c r="X1689" s="113">
        <f>'Data_in-situ'!DS53</f>
        <v>4.3503115567651003</v>
      </c>
      <c r="Y1689" s="46">
        <f>'Data_in-situ'!DT53</f>
        <v>3</v>
      </c>
      <c r="Z1689" s="113">
        <f>'Data_in-situ'!EA86</f>
        <v>-1.4600000000000002E-2</v>
      </c>
      <c r="AA1689" s="113">
        <f>'Data_in-situ'!EB86</f>
        <v>8.8257000000000002E-2</v>
      </c>
      <c r="AB1689" s="46">
        <f>'Data_in-situ'!EC86</f>
        <v>3</v>
      </c>
      <c r="AC1689" s="113">
        <f>'Data_in-situ'!EE86</f>
        <v>7.8840000000000004E-3</v>
      </c>
      <c r="AD1689" s="113">
        <f>'Data_in-situ'!EF86</f>
        <v>4.9822500000000006E-2</v>
      </c>
      <c r="AE1689" s="46">
        <f>'Data_in-situ'!EG86</f>
        <v>3</v>
      </c>
      <c r="AF1689" s="113">
        <f>'Data_in-situ'!EN37</f>
        <v>-47</v>
      </c>
      <c r="AG1689" s="113">
        <f>'Data_in-situ'!EO37</f>
        <v>6.8</v>
      </c>
      <c r="AH1689" s="110">
        <f>'Data_in-situ'!EP37</f>
        <v>3</v>
      </c>
      <c r="AI1689" s="113">
        <f>'Data_in-situ'!ER37</f>
        <v>-82</v>
      </c>
      <c r="AJ1689" s="113">
        <f>'Data_in-situ'!ES37</f>
        <v>12.3</v>
      </c>
      <c r="AK1689" s="110">
        <f>'Data_in-situ'!ET37</f>
        <v>3</v>
      </c>
    </row>
    <row r="1690" spans="1:37" x14ac:dyDescent="0.3">
      <c r="B1690" s="24">
        <f>'Data_in-situ'!CA36</f>
        <v>-9117.2313953462108</v>
      </c>
      <c r="C1690" s="24">
        <f>'Data_in-situ'!CB36</f>
        <v>2424.3247606001519</v>
      </c>
      <c r="D1690" s="46">
        <f>'Data_in-situ'!CC36</f>
        <v>3</v>
      </c>
      <c r="E1690" s="24">
        <f>'Data_in-situ'!CE36</f>
        <v>-11061.598737544933</v>
      </c>
      <c r="F1690" s="24">
        <f>'Data_in-situ'!CF36</f>
        <v>1546.857501085957</v>
      </c>
      <c r="G1690" s="46">
        <f>'Data_in-situ'!CG36</f>
        <v>3</v>
      </c>
      <c r="H1690" s="24">
        <f>'Data_in-situ'!CN36</f>
        <v>12663.516770662041</v>
      </c>
      <c r="I1690" s="24">
        <f>'Data_in-situ'!CO36</f>
        <v>2211.9149588307</v>
      </c>
      <c r="J1690" s="46">
        <f>'Data_in-situ'!CP36</f>
        <v>3</v>
      </c>
      <c r="K1690" s="24">
        <f>'Data_in-situ'!CR36</f>
        <v>13557.778602361719</v>
      </c>
      <c r="L1690" s="24">
        <f>'Data_in-situ'!CS36</f>
        <v>1534.7793518535277</v>
      </c>
      <c r="M1690" s="46">
        <f>'Data_in-situ'!CT36</f>
        <v>3</v>
      </c>
      <c r="N1690" s="24">
        <f>'Data_in-situ'!DA36</f>
        <v>3546.2853753158306</v>
      </c>
      <c r="O1690" s="24">
        <f>'Data_in-situ'!DB36</f>
        <v>5941.7227544878542</v>
      </c>
      <c r="P1690" s="46">
        <f>'Data_in-situ'!DC36</f>
        <v>3</v>
      </c>
      <c r="Q1690" s="24">
        <f>'Data_in-situ'!DE36</f>
        <v>2496.179864816786</v>
      </c>
      <c r="R1690" s="24">
        <f>'Data_in-situ'!DF36</f>
        <v>441.86562565211784</v>
      </c>
      <c r="S1690" s="46">
        <f>'Data_in-situ'!DG36</f>
        <v>3</v>
      </c>
      <c r="T1690" s="113">
        <f>'Data_in-situ'!DN54</f>
        <v>5.3866851938273443</v>
      </c>
      <c r="U1690" s="113">
        <f>'Data_in-situ'!DO54</f>
        <v>4.268024043852261</v>
      </c>
      <c r="V1690" s="46">
        <f>'Data_in-situ'!DP54</f>
        <v>3</v>
      </c>
      <c r="W1690" s="113">
        <f>'Data_in-situ'!DR54</f>
        <v>2.6938792153004636</v>
      </c>
      <c r="X1690" s="113">
        <f>'Data_in-situ'!DS54</f>
        <v>4.3447601701580973</v>
      </c>
      <c r="Y1690" s="46">
        <f>'Data_in-situ'!DT54</f>
        <v>3</v>
      </c>
      <c r="Z1690" s="113">
        <f>'Data_in-situ'!EA87</f>
        <v>7.3730000000000004E-2</v>
      </c>
      <c r="AA1690" s="113">
        <f>'Data_in-situ'!EB87</f>
        <v>3.5076500000000004E-2</v>
      </c>
      <c r="AB1690" s="46">
        <f>'Data_in-situ'!EC87</f>
        <v>3</v>
      </c>
      <c r="AC1690" s="113">
        <f>'Data_in-situ'!EE87</f>
        <v>8.0263499999999988E-2</v>
      </c>
      <c r="AD1690" s="113">
        <f>'Data_in-situ'!EF87</f>
        <v>2.8396999999999999E-2</v>
      </c>
      <c r="AE1690" s="46">
        <f>'Data_in-situ'!EG87</f>
        <v>3</v>
      </c>
      <c r="AF1690" s="113">
        <f>'Data_in-situ'!EN38</f>
        <v>-47</v>
      </c>
      <c r="AG1690" s="113">
        <f>'Data_in-situ'!EO38</f>
        <v>6.8</v>
      </c>
      <c r="AH1690" s="110">
        <f>'Data_in-situ'!EP38</f>
        <v>3</v>
      </c>
      <c r="AI1690" s="113">
        <f>'Data_in-situ'!ER38</f>
        <v>-120</v>
      </c>
      <c r="AJ1690" s="113">
        <f>'Data_in-situ'!ES38</f>
        <v>11.8</v>
      </c>
      <c r="AK1690" s="110">
        <f>'Data_in-situ'!ET38</f>
        <v>3</v>
      </c>
    </row>
    <row r="1691" spans="1:37" x14ac:dyDescent="0.3">
      <c r="B1691" s="24">
        <f>'Data_in-situ'!CA37</f>
        <v>-10940.677674415452</v>
      </c>
      <c r="C1691" s="24">
        <f>'Data_in-situ'!CB37</f>
        <v>3587.5182834567399</v>
      </c>
      <c r="D1691" s="46">
        <f>'Data_in-situ'!CC37</f>
        <v>3</v>
      </c>
      <c r="E1691" s="24">
        <f>'Data_in-situ'!CE37</f>
        <v>-1303.6884226392244</v>
      </c>
      <c r="F1691" s="24">
        <f>'Data_in-situ'!CF37</f>
        <v>1460.696181049753</v>
      </c>
      <c r="G1691" s="46">
        <f>'Data_in-situ'!CG37</f>
        <v>3</v>
      </c>
      <c r="H1691" s="24">
        <f>'Data_in-situ'!CN37</f>
        <v>12156.97609983556</v>
      </c>
      <c r="I1691" s="24">
        <f>'Data_in-situ'!CO37</f>
        <v>3352.7816659818532</v>
      </c>
      <c r="J1691" s="46">
        <f>'Data_in-situ'!CP37</f>
        <v>3</v>
      </c>
      <c r="K1691" s="24">
        <f>'Data_in-situ'!CR37</f>
        <v>7583.1643030158775</v>
      </c>
      <c r="L1691" s="24">
        <f>'Data_in-situ'!CS37</f>
        <v>4282.3014654243434</v>
      </c>
      <c r="M1691" s="46">
        <f>'Data_in-situ'!CT37</f>
        <v>3</v>
      </c>
      <c r="N1691" s="24">
        <f>'Data_in-situ'!DA37</f>
        <v>1216.2984254201074</v>
      </c>
      <c r="O1691" s="24">
        <f>'Data_in-situ'!DB37</f>
        <v>2060.9133169618808</v>
      </c>
      <c r="P1691" s="46">
        <f>'Data_in-situ'!DC37</f>
        <v>3</v>
      </c>
      <c r="Q1691" s="24">
        <f>'Data_in-situ'!DE37</f>
        <v>6279.4758803766526</v>
      </c>
      <c r="R1691" s="24">
        <f>'Data_in-situ'!DF37</f>
        <v>947.48073610146616</v>
      </c>
      <c r="S1691" s="46">
        <f>'Data_in-situ'!DG37</f>
        <v>3</v>
      </c>
      <c r="T1691" s="113">
        <f>'Data_in-situ'!DN55</f>
        <v>4.9255681733440708</v>
      </c>
      <c r="U1691" s="113">
        <f>'Data_in-situ'!DO55</f>
        <v>6.4838403831872826</v>
      </c>
      <c r="V1691" s="46">
        <f>'Data_in-situ'!DP55</f>
        <v>3</v>
      </c>
      <c r="W1691" s="113">
        <f>'Data_in-situ'!DR55</f>
        <v>4.361518729534084</v>
      </c>
      <c r="X1691" s="113">
        <f>'Data_in-situ'!DS55</f>
        <v>5.0347578591510027</v>
      </c>
      <c r="Y1691" s="46">
        <f>'Data_in-situ'!DT55</f>
        <v>3</v>
      </c>
      <c r="Z1691" s="113">
        <f>'Data_in-situ'!EA91</f>
        <v>1.5714285714285715E-2</v>
      </c>
      <c r="AA1691" s="113">
        <f>'Data_in-situ'!EB91</f>
        <v>9.0356781150237736E-2</v>
      </c>
      <c r="AB1691" s="46">
        <f>'Data_in-situ'!EC91</f>
        <v>3</v>
      </c>
      <c r="AC1691" s="113">
        <f>'Data_in-situ'!EE91</f>
        <v>1.0214285714285716</v>
      </c>
      <c r="AD1691" s="113">
        <f>'Data_in-situ'!EF91</f>
        <v>1.5251352255609132</v>
      </c>
      <c r="AE1691" s="46">
        <f>'Data_in-situ'!EG91</f>
        <v>3</v>
      </c>
      <c r="AF1691" s="113">
        <f>'Data_in-situ'!EN39</f>
        <v>-56</v>
      </c>
      <c r="AG1691" s="113">
        <f>'Data_in-situ'!EO39</f>
        <v>10.1</v>
      </c>
      <c r="AH1691" s="110">
        <f>'Data_in-situ'!EP39</f>
        <v>3</v>
      </c>
      <c r="AI1691" s="113">
        <f>'Data_in-situ'!ER39</f>
        <v>-91</v>
      </c>
      <c r="AJ1691" s="113">
        <f>'Data_in-situ'!ES39</f>
        <v>11.3</v>
      </c>
      <c r="AK1691" s="110">
        <f>'Data_in-situ'!ET39</f>
        <v>3</v>
      </c>
    </row>
    <row r="1692" spans="1:37" x14ac:dyDescent="0.3">
      <c r="B1692" s="24">
        <f>'Data_in-situ'!CA38</f>
        <v>-10940.677674415452</v>
      </c>
      <c r="C1692" s="24">
        <f>'Data_in-situ'!CB38</f>
        <v>3587.5182834567399</v>
      </c>
      <c r="D1692" s="46">
        <f>'Data_in-situ'!CC38</f>
        <v>3</v>
      </c>
      <c r="E1692" s="24">
        <f>'Data_in-situ'!CE38</f>
        <v>-13155.401355723083</v>
      </c>
      <c r="F1692" s="24">
        <f>'Data_in-situ'!CF38</f>
        <v>4763.1397208144126</v>
      </c>
      <c r="G1692" s="46">
        <f>'Data_in-situ'!CG38</f>
        <v>3</v>
      </c>
      <c r="H1692" s="24">
        <f>'Data_in-situ'!CN38</f>
        <v>12156.97609983556</v>
      </c>
      <c r="I1692" s="24">
        <f>'Data_in-situ'!CO38</f>
        <v>3352.7816659818532</v>
      </c>
      <c r="J1692" s="46">
        <f>'Data_in-situ'!CP38</f>
        <v>3</v>
      </c>
      <c r="K1692" s="24">
        <f>'Data_in-situ'!CR38</f>
        <v>16131.458608233776</v>
      </c>
      <c r="L1692" s="24">
        <f>'Data_in-situ'!CS38</f>
        <v>7799.7123045882036</v>
      </c>
      <c r="M1692" s="46">
        <f>'Data_in-situ'!CT38</f>
        <v>3</v>
      </c>
      <c r="N1692" s="24">
        <f>'Data_in-situ'!DA38</f>
        <v>1216.2984254201074</v>
      </c>
      <c r="O1692" s="24">
        <f>'Data_in-situ'!DB38</f>
        <v>2060.9133169618808</v>
      </c>
      <c r="P1692" s="46">
        <f>'Data_in-situ'!DC38</f>
        <v>3</v>
      </c>
      <c r="Q1692" s="24">
        <f>'Data_in-situ'!DE38</f>
        <v>2976.0572525106927</v>
      </c>
      <c r="R1692" s="24">
        <f>'Data_in-situ'!DF38</f>
        <v>692.55442504565758</v>
      </c>
      <c r="S1692" s="46">
        <f>'Data_in-situ'!DG38</f>
        <v>3</v>
      </c>
      <c r="T1692" s="113">
        <f>'Data_in-situ'!DN56</f>
        <v>4.9255681733440708</v>
      </c>
      <c r="U1692" s="113">
        <f>'Data_in-situ'!DO56</f>
        <v>6.4838403831872826</v>
      </c>
      <c r="V1692" s="46">
        <f>'Data_in-situ'!DP56</f>
        <v>3</v>
      </c>
      <c r="W1692" s="113">
        <f>'Data_in-situ'!DR56</f>
        <v>2.5655992526671083</v>
      </c>
      <c r="X1692" s="113">
        <f>'Data_in-situ'!DS56</f>
        <v>2.1677925245184233</v>
      </c>
      <c r="Y1692" s="46">
        <f>'Data_in-situ'!DT56</f>
        <v>3</v>
      </c>
      <c r="Z1692" s="113">
        <f>'Data_in-situ'!EA92</f>
        <v>2.357142857142857E-2</v>
      </c>
      <c r="AA1692" s="113">
        <f>'Data_in-situ'!EB92</f>
        <v>0.13553517172535659</v>
      </c>
      <c r="AB1692" s="46">
        <f>'Data_in-situ'!EC92</f>
        <v>3</v>
      </c>
      <c r="AC1692" s="113">
        <f>'Data_in-situ'!EE92</f>
        <v>2.1214285714285714</v>
      </c>
      <c r="AD1692" s="113">
        <f>'Data_in-situ'!EF92</f>
        <v>3.1675885453957426</v>
      </c>
      <c r="AE1692" s="46">
        <f>'Data_in-situ'!EG92</f>
        <v>3</v>
      </c>
      <c r="AF1692" s="113">
        <f>'Data_in-situ'!EN40</f>
        <v>-56</v>
      </c>
      <c r="AG1692" s="113">
        <f>'Data_in-situ'!EO40</f>
        <v>10.1</v>
      </c>
      <c r="AH1692" s="110">
        <f>'Data_in-situ'!EP40</f>
        <v>3</v>
      </c>
      <c r="AI1692" s="113">
        <f>'Data_in-situ'!ER40</f>
        <v>-128</v>
      </c>
      <c r="AJ1692" s="113">
        <f>'Data_in-situ'!ES40</f>
        <v>14.2</v>
      </c>
      <c r="AK1692" s="110">
        <f>'Data_in-situ'!ET40</f>
        <v>3</v>
      </c>
    </row>
    <row r="1693" spans="1:37" x14ac:dyDescent="0.3">
      <c r="B1693" s="24">
        <f>'Data_in-situ'!CA39</f>
        <v>-11180.604816398249</v>
      </c>
      <c r="C1693" s="24">
        <f>'Data_in-situ'!CB39</f>
        <v>6822.7682537892761</v>
      </c>
      <c r="D1693" s="46">
        <f>'Data_in-situ'!CC39</f>
        <v>3</v>
      </c>
      <c r="E1693" s="24">
        <f>'Data_in-situ'!CE39</f>
        <v>-2014.7911986242559</v>
      </c>
      <c r="F1693" s="24">
        <f>'Data_in-situ'!CF39</f>
        <v>1143.1535329954588</v>
      </c>
      <c r="G1693" s="46">
        <f>'Data_in-situ'!CG39</f>
        <v>3</v>
      </c>
      <c r="H1693" s="24">
        <f>'Data_in-situ'!CN39</f>
        <v>12213.258396594058</v>
      </c>
      <c r="I1693" s="24">
        <f>'Data_in-situ'!CO39</f>
        <v>5829.3069078214994</v>
      </c>
      <c r="J1693" s="46">
        <f>'Data_in-situ'!CP39</f>
        <v>3</v>
      </c>
      <c r="K1693" s="24">
        <f>'Data_in-situ'!CR39</f>
        <v>13236.068601627712</v>
      </c>
      <c r="L1693" s="24">
        <f>'Data_in-situ'!CS39</f>
        <v>2169.8026552469478</v>
      </c>
      <c r="M1693" s="46">
        <f>'Data_in-situ'!CT39</f>
        <v>3</v>
      </c>
      <c r="N1693" s="24">
        <f>'Data_in-situ'!DA39</f>
        <v>1032.6535801958089</v>
      </c>
      <c r="O1693" s="24">
        <f>'Data_in-situ'!DB39</f>
        <v>1588.5865996086475</v>
      </c>
      <c r="P1693" s="46">
        <f>'Data_in-situ'!DC39</f>
        <v>3</v>
      </c>
      <c r="Q1693" s="24">
        <f>'Data_in-situ'!DE39</f>
        <v>11221.277403003456</v>
      </c>
      <c r="R1693" s="24">
        <f>'Data_in-situ'!DF39</f>
        <v>1545.6282146126041</v>
      </c>
      <c r="S1693" s="46">
        <f>'Data_in-situ'!DG39</f>
        <v>3</v>
      </c>
      <c r="T1693" s="113">
        <f>'Data_in-situ'!DN57</f>
        <v>6.958675036383962</v>
      </c>
      <c r="U1693" s="113">
        <f>'Data_in-situ'!DO57</f>
        <v>1.1532569524351295</v>
      </c>
      <c r="V1693" s="46">
        <f>'Data_in-situ'!DP57</f>
        <v>3</v>
      </c>
      <c r="W1693" s="113">
        <f>'Data_in-situ'!DR57</f>
        <v>1.1758996574724245</v>
      </c>
      <c r="X1693" s="113">
        <f>'Data_in-situ'!DS57</f>
        <v>1.4564673447344252</v>
      </c>
      <c r="Y1693" s="46">
        <f>'Data_in-situ'!DT57</f>
        <v>3</v>
      </c>
      <c r="Z1693" s="113">
        <f>'Data_in-situ'!EA93</f>
        <v>2.357142857142857E-2</v>
      </c>
      <c r="AA1693" s="113">
        <f>'Data_in-situ'!EB93</f>
        <v>0.13553517172535659</v>
      </c>
      <c r="AB1693" s="46">
        <f>'Data_in-situ'!EC93</f>
        <v>3</v>
      </c>
      <c r="AC1693" s="113">
        <f>'Data_in-situ'!EE93</f>
        <v>0.80142857142857149</v>
      </c>
      <c r="AD1693" s="113">
        <f>'Data_in-situ'!EF93</f>
        <v>1.1966445615939472</v>
      </c>
      <c r="AE1693" s="46">
        <f>'Data_in-situ'!EG93</f>
        <v>3</v>
      </c>
      <c r="AF1693" s="113">
        <f>'Data_in-situ'!EN41</f>
        <v>-38</v>
      </c>
      <c r="AG1693" s="113">
        <f>'Data_in-situ'!EO41</f>
        <v>7.6</v>
      </c>
      <c r="AH1693" s="110">
        <f>'Data_in-situ'!EP41</f>
        <v>3</v>
      </c>
      <c r="AI1693" s="113">
        <f>'Data_in-situ'!ER41</f>
        <v>-73</v>
      </c>
      <c r="AJ1693" s="113">
        <f>'Data_in-situ'!ES41</f>
        <v>10.3</v>
      </c>
      <c r="AK1693" s="110">
        <f>'Data_in-situ'!ET41</f>
        <v>3</v>
      </c>
    </row>
    <row r="1694" spans="1:37" x14ac:dyDescent="0.3">
      <c r="B1694" s="24">
        <f>'Data_in-situ'!CA40</f>
        <v>-11180.604816398249</v>
      </c>
      <c r="C1694" s="24">
        <f>'Data_in-situ'!CB40</f>
        <v>6822.7682537892761</v>
      </c>
      <c r="D1694" s="46">
        <f>'Data_in-situ'!CC40</f>
        <v>3</v>
      </c>
      <c r="E1694" s="24">
        <f>'Data_in-situ'!CE40</f>
        <v>-13708.481292600329</v>
      </c>
      <c r="F1694" s="24">
        <f>'Data_in-situ'!CF40</f>
        <v>4128.0544247058242</v>
      </c>
      <c r="G1694" s="46">
        <f>'Data_in-situ'!CG40</f>
        <v>3</v>
      </c>
      <c r="H1694" s="24">
        <f>'Data_in-situ'!CN40</f>
        <v>12213.258396594058</v>
      </c>
      <c r="I1694" s="24">
        <f>'Data_in-situ'!CO40</f>
        <v>5829.3069078214994</v>
      </c>
      <c r="J1694" s="46">
        <f>'Data_in-situ'!CP40</f>
        <v>3</v>
      </c>
      <c r="K1694" s="24">
        <f>'Data_in-situ'!CR40</f>
        <v>16774.878609701791</v>
      </c>
      <c r="L1694" s="24">
        <f>'Data_in-situ'!CS40</f>
        <v>6880.9051275668298</v>
      </c>
      <c r="M1694" s="46">
        <f>'Data_in-situ'!CT40</f>
        <v>3</v>
      </c>
      <c r="N1694" s="24">
        <f>'Data_in-situ'!DA40</f>
        <v>1032.6535801958089</v>
      </c>
      <c r="O1694" s="24">
        <f>'Data_in-situ'!DB40</f>
        <v>1588.5865996086475</v>
      </c>
      <c r="P1694" s="46">
        <f>'Data_in-situ'!DC40</f>
        <v>3</v>
      </c>
      <c r="Q1694" s="24">
        <f>'Data_in-situ'!DE40</f>
        <v>3066.3973171014622</v>
      </c>
      <c r="R1694" s="24">
        <f>'Data_in-situ'!DF40</f>
        <v>896.27712667386777</v>
      </c>
      <c r="S1694" s="46">
        <f>'Data_in-situ'!DG40</f>
        <v>3</v>
      </c>
      <c r="T1694" s="113">
        <f>'Data_in-situ'!DN58</f>
        <v>6.958675036383962</v>
      </c>
      <c r="U1694" s="113">
        <f>'Data_in-situ'!DO58</f>
        <v>1.1532569524351295</v>
      </c>
      <c r="V1694" s="46">
        <f>'Data_in-situ'!DP58</f>
        <v>3</v>
      </c>
      <c r="W1694" s="113">
        <f>'Data_in-situ'!DR58</f>
        <v>1.090379682383521</v>
      </c>
      <c r="X1694" s="113">
        <f>'Data_in-situ'!DS58</f>
        <v>2.1822665028157022</v>
      </c>
      <c r="Y1694" s="46">
        <f>'Data_in-situ'!DT58</f>
        <v>3</v>
      </c>
      <c r="Z1694" s="113">
        <f>'Data_in-situ'!EA94</f>
        <v>1.5714285714285715E-2</v>
      </c>
      <c r="AA1694" s="113">
        <f>'Data_in-situ'!EB94</f>
        <v>9.0356781150237736E-2</v>
      </c>
      <c r="AB1694" s="46">
        <f>'Data_in-situ'!EC94</f>
        <v>3</v>
      </c>
      <c r="AC1694" s="113">
        <f>'Data_in-situ'!EE94</f>
        <v>1.7285714285714286E-2</v>
      </c>
      <c r="AD1694" s="113">
        <f>'Data_in-situ'!EF94</f>
        <v>2.5809980740261605E-2</v>
      </c>
      <c r="AE1694" s="46">
        <f>'Data_in-situ'!EG94</f>
        <v>3</v>
      </c>
      <c r="AF1694" s="113">
        <f>'Data_in-situ'!EN42</f>
        <v>-38</v>
      </c>
      <c r="AG1694" s="113">
        <f>'Data_in-situ'!EO42</f>
        <v>7.6</v>
      </c>
      <c r="AH1694" s="110">
        <f>'Data_in-situ'!EP42</f>
        <v>3</v>
      </c>
      <c r="AI1694" s="113">
        <f>'Data_in-situ'!ER42</f>
        <v>-112</v>
      </c>
      <c r="AJ1694" s="113">
        <f>'Data_in-situ'!ES42</f>
        <v>15.2</v>
      </c>
      <c r="AK1694" s="110">
        <f>'Data_in-situ'!ET42</f>
        <v>3</v>
      </c>
    </row>
    <row r="1695" spans="1:37" x14ac:dyDescent="0.3">
      <c r="B1695" s="24">
        <f>'Data_in-situ'!CA41</f>
        <v>-7247.1260453614086</v>
      </c>
      <c r="C1695" s="24">
        <f>'Data_in-situ'!CB41</f>
        <v>2100.9616035887611</v>
      </c>
      <c r="D1695" s="46">
        <f>'Data_in-situ'!CC41</f>
        <v>3</v>
      </c>
      <c r="E1695" s="24">
        <f>'Data_in-situ'!CE41</f>
        <v>-4029.5823972485118</v>
      </c>
      <c r="F1695" s="24">
        <f>'Data_in-situ'!CF41</f>
        <v>3302.4435397646589</v>
      </c>
      <c r="G1695" s="46">
        <f>'Data_in-situ'!CG41</f>
        <v>3</v>
      </c>
      <c r="H1695" s="24">
        <f>'Data_in-situ'!CN41</f>
        <v>6440.2877983621229</v>
      </c>
      <c r="I1695" s="24">
        <f>'Data_in-situ'!CO41</f>
        <v>2181.3507268282779</v>
      </c>
      <c r="J1695" s="46">
        <f>'Data_in-situ'!CP41</f>
        <v>3</v>
      </c>
      <c r="K1695" s="24">
        <f>'Data_in-situ'!CR41</f>
        <v>16039.541465166916</v>
      </c>
      <c r="L1695" s="24">
        <f>'Data_in-situ'!CS41</f>
        <v>7252.7203244742068</v>
      </c>
      <c r="M1695" s="46">
        <f>'Data_in-situ'!CT41</f>
        <v>3</v>
      </c>
      <c r="N1695" s="24">
        <f>'Data_in-situ'!DA41</f>
        <v>-806.83824699928573</v>
      </c>
      <c r="O1695" s="24">
        <f>'Data_in-situ'!DB41</f>
        <v>461.4050593199143</v>
      </c>
      <c r="P1695" s="46">
        <f>'Data_in-situ'!DC41</f>
        <v>3</v>
      </c>
      <c r="Q1695" s="24">
        <f>'Data_in-situ'!DE41</f>
        <v>12009.959067918404</v>
      </c>
      <c r="R1695" s="24">
        <f>'Data_in-situ'!DF41</f>
        <v>2892.3831674824651</v>
      </c>
      <c r="S1695" s="46">
        <f>'Data_in-situ'!DG41</f>
        <v>3</v>
      </c>
      <c r="T1695" s="113">
        <f>'Data_in-situ'!DN59</f>
        <v>10.866266106411475</v>
      </c>
      <c r="U1695" s="113">
        <f>'Data_in-situ'!DO59</f>
        <v>5.3394122234557058</v>
      </c>
      <c r="V1695" s="46">
        <f>'Data_in-situ'!DP59</f>
        <v>3</v>
      </c>
      <c r="W1695" s="113">
        <f>'Data_in-situ'!DR59</f>
        <v>1.8694061542190537</v>
      </c>
      <c r="X1695" s="113">
        <f>'Data_in-situ'!DS59</f>
        <v>2.1264618086738842</v>
      </c>
      <c r="Y1695" s="46">
        <f>'Data_in-situ'!DT59</f>
        <v>3</v>
      </c>
      <c r="Z1695" s="113">
        <f>'Data_in-situ'!EA95</f>
        <v>1.8857142857142857E-2</v>
      </c>
      <c r="AA1695" s="113">
        <f>'Data_in-situ'!EB95</f>
        <v>0.10842813738028528</v>
      </c>
      <c r="AB1695" s="46">
        <f>'Data_in-situ'!EC95</f>
        <v>3</v>
      </c>
      <c r="AC1695" s="113">
        <f>'Data_in-situ'!EE95</f>
        <v>2.0428571428571428E-2</v>
      </c>
      <c r="AD1695" s="113">
        <f>'Data_in-situ'!EF95</f>
        <v>3.0502704511218261E-2</v>
      </c>
      <c r="AE1695" s="46">
        <f>'Data_in-situ'!EG95</f>
        <v>3</v>
      </c>
      <c r="AF1695" s="113">
        <f>'Data_in-situ'!EN43</f>
        <v>-44</v>
      </c>
      <c r="AG1695" s="113">
        <f>'Data_in-situ'!EO43</f>
        <v>6.8</v>
      </c>
      <c r="AH1695" s="110">
        <f>'Data_in-situ'!EP43</f>
        <v>3</v>
      </c>
      <c r="AI1695" s="113">
        <f>'Data_in-situ'!ER43</f>
        <v>-79</v>
      </c>
      <c r="AJ1695" s="113">
        <f>'Data_in-situ'!ES43</f>
        <v>12.3</v>
      </c>
      <c r="AK1695" s="110">
        <f>'Data_in-situ'!ET43</f>
        <v>3</v>
      </c>
    </row>
    <row r="1696" spans="1:37" x14ac:dyDescent="0.3">
      <c r="B1696" s="24">
        <f>'Data_in-situ'!CA42</f>
        <v>-7247.1260453614086</v>
      </c>
      <c r="C1696" s="24">
        <f>'Data_in-situ'!CB42</f>
        <v>2100.9616035887611</v>
      </c>
      <c r="D1696" s="46">
        <f>'Data_in-situ'!CC42</f>
        <v>3</v>
      </c>
      <c r="E1696" s="24">
        <f>'Data_in-situ'!CE42</f>
        <v>-4582.6623341257582</v>
      </c>
      <c r="F1696" s="24">
        <f>'Data_in-situ'!CF42</f>
        <v>1206.6620626063177</v>
      </c>
      <c r="G1696" s="46">
        <f>'Data_in-situ'!CG42</f>
        <v>3</v>
      </c>
      <c r="H1696" s="24">
        <f>'Data_in-situ'!CN42</f>
        <v>6440.2877983621229</v>
      </c>
      <c r="I1696" s="24">
        <f>'Data_in-situ'!CO42</f>
        <v>2181.3507268282779</v>
      </c>
      <c r="J1696" s="46">
        <f>'Data_in-situ'!CP42</f>
        <v>3</v>
      </c>
      <c r="K1696" s="24">
        <f>'Data_in-situ'!CR42</f>
        <v>24633.794341918241</v>
      </c>
      <c r="L1696" s="24">
        <f>'Data_in-situ'!CS42</f>
        <v>2489.5274353362884</v>
      </c>
      <c r="M1696" s="46">
        <f>'Data_in-situ'!CT42</f>
        <v>3</v>
      </c>
      <c r="N1696" s="24">
        <f>'Data_in-situ'!DA42</f>
        <v>-806.83824699928573</v>
      </c>
      <c r="O1696" s="24">
        <f>'Data_in-situ'!DB42</f>
        <v>461.4050593199143</v>
      </c>
      <c r="P1696" s="46">
        <f>'Data_in-situ'!DC42</f>
        <v>3</v>
      </c>
      <c r="Q1696" s="24">
        <f>'Data_in-situ'!DE42</f>
        <v>20051.132007792483</v>
      </c>
      <c r="R1696" s="24">
        <f>'Data_in-situ'!DF42</f>
        <v>2691.1988636577989</v>
      </c>
      <c r="S1696" s="46">
        <f>'Data_in-situ'!DG42</f>
        <v>3</v>
      </c>
      <c r="T1696" s="113">
        <f>'Data_in-situ'!DN60</f>
        <v>10.866266106411475</v>
      </c>
      <c r="U1696" s="113">
        <f>'Data_in-situ'!DO60</f>
        <v>5.3394122234557058</v>
      </c>
      <c r="V1696" s="46">
        <f>'Data_in-situ'!DP60</f>
        <v>3</v>
      </c>
      <c r="W1696" s="113">
        <f>'Data_in-situ'!DR60</f>
        <v>1.2247833424193799</v>
      </c>
      <c r="X1696" s="113">
        <f>'Data_in-situ'!DS60</f>
        <v>3.4037999999999999</v>
      </c>
      <c r="Y1696" s="46">
        <f>'Data_in-situ'!DT60</f>
        <v>3</v>
      </c>
      <c r="Z1696" s="113">
        <f>'Data_in-situ'!EA96</f>
        <v>1.257142857142857E-2</v>
      </c>
      <c r="AA1696" s="113">
        <f>'Data_in-situ'!EB96</f>
        <v>7.2285424920190175E-2</v>
      </c>
      <c r="AB1696" s="46">
        <f>'Data_in-situ'!EC96</f>
        <v>3</v>
      </c>
      <c r="AC1696" s="113">
        <f>'Data_in-situ'!EE96</f>
        <v>1.4142857142857141E-2</v>
      </c>
      <c r="AD1696" s="113">
        <f>'Data_in-situ'!EF96</f>
        <v>2.1117256969304946E-2</v>
      </c>
      <c r="AE1696" s="46">
        <f>'Data_in-situ'!EG96</f>
        <v>3</v>
      </c>
      <c r="AF1696" s="113">
        <f>'Data_in-situ'!EN44</f>
        <v>-44</v>
      </c>
      <c r="AG1696" s="113">
        <f>'Data_in-situ'!EO44</f>
        <v>6.8</v>
      </c>
      <c r="AH1696" s="110">
        <f>'Data_in-situ'!EP44</f>
        <v>3</v>
      </c>
      <c r="AI1696" s="113">
        <f>'Data_in-situ'!ER44</f>
        <v>-116</v>
      </c>
      <c r="AJ1696" s="113">
        <f>'Data_in-situ'!ES44</f>
        <v>11.8</v>
      </c>
      <c r="AK1696" s="110">
        <f>'Data_in-situ'!ET44</f>
        <v>3</v>
      </c>
    </row>
    <row r="1697" spans="2:37" x14ac:dyDescent="0.3">
      <c r="B1697" s="24">
        <f>'Data_in-situ'!CA43</f>
        <v>-7369.2686191596349</v>
      </c>
      <c r="C1697" s="24">
        <f>'Data_in-situ'!CB43</f>
        <v>746.95892899118678</v>
      </c>
      <c r="D1697" s="46">
        <f>'Data_in-situ'!CC43</f>
        <v>3</v>
      </c>
      <c r="E1697" s="24">
        <f>'Data_in-situ'!CE43</f>
        <v>-3516.0081701482113</v>
      </c>
      <c r="F1697" s="24">
        <f>'Data_in-situ'!CF43</f>
        <v>4890.1567800361299</v>
      </c>
      <c r="G1697" s="46">
        <f>'Data_in-situ'!CG43</f>
        <v>3</v>
      </c>
      <c r="H1697" s="24">
        <f>'Data_in-situ'!CN43</f>
        <v>11939.302764655935</v>
      </c>
      <c r="I1697" s="24">
        <f>'Data_in-situ'!CO43</f>
        <v>4483.7070147716358</v>
      </c>
      <c r="J1697" s="46">
        <f>'Data_in-situ'!CP43</f>
        <v>3</v>
      </c>
      <c r="K1697" s="24">
        <f>'Data_in-situ'!CR43</f>
        <v>16131.458608233776</v>
      </c>
      <c r="L1697" s="24">
        <f>'Data_in-situ'!CS43</f>
        <v>7799.7123045882036</v>
      </c>
      <c r="M1697" s="46">
        <f>'Data_in-situ'!CT43</f>
        <v>3</v>
      </c>
      <c r="N1697" s="24">
        <f>'Data_in-situ'!DA43</f>
        <v>4570.0341454963</v>
      </c>
      <c r="O1697" s="24">
        <f>'Data_in-situ'!DB43</f>
        <v>2072.5073882436504</v>
      </c>
      <c r="P1697" s="46">
        <f>'Data_in-situ'!DC43</f>
        <v>3</v>
      </c>
      <c r="Q1697" s="24">
        <f>'Data_in-situ'!DE43</f>
        <v>12615.450438085565</v>
      </c>
      <c r="R1697" s="24">
        <f>'Data_in-situ'!DF43</f>
        <v>3401.8688612922183</v>
      </c>
      <c r="S1697" s="46">
        <f>'Data_in-situ'!DG43</f>
        <v>3</v>
      </c>
      <c r="T1697" s="113">
        <f>'Data_in-situ'!DN61</f>
        <v>9.9527304602972393</v>
      </c>
      <c r="U1697" s="113">
        <f>'Data_in-situ'!DO61</f>
        <v>3.6109447780902064</v>
      </c>
      <c r="V1697" s="46">
        <f>'Data_in-situ'!DP61</f>
        <v>3</v>
      </c>
      <c r="W1697" s="113">
        <f>'Data_in-situ'!DR61</f>
        <v>1.4557731833142631</v>
      </c>
      <c r="X1697" s="113">
        <f>'Data_in-situ'!DS61</f>
        <v>2.2523897859272677</v>
      </c>
      <c r="Y1697" s="46">
        <f>'Data_in-situ'!DT61</f>
        <v>3</v>
      </c>
      <c r="Z1697" s="113">
        <f>'Data_in-situ'!EA97</f>
        <v>1.257142857142857E-2</v>
      </c>
      <c r="AA1697" s="113">
        <f>'Data_in-situ'!EB97</f>
        <v>7.2285424920190175E-2</v>
      </c>
      <c r="AB1697" s="46">
        <f>'Data_in-situ'!EC97</f>
        <v>3</v>
      </c>
      <c r="AC1697" s="113">
        <f>'Data_in-situ'!EE97</f>
        <v>1.4142857142857141E-2</v>
      </c>
      <c r="AD1697" s="113">
        <f>'Data_in-situ'!EF97</f>
        <v>2.1117256969304946E-2</v>
      </c>
      <c r="AE1697" s="46">
        <f>'Data_in-situ'!EG97</f>
        <v>3</v>
      </c>
      <c r="AF1697" s="113">
        <f>'Data_in-situ'!EN45</f>
        <v>-50</v>
      </c>
      <c r="AG1697" s="113">
        <f>'Data_in-situ'!EO45</f>
        <v>6.8</v>
      </c>
      <c r="AH1697" s="110">
        <f>'Data_in-situ'!EP45</f>
        <v>3</v>
      </c>
      <c r="AI1697" s="113">
        <f>'Data_in-situ'!ER45</f>
        <v>-85</v>
      </c>
      <c r="AJ1697" s="113">
        <f>'Data_in-situ'!ES45</f>
        <v>12.3</v>
      </c>
      <c r="AK1697" s="110">
        <f>'Data_in-situ'!ET45</f>
        <v>3</v>
      </c>
    </row>
    <row r="1698" spans="2:37" x14ac:dyDescent="0.3">
      <c r="B1698" s="24">
        <f>'Data_in-situ'!CA44</f>
        <v>-7369.2686191596349</v>
      </c>
      <c r="C1698" s="24">
        <f>'Data_in-situ'!CB44</f>
        <v>746.95892899118678</v>
      </c>
      <c r="D1698" s="46">
        <f>'Data_in-situ'!CC44</f>
        <v>3</v>
      </c>
      <c r="E1698" s="24">
        <f>'Data_in-situ'!CE44</f>
        <v>-4661.6737536796509</v>
      </c>
      <c r="F1698" s="24">
        <f>'Data_in-situ'!CF44</f>
        <v>1270.1705922171766</v>
      </c>
      <c r="G1698" s="46">
        <f>'Data_in-situ'!CG44</f>
        <v>3</v>
      </c>
      <c r="H1698" s="24">
        <f>'Data_in-situ'!CN44</f>
        <v>11939.302764655935</v>
      </c>
      <c r="I1698" s="24">
        <f>'Data_in-situ'!CO44</f>
        <v>4483.7070147716358</v>
      </c>
      <c r="J1698" s="46">
        <f>'Data_in-situ'!CP44</f>
        <v>3</v>
      </c>
      <c r="K1698" s="24">
        <f>'Data_in-situ'!CR44</f>
        <v>23300.995767448785</v>
      </c>
      <c r="L1698" s="24">
        <f>'Data_in-situ'!CS44</f>
        <v>3584.4542083747219</v>
      </c>
      <c r="M1698" s="46">
        <f>'Data_in-situ'!CT44</f>
        <v>3</v>
      </c>
      <c r="N1698" s="24">
        <f>'Data_in-situ'!DA44</f>
        <v>4570.0341454963</v>
      </c>
      <c r="O1698" s="24">
        <f>'Data_in-situ'!DB44</f>
        <v>2072.5073882436504</v>
      </c>
      <c r="P1698" s="46">
        <f>'Data_in-situ'!DC44</f>
        <v>3</v>
      </c>
      <c r="Q1698" s="24">
        <f>'Data_in-situ'!DE44</f>
        <v>18639.322013769135</v>
      </c>
      <c r="R1698" s="24">
        <f>'Data_in-situ'!DF44</f>
        <v>3134.054571327079</v>
      </c>
      <c r="S1698" s="46">
        <f>'Data_in-situ'!DG44</f>
        <v>3</v>
      </c>
      <c r="T1698" s="113">
        <f>'Data_in-situ'!DN62</f>
        <v>9.9527304602972393</v>
      </c>
      <c r="U1698" s="113">
        <f>'Data_in-situ'!DO62</f>
        <v>3.6109447780902064</v>
      </c>
      <c r="V1698" s="46">
        <f>'Data_in-situ'!DP62</f>
        <v>3</v>
      </c>
      <c r="W1698" s="113">
        <f>'Data_in-situ'!DR62</f>
        <v>1.0045372150544916</v>
      </c>
      <c r="X1698" s="113">
        <f>'Data_in-situ'!DS62</f>
        <v>1.2391823776598332</v>
      </c>
      <c r="Y1698" s="46">
        <f>'Data_in-situ'!DT62</f>
        <v>3</v>
      </c>
      <c r="Z1698" s="113">
        <f>'Data_in-situ'!EA104</f>
        <v>2.2785714285714288E-2</v>
      </c>
      <c r="AA1698" s="113">
        <f>'Data_in-situ'!EB104</f>
        <v>0.13101733266784471</v>
      </c>
      <c r="AB1698" s="46">
        <f>'Data_in-situ'!EC104</f>
        <v>3</v>
      </c>
      <c r="AC1698" s="113">
        <f>'Data_in-situ'!EE104</f>
        <v>2.1057142857142859</v>
      </c>
      <c r="AD1698" s="113">
        <f>'Data_in-situ'!EF104</f>
        <v>3.1441249265409592</v>
      </c>
      <c r="AE1698" s="46">
        <f>'Data_in-situ'!EG104</f>
        <v>3</v>
      </c>
      <c r="AF1698" s="113">
        <f>'Data_in-situ'!EN46</f>
        <v>-50</v>
      </c>
      <c r="AG1698" s="113">
        <f>'Data_in-situ'!EO46</f>
        <v>6.8</v>
      </c>
      <c r="AH1698" s="110">
        <f>'Data_in-situ'!EP46</f>
        <v>3</v>
      </c>
      <c r="AI1698" s="113">
        <f>'Data_in-situ'!ER46</f>
        <v>-120</v>
      </c>
      <c r="AJ1698" s="113">
        <f>'Data_in-situ'!ES46</f>
        <v>11.8</v>
      </c>
      <c r="AK1698" s="110">
        <f>'Data_in-situ'!ET46</f>
        <v>3</v>
      </c>
    </row>
    <row r="1699" spans="2:37" x14ac:dyDescent="0.3">
      <c r="B1699" s="24">
        <f>'Data_in-situ'!CA45</f>
        <v>-7939.2672968846891</v>
      </c>
      <c r="C1699" s="24">
        <f>'Data_in-situ'!CB45</f>
        <v>2111.9731212798092</v>
      </c>
      <c r="D1699" s="46">
        <f>'Data_in-situ'!CC45</f>
        <v>3</v>
      </c>
      <c r="E1699" s="24">
        <f>'Data_in-situ'!CE45</f>
        <v>-3674.0310092559957</v>
      </c>
      <c r="F1699" s="24">
        <f>'Data_in-situ'!CF45</f>
        <v>3492.9691285972353</v>
      </c>
      <c r="G1699" s="46">
        <f>'Data_in-situ'!CG45</f>
        <v>3</v>
      </c>
      <c r="H1699" s="24">
        <f>'Data_in-situ'!CN45</f>
        <v>12286.087492260051</v>
      </c>
      <c r="I1699" s="24">
        <f>'Data_in-situ'!CO45</f>
        <v>4228.1100433523952</v>
      </c>
      <c r="J1699" s="46">
        <f>'Data_in-situ'!CP45</f>
        <v>3</v>
      </c>
      <c r="K1699" s="24">
        <f>'Data_in-situ'!CR45</f>
        <v>22335.865765246766</v>
      </c>
      <c r="L1699" s="24">
        <f>'Data_in-situ'!CS45</f>
        <v>5098.0031695624621</v>
      </c>
      <c r="M1699" s="46">
        <f>'Data_in-situ'!CT45</f>
        <v>3</v>
      </c>
      <c r="N1699" s="24">
        <f>'Data_in-situ'!DA45</f>
        <v>4346.8201953753614</v>
      </c>
      <c r="O1699" s="24">
        <f>'Data_in-situ'!DB45</f>
        <v>1600.2428388061255</v>
      </c>
      <c r="P1699" s="46">
        <f>'Data_in-situ'!DC45</f>
        <v>3</v>
      </c>
      <c r="Q1699" s="24">
        <f>'Data_in-situ'!DE45</f>
        <v>18661.834755990771</v>
      </c>
      <c r="R1699" s="24">
        <f>'Data_in-situ'!DF45</f>
        <v>3804.3746385120953</v>
      </c>
      <c r="S1699" s="46">
        <f>'Data_in-situ'!DG45</f>
        <v>3</v>
      </c>
      <c r="T1699" s="113">
        <f>'Data_in-situ'!DN63</f>
        <v>10.24121540117542</v>
      </c>
      <c r="U1699" s="113">
        <f>'Data_in-situ'!DO63</f>
        <v>7.0937907088882888</v>
      </c>
      <c r="V1699" s="46">
        <f>'Data_in-situ'!DP63</f>
        <v>3</v>
      </c>
      <c r="W1699" s="113">
        <f>'Data_in-situ'!DR63</f>
        <v>0.9615623609345133</v>
      </c>
      <c r="X1699" s="113">
        <f>'Data_in-situ'!DS63</f>
        <v>1.1781116185620597</v>
      </c>
      <c r="Y1699" s="46">
        <f>'Data_in-situ'!DT63</f>
        <v>3</v>
      </c>
      <c r="Z1699" s="113">
        <f>'Data_in-situ'!EA105</f>
        <v>9.1928571428571401E-2</v>
      </c>
      <c r="AA1699" s="113">
        <f>'Data_in-situ'!EB105</f>
        <v>0.52858716972889053</v>
      </c>
      <c r="AB1699" s="46">
        <f>'Data_in-situ'!EC105</f>
        <v>3</v>
      </c>
      <c r="AC1699" s="113">
        <f>'Data_in-situ'!EE105</f>
        <v>0.87057142857142855</v>
      </c>
      <c r="AD1699" s="113">
        <f>'Data_in-situ'!EF105</f>
        <v>1.2998844845549935</v>
      </c>
      <c r="AE1699" s="46">
        <f>'Data_in-situ'!EG105</f>
        <v>3</v>
      </c>
      <c r="AF1699" s="113">
        <f>'Data_in-situ'!EN47</f>
        <v>-38</v>
      </c>
      <c r="AG1699" s="113">
        <f>'Data_in-situ'!EO47</f>
        <v>5.412566119688516</v>
      </c>
      <c r="AH1699" s="110">
        <f>'Data_in-situ'!EP47</f>
        <v>3</v>
      </c>
      <c r="AI1699" s="113">
        <f>'Data_in-situ'!ER47</f>
        <v>-73</v>
      </c>
      <c r="AJ1699" s="113">
        <f>'Data_in-situ'!ES47</f>
        <v>7.3195252578292278</v>
      </c>
      <c r="AK1699" s="110">
        <f>'Data_in-situ'!ET47</f>
        <v>3</v>
      </c>
    </row>
    <row r="1700" spans="2:37" x14ac:dyDescent="0.3">
      <c r="B1700" s="24">
        <f>'Data_in-situ'!CA46</f>
        <v>-7939.2672968846891</v>
      </c>
      <c r="C1700" s="24">
        <f>'Data_in-situ'!CB46</f>
        <v>2111.9731212798092</v>
      </c>
      <c r="D1700" s="46">
        <f>'Data_in-situ'!CC46</f>
        <v>3</v>
      </c>
      <c r="E1700" s="24">
        <f>'Data_in-situ'!CE46</f>
        <v>-4859.2023025643821</v>
      </c>
      <c r="F1700" s="24">
        <f>'Data_in-situ'!CF46</f>
        <v>1397.1876514388941</v>
      </c>
      <c r="G1700" s="46">
        <f>'Data_in-situ'!CG46</f>
        <v>3</v>
      </c>
      <c r="H1700" s="24">
        <f>'Data_in-situ'!CN46</f>
        <v>12286.087492260051</v>
      </c>
      <c r="I1700" s="24">
        <f>'Data_in-situ'!CO46</f>
        <v>2603.8497140452123</v>
      </c>
      <c r="J1700" s="46">
        <f>'Data_in-situ'!CP46</f>
        <v>3</v>
      </c>
      <c r="K1700" s="24">
        <f>'Data_in-situ'!CR46</f>
        <v>23071.202909781641</v>
      </c>
      <c r="L1700" s="24">
        <f>'Data_in-situ'!CS46</f>
        <v>3447.7118721915385</v>
      </c>
      <c r="M1700" s="46">
        <f>'Data_in-situ'!CT46</f>
        <v>3</v>
      </c>
      <c r="N1700" s="24">
        <f>'Data_in-situ'!DA46</f>
        <v>4346.8201953753614</v>
      </c>
      <c r="O1700" s="24">
        <f>'Data_in-situ'!DB46</f>
        <v>1600.2428388061255</v>
      </c>
      <c r="P1700" s="46">
        <f>'Data_in-situ'!DC46</f>
        <v>3</v>
      </c>
      <c r="Q1700" s="24">
        <f>'Data_in-situ'!DE46</f>
        <v>18212.000607217258</v>
      </c>
      <c r="R1700" s="24">
        <f>'Data_in-situ'!DF46</f>
        <v>4028.2334522837918</v>
      </c>
      <c r="S1700" s="46">
        <f>'Data_in-situ'!DG46</f>
        <v>3</v>
      </c>
      <c r="T1700" s="113">
        <f>'Data_in-situ'!DN64</f>
        <v>10.24121540117542</v>
      </c>
      <c r="U1700" s="113">
        <f>'Data_in-situ'!DO64</f>
        <v>7.0937907088882888</v>
      </c>
      <c r="V1700" s="46">
        <f>'Data_in-situ'!DP64</f>
        <v>3</v>
      </c>
      <c r="W1700" s="113">
        <f>'Data_in-situ'!DR64</f>
        <v>0.45660782502476893</v>
      </c>
      <c r="X1700" s="113">
        <f>'Data_in-situ'!DS64</f>
        <v>1.5313900415070829</v>
      </c>
      <c r="Y1700" s="46">
        <f>'Data_in-situ'!DT64</f>
        <v>3</v>
      </c>
      <c r="Z1700" s="113">
        <f>'Data_in-situ'!EA106</f>
        <v>5.3428571428571429E-2</v>
      </c>
      <c r="AA1700" s="113">
        <f>'Data_in-situ'!EB106</f>
        <v>0.30721305591080827</v>
      </c>
      <c r="AB1700" s="46">
        <f>'Data_in-situ'!EC106</f>
        <v>3</v>
      </c>
      <c r="AC1700" s="113">
        <f>'Data_in-situ'!EE106</f>
        <v>5.7985714285714279E-2</v>
      </c>
      <c r="AD1700" s="113">
        <f>'Data_in-situ'!EF106</f>
        <v>8.6580753574150279E-2</v>
      </c>
      <c r="AE1700" s="46">
        <f>'Data_in-situ'!EG106</f>
        <v>3</v>
      </c>
      <c r="AF1700" s="113">
        <f>'Data_in-situ'!EN48</f>
        <v>-38</v>
      </c>
      <c r="AG1700" s="113">
        <f>'Data_in-situ'!EO48</f>
        <v>5.412566119688516</v>
      </c>
      <c r="AH1700" s="110">
        <f>'Data_in-situ'!EP48</f>
        <v>3</v>
      </c>
      <c r="AI1700" s="113">
        <f>'Data_in-situ'!ER48</f>
        <v>-112</v>
      </c>
      <c r="AJ1700" s="113">
        <f>'Data_in-situ'!ES48</f>
        <v>10.756618055876112</v>
      </c>
      <c r="AK1700" s="110">
        <f>'Data_in-situ'!ET48</f>
        <v>3</v>
      </c>
    </row>
    <row r="1701" spans="2:37" x14ac:dyDescent="0.3">
      <c r="B1701" s="24">
        <f>'Data_in-situ'!CA47</f>
        <v>-8294.385041352898</v>
      </c>
      <c r="C1701" s="24">
        <f>'Data_in-situ'!CB47</f>
        <v>1642.4661972156998</v>
      </c>
      <c r="D1701" s="46">
        <f>'Data_in-situ'!CC47</f>
        <v>3</v>
      </c>
      <c r="E1701" s="24">
        <f>'Data_in-situ'!CE47</f>
        <v>-4116.4949587577939</v>
      </c>
      <c r="F1701" s="24">
        <f>'Data_in-situ'!CF47</f>
        <v>2228.1690065442513</v>
      </c>
      <c r="G1701" s="46">
        <f>'Data_in-situ'!CG47</f>
        <v>3</v>
      </c>
      <c r="H1701" s="24">
        <f>'Data_in-situ'!CN47</f>
        <v>9925.2960228500779</v>
      </c>
      <c r="I1701" s="24">
        <f>'Data_in-situ'!CO47</f>
        <v>1567.0081026388868</v>
      </c>
      <c r="J1701" s="46">
        <f>'Data_in-situ'!CP47</f>
        <v>3</v>
      </c>
      <c r="K1701" s="24">
        <f>'Data_in-situ'!CR47</f>
        <v>11818.246669821412</v>
      </c>
      <c r="L1701" s="24">
        <f>'Data_in-situ'!CS47</f>
        <v>4651.0454986548657</v>
      </c>
      <c r="M1701" s="46">
        <f>'Data_in-situ'!CT47</f>
        <v>3</v>
      </c>
      <c r="N1701" s="24">
        <f>'Data_in-situ'!DA47</f>
        <v>1587.3797452740284</v>
      </c>
      <c r="O1701" s="24">
        <f>'Data_in-situ'!DB47</f>
        <v>3333.5525389363561</v>
      </c>
      <c r="P1701" s="46">
        <f>'Data_in-situ'!DC47</f>
        <v>3</v>
      </c>
      <c r="Q1701" s="24">
        <f>'Data_in-situ'!DE47</f>
        <v>7701.7517110636172</v>
      </c>
      <c r="R1701" s="24">
        <f>'Data_in-situ'!DF47</f>
        <v>1365.154161423319</v>
      </c>
      <c r="S1701" s="46">
        <f>'Data_in-situ'!DG47</f>
        <v>3</v>
      </c>
      <c r="T1701" s="113">
        <f>'Data_in-situ'!DN65</f>
        <v>7.7977007953643627</v>
      </c>
      <c r="U1701" s="113">
        <f>'Data_in-situ'!DO65</f>
        <v>3.3514104017873239</v>
      </c>
      <c r="V1701" s="46">
        <f>'Data_in-situ'!DP65</f>
        <v>3</v>
      </c>
      <c r="W1701" s="113">
        <f>'Data_in-situ'!DR65</f>
        <v>3.0401651288720082</v>
      </c>
      <c r="X1701" s="113">
        <f>'Data_in-situ'!DS65</f>
        <v>2.576926227735012</v>
      </c>
      <c r="Y1701" s="46">
        <f>'Data_in-situ'!DT65</f>
        <v>3</v>
      </c>
      <c r="Z1701" s="113">
        <f>'Data_in-situ'!EA107</f>
        <v>0.24042857142857144</v>
      </c>
      <c r="AA1701" s="113">
        <f>'Data_in-situ'!EB107</f>
        <v>1.3824587515986373</v>
      </c>
      <c r="AB1701" s="46">
        <f>'Data_in-situ'!EC107</f>
        <v>3</v>
      </c>
      <c r="AC1701" s="113">
        <f>'Data_in-situ'!EE107</f>
        <v>0.88314285714285712</v>
      </c>
      <c r="AD1701" s="113">
        <f>'Data_in-situ'!EF107</f>
        <v>1.3186553796388201</v>
      </c>
      <c r="AE1701" s="46">
        <f>'Data_in-situ'!EG107</f>
        <v>3</v>
      </c>
      <c r="AF1701" s="113">
        <f>'Data_in-situ'!EN49</f>
        <v>-45.680000000000007</v>
      </c>
      <c r="AG1701" s="113">
        <f>'Data_in-situ'!EO49</f>
        <v>4.842822317616041</v>
      </c>
      <c r="AH1701" s="110">
        <f>'Data_in-situ'!EP49</f>
        <v>3</v>
      </c>
      <c r="AI1701" s="113">
        <f>'Data_in-situ'!ER49</f>
        <v>-80.650000000000006</v>
      </c>
      <c r="AJ1701" s="113">
        <f>'Data_in-situ'!ES49</f>
        <v>8.7407922981844166</v>
      </c>
      <c r="AK1701" s="110">
        <f>'Data_in-situ'!ET49</f>
        <v>3</v>
      </c>
    </row>
    <row r="1702" spans="2:37" x14ac:dyDescent="0.3">
      <c r="B1702" s="24">
        <f>'Data_in-situ'!CA48</f>
        <v>-8294.385041352898</v>
      </c>
      <c r="C1702" s="24">
        <f>'Data_in-situ'!CB48</f>
        <v>1642.4661972156998</v>
      </c>
      <c r="D1702" s="46">
        <f>'Data_in-situ'!CC48</f>
        <v>3</v>
      </c>
      <c r="E1702" s="24">
        <f>'Data_in-situ'!CE48</f>
        <v>-7951.7092639037292</v>
      </c>
      <c r="F1702" s="24">
        <f>'Data_in-situ'!CF48</f>
        <v>991.198558307697</v>
      </c>
      <c r="G1702" s="46">
        <f>'Data_in-situ'!CG48</f>
        <v>3</v>
      </c>
      <c r="H1702" s="24">
        <f>'Data_in-situ'!CN48</f>
        <v>9925.2960228500779</v>
      </c>
      <c r="I1702" s="24">
        <f>'Data_in-situ'!CO48</f>
        <v>1567.0081026388868</v>
      </c>
      <c r="J1702" s="46">
        <f>'Data_in-situ'!CP48</f>
        <v>3</v>
      </c>
      <c r="K1702" s="24">
        <f>'Data_in-situ'!CR48</f>
        <v>18874.266157348848</v>
      </c>
      <c r="L1702" s="24">
        <f>'Data_in-situ'!CS48</f>
        <v>1436.9763260046241</v>
      </c>
      <c r="M1702" s="46">
        <f>'Data_in-situ'!CT48</f>
        <v>3</v>
      </c>
      <c r="N1702" s="24">
        <f>'Data_in-situ'!DA48</f>
        <v>1456.7860366045747</v>
      </c>
      <c r="O1702" s="24">
        <f>'Data_in-situ'!DB48</f>
        <v>3333.5525389363561</v>
      </c>
      <c r="P1702" s="46">
        <f>'Data_in-situ'!DC48</f>
        <v>3</v>
      </c>
      <c r="Q1702" s="24">
        <f>'Data_in-situ'!DE48</f>
        <v>10922.55689344512</v>
      </c>
      <c r="R1702" s="24">
        <f>'Data_in-situ'!DF48</f>
        <v>1312.0511177126614</v>
      </c>
      <c r="S1702" s="46">
        <f>'Data_in-situ'!DG48</f>
        <v>3</v>
      </c>
      <c r="T1702" s="113">
        <f>'Data_in-situ'!DN66</f>
        <v>7.7977007953643627</v>
      </c>
      <c r="U1702" s="113">
        <f>'Data_in-situ'!DO66</f>
        <v>3.3514104017873239</v>
      </c>
      <c r="V1702" s="46">
        <f>'Data_in-situ'!DP66</f>
        <v>3</v>
      </c>
      <c r="W1702" s="113">
        <f>'Data_in-situ'!DR66</f>
        <v>1.9887131963175433</v>
      </c>
      <c r="X1702" s="113">
        <f>'Data_in-situ'!DS66</f>
        <v>2.7881365985407487</v>
      </c>
      <c r="Y1702" s="46">
        <f>'Data_in-situ'!DT66</f>
        <v>3</v>
      </c>
      <c r="Z1702" s="113">
        <f>'Data_in-situ'!EA108</f>
        <v>1.9171428571428568E-2</v>
      </c>
      <c r="AA1702" s="113">
        <f>'Data_in-situ'!EB108</f>
        <v>0.11023527300329002</v>
      </c>
      <c r="AB1702" s="46">
        <f>'Data_in-situ'!EC108</f>
        <v>3</v>
      </c>
      <c r="AC1702" s="113">
        <f>'Data_in-situ'!EE108</f>
        <v>3.0642857142857142E-2</v>
      </c>
      <c r="AD1702" s="113">
        <f>'Data_in-situ'!EF108</f>
        <v>4.5754056766827388E-2</v>
      </c>
      <c r="AE1702" s="46">
        <f>'Data_in-situ'!EG108</f>
        <v>3</v>
      </c>
      <c r="AF1702" s="113">
        <f>'Data_in-situ'!EN50</f>
        <v>-45.680000000000007</v>
      </c>
      <c r="AG1702" s="113">
        <f>'Data_in-situ'!EO50</f>
        <v>4.842822317616041</v>
      </c>
      <c r="AH1702" s="110">
        <f>'Data_in-situ'!EP50</f>
        <v>3</v>
      </c>
      <c r="AI1702" s="113">
        <f>'Data_in-situ'!ER50</f>
        <v>-118.08000000000001</v>
      </c>
      <c r="AJ1702" s="113">
        <f>'Data_in-situ'!ES50</f>
        <v>8.3505324381143513</v>
      </c>
      <c r="AK1702" s="110">
        <f>'Data_in-situ'!ET50</f>
        <v>3</v>
      </c>
    </row>
    <row r="1703" spans="2:37" x14ac:dyDescent="0.3">
      <c r="B1703" s="24">
        <f>'Data_in-situ'!CA49</f>
        <v>-9369.2576901028933</v>
      </c>
      <c r="C1703" s="24">
        <f>'Data_in-situ'!CB49</f>
        <v>2035.7162873934246</v>
      </c>
      <c r="D1703" s="46">
        <f>'Data_in-situ'!CC49</f>
        <v>3</v>
      </c>
      <c r="E1703" s="24">
        <f>'Data_in-situ'!CE49</f>
        <v>-2299.2323090182686</v>
      </c>
      <c r="F1703" s="24">
        <f>'Data_in-situ'!CF49</f>
        <v>2342.6341654926264</v>
      </c>
      <c r="G1703" s="46">
        <f>'Data_in-situ'!CG49</f>
        <v>3</v>
      </c>
      <c r="H1703" s="24">
        <f>'Data_in-situ'!CN49</f>
        <v>12061.199832356524</v>
      </c>
      <c r="I1703" s="24">
        <f>'Data_in-situ'!CO49</f>
        <v>2723.4693933324475</v>
      </c>
      <c r="J1703" s="46">
        <f>'Data_in-situ'!CP49</f>
        <v>3</v>
      </c>
      <c r="K1703" s="24">
        <f>'Data_in-situ'!CR49</f>
        <v>11429.896740363933</v>
      </c>
      <c r="L1703" s="24">
        <f>'Data_in-situ'!CS49</f>
        <v>4226.8745195225956</v>
      </c>
      <c r="M1703" s="46">
        <f>'Data_in-situ'!CT49</f>
        <v>3</v>
      </c>
      <c r="N1703" s="24">
        <f>'Data_in-situ'!DA49</f>
        <v>2691.9421422536325</v>
      </c>
      <c r="O1703" s="24">
        <f>'Data_in-situ'!DB49</f>
        <v>1470.8979553996573</v>
      </c>
      <c r="P1703" s="46">
        <f>'Data_in-situ'!DC49</f>
        <v>3</v>
      </c>
      <c r="Q1703" s="24">
        <f>'Data_in-situ'!DE49</f>
        <v>9130.6644313456636</v>
      </c>
      <c r="R1703" s="24">
        <f>'Data_in-situ'!DF49</f>
        <v>1617.1067844170707</v>
      </c>
      <c r="S1703" s="46">
        <f>'Data_in-situ'!DG49</f>
        <v>3</v>
      </c>
      <c r="T1703" s="113">
        <f>'Data_in-situ'!DN67</f>
        <v>7.1375195796034658</v>
      </c>
      <c r="U1703" s="113">
        <f>'Data_in-situ'!DO67</f>
        <v>3.9633493035082119</v>
      </c>
      <c r="V1703" s="46">
        <f>'Data_in-situ'!DP67</f>
        <v>3</v>
      </c>
      <c r="W1703" s="113">
        <f>'Data_in-situ'!DR67</f>
        <v>3.0539332337351648</v>
      </c>
      <c r="X1703" s="113">
        <f>'Data_in-situ'!DS67</f>
        <v>2.9487867124895311</v>
      </c>
      <c r="Y1703" s="46">
        <f>'Data_in-situ'!DT67</f>
        <v>3</v>
      </c>
      <c r="Z1703" s="113">
        <f>'Data_in-situ'!EA109</f>
        <v>4.7771428571428562E-2</v>
      </c>
      <c r="AA1703" s="113">
        <f>'Data_in-situ'!EB109</f>
        <v>0.27468461469672267</v>
      </c>
      <c r="AB1703" s="46">
        <f>'Data_in-situ'!EC109</f>
        <v>3</v>
      </c>
      <c r="AC1703" s="113">
        <f>'Data_in-situ'!EE109</f>
        <v>0.21685714285714286</v>
      </c>
      <c r="AD1703" s="113">
        <f>'Data_in-situ'!EF109</f>
        <v>0.32379794019600922</v>
      </c>
      <c r="AE1703" s="46">
        <f>'Data_in-situ'!EG109</f>
        <v>3</v>
      </c>
      <c r="AF1703" s="113">
        <f>'Data_in-situ'!EN51</f>
        <v>-53.36</v>
      </c>
      <c r="AG1703" s="113">
        <f>'Data_in-situ'!EO51</f>
        <v>6.3986248522631799</v>
      </c>
      <c r="AH1703" s="110">
        <f>'Data_in-situ'!EP51</f>
        <v>3</v>
      </c>
      <c r="AI1703" s="113">
        <f>'Data_in-situ'!ER51</f>
        <v>-88.300000000000011</v>
      </c>
      <c r="AJ1703" s="113">
        <f>'Data_in-situ'!ES51</f>
        <v>8.3224065029293062</v>
      </c>
      <c r="AK1703" s="110">
        <f>'Data_in-situ'!ET51</f>
        <v>3</v>
      </c>
    </row>
    <row r="1704" spans="2:37" x14ac:dyDescent="0.3">
      <c r="B1704" s="24">
        <f>'Data_in-situ'!CA50</f>
        <v>-9369.2576901028933</v>
      </c>
      <c r="C1704" s="24">
        <f>'Data_in-situ'!CB50</f>
        <v>2035.7162873934246</v>
      </c>
      <c r="D1704" s="46">
        <f>'Data_in-situ'!CC50</f>
        <v>3</v>
      </c>
      <c r="E1704" s="24">
        <f>'Data_in-situ'!CE50</f>
        <v>-9078.4121067422348</v>
      </c>
      <c r="F1704" s="24">
        <f>'Data_in-situ'!CF50</f>
        <v>2550.7669434897421</v>
      </c>
      <c r="G1704" s="46">
        <f>'Data_in-situ'!CG50</f>
        <v>3</v>
      </c>
      <c r="H1704" s="24">
        <f>'Data_in-situ'!CN50</f>
        <v>12061.199832356524</v>
      </c>
      <c r="I1704" s="24">
        <f>'Data_in-situ'!CO50</f>
        <v>2723.4693933324475</v>
      </c>
      <c r="J1704" s="46">
        <f>'Data_in-situ'!CP50</f>
        <v>3</v>
      </c>
      <c r="K1704" s="24">
        <f>'Data_in-situ'!CR50</f>
        <v>19572.836444656983</v>
      </c>
      <c r="L1704" s="24">
        <f>'Data_in-situ'!CS50</f>
        <v>4405.6978485162454</v>
      </c>
      <c r="M1704" s="46">
        <f>'Data_in-situ'!CT50</f>
        <v>3</v>
      </c>
      <c r="N1704" s="24">
        <f>'Data_in-situ'!DA50</f>
        <v>2691.9421422536325</v>
      </c>
      <c r="O1704" s="24">
        <f>'Data_in-situ'!DB50</f>
        <v>1470.8979553996573</v>
      </c>
      <c r="P1704" s="46">
        <f>'Data_in-situ'!DC50</f>
        <v>3</v>
      </c>
      <c r="Q1704" s="24">
        <f>'Data_in-situ'!DE50</f>
        <v>10494.424337914745</v>
      </c>
      <c r="R1704" s="24">
        <f>'Data_in-situ'!DF50</f>
        <v>1546.8515977021152</v>
      </c>
      <c r="S1704" s="46">
        <f>'Data_in-situ'!DG50</f>
        <v>3</v>
      </c>
      <c r="T1704" s="113">
        <f>'Data_in-situ'!DN68</f>
        <v>7.1375195796034658</v>
      </c>
      <c r="U1704" s="113">
        <f>'Data_in-situ'!DO68</f>
        <v>3.9633493035082119</v>
      </c>
      <c r="V1704" s="46">
        <f>'Data_in-situ'!DP68</f>
        <v>3</v>
      </c>
      <c r="W1704" s="113">
        <f>'Data_in-situ'!DR68</f>
        <v>1.8162894746130522</v>
      </c>
      <c r="X1704" s="113">
        <f>'Data_in-situ'!DS68</f>
        <v>1.2745561332707356</v>
      </c>
      <c r="Y1704" s="46">
        <f>'Data_in-situ'!DT68</f>
        <v>3</v>
      </c>
      <c r="Z1704" s="113">
        <f>'Data_in-situ'!EA110</f>
        <v>5.4528571428571426E-2</v>
      </c>
      <c r="AA1704" s="113">
        <f>'Data_in-situ'!EB110</f>
        <v>0.3135380305913249</v>
      </c>
      <c r="AB1704" s="46">
        <f>'Data_in-situ'!EC110</f>
        <v>3</v>
      </c>
      <c r="AC1704" s="113">
        <f>'Data_in-situ'!EE110</f>
        <v>3.5828571428571425E-2</v>
      </c>
      <c r="AD1704" s="113">
        <f>'Data_in-situ'!EF110</f>
        <v>5.3497050988905864E-2</v>
      </c>
      <c r="AE1704" s="46">
        <f>'Data_in-situ'!EG110</f>
        <v>3</v>
      </c>
      <c r="AF1704" s="113">
        <f>'Data_in-situ'!EN52</f>
        <v>-53.36</v>
      </c>
      <c r="AG1704" s="113">
        <f>'Data_in-situ'!EO52</f>
        <v>6.3986248522631799</v>
      </c>
      <c r="AH1704" s="110">
        <f>'Data_in-situ'!EP52</f>
        <v>3</v>
      </c>
      <c r="AI1704" s="113">
        <f>'Data_in-situ'!ER52</f>
        <v>-124.16</v>
      </c>
      <c r="AJ1704" s="113">
        <f>'Data_in-situ'!ES52</f>
        <v>9.3061459262145689</v>
      </c>
      <c r="AK1704" s="110">
        <f>'Data_in-situ'!ET52</f>
        <v>3</v>
      </c>
    </row>
    <row r="1705" spans="2:37" x14ac:dyDescent="0.3">
      <c r="B1705" s="24">
        <f>'Data_in-situ'!CA51</f>
        <v>-9754.4163078122838</v>
      </c>
      <c r="C1705" s="24">
        <f>'Data_in-situ'!CB51</f>
        <v>3932.1332121217479</v>
      </c>
      <c r="D1705" s="46">
        <f>'Data_in-situ'!CC51</f>
        <v>3</v>
      </c>
      <c r="E1705" s="24">
        <f>'Data_in-situ'!CE51</f>
        <v>-2761.4491134085392</v>
      </c>
      <c r="F1705" s="24">
        <f>'Data_in-situ'!CF51</f>
        <v>1692.9192981356198</v>
      </c>
      <c r="G1705" s="46">
        <f>'Data_in-situ'!CG51</f>
        <v>3</v>
      </c>
      <c r="H1705" s="24">
        <f>'Data_in-situ'!CN51</f>
        <v>12245.303198687096</v>
      </c>
      <c r="I1705" s="24">
        <f>'Data_in-situ'!CO51</f>
        <v>3757.3069479498581</v>
      </c>
      <c r="J1705" s="46">
        <f>'Data_in-situ'!CP51</f>
        <v>3</v>
      </c>
      <c r="K1705" s="24">
        <f>'Data_in-situ'!CR51</f>
        <v>17330.977325256288</v>
      </c>
      <c r="L1705" s="24">
        <f>'Data_in-situ'!CS51</f>
        <v>2585.939777312642</v>
      </c>
      <c r="M1705" s="46">
        <f>'Data_in-situ'!CT51</f>
        <v>3</v>
      </c>
      <c r="N1705" s="24">
        <f>'Data_in-situ'!DA51</f>
        <v>2490.8868908748118</v>
      </c>
      <c r="O1705" s="24">
        <f>'Data_in-situ'!DB51</f>
        <v>1134.5350284056235</v>
      </c>
      <c r="P1705" s="46">
        <f>'Data_in-situ'!DC51</f>
        <v>3</v>
      </c>
      <c r="Q1705" s="24">
        <f>'Data_in-situ'!DE51</f>
        <v>14569.528211847748</v>
      </c>
      <c r="R1705" s="24">
        <f>'Data_in-situ'!DF51</f>
        <v>1911.412784772738</v>
      </c>
      <c r="S1705" s="46">
        <f>'Data_in-situ'!DG51</f>
        <v>3</v>
      </c>
      <c r="T1705" s="113">
        <f>'Data_in-situ'!DN69</f>
        <v>8.4029927968922031</v>
      </c>
      <c r="U1705" s="113">
        <f>'Data_in-situ'!DO69</f>
        <v>3.1873816651232265</v>
      </c>
      <c r="V1705" s="46">
        <f>'Data_in-situ'!DP69</f>
        <v>3</v>
      </c>
      <c r="W1705" s="113">
        <f>'Data_in-situ'!DR69</f>
        <v>1.0794478740303646</v>
      </c>
      <c r="X1705" s="113">
        <f>'Data_in-situ'!DS69</f>
        <v>0.96059962800413323</v>
      </c>
      <c r="Y1705" s="46">
        <f>'Data_in-situ'!DT69</f>
        <v>3</v>
      </c>
      <c r="Z1705" s="113">
        <f>'Data_in-situ'!EA111</f>
        <v>8.4699999999999998E-2</v>
      </c>
      <c r="AA1705" s="113">
        <f>'Data_in-situ'!EB111</f>
        <v>0.48702305039978139</v>
      </c>
      <c r="AB1705" s="46">
        <f>'Data_in-situ'!EC111</f>
        <v>3</v>
      </c>
      <c r="AC1705" s="113">
        <f>'Data_in-situ'!EE111</f>
        <v>6.1599999999999995E-2</v>
      </c>
      <c r="AD1705" s="113">
        <f>'Data_in-situ'!EF111</f>
        <v>9.1977385910750442E-2</v>
      </c>
      <c r="AE1705" s="46">
        <f>'Data_in-situ'!EG111</f>
        <v>3</v>
      </c>
      <c r="AF1705" s="113">
        <f>'Data_in-situ'!EN53</f>
        <v>-38</v>
      </c>
      <c r="AG1705" s="113">
        <f>'Data_in-situ'!EO53</f>
        <v>7.6</v>
      </c>
      <c r="AH1705" s="110">
        <f>'Data_in-situ'!EP53</f>
        <v>3</v>
      </c>
      <c r="AI1705" s="113">
        <f>'Data_in-situ'!ER53</f>
        <v>-73</v>
      </c>
      <c r="AJ1705" s="113">
        <f>'Data_in-situ'!ES53</f>
        <v>10.3</v>
      </c>
      <c r="AK1705" s="110">
        <f>'Data_in-situ'!ET53</f>
        <v>3</v>
      </c>
    </row>
    <row r="1706" spans="2:37" x14ac:dyDescent="0.3">
      <c r="B1706" s="24">
        <f>'Data_in-situ'!CA52</f>
        <v>-9754.4163078122838</v>
      </c>
      <c r="C1706" s="24">
        <f>'Data_in-situ'!CB52</f>
        <v>3932.1332121217479</v>
      </c>
      <c r="D1706" s="46">
        <f>'Data_in-situ'!CC52</f>
        <v>3</v>
      </c>
      <c r="E1706" s="24">
        <f>'Data_in-situ'!CE52</f>
        <v>-9460.8273773830751</v>
      </c>
      <c r="F1706" s="24">
        <f>'Data_in-situ'!CF52</f>
        <v>2248.9137051770867</v>
      </c>
      <c r="G1706" s="46">
        <f>'Data_in-situ'!CG52</f>
        <v>3</v>
      </c>
      <c r="H1706" s="24">
        <f>'Data_in-situ'!CN52</f>
        <v>12245.303198687096</v>
      </c>
      <c r="I1706" s="24">
        <f>'Data_in-situ'!CO52</f>
        <v>3459.6241558518745</v>
      </c>
      <c r="J1706" s="46">
        <f>'Data_in-situ'!CP52</f>
        <v>3</v>
      </c>
      <c r="K1706" s="24">
        <f>'Data_in-situ'!CR52</f>
        <v>19797.114273740117</v>
      </c>
      <c r="L1706" s="24">
        <f>'Data_in-situ'!CS52</f>
        <v>3942.244199118858</v>
      </c>
      <c r="M1706" s="46">
        <f>'Data_in-situ'!CT52</f>
        <v>3</v>
      </c>
      <c r="N1706" s="24">
        <f>'Data_in-situ'!DA52</f>
        <v>2490.8868908748118</v>
      </c>
      <c r="O1706" s="24">
        <f>'Data_in-situ'!DB52</f>
        <v>1134.5350284056235</v>
      </c>
      <c r="P1706" s="46">
        <f>'Data_in-situ'!DC52</f>
        <v>3</v>
      </c>
      <c r="Q1706" s="24">
        <f>'Data_in-situ'!DE52</f>
        <v>10336.286896357044</v>
      </c>
      <c r="R1706" s="24">
        <f>'Data_in-situ'!DF52</f>
        <v>1988.9291863416881</v>
      </c>
      <c r="S1706" s="46">
        <f>'Data_in-situ'!DG52</f>
        <v>3</v>
      </c>
      <c r="T1706" s="113">
        <f>'Data_in-situ'!DN70</f>
        <v>8.4029927968922031</v>
      </c>
      <c r="U1706" s="113">
        <f>'Data_in-situ'!DO70</f>
        <v>3.1873816651232265</v>
      </c>
      <c r="V1706" s="46">
        <f>'Data_in-situ'!DP70</f>
        <v>3</v>
      </c>
      <c r="W1706" s="113">
        <f>'Data_in-situ'!DR70</f>
        <v>0.78616919085132009</v>
      </c>
      <c r="X1706" s="113">
        <f>'Data_in-situ'!DS70</f>
        <v>1.3520526050253143</v>
      </c>
      <c r="Y1706" s="46">
        <f>'Data_in-situ'!DT70</f>
        <v>3</v>
      </c>
      <c r="Z1706" s="113">
        <f>'Data_in-situ'!EA128</f>
        <v>0.61975925336567961</v>
      </c>
      <c r="AA1706" s="113">
        <f>'Data_in-situ'!EB128</f>
        <v>0.31937151793647711</v>
      </c>
      <c r="AB1706" s="46">
        <f>'Data_in-situ'!EC128</f>
        <v>18</v>
      </c>
      <c r="AC1706" s="113">
        <f>'Data_in-situ'!EE128</f>
        <v>0.85760492742086802</v>
      </c>
      <c r="AD1706" s="113">
        <f>'Data_in-situ'!EF128</f>
        <v>1.8545293886198424</v>
      </c>
      <c r="AE1706" s="46">
        <f>'Data_in-situ'!EG128</f>
        <v>18</v>
      </c>
      <c r="AF1706" s="113">
        <f>'Data_in-situ'!EN54</f>
        <v>-38</v>
      </c>
      <c r="AG1706" s="113">
        <f>'Data_in-situ'!EO54</f>
        <v>7.6</v>
      </c>
      <c r="AH1706" s="110">
        <f>'Data_in-situ'!EP54</f>
        <v>3</v>
      </c>
      <c r="AI1706" s="113">
        <f>'Data_in-situ'!ER54</f>
        <v>-112</v>
      </c>
      <c r="AJ1706" s="113">
        <f>'Data_in-situ'!ES54</f>
        <v>15.2</v>
      </c>
      <c r="AK1706" s="110">
        <f>'Data_in-situ'!ET54</f>
        <v>3</v>
      </c>
    </row>
    <row r="1707" spans="2:37" x14ac:dyDescent="0.3">
      <c r="B1707" s="24">
        <f>'Data_in-situ'!CA71</f>
        <v>-9117.231395346209</v>
      </c>
      <c r="C1707" s="24">
        <f>'Data_in-situ'!CB71</f>
        <v>2424.3247606001519</v>
      </c>
      <c r="D1707" s="46">
        <f>'Data_in-situ'!CC71</f>
        <v>3</v>
      </c>
      <c r="E1707" s="24">
        <f>'Data_in-situ'!CE71</f>
        <v>-11061.598737544935</v>
      </c>
      <c r="F1707" s="24">
        <f>'Data_in-situ'!CF71</f>
        <v>12004.393621698095</v>
      </c>
      <c r="G1707" s="46">
        <f>'Data_in-situ'!CG71</f>
        <v>3</v>
      </c>
      <c r="H1707" s="24">
        <f>'Data_in-situ'!CN71</f>
        <v>12663.516770662041</v>
      </c>
      <c r="I1707" s="24">
        <f>'Data_in-situ'!CO71</f>
        <v>2011.7619468526057</v>
      </c>
      <c r="J1707" s="46">
        <f>'Data_in-situ'!CP71</f>
        <v>3</v>
      </c>
      <c r="K1707" s="24">
        <f>'Data_in-situ'!CR71</f>
        <v>13557.778602361721</v>
      </c>
      <c r="L1707" s="24">
        <f>'Data_in-situ'!CS71</f>
        <v>1534.7793518535277</v>
      </c>
      <c r="M1707" s="46">
        <f>'Data_in-situ'!CT71</f>
        <v>3</v>
      </c>
      <c r="N1707" s="24">
        <f>'Data_in-situ'!DA71</f>
        <v>3546.2853753158324</v>
      </c>
      <c r="O1707" s="24">
        <f>'Data_in-situ'!DB71</f>
        <v>5941.722754487856</v>
      </c>
      <c r="P1707" s="46">
        <f>'Data_in-situ'!DC71</f>
        <v>3</v>
      </c>
      <c r="Q1707" s="24">
        <f>'Data_in-situ'!DE71</f>
        <v>2496.179864816786</v>
      </c>
      <c r="R1707" s="24">
        <f>'Data_in-situ'!DF71</f>
        <v>441.8656256521171</v>
      </c>
      <c r="S1707" s="46">
        <f>'Data_in-situ'!DG71</f>
        <v>3</v>
      </c>
      <c r="T1707" s="113">
        <f>'Data_in-situ'!DN77</f>
        <v>107.85213477594468</v>
      </c>
      <c r="U1707" s="113">
        <f>'Data_in-situ'!DO77</f>
        <v>101.11467674058741</v>
      </c>
      <c r="V1707" s="46">
        <f>'Data_in-situ'!DP77</f>
        <v>6</v>
      </c>
      <c r="W1707" s="113">
        <f>'Data_in-situ'!DR77</f>
        <v>11.097</v>
      </c>
      <c r="X1707" s="113">
        <f>'Data_in-situ'!DS77</f>
        <v>12.912818417114034</v>
      </c>
      <c r="Y1707" s="46">
        <f>'Data_in-situ'!DT77</f>
        <v>6</v>
      </c>
      <c r="Z1707" s="113">
        <f>'Data_in-situ'!EA129</f>
        <v>0.61975925336567961</v>
      </c>
      <c r="AA1707" s="113">
        <f>'Data_in-situ'!EB129</f>
        <v>0.31937151793647711</v>
      </c>
      <c r="AB1707" s="46">
        <f>'Data_in-situ'!EC129</f>
        <v>18</v>
      </c>
      <c r="AC1707" s="113">
        <f>'Data_in-situ'!EE129</f>
        <v>1.2578205602172745</v>
      </c>
      <c r="AD1707" s="113">
        <f>'Data_in-situ'!EF129</f>
        <v>0.63959090137404107</v>
      </c>
      <c r="AE1707" s="46">
        <f>'Data_in-situ'!EG129</f>
        <v>18</v>
      </c>
      <c r="AF1707" s="113">
        <f>'Data_in-situ'!EN55</f>
        <v>-47</v>
      </c>
      <c r="AG1707" s="113">
        <f>'Data_in-situ'!EO55</f>
        <v>6.8</v>
      </c>
      <c r="AH1707" s="110">
        <f>'Data_in-situ'!EP55</f>
        <v>3</v>
      </c>
      <c r="AI1707" s="113">
        <f>'Data_in-situ'!ER55</f>
        <v>-82</v>
      </c>
      <c r="AJ1707" s="113">
        <f>'Data_in-situ'!ES55</f>
        <v>12.3</v>
      </c>
      <c r="AK1707" s="110">
        <f>'Data_in-situ'!ET55</f>
        <v>3</v>
      </c>
    </row>
    <row r="1708" spans="2:37" x14ac:dyDescent="0.3">
      <c r="B1708" s="24">
        <f>'Data_in-situ'!CA72</f>
        <v>-10940.677674415452</v>
      </c>
      <c r="C1708" s="24">
        <f>'Data_in-situ'!CB72</f>
        <v>3587.5182834567408</v>
      </c>
      <c r="D1708" s="46">
        <f>'Data_in-situ'!CC72</f>
        <v>3</v>
      </c>
      <c r="E1708" s="24">
        <f>'Data_in-situ'!CE72</f>
        <v>-13155.401355723083</v>
      </c>
      <c r="F1708" s="24">
        <f>'Data_in-situ'!CF72</f>
        <v>5176.9391284347485</v>
      </c>
      <c r="G1708" s="46">
        <f>'Data_in-situ'!CG72</f>
        <v>3</v>
      </c>
      <c r="H1708" s="24">
        <f>'Data_in-situ'!CN72</f>
        <v>12156.97609983556</v>
      </c>
      <c r="I1708" s="24">
        <f>'Data_in-situ'!CO72</f>
        <v>3352.7816659818532</v>
      </c>
      <c r="J1708" s="46">
        <f>'Data_in-situ'!CP72</f>
        <v>3</v>
      </c>
      <c r="K1708" s="24">
        <f>'Data_in-situ'!CR72</f>
        <v>16499.127180501211</v>
      </c>
      <c r="L1708" s="24">
        <f>'Data_in-situ'!CS72</f>
        <v>2145.4857374487219</v>
      </c>
      <c r="M1708" s="46">
        <f>'Data_in-situ'!CT72</f>
        <v>3</v>
      </c>
      <c r="N1708" s="24">
        <f>'Data_in-situ'!DA72</f>
        <v>1216.2984254201074</v>
      </c>
      <c r="O1708" s="24">
        <f>'Data_in-situ'!DB72</f>
        <v>2060.9133169618799</v>
      </c>
      <c r="P1708" s="46">
        <f>'Data_in-situ'!DC72</f>
        <v>3</v>
      </c>
      <c r="Q1708" s="24">
        <f>'Data_in-situ'!DE72</f>
        <v>3343.7258247781283</v>
      </c>
      <c r="R1708" s="24">
        <f>'Data_in-situ'!DF72</f>
        <v>717.82293341401112</v>
      </c>
      <c r="S1708" s="46">
        <f>'Data_in-situ'!DG72</f>
        <v>3</v>
      </c>
      <c r="T1708" s="113">
        <f>'Data_in-situ'!DN78</f>
        <v>107.85213477594468</v>
      </c>
      <c r="U1708" s="113">
        <f>'Data_in-situ'!DO78</f>
        <v>101.11467674058741</v>
      </c>
      <c r="V1708" s="46">
        <f>'Data_in-situ'!DP78</f>
        <v>6</v>
      </c>
      <c r="W1708" s="113">
        <f>'Data_in-situ'!DR78</f>
        <v>23.372199999999999</v>
      </c>
      <c r="X1708" s="113">
        <f>'Data_in-situ'!DS78</f>
        <v>23.116574134644171</v>
      </c>
      <c r="Y1708" s="46">
        <f>'Data_in-situ'!DT78</f>
        <v>6</v>
      </c>
      <c r="Z1708" s="113">
        <f>'Data_in-situ'!EA130</f>
        <v>0.32108009511715851</v>
      </c>
      <c r="AA1708" s="113">
        <f>'Data_in-situ'!EB130</f>
        <v>0.19494609457370263</v>
      </c>
      <c r="AB1708" s="46">
        <f>'Data_in-situ'!EC130</f>
        <v>18</v>
      </c>
      <c r="AC1708" s="113">
        <f>'Data_in-situ'!EE130</f>
        <v>1.0977343070987131</v>
      </c>
      <c r="AD1708" s="113">
        <f>'Data_in-situ'!EF130</f>
        <v>0.53387084501368376</v>
      </c>
      <c r="AE1708" s="46">
        <f>'Data_in-situ'!EG130</f>
        <v>18</v>
      </c>
      <c r="AF1708" s="113">
        <f>'Data_in-situ'!EN56</f>
        <v>-47</v>
      </c>
      <c r="AG1708" s="113">
        <f>'Data_in-situ'!EO56</f>
        <v>6.8</v>
      </c>
      <c r="AH1708" s="110">
        <f>'Data_in-situ'!EP56</f>
        <v>3</v>
      </c>
      <c r="AI1708" s="113">
        <f>'Data_in-situ'!ER56</f>
        <v>-120</v>
      </c>
      <c r="AJ1708" s="113">
        <f>'Data_in-situ'!ES56</f>
        <v>11.8</v>
      </c>
      <c r="AK1708" s="110">
        <f>'Data_in-situ'!ET56</f>
        <v>3</v>
      </c>
    </row>
    <row r="1709" spans="2:37" x14ac:dyDescent="0.3">
      <c r="B1709" s="24">
        <f>'Data_in-situ'!CA73</f>
        <v>-7247.1260453614077</v>
      </c>
      <c r="C1709" s="24">
        <f>'Data_in-situ'!CB73</f>
        <v>2100.9616035887616</v>
      </c>
      <c r="D1709" s="46">
        <f>'Data_in-situ'!CC73</f>
        <v>3</v>
      </c>
      <c r="E1709" s="24">
        <f>'Data_in-situ'!CE73</f>
        <v>-4582.6623341257582</v>
      </c>
      <c r="F1709" s="24">
        <f>'Data_in-situ'!CF73</f>
        <v>1321.5627260440792</v>
      </c>
      <c r="G1709" s="46">
        <f>'Data_in-situ'!CG73</f>
        <v>3</v>
      </c>
      <c r="H1709" s="24">
        <f>'Data_in-situ'!CN73</f>
        <v>6440.2877983621229</v>
      </c>
      <c r="I1709" s="24">
        <f>'Data_in-situ'!CO73</f>
        <v>2181.3507268282779</v>
      </c>
      <c r="J1709" s="46">
        <f>'Data_in-situ'!CP73</f>
        <v>3</v>
      </c>
      <c r="K1709" s="24">
        <f>'Data_in-situ'!CR73</f>
        <v>24633.794341918241</v>
      </c>
      <c r="L1709" s="24">
        <f>'Data_in-situ'!CS73</f>
        <v>2489.5274353362884</v>
      </c>
      <c r="M1709" s="46">
        <f>'Data_in-situ'!CT73</f>
        <v>3</v>
      </c>
      <c r="N1709" s="24">
        <f>'Data_in-situ'!DA73</f>
        <v>-806.83824699928482</v>
      </c>
      <c r="O1709" s="24">
        <f>'Data_in-situ'!DB73</f>
        <v>1429.0549882340658</v>
      </c>
      <c r="P1709" s="46">
        <f>'Data_in-situ'!DC73</f>
        <v>3</v>
      </c>
      <c r="Q1709" s="24">
        <f>'Data_in-situ'!DE73</f>
        <v>20051.132007792483</v>
      </c>
      <c r="R1709" s="24">
        <f>'Data_in-situ'!DF73</f>
        <v>2691.1988636577994</v>
      </c>
      <c r="S1709" s="46">
        <f>'Data_in-situ'!DG73</f>
        <v>3</v>
      </c>
      <c r="T1709" s="113">
        <f>'Data_in-situ'!DN81</f>
        <v>131.4</v>
      </c>
      <c r="U1709" s="113">
        <f>'Data_in-situ'!DO81</f>
        <v>146.49513859561415</v>
      </c>
      <c r="V1709" s="46">
        <f>'Data_in-situ'!DP81</f>
        <v>3</v>
      </c>
      <c r="W1709" s="113">
        <f>'Data_in-situ'!DR81</f>
        <v>38.799999999999997</v>
      </c>
      <c r="X1709" s="113">
        <f>'Data_in-situ'!DS81</f>
        <v>145.00399223168318</v>
      </c>
      <c r="Y1709" s="46">
        <f>'Data_in-situ'!DT81</f>
        <v>3</v>
      </c>
      <c r="Z1709" s="113">
        <f>'Data_in-situ'!EA131</f>
        <v>0.32108009511715851</v>
      </c>
      <c r="AA1709" s="113">
        <f>'Data_in-situ'!EB131</f>
        <v>0.19494609457370263</v>
      </c>
      <c r="AB1709" s="46">
        <f>'Data_in-situ'!EC131</f>
        <v>18</v>
      </c>
      <c r="AC1709" s="113">
        <f>'Data_in-situ'!EE131</f>
        <v>0.69751867430230663</v>
      </c>
      <c r="AD1709" s="113">
        <f>'Data_in-situ'!EF131</f>
        <v>0.31514419303530533</v>
      </c>
      <c r="AE1709" s="46">
        <f>'Data_in-situ'!EG131</f>
        <v>18</v>
      </c>
      <c r="AF1709" s="113">
        <f>'Data_in-situ'!EN57</f>
        <v>-56</v>
      </c>
      <c r="AG1709" s="113">
        <f>'Data_in-situ'!EO57</f>
        <v>10.1</v>
      </c>
      <c r="AH1709" s="110">
        <f>'Data_in-situ'!EP57</f>
        <v>3</v>
      </c>
      <c r="AI1709" s="113">
        <f>'Data_in-situ'!ER57</f>
        <v>-91</v>
      </c>
      <c r="AJ1709" s="113">
        <f>'Data_in-situ'!ES57</f>
        <v>11.3</v>
      </c>
      <c r="AK1709" s="110">
        <f>'Data_in-situ'!ET57</f>
        <v>3</v>
      </c>
    </row>
    <row r="1710" spans="2:37" x14ac:dyDescent="0.3">
      <c r="B1710" s="24">
        <f>'Data_in-situ'!CA74</f>
        <v>-7369.268619159634</v>
      </c>
      <c r="C1710" s="24">
        <f>'Data_in-situ'!CB74</f>
        <v>746.95892899118678</v>
      </c>
      <c r="D1710" s="46">
        <f>'Data_in-situ'!CC74</f>
        <v>3</v>
      </c>
      <c r="E1710" s="24">
        <f>'Data_in-situ'!CE74</f>
        <v>-4661.6737536796509</v>
      </c>
      <c r="F1710" s="24">
        <f>'Data_in-situ'!CF74</f>
        <v>1389.6358486823906</v>
      </c>
      <c r="G1710" s="46">
        <f>'Data_in-situ'!CG74</f>
        <v>3</v>
      </c>
      <c r="H1710" s="24">
        <f>'Data_in-situ'!CN74</f>
        <v>11939.302764655935</v>
      </c>
      <c r="I1710" s="24">
        <f>'Data_in-situ'!CO74</f>
        <v>4483.7070147716368</v>
      </c>
      <c r="J1710" s="46">
        <f>'Data_in-situ'!CP74</f>
        <v>3</v>
      </c>
      <c r="K1710" s="24">
        <f>'Data_in-situ'!CR74</f>
        <v>23300.995767448785</v>
      </c>
      <c r="L1710" s="24">
        <f>'Data_in-situ'!CS74</f>
        <v>3584.4542083747219</v>
      </c>
      <c r="M1710" s="46">
        <f>'Data_in-situ'!CT74</f>
        <v>3</v>
      </c>
      <c r="N1710" s="24">
        <f>'Data_in-situ'!DA74</f>
        <v>4570.0341454963009</v>
      </c>
      <c r="O1710" s="24">
        <f>'Data_in-situ'!DB74</f>
        <v>7489.8905028845447</v>
      </c>
      <c r="P1710" s="46">
        <f>'Data_in-situ'!DC74</f>
        <v>3</v>
      </c>
      <c r="Q1710" s="24">
        <f>'Data_in-situ'!DE74</f>
        <v>18639.322013769135</v>
      </c>
      <c r="R1710" s="24">
        <f>'Data_in-situ'!DF74</f>
        <v>3134.0545713270785</v>
      </c>
      <c r="S1710" s="46">
        <f>'Data_in-situ'!DG74</f>
        <v>3</v>
      </c>
      <c r="T1710" s="113">
        <f>'Data_in-situ'!DN82</f>
        <v>131.4</v>
      </c>
      <c r="U1710" s="113">
        <f>'Data_in-situ'!DO82</f>
        <v>146.49513859561415</v>
      </c>
      <c r="V1710" s="46">
        <f>'Data_in-situ'!DP82</f>
        <v>3</v>
      </c>
      <c r="W1710" s="113">
        <f>'Data_in-situ'!DR82</f>
        <v>1.4000000000000001</v>
      </c>
      <c r="X1710" s="113">
        <f>'Data_in-situ'!DS82</f>
        <v>5.2321028124834141</v>
      </c>
      <c r="Y1710" s="46">
        <f>'Data_in-situ'!DT82</f>
        <v>3</v>
      </c>
      <c r="Z1710" s="113">
        <f>'Data_in-situ'!EA132</f>
        <v>0.6346932112781053</v>
      </c>
      <c r="AA1710" s="113">
        <f>'Data_in-situ'!EB132</f>
        <v>0.12856385073753784</v>
      </c>
      <c r="AB1710" s="46">
        <f>'Data_in-situ'!EC132</f>
        <v>21</v>
      </c>
      <c r="AC1710" s="113">
        <f>'Data_in-situ'!EE132</f>
        <v>0.75469233613036468</v>
      </c>
      <c r="AD1710" s="113">
        <f>'Data_in-situ'!EF132</f>
        <v>0.35864660190524744</v>
      </c>
      <c r="AE1710" s="46">
        <f>'Data_in-situ'!EG132</f>
        <v>21</v>
      </c>
      <c r="AF1710" s="113">
        <f>'Data_in-situ'!EN58</f>
        <v>-56</v>
      </c>
      <c r="AG1710" s="113">
        <f>'Data_in-situ'!EO58</f>
        <v>10.1</v>
      </c>
      <c r="AH1710" s="110">
        <f>'Data_in-situ'!EP58</f>
        <v>3</v>
      </c>
      <c r="AI1710" s="113">
        <f>'Data_in-situ'!ER58</f>
        <v>-128</v>
      </c>
      <c r="AJ1710" s="113">
        <f>'Data_in-situ'!ES58</f>
        <v>14.2</v>
      </c>
      <c r="AK1710" s="110">
        <f>'Data_in-situ'!ET58</f>
        <v>3</v>
      </c>
    </row>
    <row r="1711" spans="2:37" x14ac:dyDescent="0.3">
      <c r="B1711" s="24">
        <f>'Data_in-situ'!CA75</f>
        <v>-8294.3850413528962</v>
      </c>
      <c r="C1711" s="24">
        <f>'Data_in-situ'!CB75</f>
        <v>1642.4661972156998</v>
      </c>
      <c r="D1711" s="46">
        <f>'Data_in-situ'!CC75</f>
        <v>3</v>
      </c>
      <c r="E1711" s="24">
        <f>'Data_in-situ'!CE75</f>
        <v>-8210.866720040498</v>
      </c>
      <c r="F1711" s="24">
        <f>'Data_in-situ'!CF75</f>
        <v>6747.5626737645262</v>
      </c>
      <c r="G1711" s="46">
        <f>'Data_in-situ'!CG75</f>
        <v>3</v>
      </c>
      <c r="H1711" s="24">
        <f>'Data_in-situ'!CN75</f>
        <v>9925.2960228500779</v>
      </c>
      <c r="I1711" s="24">
        <f>'Data_in-situ'!CO75</f>
        <v>1480.0009145095366</v>
      </c>
      <c r="J1711" s="46">
        <f>'Data_in-situ'!CP75</f>
        <v>3</v>
      </c>
      <c r="K1711" s="24">
        <f>'Data_in-situ'!CR75</f>
        <v>18431.22552776659</v>
      </c>
      <c r="L1711" s="24">
        <f>'Data_in-situ'!CS75</f>
        <v>1392.33025401075</v>
      </c>
      <c r="M1711" s="46">
        <f>'Data_in-situ'!CT75</f>
        <v>3</v>
      </c>
      <c r="N1711" s="24">
        <f>'Data_in-situ'!DA75</f>
        <v>1630.9109814971816</v>
      </c>
      <c r="O1711" s="24">
        <f>'Data_in-situ'!DB75</f>
        <v>3386.2554087633621</v>
      </c>
      <c r="P1711" s="46">
        <f>'Data_in-situ'!DC75</f>
        <v>3</v>
      </c>
      <c r="Q1711" s="24">
        <f>'Data_in-situ'!DE75</f>
        <v>10220.358807726092</v>
      </c>
      <c r="R1711" s="24">
        <f>'Data_in-situ'!DF75</f>
        <v>1209.7052702050512</v>
      </c>
      <c r="S1711" s="46">
        <f>'Data_in-situ'!DG75</f>
        <v>3</v>
      </c>
      <c r="T1711" s="113">
        <f>'Data_in-situ'!DN83</f>
        <v>131.4</v>
      </c>
      <c r="U1711" s="113">
        <f>'Data_in-situ'!DO83</f>
        <v>146.49513859561415</v>
      </c>
      <c r="V1711" s="46">
        <f>'Data_in-situ'!DP83</f>
        <v>3</v>
      </c>
      <c r="W1711" s="113">
        <f>'Data_in-situ'!DR83</f>
        <v>3.6</v>
      </c>
      <c r="X1711" s="113">
        <f>'Data_in-situ'!DS83</f>
        <v>13.453978660671636</v>
      </c>
      <c r="Y1711" s="46">
        <f>'Data_in-situ'!DT83</f>
        <v>3</v>
      </c>
      <c r="Z1711" s="113">
        <f>'Data_in-situ'!EA133</f>
        <v>0.6346932112781053</v>
      </c>
      <c r="AA1711" s="113">
        <f>'Data_in-situ'!EB133</f>
        <v>0.12856385073753784</v>
      </c>
      <c r="AB1711" s="46">
        <f>'Data_in-situ'!EC133</f>
        <v>21</v>
      </c>
      <c r="AC1711" s="113">
        <f>'Data_in-situ'!EE133</f>
        <v>0.77756180086158733</v>
      </c>
      <c r="AD1711" s="113">
        <f>'Data_in-situ'!EF133</f>
        <v>0.42421666014248416</v>
      </c>
      <c r="AE1711" s="46">
        <f>'Data_in-situ'!EG133</f>
        <v>21</v>
      </c>
      <c r="AF1711" s="113">
        <f>'Data_in-situ'!EN59</f>
        <v>-38</v>
      </c>
      <c r="AG1711" s="113">
        <f>'Data_in-situ'!EO59</f>
        <v>7.6</v>
      </c>
      <c r="AH1711" s="110">
        <f>'Data_in-situ'!EP59</f>
        <v>3</v>
      </c>
      <c r="AI1711" s="113">
        <f>'Data_in-situ'!ER59</f>
        <v>-73</v>
      </c>
      <c r="AJ1711" s="113">
        <f>'Data_in-situ'!ES59</f>
        <v>10.3</v>
      </c>
      <c r="AK1711" s="110">
        <f>'Data_in-situ'!ET59</f>
        <v>3</v>
      </c>
    </row>
    <row r="1712" spans="2:37" x14ac:dyDescent="0.3">
      <c r="B1712" s="24">
        <f>'Data_in-situ'!CA76</f>
        <v>-9369.2576901028915</v>
      </c>
      <c r="C1712" s="24">
        <f>'Data_in-situ'!CB76</f>
        <v>2035.7162873934251</v>
      </c>
      <c r="D1712" s="46">
        <f>'Data_in-situ'!CC76</f>
        <v>3</v>
      </c>
      <c r="E1712" s="24">
        <f>'Data_in-situ'!CE76</f>
        <v>-9418.1612108239733</v>
      </c>
      <c r="F1712" s="24">
        <f>'Data_in-situ'!CF76</f>
        <v>2962.8630952565604</v>
      </c>
      <c r="G1712" s="46">
        <f>'Data_in-situ'!CG76</f>
        <v>3</v>
      </c>
      <c r="H1712" s="24">
        <f>'Data_in-situ'!CN76</f>
        <v>12061.199832356524</v>
      </c>
      <c r="I1712" s="24">
        <f>'Data_in-situ'!CO76</f>
        <v>2723.4693933324479</v>
      </c>
      <c r="J1712" s="46">
        <f>'Data_in-situ'!CP76</f>
        <v>3</v>
      </c>
      <c r="K1712" s="24">
        <f>'Data_in-situ'!CR76</f>
        <v>19491.949358758146</v>
      </c>
      <c r="L1712" s="24">
        <f>'Data_in-situ'!CS76</f>
        <v>1982.6669401893841</v>
      </c>
      <c r="M1712" s="46">
        <f>'Data_in-situ'!CT76</f>
        <v>3</v>
      </c>
      <c r="N1712" s="24">
        <f>'Data_in-situ'!DA76</f>
        <v>2691.9421422536325</v>
      </c>
      <c r="O1712" s="24">
        <f>'Data_in-situ'!DB76</f>
        <v>3491.7953924879967</v>
      </c>
      <c r="P1712" s="46">
        <f>'Data_in-situ'!DC76</f>
        <v>3</v>
      </c>
      <c r="Q1712" s="24">
        <f>'Data_in-situ'!DE76</f>
        <v>10073.788147934172</v>
      </c>
      <c r="R1712" s="24">
        <f>'Data_in-situ'!DF76</f>
        <v>1436.3793028165639</v>
      </c>
      <c r="S1712" s="46">
        <f>'Data_in-situ'!DG76</f>
        <v>3</v>
      </c>
      <c r="T1712" s="113">
        <f>'Data_in-situ'!DN84</f>
        <v>255.99999999999997</v>
      </c>
      <c r="U1712" s="113">
        <f>'Data_in-situ'!DO84</f>
        <v>285.40909802494076</v>
      </c>
      <c r="V1712" s="46">
        <f>'Data_in-situ'!DP84</f>
        <v>3</v>
      </c>
      <c r="W1712" s="113">
        <f>'Data_in-situ'!DR84</f>
        <v>-0.4</v>
      </c>
      <c r="X1712" s="113">
        <f>'Data_in-situ'!DS84</f>
        <v>1.494886517852404</v>
      </c>
      <c r="Y1712" s="46">
        <f>'Data_in-situ'!DT84</f>
        <v>3</v>
      </c>
      <c r="Z1712" s="113">
        <f>'Data_in-situ'!EA135</f>
        <v>0.2</v>
      </c>
      <c r="AA1712" s="113">
        <f>'Data_in-situ'!EB135</f>
        <v>0.51961524227066314</v>
      </c>
      <c r="AB1712" s="46">
        <f>'Data_in-situ'!EC135</f>
        <v>3</v>
      </c>
      <c r="AC1712" s="113">
        <f>'Data_in-situ'!EE135</f>
        <v>0.9</v>
      </c>
      <c r="AD1712" s="113">
        <f>'Data_in-situ'!EF135</f>
        <v>1.0392304845413263</v>
      </c>
      <c r="AE1712" s="46">
        <f>'Data_in-situ'!EG135</f>
        <v>3</v>
      </c>
      <c r="AF1712" s="113">
        <f>'Data_in-situ'!EN60</f>
        <v>-38</v>
      </c>
      <c r="AG1712" s="113">
        <f>'Data_in-situ'!EO60</f>
        <v>7.6</v>
      </c>
      <c r="AH1712" s="110">
        <f>'Data_in-situ'!EP60</f>
        <v>3</v>
      </c>
      <c r="AI1712" s="113">
        <f>'Data_in-situ'!ER60</f>
        <v>-112</v>
      </c>
      <c r="AJ1712" s="113">
        <f>'Data_in-situ'!ES60</f>
        <v>15.2</v>
      </c>
      <c r="AK1712" s="110">
        <f>'Data_in-situ'!ET60</f>
        <v>3</v>
      </c>
    </row>
    <row r="1713" spans="2:37" x14ac:dyDescent="0.3">
      <c r="B1713" s="24">
        <f>'Data_in-situ'!CA128</f>
        <v>-30804.409295502097</v>
      </c>
      <c r="C1713" s="24">
        <f>'Data_in-situ'!CB128</f>
        <v>7508.6897887327168</v>
      </c>
      <c r="D1713" s="46">
        <f>'Data_in-situ'!CC128</f>
        <v>48</v>
      </c>
      <c r="E1713" s="24">
        <f>'Data_in-situ'!CE128</f>
        <v>-23917.078756679508</v>
      </c>
      <c r="F1713" s="24">
        <f>'Data_in-situ'!CF128</f>
        <v>4465.2242350151555</v>
      </c>
      <c r="G1713" s="46">
        <f>'Data_in-situ'!CG128</f>
        <v>48</v>
      </c>
      <c r="H1713" s="24">
        <f>'Data_in-situ'!CN128</f>
        <v>25786.496613792402</v>
      </c>
      <c r="I1713" s="24">
        <f>'Data_in-situ'!CO128</f>
        <v>7450.7457504082913</v>
      </c>
      <c r="J1713" s="46">
        <f>'Data_in-situ'!CP128</f>
        <v>48</v>
      </c>
      <c r="K1713" s="24">
        <f>'Data_in-situ'!CR128</f>
        <v>19674.213717161841</v>
      </c>
      <c r="L1713" s="24">
        <f>'Data_in-situ'!CS128</f>
        <v>4051.362841738935</v>
      </c>
      <c r="M1713" s="46">
        <f>'Data_in-situ'!CT128</f>
        <v>48</v>
      </c>
      <c r="N1713" s="24">
        <f>'Data_in-situ'!DA128</f>
        <v>-5017.9126817096931</v>
      </c>
      <c r="O1713" s="24">
        <f>'Data_in-situ'!DB128</f>
        <v>931.02637244697166</v>
      </c>
      <c r="P1713" s="46">
        <f>'Data_in-situ'!DC128</f>
        <v>48</v>
      </c>
      <c r="Q1713" s="24">
        <f>'Data_in-situ'!DE128</f>
        <v>-4242.8650395176674</v>
      </c>
      <c r="R1713" s="24">
        <f>'Data_in-situ'!DF128</f>
        <v>1877.4148698526124</v>
      </c>
      <c r="S1713" s="46">
        <f>'Data_in-situ'!DG128</f>
        <v>48</v>
      </c>
      <c r="T1713" s="113">
        <f>'Data_in-situ'!DN85</f>
        <v>580</v>
      </c>
      <c r="U1713" s="113">
        <f>'Data_in-situ'!DO85</f>
        <v>646.62998771275659</v>
      </c>
      <c r="V1713" s="46">
        <f>'Data_in-situ'!DP85</f>
        <v>3</v>
      </c>
      <c r="W1713" s="113">
        <f>'Data_in-situ'!DR85</f>
        <v>0.53333333333333333</v>
      </c>
      <c r="X1713" s="113">
        <f>'Data_in-situ'!DS85</f>
        <v>1.9931820238032052</v>
      </c>
      <c r="Y1713" s="46">
        <f>'Data_in-situ'!DT85</f>
        <v>3</v>
      </c>
      <c r="Z1713" s="113">
        <f>'Data_in-situ'!EA136</f>
        <v>0.3</v>
      </c>
      <c r="AA1713" s="113">
        <f>'Data_in-situ'!EB136</f>
        <v>0.8660254037844386</v>
      </c>
      <c r="AB1713" s="46">
        <f>'Data_in-situ'!EC136</f>
        <v>3</v>
      </c>
      <c r="AC1713" s="113">
        <f>'Data_in-situ'!EE136</f>
        <v>0.7</v>
      </c>
      <c r="AD1713" s="113">
        <f>'Data_in-situ'!EF136</f>
        <v>0.8660254037844386</v>
      </c>
      <c r="AE1713" s="46">
        <f>'Data_in-situ'!EG136</f>
        <v>3</v>
      </c>
      <c r="AF1713" s="113">
        <f>'Data_in-situ'!EN61</f>
        <v>-44</v>
      </c>
      <c r="AG1713" s="113">
        <f>'Data_in-situ'!EO61</f>
        <v>6.8</v>
      </c>
      <c r="AH1713" s="110">
        <f>'Data_in-situ'!EP61</f>
        <v>3</v>
      </c>
      <c r="AI1713" s="113">
        <f>'Data_in-situ'!ER61</f>
        <v>-79</v>
      </c>
      <c r="AJ1713" s="113">
        <f>'Data_in-situ'!ES61</f>
        <v>12.3</v>
      </c>
      <c r="AK1713" s="110">
        <f>'Data_in-situ'!ET61</f>
        <v>3</v>
      </c>
    </row>
    <row r="1714" spans="2:37" x14ac:dyDescent="0.3">
      <c r="B1714" s="24">
        <f>'Data_in-situ'!CA129</f>
        <v>-30804.409295502097</v>
      </c>
      <c r="C1714" s="24">
        <f>'Data_in-situ'!CB129</f>
        <v>7508.6897887327168</v>
      </c>
      <c r="D1714" s="46">
        <f>'Data_in-situ'!CC129</f>
        <v>48</v>
      </c>
      <c r="E1714" s="24">
        <f>'Data_in-situ'!CE129</f>
        <v>-22424.619825270362</v>
      </c>
      <c r="F1714" s="24">
        <f>'Data_in-situ'!CF129</f>
        <v>7078.0868325420652</v>
      </c>
      <c r="G1714" s="46">
        <f>'Data_in-situ'!CG129</f>
        <v>48</v>
      </c>
      <c r="H1714" s="24">
        <f>'Data_in-situ'!CN129</f>
        <v>25786.496613792402</v>
      </c>
      <c r="I1714" s="24">
        <f>'Data_in-situ'!CO129</f>
        <v>7450.7457504082913</v>
      </c>
      <c r="J1714" s="46">
        <f>'Data_in-situ'!CP129</f>
        <v>48</v>
      </c>
      <c r="K1714" s="24">
        <f>'Data_in-situ'!CR129</f>
        <v>34101.631064272638</v>
      </c>
      <c r="L1714" s="24">
        <f>'Data_in-situ'!CS129</f>
        <v>6764.0540443406962</v>
      </c>
      <c r="M1714" s="46">
        <f>'Data_in-situ'!CT129</f>
        <v>48</v>
      </c>
      <c r="N1714" s="24">
        <f>'Data_in-situ'!DA129</f>
        <v>-5017.9126817096931</v>
      </c>
      <c r="O1714" s="24">
        <f>'Data_in-situ'!DB129</f>
        <v>931.02637244697166</v>
      </c>
      <c r="P1714" s="46">
        <f>'Data_in-situ'!DC129</f>
        <v>48</v>
      </c>
      <c r="Q1714" s="24">
        <f>'Data_in-situ'!DE129</f>
        <v>11677.011239002279</v>
      </c>
      <c r="R1714" s="24">
        <f>'Data_in-situ'!DF129</f>
        <v>2084.9187260523231</v>
      </c>
      <c r="S1714" s="46">
        <f>'Data_in-situ'!DG129</f>
        <v>48</v>
      </c>
      <c r="T1714" s="113">
        <f>'Data_in-situ'!DN86</f>
        <v>78.666666666666671</v>
      </c>
      <c r="U1714" s="113">
        <f>'Data_in-situ'!DO86</f>
        <v>87.703837413914115</v>
      </c>
      <c r="V1714" s="46">
        <f>'Data_in-situ'!DP86</f>
        <v>3</v>
      </c>
      <c r="W1714" s="113">
        <f>'Data_in-situ'!DR86</f>
        <v>34.666666666666664</v>
      </c>
      <c r="X1714" s="113">
        <f>'Data_in-situ'!DS86</f>
        <v>129.55683154720833</v>
      </c>
      <c r="Y1714" s="46">
        <f>'Data_in-situ'!DT86</f>
        <v>3</v>
      </c>
      <c r="Z1714" s="113">
        <f>'Data_in-situ'!EA137</f>
        <v>0.2</v>
      </c>
      <c r="AA1714" s="113">
        <f>'Data_in-situ'!EB137</f>
        <v>0.51961524227066314</v>
      </c>
      <c r="AB1714" s="46">
        <f>'Data_in-situ'!EC137</f>
        <v>3</v>
      </c>
      <c r="AC1714" s="113">
        <f>'Data_in-situ'!EE137</f>
        <v>0.6</v>
      </c>
      <c r="AD1714" s="113">
        <f>'Data_in-situ'!EF137</f>
        <v>0.51961524227066314</v>
      </c>
      <c r="AE1714" s="46">
        <f>'Data_in-situ'!EG137</f>
        <v>3</v>
      </c>
      <c r="AF1714" s="113">
        <f>'Data_in-situ'!EN62</f>
        <v>-44</v>
      </c>
      <c r="AG1714" s="113">
        <f>'Data_in-situ'!EO62</f>
        <v>6.8</v>
      </c>
      <c r="AH1714" s="110">
        <f>'Data_in-situ'!EP62</f>
        <v>3</v>
      </c>
      <c r="AI1714" s="113">
        <f>'Data_in-situ'!ER62</f>
        <v>-116</v>
      </c>
      <c r="AJ1714" s="113">
        <f>'Data_in-situ'!ES62</f>
        <v>11.8</v>
      </c>
      <c r="AK1714" s="110">
        <f>'Data_in-situ'!ET62</f>
        <v>3</v>
      </c>
    </row>
    <row r="1715" spans="2:37" x14ac:dyDescent="0.3">
      <c r="B1715" s="24">
        <f>'Data_in-situ'!CA130</f>
        <v>-39843.491213361398</v>
      </c>
      <c r="C1715" s="24">
        <f>'Data_in-situ'!CB130</f>
        <v>12909.471724359584</v>
      </c>
      <c r="D1715" s="46">
        <f>'Data_in-situ'!CC130</f>
        <v>66</v>
      </c>
      <c r="E1715" s="24">
        <f>'Data_in-situ'!CE130</f>
        <v>-35035.77220338145</v>
      </c>
      <c r="F1715" s="24">
        <f>'Data_in-situ'!CF130</f>
        <v>6481.9820713073177</v>
      </c>
      <c r="G1715" s="46">
        <f>'Data_in-situ'!CG130</f>
        <v>66</v>
      </c>
      <c r="H1715" s="24">
        <f>'Data_in-situ'!CN130</f>
        <v>35408.568959456847</v>
      </c>
      <c r="I1715" s="24">
        <f>'Data_in-situ'!CO130</f>
        <v>12878.668982057387</v>
      </c>
      <c r="J1715" s="46">
        <f>'Data_in-situ'!CP130</f>
        <v>66</v>
      </c>
      <c r="K1715" s="24">
        <f>'Data_in-situ'!CR130</f>
        <v>26888.134502472181</v>
      </c>
      <c r="L1715" s="24">
        <f>'Data_in-situ'!CS130</f>
        <v>6047.8746396959068</v>
      </c>
      <c r="M1715" s="46">
        <f>'Data_in-situ'!CT130</f>
        <v>66</v>
      </c>
      <c r="N1715" s="24">
        <f>'Data_in-situ'!DA130</f>
        <v>-4434.9222539045541</v>
      </c>
      <c r="O1715" s="24">
        <f>'Data_in-situ'!DB130</f>
        <v>891.2605974868037</v>
      </c>
      <c r="P1715" s="46">
        <f>'Data_in-situ'!DC130</f>
        <v>66</v>
      </c>
      <c r="Q1715" s="24">
        <f>'Data_in-situ'!DE130</f>
        <v>-8147.6377009092694</v>
      </c>
      <c r="R1715" s="24">
        <f>'Data_in-situ'!DF130</f>
        <v>2332.2315312319697</v>
      </c>
      <c r="S1715" s="46">
        <f>'Data_in-situ'!DG130</f>
        <v>66</v>
      </c>
      <c r="T1715" s="113">
        <f>'Data_in-situ'!DN87</f>
        <v>31.999999999999996</v>
      </c>
      <c r="U1715" s="113">
        <f>'Data_in-situ'!DO87</f>
        <v>35.676137253117595</v>
      </c>
      <c r="V1715" s="46">
        <f>'Data_in-situ'!DP87</f>
        <v>3</v>
      </c>
      <c r="W1715" s="113">
        <f>'Data_in-situ'!DR87</f>
        <v>14.666666666666668</v>
      </c>
      <c r="X1715" s="113">
        <f>'Data_in-situ'!DS87</f>
        <v>54.812505654588151</v>
      </c>
      <c r="Y1715" s="46">
        <f>'Data_in-situ'!DT87</f>
        <v>3</v>
      </c>
      <c r="Z1715" s="113">
        <f>'Data_in-situ'!EA138</f>
        <v>0.3</v>
      </c>
      <c r="AA1715" s="113">
        <f>'Data_in-situ'!EB138</f>
        <v>0.8660254037844386</v>
      </c>
      <c r="AB1715" s="46">
        <f>'Data_in-situ'!EC138</f>
        <v>3</v>
      </c>
      <c r="AC1715" s="113">
        <f>'Data_in-situ'!EE138</f>
        <v>0.4</v>
      </c>
      <c r="AD1715" s="113">
        <f>'Data_in-situ'!EF138</f>
        <v>0.69282032302755092</v>
      </c>
      <c r="AE1715" s="46">
        <f>'Data_in-situ'!EG138</f>
        <v>3</v>
      </c>
      <c r="AF1715" s="113">
        <f>'Data_in-situ'!EN63</f>
        <v>-50</v>
      </c>
      <c r="AG1715" s="113">
        <f>'Data_in-situ'!EO63</f>
        <v>6.8</v>
      </c>
      <c r="AH1715" s="110">
        <f>'Data_in-situ'!EP63</f>
        <v>3</v>
      </c>
      <c r="AI1715" s="113">
        <f>'Data_in-situ'!ER63</f>
        <v>-85</v>
      </c>
      <c r="AJ1715" s="113">
        <f>'Data_in-situ'!ES63</f>
        <v>12.3</v>
      </c>
      <c r="AK1715" s="110">
        <f>'Data_in-situ'!ET63</f>
        <v>3</v>
      </c>
    </row>
    <row r="1716" spans="2:37" x14ac:dyDescent="0.3">
      <c r="B1716" s="24">
        <f>'Data_in-situ'!CA131</f>
        <v>-39843.491213361398</v>
      </c>
      <c r="C1716" s="24">
        <f>'Data_in-situ'!CB131</f>
        <v>12909.471724359584</v>
      </c>
      <c r="D1716" s="46">
        <f>'Data_in-situ'!CC131</f>
        <v>66</v>
      </c>
      <c r="E1716" s="24">
        <f>'Data_in-situ'!CE131</f>
        <v>-47094.824204889017</v>
      </c>
      <c r="F1716" s="24">
        <f>'Data_in-situ'!CF131</f>
        <v>13325.726368768714</v>
      </c>
      <c r="G1716" s="46">
        <f>'Data_in-situ'!CG131</f>
        <v>66</v>
      </c>
      <c r="H1716" s="24">
        <f>'Data_in-situ'!CN131</f>
        <v>35408.568959456847</v>
      </c>
      <c r="I1716" s="24">
        <f>'Data_in-situ'!CO131</f>
        <v>12878.668982057387</v>
      </c>
      <c r="J1716" s="46">
        <f>'Data_in-situ'!CP131</f>
        <v>66</v>
      </c>
      <c r="K1716" s="24">
        <f>'Data_in-situ'!CR131</f>
        <v>52464.145688921722</v>
      </c>
      <c r="L1716" s="24">
        <f>'Data_in-situ'!CS131</f>
        <v>12723.425553607172</v>
      </c>
      <c r="M1716" s="46">
        <f>'Data_in-situ'!CT131</f>
        <v>66</v>
      </c>
      <c r="N1716" s="24">
        <f>'Data_in-situ'!DA131</f>
        <v>-4434.9222539045541</v>
      </c>
      <c r="O1716" s="24">
        <f>'Data_in-situ'!DB131</f>
        <v>891.2605974868037</v>
      </c>
      <c r="P1716" s="46">
        <f>'Data_in-situ'!DC131</f>
        <v>66</v>
      </c>
      <c r="Q1716" s="24">
        <f>'Data_in-situ'!DE131</f>
        <v>5369.3214840327073</v>
      </c>
      <c r="R1716" s="24">
        <f>'Data_in-situ'!DF131</f>
        <v>3960.9879370068538</v>
      </c>
      <c r="S1716" s="46">
        <f>'Data_in-situ'!DG131</f>
        <v>66</v>
      </c>
      <c r="T1716" s="113">
        <f>'Data_in-situ'!DN104</f>
        <v>277.33333333333331</v>
      </c>
      <c r="U1716" s="113">
        <f>'Data_in-situ'!DO104</f>
        <v>309.19318952701917</v>
      </c>
      <c r="V1716" s="46">
        <f>'Data_in-situ'!DP104</f>
        <v>3</v>
      </c>
      <c r="W1716" s="113">
        <f>'Data_in-situ'!DR104</f>
        <v>0.04</v>
      </c>
      <c r="X1716" s="113">
        <f>'Data_in-situ'!DS104</f>
        <v>0.1494886517852404</v>
      </c>
      <c r="Y1716" s="46">
        <f>'Data_in-situ'!DT104</f>
        <v>3</v>
      </c>
      <c r="Z1716" s="113">
        <f>'Data_in-situ'!EA139</f>
        <v>0.2</v>
      </c>
      <c r="AA1716" s="113">
        <f>'Data_in-situ'!EB139</f>
        <v>0.51961524227066314</v>
      </c>
      <c r="AB1716" s="46">
        <f>'Data_in-situ'!EC139</f>
        <v>3</v>
      </c>
      <c r="AC1716" s="113">
        <f>'Data_in-situ'!EE139</f>
        <v>0.3</v>
      </c>
      <c r="AD1716" s="113">
        <f>'Data_in-situ'!EF139</f>
        <v>0.51961524227066314</v>
      </c>
      <c r="AE1716" s="46">
        <f>'Data_in-situ'!EG139</f>
        <v>3</v>
      </c>
      <c r="AF1716" s="113">
        <f>'Data_in-situ'!EN64</f>
        <v>-50</v>
      </c>
      <c r="AG1716" s="113">
        <f>'Data_in-situ'!EO64</f>
        <v>6.8</v>
      </c>
      <c r="AH1716" s="110">
        <f>'Data_in-situ'!EP64</f>
        <v>3</v>
      </c>
      <c r="AI1716" s="113">
        <f>'Data_in-situ'!ER64</f>
        <v>-120</v>
      </c>
      <c r="AJ1716" s="113">
        <f>'Data_in-situ'!ES64</f>
        <v>11.8</v>
      </c>
      <c r="AK1716" s="110">
        <f>'Data_in-situ'!ET64</f>
        <v>3</v>
      </c>
    </row>
    <row r="1717" spans="2:37" x14ac:dyDescent="0.3">
      <c r="B1717" s="24">
        <f>'Data_in-situ'!CA132</f>
        <v>-16584.165556391476</v>
      </c>
      <c r="C1717" s="24">
        <f>'Data_in-situ'!CB132</f>
        <v>3505.6021221629076</v>
      </c>
      <c r="D1717" s="46">
        <f>'Data_in-situ'!CC132</f>
        <v>57</v>
      </c>
      <c r="E1717" s="24">
        <f>'Data_in-situ'!CE132</f>
        <v>-18655.544302064984</v>
      </c>
      <c r="F1717" s="24">
        <f>'Data_in-situ'!CF132</f>
        <v>9333.8389055230891</v>
      </c>
      <c r="G1717" s="46">
        <f>'Data_in-situ'!CG132</f>
        <v>57</v>
      </c>
      <c r="H1717" s="24">
        <f>'Data_in-situ'!CN132</f>
        <v>12315.894090129594</v>
      </c>
      <c r="I1717" s="24">
        <f>'Data_in-situ'!CO132</f>
        <v>3346.1883831600085</v>
      </c>
      <c r="J1717" s="46">
        <f>'Data_in-situ'!CP132</f>
        <v>57</v>
      </c>
      <c r="K1717" s="24">
        <f>'Data_in-situ'!CR132</f>
        <v>12460.292931851514</v>
      </c>
      <c r="L1717" s="24">
        <f>'Data_in-situ'!CS132</f>
        <v>2060.2193631794362</v>
      </c>
      <c r="M1717" s="46">
        <f>'Data_in-situ'!CT132</f>
        <v>57</v>
      </c>
      <c r="N1717" s="24">
        <f>'Data_in-situ'!DA132</f>
        <v>-4268.271466261881</v>
      </c>
      <c r="O1717" s="24">
        <f>'Data_in-situ'!DB132</f>
        <v>1045.11699982255</v>
      </c>
      <c r="P1717" s="46">
        <f>'Data_in-situ'!DC132</f>
        <v>57</v>
      </c>
      <c r="Q1717" s="24">
        <f>'Data_in-situ'!DE132</f>
        <v>-6195.2513702134684</v>
      </c>
      <c r="R1717" s="24">
        <f>'Data_in-situ'!DF132</f>
        <v>9103.6281168464357</v>
      </c>
      <c r="S1717" s="46">
        <f>'Data_in-situ'!DG132</f>
        <v>57</v>
      </c>
      <c r="T1717" s="113">
        <f>'Data_in-situ'!DN105</f>
        <v>326.66666666666663</v>
      </c>
      <c r="U1717" s="113">
        <f>'Data_in-situ'!DO105</f>
        <v>364.19390112557551</v>
      </c>
      <c r="V1717" s="46">
        <f>'Data_in-situ'!DP105</f>
        <v>3</v>
      </c>
      <c r="W1717" s="113">
        <f>'Data_in-situ'!DR105</f>
        <v>-0.10666666666666666</v>
      </c>
      <c r="X1717" s="113">
        <f>'Data_in-situ'!DS105</f>
        <v>0.39863640476064105</v>
      </c>
      <c r="Y1717" s="46">
        <f>'Data_in-situ'!DT105</f>
        <v>3</v>
      </c>
      <c r="Z1717" s="113">
        <f>'Data_in-situ'!EA140</f>
        <v>0.3</v>
      </c>
      <c r="AA1717" s="113">
        <f>'Data_in-situ'!EB140</f>
        <v>0.8660254037844386</v>
      </c>
      <c r="AB1717" s="46">
        <f>'Data_in-situ'!EC140</f>
        <v>3</v>
      </c>
      <c r="AC1717" s="113">
        <f>'Data_in-situ'!EE140</f>
        <v>0.4</v>
      </c>
      <c r="AD1717" s="113">
        <f>'Data_in-situ'!EF140</f>
        <v>1.0392304845413263</v>
      </c>
      <c r="AE1717" s="46">
        <f>'Data_in-situ'!EG140</f>
        <v>3</v>
      </c>
      <c r="AF1717" s="113">
        <f>'Data_in-situ'!EN65</f>
        <v>-38</v>
      </c>
      <c r="AG1717" s="113">
        <f>'Data_in-situ'!EO65</f>
        <v>5.412566119688516</v>
      </c>
      <c r="AH1717" s="110">
        <f>'Data_in-situ'!EP65</f>
        <v>3</v>
      </c>
      <c r="AI1717" s="113">
        <f>'Data_in-situ'!ER65</f>
        <v>-73</v>
      </c>
      <c r="AJ1717" s="113">
        <f>'Data_in-situ'!ES65</f>
        <v>7.3195252578292278</v>
      </c>
      <c r="AK1717" s="110">
        <f>'Data_in-situ'!ET65</f>
        <v>3</v>
      </c>
    </row>
    <row r="1718" spans="2:37" x14ac:dyDescent="0.3">
      <c r="B1718" s="24">
        <f>'Data_in-situ'!CA133</f>
        <v>-16584.165556391476</v>
      </c>
      <c r="C1718" s="24">
        <f>'Data_in-situ'!CB133</f>
        <v>3505.6021221629076</v>
      </c>
      <c r="D1718" s="46">
        <f>'Data_in-situ'!CC133</f>
        <v>57</v>
      </c>
      <c r="E1718" s="24">
        <f>'Data_in-situ'!CE133</f>
        <v>-16893.314446670054</v>
      </c>
      <c r="F1718" s="24">
        <f>'Data_in-situ'!CF133</f>
        <v>9325.4215781383391</v>
      </c>
      <c r="G1718" s="46">
        <f>'Data_in-situ'!CG133</f>
        <v>57</v>
      </c>
      <c r="H1718" s="24">
        <f>'Data_in-situ'!CN133</f>
        <v>12315.894090129594</v>
      </c>
      <c r="I1718" s="24">
        <f>'Data_in-situ'!CO133</f>
        <v>3346.1883831600085</v>
      </c>
      <c r="J1718" s="46">
        <f>'Data_in-situ'!CP133</f>
        <v>57</v>
      </c>
      <c r="K1718" s="24">
        <f>'Data_in-situ'!CR133</f>
        <v>11148.593839338751</v>
      </c>
      <c r="L1718" s="24">
        <f>'Data_in-situ'!CS133</f>
        <v>2042.0451589318177</v>
      </c>
      <c r="M1718" s="46">
        <f>'Data_in-situ'!CT133</f>
        <v>57</v>
      </c>
      <c r="N1718" s="24">
        <f>'Data_in-situ'!DA133</f>
        <v>-4268.271466261881</v>
      </c>
      <c r="O1718" s="24">
        <f>'Data_in-situ'!DB133</f>
        <v>1045.11699982255</v>
      </c>
      <c r="P1718" s="46">
        <f>'Data_in-situ'!DC133</f>
        <v>57</v>
      </c>
      <c r="Q1718" s="24">
        <f>'Data_in-situ'!DE133</f>
        <v>-5744.7206073313027</v>
      </c>
      <c r="R1718" s="24">
        <f>'Data_in-situ'!DF133</f>
        <v>9099.0955143295014</v>
      </c>
      <c r="S1718" s="46">
        <f>'Data_in-situ'!DG133</f>
        <v>57</v>
      </c>
      <c r="T1718" s="113">
        <f>'Data_in-situ'!DN106</f>
        <v>100.8</v>
      </c>
      <c r="U1718" s="113">
        <f>'Data_in-situ'!DO106</f>
        <v>112.37983234732044</v>
      </c>
      <c r="V1718" s="46">
        <f>'Data_in-situ'!DP106</f>
        <v>3</v>
      </c>
      <c r="W1718" s="113">
        <f>'Data_in-situ'!DR106</f>
        <v>1.0666666666666667</v>
      </c>
      <c r="X1718" s="113">
        <f>'Data_in-situ'!DS106</f>
        <v>3.9863640476064104</v>
      </c>
      <c r="Y1718" s="46">
        <f>'Data_in-situ'!DT106</f>
        <v>3</v>
      </c>
      <c r="Z1718" s="113">
        <f>'Data_in-situ'!EA141</f>
        <v>1</v>
      </c>
      <c r="AA1718" s="113">
        <f>'Data_in-situ'!EB141</f>
        <v>1.5811388300841898</v>
      </c>
      <c r="AB1718" s="46">
        <f>'Data_in-situ'!EC141</f>
        <v>10</v>
      </c>
      <c r="AC1718" s="113">
        <f>'Data_in-situ'!EE141</f>
        <v>2</v>
      </c>
      <c r="AD1718" s="113">
        <f>'Data_in-situ'!EF141</f>
        <v>2.8460498941515415</v>
      </c>
      <c r="AE1718" s="46">
        <f>'Data_in-situ'!EG141</f>
        <v>10</v>
      </c>
      <c r="AF1718" s="113">
        <f>'Data_in-situ'!EN66</f>
        <v>-38</v>
      </c>
      <c r="AG1718" s="113">
        <f>'Data_in-situ'!EO66</f>
        <v>5.412566119688516</v>
      </c>
      <c r="AH1718" s="110">
        <f>'Data_in-situ'!EP66</f>
        <v>3</v>
      </c>
      <c r="AI1718" s="113">
        <f>'Data_in-situ'!ER66</f>
        <v>-112</v>
      </c>
      <c r="AJ1718" s="113">
        <f>'Data_in-situ'!ES66</f>
        <v>10.756618055876112</v>
      </c>
      <c r="AK1718" s="110">
        <f>'Data_in-situ'!ET66</f>
        <v>3</v>
      </c>
    </row>
    <row r="1719" spans="2:37" x14ac:dyDescent="0.3">
      <c r="B1719" s="24">
        <f>'Data_in-situ'!CA222</f>
        <v>-17643.02413085182</v>
      </c>
      <c r="C1719" s="24">
        <f>'Data_in-situ'!CB222</f>
        <v>3122.5184951907863</v>
      </c>
      <c r="D1719" s="46">
        <f>'Data_in-situ'!CC222</f>
        <v>3</v>
      </c>
      <c r="E1719" s="24">
        <f>'Data_in-situ'!CE222</f>
        <v>-18545.337897111574</v>
      </c>
      <c r="F1719" s="24">
        <f>'Data_in-situ'!CF222</f>
        <v>1220.592996774214</v>
      </c>
      <c r="G1719" s="46">
        <f>'Data_in-situ'!CG222</f>
        <v>3</v>
      </c>
      <c r="H1719" s="24">
        <f>'Data_in-situ'!CN222</f>
        <v>12120.970993298208</v>
      </c>
      <c r="I1719" s="24">
        <f>'Data_in-situ'!CO222</f>
        <v>2737.6911459160037</v>
      </c>
      <c r="J1719" s="46">
        <f>'Data_in-situ'!CP222</f>
        <v>3</v>
      </c>
      <c r="K1719" s="24">
        <f>'Data_in-situ'!CR222</f>
        <v>14804.615301473419</v>
      </c>
      <c r="L1719" s="24">
        <f>'Data_in-situ'!CS222</f>
        <v>2182.1730906862158</v>
      </c>
      <c r="M1719" s="46">
        <f>'Data_in-situ'!CT222</f>
        <v>3</v>
      </c>
      <c r="N1719" s="24">
        <f>'Data_in-situ'!DA135</f>
        <v>2000</v>
      </c>
      <c r="O1719" s="24">
        <f>'Data_in-situ'!DB135</f>
        <v>5999.3131173724232</v>
      </c>
      <c r="P1719" s="46">
        <f>'Data_in-situ'!DC135</f>
        <v>3</v>
      </c>
      <c r="Q1719" s="24">
        <f>'Data_in-situ'!DE135</f>
        <v>-6800</v>
      </c>
      <c r="R1719" s="24">
        <f>'Data_in-situ'!DF135</f>
        <v>6481.3710012383399</v>
      </c>
      <c r="S1719" s="46">
        <f>'Data_in-situ'!DG135</f>
        <v>3</v>
      </c>
      <c r="T1719" s="113">
        <f>'Data_in-situ'!DN107</f>
        <v>93.066666666666677</v>
      </c>
      <c r="U1719" s="113">
        <f>'Data_in-situ'!DO107</f>
        <v>103.75809917781704</v>
      </c>
      <c r="V1719" s="46">
        <f>'Data_in-situ'!DP107</f>
        <v>3</v>
      </c>
      <c r="W1719" s="113">
        <f>'Data_in-situ'!DR107</f>
        <v>0.13333333333333333</v>
      </c>
      <c r="X1719" s="113">
        <f>'Data_in-situ'!DS107</f>
        <v>0.4982955059508013</v>
      </c>
      <c r="Y1719" s="46">
        <f>'Data_in-situ'!DT107</f>
        <v>3</v>
      </c>
      <c r="Z1719" s="113">
        <f>'Data_in-situ'!EA142</f>
        <v>1</v>
      </c>
      <c r="AA1719" s="113">
        <f>'Data_in-situ'!EB142</f>
        <v>1.5811388300841898</v>
      </c>
      <c r="AB1719" s="46">
        <f>'Data_in-situ'!EC142</f>
        <v>10</v>
      </c>
      <c r="AC1719" s="113">
        <f>'Data_in-situ'!EE142</f>
        <v>2</v>
      </c>
      <c r="AD1719" s="113">
        <f>'Data_in-situ'!EF142</f>
        <v>4.4271887242357311</v>
      </c>
      <c r="AE1719" s="46">
        <f>'Data_in-situ'!EG142</f>
        <v>10</v>
      </c>
      <c r="AF1719" s="113">
        <f>'Data_in-situ'!EN67</f>
        <v>-45.680000000000007</v>
      </c>
      <c r="AG1719" s="113">
        <f>'Data_in-situ'!EO67</f>
        <v>4.842822317616041</v>
      </c>
      <c r="AH1719" s="110">
        <f>'Data_in-situ'!EP67</f>
        <v>3</v>
      </c>
      <c r="AI1719" s="113">
        <f>'Data_in-situ'!ER67</f>
        <v>-80.650000000000006</v>
      </c>
      <c r="AJ1719" s="113">
        <f>'Data_in-situ'!ES67</f>
        <v>8.7407922981844166</v>
      </c>
      <c r="AK1719" s="110">
        <f>'Data_in-situ'!ET67</f>
        <v>3</v>
      </c>
    </row>
    <row r="1720" spans="2:37" x14ac:dyDescent="0.3">
      <c r="B1720" s="24">
        <f>'Data_in-situ'!CA223</f>
        <v>-16723.603637465083</v>
      </c>
      <c r="C1720" s="24">
        <f>'Data_in-situ'!CB223</f>
        <v>2362.7967430320127</v>
      </c>
      <c r="D1720" s="46">
        <f>'Data_in-situ'!CC223</f>
        <v>3</v>
      </c>
      <c r="E1720" s="24">
        <f>'Data_in-situ'!CE223</f>
        <v>-16792.689257373804</v>
      </c>
      <c r="F1720" s="24">
        <f>'Data_in-situ'!CF223</f>
        <v>2297.5736170821519</v>
      </c>
      <c r="G1720" s="46">
        <f>'Data_in-situ'!CG223</f>
        <v>3</v>
      </c>
      <c r="H1720" s="24">
        <f>'Data_in-situ'!CN223</f>
        <v>10565.625157874983</v>
      </c>
      <c r="I1720" s="24">
        <f>'Data_in-situ'!CO223</f>
        <v>3177.8813752357983</v>
      </c>
      <c r="J1720" s="46">
        <f>'Data_in-situ'!CP223</f>
        <v>3</v>
      </c>
      <c r="K1720" s="24">
        <f>'Data_in-situ'!CR223</f>
        <v>13251.044559960765</v>
      </c>
      <c r="L1720" s="24">
        <f>'Data_in-situ'!CS223</f>
        <v>2768.2995631046829</v>
      </c>
      <c r="M1720" s="46">
        <f>'Data_in-situ'!CT223</f>
        <v>3</v>
      </c>
      <c r="N1720" s="24">
        <f>'Data_in-situ'!DA136</f>
        <v>2000</v>
      </c>
      <c r="O1720" s="24">
        <f>'Data_in-situ'!DB136</f>
        <v>5999.3131173724232</v>
      </c>
      <c r="P1720" s="46">
        <f>'Data_in-situ'!DC136</f>
        <v>3</v>
      </c>
      <c r="Q1720" s="24">
        <f>'Data_in-situ'!DE136</f>
        <v>-6800</v>
      </c>
      <c r="R1720" s="24">
        <f>'Data_in-situ'!DF136</f>
        <v>6481.3710012383399</v>
      </c>
      <c r="S1720" s="46">
        <f>'Data_in-situ'!DG136</f>
        <v>3</v>
      </c>
      <c r="T1720" s="113">
        <f>'Data_in-situ'!DN108</f>
        <v>24</v>
      </c>
      <c r="U1720" s="113">
        <f>'Data_in-situ'!DO108</f>
        <v>26.757102939838202</v>
      </c>
      <c r="V1720" s="46">
        <f>'Data_in-situ'!DP108</f>
        <v>3</v>
      </c>
      <c r="W1720" s="113">
        <f>'Data_in-situ'!DR108</f>
        <v>7.8666666666666663</v>
      </c>
      <c r="X1720" s="113">
        <f>'Data_in-situ'!DS108</f>
        <v>29.399434851097276</v>
      </c>
      <c r="Y1720" s="46">
        <f>'Data_in-situ'!DT108</f>
        <v>3</v>
      </c>
      <c r="Z1720" s="113">
        <f>'Data_in-situ'!EA143</f>
        <v>1</v>
      </c>
      <c r="AA1720" s="113">
        <f>'Data_in-situ'!EB143</f>
        <v>1.5811388300841898</v>
      </c>
      <c r="AB1720" s="46">
        <f>'Data_in-situ'!EC143</f>
        <v>10</v>
      </c>
      <c r="AC1720" s="113">
        <f>'Data_in-situ'!EE143</f>
        <v>11</v>
      </c>
      <c r="AD1720" s="113">
        <f>'Data_in-situ'!EF143</f>
        <v>13.914021704740872</v>
      </c>
      <c r="AE1720" s="46">
        <f>'Data_in-situ'!EG143</f>
        <v>10</v>
      </c>
      <c r="AF1720" s="113">
        <f>'Data_in-situ'!EN68</f>
        <v>-45.680000000000007</v>
      </c>
      <c r="AG1720" s="113">
        <f>'Data_in-situ'!EO68</f>
        <v>4.842822317616041</v>
      </c>
      <c r="AH1720" s="110">
        <f>'Data_in-situ'!EP68</f>
        <v>3</v>
      </c>
      <c r="AI1720" s="113">
        <f>'Data_in-situ'!ER68</f>
        <v>-118.08000000000001</v>
      </c>
      <c r="AJ1720" s="113">
        <f>'Data_in-situ'!ES68</f>
        <v>8.3505324381143513</v>
      </c>
      <c r="AK1720" s="110">
        <f>'Data_in-situ'!ET68</f>
        <v>3</v>
      </c>
    </row>
    <row r="1721" spans="2:37" x14ac:dyDescent="0.3">
      <c r="B1721" s="24">
        <f>'Data_in-situ'!CA224</f>
        <v>-13221.293435196718</v>
      </c>
      <c r="C1721" s="24">
        <f>'Data_in-situ'!CB224</f>
        <v>5835.686028701105</v>
      </c>
      <c r="D1721" s="46">
        <f>'Data_in-situ'!CC224</f>
        <v>3</v>
      </c>
      <c r="E1721" s="24">
        <f>'Data_in-situ'!CE224</f>
        <v>-13858.019355218201</v>
      </c>
      <c r="F1721" s="24">
        <f>'Data_in-situ'!CF224</f>
        <v>8055.4344954724056</v>
      </c>
      <c r="G1721" s="46">
        <f>'Data_in-situ'!CG224</f>
        <v>3</v>
      </c>
      <c r="H1721" s="24">
        <f>'Data_in-situ'!CN224</f>
        <v>9278.44239752473</v>
      </c>
      <c r="I1721" s="24">
        <f>'Data_in-situ'!CO224</f>
        <v>3665.2968271222612</v>
      </c>
      <c r="J1721" s="46">
        <f>'Data_in-situ'!CP224</f>
        <v>3</v>
      </c>
      <c r="K1721" s="24">
        <f>'Data_in-situ'!CR224</f>
        <v>8910.18513514601</v>
      </c>
      <c r="L1721" s="24">
        <f>'Data_in-situ'!CS224</f>
        <v>4926.3065430817614</v>
      </c>
      <c r="M1721" s="46">
        <f>'Data_in-situ'!CT224</f>
        <v>3</v>
      </c>
      <c r="N1721" s="24">
        <f>'Data_in-situ'!DA137</f>
        <v>2000</v>
      </c>
      <c r="O1721" s="24">
        <f>'Data_in-situ'!DB137</f>
        <v>5999.3131173724232</v>
      </c>
      <c r="P1721" s="46">
        <f>'Data_in-situ'!DC137</f>
        <v>3</v>
      </c>
      <c r="Q1721" s="24">
        <f>'Data_in-situ'!DE137</f>
        <v>-8000</v>
      </c>
      <c r="R1721" s="24">
        <f>'Data_in-situ'!DF137</f>
        <v>7625.1423543980472</v>
      </c>
      <c r="S1721" s="46">
        <f>'Data_in-situ'!DG137</f>
        <v>3</v>
      </c>
      <c r="T1721" s="113">
        <f>'Data_in-situ'!DN109</f>
        <v>24.133333333333336</v>
      </c>
      <c r="U1721" s="113">
        <f>'Data_in-situ'!DO109</f>
        <v>26.905753511726196</v>
      </c>
      <c r="V1721" s="46">
        <f>'Data_in-situ'!DP109</f>
        <v>3</v>
      </c>
      <c r="W1721" s="113">
        <f>'Data_in-situ'!DR109</f>
        <v>8.4</v>
      </c>
      <c r="X1721" s="113">
        <f>'Data_in-situ'!DS109</f>
        <v>31.392616874900483</v>
      </c>
      <c r="Y1721" s="46">
        <f>'Data_in-situ'!DT109</f>
        <v>3</v>
      </c>
      <c r="Z1721" s="113">
        <f>'Data_in-situ'!EA144</f>
        <v>1</v>
      </c>
      <c r="AA1721" s="113">
        <f>'Data_in-situ'!EB144</f>
        <v>1.5811388300841898</v>
      </c>
      <c r="AB1721" s="46">
        <f>'Data_in-situ'!EC144</f>
        <v>10</v>
      </c>
      <c r="AC1721" s="113">
        <f>'Data_in-situ'!EE144</f>
        <v>6</v>
      </c>
      <c r="AD1721" s="113">
        <f>'Data_in-situ'!EF144</f>
        <v>8.538149682454625</v>
      </c>
      <c r="AE1721" s="46">
        <f>'Data_in-situ'!EG144</f>
        <v>10</v>
      </c>
      <c r="AF1721" s="113">
        <f>'Data_in-situ'!EN69</f>
        <v>-53.36</v>
      </c>
      <c r="AG1721" s="113">
        <f>'Data_in-situ'!EO69</f>
        <v>6.3986248522631799</v>
      </c>
      <c r="AH1721" s="110">
        <f>'Data_in-situ'!EP69</f>
        <v>3</v>
      </c>
      <c r="AI1721" s="113">
        <f>'Data_in-situ'!ER69</f>
        <v>-88.300000000000011</v>
      </c>
      <c r="AJ1721" s="113">
        <f>'Data_in-situ'!ES69</f>
        <v>8.3224065029293062</v>
      </c>
      <c r="AK1721" s="110">
        <f>'Data_in-situ'!ET69</f>
        <v>3</v>
      </c>
    </row>
    <row r="1722" spans="2:37" x14ac:dyDescent="0.3">
      <c r="B1722" s="24">
        <f>'Data_in-situ'!CA225</f>
        <v>-12433.234643422073</v>
      </c>
      <c r="C1722" s="24">
        <f>'Data_in-situ'!CB225</f>
        <v>4080.0979371640278</v>
      </c>
      <c r="D1722" s="46">
        <f>'Data_in-situ'!CC225</f>
        <v>3</v>
      </c>
      <c r="E1722" s="24">
        <f>'Data_in-situ'!CE225</f>
        <v>-12839.064123912327</v>
      </c>
      <c r="F1722" s="24">
        <f>'Data_in-situ'!CF225</f>
        <v>6079.7463275012169</v>
      </c>
      <c r="G1722" s="46">
        <f>'Data_in-situ'!CG225</f>
        <v>3</v>
      </c>
      <c r="H1722" s="24">
        <f>'Data_in-situ'!CN225</f>
        <v>8581.2184023350092</v>
      </c>
      <c r="I1722" s="24">
        <f>'Data_in-situ'!CO225</f>
        <v>3466.4725308910288</v>
      </c>
      <c r="J1722" s="46">
        <f>'Data_in-situ'!CP225</f>
        <v>3</v>
      </c>
      <c r="K1722" s="24">
        <f>'Data_in-situ'!CR225</f>
        <v>7630.773936253252</v>
      </c>
      <c r="L1722" s="24">
        <f>'Data_in-situ'!CS225</f>
        <v>3659.7826622477482</v>
      </c>
      <c r="M1722" s="46">
        <f>'Data_in-situ'!CT225</f>
        <v>3</v>
      </c>
      <c r="N1722" s="24">
        <f>'Data_in-situ'!DA138</f>
        <v>2000</v>
      </c>
      <c r="O1722" s="24">
        <f>'Data_in-situ'!DB138</f>
        <v>5999.3131173724232</v>
      </c>
      <c r="P1722" s="46">
        <f>'Data_in-situ'!DC138</f>
        <v>3</v>
      </c>
      <c r="Q1722" s="24">
        <f>'Data_in-situ'!DE138</f>
        <v>-8000</v>
      </c>
      <c r="R1722" s="24">
        <f>'Data_in-situ'!DF138</f>
        <v>7625.1423543980472</v>
      </c>
      <c r="S1722" s="46">
        <f>'Data_in-situ'!DG138</f>
        <v>3</v>
      </c>
      <c r="T1722" s="113">
        <f>'Data_in-situ'!DN110</f>
        <v>59.466666666666661</v>
      </c>
      <c r="U1722" s="113">
        <f>'Data_in-situ'!DO110</f>
        <v>66.298155062043534</v>
      </c>
      <c r="V1722" s="46">
        <f>'Data_in-situ'!DP110</f>
        <v>3</v>
      </c>
      <c r="W1722" s="113">
        <f>'Data_in-situ'!DR110</f>
        <v>27.333333333333329</v>
      </c>
      <c r="X1722" s="113">
        <f>'Data_in-situ'!DS110</f>
        <v>102.15057871991425</v>
      </c>
      <c r="Y1722" s="46">
        <f>'Data_in-situ'!DT110</f>
        <v>3</v>
      </c>
      <c r="Z1722" s="113">
        <f>'Data_in-situ'!EA168</f>
        <v>9.3513037184644965</v>
      </c>
      <c r="AA1722" s="113">
        <f>'Data_in-situ'!EB168</f>
        <v>53.769781135553693</v>
      </c>
      <c r="AB1722" s="46">
        <f>'Data_in-situ'!EC168</f>
        <v>3</v>
      </c>
      <c r="AC1722" s="113">
        <f>'Data_in-situ'!EE168</f>
        <v>12.26580629480485</v>
      </c>
      <c r="AD1722" s="113">
        <f>'Data_in-situ'!EF168</f>
        <v>18.314558426684705</v>
      </c>
      <c r="AE1722" s="46">
        <f>'Data_in-situ'!EG168</f>
        <v>3</v>
      </c>
      <c r="AF1722" s="113">
        <f>'Data_in-situ'!EN70</f>
        <v>-53.36</v>
      </c>
      <c r="AG1722" s="113">
        <f>'Data_in-situ'!EO70</f>
        <v>6.3986248522631799</v>
      </c>
      <c r="AH1722" s="110">
        <f>'Data_in-situ'!EP70</f>
        <v>3</v>
      </c>
      <c r="AI1722" s="113">
        <f>'Data_in-situ'!ER70</f>
        <v>-124.16</v>
      </c>
      <c r="AJ1722" s="113">
        <f>'Data_in-situ'!ES70</f>
        <v>9.3061459262145689</v>
      </c>
      <c r="AK1722" s="110">
        <f>'Data_in-situ'!ET70</f>
        <v>3</v>
      </c>
    </row>
    <row r="1723" spans="2:37" x14ac:dyDescent="0.3">
      <c r="B1723" s="24">
        <f>'Data_in-situ'!CA401</f>
        <v>-252.97619047619</v>
      </c>
      <c r="C1723" s="24">
        <f>'Data_in-situ'!CB401</f>
        <v>61.678241517097945</v>
      </c>
      <c r="D1723" s="46">
        <f>'Data_in-situ'!CC401</f>
        <v>1</v>
      </c>
      <c r="E1723" s="24">
        <f>'Data_in-situ'!CE401</f>
        <v>-259.32892988544108</v>
      </c>
      <c r="F1723" s="24">
        <f>'Data_in-situ'!CF401</f>
        <v>96.540146410153937</v>
      </c>
      <c r="G1723" s="46">
        <f>'Data_in-situ'!CG401</f>
        <v>1</v>
      </c>
      <c r="H1723" s="24">
        <f>'Data_in-situ'!CN401</f>
        <v>243.00271458600855</v>
      </c>
      <c r="I1723" s="24">
        <f>'Data_in-situ'!CO401</f>
        <v>69.894216997580699</v>
      </c>
      <c r="J1723" s="46">
        <f>'Data_in-situ'!CP401</f>
        <v>1</v>
      </c>
      <c r="K1723" s="24">
        <f>'Data_in-situ'!CR401</f>
        <v>278.68155282729083</v>
      </c>
      <c r="L1723" s="24">
        <f>'Data_in-situ'!CS401</f>
        <v>73.123578700198763</v>
      </c>
      <c r="M1723" s="46">
        <f>'Data_in-situ'!CT401</f>
        <v>1</v>
      </c>
      <c r="N1723" s="24">
        <f>'Data_in-situ'!DA139</f>
        <v>2000</v>
      </c>
      <c r="O1723" s="24">
        <f>'Data_in-situ'!DB139</f>
        <v>5999.3131173724232</v>
      </c>
      <c r="P1723" s="46">
        <f>'Data_in-situ'!DC139</f>
        <v>3</v>
      </c>
      <c r="Q1723" s="24">
        <f>'Data_in-situ'!DE139</f>
        <v>-2000</v>
      </c>
      <c r="R1723" s="24">
        <f>'Data_in-situ'!DF139</f>
        <v>1906.2855885995118</v>
      </c>
      <c r="S1723" s="46">
        <f>'Data_in-situ'!DG139</f>
        <v>3</v>
      </c>
      <c r="T1723" s="113">
        <f>'Data_in-situ'!DN111</f>
        <v>50.8</v>
      </c>
      <c r="U1723" s="113">
        <f>'Data_in-situ'!DO111</f>
        <v>56.635867889324189</v>
      </c>
      <c r="V1723" s="46">
        <f>'Data_in-situ'!DP111</f>
        <v>3</v>
      </c>
      <c r="W1723" s="113">
        <f>'Data_in-situ'!DR111</f>
        <v>28.133333333333329</v>
      </c>
      <c r="X1723" s="113">
        <f>'Data_in-situ'!DS111</f>
        <v>105.14035175561906</v>
      </c>
      <c r="Y1723" s="46">
        <f>'Data_in-situ'!DT111</f>
        <v>3</v>
      </c>
      <c r="Z1723" s="113">
        <f>'Data_in-situ'!EA169</f>
        <v>10.444427313037668</v>
      </c>
      <c r="AA1723" s="113">
        <f>'Data_in-situ'!EB169</f>
        <v>60.055216643145187</v>
      </c>
      <c r="AB1723" s="46">
        <f>'Data_in-situ'!EC169</f>
        <v>3</v>
      </c>
      <c r="AC1723" s="113">
        <f>'Data_in-situ'!EE169</f>
        <v>19.289099302725344</v>
      </c>
      <c r="AD1723" s="113">
        <f>'Data_in-situ'!EF169</f>
        <v>28.801313805804487</v>
      </c>
      <c r="AE1723" s="46">
        <f>'Data_in-situ'!EG169</f>
        <v>3</v>
      </c>
      <c r="AF1723" s="113">
        <f>'Data_in-situ'!EN71</f>
        <v>-38</v>
      </c>
      <c r="AG1723" s="113">
        <f>'Data_in-situ'!EO71</f>
        <v>7.6</v>
      </c>
      <c r="AH1723" s="110">
        <f>'Data_in-situ'!EP71</f>
        <v>3</v>
      </c>
      <c r="AI1723" s="113">
        <f>'Data_in-situ'!ER71</f>
        <v>-112</v>
      </c>
      <c r="AJ1723" s="113">
        <f>'Data_in-situ'!ES71</f>
        <v>15.2</v>
      </c>
      <c r="AK1723" s="110">
        <f>'Data_in-situ'!ET71</f>
        <v>3</v>
      </c>
    </row>
    <row r="1724" spans="2:37" x14ac:dyDescent="0.3">
      <c r="B1724" s="24">
        <f>'Data_in-situ'!CA402</f>
        <v>-270.83333333333297</v>
      </c>
      <c r="C1724" s="24">
        <f>'Data_in-situ'!CB402</f>
        <v>66.031999741834312</v>
      </c>
      <c r="D1724" s="46">
        <f>'Data_in-situ'!CC402</f>
        <v>1</v>
      </c>
      <c r="E1724" s="24">
        <f>'Data_in-situ'!CE402</f>
        <v>-301.00679361702942</v>
      </c>
      <c r="F1724" s="24">
        <f>'Data_in-situ'!CF402</f>
        <v>112.05552708321424</v>
      </c>
      <c r="G1724" s="46">
        <f>'Data_in-situ'!CG402</f>
        <v>1</v>
      </c>
      <c r="H1724" s="24">
        <f>'Data_in-situ'!CN402</f>
        <v>252.06998005563568</v>
      </c>
      <c r="I1724" s="24">
        <f>'Data_in-situ'!CO402</f>
        <v>72.502210169132198</v>
      </c>
      <c r="J1724" s="46">
        <f>'Data_in-situ'!CP402</f>
        <v>1</v>
      </c>
      <c r="K1724" s="24">
        <f>'Data_in-situ'!CR402</f>
        <v>294.16386131769627</v>
      </c>
      <c r="L1724" s="24">
        <f>'Data_in-situ'!CS402</f>
        <v>77.18599973909879</v>
      </c>
      <c r="M1724" s="46">
        <f>'Data_in-situ'!CT402</f>
        <v>1</v>
      </c>
      <c r="N1724" s="24">
        <f>'Data_in-situ'!DA140</f>
        <v>2000</v>
      </c>
      <c r="O1724" s="24">
        <f>'Data_in-situ'!DB140</f>
        <v>5999.3131173724232</v>
      </c>
      <c r="P1724" s="46">
        <f>'Data_in-situ'!DC140</f>
        <v>3</v>
      </c>
      <c r="Q1724" s="24">
        <f>'Data_in-situ'!DE140</f>
        <v>-1999</v>
      </c>
      <c r="R1724" s="24">
        <f>'Data_in-situ'!DF140</f>
        <v>1905.332445805212</v>
      </c>
      <c r="S1724" s="46">
        <f>'Data_in-situ'!DG140</f>
        <v>3</v>
      </c>
      <c r="T1724" s="113">
        <f>'Data_in-situ'!DN128</f>
        <v>214.33232862768773</v>
      </c>
      <c r="U1724" s="113">
        <f>'Data_in-situ'!DO128</f>
        <v>127.05286261842672</v>
      </c>
      <c r="V1724" s="46">
        <f>'Data_in-situ'!DP128</f>
        <v>18</v>
      </c>
      <c r="W1724" s="113">
        <f>'Data_in-situ'!DR128</f>
        <v>74.807487646490884</v>
      </c>
      <c r="X1724" s="113">
        <f>'Data_in-situ'!DS128</f>
        <v>46.844140538456692</v>
      </c>
      <c r="Y1724" s="46">
        <f>'Data_in-situ'!DT128</f>
        <v>18</v>
      </c>
      <c r="Z1724" s="113">
        <f>'Data_in-situ'!EA211</f>
        <v>-0.17393369108406392</v>
      </c>
      <c r="AA1724" s="113">
        <f>'Data_in-situ'!EB211</f>
        <v>1.6605685683663671</v>
      </c>
      <c r="AB1724" s="46">
        <f>'Data_in-situ'!EC211</f>
        <v>46</v>
      </c>
      <c r="AC1724" s="113">
        <f>'Data_in-situ'!EE211</f>
        <v>6.6517114309370617</v>
      </c>
      <c r="AD1724" s="113">
        <f>'Data_in-situ'!EF211</f>
        <v>10.95710857096801</v>
      </c>
      <c r="AE1724" s="46">
        <f>'Data_in-situ'!EG211</f>
        <v>73</v>
      </c>
      <c r="AF1724" s="113">
        <f>'Data_in-situ'!EN72</f>
        <v>-47</v>
      </c>
      <c r="AG1724" s="113">
        <f>'Data_in-situ'!EO72</f>
        <v>6.8</v>
      </c>
      <c r="AH1724" s="110">
        <f>'Data_in-situ'!EP72</f>
        <v>3</v>
      </c>
      <c r="AI1724" s="113">
        <f>'Data_in-situ'!ER72</f>
        <v>-120</v>
      </c>
      <c r="AJ1724" s="113">
        <f>'Data_in-situ'!ES72</f>
        <v>11.8</v>
      </c>
      <c r="AK1724" s="110">
        <f>'Data_in-situ'!ET72</f>
        <v>3</v>
      </c>
    </row>
    <row r="1725" spans="2:37" x14ac:dyDescent="0.3">
      <c r="B1725" s="24">
        <f>'Data_in-situ'!CA403</f>
        <v>-241.07142857142901</v>
      </c>
      <c r="C1725" s="24">
        <f>'Data_in-situ'!CB403</f>
        <v>58.775736033940618</v>
      </c>
      <c r="D1725" s="46">
        <f>'Data_in-situ'!CC403</f>
        <v>1</v>
      </c>
      <c r="E1725" s="24">
        <f>'Data_in-situ'!CE403</f>
        <v>-271.67792654665266</v>
      </c>
      <c r="F1725" s="24">
        <f>'Data_in-situ'!CF403</f>
        <v>101.13729623920892</v>
      </c>
      <c r="G1725" s="46">
        <f>'Data_in-situ'!CG403</f>
        <v>1</v>
      </c>
      <c r="H1725" s="24">
        <f>'Data_in-situ'!CN403</f>
        <v>217.61437127105197</v>
      </c>
      <c r="I1725" s="24">
        <f>'Data_in-situ'!CO403</f>
        <v>62.591836117236312</v>
      </c>
      <c r="J1725" s="46">
        <f>'Data_in-situ'!CP403</f>
        <v>1</v>
      </c>
      <c r="K1725" s="24">
        <f>'Data_in-situ'!CR403</f>
        <v>295.88411781662973</v>
      </c>
      <c r="L1725" s="24">
        <f>'Data_in-situ'!CS403</f>
        <v>77.637379854532</v>
      </c>
      <c r="M1725" s="46">
        <f>'Data_in-situ'!CT403</f>
        <v>1</v>
      </c>
      <c r="N1725" s="24">
        <f>'Data_in-situ'!DA168</f>
        <v>25.237137365721058</v>
      </c>
      <c r="O1725" s="24">
        <f>'Data_in-situ'!DB168</f>
        <v>75.702744621550025</v>
      </c>
      <c r="P1725" s="46">
        <f>'Data_in-situ'!DC168</f>
        <v>3</v>
      </c>
      <c r="Q1725" s="24">
        <f>'Data_in-situ'!DE168</f>
        <v>227.90960825112143</v>
      </c>
      <c r="R1725" s="24">
        <f>'Data_in-situ'!DF168</f>
        <v>217.23040085623657</v>
      </c>
      <c r="S1725" s="46">
        <f>'Data_in-situ'!DG168</f>
        <v>3</v>
      </c>
      <c r="T1725" s="113">
        <f>'Data_in-situ'!DN129</f>
        <v>214.33232862768773</v>
      </c>
      <c r="U1725" s="113">
        <f>'Data_in-situ'!DO129</f>
        <v>127.05286261842672</v>
      </c>
      <c r="V1725" s="46">
        <f>'Data_in-situ'!DP129</f>
        <v>18</v>
      </c>
      <c r="W1725" s="113">
        <f>'Data_in-situ'!DR129</f>
        <v>3.701330808396313</v>
      </c>
      <c r="X1725" s="113">
        <f>'Data_in-situ'!DS129</f>
        <v>11.16614647740138</v>
      </c>
      <c r="Y1725" s="46">
        <f>'Data_in-situ'!DT129</f>
        <v>18</v>
      </c>
      <c r="Z1725" s="113">
        <f>'Data_in-situ'!EA212</f>
        <v>4.2926101488275123E-2</v>
      </c>
      <c r="AA1725" s="113">
        <f>'Data_in-situ'!EB212</f>
        <v>0.24682409549693443</v>
      </c>
      <c r="AB1725" s="46">
        <f>'Data_in-situ'!EC212</f>
        <v>46</v>
      </c>
      <c r="AC1725" s="113">
        <f>'Data_in-situ'!EE212</f>
        <v>38.025961499819161</v>
      </c>
      <c r="AD1725" s="113">
        <f>'Data_in-situ'!EF212</f>
        <v>56.778060641172175</v>
      </c>
      <c r="AE1725" s="46">
        <f>'Data_in-situ'!EG212</f>
        <v>66</v>
      </c>
      <c r="AF1725" s="113">
        <f>'Data_in-situ'!EN73</f>
        <v>-38</v>
      </c>
      <c r="AG1725" s="113">
        <f>'Data_in-situ'!EO73</f>
        <v>7.6</v>
      </c>
      <c r="AH1725" s="110">
        <f>'Data_in-situ'!EP73</f>
        <v>3</v>
      </c>
      <c r="AI1725" s="113">
        <f>'Data_in-situ'!ER73</f>
        <v>-112</v>
      </c>
      <c r="AJ1725" s="113">
        <f>'Data_in-situ'!ES73</f>
        <v>15.2</v>
      </c>
      <c r="AK1725" s="110">
        <f>'Data_in-situ'!ET73</f>
        <v>3</v>
      </c>
    </row>
    <row r="1726" spans="2:37" x14ac:dyDescent="0.3">
      <c r="B1726" s="24">
        <f>'Data_in-situ'!CA404</f>
        <v>-1190.8947368421052</v>
      </c>
      <c r="C1726" s="24">
        <f>'Data_in-situ'!CB404</f>
        <v>8.1728070175438585</v>
      </c>
      <c r="D1726" s="46">
        <f>'Data_in-situ'!CC404</f>
        <v>4</v>
      </c>
      <c r="E1726" s="24">
        <f>'Data_in-situ'!CE404</f>
        <v>-1647.1117744611581</v>
      </c>
      <c r="F1726" s="24">
        <f>'Data_in-situ'!CF404</f>
        <v>42.213296514097145</v>
      </c>
      <c r="G1726" s="46">
        <f>'Data_in-situ'!CG404</f>
        <v>4</v>
      </c>
      <c r="H1726" s="24">
        <f>'Data_in-situ'!CN404</f>
        <v>1173.6539891420518</v>
      </c>
      <c r="I1726" s="24">
        <f>'Data_in-situ'!CO404</f>
        <v>59.312279426335792</v>
      </c>
      <c r="J1726" s="46">
        <f>'Data_in-situ'!CP404</f>
        <v>4</v>
      </c>
      <c r="K1726" s="24">
        <f>'Data_in-situ'!CR404</f>
        <v>1113.3378134148315</v>
      </c>
      <c r="L1726" s="24">
        <f>'Data_in-situ'!CS404</f>
        <v>77.030208091757075</v>
      </c>
      <c r="M1726" s="46">
        <f>'Data_in-situ'!CT404</f>
        <v>4</v>
      </c>
      <c r="N1726" s="24">
        <f>'Data_in-situ'!DA169</f>
        <v>826.51624872736215</v>
      </c>
      <c r="O1726" s="24">
        <f>'Data_in-situ'!DB169</f>
        <v>2479.2648863557561</v>
      </c>
      <c r="P1726" s="46">
        <f>'Data_in-situ'!DC169</f>
        <v>3</v>
      </c>
      <c r="Q1726" s="24">
        <f>'Data_in-situ'!DE169</f>
        <v>-2686.077525816791</v>
      </c>
      <c r="R1726" s="24">
        <f>'Data_in-situ'!DF169</f>
        <v>2560.2154386627908</v>
      </c>
      <c r="S1726" s="46">
        <f>'Data_in-situ'!DG169</f>
        <v>3</v>
      </c>
      <c r="T1726" s="113">
        <f>'Data_in-situ'!DN130</f>
        <v>319.22459108513186</v>
      </c>
      <c r="U1726" s="113">
        <f>'Data_in-situ'!DO130</f>
        <v>121.19295255477282</v>
      </c>
      <c r="V1726" s="46">
        <f>'Data_in-situ'!DP130</f>
        <v>18</v>
      </c>
      <c r="W1726" s="113">
        <f>'Data_in-situ'!DR130</f>
        <v>222.57960625006015</v>
      </c>
      <c r="X1726" s="113">
        <f>'Data_in-situ'!DS130</f>
        <v>146.24752567167019</v>
      </c>
      <c r="Y1726" s="46">
        <f>'Data_in-situ'!DT130</f>
        <v>18</v>
      </c>
      <c r="Z1726" s="113">
        <f>'Data_in-situ'!EA250</f>
        <v>4.7842000883736189E-3</v>
      </c>
      <c r="AA1726" s="113">
        <f>'Data_in-situ'!EB250</f>
        <v>5.7651671572041305E-2</v>
      </c>
      <c r="AB1726" s="46">
        <f>'Data_in-situ'!EC250</f>
        <v>3</v>
      </c>
      <c r="AC1726" s="113">
        <f>'Data_in-situ'!EE250</f>
        <v>2.8668507573783328</v>
      </c>
      <c r="AD1726" s="113">
        <f>'Data_in-situ'!EF250</f>
        <v>1.8611493473177243</v>
      </c>
      <c r="AE1726" s="46">
        <f>'Data_in-situ'!EG250</f>
        <v>3</v>
      </c>
      <c r="AF1726" s="113">
        <f>'Data_in-situ'!EN74</f>
        <v>-44</v>
      </c>
      <c r="AG1726" s="113">
        <f>'Data_in-situ'!EO74</f>
        <v>6.8</v>
      </c>
      <c r="AH1726" s="110">
        <f>'Data_in-situ'!EP74</f>
        <v>3</v>
      </c>
      <c r="AI1726" s="113">
        <f>'Data_in-situ'!ER74</f>
        <v>-116</v>
      </c>
      <c r="AJ1726" s="113">
        <f>'Data_in-situ'!ES74</f>
        <v>11.8</v>
      </c>
      <c r="AK1726" s="110">
        <f>'Data_in-situ'!ET74</f>
        <v>3</v>
      </c>
    </row>
    <row r="1727" spans="2:37" x14ac:dyDescent="0.3">
      <c r="B1727" s="24">
        <f>'Data_in-situ'!CA405</f>
        <v>-1587.859649122807</v>
      </c>
      <c r="C1727" s="24">
        <f>'Data_in-situ'!CB405</f>
        <v>7.4722807017543857</v>
      </c>
      <c r="D1727" s="46">
        <f>'Data_in-situ'!CC405</f>
        <v>4</v>
      </c>
      <c r="E1727" s="24">
        <f>'Data_in-situ'!CE405</f>
        <v>-1598.6673105064185</v>
      </c>
      <c r="F1727" s="24">
        <f>'Data_in-situ'!CF405</f>
        <v>44.336749279956244</v>
      </c>
      <c r="G1727" s="46">
        <f>'Data_in-situ'!CG405</f>
        <v>4</v>
      </c>
      <c r="H1727" s="24">
        <f>'Data_in-situ'!CN405</f>
        <v>1001.8997468285809</v>
      </c>
      <c r="I1727" s="24">
        <f>'Data_in-situ'!CO405</f>
        <v>31.53551699296025</v>
      </c>
      <c r="J1727" s="46">
        <f>'Data_in-situ'!CP405</f>
        <v>4</v>
      </c>
      <c r="K1727" s="24">
        <f>'Data_in-situ'!CR405</f>
        <v>1031.8740709698438</v>
      </c>
      <c r="L1727" s="24">
        <f>'Data_in-situ'!CS405</f>
        <v>95.91547767591031</v>
      </c>
      <c r="M1727" s="46">
        <f>'Data_in-situ'!CT405</f>
        <v>4</v>
      </c>
      <c r="N1727" s="24">
        <f>'Data_in-situ'!DA170</f>
        <v>-870.68123911737575</v>
      </c>
      <c r="O1727" s="24">
        <f>'Data_in-situ'!DB170</f>
        <v>2611.7446894434738</v>
      </c>
      <c r="P1727" s="46">
        <f>'Data_in-situ'!DC170</f>
        <v>3</v>
      </c>
      <c r="Q1727" s="24">
        <f>'Data_in-situ'!DE170</f>
        <v>-911.63843300448298</v>
      </c>
      <c r="R1727" s="24">
        <f>'Data_in-situ'!DF170</f>
        <v>868.92160342494367</v>
      </c>
      <c r="S1727" s="46">
        <f>'Data_in-situ'!DG170</f>
        <v>3</v>
      </c>
      <c r="T1727" s="113">
        <f>'Data_in-situ'!DN131</f>
        <v>319.22459108513186</v>
      </c>
      <c r="U1727" s="113">
        <f>'Data_in-situ'!DO131</f>
        <v>121.19295255477282</v>
      </c>
      <c r="V1727" s="46">
        <f>'Data_in-situ'!DP131</f>
        <v>18</v>
      </c>
      <c r="W1727" s="113">
        <f>'Data_in-situ'!DR131</f>
        <v>5.4661003499523613</v>
      </c>
      <c r="X1727" s="113">
        <f>'Data_in-situ'!DS131</f>
        <v>11.395301936593999</v>
      </c>
      <c r="Y1727" s="46">
        <f>'Data_in-situ'!DT131</f>
        <v>18</v>
      </c>
      <c r="Z1727" s="113">
        <f>'Data_in-situ'!EA251</f>
        <v>2.9121217929230725E-2</v>
      </c>
      <c r="AA1727" s="113">
        <f>'Data_in-situ'!EB251</f>
        <v>6.8659445106331193E-2</v>
      </c>
      <c r="AB1727" s="46">
        <f>'Data_in-situ'!EC251</f>
        <v>3</v>
      </c>
      <c r="AC1727" s="113">
        <f>'Data_in-situ'!EE251</f>
        <v>0.10511786110387221</v>
      </c>
      <c r="AD1727" s="113">
        <f>'Data_in-situ'!EF251</f>
        <v>0.10740648717807684</v>
      </c>
      <c r="AE1727" s="46">
        <f>'Data_in-situ'!EG251</f>
        <v>3</v>
      </c>
      <c r="AF1727" s="113">
        <f>'Data_in-situ'!EN75</f>
        <v>-38</v>
      </c>
      <c r="AG1727" s="113">
        <f>'Data_in-situ'!EO75</f>
        <v>5.412566119688516</v>
      </c>
      <c r="AH1727" s="110">
        <f>'Data_in-situ'!EP75</f>
        <v>3</v>
      </c>
      <c r="AI1727" s="113">
        <f>'Data_in-situ'!ER75</f>
        <v>-112</v>
      </c>
      <c r="AJ1727" s="113">
        <f>'Data_in-situ'!ES75</f>
        <v>10.825132239377032</v>
      </c>
      <c r="AK1727" s="110">
        <f>'Data_in-situ'!ET75</f>
        <v>3</v>
      </c>
    </row>
    <row r="1728" spans="2:37" x14ac:dyDescent="0.3">
      <c r="B1728" s="24">
        <f>'Data_in-situ'!CA406</f>
        <v>-1541.1578947368423</v>
      </c>
      <c r="C1728" s="24">
        <f>'Data_in-situ'!CB406</f>
        <v>7.2387719298245612</v>
      </c>
      <c r="D1728" s="46">
        <f>'Data_in-situ'!CC406</f>
        <v>4</v>
      </c>
      <c r="E1728" s="24">
        <f>'Data_in-situ'!CE406</f>
        <v>-2325.3342698275173</v>
      </c>
      <c r="F1728" s="24">
        <f>'Data_in-situ'!CF406</f>
        <v>61.965584260203691</v>
      </c>
      <c r="G1728" s="46">
        <f>'Data_in-situ'!CG406</f>
        <v>4</v>
      </c>
      <c r="H1728" s="24">
        <f>'Data_in-situ'!CN406</f>
        <v>1345.4082314555228</v>
      </c>
      <c r="I1728" s="24">
        <f>'Data_in-situ'!CO406</f>
        <v>87.695812130506496</v>
      </c>
      <c r="J1728" s="46">
        <f>'Data_in-situ'!CP406</f>
        <v>4</v>
      </c>
      <c r="K1728" s="24">
        <f>'Data_in-situ'!CR406</f>
        <v>1031.8740709698438</v>
      </c>
      <c r="L1728" s="24">
        <f>'Data_in-situ'!CS406</f>
        <v>302.96098741004602</v>
      </c>
      <c r="M1728" s="46">
        <f>'Data_in-situ'!CT406</f>
        <v>4</v>
      </c>
      <c r="N1728" s="24">
        <f>'Data_in-situ'!DA171</f>
        <v>82.020696438593234</v>
      </c>
      <c r="O1728" s="24">
        <f>'Data_in-situ'!DB171</f>
        <v>246.03392002003699</v>
      </c>
      <c r="P1728" s="46">
        <f>'Data_in-situ'!DC171</f>
        <v>3</v>
      </c>
      <c r="Q1728" s="24">
        <f>'Data_in-situ'!DE171</f>
        <v>-4541.9129072902078</v>
      </c>
      <c r="R1728" s="24">
        <f>'Data_in-situ'!DF171</f>
        <v>4329.0915599207165</v>
      </c>
      <c r="S1728" s="46">
        <f>'Data_in-situ'!DG171</f>
        <v>3</v>
      </c>
      <c r="T1728" s="113">
        <f>'Data_in-situ'!DN132</f>
        <v>440.08296271455015</v>
      </c>
      <c r="U1728" s="113">
        <f>'Data_in-situ'!DO132</f>
        <v>113.40347895786114</v>
      </c>
      <c r="V1728" s="46">
        <f>'Data_in-situ'!DP132</f>
        <v>21</v>
      </c>
      <c r="W1728" s="113">
        <f>'Data_in-situ'!DR132</f>
        <v>251.76858211880577</v>
      </c>
      <c r="X1728" s="113">
        <f>'Data_in-situ'!DS132</f>
        <v>162.14335017466513</v>
      </c>
      <c r="Y1728" s="46">
        <f>'Data_in-situ'!DT132</f>
        <v>21</v>
      </c>
      <c r="Z1728" s="113">
        <f>'Data_in-situ'!EA254</f>
        <v>1.9797330692495084E-2</v>
      </c>
      <c r="AA1728" s="113">
        <f>'Data_in-situ'!EB254</f>
        <v>9.4097353220211316E-2</v>
      </c>
      <c r="AB1728" s="46">
        <f>'Data_in-situ'!EC254</f>
        <v>3</v>
      </c>
      <c r="AC1728" s="113">
        <f>'Data_in-situ'!EE254</f>
        <v>2.4487558815364012E-2</v>
      </c>
      <c r="AD1728" s="113">
        <f>'Data_in-situ'!EF254</f>
        <v>5.089541115262039E-2</v>
      </c>
      <c r="AE1728" s="46">
        <f>'Data_in-situ'!EG254</f>
        <v>3</v>
      </c>
      <c r="AF1728" s="113">
        <f>'Data_in-situ'!EN76</f>
        <v>-45.680000000000007</v>
      </c>
      <c r="AG1728" s="113">
        <f>'Data_in-situ'!EO76</f>
        <v>4.842822317616041</v>
      </c>
      <c r="AH1728" s="110">
        <f>'Data_in-situ'!EP76</f>
        <v>3</v>
      </c>
      <c r="AI1728" s="113">
        <f>'Data_in-situ'!ER76</f>
        <v>-118.24000000000001</v>
      </c>
      <c r="AJ1728" s="113">
        <f>'Data_in-situ'!ES76</f>
        <v>8.4037210805690119</v>
      </c>
      <c r="AK1728" s="110">
        <f>'Data_in-situ'!ET76</f>
        <v>3</v>
      </c>
    </row>
    <row r="1729" spans="2:37" x14ac:dyDescent="0.3">
      <c r="B1729" s="24">
        <f>'Data_in-situ'!CA407</f>
        <v>-2129.6</v>
      </c>
      <c r="C1729" s="24">
        <f>'Data_in-situ'!CB407</f>
        <v>6.8256410256410263</v>
      </c>
      <c r="D1729" s="46">
        <f>'Data_in-situ'!CC407</f>
        <v>4</v>
      </c>
      <c r="E1729" s="24">
        <f>'Data_in-situ'!CE407</f>
        <v>-2860.45927166603</v>
      </c>
      <c r="F1729" s="24">
        <f>'Data_in-situ'!CF407</f>
        <v>83.041731299949717</v>
      </c>
      <c r="G1729" s="46">
        <f>'Data_in-situ'!CG407</f>
        <v>4</v>
      </c>
      <c r="H1729" s="24">
        <f>'Data_in-situ'!CN407</f>
        <v>1355.5373277970868</v>
      </c>
      <c r="I1729" s="24">
        <f>'Data_in-situ'!CO407</f>
        <v>118.50504120960676</v>
      </c>
      <c r="J1729" s="46">
        <f>'Data_in-situ'!CP407</f>
        <v>4</v>
      </c>
      <c r="K1729" s="24">
        <f>'Data_in-situ'!CR407</f>
        <v>1460.4986850650098</v>
      </c>
      <c r="L1729" s="24">
        <f>'Data_in-situ'!CS407</f>
        <v>101.18634540814155</v>
      </c>
      <c r="M1729" s="46">
        <f>'Data_in-situ'!CT407</f>
        <v>4</v>
      </c>
      <c r="N1729" s="24">
        <f>'Data_in-situ'!DA197</f>
        <v>-6476.6640398246809</v>
      </c>
      <c r="O1729" s="24">
        <f>'Data_in-situ'!DB197</f>
        <v>2851.847869896872</v>
      </c>
      <c r="P1729" s="46">
        <f>'Data_in-situ'!DC197</f>
        <v>3</v>
      </c>
      <c r="Q1729" s="24">
        <f>'Data_in-situ'!DE197</f>
        <v>303.7999143045227</v>
      </c>
      <c r="R1729" s="24">
        <f>'Data_in-situ'!DF197</f>
        <v>833.8763402434389</v>
      </c>
      <c r="S1729" s="46">
        <f>'Data_in-situ'!DG197</f>
        <v>3</v>
      </c>
      <c r="T1729" s="113">
        <f>'Data_in-situ'!DN133</f>
        <v>440.08296271455015</v>
      </c>
      <c r="U1729" s="113">
        <f>'Data_in-situ'!DO133</f>
        <v>113.40347895786114</v>
      </c>
      <c r="V1729" s="46">
        <f>'Data_in-situ'!DP133</f>
        <v>21</v>
      </c>
      <c r="W1729" s="113">
        <f>'Data_in-situ'!DR133</f>
        <v>25.550114778634466</v>
      </c>
      <c r="X1729" s="113">
        <f>'Data_in-situ'!DS133</f>
        <v>18.733958929588759</v>
      </c>
      <c r="Y1729" s="46">
        <f>'Data_in-situ'!DT133</f>
        <v>21</v>
      </c>
      <c r="Z1729" s="113">
        <f>'Data_in-situ'!EA255</f>
        <v>-0.1060571287097951</v>
      </c>
      <c r="AA1729" s="113">
        <f>'Data_in-situ'!EB255</f>
        <v>0.28407129566600942</v>
      </c>
      <c r="AB1729" s="46">
        <f>'Data_in-situ'!EC255</f>
        <v>3</v>
      </c>
      <c r="AC1729" s="113">
        <f>'Data_in-situ'!EE255</f>
        <v>-1.1798551065584481E-2</v>
      </c>
      <c r="AD1729" s="113">
        <f>'Data_in-situ'!EF255</f>
        <v>4.6464249030440392E-2</v>
      </c>
      <c r="AE1729" s="46">
        <f>'Data_in-situ'!EG255</f>
        <v>3</v>
      </c>
      <c r="AF1729" s="113">
        <f>'Data_in-situ'!EN77</f>
        <v>-4.5</v>
      </c>
      <c r="AG1729" s="113">
        <f>'Data_in-situ'!EO77</f>
        <v>2.7658633371878665</v>
      </c>
      <c r="AH1729" s="110">
        <f>'Data_in-situ'!EP77</f>
        <v>2</v>
      </c>
      <c r="AI1729" s="113">
        <f>'Data_in-situ'!ER77</f>
        <v>-18.45</v>
      </c>
      <c r="AJ1729" s="113">
        <f>'Data_in-situ'!ES77</f>
        <v>8.9505586417832035</v>
      </c>
      <c r="AK1729" s="110">
        <f>'Data_in-situ'!ET77</f>
        <v>2</v>
      </c>
    </row>
    <row r="1730" spans="2:37" x14ac:dyDescent="0.3">
      <c r="B1730" s="24">
        <f>'Data_in-situ'!CA408</f>
        <v>-2259.2871794871794</v>
      </c>
      <c r="C1730" s="24">
        <f>'Data_in-situ'!CB408</f>
        <v>13.651282051282053</v>
      </c>
      <c r="D1730" s="46">
        <f>'Data_in-situ'!CC408</f>
        <v>4</v>
      </c>
      <c r="E1730" s="24">
        <f>'Data_in-situ'!CE408</f>
        <v>-1940.0144565259704</v>
      </c>
      <c r="F1730" s="24">
        <f>'Data_in-situ'!CF408</f>
        <v>56.070928981894077</v>
      </c>
      <c r="G1730" s="46">
        <f>'Data_in-situ'!CG408</f>
        <v>4</v>
      </c>
      <c r="H1730" s="24">
        <f>'Data_in-situ'!CN408</f>
        <v>1857.5881899441558</v>
      </c>
      <c r="I1730" s="24">
        <f>'Data_in-situ'!CO408</f>
        <v>103.36331194089117</v>
      </c>
      <c r="J1730" s="46">
        <f>'Data_in-situ'!CP408</f>
        <v>4</v>
      </c>
      <c r="K1730" s="24">
        <f>'Data_in-situ'!CR408</f>
        <v>1587.498570722837</v>
      </c>
      <c r="L1730" s="24">
        <f>'Data_in-situ'!CS408</f>
        <v>105.69113003255019</v>
      </c>
      <c r="M1730" s="46">
        <f>'Data_in-situ'!CT408</f>
        <v>4</v>
      </c>
      <c r="N1730" s="24">
        <f>'Data_in-situ'!DA198</f>
        <v>-5712.1472856207492</v>
      </c>
      <c r="O1730" s="24">
        <f>'Data_in-situ'!DB198</f>
        <v>3273.2058172899874</v>
      </c>
      <c r="P1730" s="46">
        <f>'Data_in-situ'!DC198</f>
        <v>3</v>
      </c>
      <c r="Q1730" s="24">
        <f>'Data_in-situ'!DE198</f>
        <v>-61.395104632969371</v>
      </c>
      <c r="R1730" s="24">
        <f>'Data_in-situ'!DF198</f>
        <v>529.41384138606963</v>
      </c>
      <c r="S1730" s="46">
        <f>'Data_in-situ'!DG198</f>
        <v>3</v>
      </c>
      <c r="T1730" s="113">
        <f>'Data_in-situ'!DN135</f>
        <v>106</v>
      </c>
      <c r="U1730" s="113">
        <f>'Data_in-situ'!DO135</f>
        <v>76.556645694544372</v>
      </c>
      <c r="V1730" s="46">
        <f>'Data_in-situ'!DP135</f>
        <v>3</v>
      </c>
      <c r="W1730" s="113">
        <f>'Data_in-situ'!DR135</f>
        <v>1</v>
      </c>
      <c r="X1730" s="113">
        <f>'Data_in-situ'!DS135</f>
        <v>2.0784609690826525</v>
      </c>
      <c r="Y1730" s="46">
        <f>'Data_in-situ'!DT135</f>
        <v>3</v>
      </c>
      <c r="Z1730" s="113">
        <f>'Data_in-situ'!EA256</f>
        <v>-4.2277844422856668E-2</v>
      </c>
      <c r="AA1730" s="113">
        <f>'Data_in-situ'!EB256</f>
        <v>0.1213395789758789</v>
      </c>
      <c r="AB1730" s="46">
        <f>'Data_in-situ'!EC256</f>
        <v>3</v>
      </c>
      <c r="AC1730" s="113">
        <f>'Data_in-situ'!EE256</f>
        <v>4.8975117630728024E-2</v>
      </c>
      <c r="AD1730" s="113">
        <f>'Data_in-situ'!EF256</f>
        <v>0.13610077440950419</v>
      </c>
      <c r="AE1730" s="46">
        <f>'Data_in-situ'!EG256</f>
        <v>3</v>
      </c>
      <c r="AF1730" s="113">
        <f>'Data_in-situ'!EN78</f>
        <v>-4.5</v>
      </c>
      <c r="AG1730" s="113">
        <f>'Data_in-situ'!EO78</f>
        <v>2.7658633371878665</v>
      </c>
      <c r="AH1730" s="110">
        <f>'Data_in-situ'!EP78</f>
        <v>2</v>
      </c>
      <c r="AI1730" s="113">
        <f>'Data_in-situ'!ER78</f>
        <v>-14.3</v>
      </c>
      <c r="AJ1730" s="113">
        <f>'Data_in-situ'!ES78</f>
        <v>4.2793106921559225</v>
      </c>
      <c r="AK1730" s="110">
        <f>'Data_in-situ'!ET78</f>
        <v>2</v>
      </c>
    </row>
    <row r="1731" spans="2:37" x14ac:dyDescent="0.3">
      <c r="B1731" s="24">
        <f>'Data_in-situ'!CA412</f>
        <v>-27659.550451779181</v>
      </c>
      <c r="C1731" s="24">
        <f>'Data_in-situ'!CB412</f>
        <v>2920.5942857142213</v>
      </c>
      <c r="D1731" s="46">
        <f>'Data_in-situ'!CC412</f>
        <v>3</v>
      </c>
      <c r="E1731" s="24">
        <f>'Data_in-situ'!CE412</f>
        <v>-19692.259359339321</v>
      </c>
      <c r="F1731" s="24">
        <f>'Data_in-situ'!CF412</f>
        <v>1592.4436015993197</v>
      </c>
      <c r="G1731" s="46">
        <f>'Data_in-situ'!CG412</f>
        <v>3</v>
      </c>
      <c r="H1731" s="24">
        <f>'Data_in-situ'!CN412</f>
        <v>26436.559507179623</v>
      </c>
      <c r="I1731" s="24">
        <f>'Data_in-situ'!CO412</f>
        <v>3571.7210373879325</v>
      </c>
      <c r="J1731" s="46">
        <f>'Data_in-situ'!CP412</f>
        <v>3</v>
      </c>
      <c r="K1731" s="24">
        <f>'Data_in-situ'!CR412</f>
        <v>20646.170885257681</v>
      </c>
      <c r="L1731" s="24">
        <f>'Data_in-situ'!CS412</f>
        <v>1492.9781828658879</v>
      </c>
      <c r="M1731" s="46">
        <f>'Data_in-situ'!CT412</f>
        <v>3</v>
      </c>
      <c r="N1731" s="24">
        <f>'Data_in-situ'!DA222</f>
        <v>-5522.053137553612</v>
      </c>
      <c r="O1731" s="24">
        <f>'Data_in-situ'!DB222</f>
        <v>3799.0509125782523</v>
      </c>
      <c r="P1731" s="46">
        <f>'Data_in-situ'!DC222</f>
        <v>3</v>
      </c>
      <c r="Q1731" s="24">
        <f>'Data_in-situ'!DE222</f>
        <v>-3740.7225956381553</v>
      </c>
      <c r="R1731" s="24">
        <f>'Data_in-situ'!DF222</f>
        <v>3396.3473178087561</v>
      </c>
      <c r="S1731" s="46">
        <f>'Data_in-situ'!DG222</f>
        <v>3</v>
      </c>
      <c r="T1731" s="113">
        <f>'Data_in-situ'!DN136</f>
        <v>122</v>
      </c>
      <c r="U1731" s="113">
        <f>'Data_in-situ'!DO136</f>
        <v>57.850496972800492</v>
      </c>
      <c r="V1731" s="46">
        <f>'Data_in-situ'!DP136</f>
        <v>3</v>
      </c>
      <c r="W1731" s="113">
        <f>'Data_in-situ'!DR136</f>
        <v>0</v>
      </c>
      <c r="X1731" s="113">
        <f>'Data_in-situ'!DS136</f>
        <v>2.4248711305964279</v>
      </c>
      <c r="Y1731" s="46">
        <f>'Data_in-situ'!DT136</f>
        <v>3</v>
      </c>
      <c r="Z1731" s="113">
        <f>'Data_in-situ'!EA257</f>
        <v>-4.2422851483918042E-3</v>
      </c>
      <c r="AA1731" s="113">
        <f>'Data_in-situ'!EB257</f>
        <v>0.15345744896774013</v>
      </c>
      <c r="AB1731" s="46">
        <f>'Data_in-situ'!EC257</f>
        <v>3</v>
      </c>
      <c r="AC1731" s="113">
        <f>'Data_in-situ'!EE257</f>
        <v>0.11130708552438189</v>
      </c>
      <c r="AD1731" s="113">
        <f>'Data_in-situ'!EF257</f>
        <v>0.10440008400553796</v>
      </c>
      <c r="AE1731" s="46">
        <f>'Data_in-situ'!EG257</f>
        <v>3</v>
      </c>
      <c r="AF1731" s="113">
        <f>'Data_in-situ'!EN81</f>
        <v>-9</v>
      </c>
      <c r="AG1731" s="113">
        <f>'Data_in-situ'!EO81</f>
        <v>3.6674675887616401</v>
      </c>
      <c r="AH1731" s="110">
        <f>'Data_in-situ'!EP81</f>
        <v>3</v>
      </c>
      <c r="AI1731" s="113">
        <f>'Data_in-situ'!ER81</f>
        <v>-15</v>
      </c>
      <c r="AJ1731" s="113">
        <f>'Data_in-situ'!ES81</f>
        <v>3.4022108026379128</v>
      </c>
      <c r="AK1731" s="110">
        <f>'Data_in-situ'!ET81</f>
        <v>3</v>
      </c>
    </row>
    <row r="1732" spans="2:37" x14ac:dyDescent="0.3">
      <c r="B1732" s="24">
        <f>'Data_in-situ'!CA413</f>
        <v>-13417.445102313484</v>
      </c>
      <c r="C1732" s="24">
        <f>'Data_in-situ'!CB413</f>
        <v>2513.9989496861413</v>
      </c>
      <c r="D1732" s="46">
        <f>'Data_in-situ'!CC413</f>
        <v>3</v>
      </c>
      <c r="E1732" s="24">
        <f>'Data_in-situ'!CE413</f>
        <v>-10261.140414323805</v>
      </c>
      <c r="F1732" s="24">
        <f>'Data_in-situ'!CF413</f>
        <v>928.25974642230233</v>
      </c>
      <c r="G1732" s="46">
        <f>'Data_in-situ'!CG413</f>
        <v>3</v>
      </c>
      <c r="H1732" s="24">
        <f>'Data_in-situ'!CN413</f>
        <v>12328.007487080895</v>
      </c>
      <c r="I1732" s="24">
        <f>'Data_in-situ'!CO413</f>
        <v>1844.6484474290598</v>
      </c>
      <c r="J1732" s="46">
        <f>'Data_in-situ'!CP413</f>
        <v>3</v>
      </c>
      <c r="K1732" s="24">
        <f>'Data_in-situ'!CR413</f>
        <v>10779.460950989149</v>
      </c>
      <c r="L1732" s="24">
        <f>'Data_in-situ'!CS413</f>
        <v>1426.079653929331</v>
      </c>
      <c r="M1732" s="46">
        <f>'Data_in-situ'!CT413</f>
        <v>3</v>
      </c>
      <c r="N1732" s="24">
        <f>'Data_in-situ'!DA223</f>
        <v>-6157.9784795900996</v>
      </c>
      <c r="O1732" s="24">
        <f>'Data_in-situ'!DB223</f>
        <v>2847.6279977138138</v>
      </c>
      <c r="P1732" s="46">
        <f>'Data_in-situ'!DC223</f>
        <v>3</v>
      </c>
      <c r="Q1732" s="24">
        <f>'Data_in-situ'!DE223</f>
        <v>-3541.6446974130395</v>
      </c>
      <c r="R1732" s="24">
        <f>'Data_in-situ'!DF223</f>
        <v>2451.0546798159935</v>
      </c>
      <c r="S1732" s="46">
        <f>'Data_in-situ'!DG223</f>
        <v>3</v>
      </c>
      <c r="T1732" s="113">
        <f>'Data_in-situ'!DN137</f>
        <v>106</v>
      </c>
      <c r="U1732" s="113">
        <f>'Data_in-situ'!DO137</f>
        <v>76.556645694544372</v>
      </c>
      <c r="V1732" s="46">
        <f>'Data_in-situ'!DP137</f>
        <v>3</v>
      </c>
      <c r="W1732" s="113">
        <f>'Data_in-situ'!DR137</f>
        <v>4</v>
      </c>
      <c r="X1732" s="113">
        <f>'Data_in-situ'!DS137</f>
        <v>4.1569219381653051</v>
      </c>
      <c r="Y1732" s="46">
        <f>'Data_in-situ'!DT137</f>
        <v>3</v>
      </c>
      <c r="Z1732" s="113">
        <f>'Data_in-situ'!EA258</f>
        <v>-5.3028564354897549E-2</v>
      </c>
      <c r="AA1732" s="113">
        <f>'Data_in-situ'!EB258</f>
        <v>0.14435421348527655</v>
      </c>
      <c r="AB1732" s="46">
        <f>'Data_in-situ'!EC258</f>
        <v>3</v>
      </c>
      <c r="AC1732" s="113">
        <f>'Data_in-situ'!EE258</f>
        <v>-7.5688818156579678E-3</v>
      </c>
      <c r="AD1732" s="113">
        <f>'Data_in-situ'!EF258</f>
        <v>3.6346822857934974E-2</v>
      </c>
      <c r="AE1732" s="46">
        <f>'Data_in-situ'!EG258</f>
        <v>3</v>
      </c>
      <c r="AF1732" s="113">
        <f>'Data_in-situ'!EN82</f>
        <v>-9</v>
      </c>
      <c r="AG1732" s="113">
        <f>'Data_in-situ'!EO82</f>
        <v>3.6674675887616401</v>
      </c>
      <c r="AH1732" s="110">
        <f>'Data_in-situ'!EP82</f>
        <v>3</v>
      </c>
      <c r="AI1732" s="113">
        <f>'Data_in-situ'!ER82</f>
        <v>-21</v>
      </c>
      <c r="AJ1732" s="113">
        <f>'Data_in-situ'!ES82</f>
        <v>4.7630951236930779</v>
      </c>
      <c r="AK1732" s="110">
        <f>'Data_in-situ'!ET82</f>
        <v>3</v>
      </c>
    </row>
    <row r="1733" spans="2:37" x14ac:dyDescent="0.3">
      <c r="B1733" s="24">
        <f>'Data_in-situ'!CA447</f>
        <v>-13830.844197002392</v>
      </c>
      <c r="C1733" s="24">
        <f>'Data_in-situ'!CB447</f>
        <v>2274.6676845640554</v>
      </c>
      <c r="D1733" s="46">
        <f>'Data_in-situ'!CC447</f>
        <v>3</v>
      </c>
      <c r="E1733" s="24">
        <f>'Data_in-situ'!CE447</f>
        <v>-66220.372894871383</v>
      </c>
      <c r="F1733" s="24">
        <f>'Data_in-situ'!CF447</f>
        <v>9098.6707382562217</v>
      </c>
      <c r="G1733" s="46">
        <f>'Data_in-situ'!CG447</f>
        <v>3</v>
      </c>
      <c r="H1733" s="24">
        <f>'Data_in-situ'!CN447</f>
        <v>8766.0655826625862</v>
      </c>
      <c r="I1733" s="24">
        <f>'Data_in-situ'!CO447</f>
        <v>227.4667684564055</v>
      </c>
      <c r="J1733" s="46">
        <f>'Data_in-situ'!CP447</f>
        <v>3</v>
      </c>
      <c r="K1733" s="24">
        <f>'Data_in-situ'!CR447</f>
        <v>41998.127476961054</v>
      </c>
      <c r="L1733" s="24">
        <f>'Data_in-situ'!CS447</f>
        <v>6824.003053692164</v>
      </c>
      <c r="M1733" s="46">
        <f>'Data_in-situ'!CT447</f>
        <v>3</v>
      </c>
      <c r="N1733" s="24">
        <f>'Data_in-situ'!DA224</f>
        <v>-3942.8510376719878</v>
      </c>
      <c r="O1733" s="24">
        <f>'Data_in-situ'!DB224</f>
        <v>3165.2218188801453</v>
      </c>
      <c r="P1733" s="46">
        <f>'Data_in-situ'!DC224</f>
        <v>3</v>
      </c>
      <c r="Q1733" s="24">
        <f>'Data_in-situ'!DE224</f>
        <v>-4947.8342200721909</v>
      </c>
      <c r="R1733" s="24">
        <f>'Data_in-situ'!DF224</f>
        <v>674.98350911365401</v>
      </c>
      <c r="S1733" s="46">
        <f>'Data_in-situ'!DG224</f>
        <v>3</v>
      </c>
      <c r="T1733" s="113">
        <f>'Data_in-situ'!DN138</f>
        <v>122</v>
      </c>
      <c r="U1733" s="113">
        <f>'Data_in-situ'!DO138</f>
        <v>57.850496972800492</v>
      </c>
      <c r="V1733" s="46">
        <f>'Data_in-situ'!DP138</f>
        <v>3</v>
      </c>
      <c r="W1733" s="113">
        <f>'Data_in-situ'!DR138</f>
        <v>5</v>
      </c>
      <c r="X1733" s="113">
        <f>'Data_in-situ'!DS138</f>
        <v>6.9282032302755088</v>
      </c>
      <c r="Y1733" s="46">
        <f>'Data_in-situ'!DT138</f>
        <v>3</v>
      </c>
      <c r="Z1733" s="113">
        <f>'Data_in-situ'!EA259</f>
        <v>-2.1211425741959021E-3</v>
      </c>
      <c r="AA1733" s="113">
        <f>'Data_in-situ'!EB259</f>
        <v>0.11034884630218306</v>
      </c>
      <c r="AB1733" s="46">
        <f>'Data_in-situ'!EC259</f>
        <v>3</v>
      </c>
      <c r="AC1733" s="113">
        <f>'Data_in-situ'!EE259</f>
        <v>6.0105826183166223E-3</v>
      </c>
      <c r="AD1733" s="113">
        <f>'Data_in-situ'!EF259</f>
        <v>5.4024465971174704E-2</v>
      </c>
      <c r="AE1733" s="46">
        <f>'Data_in-situ'!EG259</f>
        <v>3</v>
      </c>
      <c r="AF1733" s="113">
        <f>'Data_in-situ'!EN83</f>
        <v>-9</v>
      </c>
      <c r="AG1733" s="113">
        <f>'Data_in-situ'!EO83</f>
        <v>3.6674675887616401</v>
      </c>
      <c r="AH1733" s="110">
        <f>'Data_in-situ'!EP83</f>
        <v>3</v>
      </c>
      <c r="AI1733" s="113">
        <f>'Data_in-situ'!ER83</f>
        <v>-26</v>
      </c>
      <c r="AJ1733" s="113">
        <f>'Data_in-situ'!ES83</f>
        <v>5.8971653912390485</v>
      </c>
      <c r="AK1733" s="110">
        <f>'Data_in-situ'!ET83</f>
        <v>3</v>
      </c>
    </row>
    <row r="1734" spans="2:37" x14ac:dyDescent="0.3">
      <c r="N1734" s="24">
        <f>'Data_in-situ'!DA225</f>
        <v>-3852.0162410870635</v>
      </c>
      <c r="O1734" s="24">
        <f>'Data_in-situ'!DB225</f>
        <v>1523.8784102336624</v>
      </c>
      <c r="P1734" s="46">
        <f>'Data_in-situ'!DC225</f>
        <v>3</v>
      </c>
      <c r="Q1734" s="24">
        <f>'Data_in-situ'!DE225</f>
        <v>-5208.2901876590749</v>
      </c>
      <c r="R1734" s="24">
        <f>'Data_in-situ'!DF225</f>
        <v>1132.6794776566101</v>
      </c>
      <c r="S1734" s="46">
        <f>'Data_in-situ'!DG225</f>
        <v>3</v>
      </c>
      <c r="T1734" s="113">
        <f>'Data_in-situ'!DN139</f>
        <v>106</v>
      </c>
      <c r="U1734" s="113">
        <f>'Data_in-situ'!DO139</f>
        <v>76.556645694544372</v>
      </c>
      <c r="V1734" s="46">
        <f>'Data_in-situ'!DP139</f>
        <v>3</v>
      </c>
      <c r="W1734" s="113">
        <f>'Data_in-situ'!DR139</f>
        <v>5</v>
      </c>
      <c r="X1734" s="113">
        <f>'Data_in-situ'!DS139</f>
        <v>3.2908965343808667</v>
      </c>
      <c r="Y1734" s="46">
        <f>'Data_in-situ'!DT139</f>
        <v>3</v>
      </c>
      <c r="Z1734" s="113">
        <f>'Data_in-situ'!EA260</f>
        <v>4.7842000883736184E-2</v>
      </c>
      <c r="AA1734" s="113">
        <f>'Data_in-situ'!EB260</f>
        <v>4.4106351316338478E-2</v>
      </c>
      <c r="AB1734" s="46">
        <f>'Data_in-situ'!EC260</f>
        <v>3</v>
      </c>
      <c r="AC1734" s="113">
        <f>'Data_in-situ'!EE260</f>
        <v>0.82820132990929607</v>
      </c>
      <c r="AD1734" s="113">
        <f>'Data_in-situ'!EF260</f>
        <v>0.5966246705874263</v>
      </c>
      <c r="AE1734" s="46">
        <f>'Data_in-situ'!EG260</f>
        <v>3</v>
      </c>
      <c r="AF1734" s="113">
        <f>'Data_in-situ'!EN84</f>
        <v>-2.8</v>
      </c>
      <c r="AG1734" s="113">
        <f>'Data_in-situ'!EO84</f>
        <v>0.72</v>
      </c>
      <c r="AH1734" s="110">
        <f>'Data_in-situ'!EP84</f>
        <v>3</v>
      </c>
      <c r="AI1734" s="113">
        <f>'Data_in-situ'!ER84</f>
        <v>-23.33</v>
      </c>
      <c r="AJ1734" s="113">
        <f>'Data_in-situ'!ES84</f>
        <v>3.46</v>
      </c>
      <c r="AK1734" s="110">
        <f>'Data_in-situ'!ET84</f>
        <v>3</v>
      </c>
    </row>
    <row r="1735" spans="2:37" x14ac:dyDescent="0.3">
      <c r="N1735" s="24">
        <f>'Data_in-situ'!DA270</f>
        <v>2799.2431805620463</v>
      </c>
      <c r="O1735" s="24">
        <f>'Data_in-situ'!DB270</f>
        <v>1473.9559786073848</v>
      </c>
      <c r="P1735" s="46">
        <f>'Data_in-situ'!DC270</f>
        <v>20</v>
      </c>
      <c r="Q1735" s="24">
        <f>'Data_in-situ'!DE270</f>
        <v>6964.2392311529056</v>
      </c>
      <c r="R1735" s="24">
        <f>'Data_in-situ'!DF270</f>
        <v>2472.9188125624614</v>
      </c>
      <c r="S1735" s="46">
        <f>'Data_in-situ'!DG270</f>
        <v>20</v>
      </c>
      <c r="T1735" s="113">
        <f>'Data_in-situ'!DN140</f>
        <v>122</v>
      </c>
      <c r="U1735" s="113">
        <f>'Data_in-situ'!DO140</f>
        <v>57.850496972800492</v>
      </c>
      <c r="V1735" s="46">
        <f>'Data_in-situ'!DP140</f>
        <v>3</v>
      </c>
      <c r="W1735" s="113">
        <f>'Data_in-situ'!DR140</f>
        <v>16</v>
      </c>
      <c r="X1735" s="113">
        <f>'Data_in-situ'!DS140</f>
        <v>12.297560733739028</v>
      </c>
      <c r="Y1735" s="46">
        <f>'Data_in-situ'!DT140</f>
        <v>3</v>
      </c>
      <c r="Z1735" s="113">
        <f>'Data_in-situ'!EA261</f>
        <v>0.27041130934285673</v>
      </c>
      <c r="AA1735" s="113">
        <f>'Data_in-situ'!EB261</f>
        <v>0.17637490766446459</v>
      </c>
      <c r="AB1735" s="46">
        <f>'Data_in-situ'!EC261</f>
        <v>3</v>
      </c>
      <c r="AC1735" s="113">
        <f>'Data_in-situ'!EE261</f>
        <v>1.0193247137345183</v>
      </c>
      <c r="AD1735" s="113">
        <f>'Data_in-situ'!EF261</f>
        <v>0.85363748658627392</v>
      </c>
      <c r="AE1735" s="46">
        <f>'Data_in-situ'!EG261</f>
        <v>3</v>
      </c>
      <c r="AF1735" s="113">
        <f>'Data_in-situ'!EN85</f>
        <v>-5.04</v>
      </c>
      <c r="AG1735" s="113">
        <f>'Data_in-situ'!EO85</f>
        <v>1.83</v>
      </c>
      <c r="AH1735" s="110">
        <f>'Data_in-situ'!EP85</f>
        <v>3</v>
      </c>
      <c r="AI1735" s="113">
        <f>'Data_in-situ'!ER85</f>
        <v>-37.299999999999997</v>
      </c>
      <c r="AJ1735" s="113">
        <f>'Data_in-situ'!ES85</f>
        <v>7.39</v>
      </c>
      <c r="AK1735" s="110">
        <f>'Data_in-situ'!ET85</f>
        <v>3</v>
      </c>
    </row>
    <row r="1736" spans="2:37" x14ac:dyDescent="0.3">
      <c r="N1736" s="24">
        <f>'Data_in-situ'!DA396</f>
        <v>-1484.6994535519118</v>
      </c>
      <c r="O1736" s="24">
        <f>'Data_in-situ'!DB396</f>
        <v>4453.588453524826</v>
      </c>
      <c r="P1736" s="46">
        <f>'Data_in-situ'!DC396</f>
        <v>1</v>
      </c>
      <c r="Q1736" s="24">
        <f>'Data_in-situ'!DE396</f>
        <v>390.71038251366002</v>
      </c>
      <c r="R1736" s="24">
        <f>'Data_in-situ'!DF396</f>
        <v>372.40278575099637</v>
      </c>
      <c r="S1736" s="46">
        <f>'Data_in-situ'!DG396</f>
        <v>1</v>
      </c>
      <c r="T1736" s="113">
        <f>'Data_in-situ'!DN141</f>
        <v>51</v>
      </c>
      <c r="U1736" s="113">
        <f>'Data_in-situ'!DO141</f>
        <v>61.031958841249725</v>
      </c>
      <c r="V1736" s="46">
        <f>'Data_in-situ'!DP141</f>
        <v>3</v>
      </c>
      <c r="W1736" s="113">
        <f>'Data_in-situ'!DR141</f>
        <v>5</v>
      </c>
      <c r="X1736" s="113">
        <f>'Data_in-situ'!DS141</f>
        <v>6.008327554319921</v>
      </c>
      <c r="Y1736" s="46">
        <f>'Data_in-situ'!DT141</f>
        <v>10</v>
      </c>
      <c r="Z1736" s="113">
        <f>'Data_in-situ'!EA264</f>
        <v>8.484570296783607E-2</v>
      </c>
      <c r="AA1736" s="113">
        <f>'Data_in-situ'!EB264</f>
        <v>0.23150687644726506</v>
      </c>
      <c r="AB1736" s="46">
        <f>'Data_in-situ'!EC264</f>
        <v>3</v>
      </c>
      <c r="AC1736" s="113">
        <f>'Data_in-situ'!EE264</f>
        <v>0.16473448657608519</v>
      </c>
      <c r="AD1736" s="113">
        <f>'Data_in-situ'!EF264</f>
        <v>0.18337619194833357</v>
      </c>
      <c r="AE1736" s="46">
        <f>'Data_in-situ'!EG264</f>
        <v>3</v>
      </c>
      <c r="AF1736" s="113">
        <f>'Data_in-situ'!EN86</f>
        <v>-11.68</v>
      </c>
      <c r="AG1736" s="113">
        <f>'Data_in-situ'!EO86</f>
        <v>1.82</v>
      </c>
      <c r="AH1736" s="110">
        <f>'Data_in-situ'!EP86</f>
        <v>3</v>
      </c>
      <c r="AI1736" s="113">
        <f>'Data_in-situ'!ER86</f>
        <v>-20.88</v>
      </c>
      <c r="AJ1736" s="113">
        <f>'Data_in-situ'!ES86</f>
        <v>1.28</v>
      </c>
      <c r="AK1736" s="110">
        <f>'Data_in-situ'!ET86</f>
        <v>3</v>
      </c>
    </row>
    <row r="1737" spans="2:37" x14ac:dyDescent="0.3">
      <c r="N1737" s="24">
        <f>'Data_in-situ'!DA397</f>
        <v>-1316.3934426229509</v>
      </c>
      <c r="O1737" s="24">
        <f>'Data_in-situ'!DB397</f>
        <v>3948.7282239754559</v>
      </c>
      <c r="P1737" s="46">
        <f>'Data_in-situ'!DC397</f>
        <v>1</v>
      </c>
      <c r="Q1737" s="24">
        <f>'Data_in-situ'!DE397</f>
        <v>54.098360655737935</v>
      </c>
      <c r="R1737" s="24">
        <f>'Data_in-situ'!DF397</f>
        <v>51.563462642446027</v>
      </c>
      <c r="S1737" s="46">
        <f>'Data_in-situ'!DG397</f>
        <v>1</v>
      </c>
      <c r="T1737" s="113">
        <f>'Data_in-situ'!DN142</f>
        <v>101</v>
      </c>
      <c r="U1737" s="113">
        <f>'Data_in-situ'!DO142</f>
        <v>133.44811725910563</v>
      </c>
      <c r="V1737" s="46">
        <f>'Data_in-situ'!DP142</f>
        <v>3</v>
      </c>
      <c r="W1737" s="113">
        <f>'Data_in-situ'!DR142</f>
        <v>13</v>
      </c>
      <c r="X1737" s="113">
        <f>'Data_in-situ'!DS142</f>
        <v>25.93067681338071</v>
      </c>
      <c r="Y1737" s="46">
        <f>'Data_in-situ'!DT142</f>
        <v>10</v>
      </c>
      <c r="Z1737" s="113">
        <f>'Data_in-situ'!EA265</f>
        <v>7.7775227720516399E-2</v>
      </c>
      <c r="AA1737" s="113">
        <f>'Data_in-situ'!EB265</f>
        <v>0.21037856459857804</v>
      </c>
      <c r="AB1737" s="46">
        <f>'Data_in-situ'!EC265</f>
        <v>3</v>
      </c>
      <c r="AC1737" s="113">
        <f>'Data_in-situ'!EE265</f>
        <v>4.0070550788777477E-2</v>
      </c>
      <c r="AD1737" s="113">
        <f>'Data_in-situ'!EF265</f>
        <v>1.5796303365028162E-2</v>
      </c>
      <c r="AE1737" s="46">
        <f>'Data_in-situ'!EG265</f>
        <v>3</v>
      </c>
      <c r="AF1737" s="113">
        <f>'Data_in-situ'!EN87</f>
        <v>-20.85</v>
      </c>
      <c r="AG1737" s="113">
        <f>'Data_in-situ'!EO87</f>
        <v>5.42</v>
      </c>
      <c r="AH1737" s="110">
        <f>'Data_in-situ'!EP87</f>
        <v>3</v>
      </c>
      <c r="AI1737" s="113">
        <f>'Data_in-situ'!ER87</f>
        <v>-21.08</v>
      </c>
      <c r="AJ1737" s="113">
        <f>'Data_in-situ'!ES87</f>
        <v>7.29</v>
      </c>
      <c r="AK1737" s="110">
        <f>'Data_in-situ'!ET87</f>
        <v>3</v>
      </c>
    </row>
    <row r="1738" spans="2:37" x14ac:dyDescent="0.3">
      <c r="N1738" s="24">
        <f>'Data_in-situ'!DA398</f>
        <v>-1484.6994535519118</v>
      </c>
      <c r="O1738" s="24">
        <f>'Data_in-situ'!DB398</f>
        <v>4453.588453524826</v>
      </c>
      <c r="P1738" s="46">
        <f>'Data_in-situ'!DC398</f>
        <v>1</v>
      </c>
      <c r="Q1738" s="24">
        <f>'Data_in-situ'!DE398</f>
        <v>847.54098360655883</v>
      </c>
      <c r="R1738" s="24">
        <f>'Data_in-situ'!DF398</f>
        <v>807.82758139831913</v>
      </c>
      <c r="S1738" s="46">
        <f>'Data_in-situ'!DG398</f>
        <v>1</v>
      </c>
      <c r="T1738" s="113">
        <f>'Data_in-situ'!DN143</f>
        <v>51</v>
      </c>
      <c r="U1738" s="113">
        <f>'Data_in-situ'!DO143</f>
        <v>61.031958841249725</v>
      </c>
      <c r="V1738" s="46">
        <f>'Data_in-situ'!DP143</f>
        <v>3</v>
      </c>
      <c r="W1738" s="113">
        <f>'Data_in-situ'!DR143</f>
        <v>1</v>
      </c>
      <c r="X1738" s="113">
        <f>'Data_in-situ'!DS143</f>
        <v>5.6920997883030831</v>
      </c>
      <c r="Y1738" s="46">
        <f>'Data_in-situ'!DT143</f>
        <v>10</v>
      </c>
      <c r="Z1738" s="113">
        <f>'Data_in-situ'!EA266</f>
        <v>8.3674900420237147E-2</v>
      </c>
      <c r="AA1738" s="113">
        <f>'Data_in-situ'!EB266</f>
        <v>0.22267558913078545</v>
      </c>
      <c r="AB1738" s="46">
        <f>'Data_in-situ'!EC266</f>
        <v>3</v>
      </c>
      <c r="AC1738" s="113">
        <f>'Data_in-situ'!EE266</f>
        <v>0.1068548021034066</v>
      </c>
      <c r="AD1738" s="113">
        <f>'Data_in-situ'!EF266</f>
        <v>0.12190903765819365</v>
      </c>
      <c r="AE1738" s="46">
        <f>'Data_in-situ'!EG266</f>
        <v>3</v>
      </c>
      <c r="AF1738" s="113">
        <f>'Data_in-situ'!EN91</f>
        <v>-27.34</v>
      </c>
      <c r="AG1738" s="113">
        <f>'Data_in-situ'!EO91</f>
        <v>6.04</v>
      </c>
      <c r="AH1738" s="110">
        <f>'Data_in-situ'!EP91</f>
        <v>3</v>
      </c>
      <c r="AI1738" s="113">
        <f>'Data_in-situ'!ER91</f>
        <v>-42.07</v>
      </c>
      <c r="AJ1738" s="113">
        <f>'Data_in-situ'!ES91</f>
        <v>2.04</v>
      </c>
      <c r="AK1738" s="110">
        <f>'Data_in-situ'!ET91</f>
        <v>3</v>
      </c>
    </row>
    <row r="1739" spans="2:37" x14ac:dyDescent="0.3">
      <c r="N1739" s="24">
        <f>'Data_in-situ'!DA399</f>
        <v>-2037.7049180327876</v>
      </c>
      <c r="O1739" s="24">
        <f>'Data_in-situ'!DB399</f>
        <v>6112.4149220442005</v>
      </c>
      <c r="P1739" s="46">
        <f>'Data_in-situ'!DC399</f>
        <v>1</v>
      </c>
      <c r="Q1739" s="24">
        <f>'Data_in-situ'!DE399</f>
        <v>-571.03825136612102</v>
      </c>
      <c r="R1739" s="24">
        <f>'Data_in-situ'!DF399</f>
        <v>544.28099455915094</v>
      </c>
      <c r="S1739" s="46">
        <f>'Data_in-situ'!DG399</f>
        <v>1</v>
      </c>
      <c r="T1739" s="113">
        <f>'Data_in-situ'!DN144</f>
        <v>101</v>
      </c>
      <c r="U1739" s="113">
        <f>'Data_in-situ'!DO144</f>
        <v>133.44811725910563</v>
      </c>
      <c r="V1739" s="46">
        <f>'Data_in-situ'!DP144</f>
        <v>3</v>
      </c>
      <c r="W1739" s="113">
        <f>'Data_in-situ'!DR144</f>
        <v>17</v>
      </c>
      <c r="X1739" s="113">
        <f>'Data_in-situ'!DS144</f>
        <v>24.981993515330199</v>
      </c>
      <c r="Y1739" s="46">
        <f>'Data_in-situ'!DT144</f>
        <v>10</v>
      </c>
      <c r="Z1739" s="113">
        <f>'Data_in-situ'!EA268</f>
        <v>-1.2019807920443442E-2</v>
      </c>
      <c r="AA1739" s="113">
        <f>'Data_in-situ'!EB268</f>
        <v>6.5123648236046217E-2</v>
      </c>
      <c r="AB1739" s="46">
        <f>'Data_in-situ'!EC268</f>
        <v>3</v>
      </c>
      <c r="AC1739" s="113">
        <f>'Data_in-situ'!EE268</f>
        <v>2.8939842236339292E-2</v>
      </c>
      <c r="AD1739" s="113">
        <f>'Data_in-situ'!EF268</f>
        <v>6.2567123803824801E-2</v>
      </c>
      <c r="AE1739" s="46">
        <f>'Data_in-situ'!EG268</f>
        <v>3</v>
      </c>
      <c r="AF1739" s="113">
        <f>'Data_in-situ'!EN92</f>
        <v>-2.62</v>
      </c>
      <c r="AG1739" s="113">
        <f>'Data_in-situ'!EO92</f>
        <v>0.79</v>
      </c>
      <c r="AH1739" s="110">
        <f>'Data_in-situ'!EP92</f>
        <v>3</v>
      </c>
      <c r="AI1739" s="113">
        <f>'Data_in-situ'!ER92</f>
        <v>-21.88</v>
      </c>
      <c r="AJ1739" s="113">
        <f>'Data_in-situ'!ES92</f>
        <v>3.76</v>
      </c>
      <c r="AK1739" s="110">
        <f>'Data_in-situ'!ET92</f>
        <v>3</v>
      </c>
    </row>
    <row r="1740" spans="2:37" x14ac:dyDescent="0.3">
      <c r="N1740" s="24">
        <f>'Data_in-situ'!DA400</f>
        <v>30.769259991496654</v>
      </c>
      <c r="O1740" s="24">
        <f>'Data_in-situ'!DB400</f>
        <v>92.297212539414176</v>
      </c>
      <c r="P1740" s="46">
        <f>'Data_in-situ'!DC400</f>
        <v>1</v>
      </c>
      <c r="Q1740" s="24">
        <f>'Data_in-situ'!DE400</f>
        <v>-12.040273178424011</v>
      </c>
      <c r="R1740" s="24">
        <f>'Data_in-situ'!DF400</f>
        <v>11.476099621415464</v>
      </c>
      <c r="S1740" s="46">
        <f>'Data_in-situ'!DG400</f>
        <v>1</v>
      </c>
      <c r="T1740" s="113">
        <f>'Data_in-situ'!DN167</f>
        <v>2.9175154909077907</v>
      </c>
      <c r="U1740" s="113">
        <f>'Data_in-situ'!DO167</f>
        <v>16.507200000000001</v>
      </c>
      <c r="V1740" s="46">
        <f>'Data_in-situ'!DP167</f>
        <v>8</v>
      </c>
      <c r="W1740" s="113">
        <f>'Data_in-situ'!DR167</f>
        <v>-0.3033323434259278</v>
      </c>
      <c r="X1740" s="113">
        <f>'Data_in-situ'!DS167</f>
        <v>3.4939236241769644</v>
      </c>
      <c r="Y1740" s="46">
        <f>'Data_in-situ'!DT167</f>
        <v>8</v>
      </c>
      <c r="Z1740" s="113">
        <f>'Data_in-situ'!EA434</f>
        <v>0.31428571428571433</v>
      </c>
      <c r="AA1740" s="113">
        <f>'Data_in-situ'!EB434</f>
        <v>1.8071356230047548</v>
      </c>
      <c r="AB1740" s="46">
        <f>'Data_in-situ'!EC434</f>
        <v>3</v>
      </c>
      <c r="AC1740" s="113">
        <f>'Data_in-situ'!EE434</f>
        <v>14.614285714285716</v>
      </c>
      <c r="AD1740" s="113">
        <f>'Data_in-situ'!EF434</f>
        <v>21.821165534948449</v>
      </c>
      <c r="AE1740" s="46">
        <f>'Data_in-situ'!EG434</f>
        <v>3</v>
      </c>
      <c r="AF1740" s="113">
        <f>'Data_in-situ'!EN93</f>
        <v>-6.51</v>
      </c>
      <c r="AG1740" s="113">
        <f>'Data_in-situ'!EO93</f>
        <v>2.2799999999999998</v>
      </c>
      <c r="AH1740" s="110">
        <f>'Data_in-situ'!EP93</f>
        <v>3</v>
      </c>
      <c r="AI1740" s="113">
        <f>'Data_in-situ'!ER93</f>
        <v>-46.73</v>
      </c>
      <c r="AJ1740" s="113">
        <f>'Data_in-situ'!ES93</f>
        <v>5.78</v>
      </c>
      <c r="AK1740" s="110">
        <f>'Data_in-situ'!ET93</f>
        <v>3</v>
      </c>
    </row>
    <row r="1741" spans="2:37" x14ac:dyDescent="0.3">
      <c r="N1741" s="24">
        <f>'Data_in-situ'!DA401</f>
        <v>-9.9734758901814473</v>
      </c>
      <c r="O1741" s="24">
        <f>'Data_in-situ'!DB401</f>
        <v>29.917002366881579</v>
      </c>
      <c r="P1741" s="46">
        <f>'Data_in-situ'!DC401</f>
        <v>1</v>
      </c>
      <c r="Q1741" s="24">
        <f>'Data_in-situ'!DE401</f>
        <v>19.352622941849745</v>
      </c>
      <c r="R1741" s="24">
        <f>'Data_in-situ'!DF401</f>
        <v>18.445813107824229</v>
      </c>
      <c r="S1741" s="46">
        <f>'Data_in-situ'!DG401</f>
        <v>1</v>
      </c>
      <c r="T1741" s="113">
        <f>'Data_in-situ'!DN168</f>
        <v>11.795840386040403</v>
      </c>
      <c r="U1741" s="113">
        <f>'Data_in-situ'!DO168</f>
        <v>13.150938144632661</v>
      </c>
      <c r="V1741" s="46">
        <f>'Data_in-situ'!DP168</f>
        <v>3</v>
      </c>
      <c r="W1741" s="113">
        <f>'Data_in-situ'!DR168</f>
        <v>0.26812694984226471</v>
      </c>
      <c r="X1741" s="113">
        <f>'Data_in-situ'!DS168</f>
        <v>1.002048405980223</v>
      </c>
      <c r="Y1741" s="46">
        <f>'Data_in-situ'!DT168</f>
        <v>3</v>
      </c>
      <c r="Z1741" s="113">
        <f>'Data_in-situ'!EA435</f>
        <v>0.31428571428571433</v>
      </c>
      <c r="AA1741" s="113">
        <f>'Data_in-situ'!EB435</f>
        <v>1.8071356230047548</v>
      </c>
      <c r="AB1741" s="46">
        <f>'Data_in-situ'!EC435</f>
        <v>3</v>
      </c>
      <c r="AC1741" s="113">
        <f>'Data_in-situ'!EE435</f>
        <v>12.257142857142856</v>
      </c>
      <c r="AD1741" s="113">
        <f>'Data_in-situ'!EF435</f>
        <v>18.301622706730956</v>
      </c>
      <c r="AE1741" s="46">
        <f>'Data_in-situ'!EG435</f>
        <v>3</v>
      </c>
      <c r="AF1741" s="113">
        <f>'Data_in-situ'!EN94</f>
        <v>-10.75</v>
      </c>
      <c r="AG1741" s="113">
        <f>'Data_in-situ'!EO94</f>
        <v>1.853</v>
      </c>
      <c r="AH1741" s="110">
        <f>'Data_in-situ'!EP94</f>
        <v>3</v>
      </c>
      <c r="AI1741" s="113">
        <f>'Data_in-situ'!ER94</f>
        <v>-20.14</v>
      </c>
      <c r="AJ1741" s="113">
        <f>'Data_in-situ'!ES94</f>
        <v>1.87</v>
      </c>
      <c r="AK1741" s="110">
        <f>'Data_in-situ'!ET94</f>
        <v>3</v>
      </c>
    </row>
    <row r="1742" spans="2:37" x14ac:dyDescent="0.3">
      <c r="N1742" s="24">
        <f>'Data_in-situ'!DA402</f>
        <v>-18.763353277697291</v>
      </c>
      <c r="O1742" s="24">
        <f>'Data_in-situ'!DB402</f>
        <v>56.283615722391104</v>
      </c>
      <c r="P1742" s="46">
        <f>'Data_in-situ'!DC402</f>
        <v>1</v>
      </c>
      <c r="Q1742" s="24">
        <f>'Data_in-situ'!DE402</f>
        <v>-6.8429322993331425</v>
      </c>
      <c r="R1742" s="24">
        <f>'Data_in-situ'!DF402</f>
        <v>6.5222916129904451</v>
      </c>
      <c r="S1742" s="46">
        <f>'Data_in-situ'!DG402</f>
        <v>1</v>
      </c>
      <c r="T1742" s="113">
        <f>'Data_in-situ'!DN169</f>
        <v>14.661871345978286</v>
      </c>
      <c r="U1742" s="113">
        <f>'Data_in-situ'!DO169</f>
        <v>16.346216703958547</v>
      </c>
      <c r="V1742" s="46">
        <f>'Data_in-situ'!DP169</f>
        <v>3</v>
      </c>
      <c r="W1742" s="113">
        <f>'Data_in-situ'!DR169</f>
        <v>4.2578559634951523</v>
      </c>
      <c r="X1742" s="113">
        <f>'Data_in-situ'!DS169</f>
        <v>15.912528686965901</v>
      </c>
      <c r="Y1742" s="46">
        <f>'Data_in-situ'!DT169</f>
        <v>3</v>
      </c>
      <c r="Z1742" s="113">
        <f>'Data_in-situ'!EA444</f>
        <v>-0.35536232754524372</v>
      </c>
      <c r="AA1742" s="113">
        <f>'Data_in-situ'!EB444</f>
        <v>38.250757143327704</v>
      </c>
      <c r="AB1742" s="46">
        <f>'Data_in-situ'!EC444</f>
        <v>46</v>
      </c>
      <c r="AC1742" s="113">
        <f>'Data_in-situ'!EE444</f>
        <v>20.199714045305026</v>
      </c>
      <c r="AD1742" s="113">
        <f>'Data_in-situ'!EF444</f>
        <v>184.05347959835046</v>
      </c>
      <c r="AE1742" s="46">
        <f>'Data_in-situ'!EG444</f>
        <v>53</v>
      </c>
      <c r="AF1742" s="113">
        <f>'Data_in-situ'!EN95</f>
        <v>-24.62</v>
      </c>
      <c r="AG1742" s="113">
        <f>'Data_in-situ'!EO95</f>
        <v>6.88</v>
      </c>
      <c r="AH1742" s="110">
        <f>'Data_in-situ'!EP95</f>
        <v>3</v>
      </c>
      <c r="AI1742" s="113">
        <f>'Data_in-situ'!ER95</f>
        <v>-23.22</v>
      </c>
      <c r="AJ1742" s="113">
        <f>'Data_in-situ'!ES95</f>
        <v>6.41</v>
      </c>
      <c r="AK1742" s="110">
        <f>'Data_in-situ'!ET95</f>
        <v>3</v>
      </c>
    </row>
    <row r="1743" spans="2:37" x14ac:dyDescent="0.3">
      <c r="N1743" s="24">
        <f>'Data_in-situ'!DA403</f>
        <v>-23.457057300377045</v>
      </c>
      <c r="O1743" s="24">
        <f>'Data_in-situ'!DB403</f>
        <v>70.363115778554274</v>
      </c>
      <c r="P1743" s="46">
        <f>'Data_in-situ'!DC403</f>
        <v>1</v>
      </c>
      <c r="Q1743" s="24">
        <f>'Data_in-situ'!DE403</f>
        <v>24.206191269977069</v>
      </c>
      <c r="R1743" s="24">
        <f>'Data_in-situ'!DF403</f>
        <v>23.071956786420301</v>
      </c>
      <c r="S1743" s="46">
        <f>'Data_in-situ'!DG403</f>
        <v>1</v>
      </c>
      <c r="T1743" s="113">
        <f>'Data_in-situ'!DN170</f>
        <v>5.1084348128521384</v>
      </c>
      <c r="U1743" s="113">
        <f>'Data_in-situ'!DO170</f>
        <v>5.6952881728724067</v>
      </c>
      <c r="V1743" s="46">
        <f>'Data_in-situ'!DP170</f>
        <v>3</v>
      </c>
      <c r="W1743" s="113">
        <f>'Data_in-situ'!DR170</f>
        <v>-0.69713006958988755</v>
      </c>
      <c r="X1743" s="113">
        <f>'Data_in-situ'!DS170</f>
        <v>2.6053258555485774</v>
      </c>
      <c r="Y1743" s="46">
        <f>'Data_in-situ'!DT170</f>
        <v>3</v>
      </c>
      <c r="AF1743" s="113">
        <f>'Data_in-situ'!EN96</f>
        <v>-6.95</v>
      </c>
      <c r="AG1743" s="113">
        <f>'Data_in-situ'!EO96</f>
        <v>1.41</v>
      </c>
      <c r="AH1743" s="110">
        <f>'Data_in-situ'!EP96</f>
        <v>3</v>
      </c>
      <c r="AI1743" s="113">
        <f>'Data_in-situ'!ER96</f>
        <v>-21.5</v>
      </c>
      <c r="AJ1743" s="113">
        <f>'Data_in-situ'!ES96</f>
        <v>1.76</v>
      </c>
      <c r="AK1743" s="110">
        <f>'Data_in-situ'!ET96</f>
        <v>3</v>
      </c>
    </row>
    <row r="1744" spans="2:37" x14ac:dyDescent="0.3">
      <c r="N1744" s="24">
        <f>'Data_in-situ'!DA404</f>
        <v>-17.240747700053362</v>
      </c>
      <c r="O1744" s="24">
        <f>'Data_in-situ'!DB404</f>
        <v>1.8994060532667709</v>
      </c>
      <c r="P1744" s="46">
        <f>'Data_in-situ'!DC404</f>
        <v>4</v>
      </c>
      <c r="Q1744" s="24">
        <f>'Data_in-situ'!DE404</f>
        <v>-533.77396104632658</v>
      </c>
      <c r="R1744" s="24">
        <f>'Data_in-situ'!DF404</f>
        <v>650.20080041312121</v>
      </c>
      <c r="S1744" s="46">
        <f>'Data_in-situ'!DG404</f>
        <v>4</v>
      </c>
      <c r="T1744" s="113">
        <f>'Data_in-situ'!DN171</f>
        <v>8.2133016861181183</v>
      </c>
      <c r="U1744" s="113">
        <f>'Data_in-situ'!DO171</f>
        <v>9.1568399454753813</v>
      </c>
      <c r="V1744" s="46">
        <f>'Data_in-situ'!DP171</f>
        <v>3</v>
      </c>
      <c r="W1744" s="113">
        <f>'Data_in-situ'!DR171</f>
        <v>3.0351970722144359</v>
      </c>
      <c r="X1744" s="113">
        <f>'Data_in-situ'!DS171</f>
        <v>11.343187955696123</v>
      </c>
      <c r="Y1744" s="46">
        <f>'Data_in-situ'!DT171</f>
        <v>3</v>
      </c>
      <c r="AF1744" s="113">
        <f>'Data_in-situ'!EN97</f>
        <v>-14.43</v>
      </c>
      <c r="AG1744" s="113">
        <f>'Data_in-situ'!EO97</f>
        <v>3.89</v>
      </c>
      <c r="AH1744" s="110">
        <f>'Data_in-situ'!EP97</f>
        <v>3</v>
      </c>
      <c r="AI1744" s="113">
        <f>'Data_in-situ'!ER97</f>
        <v>-28.3</v>
      </c>
      <c r="AJ1744" s="113">
        <f>'Data_in-situ'!ES97</f>
        <v>4.55</v>
      </c>
      <c r="AK1744" s="110">
        <f>'Data_in-situ'!ET97</f>
        <v>3</v>
      </c>
    </row>
    <row r="1745" spans="14:37" x14ac:dyDescent="0.3">
      <c r="N1745" s="24">
        <f>'Data_in-situ'!DA405</f>
        <v>-585.95990229422614</v>
      </c>
      <c r="O1745" s="24">
        <f>'Data_in-situ'!DB405</f>
        <v>247.14424390137435</v>
      </c>
      <c r="P1745" s="46">
        <f>'Data_in-situ'!DC405</f>
        <v>4</v>
      </c>
      <c r="Q1745" s="24">
        <f>'Data_in-situ'!DE405</f>
        <v>-566.79323953657467</v>
      </c>
      <c r="R1745" s="24">
        <f>'Data_in-situ'!DF405</f>
        <v>690.43890345404782</v>
      </c>
      <c r="S1745" s="46">
        <f>'Data_in-situ'!DG405</f>
        <v>4</v>
      </c>
      <c r="T1745" s="113">
        <f>'Data_in-situ'!DN195</f>
        <v>157.55702481107656</v>
      </c>
      <c r="U1745" s="113">
        <f>'Data_in-situ'!DO195</f>
        <v>48.678566846799022</v>
      </c>
      <c r="V1745" s="46">
        <f>'Data_in-situ'!DP195</f>
        <v>3</v>
      </c>
      <c r="W1745" s="113">
        <f>'Data_in-situ'!DR195</f>
        <v>113.18254393770165</v>
      </c>
      <c r="X1745" s="113">
        <f>'Data_in-situ'!DS195</f>
        <v>73.207043848592377</v>
      </c>
      <c r="Y1745" s="46">
        <f>'Data_in-situ'!DT195</f>
        <v>3</v>
      </c>
      <c r="AF1745" s="113">
        <f>'Data_in-situ'!EN104</f>
        <v>-27.34</v>
      </c>
      <c r="AG1745" s="113">
        <f>'Data_in-situ'!EO104</f>
        <v>6.04</v>
      </c>
      <c r="AH1745" s="110">
        <f>'Data_in-situ'!EP104</f>
        <v>3</v>
      </c>
      <c r="AI1745" s="113">
        <f>'Data_in-situ'!ER104</f>
        <v>-42.07</v>
      </c>
      <c r="AJ1745" s="113">
        <f>'Data_in-situ'!ES104</f>
        <v>2.04</v>
      </c>
      <c r="AK1745" s="110">
        <f>'Data_in-situ'!ET104</f>
        <v>3</v>
      </c>
    </row>
    <row r="1746" spans="14:37" x14ac:dyDescent="0.3">
      <c r="N1746" s="24">
        <f>'Data_in-situ'!DA406</f>
        <v>-195.7496632813195</v>
      </c>
      <c r="O1746" s="24">
        <f>'Data_in-situ'!DB406</f>
        <v>14.333494088181441</v>
      </c>
      <c r="P1746" s="46">
        <f>'Data_in-situ'!DC406</f>
        <v>4</v>
      </c>
      <c r="Q1746" s="24">
        <f>'Data_in-situ'!DE406</f>
        <v>-1293.4601988576735</v>
      </c>
      <c r="R1746" s="24">
        <f>'Data_in-situ'!DF406</f>
        <v>1575.5989774270381</v>
      </c>
      <c r="S1746" s="46">
        <f>'Data_in-situ'!DG406</f>
        <v>4</v>
      </c>
      <c r="T1746" s="113">
        <f>'Data_in-situ'!DN196</f>
        <v>20.372391781452269</v>
      </c>
      <c r="U1746" s="113">
        <f>'Data_in-situ'!DO196</f>
        <v>47.083328695005008</v>
      </c>
      <c r="V1746" s="46">
        <f>'Data_in-situ'!DP196</f>
        <v>3</v>
      </c>
      <c r="W1746" s="113">
        <f>'Data_in-situ'!DR196</f>
        <v>23.189276423209868</v>
      </c>
      <c r="X1746" s="113">
        <f>'Data_in-situ'!DS196</f>
        <v>55.90659464438842</v>
      </c>
      <c r="Y1746" s="46">
        <f>'Data_in-situ'!DT196</f>
        <v>3</v>
      </c>
      <c r="AF1746" s="113">
        <f>'Data_in-situ'!EN105</f>
        <v>-27.34</v>
      </c>
      <c r="AG1746" s="113">
        <f>'Data_in-situ'!EO105</f>
        <v>6.04</v>
      </c>
      <c r="AH1746" s="110">
        <f>'Data_in-situ'!EP105</f>
        <v>3</v>
      </c>
      <c r="AI1746" s="113">
        <f>'Data_in-situ'!ER105</f>
        <v>-42.07</v>
      </c>
      <c r="AJ1746" s="113">
        <f>'Data_in-situ'!ES105</f>
        <v>2.04</v>
      </c>
      <c r="AK1746" s="110">
        <f>'Data_in-situ'!ET105</f>
        <v>3</v>
      </c>
    </row>
    <row r="1747" spans="14:37" x14ac:dyDescent="0.3">
      <c r="N1747" s="24">
        <f>'Data_in-situ'!DA407</f>
        <v>-774.06267220291306</v>
      </c>
      <c r="O1747" s="24">
        <f>'Data_in-situ'!DB407</f>
        <v>326.74240251044733</v>
      </c>
      <c r="P1747" s="46">
        <f>'Data_in-situ'!DC407</f>
        <v>4</v>
      </c>
      <c r="Q1747" s="24">
        <f>'Data_in-situ'!DE407</f>
        <v>-1399.9605866010202</v>
      </c>
      <c r="R1747" s="24">
        <f>'Data_in-situ'!DF407</f>
        <v>96.005553517597278</v>
      </c>
      <c r="S1747" s="46">
        <f>'Data_in-situ'!DG407</f>
        <v>4</v>
      </c>
      <c r="T1747" s="113">
        <f>'Data_in-situ'!DN197</f>
        <v>155.82698820258872</v>
      </c>
      <c r="U1747" s="113">
        <f>'Data_in-situ'!DO197</f>
        <v>23.032741265577613</v>
      </c>
      <c r="V1747" s="46">
        <f>'Data_in-situ'!DP197</f>
        <v>3</v>
      </c>
      <c r="W1747" s="113">
        <f>'Data_in-situ'!DR197</f>
        <v>112.44558555457438</v>
      </c>
      <c r="X1747" s="113">
        <f>'Data_in-situ'!DS197</f>
        <v>45.444038695017397</v>
      </c>
      <c r="Y1747" s="46">
        <f>'Data_in-situ'!DT197</f>
        <v>3</v>
      </c>
      <c r="AF1747" s="113">
        <f>'Data_in-situ'!EN106</f>
        <v>-2.62</v>
      </c>
      <c r="AG1747" s="113">
        <f>'Data_in-situ'!EO106</f>
        <v>0.79</v>
      </c>
      <c r="AH1747" s="110">
        <f>'Data_in-situ'!EP106</f>
        <v>3</v>
      </c>
      <c r="AI1747" s="113">
        <f>'Data_in-situ'!ER106</f>
        <v>-21.88</v>
      </c>
      <c r="AJ1747" s="113">
        <f>'Data_in-situ'!ES106</f>
        <v>3.76</v>
      </c>
      <c r="AK1747" s="110">
        <f>'Data_in-situ'!ET106</f>
        <v>3</v>
      </c>
    </row>
    <row r="1748" spans="14:37" x14ac:dyDescent="0.3">
      <c r="N1748" s="24">
        <f>'Data_in-situ'!DA408</f>
        <v>-401.69898954302357</v>
      </c>
      <c r="O1748" s="24">
        <f>'Data_in-situ'!DB408</f>
        <v>32.172723320258399</v>
      </c>
      <c r="P1748" s="46">
        <f>'Data_in-situ'!DC408</f>
        <v>4</v>
      </c>
      <c r="Q1748" s="24">
        <f>'Data_in-situ'!DE408</f>
        <v>-352.51588580313341</v>
      </c>
      <c r="R1748" s="24">
        <f>'Data_in-situ'!DF408</f>
        <v>429.43708601551509</v>
      </c>
      <c r="S1748" s="46">
        <f>'Data_in-situ'!DG408</f>
        <v>4</v>
      </c>
      <c r="T1748" s="113">
        <f>'Data_in-situ'!DN198</f>
        <v>26.090957895544143</v>
      </c>
      <c r="U1748" s="113">
        <f>'Data_in-situ'!DO198</f>
        <v>4.5126597497032837</v>
      </c>
      <c r="V1748" s="46">
        <f>'Data_in-situ'!DP198</f>
        <v>3</v>
      </c>
      <c r="W1748" s="113">
        <f>'Data_in-situ'!DR198</f>
        <v>36.800373454224456</v>
      </c>
      <c r="X1748" s="113">
        <f>'Data_in-situ'!DS198</f>
        <v>16.18313151345119</v>
      </c>
      <c r="Y1748" s="46">
        <f>'Data_in-situ'!DT198</f>
        <v>3</v>
      </c>
      <c r="AF1748" s="113">
        <f>'Data_in-situ'!EN107</f>
        <v>-6.51</v>
      </c>
      <c r="AG1748" s="113">
        <f>'Data_in-situ'!EO107</f>
        <v>2.2799999999999998</v>
      </c>
      <c r="AH1748" s="110">
        <f>'Data_in-situ'!EP107</f>
        <v>3</v>
      </c>
      <c r="AI1748" s="113">
        <f>'Data_in-situ'!ER107</f>
        <v>-46.73</v>
      </c>
      <c r="AJ1748" s="113">
        <f>'Data_in-situ'!ES107</f>
        <v>5.78</v>
      </c>
      <c r="AK1748" s="110">
        <f>'Data_in-situ'!ET107</f>
        <v>3</v>
      </c>
    </row>
    <row r="1749" spans="14:37" x14ac:dyDescent="0.3">
      <c r="N1749" s="24">
        <f>'Data_in-situ'!DA412</f>
        <v>-1222.9909445995581</v>
      </c>
      <c r="O1749" s="24">
        <f>'Data_in-situ'!DB412</f>
        <v>291.56979829815799</v>
      </c>
      <c r="P1749" s="46">
        <f>'Data_in-situ'!DC412</f>
        <v>3</v>
      </c>
      <c r="Q1749" s="24">
        <f>'Data_in-situ'!DE412</f>
        <v>953.91152591835998</v>
      </c>
      <c r="R1749" s="24">
        <f>'Data_in-situ'!DF412</f>
        <v>1166.1567239388746</v>
      </c>
      <c r="S1749" s="46">
        <f>'Data_in-situ'!DG412</f>
        <v>3</v>
      </c>
      <c r="T1749" s="113">
        <f>'Data_in-situ'!DN206</f>
        <v>463.27543921409523</v>
      </c>
      <c r="U1749" s="113">
        <f>'Data_in-situ'!DO206</f>
        <v>273.82684401702096</v>
      </c>
      <c r="V1749" s="46">
        <f>'Data_in-situ'!DP206</f>
        <v>10</v>
      </c>
      <c r="W1749" s="113">
        <f>'Data_in-situ'!DR206</f>
        <v>96.95483735641497</v>
      </c>
      <c r="X1749" s="113">
        <f>'Data_in-situ'!DS206</f>
        <v>59.158355726925045</v>
      </c>
      <c r="Y1749" s="46">
        <f>'Data_in-situ'!DT206</f>
        <v>10</v>
      </c>
      <c r="AF1749" s="113">
        <f>'Data_in-situ'!EN108</f>
        <v>-10.75</v>
      </c>
      <c r="AG1749" s="113">
        <f>'Data_in-situ'!EO108</f>
        <v>1.853</v>
      </c>
      <c r="AH1749" s="110">
        <f>'Data_in-situ'!EP108</f>
        <v>3</v>
      </c>
      <c r="AI1749" s="113">
        <f>'Data_in-situ'!ER108</f>
        <v>-20.14</v>
      </c>
      <c r="AJ1749" s="113">
        <f>'Data_in-situ'!ES108</f>
        <v>1.87</v>
      </c>
      <c r="AK1749" s="110">
        <f>'Data_in-situ'!ET108</f>
        <v>3</v>
      </c>
    </row>
    <row r="1750" spans="14:37" x14ac:dyDescent="0.3">
      <c r="N1750" s="24">
        <f>'Data_in-situ'!DA413</f>
        <v>-1089.4376152325895</v>
      </c>
      <c r="O1750" s="24">
        <f>'Data_in-situ'!DB413</f>
        <v>396.38137595921512</v>
      </c>
      <c r="P1750" s="46">
        <f>'Data_in-situ'!DC413</f>
        <v>3</v>
      </c>
      <c r="Q1750" s="24">
        <f>'Data_in-situ'!DE413</f>
        <v>518.32053666534375</v>
      </c>
      <c r="R1750" s="24">
        <f>'Data_in-situ'!DF413</f>
        <v>639.04094931753639</v>
      </c>
      <c r="S1750" s="46">
        <f>'Data_in-situ'!DG413</f>
        <v>3</v>
      </c>
      <c r="T1750" s="113">
        <f>'Data_in-situ'!DN207</f>
        <v>-3.4702280090943463</v>
      </c>
      <c r="U1750" s="113">
        <f>'Data_in-situ'!DO207</f>
        <v>1.9645331933110226</v>
      </c>
      <c r="V1750" s="46">
        <f>'Data_in-situ'!DP207</f>
        <v>10</v>
      </c>
      <c r="W1750" s="113">
        <f>'Data_in-situ'!DR207</f>
        <v>5.0366149276059726</v>
      </c>
      <c r="X1750" s="113">
        <f>'Data_in-situ'!DS207</f>
        <v>17.873807602780403</v>
      </c>
      <c r="Y1750" s="46">
        <f>'Data_in-situ'!DT207</f>
        <v>10</v>
      </c>
      <c r="AF1750" s="113">
        <f>'Data_in-situ'!EN109</f>
        <v>-24.62</v>
      </c>
      <c r="AG1750" s="113">
        <f>'Data_in-situ'!EO109</f>
        <v>6.88</v>
      </c>
      <c r="AH1750" s="110">
        <f>'Data_in-situ'!EP109</f>
        <v>3</v>
      </c>
      <c r="AI1750" s="113">
        <f>'Data_in-situ'!ER109</f>
        <v>-23.22</v>
      </c>
      <c r="AJ1750" s="113">
        <f>'Data_in-situ'!ES109</f>
        <v>6.41</v>
      </c>
      <c r="AK1750" s="110">
        <f>'Data_in-situ'!ET109</f>
        <v>3</v>
      </c>
    </row>
    <row r="1751" spans="14:37" x14ac:dyDescent="0.3">
      <c r="N1751" s="24">
        <f>'Data_in-situ'!DA447</f>
        <v>-4783.7690721649478</v>
      </c>
      <c r="O1751" s="24">
        <f>'Data_in-situ'!DB447</f>
        <v>1766.9819161761379</v>
      </c>
      <c r="P1751" s="46">
        <f>'Data_in-situ'!DC447</f>
        <v>3</v>
      </c>
      <c r="Q1751" s="24">
        <f>'Data_in-situ'!DE447</f>
        <v>-17986.9717113402</v>
      </c>
      <c r="R1751" s="24">
        <f>'Data_in-situ'!DF447</f>
        <v>3327.1138134409139</v>
      </c>
      <c r="S1751" s="46">
        <f>'Data_in-situ'!DG447</f>
        <v>3</v>
      </c>
      <c r="T1751" s="113">
        <f>'Data_in-situ'!DN208</f>
        <v>576.05784950966154</v>
      </c>
      <c r="U1751" s="113">
        <f>'Data_in-situ'!DO208</f>
        <v>329.18150586510939</v>
      </c>
      <c r="V1751" s="46">
        <f>'Data_in-situ'!DP208</f>
        <v>4</v>
      </c>
      <c r="W1751" s="113">
        <f>'Data_in-situ'!DR208</f>
        <v>132.21114184965677</v>
      </c>
      <c r="X1751" s="113">
        <f>'Data_in-situ'!DS208</f>
        <v>124.13591126677807</v>
      </c>
      <c r="Y1751" s="46">
        <f>'Data_in-situ'!DT208</f>
        <v>4</v>
      </c>
      <c r="AF1751" s="113">
        <f>'Data_in-situ'!EN110</f>
        <v>-6.95</v>
      </c>
      <c r="AG1751" s="113">
        <f>'Data_in-situ'!EO110</f>
        <v>1.41</v>
      </c>
      <c r="AH1751" s="110">
        <f>'Data_in-situ'!EP110</f>
        <v>3</v>
      </c>
      <c r="AI1751" s="113">
        <f>'Data_in-situ'!ER110</f>
        <v>-21.5</v>
      </c>
      <c r="AJ1751" s="113">
        <f>'Data_in-situ'!ES110</f>
        <v>1.76</v>
      </c>
      <c r="AK1751" s="110">
        <f>'Data_in-situ'!ET110</f>
        <v>3</v>
      </c>
    </row>
    <row r="1752" spans="14:37" x14ac:dyDescent="0.3">
      <c r="T1752" s="113">
        <f>'Data_in-situ'!DN209</f>
        <v>-5.2053420136415198</v>
      </c>
      <c r="U1752" s="113">
        <f>'Data_in-situ'!DO209</f>
        <v>2.2181869265634826</v>
      </c>
      <c r="V1752" s="46">
        <f>'Data_in-situ'!DP209</f>
        <v>4</v>
      </c>
      <c r="W1752" s="113">
        <f>'Data_in-situ'!DR209</f>
        <v>-1.2591537319014932</v>
      </c>
      <c r="X1752" s="113">
        <f>'Data_in-situ'!DS209</f>
        <v>2.6242999817463004</v>
      </c>
      <c r="Y1752" s="46">
        <f>'Data_in-situ'!DT209</f>
        <v>4</v>
      </c>
      <c r="AF1752" s="113">
        <f>'Data_in-situ'!EN111</f>
        <v>-14.43</v>
      </c>
      <c r="AG1752" s="113">
        <f>'Data_in-situ'!EO111</f>
        <v>3.89</v>
      </c>
      <c r="AH1752" s="110">
        <f>'Data_in-situ'!EP111</f>
        <v>3</v>
      </c>
      <c r="AI1752" s="113">
        <f>'Data_in-situ'!ER111</f>
        <v>-28.3</v>
      </c>
      <c r="AJ1752" s="113">
        <f>'Data_in-situ'!ES111</f>
        <v>4.55</v>
      </c>
      <c r="AK1752" s="110">
        <f>'Data_in-situ'!ET111</f>
        <v>3</v>
      </c>
    </row>
    <row r="1753" spans="14:37" x14ac:dyDescent="0.3">
      <c r="T1753" s="113">
        <f>'Data_in-situ'!DN210</f>
        <v>34.702280090943461</v>
      </c>
      <c r="U1753" s="113">
        <f>'Data_in-situ'!DO210</f>
        <v>38.688853360019664</v>
      </c>
      <c r="V1753" s="46">
        <f>'Data_in-situ'!DP210</f>
        <v>10</v>
      </c>
      <c r="W1753" s="113">
        <f>'Data_in-situ'!DR210</f>
        <v>27.701382101832849</v>
      </c>
      <c r="X1753" s="113">
        <f>'Data_in-situ'!DS210</f>
        <v>103.52605657476954</v>
      </c>
      <c r="Y1753" s="46">
        <f>'Data_in-situ'!DT210</f>
        <v>10</v>
      </c>
      <c r="AF1753" s="113">
        <f>'Data_in-situ'!EN128</f>
        <v>-7.08</v>
      </c>
      <c r="AG1753" s="113">
        <f>'Data_in-situ'!EO128</f>
        <v>2.8850745031591569</v>
      </c>
      <c r="AH1753" s="110">
        <f>'Data_in-situ'!EP128</f>
        <v>18</v>
      </c>
      <c r="AI1753" s="113">
        <f>'Data_in-situ'!ER128</f>
        <v>-15.22</v>
      </c>
      <c r="AJ1753" s="113">
        <f>'Data_in-situ'!ES128</f>
        <v>3.4521098944099355</v>
      </c>
      <c r="AK1753" s="110">
        <f>'Data_in-situ'!ET128</f>
        <v>18</v>
      </c>
    </row>
    <row r="1754" spans="14:37" x14ac:dyDescent="0.3">
      <c r="T1754" s="113">
        <f>'Data_in-situ'!DN211</f>
        <v>679.54671344272833</v>
      </c>
      <c r="U1754" s="113">
        <f>'Data_in-situ'!DO211</f>
        <v>860.0591867401946</v>
      </c>
      <c r="V1754" s="46">
        <f>'Data_in-situ'!DP211</f>
        <v>46</v>
      </c>
      <c r="W1754" s="113">
        <f>'Data_in-situ'!DR211</f>
        <v>15.65177995944169</v>
      </c>
      <c r="X1754" s="113">
        <f>'Data_in-situ'!DS211</f>
        <v>24.385487937237958</v>
      </c>
      <c r="Y1754" s="46">
        <f>'Data_in-situ'!DT211</f>
        <v>73</v>
      </c>
      <c r="AF1754" s="113">
        <f>'Data_in-situ'!EN129</f>
        <v>-7.08</v>
      </c>
      <c r="AG1754" s="113">
        <f>'Data_in-situ'!EO129</f>
        <v>2.8850745031591569</v>
      </c>
      <c r="AH1754" s="110">
        <f>'Data_in-situ'!EP129</f>
        <v>18</v>
      </c>
      <c r="AI1754" s="113">
        <f>'Data_in-situ'!ER129</f>
        <v>-36.11</v>
      </c>
      <c r="AJ1754" s="113">
        <f>'Data_in-situ'!ES129</f>
        <v>8.190255472217002</v>
      </c>
      <c r="AK1754" s="110">
        <f>'Data_in-situ'!ET129</f>
        <v>18</v>
      </c>
    </row>
    <row r="1755" spans="14:37" x14ac:dyDescent="0.3">
      <c r="T1755" s="113">
        <f>'Data_in-situ'!DN212</f>
        <v>70.824570735895975</v>
      </c>
      <c r="U1755" s="113">
        <f>'Data_in-situ'!DO212</f>
        <v>78.960847077092538</v>
      </c>
      <c r="V1755" s="46">
        <f>'Data_in-situ'!DP212</f>
        <v>46</v>
      </c>
      <c r="W1755" s="113">
        <f>'Data_in-situ'!DR212</f>
        <v>-0.12589285714285717</v>
      </c>
      <c r="X1755" s="113">
        <f>'Data_in-situ'!DS212</f>
        <v>0.47048883709193973</v>
      </c>
      <c r="Y1755" s="46">
        <f>'Data_in-situ'!DT212</f>
        <v>66</v>
      </c>
      <c r="AF1755" s="113">
        <f>'Data_in-situ'!EN130</f>
        <v>-12.04</v>
      </c>
      <c r="AG1755" s="113">
        <f>'Data_in-situ'!EO130</f>
        <v>4.9062566409655712</v>
      </c>
      <c r="AH1755" s="110">
        <f>'Data_in-situ'!EP130</f>
        <v>18</v>
      </c>
      <c r="AI1755" s="113">
        <f>'Data_in-situ'!ER130</f>
        <v>-15.22</v>
      </c>
      <c r="AJ1755" s="113">
        <f>'Data_in-situ'!ES130</f>
        <v>3.4521098944099355</v>
      </c>
      <c r="AK1755" s="110">
        <f>'Data_in-situ'!ET130</f>
        <v>18</v>
      </c>
    </row>
    <row r="1756" spans="14:37" x14ac:dyDescent="0.3">
      <c r="T1756" s="113">
        <f>'Data_in-situ'!DN270</f>
        <v>9.7529199020319588</v>
      </c>
      <c r="U1756" s="113">
        <f>'Data_in-situ'!DO270</f>
        <v>10.616164230838427</v>
      </c>
      <c r="V1756" s="46">
        <f>'Data_in-situ'!DP270</f>
        <v>20</v>
      </c>
      <c r="W1756" s="113">
        <f>'Data_in-situ'!DR270</f>
        <v>1.5362827803916344E-2</v>
      </c>
      <c r="X1756" s="113">
        <f>'Data_in-situ'!DS270</f>
        <v>0.60544514040223285</v>
      </c>
      <c r="Y1756" s="46">
        <f>'Data_in-situ'!DT270</f>
        <v>20</v>
      </c>
      <c r="AF1756" s="113">
        <f>'Data_in-situ'!EN131</f>
        <v>-12.04</v>
      </c>
      <c r="AG1756" s="113">
        <f>'Data_in-situ'!EO131</f>
        <v>4.9062566409655712</v>
      </c>
      <c r="AH1756" s="110">
        <f>'Data_in-situ'!EP131</f>
        <v>18</v>
      </c>
      <c r="AI1756" s="113">
        <f>'Data_in-situ'!ER131</f>
        <v>-24.07</v>
      </c>
      <c r="AJ1756" s="113">
        <f>'Data_in-situ'!ES131</f>
        <v>5.459414267966304</v>
      </c>
      <c r="AK1756" s="110">
        <f>'Data_in-situ'!ET131</f>
        <v>18</v>
      </c>
    </row>
    <row r="1757" spans="14:37" x14ac:dyDescent="0.3">
      <c r="T1757" s="113">
        <f>'Data_in-situ'!DN316</f>
        <v>93.1</v>
      </c>
      <c r="U1757" s="113">
        <f>'Data_in-situ'!DO316</f>
        <v>103.79526182078902</v>
      </c>
      <c r="V1757" s="46">
        <f>'Data_in-situ'!DP316</f>
        <v>18</v>
      </c>
      <c r="W1757" s="113">
        <f>'Data_in-situ'!DR316</f>
        <v>32.799999999999997</v>
      </c>
      <c r="X1757" s="113">
        <f>'Data_in-situ'!DS316</f>
        <v>122.58069446389712</v>
      </c>
      <c r="Y1757" s="46">
        <f>'Data_in-situ'!DT316</f>
        <v>18</v>
      </c>
      <c r="AF1757" s="113">
        <f>'Data_in-situ'!EN132</f>
        <v>-4.96</v>
      </c>
      <c r="AG1757" s="113">
        <f>'Data_in-situ'!EO132</f>
        <v>2.0211821378064148</v>
      </c>
      <c r="AH1757" s="110">
        <f>'Data_in-situ'!EP132</f>
        <v>21</v>
      </c>
      <c r="AI1757" s="113">
        <f>'Data_in-situ'!ER132</f>
        <v>-10.09</v>
      </c>
      <c r="AJ1757" s="113">
        <f>'Data_in-situ'!ES132</f>
        <v>2.2885537999077692</v>
      </c>
      <c r="AK1757" s="110">
        <f>'Data_in-situ'!ET132</f>
        <v>21</v>
      </c>
    </row>
    <row r="1758" spans="14:37" x14ac:dyDescent="0.3">
      <c r="T1758" s="113">
        <f>'Data_in-situ'!DN317</f>
        <v>82.2</v>
      </c>
      <c r="U1758" s="113">
        <f>'Data_in-situ'!DO317</f>
        <v>91.643077568945841</v>
      </c>
      <c r="V1758" s="46">
        <f>'Data_in-situ'!DP317</f>
        <v>15</v>
      </c>
      <c r="W1758" s="113">
        <f>'Data_in-situ'!DR317</f>
        <v>27.8</v>
      </c>
      <c r="X1758" s="113">
        <f>'Data_in-situ'!DS317</f>
        <v>103.89461299074208</v>
      </c>
      <c r="Y1758" s="46">
        <f>'Data_in-situ'!DT317</f>
        <v>15</v>
      </c>
      <c r="AF1758" s="113">
        <f>'Data_in-situ'!EN133</f>
        <v>-4.96</v>
      </c>
      <c r="AG1758" s="113">
        <f>'Data_in-situ'!EO133</f>
        <v>2.0211821378064148</v>
      </c>
      <c r="AH1758" s="110">
        <f>'Data_in-situ'!EP133</f>
        <v>21</v>
      </c>
      <c r="AI1758" s="113">
        <f>'Data_in-situ'!ER133</f>
        <v>-14.16</v>
      </c>
      <c r="AJ1758" s="113">
        <f>'Data_in-situ'!ES133</f>
        <v>3.2116869976901894</v>
      </c>
      <c r="AK1758" s="110">
        <f>'Data_in-situ'!ET133</f>
        <v>21</v>
      </c>
    </row>
    <row r="1759" spans="14:37" x14ac:dyDescent="0.3">
      <c r="T1759" s="113">
        <f>'Data_in-situ'!DN318</f>
        <v>57.9</v>
      </c>
      <c r="U1759" s="113">
        <f>'Data_in-situ'!DO318</f>
        <v>64.551510842359662</v>
      </c>
      <c r="V1759" s="46">
        <f>'Data_in-situ'!DP318</f>
        <v>18</v>
      </c>
      <c r="W1759" s="113">
        <f>'Data_in-situ'!DR318</f>
        <v>31.7</v>
      </c>
      <c r="X1759" s="113">
        <f>'Data_in-situ'!DS318</f>
        <v>118.46975653980302</v>
      </c>
      <c r="Y1759" s="46">
        <f>'Data_in-situ'!DT318</f>
        <v>18</v>
      </c>
      <c r="AF1759" s="113">
        <f>'Data_in-situ'!EN135</f>
        <v>-6.8927332639611532</v>
      </c>
      <c r="AG1759" s="113">
        <f>'Data_in-situ'!EO135</f>
        <v>1.3328157064282187</v>
      </c>
      <c r="AH1759" s="110">
        <f>'Data_in-situ'!EP135</f>
        <v>3</v>
      </c>
      <c r="AI1759" s="113">
        <f>'Data_in-situ'!ER135</f>
        <v>-25.764809902740932</v>
      </c>
      <c r="AJ1759" s="113">
        <f>'Data_in-situ'!ES135</f>
        <v>2.3806323207959159</v>
      </c>
      <c r="AK1759" s="110">
        <f>'Data_in-situ'!ET135</f>
        <v>3</v>
      </c>
    </row>
    <row r="1760" spans="14:37" x14ac:dyDescent="0.3">
      <c r="T1760" s="113">
        <f>'Data_in-situ'!DN319</f>
        <v>38.4</v>
      </c>
      <c r="U1760" s="113">
        <f>'Data_in-situ'!DO319</f>
        <v>42.81136470374112</v>
      </c>
      <c r="V1760" s="46">
        <f>'Data_in-situ'!DP319</f>
        <v>12</v>
      </c>
      <c r="W1760" s="113">
        <f>'Data_in-situ'!DR319</f>
        <v>22.1</v>
      </c>
      <c r="X1760" s="113">
        <f>'Data_in-situ'!DS319</f>
        <v>82.592480111345324</v>
      </c>
      <c r="Y1760" s="46">
        <f>'Data_in-situ'!DT319</f>
        <v>12</v>
      </c>
      <c r="AF1760" s="113">
        <f>'Data_in-situ'!EN136</f>
        <v>-7.2545662413056524</v>
      </c>
      <c r="AG1760" s="113">
        <f>'Data_in-situ'!EO136</f>
        <v>1.3531236339616048</v>
      </c>
      <c r="AH1760" s="110">
        <f>'Data_in-situ'!EP136</f>
        <v>3</v>
      </c>
      <c r="AI1760" s="113">
        <f>'Data_in-situ'!ER136</f>
        <v>-28.596491228070171</v>
      </c>
      <c r="AJ1760" s="113">
        <f>'Data_in-situ'!ES136</f>
        <v>2.2785559654849021</v>
      </c>
      <c r="AK1760" s="110">
        <f>'Data_in-situ'!ET136</f>
        <v>3</v>
      </c>
    </row>
    <row r="1761" spans="20:37" x14ac:dyDescent="0.3">
      <c r="T1761" s="113">
        <f>'Data_in-situ'!DN320</f>
        <v>78.099999999999994</v>
      </c>
      <c r="U1761" s="113">
        <f>'Data_in-situ'!DO320</f>
        <v>87.072072483390144</v>
      </c>
      <c r="V1761" s="46">
        <f>'Data_in-situ'!DP320</f>
        <v>17</v>
      </c>
      <c r="W1761" s="113">
        <f>'Data_in-situ'!DR320</f>
        <v>34.9</v>
      </c>
      <c r="X1761" s="113">
        <f>'Data_in-situ'!DS320</f>
        <v>130.42884868262223</v>
      </c>
      <c r="Y1761" s="46">
        <f>'Data_in-situ'!DT320</f>
        <v>18</v>
      </c>
      <c r="AF1761" s="113">
        <f>'Data_in-situ'!EN137</f>
        <v>-6.8927332639611532</v>
      </c>
      <c r="AG1761" s="113">
        <f>'Data_in-situ'!EO137</f>
        <v>1.3328157064282187</v>
      </c>
      <c r="AH1761" s="110">
        <f>'Data_in-situ'!EP137</f>
        <v>3</v>
      </c>
      <c r="AI1761" s="113">
        <f>'Data_in-situ'!ER137</f>
        <v>-20.420000000000002</v>
      </c>
      <c r="AJ1761" s="113">
        <f>'Data_in-situ'!ES137</f>
        <v>3.03</v>
      </c>
      <c r="AK1761" s="110">
        <f>'Data_in-situ'!ET137</f>
        <v>3</v>
      </c>
    </row>
    <row r="1762" spans="20:37" x14ac:dyDescent="0.3">
      <c r="T1762" s="113">
        <f>'Data_in-situ'!DN321</f>
        <v>53.5</v>
      </c>
      <c r="U1762" s="113">
        <f>'Data_in-situ'!DO321</f>
        <v>59.64604197005599</v>
      </c>
      <c r="V1762" s="46">
        <f>'Data_in-situ'!DP321</f>
        <v>15</v>
      </c>
      <c r="W1762" s="113">
        <f>'Data_in-situ'!DR321</f>
        <v>34.5</v>
      </c>
      <c r="X1762" s="113">
        <f>'Data_in-situ'!DS321</f>
        <v>128.93396216476984</v>
      </c>
      <c r="Y1762" s="46">
        <f>'Data_in-situ'!DT321</f>
        <v>15</v>
      </c>
      <c r="AF1762" s="113">
        <f>'Data_in-situ'!EN138</f>
        <v>-7.2545662413056524</v>
      </c>
      <c r="AG1762" s="113">
        <f>'Data_in-situ'!EO138</f>
        <v>1.3531236339616048</v>
      </c>
      <c r="AH1762" s="110">
        <f>'Data_in-situ'!EP138</f>
        <v>3</v>
      </c>
      <c r="AI1762" s="113">
        <f>'Data_in-situ'!ER138</f>
        <v>-22.46</v>
      </c>
      <c r="AJ1762" s="113">
        <f>'Data_in-situ'!ES138</f>
        <v>2.21</v>
      </c>
      <c r="AK1762" s="110">
        <f>'Data_in-situ'!ET138</f>
        <v>3</v>
      </c>
    </row>
    <row r="1763" spans="20:37" x14ac:dyDescent="0.3">
      <c r="T1763" s="113">
        <f>'Data_in-situ'!DN322</f>
        <v>43.6</v>
      </c>
      <c r="U1763" s="113">
        <f>'Data_in-situ'!DO322</f>
        <v>48.608737007372731</v>
      </c>
      <c r="V1763" s="46">
        <f>'Data_in-situ'!DP322</f>
        <v>18</v>
      </c>
      <c r="W1763" s="113">
        <f>'Data_in-situ'!DR322</f>
        <v>14.1</v>
      </c>
      <c r="X1763" s="113">
        <f>'Data_in-situ'!DS322</f>
        <v>52.694749754297241</v>
      </c>
      <c r="Y1763" s="46">
        <f>'Data_in-situ'!DT322</f>
        <v>18</v>
      </c>
      <c r="AF1763" s="113">
        <f>'Data_in-situ'!EN139</f>
        <v>-6.8927332639611532</v>
      </c>
      <c r="AG1763" s="113">
        <f>'Data_in-situ'!EO139</f>
        <v>1.3328157064282187</v>
      </c>
      <c r="AH1763" s="110">
        <f>'Data_in-situ'!EP139</f>
        <v>3</v>
      </c>
      <c r="AI1763" s="113">
        <f>'Data_in-situ'!ER139</f>
        <v>-16.070318436140084</v>
      </c>
      <c r="AJ1763" s="113">
        <f>'Data_in-situ'!ES139</f>
        <v>1.1726469643872839</v>
      </c>
      <c r="AK1763" s="110">
        <f>'Data_in-situ'!ET139</f>
        <v>3</v>
      </c>
    </row>
    <row r="1764" spans="20:37" x14ac:dyDescent="0.3">
      <c r="T1764" s="113">
        <f>'Data_in-situ'!DN323</f>
        <v>24.4</v>
      </c>
      <c r="U1764" s="113">
        <f>'Data_in-situ'!DO323</f>
        <v>27.203054655502171</v>
      </c>
      <c r="V1764" s="46">
        <f>'Data_in-situ'!DP323</f>
        <v>29</v>
      </c>
      <c r="W1764" s="113">
        <f>'Data_in-situ'!DR323</f>
        <v>5.6</v>
      </c>
      <c r="X1764" s="113">
        <f>'Data_in-situ'!DS323</f>
        <v>20.928411249933653</v>
      </c>
      <c r="Y1764" s="46">
        <f>'Data_in-situ'!DT323</f>
        <v>33</v>
      </c>
      <c r="AF1764" s="113">
        <f>'Data_in-situ'!EN140</f>
        <v>-7.2545662413056524</v>
      </c>
      <c r="AG1764" s="113">
        <f>'Data_in-situ'!EO140</f>
        <v>1.3531236339616048</v>
      </c>
      <c r="AH1764" s="110">
        <f>'Data_in-situ'!EP140</f>
        <v>3</v>
      </c>
      <c r="AI1764" s="113">
        <f>'Data_in-situ'!ER140</f>
        <v>-18.404147413501633</v>
      </c>
      <c r="AJ1764" s="113">
        <f>'Data_in-situ'!ES140</f>
        <v>1.4652840768454194</v>
      </c>
      <c r="AK1764" s="110">
        <f>'Data_in-situ'!ET140</f>
        <v>3</v>
      </c>
    </row>
    <row r="1765" spans="20:37" x14ac:dyDescent="0.3">
      <c r="T1765" s="113">
        <f>'Data_in-situ'!DN324</f>
        <v>19.7</v>
      </c>
      <c r="U1765" s="113">
        <f>'Data_in-situ'!DO324</f>
        <v>21.963121996450521</v>
      </c>
      <c r="V1765" s="46">
        <f>'Data_in-situ'!DP324</f>
        <v>18</v>
      </c>
      <c r="W1765" s="113">
        <f>'Data_in-situ'!DR324</f>
        <v>10.7</v>
      </c>
      <c r="X1765" s="113">
        <f>'Data_in-situ'!DS324</f>
        <v>39.9882143525518</v>
      </c>
      <c r="Y1765" s="46">
        <f>'Data_in-situ'!DT324</f>
        <v>18</v>
      </c>
      <c r="AF1765" s="113">
        <f>'Data_in-situ'!EN141</f>
        <v>-0.59</v>
      </c>
      <c r="AG1765" s="113">
        <f>'Data_in-situ'!EO141</f>
        <v>1.75</v>
      </c>
      <c r="AH1765" s="110">
        <f>'Data_in-situ'!EP141</f>
        <v>4</v>
      </c>
      <c r="AI1765" s="113">
        <f>'Data_in-situ'!ER141</f>
        <v>-18.989999999999998</v>
      </c>
      <c r="AJ1765" s="113">
        <f>'Data_in-situ'!ES141</f>
        <v>2.77</v>
      </c>
      <c r="AK1765" s="110">
        <f>'Data_in-situ'!ET141</f>
        <v>4</v>
      </c>
    </row>
    <row r="1766" spans="20:37" x14ac:dyDescent="0.3">
      <c r="T1766" s="113">
        <f>'Data_in-situ'!DN325</f>
        <v>19.899999999999999</v>
      </c>
      <c r="U1766" s="113">
        <f>'Data_in-situ'!DO325</f>
        <v>22.186097854282508</v>
      </c>
      <c r="V1766" s="46">
        <f>'Data_in-situ'!DP325</f>
        <v>12</v>
      </c>
      <c r="W1766" s="113">
        <f>'Data_in-situ'!DR325</f>
        <v>11.3</v>
      </c>
      <c r="X1766" s="113">
        <f>'Data_in-situ'!DS325</f>
        <v>42.230544129330411</v>
      </c>
      <c r="Y1766" s="46">
        <f>'Data_in-situ'!DT325</f>
        <v>12</v>
      </c>
      <c r="AF1766" s="113">
        <f>'Data_in-situ'!EN142</f>
        <v>-2.0499999999999998</v>
      </c>
      <c r="AG1766" s="113">
        <f>'Data_in-situ'!EO142</f>
        <v>1.38</v>
      </c>
      <c r="AH1766" s="110">
        <f>'Data_in-situ'!EP142</f>
        <v>4</v>
      </c>
      <c r="AI1766" s="113">
        <f>'Data_in-situ'!ER142</f>
        <v>-16.7</v>
      </c>
      <c r="AJ1766" s="113">
        <f>'Data_in-situ'!ES142</f>
        <v>1.42</v>
      </c>
      <c r="AK1766" s="110">
        <f>'Data_in-situ'!ET142</f>
        <v>4</v>
      </c>
    </row>
    <row r="1767" spans="20:37" x14ac:dyDescent="0.3">
      <c r="T1767" s="113">
        <f>'Data_in-situ'!DN326</f>
        <v>220.49</v>
      </c>
      <c r="U1767" s="113">
        <f>'Data_in-situ'!DO326</f>
        <v>245.81973446687189</v>
      </c>
      <c r="V1767" s="46">
        <f>'Data_in-situ'!DP326</f>
        <v>18</v>
      </c>
      <c r="W1767" s="113">
        <f>'Data_in-situ'!DR326</f>
        <v>-0.5</v>
      </c>
      <c r="X1767" s="113">
        <f>'Data_in-situ'!DS326</f>
        <v>1.868608147315505</v>
      </c>
      <c r="Y1767" s="46">
        <f>'Data_in-situ'!DT326</f>
        <v>18</v>
      </c>
      <c r="AF1767" s="113">
        <f>'Data_in-situ'!EN143</f>
        <v>-0.59</v>
      </c>
      <c r="AG1767" s="113">
        <f>'Data_in-situ'!EO143</f>
        <v>1.75</v>
      </c>
      <c r="AH1767" s="110">
        <f>'Data_in-situ'!EP143</f>
        <v>4</v>
      </c>
      <c r="AI1767" s="113">
        <f>'Data_in-situ'!ER143</f>
        <v>-17.329999999999998</v>
      </c>
      <c r="AJ1767" s="113">
        <f>'Data_in-situ'!ES143</f>
        <v>1.8</v>
      </c>
      <c r="AK1767" s="110">
        <f>'Data_in-situ'!ET143</f>
        <v>4</v>
      </c>
    </row>
    <row r="1768" spans="20:37" x14ac:dyDescent="0.3">
      <c r="T1768" s="113">
        <f>'Data_in-situ'!DN327</f>
        <v>395.8</v>
      </c>
      <c r="U1768" s="113">
        <f>'Data_in-situ'!DO327</f>
        <v>441.26922264949837</v>
      </c>
      <c r="V1768" s="46">
        <f>'Data_in-situ'!DP327</f>
        <v>12</v>
      </c>
      <c r="W1768" s="113">
        <f>'Data_in-situ'!DR327</f>
        <v>0.2</v>
      </c>
      <c r="X1768" s="113">
        <f>'Data_in-situ'!DS327</f>
        <v>0.747443258926202</v>
      </c>
      <c r="Y1768" s="46">
        <f>'Data_in-situ'!DT327</f>
        <v>15</v>
      </c>
      <c r="AF1768" s="113">
        <f>'Data_in-situ'!EN144</f>
        <v>-2.0499999999999998</v>
      </c>
      <c r="AG1768" s="113">
        <f>'Data_in-situ'!EO144</f>
        <v>1.38</v>
      </c>
      <c r="AH1768" s="110">
        <f>'Data_in-situ'!EP144</f>
        <v>4</v>
      </c>
      <c r="AI1768" s="113">
        <f>'Data_in-situ'!ER144</f>
        <v>-21.37</v>
      </c>
      <c r="AJ1768" s="113">
        <f>'Data_in-situ'!ES144</f>
        <v>1.45</v>
      </c>
      <c r="AK1768" s="110">
        <f>'Data_in-situ'!ET144</f>
        <v>4</v>
      </c>
    </row>
    <row r="1769" spans="20:37" x14ac:dyDescent="0.3">
      <c r="T1769" s="113">
        <f>'Data_in-situ'!DN328</f>
        <v>180.3</v>
      </c>
      <c r="U1769" s="113">
        <f>'Data_in-situ'!DO328</f>
        <v>201.0127358355345</v>
      </c>
      <c r="V1769" s="46">
        <f>'Data_in-situ'!DP328</f>
        <v>18</v>
      </c>
      <c r="W1769" s="113">
        <f>'Data_in-situ'!DR328</f>
        <v>0.2</v>
      </c>
      <c r="X1769" s="113">
        <f>'Data_in-situ'!DS328</f>
        <v>0.747443258926202</v>
      </c>
      <c r="Y1769" s="46">
        <f>'Data_in-situ'!DT328</f>
        <v>18</v>
      </c>
      <c r="AF1769" s="113">
        <f>'Data_in-situ'!EN167</f>
        <v>-18</v>
      </c>
      <c r="AG1769" s="113">
        <f>'Data_in-situ'!EO167</f>
        <v>7.3349351775232803</v>
      </c>
      <c r="AH1769" s="110">
        <f>'Data_in-situ'!EP167</f>
        <v>3</v>
      </c>
      <c r="AI1769" s="113">
        <f>'Data_in-situ'!ER167</f>
        <v>-37</v>
      </c>
      <c r="AJ1769" s="113">
        <f>'Data_in-situ'!ES167</f>
        <v>8.3921199798401851</v>
      </c>
      <c r="AK1769" s="110">
        <f>'Data_in-situ'!ET167</f>
        <v>3</v>
      </c>
    </row>
    <row r="1770" spans="20:37" x14ac:dyDescent="0.3">
      <c r="T1770" s="113">
        <f>'Data_in-situ'!DN329</f>
        <v>22.6</v>
      </c>
      <c r="U1770" s="113">
        <f>'Data_in-situ'!DO329</f>
        <v>25.196271935014309</v>
      </c>
      <c r="V1770" s="46">
        <f>'Data_in-situ'!DP329</f>
        <v>15</v>
      </c>
      <c r="W1770" s="113">
        <f>'Data_in-situ'!DR329</f>
        <v>0.03</v>
      </c>
      <c r="X1770" s="113">
        <f>'Data_in-situ'!DS329</f>
        <v>0.11211648883893029</v>
      </c>
      <c r="Y1770" s="46">
        <f>'Data_in-situ'!DT329</f>
        <v>15</v>
      </c>
      <c r="AF1770" s="113">
        <f>'Data_in-situ'!EN168</f>
        <v>-7.118297455968686</v>
      </c>
      <c r="AG1770" s="113">
        <f>'Data_in-situ'!EO168</f>
        <v>2.0896725316659488</v>
      </c>
      <c r="AH1770" s="110">
        <f>'Data_in-situ'!EP168</f>
        <v>3</v>
      </c>
      <c r="AI1770" s="113">
        <f>'Data_in-situ'!ER168</f>
        <v>-41.42054794520547</v>
      </c>
      <c r="AJ1770" s="113">
        <f>'Data_in-situ'!ES168</f>
        <v>4.0513805156967972</v>
      </c>
      <c r="AK1770" s="110">
        <f>'Data_in-situ'!ET168</f>
        <v>3</v>
      </c>
    </row>
    <row r="1771" spans="20:37" x14ac:dyDescent="0.3">
      <c r="T1771" s="113">
        <f>'Data_in-situ'!DN330</f>
        <v>23.9</v>
      </c>
      <c r="U1771" s="113">
        <f>'Data_in-situ'!DO330</f>
        <v>26.645615010922207</v>
      </c>
      <c r="V1771" s="46">
        <f>'Data_in-situ'!DP330</f>
        <v>10</v>
      </c>
      <c r="W1771" s="113">
        <f>'Data_in-situ'!DR330</f>
        <v>8.6999999999999993</v>
      </c>
      <c r="X1771" s="113">
        <f>'Data_in-situ'!DS330</f>
        <v>32.513781763289785</v>
      </c>
      <c r="Y1771" s="46">
        <f>'Data_in-situ'!DT330</f>
        <v>15</v>
      </c>
      <c r="AF1771" s="113">
        <f>'Data_in-situ'!EN169</f>
        <v>-23.325205479452055</v>
      </c>
      <c r="AG1771" s="113">
        <f>'Data_in-situ'!EO169</f>
        <v>9.1345235133236322</v>
      </c>
      <c r="AH1771" s="110">
        <f>'Data_in-situ'!EP169</f>
        <v>3</v>
      </c>
      <c r="AI1771" s="113">
        <f>'Data_in-situ'!ER169</f>
        <v>-50.248283223625691</v>
      </c>
      <c r="AJ1771" s="113">
        <f>'Data_in-situ'!ES169</f>
        <v>5.5408758417852315</v>
      </c>
      <c r="AK1771" s="110">
        <f>'Data_in-situ'!ET169</f>
        <v>3</v>
      </c>
    </row>
    <row r="1772" spans="20:37" x14ac:dyDescent="0.3">
      <c r="T1772" s="113">
        <f>'Data_in-situ'!DN361</f>
        <v>193.62208240634681</v>
      </c>
      <c r="U1772" s="113">
        <f>'Data_in-situ'!DO361</f>
        <v>614.14718799845184</v>
      </c>
      <c r="V1772" s="46">
        <f>'Data_in-situ'!DP361</f>
        <v>8</v>
      </c>
      <c r="W1772" s="113">
        <f>'Data_in-situ'!DR361</f>
        <v>-17.39938687312296</v>
      </c>
      <c r="X1772" s="113">
        <f>'Data_in-situ'!DS361</f>
        <v>20.727267101856409</v>
      </c>
      <c r="Y1772" s="46">
        <f>'Data_in-situ'!DT361</f>
        <v>8</v>
      </c>
      <c r="AF1772" s="113">
        <f>'Data_in-situ'!EN170</f>
        <v>-5.9909980430528433</v>
      </c>
      <c r="AG1772" s="113">
        <f>'Data_in-situ'!EO170</f>
        <v>3.1338536679828461</v>
      </c>
      <c r="AH1772" s="110">
        <f>'Data_in-situ'!EP170</f>
        <v>3</v>
      </c>
      <c r="AI1772" s="113">
        <f>'Data_in-situ'!ER170</f>
        <v>-25.035567514677091</v>
      </c>
      <c r="AJ1772" s="113">
        <f>'Data_in-situ'!ES170</f>
        <v>3.3576627131775418</v>
      </c>
      <c r="AK1772" s="110">
        <f>'Data_in-situ'!ET170</f>
        <v>3</v>
      </c>
    </row>
    <row r="1773" spans="20:37" x14ac:dyDescent="0.3">
      <c r="T1773" s="113">
        <f>'Data_in-situ'!DN362</f>
        <v>13.000958989688872</v>
      </c>
      <c r="U1773" s="113">
        <f>'Data_in-situ'!DO362</f>
        <v>49.021154863031335</v>
      </c>
      <c r="V1773" s="46">
        <f>'Data_in-situ'!DP362</f>
        <v>8</v>
      </c>
      <c r="W1773" s="113">
        <f>'Data_in-situ'!DR362</f>
        <v>-4.3235288751980265</v>
      </c>
      <c r="X1773" s="113">
        <f>'Data_in-situ'!DS362</f>
        <v>9.6228681188427743</v>
      </c>
      <c r="Y1773" s="46">
        <f>'Data_in-situ'!DT362</f>
        <v>8</v>
      </c>
      <c r="AF1773" s="113">
        <f>'Data_in-situ'!EN171</f>
        <v>-28.456673189823867</v>
      </c>
      <c r="AG1773" s="113">
        <f>'Data_in-situ'!EO171</f>
        <v>9.4179374135466869</v>
      </c>
      <c r="AH1773" s="110">
        <f>'Data_in-situ'!EP171</f>
        <v>3</v>
      </c>
      <c r="AI1773" s="113">
        <f>'Data_in-situ'!ER171</f>
        <v>-19.023532289628182</v>
      </c>
      <c r="AJ1773" s="113">
        <f>'Data_in-situ'!ES171</f>
        <v>6.0791484886821818</v>
      </c>
      <c r="AK1773" s="110">
        <f>'Data_in-situ'!ET171</f>
        <v>3</v>
      </c>
    </row>
    <row r="1774" spans="20:37" x14ac:dyDescent="0.3">
      <c r="T1774" s="113">
        <f>'Data_in-situ'!DN363</f>
        <v>92.536237514844473</v>
      </c>
      <c r="U1774" s="113">
        <f>'Data_in-situ'!DO363</f>
        <v>343.16618940866766</v>
      </c>
      <c r="V1774" s="46">
        <f>'Data_in-situ'!DP363</f>
        <v>8</v>
      </c>
      <c r="W1774" s="113">
        <f>'Data_in-situ'!DR363</f>
        <v>-4.3235288751980265</v>
      </c>
      <c r="X1774" s="113">
        <f>'Data_in-situ'!DS363</f>
        <v>4.2368888087214085</v>
      </c>
      <c r="Y1774" s="46">
        <f>'Data_in-situ'!DT363</f>
        <v>8</v>
      </c>
      <c r="AF1774" s="113">
        <f>'Data_in-situ'!EN195</f>
        <v>-8.1</v>
      </c>
      <c r="AG1774" s="113">
        <f>'Data_in-situ'!EO195</f>
        <v>1.2</v>
      </c>
      <c r="AH1774" s="110">
        <f>'Data_in-situ'!EP195</f>
        <v>3</v>
      </c>
      <c r="AI1774" s="113">
        <f>'Data_in-situ'!ER195</f>
        <v>-13.1</v>
      </c>
      <c r="AJ1774" s="113">
        <f>'Data_in-situ'!ES195</f>
        <v>0.8</v>
      </c>
      <c r="AK1774" s="110">
        <f>'Data_in-situ'!ET195</f>
        <v>3</v>
      </c>
    </row>
    <row r="1775" spans="20:37" x14ac:dyDescent="0.3">
      <c r="T1775" s="113">
        <f>'Data_in-situ'!DN389</f>
        <v>68</v>
      </c>
      <c r="U1775" s="113">
        <f>'Data_in-situ'!DO389</f>
        <v>56.982751846655269</v>
      </c>
      <c r="V1775" s="46">
        <f>'Data_in-situ'!DP389</f>
        <v>4</v>
      </c>
      <c r="W1775" s="113">
        <f>'Data_in-situ'!DR389</f>
        <v>15.999999999999998</v>
      </c>
      <c r="X1775" s="113">
        <f>'Data_in-situ'!DS389</f>
        <v>88.274002438097213</v>
      </c>
      <c r="Y1775" s="46">
        <f>'Data_in-situ'!DT389</f>
        <v>4</v>
      </c>
      <c r="AF1775" s="113">
        <f>'Data_in-situ'!EN196</f>
        <v>-20.399999999999999</v>
      </c>
      <c r="AG1775" s="113">
        <f>'Data_in-situ'!EO196</f>
        <v>2.2999999999999998</v>
      </c>
      <c r="AH1775" s="110">
        <f>'Data_in-situ'!EP196</f>
        <v>3</v>
      </c>
      <c r="AI1775" s="113">
        <f>'Data_in-situ'!ER196</f>
        <v>-28.4</v>
      </c>
      <c r="AJ1775" s="113">
        <f>'Data_in-situ'!ES196</f>
        <v>3.2</v>
      </c>
      <c r="AK1775" s="110">
        <f>'Data_in-situ'!ET196</f>
        <v>3</v>
      </c>
    </row>
    <row r="1776" spans="20:37" x14ac:dyDescent="0.3">
      <c r="T1776" s="113">
        <f>'Data_in-situ'!DN390</f>
        <v>67.999999999999986</v>
      </c>
      <c r="U1776" s="113">
        <f>'Data_in-situ'!DO390</f>
        <v>56.982751846655255</v>
      </c>
      <c r="V1776" s="46">
        <f>'Data_in-situ'!DP390</f>
        <v>4</v>
      </c>
      <c r="W1776" s="113">
        <f>'Data_in-situ'!DR390</f>
        <v>40</v>
      </c>
      <c r="X1776" s="113">
        <f>'Data_in-situ'!DS390</f>
        <v>220.68500609524307</v>
      </c>
      <c r="Y1776" s="46">
        <f>'Data_in-situ'!DT390</f>
        <v>4</v>
      </c>
      <c r="AF1776" s="113">
        <f>'Data_in-situ'!EN197</f>
        <v>-8.1</v>
      </c>
      <c r="AG1776" s="113">
        <f>'Data_in-situ'!EO197</f>
        <v>1.2</v>
      </c>
      <c r="AH1776" s="110">
        <f>'Data_in-situ'!EP197</f>
        <v>3</v>
      </c>
      <c r="AI1776" s="113">
        <f>'Data_in-situ'!ER197</f>
        <v>-13.1</v>
      </c>
      <c r="AJ1776" s="113">
        <f>'Data_in-situ'!ES197</f>
        <v>0.8</v>
      </c>
      <c r="AK1776" s="110">
        <f>'Data_in-situ'!ET197</f>
        <v>3</v>
      </c>
    </row>
    <row r="1777" spans="20:37" x14ac:dyDescent="0.3">
      <c r="T1777" s="113">
        <f>'Data_in-situ'!DN391</f>
        <v>441.33333333333337</v>
      </c>
      <c r="U1777" s="113">
        <f>'Data_in-situ'!DO391</f>
        <v>369.82923257339007</v>
      </c>
      <c r="V1777" s="46">
        <f>'Data_in-situ'!DP391</f>
        <v>4</v>
      </c>
      <c r="W1777" s="113">
        <f>'Data_in-situ'!DR391</f>
        <v>0</v>
      </c>
      <c r="X1777" s="113">
        <f>'Data_in-situ'!DS391</f>
        <v>0</v>
      </c>
      <c r="Y1777" s="46">
        <f>'Data_in-situ'!DT391</f>
        <v>4</v>
      </c>
      <c r="AF1777" s="113">
        <f>'Data_in-situ'!EN198</f>
        <v>-20.399999999999999</v>
      </c>
      <c r="AG1777" s="113">
        <f>'Data_in-situ'!EO198</f>
        <v>2.2999999999999998</v>
      </c>
      <c r="AH1777" s="110">
        <f>'Data_in-situ'!EP198</f>
        <v>3</v>
      </c>
      <c r="AI1777" s="113">
        <f>'Data_in-situ'!ER198</f>
        <v>-28.4</v>
      </c>
      <c r="AJ1777" s="113">
        <f>'Data_in-situ'!ES198</f>
        <v>3.2</v>
      </c>
      <c r="AK1777" s="110">
        <f>'Data_in-situ'!ET198</f>
        <v>3</v>
      </c>
    </row>
    <row r="1778" spans="20:37" x14ac:dyDescent="0.3">
      <c r="T1778" s="113">
        <f>'Data_in-situ'!DN397</f>
        <v>94.039460020768402</v>
      </c>
      <c r="U1778" s="113">
        <f>'Data_in-situ'!DO397</f>
        <v>104.84264634093746</v>
      </c>
      <c r="V1778" s="46">
        <f>'Data_in-situ'!DP397</f>
        <v>1</v>
      </c>
      <c r="W1778" s="113">
        <f>'Data_in-situ'!DR397</f>
        <v>47.85046728971961</v>
      </c>
      <c r="X1778" s="113">
        <f>'Data_in-situ'!DS397</f>
        <v>178.82754606084828</v>
      </c>
      <c r="Y1778" s="46">
        <f>'Data_in-situ'!DT397</f>
        <v>1</v>
      </c>
      <c r="AF1778" s="113">
        <f>'Data_in-situ'!EN206</f>
        <v>3</v>
      </c>
      <c r="AG1778" s="113">
        <f>'Data_in-situ'!EO206</f>
        <v>3</v>
      </c>
      <c r="AH1778" s="110">
        <f>'Data_in-situ'!EP206</f>
        <v>10</v>
      </c>
      <c r="AI1778" s="113">
        <f>'Data_in-situ'!ER206</f>
        <v>4</v>
      </c>
      <c r="AJ1778" s="113">
        <f>'Data_in-situ'!ES206</f>
        <v>2</v>
      </c>
      <c r="AK1778" s="110">
        <f>'Data_in-situ'!ET206</f>
        <v>10</v>
      </c>
    </row>
    <row r="1779" spans="20:37" x14ac:dyDescent="0.3">
      <c r="T1779" s="113">
        <f>'Data_in-situ'!DN398</f>
        <v>84.070612668743479</v>
      </c>
      <c r="U1779" s="113">
        <f>'Data_in-situ'!DO398</f>
        <v>93.728584891368115</v>
      </c>
      <c r="V1779" s="46">
        <f>'Data_in-situ'!DP398</f>
        <v>1</v>
      </c>
      <c r="W1779" s="113">
        <f>'Data_in-situ'!DR398</f>
        <v>46.853582554517196</v>
      </c>
      <c r="X1779" s="113">
        <f>'Data_in-situ'!DS398</f>
        <v>175.10197218458089</v>
      </c>
      <c r="Y1779" s="46">
        <f>'Data_in-situ'!DT398</f>
        <v>1</v>
      </c>
      <c r="AF1779" s="113">
        <f>'Data_in-situ'!EN207</f>
        <v>-19</v>
      </c>
      <c r="AG1779" s="113">
        <f>'Data_in-situ'!EO207</f>
        <v>4</v>
      </c>
      <c r="AH1779" s="110">
        <f>'Data_in-situ'!EP207</f>
        <v>10</v>
      </c>
      <c r="AI1779" s="113">
        <f>'Data_in-situ'!ER207</f>
        <v>-17</v>
      </c>
      <c r="AJ1779" s="113">
        <f>'Data_in-situ'!ES207</f>
        <v>7</v>
      </c>
      <c r="AK1779" s="110">
        <f>'Data_in-situ'!ET207</f>
        <v>10</v>
      </c>
    </row>
    <row r="1780" spans="20:37" x14ac:dyDescent="0.3">
      <c r="T1780" s="113">
        <f>'Data_in-situ'!DN399</f>
        <v>100.35306334371759</v>
      </c>
      <c r="U1780" s="113">
        <f>'Data_in-situ'!DO399</f>
        <v>111.88155192566481</v>
      </c>
      <c r="V1780" s="46">
        <f>'Data_in-situ'!DP399</f>
        <v>1</v>
      </c>
      <c r="W1780" s="113">
        <f>'Data_in-situ'!DR399</f>
        <v>50.176531671858797</v>
      </c>
      <c r="X1780" s="113">
        <f>'Data_in-situ'!DS399</f>
        <v>187.52055177213964</v>
      </c>
      <c r="Y1780" s="46">
        <f>'Data_in-situ'!DT399</f>
        <v>1</v>
      </c>
      <c r="AF1780" s="113">
        <f>'Data_in-situ'!EN208</f>
        <v>3</v>
      </c>
      <c r="AG1780" s="113">
        <f>'Data_in-situ'!EO208</f>
        <v>3</v>
      </c>
      <c r="AH1780" s="110">
        <f>'Data_in-situ'!EP208</f>
        <v>10</v>
      </c>
      <c r="AI1780" s="113">
        <f>'Data_in-situ'!ER208</f>
        <v>4</v>
      </c>
      <c r="AJ1780" s="113">
        <f>'Data_in-situ'!ES208</f>
        <v>2</v>
      </c>
      <c r="AK1780" s="110">
        <f>'Data_in-situ'!ET208</f>
        <v>10</v>
      </c>
    </row>
    <row r="1781" spans="20:37" x14ac:dyDescent="0.3">
      <c r="T1781" s="113">
        <f>'Data_in-situ'!DN400</f>
        <v>507.98367438755889</v>
      </c>
      <c r="U1781" s="113">
        <f>'Data_in-situ'!DO400</f>
        <v>309.25085319324296</v>
      </c>
      <c r="V1781" s="46">
        <f>'Data_in-situ'!DP400</f>
        <v>8</v>
      </c>
      <c r="W1781" s="113">
        <f>'Data_in-situ'!DR400</f>
        <v>12.765061923408211</v>
      </c>
      <c r="X1781" s="113">
        <f>'Data_in-situ'!DS400</f>
        <v>23.812364224373002</v>
      </c>
      <c r="Y1781" s="46">
        <f>'Data_in-situ'!DT400</f>
        <v>4</v>
      </c>
      <c r="AF1781" s="113">
        <f>'Data_in-situ'!EN209</f>
        <v>-19</v>
      </c>
      <c r="AG1781" s="113">
        <f>'Data_in-situ'!EO209</f>
        <v>4</v>
      </c>
      <c r="AH1781" s="110">
        <f>'Data_in-situ'!EP209</f>
        <v>10</v>
      </c>
      <c r="AI1781" s="113">
        <f>'Data_in-situ'!ER209</f>
        <v>-17</v>
      </c>
      <c r="AJ1781" s="113">
        <f>'Data_in-situ'!ES209</f>
        <v>7</v>
      </c>
      <c r="AK1781" s="110">
        <f>'Data_in-situ'!ET209</f>
        <v>10</v>
      </c>
    </row>
    <row r="1782" spans="20:37" x14ac:dyDescent="0.3">
      <c r="T1782" s="113">
        <f>'Data_in-situ'!DN434</f>
        <v>198.66666666666666</v>
      </c>
      <c r="U1782" s="113">
        <f>'Data_in-situ'!DO434</f>
        <v>221.4893521131051</v>
      </c>
      <c r="V1782" s="46">
        <f>'Data_in-situ'!DP434</f>
        <v>3</v>
      </c>
      <c r="W1782" s="113">
        <f>'Data_in-situ'!DR434</f>
        <v>2.8000000000000003</v>
      </c>
      <c r="X1782" s="113">
        <f>'Data_in-situ'!DS434</f>
        <v>10.464205624966828</v>
      </c>
      <c r="Y1782" s="46">
        <f>'Data_in-situ'!DT434</f>
        <v>3</v>
      </c>
      <c r="AF1782" s="113">
        <f>'Data_in-situ'!EN211</f>
        <v>-15</v>
      </c>
      <c r="AG1782" s="113">
        <f>'Data_in-situ'!EO211</f>
        <v>13</v>
      </c>
      <c r="AH1782" s="110">
        <f>'Data_in-situ'!EP211</f>
        <v>9836</v>
      </c>
      <c r="AI1782" s="113">
        <f>'Data_in-situ'!ER211</f>
        <v>-22</v>
      </c>
      <c r="AJ1782" s="113">
        <f>'Data_in-situ'!ES211</f>
        <v>10</v>
      </c>
      <c r="AK1782" s="110">
        <f>'Data_in-situ'!ET211</f>
        <v>11052</v>
      </c>
    </row>
    <row r="1783" spans="20:37" x14ac:dyDescent="0.3">
      <c r="T1783" s="113">
        <f>'Data_in-situ'!DN435</f>
        <v>345.33333333333331</v>
      </c>
      <c r="U1783" s="113">
        <f>'Data_in-situ'!DO435</f>
        <v>385.00498118989412</v>
      </c>
      <c r="V1783" s="46">
        <f>'Data_in-situ'!DP435</f>
        <v>3</v>
      </c>
      <c r="W1783" s="113">
        <f>'Data_in-situ'!DR435</f>
        <v>1.3333333333333333</v>
      </c>
      <c r="X1783" s="113">
        <f>'Data_in-situ'!DS435</f>
        <v>4.9829550595080132</v>
      </c>
      <c r="Y1783" s="46">
        <f>'Data_in-situ'!DT435</f>
        <v>3</v>
      </c>
      <c r="AF1783" s="113">
        <f>'Data_in-situ'!EN212</f>
        <v>-15</v>
      </c>
      <c r="AG1783" s="113">
        <f>'Data_in-situ'!EO212</f>
        <v>13</v>
      </c>
      <c r="AH1783" s="110">
        <f>'Data_in-situ'!EP212</f>
        <v>9836</v>
      </c>
      <c r="AI1783" s="113">
        <f>'Data_in-situ'!ER212</f>
        <v>-68</v>
      </c>
      <c r="AJ1783" s="113">
        <f>'Data_in-situ'!ES212</f>
        <v>23</v>
      </c>
      <c r="AK1783" s="110">
        <f>'Data_in-situ'!ET212</f>
        <v>11052</v>
      </c>
    </row>
    <row r="1784" spans="20:37" x14ac:dyDescent="0.3">
      <c r="T1784" s="113">
        <f>'Data_in-situ'!DN444</f>
        <v>1231.8452874333798</v>
      </c>
      <c r="U1784" s="113">
        <f>'Data_in-situ'!DO444</f>
        <v>2386.9642276450431</v>
      </c>
      <c r="V1784" s="46">
        <f>'Data_in-situ'!DP444</f>
        <v>46</v>
      </c>
      <c r="W1784" s="113">
        <f>'Data_in-situ'!DR444</f>
        <v>23.778911502590674</v>
      </c>
      <c r="X1784" s="113">
        <f>'Data_in-situ'!DS444</f>
        <v>31.04286769933886</v>
      </c>
      <c r="Y1784" s="46">
        <f>'Data_in-situ'!DT444</f>
        <v>53</v>
      </c>
      <c r="AF1784" s="113">
        <f>'Data_in-situ'!EN231</f>
        <v>-11</v>
      </c>
      <c r="AG1784" s="113">
        <f>'Data_in-situ'!EO231</f>
        <v>4.4824603862642265</v>
      </c>
      <c r="AH1784" s="110">
        <f>'Data_in-situ'!EP231</f>
        <v>3</v>
      </c>
      <c r="AI1784" s="113">
        <f>'Data_in-situ'!ER231</f>
        <v>-23</v>
      </c>
      <c r="AJ1784" s="113">
        <f>'Data_in-situ'!ES231</f>
        <v>5.2167232307114659</v>
      </c>
      <c r="AK1784" s="110">
        <f>'Data_in-situ'!ET231</f>
        <v>3</v>
      </c>
    </row>
    <row r="1785" spans="20:37" x14ac:dyDescent="0.3">
      <c r="AF1785" s="113">
        <f>'Data_in-situ'!EN232</f>
        <v>-11</v>
      </c>
      <c r="AG1785" s="113">
        <f>'Data_in-situ'!EO232</f>
        <v>4.4824603862642265</v>
      </c>
      <c r="AH1785" s="110">
        <f>'Data_in-situ'!EP232</f>
        <v>3</v>
      </c>
      <c r="AI1785" s="113">
        <f>'Data_in-situ'!ER232</f>
        <v>-23</v>
      </c>
      <c r="AJ1785" s="113">
        <f>'Data_in-situ'!ES232</f>
        <v>5.2167232307114659</v>
      </c>
      <c r="AK1785" s="110">
        <f>'Data_in-situ'!ET232</f>
        <v>3</v>
      </c>
    </row>
    <row r="1786" spans="20:37" x14ac:dyDescent="0.3">
      <c r="AF1786" s="113">
        <f>'Data_in-situ'!EN233</f>
        <v>-15</v>
      </c>
      <c r="AG1786" s="113">
        <f>'Data_in-situ'!EO233</f>
        <v>6.1124459812694001</v>
      </c>
      <c r="AH1786" s="110">
        <f>'Data_in-situ'!EP233</f>
        <v>3</v>
      </c>
      <c r="AI1786" s="113">
        <f>'Data_in-situ'!ER233</f>
        <v>-20</v>
      </c>
      <c r="AJ1786" s="113">
        <f>'Data_in-situ'!ES233</f>
        <v>4.5362810701838834</v>
      </c>
      <c r="AK1786" s="110">
        <f>'Data_in-situ'!ET233</f>
        <v>3</v>
      </c>
    </row>
    <row r="1787" spans="20:37" x14ac:dyDescent="0.3">
      <c r="AF1787" s="113">
        <f>'Data_in-situ'!EN234</f>
        <v>-15</v>
      </c>
      <c r="AG1787" s="113">
        <f>'Data_in-situ'!EO234</f>
        <v>6.1124459812694001</v>
      </c>
      <c r="AH1787" s="110">
        <f>'Data_in-situ'!EP234</f>
        <v>3</v>
      </c>
      <c r="AI1787" s="113">
        <f>'Data_in-situ'!ER234</f>
        <v>-20</v>
      </c>
      <c r="AJ1787" s="113">
        <f>'Data_in-situ'!ES234</f>
        <v>4.5362810701838834</v>
      </c>
      <c r="AK1787" s="110">
        <f>'Data_in-situ'!ET234</f>
        <v>3</v>
      </c>
    </row>
    <row r="1788" spans="20:37" x14ac:dyDescent="0.3">
      <c r="AF1788" s="113">
        <f>'Data_in-situ'!EN235</f>
        <v>-12</v>
      </c>
      <c r="AG1788" s="113">
        <f>'Data_in-situ'!EO235</f>
        <v>4.8899567850155199</v>
      </c>
      <c r="AH1788" s="110">
        <f>'Data_in-situ'!EP235</f>
        <v>3</v>
      </c>
      <c r="AI1788" s="113">
        <f>'Data_in-situ'!ER235</f>
        <v>-14</v>
      </c>
      <c r="AJ1788" s="113">
        <f>'Data_in-situ'!ES235</f>
        <v>3.1753967491287183</v>
      </c>
      <c r="AK1788" s="110">
        <f>'Data_in-situ'!ET235</f>
        <v>3</v>
      </c>
    </row>
    <row r="1789" spans="20:37" x14ac:dyDescent="0.3">
      <c r="AF1789" s="113">
        <f>'Data_in-situ'!EN236</f>
        <v>-12</v>
      </c>
      <c r="AG1789" s="113">
        <f>'Data_in-situ'!EO236</f>
        <v>4.8899567850155199</v>
      </c>
      <c r="AH1789" s="110">
        <f>'Data_in-situ'!EP236</f>
        <v>3</v>
      </c>
      <c r="AI1789" s="113">
        <f>'Data_in-situ'!ER236</f>
        <v>-14</v>
      </c>
      <c r="AJ1789" s="113">
        <f>'Data_in-situ'!ES236</f>
        <v>3.1753967491287183</v>
      </c>
      <c r="AK1789" s="110">
        <f>'Data_in-situ'!ET236</f>
        <v>3</v>
      </c>
    </row>
    <row r="1790" spans="20:37" x14ac:dyDescent="0.3">
      <c r="AF1790" s="113">
        <f>'Data_in-situ'!EN237</f>
        <v>-22</v>
      </c>
      <c r="AG1790" s="113">
        <f>'Data_in-situ'!EO237</f>
        <v>8.964920772528453</v>
      </c>
      <c r="AH1790" s="110">
        <f>'Data_in-situ'!EP237</f>
        <v>3</v>
      </c>
      <c r="AI1790" s="113">
        <f>'Data_in-situ'!ER237</f>
        <v>-31</v>
      </c>
      <c r="AJ1790" s="113">
        <f>'Data_in-situ'!ES237</f>
        <v>7.0312356587850191</v>
      </c>
      <c r="AK1790" s="110">
        <f>'Data_in-situ'!ET237</f>
        <v>3</v>
      </c>
    </row>
    <row r="1791" spans="20:37" x14ac:dyDescent="0.3">
      <c r="AF1791" s="113">
        <f>'Data_in-situ'!EN238</f>
        <v>-22</v>
      </c>
      <c r="AG1791" s="113">
        <f>'Data_in-situ'!EO238</f>
        <v>8.964920772528453</v>
      </c>
      <c r="AH1791" s="110">
        <f>'Data_in-situ'!EP238</f>
        <v>3</v>
      </c>
      <c r="AI1791" s="113">
        <f>'Data_in-situ'!ER238</f>
        <v>-31</v>
      </c>
      <c r="AJ1791" s="113">
        <f>'Data_in-situ'!ES238</f>
        <v>7.0312356587850191</v>
      </c>
      <c r="AK1791" s="110">
        <f>'Data_in-situ'!ET238</f>
        <v>3</v>
      </c>
    </row>
    <row r="1792" spans="20:37" x14ac:dyDescent="0.3">
      <c r="AF1792" s="113">
        <f>'Data_in-situ'!EN239</f>
        <v>-2</v>
      </c>
      <c r="AG1792" s="113">
        <f>'Data_in-situ'!EO239</f>
        <v>0.81499279750258669</v>
      </c>
      <c r="AH1792" s="110">
        <f>'Data_in-situ'!EP239</f>
        <v>3</v>
      </c>
      <c r="AI1792" s="113">
        <f>'Data_in-situ'!ER239</f>
        <v>-30</v>
      </c>
      <c r="AJ1792" s="113">
        <f>'Data_in-situ'!ES239</f>
        <v>6.8044216052758255</v>
      </c>
      <c r="AK1792" s="110">
        <f>'Data_in-situ'!ET239</f>
        <v>3</v>
      </c>
    </row>
    <row r="1793" spans="32:37" x14ac:dyDescent="0.3">
      <c r="AF1793" s="113">
        <f>'Data_in-situ'!EN240</f>
        <v>-2</v>
      </c>
      <c r="AG1793" s="113">
        <f>'Data_in-situ'!EO240</f>
        <v>0.81499279750258669</v>
      </c>
      <c r="AH1793" s="110">
        <f>'Data_in-situ'!EP240</f>
        <v>3</v>
      </c>
      <c r="AI1793" s="113">
        <f>'Data_in-situ'!ER240</f>
        <v>-30</v>
      </c>
      <c r="AJ1793" s="113">
        <f>'Data_in-situ'!ES240</f>
        <v>6.8044216052758255</v>
      </c>
      <c r="AK1793" s="110">
        <f>'Data_in-situ'!ET240</f>
        <v>3</v>
      </c>
    </row>
    <row r="1794" spans="32:37" x14ac:dyDescent="0.3">
      <c r="AF1794" s="113">
        <f>'Data_in-situ'!EN241</f>
        <v>-20</v>
      </c>
      <c r="AG1794" s="113">
        <f>'Data_in-situ'!EO241</f>
        <v>8.1499279750258662</v>
      </c>
      <c r="AH1794" s="110">
        <f>'Data_in-situ'!EP241</f>
        <v>3</v>
      </c>
      <c r="AI1794" s="113">
        <f>'Data_in-situ'!ER241</f>
        <v>-36</v>
      </c>
      <c r="AJ1794" s="113">
        <f>'Data_in-situ'!ES241</f>
        <v>8.1653059263309906</v>
      </c>
      <c r="AK1794" s="110">
        <f>'Data_in-situ'!ET241</f>
        <v>3</v>
      </c>
    </row>
    <row r="1795" spans="32:37" x14ac:dyDescent="0.3">
      <c r="AF1795" s="113">
        <f>'Data_in-situ'!EN242</f>
        <v>-20</v>
      </c>
      <c r="AG1795" s="113">
        <f>'Data_in-situ'!EO242</f>
        <v>8.1499279750258662</v>
      </c>
      <c r="AH1795" s="110">
        <f>'Data_in-situ'!EP242</f>
        <v>3</v>
      </c>
      <c r="AI1795" s="113">
        <f>'Data_in-situ'!ER242</f>
        <v>-36</v>
      </c>
      <c r="AJ1795" s="113">
        <f>'Data_in-situ'!ES242</f>
        <v>8.1653059263309906</v>
      </c>
      <c r="AK1795" s="110">
        <f>'Data_in-situ'!ET242</f>
        <v>3</v>
      </c>
    </row>
    <row r="1796" spans="32:37" x14ac:dyDescent="0.3">
      <c r="AF1796" s="113">
        <f>'Data_in-situ'!EN243</f>
        <v>-16</v>
      </c>
      <c r="AG1796" s="113">
        <f>'Data_in-situ'!EO243</f>
        <v>6.5199423800206935</v>
      </c>
      <c r="AH1796" s="110">
        <f>'Data_in-situ'!EP243</f>
        <v>3</v>
      </c>
      <c r="AI1796" s="113">
        <f>'Data_in-situ'!ER243</f>
        <v>-43</v>
      </c>
      <c r="AJ1796" s="113">
        <f>'Data_in-situ'!ES243</f>
        <v>9.7530043008953502</v>
      </c>
      <c r="AK1796" s="110">
        <f>'Data_in-situ'!ET243</f>
        <v>3</v>
      </c>
    </row>
    <row r="1797" spans="32:37" x14ac:dyDescent="0.3">
      <c r="AF1797" s="113">
        <f>'Data_in-situ'!EN244</f>
        <v>-16</v>
      </c>
      <c r="AG1797" s="113">
        <f>'Data_in-situ'!EO244</f>
        <v>6.5199423800206935</v>
      </c>
      <c r="AH1797" s="110">
        <f>'Data_in-situ'!EP244</f>
        <v>3</v>
      </c>
      <c r="AI1797" s="113">
        <f>'Data_in-situ'!ER244</f>
        <v>-21</v>
      </c>
      <c r="AJ1797" s="113">
        <f>'Data_in-situ'!ES244</f>
        <v>4.7630951236930779</v>
      </c>
      <c r="AK1797" s="110">
        <f>'Data_in-situ'!ET244</f>
        <v>3</v>
      </c>
    </row>
    <row r="1798" spans="32:37" x14ac:dyDescent="0.3">
      <c r="AF1798" s="113">
        <f>'Data_in-situ'!EN245</f>
        <v>-16</v>
      </c>
      <c r="AG1798" s="113">
        <f>'Data_in-situ'!EO245</f>
        <v>6.5199423800206935</v>
      </c>
      <c r="AH1798" s="110">
        <f>'Data_in-situ'!EP245</f>
        <v>3</v>
      </c>
      <c r="AI1798" s="113">
        <f>'Data_in-situ'!ER245</f>
        <v>-21</v>
      </c>
      <c r="AJ1798" s="113">
        <f>'Data_in-situ'!ES245</f>
        <v>4.7630951236930779</v>
      </c>
      <c r="AK1798" s="110">
        <f>'Data_in-situ'!ET245</f>
        <v>3</v>
      </c>
    </row>
    <row r="1799" spans="32:37" x14ac:dyDescent="0.3">
      <c r="AF1799" s="113">
        <f>'Data_in-situ'!EN250</f>
        <v>-4</v>
      </c>
      <c r="AG1799" s="113">
        <f>'Data_in-situ'!EO250</f>
        <v>1.6299855950051734</v>
      </c>
      <c r="AH1799" s="110">
        <f>'Data_in-situ'!EP250</f>
        <v>3</v>
      </c>
      <c r="AI1799" s="113">
        <f>'Data_in-situ'!ER250</f>
        <v>-31</v>
      </c>
      <c r="AJ1799" s="113">
        <f>'Data_in-situ'!ES250</f>
        <v>7.0312356587850191</v>
      </c>
      <c r="AK1799" s="110">
        <f>'Data_in-situ'!ET250</f>
        <v>3</v>
      </c>
    </row>
    <row r="1800" spans="32:37" x14ac:dyDescent="0.3">
      <c r="AF1800" s="113">
        <f>'Data_in-situ'!EN251</f>
        <v>-21</v>
      </c>
      <c r="AG1800" s="113">
        <f>'Data_in-situ'!EO251</f>
        <v>8.5574243737771596</v>
      </c>
      <c r="AH1800" s="110">
        <f>'Data_in-situ'!EP251</f>
        <v>3</v>
      </c>
      <c r="AI1800" s="113">
        <f>'Data_in-situ'!ER251</f>
        <v>-38</v>
      </c>
      <c r="AJ1800" s="113">
        <f>'Data_in-situ'!ES251</f>
        <v>8.6189340333493778</v>
      </c>
      <c r="AK1800" s="110">
        <f>'Data_in-situ'!ET251</f>
        <v>3</v>
      </c>
    </row>
    <row r="1801" spans="32:37" x14ac:dyDescent="0.3">
      <c r="AF1801" s="113">
        <f>'Data_in-situ'!EN252</f>
        <v>0</v>
      </c>
      <c r="AG1801" s="113">
        <f>'Data_in-situ'!EO252</f>
        <v>0</v>
      </c>
      <c r="AH1801" s="110">
        <f>'Data_in-situ'!EP252</f>
        <v>3</v>
      </c>
      <c r="AI1801" s="113">
        <f>'Data_in-situ'!ER252</f>
        <v>-50</v>
      </c>
      <c r="AJ1801" s="113">
        <f>'Data_in-situ'!ES252</f>
        <v>11.340702675459708</v>
      </c>
      <c r="AK1801" s="110">
        <f>'Data_in-situ'!ET252</f>
        <v>3</v>
      </c>
    </row>
    <row r="1802" spans="32:37" x14ac:dyDescent="0.3">
      <c r="AF1802" s="113">
        <f>'Data_in-situ'!EN254</f>
        <v>-28</v>
      </c>
      <c r="AG1802" s="113">
        <f>'Data_in-situ'!EO254</f>
        <v>11.409899165036213</v>
      </c>
      <c r="AH1802" s="110">
        <f>'Data_in-situ'!EP254</f>
        <v>3</v>
      </c>
      <c r="AI1802" s="113">
        <f>'Data_in-situ'!ER254</f>
        <v>-36</v>
      </c>
      <c r="AJ1802" s="113">
        <f>'Data_in-situ'!ES254</f>
        <v>8.1653059263309906</v>
      </c>
      <c r="AK1802" s="110">
        <f>'Data_in-situ'!ET254</f>
        <v>3</v>
      </c>
    </row>
    <row r="1803" spans="32:37" x14ac:dyDescent="0.3">
      <c r="AF1803" s="113">
        <f>'Data_in-situ'!EN255</f>
        <v>-18</v>
      </c>
      <c r="AG1803" s="113">
        <f>'Data_in-situ'!EO255</f>
        <v>7.3349351775232803</v>
      </c>
      <c r="AH1803" s="110">
        <f>'Data_in-situ'!EP255</f>
        <v>3</v>
      </c>
      <c r="AI1803" s="113">
        <f>'Data_in-situ'!ER255</f>
        <v>-24</v>
      </c>
      <c r="AJ1803" s="113">
        <f>'Data_in-situ'!ES255</f>
        <v>5.4435372842206604</v>
      </c>
      <c r="AK1803" s="110">
        <f>'Data_in-situ'!ET255</f>
        <v>3</v>
      </c>
    </row>
    <row r="1804" spans="32:37" x14ac:dyDescent="0.3">
      <c r="AF1804" s="113">
        <f>'Data_in-situ'!EN256</f>
        <v>-11</v>
      </c>
      <c r="AG1804" s="113">
        <f>'Data_in-situ'!EO256</f>
        <v>4.4824603862642265</v>
      </c>
      <c r="AH1804" s="110">
        <f>'Data_in-situ'!EP256</f>
        <v>3</v>
      </c>
      <c r="AI1804" s="113">
        <f>'Data_in-situ'!ER256</f>
        <v>-13</v>
      </c>
      <c r="AJ1804" s="113">
        <f>'Data_in-situ'!ES256</f>
        <v>2.9485826956195242</v>
      </c>
      <c r="AK1804" s="110">
        <f>'Data_in-situ'!ET256</f>
        <v>3</v>
      </c>
    </row>
    <row r="1805" spans="32:37" x14ac:dyDescent="0.3">
      <c r="AF1805" s="113">
        <f>'Data_in-situ'!EN257</f>
        <v>-16</v>
      </c>
      <c r="AG1805" s="113">
        <f>'Data_in-situ'!EO257</f>
        <v>6.5199423800206935</v>
      </c>
      <c r="AH1805" s="110">
        <f>'Data_in-situ'!EP257</f>
        <v>3</v>
      </c>
      <c r="AI1805" s="113">
        <f>'Data_in-situ'!ER257</f>
        <v>-20</v>
      </c>
      <c r="AJ1805" s="113">
        <f>'Data_in-situ'!ES257</f>
        <v>4.5362810701838834</v>
      </c>
      <c r="AK1805" s="110">
        <f>'Data_in-situ'!ET257</f>
        <v>3</v>
      </c>
    </row>
    <row r="1806" spans="32:37" x14ac:dyDescent="0.3">
      <c r="AF1806" s="113">
        <f>'Data_in-situ'!EN258</f>
        <v>-12</v>
      </c>
      <c r="AG1806" s="113">
        <f>'Data_in-situ'!EO258</f>
        <v>4.8899567850155199</v>
      </c>
      <c r="AH1806" s="110">
        <f>'Data_in-situ'!EP258</f>
        <v>3</v>
      </c>
      <c r="AI1806" s="113">
        <f>'Data_in-situ'!ER258</f>
        <v>-27</v>
      </c>
      <c r="AJ1806" s="113">
        <f>'Data_in-situ'!ES258</f>
        <v>6.123979444748243</v>
      </c>
      <c r="AK1806" s="110">
        <f>'Data_in-situ'!ET258</f>
        <v>3</v>
      </c>
    </row>
    <row r="1807" spans="32:37" x14ac:dyDescent="0.3">
      <c r="AF1807" s="113">
        <f>'Data_in-situ'!EN260</f>
        <v>-4</v>
      </c>
      <c r="AG1807" s="113">
        <f>'Data_in-situ'!EO260</f>
        <v>1.6299855950051734</v>
      </c>
      <c r="AH1807" s="110">
        <f>'Data_in-situ'!EP260</f>
        <v>3</v>
      </c>
      <c r="AI1807" s="113">
        <f>'Data_in-situ'!ER260</f>
        <v>-31</v>
      </c>
      <c r="AJ1807" s="113">
        <f>'Data_in-situ'!ES260</f>
        <v>7.0312356587850191</v>
      </c>
      <c r="AK1807" s="110">
        <f>'Data_in-situ'!ET260</f>
        <v>3</v>
      </c>
    </row>
    <row r="1808" spans="32:37" x14ac:dyDescent="0.3">
      <c r="AF1808" s="113">
        <f>'Data_in-situ'!EN261</f>
        <v>-21</v>
      </c>
      <c r="AG1808" s="113">
        <f>'Data_in-situ'!EO261</f>
        <v>8.5574243737771596</v>
      </c>
      <c r="AH1808" s="110">
        <f>'Data_in-situ'!EP261</f>
        <v>3</v>
      </c>
      <c r="AI1808" s="113">
        <f>'Data_in-situ'!ER261</f>
        <v>-38</v>
      </c>
      <c r="AJ1808" s="113">
        <f>'Data_in-situ'!ES261</f>
        <v>8.6189340333493778</v>
      </c>
      <c r="AK1808" s="110">
        <f>'Data_in-situ'!ET261</f>
        <v>3</v>
      </c>
    </row>
    <row r="1809" spans="32:37" x14ac:dyDescent="0.3">
      <c r="AF1809" s="113">
        <f>'Data_in-situ'!EN262</f>
        <v>0</v>
      </c>
      <c r="AG1809" s="113">
        <f>'Data_in-situ'!EO262</f>
        <v>0</v>
      </c>
      <c r="AH1809" s="110">
        <f>'Data_in-situ'!EP262</f>
        <v>3</v>
      </c>
      <c r="AI1809" s="113">
        <f>'Data_in-situ'!ER262</f>
        <v>-50</v>
      </c>
      <c r="AJ1809" s="113">
        <f>'Data_in-situ'!ES262</f>
        <v>11.340702675459708</v>
      </c>
      <c r="AK1809" s="110">
        <f>'Data_in-situ'!ET262</f>
        <v>3</v>
      </c>
    </row>
    <row r="1810" spans="32:37" x14ac:dyDescent="0.3">
      <c r="AF1810" s="113">
        <f>'Data_in-situ'!EN264</f>
        <v>-28</v>
      </c>
      <c r="AG1810" s="113">
        <f>'Data_in-situ'!EO264</f>
        <v>11.409899165036213</v>
      </c>
      <c r="AH1810" s="110">
        <f>'Data_in-situ'!EP264</f>
        <v>3</v>
      </c>
      <c r="AI1810" s="113">
        <f>'Data_in-situ'!ER264</f>
        <v>-36</v>
      </c>
      <c r="AJ1810" s="113">
        <f>'Data_in-situ'!ES264</f>
        <v>8.1653059263309906</v>
      </c>
      <c r="AK1810" s="110">
        <f>'Data_in-situ'!ET264</f>
        <v>3</v>
      </c>
    </row>
    <row r="1811" spans="32:37" x14ac:dyDescent="0.3">
      <c r="AF1811" s="113">
        <f>'Data_in-situ'!EN265</f>
        <v>-18</v>
      </c>
      <c r="AG1811" s="113">
        <f>'Data_in-situ'!EO265</f>
        <v>7.3349351775232803</v>
      </c>
      <c r="AH1811" s="110">
        <f>'Data_in-situ'!EP265</f>
        <v>3</v>
      </c>
      <c r="AI1811" s="113">
        <f>'Data_in-situ'!ER265</f>
        <v>-24</v>
      </c>
      <c r="AJ1811" s="113">
        <f>'Data_in-situ'!ES265</f>
        <v>5.4435372842206604</v>
      </c>
      <c r="AK1811" s="110">
        <f>'Data_in-situ'!ET265</f>
        <v>3</v>
      </c>
    </row>
    <row r="1812" spans="32:37" x14ac:dyDescent="0.3">
      <c r="AF1812" s="113">
        <f>'Data_in-situ'!EN266</f>
        <v>-11</v>
      </c>
      <c r="AG1812" s="113">
        <f>'Data_in-situ'!EO266</f>
        <v>4.4824603862642265</v>
      </c>
      <c r="AH1812" s="110">
        <f>'Data_in-situ'!EP266</f>
        <v>3</v>
      </c>
      <c r="AI1812" s="113">
        <f>'Data_in-situ'!ER266</f>
        <v>-13</v>
      </c>
      <c r="AJ1812" s="113">
        <f>'Data_in-situ'!ES266</f>
        <v>2.9485826956195242</v>
      </c>
      <c r="AK1812" s="110">
        <f>'Data_in-situ'!ET266</f>
        <v>3</v>
      </c>
    </row>
    <row r="1813" spans="32:37" x14ac:dyDescent="0.3">
      <c r="AF1813" s="113">
        <f>'Data_in-situ'!EN267</f>
        <v>-16</v>
      </c>
      <c r="AG1813" s="113">
        <f>'Data_in-situ'!EO267</f>
        <v>6.5199423800206935</v>
      </c>
      <c r="AH1813" s="110">
        <f>'Data_in-situ'!EP267</f>
        <v>3</v>
      </c>
      <c r="AI1813" s="113">
        <f>'Data_in-situ'!ER267</f>
        <v>-20</v>
      </c>
      <c r="AJ1813" s="113">
        <f>'Data_in-situ'!ES267</f>
        <v>4.5362810701838834</v>
      </c>
      <c r="AK1813" s="110">
        <f>'Data_in-situ'!ET267</f>
        <v>3</v>
      </c>
    </row>
    <row r="1814" spans="32:37" x14ac:dyDescent="0.3">
      <c r="AF1814" s="113">
        <f>'Data_in-situ'!EN268</f>
        <v>-12</v>
      </c>
      <c r="AG1814" s="113">
        <f>'Data_in-situ'!EO268</f>
        <v>4.8899567850155199</v>
      </c>
      <c r="AH1814" s="110">
        <f>'Data_in-situ'!EP268</f>
        <v>3</v>
      </c>
      <c r="AI1814" s="113">
        <f>'Data_in-situ'!ER268</f>
        <v>-27</v>
      </c>
      <c r="AJ1814" s="113">
        <f>'Data_in-situ'!ES268</f>
        <v>6.123979444748243</v>
      </c>
      <c r="AK1814" s="110">
        <f>'Data_in-situ'!ET268</f>
        <v>3</v>
      </c>
    </row>
    <row r="1815" spans="32:37" x14ac:dyDescent="0.3">
      <c r="AF1815" s="113">
        <f>'Data_in-situ'!EN270</f>
        <v>0</v>
      </c>
      <c r="AG1815" s="113">
        <f>'Data_in-situ'!EO270</f>
        <v>0</v>
      </c>
      <c r="AH1815" s="110">
        <f>'Data_in-situ'!EP270</f>
        <v>20</v>
      </c>
      <c r="AI1815" s="113">
        <f>'Data_in-situ'!ER270</f>
        <v>-15</v>
      </c>
      <c r="AJ1815" s="113">
        <f>'Data_in-situ'!ES270</f>
        <v>3.4022108026379128</v>
      </c>
      <c r="AK1815" s="110">
        <f>'Data_in-situ'!ET270</f>
        <v>20</v>
      </c>
    </row>
    <row r="1816" spans="32:37" x14ac:dyDescent="0.3">
      <c r="AF1816" s="113">
        <f>'Data_in-situ'!EN316</f>
        <v>-7.2</v>
      </c>
      <c r="AG1816" s="113">
        <f>'Data_in-situ'!EO316</f>
        <v>5.7</v>
      </c>
      <c r="AH1816" s="110">
        <f>'Data_in-situ'!EP316</f>
        <v>18</v>
      </c>
      <c r="AI1816" s="113">
        <f>'Data_in-situ'!ER316</f>
        <v>-22.1</v>
      </c>
      <c r="AJ1816" s="113">
        <f>'Data_in-situ'!ES316</f>
        <v>8.6</v>
      </c>
      <c r="AK1816" s="110">
        <f>'Data_in-situ'!ET316</f>
        <v>18</v>
      </c>
    </row>
    <row r="1817" spans="32:37" x14ac:dyDescent="0.3">
      <c r="AF1817" s="113">
        <f>'Data_in-situ'!EN317</f>
        <v>-18.7</v>
      </c>
      <c r="AG1817" s="113">
        <f>'Data_in-situ'!EO317</f>
        <v>7.2</v>
      </c>
      <c r="AH1817" s="110">
        <f>'Data_in-situ'!EP317</f>
        <v>15</v>
      </c>
      <c r="AI1817" s="113">
        <f>'Data_in-situ'!ER317</f>
        <v>-34.5</v>
      </c>
      <c r="AJ1817" s="113">
        <f>'Data_in-situ'!ES317</f>
        <v>9.3000000000000007</v>
      </c>
      <c r="AK1817" s="110">
        <f>'Data_in-situ'!ET317</f>
        <v>15</v>
      </c>
    </row>
    <row r="1818" spans="32:37" x14ac:dyDescent="0.3">
      <c r="AF1818" s="113">
        <f>'Data_in-situ'!EN318</f>
        <v>-10.3</v>
      </c>
      <c r="AG1818" s="113">
        <f>'Data_in-situ'!EO318</f>
        <v>8</v>
      </c>
      <c r="AH1818" s="110">
        <f>'Data_in-situ'!EP318</f>
        <v>18</v>
      </c>
      <c r="AI1818" s="113">
        <f>'Data_in-situ'!ER318</f>
        <v>-20.6</v>
      </c>
      <c r="AJ1818" s="113">
        <f>'Data_in-situ'!ES318</f>
        <v>9.6999999999999993</v>
      </c>
      <c r="AK1818" s="110">
        <f>'Data_in-situ'!ET318</f>
        <v>18</v>
      </c>
    </row>
    <row r="1819" spans="32:37" x14ac:dyDescent="0.3">
      <c r="AF1819" s="113">
        <f>'Data_in-situ'!EN319</f>
        <v>-27.8</v>
      </c>
      <c r="AG1819" s="113">
        <f>'Data_in-situ'!EO319</f>
        <v>9.3000000000000007</v>
      </c>
      <c r="AH1819" s="110">
        <f>'Data_in-situ'!EP319</f>
        <v>12</v>
      </c>
      <c r="AI1819" s="113">
        <f>'Data_in-situ'!ER319</f>
        <v>-31.9</v>
      </c>
      <c r="AJ1819" s="113">
        <f>'Data_in-situ'!ES319</f>
        <v>7.5</v>
      </c>
      <c r="AK1819" s="110">
        <f>'Data_in-situ'!ET319</f>
        <v>12</v>
      </c>
    </row>
    <row r="1820" spans="32:37" x14ac:dyDescent="0.3">
      <c r="AF1820" s="113">
        <f>'Data_in-situ'!EN320</f>
        <v>-7.1</v>
      </c>
      <c r="AG1820" s="113">
        <f>'Data_in-situ'!EO320</f>
        <v>4.7</v>
      </c>
      <c r="AH1820" s="110">
        <f>'Data_in-situ'!EP320</f>
        <v>17</v>
      </c>
      <c r="AI1820" s="113">
        <f>'Data_in-situ'!ER320</f>
        <v>-11.8</v>
      </c>
      <c r="AJ1820" s="113">
        <f>'Data_in-situ'!ES320</f>
        <v>6.6</v>
      </c>
      <c r="AK1820" s="110">
        <f>'Data_in-situ'!ET320</f>
        <v>18</v>
      </c>
    </row>
    <row r="1821" spans="32:37" x14ac:dyDescent="0.3">
      <c r="AF1821" s="113">
        <f>'Data_in-situ'!EN321</f>
        <v>-16.600000000000001</v>
      </c>
      <c r="AG1821" s="113">
        <f>'Data_in-situ'!EO321</f>
        <v>8.1999999999999993</v>
      </c>
      <c r="AH1821" s="110">
        <f>'Data_in-situ'!EP321</f>
        <v>15</v>
      </c>
      <c r="AI1821" s="113">
        <f>'Data_in-situ'!ER321</f>
        <v>-17.100000000000001</v>
      </c>
      <c r="AJ1821" s="113">
        <f>'Data_in-situ'!ES321</f>
        <v>11.3</v>
      </c>
      <c r="AK1821" s="110">
        <f>'Data_in-situ'!ET321</f>
        <v>15</v>
      </c>
    </row>
    <row r="1822" spans="32:37" x14ac:dyDescent="0.3">
      <c r="AF1822" s="113">
        <f>'Data_in-situ'!EN322</f>
        <v>-12.6</v>
      </c>
      <c r="AG1822" s="113">
        <f>'Data_in-situ'!EO322</f>
        <v>7.6</v>
      </c>
      <c r="AH1822" s="110">
        <f>'Data_in-situ'!EP322</f>
        <v>18</v>
      </c>
      <c r="AI1822" s="113">
        <f>'Data_in-situ'!ER322</f>
        <v>-18</v>
      </c>
      <c r="AJ1822" s="113">
        <f>'Data_in-situ'!ES322</f>
        <v>8.5</v>
      </c>
      <c r="AK1822" s="110">
        <f>'Data_in-situ'!ET322</f>
        <v>18</v>
      </c>
    </row>
    <row r="1823" spans="32:37" x14ac:dyDescent="0.3">
      <c r="AF1823" s="113">
        <f>'Data_in-situ'!EN323</f>
        <v>-26.2</v>
      </c>
      <c r="AG1823" s="113">
        <f>'Data_in-situ'!EO323</f>
        <v>12.1</v>
      </c>
      <c r="AH1823" s="110">
        <f>'Data_in-situ'!EP323</f>
        <v>29</v>
      </c>
      <c r="AI1823" s="113">
        <f>'Data_in-situ'!ER323</f>
        <v>-30</v>
      </c>
      <c r="AJ1823" s="113">
        <f>'Data_in-situ'!ES323</f>
        <v>11.2</v>
      </c>
      <c r="AK1823" s="110">
        <f>'Data_in-situ'!ET323</f>
        <v>33</v>
      </c>
    </row>
    <row r="1824" spans="32:37" x14ac:dyDescent="0.3">
      <c r="AF1824" s="113">
        <f>'Data_in-situ'!EN324</f>
        <v>-17.100000000000001</v>
      </c>
      <c r="AG1824" s="113">
        <f>'Data_in-situ'!EO324</f>
        <v>5.2</v>
      </c>
      <c r="AH1824" s="110">
        <f>'Data_in-situ'!EP324</f>
        <v>18</v>
      </c>
      <c r="AI1824" s="113">
        <f>'Data_in-situ'!ER324</f>
        <v>-28.9</v>
      </c>
      <c r="AJ1824" s="113">
        <f>'Data_in-situ'!ES324</f>
        <v>7.5</v>
      </c>
      <c r="AK1824" s="110">
        <f>'Data_in-situ'!ET324</f>
        <v>18</v>
      </c>
    </row>
    <row r="1825" spans="32:37" x14ac:dyDescent="0.3">
      <c r="AF1825" s="113">
        <f>'Data_in-situ'!EN325</f>
        <v>-38.9</v>
      </c>
      <c r="AG1825" s="113">
        <f>'Data_in-situ'!EO325</f>
        <v>9.4</v>
      </c>
      <c r="AH1825" s="110">
        <f>'Data_in-situ'!EP325</f>
        <v>12</v>
      </c>
      <c r="AI1825" s="113">
        <f>'Data_in-situ'!ER325</f>
        <v>-44.7</v>
      </c>
      <c r="AJ1825" s="113">
        <f>'Data_in-situ'!ES325</f>
        <v>8.9</v>
      </c>
      <c r="AK1825" s="110">
        <f>'Data_in-situ'!ET325</f>
        <v>12</v>
      </c>
    </row>
    <row r="1826" spans="32:37" x14ac:dyDescent="0.3">
      <c r="AF1826" s="113">
        <f>'Data_in-situ'!EN326</f>
        <v>-2.5</v>
      </c>
      <c r="AG1826" s="113">
        <f>'Data_in-situ'!EO326</f>
        <v>2.2999999999999998</v>
      </c>
      <c r="AH1826" s="110">
        <f>'Data_in-situ'!EP326</f>
        <v>18</v>
      </c>
      <c r="AI1826" s="113">
        <f>'Data_in-situ'!ER326</f>
        <v>-30.1</v>
      </c>
      <c r="AJ1826" s="113">
        <f>'Data_in-situ'!ES326</f>
        <v>13.9</v>
      </c>
      <c r="AK1826" s="110">
        <f>'Data_in-situ'!ET326</f>
        <v>18</v>
      </c>
    </row>
    <row r="1827" spans="32:37" x14ac:dyDescent="0.3">
      <c r="AF1827" s="113">
        <f>'Data_in-situ'!EN327</f>
        <v>-5.9</v>
      </c>
      <c r="AG1827" s="113">
        <f>'Data_in-situ'!EO327</f>
        <v>4.8</v>
      </c>
      <c r="AH1827" s="110">
        <f>'Data_in-situ'!EP327</f>
        <v>12</v>
      </c>
      <c r="AI1827" s="113">
        <f>'Data_in-situ'!ER327</f>
        <v>-39.700000000000003</v>
      </c>
      <c r="AJ1827" s="113">
        <f>'Data_in-situ'!ES327</f>
        <v>17.8</v>
      </c>
      <c r="AK1827" s="110">
        <f>'Data_in-situ'!ET327</f>
        <v>15</v>
      </c>
    </row>
    <row r="1828" spans="32:37" x14ac:dyDescent="0.3">
      <c r="AF1828" s="113">
        <f>'Data_in-situ'!EN328</f>
        <v>-8.3000000000000007</v>
      </c>
      <c r="AG1828" s="113">
        <f>'Data_in-situ'!EO328</f>
        <v>7.5</v>
      </c>
      <c r="AH1828" s="110">
        <f>'Data_in-situ'!EP328</f>
        <v>18</v>
      </c>
      <c r="AI1828" s="113">
        <f>'Data_in-situ'!ER328</f>
        <v>-32</v>
      </c>
      <c r="AJ1828" s="113">
        <f>'Data_in-situ'!ES328</f>
        <v>17.2</v>
      </c>
      <c r="AK1828" s="110">
        <f>'Data_in-situ'!ET328</f>
        <v>18</v>
      </c>
    </row>
    <row r="1829" spans="32:37" x14ac:dyDescent="0.3">
      <c r="AF1829" s="113">
        <f>'Data_in-situ'!EN329</f>
        <v>-32.799999999999997</v>
      </c>
      <c r="AG1829" s="113">
        <f>'Data_in-situ'!EO329</f>
        <v>14.8</v>
      </c>
      <c r="AH1829" s="110">
        <f>'Data_in-situ'!EP329</f>
        <v>15</v>
      </c>
      <c r="AI1829" s="113">
        <f>'Data_in-situ'!ER329</f>
        <v>-48.3</v>
      </c>
      <c r="AJ1829" s="113">
        <f>'Data_in-situ'!ES329</f>
        <v>15.3</v>
      </c>
      <c r="AK1829" s="110">
        <f>'Data_in-situ'!ET329</f>
        <v>15</v>
      </c>
    </row>
    <row r="1830" spans="32:37" x14ac:dyDescent="0.3">
      <c r="AF1830" s="113">
        <f>'Data_in-situ'!EN330</f>
        <v>-27.5</v>
      </c>
      <c r="AG1830" s="113">
        <f>'Data_in-situ'!EO330</f>
        <v>13.7</v>
      </c>
      <c r="AH1830" s="110">
        <f>'Data_in-situ'!EP330</f>
        <v>10</v>
      </c>
      <c r="AI1830" s="113">
        <f>'Data_in-situ'!ER330</f>
        <v>-43.3</v>
      </c>
      <c r="AJ1830" s="113">
        <f>'Data_in-situ'!ES330</f>
        <v>10.7</v>
      </c>
      <c r="AK1830" s="110">
        <f>'Data_in-situ'!ET330</f>
        <v>15</v>
      </c>
    </row>
    <row r="1831" spans="32:37" x14ac:dyDescent="0.3">
      <c r="AF1831" s="113">
        <f>'Data_in-situ'!EN361</f>
        <v>-22.8355929225071</v>
      </c>
      <c r="AG1831" s="113">
        <f>'Data_in-situ'!EO361</f>
        <v>9.3054218792721652</v>
      </c>
      <c r="AH1831" s="110">
        <f>'Data_in-situ'!EP361</f>
        <v>8</v>
      </c>
      <c r="AI1831" s="113">
        <f>'Data_in-situ'!ER361</f>
        <v>-45.187277814574003</v>
      </c>
      <c r="AJ1831" s="113">
        <f>'Data_in-situ'!ES361</f>
        <v>10.249109648169611</v>
      </c>
      <c r="AK1831" s="110">
        <f>'Data_in-situ'!ET361</f>
        <v>8</v>
      </c>
    </row>
    <row r="1832" spans="32:37" x14ac:dyDescent="0.3">
      <c r="AF1832" s="113">
        <f>'Data_in-situ'!EN362</f>
        <v>-45.647936632378602</v>
      </c>
      <c r="AG1832" s="113">
        <f>'Data_in-situ'!EO362</f>
        <v>18.60136978812152</v>
      </c>
      <c r="AH1832" s="110">
        <f>'Data_in-situ'!EP362</f>
        <v>8</v>
      </c>
      <c r="AI1832" s="113">
        <f>'Data_in-situ'!ER362</f>
        <v>-90.991470783038906</v>
      </c>
      <c r="AJ1832" s="113">
        <f>'Data_in-situ'!ES362</f>
        <v>20.638144323064466</v>
      </c>
      <c r="AK1832" s="110">
        <f>'Data_in-situ'!ET362</f>
        <v>8</v>
      </c>
    </row>
    <row r="1833" spans="32:37" x14ac:dyDescent="0.3">
      <c r="AF1833" s="113">
        <f>'Data_in-situ'!EN363</f>
        <v>-18.912423460077601</v>
      </c>
      <c r="AG1833" s="113">
        <f>'Data_in-situ'!EO363</f>
        <v>7.7067444516410974</v>
      </c>
      <c r="AH1833" s="110">
        <f>'Data_in-situ'!EP363</f>
        <v>8</v>
      </c>
      <c r="AI1833" s="113">
        <f>'Data_in-situ'!ER363</f>
        <v>-40.3060245198091</v>
      </c>
      <c r="AJ1833" s="113">
        <f>'Data_in-situ'!ES363</f>
        <v>9.1419728021788735</v>
      </c>
      <c r="AK1833" s="110">
        <f>'Data_in-situ'!ET363</f>
        <v>8</v>
      </c>
    </row>
    <row r="1834" spans="32:37" x14ac:dyDescent="0.3">
      <c r="AF1834" s="113">
        <f>'Data_in-situ'!EN389</f>
        <v>-16</v>
      </c>
      <c r="AG1834" s="113">
        <f>'Data_in-situ'!EO389</f>
        <v>6.5199423800206935</v>
      </c>
      <c r="AH1834" s="110">
        <f>'Data_in-situ'!EP389</f>
        <v>4</v>
      </c>
      <c r="AI1834" s="113">
        <f>'Data_in-situ'!ER389</f>
        <v>-21</v>
      </c>
      <c r="AJ1834" s="113">
        <f>'Data_in-situ'!ES389</f>
        <v>4.7630951236930779</v>
      </c>
      <c r="AK1834" s="110">
        <f>'Data_in-situ'!ET389</f>
        <v>4</v>
      </c>
    </row>
    <row r="1835" spans="32:37" x14ac:dyDescent="0.3">
      <c r="AF1835" s="113">
        <f>'Data_in-situ'!EN390</f>
        <v>-15</v>
      </c>
      <c r="AG1835" s="113">
        <f>'Data_in-situ'!EO390</f>
        <v>6.1124459812694001</v>
      </c>
      <c r="AH1835" s="110">
        <f>'Data_in-situ'!EP390</f>
        <v>4</v>
      </c>
      <c r="AI1835" s="113">
        <f>'Data_in-situ'!ER390</f>
        <v>-20</v>
      </c>
      <c r="AJ1835" s="113">
        <f>'Data_in-situ'!ES390</f>
        <v>4.5362810701838834</v>
      </c>
      <c r="AK1835" s="110">
        <f>'Data_in-situ'!ET390</f>
        <v>4</v>
      </c>
    </row>
    <row r="1836" spans="32:37" x14ac:dyDescent="0.3">
      <c r="AF1836" s="113">
        <f>'Data_in-situ'!EN391</f>
        <v>-2</v>
      </c>
      <c r="AG1836" s="113">
        <f>'Data_in-situ'!EO391</f>
        <v>0.81499279750258669</v>
      </c>
      <c r="AH1836" s="110">
        <f>'Data_in-situ'!EP391</f>
        <v>4</v>
      </c>
      <c r="AI1836" s="113">
        <f>'Data_in-situ'!ER391</f>
        <v>-30</v>
      </c>
      <c r="AJ1836" s="113">
        <f>'Data_in-situ'!ES391</f>
        <v>6.8044216052758255</v>
      </c>
      <c r="AK1836" s="110">
        <f>'Data_in-situ'!ET391</f>
        <v>4</v>
      </c>
    </row>
    <row r="1837" spans="32:37" x14ac:dyDescent="0.3">
      <c r="AF1837" s="113">
        <f>'Data_in-situ'!EN400</f>
        <v>8.6888471563287055</v>
      </c>
      <c r="AG1837" s="113">
        <f>'Data_in-situ'!EO400</f>
        <v>0.9459684366413168</v>
      </c>
      <c r="AH1837" s="110">
        <f>'Data_in-situ'!EP400</f>
        <v>8</v>
      </c>
      <c r="AI1837" s="113">
        <f>'Data_in-situ'!ER400</f>
        <v>-10.544207227786568</v>
      </c>
      <c r="AJ1837" s="113">
        <f>'Data_in-situ'!ES400</f>
        <v>3.1095266572641616</v>
      </c>
      <c r="AK1837" s="110">
        <f>'Data_in-situ'!ET400</f>
        <v>8</v>
      </c>
    </row>
    <row r="1838" spans="32:37" x14ac:dyDescent="0.3">
      <c r="AF1838" s="113">
        <f>'Data_in-situ'!EN412</f>
        <v>-8.1</v>
      </c>
      <c r="AG1838" s="113">
        <f>'Data_in-situ'!EO412</f>
        <v>1.2</v>
      </c>
      <c r="AH1838" s="110">
        <f>'Data_in-situ'!EP412</f>
        <v>3</v>
      </c>
      <c r="AI1838" s="113">
        <f>'Data_in-situ'!ER412</f>
        <v>-13.1</v>
      </c>
      <c r="AJ1838" s="113">
        <f>'Data_in-situ'!ES412</f>
        <v>0.8</v>
      </c>
      <c r="AK1838" s="110">
        <f>'Data_in-situ'!ET412</f>
        <v>3</v>
      </c>
    </row>
    <row r="1839" spans="32:37" x14ac:dyDescent="0.3">
      <c r="AF1839" s="113">
        <f>'Data_in-situ'!EN413</f>
        <v>-20.399999999999999</v>
      </c>
      <c r="AG1839" s="113">
        <f>'Data_in-situ'!EO413</f>
        <v>2.2999999999999998</v>
      </c>
      <c r="AH1839" s="110">
        <f>'Data_in-situ'!EP413</f>
        <v>3</v>
      </c>
      <c r="AI1839" s="113">
        <f>'Data_in-situ'!ER413</f>
        <v>-28.4</v>
      </c>
      <c r="AJ1839" s="113">
        <f>'Data_in-situ'!ES413</f>
        <v>3.2</v>
      </c>
      <c r="AK1839" s="110">
        <f>'Data_in-situ'!ET413</f>
        <v>3</v>
      </c>
    </row>
    <row r="1840" spans="32:37" x14ac:dyDescent="0.3">
      <c r="AF1840" s="113">
        <f>'Data_in-situ'!EN444</f>
        <v>-15</v>
      </c>
      <c r="AG1840" s="113">
        <f>'Data_in-situ'!EO444</f>
        <v>13</v>
      </c>
      <c r="AH1840" s="110">
        <f>'Data_in-situ'!EP444</f>
        <v>9836</v>
      </c>
      <c r="AI1840" s="113">
        <f>'Data_in-situ'!ER444</f>
        <v>-55</v>
      </c>
      <c r="AJ1840" s="113">
        <f>'Data_in-situ'!ES444</f>
        <v>15</v>
      </c>
      <c r="AK1840" s="110">
        <f>'Data_in-situ'!ET444</f>
        <v>14736</v>
      </c>
    </row>
    <row r="1841" spans="1:37" x14ac:dyDescent="0.3">
      <c r="AF1841" s="113">
        <f>'Data_in-situ'!EN447</f>
        <v>-17.3</v>
      </c>
      <c r="AG1841" s="113">
        <f>'Data_in-situ'!EO447</f>
        <v>2.2516660498395402</v>
      </c>
      <c r="AH1841" s="110">
        <f>'Data_in-situ'!EP447</f>
        <v>3</v>
      </c>
      <c r="AI1841" s="113">
        <f>'Data_in-situ'!ER447</f>
        <v>-21.9</v>
      </c>
      <c r="AJ1841" s="113">
        <f>'Data_in-situ'!ES447</f>
        <v>3.4641016151377544</v>
      </c>
      <c r="AK1841" s="110">
        <f>'Data_in-situ'!ET447</f>
        <v>3</v>
      </c>
    </row>
    <row r="1843" spans="1:37" x14ac:dyDescent="0.3">
      <c r="A1843" s="110" t="s">
        <v>831</v>
      </c>
      <c r="B1843" s="24">
        <f>AVERAGEA(B1687:B1841)</f>
        <v>-12422.642870469537</v>
      </c>
      <c r="C1843" s="24">
        <f>STDEVA(B1687:B1841)/SQRT(COUNT(B1687:B1841))</f>
        <v>1511.1834312262047</v>
      </c>
      <c r="D1843" s="46">
        <f>COUNT(B1687:B1841)</f>
        <v>47</v>
      </c>
      <c r="E1843" s="24">
        <f>AVERAGEA(E1687:E1841)</f>
        <v>-11609.707627878766</v>
      </c>
      <c r="F1843" s="24">
        <f>STDEVA(E1687:E1841)/SQRT(COUNT(E1687:E1841))</f>
        <v>1874.8417800228722</v>
      </c>
      <c r="G1843" s="46">
        <f>COUNT(E1687:E1841)</f>
        <v>47</v>
      </c>
      <c r="H1843" s="24">
        <f>AVERAGEA(H1687:H1841)</f>
        <v>11916.286919816415</v>
      </c>
      <c r="I1843" s="24">
        <f>STDEVA(H1687:H1841)/SQRT(COUNT(H1687:H1841))</f>
        <v>1198.6940757313844</v>
      </c>
      <c r="J1843" s="110">
        <f>COUNT(H1687:H1841)</f>
        <v>47</v>
      </c>
      <c r="K1843" s="24">
        <f>AVERAGEA(K1687:K1841)</f>
        <v>15687.983465484202</v>
      </c>
      <c r="L1843" s="24">
        <f>STDEVA(K1687:K1841)/SQRT(COUNT(K1687:K1841))</f>
        <v>1540.2059143753902</v>
      </c>
      <c r="M1843" s="110">
        <f>COUNT(K1687:K1841)</f>
        <v>47</v>
      </c>
      <c r="N1843" s="24">
        <f>AVERAGEA(N1687:N1841)</f>
        <v>-420.8396865980788</v>
      </c>
      <c r="O1843" s="24">
        <f>STDEVA(N1687:N1841)/SQRT(COUNT(N1687:N1841))</f>
        <v>454.66663700268816</v>
      </c>
      <c r="P1843" s="110">
        <f>COUNT(N1687:N1841)</f>
        <v>65</v>
      </c>
      <c r="Q1843" s="24">
        <f>AVERAGEA(Q1687:Q1841)</f>
        <v>2527.9912932187867</v>
      </c>
      <c r="R1843" s="24">
        <f>STDEVA(Q1687:Q1841)/SQRT(COUNT(Q1687:Q1841))</f>
        <v>1028.1180715083724</v>
      </c>
      <c r="S1843" s="110">
        <f>COUNT(Q1687:Q1841)</f>
        <v>65</v>
      </c>
      <c r="T1843" s="113">
        <f>AVERAGEA(T1687:T1841)</f>
        <v>130.40461425250874</v>
      </c>
      <c r="U1843" s="113">
        <f>STDEVA(T1687:T1841)/SQRT(COUNT(T1687:T1841))</f>
        <v>18.875841037431471</v>
      </c>
      <c r="V1843" s="110">
        <f>COUNT(T1687:T1841)</f>
        <v>98</v>
      </c>
      <c r="W1843" s="113">
        <f>AVERAGEA(W1687:W1841)</f>
        <v>21.507314761650996</v>
      </c>
      <c r="X1843" s="113">
        <f>STDEVA(W1687:W1841)/SQRT(COUNT(W1687:W1841))</f>
        <v>4.4262583394164299</v>
      </c>
      <c r="Y1843" s="110">
        <f>COUNT(W1687:W1841)</f>
        <v>98</v>
      </c>
      <c r="Z1843" s="113">
        <f>AVERAGEA(Z1687:Z1841)</f>
        <v>0.53055001901934695</v>
      </c>
      <c r="AA1843" s="113">
        <f>STDEVA(Z1687:Z1841)/SQRT(COUNT(Z1687:Z1841))</f>
        <v>0.24673869522021669</v>
      </c>
      <c r="AB1843" s="110">
        <f>COUNT(Z1687:Z1841)</f>
        <v>56</v>
      </c>
      <c r="AC1843" s="113">
        <f>AVERAGEA(AC1687:AC1841)</f>
        <v>3.0447342246074629</v>
      </c>
      <c r="AD1843" s="113">
        <f>STDEVA(AC1687:AC1841)/SQRT(COUNT(AC1687:AC1841))</f>
        <v>0.89539784884444906</v>
      </c>
      <c r="AE1843" s="110">
        <f>COUNT(AC1687:AC1841)</f>
        <v>56</v>
      </c>
      <c r="AF1843" s="113">
        <f>AVERAGEA(AF1687:AF1841)</f>
        <v>-21.566259216404731</v>
      </c>
      <c r="AG1843" s="113">
        <f>STDEVA(AF1687:AF1841)/SQRT(COUNT(AF1687:AF1841))</f>
        <v>1.3411920452910626</v>
      </c>
      <c r="AH1843" s="110">
        <f>COUNT(AF1687:AF1841)</f>
        <v>155</v>
      </c>
      <c r="AI1843" s="113">
        <f>AVERAGEA(AI1687:AI1841)</f>
        <v>-47.224791472895475</v>
      </c>
      <c r="AJ1843" s="113">
        <f>STDEVA(AI1687:AI1841)/SQRT(COUNT(AI1687:AI1841))</f>
        <v>2.9299598279912167</v>
      </c>
      <c r="AK1843" s="110">
        <f>COUNT(AI1687:AI1841)</f>
        <v>155</v>
      </c>
    </row>
    <row r="1845" spans="1:37" ht="15.6" x14ac:dyDescent="0.3">
      <c r="A1845" s="12" t="s">
        <v>138</v>
      </c>
      <c r="B1845" s="24">
        <f>'Data_in-situ'!CA30</f>
        <v>-40736.294508300089</v>
      </c>
      <c r="C1845" s="24">
        <f>'Data_in-situ'!CB30</f>
        <v>9264.5737614785212</v>
      </c>
      <c r="D1845" s="46">
        <f>'Data_in-situ'!CC30</f>
        <v>6</v>
      </c>
      <c r="E1845" s="24">
        <f>'Data_in-situ'!CE30</f>
        <v>-30951.137650990822</v>
      </c>
      <c r="F1845" s="24">
        <f>'Data_in-situ'!CF30</f>
        <v>7720.4781345655592</v>
      </c>
      <c r="G1845" s="46">
        <f>'Data_in-situ'!CG30</f>
        <v>6</v>
      </c>
      <c r="H1845" s="24">
        <f>'Data_in-situ'!CN30</f>
        <v>23661.813178740125</v>
      </c>
      <c r="I1845" s="24">
        <f>'Data_in-situ'!CO30</f>
        <v>8127.2621692012581</v>
      </c>
      <c r="J1845" s="46">
        <f>'Data_in-situ'!CP30</f>
        <v>6</v>
      </c>
      <c r="K1845" s="24">
        <f>'Data_in-situ'!CR30</f>
        <v>17959.926513784052</v>
      </c>
      <c r="L1845" s="24">
        <f>'Data_in-situ'!CS30</f>
        <v>6049.9193018093547</v>
      </c>
      <c r="M1845" s="46">
        <f>'Data_in-situ'!CT30</f>
        <v>6</v>
      </c>
      <c r="N1845" s="24">
        <f>'Data_in-situ'!DA2</f>
        <v>-2080</v>
      </c>
      <c r="O1845" s="24">
        <f>'Data_in-situ'!DB2</f>
        <v>200</v>
      </c>
      <c r="P1845" s="46">
        <f>'Data_in-situ'!DC2</f>
        <v>4</v>
      </c>
      <c r="Q1845" s="24">
        <f>'Data_in-situ'!DE2</f>
        <v>-720</v>
      </c>
      <c r="R1845" s="24">
        <f>'Data_in-situ'!DF2</f>
        <v>580</v>
      </c>
      <c r="S1845" s="46">
        <f>'Data_in-situ'!DG2</f>
        <v>4</v>
      </c>
      <c r="T1845" s="113">
        <f>'Data_in-situ'!DN2</f>
        <v>155.93</v>
      </c>
      <c r="U1845" s="113">
        <f>'Data_in-situ'!DO2</f>
        <v>91.89</v>
      </c>
      <c r="V1845" s="46">
        <f>'Data_in-situ'!DP2</f>
        <v>3</v>
      </c>
      <c r="W1845" s="113">
        <f>'Data_in-situ'!DR2</f>
        <v>-0.52095000000000002</v>
      </c>
      <c r="X1845" s="113">
        <f>'Data_in-situ'!DS2</f>
        <v>0.42061931719786716</v>
      </c>
      <c r="Y1845" s="46">
        <f>'Data_in-situ'!DT2</f>
        <v>3</v>
      </c>
      <c r="Z1845" s="113">
        <f>'Data_in-situ'!EA8</f>
        <v>9.3216878849518445E-2</v>
      </c>
      <c r="AA1845" s="113">
        <f>'Data_in-situ'!EB8</f>
        <v>0.20553512952136199</v>
      </c>
      <c r="AB1845" s="46">
        <f>'Data_in-situ'!EC8</f>
        <v>3</v>
      </c>
      <c r="AC1845" s="113">
        <f>'Data_in-situ'!EE8</f>
        <v>1.1634570510397673</v>
      </c>
      <c r="AD1845" s="113">
        <f>'Data_in-situ'!EF8</f>
        <v>0.38922612585728023</v>
      </c>
      <c r="AE1845" s="46">
        <f>'Data_in-situ'!EG8</f>
        <v>3</v>
      </c>
      <c r="AF1845" s="113">
        <f>'Data_in-situ'!EN14</f>
        <v>11.41</v>
      </c>
      <c r="AG1845" s="113">
        <f>'Data_in-situ'!EO14</f>
        <v>3.1216542489519883</v>
      </c>
      <c r="AH1845" s="110">
        <f>'Data_in-situ'!EP14</f>
        <v>4</v>
      </c>
      <c r="AI1845" s="113">
        <f>'Data_in-situ'!ER14</f>
        <v>-91.8</v>
      </c>
      <c r="AJ1845" s="113">
        <f>'Data_in-situ'!ES14</f>
        <v>9.6999999999999993</v>
      </c>
      <c r="AK1845" s="110">
        <f>'Data_in-situ'!ET14</f>
        <v>4</v>
      </c>
    </row>
    <row r="1846" spans="1:37" x14ac:dyDescent="0.3">
      <c r="B1846" s="24">
        <f>'Data_in-situ'!CA31</f>
        <v>-29498.69602325177</v>
      </c>
      <c r="C1846" s="24">
        <f>'Data_in-situ'!CB31</f>
        <v>5661.6839653480265</v>
      </c>
      <c r="D1846" s="46">
        <f>'Data_in-situ'!CC31</f>
        <v>6</v>
      </c>
      <c r="E1846" s="24">
        <f>'Data_in-situ'!CE31</f>
        <v>-23758.267633507035</v>
      </c>
      <c r="F1846" s="24">
        <f>'Data_in-situ'!CF31</f>
        <v>4117.5883384349272</v>
      </c>
      <c r="G1846" s="46">
        <f>'Data_in-situ'!CG31</f>
        <v>6</v>
      </c>
      <c r="H1846" s="24">
        <f>'Data_in-situ'!CN31</f>
        <v>24809.052605588167</v>
      </c>
      <c r="I1846" s="24">
        <f>'Data_in-situ'!CO31</f>
        <v>6528.4178481847057</v>
      </c>
      <c r="J1846" s="46">
        <f>'Data_in-situ'!CP31</f>
        <v>6</v>
      </c>
      <c r="K1846" s="24">
        <f>'Data_in-situ'!CR31</f>
        <v>21625.217639046135</v>
      </c>
      <c r="L1846" s="24">
        <f>'Data_in-situ'!CS31</f>
        <v>4944.4422331318983</v>
      </c>
      <c r="M1846" s="46">
        <f>'Data_in-situ'!CT31</f>
        <v>6</v>
      </c>
      <c r="N1846" s="24">
        <f>'Data_in-situ'!DA3</f>
        <v>-2080</v>
      </c>
      <c r="O1846" s="24">
        <f>'Data_in-situ'!DB3</f>
        <v>200</v>
      </c>
      <c r="P1846" s="46">
        <f>'Data_in-situ'!DC3</f>
        <v>4</v>
      </c>
      <c r="Q1846" s="24">
        <f>'Data_in-situ'!DE3</f>
        <v>-1200</v>
      </c>
      <c r="R1846" s="24">
        <f>'Data_in-situ'!DF3</f>
        <v>800</v>
      </c>
      <c r="S1846" s="46">
        <f>'Data_in-situ'!DG3</f>
        <v>4</v>
      </c>
      <c r="T1846" s="113">
        <f>'Data_in-situ'!DN3</f>
        <v>155.93</v>
      </c>
      <c r="U1846" s="113">
        <f>'Data_in-situ'!DO3</f>
        <v>91.89</v>
      </c>
      <c r="V1846" s="46">
        <f>'Data_in-situ'!DP3</f>
        <v>3</v>
      </c>
      <c r="W1846" s="113">
        <f>'Data_in-situ'!DR3</f>
        <v>-0.50150000000000006</v>
      </c>
      <c r="X1846" s="113">
        <f>'Data_in-situ'!DS3</f>
        <v>0.69631979003903077</v>
      </c>
      <c r="Y1846" s="46">
        <f>'Data_in-situ'!DT3</f>
        <v>3</v>
      </c>
      <c r="Z1846" s="113">
        <f>'Data_in-situ'!EA9</f>
        <v>9.3216878849518445E-2</v>
      </c>
      <c r="AA1846" s="113">
        <f>'Data_in-situ'!EB9</f>
        <v>0.20553512952136199</v>
      </c>
      <c r="AB1846" s="46">
        <f>'Data_in-situ'!EC9</f>
        <v>3</v>
      </c>
      <c r="AC1846" s="113">
        <f>'Data_in-situ'!EE9</f>
        <v>1.6177151825214293</v>
      </c>
      <c r="AD1846" s="113">
        <f>'Data_in-situ'!EF9</f>
        <v>0.53878192787841905</v>
      </c>
      <c r="AE1846" s="46">
        <f>'Data_in-situ'!EG9</f>
        <v>3</v>
      </c>
      <c r="AF1846" s="113">
        <f>'Data_in-situ'!EN15</f>
        <v>5.6550000000000002</v>
      </c>
      <c r="AG1846" s="113">
        <f>'Data_in-situ'!EO15</f>
        <v>3.8089383363346805</v>
      </c>
      <c r="AH1846" s="110">
        <f>'Data_in-situ'!EP15</f>
        <v>4</v>
      </c>
      <c r="AI1846" s="113">
        <f>'Data_in-situ'!ER15</f>
        <v>-105</v>
      </c>
      <c r="AJ1846" s="113">
        <f>'Data_in-situ'!ES15</f>
        <v>8.1</v>
      </c>
      <c r="AK1846" s="110">
        <f>'Data_in-situ'!ET15</f>
        <v>4</v>
      </c>
    </row>
    <row r="1847" spans="1:37" x14ac:dyDescent="0.3">
      <c r="B1847" s="24">
        <f>'Data_in-situ'!CA128</f>
        <v>-30804.409295502097</v>
      </c>
      <c r="C1847" s="24">
        <f>'Data_in-situ'!CB128</f>
        <v>7508.6897887327168</v>
      </c>
      <c r="D1847" s="46">
        <f>'Data_in-situ'!CC128</f>
        <v>48</v>
      </c>
      <c r="E1847" s="24">
        <f>'Data_in-situ'!CE128</f>
        <v>-23917.078756679508</v>
      </c>
      <c r="F1847" s="24">
        <f>'Data_in-situ'!CF128</f>
        <v>4465.2242350151555</v>
      </c>
      <c r="G1847" s="46">
        <f>'Data_in-situ'!CG128</f>
        <v>48</v>
      </c>
      <c r="H1847" s="24">
        <f>'Data_in-situ'!CN128</f>
        <v>25786.496613792402</v>
      </c>
      <c r="I1847" s="24">
        <f>'Data_in-situ'!CO128</f>
        <v>7450.7457504082913</v>
      </c>
      <c r="J1847" s="46">
        <f>'Data_in-situ'!CP128</f>
        <v>48</v>
      </c>
      <c r="K1847" s="24">
        <f>'Data_in-situ'!CR128</f>
        <v>19674.213717161841</v>
      </c>
      <c r="L1847" s="24">
        <f>'Data_in-situ'!CS128</f>
        <v>4051.362841738935</v>
      </c>
      <c r="M1847" s="46">
        <f>'Data_in-situ'!CT128</f>
        <v>48</v>
      </c>
      <c r="N1847" s="24">
        <f>'Data_in-situ'!DA30</f>
        <v>-17074.481329559963</v>
      </c>
      <c r="O1847" s="24">
        <f>'Data_in-situ'!DB30</f>
        <v>1832.3959637482985</v>
      </c>
      <c r="P1847" s="46">
        <f>'Data_in-situ'!DC30</f>
        <v>6</v>
      </c>
      <c r="Q1847" s="24">
        <f>'Data_in-situ'!DE30</f>
        <v>-12991.21113720677</v>
      </c>
      <c r="R1847" s="24">
        <f>'Data_in-situ'!DF30</f>
        <v>15856.449105704574</v>
      </c>
      <c r="S1847" s="46">
        <f>'Data_in-situ'!DG30</f>
        <v>6</v>
      </c>
      <c r="T1847" s="113">
        <f>'Data_in-situ'!DN4</f>
        <v>155.93</v>
      </c>
      <c r="U1847" s="113">
        <f>'Data_in-situ'!DO4</f>
        <v>91.89</v>
      </c>
      <c r="V1847" s="46">
        <f>'Data_in-situ'!DP4</f>
        <v>3</v>
      </c>
      <c r="W1847" s="113">
        <f>'Data_in-situ'!DR4</f>
        <v>-0.61299999999999999</v>
      </c>
      <c r="X1847" s="113">
        <f>'Data_in-situ'!DS4</f>
        <v>0.52600000000000002</v>
      </c>
      <c r="Y1847" s="46">
        <f>'Data_in-situ'!DT4</f>
        <v>3</v>
      </c>
      <c r="Z1847" s="113">
        <f>'Data_in-situ'!EA10</f>
        <v>0.10912682734488738</v>
      </c>
      <c r="AA1847" s="113">
        <f>'Data_in-situ'!EB10</f>
        <v>0.23951135746402341</v>
      </c>
      <c r="AB1847" s="46">
        <f>'Data_in-situ'!EC10</f>
        <v>3</v>
      </c>
      <c r="AC1847" s="113">
        <f>'Data_in-situ'!EE10</f>
        <v>1.8711108749125607</v>
      </c>
      <c r="AD1847" s="113">
        <f>'Data_in-situ'!EF10</f>
        <v>1.1438689414400234</v>
      </c>
      <c r="AE1847" s="46">
        <f>'Data_in-situ'!EG10</f>
        <v>3</v>
      </c>
      <c r="AF1847" s="113">
        <f>'Data_in-situ'!EN17</f>
        <v>-31.375000000000004</v>
      </c>
      <c r="AG1847" s="113">
        <f>'Data_in-situ'!EO17</f>
        <v>10.767974391685748</v>
      </c>
      <c r="AH1847" s="110">
        <f>'Data_in-situ'!EP17</f>
        <v>4</v>
      </c>
      <c r="AI1847" s="113">
        <f>'Data_in-situ'!ER17</f>
        <v>-57.38</v>
      </c>
      <c r="AJ1847" s="113">
        <f>'Data_in-situ'!ES17</f>
        <v>9.4499999999999993</v>
      </c>
      <c r="AK1847" s="110">
        <f>'Data_in-situ'!ET17</f>
        <v>4</v>
      </c>
    </row>
    <row r="1848" spans="1:37" x14ac:dyDescent="0.3">
      <c r="B1848" s="24">
        <f>'Data_in-situ'!CA129</f>
        <v>-30804.409295502097</v>
      </c>
      <c r="C1848" s="24">
        <f>'Data_in-situ'!CB129</f>
        <v>7508.6897887327168</v>
      </c>
      <c r="D1848" s="46">
        <f>'Data_in-situ'!CC129</f>
        <v>48</v>
      </c>
      <c r="E1848" s="24">
        <f>'Data_in-situ'!CE129</f>
        <v>-22424.619825270362</v>
      </c>
      <c r="F1848" s="24">
        <f>'Data_in-situ'!CF129</f>
        <v>7078.0868325420652</v>
      </c>
      <c r="G1848" s="46">
        <f>'Data_in-situ'!CG129</f>
        <v>48</v>
      </c>
      <c r="H1848" s="24">
        <f>'Data_in-situ'!CN129</f>
        <v>25786.496613792402</v>
      </c>
      <c r="I1848" s="24">
        <f>'Data_in-situ'!CO129</f>
        <v>7450.7457504082913</v>
      </c>
      <c r="J1848" s="46">
        <f>'Data_in-situ'!CP129</f>
        <v>48</v>
      </c>
      <c r="K1848" s="24">
        <f>'Data_in-situ'!CR129</f>
        <v>34101.631064272638</v>
      </c>
      <c r="L1848" s="24">
        <f>'Data_in-situ'!CS129</f>
        <v>6764.0540443406962</v>
      </c>
      <c r="M1848" s="46">
        <f>'Data_in-situ'!CT129</f>
        <v>48</v>
      </c>
      <c r="N1848" s="24">
        <f>'Data_in-situ'!DA31</f>
        <v>-4689.643417663603</v>
      </c>
      <c r="O1848" s="24">
        <f>'Data_in-situ'!DB31</f>
        <v>822.55847950944644</v>
      </c>
      <c r="P1848" s="46">
        <f>'Data_in-situ'!DC31</f>
        <v>6</v>
      </c>
      <c r="Q1848" s="24">
        <f>'Data_in-situ'!DE31</f>
        <v>-2133.0499944609001</v>
      </c>
      <c r="R1848" s="24">
        <f>'Data_in-situ'!DF31</f>
        <v>2649.3488808970865</v>
      </c>
      <c r="S1848" s="46">
        <f>'Data_in-situ'!DG31</f>
        <v>6</v>
      </c>
      <c r="T1848" s="113">
        <f>'Data_in-situ'!DN5</f>
        <v>155.93</v>
      </c>
      <c r="U1848" s="113">
        <f>'Data_in-situ'!DO5</f>
        <v>91.89</v>
      </c>
      <c r="V1848" s="46">
        <f>'Data_in-situ'!DP5</f>
        <v>3</v>
      </c>
      <c r="W1848" s="113">
        <f>'Data_in-situ'!DR5</f>
        <v>-0.35</v>
      </c>
      <c r="X1848" s="113">
        <f>'Data_in-situ'!DS5</f>
        <v>0.70099999999999996</v>
      </c>
      <c r="Y1848" s="46">
        <f>'Data_in-situ'!DT5</f>
        <v>3</v>
      </c>
      <c r="Z1848" s="113">
        <f>'Data_in-situ'!EA11</f>
        <v>0.10912682734488738</v>
      </c>
      <c r="AA1848" s="113">
        <f>'Data_in-situ'!EB11</f>
        <v>0.23951135746402341</v>
      </c>
      <c r="AB1848" s="46">
        <f>'Data_in-situ'!EC11</f>
        <v>3</v>
      </c>
      <c r="AC1848" s="113">
        <f>'Data_in-situ'!EE11</f>
        <v>0.2673015535589372</v>
      </c>
      <c r="AD1848" s="113">
        <f>'Data_in-situ'!EF11</f>
        <v>0.16021073937933927</v>
      </c>
      <c r="AE1848" s="46">
        <f>'Data_in-situ'!EG11</f>
        <v>3</v>
      </c>
      <c r="AF1848" s="113">
        <f>'Data_in-situ'!EN18</f>
        <v>-6.17</v>
      </c>
      <c r="AG1848" s="113">
        <f>'Data_in-situ'!EO18</f>
        <v>1.6</v>
      </c>
      <c r="AH1848" s="110">
        <f>'Data_in-situ'!EP18</f>
        <v>3</v>
      </c>
      <c r="AI1848" s="113">
        <f>'Data_in-situ'!ER18</f>
        <v>-32.340000000000003</v>
      </c>
      <c r="AJ1848" s="113">
        <f>'Data_in-situ'!ES18</f>
        <v>1.06</v>
      </c>
      <c r="AK1848" s="110">
        <f>'Data_in-situ'!ET18</f>
        <v>3</v>
      </c>
    </row>
    <row r="1849" spans="1:37" x14ac:dyDescent="0.3">
      <c r="B1849" s="24">
        <f>'Data_in-situ'!CA130</f>
        <v>-39843.491213361398</v>
      </c>
      <c r="C1849" s="24">
        <f>'Data_in-situ'!CB130</f>
        <v>12909.471724359584</v>
      </c>
      <c r="D1849" s="46">
        <f>'Data_in-situ'!CC130</f>
        <v>66</v>
      </c>
      <c r="E1849" s="24">
        <f>'Data_in-situ'!CE130</f>
        <v>-35035.77220338145</v>
      </c>
      <c r="F1849" s="24">
        <f>'Data_in-situ'!CF130</f>
        <v>6481.9820713073177</v>
      </c>
      <c r="G1849" s="46">
        <f>'Data_in-situ'!CG130</f>
        <v>66</v>
      </c>
      <c r="H1849" s="24">
        <f>'Data_in-situ'!CN130</f>
        <v>35408.568959456847</v>
      </c>
      <c r="I1849" s="24">
        <f>'Data_in-situ'!CO130</f>
        <v>12878.668982057387</v>
      </c>
      <c r="J1849" s="46">
        <f>'Data_in-situ'!CP130</f>
        <v>66</v>
      </c>
      <c r="K1849" s="24">
        <f>'Data_in-situ'!CR130</f>
        <v>26888.134502472181</v>
      </c>
      <c r="L1849" s="24">
        <f>'Data_in-situ'!CS130</f>
        <v>6047.8746396959068</v>
      </c>
      <c r="M1849" s="46">
        <f>'Data_in-situ'!CT130</f>
        <v>66</v>
      </c>
      <c r="N1849" s="24">
        <f>'Data_in-situ'!DA128</f>
        <v>-5017.9126817096931</v>
      </c>
      <c r="O1849" s="24">
        <f>'Data_in-situ'!DB128</f>
        <v>931.02637244697166</v>
      </c>
      <c r="P1849" s="46">
        <f>'Data_in-situ'!DC128</f>
        <v>48</v>
      </c>
      <c r="Q1849" s="24">
        <f>'Data_in-situ'!DE128</f>
        <v>-4242.8650395176674</v>
      </c>
      <c r="R1849" s="24">
        <f>'Data_in-situ'!DF128</f>
        <v>1877.4148698526124</v>
      </c>
      <c r="S1849" s="46">
        <f>'Data_in-situ'!DG128</f>
        <v>48</v>
      </c>
      <c r="T1849" s="113">
        <f>'Data_in-situ'!DN6</f>
        <v>155.93</v>
      </c>
      <c r="U1849" s="113">
        <f>'Data_in-situ'!DO6</f>
        <v>91.89</v>
      </c>
      <c r="V1849" s="46">
        <f>'Data_in-situ'!DP6</f>
        <v>3</v>
      </c>
      <c r="W1849" s="113">
        <f>'Data_in-situ'!DR6</f>
        <v>-0.96399999999999997</v>
      </c>
      <c r="X1849" s="113">
        <f>'Data_in-situ'!DS6</f>
        <v>0.26300000000000001</v>
      </c>
      <c r="Y1849" s="46">
        <f>'Data_in-situ'!DT6</f>
        <v>3</v>
      </c>
      <c r="Z1849" s="113">
        <f>'Data_in-situ'!EA12</f>
        <v>0.10912682734488738</v>
      </c>
      <c r="AA1849" s="113">
        <f>'Data_in-situ'!EB12</f>
        <v>0.23951135746402341</v>
      </c>
      <c r="AB1849" s="46">
        <f>'Data_in-situ'!EC12</f>
        <v>3</v>
      </c>
      <c r="AC1849" s="113">
        <f>'Data_in-situ'!EE12</f>
        <v>1.6305394767095169</v>
      </c>
      <c r="AD1849" s="113">
        <f>'Data_in-situ'!EF12</f>
        <v>0.96616422362470822</v>
      </c>
      <c r="AE1849" s="46">
        <f>'Data_in-situ'!EG12</f>
        <v>3</v>
      </c>
      <c r="AF1849" s="113">
        <f>'Data_in-situ'!EN19</f>
        <v>-6.17</v>
      </c>
      <c r="AG1849" s="113">
        <f>'Data_in-situ'!EO19</f>
        <v>1.6</v>
      </c>
      <c r="AH1849" s="110">
        <f>'Data_in-situ'!EP19</f>
        <v>3</v>
      </c>
      <c r="AI1849" s="113">
        <f>'Data_in-situ'!ER19</f>
        <v>-37.89</v>
      </c>
      <c r="AJ1849" s="113">
        <f>'Data_in-situ'!ES19</f>
        <v>1.4</v>
      </c>
      <c r="AK1849" s="110">
        <f>'Data_in-situ'!ET19</f>
        <v>3</v>
      </c>
    </row>
    <row r="1850" spans="1:37" x14ac:dyDescent="0.3">
      <c r="B1850" s="24">
        <f>'Data_in-situ'!CA131</f>
        <v>-39843.491213361398</v>
      </c>
      <c r="C1850" s="24">
        <f>'Data_in-situ'!CB131</f>
        <v>12909.471724359584</v>
      </c>
      <c r="D1850" s="46">
        <f>'Data_in-situ'!CC131</f>
        <v>66</v>
      </c>
      <c r="E1850" s="24">
        <f>'Data_in-situ'!CE131</f>
        <v>-47094.824204889017</v>
      </c>
      <c r="F1850" s="24">
        <f>'Data_in-situ'!CF131</f>
        <v>13325.726368768714</v>
      </c>
      <c r="G1850" s="46">
        <f>'Data_in-situ'!CG131</f>
        <v>66</v>
      </c>
      <c r="H1850" s="24">
        <f>'Data_in-situ'!CN131</f>
        <v>35408.568959456847</v>
      </c>
      <c r="I1850" s="24">
        <f>'Data_in-situ'!CO131</f>
        <v>12878.668982057387</v>
      </c>
      <c r="J1850" s="46">
        <f>'Data_in-situ'!CP131</f>
        <v>66</v>
      </c>
      <c r="K1850" s="24">
        <f>'Data_in-situ'!CR131</f>
        <v>52464.145688921722</v>
      </c>
      <c r="L1850" s="24">
        <f>'Data_in-situ'!CS131</f>
        <v>12723.425553607172</v>
      </c>
      <c r="M1850" s="46">
        <f>'Data_in-situ'!CT131</f>
        <v>66</v>
      </c>
      <c r="N1850" s="24">
        <f>'Data_in-situ'!DA129</f>
        <v>-5017.9126817096931</v>
      </c>
      <c r="O1850" s="24">
        <f>'Data_in-situ'!DB129</f>
        <v>931.02637244697166</v>
      </c>
      <c r="P1850" s="46">
        <f>'Data_in-situ'!DC129</f>
        <v>48</v>
      </c>
      <c r="Q1850" s="24">
        <f>'Data_in-situ'!DE129</f>
        <v>11677.011239002279</v>
      </c>
      <c r="R1850" s="24">
        <f>'Data_in-situ'!DF129</f>
        <v>2084.9187260523231</v>
      </c>
      <c r="S1850" s="46">
        <f>'Data_in-situ'!DG129</f>
        <v>48</v>
      </c>
      <c r="T1850" s="113">
        <f>'Data_in-situ'!DN7</f>
        <v>155.93</v>
      </c>
      <c r="U1850" s="113">
        <f>'Data_in-situ'!DO7</f>
        <v>91.89</v>
      </c>
      <c r="V1850" s="46">
        <f>'Data_in-situ'!DP7</f>
        <v>3</v>
      </c>
      <c r="W1850" s="113">
        <f>'Data_in-situ'!DR7</f>
        <v>0.35</v>
      </c>
      <c r="X1850" s="113">
        <f>'Data_in-situ'!DS7</f>
        <v>1.927</v>
      </c>
      <c r="Y1850" s="46">
        <f>'Data_in-situ'!DT7</f>
        <v>3</v>
      </c>
      <c r="Z1850" s="113">
        <f>'Data_in-situ'!EA13</f>
        <v>0.10912682734488738</v>
      </c>
      <c r="AA1850" s="113">
        <f>'Data_in-situ'!EB13</f>
        <v>0.23951135746402341</v>
      </c>
      <c r="AB1850" s="46">
        <f>'Data_in-situ'!EC13</f>
        <v>3</v>
      </c>
      <c r="AC1850" s="113">
        <f>'Data_in-situ'!EE13</f>
        <v>2.1116822731156044</v>
      </c>
      <c r="AD1850" s="113">
        <f>'Data_in-situ'!EF13</f>
        <v>0.9849415206790767</v>
      </c>
      <c r="AE1850" s="46">
        <f>'Data_in-situ'!EG13</f>
        <v>3</v>
      </c>
      <c r="AF1850" s="113">
        <f>'Data_in-situ'!EN20</f>
        <v>-20.329999999999998</v>
      </c>
      <c r="AG1850" s="113">
        <f>'Data_in-situ'!EO20</f>
        <v>2.57</v>
      </c>
      <c r="AH1850" s="110">
        <f>'Data_in-situ'!EP20</f>
        <v>3</v>
      </c>
      <c r="AI1850" s="113">
        <f>'Data_in-situ'!ER20</f>
        <v>-32.340000000000003</v>
      </c>
      <c r="AJ1850" s="113">
        <f>'Data_in-situ'!ES20</f>
        <v>1.06</v>
      </c>
      <c r="AK1850" s="110">
        <f>'Data_in-situ'!ET20</f>
        <v>3</v>
      </c>
    </row>
    <row r="1851" spans="1:37" x14ac:dyDescent="0.3">
      <c r="B1851" s="24">
        <f>'Data_in-situ'!CA132</f>
        <v>-16584.165556391476</v>
      </c>
      <c r="C1851" s="24">
        <f>'Data_in-situ'!CB132</f>
        <v>3505.6021221629076</v>
      </c>
      <c r="D1851" s="46">
        <f>'Data_in-situ'!CC132</f>
        <v>57</v>
      </c>
      <c r="E1851" s="24">
        <f>'Data_in-situ'!CE132</f>
        <v>-18655.544302064984</v>
      </c>
      <c r="F1851" s="24">
        <f>'Data_in-situ'!CF132</f>
        <v>9333.8389055230891</v>
      </c>
      <c r="G1851" s="46">
        <f>'Data_in-situ'!CG132</f>
        <v>57</v>
      </c>
      <c r="H1851" s="24">
        <f>'Data_in-situ'!CN132</f>
        <v>12315.894090129594</v>
      </c>
      <c r="I1851" s="24">
        <f>'Data_in-situ'!CO132</f>
        <v>3346.1883831600085</v>
      </c>
      <c r="J1851" s="46">
        <f>'Data_in-situ'!CP132</f>
        <v>57</v>
      </c>
      <c r="K1851" s="24">
        <f>'Data_in-situ'!CR132</f>
        <v>12460.292931851514</v>
      </c>
      <c r="L1851" s="24">
        <f>'Data_in-situ'!CS132</f>
        <v>2060.2193631794362</v>
      </c>
      <c r="M1851" s="46">
        <f>'Data_in-situ'!CT132</f>
        <v>57</v>
      </c>
      <c r="N1851" s="24">
        <f>'Data_in-situ'!DA130</f>
        <v>-4434.9222539045541</v>
      </c>
      <c r="O1851" s="24">
        <f>'Data_in-situ'!DB130</f>
        <v>891.2605974868037</v>
      </c>
      <c r="P1851" s="46">
        <f>'Data_in-situ'!DC130</f>
        <v>66</v>
      </c>
      <c r="Q1851" s="24">
        <f>'Data_in-situ'!DE130</f>
        <v>-8147.6377009092694</v>
      </c>
      <c r="R1851" s="24">
        <f>'Data_in-situ'!DF130</f>
        <v>2332.2315312319697</v>
      </c>
      <c r="S1851" s="46">
        <f>'Data_in-situ'!DG130</f>
        <v>66</v>
      </c>
      <c r="T1851" s="113">
        <f>'Data_in-situ'!DN8</f>
        <v>77.679769199310513</v>
      </c>
      <c r="U1851" s="113">
        <f>'Data_in-situ'!DO8</f>
        <v>41.109363664076781</v>
      </c>
      <c r="V1851" s="46">
        <f>'Data_in-situ'!DP8</f>
        <v>3</v>
      </c>
      <c r="W1851" s="113">
        <f>'Data_in-situ'!DR8</f>
        <v>1.3178677201023323</v>
      </c>
      <c r="X1851" s="113">
        <f>'Data_in-situ'!DS8</f>
        <v>0.99682589896901586</v>
      </c>
      <c r="Y1851" s="46">
        <f>'Data_in-situ'!DT8</f>
        <v>3</v>
      </c>
      <c r="Z1851" s="113">
        <f>'Data_in-situ'!EA84</f>
        <v>-0.10183500000000001</v>
      </c>
      <c r="AA1851" s="113">
        <f>'Data_in-situ'!EB84</f>
        <v>6.3291E-2</v>
      </c>
      <c r="AB1851" s="46">
        <f>'Data_in-situ'!EC84</f>
        <v>3</v>
      </c>
      <c r="AC1851" s="113">
        <f>'Data_in-situ'!EE84</f>
        <v>2.9631794999999999</v>
      </c>
      <c r="AD1851" s="113">
        <f>'Data_in-situ'!EF84</f>
        <v>0.67948399999999998</v>
      </c>
      <c r="AE1851" s="46">
        <f>'Data_in-situ'!EG84</f>
        <v>3</v>
      </c>
      <c r="AF1851" s="113">
        <f>'Data_in-situ'!EN21</f>
        <v>-20.329999999999998</v>
      </c>
      <c r="AG1851" s="113">
        <f>'Data_in-situ'!EO21</f>
        <v>2.57</v>
      </c>
      <c r="AH1851" s="110">
        <f>'Data_in-situ'!EP21</f>
        <v>3</v>
      </c>
      <c r="AI1851" s="113">
        <f>'Data_in-situ'!ER21</f>
        <v>-37.89</v>
      </c>
      <c r="AJ1851" s="113">
        <f>'Data_in-situ'!ES21</f>
        <v>1.4</v>
      </c>
      <c r="AK1851" s="110">
        <f>'Data_in-situ'!ET21</f>
        <v>3</v>
      </c>
    </row>
    <row r="1852" spans="1:37" x14ac:dyDescent="0.3">
      <c r="B1852" s="24">
        <f>'Data_in-situ'!CA133</f>
        <v>-16584.165556391476</v>
      </c>
      <c r="C1852" s="24">
        <f>'Data_in-situ'!CB133</f>
        <v>3505.6021221629076</v>
      </c>
      <c r="D1852" s="46">
        <f>'Data_in-situ'!CC133</f>
        <v>57</v>
      </c>
      <c r="E1852" s="24">
        <f>'Data_in-situ'!CE133</f>
        <v>-16893.314446670054</v>
      </c>
      <c r="F1852" s="24">
        <f>'Data_in-situ'!CF133</f>
        <v>9325.4215781383391</v>
      </c>
      <c r="G1852" s="46">
        <f>'Data_in-situ'!CG133</f>
        <v>57</v>
      </c>
      <c r="H1852" s="24">
        <f>'Data_in-situ'!CN133</f>
        <v>12315.894090129594</v>
      </c>
      <c r="I1852" s="24">
        <f>'Data_in-situ'!CO133</f>
        <v>3346.1883831600085</v>
      </c>
      <c r="J1852" s="46">
        <f>'Data_in-situ'!CP133</f>
        <v>57</v>
      </c>
      <c r="K1852" s="24">
        <f>'Data_in-situ'!CR133</f>
        <v>11148.593839338751</v>
      </c>
      <c r="L1852" s="24">
        <f>'Data_in-situ'!CS133</f>
        <v>2042.0451589318177</v>
      </c>
      <c r="M1852" s="46">
        <f>'Data_in-situ'!CT133</f>
        <v>57</v>
      </c>
      <c r="N1852" s="24">
        <f>'Data_in-situ'!DA131</f>
        <v>-4434.9222539045541</v>
      </c>
      <c r="O1852" s="24">
        <f>'Data_in-situ'!DB131</f>
        <v>891.2605974868037</v>
      </c>
      <c r="P1852" s="46">
        <f>'Data_in-situ'!DC131</f>
        <v>66</v>
      </c>
      <c r="Q1852" s="24">
        <f>'Data_in-situ'!DE131</f>
        <v>5369.3214840327073</v>
      </c>
      <c r="R1852" s="24">
        <f>'Data_in-situ'!DF131</f>
        <v>3960.9879370068538</v>
      </c>
      <c r="S1852" s="46">
        <f>'Data_in-situ'!DG131</f>
        <v>66</v>
      </c>
      <c r="T1852" s="113">
        <f>'Data_in-situ'!DN9</f>
        <v>77.679769199310513</v>
      </c>
      <c r="U1852" s="113">
        <f>'Data_in-situ'!DO9</f>
        <v>41.109363664076781</v>
      </c>
      <c r="V1852" s="46">
        <f>'Data_in-situ'!DP9</f>
        <v>3</v>
      </c>
      <c r="W1852" s="113">
        <f>'Data_in-situ'!DR9</f>
        <v>-1.0998745633936757</v>
      </c>
      <c r="X1852" s="113">
        <f>'Data_in-situ'!DS9</f>
        <v>0.82147395233930254</v>
      </c>
      <c r="Y1852" s="46">
        <f>'Data_in-situ'!DT9</f>
        <v>3</v>
      </c>
      <c r="Z1852" s="113">
        <f>'Data_in-situ'!EA85</f>
        <v>2.8688999999999999E-2</v>
      </c>
      <c r="AA1852" s="113">
        <f>'Data_in-situ'!EB85</f>
        <v>4.7267500000000004E-2</v>
      </c>
      <c r="AB1852" s="46">
        <f>'Data_in-situ'!EC85</f>
        <v>3</v>
      </c>
      <c r="AC1852" s="113">
        <f>'Data_in-situ'!EE85</f>
        <v>0.80300000000000005</v>
      </c>
      <c r="AD1852" s="113">
        <f>'Data_in-situ'!EF85</f>
        <v>0.225132</v>
      </c>
      <c r="AE1852" s="46">
        <f>'Data_in-situ'!EG85</f>
        <v>3</v>
      </c>
      <c r="AF1852" s="113">
        <f>'Data_in-situ'!EN22</f>
        <v>-6.17</v>
      </c>
      <c r="AG1852" s="113">
        <f>'Data_in-situ'!EO22</f>
        <v>1.6</v>
      </c>
      <c r="AH1852" s="110">
        <f>'Data_in-situ'!EP22</f>
        <v>3</v>
      </c>
      <c r="AI1852" s="113">
        <f>'Data_in-situ'!ER22</f>
        <v>-40</v>
      </c>
      <c r="AJ1852" s="113">
        <f>'Data_in-situ'!ES22</f>
        <v>0</v>
      </c>
      <c r="AK1852" s="110">
        <f>'Data_in-situ'!ET22</f>
        <v>3</v>
      </c>
    </row>
    <row r="1853" spans="1:37" x14ac:dyDescent="0.3">
      <c r="B1853" s="24">
        <f>'Data_in-situ'!CA199</f>
        <v>-17120.448467345523</v>
      </c>
      <c r="C1853" s="24">
        <f>'Data_in-situ'!CB199</f>
        <v>4174.1444262492878</v>
      </c>
      <c r="D1853" s="46">
        <f>'Data_in-situ'!CC199</f>
        <v>1</v>
      </c>
      <c r="E1853" s="24">
        <f>'Data_in-situ'!CE199</f>
        <v>-14041.350510064822</v>
      </c>
      <c r="F1853" s="24">
        <f>'Data_in-situ'!CF199</f>
        <v>5227.1608672305301</v>
      </c>
      <c r="G1853" s="46">
        <f>'Data_in-situ'!CG199</f>
        <v>1</v>
      </c>
      <c r="H1853" s="24">
        <f>'Data_in-situ'!CN199</f>
        <v>12896.16741487473</v>
      </c>
      <c r="I1853" s="24">
        <f>'Data_in-situ'!CO199</f>
        <v>3709.2899364025543</v>
      </c>
      <c r="J1853" s="46">
        <f>'Data_in-situ'!CP199</f>
        <v>1</v>
      </c>
      <c r="K1853" s="24">
        <f>'Data_in-situ'!CR199</f>
        <v>14385.676578962597</v>
      </c>
      <c r="L1853" s="24">
        <f>'Data_in-situ'!CS199</f>
        <v>3774.6745086112619</v>
      </c>
      <c r="M1853" s="46">
        <f>'Data_in-situ'!CT199</f>
        <v>1</v>
      </c>
      <c r="N1853" s="24">
        <f>'Data_in-situ'!DA132</f>
        <v>-4268.271466261881</v>
      </c>
      <c r="O1853" s="24">
        <f>'Data_in-situ'!DB132</f>
        <v>1045.11699982255</v>
      </c>
      <c r="P1853" s="46">
        <f>'Data_in-situ'!DC132</f>
        <v>57</v>
      </c>
      <c r="Q1853" s="24">
        <f>'Data_in-situ'!DE132</f>
        <v>-6195.2513702134684</v>
      </c>
      <c r="R1853" s="24">
        <f>'Data_in-situ'!DF132</f>
        <v>9103.6281168464357</v>
      </c>
      <c r="S1853" s="46">
        <f>'Data_in-situ'!DG132</f>
        <v>57</v>
      </c>
      <c r="T1853" s="113">
        <f>'Data_in-situ'!DN10</f>
        <v>80.930473720608589</v>
      </c>
      <c r="U1853" s="113">
        <f>'Data_in-situ'!DO10</f>
        <v>80.92749494901247</v>
      </c>
      <c r="V1853" s="46">
        <f>'Data_in-situ'!DP10</f>
        <v>3</v>
      </c>
      <c r="W1853" s="113">
        <f>'Data_in-situ'!DR10</f>
        <v>-0.14922022827514225</v>
      </c>
      <c r="X1853" s="113">
        <f>'Data_in-situ'!DS10</f>
        <v>1.9242287674114169</v>
      </c>
      <c r="Y1853" s="46">
        <f>'Data_in-situ'!DT10</f>
        <v>3</v>
      </c>
      <c r="Z1853" s="113">
        <f>'Data_in-situ'!EA90</f>
        <v>0.12316304575332541</v>
      </c>
      <c r="AA1853" s="113">
        <f>'Data_in-situ'!EB90</f>
        <v>1.532860435877279</v>
      </c>
      <c r="AB1853" s="46">
        <f>'Data_in-situ'!EC90</f>
        <v>3</v>
      </c>
      <c r="AC1853" s="113">
        <f>'Data_in-situ'!EE90</f>
        <v>0.37414709355805537</v>
      </c>
      <c r="AD1853" s="113">
        <f>'Data_in-situ'!EF90</f>
        <v>1.1112977251351353</v>
      </c>
      <c r="AE1853" s="46">
        <f>'Data_in-situ'!EG90</f>
        <v>3</v>
      </c>
      <c r="AF1853" s="113">
        <f>'Data_in-situ'!EN23</f>
        <v>-6.17</v>
      </c>
      <c r="AG1853" s="113">
        <f>'Data_in-situ'!EO23</f>
        <v>1.6</v>
      </c>
      <c r="AH1853" s="110">
        <f>'Data_in-situ'!EP23</f>
        <v>3</v>
      </c>
      <c r="AI1853" s="113">
        <f>'Data_in-situ'!ER23</f>
        <v>-14.475524475524482</v>
      </c>
      <c r="AJ1853" s="113">
        <f>'Data_in-situ'!ES23</f>
        <v>3.4828674393339902</v>
      </c>
      <c r="AK1853" s="110">
        <f>'Data_in-situ'!ET23</f>
        <v>3</v>
      </c>
    </row>
    <row r="1854" spans="1:37" x14ac:dyDescent="0.3">
      <c r="B1854" s="24">
        <f>'Data_in-situ'!CA200</f>
        <v>-15725.784017121432</v>
      </c>
      <c r="C1854" s="24">
        <f>'Data_in-situ'!CB200</f>
        <v>3834.1106442782989</v>
      </c>
      <c r="D1854" s="46">
        <f>'Data_in-situ'!CC200</f>
        <v>1</v>
      </c>
      <c r="E1854" s="24">
        <f>'Data_in-situ'!CE200</f>
        <v>-16611.232720206455</v>
      </c>
      <c r="F1854" s="24">
        <f>'Data_in-situ'!CF200</f>
        <v>6183.8485955665874</v>
      </c>
      <c r="G1854" s="46">
        <f>'Data_in-situ'!CG200</f>
        <v>1</v>
      </c>
      <c r="H1854" s="24">
        <f>'Data_in-situ'!CN200</f>
        <v>12587.493371634213</v>
      </c>
      <c r="I1854" s="24">
        <f>'Data_in-situ'!CO200</f>
        <v>3620.5068518327839</v>
      </c>
      <c r="J1854" s="46">
        <f>'Data_in-situ'!CP200</f>
        <v>1</v>
      </c>
      <c r="K1854" s="24">
        <f>'Data_in-situ'!CR200</f>
        <v>17012.76988978263</v>
      </c>
      <c r="L1854" s="24">
        <f>'Data_in-situ'!CS200</f>
        <v>4464.0005961028419</v>
      </c>
      <c r="M1854" s="46">
        <f>'Data_in-situ'!CT200</f>
        <v>1</v>
      </c>
      <c r="N1854" s="24">
        <f>'Data_in-situ'!DA133</f>
        <v>-4268.271466261881</v>
      </c>
      <c r="O1854" s="24">
        <f>'Data_in-situ'!DB133</f>
        <v>1045.11699982255</v>
      </c>
      <c r="P1854" s="46">
        <f>'Data_in-situ'!DC133</f>
        <v>57</v>
      </c>
      <c r="Q1854" s="24">
        <f>'Data_in-situ'!DE133</f>
        <v>-5744.7206073313027</v>
      </c>
      <c r="R1854" s="24">
        <f>'Data_in-situ'!DF133</f>
        <v>9099.0955143295014</v>
      </c>
      <c r="S1854" s="46">
        <f>'Data_in-situ'!DG133</f>
        <v>57</v>
      </c>
      <c r="T1854" s="113">
        <f>'Data_in-situ'!DN11</f>
        <v>80.930473720608589</v>
      </c>
      <c r="U1854" s="113">
        <f>'Data_in-situ'!DO11</f>
        <v>80.92749494901247</v>
      </c>
      <c r="V1854" s="46">
        <f>'Data_in-situ'!DP11</f>
        <v>3</v>
      </c>
      <c r="W1854" s="113">
        <f>'Data_in-situ'!DR11</f>
        <v>2.5012626262626263</v>
      </c>
      <c r="X1854" s="113">
        <f>'Data_in-situ'!DS11</f>
        <v>2.3831947437160079</v>
      </c>
      <c r="Y1854" s="46">
        <f>'Data_in-situ'!DT11</f>
        <v>3</v>
      </c>
      <c r="Z1854" s="113">
        <f>'Data_in-situ'!EA91</f>
        <v>1.5714285714285715E-2</v>
      </c>
      <c r="AA1854" s="113">
        <f>'Data_in-situ'!EB91</f>
        <v>9.0356781150237736E-2</v>
      </c>
      <c r="AB1854" s="46">
        <f>'Data_in-situ'!EC91</f>
        <v>3</v>
      </c>
      <c r="AC1854" s="113">
        <f>'Data_in-situ'!EE91</f>
        <v>1.0214285714285716</v>
      </c>
      <c r="AD1854" s="113">
        <f>'Data_in-situ'!EF91</f>
        <v>1.5251352255609132</v>
      </c>
      <c r="AE1854" s="46">
        <f>'Data_in-situ'!EG91</f>
        <v>3</v>
      </c>
      <c r="AF1854" s="113">
        <f>'Data_in-situ'!EN24</f>
        <v>-6.17</v>
      </c>
      <c r="AG1854" s="113">
        <f>'Data_in-situ'!EO24</f>
        <v>1.6</v>
      </c>
      <c r="AH1854" s="110">
        <f>'Data_in-situ'!EP24</f>
        <v>3</v>
      </c>
      <c r="AI1854" s="113">
        <f>'Data_in-situ'!ER24</f>
        <v>-40</v>
      </c>
      <c r="AJ1854" s="113">
        <f>'Data_in-situ'!ES24</f>
        <v>0</v>
      </c>
      <c r="AK1854" s="110">
        <f>'Data_in-situ'!ET24</f>
        <v>3</v>
      </c>
    </row>
    <row r="1855" spans="1:37" x14ac:dyDescent="0.3">
      <c r="B1855" s="24">
        <f>'Data_in-situ'!CA222</f>
        <v>-17643.02413085182</v>
      </c>
      <c r="C1855" s="24">
        <f>'Data_in-situ'!CB222</f>
        <v>3122.5184951907863</v>
      </c>
      <c r="D1855" s="46">
        <f>'Data_in-situ'!CC222</f>
        <v>3</v>
      </c>
      <c r="E1855" s="24">
        <f>'Data_in-situ'!CE222</f>
        <v>-18545.337897111574</v>
      </c>
      <c r="F1855" s="24">
        <f>'Data_in-situ'!CF222</f>
        <v>1220.592996774214</v>
      </c>
      <c r="G1855" s="46">
        <f>'Data_in-situ'!CG222</f>
        <v>3</v>
      </c>
      <c r="H1855" s="24">
        <f>'Data_in-situ'!CN222</f>
        <v>12120.970993298208</v>
      </c>
      <c r="I1855" s="24">
        <f>'Data_in-situ'!CO222</f>
        <v>2737.6911459160037</v>
      </c>
      <c r="J1855" s="46">
        <f>'Data_in-situ'!CP222</f>
        <v>3</v>
      </c>
      <c r="K1855" s="24">
        <f>'Data_in-situ'!CR222</f>
        <v>14804.615301473419</v>
      </c>
      <c r="L1855" s="24">
        <f>'Data_in-situ'!CS222</f>
        <v>2182.1730906862158</v>
      </c>
      <c r="M1855" s="46">
        <f>'Data_in-situ'!CT222</f>
        <v>3</v>
      </c>
      <c r="N1855" s="24">
        <f>'Data_in-situ'!DA148</f>
        <v>-100</v>
      </c>
      <c r="O1855" s="24">
        <f>'Data_in-situ'!DB148</f>
        <v>270</v>
      </c>
      <c r="P1855" s="46">
        <f>'Data_in-situ'!DC148</f>
        <v>16</v>
      </c>
      <c r="Q1855" s="24">
        <f>'Data_in-situ'!DE148</f>
        <v>-910</v>
      </c>
      <c r="R1855" s="24">
        <f>'Data_in-situ'!DF148</f>
        <v>180</v>
      </c>
      <c r="S1855" s="46">
        <f>'Data_in-situ'!DG148</f>
        <v>2</v>
      </c>
      <c r="T1855" s="113">
        <f>'Data_in-situ'!DN12</f>
        <v>80.930473720608589</v>
      </c>
      <c r="U1855" s="113">
        <f>'Data_in-situ'!DO12</f>
        <v>80.92749494901247</v>
      </c>
      <c r="V1855" s="46">
        <f>'Data_in-situ'!DP12</f>
        <v>3</v>
      </c>
      <c r="W1855" s="113">
        <f>'Data_in-situ'!DR12</f>
        <v>-2.9015044386833213</v>
      </c>
      <c r="X1855" s="113">
        <f>'Data_in-situ'!DS12</f>
        <v>2.2386157093008641</v>
      </c>
      <c r="Y1855" s="46">
        <f>'Data_in-situ'!DT12</f>
        <v>3</v>
      </c>
      <c r="Z1855" s="113">
        <f>'Data_in-situ'!EA92</f>
        <v>2.357142857142857E-2</v>
      </c>
      <c r="AA1855" s="113">
        <f>'Data_in-situ'!EB92</f>
        <v>0.13553517172535659</v>
      </c>
      <c r="AB1855" s="46">
        <f>'Data_in-situ'!EC92</f>
        <v>3</v>
      </c>
      <c r="AC1855" s="113">
        <f>'Data_in-situ'!EE92</f>
        <v>2.1214285714285714</v>
      </c>
      <c r="AD1855" s="113">
        <f>'Data_in-situ'!EF92</f>
        <v>3.1675885453957426</v>
      </c>
      <c r="AE1855" s="46">
        <f>'Data_in-situ'!EG92</f>
        <v>3</v>
      </c>
      <c r="AF1855" s="113">
        <f>'Data_in-situ'!EN25</f>
        <v>-6.17</v>
      </c>
      <c r="AG1855" s="113">
        <f>'Data_in-situ'!EO25</f>
        <v>1.6</v>
      </c>
      <c r="AH1855" s="110">
        <f>'Data_in-situ'!EP25</f>
        <v>3</v>
      </c>
      <c r="AI1855" s="113">
        <f>'Data_in-situ'!ER25</f>
        <v>-31.710108073744415</v>
      </c>
      <c r="AJ1855" s="113">
        <f>'Data_in-situ'!ES25</f>
        <v>5.4726041682006299</v>
      </c>
      <c r="AK1855" s="110">
        <f>'Data_in-situ'!ET25</f>
        <v>3</v>
      </c>
    </row>
    <row r="1856" spans="1:37" x14ac:dyDescent="0.3">
      <c r="B1856" s="24">
        <f>'Data_in-situ'!CA223</f>
        <v>-16723.603637465083</v>
      </c>
      <c r="C1856" s="24">
        <f>'Data_in-situ'!CB223</f>
        <v>2362.7967430320127</v>
      </c>
      <c r="D1856" s="46">
        <f>'Data_in-situ'!CC223</f>
        <v>3</v>
      </c>
      <c r="E1856" s="24">
        <f>'Data_in-situ'!CE223</f>
        <v>-16792.689257373804</v>
      </c>
      <c r="F1856" s="24">
        <f>'Data_in-situ'!CF223</f>
        <v>2297.5736170821519</v>
      </c>
      <c r="G1856" s="46">
        <f>'Data_in-situ'!CG223</f>
        <v>3</v>
      </c>
      <c r="H1856" s="24">
        <f>'Data_in-situ'!CN223</f>
        <v>10565.625157874983</v>
      </c>
      <c r="I1856" s="24">
        <f>'Data_in-situ'!CO223</f>
        <v>3177.8813752357983</v>
      </c>
      <c r="J1856" s="46">
        <f>'Data_in-situ'!CP223</f>
        <v>3</v>
      </c>
      <c r="K1856" s="24">
        <f>'Data_in-situ'!CR223</f>
        <v>13251.044559960765</v>
      </c>
      <c r="L1856" s="24">
        <f>'Data_in-situ'!CS223</f>
        <v>2768.2995631046829</v>
      </c>
      <c r="M1856" s="46">
        <f>'Data_in-situ'!CT223</f>
        <v>3</v>
      </c>
      <c r="N1856" s="24">
        <f>'Data_in-situ'!DA149</f>
        <v>-77.5</v>
      </c>
      <c r="O1856" s="24">
        <f>'Data_in-situ'!DB149</f>
        <v>262.39283526803854</v>
      </c>
      <c r="P1856" s="46">
        <f>'Data_in-situ'!DC149</f>
        <v>16</v>
      </c>
      <c r="Q1856" s="24">
        <f>'Data_in-situ'!DE149</f>
        <v>1790</v>
      </c>
      <c r="R1856" s="24">
        <f>'Data_in-situ'!DF149</f>
        <v>2340</v>
      </c>
      <c r="S1856" s="46">
        <f>'Data_in-situ'!DG149</f>
        <v>4</v>
      </c>
      <c r="T1856" s="113">
        <f>'Data_in-situ'!DN13</f>
        <v>80.930473720608589</v>
      </c>
      <c r="U1856" s="113">
        <f>'Data_in-situ'!DO13</f>
        <v>80.92749494901247</v>
      </c>
      <c r="V1856" s="46">
        <f>'Data_in-situ'!DP13</f>
        <v>3</v>
      </c>
      <c r="W1856" s="113">
        <f>'Data_in-situ'!DR13</f>
        <v>1.1401515151515151</v>
      </c>
      <c r="X1856" s="113">
        <f>'Data_in-situ'!DS13</f>
        <v>0.60565777356465134</v>
      </c>
      <c r="Y1856" s="46">
        <f>'Data_in-situ'!DT13</f>
        <v>3</v>
      </c>
      <c r="Z1856" s="113">
        <f>'Data_in-situ'!EA93</f>
        <v>2.357142857142857E-2</v>
      </c>
      <c r="AA1856" s="113">
        <f>'Data_in-situ'!EB93</f>
        <v>0.13553517172535659</v>
      </c>
      <c r="AB1856" s="46">
        <f>'Data_in-situ'!EC93</f>
        <v>3</v>
      </c>
      <c r="AC1856" s="113">
        <f>'Data_in-situ'!EE93</f>
        <v>0.80142857142857149</v>
      </c>
      <c r="AD1856" s="113">
        <f>'Data_in-situ'!EF93</f>
        <v>1.1966445615939472</v>
      </c>
      <c r="AE1856" s="46">
        <f>'Data_in-situ'!EG93</f>
        <v>3</v>
      </c>
      <c r="AF1856" s="113">
        <f>'Data_in-situ'!EN26</f>
        <v>-20.329999999999998</v>
      </c>
      <c r="AG1856" s="113">
        <f>'Data_in-situ'!EO26</f>
        <v>2.57</v>
      </c>
      <c r="AH1856" s="110">
        <f>'Data_in-situ'!EP26</f>
        <v>3</v>
      </c>
      <c r="AI1856" s="113">
        <f>'Data_in-situ'!ER26</f>
        <v>-40</v>
      </c>
      <c r="AJ1856" s="113">
        <f>'Data_in-situ'!ES26</f>
        <v>0</v>
      </c>
      <c r="AK1856" s="110">
        <f>'Data_in-situ'!ET26</f>
        <v>3</v>
      </c>
    </row>
    <row r="1857" spans="2:37" x14ac:dyDescent="0.3">
      <c r="B1857" s="24">
        <f>'Data_in-situ'!CA224</f>
        <v>-13221.293435196718</v>
      </c>
      <c r="C1857" s="24">
        <f>'Data_in-situ'!CB224</f>
        <v>5835.686028701105</v>
      </c>
      <c r="D1857" s="46">
        <f>'Data_in-situ'!CC224</f>
        <v>3</v>
      </c>
      <c r="E1857" s="24">
        <f>'Data_in-situ'!CE224</f>
        <v>-13858.019355218201</v>
      </c>
      <c r="F1857" s="24">
        <f>'Data_in-situ'!CF224</f>
        <v>8055.4344954724056</v>
      </c>
      <c r="G1857" s="46">
        <f>'Data_in-situ'!CG224</f>
        <v>3</v>
      </c>
      <c r="H1857" s="24">
        <f>'Data_in-situ'!CN224</f>
        <v>9278.44239752473</v>
      </c>
      <c r="I1857" s="24">
        <f>'Data_in-situ'!CO224</f>
        <v>3665.2968271222612</v>
      </c>
      <c r="J1857" s="46">
        <f>'Data_in-situ'!CP224</f>
        <v>3</v>
      </c>
      <c r="K1857" s="24">
        <f>'Data_in-situ'!CR224</f>
        <v>8910.18513514601</v>
      </c>
      <c r="L1857" s="24">
        <f>'Data_in-situ'!CS224</f>
        <v>4926.3065430817614</v>
      </c>
      <c r="M1857" s="46">
        <f>'Data_in-situ'!CT224</f>
        <v>3</v>
      </c>
      <c r="N1857" s="24">
        <f>'Data_in-situ'!DA150</f>
        <v>-77.5</v>
      </c>
      <c r="O1857" s="24">
        <f>'Data_in-situ'!DB150</f>
        <v>262.39283526803854</v>
      </c>
      <c r="P1857" s="46">
        <f>'Data_in-situ'!DC150</f>
        <v>16</v>
      </c>
      <c r="Q1857" s="24">
        <f>'Data_in-situ'!DE150</f>
        <v>1700</v>
      </c>
      <c r="R1857" s="24">
        <f>'Data_in-situ'!DF150</f>
        <v>2340</v>
      </c>
      <c r="S1857" s="46">
        <f>'Data_in-situ'!DG150</f>
        <v>3</v>
      </c>
      <c r="T1857" s="113">
        <f>'Data_in-situ'!DN14</f>
        <v>1212.2979432249506</v>
      </c>
      <c r="U1857" s="113">
        <f>'Data_in-situ'!DO14</f>
        <v>324.6860048502561</v>
      </c>
      <c r="V1857" s="46">
        <f>'Data_in-situ'!DP14</f>
        <v>9</v>
      </c>
      <c r="W1857" s="113">
        <f>'Data_in-situ'!DR14</f>
        <v>4.8030530526021593</v>
      </c>
      <c r="X1857" s="113">
        <f>'Data_in-situ'!DS14</f>
        <v>10.100613157809143</v>
      </c>
      <c r="Y1857" s="46">
        <f>'Data_in-situ'!DT14</f>
        <v>9</v>
      </c>
      <c r="Z1857" s="113">
        <f>'Data_in-situ'!EA98</f>
        <v>-9.6326468671612098E-2</v>
      </c>
      <c r="AA1857" s="113">
        <f>'Data_in-situ'!EB98</f>
        <v>5.4029389318036893E-2</v>
      </c>
      <c r="AB1857" s="46">
        <f>'Data_in-situ'!EC98</f>
        <v>3</v>
      </c>
      <c r="AC1857" s="113">
        <f>'Data_in-situ'!EE98</f>
        <v>1.5454704465443767</v>
      </c>
      <c r="AD1857" s="113">
        <f>'Data_in-situ'!EF98</f>
        <v>0.28931759999999995</v>
      </c>
      <c r="AE1857" s="46">
        <f>'Data_in-situ'!EG98</f>
        <v>3</v>
      </c>
      <c r="AF1857" s="113">
        <f>'Data_in-situ'!EN27</f>
        <v>-20.329999999999998</v>
      </c>
      <c r="AG1857" s="113">
        <f>'Data_in-situ'!EO27</f>
        <v>2.57</v>
      </c>
      <c r="AH1857" s="110">
        <f>'Data_in-situ'!EP27</f>
        <v>3</v>
      </c>
      <c r="AI1857" s="113">
        <f>'Data_in-situ'!ER27</f>
        <v>-14.475524475524482</v>
      </c>
      <c r="AJ1857" s="113">
        <f>'Data_in-situ'!ES27</f>
        <v>3.4828674393339902</v>
      </c>
      <c r="AK1857" s="110">
        <f>'Data_in-situ'!ET27</f>
        <v>3</v>
      </c>
    </row>
    <row r="1858" spans="2:37" x14ac:dyDescent="0.3">
      <c r="B1858" s="24">
        <f>'Data_in-situ'!CA225</f>
        <v>-12433.234643422073</v>
      </c>
      <c r="C1858" s="24">
        <f>'Data_in-situ'!CB225</f>
        <v>4080.0979371640278</v>
      </c>
      <c r="D1858" s="46">
        <f>'Data_in-situ'!CC225</f>
        <v>3</v>
      </c>
      <c r="E1858" s="24">
        <f>'Data_in-situ'!CE225</f>
        <v>-12839.064123912327</v>
      </c>
      <c r="F1858" s="24">
        <f>'Data_in-situ'!CF225</f>
        <v>6079.7463275012169</v>
      </c>
      <c r="G1858" s="46">
        <f>'Data_in-situ'!CG225</f>
        <v>3</v>
      </c>
      <c r="H1858" s="24">
        <f>'Data_in-situ'!CN225</f>
        <v>8581.2184023350092</v>
      </c>
      <c r="I1858" s="24">
        <f>'Data_in-situ'!CO225</f>
        <v>3466.4725308910288</v>
      </c>
      <c r="J1858" s="46">
        <f>'Data_in-situ'!CP225</f>
        <v>3</v>
      </c>
      <c r="K1858" s="24">
        <f>'Data_in-situ'!CR225</f>
        <v>7630.773936253252</v>
      </c>
      <c r="L1858" s="24">
        <f>'Data_in-situ'!CS225</f>
        <v>3659.7826622477482</v>
      </c>
      <c r="M1858" s="46">
        <f>'Data_in-situ'!CT225</f>
        <v>3</v>
      </c>
      <c r="N1858" s="24">
        <f>'Data_in-situ'!DA168</f>
        <v>25.237137365721058</v>
      </c>
      <c r="O1858" s="24">
        <f>'Data_in-situ'!DB168</f>
        <v>75.702744621550025</v>
      </c>
      <c r="P1858" s="46">
        <f>'Data_in-situ'!DC168</f>
        <v>3</v>
      </c>
      <c r="Q1858" s="24">
        <f>'Data_in-situ'!DE168</f>
        <v>227.90960825112143</v>
      </c>
      <c r="R1858" s="24">
        <f>'Data_in-situ'!DF168</f>
        <v>217.23040085623657</v>
      </c>
      <c r="S1858" s="46">
        <f>'Data_in-situ'!DG168</f>
        <v>3</v>
      </c>
      <c r="T1858" s="113">
        <f>'Data_in-situ'!DN15</f>
        <v>2106.5008889916066</v>
      </c>
      <c r="U1858" s="113">
        <f>'Data_in-situ'!DO15</f>
        <v>550.27007995085796</v>
      </c>
      <c r="V1858" s="46">
        <f>'Data_in-situ'!DP15</f>
        <v>12</v>
      </c>
      <c r="W1858" s="113">
        <f>'Data_in-situ'!DR15</f>
        <v>-0.36946561943093542</v>
      </c>
      <c r="X1858" s="113">
        <f>'Data_in-situ'!DS15</f>
        <v>0.8584618328302922</v>
      </c>
      <c r="Y1858" s="46">
        <f>'Data_in-situ'!DT15</f>
        <v>12</v>
      </c>
      <c r="Z1858" s="113">
        <f>'Data_in-situ'!EA99</f>
        <v>-0.40440266730939189</v>
      </c>
      <c r="AA1858" s="113">
        <f>'Data_in-situ'!EB99</f>
        <v>1.1600159999999999</v>
      </c>
      <c r="AB1858" s="46">
        <f>'Data_in-situ'!EC99</f>
        <v>24</v>
      </c>
      <c r="AC1858" s="113">
        <f>'Data_in-situ'!EE99</f>
        <v>0.41440059292199383</v>
      </c>
      <c r="AD1858" s="113">
        <f>'Data_in-situ'!EF99</f>
        <v>1.3178879999999999</v>
      </c>
      <c r="AE1858" s="46">
        <f>'Data_in-situ'!EG99</f>
        <v>15</v>
      </c>
      <c r="AF1858" s="113">
        <f>'Data_in-situ'!EN28</f>
        <v>-20.329999999999998</v>
      </c>
      <c r="AG1858" s="113">
        <f>'Data_in-situ'!EO28</f>
        <v>2.57</v>
      </c>
      <c r="AH1858" s="110">
        <f>'Data_in-situ'!EP28</f>
        <v>3</v>
      </c>
      <c r="AI1858" s="113">
        <f>'Data_in-situ'!ER28</f>
        <v>-40</v>
      </c>
      <c r="AJ1858" s="113">
        <f>'Data_in-situ'!ES28</f>
        <v>0</v>
      </c>
      <c r="AK1858" s="110">
        <f>'Data_in-situ'!ET28</f>
        <v>3</v>
      </c>
    </row>
    <row r="1859" spans="2:37" x14ac:dyDescent="0.3">
      <c r="B1859" s="24">
        <f>'Data_in-situ'!CA401</f>
        <v>-252.97619047619</v>
      </c>
      <c r="C1859" s="24">
        <f>'Data_in-situ'!CB401</f>
        <v>61.678241517097945</v>
      </c>
      <c r="D1859" s="46">
        <f>'Data_in-situ'!CC401</f>
        <v>1</v>
      </c>
      <c r="E1859" s="24">
        <f>'Data_in-situ'!CE401</f>
        <v>-259.32892988544108</v>
      </c>
      <c r="F1859" s="24">
        <f>'Data_in-situ'!CF401</f>
        <v>96.540146410153937</v>
      </c>
      <c r="G1859" s="46">
        <f>'Data_in-situ'!CG401</f>
        <v>1</v>
      </c>
      <c r="H1859" s="24">
        <f>'Data_in-situ'!CN401</f>
        <v>243.00271458600855</v>
      </c>
      <c r="I1859" s="24">
        <f>'Data_in-situ'!CO401</f>
        <v>69.894216997580699</v>
      </c>
      <c r="J1859" s="46">
        <f>'Data_in-situ'!CP401</f>
        <v>1</v>
      </c>
      <c r="K1859" s="24">
        <f>'Data_in-situ'!CR401</f>
        <v>278.68155282729083</v>
      </c>
      <c r="L1859" s="24">
        <f>'Data_in-situ'!CS401</f>
        <v>73.123578700198763</v>
      </c>
      <c r="M1859" s="46">
        <f>'Data_in-situ'!CT401</f>
        <v>1</v>
      </c>
      <c r="N1859" s="24">
        <f>'Data_in-situ'!DA169</f>
        <v>826.51624872736215</v>
      </c>
      <c r="O1859" s="24">
        <f>'Data_in-situ'!DB169</f>
        <v>2479.2648863557561</v>
      </c>
      <c r="P1859" s="46">
        <f>'Data_in-situ'!DC169</f>
        <v>3</v>
      </c>
      <c r="Q1859" s="24">
        <f>'Data_in-situ'!DE169</f>
        <v>-2686.077525816791</v>
      </c>
      <c r="R1859" s="24">
        <f>'Data_in-situ'!DF169</f>
        <v>2560.2154386627908</v>
      </c>
      <c r="S1859" s="46">
        <f>'Data_in-situ'!DG169</f>
        <v>3</v>
      </c>
      <c r="T1859" s="113">
        <f>'Data_in-situ'!DN16</f>
        <v>382.09999892536933</v>
      </c>
      <c r="U1859" s="113">
        <f>'Data_in-situ'!DO16</f>
        <v>116.45849359259256</v>
      </c>
      <c r="V1859" s="46">
        <f>'Data_in-situ'!DP16</f>
        <v>9</v>
      </c>
      <c r="W1859" s="113">
        <f>'Data_in-situ'!DR16</f>
        <v>31.035112032198569</v>
      </c>
      <c r="X1859" s="113">
        <f>'Data_in-situ'!DS16</f>
        <v>65.358501102872523</v>
      </c>
      <c r="Y1859" s="46">
        <f>'Data_in-situ'!DT16</f>
        <v>9</v>
      </c>
      <c r="Z1859" s="113">
        <f>'Data_in-situ'!EA104</f>
        <v>2.2785714285714288E-2</v>
      </c>
      <c r="AA1859" s="113">
        <f>'Data_in-situ'!EB104</f>
        <v>0.13101733266784471</v>
      </c>
      <c r="AB1859" s="46">
        <f>'Data_in-situ'!EC104</f>
        <v>3</v>
      </c>
      <c r="AC1859" s="113">
        <f>'Data_in-situ'!EE104</f>
        <v>2.1057142857142859</v>
      </c>
      <c r="AD1859" s="113">
        <f>'Data_in-situ'!EF104</f>
        <v>3.1441249265409592</v>
      </c>
      <c r="AE1859" s="46">
        <f>'Data_in-situ'!EG104</f>
        <v>3</v>
      </c>
      <c r="AF1859" s="113">
        <f>'Data_in-situ'!EN29</f>
        <v>-20.329999999999998</v>
      </c>
      <c r="AG1859" s="113">
        <f>'Data_in-situ'!EO29</f>
        <v>2.57</v>
      </c>
      <c r="AH1859" s="110">
        <f>'Data_in-situ'!EP29</f>
        <v>3</v>
      </c>
      <c r="AI1859" s="113">
        <f>'Data_in-situ'!ER29</f>
        <v>-31.710108073744415</v>
      </c>
      <c r="AJ1859" s="113">
        <f>'Data_in-situ'!ES29</f>
        <v>5.4726041682006299</v>
      </c>
      <c r="AK1859" s="110">
        <f>'Data_in-situ'!ET29</f>
        <v>3</v>
      </c>
    </row>
    <row r="1860" spans="2:37" x14ac:dyDescent="0.3">
      <c r="B1860" s="24">
        <f>'Data_in-situ'!CA402</f>
        <v>-270.83333333333297</v>
      </c>
      <c r="C1860" s="24">
        <f>'Data_in-situ'!CB402</f>
        <v>66.031999741834312</v>
      </c>
      <c r="D1860" s="46">
        <f>'Data_in-situ'!CC402</f>
        <v>1</v>
      </c>
      <c r="E1860" s="24">
        <f>'Data_in-situ'!CE402</f>
        <v>-301.00679361702942</v>
      </c>
      <c r="F1860" s="24">
        <f>'Data_in-situ'!CF402</f>
        <v>112.05552708321424</v>
      </c>
      <c r="G1860" s="46">
        <f>'Data_in-situ'!CG402</f>
        <v>1</v>
      </c>
      <c r="H1860" s="24">
        <f>'Data_in-situ'!CN402</f>
        <v>252.06998005563568</v>
      </c>
      <c r="I1860" s="24">
        <f>'Data_in-situ'!CO402</f>
        <v>72.502210169132198</v>
      </c>
      <c r="J1860" s="46">
        <f>'Data_in-situ'!CP402</f>
        <v>1</v>
      </c>
      <c r="K1860" s="24">
        <f>'Data_in-situ'!CR402</f>
        <v>294.16386131769627</v>
      </c>
      <c r="L1860" s="24">
        <f>'Data_in-situ'!CS402</f>
        <v>77.18599973909879</v>
      </c>
      <c r="M1860" s="46">
        <f>'Data_in-situ'!CT402</f>
        <v>1</v>
      </c>
      <c r="N1860" s="24">
        <f>'Data_in-situ'!DA170</f>
        <v>-870.68123911737575</v>
      </c>
      <c r="O1860" s="24">
        <f>'Data_in-situ'!DB170</f>
        <v>2611.7446894434738</v>
      </c>
      <c r="P1860" s="46">
        <f>'Data_in-situ'!DC170</f>
        <v>3</v>
      </c>
      <c r="Q1860" s="24">
        <f>'Data_in-situ'!DE170</f>
        <v>-911.63843300448298</v>
      </c>
      <c r="R1860" s="24">
        <f>'Data_in-situ'!DF170</f>
        <v>868.92160342494367</v>
      </c>
      <c r="S1860" s="46">
        <f>'Data_in-situ'!DG170</f>
        <v>3</v>
      </c>
      <c r="T1860" s="113">
        <f>'Data_in-situ'!DN17</f>
        <v>60.942159705621961</v>
      </c>
      <c r="U1860" s="113">
        <f>'Data_in-situ'!DO17</f>
        <v>16.400357502575496</v>
      </c>
      <c r="V1860" s="46">
        <f>'Data_in-situ'!DP17</f>
        <v>12</v>
      </c>
      <c r="W1860" s="113">
        <f>'Data_in-situ'!DR17</f>
        <v>31.035112032198569</v>
      </c>
      <c r="X1860" s="113">
        <f>'Data_in-situ'!DS17</f>
        <v>65.358501102872523</v>
      </c>
      <c r="Y1860" s="46">
        <f>'Data_in-situ'!DT17</f>
        <v>12</v>
      </c>
      <c r="Z1860" s="113">
        <f>'Data_in-situ'!EA105</f>
        <v>9.1928571428571401E-2</v>
      </c>
      <c r="AA1860" s="113">
        <f>'Data_in-situ'!EB105</f>
        <v>0.52858716972889053</v>
      </c>
      <c r="AB1860" s="46">
        <f>'Data_in-situ'!EC105</f>
        <v>3</v>
      </c>
      <c r="AC1860" s="113">
        <f>'Data_in-situ'!EE105</f>
        <v>0.87057142857142855</v>
      </c>
      <c r="AD1860" s="113">
        <f>'Data_in-situ'!EF105</f>
        <v>1.2998844845549935</v>
      </c>
      <c r="AE1860" s="46">
        <f>'Data_in-situ'!EG105</f>
        <v>3</v>
      </c>
      <c r="AF1860" s="113">
        <f>'Data_in-situ'!EN81</f>
        <v>-9</v>
      </c>
      <c r="AG1860" s="113">
        <f>'Data_in-situ'!EO81</f>
        <v>3.6674675887616401</v>
      </c>
      <c r="AH1860" s="110">
        <f>'Data_in-situ'!EP81</f>
        <v>3</v>
      </c>
      <c r="AI1860" s="113">
        <f>'Data_in-situ'!ER81</f>
        <v>-15</v>
      </c>
      <c r="AJ1860" s="113">
        <f>'Data_in-situ'!ES81</f>
        <v>3.4022108026379128</v>
      </c>
      <c r="AK1860" s="110">
        <f>'Data_in-situ'!ET81</f>
        <v>3</v>
      </c>
    </row>
    <row r="1861" spans="2:37" x14ac:dyDescent="0.3">
      <c r="B1861" s="24">
        <f>'Data_in-situ'!CA403</f>
        <v>-241.07142857142901</v>
      </c>
      <c r="C1861" s="24">
        <f>'Data_in-situ'!CB403</f>
        <v>58.775736033940618</v>
      </c>
      <c r="D1861" s="46">
        <f>'Data_in-situ'!CC403</f>
        <v>1</v>
      </c>
      <c r="E1861" s="24">
        <f>'Data_in-situ'!CE403</f>
        <v>-271.67792654665266</v>
      </c>
      <c r="F1861" s="24">
        <f>'Data_in-situ'!CF403</f>
        <v>101.13729623920892</v>
      </c>
      <c r="G1861" s="46">
        <f>'Data_in-situ'!CG403</f>
        <v>1</v>
      </c>
      <c r="H1861" s="24">
        <f>'Data_in-situ'!CN403</f>
        <v>217.61437127105197</v>
      </c>
      <c r="I1861" s="24">
        <f>'Data_in-situ'!CO403</f>
        <v>62.591836117236312</v>
      </c>
      <c r="J1861" s="46">
        <f>'Data_in-situ'!CP403</f>
        <v>1</v>
      </c>
      <c r="K1861" s="24">
        <f>'Data_in-situ'!CR403</f>
        <v>295.88411781662973</v>
      </c>
      <c r="L1861" s="24">
        <f>'Data_in-situ'!CS403</f>
        <v>77.637379854532</v>
      </c>
      <c r="M1861" s="46">
        <f>'Data_in-situ'!CT403</f>
        <v>1</v>
      </c>
      <c r="N1861" s="24">
        <f>'Data_in-situ'!DA171</f>
        <v>82.020696438593234</v>
      </c>
      <c r="O1861" s="24">
        <f>'Data_in-situ'!DB171</f>
        <v>246.03392002003699</v>
      </c>
      <c r="P1861" s="46">
        <f>'Data_in-situ'!DC171</f>
        <v>3</v>
      </c>
      <c r="Q1861" s="24">
        <f>'Data_in-situ'!DE171</f>
        <v>-4541.9129072902078</v>
      </c>
      <c r="R1861" s="24">
        <f>'Data_in-situ'!DF171</f>
        <v>4329.0915599207165</v>
      </c>
      <c r="S1861" s="46">
        <f>'Data_in-situ'!DG171</f>
        <v>3</v>
      </c>
      <c r="T1861" s="113">
        <f>'Data_in-situ'!DN18</f>
        <v>76.598647152414557</v>
      </c>
      <c r="U1861" s="113">
        <f>'Data_in-situ'!DO18</f>
        <v>97.385019539931207</v>
      </c>
      <c r="V1861" s="46">
        <f>'Data_in-situ'!DP18</f>
        <v>3</v>
      </c>
      <c r="W1861" s="113">
        <f>'Data_in-situ'!DR18</f>
        <v>1.2881413805511519</v>
      </c>
      <c r="X1861" s="113">
        <f>'Data_in-situ'!DS18</f>
        <v>5.0439358355151063</v>
      </c>
      <c r="Y1861" s="46">
        <f>'Data_in-situ'!DT18</f>
        <v>3</v>
      </c>
      <c r="Z1861" s="113">
        <f>'Data_in-situ'!EA106</f>
        <v>5.3428571428571429E-2</v>
      </c>
      <c r="AA1861" s="113">
        <f>'Data_in-situ'!EB106</f>
        <v>0.30721305591080827</v>
      </c>
      <c r="AB1861" s="46">
        <f>'Data_in-situ'!EC106</f>
        <v>3</v>
      </c>
      <c r="AC1861" s="113">
        <f>'Data_in-situ'!EE106</f>
        <v>5.7985714285714279E-2</v>
      </c>
      <c r="AD1861" s="113">
        <f>'Data_in-situ'!EF106</f>
        <v>8.6580753574150279E-2</v>
      </c>
      <c r="AE1861" s="46">
        <f>'Data_in-situ'!EG106</f>
        <v>3</v>
      </c>
      <c r="AF1861" s="113">
        <f>'Data_in-situ'!EN82</f>
        <v>-9</v>
      </c>
      <c r="AG1861" s="113">
        <f>'Data_in-situ'!EO82</f>
        <v>3.6674675887616401</v>
      </c>
      <c r="AH1861" s="110">
        <f>'Data_in-situ'!EP82</f>
        <v>3</v>
      </c>
      <c r="AI1861" s="113">
        <f>'Data_in-situ'!ER82</f>
        <v>-21</v>
      </c>
      <c r="AJ1861" s="113">
        <f>'Data_in-situ'!ES82</f>
        <v>4.7630951236930779</v>
      </c>
      <c r="AK1861" s="110">
        <f>'Data_in-situ'!ET82</f>
        <v>3</v>
      </c>
    </row>
    <row r="1862" spans="2:37" x14ac:dyDescent="0.3">
      <c r="B1862" s="24">
        <f>'Data_in-situ'!CA404</f>
        <v>-1190.8947368421052</v>
      </c>
      <c r="C1862" s="24">
        <f>'Data_in-situ'!CB404</f>
        <v>8.1728070175438585</v>
      </c>
      <c r="D1862" s="46">
        <f>'Data_in-situ'!CC404</f>
        <v>4</v>
      </c>
      <c r="E1862" s="24">
        <f>'Data_in-situ'!CE404</f>
        <v>-1647.1117744611581</v>
      </c>
      <c r="F1862" s="24">
        <f>'Data_in-situ'!CF404</f>
        <v>42.213296514097145</v>
      </c>
      <c r="G1862" s="46">
        <f>'Data_in-situ'!CG404</f>
        <v>4</v>
      </c>
      <c r="H1862" s="24">
        <f>'Data_in-situ'!CN404</f>
        <v>1173.6539891420518</v>
      </c>
      <c r="I1862" s="24">
        <f>'Data_in-situ'!CO404</f>
        <v>59.312279426335792</v>
      </c>
      <c r="J1862" s="46">
        <f>'Data_in-situ'!CP404</f>
        <v>4</v>
      </c>
      <c r="K1862" s="24">
        <f>'Data_in-situ'!CR404</f>
        <v>1113.3378134148315</v>
      </c>
      <c r="L1862" s="24">
        <f>'Data_in-situ'!CS404</f>
        <v>77.030208091757075</v>
      </c>
      <c r="M1862" s="46">
        <f>'Data_in-situ'!CT404</f>
        <v>4</v>
      </c>
      <c r="N1862" s="24">
        <f>'Data_in-situ'!DA197</f>
        <v>-6476.6640398246809</v>
      </c>
      <c r="O1862" s="24">
        <f>'Data_in-situ'!DB197</f>
        <v>2851.847869896872</v>
      </c>
      <c r="P1862" s="46">
        <f>'Data_in-situ'!DC197</f>
        <v>3</v>
      </c>
      <c r="Q1862" s="24">
        <f>'Data_in-situ'!DE197</f>
        <v>303.7999143045227</v>
      </c>
      <c r="R1862" s="24">
        <f>'Data_in-situ'!DF197</f>
        <v>833.8763402434389</v>
      </c>
      <c r="S1862" s="46">
        <f>'Data_in-situ'!DG197</f>
        <v>3</v>
      </c>
      <c r="T1862" s="113">
        <f>'Data_in-situ'!DN19</f>
        <v>76.598647152414557</v>
      </c>
      <c r="U1862" s="113">
        <f>'Data_in-situ'!DO19</f>
        <v>97.385019539931207</v>
      </c>
      <c r="V1862" s="46">
        <f>'Data_in-situ'!DP19</f>
        <v>3</v>
      </c>
      <c r="W1862" s="113">
        <f>'Data_in-situ'!DR19</f>
        <v>-0.99087798503934754</v>
      </c>
      <c r="X1862" s="113">
        <f>'Data_in-situ'!DS19</f>
        <v>2.1111905341845492</v>
      </c>
      <c r="Y1862" s="46">
        <f>'Data_in-situ'!DT19</f>
        <v>3</v>
      </c>
      <c r="Z1862" s="113">
        <f>'Data_in-situ'!EA107</f>
        <v>0.24042857142857144</v>
      </c>
      <c r="AA1862" s="113">
        <f>'Data_in-situ'!EB107</f>
        <v>1.3824587515986373</v>
      </c>
      <c r="AB1862" s="46">
        <f>'Data_in-situ'!EC107</f>
        <v>3</v>
      </c>
      <c r="AC1862" s="113">
        <f>'Data_in-situ'!EE107</f>
        <v>0.88314285714285712</v>
      </c>
      <c r="AD1862" s="113">
        <f>'Data_in-situ'!EF107</f>
        <v>1.3186553796388201</v>
      </c>
      <c r="AE1862" s="46">
        <f>'Data_in-situ'!EG107</f>
        <v>3</v>
      </c>
      <c r="AF1862" s="113">
        <f>'Data_in-situ'!EN83</f>
        <v>-9</v>
      </c>
      <c r="AG1862" s="113">
        <f>'Data_in-situ'!EO83</f>
        <v>3.6674675887616401</v>
      </c>
      <c r="AH1862" s="110">
        <f>'Data_in-situ'!EP83</f>
        <v>3</v>
      </c>
      <c r="AI1862" s="113">
        <f>'Data_in-situ'!ER83</f>
        <v>-26</v>
      </c>
      <c r="AJ1862" s="113">
        <f>'Data_in-situ'!ES83</f>
        <v>5.8971653912390485</v>
      </c>
      <c r="AK1862" s="110">
        <f>'Data_in-situ'!ET83</f>
        <v>3</v>
      </c>
    </row>
    <row r="1863" spans="2:37" x14ac:dyDescent="0.3">
      <c r="B1863" s="24">
        <f>'Data_in-situ'!CA405</f>
        <v>-1587.859649122807</v>
      </c>
      <c r="C1863" s="24">
        <f>'Data_in-situ'!CB405</f>
        <v>7.4722807017543857</v>
      </c>
      <c r="D1863" s="46">
        <f>'Data_in-situ'!CC405</f>
        <v>4</v>
      </c>
      <c r="E1863" s="24">
        <f>'Data_in-situ'!CE405</f>
        <v>-1598.6673105064185</v>
      </c>
      <c r="F1863" s="24">
        <f>'Data_in-situ'!CF405</f>
        <v>44.336749279956244</v>
      </c>
      <c r="G1863" s="46">
        <f>'Data_in-situ'!CG405</f>
        <v>4</v>
      </c>
      <c r="H1863" s="24">
        <f>'Data_in-situ'!CN405</f>
        <v>1001.8997468285809</v>
      </c>
      <c r="I1863" s="24">
        <f>'Data_in-situ'!CO405</f>
        <v>31.53551699296025</v>
      </c>
      <c r="J1863" s="46">
        <f>'Data_in-situ'!CP405</f>
        <v>4</v>
      </c>
      <c r="K1863" s="24">
        <f>'Data_in-situ'!CR405</f>
        <v>1031.8740709698438</v>
      </c>
      <c r="L1863" s="24">
        <f>'Data_in-situ'!CS405</f>
        <v>95.91547767591031</v>
      </c>
      <c r="M1863" s="46">
        <f>'Data_in-situ'!CT405</f>
        <v>4</v>
      </c>
      <c r="N1863" s="24">
        <f>'Data_in-situ'!DA198</f>
        <v>-5712.1472856207492</v>
      </c>
      <c r="O1863" s="24">
        <f>'Data_in-situ'!DB198</f>
        <v>3273.2058172899874</v>
      </c>
      <c r="P1863" s="46">
        <f>'Data_in-situ'!DC198</f>
        <v>3</v>
      </c>
      <c r="Q1863" s="24">
        <f>'Data_in-situ'!DE198</f>
        <v>-61.395104632969371</v>
      </c>
      <c r="R1863" s="24">
        <f>'Data_in-situ'!DF198</f>
        <v>529.41384138606963</v>
      </c>
      <c r="S1863" s="46">
        <f>'Data_in-situ'!DG198</f>
        <v>3</v>
      </c>
      <c r="T1863" s="113">
        <f>'Data_in-situ'!DN20</f>
        <v>3.3104450261339187</v>
      </c>
      <c r="U1863" s="113">
        <f>'Data_in-situ'!DO20</f>
        <v>3.2225601192052182</v>
      </c>
      <c r="V1863" s="46">
        <f>'Data_in-situ'!DP20</f>
        <v>3</v>
      </c>
      <c r="W1863" s="113">
        <f>'Data_in-situ'!DR20</f>
        <v>0.97256818109938847</v>
      </c>
      <c r="X1863" s="113">
        <f>'Data_in-situ'!DS20</f>
        <v>5.0056318929545522</v>
      </c>
      <c r="Y1863" s="46">
        <f>'Data_in-situ'!DT20</f>
        <v>3</v>
      </c>
      <c r="Z1863" s="113">
        <f>'Data_in-situ'!EA112</f>
        <v>1.8193831442341308</v>
      </c>
      <c r="AA1863" s="113">
        <f>'Data_in-situ'!EB112</f>
        <v>10.461411201308758</v>
      </c>
      <c r="AB1863" s="46">
        <f>'Data_in-situ'!EC112</f>
        <v>3</v>
      </c>
      <c r="AC1863" s="113">
        <f>'Data_in-situ'!EE112</f>
        <v>1.4382096725045124</v>
      </c>
      <c r="AD1863" s="113">
        <f>'Data_in-situ'!EF112</f>
        <v>2.1474475011123628</v>
      </c>
      <c r="AE1863" s="46">
        <f>'Data_in-situ'!EG112</f>
        <v>3</v>
      </c>
      <c r="AF1863" s="113">
        <f>'Data_in-situ'!EN84</f>
        <v>-2.8</v>
      </c>
      <c r="AG1863" s="113">
        <f>'Data_in-situ'!EO84</f>
        <v>0.72</v>
      </c>
      <c r="AH1863" s="110">
        <f>'Data_in-situ'!EP84</f>
        <v>3</v>
      </c>
      <c r="AI1863" s="113">
        <f>'Data_in-situ'!ER84</f>
        <v>-23.33</v>
      </c>
      <c r="AJ1863" s="113">
        <f>'Data_in-situ'!ES84</f>
        <v>3.46</v>
      </c>
      <c r="AK1863" s="110">
        <f>'Data_in-situ'!ET84</f>
        <v>3</v>
      </c>
    </row>
    <row r="1864" spans="2:37" x14ac:dyDescent="0.3">
      <c r="B1864" s="24">
        <f>'Data_in-situ'!CA406</f>
        <v>-1541.1578947368423</v>
      </c>
      <c r="C1864" s="24">
        <f>'Data_in-situ'!CB406</f>
        <v>7.2387719298245612</v>
      </c>
      <c r="D1864" s="46">
        <f>'Data_in-situ'!CC406</f>
        <v>4</v>
      </c>
      <c r="E1864" s="24">
        <f>'Data_in-situ'!CE406</f>
        <v>-2325.3342698275173</v>
      </c>
      <c r="F1864" s="24">
        <f>'Data_in-situ'!CF406</f>
        <v>61.965584260203691</v>
      </c>
      <c r="G1864" s="46">
        <f>'Data_in-situ'!CG406</f>
        <v>4</v>
      </c>
      <c r="H1864" s="24">
        <f>'Data_in-situ'!CN406</f>
        <v>1345.4082314555228</v>
      </c>
      <c r="I1864" s="24">
        <f>'Data_in-situ'!CO406</f>
        <v>87.695812130506496</v>
      </c>
      <c r="J1864" s="46">
        <f>'Data_in-situ'!CP406</f>
        <v>4</v>
      </c>
      <c r="K1864" s="24">
        <f>'Data_in-situ'!CR406</f>
        <v>1031.8740709698438</v>
      </c>
      <c r="L1864" s="24">
        <f>'Data_in-situ'!CS406</f>
        <v>302.96098741004602</v>
      </c>
      <c r="M1864" s="46">
        <f>'Data_in-situ'!CT406</f>
        <v>4</v>
      </c>
      <c r="N1864" s="24">
        <f>'Data_in-situ'!DA199</f>
        <v>-4224.281052470792</v>
      </c>
      <c r="O1864" s="24">
        <f>'Data_in-situ'!DB199</f>
        <v>12671.392364777903</v>
      </c>
      <c r="P1864" s="46">
        <f>'Data_in-situ'!DC199</f>
        <v>1</v>
      </c>
      <c r="Q1864" s="24">
        <f>'Data_in-situ'!DE199</f>
        <v>344.32606889777549</v>
      </c>
      <c r="R1864" s="24">
        <f>'Data_in-situ'!DF199</f>
        <v>328.19191145947599</v>
      </c>
      <c r="S1864" s="46">
        <f>'Data_in-situ'!DG199</f>
        <v>1</v>
      </c>
      <c r="T1864" s="113">
        <f>'Data_in-situ'!DN21</f>
        <v>3.3104450261339187</v>
      </c>
      <c r="U1864" s="113">
        <f>'Data_in-situ'!DO21</f>
        <v>3.2225601192052182</v>
      </c>
      <c r="V1864" s="46">
        <f>'Data_in-situ'!DP21</f>
        <v>3</v>
      </c>
      <c r="W1864" s="113">
        <f>'Data_in-situ'!DR21</f>
        <v>-0.74812937007645264</v>
      </c>
      <c r="X1864" s="113">
        <f>'Data_in-situ'!DS21</f>
        <v>2.0565387107113464</v>
      </c>
      <c r="Y1864" s="46">
        <f>'Data_in-situ'!DT21</f>
        <v>3</v>
      </c>
      <c r="Z1864" s="113">
        <f>'Data_in-situ'!EA113</f>
        <v>1.1072245992053424</v>
      </c>
      <c r="AA1864" s="113">
        <f>'Data_in-situ'!EB113</f>
        <v>6.3665159596536158</v>
      </c>
      <c r="AB1864" s="46">
        <f>'Data_in-situ'!EC113</f>
        <v>3</v>
      </c>
      <c r="AC1864" s="113">
        <f>'Data_in-situ'!EE113</f>
        <v>6.6685966855719432</v>
      </c>
      <c r="AD1864" s="113">
        <f>'Data_in-situ'!EF113</f>
        <v>9.9571443316883439</v>
      </c>
      <c r="AE1864" s="46">
        <f>'Data_in-situ'!EG113</f>
        <v>3</v>
      </c>
      <c r="AF1864" s="113">
        <f>'Data_in-situ'!EN85</f>
        <v>-5.04</v>
      </c>
      <c r="AG1864" s="113">
        <f>'Data_in-situ'!EO85</f>
        <v>1.83</v>
      </c>
      <c r="AH1864" s="110">
        <f>'Data_in-situ'!EP85</f>
        <v>3</v>
      </c>
      <c r="AI1864" s="113">
        <f>'Data_in-situ'!ER85</f>
        <v>-37.299999999999997</v>
      </c>
      <c r="AJ1864" s="113">
        <f>'Data_in-situ'!ES85</f>
        <v>7.39</v>
      </c>
      <c r="AK1864" s="110">
        <f>'Data_in-situ'!ET85</f>
        <v>3</v>
      </c>
    </row>
    <row r="1865" spans="2:37" x14ac:dyDescent="0.3">
      <c r="B1865" s="24">
        <f>'Data_in-situ'!CA407</f>
        <v>-2129.6</v>
      </c>
      <c r="C1865" s="24">
        <f>'Data_in-situ'!CB407</f>
        <v>6.8256410256410263</v>
      </c>
      <c r="D1865" s="46">
        <f>'Data_in-situ'!CC407</f>
        <v>4</v>
      </c>
      <c r="E1865" s="24">
        <f>'Data_in-situ'!CE407</f>
        <v>-2860.45927166603</v>
      </c>
      <c r="F1865" s="24">
        <f>'Data_in-situ'!CF407</f>
        <v>83.041731299949717</v>
      </c>
      <c r="G1865" s="46">
        <f>'Data_in-situ'!CG407</f>
        <v>4</v>
      </c>
      <c r="H1865" s="24">
        <f>'Data_in-situ'!CN407</f>
        <v>1355.5373277970868</v>
      </c>
      <c r="I1865" s="24">
        <f>'Data_in-situ'!CO407</f>
        <v>118.50504120960676</v>
      </c>
      <c r="J1865" s="46">
        <f>'Data_in-situ'!CP407</f>
        <v>4</v>
      </c>
      <c r="K1865" s="24">
        <f>'Data_in-situ'!CR407</f>
        <v>1460.4986850650098</v>
      </c>
      <c r="L1865" s="24">
        <f>'Data_in-situ'!CS407</f>
        <v>101.18634540814155</v>
      </c>
      <c r="M1865" s="46">
        <f>'Data_in-situ'!CT407</f>
        <v>4</v>
      </c>
      <c r="N1865" s="24">
        <f>'Data_in-situ'!DA200</f>
        <v>-3138.2906454872195</v>
      </c>
      <c r="O1865" s="24">
        <f>'Data_in-situ'!DB200</f>
        <v>9413.7941177993216</v>
      </c>
      <c r="P1865" s="46">
        <f>'Data_in-situ'!DC200</f>
        <v>1</v>
      </c>
      <c r="Q1865" s="24">
        <f>'Data_in-situ'!DE200</f>
        <v>401.53716957617513</v>
      </c>
      <c r="R1865" s="24">
        <f>'Data_in-situ'!DF200</f>
        <v>382.72225982505051</v>
      </c>
      <c r="S1865" s="46">
        <f>'Data_in-situ'!DG200</f>
        <v>1</v>
      </c>
      <c r="T1865" s="113">
        <f>'Data_in-situ'!DN22</f>
        <v>69.189192430383997</v>
      </c>
      <c r="U1865" s="113">
        <f>'Data_in-situ'!DO22</f>
        <v>105.7403076411135</v>
      </c>
      <c r="V1865" s="46">
        <f>'Data_in-situ'!DP22</f>
        <v>3</v>
      </c>
      <c r="W1865" s="113">
        <f>'Data_in-situ'!DR22</f>
        <v>0.20126042349248477</v>
      </c>
      <c r="X1865" s="113">
        <f>'Data_in-situ'!DS22</f>
        <v>3.7673237667559927</v>
      </c>
      <c r="Y1865" s="46">
        <f>'Data_in-situ'!DT22</f>
        <v>3</v>
      </c>
      <c r="Z1865" s="113">
        <f>'Data_in-situ'!EA114</f>
        <v>0.53231951884872231</v>
      </c>
      <c r="AA1865" s="113">
        <f>'Data_in-situ'!EB114</f>
        <v>3.0608249806026997</v>
      </c>
      <c r="AB1865" s="46">
        <f>'Data_in-situ'!EC114</f>
        <v>3</v>
      </c>
      <c r="AC1865" s="113">
        <f>'Data_in-situ'!EE114</f>
        <v>2.1039743148589367</v>
      </c>
      <c r="AD1865" s="113">
        <f>'Data_in-situ'!EF114</f>
        <v>3.141526907533883</v>
      </c>
      <c r="AE1865" s="46">
        <f>'Data_in-situ'!EG114</f>
        <v>3</v>
      </c>
      <c r="AF1865" s="113">
        <f>'Data_in-situ'!EN90</f>
        <v>-26.8</v>
      </c>
      <c r="AG1865" s="113">
        <f>'Data_in-situ'!EO90</f>
        <v>10.920903486534662</v>
      </c>
      <c r="AH1865" s="110">
        <f>'Data_in-situ'!EP90</f>
        <v>3</v>
      </c>
      <c r="AI1865" s="113">
        <f>'Data_in-situ'!ER90</f>
        <v>-62.1</v>
      </c>
      <c r="AJ1865" s="113">
        <f>'Data_in-situ'!ES90</f>
        <v>14.085152722920959</v>
      </c>
      <c r="AK1865" s="110">
        <f>'Data_in-situ'!ET90</f>
        <v>3</v>
      </c>
    </row>
    <row r="1866" spans="2:37" x14ac:dyDescent="0.3">
      <c r="B1866" s="24">
        <f>'Data_in-situ'!CA408</f>
        <v>-2259.2871794871794</v>
      </c>
      <c r="C1866" s="24">
        <f>'Data_in-situ'!CB408</f>
        <v>13.651282051282053</v>
      </c>
      <c r="D1866" s="46">
        <f>'Data_in-situ'!CC408</f>
        <v>4</v>
      </c>
      <c r="E1866" s="24">
        <f>'Data_in-situ'!CE408</f>
        <v>-1940.0144565259704</v>
      </c>
      <c r="F1866" s="24">
        <f>'Data_in-situ'!CF408</f>
        <v>56.070928981894077</v>
      </c>
      <c r="G1866" s="46">
        <f>'Data_in-situ'!CG408</f>
        <v>4</v>
      </c>
      <c r="H1866" s="24">
        <f>'Data_in-situ'!CN408</f>
        <v>1857.5881899441558</v>
      </c>
      <c r="I1866" s="24">
        <f>'Data_in-situ'!CO408</f>
        <v>103.36331194089117</v>
      </c>
      <c r="J1866" s="46">
        <f>'Data_in-situ'!CP408</f>
        <v>4</v>
      </c>
      <c r="K1866" s="24">
        <f>'Data_in-situ'!CR408</f>
        <v>1587.498570722837</v>
      </c>
      <c r="L1866" s="24">
        <f>'Data_in-situ'!CS408</f>
        <v>105.69113003255019</v>
      </c>
      <c r="M1866" s="46">
        <f>'Data_in-situ'!CT408</f>
        <v>4</v>
      </c>
      <c r="N1866" s="24">
        <f>'Data_in-situ'!DA222</f>
        <v>-5522.053137553612</v>
      </c>
      <c r="O1866" s="24">
        <f>'Data_in-situ'!DB222</f>
        <v>3799.0509125782523</v>
      </c>
      <c r="P1866" s="46">
        <f>'Data_in-situ'!DC222</f>
        <v>3</v>
      </c>
      <c r="Q1866" s="24">
        <f>'Data_in-situ'!DE222</f>
        <v>-3740.7225956381553</v>
      </c>
      <c r="R1866" s="24">
        <f>'Data_in-situ'!DF222</f>
        <v>3396.3473178087561</v>
      </c>
      <c r="S1866" s="46">
        <f>'Data_in-situ'!DG222</f>
        <v>3</v>
      </c>
      <c r="T1866" s="113">
        <f>'Data_in-situ'!DN23</f>
        <v>69.189192430383997</v>
      </c>
      <c r="U1866" s="113">
        <f>'Data_in-situ'!DO23</f>
        <v>105.7403076411135</v>
      </c>
      <c r="V1866" s="46">
        <f>'Data_in-situ'!DP23</f>
        <v>3</v>
      </c>
      <c r="W1866" s="113">
        <f>'Data_in-situ'!DR23</f>
        <v>3.6083118783295469</v>
      </c>
      <c r="X1866" s="113">
        <f>'Data_in-situ'!DS23</f>
        <v>8.7762753596190368</v>
      </c>
      <c r="Y1866" s="46">
        <f>'Data_in-situ'!DT23</f>
        <v>3</v>
      </c>
      <c r="Z1866" s="113">
        <f>'Data_in-situ'!EA115</f>
        <v>0.58480172493239913</v>
      </c>
      <c r="AA1866" s="113">
        <f>'Data_in-situ'!EB115</f>
        <v>3.3625964575635288</v>
      </c>
      <c r="AB1866" s="46">
        <f>'Data_in-situ'!EC115</f>
        <v>3</v>
      </c>
      <c r="AC1866" s="113">
        <f>'Data_in-situ'!EE115</f>
        <v>2.8250547138481497</v>
      </c>
      <c r="AD1866" s="113">
        <f>'Data_in-situ'!EF115</f>
        <v>4.2182004486135707</v>
      </c>
      <c r="AE1866" s="46">
        <f>'Data_in-situ'!EG115</f>
        <v>3</v>
      </c>
      <c r="AF1866" s="113">
        <f>'Data_in-situ'!EN91</f>
        <v>-27.34</v>
      </c>
      <c r="AG1866" s="113">
        <f>'Data_in-situ'!EO91</f>
        <v>6.04</v>
      </c>
      <c r="AH1866" s="110">
        <f>'Data_in-situ'!EP91</f>
        <v>3</v>
      </c>
      <c r="AI1866" s="113">
        <f>'Data_in-situ'!ER91</f>
        <v>-42.07</v>
      </c>
      <c r="AJ1866" s="113">
        <f>'Data_in-situ'!ES91</f>
        <v>2.04</v>
      </c>
      <c r="AK1866" s="110">
        <f>'Data_in-situ'!ET91</f>
        <v>3</v>
      </c>
    </row>
    <row r="1867" spans="2:37" x14ac:dyDescent="0.3">
      <c r="B1867" s="24">
        <f>'Data_in-situ'!CA412</f>
        <v>-27659.550451779181</v>
      </c>
      <c r="C1867" s="24">
        <f>'Data_in-situ'!CB412</f>
        <v>2920.5942857142213</v>
      </c>
      <c r="D1867" s="46">
        <f>'Data_in-situ'!CC412</f>
        <v>3</v>
      </c>
      <c r="E1867" s="24">
        <f>'Data_in-situ'!CE412</f>
        <v>-19692.259359339321</v>
      </c>
      <c r="F1867" s="24">
        <f>'Data_in-situ'!CF412</f>
        <v>1592.4436015993197</v>
      </c>
      <c r="G1867" s="46">
        <f>'Data_in-situ'!CG412</f>
        <v>3</v>
      </c>
      <c r="H1867" s="24">
        <f>'Data_in-situ'!CN412</f>
        <v>26436.559507179623</v>
      </c>
      <c r="I1867" s="24">
        <f>'Data_in-situ'!CO412</f>
        <v>3571.7210373879325</v>
      </c>
      <c r="J1867" s="46">
        <f>'Data_in-situ'!CP412</f>
        <v>3</v>
      </c>
      <c r="K1867" s="24">
        <f>'Data_in-situ'!CR412</f>
        <v>20646.170885257681</v>
      </c>
      <c r="L1867" s="24">
        <f>'Data_in-situ'!CS412</f>
        <v>1492.9781828658879</v>
      </c>
      <c r="M1867" s="46">
        <f>'Data_in-situ'!CT412</f>
        <v>3</v>
      </c>
      <c r="N1867" s="24">
        <f>'Data_in-situ'!DA223</f>
        <v>-6157.9784795900996</v>
      </c>
      <c r="O1867" s="24">
        <f>'Data_in-situ'!DB223</f>
        <v>2847.6279977138138</v>
      </c>
      <c r="P1867" s="46">
        <f>'Data_in-situ'!DC223</f>
        <v>3</v>
      </c>
      <c r="Q1867" s="24">
        <f>'Data_in-situ'!DE223</f>
        <v>-3541.6446974130395</v>
      </c>
      <c r="R1867" s="24">
        <f>'Data_in-situ'!DF223</f>
        <v>2451.0546798159935</v>
      </c>
      <c r="S1867" s="46">
        <f>'Data_in-situ'!DG223</f>
        <v>3</v>
      </c>
      <c r="T1867" s="113">
        <f>'Data_in-situ'!DN24</f>
        <v>69.189192430383997</v>
      </c>
      <c r="U1867" s="113">
        <f>'Data_in-situ'!DO24</f>
        <v>105.7403076411135</v>
      </c>
      <c r="V1867" s="46">
        <f>'Data_in-situ'!DP24</f>
        <v>3</v>
      </c>
      <c r="W1867" s="113">
        <f>'Data_in-situ'!DR24</f>
        <v>-2.3432463592339285</v>
      </c>
      <c r="X1867" s="113">
        <f>'Data_in-situ'!DS24</f>
        <v>2.1725078783546201</v>
      </c>
      <c r="Y1867" s="46">
        <f>'Data_in-situ'!DT24</f>
        <v>3</v>
      </c>
      <c r="Z1867" s="113">
        <f>'Data_in-situ'!EA116</f>
        <v>7.2261696923095198E-2</v>
      </c>
      <c r="AA1867" s="113">
        <f>'Data_in-situ'!EB116</f>
        <v>0.41550309400885854</v>
      </c>
      <c r="AB1867" s="46">
        <f>'Data_in-situ'!EC116</f>
        <v>3</v>
      </c>
      <c r="AC1867" s="113">
        <f>'Data_in-situ'!EE116</f>
        <v>1.5614749500456337</v>
      </c>
      <c r="AD1867" s="113">
        <f>'Data_in-situ'!EF116</f>
        <v>2.3314997414012506</v>
      </c>
      <c r="AE1867" s="46">
        <f>'Data_in-situ'!EG116</f>
        <v>3</v>
      </c>
      <c r="AF1867" s="113">
        <f>'Data_in-situ'!EN92</f>
        <v>-2.62</v>
      </c>
      <c r="AG1867" s="113">
        <f>'Data_in-situ'!EO92</f>
        <v>0.79</v>
      </c>
      <c r="AH1867" s="110">
        <f>'Data_in-situ'!EP92</f>
        <v>3</v>
      </c>
      <c r="AI1867" s="113">
        <f>'Data_in-situ'!ER92</f>
        <v>-21.88</v>
      </c>
      <c r="AJ1867" s="113">
        <f>'Data_in-situ'!ES92</f>
        <v>3.76</v>
      </c>
      <c r="AK1867" s="110">
        <f>'Data_in-situ'!ET92</f>
        <v>3</v>
      </c>
    </row>
    <row r="1868" spans="2:37" x14ac:dyDescent="0.3">
      <c r="B1868" s="24">
        <f>'Data_in-situ'!CA413</f>
        <v>-13417.445102313484</v>
      </c>
      <c r="C1868" s="24">
        <f>'Data_in-situ'!CB413</f>
        <v>2513.9989496861413</v>
      </c>
      <c r="D1868" s="46">
        <f>'Data_in-situ'!CC413</f>
        <v>3</v>
      </c>
      <c r="E1868" s="24">
        <f>'Data_in-situ'!CE413</f>
        <v>-10261.140414323805</v>
      </c>
      <c r="F1868" s="24">
        <f>'Data_in-situ'!CF413</f>
        <v>928.25974642230233</v>
      </c>
      <c r="G1868" s="46">
        <f>'Data_in-situ'!CG413</f>
        <v>3</v>
      </c>
      <c r="H1868" s="24">
        <f>'Data_in-situ'!CN413</f>
        <v>12328.007487080895</v>
      </c>
      <c r="I1868" s="24">
        <f>'Data_in-situ'!CO413</f>
        <v>1844.6484474290598</v>
      </c>
      <c r="J1868" s="46">
        <f>'Data_in-situ'!CP413</f>
        <v>3</v>
      </c>
      <c r="K1868" s="24">
        <f>'Data_in-situ'!CR413</f>
        <v>10779.460950989149</v>
      </c>
      <c r="L1868" s="24">
        <f>'Data_in-situ'!CS413</f>
        <v>1426.079653929331</v>
      </c>
      <c r="M1868" s="46">
        <f>'Data_in-situ'!CT413</f>
        <v>3</v>
      </c>
      <c r="N1868" s="24">
        <f>'Data_in-situ'!DA224</f>
        <v>-3942.8510376719878</v>
      </c>
      <c r="O1868" s="24">
        <f>'Data_in-situ'!DB224</f>
        <v>3165.2218188801453</v>
      </c>
      <c r="P1868" s="46">
        <f>'Data_in-situ'!DC224</f>
        <v>3</v>
      </c>
      <c r="Q1868" s="24">
        <f>'Data_in-situ'!DE224</f>
        <v>-4947.8342200721909</v>
      </c>
      <c r="R1868" s="24">
        <f>'Data_in-situ'!DF224</f>
        <v>674.98350911365401</v>
      </c>
      <c r="S1868" s="46">
        <f>'Data_in-situ'!DG224</f>
        <v>3</v>
      </c>
      <c r="T1868" s="113">
        <f>'Data_in-situ'!DN25</f>
        <v>69.189192430383997</v>
      </c>
      <c r="U1868" s="113">
        <f>'Data_in-situ'!DO25</f>
        <v>105.7403076411135</v>
      </c>
      <c r="V1868" s="46">
        <f>'Data_in-situ'!DP25</f>
        <v>3</v>
      </c>
      <c r="W1868" s="113">
        <f>'Data_in-situ'!DR25</f>
        <v>1.9694770013193148</v>
      </c>
      <c r="X1868" s="113">
        <f>'Data_in-situ'!DS25</f>
        <v>4.4704507627185972</v>
      </c>
      <c r="Y1868" s="46">
        <f>'Data_in-situ'!DT25</f>
        <v>3</v>
      </c>
      <c r="Z1868" s="113">
        <f>'Data_in-situ'!EA117</f>
        <v>1.0679983859531741</v>
      </c>
      <c r="AA1868" s="113">
        <f>'Data_in-situ'!EB117</f>
        <v>6.1409661363513326</v>
      </c>
      <c r="AB1868" s="46">
        <f>'Data_in-situ'!EC117</f>
        <v>3</v>
      </c>
      <c r="AC1868" s="113">
        <f>'Data_in-situ'!EE117</f>
        <v>1.9745850203174469</v>
      </c>
      <c r="AD1868" s="113">
        <f>'Data_in-situ'!EF117</f>
        <v>2.9483306562877405</v>
      </c>
      <c r="AE1868" s="46">
        <f>'Data_in-situ'!EG117</f>
        <v>3</v>
      </c>
      <c r="AF1868" s="113">
        <f>'Data_in-situ'!EN93</f>
        <v>-6.51</v>
      </c>
      <c r="AG1868" s="113">
        <f>'Data_in-situ'!EO93</f>
        <v>2.2799999999999998</v>
      </c>
      <c r="AH1868" s="110">
        <f>'Data_in-situ'!EP93</f>
        <v>3</v>
      </c>
      <c r="AI1868" s="113">
        <f>'Data_in-situ'!ER93</f>
        <v>-46.73</v>
      </c>
      <c r="AJ1868" s="113">
        <f>'Data_in-situ'!ES93</f>
        <v>5.78</v>
      </c>
      <c r="AK1868" s="110">
        <f>'Data_in-situ'!ET93</f>
        <v>3</v>
      </c>
    </row>
    <row r="1869" spans="2:37" x14ac:dyDescent="0.3">
      <c r="B1869" s="24">
        <f>'Data_in-situ'!CA432</f>
        <v>-7090</v>
      </c>
      <c r="C1869" s="24">
        <f>'Data_in-situ'!CB432</f>
        <v>1524.2047106606119</v>
      </c>
      <c r="D1869" s="46">
        <f>'Data_in-situ'!CC432</f>
        <v>3</v>
      </c>
      <c r="E1869" s="24">
        <f>'Data_in-situ'!CE432</f>
        <v>-18490</v>
      </c>
      <c r="F1869" s="24">
        <f>'Data_in-situ'!CF432</f>
        <v>3689.2682201217081</v>
      </c>
      <c r="G1869" s="46">
        <f>'Data_in-situ'!CG432</f>
        <v>3</v>
      </c>
      <c r="H1869" s="24">
        <f>'Data_in-situ'!CN432</f>
        <v>7020</v>
      </c>
      <c r="I1869" s="24">
        <f>'Data_in-situ'!CO432</f>
        <v>1299.038105676658</v>
      </c>
      <c r="J1869" s="46">
        <f>'Data_in-situ'!CP432</f>
        <v>3</v>
      </c>
      <c r="K1869" s="24">
        <f>'Data_in-situ'!CR432</f>
        <v>23060</v>
      </c>
      <c r="L1869" s="24">
        <f>'Data_in-situ'!CS432</f>
        <v>2424.871130596428</v>
      </c>
      <c r="M1869" s="46">
        <f>'Data_in-situ'!CT432</f>
        <v>3</v>
      </c>
      <c r="N1869" s="24">
        <f>'Data_in-situ'!DA225</f>
        <v>-3852.0162410870635</v>
      </c>
      <c r="O1869" s="24">
        <f>'Data_in-situ'!DB225</f>
        <v>1523.8784102336624</v>
      </c>
      <c r="P1869" s="46">
        <f>'Data_in-situ'!DC225</f>
        <v>3</v>
      </c>
      <c r="Q1869" s="24">
        <f>'Data_in-situ'!DE225</f>
        <v>-5208.2901876590749</v>
      </c>
      <c r="R1869" s="24">
        <f>'Data_in-situ'!DF225</f>
        <v>1132.6794776566101</v>
      </c>
      <c r="S1869" s="46">
        <f>'Data_in-situ'!DG225</f>
        <v>3</v>
      </c>
      <c r="T1869" s="113">
        <f>'Data_in-situ'!DN26</f>
        <v>3.3518255889605926</v>
      </c>
      <c r="U1869" s="113">
        <f>'Data_in-situ'!DO26</f>
        <v>3.2126569880661773</v>
      </c>
      <c r="V1869" s="46">
        <f>'Data_in-situ'!DP26</f>
        <v>3</v>
      </c>
      <c r="W1869" s="113">
        <f>'Data_in-situ'!DR26</f>
        <v>0.1571071677160551</v>
      </c>
      <c r="X1869" s="113">
        <f>'Data_in-situ'!DS26</f>
        <v>2.9406674446616683</v>
      </c>
      <c r="Y1869" s="46">
        <f>'Data_in-situ'!DT26</f>
        <v>3</v>
      </c>
      <c r="Z1869" s="113">
        <f>'Data_in-situ'!EA118</f>
        <v>0.35237503307278556</v>
      </c>
      <c r="AA1869" s="113">
        <f>'Data_in-situ'!EB118</f>
        <v>2.0261483293014391</v>
      </c>
      <c r="AB1869" s="46">
        <f>'Data_in-situ'!EC118</f>
        <v>3</v>
      </c>
      <c r="AC1869" s="113">
        <f>'Data_in-situ'!EE118</f>
        <v>2.9072916465010485</v>
      </c>
      <c r="AD1869" s="113">
        <f>'Data_in-situ'!EF118</f>
        <v>4.3409916513851954</v>
      </c>
      <c r="AE1869" s="46">
        <f>'Data_in-situ'!EG118</f>
        <v>3</v>
      </c>
      <c r="AF1869" s="113">
        <f>'Data_in-situ'!EN98</f>
        <v>3.3333333333333335</v>
      </c>
      <c r="AG1869" s="113">
        <f>'Data_in-situ'!EO98</f>
        <v>1.5275252316519463</v>
      </c>
      <c r="AH1869" s="110">
        <f>'Data_in-situ'!EP98</f>
        <v>3</v>
      </c>
      <c r="AI1869" s="113">
        <f>'Data_in-situ'!ER98</f>
        <v>-18.100000000000001</v>
      </c>
      <c r="AJ1869" s="113">
        <f>'Data_in-situ'!ES98</f>
        <v>5.6</v>
      </c>
      <c r="AK1869" s="110">
        <f>'Data_in-situ'!ET98</f>
        <v>3</v>
      </c>
    </row>
    <row r="1870" spans="2:37" x14ac:dyDescent="0.3">
      <c r="B1870" s="24">
        <f>'Data_in-situ'!CA433</f>
        <v>-6290</v>
      </c>
      <c r="C1870" s="24">
        <f>'Data_in-situ'!CB433</f>
        <v>1316.3586137523466</v>
      </c>
      <c r="D1870" s="46">
        <f>'Data_in-situ'!CC433</f>
        <v>3</v>
      </c>
      <c r="E1870" s="24">
        <f>'Data_in-situ'!CE433</f>
        <v>-19210</v>
      </c>
      <c r="F1870" s="24">
        <f>'Data_in-situ'!CF433</f>
        <v>3290.8965343808668</v>
      </c>
      <c r="G1870" s="46">
        <f>'Data_in-situ'!CG433</f>
        <v>3</v>
      </c>
      <c r="H1870" s="24">
        <f>'Data_in-situ'!CN433</f>
        <v>5020</v>
      </c>
      <c r="I1870" s="24">
        <f>'Data_in-situ'!CO433</f>
        <v>917.98692801150492</v>
      </c>
      <c r="J1870" s="46">
        <f>'Data_in-situ'!CP433</f>
        <v>3</v>
      </c>
      <c r="K1870" s="24">
        <f>'Data_in-situ'!CR433</f>
        <v>24030</v>
      </c>
      <c r="L1870" s="24">
        <f>'Data_in-situ'!CS433</f>
        <v>2459.5121467478057</v>
      </c>
      <c r="M1870" s="46">
        <f>'Data_in-situ'!CT433</f>
        <v>3</v>
      </c>
      <c r="N1870" s="24">
        <f>'Data_in-situ'!DA396</f>
        <v>-1484.6994535519118</v>
      </c>
      <c r="O1870" s="24">
        <f>'Data_in-situ'!DB396</f>
        <v>4453.588453524826</v>
      </c>
      <c r="P1870" s="46">
        <f>'Data_in-situ'!DC396</f>
        <v>1</v>
      </c>
      <c r="Q1870" s="24">
        <f>'Data_in-situ'!DE396</f>
        <v>390.71038251366002</v>
      </c>
      <c r="R1870" s="24">
        <f>'Data_in-situ'!DF396</f>
        <v>372.40278575099637</v>
      </c>
      <c r="S1870" s="46">
        <f>'Data_in-situ'!DG396</f>
        <v>1</v>
      </c>
      <c r="T1870" s="113">
        <f>'Data_in-situ'!DN27</f>
        <v>3.3518255889605926</v>
      </c>
      <c r="U1870" s="113">
        <f>'Data_in-situ'!DO27</f>
        <v>3.2126569880661773</v>
      </c>
      <c r="V1870" s="46">
        <f>'Data_in-situ'!DP27</f>
        <v>3</v>
      </c>
      <c r="W1870" s="113">
        <f>'Data_in-situ'!DR27</f>
        <v>2.8167070783378438</v>
      </c>
      <c r="X1870" s="113">
        <f>'Data_in-situ'!DS27</f>
        <v>12.110678472354174</v>
      </c>
      <c r="Y1870" s="46">
        <f>'Data_in-situ'!DT27</f>
        <v>3</v>
      </c>
      <c r="Z1870" s="113">
        <f>'Data_in-situ'!EA119</f>
        <v>0.2322697401099488</v>
      </c>
      <c r="AA1870" s="113">
        <f>'Data_in-situ'!EB119</f>
        <v>1.3355456593141879</v>
      </c>
      <c r="AB1870" s="46">
        <f>'Data_in-situ'!EC119</f>
        <v>3</v>
      </c>
      <c r="AC1870" s="113">
        <f>'Data_in-situ'!EE119</f>
        <v>3.1939260341842504</v>
      </c>
      <c r="AD1870" s="113">
        <f>'Data_in-situ'!EF119</f>
        <v>4.7689767437752844</v>
      </c>
      <c r="AE1870" s="46">
        <f>'Data_in-situ'!EG119</f>
        <v>3</v>
      </c>
      <c r="AF1870" s="113">
        <f>'Data_in-situ'!EN99</f>
        <v>6.52</v>
      </c>
      <c r="AG1870" s="113">
        <f>'Data_in-situ'!EO99</f>
        <v>6.22</v>
      </c>
      <c r="AH1870" s="110">
        <f>'Data_in-situ'!EP99</f>
        <v>4</v>
      </c>
      <c r="AI1870" s="113">
        <f>'Data_in-situ'!ER99</f>
        <v>-36.47</v>
      </c>
      <c r="AJ1870" s="113">
        <f>'Data_in-situ'!ES99</f>
        <v>14.77</v>
      </c>
      <c r="AK1870" s="110">
        <f>'Data_in-situ'!ET99</f>
        <v>4</v>
      </c>
    </row>
    <row r="1871" spans="2:37" x14ac:dyDescent="0.3">
      <c r="B1871" s="24">
        <f>'Data_in-situ'!CA468</f>
        <v>-38630</v>
      </c>
      <c r="C1871" s="24">
        <f>'Data_in-situ'!CB468</f>
        <v>9418.3980924076168</v>
      </c>
      <c r="D1871" s="46">
        <f>'Data_in-situ'!CC468</f>
        <v>1</v>
      </c>
      <c r="E1871" s="24">
        <f>'Data_in-situ'!CE468</f>
        <v>-35990</v>
      </c>
      <c r="F1871" s="24">
        <f>'Data_in-situ'!CF468</f>
        <v>880</v>
      </c>
      <c r="G1871" s="46">
        <f>'Data_in-situ'!CG468</f>
        <v>1</v>
      </c>
      <c r="H1871" s="24">
        <f>'Data_in-situ'!CN468</f>
        <v>37280</v>
      </c>
      <c r="I1871" s="24">
        <f>'Data_in-situ'!CO468</f>
        <v>1760</v>
      </c>
      <c r="J1871" s="46">
        <f>'Data_in-situ'!CP468</f>
        <v>1</v>
      </c>
      <c r="K1871" s="24">
        <f>'Data_in-situ'!CR468</f>
        <v>35670</v>
      </c>
      <c r="L1871" s="24">
        <f>'Data_in-situ'!CS468</f>
        <v>670</v>
      </c>
      <c r="M1871" s="46">
        <f>'Data_in-situ'!CT468</f>
        <v>1</v>
      </c>
      <c r="N1871" s="24">
        <f>'Data_in-situ'!DA397</f>
        <v>-1316.3934426229509</v>
      </c>
      <c r="O1871" s="24">
        <f>'Data_in-situ'!DB397</f>
        <v>3948.7282239754559</v>
      </c>
      <c r="P1871" s="46">
        <f>'Data_in-situ'!DC397</f>
        <v>1</v>
      </c>
      <c r="Q1871" s="24">
        <f>'Data_in-situ'!DE397</f>
        <v>54.098360655737935</v>
      </c>
      <c r="R1871" s="24">
        <f>'Data_in-situ'!DF397</f>
        <v>51.563462642446027</v>
      </c>
      <c r="S1871" s="46">
        <f>'Data_in-situ'!DG397</f>
        <v>1</v>
      </c>
      <c r="T1871" s="113">
        <f>'Data_in-situ'!DN28</f>
        <v>3.3518255889605926</v>
      </c>
      <c r="U1871" s="113">
        <f>'Data_in-situ'!DO28</f>
        <v>3.2126569880661773</v>
      </c>
      <c r="V1871" s="46">
        <f>'Data_in-situ'!DP28</f>
        <v>3</v>
      </c>
      <c r="W1871" s="113">
        <f>'Data_in-situ'!DR28</f>
        <v>-1.8291763098369263</v>
      </c>
      <c r="X1871" s="113">
        <f>'Data_in-situ'!DS28</f>
        <v>1.6561975194588527</v>
      </c>
      <c r="Y1871" s="46">
        <f>'Data_in-situ'!DT28</f>
        <v>3</v>
      </c>
      <c r="Z1871" s="113">
        <f>'Data_in-situ'!EA120</f>
        <v>7.2775325769365226E-2</v>
      </c>
      <c r="AA1871" s="113">
        <f>'Data_in-situ'!EB120</f>
        <v>0.41845644805235027</v>
      </c>
      <c r="AB1871" s="46">
        <f>'Data_in-situ'!EC120</f>
        <v>3</v>
      </c>
      <c r="AC1871" s="113">
        <f>'Data_in-situ'!EE120</f>
        <v>1.917612896672684</v>
      </c>
      <c r="AD1871" s="113">
        <f>'Data_in-situ'!EF120</f>
        <v>2.8632633348164851</v>
      </c>
      <c r="AE1871" s="46">
        <f>'Data_in-situ'!EG120</f>
        <v>3</v>
      </c>
      <c r="AF1871" s="113">
        <f>'Data_in-situ'!EN104</f>
        <v>-27.34</v>
      </c>
      <c r="AG1871" s="113">
        <f>'Data_in-situ'!EO104</f>
        <v>6.04</v>
      </c>
      <c r="AH1871" s="110">
        <f>'Data_in-situ'!EP104</f>
        <v>3</v>
      </c>
      <c r="AI1871" s="113">
        <f>'Data_in-situ'!ER104</f>
        <v>-42.07</v>
      </c>
      <c r="AJ1871" s="113">
        <f>'Data_in-situ'!ES104</f>
        <v>2.04</v>
      </c>
      <c r="AK1871" s="110">
        <f>'Data_in-situ'!ET104</f>
        <v>3</v>
      </c>
    </row>
    <row r="1872" spans="2:37" x14ac:dyDescent="0.3">
      <c r="N1872" s="24">
        <f>'Data_in-situ'!DA398</f>
        <v>-1484.6994535519118</v>
      </c>
      <c r="O1872" s="24">
        <f>'Data_in-situ'!DB398</f>
        <v>4453.588453524826</v>
      </c>
      <c r="P1872" s="46">
        <f>'Data_in-situ'!DC398</f>
        <v>1</v>
      </c>
      <c r="Q1872" s="24">
        <f>'Data_in-situ'!DE398</f>
        <v>847.54098360655883</v>
      </c>
      <c r="R1872" s="24">
        <f>'Data_in-situ'!DF398</f>
        <v>807.82758139831913</v>
      </c>
      <c r="S1872" s="46">
        <f>'Data_in-situ'!DG398</f>
        <v>1</v>
      </c>
      <c r="T1872" s="113">
        <f>'Data_in-situ'!DN29</f>
        <v>3.3518255889605926</v>
      </c>
      <c r="U1872" s="113">
        <f>'Data_in-situ'!DO29</f>
        <v>3.2126569880661773</v>
      </c>
      <c r="V1872" s="46">
        <f>'Data_in-situ'!DP29</f>
        <v>3</v>
      </c>
      <c r="W1872" s="113">
        <f>'Data_in-situ'!DR29</f>
        <v>1.5374058555071104</v>
      </c>
      <c r="X1872" s="113">
        <f>'Data_in-situ'!DS29</f>
        <v>3.4762119230029214</v>
      </c>
      <c r="Y1872" s="46">
        <f>'Data_in-situ'!DT29</f>
        <v>3</v>
      </c>
      <c r="Z1872" s="113">
        <f>'Data_in-situ'!EA121</f>
        <v>0.31634988548724063</v>
      </c>
      <c r="AA1872" s="113">
        <f>'Data_in-situ'!EB121</f>
        <v>1.8190045599010327</v>
      </c>
      <c r="AB1872" s="46">
        <f>'Data_in-situ'!EC121</f>
        <v>3</v>
      </c>
      <c r="AC1872" s="113">
        <f>'Data_in-situ'!EE121</f>
        <v>3.5426919892100956</v>
      </c>
      <c r="AD1872" s="113">
        <f>'Data_in-situ'!EF121</f>
        <v>5.2897329262094335</v>
      </c>
      <c r="AE1872" s="46">
        <f>'Data_in-situ'!EG121</f>
        <v>3</v>
      </c>
      <c r="AF1872" s="113">
        <f>'Data_in-situ'!EN105</f>
        <v>-27.34</v>
      </c>
      <c r="AG1872" s="113">
        <f>'Data_in-situ'!EO105</f>
        <v>6.04</v>
      </c>
      <c r="AH1872" s="110">
        <f>'Data_in-situ'!EP105</f>
        <v>3</v>
      </c>
      <c r="AI1872" s="113">
        <f>'Data_in-situ'!ER105</f>
        <v>-42.07</v>
      </c>
      <c r="AJ1872" s="113">
        <f>'Data_in-situ'!ES105</f>
        <v>2.04</v>
      </c>
      <c r="AK1872" s="110">
        <f>'Data_in-situ'!ET105</f>
        <v>3</v>
      </c>
    </row>
    <row r="1873" spans="14:37" x14ac:dyDescent="0.3">
      <c r="N1873" s="24">
        <f>'Data_in-situ'!DA399</f>
        <v>-2037.7049180327876</v>
      </c>
      <c r="O1873" s="24">
        <f>'Data_in-situ'!DB399</f>
        <v>6112.4149220442005</v>
      </c>
      <c r="P1873" s="46">
        <f>'Data_in-situ'!DC399</f>
        <v>1</v>
      </c>
      <c r="Q1873" s="24">
        <f>'Data_in-situ'!DE399</f>
        <v>-571.03825136612102</v>
      </c>
      <c r="R1873" s="24">
        <f>'Data_in-situ'!DF399</f>
        <v>544.28099455915094</v>
      </c>
      <c r="S1873" s="46">
        <f>'Data_in-situ'!DG399</f>
        <v>1</v>
      </c>
      <c r="T1873" s="113">
        <f>'Data_in-situ'!DN30</f>
        <v>155.37117670145557</v>
      </c>
      <c r="U1873" s="113">
        <f>'Data_in-situ'!DO30</f>
        <v>42.709219724301029</v>
      </c>
      <c r="V1873" s="46">
        <f>'Data_in-situ'!DP30</f>
        <v>6</v>
      </c>
      <c r="W1873" s="113">
        <f>'Data_in-situ'!DR30</f>
        <v>185.22204309442213</v>
      </c>
      <c r="X1873" s="113">
        <f>'Data_in-situ'!DS30</f>
        <v>44.646673389917268</v>
      </c>
      <c r="Y1873" s="46">
        <f>'Data_in-situ'!DT30</f>
        <v>6</v>
      </c>
      <c r="Z1873" s="113">
        <f>'Data_in-situ'!EA122</f>
        <v>2.1678509076928559E-2</v>
      </c>
      <c r="AA1873" s="113">
        <f>'Data_in-situ'!EB122</f>
        <v>0.12465092820265757</v>
      </c>
      <c r="AB1873" s="46">
        <f>'Data_in-situ'!EC122</f>
        <v>3</v>
      </c>
      <c r="AC1873" s="113">
        <f>'Data_in-situ'!EE122</f>
        <v>1.4195226818596671</v>
      </c>
      <c r="AD1873" s="113">
        <f>'Data_in-situ'!EF122</f>
        <v>2.1195452194556825</v>
      </c>
      <c r="AE1873" s="46">
        <f>'Data_in-situ'!EG122</f>
        <v>3</v>
      </c>
      <c r="AF1873" s="113">
        <f>'Data_in-situ'!EN106</f>
        <v>-2.62</v>
      </c>
      <c r="AG1873" s="113">
        <f>'Data_in-situ'!EO106</f>
        <v>0.79</v>
      </c>
      <c r="AH1873" s="110">
        <f>'Data_in-situ'!EP106</f>
        <v>3</v>
      </c>
      <c r="AI1873" s="113">
        <f>'Data_in-situ'!ER106</f>
        <v>-21.88</v>
      </c>
      <c r="AJ1873" s="113">
        <f>'Data_in-situ'!ES106</f>
        <v>3.76</v>
      </c>
      <c r="AK1873" s="110">
        <f>'Data_in-situ'!ET106</f>
        <v>3</v>
      </c>
    </row>
    <row r="1874" spans="14:37" x14ac:dyDescent="0.3">
      <c r="N1874" s="24">
        <f>'Data_in-situ'!DA400</f>
        <v>30.769259991496654</v>
      </c>
      <c r="O1874" s="24">
        <f>'Data_in-situ'!DB400</f>
        <v>92.297212539414176</v>
      </c>
      <c r="P1874" s="46">
        <f>'Data_in-situ'!DC400</f>
        <v>1</v>
      </c>
      <c r="Q1874" s="24">
        <f>'Data_in-situ'!DE400</f>
        <v>-12.040273178424011</v>
      </c>
      <c r="R1874" s="24">
        <f>'Data_in-situ'!DF400</f>
        <v>11.476099621415464</v>
      </c>
      <c r="S1874" s="46">
        <f>'Data_in-situ'!DG400</f>
        <v>1</v>
      </c>
      <c r="T1874" s="113">
        <f>'Data_in-situ'!DN31</f>
        <v>12.121705834279082</v>
      </c>
      <c r="U1874" s="113">
        <f>'Data_in-situ'!DO31</f>
        <v>3.2958824722656956</v>
      </c>
      <c r="V1874" s="46">
        <f>'Data_in-situ'!DP31</f>
        <v>6</v>
      </c>
      <c r="W1874" s="113">
        <f>'Data_in-situ'!DR31</f>
        <v>18.390311681684526</v>
      </c>
      <c r="X1874" s="113">
        <f>'Data_in-situ'!DS31</f>
        <v>4.9126277024028253</v>
      </c>
      <c r="Y1874" s="46">
        <f>'Data_in-situ'!DT31</f>
        <v>6</v>
      </c>
      <c r="Z1874" s="113">
        <f>'Data_in-situ'!EA123</f>
        <v>6.2823434467833755E-2</v>
      </c>
      <c r="AA1874" s="113">
        <f>'Data_in-situ'!EB123</f>
        <v>0.36123330213831362</v>
      </c>
      <c r="AB1874" s="46">
        <f>'Data_in-situ'!EC123</f>
        <v>3</v>
      </c>
      <c r="AC1874" s="113">
        <f>'Data_in-situ'!EE123</f>
        <v>2.4682312753968088</v>
      </c>
      <c r="AD1874" s="113">
        <f>'Data_in-situ'!EF123</f>
        <v>3.6854133203596762</v>
      </c>
      <c r="AE1874" s="46">
        <f>'Data_in-situ'!EG123</f>
        <v>3</v>
      </c>
      <c r="AF1874" s="113">
        <f>'Data_in-situ'!EN107</f>
        <v>-6.51</v>
      </c>
      <c r="AG1874" s="113">
        <f>'Data_in-situ'!EO107</f>
        <v>2.2799999999999998</v>
      </c>
      <c r="AH1874" s="110">
        <f>'Data_in-situ'!EP107</f>
        <v>3</v>
      </c>
      <c r="AI1874" s="113">
        <f>'Data_in-situ'!ER107</f>
        <v>-46.73</v>
      </c>
      <c r="AJ1874" s="113">
        <f>'Data_in-situ'!ES107</f>
        <v>5.78</v>
      </c>
      <c r="AK1874" s="110">
        <f>'Data_in-situ'!ET107</f>
        <v>3</v>
      </c>
    </row>
    <row r="1875" spans="14:37" x14ac:dyDescent="0.3">
      <c r="N1875" s="24">
        <f>'Data_in-situ'!DA401</f>
        <v>-9.9734758901814473</v>
      </c>
      <c r="O1875" s="24">
        <f>'Data_in-situ'!DB401</f>
        <v>29.917002366881579</v>
      </c>
      <c r="P1875" s="46">
        <f>'Data_in-situ'!DC401</f>
        <v>1</v>
      </c>
      <c r="Q1875" s="24">
        <f>'Data_in-situ'!DE401</f>
        <v>19.352622941849745</v>
      </c>
      <c r="R1875" s="24">
        <f>'Data_in-situ'!DF401</f>
        <v>18.445813107824229</v>
      </c>
      <c r="S1875" s="46">
        <f>'Data_in-situ'!DG401</f>
        <v>1</v>
      </c>
      <c r="T1875" s="113">
        <f>'Data_in-situ'!DN81</f>
        <v>131.4</v>
      </c>
      <c r="U1875" s="113">
        <f>'Data_in-situ'!DO81</f>
        <v>146.49513859561415</v>
      </c>
      <c r="V1875" s="46">
        <f>'Data_in-situ'!DP81</f>
        <v>3</v>
      </c>
      <c r="W1875" s="113">
        <f>'Data_in-situ'!DR81</f>
        <v>38.799999999999997</v>
      </c>
      <c r="X1875" s="113">
        <f>'Data_in-situ'!DS81</f>
        <v>145.00399223168318</v>
      </c>
      <c r="Y1875" s="46">
        <f>'Data_in-situ'!DT81</f>
        <v>3</v>
      </c>
      <c r="Z1875" s="113">
        <f>'Data_in-situ'!EA124</f>
        <v>2.0013214586575439</v>
      </c>
      <c r="AA1875" s="113">
        <f>'Data_in-situ'!EB124</f>
        <v>11.507552321439633</v>
      </c>
      <c r="AB1875" s="46">
        <f>'Data_in-situ'!EC124</f>
        <v>3</v>
      </c>
      <c r="AC1875" s="113">
        <f>'Data_in-situ'!EE124</f>
        <v>3.1161209570931105</v>
      </c>
      <c r="AD1875" s="113">
        <f>'Data_in-situ'!EF124</f>
        <v>4.6528029190767866</v>
      </c>
      <c r="AE1875" s="46">
        <f>'Data_in-situ'!EG124</f>
        <v>3</v>
      </c>
      <c r="AF1875" s="113">
        <f>'Data_in-situ'!EN112</f>
        <v>22</v>
      </c>
      <c r="AG1875" s="113">
        <f>'Data_in-situ'!EO112</f>
        <v>8.964920772528453</v>
      </c>
      <c r="AH1875" s="110">
        <f>'Data_in-situ'!EP112</f>
        <v>3</v>
      </c>
      <c r="AI1875" s="113">
        <f>'Data_in-situ'!ER112</f>
        <v>-35</v>
      </c>
      <c r="AJ1875" s="113">
        <f>'Data_in-situ'!ES112</f>
        <v>7.9384918728217961</v>
      </c>
      <c r="AK1875" s="110">
        <f>'Data_in-situ'!ET112</f>
        <v>3</v>
      </c>
    </row>
    <row r="1876" spans="14:37" x14ac:dyDescent="0.3">
      <c r="N1876" s="24">
        <f>'Data_in-situ'!DA402</f>
        <v>-18.763353277697291</v>
      </c>
      <c r="O1876" s="24">
        <f>'Data_in-situ'!DB402</f>
        <v>56.283615722391104</v>
      </c>
      <c r="P1876" s="46">
        <f>'Data_in-situ'!DC402</f>
        <v>1</v>
      </c>
      <c r="Q1876" s="24">
        <f>'Data_in-situ'!DE402</f>
        <v>-6.8429322993331425</v>
      </c>
      <c r="R1876" s="24">
        <f>'Data_in-situ'!DF402</f>
        <v>6.5222916129904451</v>
      </c>
      <c r="S1876" s="46">
        <f>'Data_in-situ'!DG402</f>
        <v>1</v>
      </c>
      <c r="T1876" s="113">
        <f>'Data_in-situ'!DN82</f>
        <v>131.4</v>
      </c>
      <c r="U1876" s="113">
        <f>'Data_in-situ'!DO82</f>
        <v>146.49513859561415</v>
      </c>
      <c r="V1876" s="46">
        <f>'Data_in-situ'!DP82</f>
        <v>3</v>
      </c>
      <c r="W1876" s="113">
        <f>'Data_in-situ'!DR82</f>
        <v>1.4000000000000001</v>
      </c>
      <c r="X1876" s="113">
        <f>'Data_in-situ'!DS82</f>
        <v>5.2321028124834141</v>
      </c>
      <c r="Y1876" s="46">
        <f>'Data_in-situ'!DT82</f>
        <v>3</v>
      </c>
      <c r="Z1876" s="113">
        <f>'Data_in-situ'!EA125</f>
        <v>2.0562742556670646</v>
      </c>
      <c r="AA1876" s="113">
        <f>'Data_in-situ'!EB125</f>
        <v>11.823529639356714</v>
      </c>
      <c r="AB1876" s="46">
        <f>'Data_in-situ'!EC125</f>
        <v>3</v>
      </c>
      <c r="AC1876" s="113">
        <f>'Data_in-situ'!EE125</f>
        <v>3.9594792820583411</v>
      </c>
      <c r="AD1876" s="113">
        <f>'Data_in-situ'!EF125</f>
        <v>5.9120544469399539</v>
      </c>
      <c r="AE1876" s="46">
        <f>'Data_in-situ'!EG125</f>
        <v>3</v>
      </c>
      <c r="AF1876" s="113">
        <f>'Data_in-situ'!EN113</f>
        <v>18</v>
      </c>
      <c r="AG1876" s="113">
        <f>'Data_in-situ'!EO113</f>
        <v>7.3349351775232803</v>
      </c>
      <c r="AH1876" s="110">
        <f>'Data_in-situ'!EP113</f>
        <v>3</v>
      </c>
      <c r="AI1876" s="113">
        <f>'Data_in-situ'!ER113</f>
        <v>-25</v>
      </c>
      <c r="AJ1876" s="113">
        <f>'Data_in-situ'!ES113</f>
        <v>5.670351337729854</v>
      </c>
      <c r="AK1876" s="110">
        <f>'Data_in-situ'!ET113</f>
        <v>3</v>
      </c>
    </row>
    <row r="1877" spans="14:37" x14ac:dyDescent="0.3">
      <c r="N1877" s="24">
        <f>'Data_in-situ'!DA403</f>
        <v>-23.457057300377045</v>
      </c>
      <c r="O1877" s="24">
        <f>'Data_in-situ'!DB403</f>
        <v>70.363115778554274</v>
      </c>
      <c r="P1877" s="46">
        <f>'Data_in-situ'!DC403</f>
        <v>1</v>
      </c>
      <c r="Q1877" s="24">
        <f>'Data_in-situ'!DE403</f>
        <v>24.206191269977069</v>
      </c>
      <c r="R1877" s="24">
        <f>'Data_in-situ'!DF403</f>
        <v>23.071956786420301</v>
      </c>
      <c r="S1877" s="46">
        <f>'Data_in-situ'!DG403</f>
        <v>1</v>
      </c>
      <c r="T1877" s="113">
        <f>'Data_in-situ'!DN83</f>
        <v>131.4</v>
      </c>
      <c r="U1877" s="113">
        <f>'Data_in-situ'!DO83</f>
        <v>146.49513859561415</v>
      </c>
      <c r="V1877" s="46">
        <f>'Data_in-situ'!DP83</f>
        <v>3</v>
      </c>
      <c r="W1877" s="113">
        <f>'Data_in-situ'!DR83</f>
        <v>3.6</v>
      </c>
      <c r="X1877" s="113">
        <f>'Data_in-situ'!DS83</f>
        <v>13.453978660671636</v>
      </c>
      <c r="Y1877" s="46">
        <f>'Data_in-situ'!DT83</f>
        <v>3</v>
      </c>
      <c r="Z1877" s="113">
        <f>'Data_in-situ'!EA126</f>
        <v>0.1445233938461904</v>
      </c>
      <c r="AA1877" s="113">
        <f>'Data_in-situ'!EB126</f>
        <v>0.83100618801771708</v>
      </c>
      <c r="AB1877" s="46">
        <f>'Data_in-situ'!EC126</f>
        <v>3</v>
      </c>
      <c r="AC1877" s="113">
        <f>'Data_in-situ'!EE126</f>
        <v>2.2712362909754678</v>
      </c>
      <c r="AD1877" s="113">
        <f>'Data_in-situ'!EF126</f>
        <v>3.3912723511290923</v>
      </c>
      <c r="AE1877" s="46">
        <f>'Data_in-situ'!EG126</f>
        <v>3</v>
      </c>
      <c r="AF1877" s="113">
        <f>'Data_in-situ'!EN114</f>
        <v>14</v>
      </c>
      <c r="AG1877" s="113">
        <f>'Data_in-situ'!EO114</f>
        <v>5.7049495825181067</v>
      </c>
      <c r="AH1877" s="110">
        <f>'Data_in-situ'!EP114</f>
        <v>3</v>
      </c>
      <c r="AI1877" s="113">
        <f>'Data_in-situ'!ER114</f>
        <v>-31</v>
      </c>
      <c r="AJ1877" s="113">
        <f>'Data_in-situ'!ES114</f>
        <v>7.0312356587850191</v>
      </c>
      <c r="AK1877" s="110">
        <f>'Data_in-situ'!ET114</f>
        <v>3</v>
      </c>
    </row>
    <row r="1878" spans="14:37" x14ac:dyDescent="0.3">
      <c r="N1878" s="24">
        <f>'Data_in-situ'!DA404</f>
        <v>-17.240747700053362</v>
      </c>
      <c r="O1878" s="24">
        <f>'Data_in-situ'!DB404</f>
        <v>1.8994060532667709</v>
      </c>
      <c r="P1878" s="46">
        <f>'Data_in-situ'!DC404</f>
        <v>4</v>
      </c>
      <c r="Q1878" s="24">
        <f>'Data_in-situ'!DE404</f>
        <v>-533.77396104632658</v>
      </c>
      <c r="R1878" s="24">
        <f>'Data_in-situ'!DF404</f>
        <v>650.20080041312121</v>
      </c>
      <c r="S1878" s="46">
        <f>'Data_in-situ'!DG404</f>
        <v>4</v>
      </c>
      <c r="T1878" s="113">
        <f>'Data_in-situ'!DN84</f>
        <v>255.99999999999997</v>
      </c>
      <c r="U1878" s="113">
        <f>'Data_in-situ'!DO84</f>
        <v>285.40909802494076</v>
      </c>
      <c r="V1878" s="46">
        <f>'Data_in-situ'!DP84</f>
        <v>3</v>
      </c>
      <c r="W1878" s="113">
        <f>'Data_in-situ'!DR84</f>
        <v>-0.4</v>
      </c>
      <c r="X1878" s="113">
        <f>'Data_in-situ'!DS84</f>
        <v>1.494886517852404</v>
      </c>
      <c r="Y1878" s="46">
        <f>'Data_in-situ'!DT84</f>
        <v>3</v>
      </c>
      <c r="Z1878" s="113">
        <f>'Data_in-situ'!EA127</f>
        <v>0.25129373787133502</v>
      </c>
      <c r="AA1878" s="113">
        <f>'Data_in-situ'!EB127</f>
        <v>1.4449332085532545</v>
      </c>
      <c r="AB1878" s="46">
        <f>'Data_in-situ'!EC127</f>
        <v>3</v>
      </c>
      <c r="AC1878" s="113">
        <f>'Data_in-situ'!EE127</f>
        <v>2.7150544029364894</v>
      </c>
      <c r="AD1878" s="113">
        <f>'Data_in-situ'!EF127</f>
        <v>4.0539546523956433</v>
      </c>
      <c r="AE1878" s="46">
        <f>'Data_in-situ'!EG127</f>
        <v>3</v>
      </c>
      <c r="AF1878" s="113">
        <f>'Data_in-situ'!EN115</f>
        <v>8</v>
      </c>
      <c r="AG1878" s="113">
        <f>'Data_in-situ'!EO115</f>
        <v>3.2599711900103467</v>
      </c>
      <c r="AH1878" s="110">
        <f>'Data_in-situ'!EP115</f>
        <v>3</v>
      </c>
      <c r="AI1878" s="113">
        <f>'Data_in-situ'!ER115</f>
        <v>-30</v>
      </c>
      <c r="AJ1878" s="113">
        <f>'Data_in-situ'!ES115</f>
        <v>6.8044216052758255</v>
      </c>
      <c r="AK1878" s="110">
        <f>'Data_in-situ'!ET115</f>
        <v>3</v>
      </c>
    </row>
    <row r="1879" spans="14:37" x14ac:dyDescent="0.3">
      <c r="N1879" s="24">
        <f>'Data_in-situ'!DA405</f>
        <v>-585.95990229422614</v>
      </c>
      <c r="O1879" s="24">
        <f>'Data_in-situ'!DB405</f>
        <v>247.14424390137435</v>
      </c>
      <c r="P1879" s="46">
        <f>'Data_in-situ'!DC405</f>
        <v>4</v>
      </c>
      <c r="Q1879" s="24">
        <f>'Data_in-situ'!DE405</f>
        <v>-566.79323953657467</v>
      </c>
      <c r="R1879" s="24">
        <f>'Data_in-situ'!DF405</f>
        <v>690.43890345404782</v>
      </c>
      <c r="S1879" s="46">
        <f>'Data_in-situ'!DG405</f>
        <v>4</v>
      </c>
      <c r="T1879" s="113">
        <f>'Data_in-situ'!DN85</f>
        <v>580</v>
      </c>
      <c r="U1879" s="113">
        <f>'Data_in-situ'!DO85</f>
        <v>646.62998771275659</v>
      </c>
      <c r="V1879" s="46">
        <f>'Data_in-situ'!DP85</f>
        <v>3</v>
      </c>
      <c r="W1879" s="113">
        <f>'Data_in-situ'!DR85</f>
        <v>0.53333333333333333</v>
      </c>
      <c r="X1879" s="113">
        <f>'Data_in-situ'!DS85</f>
        <v>1.9931820238032052</v>
      </c>
      <c r="Y1879" s="46">
        <f>'Data_in-situ'!DT85</f>
        <v>3</v>
      </c>
      <c r="Z1879" s="113">
        <f>'Data_in-situ'!EA128</f>
        <v>0.61975925336567961</v>
      </c>
      <c r="AA1879" s="113">
        <f>'Data_in-situ'!EB128</f>
        <v>0.31937151793647711</v>
      </c>
      <c r="AB1879" s="46">
        <f>'Data_in-situ'!EC128</f>
        <v>18</v>
      </c>
      <c r="AC1879" s="113">
        <f>'Data_in-situ'!EE128</f>
        <v>0.85760492742086802</v>
      </c>
      <c r="AD1879" s="113">
        <f>'Data_in-situ'!EF128</f>
        <v>1.8545293886198424</v>
      </c>
      <c r="AE1879" s="46">
        <f>'Data_in-situ'!EG128</f>
        <v>18</v>
      </c>
      <c r="AF1879" s="113">
        <f>'Data_in-situ'!EN116</f>
        <v>55</v>
      </c>
      <c r="AG1879" s="113">
        <f>'Data_in-situ'!EO116</f>
        <v>22.412301931321135</v>
      </c>
      <c r="AH1879" s="110">
        <f>'Data_in-situ'!EP116</f>
        <v>3</v>
      </c>
      <c r="AI1879" s="113">
        <f>'Data_in-situ'!ER116</f>
        <v>-30</v>
      </c>
      <c r="AJ1879" s="113">
        <f>'Data_in-situ'!ES116</f>
        <v>6.8044216052758255</v>
      </c>
      <c r="AK1879" s="110">
        <f>'Data_in-situ'!ET116</f>
        <v>3</v>
      </c>
    </row>
    <row r="1880" spans="14:37" x14ac:dyDescent="0.3">
      <c r="N1880" s="24">
        <f>'Data_in-situ'!DA406</f>
        <v>-195.7496632813195</v>
      </c>
      <c r="O1880" s="24">
        <f>'Data_in-situ'!DB406</f>
        <v>14.333494088181441</v>
      </c>
      <c r="P1880" s="46">
        <f>'Data_in-situ'!DC406</f>
        <v>4</v>
      </c>
      <c r="Q1880" s="24">
        <f>'Data_in-situ'!DE406</f>
        <v>-1293.4601988576735</v>
      </c>
      <c r="R1880" s="24">
        <f>'Data_in-situ'!DF406</f>
        <v>1575.5989774270381</v>
      </c>
      <c r="S1880" s="46">
        <f>'Data_in-situ'!DG406</f>
        <v>4</v>
      </c>
      <c r="T1880" s="113">
        <f>'Data_in-situ'!DN98</f>
        <v>29.564989329793384</v>
      </c>
      <c r="U1880" s="113">
        <f>'Data_in-situ'!DO98</f>
        <v>10.677333333333335</v>
      </c>
      <c r="V1880" s="46">
        <f>'Data_in-situ'!DP98</f>
        <v>3</v>
      </c>
      <c r="W1880" s="113">
        <f>'Data_in-situ'!DR98</f>
        <v>7.9918819188191907</v>
      </c>
      <c r="X1880" s="113">
        <f>'Data_in-situ'!DS98</f>
        <v>0.87360000000000004</v>
      </c>
      <c r="Y1880" s="46">
        <f>'Data_in-situ'!DT98</f>
        <v>3</v>
      </c>
      <c r="Z1880" s="113">
        <f>'Data_in-situ'!EA129</f>
        <v>0.61975925336567961</v>
      </c>
      <c r="AA1880" s="113">
        <f>'Data_in-situ'!EB129</f>
        <v>0.31937151793647711</v>
      </c>
      <c r="AB1880" s="46">
        <f>'Data_in-situ'!EC129</f>
        <v>18</v>
      </c>
      <c r="AC1880" s="113">
        <f>'Data_in-situ'!EE129</f>
        <v>1.2578205602172745</v>
      </c>
      <c r="AD1880" s="113">
        <f>'Data_in-situ'!EF129</f>
        <v>0.63959090137404107</v>
      </c>
      <c r="AE1880" s="46">
        <f>'Data_in-situ'!EG129</f>
        <v>18</v>
      </c>
      <c r="AF1880" s="113">
        <f>'Data_in-situ'!EN117</f>
        <v>45</v>
      </c>
      <c r="AG1880" s="113">
        <f>'Data_in-situ'!EO117</f>
        <v>18.337337943808201</v>
      </c>
      <c r="AH1880" s="110">
        <f>'Data_in-situ'!EP117</f>
        <v>3</v>
      </c>
      <c r="AI1880" s="113">
        <f>'Data_in-situ'!ER117</f>
        <v>-32</v>
      </c>
      <c r="AJ1880" s="113">
        <f>'Data_in-situ'!ES117</f>
        <v>7.2580497122942136</v>
      </c>
      <c r="AK1880" s="110">
        <f>'Data_in-situ'!ET117</f>
        <v>3</v>
      </c>
    </row>
    <row r="1881" spans="14:37" x14ac:dyDescent="0.3">
      <c r="N1881" s="24">
        <f>'Data_in-situ'!DA407</f>
        <v>-774.06267220291306</v>
      </c>
      <c r="O1881" s="24">
        <f>'Data_in-situ'!DB407</f>
        <v>326.74240251044733</v>
      </c>
      <c r="P1881" s="46">
        <f>'Data_in-situ'!DC407</f>
        <v>4</v>
      </c>
      <c r="Q1881" s="24">
        <f>'Data_in-situ'!DE407</f>
        <v>-1399.9605866010202</v>
      </c>
      <c r="R1881" s="24">
        <f>'Data_in-situ'!DF407</f>
        <v>96.005553517597278</v>
      </c>
      <c r="S1881" s="46">
        <f>'Data_in-situ'!DG407</f>
        <v>4</v>
      </c>
      <c r="T1881" s="113">
        <f>'Data_in-situ'!DN99</f>
        <v>142.07619872372933</v>
      </c>
      <c r="U1881" s="113">
        <f>'Data_in-situ'!DO99</f>
        <v>118.22720000000001</v>
      </c>
      <c r="V1881" s="46">
        <f>'Data_in-situ'!DP99</f>
        <v>24</v>
      </c>
      <c r="W1881" s="113">
        <f>'Data_in-situ'!DR99</f>
        <v>1.3426361623616241</v>
      </c>
      <c r="X1881" s="113">
        <f>'Data_in-situ'!DS99</f>
        <v>1.8695039999999998</v>
      </c>
      <c r="Y1881" s="46">
        <f>'Data_in-situ'!DT99</f>
        <v>15</v>
      </c>
      <c r="Z1881" s="113">
        <f>'Data_in-situ'!EA130</f>
        <v>0.32108009511715851</v>
      </c>
      <c r="AA1881" s="113">
        <f>'Data_in-situ'!EB130</f>
        <v>0.19494609457370263</v>
      </c>
      <c r="AB1881" s="46">
        <f>'Data_in-situ'!EC130</f>
        <v>18</v>
      </c>
      <c r="AC1881" s="113">
        <f>'Data_in-situ'!EE130</f>
        <v>1.0977343070987131</v>
      </c>
      <c r="AD1881" s="113">
        <f>'Data_in-situ'!EF130</f>
        <v>0.53387084501368376</v>
      </c>
      <c r="AE1881" s="46">
        <f>'Data_in-situ'!EG130</f>
        <v>18</v>
      </c>
      <c r="AF1881" s="113">
        <f>'Data_in-situ'!EN118</f>
        <v>37</v>
      </c>
      <c r="AG1881" s="113">
        <f>'Data_in-situ'!EO118</f>
        <v>15.077366753797854</v>
      </c>
      <c r="AH1881" s="110">
        <f>'Data_in-situ'!EP118</f>
        <v>3</v>
      </c>
      <c r="AI1881" s="113">
        <f>'Data_in-situ'!ER118</f>
        <v>-39</v>
      </c>
      <c r="AJ1881" s="113">
        <f>'Data_in-situ'!ES118</f>
        <v>8.8457480868585723</v>
      </c>
      <c r="AK1881" s="110">
        <f>'Data_in-situ'!ET118</f>
        <v>3</v>
      </c>
    </row>
    <row r="1882" spans="14:37" x14ac:dyDescent="0.3">
      <c r="N1882" s="24">
        <f>'Data_in-situ'!DA408</f>
        <v>-401.69898954302357</v>
      </c>
      <c r="O1882" s="24">
        <f>'Data_in-situ'!DB408</f>
        <v>32.172723320258399</v>
      </c>
      <c r="P1882" s="46">
        <f>'Data_in-situ'!DC408</f>
        <v>4</v>
      </c>
      <c r="Q1882" s="24">
        <f>'Data_in-situ'!DE408</f>
        <v>-352.51588580313341</v>
      </c>
      <c r="R1882" s="24">
        <f>'Data_in-situ'!DF408</f>
        <v>429.43708601551509</v>
      </c>
      <c r="S1882" s="46">
        <f>'Data_in-situ'!DG408</f>
        <v>4</v>
      </c>
      <c r="T1882" s="113">
        <f>'Data_in-situ'!DN104</f>
        <v>277.33333333333331</v>
      </c>
      <c r="U1882" s="113">
        <f>'Data_in-situ'!DO104</f>
        <v>309.19318952701917</v>
      </c>
      <c r="V1882" s="46">
        <f>'Data_in-situ'!DP104</f>
        <v>3</v>
      </c>
      <c r="W1882" s="113">
        <f>'Data_in-situ'!DR104</f>
        <v>0.04</v>
      </c>
      <c r="X1882" s="113">
        <f>'Data_in-situ'!DS104</f>
        <v>0.1494886517852404</v>
      </c>
      <c r="Y1882" s="46">
        <f>'Data_in-situ'!DT104</f>
        <v>3</v>
      </c>
      <c r="Z1882" s="113">
        <f>'Data_in-situ'!EA131</f>
        <v>0.32108009511715851</v>
      </c>
      <c r="AA1882" s="113">
        <f>'Data_in-situ'!EB131</f>
        <v>0.19494609457370263</v>
      </c>
      <c r="AB1882" s="46">
        <f>'Data_in-situ'!EC131</f>
        <v>18</v>
      </c>
      <c r="AC1882" s="113">
        <f>'Data_in-situ'!EE131</f>
        <v>0.69751867430230663</v>
      </c>
      <c r="AD1882" s="113">
        <f>'Data_in-situ'!EF131</f>
        <v>0.31514419303530533</v>
      </c>
      <c r="AE1882" s="46">
        <f>'Data_in-situ'!EG131</f>
        <v>18</v>
      </c>
      <c r="AF1882" s="113">
        <f>'Data_in-situ'!EN119</f>
        <v>24</v>
      </c>
      <c r="AG1882" s="113">
        <f>'Data_in-situ'!EO119</f>
        <v>9.7799135700310398</v>
      </c>
      <c r="AH1882" s="110">
        <f>'Data_in-situ'!EP119</f>
        <v>3</v>
      </c>
      <c r="AI1882" s="113">
        <f>'Data_in-situ'!ER119</f>
        <v>-36</v>
      </c>
      <c r="AJ1882" s="113">
        <f>'Data_in-situ'!ES119</f>
        <v>8.1653059263309906</v>
      </c>
      <c r="AK1882" s="110">
        <f>'Data_in-situ'!ET119</f>
        <v>3</v>
      </c>
    </row>
    <row r="1883" spans="14:37" x14ac:dyDescent="0.3">
      <c r="N1883" s="24">
        <f>'Data_in-situ'!DA412</f>
        <v>-1222.9909445995581</v>
      </c>
      <c r="O1883" s="24">
        <f>'Data_in-situ'!DB412</f>
        <v>291.56979829815799</v>
      </c>
      <c r="P1883" s="46">
        <f>'Data_in-situ'!DC412</f>
        <v>3</v>
      </c>
      <c r="Q1883" s="24">
        <f>'Data_in-situ'!DE412</f>
        <v>953.91152591835998</v>
      </c>
      <c r="R1883" s="24">
        <f>'Data_in-situ'!DF412</f>
        <v>1166.1567239388746</v>
      </c>
      <c r="S1883" s="46">
        <f>'Data_in-situ'!DG412</f>
        <v>3</v>
      </c>
      <c r="T1883" s="113">
        <f>'Data_in-situ'!DN105</f>
        <v>326.66666666666663</v>
      </c>
      <c r="U1883" s="113">
        <f>'Data_in-situ'!DO105</f>
        <v>364.19390112557551</v>
      </c>
      <c r="V1883" s="46">
        <f>'Data_in-situ'!DP105</f>
        <v>3</v>
      </c>
      <c r="W1883" s="113">
        <f>'Data_in-situ'!DR105</f>
        <v>-0.10666666666666666</v>
      </c>
      <c r="X1883" s="113">
        <f>'Data_in-situ'!DS105</f>
        <v>0.39863640476064105</v>
      </c>
      <c r="Y1883" s="46">
        <f>'Data_in-situ'!DT105</f>
        <v>3</v>
      </c>
      <c r="Z1883" s="113">
        <f>'Data_in-situ'!EA132</f>
        <v>0.6346932112781053</v>
      </c>
      <c r="AA1883" s="113">
        <f>'Data_in-situ'!EB132</f>
        <v>0.12856385073753784</v>
      </c>
      <c r="AB1883" s="46">
        <f>'Data_in-situ'!EC132</f>
        <v>21</v>
      </c>
      <c r="AC1883" s="113">
        <f>'Data_in-situ'!EE132</f>
        <v>0.75469233613036468</v>
      </c>
      <c r="AD1883" s="113">
        <f>'Data_in-situ'!EF132</f>
        <v>0.35864660190524744</v>
      </c>
      <c r="AE1883" s="46">
        <f>'Data_in-situ'!EG132</f>
        <v>21</v>
      </c>
      <c r="AF1883" s="113">
        <f>'Data_in-situ'!EN120</f>
        <v>60</v>
      </c>
      <c r="AG1883" s="113">
        <f>'Data_in-situ'!EO120</f>
        <v>24.4497839250776</v>
      </c>
      <c r="AH1883" s="110">
        <f>'Data_in-situ'!EP120</f>
        <v>3</v>
      </c>
      <c r="AI1883" s="113">
        <f>'Data_in-situ'!ER120</f>
        <v>-38</v>
      </c>
      <c r="AJ1883" s="113">
        <f>'Data_in-situ'!ES120</f>
        <v>8.6189340333493778</v>
      </c>
      <c r="AK1883" s="110">
        <f>'Data_in-situ'!ET120</f>
        <v>3</v>
      </c>
    </row>
    <row r="1884" spans="14:37" x14ac:dyDescent="0.3">
      <c r="N1884" s="24">
        <f>'Data_in-situ'!DA413</f>
        <v>-1089.4376152325895</v>
      </c>
      <c r="O1884" s="24">
        <f>'Data_in-situ'!DB413</f>
        <v>396.38137595921512</v>
      </c>
      <c r="P1884" s="46">
        <f>'Data_in-situ'!DC413</f>
        <v>3</v>
      </c>
      <c r="Q1884" s="24">
        <f>'Data_in-situ'!DE413</f>
        <v>518.32053666534375</v>
      </c>
      <c r="R1884" s="24">
        <f>'Data_in-situ'!DF413</f>
        <v>639.04094931753639</v>
      </c>
      <c r="S1884" s="46">
        <f>'Data_in-situ'!DG413</f>
        <v>3</v>
      </c>
      <c r="T1884" s="113">
        <f>'Data_in-situ'!DN106</f>
        <v>100.8</v>
      </c>
      <c r="U1884" s="113">
        <f>'Data_in-situ'!DO106</f>
        <v>112.37983234732044</v>
      </c>
      <c r="V1884" s="46">
        <f>'Data_in-situ'!DP106</f>
        <v>3</v>
      </c>
      <c r="W1884" s="113">
        <f>'Data_in-situ'!DR106</f>
        <v>1.0666666666666667</v>
      </c>
      <c r="X1884" s="113">
        <f>'Data_in-situ'!DS106</f>
        <v>3.9863640476064104</v>
      </c>
      <c r="Y1884" s="46">
        <f>'Data_in-situ'!DT106</f>
        <v>3</v>
      </c>
      <c r="Z1884" s="113">
        <f>'Data_in-situ'!EA133</f>
        <v>0.6346932112781053</v>
      </c>
      <c r="AA1884" s="113">
        <f>'Data_in-situ'!EB133</f>
        <v>0.12856385073753784</v>
      </c>
      <c r="AB1884" s="46">
        <f>'Data_in-situ'!EC133</f>
        <v>21</v>
      </c>
      <c r="AC1884" s="113">
        <f>'Data_in-situ'!EE133</f>
        <v>0.77756180086158733</v>
      </c>
      <c r="AD1884" s="113">
        <f>'Data_in-situ'!EF133</f>
        <v>0.42421666014248416</v>
      </c>
      <c r="AE1884" s="46">
        <f>'Data_in-situ'!EG133</f>
        <v>21</v>
      </c>
      <c r="AF1884" s="113">
        <f>'Data_in-situ'!EN121</f>
        <v>41</v>
      </c>
      <c r="AG1884" s="113">
        <f>'Data_in-situ'!EO121</f>
        <v>16.707352348803028</v>
      </c>
      <c r="AH1884" s="110">
        <f>'Data_in-situ'!EP121</f>
        <v>3</v>
      </c>
      <c r="AI1884" s="113">
        <f>'Data_in-situ'!ER121</f>
        <v>-31</v>
      </c>
      <c r="AJ1884" s="113">
        <f>'Data_in-situ'!ES121</f>
        <v>7.0312356587850191</v>
      </c>
      <c r="AK1884" s="110">
        <f>'Data_in-situ'!ET121</f>
        <v>3</v>
      </c>
    </row>
    <row r="1885" spans="14:37" x14ac:dyDescent="0.3">
      <c r="N1885" s="24">
        <f>'Data_in-situ'!DA420</f>
        <v>-655.74999999999989</v>
      </c>
      <c r="O1885" s="24">
        <f>'Data_in-situ'!DB420</f>
        <v>1124.8403001463512</v>
      </c>
      <c r="P1885" s="46">
        <f>'Data_in-situ'!DC420</f>
        <v>3</v>
      </c>
      <c r="Q1885" s="24">
        <f>'Data_in-situ'!DE420</f>
        <v>13852.474999999999</v>
      </c>
      <c r="R1885" s="24">
        <f>'Data_in-situ'!DF420</f>
        <v>8765.263715525527</v>
      </c>
      <c r="S1885" s="46">
        <f>'Data_in-situ'!DG420</f>
        <v>3</v>
      </c>
      <c r="T1885" s="113">
        <f>'Data_in-situ'!DN107</f>
        <v>93.066666666666677</v>
      </c>
      <c r="U1885" s="113">
        <f>'Data_in-situ'!DO107</f>
        <v>103.75809917781704</v>
      </c>
      <c r="V1885" s="46">
        <f>'Data_in-situ'!DP107</f>
        <v>3</v>
      </c>
      <c r="W1885" s="113">
        <f>'Data_in-situ'!DR107</f>
        <v>0.13333333333333333</v>
      </c>
      <c r="X1885" s="113">
        <f>'Data_in-situ'!DS107</f>
        <v>0.4982955059508013</v>
      </c>
      <c r="Y1885" s="46">
        <f>'Data_in-situ'!DT107</f>
        <v>3</v>
      </c>
      <c r="Z1885" s="113">
        <f>'Data_in-situ'!EA148</f>
        <v>0.43</v>
      </c>
      <c r="AA1885" s="113">
        <f>'Data_in-situ'!EB148</f>
        <v>0.86</v>
      </c>
      <c r="AB1885" s="46">
        <f>'Data_in-situ'!EC148</f>
        <v>17</v>
      </c>
      <c r="AC1885" s="113">
        <f>'Data_in-situ'!EE148</f>
        <v>3.4241884673332552</v>
      </c>
      <c r="AD1885" s="113">
        <f>'Data_in-situ'!EF148</f>
        <v>13.696753869332952</v>
      </c>
      <c r="AE1885" s="46">
        <f>'Data_in-situ'!EG148</f>
        <v>44</v>
      </c>
      <c r="AF1885" s="113">
        <f>'Data_in-situ'!EN122</f>
        <v>65</v>
      </c>
      <c r="AG1885" s="113">
        <f>'Data_in-situ'!EO122</f>
        <v>26.487265918834066</v>
      </c>
      <c r="AH1885" s="110">
        <f>'Data_in-situ'!EP122</f>
        <v>3</v>
      </c>
      <c r="AI1885" s="113">
        <f>'Data_in-situ'!ER122</f>
        <v>-38</v>
      </c>
      <c r="AJ1885" s="113">
        <f>'Data_in-situ'!ES122</f>
        <v>8.6189340333493778</v>
      </c>
      <c r="AK1885" s="110">
        <f>'Data_in-situ'!ET122</f>
        <v>3</v>
      </c>
    </row>
    <row r="1886" spans="14:37" x14ac:dyDescent="0.3">
      <c r="N1886" s="24">
        <f>'Data_in-situ'!DA421</f>
        <v>-388.52499999999998</v>
      </c>
      <c r="O1886" s="24">
        <f>'Data_in-situ'!DB421</f>
        <v>1170.5952194111908</v>
      </c>
      <c r="P1886" s="46">
        <f>'Data_in-situ'!DC421</f>
        <v>3</v>
      </c>
      <c r="Q1886" s="24">
        <f>'Data_in-situ'!DE421</f>
        <v>10594.25</v>
      </c>
      <c r="R1886" s="24">
        <f>'Data_in-situ'!DF421</f>
        <v>5864.6849566565243</v>
      </c>
      <c r="S1886" s="46">
        <f>'Data_in-situ'!DG421</f>
        <v>3</v>
      </c>
      <c r="Z1886" s="113">
        <f>'Data_in-situ'!EA149</f>
        <v>0.215</v>
      </c>
      <c r="AA1886" s="113">
        <f>'Data_in-situ'!EB149</f>
        <v>0.95703970659529058</v>
      </c>
      <c r="AB1886" s="46">
        <f>'Data_in-situ'!EC149</f>
        <v>17</v>
      </c>
      <c r="AC1886" s="113">
        <f>'Data_in-situ'!EE149</f>
        <v>12.840706752499663</v>
      </c>
      <c r="AD1886" s="113">
        <f>'Data_in-situ'!EF149</f>
        <v>31.673743322832479</v>
      </c>
      <c r="AE1886" s="46">
        <f>'Data_in-situ'!EG149</f>
        <v>14</v>
      </c>
      <c r="AF1886" s="113">
        <f>'Data_in-situ'!EN123</f>
        <v>50</v>
      </c>
      <c r="AG1886" s="113">
        <f>'Data_in-situ'!EO123</f>
        <v>20.374819937564666</v>
      </c>
      <c r="AH1886" s="110">
        <f>'Data_in-situ'!EP123</f>
        <v>3</v>
      </c>
      <c r="AI1886" s="113">
        <f>'Data_in-situ'!ER123</f>
        <v>-34</v>
      </c>
      <c r="AJ1886" s="113">
        <f>'Data_in-situ'!ES123</f>
        <v>7.7116778193126017</v>
      </c>
      <c r="AK1886" s="110">
        <f>'Data_in-situ'!ET123</f>
        <v>3</v>
      </c>
    </row>
    <row r="1887" spans="14:37" x14ac:dyDescent="0.3">
      <c r="N1887" s="24">
        <f>'Data_in-situ'!DA422</f>
        <v>-1372.9750000000001</v>
      </c>
      <c r="O1887" s="24">
        <f>'Data_in-situ'!DB422</f>
        <v>924.10220135094733</v>
      </c>
      <c r="P1887" s="46">
        <f>'Data_in-situ'!DC422</f>
        <v>3</v>
      </c>
      <c r="Q1887" s="24">
        <f>'Data_in-situ'!DE422</f>
        <v>9692.625</v>
      </c>
      <c r="R1887" s="24">
        <f>'Data_in-situ'!DF422</f>
        <v>5495.0505473296917</v>
      </c>
      <c r="S1887" s="46">
        <f>'Data_in-situ'!DG422</f>
        <v>3</v>
      </c>
      <c r="Z1887" s="113">
        <f>'Data_in-situ'!EA150</f>
        <v>0.215</v>
      </c>
      <c r="AA1887" s="113">
        <f>'Data_in-situ'!EB150</f>
        <v>0.95703970659529058</v>
      </c>
      <c r="AB1887" s="46">
        <f>'Data_in-situ'!EC150</f>
        <v>17</v>
      </c>
      <c r="AC1887" s="113">
        <f>'Data_in-situ'!EE150</f>
        <v>17.120942336666211</v>
      </c>
      <c r="AD1887" s="113">
        <f>'Data_in-situ'!EF150</f>
        <v>30.817696205999184</v>
      </c>
      <c r="AE1887" s="46">
        <f>'Data_in-situ'!EG150</f>
        <v>5</v>
      </c>
      <c r="AF1887" s="113">
        <f>'Data_in-situ'!EN124</f>
        <v>15</v>
      </c>
      <c r="AG1887" s="113">
        <f>'Data_in-situ'!EO124</f>
        <v>6.1124459812694001</v>
      </c>
      <c r="AH1887" s="110">
        <f>'Data_in-situ'!EP124</f>
        <v>3</v>
      </c>
      <c r="AI1887" s="113">
        <f>'Data_in-situ'!ER124</f>
        <v>-35</v>
      </c>
      <c r="AJ1887" s="113">
        <f>'Data_in-situ'!ES124</f>
        <v>7.9384918728217961</v>
      </c>
      <c r="AK1887" s="110">
        <f>'Data_in-situ'!ET124</f>
        <v>3</v>
      </c>
    </row>
    <row r="1888" spans="14:37" x14ac:dyDescent="0.3">
      <c r="N1888" s="24">
        <f>'Data_in-situ'!DA423</f>
        <v>-1372.9750000000001</v>
      </c>
      <c r="O1888" s="24">
        <f>'Data_in-situ'!DB423</f>
        <v>924.10220135094733</v>
      </c>
      <c r="P1888" s="46">
        <f>'Data_in-situ'!DC423</f>
        <v>3</v>
      </c>
      <c r="Q1888" s="24">
        <f>'Data_in-situ'!DE423</f>
        <v>17704.899999999998</v>
      </c>
      <c r="R1888" s="24">
        <f>'Data_in-situ'!DF423</f>
        <v>3753.2231304129346</v>
      </c>
      <c r="S1888" s="46">
        <f>'Data_in-situ'!DG423</f>
        <v>3</v>
      </c>
      <c r="Z1888" s="113">
        <f>'Data_in-situ'!EA156</f>
        <v>-0.65249999999999997</v>
      </c>
      <c r="AA1888" s="113">
        <f>'Data_in-situ'!EB156</f>
        <v>9.3070564627061342E-2</v>
      </c>
      <c r="AB1888" s="46">
        <f>'Data_in-situ'!EC156</f>
        <v>4</v>
      </c>
      <c r="AC1888" s="113">
        <f>'Data_in-situ'!EE156</f>
        <v>0.6623</v>
      </c>
      <c r="AD1888" s="113">
        <f>'Data_in-situ'!EF156</f>
        <v>6.1265079776329362E-2</v>
      </c>
      <c r="AE1888" s="46">
        <f>'Data_in-situ'!EG156</f>
        <v>4</v>
      </c>
      <c r="AF1888" s="113">
        <f>'Data_in-situ'!EN125</f>
        <v>17</v>
      </c>
      <c r="AG1888" s="113">
        <f>'Data_in-situ'!EO125</f>
        <v>6.9274387787719869</v>
      </c>
      <c r="AH1888" s="110">
        <f>'Data_in-situ'!EP125</f>
        <v>3</v>
      </c>
      <c r="AI1888" s="113">
        <f>'Data_in-situ'!ER125</f>
        <v>-37</v>
      </c>
      <c r="AJ1888" s="113">
        <f>'Data_in-situ'!ES125</f>
        <v>8.3921199798401851</v>
      </c>
      <c r="AK1888" s="110">
        <f>'Data_in-situ'!ET125</f>
        <v>3</v>
      </c>
    </row>
    <row r="1889" spans="14:37" x14ac:dyDescent="0.3">
      <c r="N1889" s="24">
        <f>'Data_in-situ'!DA432</f>
        <v>-80</v>
      </c>
      <c r="O1889" s="24">
        <f>'Data_in-situ'!DB432</f>
        <v>2009.1789367798974</v>
      </c>
      <c r="P1889" s="46">
        <f>'Data_in-situ'!DC432</f>
        <v>3</v>
      </c>
      <c r="Q1889" s="24">
        <f>'Data_in-situ'!DE432</f>
        <v>4580</v>
      </c>
      <c r="R1889" s="24">
        <f>'Data_in-situ'!DF432</f>
        <v>4416.7295593006365</v>
      </c>
      <c r="S1889" s="46">
        <f>'Data_in-situ'!DG432</f>
        <v>3</v>
      </c>
      <c r="Z1889" s="113">
        <f>'Data_in-situ'!EA157</f>
        <v>-0.65249999999999997</v>
      </c>
      <c r="AA1889" s="113">
        <f>'Data_in-situ'!EB157</f>
        <v>9.3070564627061342E-2</v>
      </c>
      <c r="AB1889" s="46">
        <f>'Data_in-situ'!EC157</f>
        <v>4</v>
      </c>
      <c r="AC1889" s="113">
        <f>'Data_in-situ'!EE157</f>
        <v>0.12470000000000003</v>
      </c>
      <c r="AD1889" s="113">
        <f>'Data_in-situ'!EF157</f>
        <v>4.1450211097170543E-2</v>
      </c>
      <c r="AE1889" s="46">
        <f>'Data_in-situ'!EG157</f>
        <v>4</v>
      </c>
      <c r="AF1889" s="113">
        <f>'Data_in-situ'!EN126</f>
        <v>43</v>
      </c>
      <c r="AG1889" s="113">
        <f>'Data_in-situ'!EO126</f>
        <v>17.522345146305614</v>
      </c>
      <c r="AH1889" s="110">
        <f>'Data_in-situ'!EP126</f>
        <v>3</v>
      </c>
      <c r="AI1889" s="113">
        <f>'Data_in-situ'!ER126</f>
        <v>-31</v>
      </c>
      <c r="AJ1889" s="113">
        <f>'Data_in-situ'!ES126</f>
        <v>7.0312356587850191</v>
      </c>
      <c r="AK1889" s="110">
        <f>'Data_in-situ'!ET126</f>
        <v>3</v>
      </c>
    </row>
    <row r="1890" spans="14:37" x14ac:dyDescent="0.3">
      <c r="N1890" s="24">
        <f>'Data_in-situ'!DA433</f>
        <v>-1270</v>
      </c>
      <c r="O1890" s="24">
        <f>'Data_in-situ'!DB433</f>
        <v>1593.4867429633669</v>
      </c>
      <c r="P1890" s="46">
        <f>'Data_in-situ'!DC433</f>
        <v>3</v>
      </c>
      <c r="Q1890" s="24">
        <f>'Data_in-situ'!DE433</f>
        <v>4820</v>
      </c>
      <c r="R1890" s="24">
        <f>'Data_in-situ'!DF433</f>
        <v>4122.2809220139279</v>
      </c>
      <c r="S1890" s="46">
        <f>'Data_in-situ'!DG433</f>
        <v>3</v>
      </c>
      <c r="Z1890" s="113">
        <f>'Data_in-situ'!EA158</f>
        <v>-0.65249999999999997</v>
      </c>
      <c r="AA1890" s="113">
        <f>'Data_in-situ'!EB158</f>
        <v>9.3070564627061342E-2</v>
      </c>
      <c r="AB1890" s="46">
        <f>'Data_in-situ'!EC158</f>
        <v>4</v>
      </c>
      <c r="AC1890" s="113">
        <f>'Data_in-situ'!EE158</f>
        <v>0.42030000000000001</v>
      </c>
      <c r="AD1890" s="113">
        <f>'Data_in-situ'!EF158</f>
        <v>2.773084924772409E-2</v>
      </c>
      <c r="AE1890" s="46">
        <f>'Data_in-situ'!EG158</f>
        <v>4</v>
      </c>
      <c r="AF1890" s="113">
        <f>'Data_in-situ'!EN127</f>
        <v>40</v>
      </c>
      <c r="AG1890" s="113">
        <f>'Data_in-situ'!EO127</f>
        <v>16.299855950051732</v>
      </c>
      <c r="AH1890" s="110">
        <f>'Data_in-situ'!EP127</f>
        <v>3</v>
      </c>
      <c r="AI1890" s="113">
        <f>'Data_in-situ'!ER127</f>
        <v>-30</v>
      </c>
      <c r="AJ1890" s="113">
        <f>'Data_in-situ'!ES127</f>
        <v>6.8044216052758255</v>
      </c>
      <c r="AK1890" s="110">
        <f>'Data_in-situ'!ET127</f>
        <v>3</v>
      </c>
    </row>
    <row r="1891" spans="14:37" x14ac:dyDescent="0.3">
      <c r="N1891" s="24">
        <f>'Data_in-situ'!DA468</f>
        <v>-1350</v>
      </c>
      <c r="O1891" s="24">
        <f>'Data_in-situ'!DB468</f>
        <v>2670</v>
      </c>
      <c r="P1891" s="46">
        <f>'Data_in-situ'!DC468</f>
        <v>1</v>
      </c>
      <c r="Q1891" s="24">
        <f>'Data_in-situ'!DE468</f>
        <v>-320</v>
      </c>
      <c r="R1891" s="24">
        <f>'Data_in-situ'!DF468</f>
        <v>1110</v>
      </c>
      <c r="S1891" s="46">
        <f>'Data_in-situ'!DG468</f>
        <v>1</v>
      </c>
      <c r="Z1891" s="113">
        <f>'Data_in-situ'!EA159</f>
        <v>-0.36220000000000002</v>
      </c>
      <c r="AA1891" s="113">
        <f>'Data_in-situ'!EB159</f>
        <v>0.55423680859358304</v>
      </c>
      <c r="AB1891" s="46">
        <f>'Data_in-situ'!EC159</f>
        <v>4</v>
      </c>
      <c r="AC1891" s="113">
        <f>'Data_in-situ'!EE159</f>
        <v>-2.8500000000000001E-2</v>
      </c>
      <c r="AD1891" s="113">
        <f>'Data_in-situ'!EF159</f>
        <v>9.9569071503153028E-2</v>
      </c>
      <c r="AE1891" s="46">
        <f>'Data_in-situ'!EG159</f>
        <v>4</v>
      </c>
      <c r="AF1891" s="113">
        <f>'Data_in-situ'!EN128</f>
        <v>-7.08</v>
      </c>
      <c r="AG1891" s="113">
        <f>'Data_in-situ'!EO128</f>
        <v>2.8850745031591569</v>
      </c>
      <c r="AH1891" s="110">
        <f>'Data_in-situ'!EP128</f>
        <v>18</v>
      </c>
      <c r="AI1891" s="113">
        <f>'Data_in-situ'!ER128</f>
        <v>-15.22</v>
      </c>
      <c r="AJ1891" s="113">
        <f>'Data_in-situ'!ES128</f>
        <v>3.4521098944099355</v>
      </c>
      <c r="AK1891" s="110">
        <f>'Data_in-situ'!ET128</f>
        <v>18</v>
      </c>
    </row>
    <row r="1892" spans="14:37" x14ac:dyDescent="0.3">
      <c r="Z1892" s="113">
        <f>'Data_in-situ'!EA160</f>
        <v>-0.36220000000000002</v>
      </c>
      <c r="AA1892" s="113">
        <f>'Data_in-situ'!EB160</f>
        <v>0.55423680859358304</v>
      </c>
      <c r="AB1892" s="46">
        <f>'Data_in-situ'!EC160</f>
        <v>4</v>
      </c>
      <c r="AC1892" s="113">
        <f>'Data_in-situ'!EE160</f>
        <v>8.210000000000002E-2</v>
      </c>
      <c r="AD1892" s="113">
        <f>'Data_in-situ'!EF160</f>
        <v>1.2639620247459968E-2</v>
      </c>
      <c r="AE1892" s="46">
        <f>'Data_in-situ'!EG160</f>
        <v>4</v>
      </c>
      <c r="AF1892" s="113">
        <f>'Data_in-situ'!EN129</f>
        <v>-7.08</v>
      </c>
      <c r="AG1892" s="113">
        <f>'Data_in-situ'!EO129</f>
        <v>2.8850745031591569</v>
      </c>
      <c r="AH1892" s="110">
        <f>'Data_in-situ'!EP129</f>
        <v>18</v>
      </c>
      <c r="AI1892" s="113">
        <f>'Data_in-situ'!ER129</f>
        <v>-36.11</v>
      </c>
      <c r="AJ1892" s="113">
        <f>'Data_in-situ'!ES129</f>
        <v>8.190255472217002</v>
      </c>
      <c r="AK1892" s="110">
        <f>'Data_in-situ'!ET129</f>
        <v>18</v>
      </c>
    </row>
    <row r="1893" spans="14:37" x14ac:dyDescent="0.3">
      <c r="Z1893" s="113">
        <f>'Data_in-situ'!EA161</f>
        <v>-0.36220000000000002</v>
      </c>
      <c r="AA1893" s="113">
        <f>'Data_in-situ'!EB161</f>
        <v>0.55423680859358304</v>
      </c>
      <c r="AB1893" s="46">
        <f>'Data_in-situ'!EC161</f>
        <v>4</v>
      </c>
      <c r="AC1893" s="113">
        <f>'Data_in-situ'!EE161</f>
        <v>0.3004</v>
      </c>
      <c r="AD1893" s="113">
        <f>'Data_in-situ'!EF161</f>
        <v>2.3186418438387587E-2</v>
      </c>
      <c r="AE1893" s="46">
        <f>'Data_in-situ'!EG161</f>
        <v>4</v>
      </c>
      <c r="AF1893" s="113">
        <f>'Data_in-situ'!EN130</f>
        <v>-12.04</v>
      </c>
      <c r="AG1893" s="113">
        <f>'Data_in-situ'!EO130</f>
        <v>4.9062566409655712</v>
      </c>
      <c r="AH1893" s="110">
        <f>'Data_in-situ'!EP130</f>
        <v>18</v>
      </c>
      <c r="AI1893" s="113">
        <f>'Data_in-situ'!ER130</f>
        <v>-15.22</v>
      </c>
      <c r="AJ1893" s="113">
        <f>'Data_in-situ'!ES130</f>
        <v>3.4521098944099355</v>
      </c>
      <c r="AK1893" s="110">
        <f>'Data_in-situ'!ET130</f>
        <v>18</v>
      </c>
    </row>
    <row r="1894" spans="14:37" x14ac:dyDescent="0.3">
      <c r="Z1894" s="113">
        <f>'Data_in-situ'!EA162</f>
        <v>2.1024738953323308</v>
      </c>
      <c r="AA1894" s="113">
        <f>'Data_in-situ'!EB162</f>
        <v>12.089176504021989</v>
      </c>
      <c r="AB1894" s="46">
        <f>'Data_in-situ'!EC162</f>
        <v>4</v>
      </c>
      <c r="AC1894" s="113">
        <f>'Data_in-situ'!EE162</f>
        <v>6.8008768905024581</v>
      </c>
      <c r="AD1894" s="113">
        <f>'Data_in-situ'!EF162</f>
        <v>10.154657115085213</v>
      </c>
      <c r="AE1894" s="46">
        <f>'Data_in-situ'!EG162</f>
        <v>4</v>
      </c>
      <c r="AF1894" s="113">
        <f>'Data_in-situ'!EN131</f>
        <v>-12.04</v>
      </c>
      <c r="AG1894" s="113">
        <f>'Data_in-situ'!EO131</f>
        <v>4.9062566409655712</v>
      </c>
      <c r="AH1894" s="110">
        <f>'Data_in-situ'!EP131</f>
        <v>18</v>
      </c>
      <c r="AI1894" s="113">
        <f>'Data_in-situ'!ER131</f>
        <v>-24.07</v>
      </c>
      <c r="AJ1894" s="113">
        <f>'Data_in-situ'!ES131</f>
        <v>5.459414267966304</v>
      </c>
      <c r="AK1894" s="110">
        <f>'Data_in-situ'!ET131</f>
        <v>18</v>
      </c>
    </row>
    <row r="1895" spans="14:37" x14ac:dyDescent="0.3">
      <c r="Z1895" s="113">
        <f>'Data_in-situ'!EA163</f>
        <v>0.69244345015682884</v>
      </c>
      <c r="AA1895" s="113">
        <f>'Data_in-situ'!EB163</f>
        <v>3.9815338999377539</v>
      </c>
      <c r="AB1895" s="46">
        <f>'Data_in-situ'!EC163</f>
        <v>4</v>
      </c>
      <c r="AC1895" s="113">
        <f>'Data_in-situ'!EE163</f>
        <v>1.8900218026919515</v>
      </c>
      <c r="AD1895" s="113">
        <f>'Data_in-situ'!EF163</f>
        <v>2.8220659858105499</v>
      </c>
      <c r="AE1895" s="46">
        <f>'Data_in-situ'!EG163</f>
        <v>4</v>
      </c>
      <c r="AF1895" s="113">
        <f>'Data_in-situ'!EN132</f>
        <v>-4.96</v>
      </c>
      <c r="AG1895" s="113">
        <f>'Data_in-situ'!EO132</f>
        <v>2.0211821378064148</v>
      </c>
      <c r="AH1895" s="110">
        <f>'Data_in-situ'!EP132</f>
        <v>21</v>
      </c>
      <c r="AI1895" s="113">
        <f>'Data_in-situ'!ER132</f>
        <v>-10.09</v>
      </c>
      <c r="AJ1895" s="113">
        <f>'Data_in-situ'!ES132</f>
        <v>2.2885537999077692</v>
      </c>
      <c r="AK1895" s="110">
        <f>'Data_in-situ'!ET132</f>
        <v>21</v>
      </c>
    </row>
    <row r="1896" spans="14:37" x14ac:dyDescent="0.3">
      <c r="Z1896" s="113">
        <f>'Data_in-situ'!EA164</f>
        <v>0.69244345015682884</v>
      </c>
      <c r="AA1896" s="113">
        <f>'Data_in-situ'!EB164</f>
        <v>3.9815338999377539</v>
      </c>
      <c r="AB1896" s="46">
        <f>'Data_in-situ'!EC164</f>
        <v>4</v>
      </c>
      <c r="AC1896" s="113">
        <f>'Data_in-situ'!EE164</f>
        <v>1.2029333397446536</v>
      </c>
      <c r="AD1896" s="113">
        <f>'Data_in-situ'!EF164</f>
        <v>1.7961471430941864</v>
      </c>
      <c r="AE1896" s="46">
        <f>'Data_in-situ'!EG164</f>
        <v>4</v>
      </c>
      <c r="AF1896" s="113">
        <f>'Data_in-situ'!EN133</f>
        <v>-4.96</v>
      </c>
      <c r="AG1896" s="113">
        <f>'Data_in-situ'!EO133</f>
        <v>2.0211821378064148</v>
      </c>
      <c r="AH1896" s="110">
        <f>'Data_in-situ'!EP133</f>
        <v>21</v>
      </c>
      <c r="AI1896" s="113">
        <f>'Data_in-situ'!ER133</f>
        <v>-14.16</v>
      </c>
      <c r="AJ1896" s="113">
        <f>'Data_in-situ'!ES133</f>
        <v>3.2116869976901894</v>
      </c>
      <c r="AK1896" s="110">
        <f>'Data_in-situ'!ET133</f>
        <v>21</v>
      </c>
    </row>
    <row r="1897" spans="14:37" x14ac:dyDescent="0.3">
      <c r="Z1897" s="113">
        <f>'Data_in-situ'!EA165</f>
        <v>0.69244345015682884</v>
      </c>
      <c r="AA1897" s="113">
        <f>'Data_in-situ'!EB165</f>
        <v>3.9815338999377539</v>
      </c>
      <c r="AB1897" s="46">
        <f>'Data_in-situ'!EC165</f>
        <v>4</v>
      </c>
      <c r="AC1897" s="113">
        <f>'Data_in-situ'!EE165</f>
        <v>1.5464775712183025</v>
      </c>
      <c r="AD1897" s="113">
        <f>'Data_in-situ'!EF165</f>
        <v>2.3091065644523678</v>
      </c>
      <c r="AE1897" s="46">
        <f>'Data_in-situ'!EG165</f>
        <v>4</v>
      </c>
      <c r="AF1897" s="113">
        <f>'Data_in-situ'!EN163</f>
        <v>-109</v>
      </c>
      <c r="AG1897" s="113">
        <f>'Data_in-situ'!EO163</f>
        <v>44.417107463890972</v>
      </c>
      <c r="AH1897" s="110">
        <f>'Data_in-situ'!EP163</f>
        <v>4</v>
      </c>
      <c r="AI1897" s="113">
        <f>'Data_in-situ'!ER163</f>
        <v>-121</v>
      </c>
      <c r="AJ1897" s="113">
        <f>'Data_in-situ'!ES163</f>
        <v>27.444500474612497</v>
      </c>
      <c r="AK1897" s="110">
        <f>'Data_in-situ'!ET163</f>
        <v>4</v>
      </c>
    </row>
    <row r="1898" spans="14:37" x14ac:dyDescent="0.3">
      <c r="Z1898" s="113">
        <f>'Data_in-situ'!EA166</f>
        <v>1.0757430488974113</v>
      </c>
      <c r="AA1898" s="113">
        <f>'Data_in-situ'!EB166</f>
        <v>6.1854977700162745</v>
      </c>
      <c r="AB1898" s="46">
        <f>'Data_in-situ'!EC166</f>
        <v>4</v>
      </c>
      <c r="AC1898" s="113">
        <f>'Data_in-situ'!EE166</f>
        <v>1.0103547459252158</v>
      </c>
      <c r="AD1898" s="113">
        <f>'Data_in-situ'!EF166</f>
        <v>1.508600460596133</v>
      </c>
      <c r="AE1898" s="46">
        <f>'Data_in-situ'!EG166</f>
        <v>4</v>
      </c>
      <c r="AF1898" s="113">
        <f>'Data_in-situ'!EN164</f>
        <v>-109</v>
      </c>
      <c r="AG1898" s="113">
        <f>'Data_in-situ'!EO164</f>
        <v>44.417107463890972</v>
      </c>
      <c r="AH1898" s="110">
        <f>'Data_in-situ'!EP164</f>
        <v>4</v>
      </c>
      <c r="AI1898" s="113">
        <f>'Data_in-situ'!ER164</f>
        <v>-119</v>
      </c>
      <c r="AJ1898" s="113">
        <f>'Data_in-situ'!ES164</f>
        <v>26.990872367594108</v>
      </c>
      <c r="AK1898" s="110">
        <f>'Data_in-situ'!ET164</f>
        <v>4</v>
      </c>
    </row>
    <row r="1899" spans="14:37" x14ac:dyDescent="0.3">
      <c r="Z1899" s="113">
        <f>'Data_in-situ'!EA168</f>
        <v>9.3513037184644965</v>
      </c>
      <c r="AA1899" s="113">
        <f>'Data_in-situ'!EB168</f>
        <v>53.769781135553693</v>
      </c>
      <c r="AB1899" s="46">
        <f>'Data_in-situ'!EC168</f>
        <v>3</v>
      </c>
      <c r="AC1899" s="113">
        <f>'Data_in-situ'!EE168</f>
        <v>12.26580629480485</v>
      </c>
      <c r="AD1899" s="113">
        <f>'Data_in-situ'!EF168</f>
        <v>18.314558426684705</v>
      </c>
      <c r="AE1899" s="46">
        <f>'Data_in-situ'!EG168</f>
        <v>3</v>
      </c>
      <c r="AF1899" s="113">
        <f>'Data_in-situ'!EN165</f>
        <v>-109</v>
      </c>
      <c r="AG1899" s="113">
        <f>'Data_in-situ'!EO165</f>
        <v>44.417107463890972</v>
      </c>
      <c r="AH1899" s="110">
        <f>'Data_in-situ'!EP165</f>
        <v>4</v>
      </c>
      <c r="AI1899" s="113">
        <f>'Data_in-situ'!ER165</f>
        <v>-138</v>
      </c>
      <c r="AJ1899" s="113">
        <f>'Data_in-situ'!ES165</f>
        <v>31.300339384268796</v>
      </c>
      <c r="AK1899" s="110">
        <f>'Data_in-situ'!ET165</f>
        <v>4</v>
      </c>
    </row>
    <row r="1900" spans="14:37" x14ac:dyDescent="0.3">
      <c r="Z1900" s="113">
        <f>'Data_in-situ'!EA169</f>
        <v>10.444427313037668</v>
      </c>
      <c r="AA1900" s="113">
        <f>'Data_in-situ'!EB169</f>
        <v>60.055216643145187</v>
      </c>
      <c r="AB1900" s="46">
        <f>'Data_in-situ'!EC169</f>
        <v>3</v>
      </c>
      <c r="AC1900" s="113">
        <f>'Data_in-situ'!EE169</f>
        <v>19.289099302725344</v>
      </c>
      <c r="AD1900" s="113">
        <f>'Data_in-situ'!EF169</f>
        <v>28.801313805804487</v>
      </c>
      <c r="AE1900" s="46">
        <f>'Data_in-situ'!EG169</f>
        <v>3</v>
      </c>
      <c r="AF1900" s="113">
        <f>'Data_in-situ'!EN166</f>
        <v>-76</v>
      </c>
      <c r="AG1900" s="113">
        <f>'Data_in-situ'!EO166</f>
        <v>30.969726305098295</v>
      </c>
      <c r="AH1900" s="110">
        <f>'Data_in-situ'!EP166</f>
        <v>4</v>
      </c>
      <c r="AI1900" s="113">
        <f>'Data_in-situ'!ER166</f>
        <v>-84</v>
      </c>
      <c r="AJ1900" s="113">
        <f>'Data_in-situ'!ES166</f>
        <v>19.052380494772311</v>
      </c>
      <c r="AK1900" s="110">
        <f>'Data_in-situ'!ET166</f>
        <v>4</v>
      </c>
    </row>
    <row r="1901" spans="14:37" x14ac:dyDescent="0.3">
      <c r="Z1901" s="113">
        <f>'Data_in-situ'!EA203</f>
        <v>0.80142857142857149</v>
      </c>
      <c r="AA1901" s="113">
        <f>'Data_in-situ'!EB203</f>
        <v>0.1905255888325765</v>
      </c>
      <c r="AB1901" s="46">
        <f>'Data_in-situ'!EC203</f>
        <v>3</v>
      </c>
      <c r="AC1901" s="113">
        <f>'Data_in-situ'!EE203</f>
        <v>1.5242857142857142</v>
      </c>
      <c r="AD1901" s="113">
        <f>'Data_in-situ'!EF203</f>
        <v>0.3538332364033564</v>
      </c>
      <c r="AE1901" s="46">
        <f>'Data_in-situ'!EG203</f>
        <v>3</v>
      </c>
      <c r="AF1901" s="113">
        <f>'Data_in-situ'!EN167</f>
        <v>-18</v>
      </c>
      <c r="AG1901" s="113">
        <f>'Data_in-situ'!EO167</f>
        <v>7.3349351775232803</v>
      </c>
      <c r="AH1901" s="110">
        <f>'Data_in-situ'!EP167</f>
        <v>3</v>
      </c>
      <c r="AI1901" s="113">
        <f>'Data_in-situ'!ER167</f>
        <v>-37</v>
      </c>
      <c r="AJ1901" s="113">
        <f>'Data_in-situ'!ES167</f>
        <v>8.3921199798401851</v>
      </c>
      <c r="AK1901" s="110">
        <f>'Data_in-situ'!ET167</f>
        <v>3</v>
      </c>
    </row>
    <row r="1902" spans="14:37" x14ac:dyDescent="0.3">
      <c r="T1902" s="113">
        <f>'Data_in-situ'!DN128</f>
        <v>214.33232862768773</v>
      </c>
      <c r="U1902" s="113">
        <f>'Data_in-situ'!DO128</f>
        <v>127.05286261842672</v>
      </c>
      <c r="V1902" s="46">
        <f>'Data_in-situ'!DP128</f>
        <v>18</v>
      </c>
      <c r="W1902" s="113">
        <f>'Data_in-situ'!DR128</f>
        <v>74.807487646490884</v>
      </c>
      <c r="X1902" s="113">
        <f>'Data_in-situ'!DS128</f>
        <v>46.844140538456692</v>
      </c>
      <c r="Y1902" s="46">
        <f>'Data_in-situ'!DT128</f>
        <v>18</v>
      </c>
      <c r="Z1902" s="113">
        <f>'Data_in-situ'!EA204</f>
        <v>0.80142857142857149</v>
      </c>
      <c r="AA1902" s="113">
        <f>'Data_in-situ'!EB204</f>
        <v>0.1905255888325765</v>
      </c>
      <c r="AB1902" s="46">
        <f>'Data_in-situ'!EC204</f>
        <v>3</v>
      </c>
      <c r="AC1902" s="113">
        <f>'Data_in-situ'!EE204</f>
        <v>1.4614285714285715</v>
      </c>
      <c r="AD1902" s="113">
        <f>'Data_in-situ'!EF204</f>
        <v>0.21774353009437314</v>
      </c>
      <c r="AE1902" s="46">
        <f>'Data_in-situ'!EG204</f>
        <v>3</v>
      </c>
      <c r="AF1902" s="113">
        <f>'Data_in-situ'!EN168</f>
        <v>-7.118297455968686</v>
      </c>
      <c r="AG1902" s="113">
        <f>'Data_in-situ'!EO168</f>
        <v>2.0896725316659488</v>
      </c>
      <c r="AH1902" s="110">
        <f>'Data_in-situ'!EP168</f>
        <v>3</v>
      </c>
      <c r="AI1902" s="113">
        <f>'Data_in-situ'!ER168</f>
        <v>-41.42054794520547</v>
      </c>
      <c r="AJ1902" s="113">
        <f>'Data_in-situ'!ES168</f>
        <v>4.0513805156967972</v>
      </c>
      <c r="AK1902" s="110">
        <f>'Data_in-situ'!ET168</f>
        <v>3</v>
      </c>
    </row>
    <row r="1903" spans="14:37" x14ac:dyDescent="0.3">
      <c r="T1903" s="113">
        <f>'Data_in-situ'!DN129</f>
        <v>214.33232862768773</v>
      </c>
      <c r="U1903" s="113">
        <f>'Data_in-situ'!DO129</f>
        <v>127.05286261842672</v>
      </c>
      <c r="V1903" s="46">
        <f>'Data_in-situ'!DP129</f>
        <v>18</v>
      </c>
      <c r="W1903" s="113">
        <f>'Data_in-situ'!DR129</f>
        <v>3.701330808396313</v>
      </c>
      <c r="X1903" s="113">
        <f>'Data_in-situ'!DS129</f>
        <v>11.16614647740138</v>
      </c>
      <c r="Y1903" s="46">
        <f>'Data_in-situ'!DT129</f>
        <v>18</v>
      </c>
      <c r="Z1903" s="113">
        <f>'Data_in-situ'!EA211</f>
        <v>-0.17393369108406392</v>
      </c>
      <c r="AA1903" s="113">
        <f>'Data_in-situ'!EB211</f>
        <v>1.6605685683663671</v>
      </c>
      <c r="AB1903" s="46">
        <f>'Data_in-situ'!EC211</f>
        <v>46</v>
      </c>
      <c r="AC1903" s="113">
        <f>'Data_in-situ'!EE211</f>
        <v>6.6517114309370617</v>
      </c>
      <c r="AD1903" s="113">
        <f>'Data_in-situ'!EF211</f>
        <v>10.95710857096801</v>
      </c>
      <c r="AE1903" s="46">
        <f>'Data_in-situ'!EG211</f>
        <v>73</v>
      </c>
      <c r="AF1903" s="113">
        <f>'Data_in-situ'!EN169</f>
        <v>-23.325205479452055</v>
      </c>
      <c r="AG1903" s="113">
        <f>'Data_in-situ'!EO169</f>
        <v>9.1345235133236322</v>
      </c>
      <c r="AH1903" s="110">
        <f>'Data_in-situ'!EP169</f>
        <v>3</v>
      </c>
      <c r="AI1903" s="113">
        <f>'Data_in-situ'!ER169</f>
        <v>-50.248283223625691</v>
      </c>
      <c r="AJ1903" s="113">
        <f>'Data_in-situ'!ES169</f>
        <v>5.5408758417852315</v>
      </c>
      <c r="AK1903" s="110">
        <f>'Data_in-situ'!ET169</f>
        <v>3</v>
      </c>
    </row>
    <row r="1904" spans="14:37" x14ac:dyDescent="0.3">
      <c r="T1904" s="113">
        <f>'Data_in-situ'!DN130</f>
        <v>319.22459108513186</v>
      </c>
      <c r="U1904" s="113">
        <f>'Data_in-situ'!DO130</f>
        <v>121.19295255477282</v>
      </c>
      <c r="V1904" s="46">
        <f>'Data_in-situ'!DP130</f>
        <v>18</v>
      </c>
      <c r="W1904" s="113">
        <f>'Data_in-situ'!DR130</f>
        <v>222.57960625006015</v>
      </c>
      <c r="X1904" s="113">
        <f>'Data_in-situ'!DS130</f>
        <v>146.24752567167019</v>
      </c>
      <c r="Y1904" s="46">
        <f>'Data_in-situ'!DT130</f>
        <v>18</v>
      </c>
      <c r="Z1904" s="113">
        <f>'Data_in-situ'!EA212</f>
        <v>4.2926101488275123E-2</v>
      </c>
      <c r="AA1904" s="113">
        <f>'Data_in-situ'!EB212</f>
        <v>0.24682409549693443</v>
      </c>
      <c r="AB1904" s="46">
        <f>'Data_in-situ'!EC212</f>
        <v>46</v>
      </c>
      <c r="AC1904" s="113">
        <f>'Data_in-situ'!EE212</f>
        <v>38.025961499819161</v>
      </c>
      <c r="AD1904" s="113">
        <f>'Data_in-situ'!EF212</f>
        <v>56.778060641172175</v>
      </c>
      <c r="AE1904" s="46">
        <f>'Data_in-situ'!EG212</f>
        <v>66</v>
      </c>
      <c r="AF1904" s="113">
        <f>'Data_in-situ'!EN170</f>
        <v>-5.9909980430528433</v>
      </c>
      <c r="AG1904" s="113">
        <f>'Data_in-situ'!EO170</f>
        <v>3.1338536679828461</v>
      </c>
      <c r="AH1904" s="110">
        <f>'Data_in-situ'!EP170</f>
        <v>3</v>
      </c>
      <c r="AI1904" s="113">
        <f>'Data_in-situ'!ER170</f>
        <v>-25.035567514677091</v>
      </c>
      <c r="AJ1904" s="113">
        <f>'Data_in-situ'!ES170</f>
        <v>3.3576627131775418</v>
      </c>
      <c r="AK1904" s="110">
        <f>'Data_in-situ'!ET170</f>
        <v>3</v>
      </c>
    </row>
    <row r="1905" spans="20:37" x14ac:dyDescent="0.3">
      <c r="T1905" s="113">
        <f>'Data_in-situ'!DN131</f>
        <v>319.22459108513186</v>
      </c>
      <c r="U1905" s="113">
        <f>'Data_in-situ'!DO131</f>
        <v>121.19295255477282</v>
      </c>
      <c r="V1905" s="46">
        <f>'Data_in-situ'!DP131</f>
        <v>18</v>
      </c>
      <c r="W1905" s="113">
        <f>'Data_in-situ'!DR131</f>
        <v>5.4661003499523613</v>
      </c>
      <c r="X1905" s="113">
        <f>'Data_in-situ'!DS131</f>
        <v>11.395301936593999</v>
      </c>
      <c r="Y1905" s="46">
        <f>'Data_in-situ'!DT131</f>
        <v>18</v>
      </c>
      <c r="Z1905" s="113">
        <f>'Data_in-situ'!EA217</f>
        <v>1.3785046728971999</v>
      </c>
      <c r="AA1905" s="113">
        <f>'Data_in-situ'!EB217</f>
        <v>1.030159237619066</v>
      </c>
      <c r="AB1905" s="46">
        <f>'Data_in-situ'!EC217</f>
        <v>6</v>
      </c>
      <c r="AC1905" s="113">
        <f>'Data_in-situ'!EE217</f>
        <v>3.2242990654205603</v>
      </c>
      <c r="AD1905" s="113">
        <f>'Data_in-situ'!EF217</f>
        <v>3.548326262910205</v>
      </c>
      <c r="AE1905" s="46">
        <f>'Data_in-situ'!EG217</f>
        <v>6</v>
      </c>
      <c r="AF1905" s="113">
        <f>'Data_in-situ'!EN171</f>
        <v>-28.456673189823867</v>
      </c>
      <c r="AG1905" s="113">
        <f>'Data_in-situ'!EO171</f>
        <v>9.4179374135466869</v>
      </c>
      <c r="AH1905" s="110">
        <f>'Data_in-situ'!EP171</f>
        <v>3</v>
      </c>
      <c r="AI1905" s="113">
        <f>'Data_in-situ'!ER171</f>
        <v>-19.023532289628182</v>
      </c>
      <c r="AJ1905" s="113">
        <f>'Data_in-situ'!ES171</f>
        <v>6.0791484886821818</v>
      </c>
      <c r="AK1905" s="110">
        <f>'Data_in-situ'!ET171</f>
        <v>3</v>
      </c>
    </row>
    <row r="1906" spans="20:37" x14ac:dyDescent="0.3">
      <c r="T1906" s="113">
        <f>'Data_in-situ'!DN132</f>
        <v>440.08296271455015</v>
      </c>
      <c r="U1906" s="113">
        <f>'Data_in-situ'!DO132</f>
        <v>113.40347895786114</v>
      </c>
      <c r="V1906" s="46">
        <f>'Data_in-situ'!DP132</f>
        <v>21</v>
      </c>
      <c r="W1906" s="113">
        <f>'Data_in-situ'!DR132</f>
        <v>251.76858211880577</v>
      </c>
      <c r="X1906" s="113">
        <f>'Data_in-situ'!DS132</f>
        <v>162.14335017466513</v>
      </c>
      <c r="Y1906" s="46">
        <f>'Data_in-situ'!DT132</f>
        <v>21</v>
      </c>
      <c r="Z1906" s="113">
        <f>'Data_in-situ'!EA218</f>
        <v>1.3785046728971999</v>
      </c>
      <c r="AA1906" s="113">
        <f>'Data_in-situ'!EB218</f>
        <v>1.030159237619066</v>
      </c>
      <c r="AB1906" s="46">
        <f>'Data_in-situ'!EC218</f>
        <v>6</v>
      </c>
      <c r="AC1906" s="113">
        <f>'Data_in-situ'!EE218</f>
        <v>2.8037383177570097</v>
      </c>
      <c r="AD1906" s="113">
        <f>'Data_in-situ'!EF218</f>
        <v>2.5181670252910933</v>
      </c>
      <c r="AE1906" s="46">
        <f>'Data_in-situ'!EG218</f>
        <v>6</v>
      </c>
      <c r="AF1906" s="113">
        <f>'Data_in-situ'!EN174</f>
        <v>-8</v>
      </c>
      <c r="AG1906" s="113">
        <f>'Data_in-situ'!EO174</f>
        <v>3.2599711900103467</v>
      </c>
      <c r="AH1906" s="110">
        <f>'Data_in-situ'!EP174</f>
        <v>3</v>
      </c>
      <c r="AI1906" s="113">
        <f>'Data_in-situ'!ER174</f>
        <v>-11</v>
      </c>
      <c r="AJ1906" s="113">
        <f>'Data_in-situ'!ES174</f>
        <v>2.4949545886011357</v>
      </c>
      <c r="AK1906" s="110">
        <f>'Data_in-situ'!ET174</f>
        <v>3</v>
      </c>
    </row>
    <row r="1907" spans="20:37" x14ac:dyDescent="0.3">
      <c r="T1907" s="113">
        <f>'Data_in-situ'!DN133</f>
        <v>440.08296271455015</v>
      </c>
      <c r="U1907" s="113">
        <f>'Data_in-situ'!DO133</f>
        <v>113.40347895786114</v>
      </c>
      <c r="V1907" s="46">
        <f>'Data_in-situ'!DP133</f>
        <v>21</v>
      </c>
      <c r="W1907" s="113">
        <f>'Data_in-situ'!DR133</f>
        <v>25.550114778634466</v>
      </c>
      <c r="X1907" s="113">
        <f>'Data_in-situ'!DS133</f>
        <v>18.733958929588759</v>
      </c>
      <c r="Y1907" s="46">
        <f>'Data_in-situ'!DT133</f>
        <v>21</v>
      </c>
      <c r="Z1907" s="113">
        <f>'Data_in-situ'!EA219</f>
        <v>2.294285714285714</v>
      </c>
      <c r="AA1907" s="113">
        <f>'Data_in-situ'!EB219</f>
        <v>0.87097412037749256</v>
      </c>
      <c r="AB1907" s="46">
        <f>'Data_in-situ'!EC219</f>
        <v>3</v>
      </c>
      <c r="AC1907" s="113">
        <f>'Data_in-situ'!EE219</f>
        <v>2.152857142857143</v>
      </c>
      <c r="AD1907" s="113">
        <f>'Data_in-situ'!EF219</f>
        <v>0.81653823785389912</v>
      </c>
      <c r="AE1907" s="46">
        <f>'Data_in-situ'!EG219</f>
        <v>3</v>
      </c>
      <c r="AF1907" s="113">
        <f>'Data_in-situ'!EN175</f>
        <v>-8</v>
      </c>
      <c r="AG1907" s="113">
        <f>'Data_in-situ'!EO175</f>
        <v>3.2599711900103467</v>
      </c>
      <c r="AH1907" s="110">
        <f>'Data_in-situ'!EP175</f>
        <v>3</v>
      </c>
      <c r="AI1907" s="113">
        <f>'Data_in-situ'!ER175</f>
        <v>-19</v>
      </c>
      <c r="AJ1907" s="113">
        <f>'Data_in-situ'!ES175</f>
        <v>4.3094670166746889</v>
      </c>
      <c r="AK1907" s="110">
        <f>'Data_in-situ'!ET175</f>
        <v>3</v>
      </c>
    </row>
    <row r="1908" spans="20:37" x14ac:dyDescent="0.3">
      <c r="T1908" s="113">
        <f>'Data_in-situ'!DN148</f>
        <v>178.6</v>
      </c>
      <c r="U1908" s="113">
        <f>'Data_in-situ'!DO148</f>
        <v>265.3</v>
      </c>
      <c r="V1908" s="46">
        <f>'Data_in-situ'!DP148</f>
        <v>39</v>
      </c>
      <c r="W1908" s="113">
        <f>'Data_in-situ'!DR148</f>
        <v>5.0999999999999996</v>
      </c>
      <c r="X1908" s="113">
        <f>'Data_in-situ'!DS148</f>
        <v>30.6</v>
      </c>
      <c r="Y1908" s="46">
        <f>'Data_in-situ'!DT148</f>
        <v>40</v>
      </c>
      <c r="Z1908" s="113">
        <f>'Data_in-situ'!EA220</f>
        <v>0.3457142857142857</v>
      </c>
      <c r="AA1908" s="113">
        <f>'Data_in-situ'!EB220</f>
        <v>0.10887176504718657</v>
      </c>
      <c r="AB1908" s="46">
        <f>'Data_in-situ'!EC220</f>
        <v>3</v>
      </c>
      <c r="AC1908" s="113">
        <f>'Data_in-situ'!EE220</f>
        <v>0.29857142857142854</v>
      </c>
      <c r="AD1908" s="113">
        <f>'Data_in-situ'!EF220</f>
        <v>8.165382378538992E-2</v>
      </c>
      <c r="AE1908" s="46">
        <f>'Data_in-situ'!EG220</f>
        <v>3</v>
      </c>
      <c r="AF1908" s="113">
        <f>'Data_in-situ'!EN176</f>
        <v>-7.2</v>
      </c>
      <c r="AG1908" s="113">
        <f>'Data_in-situ'!EO176</f>
        <v>2.1</v>
      </c>
      <c r="AH1908" s="110">
        <f>'Data_in-situ'!EP176</f>
        <v>4</v>
      </c>
      <c r="AI1908" s="113">
        <f>'Data_in-situ'!ER176</f>
        <v>-39.6</v>
      </c>
      <c r="AJ1908" s="113">
        <f>'Data_in-situ'!ES176</f>
        <v>17.2</v>
      </c>
      <c r="AK1908" s="110">
        <f>'Data_in-situ'!ET176</f>
        <v>3</v>
      </c>
    </row>
    <row r="1909" spans="20:37" x14ac:dyDescent="0.3">
      <c r="T1909" s="113">
        <f>'Data_in-situ'!DN149</f>
        <v>122.44999999999999</v>
      </c>
      <c r="U1909" s="113">
        <f>'Data_in-situ'!DO149</f>
        <v>142.11622884104406</v>
      </c>
      <c r="V1909" s="46">
        <f>'Data_in-situ'!DP149</f>
        <v>39</v>
      </c>
      <c r="W1909" s="113">
        <f>'Data_in-situ'!DR149</f>
        <v>0.51</v>
      </c>
      <c r="X1909" s="113">
        <f>'Data_in-situ'!DS149</f>
        <v>1.02</v>
      </c>
      <c r="Y1909" s="46">
        <f>'Data_in-situ'!DT149</f>
        <v>10</v>
      </c>
      <c r="Z1909" s="113">
        <f>'Data_in-situ'!EA250</f>
        <v>4.7842000883736189E-3</v>
      </c>
      <c r="AA1909" s="113">
        <f>'Data_in-situ'!EB250</f>
        <v>5.7651671572041305E-2</v>
      </c>
      <c r="AB1909" s="46">
        <f>'Data_in-situ'!EC250</f>
        <v>3</v>
      </c>
      <c r="AC1909" s="113">
        <f>'Data_in-situ'!EE250</f>
        <v>2.8668507573783328</v>
      </c>
      <c r="AD1909" s="113">
        <f>'Data_in-situ'!EF250</f>
        <v>1.8611493473177243</v>
      </c>
      <c r="AE1909" s="46">
        <f>'Data_in-situ'!EG250</f>
        <v>3</v>
      </c>
      <c r="AF1909" s="113">
        <f>'Data_in-situ'!EN177</f>
        <v>-9.1999999999999993</v>
      </c>
      <c r="AG1909" s="113">
        <f>'Data_in-situ'!EO177</f>
        <v>4.8</v>
      </c>
      <c r="AH1909" s="110">
        <f>'Data_in-situ'!EP177</f>
        <v>4</v>
      </c>
      <c r="AI1909" s="113">
        <f>'Data_in-situ'!ER177</f>
        <v>-41</v>
      </c>
      <c r="AJ1909" s="113">
        <f>'Data_in-situ'!ES177</f>
        <v>11</v>
      </c>
      <c r="AK1909" s="110">
        <f>'Data_in-situ'!ET177</f>
        <v>3</v>
      </c>
    </row>
    <row r="1910" spans="20:37" x14ac:dyDescent="0.3">
      <c r="T1910" s="113">
        <f>'Data_in-situ'!DN150</f>
        <v>122.44999999999999</v>
      </c>
      <c r="U1910" s="113">
        <f>'Data_in-situ'!DO150</f>
        <v>142.11622884104406</v>
      </c>
      <c r="V1910" s="46">
        <f>'Data_in-situ'!DP150</f>
        <v>39</v>
      </c>
      <c r="W1910" s="113">
        <f>'Data_in-situ'!DR150</f>
        <v>-0.51</v>
      </c>
      <c r="X1910" s="113">
        <f>'Data_in-situ'!DS150</f>
        <v>2.04</v>
      </c>
      <c r="Y1910" s="46">
        <f>'Data_in-situ'!DT150</f>
        <v>5</v>
      </c>
      <c r="Z1910" s="113">
        <f>'Data_in-situ'!EA251</f>
        <v>2.9121217929230725E-2</v>
      </c>
      <c r="AA1910" s="113">
        <f>'Data_in-situ'!EB251</f>
        <v>6.8659445106331193E-2</v>
      </c>
      <c r="AB1910" s="46">
        <f>'Data_in-situ'!EC251</f>
        <v>3</v>
      </c>
      <c r="AC1910" s="113">
        <f>'Data_in-situ'!EE251</f>
        <v>0.10511786110387221</v>
      </c>
      <c r="AD1910" s="113">
        <f>'Data_in-situ'!EF251</f>
        <v>0.10740648717807684</v>
      </c>
      <c r="AE1910" s="46">
        <f>'Data_in-situ'!EG251</f>
        <v>3</v>
      </c>
      <c r="AF1910" s="113">
        <f>'Data_in-situ'!EN178</f>
        <v>-9.6999999999999993</v>
      </c>
      <c r="AG1910" s="113">
        <f>'Data_in-situ'!EO178</f>
        <v>3.7</v>
      </c>
      <c r="AH1910" s="110">
        <f>'Data_in-situ'!EP178</f>
        <v>4</v>
      </c>
      <c r="AI1910" s="113">
        <f>'Data_in-situ'!ER178</f>
        <v>-45.2</v>
      </c>
      <c r="AJ1910" s="113">
        <f>'Data_in-situ'!ES178</f>
        <v>11.5</v>
      </c>
      <c r="AK1910" s="110">
        <f>'Data_in-situ'!ET178</f>
        <v>3</v>
      </c>
    </row>
    <row r="1911" spans="20:37" x14ac:dyDescent="0.3">
      <c r="T1911" s="113">
        <f>'Data_in-situ'!DN156</f>
        <v>34.884300000000003</v>
      </c>
      <c r="U1911" s="113">
        <f>'Data_in-situ'!DO156</f>
        <v>2.7604911899877527</v>
      </c>
      <c r="V1911" s="46">
        <f>'Data_in-situ'!DP156</f>
        <v>4</v>
      </c>
      <c r="W1911" s="113">
        <f>'Data_in-situ'!DR156</f>
        <v>15.5944</v>
      </c>
      <c r="X1911" s="113">
        <f>'Data_in-situ'!DS156</f>
        <v>2.1027833031484722</v>
      </c>
      <c r="Y1911" s="46">
        <f>'Data_in-situ'!DT156</f>
        <v>4</v>
      </c>
      <c r="Z1911" s="113">
        <f>'Data_in-situ'!EA260</f>
        <v>4.7842000883736184E-2</v>
      </c>
      <c r="AA1911" s="113">
        <f>'Data_in-situ'!EB260</f>
        <v>4.4106351316338478E-2</v>
      </c>
      <c r="AB1911" s="46">
        <f>'Data_in-situ'!EC260</f>
        <v>3</v>
      </c>
      <c r="AC1911" s="113">
        <f>'Data_in-situ'!EE260</f>
        <v>0.82820132990929607</v>
      </c>
      <c r="AD1911" s="113">
        <f>'Data_in-situ'!EF260</f>
        <v>0.5966246705874263</v>
      </c>
      <c r="AE1911" s="46">
        <f>'Data_in-situ'!EG260</f>
        <v>3</v>
      </c>
      <c r="AF1911" s="113">
        <f>'Data_in-situ'!EN182</f>
        <v>10.513333333333334</v>
      </c>
      <c r="AG1911" s="113">
        <f>'Data_in-situ'!EO182</f>
        <v>1.0373523991392701</v>
      </c>
      <c r="AH1911" s="110">
        <f>'Data_in-situ'!EP182</f>
        <v>3</v>
      </c>
      <c r="AI1911" s="113">
        <f>'Data_in-situ'!ER182</f>
        <v>-89.296666666666667</v>
      </c>
      <c r="AJ1911" s="113">
        <f>'Data_in-situ'!ES182</f>
        <v>4.948066962629615</v>
      </c>
      <c r="AK1911" s="110">
        <f>'Data_in-situ'!ET182</f>
        <v>3</v>
      </c>
    </row>
    <row r="1912" spans="20:37" x14ac:dyDescent="0.3">
      <c r="T1912" s="113">
        <f>'Data_in-situ'!DN157</f>
        <v>34.884300000000003</v>
      </c>
      <c r="U1912" s="113">
        <f>'Data_in-situ'!DO157</f>
        <v>2.7604911899877527</v>
      </c>
      <c r="V1912" s="46">
        <f>'Data_in-situ'!DP157</f>
        <v>4</v>
      </c>
      <c r="W1912" s="113">
        <f>'Data_in-situ'!DR157</f>
        <v>-3.7234000000000003</v>
      </c>
      <c r="X1912" s="113">
        <f>'Data_in-situ'!DS157</f>
        <v>0.33700001483679487</v>
      </c>
      <c r="Y1912" s="46">
        <f>'Data_in-situ'!DT157</f>
        <v>4</v>
      </c>
      <c r="Z1912" s="113">
        <f>'Data_in-situ'!EA261</f>
        <v>0.27041130934285673</v>
      </c>
      <c r="AA1912" s="113">
        <f>'Data_in-situ'!EB261</f>
        <v>0.17637490766446459</v>
      </c>
      <c r="AB1912" s="46">
        <f>'Data_in-situ'!EC261</f>
        <v>3</v>
      </c>
      <c r="AC1912" s="113">
        <f>'Data_in-situ'!EE261</f>
        <v>1.0193247137345183</v>
      </c>
      <c r="AD1912" s="113">
        <f>'Data_in-situ'!EF261</f>
        <v>0.85363748658627392</v>
      </c>
      <c r="AE1912" s="46">
        <f>'Data_in-situ'!EG261</f>
        <v>3</v>
      </c>
      <c r="AF1912" s="113">
        <f>'Data_in-situ'!EN183</f>
        <v>21.581790123456788</v>
      </c>
      <c r="AG1912" s="113">
        <f>'Data_in-situ'!EO183</f>
        <v>1.1499049536443477</v>
      </c>
      <c r="AH1912" s="110">
        <f>'Data_in-situ'!EP183</f>
        <v>3</v>
      </c>
      <c r="AI1912" s="113">
        <f>'Data_in-situ'!ER183</f>
        <v>-89.296666666666667</v>
      </c>
      <c r="AJ1912" s="113">
        <f>'Data_in-situ'!ES183</f>
        <v>4.948066962629615</v>
      </c>
      <c r="AK1912" s="110">
        <f>'Data_in-situ'!ET183</f>
        <v>3</v>
      </c>
    </row>
    <row r="1913" spans="20:37" x14ac:dyDescent="0.3">
      <c r="T1913" s="113">
        <f>'Data_in-situ'!DN158</f>
        <v>34.884300000000003</v>
      </c>
      <c r="U1913" s="113">
        <f>'Data_in-situ'!DO158</f>
        <v>2.7604911899877527</v>
      </c>
      <c r="V1913" s="46">
        <f>'Data_in-situ'!DP158</f>
        <v>4</v>
      </c>
      <c r="W1913" s="113">
        <f>'Data_in-situ'!DR158</f>
        <v>-6.8844000000000012</v>
      </c>
      <c r="X1913" s="113">
        <f>'Data_in-situ'!DS158</f>
        <v>0.4472975072588713</v>
      </c>
      <c r="Y1913" s="46">
        <f>'Data_in-situ'!DT158</f>
        <v>4</v>
      </c>
      <c r="Z1913" s="113">
        <f>'Data_in-situ'!EA420</f>
        <v>0.17500000000000002</v>
      </c>
      <c r="AA1913" s="113">
        <f>'Data_in-situ'!EB420</f>
        <v>6.6645830077107365E-2</v>
      </c>
      <c r="AB1913" s="46">
        <f>'Data_in-situ'!EC420</f>
        <v>3</v>
      </c>
      <c r="AC1913" s="113">
        <f>'Data_in-situ'!EE420</f>
        <v>3.8644999999999996</v>
      </c>
      <c r="AD1913" s="113">
        <f>'Data_in-situ'!EF420</f>
        <v>2.343140076194052</v>
      </c>
      <c r="AE1913" s="46">
        <f>'Data_in-situ'!EG420</f>
        <v>3</v>
      </c>
      <c r="AF1913" s="113">
        <f>'Data_in-situ'!EN184</f>
        <v>15.494138888888889</v>
      </c>
      <c r="AG1913" s="113">
        <f>'Data_in-situ'!EO184</f>
        <v>0.77024816389862394</v>
      </c>
      <c r="AH1913" s="110">
        <f>'Data_in-situ'!EP184</f>
        <v>3</v>
      </c>
      <c r="AI1913" s="113">
        <f>'Data_in-situ'!ER184</f>
        <v>-89.296666666666667</v>
      </c>
      <c r="AJ1913" s="113">
        <f>'Data_in-situ'!ES184</f>
        <v>4.948066962629615</v>
      </c>
      <c r="AK1913" s="110">
        <f>'Data_in-situ'!ET184</f>
        <v>3</v>
      </c>
    </row>
    <row r="1914" spans="20:37" x14ac:dyDescent="0.3">
      <c r="T1914" s="113">
        <f>'Data_in-situ'!DN159</f>
        <v>12.3249</v>
      </c>
      <c r="U1914" s="113">
        <f>'Data_in-situ'!DO159</f>
        <v>4.0482329046140624</v>
      </c>
      <c r="V1914" s="46">
        <f>'Data_in-situ'!DP159</f>
        <v>4</v>
      </c>
      <c r="W1914" s="113">
        <f>'Data_in-situ'!DR159</f>
        <v>4.5682</v>
      </c>
      <c r="X1914" s="113">
        <f>'Data_in-situ'!DS159</f>
        <v>1.4385784823915586</v>
      </c>
      <c r="Y1914" s="46">
        <f>'Data_in-situ'!DT159</f>
        <v>4</v>
      </c>
      <c r="Z1914" s="113">
        <f>'Data_in-situ'!EA421</f>
        <v>0.81500000000000006</v>
      </c>
      <c r="AA1914" s="113">
        <f>'Data_in-situ'!EB421</f>
        <v>0.72028350899720972</v>
      </c>
      <c r="AB1914" s="46">
        <f>'Data_in-situ'!EC421</f>
        <v>3</v>
      </c>
      <c r="AC1914" s="113">
        <f>'Data_in-situ'!EE421</f>
        <v>5.5957499999999989</v>
      </c>
      <c r="AD1914" s="113">
        <f>'Data_in-situ'!EF421</f>
        <v>4.4151157143197661</v>
      </c>
      <c r="AE1914" s="46">
        <f>'Data_in-situ'!EG421</f>
        <v>3</v>
      </c>
      <c r="AF1914" s="113">
        <f>'Data_in-situ'!EN185</f>
        <v>-29.297839506172831</v>
      </c>
      <c r="AG1914" s="113">
        <f>'Data_in-situ'!EO185</f>
        <v>7.4871417952407429</v>
      </c>
      <c r="AH1914" s="110">
        <f>'Data_in-situ'!EP185</f>
        <v>3</v>
      </c>
      <c r="AI1914" s="113">
        <f>'Data_in-situ'!ER185</f>
        <v>-89.296666666666667</v>
      </c>
      <c r="AJ1914" s="113">
        <f>'Data_in-situ'!ES185</f>
        <v>4.948066962629615</v>
      </c>
      <c r="AK1914" s="110">
        <f>'Data_in-situ'!ET185</f>
        <v>3</v>
      </c>
    </row>
    <row r="1915" spans="20:37" x14ac:dyDescent="0.3">
      <c r="T1915" s="113">
        <f>'Data_in-situ'!DN160</f>
        <v>12.3249</v>
      </c>
      <c r="U1915" s="113">
        <f>'Data_in-situ'!DO160</f>
        <v>4.0482329046140624</v>
      </c>
      <c r="V1915" s="46">
        <f>'Data_in-situ'!DP160</f>
        <v>4</v>
      </c>
      <c r="W1915" s="113">
        <f>'Data_in-situ'!DR160</f>
        <v>-2.4133</v>
      </c>
      <c r="X1915" s="113">
        <f>'Data_in-situ'!DS160</f>
        <v>0.28343706532491475</v>
      </c>
      <c r="Y1915" s="46">
        <f>'Data_in-situ'!DT160</f>
        <v>4</v>
      </c>
      <c r="Z1915" s="113">
        <f>'Data_in-situ'!EA432</f>
        <v>0.14142857142857143</v>
      </c>
      <c r="AA1915" s="113">
        <f>'Data_in-situ'!EB432</f>
        <v>0.29939735387976307</v>
      </c>
      <c r="AB1915" s="46">
        <f>'Data_in-situ'!EC432</f>
        <v>3</v>
      </c>
      <c r="AC1915" s="113">
        <f>'Data_in-situ'!EE432</f>
        <v>1.8071428571428574</v>
      </c>
      <c r="AD1915" s="113">
        <f>'Data_in-situ'!EF432</f>
        <v>2.1229994184201382</v>
      </c>
      <c r="AE1915" s="46">
        <f>'Data_in-situ'!EG432</f>
        <v>3</v>
      </c>
      <c r="AF1915" s="113">
        <f>'Data_in-situ'!EN186</f>
        <v>-15.092592592592601</v>
      </c>
      <c r="AG1915" s="113">
        <f>'Data_in-situ'!EO186</f>
        <v>7.11534501237022</v>
      </c>
      <c r="AH1915" s="110">
        <f>'Data_in-situ'!EP186</f>
        <v>3</v>
      </c>
      <c r="AI1915" s="113">
        <f>'Data_in-situ'!ER186</f>
        <v>-89.296666666666667</v>
      </c>
      <c r="AJ1915" s="113">
        <f>'Data_in-situ'!ES186</f>
        <v>4.948066962629615</v>
      </c>
      <c r="AK1915" s="110">
        <f>'Data_in-situ'!ET186</f>
        <v>3</v>
      </c>
    </row>
    <row r="1916" spans="20:37" x14ac:dyDescent="0.3">
      <c r="T1916" s="113">
        <f>'Data_in-situ'!DN161</f>
        <v>12.3249</v>
      </c>
      <c r="U1916" s="113">
        <f>'Data_in-situ'!DO161</f>
        <v>4.0482329046140624</v>
      </c>
      <c r="V1916" s="46">
        <f>'Data_in-situ'!DP161</f>
        <v>4</v>
      </c>
      <c r="W1916" s="113">
        <f>'Data_in-situ'!DR161</f>
        <v>0.28770000000000012</v>
      </c>
      <c r="X1916" s="113">
        <f>'Data_in-situ'!DS161</f>
        <v>0.26312447624650959</v>
      </c>
      <c r="Y1916" s="46">
        <f>'Data_in-situ'!DT161</f>
        <v>4</v>
      </c>
      <c r="Z1916" s="113">
        <f>'Data_in-situ'!EA433</f>
        <v>0.11</v>
      </c>
      <c r="AA1916" s="113">
        <f>'Data_in-situ'!EB433</f>
        <v>0.65323059028311947</v>
      </c>
      <c r="AB1916" s="46">
        <f>'Data_in-situ'!EC433</f>
        <v>3</v>
      </c>
      <c r="AC1916" s="113">
        <f>'Data_in-situ'!EE433</f>
        <v>4.0071428571428571</v>
      </c>
      <c r="AD1916" s="113">
        <f>'Data_in-situ'!EF433</f>
        <v>2.7490120674414609</v>
      </c>
      <c r="AE1916" s="46">
        <f>'Data_in-situ'!EG433</f>
        <v>3</v>
      </c>
      <c r="AF1916" s="113">
        <f>'Data_in-situ'!EN187</f>
        <v>-22.905478395061731</v>
      </c>
      <c r="AG1916" s="113">
        <f>'Data_in-situ'!EO187</f>
        <v>5.2162753162474411</v>
      </c>
      <c r="AH1916" s="110">
        <f>'Data_in-situ'!EP187</f>
        <v>3</v>
      </c>
      <c r="AI1916" s="113">
        <f>'Data_in-situ'!ER187</f>
        <v>-89.296666666666667</v>
      </c>
      <c r="AJ1916" s="113">
        <f>'Data_in-situ'!ES187</f>
        <v>4.948066962629615</v>
      </c>
      <c r="AK1916" s="110">
        <f>'Data_in-situ'!ET187</f>
        <v>3</v>
      </c>
    </row>
    <row r="1917" spans="20:37" x14ac:dyDescent="0.3">
      <c r="T1917" s="113">
        <f>'Data_in-situ'!DN162</f>
        <v>4.1088183748609376E-2</v>
      </c>
      <c r="U1917" s="113">
        <f>'Data_in-situ'!DO162</f>
        <v>4.5808365090522003E-2</v>
      </c>
      <c r="V1917" s="46">
        <f>'Data_in-situ'!DP162</f>
        <v>4</v>
      </c>
      <c r="W1917" s="113">
        <f>'Data_in-situ'!DR162</f>
        <v>0.1749737827715355</v>
      </c>
      <c r="X1917" s="113">
        <f>'Data_in-situ'!DS162</f>
        <v>0.65391487210700916</v>
      </c>
      <c r="Y1917" s="46">
        <f>'Data_in-situ'!DT162</f>
        <v>4</v>
      </c>
      <c r="Z1917" s="113">
        <f>'Data_in-situ'!EA434</f>
        <v>0.31428571428571433</v>
      </c>
      <c r="AA1917" s="113">
        <f>'Data_in-situ'!EB434</f>
        <v>1.8071356230047548</v>
      </c>
      <c r="AB1917" s="46">
        <f>'Data_in-situ'!EC434</f>
        <v>3</v>
      </c>
      <c r="AC1917" s="113">
        <f>'Data_in-situ'!EE434</f>
        <v>14.614285714285716</v>
      </c>
      <c r="AD1917" s="113">
        <f>'Data_in-situ'!EF434</f>
        <v>21.821165534948449</v>
      </c>
      <c r="AE1917" s="46">
        <f>'Data_in-situ'!EG434</f>
        <v>3</v>
      </c>
      <c r="AF1917" s="113">
        <f>'Data_in-situ'!EN188</f>
        <v>15.494138888888889</v>
      </c>
      <c r="AG1917" s="113">
        <f>'Data_in-situ'!EO188</f>
        <v>0.77024816389862394</v>
      </c>
      <c r="AH1917" s="110">
        <f>'Data_in-situ'!EP188</f>
        <v>3</v>
      </c>
      <c r="AI1917" s="113">
        <f>'Data_in-situ'!ER188</f>
        <v>-91.63</v>
      </c>
      <c r="AJ1917" s="113">
        <f>'Data_in-situ'!ES188</f>
        <v>7.7942286340599471</v>
      </c>
      <c r="AK1917" s="110">
        <f>'Data_in-situ'!ET188</f>
        <v>3</v>
      </c>
    </row>
    <row r="1918" spans="20:37" x14ac:dyDescent="0.3">
      <c r="T1918" s="113">
        <f>'Data_in-situ'!DN163</f>
        <v>-0.12122916895579239</v>
      </c>
      <c r="U1918" s="113">
        <f>'Data_in-situ'!DO163</f>
        <v>0.13515588971088227</v>
      </c>
      <c r="V1918" s="46">
        <f>'Data_in-situ'!DP163</f>
        <v>4</v>
      </c>
      <c r="W1918" s="113">
        <f>'Data_in-situ'!DR163</f>
        <v>6.1724726721622734E-2</v>
      </c>
      <c r="X1918" s="113">
        <f>'Data_in-situ'!DS163</f>
        <v>0.23067865448569461</v>
      </c>
      <c r="Y1918" s="46">
        <f>'Data_in-situ'!DT163</f>
        <v>4</v>
      </c>
      <c r="Z1918" s="113">
        <f>'Data_in-situ'!EA435</f>
        <v>0.31428571428571433</v>
      </c>
      <c r="AA1918" s="113">
        <f>'Data_in-situ'!EB435</f>
        <v>1.8071356230047548</v>
      </c>
      <c r="AB1918" s="46">
        <f>'Data_in-situ'!EC435</f>
        <v>3</v>
      </c>
      <c r="AC1918" s="113">
        <f>'Data_in-situ'!EE435</f>
        <v>12.257142857142856</v>
      </c>
      <c r="AD1918" s="113">
        <f>'Data_in-situ'!EF435</f>
        <v>18.301622706730956</v>
      </c>
      <c r="AE1918" s="46">
        <f>'Data_in-situ'!EG435</f>
        <v>3</v>
      </c>
      <c r="AF1918" s="113">
        <f>'Data_in-situ'!EN189</f>
        <v>15.494138888888889</v>
      </c>
      <c r="AG1918" s="113">
        <f>'Data_in-situ'!EO189</f>
        <v>0.77024816389862394</v>
      </c>
      <c r="AH1918" s="110">
        <f>'Data_in-situ'!EP189</f>
        <v>3</v>
      </c>
      <c r="AI1918" s="113">
        <f>'Data_in-situ'!ER189</f>
        <v>-87.6</v>
      </c>
      <c r="AJ1918" s="113">
        <f>'Data_in-situ'!ES189</f>
        <v>10.825317547305483</v>
      </c>
      <c r="AK1918" s="110">
        <f>'Data_in-situ'!ET189</f>
        <v>3</v>
      </c>
    </row>
    <row r="1919" spans="20:37" x14ac:dyDescent="0.3">
      <c r="T1919" s="113">
        <f>'Data_in-situ'!DN164</f>
        <v>-0.12122916895579239</v>
      </c>
      <c r="U1919" s="113">
        <f>'Data_in-situ'!DO164</f>
        <v>0.13515588971088227</v>
      </c>
      <c r="V1919" s="46">
        <f>'Data_in-situ'!DP164</f>
        <v>4</v>
      </c>
      <c r="W1919" s="113">
        <f>'Data_in-situ'!DR164</f>
        <v>-0.12344945344324547</v>
      </c>
      <c r="X1919" s="113">
        <f>'Data_in-situ'!DS164</f>
        <v>0.46135730897138921</v>
      </c>
      <c r="Y1919" s="46">
        <f>'Data_in-situ'!DT164</f>
        <v>4</v>
      </c>
      <c r="Z1919" s="113">
        <f>'Data_in-situ'!EA436</f>
        <v>3.5419581632883812</v>
      </c>
      <c r="AA1919" s="113">
        <f>'Data_in-situ'!EB436</f>
        <v>380.03451144768485</v>
      </c>
      <c r="AB1919" s="46">
        <f>'Data_in-situ'!EC436</f>
        <v>34</v>
      </c>
      <c r="AC1919" s="113">
        <f>'Data_in-situ'!EE436</f>
        <v>22.445963773156404</v>
      </c>
      <c r="AD1919" s="113">
        <f>'Data_in-situ'!EF436</f>
        <v>202.87353243311873</v>
      </c>
      <c r="AE1919" s="46">
        <f>'Data_in-situ'!EG436</f>
        <v>9</v>
      </c>
      <c r="AF1919" s="113">
        <f>'Data_in-situ'!EN190</f>
        <v>15.494138888888889</v>
      </c>
      <c r="AG1919" s="113">
        <f>'Data_in-situ'!EO190</f>
        <v>0.77024816389862394</v>
      </c>
      <c r="AH1919" s="110">
        <f>'Data_in-situ'!EP190</f>
        <v>3</v>
      </c>
      <c r="AI1919" s="113">
        <f>'Data_in-situ'!ER190</f>
        <v>-89.296666666666667</v>
      </c>
      <c r="AJ1919" s="113">
        <f>'Data_in-situ'!ES190</f>
        <v>6.512511036458978</v>
      </c>
      <c r="AK1919" s="110">
        <f>'Data_in-situ'!ET190</f>
        <v>3</v>
      </c>
    </row>
    <row r="1920" spans="20:37" x14ac:dyDescent="0.3">
      <c r="T1920" s="113">
        <f>'Data_in-situ'!DN165</f>
        <v>-0.12122916895579239</v>
      </c>
      <c r="U1920" s="113">
        <f>'Data_in-situ'!DO165</f>
        <v>0.13515588971088227</v>
      </c>
      <c r="V1920" s="46">
        <f>'Data_in-situ'!DP165</f>
        <v>4</v>
      </c>
      <c r="W1920" s="113">
        <f>'Data_in-situ'!DR165</f>
        <v>0.12344945344324547</v>
      </c>
      <c r="X1920" s="113">
        <f>'Data_in-situ'!DS165</f>
        <v>0.46135730897138921</v>
      </c>
      <c r="Y1920" s="46">
        <f>'Data_in-situ'!DT165</f>
        <v>4</v>
      </c>
      <c r="Z1920" s="113">
        <f>'Data_in-situ'!EA437</f>
        <v>4.07</v>
      </c>
      <c r="AA1920" s="113">
        <f>'Data_in-situ'!EB437</f>
        <v>1.72</v>
      </c>
      <c r="AB1920" s="46">
        <f>'Data_in-situ'!EC437</f>
        <v>3</v>
      </c>
      <c r="AC1920" s="113">
        <f>'Data_in-situ'!EE437</f>
        <v>4.9000000000000004</v>
      </c>
      <c r="AD1920" s="113">
        <f>'Data_in-situ'!EF437</f>
        <v>1.52</v>
      </c>
      <c r="AE1920" s="46">
        <f>'Data_in-situ'!EG437</f>
        <v>3</v>
      </c>
      <c r="AF1920" s="113">
        <f>'Data_in-situ'!EN191</f>
        <v>-22.905478395061731</v>
      </c>
      <c r="AG1920" s="113">
        <f>'Data_in-situ'!EO191</f>
        <v>5.2162753162474411</v>
      </c>
      <c r="AH1920" s="110">
        <f>'Data_in-situ'!EP191</f>
        <v>3</v>
      </c>
      <c r="AI1920" s="113">
        <f>'Data_in-situ'!ER191</f>
        <v>-91.63</v>
      </c>
      <c r="AJ1920" s="113">
        <f>'Data_in-situ'!ES191</f>
        <v>7.7942286340599471</v>
      </c>
      <c r="AK1920" s="110">
        <f>'Data_in-situ'!ET191</f>
        <v>3</v>
      </c>
    </row>
    <row r="1921" spans="20:37" x14ac:dyDescent="0.3">
      <c r="T1921" s="113">
        <f>'Data_in-situ'!DN166</f>
        <v>-0.52800000000000002</v>
      </c>
      <c r="U1921" s="113">
        <f>'Data_in-situ'!DO166</f>
        <v>0.5886562646764405</v>
      </c>
      <c r="V1921" s="46">
        <f>'Data_in-situ'!DP166</f>
        <v>4</v>
      </c>
      <c r="W1921" s="113">
        <f>'Data_in-situ'!DR166</f>
        <v>-0.26133333333333336</v>
      </c>
      <c r="X1921" s="113">
        <f>'Data_in-situ'!DS166</f>
        <v>0.97665919166357074</v>
      </c>
      <c r="Y1921" s="46">
        <f>'Data_in-situ'!DT166</f>
        <v>4</v>
      </c>
      <c r="Z1921" s="113">
        <f>'Data_in-situ'!EA438</f>
        <v>4.07</v>
      </c>
      <c r="AA1921" s="113">
        <f>'Data_in-situ'!EB438</f>
        <v>1.72</v>
      </c>
      <c r="AB1921" s="46">
        <f>'Data_in-situ'!EC438</f>
        <v>3</v>
      </c>
      <c r="AC1921" s="113">
        <f>'Data_in-situ'!EE438</f>
        <v>2.09</v>
      </c>
      <c r="AD1921" s="113">
        <f>'Data_in-situ'!EF438</f>
        <v>0.79</v>
      </c>
      <c r="AE1921" s="46">
        <f>'Data_in-situ'!EG438</f>
        <v>3</v>
      </c>
      <c r="AF1921" s="113">
        <f>'Data_in-situ'!EN192</f>
        <v>-22.905478395061731</v>
      </c>
      <c r="AG1921" s="113">
        <f>'Data_in-situ'!EO192</f>
        <v>5.2162753162474411</v>
      </c>
      <c r="AH1921" s="110">
        <f>'Data_in-situ'!EP192</f>
        <v>3</v>
      </c>
      <c r="AI1921" s="113">
        <f>'Data_in-situ'!ER192</f>
        <v>-87.6</v>
      </c>
      <c r="AJ1921" s="113">
        <f>'Data_in-situ'!ES192</f>
        <v>10.825317547305483</v>
      </c>
      <c r="AK1921" s="110">
        <f>'Data_in-situ'!ET192</f>
        <v>3</v>
      </c>
    </row>
    <row r="1922" spans="20:37" x14ac:dyDescent="0.3">
      <c r="T1922" s="113">
        <f>'Data_in-situ'!DN167</f>
        <v>2.9175154909077907</v>
      </c>
      <c r="U1922" s="113">
        <f>'Data_in-situ'!DO167</f>
        <v>16.507200000000001</v>
      </c>
      <c r="V1922" s="46">
        <f>'Data_in-situ'!DP167</f>
        <v>8</v>
      </c>
      <c r="W1922" s="113">
        <f>'Data_in-situ'!DR167</f>
        <v>-0.3033323434259278</v>
      </c>
      <c r="X1922" s="113">
        <f>'Data_in-situ'!DS167</f>
        <v>3.4939236241769644</v>
      </c>
      <c r="Y1922" s="46">
        <f>'Data_in-situ'!DT167</f>
        <v>8</v>
      </c>
      <c r="Z1922" s="113">
        <f>'Data_in-situ'!EA439</f>
        <v>1.0999999999999999</v>
      </c>
      <c r="AA1922" s="113">
        <f>'Data_in-situ'!EB439</f>
        <v>6.3249746805166405</v>
      </c>
      <c r="AB1922" s="46">
        <f>'Data_in-situ'!EC439</f>
        <v>3</v>
      </c>
      <c r="AC1922" s="113">
        <f>'Data_in-situ'!EE439</f>
        <v>5.1857142857142851</v>
      </c>
      <c r="AD1922" s="113">
        <f>'Data_in-situ'!EF439</f>
        <v>7.7429942220784804</v>
      </c>
      <c r="AE1922" s="46">
        <f>'Data_in-situ'!EG439</f>
        <v>3</v>
      </c>
      <c r="AF1922" s="113">
        <f>'Data_in-situ'!EN193</f>
        <v>-22.905478395061731</v>
      </c>
      <c r="AG1922" s="113">
        <f>'Data_in-situ'!EO193</f>
        <v>5.2162753162474411</v>
      </c>
      <c r="AH1922" s="110">
        <f>'Data_in-situ'!EP193</f>
        <v>3</v>
      </c>
      <c r="AI1922" s="113">
        <f>'Data_in-situ'!ER193</f>
        <v>-89.296666666666667</v>
      </c>
      <c r="AJ1922" s="113">
        <f>'Data_in-situ'!ES193</f>
        <v>6.512511036458978</v>
      </c>
      <c r="AK1922" s="110">
        <f>'Data_in-situ'!ET193</f>
        <v>3</v>
      </c>
    </row>
    <row r="1923" spans="20:37" x14ac:dyDescent="0.3">
      <c r="T1923" s="113">
        <f>'Data_in-situ'!DN168</f>
        <v>11.795840386040403</v>
      </c>
      <c r="U1923" s="113">
        <f>'Data_in-situ'!DO168</f>
        <v>13.150938144632661</v>
      </c>
      <c r="V1923" s="46">
        <f>'Data_in-situ'!DP168</f>
        <v>3</v>
      </c>
      <c r="W1923" s="113">
        <f>'Data_in-situ'!DR168</f>
        <v>0.26812694984226471</v>
      </c>
      <c r="X1923" s="113">
        <f>'Data_in-situ'!DS168</f>
        <v>1.002048405980223</v>
      </c>
      <c r="Y1923" s="46">
        <f>'Data_in-situ'!DT168</f>
        <v>3</v>
      </c>
      <c r="Z1923" s="113">
        <f>'Data_in-situ'!EA441</f>
        <v>0.3</v>
      </c>
      <c r="AA1923" s="113">
        <f>'Data_in-situ'!EB441</f>
        <v>0.35</v>
      </c>
      <c r="AB1923" s="46">
        <f>'Data_in-situ'!EC441</f>
        <v>6</v>
      </c>
      <c r="AC1923" s="113">
        <f>'Data_in-situ'!EE441</f>
        <v>3.7</v>
      </c>
      <c r="AD1923" s="113">
        <f>'Data_in-situ'!EF441</f>
        <v>1.05</v>
      </c>
      <c r="AE1923" s="46">
        <f>'Data_in-situ'!EG441</f>
        <v>6</v>
      </c>
      <c r="AF1923" s="113">
        <f>'Data_in-situ'!EN194</f>
        <v>-7</v>
      </c>
      <c r="AG1923" s="113">
        <f>'Data_in-situ'!EO194</f>
        <v>2.8524747912590533</v>
      </c>
      <c r="AH1923" s="110">
        <f>'Data_in-situ'!EP194</f>
        <v>6</v>
      </c>
      <c r="AI1923" s="113">
        <f>'Data_in-situ'!ER194</f>
        <v>-57</v>
      </c>
      <c r="AJ1923" s="113">
        <f>'Data_in-situ'!ES194</f>
        <v>12.928401050024068</v>
      </c>
      <c r="AK1923" s="110">
        <f>'Data_in-situ'!ET194</f>
        <v>6</v>
      </c>
    </row>
    <row r="1924" spans="20:37" x14ac:dyDescent="0.3">
      <c r="T1924" s="113">
        <f>'Data_in-situ'!DN169</f>
        <v>14.661871345978286</v>
      </c>
      <c r="U1924" s="113">
        <f>'Data_in-situ'!DO169</f>
        <v>16.346216703958547</v>
      </c>
      <c r="V1924" s="46">
        <f>'Data_in-situ'!DP169</f>
        <v>3</v>
      </c>
      <c r="W1924" s="113">
        <f>'Data_in-situ'!DR169</f>
        <v>4.2578559634951523</v>
      </c>
      <c r="X1924" s="113">
        <f>'Data_in-situ'!DS169</f>
        <v>15.912528686965901</v>
      </c>
      <c r="Y1924" s="46">
        <f>'Data_in-situ'!DT169</f>
        <v>3</v>
      </c>
      <c r="Z1924" s="113">
        <f>'Data_in-situ'!EA442</f>
        <v>0.3</v>
      </c>
      <c r="AA1924" s="113">
        <f>'Data_in-situ'!EB442</f>
        <v>0.35</v>
      </c>
      <c r="AB1924" s="46">
        <f>'Data_in-situ'!EC442</f>
        <v>6</v>
      </c>
      <c r="AC1924" s="113">
        <f>'Data_in-situ'!EE442</f>
        <v>1.5</v>
      </c>
      <c r="AD1924" s="113">
        <f>'Data_in-situ'!EF442</f>
        <v>0.6</v>
      </c>
      <c r="AE1924" s="46">
        <f>'Data_in-situ'!EG442</f>
        <v>6</v>
      </c>
      <c r="AF1924" s="113">
        <f>'Data_in-situ'!EN195</f>
        <v>-8.1</v>
      </c>
      <c r="AG1924" s="113">
        <f>'Data_in-situ'!EO195</f>
        <v>1.2</v>
      </c>
      <c r="AH1924" s="110">
        <f>'Data_in-situ'!EP195</f>
        <v>3</v>
      </c>
      <c r="AI1924" s="113">
        <f>'Data_in-situ'!ER195</f>
        <v>-13.1</v>
      </c>
      <c r="AJ1924" s="113">
        <f>'Data_in-situ'!ES195</f>
        <v>0.8</v>
      </c>
      <c r="AK1924" s="110">
        <f>'Data_in-situ'!ET195</f>
        <v>3</v>
      </c>
    </row>
    <row r="1925" spans="20:37" x14ac:dyDescent="0.3">
      <c r="T1925" s="113">
        <f>'Data_in-situ'!DN170</f>
        <v>5.1084348128521384</v>
      </c>
      <c r="U1925" s="113">
        <f>'Data_in-situ'!DO170</f>
        <v>5.6952881728724067</v>
      </c>
      <c r="V1925" s="46">
        <f>'Data_in-situ'!DP170</f>
        <v>3</v>
      </c>
      <c r="W1925" s="113">
        <f>'Data_in-situ'!DR170</f>
        <v>-0.69713006958988755</v>
      </c>
      <c r="X1925" s="113">
        <f>'Data_in-situ'!DS170</f>
        <v>2.6053258555485774</v>
      </c>
      <c r="Y1925" s="46">
        <f>'Data_in-situ'!DT170</f>
        <v>3</v>
      </c>
      <c r="Z1925" s="113">
        <f>'Data_in-situ'!EA443</f>
        <v>0.3</v>
      </c>
      <c r="AA1925" s="113">
        <f>'Data_in-situ'!EB443</f>
        <v>0.35</v>
      </c>
      <c r="AB1925" s="46">
        <f>'Data_in-situ'!EC443</f>
        <v>6</v>
      </c>
      <c r="AC1925" s="113">
        <f>'Data_in-situ'!EE443</f>
        <v>37.700000000000003</v>
      </c>
      <c r="AD1925" s="113">
        <f>'Data_in-situ'!EF443</f>
        <v>2.95</v>
      </c>
      <c r="AE1925" s="46">
        <f>'Data_in-situ'!EG443</f>
        <v>4</v>
      </c>
      <c r="AF1925" s="113">
        <f>'Data_in-situ'!EN196</f>
        <v>-20.399999999999999</v>
      </c>
      <c r="AG1925" s="113">
        <f>'Data_in-situ'!EO196</f>
        <v>2.2999999999999998</v>
      </c>
      <c r="AH1925" s="110">
        <f>'Data_in-situ'!EP196</f>
        <v>3</v>
      </c>
      <c r="AI1925" s="113">
        <f>'Data_in-situ'!ER196</f>
        <v>-28.4</v>
      </c>
      <c r="AJ1925" s="113">
        <f>'Data_in-situ'!ES196</f>
        <v>3.2</v>
      </c>
      <c r="AK1925" s="110">
        <f>'Data_in-situ'!ET196</f>
        <v>3</v>
      </c>
    </row>
    <row r="1926" spans="20:37" x14ac:dyDescent="0.3">
      <c r="T1926" s="113">
        <f>'Data_in-situ'!DN171</f>
        <v>8.2133016861181183</v>
      </c>
      <c r="U1926" s="113">
        <f>'Data_in-situ'!DO171</f>
        <v>9.1568399454753813</v>
      </c>
      <c r="V1926" s="46">
        <f>'Data_in-situ'!DP171</f>
        <v>3</v>
      </c>
      <c r="W1926" s="113">
        <f>'Data_in-situ'!DR171</f>
        <v>3.0351970722144359</v>
      </c>
      <c r="X1926" s="113">
        <f>'Data_in-situ'!DS171</f>
        <v>11.343187955696123</v>
      </c>
      <c r="Y1926" s="46">
        <f>'Data_in-situ'!DT171</f>
        <v>3</v>
      </c>
      <c r="Z1926" s="113">
        <f>'Data_in-situ'!EA444</f>
        <v>-0.35536232754524372</v>
      </c>
      <c r="AA1926" s="113">
        <f>'Data_in-situ'!EB444</f>
        <v>38.250757143327704</v>
      </c>
      <c r="AB1926" s="46">
        <f>'Data_in-situ'!EC444</f>
        <v>46</v>
      </c>
      <c r="AC1926" s="113">
        <f>'Data_in-situ'!EE444</f>
        <v>20.199714045305026</v>
      </c>
      <c r="AD1926" s="113">
        <f>'Data_in-situ'!EF444</f>
        <v>184.05347959835046</v>
      </c>
      <c r="AE1926" s="46">
        <f>'Data_in-situ'!EG444</f>
        <v>53</v>
      </c>
      <c r="AF1926" s="113">
        <f>'Data_in-situ'!EN197</f>
        <v>-8.1</v>
      </c>
      <c r="AG1926" s="113">
        <f>'Data_in-situ'!EO197</f>
        <v>1.2</v>
      </c>
      <c r="AH1926" s="110">
        <f>'Data_in-situ'!EP197</f>
        <v>3</v>
      </c>
      <c r="AI1926" s="113">
        <f>'Data_in-situ'!ER197</f>
        <v>-13.1</v>
      </c>
      <c r="AJ1926" s="113">
        <f>'Data_in-situ'!ES197</f>
        <v>0.8</v>
      </c>
      <c r="AK1926" s="110">
        <f>'Data_in-situ'!ET197</f>
        <v>3</v>
      </c>
    </row>
    <row r="1927" spans="20:37" x14ac:dyDescent="0.3">
      <c r="T1927" s="113">
        <f>'Data_in-situ'!DN176</f>
        <v>1294.4026579568806</v>
      </c>
      <c r="U1927" s="113">
        <f>'Data_in-situ'!DO176</f>
        <v>1425.6221977894311</v>
      </c>
      <c r="V1927" s="46">
        <f>'Data_in-situ'!DP176</f>
        <v>4</v>
      </c>
      <c r="W1927" s="113">
        <f>'Data_in-situ'!DR176</f>
        <v>22.36227209479982</v>
      </c>
      <c r="X1927" s="113">
        <f>'Data_in-situ'!DS176</f>
        <v>23.370237472575557</v>
      </c>
      <c r="Y1927" s="46">
        <f>'Data_in-situ'!DT176</f>
        <v>3</v>
      </c>
      <c r="AF1927" s="113">
        <f>'Data_in-situ'!EN198</f>
        <v>-20.399999999999999</v>
      </c>
      <c r="AG1927" s="113">
        <f>'Data_in-situ'!EO198</f>
        <v>2.2999999999999998</v>
      </c>
      <c r="AH1927" s="110">
        <f>'Data_in-situ'!EP198</f>
        <v>3</v>
      </c>
      <c r="AI1927" s="113">
        <f>'Data_in-situ'!ER198</f>
        <v>-28.4</v>
      </c>
      <c r="AJ1927" s="113">
        <f>'Data_in-situ'!ES198</f>
        <v>3.2</v>
      </c>
      <c r="AK1927" s="110">
        <f>'Data_in-situ'!ET198</f>
        <v>3</v>
      </c>
    </row>
    <row r="1928" spans="20:37" x14ac:dyDescent="0.3">
      <c r="T1928" s="113">
        <f>'Data_in-situ'!DN177</f>
        <v>835.37440260212782</v>
      </c>
      <c r="U1928" s="113">
        <f>'Data_in-situ'!DO177</f>
        <v>1277.3279087005756</v>
      </c>
      <c r="V1928" s="46">
        <f>'Data_in-situ'!DP177</f>
        <v>4</v>
      </c>
      <c r="W1928" s="113">
        <f>'Data_in-situ'!DR177</f>
        <v>14.31185414067193</v>
      </c>
      <c r="X1928" s="113">
        <f>'Data_in-situ'!DS177</f>
        <v>14.416523575818015</v>
      </c>
      <c r="Y1928" s="46">
        <f>'Data_in-situ'!DT177</f>
        <v>3</v>
      </c>
      <c r="AF1928" s="113">
        <f>'Data_in-situ'!EN199</f>
        <v>-20.100000000000001</v>
      </c>
      <c r="AG1928" s="113">
        <f>'Data_in-situ'!EO199</f>
        <v>2</v>
      </c>
      <c r="AH1928" s="110">
        <f>'Data_in-situ'!EP199</f>
        <v>16</v>
      </c>
      <c r="AI1928" s="113">
        <f>'Data_in-situ'!ER199</f>
        <v>-38.200000000000003</v>
      </c>
      <c r="AJ1928" s="113">
        <f>'Data_in-situ'!ES199</f>
        <v>2</v>
      </c>
      <c r="AK1928" s="110">
        <f>'Data_in-situ'!ET199</f>
        <v>16</v>
      </c>
    </row>
    <row r="1929" spans="20:37" x14ac:dyDescent="0.3">
      <c r="T1929" s="113">
        <f>'Data_in-situ'!DN178</f>
        <v>564.51922087106243</v>
      </c>
      <c r="U1929" s="113">
        <f>'Data_in-situ'!DO178</f>
        <v>574.53047753186331</v>
      </c>
      <c r="V1929" s="46">
        <f>'Data_in-situ'!DP178</f>
        <v>4</v>
      </c>
      <c r="W1929" s="113">
        <f>'Data_in-situ'!DR178</f>
        <v>18.784308559631839</v>
      </c>
      <c r="X1929" s="113">
        <f>'Data_in-situ'!DS178</f>
        <v>16.576139153459437</v>
      </c>
      <c r="Y1929" s="46">
        <f>'Data_in-situ'!DT178</f>
        <v>3</v>
      </c>
      <c r="AF1929" s="113">
        <f>'Data_in-situ'!EN200</f>
        <v>-23</v>
      </c>
      <c r="AG1929" s="113">
        <f>'Data_in-situ'!EO200</f>
        <v>3.2</v>
      </c>
      <c r="AH1929" s="110">
        <f>'Data_in-situ'!EP200</f>
        <v>16</v>
      </c>
      <c r="AI1929" s="113">
        <f>'Data_in-situ'!ER200</f>
        <v>-35.299999999999997</v>
      </c>
      <c r="AJ1929" s="113">
        <f>'Data_in-situ'!ES200</f>
        <v>4.4000000000000004</v>
      </c>
      <c r="AK1929" s="110">
        <f>'Data_in-situ'!ET200</f>
        <v>16</v>
      </c>
    </row>
    <row r="1930" spans="20:37" x14ac:dyDescent="0.3">
      <c r="T1930" s="113">
        <f>'Data_in-situ'!DN182</f>
        <v>1413.9420186433458</v>
      </c>
      <c r="U1930" s="113">
        <f>'Data_in-situ'!DO182</f>
        <v>520.26850212340003</v>
      </c>
      <c r="V1930" s="46">
        <f>'Data_in-situ'!DP182</f>
        <v>3</v>
      </c>
      <c r="W1930" s="113">
        <f>'Data_in-situ'!DR182</f>
        <v>5.2453106713176574</v>
      </c>
      <c r="X1930" s="113">
        <f>'Data_in-situ'!DS182</f>
        <v>10.686883582340696</v>
      </c>
      <c r="Y1930" s="46">
        <f>'Data_in-situ'!DT182</f>
        <v>3</v>
      </c>
      <c r="AF1930" s="113">
        <f>'Data_in-situ'!EN203</f>
        <v>3</v>
      </c>
      <c r="AG1930" s="113">
        <f>'Data_in-situ'!EO203</f>
        <v>1.22248919625388</v>
      </c>
      <c r="AH1930" s="110">
        <f>'Data_in-situ'!EP203</f>
        <v>3</v>
      </c>
      <c r="AI1930" s="113">
        <f>'Data_in-situ'!ER203</f>
        <v>-42</v>
      </c>
      <c r="AJ1930" s="113">
        <f>'Data_in-situ'!ES203</f>
        <v>9.5261902473861557</v>
      </c>
      <c r="AK1930" s="110">
        <f>'Data_in-situ'!ET203</f>
        <v>3</v>
      </c>
    </row>
    <row r="1931" spans="20:37" x14ac:dyDescent="0.3">
      <c r="T1931" s="113">
        <f>'Data_in-situ'!DN183</f>
        <v>965.8440732691339</v>
      </c>
      <c r="U1931" s="113">
        <f>'Data_in-situ'!DO183</f>
        <v>308.47001167764779</v>
      </c>
      <c r="V1931" s="46">
        <f>'Data_in-situ'!DP183</f>
        <v>3</v>
      </c>
      <c r="W1931" s="113">
        <f>'Data_in-situ'!DR183</f>
        <v>5.2453106713176574</v>
      </c>
      <c r="X1931" s="113">
        <f>'Data_in-situ'!DS183</f>
        <v>10.686883582340696</v>
      </c>
      <c r="Y1931" s="46">
        <f>'Data_in-situ'!DT183</f>
        <v>3</v>
      </c>
      <c r="AF1931" s="113">
        <f>'Data_in-situ'!EN204</f>
        <v>3</v>
      </c>
      <c r="AG1931" s="113">
        <f>'Data_in-situ'!EO204</f>
        <v>1.22248919625388</v>
      </c>
      <c r="AH1931" s="110">
        <f>'Data_in-situ'!EP204</f>
        <v>3</v>
      </c>
      <c r="AI1931" s="113">
        <f>'Data_in-situ'!ER204</f>
        <v>-41</v>
      </c>
      <c r="AJ1931" s="113">
        <f>'Data_in-situ'!ES204</f>
        <v>9.2993761938769612</v>
      </c>
      <c r="AK1931" s="110">
        <f>'Data_in-situ'!ET204</f>
        <v>3</v>
      </c>
    </row>
    <row r="1932" spans="20:37" x14ac:dyDescent="0.3">
      <c r="T1932" s="113">
        <f>'Data_in-situ'!DN184</f>
        <v>1212.2979432249506</v>
      </c>
      <c r="U1932" s="113">
        <f>'Data_in-situ'!DO184</f>
        <v>318.03950472765939</v>
      </c>
      <c r="V1932" s="46">
        <f>'Data_in-situ'!DP184</f>
        <v>3</v>
      </c>
      <c r="W1932" s="113">
        <f>'Data_in-situ'!DR184</f>
        <v>5.2453106713176574</v>
      </c>
      <c r="X1932" s="113">
        <f>'Data_in-situ'!DS184</f>
        <v>10.686883582340696</v>
      </c>
      <c r="Y1932" s="46">
        <f>'Data_in-situ'!DT184</f>
        <v>3</v>
      </c>
      <c r="AF1932" s="113">
        <f>'Data_in-situ'!EN211</f>
        <v>-15</v>
      </c>
      <c r="AG1932" s="113">
        <f>'Data_in-situ'!EO211</f>
        <v>13</v>
      </c>
      <c r="AH1932" s="110">
        <f>'Data_in-situ'!EP211</f>
        <v>9836</v>
      </c>
      <c r="AI1932" s="113">
        <f>'Data_in-situ'!ER211</f>
        <v>-22</v>
      </c>
      <c r="AJ1932" s="113">
        <f>'Data_in-situ'!ES211</f>
        <v>10</v>
      </c>
      <c r="AK1932" s="110">
        <f>'Data_in-situ'!ET211</f>
        <v>11052</v>
      </c>
    </row>
    <row r="1933" spans="20:37" x14ac:dyDescent="0.3">
      <c r="T1933" s="113">
        <f>'Data_in-situ'!DN185</f>
        <v>319.20253634957294</v>
      </c>
      <c r="U1933" s="113">
        <f>'Data_in-situ'!DO185</f>
        <v>123.29702910462079</v>
      </c>
      <c r="V1933" s="46">
        <f>'Data_in-situ'!DP185</f>
        <v>3</v>
      </c>
      <c r="W1933" s="113">
        <f>'Data_in-situ'!DR185</f>
        <v>5.2453106713176574</v>
      </c>
      <c r="X1933" s="113">
        <f>'Data_in-situ'!DS185</f>
        <v>10.686883582340696</v>
      </c>
      <c r="Y1933" s="46">
        <f>'Data_in-situ'!DT185</f>
        <v>3</v>
      </c>
      <c r="AF1933" s="113">
        <f>'Data_in-situ'!EN212</f>
        <v>-15</v>
      </c>
      <c r="AG1933" s="113">
        <f>'Data_in-situ'!EO212</f>
        <v>13</v>
      </c>
      <c r="AH1933" s="110">
        <f>'Data_in-situ'!EP212</f>
        <v>9836</v>
      </c>
      <c r="AI1933" s="113">
        <f>'Data_in-situ'!ER212</f>
        <v>-68</v>
      </c>
      <c r="AJ1933" s="113">
        <f>'Data_in-situ'!ES212</f>
        <v>23</v>
      </c>
      <c r="AK1933" s="110">
        <f>'Data_in-situ'!ET212</f>
        <v>11052</v>
      </c>
    </row>
    <row r="1934" spans="20:37" x14ac:dyDescent="0.3">
      <c r="T1934" s="113">
        <f>'Data_in-situ'!DN186</f>
        <v>396.02095568448323</v>
      </c>
      <c r="U1934" s="113">
        <f>'Data_in-situ'!DO186</f>
        <v>825.11321611621167</v>
      </c>
      <c r="V1934" s="46">
        <f>'Data_in-situ'!DP186</f>
        <v>3</v>
      </c>
      <c r="W1934" s="113">
        <f>'Data_in-situ'!DR186</f>
        <v>5.2453106713176574</v>
      </c>
      <c r="X1934" s="113">
        <f>'Data_in-situ'!DS186</f>
        <v>10.686883582340696</v>
      </c>
      <c r="Y1934" s="46">
        <f>'Data_in-situ'!DT186</f>
        <v>3</v>
      </c>
      <c r="AF1934" s="113">
        <f>'Data_in-situ'!EN217</f>
        <v>-37.626417233560076</v>
      </c>
      <c r="AG1934" s="113">
        <f>'Data_in-situ'!EO217</f>
        <v>4.4214357150460231</v>
      </c>
      <c r="AH1934" s="110">
        <f>'Data_in-situ'!EP217</f>
        <v>6</v>
      </c>
      <c r="AI1934" s="113">
        <f>'Data_in-situ'!ER217</f>
        <v>-45.222713794142358</v>
      </c>
      <c r="AJ1934" s="113">
        <f>'Data_in-situ'!ES217</f>
        <v>4.4131903136073891</v>
      </c>
      <c r="AK1934" s="110">
        <f>'Data_in-situ'!ET217</f>
        <v>6</v>
      </c>
    </row>
    <row r="1935" spans="20:37" x14ac:dyDescent="0.3">
      <c r="T1935" s="113">
        <f>'Data_in-situ'!DN187</f>
        <v>353.77082505028261</v>
      </c>
      <c r="U1935" s="113">
        <f>'Data_in-situ'!DO187</f>
        <v>377.4427718737299</v>
      </c>
      <c r="V1935" s="46">
        <f>'Data_in-situ'!DP187</f>
        <v>3</v>
      </c>
      <c r="W1935" s="113">
        <f>'Data_in-situ'!DR187</f>
        <v>5.2453106713176574</v>
      </c>
      <c r="X1935" s="113">
        <f>'Data_in-situ'!DS187</f>
        <v>10.686883582340696</v>
      </c>
      <c r="Y1935" s="46">
        <f>'Data_in-situ'!DT187</f>
        <v>3</v>
      </c>
      <c r="AF1935" s="113">
        <f>'Data_in-situ'!EN218</f>
        <v>-37.626417233560076</v>
      </c>
      <c r="AG1935" s="113">
        <f>'Data_in-situ'!EO218</f>
        <v>4.4214357150460231</v>
      </c>
      <c r="AH1935" s="110">
        <f>'Data_in-situ'!EP218</f>
        <v>6</v>
      </c>
      <c r="AI1935" s="113">
        <f>'Data_in-situ'!ER218</f>
        <v>-55.775689347117904</v>
      </c>
      <c r="AJ1935" s="113">
        <f>'Data_in-situ'!ES218</f>
        <v>3.8401258483742482</v>
      </c>
      <c r="AK1935" s="110">
        <f>'Data_in-situ'!ET218</f>
        <v>6</v>
      </c>
    </row>
    <row r="1936" spans="20:37" x14ac:dyDescent="0.3">
      <c r="T1936" s="113">
        <f>'Data_in-situ'!DN188</f>
        <v>1212.2979432249506</v>
      </c>
      <c r="U1936" s="113">
        <f>'Data_in-situ'!DO188</f>
        <v>318.03950472765939</v>
      </c>
      <c r="V1936" s="46">
        <f>'Data_in-situ'!DP188</f>
        <v>3</v>
      </c>
      <c r="W1936" s="113">
        <f>'Data_in-situ'!DR188</f>
        <v>4.8706456233663973</v>
      </c>
      <c r="X1936" s="113">
        <f>'Data_in-situ'!DS188</f>
        <v>10.042950275238745</v>
      </c>
      <c r="Y1936" s="46">
        <f>'Data_in-situ'!DT188</f>
        <v>3</v>
      </c>
      <c r="AF1936" s="113">
        <f>'Data_in-situ'!EN239</f>
        <v>-2</v>
      </c>
      <c r="AG1936" s="113">
        <f>'Data_in-situ'!EO239</f>
        <v>0.81499279750258669</v>
      </c>
      <c r="AH1936" s="110">
        <f>'Data_in-situ'!EP239</f>
        <v>3</v>
      </c>
      <c r="AI1936" s="113">
        <f>'Data_in-situ'!ER239</f>
        <v>-30</v>
      </c>
      <c r="AJ1936" s="113">
        <f>'Data_in-situ'!ES239</f>
        <v>6.8044216052758255</v>
      </c>
      <c r="AK1936" s="110">
        <f>'Data_in-situ'!ET239</f>
        <v>3</v>
      </c>
    </row>
    <row r="1937" spans="20:37" x14ac:dyDescent="0.3">
      <c r="T1937" s="113">
        <f>'Data_in-situ'!DN189</f>
        <v>1212.2979432249506</v>
      </c>
      <c r="U1937" s="113">
        <f>'Data_in-situ'!DO189</f>
        <v>318.03950472765939</v>
      </c>
      <c r="V1937" s="46">
        <f>'Data_in-situ'!DP189</f>
        <v>3</v>
      </c>
      <c r="W1937" s="113">
        <f>'Data_in-situ'!DR189</f>
        <v>4.4959805754151345</v>
      </c>
      <c r="X1937" s="113">
        <f>'Data_in-situ'!DS189</f>
        <v>9.194274493457808</v>
      </c>
      <c r="Y1937" s="46">
        <f>'Data_in-situ'!DT189</f>
        <v>3</v>
      </c>
      <c r="AF1937" s="113">
        <f>'Data_in-situ'!EN240</f>
        <v>-2</v>
      </c>
      <c r="AG1937" s="113">
        <f>'Data_in-situ'!EO240</f>
        <v>0.81499279750258669</v>
      </c>
      <c r="AH1937" s="110">
        <f>'Data_in-situ'!EP240</f>
        <v>3</v>
      </c>
      <c r="AI1937" s="113">
        <f>'Data_in-situ'!ER240</f>
        <v>-30</v>
      </c>
      <c r="AJ1937" s="113">
        <f>'Data_in-situ'!ES240</f>
        <v>6.8044216052758255</v>
      </c>
      <c r="AK1937" s="110">
        <f>'Data_in-situ'!ET240</f>
        <v>3</v>
      </c>
    </row>
    <row r="1938" spans="20:37" x14ac:dyDescent="0.3">
      <c r="T1938" s="113">
        <f>'Data_in-situ'!DN190</f>
        <v>1212.2979432249506</v>
      </c>
      <c r="U1938" s="113">
        <f>'Data_in-situ'!DO190</f>
        <v>318.03950472765939</v>
      </c>
      <c r="V1938" s="46">
        <f>'Data_in-situ'!DP190</f>
        <v>3</v>
      </c>
      <c r="W1938" s="113">
        <f>'Data_in-situ'!DR190</f>
        <v>6.3693058151714421</v>
      </c>
      <c r="X1938" s="113">
        <f>'Data_in-situ'!DS190</f>
        <v>13.141978030809039</v>
      </c>
      <c r="Y1938" s="46">
        <f>'Data_in-situ'!DT190</f>
        <v>3</v>
      </c>
      <c r="AF1938" s="113">
        <f>'Data_in-situ'!EN241</f>
        <v>-20</v>
      </c>
      <c r="AG1938" s="113">
        <f>'Data_in-situ'!EO241</f>
        <v>8.1499279750258662</v>
      </c>
      <c r="AH1938" s="110">
        <f>'Data_in-situ'!EP241</f>
        <v>3</v>
      </c>
      <c r="AI1938" s="113">
        <f>'Data_in-situ'!ER241</f>
        <v>-36</v>
      </c>
      <c r="AJ1938" s="113">
        <f>'Data_in-situ'!ES241</f>
        <v>8.1653059263309906</v>
      </c>
      <c r="AK1938" s="110">
        <f>'Data_in-situ'!ET241</f>
        <v>3</v>
      </c>
    </row>
    <row r="1939" spans="20:37" x14ac:dyDescent="0.3">
      <c r="T1939" s="113">
        <f>'Data_in-situ'!DN191</f>
        <v>353.77082505028261</v>
      </c>
      <c r="U1939" s="113">
        <f>'Data_in-situ'!DO191</f>
        <v>377.4427718737299</v>
      </c>
      <c r="V1939" s="46">
        <f>'Data_in-situ'!DP191</f>
        <v>3</v>
      </c>
      <c r="W1939" s="113">
        <f>'Data_in-situ'!DR191</f>
        <v>4.8706456233663973</v>
      </c>
      <c r="X1939" s="113">
        <f>'Data_in-situ'!DS191</f>
        <v>10.042950275238745</v>
      </c>
      <c r="Y1939" s="46">
        <f>'Data_in-situ'!DT191</f>
        <v>3</v>
      </c>
      <c r="AF1939" s="113">
        <f>'Data_in-situ'!EN242</f>
        <v>-20</v>
      </c>
      <c r="AG1939" s="113">
        <f>'Data_in-situ'!EO242</f>
        <v>8.1499279750258662</v>
      </c>
      <c r="AH1939" s="110">
        <f>'Data_in-situ'!EP242</f>
        <v>3</v>
      </c>
      <c r="AI1939" s="113">
        <f>'Data_in-situ'!ER242</f>
        <v>-36</v>
      </c>
      <c r="AJ1939" s="113">
        <f>'Data_in-situ'!ES242</f>
        <v>8.1653059263309906</v>
      </c>
      <c r="AK1939" s="110">
        <f>'Data_in-situ'!ET242</f>
        <v>3</v>
      </c>
    </row>
    <row r="1940" spans="20:37" x14ac:dyDescent="0.3">
      <c r="T1940" s="113">
        <f>'Data_in-situ'!DN192</f>
        <v>353.77082505028261</v>
      </c>
      <c r="U1940" s="113">
        <f>'Data_in-situ'!DO192</f>
        <v>377.4427718737299</v>
      </c>
      <c r="V1940" s="46">
        <f>'Data_in-situ'!DP192</f>
        <v>3</v>
      </c>
      <c r="W1940" s="113">
        <f>'Data_in-situ'!DR192</f>
        <v>4.4959805754151345</v>
      </c>
      <c r="X1940" s="113">
        <f>'Data_in-situ'!DS192</f>
        <v>9.194274493457808</v>
      </c>
      <c r="Y1940" s="46">
        <f>'Data_in-situ'!DT192</f>
        <v>3</v>
      </c>
      <c r="AF1940" s="113">
        <f>'Data_in-situ'!EN243</f>
        <v>-16</v>
      </c>
      <c r="AG1940" s="113">
        <f>'Data_in-situ'!EO243</f>
        <v>6.5199423800206935</v>
      </c>
      <c r="AH1940" s="110">
        <f>'Data_in-situ'!EP243</f>
        <v>3</v>
      </c>
      <c r="AI1940" s="113">
        <f>'Data_in-situ'!ER243</f>
        <v>-43</v>
      </c>
      <c r="AJ1940" s="113">
        <f>'Data_in-situ'!ES243</f>
        <v>9.7530043008953502</v>
      </c>
      <c r="AK1940" s="110">
        <f>'Data_in-situ'!ET243</f>
        <v>3</v>
      </c>
    </row>
    <row r="1941" spans="20:37" x14ac:dyDescent="0.3">
      <c r="T1941" s="113">
        <f>'Data_in-situ'!DN193</f>
        <v>353.77082505028261</v>
      </c>
      <c r="U1941" s="113">
        <f>'Data_in-situ'!DO193</f>
        <v>377.4427718737299</v>
      </c>
      <c r="V1941" s="46">
        <f>'Data_in-situ'!DP193</f>
        <v>3</v>
      </c>
      <c r="W1941" s="113">
        <f>'Data_in-situ'!DR193</f>
        <v>6.3693058151714421</v>
      </c>
      <c r="X1941" s="113">
        <f>'Data_in-situ'!DS193</f>
        <v>13.141978030809039</v>
      </c>
      <c r="Y1941" s="46">
        <f>'Data_in-situ'!DT193</f>
        <v>3</v>
      </c>
      <c r="AF1941" s="113">
        <f>'Data_in-situ'!EN250</f>
        <v>-4</v>
      </c>
      <c r="AG1941" s="113">
        <f>'Data_in-situ'!EO250</f>
        <v>1.6299855950051734</v>
      </c>
      <c r="AH1941" s="110">
        <f>'Data_in-situ'!EP250</f>
        <v>3</v>
      </c>
      <c r="AI1941" s="113">
        <f>'Data_in-situ'!ER250</f>
        <v>-31</v>
      </c>
      <c r="AJ1941" s="113">
        <f>'Data_in-situ'!ES250</f>
        <v>7.0312356587850191</v>
      </c>
      <c r="AK1941" s="110">
        <f>'Data_in-situ'!ET250</f>
        <v>3</v>
      </c>
    </row>
    <row r="1942" spans="20:37" x14ac:dyDescent="0.3">
      <c r="T1942" s="113">
        <f>'Data_in-situ'!DN194</f>
        <v>116</v>
      </c>
      <c r="U1942" s="113">
        <f>'Data_in-situ'!DO194</f>
        <v>129.32599754255131</v>
      </c>
      <c r="V1942" s="46">
        <f>'Data_in-situ'!DP194</f>
        <v>6</v>
      </c>
      <c r="W1942" s="113">
        <f>'Data_in-situ'!DR194</f>
        <v>-9</v>
      </c>
      <c r="X1942" s="113">
        <f>'Data_in-situ'!DS194</f>
        <v>33.634946651679087</v>
      </c>
      <c r="Y1942" s="46">
        <f>'Data_in-situ'!DT194</f>
        <v>6</v>
      </c>
      <c r="AF1942" s="113">
        <f>'Data_in-situ'!EN251</f>
        <v>-21</v>
      </c>
      <c r="AG1942" s="113">
        <f>'Data_in-situ'!EO251</f>
        <v>8.5574243737771596</v>
      </c>
      <c r="AH1942" s="110">
        <f>'Data_in-situ'!EP251</f>
        <v>3</v>
      </c>
      <c r="AI1942" s="113">
        <f>'Data_in-situ'!ER251</f>
        <v>-38</v>
      </c>
      <c r="AJ1942" s="113">
        <f>'Data_in-situ'!ES251</f>
        <v>8.6189340333493778</v>
      </c>
      <c r="AK1942" s="110">
        <f>'Data_in-situ'!ET251</f>
        <v>3</v>
      </c>
    </row>
    <row r="1943" spans="20:37" x14ac:dyDescent="0.3">
      <c r="T1943" s="113">
        <f>'Data_in-situ'!DN195</f>
        <v>157.55702481107656</v>
      </c>
      <c r="U1943" s="113">
        <f>'Data_in-situ'!DO195</f>
        <v>48.678566846799022</v>
      </c>
      <c r="V1943" s="46">
        <f>'Data_in-situ'!DP195</f>
        <v>3</v>
      </c>
      <c r="W1943" s="113">
        <f>'Data_in-situ'!DR195</f>
        <v>113.18254393770165</v>
      </c>
      <c r="X1943" s="113">
        <f>'Data_in-situ'!DS195</f>
        <v>73.207043848592377</v>
      </c>
      <c r="Y1943" s="46">
        <f>'Data_in-situ'!DT195</f>
        <v>3</v>
      </c>
      <c r="AF1943" s="113">
        <f>'Data_in-situ'!EN252</f>
        <v>0</v>
      </c>
      <c r="AG1943" s="113">
        <f>'Data_in-situ'!EO252</f>
        <v>0</v>
      </c>
      <c r="AH1943" s="110">
        <f>'Data_in-situ'!EP252</f>
        <v>3</v>
      </c>
      <c r="AI1943" s="113">
        <f>'Data_in-situ'!ER252</f>
        <v>-50</v>
      </c>
      <c r="AJ1943" s="113">
        <f>'Data_in-situ'!ES252</f>
        <v>11.340702675459708</v>
      </c>
      <c r="AK1943" s="110">
        <f>'Data_in-situ'!ET252</f>
        <v>3</v>
      </c>
    </row>
    <row r="1944" spans="20:37" x14ac:dyDescent="0.3">
      <c r="T1944" s="113">
        <f>'Data_in-situ'!DN196</f>
        <v>20.372391781452269</v>
      </c>
      <c r="U1944" s="113">
        <f>'Data_in-situ'!DO196</f>
        <v>47.083328695005008</v>
      </c>
      <c r="V1944" s="46">
        <f>'Data_in-situ'!DP196</f>
        <v>3</v>
      </c>
      <c r="W1944" s="113">
        <f>'Data_in-situ'!DR196</f>
        <v>23.189276423209868</v>
      </c>
      <c r="X1944" s="113">
        <f>'Data_in-situ'!DS196</f>
        <v>55.90659464438842</v>
      </c>
      <c r="Y1944" s="46">
        <f>'Data_in-situ'!DT196</f>
        <v>3</v>
      </c>
      <c r="AF1944" s="113">
        <f>'Data_in-situ'!EN260</f>
        <v>-4</v>
      </c>
      <c r="AG1944" s="113">
        <f>'Data_in-situ'!EO260</f>
        <v>1.6299855950051734</v>
      </c>
      <c r="AH1944" s="110">
        <f>'Data_in-situ'!EP260</f>
        <v>3</v>
      </c>
      <c r="AI1944" s="113">
        <f>'Data_in-situ'!ER260</f>
        <v>-31</v>
      </c>
      <c r="AJ1944" s="113">
        <f>'Data_in-situ'!ES260</f>
        <v>7.0312356587850191</v>
      </c>
      <c r="AK1944" s="110">
        <f>'Data_in-situ'!ET260</f>
        <v>3</v>
      </c>
    </row>
    <row r="1945" spans="20:37" x14ac:dyDescent="0.3">
      <c r="T1945" s="113">
        <f>'Data_in-situ'!DN197</f>
        <v>155.82698820258872</v>
      </c>
      <c r="U1945" s="113">
        <f>'Data_in-situ'!DO197</f>
        <v>23.032741265577613</v>
      </c>
      <c r="V1945" s="46">
        <f>'Data_in-situ'!DP197</f>
        <v>3</v>
      </c>
      <c r="W1945" s="113">
        <f>'Data_in-situ'!DR197</f>
        <v>112.44558555457438</v>
      </c>
      <c r="X1945" s="113">
        <f>'Data_in-situ'!DS197</f>
        <v>45.444038695017397</v>
      </c>
      <c r="Y1945" s="46">
        <f>'Data_in-situ'!DT197</f>
        <v>3</v>
      </c>
      <c r="AF1945" s="113">
        <f>'Data_in-situ'!EN261</f>
        <v>-21</v>
      </c>
      <c r="AG1945" s="113">
        <f>'Data_in-situ'!EO261</f>
        <v>8.5574243737771596</v>
      </c>
      <c r="AH1945" s="110">
        <f>'Data_in-situ'!EP261</f>
        <v>3</v>
      </c>
      <c r="AI1945" s="113">
        <f>'Data_in-situ'!ER261</f>
        <v>-38</v>
      </c>
      <c r="AJ1945" s="113">
        <f>'Data_in-situ'!ES261</f>
        <v>8.6189340333493778</v>
      </c>
      <c r="AK1945" s="110">
        <f>'Data_in-situ'!ET261</f>
        <v>3</v>
      </c>
    </row>
    <row r="1946" spans="20:37" x14ac:dyDescent="0.3">
      <c r="T1946" s="113">
        <f>'Data_in-situ'!DN198</f>
        <v>26.090957895544143</v>
      </c>
      <c r="U1946" s="113">
        <f>'Data_in-situ'!DO198</f>
        <v>4.5126597497032837</v>
      </c>
      <c r="V1946" s="46">
        <f>'Data_in-situ'!DP198</f>
        <v>3</v>
      </c>
      <c r="W1946" s="113">
        <f>'Data_in-situ'!DR198</f>
        <v>36.800373454224456</v>
      </c>
      <c r="X1946" s="113">
        <f>'Data_in-situ'!DS198</f>
        <v>16.18313151345119</v>
      </c>
      <c r="Y1946" s="46">
        <f>'Data_in-situ'!DT198</f>
        <v>3</v>
      </c>
      <c r="AF1946" s="113">
        <f>'Data_in-situ'!EN262</f>
        <v>0</v>
      </c>
      <c r="AG1946" s="113">
        <f>'Data_in-situ'!EO262</f>
        <v>0</v>
      </c>
      <c r="AH1946" s="110">
        <f>'Data_in-situ'!EP262</f>
        <v>3</v>
      </c>
      <c r="AI1946" s="113">
        <f>'Data_in-situ'!ER262</f>
        <v>-50</v>
      </c>
      <c r="AJ1946" s="113">
        <f>'Data_in-situ'!ES262</f>
        <v>11.340702675459708</v>
      </c>
      <c r="AK1946" s="110">
        <f>'Data_in-situ'!ET262</f>
        <v>3</v>
      </c>
    </row>
    <row r="1947" spans="20:37" x14ac:dyDescent="0.3">
      <c r="T1947" s="113">
        <f>'Data_in-situ'!DN200</f>
        <v>245.98402154970469</v>
      </c>
      <c r="U1947" s="113">
        <f>'Data_in-situ'!DO200</f>
        <v>274.24249109003443</v>
      </c>
      <c r="V1947" s="46">
        <f>'Data_in-situ'!DP200</f>
        <v>1</v>
      </c>
      <c r="W1947" s="113">
        <f>'Data_in-situ'!DR200</f>
        <v>137.10405045597599</v>
      </c>
      <c r="X1947" s="113">
        <f>'Data_in-situ'!DS200</f>
        <v>512.38749142398558</v>
      </c>
      <c r="Y1947" s="46">
        <f>'Data_in-situ'!DT200</f>
        <v>1</v>
      </c>
      <c r="AF1947" s="113">
        <f>'Data_in-situ'!EN280</f>
        <v>-24.4</v>
      </c>
      <c r="AG1947" s="113">
        <f>'Data_in-situ'!EO280</f>
        <v>9.9429121295315568</v>
      </c>
      <c r="AH1947" s="110">
        <f>'Data_in-situ'!EP280</f>
        <v>1</v>
      </c>
      <c r="AI1947" s="113">
        <f>'Data_in-situ'!ER280</f>
        <v>-83.7</v>
      </c>
      <c r="AJ1947" s="113">
        <f>'Data_in-situ'!ES280</f>
        <v>18.984336278719553</v>
      </c>
      <c r="AK1947" s="110">
        <f>'Data_in-situ'!ET280</f>
        <v>1</v>
      </c>
    </row>
    <row r="1948" spans="20:37" x14ac:dyDescent="0.3">
      <c r="T1948" s="113">
        <f>'Data_in-situ'!DN211</f>
        <v>679.54671344272833</v>
      </c>
      <c r="U1948" s="113">
        <f>'Data_in-situ'!DO211</f>
        <v>860.0591867401946</v>
      </c>
      <c r="V1948" s="46">
        <f>'Data_in-situ'!DP211</f>
        <v>46</v>
      </c>
      <c r="W1948" s="113">
        <f>'Data_in-situ'!DR211</f>
        <v>15.65177995944169</v>
      </c>
      <c r="X1948" s="113">
        <f>'Data_in-situ'!DS211</f>
        <v>24.385487937237958</v>
      </c>
      <c r="Y1948" s="46">
        <f>'Data_in-situ'!DT211</f>
        <v>73</v>
      </c>
      <c r="AF1948" s="113">
        <f>'Data_in-situ'!EN281</f>
        <v>-24.4</v>
      </c>
      <c r="AG1948" s="113">
        <f>'Data_in-situ'!EO281</f>
        <v>9.9429121295315568</v>
      </c>
      <c r="AH1948" s="110">
        <f>'Data_in-situ'!EP281</f>
        <v>1</v>
      </c>
      <c r="AI1948" s="113">
        <f>'Data_in-situ'!ER281</f>
        <v>-49.1</v>
      </c>
      <c r="AJ1948" s="113">
        <f>'Data_in-situ'!ES281</f>
        <v>11.136570027301435</v>
      </c>
      <c r="AK1948" s="110">
        <f>'Data_in-situ'!ET281</f>
        <v>1</v>
      </c>
    </row>
    <row r="1949" spans="20:37" x14ac:dyDescent="0.3">
      <c r="T1949" s="113">
        <f>'Data_in-situ'!DN212</f>
        <v>70.824570735895975</v>
      </c>
      <c r="U1949" s="113">
        <f>'Data_in-situ'!DO212</f>
        <v>78.960847077092538</v>
      </c>
      <c r="V1949" s="46">
        <f>'Data_in-situ'!DP212</f>
        <v>46</v>
      </c>
      <c r="W1949" s="113">
        <f>'Data_in-situ'!DR212</f>
        <v>-0.12589285714285717</v>
      </c>
      <c r="X1949" s="113">
        <f>'Data_in-situ'!DS212</f>
        <v>0.47048883709193973</v>
      </c>
      <c r="Y1949" s="46">
        <f>'Data_in-situ'!DT212</f>
        <v>66</v>
      </c>
      <c r="AF1949" s="113">
        <f>'Data_in-situ'!EN282</f>
        <v>-24.4</v>
      </c>
      <c r="AG1949" s="113">
        <f>'Data_in-situ'!EO282</f>
        <v>9.9429121295315568</v>
      </c>
      <c r="AH1949" s="110">
        <f>'Data_in-situ'!EP282</f>
        <v>1</v>
      </c>
      <c r="AI1949" s="113">
        <f>'Data_in-situ'!ER282</f>
        <v>-63.8</v>
      </c>
      <c r="AJ1949" s="113">
        <f>'Data_in-situ'!ES282</f>
        <v>14.470736613886588</v>
      </c>
      <c r="AK1949" s="110">
        <f>'Data_in-situ'!ET282</f>
        <v>1</v>
      </c>
    </row>
    <row r="1950" spans="20:37" x14ac:dyDescent="0.3">
      <c r="T1950" s="113">
        <f>'Data_in-situ'!DN217</f>
        <v>42.739726027397303</v>
      </c>
      <c r="U1950" s="113">
        <f>'Data_in-situ'!DO217</f>
        <v>33.554654010728207</v>
      </c>
      <c r="V1950" s="46">
        <f>'Data_in-situ'!DP217</f>
        <v>6</v>
      </c>
      <c r="W1950" s="113">
        <f>'Data_in-situ'!DR217</f>
        <v>15.6164383561644</v>
      </c>
      <c r="X1950" s="113">
        <f>'Data_in-situ'!DS217</f>
        <v>21.474978566866142</v>
      </c>
      <c r="Y1950" s="46">
        <f>'Data_in-situ'!DT217</f>
        <v>6</v>
      </c>
      <c r="AF1950" s="113">
        <f>'Data_in-situ'!EN283</f>
        <v>-24.4</v>
      </c>
      <c r="AG1950" s="113">
        <f>'Data_in-situ'!EO283</f>
        <v>9.9429121295315568</v>
      </c>
      <c r="AH1950" s="110">
        <f>'Data_in-situ'!EP283</f>
        <v>1</v>
      </c>
      <c r="AI1950" s="113">
        <f>'Data_in-situ'!ER283</f>
        <v>-34.4</v>
      </c>
      <c r="AJ1950" s="113">
        <f>'Data_in-situ'!ES283</f>
        <v>7.8024034407162794</v>
      </c>
      <c r="AK1950" s="110">
        <f>'Data_in-situ'!ET283</f>
        <v>1</v>
      </c>
    </row>
    <row r="1951" spans="20:37" x14ac:dyDescent="0.3">
      <c r="T1951" s="113">
        <f>'Data_in-situ'!DN218</f>
        <v>42.739726027397296</v>
      </c>
      <c r="U1951" s="113">
        <f>'Data_in-situ'!DO218</f>
        <v>33.554654010728207</v>
      </c>
      <c r="V1951" s="46">
        <f>'Data_in-situ'!DP218</f>
        <v>6</v>
      </c>
      <c r="W1951" s="113">
        <f>'Data_in-situ'!DR218</f>
        <v>16.164383561643799</v>
      </c>
      <c r="X1951" s="113">
        <f>'Data_in-situ'!DS218</f>
        <v>14.764047764720594</v>
      </c>
      <c r="Y1951" s="46">
        <f>'Data_in-situ'!DT218</f>
        <v>6</v>
      </c>
      <c r="AF1951" s="113">
        <f>'Data_in-situ'!EN284</f>
        <v>-24.4</v>
      </c>
      <c r="AG1951" s="113">
        <f>'Data_in-situ'!EO284</f>
        <v>9.9429121295315568</v>
      </c>
      <c r="AH1951" s="110">
        <f>'Data_in-situ'!EP284</f>
        <v>1</v>
      </c>
      <c r="AI1951" s="113">
        <f>'Data_in-situ'!ER284</f>
        <v>-83.7</v>
      </c>
      <c r="AJ1951" s="113">
        <f>'Data_in-situ'!ES284</f>
        <v>18.984336278719553</v>
      </c>
      <c r="AK1951" s="110">
        <f>'Data_in-situ'!ET284</f>
        <v>1</v>
      </c>
    </row>
    <row r="1952" spans="20:37" x14ac:dyDescent="0.3">
      <c r="T1952" s="113">
        <f>'Data_in-situ'!DN219</f>
        <v>21.18</v>
      </c>
      <c r="U1952" s="113">
        <f>'Data_in-situ'!DO219</f>
        <v>2.2516660498395402</v>
      </c>
      <c r="V1952" s="46">
        <f>'Data_in-situ'!DP219</f>
        <v>3</v>
      </c>
      <c r="W1952" s="113">
        <f>'Data_in-situ'!DR219</f>
        <v>9.06</v>
      </c>
      <c r="X1952" s="113">
        <f>'Data_in-situ'!DS219</f>
        <v>0.95262794416288255</v>
      </c>
      <c r="Y1952" s="46">
        <f>'Data_in-situ'!DT219</f>
        <v>3</v>
      </c>
      <c r="AF1952" s="113">
        <f>'Data_in-situ'!EN285</f>
        <v>-24.4</v>
      </c>
      <c r="AG1952" s="113">
        <f>'Data_in-situ'!EO285</f>
        <v>9.9429121295315568</v>
      </c>
      <c r="AH1952" s="110">
        <f>'Data_in-situ'!EP285</f>
        <v>1</v>
      </c>
      <c r="AI1952" s="113">
        <f>'Data_in-situ'!ER285</f>
        <v>-49.1</v>
      </c>
      <c r="AJ1952" s="113">
        <f>'Data_in-situ'!ES285</f>
        <v>11.136570027301435</v>
      </c>
      <c r="AK1952" s="110">
        <f>'Data_in-situ'!ET285</f>
        <v>1</v>
      </c>
    </row>
    <row r="1953" spans="20:37" x14ac:dyDescent="0.3">
      <c r="T1953" s="113">
        <f>'Data_in-situ'!DN220</f>
        <v>13.53</v>
      </c>
      <c r="U1953" s="113">
        <f>'Data_in-situ'!DO220</f>
        <v>1.593486742963367</v>
      </c>
      <c r="V1953" s="46">
        <f>'Data_in-situ'!DP220</f>
        <v>3</v>
      </c>
      <c r="W1953" s="113">
        <f>'Data_in-situ'!DR220</f>
        <v>3.23</v>
      </c>
      <c r="X1953" s="113">
        <f>'Data_in-situ'!DS220</f>
        <v>0.74478184725461716</v>
      </c>
      <c r="Y1953" s="46">
        <f>'Data_in-situ'!DT220</f>
        <v>3</v>
      </c>
      <c r="AF1953" s="113">
        <f>'Data_in-situ'!EN286</f>
        <v>-24.4</v>
      </c>
      <c r="AG1953" s="113">
        <f>'Data_in-situ'!EO286</f>
        <v>9.9429121295315568</v>
      </c>
      <c r="AH1953" s="110">
        <f>'Data_in-situ'!EP286</f>
        <v>1</v>
      </c>
      <c r="AI1953" s="113">
        <f>'Data_in-situ'!ER286</f>
        <v>-63.8</v>
      </c>
      <c r="AJ1953" s="113">
        <f>'Data_in-situ'!ES286</f>
        <v>14.470736613886588</v>
      </c>
      <c r="AK1953" s="110">
        <f>'Data_in-situ'!ET286</f>
        <v>1</v>
      </c>
    </row>
    <row r="1954" spans="20:37" x14ac:dyDescent="0.3">
      <c r="T1954" s="113">
        <f>'Data_in-situ'!DN280</f>
        <v>4.3449126612056599</v>
      </c>
      <c r="U1954" s="113">
        <f>'Data_in-situ'!DO280</f>
        <v>9.5961779850217681</v>
      </c>
      <c r="V1954" s="46">
        <f>'Data_in-situ'!DP280</f>
        <v>6</v>
      </c>
      <c r="W1954" s="113">
        <f>'Data_in-situ'!DR280</f>
        <v>-0.16115570294991843</v>
      </c>
      <c r="X1954" s="113">
        <f>'Data_in-situ'!DS280</f>
        <v>0.55821924153316771</v>
      </c>
      <c r="Y1954" s="46">
        <f>'Data_in-situ'!DT280</f>
        <v>6</v>
      </c>
      <c r="AF1954" s="113">
        <f>'Data_in-situ'!EN287</f>
        <v>-24.4</v>
      </c>
      <c r="AG1954" s="113">
        <f>'Data_in-situ'!EO287</f>
        <v>9.9429121295315568</v>
      </c>
      <c r="AH1954" s="110">
        <f>'Data_in-situ'!EP287</f>
        <v>1</v>
      </c>
      <c r="AI1954" s="113">
        <f>'Data_in-situ'!ER287</f>
        <v>-34.4</v>
      </c>
      <c r="AJ1954" s="113">
        <f>'Data_in-situ'!ES287</f>
        <v>7.8024034407162794</v>
      </c>
      <c r="AK1954" s="110">
        <f>'Data_in-situ'!ET287</f>
        <v>1</v>
      </c>
    </row>
    <row r="1955" spans="20:37" x14ac:dyDescent="0.3">
      <c r="T1955" s="113">
        <f>'Data_in-situ'!DN281</f>
        <v>4.3449126612056599</v>
      </c>
      <c r="U1955" s="113">
        <f>'Data_in-situ'!DO281</f>
        <v>9.5961779850217681</v>
      </c>
      <c r="V1955" s="46">
        <f>'Data_in-situ'!DP281</f>
        <v>6</v>
      </c>
      <c r="W1955" s="113">
        <f>'Data_in-situ'!DR281</f>
        <v>-5.3718567649972807E-2</v>
      </c>
      <c r="X1955" s="113">
        <f>'Data_in-situ'!DS281</f>
        <v>0.5398869703372956</v>
      </c>
      <c r="Y1955" s="46">
        <f>'Data_in-situ'!DT281</f>
        <v>6</v>
      </c>
      <c r="AF1955" s="113">
        <f>'Data_in-situ'!EN288</f>
        <v>-24.4</v>
      </c>
      <c r="AG1955" s="113">
        <f>'Data_in-situ'!EO288</f>
        <v>9.9429121295315568</v>
      </c>
      <c r="AH1955" s="110">
        <f>'Data_in-situ'!EP288</f>
        <v>1</v>
      </c>
      <c r="AI1955" s="113">
        <f>'Data_in-situ'!ER288</f>
        <v>-83.7</v>
      </c>
      <c r="AJ1955" s="113">
        <f>'Data_in-situ'!ES288</f>
        <v>18.984336278719553</v>
      </c>
      <c r="AK1955" s="110">
        <f>'Data_in-situ'!ET288</f>
        <v>1</v>
      </c>
    </row>
    <row r="1956" spans="20:37" x14ac:dyDescent="0.3">
      <c r="T1956" s="113">
        <f>'Data_in-situ'!DN282</f>
        <v>4.3449126612056599</v>
      </c>
      <c r="U1956" s="113">
        <f>'Data_in-situ'!DO282</f>
        <v>9.5961779850217681</v>
      </c>
      <c r="V1956" s="46">
        <f>'Data_in-situ'!DP282</f>
        <v>6</v>
      </c>
      <c r="W1956" s="113">
        <f>'Data_in-situ'!DR282</f>
        <v>5.3718567649972807E-2</v>
      </c>
      <c r="X1956" s="113">
        <f>'Data_in-situ'!DS282</f>
        <v>0.43312042016840363</v>
      </c>
      <c r="Y1956" s="46">
        <f>'Data_in-situ'!DT282</f>
        <v>6</v>
      </c>
      <c r="AF1956" s="113">
        <f>'Data_in-situ'!EN289</f>
        <v>-24.4</v>
      </c>
      <c r="AG1956" s="113">
        <f>'Data_in-situ'!EO289</f>
        <v>9.9429121295315568</v>
      </c>
      <c r="AH1956" s="110">
        <f>'Data_in-situ'!EP289</f>
        <v>1</v>
      </c>
      <c r="AI1956" s="113">
        <f>'Data_in-situ'!ER289</f>
        <v>-49.1</v>
      </c>
      <c r="AJ1956" s="113">
        <f>'Data_in-situ'!ES289</f>
        <v>11.136570027301435</v>
      </c>
      <c r="AK1956" s="110">
        <f>'Data_in-situ'!ET289</f>
        <v>1</v>
      </c>
    </row>
    <row r="1957" spans="20:37" x14ac:dyDescent="0.3">
      <c r="T1957" s="113">
        <f>'Data_in-situ'!DN283</f>
        <v>4.3449126612056599</v>
      </c>
      <c r="U1957" s="113">
        <f>'Data_in-situ'!DO283</f>
        <v>9.5961779850217681</v>
      </c>
      <c r="V1957" s="46">
        <f>'Data_in-situ'!DP283</f>
        <v>6</v>
      </c>
      <c r="W1957" s="113">
        <f>'Data_in-situ'!DR283</f>
        <v>5.3718567649972807E-2</v>
      </c>
      <c r="X1957" s="113">
        <f>'Data_in-situ'!DS283</f>
        <v>0.43312042016840363</v>
      </c>
      <c r="Y1957" s="46">
        <f>'Data_in-situ'!DT283</f>
        <v>6</v>
      </c>
      <c r="AF1957" s="113">
        <f>'Data_in-situ'!EN290</f>
        <v>-24.4</v>
      </c>
      <c r="AG1957" s="113">
        <f>'Data_in-situ'!EO290</f>
        <v>9.9429121295315568</v>
      </c>
      <c r="AH1957" s="110">
        <f>'Data_in-situ'!EP290</f>
        <v>1</v>
      </c>
      <c r="AI1957" s="113">
        <f>'Data_in-situ'!ER290</f>
        <v>-63.8</v>
      </c>
      <c r="AJ1957" s="113">
        <f>'Data_in-situ'!ES290</f>
        <v>14.470736613886588</v>
      </c>
      <c r="AK1957" s="110">
        <f>'Data_in-situ'!ET290</f>
        <v>1</v>
      </c>
    </row>
    <row r="1958" spans="20:37" x14ac:dyDescent="0.3">
      <c r="T1958" s="113">
        <f>'Data_in-situ'!DN284</f>
        <v>27.51778018763585</v>
      </c>
      <c r="U1958" s="113">
        <f>'Data_in-situ'!DO284</f>
        <v>12.137611972737048</v>
      </c>
      <c r="V1958" s="46">
        <f>'Data_in-situ'!DP284</f>
        <v>6</v>
      </c>
      <c r="W1958" s="113">
        <f>'Data_in-situ'!DR284</f>
        <v>-0.16115570294991843</v>
      </c>
      <c r="X1958" s="113">
        <f>'Data_in-situ'!DS284</f>
        <v>0.5610292847687105</v>
      </c>
      <c r="Y1958" s="46">
        <f>'Data_in-situ'!DT284</f>
        <v>6</v>
      </c>
      <c r="AF1958" s="113">
        <f>'Data_in-situ'!EN291</f>
        <v>-24.4</v>
      </c>
      <c r="AG1958" s="113">
        <f>'Data_in-situ'!EO291</f>
        <v>9.9429121295315568</v>
      </c>
      <c r="AH1958" s="110">
        <f>'Data_in-situ'!EP291</f>
        <v>1</v>
      </c>
      <c r="AI1958" s="113">
        <f>'Data_in-situ'!ER291</f>
        <v>-34.4</v>
      </c>
      <c r="AJ1958" s="113">
        <f>'Data_in-situ'!ES291</f>
        <v>7.8024034407162794</v>
      </c>
      <c r="AK1958" s="110">
        <f>'Data_in-situ'!ET291</f>
        <v>1</v>
      </c>
    </row>
    <row r="1959" spans="20:37" x14ac:dyDescent="0.3">
      <c r="T1959" s="113">
        <f>'Data_in-situ'!DN285</f>
        <v>27.51778018763585</v>
      </c>
      <c r="U1959" s="113">
        <f>'Data_in-situ'!DO285</f>
        <v>12.137611972737048</v>
      </c>
      <c r="V1959" s="46">
        <f>'Data_in-situ'!DP285</f>
        <v>6</v>
      </c>
      <c r="W1959" s="113">
        <f>'Data_in-situ'!DR285</f>
        <v>-5.3718567649972807E-2</v>
      </c>
      <c r="X1959" s="113">
        <f>'Data_in-situ'!DS285</f>
        <v>11.665364622891369</v>
      </c>
      <c r="Y1959" s="46">
        <f>'Data_in-situ'!DT285</f>
        <v>6</v>
      </c>
      <c r="AF1959" s="113">
        <f>'Data_in-situ'!EN326</f>
        <v>-2.5</v>
      </c>
      <c r="AG1959" s="113">
        <f>'Data_in-situ'!EO326</f>
        <v>2.2999999999999998</v>
      </c>
      <c r="AH1959" s="110">
        <f>'Data_in-situ'!EP326</f>
        <v>18</v>
      </c>
      <c r="AI1959" s="113">
        <f>'Data_in-situ'!ER326</f>
        <v>-30.1</v>
      </c>
      <c r="AJ1959" s="113">
        <f>'Data_in-situ'!ES326</f>
        <v>13.9</v>
      </c>
      <c r="AK1959" s="110">
        <f>'Data_in-situ'!ET326</f>
        <v>18</v>
      </c>
    </row>
    <row r="1960" spans="20:37" x14ac:dyDescent="0.3">
      <c r="T1960" s="113">
        <f>'Data_in-situ'!DN286</f>
        <v>27.51778018763585</v>
      </c>
      <c r="U1960" s="113">
        <f>'Data_in-situ'!DO286</f>
        <v>12.137611972737048</v>
      </c>
      <c r="V1960" s="46">
        <f>'Data_in-situ'!DP286</f>
        <v>6</v>
      </c>
      <c r="W1960" s="113">
        <f>'Data_in-situ'!DR286</f>
        <v>5.3718567649972807E-2</v>
      </c>
      <c r="X1960" s="113">
        <f>'Data_in-situ'!DS286</f>
        <v>1.4941129876440691</v>
      </c>
      <c r="Y1960" s="46">
        <f>'Data_in-situ'!DT286</f>
        <v>6</v>
      </c>
      <c r="AF1960" s="113">
        <f>'Data_in-situ'!EN327</f>
        <v>-5.9</v>
      </c>
      <c r="AG1960" s="113">
        <f>'Data_in-situ'!EO327</f>
        <v>4.8</v>
      </c>
      <c r="AH1960" s="110">
        <f>'Data_in-situ'!EP327</f>
        <v>12</v>
      </c>
      <c r="AI1960" s="113">
        <f>'Data_in-situ'!ER327</f>
        <v>-39.700000000000003</v>
      </c>
      <c r="AJ1960" s="113">
        <f>'Data_in-situ'!ES327</f>
        <v>17.8</v>
      </c>
      <c r="AK1960" s="110">
        <f>'Data_in-situ'!ET327</f>
        <v>15</v>
      </c>
    </row>
    <row r="1961" spans="20:37" x14ac:dyDescent="0.3">
      <c r="T1961" s="113">
        <f>'Data_in-situ'!DN287</f>
        <v>27.51778018763585</v>
      </c>
      <c r="U1961" s="113">
        <f>'Data_in-situ'!DO287</f>
        <v>12.137611972737048</v>
      </c>
      <c r="V1961" s="46">
        <f>'Data_in-situ'!DP287</f>
        <v>6</v>
      </c>
      <c r="W1961" s="113">
        <f>'Data_in-situ'!DR287</f>
        <v>5.3718567649972807E-2</v>
      </c>
      <c r="X1961" s="113">
        <f>'Data_in-situ'!DS287</f>
        <v>0.43312042016840363</v>
      </c>
      <c r="Y1961" s="46">
        <f>'Data_in-situ'!DT287</f>
        <v>6</v>
      </c>
      <c r="AF1961" s="113">
        <f>'Data_in-situ'!EN328</f>
        <v>-8.3000000000000007</v>
      </c>
      <c r="AG1961" s="113">
        <f>'Data_in-situ'!EO328</f>
        <v>7.5</v>
      </c>
      <c r="AH1961" s="110">
        <f>'Data_in-situ'!EP328</f>
        <v>18</v>
      </c>
      <c r="AI1961" s="113">
        <f>'Data_in-situ'!ER328</f>
        <v>-32</v>
      </c>
      <c r="AJ1961" s="113">
        <f>'Data_in-situ'!ES328</f>
        <v>17.2</v>
      </c>
      <c r="AK1961" s="110">
        <f>'Data_in-situ'!ET328</f>
        <v>18</v>
      </c>
    </row>
    <row r="1962" spans="20:37" x14ac:dyDescent="0.3">
      <c r="T1962" s="113">
        <f>'Data_in-situ'!DN288</f>
        <v>17.621034681556281</v>
      </c>
      <c r="U1962" s="113">
        <f>'Data_in-situ'!DO288</f>
        <v>25.060650744317332</v>
      </c>
      <c r="V1962" s="46">
        <f>'Data_in-situ'!DP288</f>
        <v>6</v>
      </c>
      <c r="W1962" s="113">
        <f>'Data_in-situ'!DR288</f>
        <v>-0.16115570294991843</v>
      </c>
      <c r="X1962" s="113">
        <f>'Data_in-situ'!DS288</f>
        <v>0.5610292847687105</v>
      </c>
      <c r="Y1962" s="46">
        <f>'Data_in-situ'!DT288</f>
        <v>6</v>
      </c>
      <c r="AF1962" s="113">
        <f>'Data_in-situ'!EN329</f>
        <v>-32.799999999999997</v>
      </c>
      <c r="AG1962" s="113">
        <f>'Data_in-situ'!EO329</f>
        <v>14.8</v>
      </c>
      <c r="AH1962" s="110">
        <f>'Data_in-situ'!EP329</f>
        <v>15</v>
      </c>
      <c r="AI1962" s="113">
        <f>'Data_in-situ'!ER329</f>
        <v>-48.3</v>
      </c>
      <c r="AJ1962" s="113">
        <f>'Data_in-situ'!ES329</f>
        <v>15.3</v>
      </c>
      <c r="AK1962" s="110">
        <f>'Data_in-situ'!ET329</f>
        <v>15</v>
      </c>
    </row>
    <row r="1963" spans="20:37" x14ac:dyDescent="0.3">
      <c r="T1963" s="113">
        <f>'Data_in-situ'!DN289</f>
        <v>17.621034681556281</v>
      </c>
      <c r="U1963" s="113">
        <f>'Data_in-situ'!DO289</f>
        <v>25.060650744317332</v>
      </c>
      <c r="V1963" s="46">
        <f>'Data_in-situ'!DP289</f>
        <v>6</v>
      </c>
      <c r="W1963" s="113">
        <f>'Data_in-situ'!DR289</f>
        <v>-5.3718567649972807E-2</v>
      </c>
      <c r="X1963" s="113">
        <f>'Data_in-situ'!DS289</f>
        <v>0.5398869703372956</v>
      </c>
      <c r="Y1963" s="46">
        <f>'Data_in-situ'!DT289</f>
        <v>6</v>
      </c>
      <c r="AF1963" s="113">
        <f>'Data_in-situ'!EN330</f>
        <v>-27.5</v>
      </c>
      <c r="AG1963" s="113">
        <f>'Data_in-situ'!EO330</f>
        <v>13.7</v>
      </c>
      <c r="AH1963" s="110">
        <f>'Data_in-situ'!EP330</f>
        <v>10</v>
      </c>
      <c r="AI1963" s="113">
        <f>'Data_in-situ'!ER330</f>
        <v>-43.3</v>
      </c>
      <c r="AJ1963" s="113">
        <f>'Data_in-situ'!ES330</f>
        <v>10.7</v>
      </c>
      <c r="AK1963" s="110">
        <f>'Data_in-situ'!ET330</f>
        <v>15</v>
      </c>
    </row>
    <row r="1964" spans="20:37" x14ac:dyDescent="0.3">
      <c r="T1964" s="113">
        <f>'Data_in-situ'!DN290</f>
        <v>17.621034681556281</v>
      </c>
      <c r="U1964" s="113">
        <f>'Data_in-situ'!DO290</f>
        <v>25.060650744317332</v>
      </c>
      <c r="V1964" s="46">
        <f>'Data_in-situ'!DP290</f>
        <v>6</v>
      </c>
      <c r="W1964" s="113">
        <f>'Data_in-situ'!DR290</f>
        <v>5.3718567649972807E-2</v>
      </c>
      <c r="X1964" s="113">
        <f>'Data_in-situ'!DS290</f>
        <v>0.43312042016840363</v>
      </c>
      <c r="Y1964" s="46">
        <f>'Data_in-situ'!DT290</f>
        <v>6</v>
      </c>
      <c r="AF1964" s="113">
        <f>'Data_in-situ'!EN333</f>
        <v>-1</v>
      </c>
      <c r="AG1964" s="113">
        <f>'Data_in-situ'!EO333</f>
        <v>0.40749639875129334</v>
      </c>
      <c r="AH1964" s="110">
        <f>'Data_in-situ'!EP333</f>
        <v>3</v>
      </c>
      <c r="AI1964" s="113">
        <f>'Data_in-situ'!ER333</f>
        <v>-20</v>
      </c>
      <c r="AJ1964" s="113">
        <f>'Data_in-situ'!ES333</f>
        <v>4.5362810701838834</v>
      </c>
      <c r="AK1964" s="110">
        <f>'Data_in-situ'!ET333</f>
        <v>3</v>
      </c>
    </row>
    <row r="1965" spans="20:37" x14ac:dyDescent="0.3">
      <c r="T1965" s="113">
        <f>'Data_in-situ'!DN291</f>
        <v>17.621034681556281</v>
      </c>
      <c r="U1965" s="113">
        <f>'Data_in-situ'!DO291</f>
        <v>25.060650744317332</v>
      </c>
      <c r="V1965" s="46">
        <f>'Data_in-situ'!DP291</f>
        <v>6</v>
      </c>
      <c r="W1965" s="113">
        <f>'Data_in-situ'!DR291</f>
        <v>5.3718567649972807E-2</v>
      </c>
      <c r="X1965" s="113">
        <f>'Data_in-situ'!DS291</f>
        <v>0.43312042016840363</v>
      </c>
      <c r="Y1965" s="46">
        <f>'Data_in-situ'!DT291</f>
        <v>6</v>
      </c>
      <c r="AF1965" s="113">
        <f>'Data_in-situ'!EN334</f>
        <v>-1</v>
      </c>
      <c r="AG1965" s="113">
        <f>'Data_in-situ'!EO334</f>
        <v>0.40749639875129334</v>
      </c>
      <c r="AH1965" s="110">
        <f>'Data_in-situ'!EP334</f>
        <v>3</v>
      </c>
      <c r="AI1965" s="113">
        <f>'Data_in-situ'!ER334</f>
        <v>-20</v>
      </c>
      <c r="AJ1965" s="113">
        <f>'Data_in-situ'!ES334</f>
        <v>4.5362810701838834</v>
      </c>
      <c r="AK1965" s="110">
        <f>'Data_in-situ'!ET334</f>
        <v>3</v>
      </c>
    </row>
    <row r="1966" spans="20:37" x14ac:dyDescent="0.3">
      <c r="T1966" s="113">
        <f>'Data_in-situ'!DN326</f>
        <v>220.49</v>
      </c>
      <c r="U1966" s="113">
        <f>'Data_in-situ'!DO326</f>
        <v>245.81973446687189</v>
      </c>
      <c r="V1966" s="46">
        <f>'Data_in-situ'!DP326</f>
        <v>18</v>
      </c>
      <c r="W1966" s="113">
        <f>'Data_in-situ'!DR326</f>
        <v>-0.5</v>
      </c>
      <c r="X1966" s="113">
        <f>'Data_in-situ'!DS326</f>
        <v>1.868608147315505</v>
      </c>
      <c r="Y1966" s="46">
        <f>'Data_in-situ'!DT326</f>
        <v>18</v>
      </c>
      <c r="AF1966" s="113">
        <f>'Data_in-situ'!EN335</f>
        <v>-1</v>
      </c>
      <c r="AG1966" s="113">
        <f>'Data_in-situ'!EO335</f>
        <v>0.40749639875129334</v>
      </c>
      <c r="AH1966" s="110">
        <f>'Data_in-situ'!EP335</f>
        <v>3</v>
      </c>
      <c r="AI1966" s="113">
        <f>'Data_in-situ'!ER335</f>
        <v>-20</v>
      </c>
      <c r="AJ1966" s="113">
        <f>'Data_in-situ'!ES335</f>
        <v>4.5362810701838834</v>
      </c>
      <c r="AK1966" s="110">
        <f>'Data_in-situ'!ET335</f>
        <v>3</v>
      </c>
    </row>
    <row r="1967" spans="20:37" x14ac:dyDescent="0.3">
      <c r="T1967" s="113">
        <f>'Data_in-situ'!DN327</f>
        <v>395.8</v>
      </c>
      <c r="U1967" s="113">
        <f>'Data_in-situ'!DO327</f>
        <v>441.26922264949837</v>
      </c>
      <c r="V1967" s="46">
        <f>'Data_in-situ'!DP327</f>
        <v>12</v>
      </c>
      <c r="W1967" s="113">
        <f>'Data_in-situ'!DR327</f>
        <v>0.2</v>
      </c>
      <c r="X1967" s="113">
        <f>'Data_in-situ'!DS327</f>
        <v>0.747443258926202</v>
      </c>
      <c r="Y1967" s="46">
        <f>'Data_in-situ'!DT327</f>
        <v>15</v>
      </c>
      <c r="AF1967" s="113">
        <f>'Data_in-situ'!EN361</f>
        <v>-22.8355929225071</v>
      </c>
      <c r="AG1967" s="113">
        <f>'Data_in-situ'!EO361</f>
        <v>9.3054218792721652</v>
      </c>
      <c r="AH1967" s="110">
        <f>'Data_in-situ'!EP361</f>
        <v>8</v>
      </c>
      <c r="AI1967" s="113">
        <f>'Data_in-situ'!ER361</f>
        <v>-45.187277814574003</v>
      </c>
      <c r="AJ1967" s="113">
        <f>'Data_in-situ'!ES361</f>
        <v>10.249109648169611</v>
      </c>
      <c r="AK1967" s="110">
        <f>'Data_in-situ'!ET361</f>
        <v>8</v>
      </c>
    </row>
    <row r="1968" spans="20:37" x14ac:dyDescent="0.3">
      <c r="T1968" s="113">
        <f>'Data_in-situ'!DN328</f>
        <v>180.3</v>
      </c>
      <c r="U1968" s="113">
        <f>'Data_in-situ'!DO328</f>
        <v>201.0127358355345</v>
      </c>
      <c r="V1968" s="46">
        <f>'Data_in-situ'!DP328</f>
        <v>18</v>
      </c>
      <c r="W1968" s="113">
        <f>'Data_in-situ'!DR328</f>
        <v>0.2</v>
      </c>
      <c r="X1968" s="113">
        <f>'Data_in-situ'!DS328</f>
        <v>0.747443258926202</v>
      </c>
      <c r="Y1968" s="46">
        <f>'Data_in-situ'!DT328</f>
        <v>18</v>
      </c>
      <c r="AF1968" s="113">
        <f>'Data_in-situ'!EN372</f>
        <v>-40.51870340955886</v>
      </c>
      <c r="AG1968" s="113">
        <f>'Data_in-situ'!EO372</f>
        <v>20.370209301600063</v>
      </c>
      <c r="AH1968" s="110">
        <f>'Data_in-situ'!EP372</f>
        <v>6</v>
      </c>
      <c r="AI1968" s="113">
        <f>'Data_in-situ'!ER372</f>
        <v>-50.351292976661703</v>
      </c>
      <c r="AJ1968" s="113">
        <f>'Data_in-situ'!ES372</f>
        <v>17.957460020005087</v>
      </c>
      <c r="AK1968" s="110">
        <f>'Data_in-situ'!ET372</f>
        <v>6</v>
      </c>
    </row>
    <row r="1969" spans="20:37" x14ac:dyDescent="0.3">
      <c r="T1969" s="113">
        <f>'Data_in-situ'!DN329</f>
        <v>22.6</v>
      </c>
      <c r="U1969" s="113">
        <f>'Data_in-situ'!DO329</f>
        <v>25.196271935014309</v>
      </c>
      <c r="V1969" s="46">
        <f>'Data_in-situ'!DP329</f>
        <v>15</v>
      </c>
      <c r="W1969" s="113">
        <f>'Data_in-situ'!DR329</f>
        <v>0.03</v>
      </c>
      <c r="X1969" s="113">
        <f>'Data_in-situ'!DS329</f>
        <v>0.11211648883893029</v>
      </c>
      <c r="Y1969" s="46">
        <f>'Data_in-situ'!DT329</f>
        <v>15</v>
      </c>
      <c r="AF1969" s="113">
        <f>'Data_in-situ'!EN373</f>
        <v>-40.51870340955886</v>
      </c>
      <c r="AG1969" s="113">
        <f>'Data_in-situ'!EO373</f>
        <v>20.370209301600063</v>
      </c>
      <c r="AH1969" s="110">
        <f>'Data_in-situ'!EP373</f>
        <v>6</v>
      </c>
      <c r="AI1969" s="113">
        <f>'Data_in-situ'!ER373</f>
        <v>-50.44953735219223</v>
      </c>
      <c r="AJ1969" s="113">
        <f>'Data_in-situ'!ES373</f>
        <v>14.661286194047287</v>
      </c>
      <c r="AK1969" s="110">
        <f>'Data_in-situ'!ET373</f>
        <v>6</v>
      </c>
    </row>
    <row r="1970" spans="20:37" x14ac:dyDescent="0.3">
      <c r="T1970" s="113">
        <f>'Data_in-situ'!DN330</f>
        <v>23.9</v>
      </c>
      <c r="U1970" s="113">
        <f>'Data_in-situ'!DO330</f>
        <v>26.645615010922207</v>
      </c>
      <c r="V1970" s="46">
        <f>'Data_in-situ'!DP330</f>
        <v>10</v>
      </c>
      <c r="W1970" s="113">
        <f>'Data_in-situ'!DR330</f>
        <v>8.6999999999999993</v>
      </c>
      <c r="X1970" s="113">
        <f>'Data_in-situ'!DS330</f>
        <v>32.513781763289785</v>
      </c>
      <c r="Y1970" s="46">
        <f>'Data_in-situ'!DT330</f>
        <v>15</v>
      </c>
      <c r="AF1970" s="113">
        <f>'Data_in-situ'!EN374</f>
        <v>-18.43977174360656</v>
      </c>
      <c r="AG1970" s="113">
        <f>'Data_in-situ'!EO374</f>
        <v>7.4660723000216542</v>
      </c>
      <c r="AH1970" s="110">
        <f>'Data_in-situ'!EP374</f>
        <v>6</v>
      </c>
      <c r="AI1970" s="113">
        <f>'Data_in-situ'!ER374</f>
        <v>-32.926909210095033</v>
      </c>
      <c r="AJ1970" s="113">
        <f>'Data_in-situ'!ES374</f>
        <v>5.9181798677139321</v>
      </c>
      <c r="AK1970" s="110">
        <f>'Data_in-situ'!ET374</f>
        <v>6</v>
      </c>
    </row>
    <row r="1971" spans="20:37" x14ac:dyDescent="0.3">
      <c r="T1971" s="113">
        <f>'Data_in-situ'!DN333</f>
        <v>224.95402018476722</v>
      </c>
      <c r="U1971" s="113">
        <f>'Data_in-situ'!DO333</f>
        <v>27.300798963122862</v>
      </c>
      <c r="V1971" s="46">
        <f>'Data_in-situ'!DP333</f>
        <v>3</v>
      </c>
      <c r="W1971" s="113">
        <f>'Data_in-situ'!DR333</f>
        <v>41.219419022620272</v>
      </c>
      <c r="X1971" s="113">
        <f>'Data_in-situ'!DS333</f>
        <v>28.248116299491517</v>
      </c>
      <c r="Y1971" s="46">
        <f>'Data_in-situ'!DT333</f>
        <v>3</v>
      </c>
      <c r="AF1971" s="113">
        <f>'Data_in-situ'!EN375</f>
        <v>-18.43977174360656</v>
      </c>
      <c r="AG1971" s="113">
        <f>'Data_in-situ'!EO375</f>
        <v>7.4660723000216542</v>
      </c>
      <c r="AH1971" s="110">
        <f>'Data_in-situ'!EP375</f>
        <v>6</v>
      </c>
      <c r="AI1971" s="113">
        <f>'Data_in-situ'!ER375</f>
        <v>-40.367064742679283</v>
      </c>
      <c r="AJ1971" s="113">
        <f>'Data_in-situ'!ES375</f>
        <v>4.0843551355325198</v>
      </c>
      <c r="AK1971" s="110">
        <f>'Data_in-situ'!ET375</f>
        <v>6</v>
      </c>
    </row>
    <row r="1972" spans="20:37" x14ac:dyDescent="0.3">
      <c r="T1972" s="113">
        <f>'Data_in-situ'!DN334</f>
        <v>319.73915567142052</v>
      </c>
      <c r="U1972" s="113">
        <f>'Data_in-situ'!DO334</f>
        <v>43.930407967061235</v>
      </c>
      <c r="V1972" s="46">
        <f>'Data_in-situ'!DP334</f>
        <v>3</v>
      </c>
      <c r="W1972" s="113">
        <f>'Data_in-situ'!DR334</f>
        <v>51.711287050105334</v>
      </c>
      <c r="X1972" s="113">
        <f>'Data_in-situ'!DS334</f>
        <v>35.138864518591532</v>
      </c>
      <c r="Y1972" s="46">
        <f>'Data_in-situ'!DT334</f>
        <v>3</v>
      </c>
      <c r="AF1972" s="113">
        <f>'Data_in-situ'!EN376</f>
        <v>-25.327560341085523</v>
      </c>
      <c r="AG1972" s="113">
        <f>'Data_in-situ'!EO376</f>
        <v>3.7216854561993782</v>
      </c>
      <c r="AH1972" s="110">
        <f>'Data_in-situ'!EP376</f>
        <v>6</v>
      </c>
      <c r="AI1972" s="113">
        <f>'Data_in-situ'!ER376</f>
        <v>-38.138726825441289</v>
      </c>
      <c r="AJ1972" s="113">
        <f>'Data_in-situ'!ES376</f>
        <v>2.9417033415847209</v>
      </c>
      <c r="AK1972" s="110">
        <f>'Data_in-situ'!ET376</f>
        <v>6</v>
      </c>
    </row>
    <row r="1973" spans="20:37" x14ac:dyDescent="0.3">
      <c r="T1973" s="113">
        <f>'Data_in-situ'!DN335</f>
        <v>231.15879516066161</v>
      </c>
      <c r="U1973" s="113">
        <f>'Data_in-situ'!DO335</f>
        <v>29.849428994378311</v>
      </c>
      <c r="V1973" s="46">
        <f>'Data_in-situ'!DP335</f>
        <v>3</v>
      </c>
      <c r="W1973" s="113">
        <f>'Data_in-situ'!DR335</f>
        <v>36.322102883026695</v>
      </c>
      <c r="X1973" s="113">
        <f>'Data_in-situ'!DS335</f>
        <v>24.783672418143286</v>
      </c>
      <c r="Y1973" s="46">
        <f>'Data_in-situ'!DT335</f>
        <v>3</v>
      </c>
      <c r="AF1973" s="113">
        <f>'Data_in-situ'!EN377</f>
        <v>-25.327560341085523</v>
      </c>
      <c r="AG1973" s="113">
        <f>'Data_in-situ'!EO377</f>
        <v>3.7216854561993782</v>
      </c>
      <c r="AH1973" s="110">
        <f>'Data_in-situ'!EP377</f>
        <v>6</v>
      </c>
      <c r="AI1973" s="113">
        <f>'Data_in-situ'!ER377</f>
        <v>-44.870926010354054</v>
      </c>
      <c r="AJ1973" s="113">
        <f>'Data_in-situ'!ES377</f>
        <v>2.2702362142729355</v>
      </c>
      <c r="AK1973" s="110">
        <f>'Data_in-situ'!ET377</f>
        <v>6</v>
      </c>
    </row>
    <row r="1974" spans="20:37" x14ac:dyDescent="0.3">
      <c r="T1974" s="113">
        <f>'Data_in-situ'!DN361</f>
        <v>193.62208240634681</v>
      </c>
      <c r="U1974" s="113">
        <f>'Data_in-situ'!DO361</f>
        <v>614.14718799845184</v>
      </c>
      <c r="V1974" s="46">
        <f>'Data_in-situ'!DP361</f>
        <v>8</v>
      </c>
      <c r="W1974" s="113">
        <f>'Data_in-situ'!DR361</f>
        <v>-17.39938687312296</v>
      </c>
      <c r="X1974" s="113">
        <f>'Data_in-situ'!DS361</f>
        <v>20.727267101856409</v>
      </c>
      <c r="Y1974" s="46">
        <f>'Data_in-situ'!DT361</f>
        <v>8</v>
      </c>
      <c r="AF1974" s="113">
        <f>'Data_in-situ'!EN378</f>
        <v>-48.76169720736587</v>
      </c>
      <c r="AG1974" s="113">
        <f>'Data_in-situ'!EO378</f>
        <v>3.8844664928993486</v>
      </c>
      <c r="AH1974" s="110">
        <f>'Data_in-situ'!EP378</f>
        <v>6</v>
      </c>
      <c r="AI1974" s="113">
        <f>'Data_in-situ'!ER378</f>
        <v>-60.453706185710573</v>
      </c>
      <c r="AJ1974" s="113">
        <f>'Data_in-situ'!ES378</f>
        <v>3.5711359265362042</v>
      </c>
      <c r="AK1974" s="110">
        <f>'Data_in-situ'!ET378</f>
        <v>6</v>
      </c>
    </row>
    <row r="1975" spans="20:37" x14ac:dyDescent="0.3">
      <c r="T1975" s="113">
        <f>'Data_in-situ'!DN391</f>
        <v>441.33333333333337</v>
      </c>
      <c r="U1975" s="113">
        <f>'Data_in-situ'!DO391</f>
        <v>369.82923257339007</v>
      </c>
      <c r="V1975" s="46">
        <f>'Data_in-situ'!DP391</f>
        <v>4</v>
      </c>
      <c r="W1975" s="113">
        <f>'Data_in-situ'!DR391</f>
        <v>0</v>
      </c>
      <c r="X1975" s="113">
        <f>'Data_in-situ'!DS391</f>
        <v>0</v>
      </c>
      <c r="Y1975" s="46">
        <f>'Data_in-situ'!DT391</f>
        <v>4</v>
      </c>
      <c r="AF1975" s="113">
        <f>'Data_in-situ'!EN379</f>
        <v>-48.76169720736587</v>
      </c>
      <c r="AG1975" s="113">
        <f>'Data_in-situ'!EO379</f>
        <v>3.8844664928993486</v>
      </c>
      <c r="AH1975" s="110">
        <f>'Data_in-situ'!EP379</f>
        <v>6</v>
      </c>
      <c r="AI1975" s="113">
        <f>'Data_in-situ'!ER379</f>
        <v>-64.194692039592596</v>
      </c>
      <c r="AJ1975" s="113">
        <f>'Data_in-situ'!ES379</f>
        <v>3.0503400500711311</v>
      </c>
      <c r="AK1975" s="110">
        <f>'Data_in-situ'!ET379</f>
        <v>6</v>
      </c>
    </row>
    <row r="1976" spans="20:37" x14ac:dyDescent="0.3">
      <c r="T1976" s="113">
        <f>'Data_in-situ'!DN394</f>
        <v>3.0991760299625515</v>
      </c>
      <c r="U1976" s="113">
        <f>'Data_in-situ'!DO394</f>
        <v>0.97725273241836819</v>
      </c>
      <c r="V1976" s="46">
        <f>'Data_in-situ'!DP394</f>
        <v>4</v>
      </c>
      <c r="W1976" s="113">
        <f>'Data_in-situ'!DR394</f>
        <v>1.5322846441947573</v>
      </c>
      <c r="X1976" s="113">
        <f>'Data_in-situ'!DS394</f>
        <v>0.41650576982959864</v>
      </c>
      <c r="Y1976" s="46">
        <f>'Data_in-situ'!DT394</f>
        <v>4</v>
      </c>
      <c r="AF1976" s="113">
        <f>'Data_in-situ'!EN391</f>
        <v>-2</v>
      </c>
      <c r="AG1976" s="113">
        <f>'Data_in-situ'!EO391</f>
        <v>0.81499279750258669</v>
      </c>
      <c r="AH1976" s="110">
        <f>'Data_in-situ'!EP391</f>
        <v>4</v>
      </c>
      <c r="AI1976" s="113">
        <f>'Data_in-situ'!ER391</f>
        <v>-30</v>
      </c>
      <c r="AJ1976" s="113">
        <f>'Data_in-situ'!ES391</f>
        <v>6.8044216052758255</v>
      </c>
      <c r="AK1976" s="110">
        <f>'Data_in-situ'!ET391</f>
        <v>4</v>
      </c>
    </row>
    <row r="1977" spans="20:37" x14ac:dyDescent="0.3">
      <c r="T1977" s="113">
        <f>'Data_in-situ'!DN395</f>
        <v>3.0991760299625515</v>
      </c>
      <c r="U1977" s="113">
        <f>'Data_in-situ'!DO395</f>
        <v>0.97725273241836819</v>
      </c>
      <c r="V1977" s="46">
        <f>'Data_in-situ'!DP395</f>
        <v>4</v>
      </c>
      <c r="W1977" s="113">
        <f>'Data_in-situ'!DR395</f>
        <v>0.58179775280898871</v>
      </c>
      <c r="X1977" s="113">
        <f>'Data_in-situ'!DS395</f>
        <v>0.21030694588731111</v>
      </c>
      <c r="Y1977" s="46">
        <f>'Data_in-situ'!DT395</f>
        <v>4</v>
      </c>
      <c r="AF1977" s="113">
        <f>'Data_in-situ'!EN400</f>
        <v>8.6888471563287055</v>
      </c>
      <c r="AG1977" s="113">
        <f>'Data_in-situ'!EO400</f>
        <v>0.9459684366413168</v>
      </c>
      <c r="AH1977" s="110">
        <f>'Data_in-situ'!EP400</f>
        <v>8</v>
      </c>
      <c r="AI1977" s="113">
        <f>'Data_in-situ'!ER400</f>
        <v>-10.544207227786568</v>
      </c>
      <c r="AJ1977" s="113">
        <f>'Data_in-situ'!ES400</f>
        <v>3.1095266572641616</v>
      </c>
      <c r="AK1977" s="110">
        <f>'Data_in-situ'!ET400</f>
        <v>8</v>
      </c>
    </row>
    <row r="1978" spans="20:37" x14ac:dyDescent="0.3">
      <c r="T1978" s="113">
        <f>'Data_in-situ'!DN397</f>
        <v>94.039460020768402</v>
      </c>
      <c r="U1978" s="113">
        <f>'Data_in-situ'!DO397</f>
        <v>104.84264634093746</v>
      </c>
      <c r="V1978" s="46">
        <f>'Data_in-situ'!DP397</f>
        <v>1</v>
      </c>
      <c r="W1978" s="113">
        <f>'Data_in-situ'!DR397</f>
        <v>47.85046728971961</v>
      </c>
      <c r="X1978" s="113">
        <f>'Data_in-situ'!DS397</f>
        <v>178.82754606084828</v>
      </c>
      <c r="Y1978" s="46">
        <f>'Data_in-situ'!DT397</f>
        <v>1</v>
      </c>
      <c r="AF1978" s="113">
        <f>'Data_in-situ'!EN412</f>
        <v>-8.1</v>
      </c>
      <c r="AG1978" s="113">
        <f>'Data_in-situ'!EO412</f>
        <v>1.2</v>
      </c>
      <c r="AH1978" s="110">
        <f>'Data_in-situ'!EP412</f>
        <v>3</v>
      </c>
      <c r="AI1978" s="113">
        <f>'Data_in-situ'!ER412</f>
        <v>-13.1</v>
      </c>
      <c r="AJ1978" s="113">
        <f>'Data_in-situ'!ES412</f>
        <v>0.8</v>
      </c>
      <c r="AK1978" s="110">
        <f>'Data_in-situ'!ET412</f>
        <v>3</v>
      </c>
    </row>
    <row r="1979" spans="20:37" x14ac:dyDescent="0.3">
      <c r="T1979" s="113">
        <f>'Data_in-situ'!DN398</f>
        <v>84.070612668743479</v>
      </c>
      <c r="U1979" s="113">
        <f>'Data_in-situ'!DO398</f>
        <v>93.728584891368115</v>
      </c>
      <c r="V1979" s="46">
        <f>'Data_in-situ'!DP398</f>
        <v>1</v>
      </c>
      <c r="W1979" s="113">
        <f>'Data_in-situ'!DR398</f>
        <v>46.853582554517196</v>
      </c>
      <c r="X1979" s="113">
        <f>'Data_in-situ'!DS398</f>
        <v>175.10197218458089</v>
      </c>
      <c r="Y1979" s="46">
        <f>'Data_in-situ'!DT398</f>
        <v>1</v>
      </c>
      <c r="AF1979" s="113">
        <f>'Data_in-situ'!EN413</f>
        <v>-20.399999999999999</v>
      </c>
      <c r="AG1979" s="113">
        <f>'Data_in-situ'!EO413</f>
        <v>2.2999999999999998</v>
      </c>
      <c r="AH1979" s="110">
        <f>'Data_in-situ'!EP413</f>
        <v>3</v>
      </c>
      <c r="AI1979" s="113">
        <f>'Data_in-situ'!ER413</f>
        <v>-28.4</v>
      </c>
      <c r="AJ1979" s="113">
        <f>'Data_in-situ'!ES413</f>
        <v>3.2</v>
      </c>
      <c r="AK1979" s="110">
        <f>'Data_in-situ'!ET413</f>
        <v>3</v>
      </c>
    </row>
    <row r="1980" spans="20:37" x14ac:dyDescent="0.3">
      <c r="T1980" s="113">
        <f>'Data_in-situ'!DN399</f>
        <v>100.35306334371759</v>
      </c>
      <c r="U1980" s="113">
        <f>'Data_in-situ'!DO399</f>
        <v>111.88155192566481</v>
      </c>
      <c r="V1980" s="46">
        <f>'Data_in-situ'!DP399</f>
        <v>1</v>
      </c>
      <c r="W1980" s="113">
        <f>'Data_in-situ'!DR399</f>
        <v>50.176531671858797</v>
      </c>
      <c r="X1980" s="113">
        <f>'Data_in-situ'!DS399</f>
        <v>187.52055177213964</v>
      </c>
      <c r="Y1980" s="46">
        <f>'Data_in-situ'!DT399</f>
        <v>1</v>
      </c>
      <c r="AF1980" s="113">
        <f>'Data_in-situ'!EN432</f>
        <v>-14.226633581472301</v>
      </c>
      <c r="AG1980" s="113">
        <f>'Data_in-situ'!EO432</f>
        <v>0.84179554111043309</v>
      </c>
      <c r="AH1980" s="110">
        <f>'Data_in-situ'!EP432</f>
        <v>3</v>
      </c>
      <c r="AI1980" s="113">
        <f>'Data_in-situ'!ER432</f>
        <v>-56.100981767180912</v>
      </c>
      <c r="AJ1980" s="113">
        <f>'Data_in-situ'!ES432</f>
        <v>3.5983168804300347</v>
      </c>
      <c r="AK1980" s="110">
        <f>'Data_in-situ'!ET432</f>
        <v>3</v>
      </c>
    </row>
    <row r="1981" spans="20:37" x14ac:dyDescent="0.3">
      <c r="T1981" s="113">
        <f>'Data_in-situ'!DN400</f>
        <v>507.98367438755889</v>
      </c>
      <c r="U1981" s="113">
        <f>'Data_in-situ'!DO400</f>
        <v>309.25085319324296</v>
      </c>
      <c r="V1981" s="46">
        <f>'Data_in-situ'!DP400</f>
        <v>8</v>
      </c>
      <c r="W1981" s="113">
        <f>'Data_in-situ'!DR400</f>
        <v>12.765061923408211</v>
      </c>
      <c r="X1981" s="113">
        <f>'Data_in-situ'!DS400</f>
        <v>23.812364224373002</v>
      </c>
      <c r="Y1981" s="46">
        <f>'Data_in-situ'!DT400</f>
        <v>4</v>
      </c>
      <c r="AF1981" s="113">
        <f>'Data_in-situ'!EN433</f>
        <v>-12.821300563236036</v>
      </c>
      <c r="AG1981" s="113">
        <f>'Data_in-situ'!EO433</f>
        <v>0.77828981054787205</v>
      </c>
      <c r="AH1981" s="110">
        <f>'Data_in-situ'!EP433</f>
        <v>3</v>
      </c>
      <c r="AI1981" s="113">
        <f>'Data_in-situ'!ER433</f>
        <v>-49.305962854349943</v>
      </c>
      <c r="AJ1981" s="113">
        <f>'Data_in-situ'!ES433</f>
        <v>4.302708385623629</v>
      </c>
      <c r="AK1981" s="110">
        <f>'Data_in-situ'!ET433</f>
        <v>3</v>
      </c>
    </row>
    <row r="1982" spans="20:37" x14ac:dyDescent="0.3">
      <c r="T1982" s="113">
        <f>'Data_in-situ'!DN420</f>
        <v>132.85</v>
      </c>
      <c r="U1982" s="113">
        <f>'Data_in-situ'!DO420</f>
        <v>167.40306896828386</v>
      </c>
      <c r="V1982" s="46">
        <f>'Data_in-situ'!DP420</f>
        <v>3</v>
      </c>
      <c r="W1982" s="113">
        <f>'Data_in-situ'!DR420</f>
        <v>10.199999999999999</v>
      </c>
      <c r="X1982" s="113">
        <f>'Data_in-situ'!DS420</f>
        <v>15.571341196784134</v>
      </c>
      <c r="Y1982" s="46">
        <f>'Data_in-situ'!DT420</f>
        <v>3</v>
      </c>
      <c r="AF1982" s="113">
        <f>'Data_in-situ'!EN439</f>
        <v>-45.3</v>
      </c>
      <c r="AG1982" s="113">
        <f>'Data_in-situ'!EO439</f>
        <v>5.7157676649772942</v>
      </c>
      <c r="AH1982" s="110">
        <f>'Data_in-situ'!EP439</f>
        <v>3</v>
      </c>
      <c r="AI1982" s="113">
        <f>'Data_in-situ'!ER439</f>
        <v>-60.2</v>
      </c>
      <c r="AJ1982" s="113">
        <f>'Data_in-situ'!ES439</f>
        <v>4.676537180435969</v>
      </c>
      <c r="AK1982" s="110">
        <f>'Data_in-situ'!ET439</f>
        <v>3</v>
      </c>
    </row>
    <row r="1983" spans="20:37" x14ac:dyDescent="0.3">
      <c r="T1983" s="113">
        <f>'Data_in-situ'!DN421</f>
        <v>136.1</v>
      </c>
      <c r="U1983" s="113">
        <f>'Data_in-situ'!DO421</f>
        <v>88.336949611511187</v>
      </c>
      <c r="V1983" s="46">
        <f>'Data_in-situ'!DP421</f>
        <v>3</v>
      </c>
      <c r="W1983" s="113">
        <f>'Data_in-situ'!DR421</f>
        <v>18.149999999999999</v>
      </c>
      <c r="X1983" s="113">
        <f>'Data_in-situ'!DS421</f>
        <v>9.7939181808576166</v>
      </c>
      <c r="Y1983" s="46">
        <f>'Data_in-situ'!DT421</f>
        <v>3</v>
      </c>
      <c r="AF1983" s="113">
        <f>'Data_in-situ'!EN443</f>
        <v>-9</v>
      </c>
      <c r="AG1983" s="113">
        <f>'Data_in-situ'!EO443</f>
        <v>1.9</v>
      </c>
      <c r="AH1983" s="110">
        <f>'Data_in-situ'!EP443</f>
        <v>3</v>
      </c>
      <c r="AI1983" s="113">
        <f>'Data_in-situ'!ER443</f>
        <v>-37.76</v>
      </c>
      <c r="AJ1983" s="113">
        <f>'Data_in-situ'!ES443</f>
        <v>2.68</v>
      </c>
      <c r="AK1983" s="110">
        <f>'Data_in-situ'!ET443</f>
        <v>3</v>
      </c>
    </row>
    <row r="1984" spans="20:37" x14ac:dyDescent="0.3">
      <c r="T1984" s="113">
        <f>'Data_in-situ'!DN422</f>
        <v>136.1</v>
      </c>
      <c r="U1984" s="113">
        <f>'Data_in-situ'!DO422</f>
        <v>88.336949611511187</v>
      </c>
      <c r="V1984" s="46">
        <f>'Data_in-situ'!DP422</f>
        <v>3</v>
      </c>
      <c r="W1984" s="113">
        <f>'Data_in-situ'!DR422</f>
        <v>9.9</v>
      </c>
      <c r="X1984" s="113">
        <f>'Data_in-situ'!DS422</f>
        <v>15.571341196784134</v>
      </c>
      <c r="Y1984" s="46">
        <f>'Data_in-situ'!DT422</f>
        <v>3</v>
      </c>
      <c r="AF1984" s="113">
        <f>'Data_in-situ'!EN444</f>
        <v>-15</v>
      </c>
      <c r="AG1984" s="113">
        <f>'Data_in-situ'!EO444</f>
        <v>13</v>
      </c>
      <c r="AH1984" s="110">
        <f>'Data_in-situ'!EP444</f>
        <v>9836</v>
      </c>
      <c r="AI1984" s="113">
        <f>'Data_in-situ'!ER444</f>
        <v>-55</v>
      </c>
      <c r="AJ1984" s="113">
        <f>'Data_in-situ'!ES444</f>
        <v>15</v>
      </c>
      <c r="AK1984" s="110">
        <f>'Data_in-situ'!ET444</f>
        <v>14736</v>
      </c>
    </row>
    <row r="1985" spans="20:37" x14ac:dyDescent="0.3">
      <c r="T1985" s="113">
        <f>'Data_in-situ'!DN423</f>
        <v>136.1</v>
      </c>
      <c r="U1985" s="113">
        <f>'Data_in-situ'!DO423</f>
        <v>88.336949611511187</v>
      </c>
      <c r="V1985" s="46">
        <f>'Data_in-situ'!DP423</f>
        <v>3</v>
      </c>
      <c r="W1985" s="113">
        <f>'Data_in-situ'!DR423</f>
        <v>1</v>
      </c>
      <c r="X1985" s="113">
        <f>'Data_in-situ'!DS423</f>
        <v>5.0560195147302718</v>
      </c>
      <c r="Y1985" s="46">
        <f>'Data_in-situ'!DT423</f>
        <v>3</v>
      </c>
      <c r="AF1985" s="113">
        <f>'Data_in-situ'!EN445</f>
        <v>6</v>
      </c>
      <c r="AG1985" s="113">
        <f>'Data_in-situ'!EO445</f>
        <v>22</v>
      </c>
      <c r="AH1985" s="110">
        <f>'Data_in-situ'!EP445</f>
        <v>5</v>
      </c>
      <c r="AI1985" s="113">
        <f>'Data_in-situ'!ER445</f>
        <v>-39</v>
      </c>
      <c r="AJ1985" s="113">
        <f>'Data_in-situ'!ES445</f>
        <v>15</v>
      </c>
      <c r="AK1985" s="110">
        <f>'Data_in-situ'!ET445</f>
        <v>5</v>
      </c>
    </row>
    <row r="1986" spans="20:37" x14ac:dyDescent="0.3">
      <c r="T1986" s="113">
        <f>'Data_in-situ'!DN426</f>
        <v>34.4</v>
      </c>
      <c r="U1986" s="113">
        <f>'Data_in-situ'!DO426</f>
        <v>38.351847547101421</v>
      </c>
      <c r="V1986" s="46">
        <f>'Data_in-situ'!DP426</f>
        <v>4</v>
      </c>
      <c r="W1986" s="113">
        <f>'Data_in-situ'!DR426</f>
        <v>-3.0666666666666664</v>
      </c>
      <c r="X1986" s="113">
        <f>'Data_in-situ'!DS426</f>
        <v>11.46079663686843</v>
      </c>
      <c r="Y1986" s="46">
        <f>'Data_in-situ'!DT426</f>
        <v>4</v>
      </c>
      <c r="AF1986" s="113">
        <f>'Data_in-situ'!EN446</f>
        <v>6</v>
      </c>
      <c r="AG1986" s="113">
        <f>'Data_in-situ'!EO446</f>
        <v>22</v>
      </c>
      <c r="AH1986" s="110">
        <f>'Data_in-situ'!EP446</f>
        <v>5</v>
      </c>
      <c r="AI1986" s="113">
        <f>'Data_in-situ'!ER446</f>
        <v>-21</v>
      </c>
      <c r="AJ1986" s="113">
        <f>'Data_in-situ'!ES446</f>
        <v>18</v>
      </c>
      <c r="AK1986" s="110">
        <f>'Data_in-situ'!ET446</f>
        <v>5</v>
      </c>
    </row>
    <row r="1987" spans="20:37" x14ac:dyDescent="0.3">
      <c r="T1987" s="113">
        <f>'Data_in-situ'!DN427</f>
        <v>34.4</v>
      </c>
      <c r="U1987" s="113">
        <f>'Data_in-situ'!DO427</f>
        <v>38.351847547101421</v>
      </c>
      <c r="V1987" s="46">
        <f>'Data_in-situ'!DP427</f>
        <v>4</v>
      </c>
      <c r="W1987" s="113">
        <f>'Data_in-situ'!DR427</f>
        <v>0.16</v>
      </c>
      <c r="X1987" s="113">
        <f>'Data_in-situ'!DS427</f>
        <v>0.5979546071409616</v>
      </c>
      <c r="Y1987" s="46">
        <f>'Data_in-situ'!DT427</f>
        <v>4</v>
      </c>
    </row>
    <row r="1988" spans="20:37" x14ac:dyDescent="0.3">
      <c r="T1988" s="113">
        <f>'Data_in-situ'!DN428</f>
        <v>84.266666666666666</v>
      </c>
      <c r="U1988" s="113">
        <f>'Data_in-situ'!DO428</f>
        <v>93.947161433209686</v>
      </c>
      <c r="V1988" s="46">
        <f>'Data_in-situ'!DP428</f>
        <v>4</v>
      </c>
      <c r="W1988" s="113">
        <f>'Data_in-situ'!DR428</f>
        <v>-1.4666666666666668</v>
      </c>
      <c r="X1988" s="113">
        <f>'Data_in-situ'!DS428</f>
        <v>5.4812505654588151</v>
      </c>
      <c r="Y1988" s="46">
        <f>'Data_in-situ'!DT428</f>
        <v>4</v>
      </c>
    </row>
    <row r="1989" spans="20:37" x14ac:dyDescent="0.3">
      <c r="T1989" s="113">
        <f>'Data_in-situ'!DN429</f>
        <v>16</v>
      </c>
      <c r="U1989" s="113">
        <f>'Data_in-situ'!DO429</f>
        <v>17.838068626558801</v>
      </c>
      <c r="V1989" s="46">
        <f>'Data_in-situ'!DP429</f>
        <v>4</v>
      </c>
      <c r="W1989" s="113">
        <f>'Data_in-situ'!DR429</f>
        <v>-2.36</v>
      </c>
      <c r="X1989" s="113">
        <f>'Data_in-situ'!DS429</f>
        <v>8.8198304553291837</v>
      </c>
      <c r="Y1989" s="46">
        <f>'Data_in-situ'!DT429</f>
        <v>4</v>
      </c>
    </row>
    <row r="1990" spans="20:37" x14ac:dyDescent="0.3">
      <c r="T1990" s="113">
        <f>'Data_in-situ'!DN430</f>
        <v>11.866666666666667</v>
      </c>
      <c r="U1990" s="113">
        <f>'Data_in-situ'!DO430</f>
        <v>13.229900898031111</v>
      </c>
      <c r="V1990" s="46">
        <f>'Data_in-situ'!DP430</f>
        <v>4</v>
      </c>
      <c r="W1990" s="113">
        <f>'Data_in-situ'!DR430</f>
        <v>-0.6</v>
      </c>
      <c r="X1990" s="113">
        <f>'Data_in-situ'!DS430</f>
        <v>2.2423297767786057</v>
      </c>
      <c r="Y1990" s="46">
        <f>'Data_in-situ'!DT430</f>
        <v>4</v>
      </c>
    </row>
    <row r="1991" spans="20:37" x14ac:dyDescent="0.3">
      <c r="T1991" s="113">
        <f>'Data_in-situ'!DN431</f>
        <v>21.066666666666666</v>
      </c>
      <c r="U1991" s="113">
        <f>'Data_in-situ'!DO431</f>
        <v>23.486790358302422</v>
      </c>
      <c r="V1991" s="46">
        <f>'Data_in-situ'!DP431</f>
        <v>4</v>
      </c>
      <c r="W1991" s="113">
        <f>'Data_in-situ'!DR431</f>
        <v>-2.48</v>
      </c>
      <c r="X1991" s="113">
        <f>'Data_in-situ'!DS431</f>
        <v>9.2682964106849042</v>
      </c>
      <c r="Y1991" s="46">
        <f>'Data_in-situ'!DT431</f>
        <v>4</v>
      </c>
    </row>
    <row r="1992" spans="20:37" x14ac:dyDescent="0.3">
      <c r="T1992" s="113">
        <f>'Data_in-situ'!DN432</f>
        <v>75.653333333333322</v>
      </c>
      <c r="U1992" s="113">
        <f>'Data_in-situ'!DO432</f>
        <v>22.585942530698158</v>
      </c>
      <c r="V1992" s="46">
        <f>'Data_in-situ'!DP432</f>
        <v>3</v>
      </c>
      <c r="W1992" s="113">
        <f>'Data_in-situ'!DR432</f>
        <v>1.9466666666666665</v>
      </c>
      <c r="X1992" s="113">
        <f>'Data_in-situ'!DS432</f>
        <v>8.1752798117251011</v>
      </c>
      <c r="Y1992" s="46">
        <f>'Data_in-situ'!DT432</f>
        <v>3</v>
      </c>
    </row>
    <row r="1993" spans="20:37" x14ac:dyDescent="0.3">
      <c r="T1993" s="113">
        <f>'Data_in-situ'!DN433</f>
        <v>36.813333333333333</v>
      </c>
      <c r="U1993" s="113">
        <f>'Data_in-situ'!DO433</f>
        <v>5.8889727457341818</v>
      </c>
      <c r="V1993" s="46">
        <f>'Data_in-situ'!DP433</f>
        <v>3</v>
      </c>
      <c r="W1993" s="113">
        <f>'Data_in-situ'!DR433</f>
        <v>0.97333333333333327</v>
      </c>
      <c r="X1993" s="113">
        <f>'Data_in-situ'!DS433</f>
        <v>1.1777945491468365</v>
      </c>
      <c r="Y1993" s="46">
        <f>'Data_in-situ'!DT433</f>
        <v>3</v>
      </c>
    </row>
    <row r="1994" spans="20:37" x14ac:dyDescent="0.3">
      <c r="T1994" s="113">
        <f>'Data_in-situ'!DN434</f>
        <v>198.66666666666666</v>
      </c>
      <c r="U1994" s="113">
        <f>'Data_in-situ'!DO434</f>
        <v>221.4893521131051</v>
      </c>
      <c r="V1994" s="46">
        <f>'Data_in-situ'!DP434</f>
        <v>3</v>
      </c>
      <c r="W1994" s="113">
        <f>'Data_in-situ'!DR434</f>
        <v>2.8000000000000003</v>
      </c>
      <c r="X1994" s="113">
        <f>'Data_in-situ'!DS434</f>
        <v>10.464205624966828</v>
      </c>
      <c r="Y1994" s="46">
        <f>'Data_in-situ'!DT434</f>
        <v>3</v>
      </c>
    </row>
    <row r="1995" spans="20:37" x14ac:dyDescent="0.3">
      <c r="T1995" s="113">
        <f>'Data_in-situ'!DN435</f>
        <v>345.33333333333331</v>
      </c>
      <c r="U1995" s="113">
        <f>'Data_in-situ'!DO435</f>
        <v>385.00498118989412</v>
      </c>
      <c r="V1995" s="46">
        <f>'Data_in-situ'!DP435</f>
        <v>3</v>
      </c>
      <c r="W1995" s="113">
        <f>'Data_in-situ'!DR435</f>
        <v>1.3333333333333333</v>
      </c>
      <c r="X1995" s="113">
        <f>'Data_in-situ'!DS435</f>
        <v>4.9829550595080132</v>
      </c>
      <c r="Y1995" s="46">
        <f>'Data_in-situ'!DT435</f>
        <v>3</v>
      </c>
    </row>
    <row r="1996" spans="20:37" x14ac:dyDescent="0.3">
      <c r="T1996" s="113">
        <f>'Data_in-situ'!DN436</f>
        <v>1745.8411157183666</v>
      </c>
      <c r="U1996" s="113">
        <f>'Data_in-situ'!DO436</f>
        <v>3724.2538477145881</v>
      </c>
      <c r="V1996" s="46">
        <f>'Data_in-situ'!DP436</f>
        <v>34</v>
      </c>
      <c r="W1996" s="113">
        <f>'Data_in-situ'!DR436</f>
        <v>-3.7758090112974552</v>
      </c>
      <c r="X1996" s="113">
        <f>'Data_in-situ'!DS436</f>
        <v>115.31009388698878</v>
      </c>
      <c r="Y1996" s="46">
        <f>'Data_in-situ'!DT436</f>
        <v>9</v>
      </c>
    </row>
    <row r="1997" spans="20:37" x14ac:dyDescent="0.3">
      <c r="T1997" s="113">
        <f>'Data_in-situ'!DN437</f>
        <v>199.12</v>
      </c>
      <c r="U1997" s="113">
        <f>'Data_in-situ'!DO437</f>
        <v>39.04</v>
      </c>
      <c r="V1997" s="46">
        <f>'Data_in-situ'!DP437</f>
        <v>3</v>
      </c>
      <c r="W1997" s="113">
        <f>'Data_in-situ'!DR437</f>
        <v>-1.37</v>
      </c>
      <c r="X1997" s="113">
        <f>'Data_in-situ'!DS437</f>
        <v>0.68</v>
      </c>
      <c r="Y1997" s="46">
        <f>'Data_in-situ'!DT437</f>
        <v>3</v>
      </c>
    </row>
    <row r="1998" spans="20:37" x14ac:dyDescent="0.3">
      <c r="T1998" s="113">
        <f>'Data_in-situ'!DN438</f>
        <v>199.12</v>
      </c>
      <c r="U1998" s="113">
        <f>'Data_in-situ'!DO438</f>
        <v>39.04</v>
      </c>
      <c r="V1998" s="46">
        <f>'Data_in-situ'!DP438</f>
        <v>3</v>
      </c>
      <c r="W1998" s="113">
        <f>'Data_in-situ'!DR438</f>
        <v>94.82</v>
      </c>
      <c r="X1998" s="113">
        <f>'Data_in-situ'!DS438</f>
        <v>9.86</v>
      </c>
      <c r="Y1998" s="46">
        <f>'Data_in-situ'!DT438</f>
        <v>3</v>
      </c>
    </row>
    <row r="1999" spans="20:37" x14ac:dyDescent="0.3">
      <c r="T1999" s="113">
        <f>'Data_in-situ'!DN441</f>
        <v>172</v>
      </c>
      <c r="U1999" s="113">
        <f>'Data_in-situ'!DO441</f>
        <v>22</v>
      </c>
      <c r="V1999" s="46">
        <f>'Data_in-situ'!DP441</f>
        <v>6</v>
      </c>
      <c r="W1999" s="113">
        <f>'Data_in-situ'!DR441</f>
        <v>1.5</v>
      </c>
      <c r="X1999" s="113">
        <f>'Data_in-situ'!DS441</f>
        <v>1.6</v>
      </c>
      <c r="Y1999" s="46">
        <f>'Data_in-situ'!DT441</f>
        <v>6</v>
      </c>
    </row>
    <row r="2000" spans="20:37" x14ac:dyDescent="0.3">
      <c r="T2000" s="113">
        <f>'Data_in-situ'!DN442</f>
        <v>172</v>
      </c>
      <c r="U2000" s="113">
        <f>'Data_in-situ'!DO442</f>
        <v>22</v>
      </c>
      <c r="V2000" s="46">
        <f>'Data_in-situ'!DP442</f>
        <v>6</v>
      </c>
      <c r="W2000" s="113">
        <f>'Data_in-situ'!DR442</f>
        <v>-1.4</v>
      </c>
      <c r="X2000" s="113">
        <f>'Data_in-situ'!DS442</f>
        <v>1.5</v>
      </c>
      <c r="Y2000" s="46">
        <f>'Data_in-situ'!DT442</f>
        <v>6</v>
      </c>
    </row>
    <row r="2001" spans="1:37" x14ac:dyDescent="0.3">
      <c r="T2001" s="113">
        <f>'Data_in-situ'!DN443</f>
        <v>172</v>
      </c>
      <c r="U2001" s="113">
        <f>'Data_in-situ'!DO443</f>
        <v>22</v>
      </c>
      <c r="V2001" s="46">
        <f>'Data_in-situ'!DP443</f>
        <v>6</v>
      </c>
      <c r="W2001" s="113">
        <f>'Data_in-situ'!DR443</f>
        <v>-0.6</v>
      </c>
      <c r="X2001" s="113">
        <f>'Data_in-situ'!DS443</f>
        <v>0.65</v>
      </c>
      <c r="Y2001" s="46">
        <f>'Data_in-situ'!DT443</f>
        <v>4</v>
      </c>
    </row>
    <row r="2002" spans="1:37" x14ac:dyDescent="0.3">
      <c r="T2002" s="113">
        <f>'Data_in-situ'!DN444</f>
        <v>1231.8452874333798</v>
      </c>
      <c r="U2002" s="113">
        <f>'Data_in-situ'!DO444</f>
        <v>2386.9642276450431</v>
      </c>
      <c r="V2002" s="46">
        <f>'Data_in-situ'!DP444</f>
        <v>46</v>
      </c>
      <c r="W2002" s="113">
        <f>'Data_in-situ'!DR444</f>
        <v>23.778911502590674</v>
      </c>
      <c r="X2002" s="113">
        <f>'Data_in-situ'!DS444</f>
        <v>31.04286769933886</v>
      </c>
      <c r="Y2002" s="46">
        <f>'Data_in-situ'!DT444</f>
        <v>53</v>
      </c>
    </row>
    <row r="2003" spans="1:37" x14ac:dyDescent="0.3">
      <c r="T2003" s="113">
        <f>'Data_in-situ'!DN445</f>
        <v>434.70588235294116</v>
      </c>
      <c r="U2003" s="113">
        <f>'Data_in-situ'!DO445</f>
        <v>437.34858971687066</v>
      </c>
      <c r="V2003" s="46">
        <f>'Data_in-situ'!DP445</f>
        <v>5</v>
      </c>
      <c r="W2003" s="113">
        <f>'Data_in-situ'!DR445</f>
        <v>78.82352941176471</v>
      </c>
      <c r="X2003" s="113">
        <f>'Data_in-situ'!DS445</f>
        <v>78.92004626469847</v>
      </c>
      <c r="Y2003" s="46">
        <f>'Data_in-situ'!DT445</f>
        <v>5</v>
      </c>
    </row>
    <row r="2004" spans="1:37" x14ac:dyDescent="0.3">
      <c r="T2004" s="113">
        <f>'Data_in-situ'!DN446</f>
        <v>434.70588235294116</v>
      </c>
      <c r="U2004" s="113">
        <f>'Data_in-situ'!DO446</f>
        <v>437.34858971687066</v>
      </c>
      <c r="V2004" s="46">
        <f>'Data_in-situ'!DP446</f>
        <v>5</v>
      </c>
      <c r="W2004" s="113">
        <f>'Data_in-situ'!DR446</f>
        <v>225.58823529411765</v>
      </c>
      <c r="X2004" s="113">
        <f>'Data_in-situ'!DS446</f>
        <v>225.57979890659644</v>
      </c>
      <c r="Y2004" s="46">
        <f>'Data_in-situ'!DT446</f>
        <v>5</v>
      </c>
    </row>
    <row r="2006" spans="1:37" x14ac:dyDescent="0.3">
      <c r="A2006" s="110" t="s">
        <v>831</v>
      </c>
      <c r="B2006" s="24">
        <f>AVERAGEA(B1845:B2004)</f>
        <v>-16301.006924449148</v>
      </c>
      <c r="C2006" s="24">
        <f>STDEVA(B1845:B2004)/SQRT(COUNT(B1845:B2004))</f>
        <v>2664.0192407362547</v>
      </c>
      <c r="D2006" s="46">
        <f>COUNT(B1845:B2004)</f>
        <v>27</v>
      </c>
      <c r="E2006" s="24">
        <f>AVERAGEA(E1845:E2004)</f>
        <v>-15787.601977557028</v>
      </c>
      <c r="F2006" s="24">
        <f>STDEVA(E1845:E2004)/SQRT(COUNT(E1845:E2004))</f>
        <v>2364.4054810483349</v>
      </c>
      <c r="G2006" s="46">
        <f>COUNT(E1845:E2004)</f>
        <v>27</v>
      </c>
      <c r="H2006" s="24">
        <f>AVERAGEA(H1845:H2004)</f>
        <v>13224.223866443277</v>
      </c>
      <c r="I2006" s="24">
        <f>STDEVA(H1845:H2004)/SQRT(COUNT(H1845:H2004))</f>
        <v>2284.0410335065048</v>
      </c>
      <c r="J2006" s="46">
        <f>COUNT(H1845:H2004)</f>
        <v>27</v>
      </c>
      <c r="K2006" s="24">
        <f>AVERAGEA(K1845:K2004)</f>
        <v>14577.654291769562</v>
      </c>
      <c r="L2006" s="24">
        <f>STDEVA(K1845:K2004)/SQRT(COUNT(K1845:K2004))</f>
        <v>2480.2796894377566</v>
      </c>
      <c r="M2006" s="46">
        <f>COUNT(K1845:K2004)</f>
        <v>27</v>
      </c>
      <c r="N2006" s="24">
        <f>AVERAGEA(N1845:N2004)</f>
        <v>-2334.1875331054835</v>
      </c>
      <c r="O2006" s="24">
        <f>STDEVA(N1845:N2004)/SQRT(COUNT(N1845:N2004))</f>
        <v>439.01476703676394</v>
      </c>
      <c r="P2006" s="46">
        <f>COUNT(N1845:N2004)</f>
        <v>47</v>
      </c>
      <c r="Q2006" s="24">
        <f>AVERAGEA(Q1845:Q2004)</f>
        <v>274.16211144215242</v>
      </c>
      <c r="R2006" s="24">
        <f>STDEVA(Q1845:Q2004)/SQRT(COUNT(Q1845:Q2004))</f>
        <v>795.87884744893847</v>
      </c>
      <c r="S2006" s="46">
        <f>COUNT(Q1845:Q2004)</f>
        <v>47</v>
      </c>
      <c r="T2006" s="113">
        <f>AVERAGEA(T1845:T2004)</f>
        <v>233.32878124935399</v>
      </c>
      <c r="U2006" s="113">
        <f>STDEVA(T1845:T2004)/SQRT(COUNT(T1845:T2004))</f>
        <v>30.429305623194864</v>
      </c>
      <c r="V2006" s="46">
        <f>COUNT(T1845:T2004)</f>
        <v>144</v>
      </c>
      <c r="W2006" s="113">
        <f>AVERAGEA(W1845:W2004)</f>
        <v>15.679173907659797</v>
      </c>
      <c r="X2006" s="113">
        <f>STDEVA(W1845:W2004)/SQRT(COUNT(W1845:W2004))</f>
        <v>3.4940873388600906</v>
      </c>
      <c r="Y2006" s="46">
        <f>COUNT(W1845:W2004)</f>
        <v>144</v>
      </c>
      <c r="Z2006" s="113">
        <f>AVERAGEA(Z1845:Z2004)</f>
        <v>0.72896571098987728</v>
      </c>
      <c r="AA2006" s="113">
        <f>STDEVA(Z1845:Z2004)/SQRT(COUNT(Z1845:Z2004))</f>
        <v>0.18918913654814742</v>
      </c>
      <c r="AB2006" s="46">
        <f>COUNT(Z1845:Z2004)</f>
        <v>82</v>
      </c>
      <c r="AC2006" s="113">
        <f>AVERAGEA(AC1845:AC2004)</f>
        <v>4.291855014538446</v>
      </c>
      <c r="AD2006" s="113">
        <f>STDEVA(AC1845:AC2004)/SQRT(COUNT(AC1845:AC2004))</f>
        <v>0.78460941352324765</v>
      </c>
      <c r="AE2006" s="46">
        <f>COUNT(AC1845:AC2004)</f>
        <v>82</v>
      </c>
      <c r="AF2006" s="113">
        <f>AVERAGEA(AF1845:AF2004)</f>
        <v>-10.378249910442754</v>
      </c>
      <c r="AG2006" s="113">
        <f>STDEVA(AF1845:AF2004)/SQRT(COUNT(AF1845:AF2004))</f>
        <v>2.1768525612027996</v>
      </c>
      <c r="AH2006" s="46">
        <f>COUNT(AF1845:AF2004)</f>
        <v>142</v>
      </c>
      <c r="AI2006" s="113">
        <f>AVERAGEA(AI1845:AI2004)</f>
        <v>-44.607198715161168</v>
      </c>
      <c r="AJ2006" s="113">
        <f>STDEVA(AI1845:AI2004)/SQRT(COUNT(AI1845:AI2004))</f>
        <v>2.0780148914571539</v>
      </c>
      <c r="AK2006" s="46">
        <f>COUNT(AI1845:AI2004)</f>
        <v>142</v>
      </c>
    </row>
    <row r="2008" spans="1:37" x14ac:dyDescent="0.3">
      <c r="A2008" s="110" t="s">
        <v>841</v>
      </c>
      <c r="B2008" s="24">
        <f>'Data_in-situ'!CA35</f>
        <v>-9117.2313953462108</v>
      </c>
      <c r="C2008" s="24">
        <f>'Data_in-situ'!CB35</f>
        <v>2424.3247606001519</v>
      </c>
      <c r="D2008" s="46">
        <f>'Data_in-situ'!CC35</f>
        <v>3</v>
      </c>
      <c r="E2008" s="24">
        <f>'Data_in-situ'!CE35</f>
        <v>-4187.6052363562967</v>
      </c>
      <c r="F2008" s="24">
        <f>'Data_in-situ'!CF35</f>
        <v>3018.5350952743552</v>
      </c>
      <c r="G2008" s="46">
        <f>'Data_in-situ'!CG35</f>
        <v>3</v>
      </c>
      <c r="H2008" s="24">
        <f>'Data_in-situ'!CN35</f>
        <v>12663.516770662041</v>
      </c>
      <c r="I2008" s="24">
        <f>'Data_in-situ'!CO35</f>
        <v>2211.9149588307</v>
      </c>
      <c r="J2008" s="46">
        <f>'Data_in-situ'!CP35</f>
        <v>3</v>
      </c>
      <c r="K2008" s="24">
        <f>'Data_in-situ'!CR35</f>
        <v>8364.4600190841793</v>
      </c>
      <c r="L2008" s="24">
        <f>'Data_in-situ'!CS35</f>
        <v>6024.8326143304821</v>
      </c>
      <c r="M2008" s="46">
        <f>'Data_in-situ'!CT35</f>
        <v>3</v>
      </c>
      <c r="N2008" s="24">
        <f>'Data_in-situ'!DA32</f>
        <v>8950.3333333333303</v>
      </c>
      <c r="O2008" s="24">
        <f>'Data_in-situ'!DB32</f>
        <v>4633.1130043536723</v>
      </c>
      <c r="P2008" s="46">
        <f>'Data_in-situ'!DC32</f>
        <v>6</v>
      </c>
      <c r="Q2008" s="24">
        <f>'Data_in-situ'!DE32</f>
        <v>19004.333333333336</v>
      </c>
      <c r="R2008" s="24">
        <f>'Data_in-situ'!DF32</f>
        <v>11808.648436162748</v>
      </c>
      <c r="S2008" s="46">
        <f>'Data_in-situ'!DG32</f>
        <v>6</v>
      </c>
      <c r="T2008" s="113">
        <f>'Data_in-situ'!DN32</f>
        <v>88</v>
      </c>
      <c r="U2008" s="113">
        <f>'Data_in-situ'!DO32</f>
        <v>60.472215842392352</v>
      </c>
      <c r="V2008" s="46">
        <f>'Data_in-situ'!DP32</f>
        <v>6</v>
      </c>
      <c r="W2008" s="113">
        <f>'Data_in-situ'!DR32</f>
        <v>-2</v>
      </c>
      <c r="X2008" s="113">
        <f>'Data_in-situ'!DS32</f>
        <v>5.9628479399994392</v>
      </c>
      <c r="Y2008" s="46">
        <f>'Data_in-situ'!DT32</f>
        <v>6</v>
      </c>
      <c r="Z2008" s="113">
        <f>'Data_in-situ'!EA86</f>
        <v>-1.4600000000000002E-2</v>
      </c>
      <c r="AA2008" s="113">
        <f>'Data_in-situ'!EB86</f>
        <v>8.8257000000000002E-2</v>
      </c>
      <c r="AB2008" s="46">
        <f>'Data_in-situ'!EC86</f>
        <v>3</v>
      </c>
      <c r="AC2008" s="113">
        <f>'Data_in-situ'!EE86</f>
        <v>7.8840000000000004E-3</v>
      </c>
      <c r="AD2008" s="113">
        <f>'Data_in-situ'!EF86</f>
        <v>4.9822500000000006E-2</v>
      </c>
      <c r="AE2008" s="46">
        <f>'Data_in-situ'!EG86</f>
        <v>3</v>
      </c>
      <c r="AF2008" s="113">
        <f>'Data_in-situ'!EN32</f>
        <v>-15.3</v>
      </c>
      <c r="AG2008" s="113">
        <f>'Data_in-situ'!EO32</f>
        <v>3.2</v>
      </c>
      <c r="AH2008" s="110">
        <f>'Data_in-situ'!EP32</f>
        <v>6</v>
      </c>
      <c r="AI2008" s="113">
        <f>'Data_in-situ'!ER32</f>
        <v>-47.7</v>
      </c>
      <c r="AJ2008" s="113">
        <f>'Data_in-situ'!ES32</f>
        <v>6.2</v>
      </c>
      <c r="AK2008" s="110">
        <f>'Data_in-situ'!ET32</f>
        <v>6</v>
      </c>
    </row>
    <row r="2009" spans="1:37" x14ac:dyDescent="0.3">
      <c r="B2009" s="24">
        <f>'Data_in-situ'!CA36</f>
        <v>-9117.2313953462108</v>
      </c>
      <c r="C2009" s="24">
        <f>'Data_in-situ'!CB36</f>
        <v>2424.3247606001519</v>
      </c>
      <c r="D2009" s="46">
        <f>'Data_in-situ'!CC36</f>
        <v>3</v>
      </c>
      <c r="E2009" s="24">
        <f>'Data_in-situ'!CE36</f>
        <v>-11061.598737544933</v>
      </c>
      <c r="F2009" s="24">
        <f>'Data_in-situ'!CF36</f>
        <v>1546.857501085957</v>
      </c>
      <c r="G2009" s="46">
        <f>'Data_in-situ'!CG36</f>
        <v>3</v>
      </c>
      <c r="H2009" s="24">
        <f>'Data_in-situ'!CN36</f>
        <v>12663.516770662041</v>
      </c>
      <c r="I2009" s="24">
        <f>'Data_in-situ'!CO36</f>
        <v>2211.9149588307</v>
      </c>
      <c r="J2009" s="46">
        <f>'Data_in-situ'!CP36</f>
        <v>3</v>
      </c>
      <c r="K2009" s="24">
        <f>'Data_in-situ'!CR36</f>
        <v>13557.778602361719</v>
      </c>
      <c r="L2009" s="24">
        <f>'Data_in-situ'!CS36</f>
        <v>1534.7793518535277</v>
      </c>
      <c r="M2009" s="46">
        <f>'Data_in-situ'!CT36</f>
        <v>3</v>
      </c>
      <c r="N2009" s="24">
        <f>'Data_in-situ'!DA35</f>
        <v>3546.2853753158306</v>
      </c>
      <c r="O2009" s="24">
        <f>'Data_in-situ'!DB35</f>
        <v>5941.7227544878542</v>
      </c>
      <c r="P2009" s="46">
        <f>'Data_in-situ'!DC35</f>
        <v>3</v>
      </c>
      <c r="Q2009" s="24">
        <f>'Data_in-situ'!DE35</f>
        <v>4176.8547827278826</v>
      </c>
      <c r="R2009" s="24">
        <f>'Data_in-situ'!DF35</f>
        <v>748.67399248676202</v>
      </c>
      <c r="S2009" s="46">
        <f>'Data_in-situ'!DG35</f>
        <v>3</v>
      </c>
      <c r="T2009" s="113">
        <f>'Data_in-situ'!DN53</f>
        <v>5.3866851938273443</v>
      </c>
      <c r="U2009" s="113">
        <f>'Data_in-situ'!DO53</f>
        <v>4.268024043852261</v>
      </c>
      <c r="V2009" s="46">
        <f>'Data_in-situ'!DP53</f>
        <v>3</v>
      </c>
      <c r="W2009" s="113">
        <f>'Data_in-situ'!DR53</f>
        <v>3.9980588354062441</v>
      </c>
      <c r="X2009" s="113">
        <f>'Data_in-situ'!DS53</f>
        <v>4.3503115567651003</v>
      </c>
      <c r="Y2009" s="46">
        <f>'Data_in-situ'!DT53</f>
        <v>3</v>
      </c>
      <c r="Z2009" s="113">
        <f>'Data_in-situ'!EA87</f>
        <v>7.3730000000000004E-2</v>
      </c>
      <c r="AA2009" s="113">
        <f>'Data_in-situ'!EB87</f>
        <v>3.5076500000000004E-2</v>
      </c>
      <c r="AB2009" s="46">
        <f>'Data_in-situ'!EC87</f>
        <v>3</v>
      </c>
      <c r="AC2009" s="113">
        <f>'Data_in-situ'!EE87</f>
        <v>8.0263499999999988E-2</v>
      </c>
      <c r="AD2009" s="113">
        <f>'Data_in-situ'!EF87</f>
        <v>2.8396999999999999E-2</v>
      </c>
      <c r="AE2009" s="46">
        <f>'Data_in-situ'!EG87</f>
        <v>3</v>
      </c>
      <c r="AF2009" s="113">
        <f>'Data_in-situ'!EN35</f>
        <v>-38</v>
      </c>
      <c r="AG2009" s="113">
        <f>'Data_in-situ'!EO35</f>
        <v>7.6</v>
      </c>
      <c r="AH2009" s="110">
        <f>'Data_in-situ'!EP35</f>
        <v>3</v>
      </c>
      <c r="AI2009" s="113">
        <f>'Data_in-situ'!ER35</f>
        <v>-73</v>
      </c>
      <c r="AJ2009" s="113">
        <f>'Data_in-situ'!ES35</f>
        <v>10.3</v>
      </c>
      <c r="AK2009" s="110">
        <f>'Data_in-situ'!ET35</f>
        <v>3</v>
      </c>
    </row>
    <row r="2010" spans="1:37" x14ac:dyDescent="0.3">
      <c r="B2010" s="24">
        <f>'Data_in-situ'!CA37</f>
        <v>-10940.677674415452</v>
      </c>
      <c r="C2010" s="24">
        <f>'Data_in-situ'!CB37</f>
        <v>3587.5182834567399</v>
      </c>
      <c r="D2010" s="46">
        <f>'Data_in-situ'!CC37</f>
        <v>3</v>
      </c>
      <c r="E2010" s="24">
        <f>'Data_in-situ'!CE37</f>
        <v>-1303.6884226392244</v>
      </c>
      <c r="F2010" s="24">
        <f>'Data_in-situ'!CF37</f>
        <v>1460.696181049753</v>
      </c>
      <c r="G2010" s="46">
        <f>'Data_in-situ'!CG37</f>
        <v>3</v>
      </c>
      <c r="H2010" s="24">
        <f>'Data_in-situ'!CN37</f>
        <v>12156.97609983556</v>
      </c>
      <c r="I2010" s="24">
        <f>'Data_in-situ'!CO37</f>
        <v>3352.7816659818532</v>
      </c>
      <c r="J2010" s="46">
        <f>'Data_in-situ'!CP37</f>
        <v>3</v>
      </c>
      <c r="K2010" s="24">
        <f>'Data_in-situ'!CR37</f>
        <v>7583.1643030158775</v>
      </c>
      <c r="L2010" s="24">
        <f>'Data_in-situ'!CS37</f>
        <v>4282.3014654243434</v>
      </c>
      <c r="M2010" s="46">
        <f>'Data_in-situ'!CT37</f>
        <v>3</v>
      </c>
      <c r="N2010" s="24">
        <f>'Data_in-situ'!DA36</f>
        <v>3546.2853753158306</v>
      </c>
      <c r="O2010" s="24">
        <f>'Data_in-situ'!DB36</f>
        <v>5941.7227544878542</v>
      </c>
      <c r="P2010" s="46">
        <f>'Data_in-situ'!DC36</f>
        <v>3</v>
      </c>
      <c r="Q2010" s="24">
        <f>'Data_in-situ'!DE36</f>
        <v>2496.179864816786</v>
      </c>
      <c r="R2010" s="24">
        <f>'Data_in-situ'!DF36</f>
        <v>441.86562565211784</v>
      </c>
      <c r="S2010" s="46">
        <f>'Data_in-situ'!DG36</f>
        <v>3</v>
      </c>
      <c r="T2010" s="113">
        <f>'Data_in-situ'!DN54</f>
        <v>5.3866851938273443</v>
      </c>
      <c r="U2010" s="113">
        <f>'Data_in-situ'!DO54</f>
        <v>4.268024043852261</v>
      </c>
      <c r="V2010" s="46">
        <f>'Data_in-situ'!DP54</f>
        <v>3</v>
      </c>
      <c r="W2010" s="113">
        <f>'Data_in-situ'!DR54</f>
        <v>2.6938792153004636</v>
      </c>
      <c r="X2010" s="113">
        <f>'Data_in-situ'!DS54</f>
        <v>4.3447601701580973</v>
      </c>
      <c r="Y2010" s="46">
        <f>'Data_in-situ'!DT54</f>
        <v>3</v>
      </c>
      <c r="Z2010" s="113">
        <f>'Data_in-situ'!EA94</f>
        <v>1.5714285714285715E-2</v>
      </c>
      <c r="AA2010" s="113">
        <f>'Data_in-situ'!EB94</f>
        <v>9.0356781150237736E-2</v>
      </c>
      <c r="AB2010" s="46">
        <f>'Data_in-situ'!EC94</f>
        <v>3</v>
      </c>
      <c r="AC2010" s="113">
        <f>'Data_in-situ'!EE94</f>
        <v>1.7285714285714286E-2</v>
      </c>
      <c r="AD2010" s="113">
        <f>'Data_in-situ'!EF94</f>
        <v>2.5809980740261605E-2</v>
      </c>
      <c r="AE2010" s="46">
        <f>'Data_in-situ'!EG94</f>
        <v>3</v>
      </c>
      <c r="AF2010" s="113">
        <f>'Data_in-situ'!EN36</f>
        <v>-38</v>
      </c>
      <c r="AG2010" s="113">
        <f>'Data_in-situ'!EO36</f>
        <v>7.6</v>
      </c>
      <c r="AH2010" s="110">
        <f>'Data_in-situ'!EP36</f>
        <v>3</v>
      </c>
      <c r="AI2010" s="113">
        <f>'Data_in-situ'!ER36</f>
        <v>-112</v>
      </c>
      <c r="AJ2010" s="113">
        <f>'Data_in-situ'!ES36</f>
        <v>15.2</v>
      </c>
      <c r="AK2010" s="110">
        <f>'Data_in-situ'!ET36</f>
        <v>3</v>
      </c>
    </row>
    <row r="2011" spans="1:37" x14ac:dyDescent="0.3">
      <c r="B2011" s="24">
        <f>'Data_in-situ'!CA38</f>
        <v>-10940.677674415452</v>
      </c>
      <c r="C2011" s="24">
        <f>'Data_in-situ'!CB38</f>
        <v>3587.5182834567399</v>
      </c>
      <c r="D2011" s="46">
        <f>'Data_in-situ'!CC38</f>
        <v>3</v>
      </c>
      <c r="E2011" s="24">
        <f>'Data_in-situ'!CE38</f>
        <v>-13155.401355723083</v>
      </c>
      <c r="F2011" s="24">
        <f>'Data_in-situ'!CF38</f>
        <v>4763.1397208144126</v>
      </c>
      <c r="G2011" s="46">
        <f>'Data_in-situ'!CG38</f>
        <v>3</v>
      </c>
      <c r="H2011" s="24">
        <f>'Data_in-situ'!CN38</f>
        <v>12156.97609983556</v>
      </c>
      <c r="I2011" s="24">
        <f>'Data_in-situ'!CO38</f>
        <v>3352.7816659818532</v>
      </c>
      <c r="J2011" s="46">
        <f>'Data_in-situ'!CP38</f>
        <v>3</v>
      </c>
      <c r="K2011" s="24">
        <f>'Data_in-situ'!CR38</f>
        <v>16131.458608233776</v>
      </c>
      <c r="L2011" s="24">
        <f>'Data_in-situ'!CS38</f>
        <v>7799.7123045882036</v>
      </c>
      <c r="M2011" s="46">
        <f>'Data_in-situ'!CT38</f>
        <v>3</v>
      </c>
      <c r="N2011" s="24">
        <f>'Data_in-situ'!DA37</f>
        <v>1216.2984254201074</v>
      </c>
      <c r="O2011" s="24">
        <f>'Data_in-situ'!DB37</f>
        <v>2060.9133169618808</v>
      </c>
      <c r="P2011" s="46">
        <f>'Data_in-situ'!DC37</f>
        <v>3</v>
      </c>
      <c r="Q2011" s="24">
        <f>'Data_in-situ'!DE37</f>
        <v>6279.4758803766526</v>
      </c>
      <c r="R2011" s="24">
        <f>'Data_in-situ'!DF37</f>
        <v>947.48073610146616</v>
      </c>
      <c r="S2011" s="46">
        <f>'Data_in-situ'!DG37</f>
        <v>3</v>
      </c>
      <c r="T2011" s="113">
        <f>'Data_in-situ'!DN55</f>
        <v>4.9255681733440708</v>
      </c>
      <c r="U2011" s="113">
        <f>'Data_in-situ'!DO55</f>
        <v>6.4838403831872826</v>
      </c>
      <c r="V2011" s="46">
        <f>'Data_in-situ'!DP55</f>
        <v>3</v>
      </c>
      <c r="W2011" s="113">
        <f>'Data_in-situ'!DR55</f>
        <v>4.361518729534084</v>
      </c>
      <c r="X2011" s="113">
        <f>'Data_in-situ'!DS55</f>
        <v>5.0347578591510027</v>
      </c>
      <c r="Y2011" s="46">
        <f>'Data_in-situ'!DT55</f>
        <v>3</v>
      </c>
      <c r="Z2011" s="113">
        <f>'Data_in-situ'!EA95</f>
        <v>1.8857142857142857E-2</v>
      </c>
      <c r="AA2011" s="113">
        <f>'Data_in-situ'!EB95</f>
        <v>0.10842813738028528</v>
      </c>
      <c r="AB2011" s="46">
        <f>'Data_in-situ'!EC95</f>
        <v>3</v>
      </c>
      <c r="AC2011" s="113">
        <f>'Data_in-situ'!EE95</f>
        <v>2.0428571428571428E-2</v>
      </c>
      <c r="AD2011" s="113">
        <f>'Data_in-situ'!EF95</f>
        <v>3.0502704511218261E-2</v>
      </c>
      <c r="AE2011" s="46">
        <f>'Data_in-situ'!EG95</f>
        <v>3</v>
      </c>
      <c r="AF2011" s="113">
        <f>'Data_in-situ'!EN37</f>
        <v>-47</v>
      </c>
      <c r="AG2011" s="113">
        <f>'Data_in-situ'!EO37</f>
        <v>6.8</v>
      </c>
      <c r="AH2011" s="110">
        <f>'Data_in-situ'!EP37</f>
        <v>3</v>
      </c>
      <c r="AI2011" s="113">
        <f>'Data_in-situ'!ER37</f>
        <v>-82</v>
      </c>
      <c r="AJ2011" s="113">
        <f>'Data_in-situ'!ES37</f>
        <v>12.3</v>
      </c>
      <c r="AK2011" s="110">
        <f>'Data_in-situ'!ET37</f>
        <v>3</v>
      </c>
    </row>
    <row r="2012" spans="1:37" x14ac:dyDescent="0.3">
      <c r="B2012" s="24">
        <f>'Data_in-situ'!CA39</f>
        <v>-11180.604816398249</v>
      </c>
      <c r="C2012" s="24">
        <f>'Data_in-situ'!CB39</f>
        <v>6822.7682537892761</v>
      </c>
      <c r="D2012" s="46">
        <f>'Data_in-situ'!CC39</f>
        <v>3</v>
      </c>
      <c r="E2012" s="24">
        <f>'Data_in-situ'!CE39</f>
        <v>-2014.7911986242559</v>
      </c>
      <c r="F2012" s="24">
        <f>'Data_in-situ'!CF39</f>
        <v>1143.1535329954588</v>
      </c>
      <c r="G2012" s="46">
        <f>'Data_in-situ'!CG39</f>
        <v>3</v>
      </c>
      <c r="H2012" s="24">
        <f>'Data_in-situ'!CN39</f>
        <v>12213.258396594058</v>
      </c>
      <c r="I2012" s="24">
        <f>'Data_in-situ'!CO39</f>
        <v>5829.3069078214994</v>
      </c>
      <c r="J2012" s="46">
        <f>'Data_in-situ'!CP39</f>
        <v>3</v>
      </c>
      <c r="K2012" s="24">
        <f>'Data_in-situ'!CR39</f>
        <v>13236.068601627712</v>
      </c>
      <c r="L2012" s="24">
        <f>'Data_in-situ'!CS39</f>
        <v>2169.8026552469478</v>
      </c>
      <c r="M2012" s="46">
        <f>'Data_in-situ'!CT39</f>
        <v>3</v>
      </c>
      <c r="N2012" s="24">
        <f>'Data_in-situ'!DA38</f>
        <v>1216.2984254201074</v>
      </c>
      <c r="O2012" s="24">
        <f>'Data_in-situ'!DB38</f>
        <v>2060.9133169618808</v>
      </c>
      <c r="P2012" s="46">
        <f>'Data_in-situ'!DC38</f>
        <v>3</v>
      </c>
      <c r="Q2012" s="24">
        <f>'Data_in-situ'!DE38</f>
        <v>2976.0572525106927</v>
      </c>
      <c r="R2012" s="24">
        <f>'Data_in-situ'!DF38</f>
        <v>692.55442504565758</v>
      </c>
      <c r="S2012" s="46">
        <f>'Data_in-situ'!DG38</f>
        <v>3</v>
      </c>
      <c r="T2012" s="113">
        <f>'Data_in-situ'!DN56</f>
        <v>4.9255681733440708</v>
      </c>
      <c r="U2012" s="113">
        <f>'Data_in-situ'!DO56</f>
        <v>6.4838403831872826</v>
      </c>
      <c r="V2012" s="46">
        <f>'Data_in-situ'!DP56</f>
        <v>3</v>
      </c>
      <c r="W2012" s="113">
        <f>'Data_in-situ'!DR56</f>
        <v>2.5655992526671083</v>
      </c>
      <c r="X2012" s="113">
        <f>'Data_in-situ'!DS56</f>
        <v>2.1677925245184233</v>
      </c>
      <c r="Y2012" s="46">
        <f>'Data_in-situ'!DT56</f>
        <v>3</v>
      </c>
      <c r="Z2012" s="113">
        <f>'Data_in-situ'!EA96</f>
        <v>1.257142857142857E-2</v>
      </c>
      <c r="AA2012" s="113">
        <f>'Data_in-situ'!EB96</f>
        <v>7.2285424920190175E-2</v>
      </c>
      <c r="AB2012" s="46">
        <f>'Data_in-situ'!EC96</f>
        <v>3</v>
      </c>
      <c r="AC2012" s="113">
        <f>'Data_in-situ'!EE96</f>
        <v>1.4142857142857141E-2</v>
      </c>
      <c r="AD2012" s="113">
        <f>'Data_in-situ'!EF96</f>
        <v>2.1117256969304946E-2</v>
      </c>
      <c r="AE2012" s="46">
        <f>'Data_in-situ'!EG96</f>
        <v>3</v>
      </c>
      <c r="AF2012" s="113">
        <f>'Data_in-situ'!EN38</f>
        <v>-47</v>
      </c>
      <c r="AG2012" s="113">
        <f>'Data_in-situ'!EO38</f>
        <v>6.8</v>
      </c>
      <c r="AH2012" s="110">
        <f>'Data_in-situ'!EP38</f>
        <v>3</v>
      </c>
      <c r="AI2012" s="113">
        <f>'Data_in-situ'!ER38</f>
        <v>-120</v>
      </c>
      <c r="AJ2012" s="113">
        <f>'Data_in-situ'!ES38</f>
        <v>11.8</v>
      </c>
      <c r="AK2012" s="110">
        <f>'Data_in-situ'!ET38</f>
        <v>3</v>
      </c>
    </row>
    <row r="2013" spans="1:37" x14ac:dyDescent="0.3">
      <c r="B2013" s="24">
        <f>'Data_in-situ'!CA40</f>
        <v>-11180.604816398249</v>
      </c>
      <c r="C2013" s="24">
        <f>'Data_in-situ'!CB40</f>
        <v>6822.7682537892761</v>
      </c>
      <c r="D2013" s="46">
        <f>'Data_in-situ'!CC40</f>
        <v>3</v>
      </c>
      <c r="E2013" s="24">
        <f>'Data_in-situ'!CE40</f>
        <v>-13708.481292600329</v>
      </c>
      <c r="F2013" s="24">
        <f>'Data_in-situ'!CF40</f>
        <v>4128.0544247058242</v>
      </c>
      <c r="G2013" s="46">
        <f>'Data_in-situ'!CG40</f>
        <v>3</v>
      </c>
      <c r="H2013" s="24">
        <f>'Data_in-situ'!CN40</f>
        <v>12213.258396594058</v>
      </c>
      <c r="I2013" s="24">
        <f>'Data_in-situ'!CO40</f>
        <v>5829.3069078214994</v>
      </c>
      <c r="J2013" s="46">
        <f>'Data_in-situ'!CP40</f>
        <v>3</v>
      </c>
      <c r="K2013" s="24">
        <f>'Data_in-situ'!CR40</f>
        <v>16774.878609701791</v>
      </c>
      <c r="L2013" s="24">
        <f>'Data_in-situ'!CS40</f>
        <v>6880.9051275668298</v>
      </c>
      <c r="M2013" s="46">
        <f>'Data_in-situ'!CT40</f>
        <v>3</v>
      </c>
      <c r="N2013" s="24">
        <f>'Data_in-situ'!DA39</f>
        <v>1032.6535801958089</v>
      </c>
      <c r="O2013" s="24">
        <f>'Data_in-situ'!DB39</f>
        <v>1588.5865996086475</v>
      </c>
      <c r="P2013" s="46">
        <f>'Data_in-situ'!DC39</f>
        <v>3</v>
      </c>
      <c r="Q2013" s="24">
        <f>'Data_in-situ'!DE39</f>
        <v>11221.277403003456</v>
      </c>
      <c r="R2013" s="24">
        <f>'Data_in-situ'!DF39</f>
        <v>1545.6282146126041</v>
      </c>
      <c r="S2013" s="46">
        <f>'Data_in-situ'!DG39</f>
        <v>3</v>
      </c>
      <c r="T2013" s="113">
        <f>'Data_in-situ'!DN57</f>
        <v>6.958675036383962</v>
      </c>
      <c r="U2013" s="113">
        <f>'Data_in-situ'!DO57</f>
        <v>1.1532569524351295</v>
      </c>
      <c r="V2013" s="46">
        <f>'Data_in-situ'!DP57</f>
        <v>3</v>
      </c>
      <c r="W2013" s="113">
        <f>'Data_in-situ'!DR57</f>
        <v>1.1758996574724245</v>
      </c>
      <c r="X2013" s="113">
        <f>'Data_in-situ'!DS57</f>
        <v>1.4564673447344252</v>
      </c>
      <c r="Y2013" s="46">
        <f>'Data_in-situ'!DT57</f>
        <v>3</v>
      </c>
      <c r="Z2013" s="113">
        <f>'Data_in-situ'!EA97</f>
        <v>1.257142857142857E-2</v>
      </c>
      <c r="AA2013" s="113">
        <f>'Data_in-situ'!EB97</f>
        <v>7.2285424920190175E-2</v>
      </c>
      <c r="AB2013" s="46">
        <f>'Data_in-situ'!EC97</f>
        <v>3</v>
      </c>
      <c r="AC2013" s="113">
        <f>'Data_in-situ'!EE97</f>
        <v>1.4142857142857141E-2</v>
      </c>
      <c r="AD2013" s="113">
        <f>'Data_in-situ'!EF97</f>
        <v>2.1117256969304946E-2</v>
      </c>
      <c r="AE2013" s="46">
        <f>'Data_in-situ'!EG97</f>
        <v>3</v>
      </c>
      <c r="AF2013" s="113">
        <f>'Data_in-situ'!EN39</f>
        <v>-56</v>
      </c>
      <c r="AG2013" s="113">
        <f>'Data_in-situ'!EO39</f>
        <v>10.1</v>
      </c>
      <c r="AH2013" s="110">
        <f>'Data_in-situ'!EP39</f>
        <v>3</v>
      </c>
      <c r="AI2013" s="113">
        <f>'Data_in-situ'!ER39</f>
        <v>-91</v>
      </c>
      <c r="AJ2013" s="113">
        <f>'Data_in-situ'!ES39</f>
        <v>11.3</v>
      </c>
      <c r="AK2013" s="110">
        <f>'Data_in-situ'!ET39</f>
        <v>3</v>
      </c>
    </row>
    <row r="2014" spans="1:37" x14ac:dyDescent="0.3">
      <c r="B2014" s="24">
        <f>'Data_in-situ'!CA41</f>
        <v>-7247.1260453614086</v>
      </c>
      <c r="C2014" s="24">
        <f>'Data_in-situ'!CB41</f>
        <v>2100.9616035887611</v>
      </c>
      <c r="D2014" s="46">
        <f>'Data_in-situ'!CC41</f>
        <v>3</v>
      </c>
      <c r="E2014" s="24">
        <f>'Data_in-situ'!CE41</f>
        <v>-4029.5823972485118</v>
      </c>
      <c r="F2014" s="24">
        <f>'Data_in-situ'!CF41</f>
        <v>3302.4435397646589</v>
      </c>
      <c r="G2014" s="46">
        <f>'Data_in-situ'!CG41</f>
        <v>3</v>
      </c>
      <c r="H2014" s="24">
        <f>'Data_in-situ'!CN41</f>
        <v>6440.2877983621229</v>
      </c>
      <c r="I2014" s="24">
        <f>'Data_in-situ'!CO41</f>
        <v>2181.3507268282779</v>
      </c>
      <c r="J2014" s="46">
        <f>'Data_in-situ'!CP41</f>
        <v>3</v>
      </c>
      <c r="K2014" s="24">
        <f>'Data_in-situ'!CR41</f>
        <v>16039.541465166916</v>
      </c>
      <c r="L2014" s="24">
        <f>'Data_in-situ'!CS41</f>
        <v>7252.7203244742068</v>
      </c>
      <c r="M2014" s="46">
        <f>'Data_in-situ'!CT41</f>
        <v>3</v>
      </c>
      <c r="N2014" s="24">
        <f>'Data_in-situ'!DA40</f>
        <v>1032.6535801958089</v>
      </c>
      <c r="O2014" s="24">
        <f>'Data_in-situ'!DB40</f>
        <v>1588.5865996086475</v>
      </c>
      <c r="P2014" s="46">
        <f>'Data_in-situ'!DC40</f>
        <v>3</v>
      </c>
      <c r="Q2014" s="24">
        <f>'Data_in-situ'!DE40</f>
        <v>3066.3973171014622</v>
      </c>
      <c r="R2014" s="24">
        <f>'Data_in-situ'!DF40</f>
        <v>896.27712667386777</v>
      </c>
      <c r="S2014" s="46">
        <f>'Data_in-situ'!DG40</f>
        <v>3</v>
      </c>
      <c r="T2014" s="113">
        <f>'Data_in-situ'!DN58</f>
        <v>6.958675036383962</v>
      </c>
      <c r="U2014" s="113">
        <f>'Data_in-situ'!DO58</f>
        <v>1.1532569524351295</v>
      </c>
      <c r="V2014" s="46">
        <f>'Data_in-situ'!DP58</f>
        <v>3</v>
      </c>
      <c r="W2014" s="113">
        <f>'Data_in-situ'!DR58</f>
        <v>1.090379682383521</v>
      </c>
      <c r="X2014" s="113">
        <f>'Data_in-situ'!DS58</f>
        <v>2.1822665028157022</v>
      </c>
      <c r="Y2014" s="46">
        <f>'Data_in-situ'!DT58</f>
        <v>3</v>
      </c>
      <c r="Z2014" s="113">
        <f>'Data_in-situ'!EA108</f>
        <v>1.9171428571428568E-2</v>
      </c>
      <c r="AA2014" s="113">
        <f>'Data_in-situ'!EB108</f>
        <v>0.11023527300329002</v>
      </c>
      <c r="AB2014" s="46">
        <f>'Data_in-situ'!EC108</f>
        <v>3</v>
      </c>
      <c r="AC2014" s="113">
        <f>'Data_in-situ'!EE108</f>
        <v>3.0642857142857142E-2</v>
      </c>
      <c r="AD2014" s="113">
        <f>'Data_in-situ'!EF108</f>
        <v>4.5754056766827388E-2</v>
      </c>
      <c r="AE2014" s="46">
        <f>'Data_in-situ'!EG108</f>
        <v>3</v>
      </c>
      <c r="AF2014" s="113">
        <f>'Data_in-situ'!EN40</f>
        <v>-56</v>
      </c>
      <c r="AG2014" s="113">
        <f>'Data_in-situ'!EO40</f>
        <v>10.1</v>
      </c>
      <c r="AH2014" s="110">
        <f>'Data_in-situ'!EP40</f>
        <v>3</v>
      </c>
      <c r="AI2014" s="113">
        <f>'Data_in-situ'!ER40</f>
        <v>-128</v>
      </c>
      <c r="AJ2014" s="113">
        <f>'Data_in-situ'!ES40</f>
        <v>14.2</v>
      </c>
      <c r="AK2014" s="110">
        <f>'Data_in-situ'!ET40</f>
        <v>3</v>
      </c>
    </row>
    <row r="2015" spans="1:37" x14ac:dyDescent="0.3">
      <c r="B2015" s="24">
        <f>'Data_in-situ'!CA42</f>
        <v>-7247.1260453614086</v>
      </c>
      <c r="C2015" s="24">
        <f>'Data_in-situ'!CB42</f>
        <v>2100.9616035887611</v>
      </c>
      <c r="D2015" s="46">
        <f>'Data_in-situ'!CC42</f>
        <v>3</v>
      </c>
      <c r="E2015" s="24">
        <f>'Data_in-situ'!CE42</f>
        <v>-4582.6623341257582</v>
      </c>
      <c r="F2015" s="24">
        <f>'Data_in-situ'!CF42</f>
        <v>1206.6620626063177</v>
      </c>
      <c r="G2015" s="46">
        <f>'Data_in-situ'!CG42</f>
        <v>3</v>
      </c>
      <c r="H2015" s="24">
        <f>'Data_in-situ'!CN42</f>
        <v>6440.2877983621229</v>
      </c>
      <c r="I2015" s="24">
        <f>'Data_in-situ'!CO42</f>
        <v>2181.3507268282779</v>
      </c>
      <c r="J2015" s="46">
        <f>'Data_in-situ'!CP42</f>
        <v>3</v>
      </c>
      <c r="K2015" s="24">
        <f>'Data_in-situ'!CR42</f>
        <v>24633.794341918241</v>
      </c>
      <c r="L2015" s="24">
        <f>'Data_in-situ'!CS42</f>
        <v>2489.5274353362884</v>
      </c>
      <c r="M2015" s="46">
        <f>'Data_in-situ'!CT42</f>
        <v>3</v>
      </c>
      <c r="N2015" s="24">
        <f>'Data_in-situ'!DA41</f>
        <v>-806.83824699928573</v>
      </c>
      <c r="O2015" s="24">
        <f>'Data_in-situ'!DB41</f>
        <v>461.4050593199143</v>
      </c>
      <c r="P2015" s="46">
        <f>'Data_in-situ'!DC41</f>
        <v>3</v>
      </c>
      <c r="Q2015" s="24">
        <f>'Data_in-situ'!DE41</f>
        <v>12009.959067918404</v>
      </c>
      <c r="R2015" s="24">
        <f>'Data_in-situ'!DF41</f>
        <v>2892.3831674824651</v>
      </c>
      <c r="S2015" s="46">
        <f>'Data_in-situ'!DG41</f>
        <v>3</v>
      </c>
      <c r="T2015" s="113">
        <f>'Data_in-situ'!DN59</f>
        <v>10.866266106411475</v>
      </c>
      <c r="U2015" s="113">
        <f>'Data_in-situ'!DO59</f>
        <v>5.3394122234557058</v>
      </c>
      <c r="V2015" s="46">
        <f>'Data_in-situ'!DP59</f>
        <v>3</v>
      </c>
      <c r="W2015" s="113">
        <f>'Data_in-situ'!DR59</f>
        <v>1.8694061542190537</v>
      </c>
      <c r="X2015" s="113">
        <f>'Data_in-situ'!DS59</f>
        <v>2.1264618086738842</v>
      </c>
      <c r="Y2015" s="46">
        <f>'Data_in-situ'!DT59</f>
        <v>3</v>
      </c>
      <c r="Z2015" s="113">
        <f>'Data_in-situ'!EA109</f>
        <v>4.7771428571428562E-2</v>
      </c>
      <c r="AA2015" s="113">
        <f>'Data_in-situ'!EB109</f>
        <v>0.27468461469672267</v>
      </c>
      <c r="AB2015" s="46">
        <f>'Data_in-situ'!EC109</f>
        <v>3</v>
      </c>
      <c r="AC2015" s="113">
        <f>'Data_in-situ'!EE109</f>
        <v>0.21685714285714286</v>
      </c>
      <c r="AD2015" s="113">
        <f>'Data_in-situ'!EF109</f>
        <v>0.32379794019600922</v>
      </c>
      <c r="AE2015" s="46">
        <f>'Data_in-situ'!EG109</f>
        <v>3</v>
      </c>
      <c r="AF2015" s="113">
        <f>'Data_in-situ'!EN41</f>
        <v>-38</v>
      </c>
      <c r="AG2015" s="113">
        <f>'Data_in-situ'!EO41</f>
        <v>7.6</v>
      </c>
      <c r="AH2015" s="110">
        <f>'Data_in-situ'!EP41</f>
        <v>3</v>
      </c>
      <c r="AI2015" s="113">
        <f>'Data_in-situ'!ER41</f>
        <v>-73</v>
      </c>
      <c r="AJ2015" s="113">
        <f>'Data_in-situ'!ES41</f>
        <v>10.3</v>
      </c>
      <c r="AK2015" s="110">
        <f>'Data_in-situ'!ET41</f>
        <v>3</v>
      </c>
    </row>
    <row r="2016" spans="1:37" x14ac:dyDescent="0.3">
      <c r="B2016" s="24">
        <f>'Data_in-situ'!CA43</f>
        <v>-7369.2686191596349</v>
      </c>
      <c r="C2016" s="24">
        <f>'Data_in-situ'!CB43</f>
        <v>746.95892899118678</v>
      </c>
      <c r="D2016" s="46">
        <f>'Data_in-situ'!CC43</f>
        <v>3</v>
      </c>
      <c r="E2016" s="24">
        <f>'Data_in-situ'!CE43</f>
        <v>-3516.0081701482113</v>
      </c>
      <c r="F2016" s="24">
        <f>'Data_in-situ'!CF43</f>
        <v>4890.1567800361299</v>
      </c>
      <c r="G2016" s="46">
        <f>'Data_in-situ'!CG43</f>
        <v>3</v>
      </c>
      <c r="H2016" s="24">
        <f>'Data_in-situ'!CN43</f>
        <v>11939.302764655935</v>
      </c>
      <c r="I2016" s="24">
        <f>'Data_in-situ'!CO43</f>
        <v>4483.7070147716358</v>
      </c>
      <c r="J2016" s="46">
        <f>'Data_in-situ'!CP43</f>
        <v>3</v>
      </c>
      <c r="K2016" s="24">
        <f>'Data_in-situ'!CR43</f>
        <v>16131.458608233776</v>
      </c>
      <c r="L2016" s="24">
        <f>'Data_in-situ'!CS43</f>
        <v>7799.7123045882036</v>
      </c>
      <c r="M2016" s="46">
        <f>'Data_in-situ'!CT43</f>
        <v>3</v>
      </c>
      <c r="N2016" s="24">
        <f>'Data_in-situ'!DA42</f>
        <v>-806.83824699928573</v>
      </c>
      <c r="O2016" s="24">
        <f>'Data_in-situ'!DB42</f>
        <v>461.4050593199143</v>
      </c>
      <c r="P2016" s="46">
        <f>'Data_in-situ'!DC42</f>
        <v>3</v>
      </c>
      <c r="Q2016" s="24">
        <f>'Data_in-situ'!DE42</f>
        <v>20051.132007792483</v>
      </c>
      <c r="R2016" s="24">
        <f>'Data_in-situ'!DF42</f>
        <v>2691.1988636577989</v>
      </c>
      <c r="S2016" s="46">
        <f>'Data_in-situ'!DG42</f>
        <v>3</v>
      </c>
      <c r="T2016" s="113">
        <f>'Data_in-situ'!DN60</f>
        <v>10.866266106411475</v>
      </c>
      <c r="U2016" s="113">
        <f>'Data_in-situ'!DO60</f>
        <v>5.3394122234557058</v>
      </c>
      <c r="V2016" s="46">
        <f>'Data_in-situ'!DP60</f>
        <v>3</v>
      </c>
      <c r="W2016" s="113">
        <f>'Data_in-situ'!DR60</f>
        <v>1.2247833424193799</v>
      </c>
      <c r="X2016" s="113">
        <f>'Data_in-situ'!DS60</f>
        <v>3.4037999999999999</v>
      </c>
      <c r="Y2016" s="46">
        <f>'Data_in-situ'!DT60</f>
        <v>3</v>
      </c>
      <c r="Z2016" s="113">
        <f>'Data_in-situ'!EA110</f>
        <v>5.4528571428571426E-2</v>
      </c>
      <c r="AA2016" s="113">
        <f>'Data_in-situ'!EB110</f>
        <v>0.3135380305913249</v>
      </c>
      <c r="AB2016" s="46">
        <f>'Data_in-situ'!EC110</f>
        <v>3</v>
      </c>
      <c r="AC2016" s="113">
        <f>'Data_in-situ'!EE110</f>
        <v>3.5828571428571425E-2</v>
      </c>
      <c r="AD2016" s="113">
        <f>'Data_in-situ'!EF110</f>
        <v>5.3497050988905864E-2</v>
      </c>
      <c r="AE2016" s="46">
        <f>'Data_in-situ'!EG110</f>
        <v>3</v>
      </c>
      <c r="AF2016" s="113">
        <f>'Data_in-situ'!EN42</f>
        <v>-38</v>
      </c>
      <c r="AG2016" s="113">
        <f>'Data_in-situ'!EO42</f>
        <v>7.6</v>
      </c>
      <c r="AH2016" s="110">
        <f>'Data_in-situ'!EP42</f>
        <v>3</v>
      </c>
      <c r="AI2016" s="113">
        <f>'Data_in-situ'!ER42</f>
        <v>-112</v>
      </c>
      <c r="AJ2016" s="113">
        <f>'Data_in-situ'!ES42</f>
        <v>15.2</v>
      </c>
      <c r="AK2016" s="110">
        <f>'Data_in-situ'!ET42</f>
        <v>3</v>
      </c>
    </row>
    <row r="2017" spans="2:37" x14ac:dyDescent="0.3">
      <c r="B2017" s="24">
        <f>'Data_in-situ'!CA44</f>
        <v>-7369.2686191596349</v>
      </c>
      <c r="C2017" s="24">
        <f>'Data_in-situ'!CB44</f>
        <v>746.95892899118678</v>
      </c>
      <c r="D2017" s="46">
        <f>'Data_in-situ'!CC44</f>
        <v>3</v>
      </c>
      <c r="E2017" s="24">
        <f>'Data_in-situ'!CE44</f>
        <v>-4661.6737536796509</v>
      </c>
      <c r="F2017" s="24">
        <f>'Data_in-situ'!CF44</f>
        <v>1270.1705922171766</v>
      </c>
      <c r="G2017" s="46">
        <f>'Data_in-situ'!CG44</f>
        <v>3</v>
      </c>
      <c r="H2017" s="24">
        <f>'Data_in-situ'!CN44</f>
        <v>11939.302764655935</v>
      </c>
      <c r="I2017" s="24">
        <f>'Data_in-situ'!CO44</f>
        <v>4483.7070147716358</v>
      </c>
      <c r="J2017" s="46">
        <f>'Data_in-situ'!CP44</f>
        <v>3</v>
      </c>
      <c r="K2017" s="24">
        <f>'Data_in-situ'!CR44</f>
        <v>23300.995767448785</v>
      </c>
      <c r="L2017" s="24">
        <f>'Data_in-situ'!CS44</f>
        <v>3584.4542083747219</v>
      </c>
      <c r="M2017" s="46">
        <f>'Data_in-situ'!CT44</f>
        <v>3</v>
      </c>
      <c r="N2017" s="24">
        <f>'Data_in-situ'!DA43</f>
        <v>4570.0341454963</v>
      </c>
      <c r="O2017" s="24">
        <f>'Data_in-situ'!DB43</f>
        <v>2072.5073882436504</v>
      </c>
      <c r="P2017" s="46">
        <f>'Data_in-situ'!DC43</f>
        <v>3</v>
      </c>
      <c r="Q2017" s="24">
        <f>'Data_in-situ'!DE43</f>
        <v>12615.450438085565</v>
      </c>
      <c r="R2017" s="24">
        <f>'Data_in-situ'!DF43</f>
        <v>3401.8688612922183</v>
      </c>
      <c r="S2017" s="46">
        <f>'Data_in-situ'!DG43</f>
        <v>3</v>
      </c>
      <c r="T2017" s="113">
        <f>'Data_in-situ'!DN61</f>
        <v>9.9527304602972393</v>
      </c>
      <c r="U2017" s="113">
        <f>'Data_in-situ'!DO61</f>
        <v>3.6109447780902064</v>
      </c>
      <c r="V2017" s="46">
        <f>'Data_in-situ'!DP61</f>
        <v>3</v>
      </c>
      <c r="W2017" s="113">
        <f>'Data_in-situ'!DR61</f>
        <v>1.4557731833142631</v>
      </c>
      <c r="X2017" s="113">
        <f>'Data_in-situ'!DS61</f>
        <v>2.2523897859272677</v>
      </c>
      <c r="Y2017" s="46">
        <f>'Data_in-situ'!DT61</f>
        <v>3</v>
      </c>
      <c r="Z2017" s="113">
        <f>'Data_in-situ'!EA111</f>
        <v>8.4699999999999998E-2</v>
      </c>
      <c r="AA2017" s="113">
        <f>'Data_in-situ'!EB111</f>
        <v>0.48702305039978139</v>
      </c>
      <c r="AB2017" s="46">
        <f>'Data_in-situ'!EC111</f>
        <v>3</v>
      </c>
      <c r="AC2017" s="113">
        <f>'Data_in-situ'!EE111</f>
        <v>6.1599999999999995E-2</v>
      </c>
      <c r="AD2017" s="113">
        <f>'Data_in-situ'!EF111</f>
        <v>9.1977385910750442E-2</v>
      </c>
      <c r="AE2017" s="46">
        <f>'Data_in-situ'!EG111</f>
        <v>3</v>
      </c>
      <c r="AF2017" s="113">
        <f>'Data_in-situ'!EN43</f>
        <v>-44</v>
      </c>
      <c r="AG2017" s="113">
        <f>'Data_in-situ'!EO43</f>
        <v>6.8</v>
      </c>
      <c r="AH2017" s="110">
        <f>'Data_in-situ'!EP43</f>
        <v>3</v>
      </c>
      <c r="AI2017" s="113">
        <f>'Data_in-situ'!ER43</f>
        <v>-79</v>
      </c>
      <c r="AJ2017" s="113">
        <f>'Data_in-situ'!ES43</f>
        <v>12.3</v>
      </c>
      <c r="AK2017" s="110">
        <f>'Data_in-situ'!ET43</f>
        <v>3</v>
      </c>
    </row>
    <row r="2018" spans="2:37" x14ac:dyDescent="0.3">
      <c r="B2018" s="24">
        <f>'Data_in-situ'!CA45</f>
        <v>-7939.2672968846891</v>
      </c>
      <c r="C2018" s="24">
        <f>'Data_in-situ'!CB45</f>
        <v>2111.9731212798092</v>
      </c>
      <c r="D2018" s="46">
        <f>'Data_in-situ'!CC45</f>
        <v>3</v>
      </c>
      <c r="E2018" s="24">
        <f>'Data_in-situ'!CE45</f>
        <v>-3674.0310092559957</v>
      </c>
      <c r="F2018" s="24">
        <f>'Data_in-situ'!CF45</f>
        <v>3492.9691285972353</v>
      </c>
      <c r="G2018" s="46">
        <f>'Data_in-situ'!CG45</f>
        <v>3</v>
      </c>
      <c r="H2018" s="24">
        <f>'Data_in-situ'!CN45</f>
        <v>12286.087492260051</v>
      </c>
      <c r="I2018" s="24">
        <f>'Data_in-situ'!CO45</f>
        <v>4228.1100433523952</v>
      </c>
      <c r="J2018" s="46">
        <f>'Data_in-situ'!CP45</f>
        <v>3</v>
      </c>
      <c r="K2018" s="24">
        <f>'Data_in-situ'!CR45</f>
        <v>22335.865765246766</v>
      </c>
      <c r="L2018" s="24">
        <f>'Data_in-situ'!CS45</f>
        <v>5098.0031695624621</v>
      </c>
      <c r="M2018" s="46">
        <f>'Data_in-situ'!CT45</f>
        <v>3</v>
      </c>
      <c r="N2018" s="24">
        <f>'Data_in-situ'!DA44</f>
        <v>4570.0341454963</v>
      </c>
      <c r="O2018" s="24">
        <f>'Data_in-situ'!DB44</f>
        <v>2072.5073882436504</v>
      </c>
      <c r="P2018" s="46">
        <f>'Data_in-situ'!DC44</f>
        <v>3</v>
      </c>
      <c r="Q2018" s="24">
        <f>'Data_in-situ'!DE44</f>
        <v>18639.322013769135</v>
      </c>
      <c r="R2018" s="24">
        <f>'Data_in-situ'!DF44</f>
        <v>3134.054571327079</v>
      </c>
      <c r="S2018" s="46">
        <f>'Data_in-situ'!DG44</f>
        <v>3</v>
      </c>
      <c r="T2018" s="113">
        <f>'Data_in-situ'!DN62</f>
        <v>9.9527304602972393</v>
      </c>
      <c r="U2018" s="113">
        <f>'Data_in-situ'!DO62</f>
        <v>3.6109447780902064</v>
      </c>
      <c r="V2018" s="46">
        <f>'Data_in-situ'!DP62</f>
        <v>3</v>
      </c>
      <c r="W2018" s="113">
        <f>'Data_in-situ'!DR62</f>
        <v>1.0045372150544916</v>
      </c>
      <c r="X2018" s="113">
        <f>'Data_in-situ'!DS62</f>
        <v>1.2391823776598332</v>
      </c>
      <c r="Y2018" s="46">
        <f>'Data_in-situ'!DT62</f>
        <v>3</v>
      </c>
      <c r="Z2018" s="113">
        <f>'Data_in-situ'!EA145</f>
        <v>-6.8828571428571433E-2</v>
      </c>
      <c r="AA2018" s="113">
        <f>'Data_in-situ'!EB145</f>
        <v>0.39576270143804132</v>
      </c>
      <c r="AB2018" s="46">
        <f>'Data_in-situ'!EC145</f>
        <v>4</v>
      </c>
      <c r="AC2018" s="113">
        <f>'Data_in-situ'!EE145</f>
        <v>0.19271999999999997</v>
      </c>
      <c r="AD2018" s="113">
        <f>'Data_in-situ'!EF145</f>
        <v>0.28775782163506208</v>
      </c>
      <c r="AE2018" s="46">
        <f>'Data_in-situ'!EG145</f>
        <v>4</v>
      </c>
      <c r="AF2018" s="113">
        <f>'Data_in-situ'!EN44</f>
        <v>-44</v>
      </c>
      <c r="AG2018" s="113">
        <f>'Data_in-situ'!EO44</f>
        <v>6.8</v>
      </c>
      <c r="AH2018" s="110">
        <f>'Data_in-situ'!EP44</f>
        <v>3</v>
      </c>
      <c r="AI2018" s="113">
        <f>'Data_in-situ'!ER44</f>
        <v>-116</v>
      </c>
      <c r="AJ2018" s="113">
        <f>'Data_in-situ'!ES44</f>
        <v>11.8</v>
      </c>
      <c r="AK2018" s="110">
        <f>'Data_in-situ'!ET44</f>
        <v>3</v>
      </c>
    </row>
    <row r="2019" spans="2:37" x14ac:dyDescent="0.3">
      <c r="B2019" s="24">
        <f>'Data_in-situ'!CA46</f>
        <v>-7939.2672968846891</v>
      </c>
      <c r="C2019" s="24">
        <f>'Data_in-situ'!CB46</f>
        <v>2111.9731212798092</v>
      </c>
      <c r="D2019" s="46">
        <f>'Data_in-situ'!CC46</f>
        <v>3</v>
      </c>
      <c r="E2019" s="24">
        <f>'Data_in-situ'!CE46</f>
        <v>-4859.2023025643821</v>
      </c>
      <c r="F2019" s="24">
        <f>'Data_in-situ'!CF46</f>
        <v>1397.1876514388941</v>
      </c>
      <c r="G2019" s="46">
        <f>'Data_in-situ'!CG46</f>
        <v>3</v>
      </c>
      <c r="H2019" s="24">
        <f>'Data_in-situ'!CN46</f>
        <v>12286.087492260051</v>
      </c>
      <c r="I2019" s="24">
        <f>'Data_in-situ'!CO46</f>
        <v>2603.8497140452123</v>
      </c>
      <c r="J2019" s="46">
        <f>'Data_in-situ'!CP46</f>
        <v>3</v>
      </c>
      <c r="K2019" s="24">
        <f>'Data_in-situ'!CR46</f>
        <v>23071.202909781641</v>
      </c>
      <c r="L2019" s="24">
        <f>'Data_in-situ'!CS46</f>
        <v>3447.7118721915385</v>
      </c>
      <c r="M2019" s="46">
        <f>'Data_in-situ'!CT46</f>
        <v>3</v>
      </c>
      <c r="N2019" s="24">
        <f>'Data_in-situ'!DA45</f>
        <v>4346.8201953753614</v>
      </c>
      <c r="O2019" s="24">
        <f>'Data_in-situ'!DB45</f>
        <v>1600.2428388061255</v>
      </c>
      <c r="P2019" s="46">
        <f>'Data_in-situ'!DC45</f>
        <v>3</v>
      </c>
      <c r="Q2019" s="24">
        <f>'Data_in-situ'!DE45</f>
        <v>18661.834755990771</v>
      </c>
      <c r="R2019" s="24">
        <f>'Data_in-situ'!DF45</f>
        <v>3804.3746385120953</v>
      </c>
      <c r="S2019" s="46">
        <f>'Data_in-situ'!DG45</f>
        <v>3</v>
      </c>
      <c r="T2019" s="113">
        <f>'Data_in-situ'!DN63</f>
        <v>10.24121540117542</v>
      </c>
      <c r="U2019" s="113">
        <f>'Data_in-situ'!DO63</f>
        <v>7.0937907088882888</v>
      </c>
      <c r="V2019" s="46">
        <f>'Data_in-situ'!DP63</f>
        <v>3</v>
      </c>
      <c r="W2019" s="113">
        <f>'Data_in-situ'!DR63</f>
        <v>0.9615623609345133</v>
      </c>
      <c r="X2019" s="113">
        <f>'Data_in-situ'!DS63</f>
        <v>1.1781116185620597</v>
      </c>
      <c r="Y2019" s="46">
        <f>'Data_in-situ'!DT63</f>
        <v>3</v>
      </c>
      <c r="Z2019" s="113">
        <f>'Data_in-situ'!EA146</f>
        <v>-6.8828571428571433E-2</v>
      </c>
      <c r="AA2019" s="113">
        <f>'Data_in-situ'!EB146</f>
        <v>0.39576270143804132</v>
      </c>
      <c r="AB2019" s="46">
        <f>'Data_in-situ'!EC146</f>
        <v>4</v>
      </c>
      <c r="AC2019" s="113">
        <f>'Data_in-situ'!EE146</f>
        <v>4.5977485714285713</v>
      </c>
      <c r="AD2019" s="113">
        <f>'Data_in-situ'!EF146</f>
        <v>6.8650794590079105</v>
      </c>
      <c r="AE2019" s="46">
        <f>'Data_in-situ'!EG146</f>
        <v>4</v>
      </c>
      <c r="AF2019" s="113">
        <f>'Data_in-situ'!EN45</f>
        <v>-50</v>
      </c>
      <c r="AG2019" s="113">
        <f>'Data_in-situ'!EO45</f>
        <v>6.8</v>
      </c>
      <c r="AH2019" s="110">
        <f>'Data_in-situ'!EP45</f>
        <v>3</v>
      </c>
      <c r="AI2019" s="113">
        <f>'Data_in-situ'!ER45</f>
        <v>-85</v>
      </c>
      <c r="AJ2019" s="113">
        <f>'Data_in-situ'!ES45</f>
        <v>12.3</v>
      </c>
      <c r="AK2019" s="110">
        <f>'Data_in-situ'!ET45</f>
        <v>3</v>
      </c>
    </row>
    <row r="2020" spans="2:37" x14ac:dyDescent="0.3">
      <c r="B2020" s="24">
        <f>'Data_in-situ'!CA47</f>
        <v>-8294.385041352898</v>
      </c>
      <c r="C2020" s="24">
        <f>'Data_in-situ'!CB47</f>
        <v>1642.4661972156998</v>
      </c>
      <c r="D2020" s="46">
        <f>'Data_in-situ'!CC47</f>
        <v>3</v>
      </c>
      <c r="E2020" s="24">
        <f>'Data_in-situ'!CE47</f>
        <v>-4116.4949587577939</v>
      </c>
      <c r="F2020" s="24">
        <f>'Data_in-situ'!CF47</f>
        <v>2228.1690065442513</v>
      </c>
      <c r="G2020" s="46">
        <f>'Data_in-situ'!CG47</f>
        <v>3</v>
      </c>
      <c r="H2020" s="24">
        <f>'Data_in-situ'!CN47</f>
        <v>9925.2960228500779</v>
      </c>
      <c r="I2020" s="24">
        <f>'Data_in-situ'!CO47</f>
        <v>1567.0081026388868</v>
      </c>
      <c r="J2020" s="46">
        <f>'Data_in-situ'!CP47</f>
        <v>3</v>
      </c>
      <c r="K2020" s="24">
        <f>'Data_in-situ'!CR47</f>
        <v>11818.246669821412</v>
      </c>
      <c r="L2020" s="24">
        <f>'Data_in-situ'!CS47</f>
        <v>4651.0454986548657</v>
      </c>
      <c r="M2020" s="46">
        <f>'Data_in-situ'!CT47</f>
        <v>3</v>
      </c>
      <c r="N2020" s="24">
        <f>'Data_in-situ'!DA46</f>
        <v>4346.8201953753614</v>
      </c>
      <c r="O2020" s="24">
        <f>'Data_in-situ'!DB46</f>
        <v>1600.2428388061255</v>
      </c>
      <c r="P2020" s="46">
        <f>'Data_in-situ'!DC46</f>
        <v>3</v>
      </c>
      <c r="Q2020" s="24">
        <f>'Data_in-situ'!DE46</f>
        <v>18212.000607217258</v>
      </c>
      <c r="R2020" s="24">
        <f>'Data_in-situ'!DF46</f>
        <v>4028.2334522837918</v>
      </c>
      <c r="S2020" s="46">
        <f>'Data_in-situ'!DG46</f>
        <v>3</v>
      </c>
      <c r="T2020" s="113">
        <f>'Data_in-situ'!DN64</f>
        <v>10.24121540117542</v>
      </c>
      <c r="U2020" s="113">
        <f>'Data_in-situ'!DO64</f>
        <v>7.0937907088882888</v>
      </c>
      <c r="V2020" s="46">
        <f>'Data_in-situ'!DP64</f>
        <v>3</v>
      </c>
      <c r="W2020" s="113">
        <f>'Data_in-situ'!DR64</f>
        <v>0.45660782502476893</v>
      </c>
      <c r="X2020" s="113">
        <f>'Data_in-situ'!DS64</f>
        <v>1.5313900415070829</v>
      </c>
      <c r="Y2020" s="46">
        <f>'Data_in-situ'!DT64</f>
        <v>3</v>
      </c>
      <c r="Z2020" s="113">
        <f>'Data_in-situ'!EA147</f>
        <v>0</v>
      </c>
      <c r="AA2020" s="113">
        <f>'Data_in-situ'!EB147</f>
        <v>1.71</v>
      </c>
      <c r="AB2020" s="46">
        <f>'Data_in-situ'!EC147</f>
        <v>7</v>
      </c>
      <c r="AC2020" s="113">
        <f>'Data_in-situ'!EE147</f>
        <v>3.4241884673332552</v>
      </c>
      <c r="AD2020" s="113">
        <f>'Data_in-situ'!EF147</f>
        <v>13.696753869332952</v>
      </c>
      <c r="AE2020" s="46">
        <f>'Data_in-situ'!EG147</f>
        <v>44</v>
      </c>
      <c r="AF2020" s="113">
        <f>'Data_in-situ'!EN46</f>
        <v>-50</v>
      </c>
      <c r="AG2020" s="113">
        <f>'Data_in-situ'!EO46</f>
        <v>6.8</v>
      </c>
      <c r="AH2020" s="110">
        <f>'Data_in-situ'!EP46</f>
        <v>3</v>
      </c>
      <c r="AI2020" s="113">
        <f>'Data_in-situ'!ER46</f>
        <v>-120</v>
      </c>
      <c r="AJ2020" s="113">
        <f>'Data_in-situ'!ES46</f>
        <v>11.8</v>
      </c>
      <c r="AK2020" s="110">
        <f>'Data_in-situ'!ET46</f>
        <v>3</v>
      </c>
    </row>
    <row r="2021" spans="2:37" x14ac:dyDescent="0.3">
      <c r="B2021" s="24">
        <f>'Data_in-situ'!CA48</f>
        <v>-8294.385041352898</v>
      </c>
      <c r="C2021" s="24">
        <f>'Data_in-situ'!CB48</f>
        <v>1642.4661972156998</v>
      </c>
      <c r="D2021" s="46">
        <f>'Data_in-situ'!CC48</f>
        <v>3</v>
      </c>
      <c r="E2021" s="24">
        <f>'Data_in-situ'!CE48</f>
        <v>-7951.7092639037292</v>
      </c>
      <c r="F2021" s="24">
        <f>'Data_in-situ'!CF48</f>
        <v>991.198558307697</v>
      </c>
      <c r="G2021" s="46">
        <f>'Data_in-situ'!CG48</f>
        <v>3</v>
      </c>
      <c r="H2021" s="24">
        <f>'Data_in-situ'!CN48</f>
        <v>9925.2960228500779</v>
      </c>
      <c r="I2021" s="24">
        <f>'Data_in-situ'!CO48</f>
        <v>1567.0081026388868</v>
      </c>
      <c r="J2021" s="46">
        <f>'Data_in-situ'!CP48</f>
        <v>3</v>
      </c>
      <c r="K2021" s="24">
        <f>'Data_in-situ'!CR48</f>
        <v>18874.266157348848</v>
      </c>
      <c r="L2021" s="24">
        <f>'Data_in-situ'!CS48</f>
        <v>1436.9763260046241</v>
      </c>
      <c r="M2021" s="46">
        <f>'Data_in-situ'!CT48</f>
        <v>3</v>
      </c>
      <c r="N2021" s="24">
        <f>'Data_in-situ'!DA47</f>
        <v>1587.3797452740284</v>
      </c>
      <c r="O2021" s="24">
        <f>'Data_in-situ'!DB47</f>
        <v>3333.5525389363561</v>
      </c>
      <c r="P2021" s="46">
        <f>'Data_in-situ'!DC47</f>
        <v>3</v>
      </c>
      <c r="Q2021" s="24">
        <f>'Data_in-situ'!DE47</f>
        <v>7701.7517110636172</v>
      </c>
      <c r="R2021" s="24">
        <f>'Data_in-situ'!DF47</f>
        <v>1365.154161423319</v>
      </c>
      <c r="S2021" s="46">
        <f>'Data_in-situ'!DG47</f>
        <v>3</v>
      </c>
      <c r="T2021" s="113">
        <f>'Data_in-situ'!DN65</f>
        <v>7.7977007953643627</v>
      </c>
      <c r="U2021" s="113">
        <f>'Data_in-situ'!DO65</f>
        <v>3.3514104017873239</v>
      </c>
      <c r="V2021" s="46">
        <f>'Data_in-situ'!DP65</f>
        <v>3</v>
      </c>
      <c r="W2021" s="113">
        <f>'Data_in-situ'!DR65</f>
        <v>3.0401651288720082</v>
      </c>
      <c r="X2021" s="113">
        <f>'Data_in-situ'!DS65</f>
        <v>2.576926227735012</v>
      </c>
      <c r="Y2021" s="46">
        <f>'Data_in-situ'!DT65</f>
        <v>3</v>
      </c>
      <c r="Z2021" s="113">
        <f>'Data_in-situ'!EA152</f>
        <v>4.2428571428571429</v>
      </c>
      <c r="AA2021" s="113">
        <f>'Data_in-situ'!EB152</f>
        <v>2.9857142857142853</v>
      </c>
      <c r="AB2021" s="46">
        <f>'Data_in-situ'!EC152</f>
        <v>7</v>
      </c>
      <c r="AC2021" s="113">
        <f>'Data_in-situ'!EE152</f>
        <v>3.7714285714285714</v>
      </c>
      <c r="AD2021" s="113">
        <f>'Data_in-situ'!EF152</f>
        <v>1.7285714285714289</v>
      </c>
      <c r="AE2021" s="46">
        <f>'Data_in-situ'!EG152</f>
        <v>10</v>
      </c>
      <c r="AF2021" s="113">
        <f>'Data_in-situ'!EN47</f>
        <v>-38</v>
      </c>
      <c r="AG2021" s="113">
        <f>'Data_in-situ'!EO47</f>
        <v>5.412566119688516</v>
      </c>
      <c r="AH2021" s="110">
        <f>'Data_in-situ'!EP47</f>
        <v>3</v>
      </c>
      <c r="AI2021" s="113">
        <f>'Data_in-situ'!ER47</f>
        <v>-73</v>
      </c>
      <c r="AJ2021" s="113">
        <f>'Data_in-situ'!ES47</f>
        <v>7.3195252578292278</v>
      </c>
      <c r="AK2021" s="110">
        <f>'Data_in-situ'!ET47</f>
        <v>3</v>
      </c>
    </row>
    <row r="2022" spans="2:37" x14ac:dyDescent="0.3">
      <c r="B2022" s="24">
        <f>'Data_in-situ'!CA49</f>
        <v>-9369.2576901028933</v>
      </c>
      <c r="C2022" s="24">
        <f>'Data_in-situ'!CB49</f>
        <v>2035.7162873934246</v>
      </c>
      <c r="D2022" s="46">
        <f>'Data_in-situ'!CC49</f>
        <v>3</v>
      </c>
      <c r="E2022" s="24">
        <f>'Data_in-situ'!CE49</f>
        <v>-2299.2323090182686</v>
      </c>
      <c r="F2022" s="24">
        <f>'Data_in-situ'!CF49</f>
        <v>2342.6341654926264</v>
      </c>
      <c r="G2022" s="46">
        <f>'Data_in-situ'!CG49</f>
        <v>3</v>
      </c>
      <c r="H2022" s="24">
        <f>'Data_in-situ'!CN49</f>
        <v>12061.199832356524</v>
      </c>
      <c r="I2022" s="24">
        <f>'Data_in-situ'!CO49</f>
        <v>2723.4693933324475</v>
      </c>
      <c r="J2022" s="46">
        <f>'Data_in-situ'!CP49</f>
        <v>3</v>
      </c>
      <c r="K2022" s="24">
        <f>'Data_in-situ'!CR49</f>
        <v>11429.896740363933</v>
      </c>
      <c r="L2022" s="24">
        <f>'Data_in-situ'!CS49</f>
        <v>4226.8745195225956</v>
      </c>
      <c r="M2022" s="46">
        <f>'Data_in-situ'!CT49</f>
        <v>3</v>
      </c>
      <c r="N2022" s="24">
        <f>'Data_in-situ'!DA48</f>
        <v>1456.7860366045747</v>
      </c>
      <c r="O2022" s="24">
        <f>'Data_in-situ'!DB48</f>
        <v>3333.5525389363561</v>
      </c>
      <c r="P2022" s="46">
        <f>'Data_in-situ'!DC48</f>
        <v>3</v>
      </c>
      <c r="Q2022" s="24">
        <f>'Data_in-situ'!DE48</f>
        <v>10922.55689344512</v>
      </c>
      <c r="R2022" s="24">
        <f>'Data_in-situ'!DF48</f>
        <v>1312.0511177126614</v>
      </c>
      <c r="S2022" s="46">
        <f>'Data_in-situ'!DG48</f>
        <v>3</v>
      </c>
      <c r="T2022" s="113">
        <f>'Data_in-situ'!DN66</f>
        <v>7.7977007953643627</v>
      </c>
      <c r="U2022" s="113">
        <f>'Data_in-situ'!DO66</f>
        <v>3.3514104017873239</v>
      </c>
      <c r="V2022" s="46">
        <f>'Data_in-situ'!DP66</f>
        <v>3</v>
      </c>
      <c r="W2022" s="113">
        <f>'Data_in-situ'!DR66</f>
        <v>1.9887131963175433</v>
      </c>
      <c r="X2022" s="113">
        <f>'Data_in-situ'!DS66</f>
        <v>2.7881365985407487</v>
      </c>
      <c r="Y2022" s="46">
        <f>'Data_in-situ'!DT66</f>
        <v>3</v>
      </c>
      <c r="Z2022" s="113">
        <f>'Data_in-situ'!EA153</f>
        <v>4.2428571428571429</v>
      </c>
      <c r="AA2022" s="113">
        <f>'Data_in-situ'!EB153</f>
        <v>2.9857142857142853</v>
      </c>
      <c r="AB2022" s="46">
        <f>'Data_in-situ'!EC153</f>
        <v>7</v>
      </c>
      <c r="AC2022" s="113">
        <f>'Data_in-situ'!EE153</f>
        <v>7.8571428571428568</v>
      </c>
      <c r="AD2022" s="113">
        <f>'Data_in-situ'!EF153</f>
        <v>4.2428571428571429</v>
      </c>
      <c r="AE2022" s="46">
        <f>'Data_in-situ'!EG153</f>
        <v>8</v>
      </c>
      <c r="AF2022" s="113">
        <f>'Data_in-situ'!EN48</f>
        <v>-38</v>
      </c>
      <c r="AG2022" s="113">
        <f>'Data_in-situ'!EO48</f>
        <v>5.412566119688516</v>
      </c>
      <c r="AH2022" s="110">
        <f>'Data_in-situ'!EP48</f>
        <v>3</v>
      </c>
      <c r="AI2022" s="113">
        <f>'Data_in-situ'!ER48</f>
        <v>-112</v>
      </c>
      <c r="AJ2022" s="113">
        <f>'Data_in-situ'!ES48</f>
        <v>10.756618055876112</v>
      </c>
      <c r="AK2022" s="110">
        <f>'Data_in-situ'!ET48</f>
        <v>3</v>
      </c>
    </row>
    <row r="2023" spans="2:37" x14ac:dyDescent="0.3">
      <c r="B2023" s="24">
        <f>'Data_in-situ'!CA50</f>
        <v>-9369.2576901028933</v>
      </c>
      <c r="C2023" s="24">
        <f>'Data_in-situ'!CB50</f>
        <v>2035.7162873934246</v>
      </c>
      <c r="D2023" s="46">
        <f>'Data_in-situ'!CC50</f>
        <v>3</v>
      </c>
      <c r="E2023" s="24">
        <f>'Data_in-situ'!CE50</f>
        <v>-9078.4121067422348</v>
      </c>
      <c r="F2023" s="24">
        <f>'Data_in-situ'!CF50</f>
        <v>2550.7669434897421</v>
      </c>
      <c r="G2023" s="46">
        <f>'Data_in-situ'!CG50</f>
        <v>3</v>
      </c>
      <c r="H2023" s="24">
        <f>'Data_in-situ'!CN50</f>
        <v>12061.199832356524</v>
      </c>
      <c r="I2023" s="24">
        <f>'Data_in-situ'!CO50</f>
        <v>2723.4693933324475</v>
      </c>
      <c r="J2023" s="46">
        <f>'Data_in-situ'!CP50</f>
        <v>3</v>
      </c>
      <c r="K2023" s="24">
        <f>'Data_in-situ'!CR50</f>
        <v>19572.836444656983</v>
      </c>
      <c r="L2023" s="24">
        <f>'Data_in-situ'!CS50</f>
        <v>4405.6978485162454</v>
      </c>
      <c r="M2023" s="46">
        <f>'Data_in-situ'!CT50</f>
        <v>3</v>
      </c>
      <c r="N2023" s="24">
        <f>'Data_in-situ'!DA49</f>
        <v>2691.9421422536325</v>
      </c>
      <c r="O2023" s="24">
        <f>'Data_in-situ'!DB49</f>
        <v>1470.8979553996573</v>
      </c>
      <c r="P2023" s="46">
        <f>'Data_in-situ'!DC49</f>
        <v>3</v>
      </c>
      <c r="Q2023" s="24">
        <f>'Data_in-situ'!DE49</f>
        <v>9130.6644313456636</v>
      </c>
      <c r="R2023" s="24">
        <f>'Data_in-situ'!DF49</f>
        <v>1617.1067844170707</v>
      </c>
      <c r="S2023" s="46">
        <f>'Data_in-situ'!DG49</f>
        <v>3</v>
      </c>
      <c r="T2023" s="113">
        <f>'Data_in-situ'!DN67</f>
        <v>7.1375195796034658</v>
      </c>
      <c r="U2023" s="113">
        <f>'Data_in-situ'!DO67</f>
        <v>3.9633493035082119</v>
      </c>
      <c r="V2023" s="46">
        <f>'Data_in-situ'!DP67</f>
        <v>3</v>
      </c>
      <c r="W2023" s="113">
        <f>'Data_in-situ'!DR67</f>
        <v>3.0539332337351648</v>
      </c>
      <c r="X2023" s="113">
        <f>'Data_in-situ'!DS67</f>
        <v>2.9487867124895311</v>
      </c>
      <c r="Y2023" s="46">
        <f>'Data_in-situ'!DT67</f>
        <v>3</v>
      </c>
      <c r="Z2023" s="113">
        <f>'Data_in-situ'!EA154</f>
        <v>4.2428571428571429</v>
      </c>
      <c r="AA2023" s="113">
        <f>'Data_in-situ'!EB154</f>
        <v>2.9857142857142853</v>
      </c>
      <c r="AB2023" s="46">
        <f>'Data_in-situ'!EC154</f>
        <v>7</v>
      </c>
      <c r="AC2023" s="113">
        <f>'Data_in-situ'!EE154</f>
        <v>1.8857142857142857</v>
      </c>
      <c r="AD2023" s="113">
        <f>'Data_in-situ'!EF154</f>
        <v>2.8156342625739934</v>
      </c>
      <c r="AE2023" s="46">
        <f>'Data_in-situ'!EG154</f>
        <v>1</v>
      </c>
      <c r="AF2023" s="113">
        <f>'Data_in-situ'!EN49</f>
        <v>-45.680000000000007</v>
      </c>
      <c r="AG2023" s="113">
        <f>'Data_in-situ'!EO49</f>
        <v>4.842822317616041</v>
      </c>
      <c r="AH2023" s="110">
        <f>'Data_in-situ'!EP49</f>
        <v>3</v>
      </c>
      <c r="AI2023" s="113">
        <f>'Data_in-situ'!ER49</f>
        <v>-80.650000000000006</v>
      </c>
      <c r="AJ2023" s="113">
        <f>'Data_in-situ'!ES49</f>
        <v>8.7407922981844166</v>
      </c>
      <c r="AK2023" s="110">
        <f>'Data_in-situ'!ET49</f>
        <v>3</v>
      </c>
    </row>
    <row r="2024" spans="2:37" x14ac:dyDescent="0.3">
      <c r="B2024" s="24">
        <f>'Data_in-situ'!CA51</f>
        <v>-9754.4163078122838</v>
      </c>
      <c r="C2024" s="24">
        <f>'Data_in-situ'!CB51</f>
        <v>3932.1332121217479</v>
      </c>
      <c r="D2024" s="46">
        <f>'Data_in-situ'!CC51</f>
        <v>3</v>
      </c>
      <c r="E2024" s="24">
        <f>'Data_in-situ'!CE51</f>
        <v>-2761.4491134085392</v>
      </c>
      <c r="F2024" s="24">
        <f>'Data_in-situ'!CF51</f>
        <v>1692.9192981356198</v>
      </c>
      <c r="G2024" s="46">
        <f>'Data_in-situ'!CG51</f>
        <v>3</v>
      </c>
      <c r="H2024" s="24">
        <f>'Data_in-situ'!CN51</f>
        <v>12245.303198687096</v>
      </c>
      <c r="I2024" s="24">
        <f>'Data_in-situ'!CO51</f>
        <v>3757.3069479498581</v>
      </c>
      <c r="J2024" s="46">
        <f>'Data_in-situ'!CP51</f>
        <v>3</v>
      </c>
      <c r="K2024" s="24">
        <f>'Data_in-situ'!CR51</f>
        <v>17330.977325256288</v>
      </c>
      <c r="L2024" s="24">
        <f>'Data_in-situ'!CS51</f>
        <v>2585.939777312642</v>
      </c>
      <c r="M2024" s="46">
        <f>'Data_in-situ'!CT51</f>
        <v>3</v>
      </c>
      <c r="N2024" s="24">
        <f>'Data_in-situ'!DA50</f>
        <v>2691.9421422536325</v>
      </c>
      <c r="O2024" s="24">
        <f>'Data_in-situ'!DB50</f>
        <v>1470.8979553996573</v>
      </c>
      <c r="P2024" s="46">
        <f>'Data_in-situ'!DC50</f>
        <v>3</v>
      </c>
      <c r="Q2024" s="24">
        <f>'Data_in-situ'!DE50</f>
        <v>10494.424337914745</v>
      </c>
      <c r="R2024" s="24">
        <f>'Data_in-situ'!DF50</f>
        <v>1546.8515977021152</v>
      </c>
      <c r="S2024" s="46">
        <f>'Data_in-situ'!DG50</f>
        <v>3</v>
      </c>
      <c r="T2024" s="113">
        <f>'Data_in-situ'!DN68</f>
        <v>7.1375195796034658</v>
      </c>
      <c r="U2024" s="113">
        <f>'Data_in-situ'!DO68</f>
        <v>3.9633493035082119</v>
      </c>
      <c r="V2024" s="46">
        <f>'Data_in-situ'!DP68</f>
        <v>3</v>
      </c>
      <c r="W2024" s="113">
        <f>'Data_in-situ'!DR68</f>
        <v>1.8162894746130522</v>
      </c>
      <c r="X2024" s="113">
        <f>'Data_in-situ'!DS68</f>
        <v>1.2745561332707356</v>
      </c>
      <c r="Y2024" s="46">
        <f>'Data_in-situ'!DT68</f>
        <v>3</v>
      </c>
      <c r="Z2024" s="113">
        <f>'Data_in-situ'!EA201</f>
        <v>0</v>
      </c>
      <c r="AA2024" s="113">
        <f>'Data_in-situ'!EB201</f>
        <v>0</v>
      </c>
      <c r="AB2024" s="46">
        <f>'Data_in-situ'!EC201</f>
        <v>3</v>
      </c>
      <c r="AC2024" s="113">
        <f>'Data_in-situ'!EE201</f>
        <v>0.03</v>
      </c>
      <c r="AD2024" s="113">
        <f>'Data_in-situ'!EF201</f>
        <v>4.4794181450040799E-2</v>
      </c>
      <c r="AE2024" s="46">
        <f>'Data_in-situ'!EG201</f>
        <v>3</v>
      </c>
      <c r="AF2024" s="113">
        <f>'Data_in-situ'!EN50</f>
        <v>-45.680000000000007</v>
      </c>
      <c r="AG2024" s="113">
        <f>'Data_in-situ'!EO50</f>
        <v>4.842822317616041</v>
      </c>
      <c r="AH2024" s="110">
        <f>'Data_in-situ'!EP50</f>
        <v>3</v>
      </c>
      <c r="AI2024" s="113">
        <f>'Data_in-situ'!ER50</f>
        <v>-118.08000000000001</v>
      </c>
      <c r="AJ2024" s="113">
        <f>'Data_in-situ'!ES50</f>
        <v>8.3505324381143513</v>
      </c>
      <c r="AK2024" s="110">
        <f>'Data_in-situ'!ET50</f>
        <v>3</v>
      </c>
    </row>
    <row r="2025" spans="2:37" x14ac:dyDescent="0.3">
      <c r="B2025" s="24">
        <f>'Data_in-situ'!CA52</f>
        <v>-9754.4163078122838</v>
      </c>
      <c r="C2025" s="24">
        <f>'Data_in-situ'!CB52</f>
        <v>3932.1332121217479</v>
      </c>
      <c r="D2025" s="46">
        <f>'Data_in-situ'!CC52</f>
        <v>3</v>
      </c>
      <c r="E2025" s="24">
        <f>'Data_in-situ'!CE52</f>
        <v>-9460.8273773830751</v>
      </c>
      <c r="F2025" s="24">
        <f>'Data_in-situ'!CF52</f>
        <v>2248.9137051770867</v>
      </c>
      <c r="G2025" s="46">
        <f>'Data_in-situ'!CG52</f>
        <v>3</v>
      </c>
      <c r="H2025" s="24">
        <f>'Data_in-situ'!CN52</f>
        <v>12245.303198687096</v>
      </c>
      <c r="I2025" s="24">
        <f>'Data_in-situ'!CO52</f>
        <v>3459.6241558518745</v>
      </c>
      <c r="J2025" s="46">
        <f>'Data_in-situ'!CP52</f>
        <v>3</v>
      </c>
      <c r="K2025" s="24">
        <f>'Data_in-situ'!CR52</f>
        <v>19797.114273740117</v>
      </c>
      <c r="L2025" s="24">
        <f>'Data_in-situ'!CS52</f>
        <v>3942.244199118858</v>
      </c>
      <c r="M2025" s="46">
        <f>'Data_in-situ'!CT52</f>
        <v>3</v>
      </c>
      <c r="N2025" s="24">
        <f>'Data_in-situ'!DA51</f>
        <v>2490.8868908748118</v>
      </c>
      <c r="O2025" s="24">
        <f>'Data_in-situ'!DB51</f>
        <v>1134.5350284056235</v>
      </c>
      <c r="P2025" s="46">
        <f>'Data_in-situ'!DC51</f>
        <v>3</v>
      </c>
      <c r="Q2025" s="24">
        <f>'Data_in-situ'!DE51</f>
        <v>14569.528211847748</v>
      </c>
      <c r="R2025" s="24">
        <f>'Data_in-situ'!DF51</f>
        <v>1911.412784772738</v>
      </c>
      <c r="S2025" s="46">
        <f>'Data_in-situ'!DG51</f>
        <v>3</v>
      </c>
      <c r="T2025" s="113">
        <f>'Data_in-situ'!DN69</f>
        <v>8.4029927968922031</v>
      </c>
      <c r="U2025" s="113">
        <f>'Data_in-situ'!DO69</f>
        <v>3.1873816651232265</v>
      </c>
      <c r="V2025" s="46">
        <f>'Data_in-situ'!DP69</f>
        <v>3</v>
      </c>
      <c r="W2025" s="113">
        <f>'Data_in-situ'!DR69</f>
        <v>1.0794478740303646</v>
      </c>
      <c r="X2025" s="113">
        <f>'Data_in-situ'!DS69</f>
        <v>0.96059962800413323</v>
      </c>
      <c r="Y2025" s="46">
        <f>'Data_in-situ'!DT69</f>
        <v>3</v>
      </c>
      <c r="Z2025" s="113">
        <f>'Data_in-situ'!EA202</f>
        <v>0</v>
      </c>
      <c r="AA2025" s="113">
        <f>'Data_in-situ'!EB202</f>
        <v>0</v>
      </c>
      <c r="AB2025" s="46">
        <f>'Data_in-situ'!EC202</f>
        <v>3</v>
      </c>
      <c r="AC2025" s="113">
        <f>'Data_in-situ'!EE202</f>
        <v>0.05</v>
      </c>
      <c r="AD2025" s="113">
        <f>'Data_in-situ'!EF202</f>
        <v>7.4656969083401345E-2</v>
      </c>
      <c r="AE2025" s="46">
        <f>'Data_in-situ'!EG202</f>
        <v>3</v>
      </c>
      <c r="AF2025" s="113">
        <f>'Data_in-situ'!EN51</f>
        <v>-53.36</v>
      </c>
      <c r="AG2025" s="113">
        <f>'Data_in-situ'!EO51</f>
        <v>6.3986248522631799</v>
      </c>
      <c r="AH2025" s="110">
        <f>'Data_in-situ'!EP51</f>
        <v>3</v>
      </c>
      <c r="AI2025" s="113">
        <f>'Data_in-situ'!ER51</f>
        <v>-88.300000000000011</v>
      </c>
      <c r="AJ2025" s="113">
        <f>'Data_in-situ'!ES51</f>
        <v>8.3224065029293062</v>
      </c>
      <c r="AK2025" s="110">
        <f>'Data_in-situ'!ET51</f>
        <v>3</v>
      </c>
    </row>
    <row r="2026" spans="2:37" x14ac:dyDescent="0.3">
      <c r="B2026" s="24">
        <f>'Data_in-situ'!CA71</f>
        <v>-9117.231395346209</v>
      </c>
      <c r="C2026" s="24">
        <f>'Data_in-situ'!CB71</f>
        <v>2424.3247606001519</v>
      </c>
      <c r="D2026" s="46">
        <f>'Data_in-situ'!CC71</f>
        <v>3</v>
      </c>
      <c r="E2026" s="24">
        <f>'Data_in-situ'!CE71</f>
        <v>-11061.598737544935</v>
      </c>
      <c r="F2026" s="24">
        <f>'Data_in-situ'!CF71</f>
        <v>12004.393621698095</v>
      </c>
      <c r="G2026" s="46">
        <f>'Data_in-situ'!CG71</f>
        <v>3</v>
      </c>
      <c r="H2026" s="24">
        <f>'Data_in-situ'!CN71</f>
        <v>12663.516770662041</v>
      </c>
      <c r="I2026" s="24">
        <f>'Data_in-situ'!CO71</f>
        <v>2011.7619468526057</v>
      </c>
      <c r="J2026" s="46">
        <f>'Data_in-situ'!CP71</f>
        <v>3</v>
      </c>
      <c r="K2026" s="24">
        <f>'Data_in-situ'!CR71</f>
        <v>13557.778602361721</v>
      </c>
      <c r="L2026" s="24">
        <f>'Data_in-situ'!CS71</f>
        <v>1534.7793518535277</v>
      </c>
      <c r="M2026" s="46">
        <f>'Data_in-situ'!CT71</f>
        <v>3</v>
      </c>
      <c r="N2026" s="24">
        <f>'Data_in-situ'!DA52</f>
        <v>2490.8868908748118</v>
      </c>
      <c r="O2026" s="24">
        <f>'Data_in-situ'!DB52</f>
        <v>1134.5350284056235</v>
      </c>
      <c r="P2026" s="46">
        <f>'Data_in-situ'!DC52</f>
        <v>3</v>
      </c>
      <c r="Q2026" s="24">
        <f>'Data_in-situ'!DE52</f>
        <v>10336.286896357044</v>
      </c>
      <c r="R2026" s="24">
        <f>'Data_in-situ'!DF52</f>
        <v>1988.9291863416881</v>
      </c>
      <c r="S2026" s="46">
        <f>'Data_in-situ'!DG52</f>
        <v>3</v>
      </c>
      <c r="T2026" s="113">
        <f>'Data_in-situ'!DN70</f>
        <v>8.4029927968922031</v>
      </c>
      <c r="U2026" s="113">
        <f>'Data_in-situ'!DO70</f>
        <v>3.1873816651232265</v>
      </c>
      <c r="V2026" s="46">
        <f>'Data_in-situ'!DP70</f>
        <v>3</v>
      </c>
      <c r="W2026" s="113">
        <f>'Data_in-situ'!DR70</f>
        <v>0.78616919085132009</v>
      </c>
      <c r="X2026" s="113">
        <f>'Data_in-situ'!DS70</f>
        <v>1.3520526050253143</v>
      </c>
      <c r="Y2026" s="46">
        <f>'Data_in-situ'!DT70</f>
        <v>3</v>
      </c>
      <c r="Z2026" s="113">
        <f>'Data_in-situ'!EA214</f>
        <v>0.7</v>
      </c>
      <c r="AA2026" s="113">
        <f>'Data_in-situ'!EB214</f>
        <v>4.0249838876014987</v>
      </c>
      <c r="AB2026" s="46">
        <f>'Data_in-situ'!EC214</f>
        <v>3</v>
      </c>
      <c r="AC2026" s="113">
        <f>'Data_in-situ'!EE214</f>
        <v>0.8</v>
      </c>
      <c r="AD2026" s="113">
        <f>'Data_in-situ'!EF214</f>
        <v>1.1945115053344215</v>
      </c>
      <c r="AE2026" s="46">
        <f>'Data_in-situ'!EG214</f>
        <v>3</v>
      </c>
      <c r="AF2026" s="113">
        <f>'Data_in-situ'!EN52</f>
        <v>-53.36</v>
      </c>
      <c r="AG2026" s="113">
        <f>'Data_in-situ'!EO52</f>
        <v>6.3986248522631799</v>
      </c>
      <c r="AH2026" s="110">
        <f>'Data_in-situ'!EP52</f>
        <v>3</v>
      </c>
      <c r="AI2026" s="113">
        <f>'Data_in-situ'!ER52</f>
        <v>-124.16</v>
      </c>
      <c r="AJ2026" s="113">
        <f>'Data_in-situ'!ES52</f>
        <v>9.3061459262145689</v>
      </c>
      <c r="AK2026" s="110">
        <f>'Data_in-situ'!ET52</f>
        <v>3</v>
      </c>
    </row>
    <row r="2027" spans="2:37" x14ac:dyDescent="0.3">
      <c r="B2027" s="24">
        <f>'Data_in-situ'!CA72</f>
        <v>-10940.677674415452</v>
      </c>
      <c r="C2027" s="24">
        <f>'Data_in-situ'!CB72</f>
        <v>3587.5182834567408</v>
      </c>
      <c r="D2027" s="46">
        <f>'Data_in-situ'!CC72</f>
        <v>3</v>
      </c>
      <c r="E2027" s="24">
        <f>'Data_in-situ'!CE72</f>
        <v>-13155.401355723083</v>
      </c>
      <c r="F2027" s="24">
        <f>'Data_in-situ'!CF72</f>
        <v>5176.9391284347485</v>
      </c>
      <c r="G2027" s="46">
        <f>'Data_in-situ'!CG72</f>
        <v>3</v>
      </c>
      <c r="H2027" s="24">
        <f>'Data_in-situ'!CN72</f>
        <v>12156.97609983556</v>
      </c>
      <c r="I2027" s="24">
        <f>'Data_in-situ'!CO72</f>
        <v>3352.7816659818532</v>
      </c>
      <c r="J2027" s="46">
        <f>'Data_in-situ'!CP72</f>
        <v>3</v>
      </c>
      <c r="K2027" s="24">
        <f>'Data_in-situ'!CR72</f>
        <v>16499.127180501211</v>
      </c>
      <c r="L2027" s="24">
        <f>'Data_in-situ'!CS72</f>
        <v>2145.4857374487219</v>
      </c>
      <c r="M2027" s="46">
        <f>'Data_in-situ'!CT72</f>
        <v>3</v>
      </c>
      <c r="N2027" s="24">
        <f>'Data_in-situ'!DA71</f>
        <v>3546.2853753158324</v>
      </c>
      <c r="O2027" s="24">
        <f>'Data_in-situ'!DB71</f>
        <v>5941.722754487856</v>
      </c>
      <c r="P2027" s="46">
        <f>'Data_in-situ'!DC71</f>
        <v>3</v>
      </c>
      <c r="Q2027" s="24">
        <f>'Data_in-situ'!DE71</f>
        <v>2496.179864816786</v>
      </c>
      <c r="R2027" s="24">
        <f>'Data_in-situ'!DF71</f>
        <v>441.8656256521171</v>
      </c>
      <c r="S2027" s="46">
        <f>'Data_in-situ'!DG71</f>
        <v>3</v>
      </c>
      <c r="T2027" s="113">
        <f>'Data_in-situ'!DN77</f>
        <v>107.85213477594468</v>
      </c>
      <c r="U2027" s="113">
        <f>'Data_in-situ'!DO77</f>
        <v>101.11467674058741</v>
      </c>
      <c r="V2027" s="46">
        <f>'Data_in-situ'!DP77</f>
        <v>6</v>
      </c>
      <c r="W2027" s="113">
        <f>'Data_in-situ'!DR77</f>
        <v>11.097</v>
      </c>
      <c r="X2027" s="113">
        <f>'Data_in-situ'!DS77</f>
        <v>12.912818417114034</v>
      </c>
      <c r="Y2027" s="46">
        <f>'Data_in-situ'!DT77</f>
        <v>6</v>
      </c>
      <c r="Z2027" s="113">
        <f>'Data_in-situ'!EA216</f>
        <v>7.5428571428571428E-2</v>
      </c>
      <c r="AA2027" s="113">
        <f>'Data_in-situ'!EB216</f>
        <v>0.15514226519224084</v>
      </c>
      <c r="AB2027" s="46">
        <f>'Data_in-situ'!EC216</f>
        <v>3</v>
      </c>
      <c r="AC2027" s="113">
        <f>'Data_in-situ'!EE216</f>
        <v>6.4428571428571418E-2</v>
      </c>
      <c r="AD2027" s="113">
        <f>'Data_in-situ'!EF216</f>
        <v>0.21502173596819346</v>
      </c>
      <c r="AE2027" s="46">
        <f>'Data_in-situ'!EG216</f>
        <v>3</v>
      </c>
      <c r="AF2027" s="113">
        <f>'Data_in-situ'!EN53</f>
        <v>-38</v>
      </c>
      <c r="AG2027" s="113">
        <f>'Data_in-situ'!EO53</f>
        <v>7.6</v>
      </c>
      <c r="AH2027" s="110">
        <f>'Data_in-situ'!EP53</f>
        <v>3</v>
      </c>
      <c r="AI2027" s="113">
        <f>'Data_in-situ'!ER53</f>
        <v>-73</v>
      </c>
      <c r="AJ2027" s="113">
        <f>'Data_in-situ'!ES53</f>
        <v>10.3</v>
      </c>
      <c r="AK2027" s="110">
        <f>'Data_in-situ'!ET53</f>
        <v>3</v>
      </c>
    </row>
    <row r="2028" spans="2:37" x14ac:dyDescent="0.3">
      <c r="B2028" s="24">
        <f>'Data_in-situ'!CA73</f>
        <v>-7247.1260453614077</v>
      </c>
      <c r="C2028" s="24">
        <f>'Data_in-situ'!CB73</f>
        <v>2100.9616035887616</v>
      </c>
      <c r="D2028" s="46">
        <f>'Data_in-situ'!CC73</f>
        <v>3</v>
      </c>
      <c r="E2028" s="24">
        <f>'Data_in-situ'!CE73</f>
        <v>-4582.6623341257582</v>
      </c>
      <c r="F2028" s="24">
        <f>'Data_in-situ'!CF73</f>
        <v>1321.5627260440792</v>
      </c>
      <c r="G2028" s="46">
        <f>'Data_in-situ'!CG73</f>
        <v>3</v>
      </c>
      <c r="H2028" s="24">
        <f>'Data_in-situ'!CN73</f>
        <v>6440.2877983621229</v>
      </c>
      <c r="I2028" s="24">
        <f>'Data_in-situ'!CO73</f>
        <v>2181.3507268282779</v>
      </c>
      <c r="J2028" s="46">
        <f>'Data_in-situ'!CP73</f>
        <v>3</v>
      </c>
      <c r="K2028" s="24">
        <f>'Data_in-situ'!CR73</f>
        <v>24633.794341918241</v>
      </c>
      <c r="L2028" s="24">
        <f>'Data_in-situ'!CS73</f>
        <v>2489.5274353362884</v>
      </c>
      <c r="M2028" s="46">
        <f>'Data_in-situ'!CT73</f>
        <v>3</v>
      </c>
      <c r="N2028" s="24">
        <f>'Data_in-situ'!DA72</f>
        <v>1216.2984254201074</v>
      </c>
      <c r="O2028" s="24">
        <f>'Data_in-situ'!DB72</f>
        <v>2060.9133169618799</v>
      </c>
      <c r="P2028" s="46">
        <f>'Data_in-situ'!DC72</f>
        <v>3</v>
      </c>
      <c r="Q2028" s="24">
        <f>'Data_in-situ'!DE72</f>
        <v>3343.7258247781283</v>
      </c>
      <c r="R2028" s="24">
        <f>'Data_in-situ'!DF72</f>
        <v>717.82293341401112</v>
      </c>
      <c r="S2028" s="46">
        <f>'Data_in-situ'!DG72</f>
        <v>3</v>
      </c>
      <c r="T2028" s="113">
        <f>'Data_in-situ'!DN78</f>
        <v>107.85213477594468</v>
      </c>
      <c r="U2028" s="113">
        <f>'Data_in-situ'!DO78</f>
        <v>101.11467674058741</v>
      </c>
      <c r="V2028" s="46">
        <f>'Data_in-situ'!DP78</f>
        <v>6</v>
      </c>
      <c r="W2028" s="113">
        <f>'Data_in-situ'!DR78</f>
        <v>23.372199999999999</v>
      </c>
      <c r="X2028" s="113">
        <f>'Data_in-situ'!DS78</f>
        <v>23.116574134644171</v>
      </c>
      <c r="Y2028" s="46">
        <f>'Data_in-situ'!DT78</f>
        <v>6</v>
      </c>
      <c r="Z2028" s="113">
        <f>'Data_in-situ'!EA254</f>
        <v>1.9797330692495084E-2</v>
      </c>
      <c r="AA2028" s="113">
        <f>'Data_in-situ'!EB254</f>
        <v>9.4097353220211316E-2</v>
      </c>
      <c r="AB2028" s="46">
        <f>'Data_in-situ'!EC254</f>
        <v>3</v>
      </c>
      <c r="AC2028" s="113">
        <f>'Data_in-situ'!EE254</f>
        <v>2.4487558815364012E-2</v>
      </c>
      <c r="AD2028" s="113">
        <f>'Data_in-situ'!EF254</f>
        <v>5.089541115262039E-2</v>
      </c>
      <c r="AE2028" s="46">
        <f>'Data_in-situ'!EG254</f>
        <v>3</v>
      </c>
      <c r="AF2028" s="113">
        <f>'Data_in-situ'!EN54</f>
        <v>-38</v>
      </c>
      <c r="AG2028" s="113">
        <f>'Data_in-situ'!EO54</f>
        <v>7.6</v>
      </c>
      <c r="AH2028" s="110">
        <f>'Data_in-situ'!EP54</f>
        <v>3</v>
      </c>
      <c r="AI2028" s="113">
        <f>'Data_in-situ'!ER54</f>
        <v>-112</v>
      </c>
      <c r="AJ2028" s="113">
        <f>'Data_in-situ'!ES54</f>
        <v>15.2</v>
      </c>
      <c r="AK2028" s="110">
        <f>'Data_in-situ'!ET54</f>
        <v>3</v>
      </c>
    </row>
    <row r="2029" spans="2:37" x14ac:dyDescent="0.3">
      <c r="B2029" s="24">
        <f>'Data_in-situ'!CA74</f>
        <v>-7369.268619159634</v>
      </c>
      <c r="C2029" s="24">
        <f>'Data_in-situ'!CB74</f>
        <v>746.95892899118678</v>
      </c>
      <c r="D2029" s="46">
        <f>'Data_in-situ'!CC74</f>
        <v>3</v>
      </c>
      <c r="E2029" s="24">
        <f>'Data_in-situ'!CE74</f>
        <v>-4661.6737536796509</v>
      </c>
      <c r="F2029" s="24">
        <f>'Data_in-situ'!CF74</f>
        <v>1389.6358486823906</v>
      </c>
      <c r="G2029" s="46">
        <f>'Data_in-situ'!CG74</f>
        <v>3</v>
      </c>
      <c r="H2029" s="24">
        <f>'Data_in-situ'!CN74</f>
        <v>11939.302764655935</v>
      </c>
      <c r="I2029" s="24">
        <f>'Data_in-situ'!CO74</f>
        <v>4483.7070147716368</v>
      </c>
      <c r="J2029" s="46">
        <f>'Data_in-situ'!CP74</f>
        <v>3</v>
      </c>
      <c r="K2029" s="24">
        <f>'Data_in-situ'!CR74</f>
        <v>23300.995767448785</v>
      </c>
      <c r="L2029" s="24">
        <f>'Data_in-situ'!CS74</f>
        <v>3584.4542083747219</v>
      </c>
      <c r="M2029" s="46">
        <f>'Data_in-situ'!CT74</f>
        <v>3</v>
      </c>
      <c r="N2029" s="24">
        <f>'Data_in-situ'!DA73</f>
        <v>-806.83824699928482</v>
      </c>
      <c r="O2029" s="24">
        <f>'Data_in-situ'!DB73</f>
        <v>1429.0549882340658</v>
      </c>
      <c r="P2029" s="46">
        <f>'Data_in-situ'!DC73</f>
        <v>3</v>
      </c>
      <c r="Q2029" s="24">
        <f>'Data_in-situ'!DE73</f>
        <v>20051.132007792483</v>
      </c>
      <c r="R2029" s="24">
        <f>'Data_in-situ'!DF73</f>
        <v>2691.1988636577994</v>
      </c>
      <c r="S2029" s="46">
        <f>'Data_in-situ'!DG73</f>
        <v>3</v>
      </c>
      <c r="T2029" s="113">
        <f>'Data_in-situ'!DN86</f>
        <v>78.666666666666671</v>
      </c>
      <c r="U2029" s="113">
        <f>'Data_in-situ'!DO86</f>
        <v>87.703837413914115</v>
      </c>
      <c r="V2029" s="46">
        <f>'Data_in-situ'!DP86</f>
        <v>3</v>
      </c>
      <c r="W2029" s="113">
        <f>'Data_in-situ'!DR86</f>
        <v>34.666666666666664</v>
      </c>
      <c r="X2029" s="113">
        <f>'Data_in-situ'!DS86</f>
        <v>129.55683154720833</v>
      </c>
      <c r="Y2029" s="46">
        <f>'Data_in-situ'!DT86</f>
        <v>3</v>
      </c>
      <c r="Z2029" s="113">
        <f>'Data_in-situ'!EA255</f>
        <v>-0.1060571287097951</v>
      </c>
      <c r="AA2029" s="113">
        <f>'Data_in-situ'!EB255</f>
        <v>0.28407129566600942</v>
      </c>
      <c r="AB2029" s="46">
        <f>'Data_in-situ'!EC255</f>
        <v>3</v>
      </c>
      <c r="AC2029" s="113">
        <f>'Data_in-situ'!EE255</f>
        <v>-1.1798551065584481E-2</v>
      </c>
      <c r="AD2029" s="113">
        <f>'Data_in-situ'!EF255</f>
        <v>4.6464249030440392E-2</v>
      </c>
      <c r="AE2029" s="46">
        <f>'Data_in-situ'!EG255</f>
        <v>3</v>
      </c>
      <c r="AF2029" s="113">
        <f>'Data_in-situ'!EN55</f>
        <v>-47</v>
      </c>
      <c r="AG2029" s="113">
        <f>'Data_in-situ'!EO55</f>
        <v>6.8</v>
      </c>
      <c r="AH2029" s="110">
        <f>'Data_in-situ'!EP55</f>
        <v>3</v>
      </c>
      <c r="AI2029" s="113">
        <f>'Data_in-situ'!ER55</f>
        <v>-82</v>
      </c>
      <c r="AJ2029" s="113">
        <f>'Data_in-situ'!ES55</f>
        <v>12.3</v>
      </c>
      <c r="AK2029" s="110">
        <f>'Data_in-situ'!ET55</f>
        <v>3</v>
      </c>
    </row>
    <row r="2030" spans="2:37" x14ac:dyDescent="0.3">
      <c r="B2030" s="24">
        <f>'Data_in-situ'!CA75</f>
        <v>-8294.3850413528962</v>
      </c>
      <c r="C2030" s="24">
        <f>'Data_in-situ'!CB75</f>
        <v>1642.4661972156998</v>
      </c>
      <c r="D2030" s="46">
        <f>'Data_in-situ'!CC75</f>
        <v>3</v>
      </c>
      <c r="E2030" s="24">
        <f>'Data_in-situ'!CE75</f>
        <v>-8210.866720040498</v>
      </c>
      <c r="F2030" s="24">
        <f>'Data_in-situ'!CF75</f>
        <v>6747.5626737645262</v>
      </c>
      <c r="G2030" s="46">
        <f>'Data_in-situ'!CG75</f>
        <v>3</v>
      </c>
      <c r="H2030" s="24">
        <f>'Data_in-situ'!CN75</f>
        <v>9925.2960228500779</v>
      </c>
      <c r="I2030" s="24">
        <f>'Data_in-situ'!CO75</f>
        <v>1480.0009145095366</v>
      </c>
      <c r="J2030" s="46">
        <f>'Data_in-situ'!CP75</f>
        <v>3</v>
      </c>
      <c r="K2030" s="24">
        <f>'Data_in-situ'!CR75</f>
        <v>18431.22552776659</v>
      </c>
      <c r="L2030" s="24">
        <f>'Data_in-situ'!CS75</f>
        <v>1392.33025401075</v>
      </c>
      <c r="M2030" s="46">
        <f>'Data_in-situ'!CT75</f>
        <v>3</v>
      </c>
      <c r="N2030" s="24">
        <f>'Data_in-situ'!DA74</f>
        <v>4570.0341454963009</v>
      </c>
      <c r="O2030" s="24">
        <f>'Data_in-situ'!DB74</f>
        <v>7489.8905028845447</v>
      </c>
      <c r="P2030" s="46">
        <f>'Data_in-situ'!DC74</f>
        <v>3</v>
      </c>
      <c r="Q2030" s="24">
        <f>'Data_in-situ'!DE74</f>
        <v>18639.322013769135</v>
      </c>
      <c r="R2030" s="24">
        <f>'Data_in-situ'!DF74</f>
        <v>3134.0545713270785</v>
      </c>
      <c r="S2030" s="46">
        <f>'Data_in-situ'!DG74</f>
        <v>3</v>
      </c>
      <c r="T2030" s="113">
        <f>'Data_in-situ'!DN87</f>
        <v>31.999999999999996</v>
      </c>
      <c r="U2030" s="113">
        <f>'Data_in-situ'!DO87</f>
        <v>35.676137253117595</v>
      </c>
      <c r="V2030" s="46">
        <f>'Data_in-situ'!DP87</f>
        <v>3</v>
      </c>
      <c r="W2030" s="113">
        <f>'Data_in-situ'!DR87</f>
        <v>14.666666666666668</v>
      </c>
      <c r="X2030" s="113">
        <f>'Data_in-situ'!DS87</f>
        <v>54.812505654588151</v>
      </c>
      <c r="Y2030" s="46">
        <f>'Data_in-situ'!DT87</f>
        <v>3</v>
      </c>
      <c r="Z2030" s="113">
        <f>'Data_in-situ'!EA256</f>
        <v>-4.2277844422856668E-2</v>
      </c>
      <c r="AA2030" s="113">
        <f>'Data_in-situ'!EB256</f>
        <v>0.1213395789758789</v>
      </c>
      <c r="AB2030" s="46">
        <f>'Data_in-situ'!EC256</f>
        <v>3</v>
      </c>
      <c r="AC2030" s="113">
        <f>'Data_in-situ'!EE256</f>
        <v>4.8975117630728024E-2</v>
      </c>
      <c r="AD2030" s="113">
        <f>'Data_in-situ'!EF256</f>
        <v>0.13610077440950419</v>
      </c>
      <c r="AE2030" s="46">
        <f>'Data_in-situ'!EG256</f>
        <v>3</v>
      </c>
      <c r="AF2030" s="113">
        <f>'Data_in-situ'!EN56</f>
        <v>-47</v>
      </c>
      <c r="AG2030" s="113">
        <f>'Data_in-situ'!EO56</f>
        <v>6.8</v>
      </c>
      <c r="AH2030" s="110">
        <f>'Data_in-situ'!EP56</f>
        <v>3</v>
      </c>
      <c r="AI2030" s="113">
        <f>'Data_in-situ'!ER56</f>
        <v>-120</v>
      </c>
      <c r="AJ2030" s="113">
        <f>'Data_in-situ'!ES56</f>
        <v>11.8</v>
      </c>
      <c r="AK2030" s="110">
        <f>'Data_in-situ'!ET56</f>
        <v>3</v>
      </c>
    </row>
    <row r="2031" spans="2:37" x14ac:dyDescent="0.3">
      <c r="B2031" s="24">
        <f>'Data_in-situ'!CA76</f>
        <v>-9369.2576901028915</v>
      </c>
      <c r="C2031" s="24">
        <f>'Data_in-situ'!CB76</f>
        <v>2035.7162873934251</v>
      </c>
      <c r="D2031" s="46">
        <f>'Data_in-situ'!CC76</f>
        <v>3</v>
      </c>
      <c r="E2031" s="24">
        <f>'Data_in-situ'!CE76</f>
        <v>-9418.1612108239733</v>
      </c>
      <c r="F2031" s="24">
        <f>'Data_in-situ'!CF76</f>
        <v>2962.8630952565604</v>
      </c>
      <c r="G2031" s="46">
        <f>'Data_in-situ'!CG76</f>
        <v>3</v>
      </c>
      <c r="H2031" s="24">
        <f>'Data_in-situ'!CN76</f>
        <v>12061.199832356524</v>
      </c>
      <c r="I2031" s="24">
        <f>'Data_in-situ'!CO76</f>
        <v>2723.4693933324479</v>
      </c>
      <c r="J2031" s="46">
        <f>'Data_in-situ'!CP76</f>
        <v>3</v>
      </c>
      <c r="K2031" s="24">
        <f>'Data_in-situ'!CR76</f>
        <v>19491.949358758146</v>
      </c>
      <c r="L2031" s="24">
        <f>'Data_in-situ'!CS76</f>
        <v>1982.6669401893841</v>
      </c>
      <c r="M2031" s="46">
        <f>'Data_in-situ'!CT76</f>
        <v>3</v>
      </c>
      <c r="N2031" s="24">
        <f>'Data_in-situ'!DA75</f>
        <v>1630.9109814971816</v>
      </c>
      <c r="O2031" s="24">
        <f>'Data_in-situ'!DB75</f>
        <v>3386.2554087633621</v>
      </c>
      <c r="P2031" s="46">
        <f>'Data_in-situ'!DC75</f>
        <v>3</v>
      </c>
      <c r="Q2031" s="24">
        <f>'Data_in-situ'!DE75</f>
        <v>10220.358807726092</v>
      </c>
      <c r="R2031" s="24">
        <f>'Data_in-situ'!DF75</f>
        <v>1209.7052702050512</v>
      </c>
      <c r="S2031" s="46">
        <f>'Data_in-situ'!DG75</f>
        <v>3</v>
      </c>
      <c r="T2031" s="113">
        <f>'Data_in-situ'!DN100</f>
        <v>29.877540000000003</v>
      </c>
      <c r="U2031" s="113">
        <f>'Data_in-situ'!DO100</f>
        <v>10.5768948600239</v>
      </c>
      <c r="V2031" s="46">
        <f>'Data_in-situ'!DP100</f>
        <v>3</v>
      </c>
      <c r="W2031" s="113">
        <f>'Data_in-situ'!DR100</f>
        <v>21.248370000000001</v>
      </c>
      <c r="X2031" s="113">
        <f>'Data_in-situ'!DS100</f>
        <v>3.4542118170720228</v>
      </c>
      <c r="Y2031" s="46">
        <f>'Data_in-situ'!DT100</f>
        <v>3</v>
      </c>
      <c r="Z2031" s="113">
        <f>'Data_in-situ'!EA257</f>
        <v>-4.2422851483918042E-3</v>
      </c>
      <c r="AA2031" s="113">
        <f>'Data_in-situ'!EB257</f>
        <v>0.15345744896774013</v>
      </c>
      <c r="AB2031" s="46">
        <f>'Data_in-situ'!EC257</f>
        <v>3</v>
      </c>
      <c r="AC2031" s="113">
        <f>'Data_in-situ'!EE257</f>
        <v>0.11130708552438189</v>
      </c>
      <c r="AD2031" s="113">
        <f>'Data_in-situ'!EF257</f>
        <v>0.10440008400553796</v>
      </c>
      <c r="AE2031" s="46">
        <f>'Data_in-situ'!EG257</f>
        <v>3</v>
      </c>
      <c r="AF2031" s="113">
        <f>'Data_in-situ'!EN57</f>
        <v>-56</v>
      </c>
      <c r="AG2031" s="113">
        <f>'Data_in-situ'!EO57</f>
        <v>10.1</v>
      </c>
      <c r="AH2031" s="110">
        <f>'Data_in-situ'!EP57</f>
        <v>3</v>
      </c>
      <c r="AI2031" s="113">
        <f>'Data_in-situ'!ER57</f>
        <v>-91</v>
      </c>
      <c r="AJ2031" s="113">
        <f>'Data_in-situ'!ES57</f>
        <v>11.3</v>
      </c>
      <c r="AK2031" s="110">
        <f>'Data_in-situ'!ET57</f>
        <v>3</v>
      </c>
    </row>
    <row r="2032" spans="2:37" x14ac:dyDescent="0.3">
      <c r="B2032" s="24">
        <f>'Data_in-situ'!CA246</f>
        <v>-129103.33333333334</v>
      </c>
      <c r="C2032" s="24">
        <f>'Data_in-situ'!CB246</f>
        <v>31476.743163089086</v>
      </c>
      <c r="D2032" s="46">
        <f>'Data_in-situ'!CC246</f>
        <v>1</v>
      </c>
      <c r="E2032" s="24">
        <f>'Data_in-situ'!CE246</f>
        <v>-116380</v>
      </c>
      <c r="F2032" s="24">
        <f>'Data_in-situ'!CF246</f>
        <v>43324.677444112938</v>
      </c>
      <c r="G2032" s="46">
        <f>'Data_in-situ'!CG246</f>
        <v>1</v>
      </c>
      <c r="H2032" s="24">
        <f>'Data_in-situ'!CN246</f>
        <v>136436.66666666666</v>
      </c>
      <c r="I2032" s="24">
        <f>'Data_in-situ'!CO246</f>
        <v>39242.911350487644</v>
      </c>
      <c r="J2032" s="46">
        <f>'Data_in-situ'!CP246</f>
        <v>1</v>
      </c>
      <c r="K2032" s="24">
        <f>'Data_in-situ'!CR246</f>
        <v>134603.33333333334</v>
      </c>
      <c r="L2032" s="24">
        <f>'Data_in-situ'!CS246</f>
        <v>35318.726117508595</v>
      </c>
      <c r="M2032" s="46">
        <f>'Data_in-situ'!CT246</f>
        <v>1</v>
      </c>
      <c r="N2032" s="24">
        <f>'Data_in-situ'!DA76</f>
        <v>2691.9421422536325</v>
      </c>
      <c r="O2032" s="24">
        <f>'Data_in-situ'!DB76</f>
        <v>3491.7953924879967</v>
      </c>
      <c r="P2032" s="46">
        <f>'Data_in-situ'!DC76</f>
        <v>3</v>
      </c>
      <c r="Q2032" s="24">
        <f>'Data_in-situ'!DE76</f>
        <v>10073.788147934172</v>
      </c>
      <c r="R2032" s="24">
        <f>'Data_in-situ'!DF76</f>
        <v>1436.3793028165639</v>
      </c>
      <c r="S2032" s="46">
        <f>'Data_in-situ'!DG76</f>
        <v>3</v>
      </c>
      <c r="T2032" s="113">
        <f>'Data_in-situ'!DN101</f>
        <v>24.519000000000002</v>
      </c>
      <c r="U2032" s="113">
        <f>'Data_in-situ'!DO101</f>
        <v>3.8585295126511601</v>
      </c>
      <c r="V2032" s="46">
        <f>'Data_in-situ'!DP101</f>
        <v>3</v>
      </c>
      <c r="W2032" s="113">
        <f>'Data_in-situ'!DR101</f>
        <v>2.714</v>
      </c>
      <c r="X2032" s="113">
        <f>'Data_in-situ'!DS101</f>
        <v>1.8204276969987025</v>
      </c>
      <c r="Y2032" s="46">
        <f>'Data_in-situ'!DT101</f>
        <v>3</v>
      </c>
      <c r="Z2032" s="113">
        <f>'Data_in-situ'!EA258</f>
        <v>-5.3028564354897549E-2</v>
      </c>
      <c r="AA2032" s="113">
        <f>'Data_in-situ'!EB258</f>
        <v>0.14435421348527655</v>
      </c>
      <c r="AB2032" s="46">
        <f>'Data_in-situ'!EC258</f>
        <v>3</v>
      </c>
      <c r="AC2032" s="113">
        <f>'Data_in-situ'!EE258</f>
        <v>-7.5688818156579678E-3</v>
      </c>
      <c r="AD2032" s="113">
        <f>'Data_in-situ'!EF258</f>
        <v>3.6346822857934974E-2</v>
      </c>
      <c r="AE2032" s="46">
        <f>'Data_in-situ'!EG258</f>
        <v>3</v>
      </c>
      <c r="AF2032" s="113">
        <f>'Data_in-situ'!EN58</f>
        <v>-56</v>
      </c>
      <c r="AG2032" s="113">
        <f>'Data_in-situ'!EO58</f>
        <v>10.1</v>
      </c>
      <c r="AH2032" s="110">
        <f>'Data_in-situ'!EP58</f>
        <v>3</v>
      </c>
      <c r="AI2032" s="113">
        <f>'Data_in-situ'!ER58</f>
        <v>-128</v>
      </c>
      <c r="AJ2032" s="113">
        <f>'Data_in-situ'!ES58</f>
        <v>14.2</v>
      </c>
      <c r="AK2032" s="110">
        <f>'Data_in-situ'!ET58</f>
        <v>3</v>
      </c>
    </row>
    <row r="2033" spans="2:37" x14ac:dyDescent="0.3">
      <c r="B2033" s="24">
        <f>'Data_in-situ'!CA247</f>
        <v>-130313.33333333334</v>
      </c>
      <c r="C2033" s="24">
        <f>'Data_in-situ'!CB247</f>
        <v>31771.753820397222</v>
      </c>
      <c r="D2033" s="46">
        <f>'Data_in-situ'!CC247</f>
        <v>1</v>
      </c>
      <c r="E2033" s="24">
        <f>'Data_in-situ'!CE247</f>
        <v>-121146.66666666666</v>
      </c>
      <c r="F2033" s="24">
        <f>'Data_in-situ'!CF247</f>
        <v>45099.160137161038</v>
      </c>
      <c r="G2033" s="46">
        <f>'Data_in-situ'!CG247</f>
        <v>1</v>
      </c>
      <c r="H2033" s="24">
        <f>'Data_in-situ'!CN247</f>
        <v>132953.33333333334</v>
      </c>
      <c r="I2033" s="24">
        <f>'Data_in-situ'!CO247</f>
        <v>38241.009555729164</v>
      </c>
      <c r="J2033" s="46">
        <f>'Data_in-situ'!CP247</f>
        <v>1</v>
      </c>
      <c r="K2033" s="24">
        <f>'Data_in-situ'!CR247</f>
        <v>128553.33333333334</v>
      </c>
      <c r="L2033" s="24">
        <f>'Data_in-situ'!CS247</f>
        <v>33731.259539086117</v>
      </c>
      <c r="M2033" s="46">
        <f>'Data_in-situ'!CT247</f>
        <v>1</v>
      </c>
      <c r="N2033" s="24">
        <f>'Data_in-situ'!DA147</f>
        <v>-55</v>
      </c>
      <c r="O2033" s="24">
        <f>'Data_in-situ'!DB147</f>
        <v>450</v>
      </c>
      <c r="P2033" s="46">
        <f>'Data_in-situ'!DC147</f>
        <v>6</v>
      </c>
      <c r="Q2033" s="24">
        <f>'Data_in-situ'!DE147</f>
        <v>-910</v>
      </c>
      <c r="R2033" s="24">
        <f>'Data_in-situ'!DF147</f>
        <v>180</v>
      </c>
      <c r="S2033" s="46">
        <f>'Data_in-situ'!DG147</f>
        <v>2</v>
      </c>
      <c r="T2033" s="113">
        <f>'Data_in-situ'!DN102</f>
        <v>37.001000000000005</v>
      </c>
      <c r="U2033" s="113">
        <f>'Data_in-situ'!DO102</f>
        <v>14.229681127839795</v>
      </c>
      <c r="V2033" s="46">
        <f>'Data_in-situ'!DP102</f>
        <v>3</v>
      </c>
      <c r="W2033" s="113">
        <f>'Data_in-situ'!DR102</f>
        <v>17.568999999999999</v>
      </c>
      <c r="X2033" s="113">
        <f>'Data_in-situ'!DS102</f>
        <v>3.3260057125627429</v>
      </c>
      <c r="Y2033" s="46">
        <f>'Data_in-situ'!DT102</f>
        <v>3</v>
      </c>
      <c r="Z2033" s="113">
        <f>'Data_in-situ'!EA259</f>
        <v>-2.1211425741959021E-3</v>
      </c>
      <c r="AA2033" s="113">
        <f>'Data_in-situ'!EB259</f>
        <v>0.11034884630218306</v>
      </c>
      <c r="AB2033" s="46">
        <f>'Data_in-situ'!EC259</f>
        <v>3</v>
      </c>
      <c r="AC2033" s="113">
        <f>'Data_in-situ'!EE259</f>
        <v>6.0105826183166223E-3</v>
      </c>
      <c r="AD2033" s="113">
        <f>'Data_in-situ'!EF259</f>
        <v>5.4024465971174704E-2</v>
      </c>
      <c r="AE2033" s="46">
        <f>'Data_in-situ'!EG259</f>
        <v>3</v>
      </c>
      <c r="AF2033" s="113">
        <f>'Data_in-situ'!EN59</f>
        <v>-38</v>
      </c>
      <c r="AG2033" s="113">
        <f>'Data_in-situ'!EO59</f>
        <v>7.6</v>
      </c>
      <c r="AH2033" s="110">
        <f>'Data_in-situ'!EP59</f>
        <v>3</v>
      </c>
      <c r="AI2033" s="113">
        <f>'Data_in-situ'!ER59</f>
        <v>-73</v>
      </c>
      <c r="AJ2033" s="113">
        <f>'Data_in-situ'!ES59</f>
        <v>10.3</v>
      </c>
      <c r="AK2033" s="110">
        <f>'Data_in-situ'!ET59</f>
        <v>3</v>
      </c>
    </row>
    <row r="2034" spans="2:37" x14ac:dyDescent="0.3">
      <c r="B2034" s="24">
        <f>'Data_in-situ'!CA248</f>
        <v>-120743.33333333334</v>
      </c>
      <c r="C2034" s="24">
        <f>'Data_in-situ'!CB248</f>
        <v>29438.487712596525</v>
      </c>
      <c r="D2034" s="46">
        <f>'Data_in-situ'!CC248</f>
        <v>1</v>
      </c>
      <c r="E2034" s="24">
        <f>'Data_in-situ'!CE248</f>
        <v>-111613.33333333334</v>
      </c>
      <c r="F2034" s="24">
        <f>'Data_in-situ'!CF248</f>
        <v>41550.194751064839</v>
      </c>
      <c r="G2034" s="46">
        <f>'Data_in-situ'!CG248</f>
        <v>1</v>
      </c>
      <c r="H2034" s="24">
        <f>'Data_in-situ'!CN248</f>
        <v>136986.66666666666</v>
      </c>
      <c r="I2034" s="24">
        <f>'Data_in-situ'!CO248</f>
        <v>39401.106370712667</v>
      </c>
      <c r="J2034" s="46">
        <f>'Data_in-situ'!CP248</f>
        <v>1</v>
      </c>
      <c r="K2034" s="24">
        <f>'Data_in-situ'!CR248</f>
        <v>130093.33333333334</v>
      </c>
      <c r="L2034" s="24">
        <f>'Data_in-situ'!CS248</f>
        <v>34135.341940866383</v>
      </c>
      <c r="M2034" s="46">
        <f>'Data_in-situ'!CT248</f>
        <v>1</v>
      </c>
      <c r="N2034" s="24">
        <f>'Data_in-situ'!DA201</f>
        <v>-2040</v>
      </c>
      <c r="O2034" s="24">
        <f>'Data_in-situ'!DB201</f>
        <v>6119.2993797198715</v>
      </c>
      <c r="P2034" s="46">
        <f>'Data_in-situ'!DC201</f>
        <v>3</v>
      </c>
      <c r="Q2034" s="24">
        <f>'Data_in-situ'!DE201</f>
        <v>5060</v>
      </c>
      <c r="R2034" s="24">
        <f>'Data_in-situ'!DF201</f>
        <v>698.59382571944718</v>
      </c>
      <c r="S2034" s="46">
        <f>'Data_in-situ'!DG201</f>
        <v>3</v>
      </c>
      <c r="T2034" s="113">
        <f>'Data_in-situ'!DN103</f>
        <v>29.018000000000001</v>
      </c>
      <c r="U2034" s="113">
        <f>'Data_in-situ'!DO103</f>
        <v>28.458867247309758</v>
      </c>
      <c r="V2034" s="46">
        <f>'Data_in-situ'!DP103</f>
        <v>3</v>
      </c>
      <c r="W2034" s="113">
        <f>'Data_in-situ'!DR103</f>
        <v>44.106000000000002</v>
      </c>
      <c r="X2034" s="113">
        <f>'Data_in-situ'!DS103</f>
        <v>9.7564479704449827</v>
      </c>
      <c r="Y2034" s="46">
        <f>'Data_in-situ'!DT103</f>
        <v>3</v>
      </c>
      <c r="Z2034" s="113">
        <f>'Data_in-situ'!EA264</f>
        <v>8.484570296783607E-2</v>
      </c>
      <c r="AA2034" s="113">
        <f>'Data_in-situ'!EB264</f>
        <v>0.23150687644726506</v>
      </c>
      <c r="AB2034" s="46">
        <f>'Data_in-situ'!EC264</f>
        <v>3</v>
      </c>
      <c r="AC2034" s="113">
        <f>'Data_in-situ'!EE264</f>
        <v>0.16473448657608519</v>
      </c>
      <c r="AD2034" s="113">
        <f>'Data_in-situ'!EF264</f>
        <v>0.18337619194833357</v>
      </c>
      <c r="AE2034" s="46">
        <f>'Data_in-situ'!EG264</f>
        <v>3</v>
      </c>
      <c r="AF2034" s="113">
        <f>'Data_in-situ'!EN60</f>
        <v>-38</v>
      </c>
      <c r="AG2034" s="113">
        <f>'Data_in-situ'!EO60</f>
        <v>7.6</v>
      </c>
      <c r="AH2034" s="110">
        <f>'Data_in-situ'!EP60</f>
        <v>3</v>
      </c>
      <c r="AI2034" s="113">
        <f>'Data_in-situ'!ER60</f>
        <v>-112</v>
      </c>
      <c r="AJ2034" s="113">
        <f>'Data_in-situ'!ES60</f>
        <v>15.2</v>
      </c>
      <c r="AK2034" s="110">
        <f>'Data_in-situ'!ET60</f>
        <v>3</v>
      </c>
    </row>
    <row r="2035" spans="2:37" x14ac:dyDescent="0.3">
      <c r="B2035" s="24">
        <f>'Data_in-situ'!CA249</f>
        <v>-128773.33333333334</v>
      </c>
      <c r="C2035" s="24">
        <f>'Data_in-situ'!CB249</f>
        <v>31396.285711095959</v>
      </c>
      <c r="D2035" s="46">
        <f>'Data_in-situ'!CC249</f>
        <v>1</v>
      </c>
      <c r="E2035" s="24">
        <f>'Data_in-situ'!CE249</f>
        <v>-118946.66666666666</v>
      </c>
      <c r="F2035" s="24">
        <f>'Data_in-situ'!CF249</f>
        <v>44280.168124984993</v>
      </c>
      <c r="G2035" s="46">
        <f>'Data_in-situ'!CG249</f>
        <v>1</v>
      </c>
      <c r="H2035" s="24">
        <f>'Data_in-situ'!CN249</f>
        <v>127783.33333333334</v>
      </c>
      <c r="I2035" s="24">
        <f>'Data_in-situ'!CO249</f>
        <v>36753.97636561394</v>
      </c>
      <c r="J2035" s="46">
        <f>'Data_in-situ'!CP249</f>
        <v>1</v>
      </c>
      <c r="K2035" s="24">
        <f>'Data_in-situ'!CR249</f>
        <v>122870</v>
      </c>
      <c r="L2035" s="24">
        <f>'Data_in-situ'!CS249</f>
        <v>32240.003056325604</v>
      </c>
      <c r="M2035" s="46">
        <f>'Data_in-situ'!CT249</f>
        <v>1</v>
      </c>
      <c r="N2035" s="24">
        <f>'Data_in-situ'!DA202</f>
        <v>-4180</v>
      </c>
      <c r="O2035" s="24">
        <f>'Data_in-situ'!DB202</f>
        <v>12538.564415308363</v>
      </c>
      <c r="P2035" s="46">
        <f>'Data_in-situ'!DC202</f>
        <v>3</v>
      </c>
      <c r="Q2035" s="24">
        <f>'Data_in-situ'!DE202</f>
        <v>1540</v>
      </c>
      <c r="R2035" s="24">
        <f>'Data_in-situ'!DF202</f>
        <v>1460.696181049753</v>
      </c>
      <c r="S2035" s="46">
        <f>'Data_in-situ'!DG202</f>
        <v>3</v>
      </c>
      <c r="T2035" s="113">
        <f>'Data_in-situ'!DN108</f>
        <v>24</v>
      </c>
      <c r="U2035" s="113">
        <f>'Data_in-situ'!DO108</f>
        <v>26.757102939838202</v>
      </c>
      <c r="V2035" s="46">
        <f>'Data_in-situ'!DP108</f>
        <v>3</v>
      </c>
      <c r="W2035" s="113">
        <f>'Data_in-situ'!DR108</f>
        <v>7.8666666666666663</v>
      </c>
      <c r="X2035" s="113">
        <f>'Data_in-situ'!DS108</f>
        <v>29.399434851097276</v>
      </c>
      <c r="Y2035" s="46">
        <f>'Data_in-situ'!DT108</f>
        <v>3</v>
      </c>
      <c r="Z2035" s="113">
        <f>'Data_in-situ'!EA265</f>
        <v>7.7775227720516399E-2</v>
      </c>
      <c r="AA2035" s="113">
        <f>'Data_in-situ'!EB265</f>
        <v>0.21037856459857804</v>
      </c>
      <c r="AB2035" s="46">
        <f>'Data_in-situ'!EC265</f>
        <v>3</v>
      </c>
      <c r="AC2035" s="113">
        <f>'Data_in-situ'!EE265</f>
        <v>4.0070550788777477E-2</v>
      </c>
      <c r="AD2035" s="113">
        <f>'Data_in-situ'!EF265</f>
        <v>1.5796303365028162E-2</v>
      </c>
      <c r="AE2035" s="46">
        <f>'Data_in-situ'!EG265</f>
        <v>3</v>
      </c>
      <c r="AF2035" s="113">
        <f>'Data_in-situ'!EN61</f>
        <v>-44</v>
      </c>
      <c r="AG2035" s="113">
        <f>'Data_in-situ'!EO61</f>
        <v>6.8</v>
      </c>
      <c r="AH2035" s="110">
        <f>'Data_in-situ'!EP61</f>
        <v>3</v>
      </c>
      <c r="AI2035" s="113">
        <f>'Data_in-situ'!ER61</f>
        <v>-79</v>
      </c>
      <c r="AJ2035" s="113">
        <f>'Data_in-situ'!ES61</f>
        <v>12.3</v>
      </c>
      <c r="AK2035" s="110">
        <f>'Data_in-situ'!ET61</f>
        <v>3</v>
      </c>
    </row>
    <row r="2036" spans="2:37" x14ac:dyDescent="0.3">
      <c r="B2036" s="24">
        <f>'Data_in-situ'!CA271</f>
        <v>-40673.401413977677</v>
      </c>
      <c r="C2036" s="24">
        <f>'Data_in-situ'!CB271</f>
        <v>10107.748850350723</v>
      </c>
      <c r="D2036" s="46">
        <f>'Data_in-situ'!CC271</f>
        <v>8</v>
      </c>
      <c r="E2036" s="24">
        <f>'Data_in-situ'!CE271</f>
        <v>-44668.814018586389</v>
      </c>
      <c r="F2036" s="24">
        <f>'Data_in-situ'!CF271</f>
        <v>7435.5187362050165</v>
      </c>
      <c r="G2036" s="46">
        <f>'Data_in-situ'!CG271</f>
        <v>8</v>
      </c>
      <c r="H2036" s="24">
        <f>'Data_in-situ'!CN271</f>
        <v>25646.988483892328</v>
      </c>
      <c r="I2036" s="24">
        <f>'Data_in-situ'!CO271</f>
        <v>7128.4662989719045</v>
      </c>
      <c r="J2036" s="46">
        <f>'Data_in-situ'!CP271</f>
        <v>8</v>
      </c>
      <c r="K2036" s="24">
        <f>'Data_in-situ'!CR271</f>
        <v>30448.252211184394</v>
      </c>
      <c r="L2036" s="24">
        <f>'Data_in-situ'!CS271</f>
        <v>38699.412338334165</v>
      </c>
      <c r="M2036" s="46">
        <f>'Data_in-situ'!CT271</f>
        <v>8</v>
      </c>
      <c r="N2036" s="24">
        <f>'Data_in-situ'!DA213</f>
        <v>-5500</v>
      </c>
      <c r="O2036" s="24">
        <f>'Data_in-situ'!DB213</f>
        <v>16498.111072774162</v>
      </c>
      <c r="P2036" s="46">
        <f>'Data_in-situ'!DC213</f>
        <v>3</v>
      </c>
      <c r="Q2036" s="24">
        <f>'Data_in-situ'!DE213</f>
        <v>-5500</v>
      </c>
      <c r="R2036" s="24">
        <f>'Data_in-situ'!DF213</f>
        <v>5242.2853686486578</v>
      </c>
      <c r="S2036" s="46">
        <f>'Data_in-situ'!DG213</f>
        <v>3</v>
      </c>
      <c r="T2036" s="113">
        <f>'Data_in-situ'!DN109</f>
        <v>24.133333333333336</v>
      </c>
      <c r="U2036" s="113">
        <f>'Data_in-situ'!DO109</f>
        <v>26.905753511726196</v>
      </c>
      <c r="V2036" s="46">
        <f>'Data_in-situ'!DP109</f>
        <v>3</v>
      </c>
      <c r="W2036" s="113">
        <f>'Data_in-situ'!DR109</f>
        <v>8.4</v>
      </c>
      <c r="X2036" s="113">
        <f>'Data_in-situ'!DS109</f>
        <v>31.392616874900483</v>
      </c>
      <c r="Y2036" s="46">
        <f>'Data_in-situ'!DT109</f>
        <v>3</v>
      </c>
      <c r="Z2036" s="113">
        <f>'Data_in-situ'!EA266</f>
        <v>8.3674900420237147E-2</v>
      </c>
      <c r="AA2036" s="113">
        <f>'Data_in-situ'!EB266</f>
        <v>0.22267558913078545</v>
      </c>
      <c r="AB2036" s="46">
        <f>'Data_in-situ'!EC266</f>
        <v>3</v>
      </c>
      <c r="AC2036" s="113">
        <f>'Data_in-situ'!EE266</f>
        <v>0.1068548021034066</v>
      </c>
      <c r="AD2036" s="113">
        <f>'Data_in-situ'!EF266</f>
        <v>0.12190903765819365</v>
      </c>
      <c r="AE2036" s="46">
        <f>'Data_in-situ'!EG266</f>
        <v>3</v>
      </c>
      <c r="AF2036" s="113">
        <f>'Data_in-situ'!EN62</f>
        <v>-44</v>
      </c>
      <c r="AG2036" s="113">
        <f>'Data_in-situ'!EO62</f>
        <v>6.8</v>
      </c>
      <c r="AH2036" s="110">
        <f>'Data_in-situ'!EP62</f>
        <v>3</v>
      </c>
      <c r="AI2036" s="113">
        <f>'Data_in-situ'!ER62</f>
        <v>-116</v>
      </c>
      <c r="AJ2036" s="113">
        <f>'Data_in-situ'!ES62</f>
        <v>11.8</v>
      </c>
      <c r="AK2036" s="110">
        <f>'Data_in-situ'!ET62</f>
        <v>3</v>
      </c>
    </row>
    <row r="2037" spans="2:37" x14ac:dyDescent="0.3">
      <c r="B2037" s="24">
        <f>'Data_in-situ'!CA339</f>
        <v>-2994.9187190031953</v>
      </c>
      <c r="C2037" s="24">
        <f>'Data_in-situ'!CB339</f>
        <v>676.52043369186902</v>
      </c>
      <c r="D2037" s="46">
        <f>'Data_in-situ'!CC339</f>
        <v>3</v>
      </c>
      <c r="E2037" s="24">
        <f>'Data_in-situ'!CE339</f>
        <v>-2403.5364233284786</v>
      </c>
      <c r="F2037" s="24">
        <f>'Data_in-situ'!CF339</f>
        <v>338.39733243694133</v>
      </c>
      <c r="G2037" s="46">
        <f>'Data_in-situ'!CG339</f>
        <v>3</v>
      </c>
      <c r="H2037" s="24">
        <f>'Data_in-situ'!CN339</f>
        <v>3969.4505741620792</v>
      </c>
      <c r="I2037" s="24">
        <f>'Data_in-situ'!CO339</f>
        <v>723.08718823658228</v>
      </c>
      <c r="J2037" s="46">
        <f>'Data_in-situ'!CP339</f>
        <v>3</v>
      </c>
      <c r="K2037" s="24">
        <f>'Data_in-situ'!CR339</f>
        <v>4246.5463132141167</v>
      </c>
      <c r="L2037" s="24">
        <f>'Data_in-situ'!CS339</f>
        <v>528.2044209164568</v>
      </c>
      <c r="M2037" s="46">
        <f>'Data_in-situ'!CT339</f>
        <v>3</v>
      </c>
      <c r="N2037" s="24">
        <f>'Data_in-situ'!DA214</f>
        <v>-5500</v>
      </c>
      <c r="O2037" s="24">
        <f>'Data_in-situ'!DB214</f>
        <v>16498.111072774162</v>
      </c>
      <c r="P2037" s="46">
        <f>'Data_in-situ'!DC214</f>
        <v>3</v>
      </c>
      <c r="Q2037" s="24">
        <f>'Data_in-situ'!DE214</f>
        <v>-5500</v>
      </c>
      <c r="R2037" s="24">
        <f>'Data_in-situ'!DF214</f>
        <v>5242.2853686486578</v>
      </c>
      <c r="S2037" s="46">
        <f>'Data_in-situ'!DG214</f>
        <v>3</v>
      </c>
      <c r="T2037" s="113">
        <f>'Data_in-situ'!DN110</f>
        <v>59.466666666666661</v>
      </c>
      <c r="U2037" s="113">
        <f>'Data_in-situ'!DO110</f>
        <v>66.298155062043534</v>
      </c>
      <c r="V2037" s="46">
        <f>'Data_in-situ'!DP110</f>
        <v>3</v>
      </c>
      <c r="W2037" s="113">
        <f>'Data_in-situ'!DR110</f>
        <v>27.333333333333329</v>
      </c>
      <c r="X2037" s="113">
        <f>'Data_in-situ'!DS110</f>
        <v>102.15057871991425</v>
      </c>
      <c r="Y2037" s="46">
        <f>'Data_in-situ'!DT110</f>
        <v>3</v>
      </c>
      <c r="Z2037" s="113">
        <f>'Data_in-situ'!EA268</f>
        <v>-1.2019807920443442E-2</v>
      </c>
      <c r="AA2037" s="113">
        <f>'Data_in-situ'!EB268</f>
        <v>6.5123648236046217E-2</v>
      </c>
      <c r="AB2037" s="46">
        <f>'Data_in-situ'!EC268</f>
        <v>3</v>
      </c>
      <c r="AC2037" s="113">
        <f>'Data_in-situ'!EE268</f>
        <v>2.8939842236339292E-2</v>
      </c>
      <c r="AD2037" s="113">
        <f>'Data_in-situ'!EF268</f>
        <v>6.2567123803824801E-2</v>
      </c>
      <c r="AE2037" s="46">
        <f>'Data_in-situ'!EG268</f>
        <v>3</v>
      </c>
      <c r="AF2037" s="113">
        <f>'Data_in-situ'!EN63</f>
        <v>-50</v>
      </c>
      <c r="AG2037" s="113">
        <f>'Data_in-situ'!EO63</f>
        <v>6.8</v>
      </c>
      <c r="AH2037" s="110">
        <f>'Data_in-situ'!EP63</f>
        <v>3</v>
      </c>
      <c r="AI2037" s="113">
        <f>'Data_in-situ'!ER63</f>
        <v>-85</v>
      </c>
      <c r="AJ2037" s="113">
        <f>'Data_in-situ'!ES63</f>
        <v>12.3</v>
      </c>
      <c r="AK2037" s="110">
        <f>'Data_in-situ'!ET63</f>
        <v>3</v>
      </c>
    </row>
    <row r="2038" spans="2:37" x14ac:dyDescent="0.3">
      <c r="B2038" s="24">
        <f>'Data_in-situ'!CA340</f>
        <v>-3247.736532945024</v>
      </c>
      <c r="C2038" s="24">
        <f>'Data_in-situ'!CB340</f>
        <v>576.55145764577287</v>
      </c>
      <c r="D2038" s="46">
        <f>'Data_in-situ'!CC340</f>
        <v>3</v>
      </c>
      <c r="E2038" s="24">
        <f>'Data_in-situ'!CE340</f>
        <v>-2538.1344630348735</v>
      </c>
      <c r="F2038" s="24">
        <f>'Data_in-situ'!CF340</f>
        <v>178.15163353403054</v>
      </c>
      <c r="G2038" s="46">
        <f>'Data_in-situ'!CG340</f>
        <v>3</v>
      </c>
      <c r="H2038" s="24">
        <f>'Data_in-situ'!CN340</f>
        <v>4869.5004136523185</v>
      </c>
      <c r="I2038" s="24">
        <f>'Data_in-situ'!CO340</f>
        <v>764.57941069494359</v>
      </c>
      <c r="J2038" s="46">
        <f>'Data_in-situ'!CP340</f>
        <v>3</v>
      </c>
      <c r="K2038" s="24">
        <f>'Data_in-situ'!CR340</f>
        <v>4268.1023858700255</v>
      </c>
      <c r="L2038" s="24">
        <f>'Data_in-situ'!CS340</f>
        <v>956.60990521947133</v>
      </c>
      <c r="M2038" s="46">
        <f>'Data_in-situ'!CT340</f>
        <v>3</v>
      </c>
      <c r="N2038" s="24">
        <f>'Data_in-situ'!DA246</f>
        <v>7663.3333333333339</v>
      </c>
      <c r="O2038" s="24">
        <f>'Data_in-situ'!DB246</f>
        <v>22987.368094732003</v>
      </c>
      <c r="P2038" s="46">
        <f>'Data_in-situ'!DC246</f>
        <v>1</v>
      </c>
      <c r="Q2038" s="24">
        <f>'Data_in-situ'!DE246</f>
        <v>18223.333333333332</v>
      </c>
      <c r="R2038" s="24">
        <f>'Data_in-situ'!DF246</f>
        <v>17369.438854789216</v>
      </c>
      <c r="S2038" s="46">
        <f>'Data_in-situ'!DG246</f>
        <v>1</v>
      </c>
      <c r="T2038" s="113">
        <f>'Data_in-situ'!DN111</f>
        <v>50.8</v>
      </c>
      <c r="U2038" s="113">
        <f>'Data_in-situ'!DO111</f>
        <v>56.635867889324189</v>
      </c>
      <c r="V2038" s="46">
        <f>'Data_in-situ'!DP111</f>
        <v>3</v>
      </c>
      <c r="W2038" s="113">
        <f>'Data_in-situ'!DR111</f>
        <v>28.133333333333329</v>
      </c>
      <c r="X2038" s="113">
        <f>'Data_in-situ'!DS111</f>
        <v>105.14035175561906</v>
      </c>
      <c r="Y2038" s="46">
        <f>'Data_in-situ'!DT111</f>
        <v>3</v>
      </c>
      <c r="Z2038" s="113">
        <f>'Data_in-situ'!EA393</f>
        <v>5.8770295611265379E-2</v>
      </c>
      <c r="AA2038" s="113">
        <f>'Data_in-situ'!EB393</f>
        <v>0.33792784700702894</v>
      </c>
      <c r="AB2038" s="46">
        <f>'Data_in-situ'!EC393</f>
        <v>3</v>
      </c>
      <c r="AC2038" s="113">
        <f>'Data_in-situ'!EE393</f>
        <v>6.9833384230864909E-2</v>
      </c>
      <c r="AD2038" s="113">
        <f>'Data_in-situ'!EF393</f>
        <v>0.10427097615025936</v>
      </c>
      <c r="AE2038" s="46">
        <f>'Data_in-situ'!EG393</f>
        <v>3</v>
      </c>
      <c r="AF2038" s="113">
        <f>'Data_in-situ'!EN64</f>
        <v>-50</v>
      </c>
      <c r="AG2038" s="113">
        <f>'Data_in-situ'!EO64</f>
        <v>6.8</v>
      </c>
      <c r="AH2038" s="110">
        <f>'Data_in-situ'!EP64</f>
        <v>3</v>
      </c>
      <c r="AI2038" s="113">
        <f>'Data_in-situ'!ER64</f>
        <v>-120</v>
      </c>
      <c r="AJ2038" s="113">
        <f>'Data_in-situ'!ES64</f>
        <v>11.8</v>
      </c>
      <c r="AK2038" s="110">
        <f>'Data_in-situ'!ET64</f>
        <v>3</v>
      </c>
    </row>
    <row r="2039" spans="2:37" x14ac:dyDescent="0.3">
      <c r="B2039" s="24">
        <f>'Data_in-situ'!CA341</f>
        <v>-4239.5602645629651</v>
      </c>
      <c r="C2039" s="24">
        <f>'Data_in-situ'!CB341</f>
        <v>1115.0244091372156</v>
      </c>
      <c r="D2039" s="46">
        <f>'Data_in-situ'!CC341</f>
        <v>3</v>
      </c>
      <c r="E2039" s="24">
        <f>'Data_in-situ'!CE341</f>
        <v>-3364.9509926598698</v>
      </c>
      <c r="F2039" s="24">
        <f>'Data_in-situ'!CF341</f>
        <v>1102.2450453899555</v>
      </c>
      <c r="G2039" s="46">
        <f>'Data_in-situ'!CG341</f>
        <v>3</v>
      </c>
      <c r="H2039" s="24">
        <f>'Data_in-situ'!CN341</f>
        <v>7477.3371280727561</v>
      </c>
      <c r="I2039" s="24">
        <f>'Data_in-situ'!CO341</f>
        <v>1843.7169743300331</v>
      </c>
      <c r="J2039" s="46">
        <f>'Data_in-situ'!CP341</f>
        <v>3</v>
      </c>
      <c r="K2039" s="24">
        <f>'Data_in-situ'!CR341</f>
        <v>5971.0321256868547</v>
      </c>
      <c r="L2039" s="24">
        <f>'Data_in-situ'!CS341</f>
        <v>1963.4643578324303</v>
      </c>
      <c r="M2039" s="46">
        <f>'Data_in-situ'!CT341</f>
        <v>3</v>
      </c>
      <c r="N2039" s="24">
        <f>'Data_in-situ'!DA247</f>
        <v>2640</v>
      </c>
      <c r="O2039" s="24">
        <f>'Data_in-situ'!DB247</f>
        <v>7919.0933149315979</v>
      </c>
      <c r="P2039" s="46">
        <f>'Data_in-situ'!DC247</f>
        <v>1</v>
      </c>
      <c r="Q2039" s="24">
        <f>'Data_in-situ'!DE247</f>
        <v>7406.6666666666661</v>
      </c>
      <c r="R2039" s="24">
        <f>'Data_in-situ'!DF247</f>
        <v>7059.610963113525</v>
      </c>
      <c r="S2039" s="46">
        <f>'Data_in-situ'!DG247</f>
        <v>1</v>
      </c>
      <c r="T2039" s="113">
        <f>'Data_in-situ'!DN145</f>
        <v>244.12367999999998</v>
      </c>
      <c r="U2039" s="113">
        <f>'Data_in-situ'!DO145</f>
        <v>272.16843482550502</v>
      </c>
      <c r="V2039" s="46">
        <f>'Data_in-situ'!DP145</f>
        <v>4</v>
      </c>
      <c r="W2039" s="113">
        <f>'Data_in-situ'!DR145</f>
        <v>190.38399999999999</v>
      </c>
      <c r="X2039" s="113">
        <f>'Data_in-situ'!DS145</f>
        <v>711.50618703703014</v>
      </c>
      <c r="Y2039" s="46">
        <f>'Data_in-situ'!DT145</f>
        <v>6</v>
      </c>
      <c r="Z2039" s="113">
        <f>'Data_in-situ'!EA424</f>
        <v>5.5000000000000014E-3</v>
      </c>
      <c r="AA2039" s="113">
        <f>'Data_in-situ'!EB424</f>
        <v>3.892835299196034E-2</v>
      </c>
      <c r="AB2039" s="46">
        <f>'Data_in-situ'!EC424</f>
        <v>3</v>
      </c>
      <c r="AC2039" s="113">
        <f>'Data_in-situ'!EE424</f>
        <v>0.55899999999999994</v>
      </c>
      <c r="AD2039" s="113">
        <f>'Data_in-situ'!EF424</f>
        <v>0.83462586428491037</v>
      </c>
      <c r="AE2039" s="46">
        <f>'Data_in-situ'!EG424</f>
        <v>3</v>
      </c>
      <c r="AF2039" s="113">
        <f>'Data_in-situ'!EN65</f>
        <v>-38</v>
      </c>
      <c r="AG2039" s="113">
        <f>'Data_in-situ'!EO65</f>
        <v>5.412566119688516</v>
      </c>
      <c r="AH2039" s="110">
        <f>'Data_in-situ'!EP65</f>
        <v>3</v>
      </c>
      <c r="AI2039" s="113">
        <f>'Data_in-situ'!ER65</f>
        <v>-73</v>
      </c>
      <c r="AJ2039" s="113">
        <f>'Data_in-situ'!ES65</f>
        <v>7.3195252578292278</v>
      </c>
      <c r="AK2039" s="110">
        <f>'Data_in-situ'!ET65</f>
        <v>3</v>
      </c>
    </row>
    <row r="2040" spans="2:37" x14ac:dyDescent="0.3">
      <c r="B2040" s="24">
        <f>'Data_in-situ'!CA342</f>
        <v>-2945.161089648047</v>
      </c>
      <c r="C2040" s="24">
        <f>'Data_in-situ'!CB342</f>
        <v>96.327483684879894</v>
      </c>
      <c r="D2040" s="46">
        <f>'Data_in-situ'!CC342</f>
        <v>3</v>
      </c>
      <c r="E2040" s="24">
        <f>'Data_in-situ'!CE342</f>
        <v>-2329.5681312375768</v>
      </c>
      <c r="F2040" s="24">
        <f>'Data_in-situ'!CF342</f>
        <v>936.72704913647306</v>
      </c>
      <c r="G2040" s="46">
        <f>'Data_in-situ'!CG342</f>
        <v>3</v>
      </c>
      <c r="H2040" s="24">
        <f>'Data_in-situ'!CN342</f>
        <v>2386.82655517393</v>
      </c>
      <c r="I2040" s="24">
        <f>'Data_in-situ'!CO342</f>
        <v>98.565445597832763</v>
      </c>
      <c r="J2040" s="46">
        <f>'Data_in-situ'!CP342</f>
        <v>3</v>
      </c>
      <c r="K2040" s="24">
        <f>'Data_in-situ'!CR342</f>
        <v>2420.4945007500228</v>
      </c>
      <c r="L2040" s="24">
        <f>'Data_in-situ'!CS342</f>
        <v>226.67580770330741</v>
      </c>
      <c r="M2040" s="46">
        <f>'Data_in-situ'!CT342</f>
        <v>3</v>
      </c>
      <c r="N2040" s="24">
        <f>'Data_in-situ'!DA248</f>
        <v>16243.333333333332</v>
      </c>
      <c r="O2040" s="24">
        <f>'Data_in-situ'!DB248</f>
        <v>48724.421368259689</v>
      </c>
      <c r="P2040" s="46">
        <f>'Data_in-situ'!DC248</f>
        <v>1</v>
      </c>
      <c r="Q2040" s="24">
        <f>'Data_in-situ'!DE248</f>
        <v>18480</v>
      </c>
      <c r="R2040" s="24">
        <f>'Data_in-situ'!DF248</f>
        <v>17614.07883865949</v>
      </c>
      <c r="S2040" s="46">
        <f>'Data_in-situ'!DG248</f>
        <v>1</v>
      </c>
      <c r="T2040" s="113">
        <f>'Data_in-situ'!DN146</f>
        <v>244.12367999999998</v>
      </c>
      <c r="U2040" s="113">
        <f>'Data_in-situ'!DO146</f>
        <v>272.16843482550502</v>
      </c>
      <c r="V2040" s="46">
        <f>'Data_in-situ'!DP146</f>
        <v>4</v>
      </c>
      <c r="W2040" s="113">
        <f>'Data_in-situ'!DR146</f>
        <v>6.7043200000000001</v>
      </c>
      <c r="X2040" s="113">
        <f>'Data_in-situ'!DS146</f>
        <v>25.055493948420573</v>
      </c>
      <c r="Y2040" s="46">
        <f>'Data_in-situ'!DT146</f>
        <v>6</v>
      </c>
      <c r="Z2040" s="113">
        <f>'Data_in-situ'!EA440</f>
        <v>1.0999999999999999</v>
      </c>
      <c r="AA2040" s="113">
        <f>'Data_in-situ'!EB440</f>
        <v>6.3249746805166405</v>
      </c>
      <c r="AB2040" s="46">
        <f>'Data_in-situ'!EC440</f>
        <v>3</v>
      </c>
      <c r="AC2040" s="113">
        <f>'Data_in-situ'!EE440</f>
        <v>1.8857142857142857</v>
      </c>
      <c r="AD2040" s="113">
        <f>'Data_in-situ'!EF440</f>
        <v>2.8156342625739934</v>
      </c>
      <c r="AE2040" s="46">
        <f>'Data_in-situ'!EG440</f>
        <v>3</v>
      </c>
      <c r="AF2040" s="113">
        <f>'Data_in-situ'!EN66</f>
        <v>-38</v>
      </c>
      <c r="AG2040" s="113">
        <f>'Data_in-situ'!EO66</f>
        <v>5.412566119688516</v>
      </c>
      <c r="AH2040" s="110">
        <f>'Data_in-situ'!EP66</f>
        <v>3</v>
      </c>
      <c r="AI2040" s="113">
        <f>'Data_in-situ'!ER66</f>
        <v>-112</v>
      </c>
      <c r="AJ2040" s="113">
        <f>'Data_in-situ'!ES66</f>
        <v>10.756618055876112</v>
      </c>
      <c r="AK2040" s="110">
        <f>'Data_in-situ'!ET66</f>
        <v>3</v>
      </c>
    </row>
    <row r="2041" spans="2:37" x14ac:dyDescent="0.3">
      <c r="B2041" s="24">
        <f>'Data_in-situ'!CA343</f>
        <v>-2887.6945318012554</v>
      </c>
      <c r="C2041" s="24">
        <f>'Data_in-situ'!CB343</f>
        <v>116.06106513063514</v>
      </c>
      <c r="D2041" s="46">
        <f>'Data_in-situ'!CC343</f>
        <v>3</v>
      </c>
      <c r="E2041" s="24">
        <f>'Data_in-situ'!CE343</f>
        <v>-2017.0650892422923</v>
      </c>
      <c r="F2041" s="24">
        <f>'Data_in-situ'!CF343</f>
        <v>715.26564447368787</v>
      </c>
      <c r="G2041" s="46">
        <f>'Data_in-situ'!CG343</f>
        <v>3</v>
      </c>
      <c r="H2041" s="24">
        <f>'Data_in-situ'!CN343</f>
        <v>2301.5827496320044</v>
      </c>
      <c r="I2041" s="24">
        <f>'Data_in-situ'!CO343</f>
        <v>97.898666178602923</v>
      </c>
      <c r="J2041" s="46">
        <f>'Data_in-situ'!CP343</f>
        <v>3</v>
      </c>
      <c r="K2041" s="24">
        <f>'Data_in-situ'!CR343</f>
        <v>2420.4945007500228</v>
      </c>
      <c r="L2041" s="24">
        <f>'Data_in-situ'!CS343</f>
        <v>564.27419535299123</v>
      </c>
      <c r="M2041" s="46">
        <f>'Data_in-situ'!CT343</f>
        <v>3</v>
      </c>
      <c r="N2041" s="24">
        <f>'Data_in-situ'!DA249</f>
        <v>-990</v>
      </c>
      <c r="O2041" s="24">
        <f>'Data_in-situ'!DB249</f>
        <v>2969.6599930993493</v>
      </c>
      <c r="P2041" s="46">
        <f>'Data_in-situ'!DC249</f>
        <v>1</v>
      </c>
      <c r="Q2041" s="24">
        <f>'Data_in-situ'!DE249</f>
        <v>3923.333333333333</v>
      </c>
      <c r="R2041" s="24">
        <f>'Data_in-situ'!DF249</f>
        <v>3739.4968963027086</v>
      </c>
      <c r="S2041" s="46">
        <f>'Data_in-situ'!DG249</f>
        <v>1</v>
      </c>
      <c r="T2041" s="113">
        <f>'Data_in-situ'!DN147</f>
        <v>66.3</v>
      </c>
      <c r="U2041" s="113">
        <f>'Data_in-situ'!DO147</f>
        <v>102</v>
      </c>
      <c r="V2041" s="46">
        <f>'Data_in-situ'!DP147</f>
        <v>14</v>
      </c>
      <c r="W2041" s="113">
        <f>'Data_in-situ'!DR147</f>
        <v>5.0999999999999996</v>
      </c>
      <c r="X2041" s="113">
        <f>'Data_in-situ'!DS147</f>
        <v>30.6</v>
      </c>
      <c r="Y2041" s="46">
        <f>'Data_in-situ'!DT147</f>
        <v>40</v>
      </c>
      <c r="AF2041" s="113">
        <f>'Data_in-situ'!EN67</f>
        <v>-45.680000000000007</v>
      </c>
      <c r="AG2041" s="113">
        <f>'Data_in-situ'!EO67</f>
        <v>4.842822317616041</v>
      </c>
      <c r="AH2041" s="110">
        <f>'Data_in-situ'!EP67</f>
        <v>3</v>
      </c>
      <c r="AI2041" s="113">
        <f>'Data_in-situ'!ER67</f>
        <v>-80.650000000000006</v>
      </c>
      <c r="AJ2041" s="113">
        <f>'Data_in-situ'!ES67</f>
        <v>8.7407922981844166</v>
      </c>
      <c r="AK2041" s="110">
        <f>'Data_in-situ'!ET67</f>
        <v>3</v>
      </c>
    </row>
    <row r="2042" spans="2:37" x14ac:dyDescent="0.3">
      <c r="B2042" s="24">
        <f>'Data_in-situ'!CA344</f>
        <v>-2413.5954295652286</v>
      </c>
      <c r="C2042" s="24">
        <f>'Data_in-situ'!CB344</f>
        <v>229.44356214196344</v>
      </c>
      <c r="D2042" s="46">
        <f>'Data_in-situ'!CC344</f>
        <v>3</v>
      </c>
      <c r="E2042" s="24">
        <f>'Data_in-situ'!CE344</f>
        <v>-1974.4510380611171</v>
      </c>
      <c r="F2042" s="24">
        <f>'Data_in-situ'!CF344</f>
        <v>445.58850967321683</v>
      </c>
      <c r="G2042" s="46">
        <f>'Data_in-situ'!CG344</f>
        <v>3</v>
      </c>
      <c r="H2042" s="24">
        <f>'Data_in-situ'!CN344</f>
        <v>3307.4596550267315</v>
      </c>
      <c r="I2042" s="24">
        <f>'Data_in-situ'!CO344</f>
        <v>917.36533177060426</v>
      </c>
      <c r="J2042" s="46">
        <f>'Data_in-situ'!CP344</f>
        <v>3</v>
      </c>
      <c r="K2042" s="24">
        <f>'Data_in-situ'!CR344</f>
        <v>2945.9965963075938</v>
      </c>
      <c r="L2042" s="24">
        <f>'Data_in-situ'!CS344</f>
        <v>650.63940348918732</v>
      </c>
      <c r="M2042" s="46">
        <f>'Data_in-situ'!CT344</f>
        <v>3</v>
      </c>
      <c r="N2042" s="24">
        <f>'Data_in-situ'!DA270</f>
        <v>2799.2431805620463</v>
      </c>
      <c r="O2042" s="24">
        <f>'Data_in-situ'!DB270</f>
        <v>1473.9559786073848</v>
      </c>
      <c r="P2042" s="46">
        <f>'Data_in-situ'!DC270</f>
        <v>20</v>
      </c>
      <c r="Q2042" s="24">
        <f>'Data_in-situ'!DE270</f>
        <v>6964.2392311529056</v>
      </c>
      <c r="R2042" s="24">
        <f>'Data_in-situ'!DF270</f>
        <v>2472.9188125624614</v>
      </c>
      <c r="S2042" s="46">
        <f>'Data_in-situ'!DG270</f>
        <v>20</v>
      </c>
      <c r="T2042" s="113">
        <f>'Data_in-situ'!DN152</f>
        <v>38.133333333333333</v>
      </c>
      <c r="U2042" s="113">
        <f>'Data_in-situ'!DO152</f>
        <v>12.933333333333332</v>
      </c>
      <c r="V2042" s="46">
        <f>'Data_in-situ'!DP152</f>
        <v>8</v>
      </c>
      <c r="W2042" s="113">
        <f>'Data_in-situ'!DR152</f>
        <v>4.9333333333333336</v>
      </c>
      <c r="X2042" s="113">
        <f>'Data_in-situ'!DS152</f>
        <v>2.5333333333333332</v>
      </c>
      <c r="Y2042" s="46">
        <f>'Data_in-situ'!DT152</f>
        <v>7</v>
      </c>
      <c r="AF2042" s="113">
        <f>'Data_in-situ'!EN68</f>
        <v>-45.680000000000007</v>
      </c>
      <c r="AG2042" s="113">
        <f>'Data_in-situ'!EO68</f>
        <v>4.842822317616041</v>
      </c>
      <c r="AH2042" s="110">
        <f>'Data_in-situ'!EP68</f>
        <v>3</v>
      </c>
      <c r="AI2042" s="113">
        <f>'Data_in-situ'!ER68</f>
        <v>-118.08000000000001</v>
      </c>
      <c r="AJ2042" s="113">
        <f>'Data_in-situ'!ES68</f>
        <v>8.3505324381143513</v>
      </c>
      <c r="AK2042" s="110">
        <f>'Data_in-situ'!ET68</f>
        <v>3</v>
      </c>
    </row>
    <row r="2043" spans="2:37" x14ac:dyDescent="0.3">
      <c r="B2043" s="24">
        <f>'Data_in-situ'!CA345</f>
        <v>-1544.0509482067121</v>
      </c>
      <c r="C2043" s="24">
        <f>'Data_in-situ'!CB345</f>
        <v>837.60714709123818</v>
      </c>
      <c r="D2043" s="46">
        <f>'Data_in-situ'!CC345</f>
        <v>3</v>
      </c>
      <c r="E2043" s="24">
        <f>'Data_in-situ'!CE345</f>
        <v>-1178.558304384421</v>
      </c>
      <c r="F2043" s="24">
        <f>'Data_in-situ'!CF345</f>
        <v>1103.8093288412595</v>
      </c>
      <c r="G2043" s="46">
        <f>'Data_in-situ'!CG345</f>
        <v>3</v>
      </c>
      <c r="H2043" s="24">
        <f>'Data_in-situ'!CN345</f>
        <v>821.95693707396595</v>
      </c>
      <c r="I2043" s="24">
        <f>'Data_in-situ'!CO345</f>
        <v>860.95304933064097</v>
      </c>
      <c r="J2043" s="46">
        <f>'Data_in-situ'!CP345</f>
        <v>3</v>
      </c>
      <c r="K2043" s="24">
        <f>'Data_in-situ'!CR345</f>
        <v>1214.1076881752506</v>
      </c>
      <c r="L2043" s="24">
        <f>'Data_in-situ'!CS345</f>
        <v>590.58610863952993</v>
      </c>
      <c r="M2043" s="46">
        <f>'Data_in-situ'!CT345</f>
        <v>3</v>
      </c>
      <c r="N2043" s="24">
        <f>'Data_in-situ'!DA271</f>
        <v>-15026.412930085349</v>
      </c>
      <c r="O2043" s="24">
        <f>'Data_in-situ'!DB271</f>
        <v>12368.573830371251</v>
      </c>
      <c r="P2043" s="46">
        <f>'Data_in-situ'!DC271</f>
        <v>8</v>
      </c>
      <c r="Q2043" s="24">
        <f>'Data_in-situ'!DE271</f>
        <v>-14220.561807401995</v>
      </c>
      <c r="R2043" s="24">
        <f>'Data_in-situ'!DF271</f>
        <v>39407.251289691172</v>
      </c>
      <c r="S2043" s="46">
        <f>'Data_in-situ'!DG271</f>
        <v>8</v>
      </c>
      <c r="T2043" s="113">
        <f>'Data_in-situ'!DN153</f>
        <v>38.133333333333333</v>
      </c>
      <c r="U2043" s="113">
        <f>'Data_in-situ'!DO153</f>
        <v>12.933333333333332</v>
      </c>
      <c r="V2043" s="46">
        <f>'Data_in-situ'!DP153</f>
        <v>8</v>
      </c>
      <c r="W2043" s="113">
        <f>'Data_in-situ'!DR153</f>
        <v>6.9333333333333336</v>
      </c>
      <c r="X2043" s="113">
        <f>'Data_in-situ'!DS153</f>
        <v>6.8</v>
      </c>
      <c r="Y2043" s="46">
        <f>'Data_in-situ'!DT153</f>
        <v>5</v>
      </c>
      <c r="AF2043" s="113">
        <f>'Data_in-situ'!EN69</f>
        <v>-53.36</v>
      </c>
      <c r="AG2043" s="113">
        <f>'Data_in-situ'!EO69</f>
        <v>6.3986248522631799</v>
      </c>
      <c r="AH2043" s="110">
        <f>'Data_in-situ'!EP69</f>
        <v>3</v>
      </c>
      <c r="AI2043" s="113">
        <f>'Data_in-situ'!ER69</f>
        <v>-88.300000000000011</v>
      </c>
      <c r="AJ2043" s="113">
        <f>'Data_in-situ'!ES69</f>
        <v>8.3224065029293062</v>
      </c>
      <c r="AK2043" s="110">
        <f>'Data_in-situ'!ET69</f>
        <v>3</v>
      </c>
    </row>
    <row r="2044" spans="2:37" x14ac:dyDescent="0.3">
      <c r="B2044" s="24">
        <f>'Data_in-situ'!CA346</f>
        <v>-998.69911894347672</v>
      </c>
      <c r="C2044" s="24">
        <f>'Data_in-situ'!CB346</f>
        <v>642.0310889187042</v>
      </c>
      <c r="D2044" s="46">
        <f>'Data_in-situ'!CC346</f>
        <v>3</v>
      </c>
      <c r="E2044" s="24">
        <f>'Data_in-situ'!CE346</f>
        <v>-1433.3817215486201</v>
      </c>
      <c r="F2044" s="24">
        <f>'Data_in-situ'!CF346</f>
        <v>1186.7128562544101</v>
      </c>
      <c r="G2044" s="46">
        <f>'Data_in-situ'!CG346</f>
        <v>3</v>
      </c>
      <c r="H2044" s="24">
        <f>'Data_in-situ'!CN346</f>
        <v>688.14999382936685</v>
      </c>
      <c r="I2044" s="24">
        <f>'Data_in-situ'!CO346</f>
        <v>827.80955818446023</v>
      </c>
      <c r="J2044" s="46">
        <f>'Data_in-situ'!CP346</f>
        <v>3</v>
      </c>
      <c r="K2044" s="24">
        <f>'Data_in-situ'!CR346</f>
        <v>910.58076613143794</v>
      </c>
      <c r="L2044" s="24">
        <f>'Data_in-situ'!CS346</f>
        <v>867.05035134873242</v>
      </c>
      <c r="M2044" s="46">
        <f>'Data_in-situ'!CT346</f>
        <v>3</v>
      </c>
      <c r="N2044" s="24">
        <f>'Data_in-situ'!DA339</f>
        <v>974.5318551588839</v>
      </c>
      <c r="O2044" s="24">
        <f>'Data_in-situ'!DB339</f>
        <v>469.46628575554143</v>
      </c>
      <c r="P2044" s="46">
        <f>'Data_in-situ'!DC339</f>
        <v>3</v>
      </c>
      <c r="Q2044" s="24">
        <f>'Data_in-situ'!DE339</f>
        <v>1843.0098898856381</v>
      </c>
      <c r="R2044" s="24">
        <f>'Data_in-situ'!DF339</f>
        <v>320.75875891326473</v>
      </c>
      <c r="S2044" s="46">
        <f>'Data_in-situ'!DG339</f>
        <v>3</v>
      </c>
      <c r="T2044" s="113">
        <f>'Data_in-situ'!DN154</f>
        <v>38.133333333333333</v>
      </c>
      <c r="U2044" s="113">
        <f>'Data_in-situ'!DO154</f>
        <v>12.933333333333332</v>
      </c>
      <c r="V2044" s="46">
        <f>'Data_in-situ'!DP154</f>
        <v>8</v>
      </c>
      <c r="W2044" s="113">
        <f>'Data_in-situ'!DR154</f>
        <v>-0.26666666666666666</v>
      </c>
      <c r="X2044" s="113">
        <f>'Data_in-situ'!DS154</f>
        <v>0.9965910119016026</v>
      </c>
      <c r="Y2044" s="46">
        <f>'Data_in-situ'!DT154</f>
        <v>1</v>
      </c>
      <c r="AF2044" s="113">
        <f>'Data_in-situ'!EN70</f>
        <v>-53.36</v>
      </c>
      <c r="AG2044" s="113">
        <f>'Data_in-situ'!EO70</f>
        <v>6.3986248522631799</v>
      </c>
      <c r="AH2044" s="110">
        <f>'Data_in-situ'!EP70</f>
        <v>3</v>
      </c>
      <c r="AI2044" s="113">
        <f>'Data_in-situ'!ER70</f>
        <v>-124.16</v>
      </c>
      <c r="AJ2044" s="113">
        <f>'Data_in-situ'!ES70</f>
        <v>9.3061459262145689</v>
      </c>
      <c r="AK2044" s="110">
        <f>'Data_in-situ'!ET70</f>
        <v>3</v>
      </c>
    </row>
    <row r="2045" spans="2:37" x14ac:dyDescent="0.3">
      <c r="B2045" s="24">
        <f>'Data_in-situ'!CA347</f>
        <v>-757.07836436037758</v>
      </c>
      <c r="C2045" s="24">
        <f>'Data_in-situ'!CB347</f>
        <v>753.46149598311479</v>
      </c>
      <c r="D2045" s="46">
        <f>'Data_in-situ'!CC347</f>
        <v>3</v>
      </c>
      <c r="E2045" s="24">
        <f>'Data_in-situ'!CE347</f>
        <v>-1751.9109930038685</v>
      </c>
      <c r="F2045" s="24">
        <f>'Data_in-situ'!CF347</f>
        <v>1655.7034599262597</v>
      </c>
      <c r="G2045" s="46">
        <f>'Data_in-situ'!CG347</f>
        <v>3</v>
      </c>
      <c r="H2045" s="24">
        <f>'Data_in-situ'!CN347</f>
        <v>764.61110425485197</v>
      </c>
      <c r="I2045" s="24">
        <f>'Data_in-situ'!CO347</f>
        <v>794.72773935581358</v>
      </c>
      <c r="J2045" s="46">
        <f>'Data_in-situ'!CP347</f>
        <v>3</v>
      </c>
      <c r="K2045" s="24">
        <f>'Data_in-situ'!CR347</f>
        <v>1696.1798584801293</v>
      </c>
      <c r="L2045" s="24">
        <f>'Data_in-situ'!CS347</f>
        <v>1486.728586277671</v>
      </c>
      <c r="M2045" s="46">
        <f>'Data_in-situ'!CT347</f>
        <v>3</v>
      </c>
      <c r="N2045" s="24">
        <f>'Data_in-situ'!DA340</f>
        <v>1621.7638807072944</v>
      </c>
      <c r="O2045" s="24">
        <f>'Data_in-situ'!DB340</f>
        <v>1098.3220496581039</v>
      </c>
      <c r="P2045" s="46">
        <f>'Data_in-situ'!DC340</f>
        <v>3</v>
      </c>
      <c r="Q2045" s="24">
        <f>'Data_in-situ'!DE340</f>
        <v>1729.967922835152</v>
      </c>
      <c r="R2045" s="24">
        <f>'Data_in-situ'!DF340</f>
        <v>370.59428586838715</v>
      </c>
      <c r="S2045" s="46">
        <f>'Data_in-situ'!DG340</f>
        <v>3</v>
      </c>
      <c r="T2045" s="113">
        <f>'Data_in-situ'!DN155</f>
        <v>38.133333333333333</v>
      </c>
      <c r="U2045" s="113">
        <f>'Data_in-situ'!DO155</f>
        <v>12.933333333333332</v>
      </c>
      <c r="V2045" s="46">
        <f>'Data_in-situ'!DP155</f>
        <v>8</v>
      </c>
      <c r="W2045" s="113">
        <f>'Data_in-situ'!DR155</f>
        <v>2.6666666666666665</v>
      </c>
      <c r="X2045" s="113">
        <f>'Data_in-situ'!DS155</f>
        <v>3.6</v>
      </c>
      <c r="Y2045" s="46">
        <f>'Data_in-situ'!DT155</f>
        <v>5</v>
      </c>
      <c r="AF2045" s="113">
        <f>'Data_in-situ'!EN71</f>
        <v>-38</v>
      </c>
      <c r="AG2045" s="113">
        <f>'Data_in-situ'!EO71</f>
        <v>7.6</v>
      </c>
      <c r="AH2045" s="110">
        <f>'Data_in-situ'!EP71</f>
        <v>3</v>
      </c>
      <c r="AI2045" s="113">
        <f>'Data_in-situ'!ER71</f>
        <v>-112</v>
      </c>
      <c r="AJ2045" s="113">
        <f>'Data_in-situ'!ES71</f>
        <v>15.2</v>
      </c>
      <c r="AK2045" s="110">
        <f>'Data_in-situ'!ET71</f>
        <v>3</v>
      </c>
    </row>
    <row r="2046" spans="2:37" x14ac:dyDescent="0.3">
      <c r="B2046" s="24">
        <f>'Data_in-situ'!CA348</f>
        <v>-3659.9602825374368</v>
      </c>
      <c r="C2046" s="24">
        <f>'Data_in-situ'!CB348</f>
        <v>593.4851284595926</v>
      </c>
      <c r="D2046" s="46">
        <f>'Data_in-situ'!CC348</f>
        <v>3</v>
      </c>
      <c r="E2046" s="24">
        <f>'Data_in-situ'!CE348</f>
        <v>-2778.6457143135131</v>
      </c>
      <c r="F2046" s="24">
        <f>'Data_in-situ'!CF348</f>
        <v>942.7176783399251</v>
      </c>
      <c r="G2046" s="46">
        <f>'Data_in-situ'!CG348</f>
        <v>3</v>
      </c>
      <c r="H2046" s="24">
        <f>'Data_in-situ'!CN348</f>
        <v>6251.1658250934079</v>
      </c>
      <c r="I2046" s="24">
        <f>'Data_in-situ'!CO348</f>
        <v>266.97663228644535</v>
      </c>
      <c r="J2046" s="46">
        <f>'Data_in-situ'!CP348</f>
        <v>3</v>
      </c>
      <c r="K2046" s="24">
        <f>'Data_in-situ'!CR348</f>
        <v>7838.2827472249573</v>
      </c>
      <c r="L2046" s="24">
        <f>'Data_in-situ'!CS348</f>
        <v>2291.0465602792738</v>
      </c>
      <c r="M2046" s="46">
        <f>'Data_in-situ'!CT348</f>
        <v>3</v>
      </c>
      <c r="N2046" s="24">
        <f>'Data_in-situ'!DA341</f>
        <v>3237.7768635097909</v>
      </c>
      <c r="O2046" s="24">
        <f>'Data_in-situ'!DB341</f>
        <v>1588.2056081972487</v>
      </c>
      <c r="P2046" s="46">
        <f>'Data_in-situ'!DC341</f>
        <v>3</v>
      </c>
      <c r="Q2046" s="24">
        <f>'Data_in-situ'!DE341</f>
        <v>2606.0811330269848</v>
      </c>
      <c r="R2046" s="24">
        <f>'Data_in-situ'!DF341</f>
        <v>272.81038691279781</v>
      </c>
      <c r="S2046" s="46">
        <f>'Data_in-situ'!DG341</f>
        <v>3</v>
      </c>
      <c r="T2046" s="113">
        <f>'Data_in-situ'!DN179</f>
        <v>140.79806050736187</v>
      </c>
      <c r="U2046" s="113">
        <f>'Data_in-situ'!DO179</f>
        <v>57.85185596345088</v>
      </c>
      <c r="V2046" s="46">
        <f>'Data_in-situ'!DP179</f>
        <v>3</v>
      </c>
      <c r="W2046" s="113">
        <f>'Data_in-situ'!DR179</f>
        <v>22.365263658588713</v>
      </c>
      <c r="X2046" s="113">
        <f>'Data_in-situ'!DS179</f>
        <v>28.96859337526929</v>
      </c>
      <c r="Y2046" s="46">
        <f>'Data_in-situ'!DT179</f>
        <v>3</v>
      </c>
      <c r="AF2046" s="113">
        <f>'Data_in-situ'!EN72</f>
        <v>-47</v>
      </c>
      <c r="AG2046" s="113">
        <f>'Data_in-situ'!EO72</f>
        <v>6.8</v>
      </c>
      <c r="AH2046" s="110">
        <f>'Data_in-situ'!EP72</f>
        <v>3</v>
      </c>
      <c r="AI2046" s="113">
        <f>'Data_in-situ'!ER72</f>
        <v>-120</v>
      </c>
      <c r="AJ2046" s="113">
        <f>'Data_in-situ'!ES72</f>
        <v>11.8</v>
      </c>
      <c r="AK2046" s="110">
        <f>'Data_in-situ'!ET72</f>
        <v>3</v>
      </c>
    </row>
    <row r="2047" spans="2:37" x14ac:dyDescent="0.3">
      <c r="B2047" s="24">
        <f>'Data_in-situ'!CA349</f>
        <v>-4810.2335141920603</v>
      </c>
      <c r="C2047" s="24">
        <f>'Data_in-situ'!CB349</f>
        <v>507.91046480105655</v>
      </c>
      <c r="D2047" s="46">
        <f>'Data_in-situ'!CC349</f>
        <v>3</v>
      </c>
      <c r="E2047" s="24">
        <f>'Data_in-situ'!CE349</f>
        <v>-5079.1058870940042</v>
      </c>
      <c r="F2047" s="24">
        <f>'Data_in-situ'!CF349</f>
        <v>317.38779673465609</v>
      </c>
      <c r="G2047" s="46">
        <f>'Data_in-situ'!CG349</f>
        <v>3</v>
      </c>
      <c r="H2047" s="24">
        <f>'Data_in-situ'!CN349</f>
        <v>4762.0543630364182</v>
      </c>
      <c r="I2047" s="24">
        <f>'Data_in-situ'!CO349</f>
        <v>997.80477562796057</v>
      </c>
      <c r="J2047" s="46">
        <f>'Data_in-situ'!CP349</f>
        <v>3</v>
      </c>
      <c r="K2047" s="24">
        <f>'Data_in-situ'!CR349</f>
        <v>6143.1273286938667</v>
      </c>
      <c r="L2047" s="24">
        <f>'Data_in-situ'!CS349</f>
        <v>1144.5750412473667</v>
      </c>
      <c r="M2047" s="46">
        <f>'Data_in-situ'!CT349</f>
        <v>3</v>
      </c>
      <c r="N2047" s="24">
        <f>'Data_in-situ'!DA342</f>
        <v>-558.33453447411694</v>
      </c>
      <c r="O2047" s="24">
        <f>'Data_in-situ'!DB342</f>
        <v>748.7456945126147</v>
      </c>
      <c r="P2047" s="46">
        <f>'Data_in-situ'!DC342</f>
        <v>3</v>
      </c>
      <c r="Q2047" s="24">
        <f>'Data_in-situ'!DE342</f>
        <v>90.926369512445945</v>
      </c>
      <c r="R2047" s="24">
        <f>'Data_in-situ'!DF342</f>
        <v>382.25882942650333</v>
      </c>
      <c r="S2047" s="46">
        <f>'Data_in-situ'!DG342</f>
        <v>3</v>
      </c>
      <c r="T2047" s="113">
        <f>'Data_in-situ'!DN180</f>
        <v>129.84710024567806</v>
      </c>
      <c r="U2047" s="113">
        <f>'Data_in-situ'!DO180</f>
        <v>45.955805142101362</v>
      </c>
      <c r="V2047" s="46">
        <f>'Data_in-situ'!DP180</f>
        <v>3</v>
      </c>
      <c r="W2047" s="113">
        <f>'Data_in-situ'!DR180</f>
        <v>14.486591233404059</v>
      </c>
      <c r="X2047" s="113">
        <f>'Data_in-situ'!DS180</f>
        <v>18.662006281146603</v>
      </c>
      <c r="Y2047" s="46">
        <f>'Data_in-situ'!DT180</f>
        <v>3</v>
      </c>
      <c r="AF2047" s="113">
        <f>'Data_in-situ'!EN73</f>
        <v>-38</v>
      </c>
      <c r="AG2047" s="113">
        <f>'Data_in-situ'!EO73</f>
        <v>7.6</v>
      </c>
      <c r="AH2047" s="110">
        <f>'Data_in-situ'!EP73</f>
        <v>3</v>
      </c>
      <c r="AI2047" s="113">
        <f>'Data_in-situ'!ER73</f>
        <v>-112</v>
      </c>
      <c r="AJ2047" s="113">
        <f>'Data_in-situ'!ES73</f>
        <v>15.2</v>
      </c>
      <c r="AK2047" s="110">
        <f>'Data_in-situ'!ET73</f>
        <v>3</v>
      </c>
    </row>
    <row r="2048" spans="2:37" x14ac:dyDescent="0.3">
      <c r="B2048" s="24">
        <f>'Data_in-situ'!CA350</f>
        <v>-1686.1959873118906</v>
      </c>
      <c r="C2048" s="24">
        <f>'Data_in-situ'!CB350</f>
        <v>951.52416117583982</v>
      </c>
      <c r="D2048" s="46">
        <f>'Data_in-situ'!CC350</f>
        <v>3</v>
      </c>
      <c r="E2048" s="24">
        <f>'Data_in-situ'!CE350</f>
        <v>-4019.3433355883844</v>
      </c>
      <c r="F2048" s="24">
        <f>'Data_in-situ'!CF350</f>
        <v>183.63556153089817</v>
      </c>
      <c r="G2048" s="46">
        <f>'Data_in-situ'!CG350</f>
        <v>3</v>
      </c>
      <c r="H2048" s="24">
        <f>'Data_in-situ'!CN350</f>
        <v>2652.4797917890141</v>
      </c>
      <c r="I2048" s="24">
        <f>'Data_in-situ'!CO350</f>
        <v>1183.1159884255349</v>
      </c>
      <c r="J2048" s="46">
        <f>'Data_in-situ'!CP350</f>
        <v>3</v>
      </c>
      <c r="K2048" s="24">
        <f>'Data_in-situ'!CR350</f>
        <v>3491.7303920170334</v>
      </c>
      <c r="L2048" s="24">
        <f>'Data_in-situ'!CS350</f>
        <v>187.13801568192349</v>
      </c>
      <c r="M2048" s="46">
        <f>'Data_in-situ'!CT350</f>
        <v>3</v>
      </c>
      <c r="N2048" s="24">
        <f>'Data_in-situ'!DA343</f>
        <v>-586.111782169251</v>
      </c>
      <c r="O2048" s="24">
        <f>'Data_in-situ'!DB343</f>
        <v>363.91958912283872</v>
      </c>
      <c r="P2048" s="46">
        <f>'Data_in-situ'!DC343</f>
        <v>3</v>
      </c>
      <c r="Q2048" s="24">
        <f>'Data_in-situ'!DE343</f>
        <v>403.42941150773049</v>
      </c>
      <c r="R2048" s="24">
        <f>'Data_in-situ'!DF343</f>
        <v>463.61307598966926</v>
      </c>
      <c r="S2048" s="46">
        <f>'Data_in-situ'!DG343</f>
        <v>3</v>
      </c>
      <c r="T2048" s="113">
        <f>'Data_in-situ'!DN181</f>
        <v>159.57113524167664</v>
      </c>
      <c r="U2048" s="113">
        <f>'Data_in-situ'!DO181</f>
        <v>73.816751459863269</v>
      </c>
      <c r="V2048" s="46">
        <f>'Data_in-situ'!DP181</f>
        <v>3</v>
      </c>
      <c r="W2048" s="113">
        <f>'Data_in-situ'!DR181</f>
        <v>15.757344850369346</v>
      </c>
      <c r="X2048" s="113">
        <f>'Data_in-situ'!DS181</f>
        <v>19.375072891550516</v>
      </c>
      <c r="Y2048" s="46">
        <f>'Data_in-situ'!DT181</f>
        <v>3</v>
      </c>
      <c r="AF2048" s="113">
        <f>'Data_in-situ'!EN74</f>
        <v>-44</v>
      </c>
      <c r="AG2048" s="113">
        <f>'Data_in-situ'!EO74</f>
        <v>6.8</v>
      </c>
      <c r="AH2048" s="110">
        <f>'Data_in-situ'!EP74</f>
        <v>3</v>
      </c>
      <c r="AI2048" s="113">
        <f>'Data_in-situ'!ER74</f>
        <v>-116</v>
      </c>
      <c r="AJ2048" s="113">
        <f>'Data_in-situ'!ES74</f>
        <v>11.8</v>
      </c>
      <c r="AK2048" s="110">
        <f>'Data_in-situ'!ET74</f>
        <v>3</v>
      </c>
    </row>
    <row r="2049" spans="2:37" x14ac:dyDescent="0.3">
      <c r="B2049" s="24">
        <f>'Data_in-situ'!CA351</f>
        <v>-7900.0449087308316</v>
      </c>
      <c r="C2049" s="24">
        <f>'Data_in-situ'!CB351</f>
        <v>1770.2016517990935</v>
      </c>
      <c r="D2049" s="46">
        <f>'Data_in-situ'!CC351</f>
        <v>3</v>
      </c>
      <c r="E2049" s="24">
        <f>'Data_in-situ'!CE351</f>
        <v>-3744.7097475457695</v>
      </c>
      <c r="F2049" s="24">
        <f>'Data_in-situ'!CF351</f>
        <v>2032.4000980341211</v>
      </c>
      <c r="G2049" s="46">
        <f>'Data_in-situ'!CG351</f>
        <v>3</v>
      </c>
      <c r="H2049" s="24">
        <f>'Data_in-situ'!CN351</f>
        <v>12362.931550325944</v>
      </c>
      <c r="I2049" s="24">
        <f>'Data_in-situ'!CO351</f>
        <v>2275.2743302978161</v>
      </c>
      <c r="J2049" s="46">
        <f>'Data_in-situ'!CP351</f>
        <v>3</v>
      </c>
      <c r="K2049" s="24">
        <f>'Data_in-situ'!CR351</f>
        <v>15082.727310832692</v>
      </c>
      <c r="L2049" s="24">
        <f>'Data_in-situ'!CS351</f>
        <v>2876.4150226571255</v>
      </c>
      <c r="M2049" s="46">
        <f>'Data_in-situ'!CT351</f>
        <v>3</v>
      </c>
      <c r="N2049" s="24">
        <f>'Data_in-situ'!DA344</f>
        <v>893.86422546150288</v>
      </c>
      <c r="O2049" s="24">
        <f>'Data_in-situ'!DB344</f>
        <v>1145.1881990612055</v>
      </c>
      <c r="P2049" s="46">
        <f>'Data_in-situ'!DC344</f>
        <v>3</v>
      </c>
      <c r="Q2049" s="24">
        <f>'Data_in-situ'!DE344</f>
        <v>971.54555824647673</v>
      </c>
      <c r="R2049" s="24">
        <f>'Data_in-situ'!DF344</f>
        <v>320.49742821623516</v>
      </c>
      <c r="S2049" s="46">
        <f>'Data_in-situ'!DG344</f>
        <v>3</v>
      </c>
      <c r="T2049" s="113">
        <f>'Data_in-situ'!DN201</f>
        <v>54.705882352941174</v>
      </c>
      <c r="U2049" s="113">
        <f>'Data_in-situ'!DO201</f>
        <v>60.990455230513547</v>
      </c>
      <c r="V2049" s="46">
        <f>'Data_in-situ'!DP201</f>
        <v>3</v>
      </c>
      <c r="W2049" s="113">
        <f>'Data_in-situ'!DR201</f>
        <v>0</v>
      </c>
      <c r="X2049" s="113">
        <f>'Data_in-situ'!DS201</f>
        <v>0</v>
      </c>
      <c r="Y2049" s="46">
        <f>'Data_in-situ'!DT201</f>
        <v>3</v>
      </c>
      <c r="AF2049" s="113">
        <f>'Data_in-situ'!EN75</f>
        <v>-38</v>
      </c>
      <c r="AG2049" s="113">
        <f>'Data_in-situ'!EO75</f>
        <v>5.412566119688516</v>
      </c>
      <c r="AH2049" s="110">
        <f>'Data_in-situ'!EP75</f>
        <v>3</v>
      </c>
      <c r="AI2049" s="113">
        <f>'Data_in-situ'!ER75</f>
        <v>-112</v>
      </c>
      <c r="AJ2049" s="113">
        <f>'Data_in-situ'!ES75</f>
        <v>10.825132239377032</v>
      </c>
      <c r="AK2049" s="110">
        <f>'Data_in-situ'!ET75</f>
        <v>3</v>
      </c>
    </row>
    <row r="2050" spans="2:37" x14ac:dyDescent="0.3">
      <c r="B2050" s="24">
        <f>'Data_in-situ'!CA352</f>
        <v>-10050.787546565918</v>
      </c>
      <c r="C2050" s="24">
        <f>'Data_in-situ'!CB352</f>
        <v>1612.547694762013</v>
      </c>
      <c r="D2050" s="46">
        <f>'Data_in-situ'!CC352</f>
        <v>3</v>
      </c>
      <c r="E2050" s="24">
        <f>'Data_in-situ'!CE352</f>
        <v>-12603.385992432437</v>
      </c>
      <c r="F2050" s="24">
        <f>'Data_in-situ'!CF352</f>
        <v>2731.1470412581525</v>
      </c>
      <c r="G2050" s="46">
        <f>'Data_in-situ'!CG352</f>
        <v>3</v>
      </c>
      <c r="H2050" s="24">
        <f>'Data_in-situ'!CN352</f>
        <v>9984.9658644122937</v>
      </c>
      <c r="I2050" s="24">
        <f>'Data_in-situ'!CO352</f>
        <v>333.56620847738458</v>
      </c>
      <c r="J2050" s="46">
        <f>'Data_in-situ'!CP352</f>
        <v>3</v>
      </c>
      <c r="K2050" s="24">
        <f>'Data_in-situ'!CR352</f>
        <v>15408.337460950899</v>
      </c>
      <c r="L2050" s="24">
        <f>'Data_in-situ'!CS352</f>
        <v>3231.8122751183146</v>
      </c>
      <c r="M2050" s="46">
        <f>'Data_in-situ'!CT352</f>
        <v>3</v>
      </c>
      <c r="N2050" s="24">
        <f>'Data_in-situ'!DA345</f>
        <v>-722.09401113274612</v>
      </c>
      <c r="O2050" s="24">
        <f>'Data_in-situ'!DB345</f>
        <v>355.55395504217751</v>
      </c>
      <c r="P2050" s="46">
        <f>'Data_in-situ'!DC345</f>
        <v>3</v>
      </c>
      <c r="Q2050" s="24">
        <f>'Data_in-situ'!DE345</f>
        <v>35.549383790829552</v>
      </c>
      <c r="R2050" s="24">
        <f>'Data_in-situ'!DF345</f>
        <v>98.404402630841858</v>
      </c>
      <c r="S2050" s="46">
        <f>'Data_in-situ'!DG345</f>
        <v>3</v>
      </c>
      <c r="T2050" s="113">
        <f>'Data_in-situ'!DN202</f>
        <v>57.352941176470587</v>
      </c>
      <c r="U2050" s="113">
        <f>'Data_in-situ'!DO202</f>
        <v>63.941606290054523</v>
      </c>
      <c r="V2050" s="46">
        <f>'Data_in-situ'!DP202</f>
        <v>3</v>
      </c>
      <c r="W2050" s="113">
        <f>'Data_in-situ'!DR202</f>
        <v>0</v>
      </c>
      <c r="X2050" s="113">
        <f>'Data_in-situ'!DS202</f>
        <v>0</v>
      </c>
      <c r="Y2050" s="46">
        <f>'Data_in-situ'!DT202</f>
        <v>3</v>
      </c>
      <c r="AF2050" s="113">
        <f>'Data_in-situ'!EN76</f>
        <v>-45.680000000000007</v>
      </c>
      <c r="AG2050" s="113">
        <f>'Data_in-situ'!EO76</f>
        <v>4.842822317616041</v>
      </c>
      <c r="AH2050" s="110">
        <f>'Data_in-situ'!EP76</f>
        <v>3</v>
      </c>
      <c r="AI2050" s="113">
        <f>'Data_in-situ'!ER76</f>
        <v>-118.24000000000001</v>
      </c>
      <c r="AJ2050" s="113">
        <f>'Data_in-situ'!ES76</f>
        <v>8.4037210805690119</v>
      </c>
      <c r="AK2050" s="110">
        <f>'Data_in-situ'!ET76</f>
        <v>3</v>
      </c>
    </row>
    <row r="2051" spans="2:37" x14ac:dyDescent="0.3">
      <c r="B2051" s="24">
        <f>'Data_in-situ'!CA353</f>
        <v>-3420.20536553287</v>
      </c>
      <c r="C2051" s="24">
        <f>'Data_in-situ'!CB353</f>
        <v>2581.3476538531618</v>
      </c>
      <c r="D2051" s="46">
        <f>'Data_in-situ'!CC353</f>
        <v>3</v>
      </c>
      <c r="E2051" s="24">
        <f>'Data_in-situ'!CE353</f>
        <v>-7240.463722401516</v>
      </c>
      <c r="F2051" s="24">
        <f>'Data_in-situ'!CF353</f>
        <v>1430.8247194500545</v>
      </c>
      <c r="G2051" s="46">
        <f>'Data_in-situ'!CG353</f>
        <v>3</v>
      </c>
      <c r="H2051" s="24">
        <f>'Data_in-situ'!CN353</f>
        <v>3050.2701206745783</v>
      </c>
      <c r="I2051" s="24">
        <f>'Data_in-situ'!CO353</f>
        <v>3364.4645178084379</v>
      </c>
      <c r="J2051" s="46">
        <f>'Data_in-situ'!CP353</f>
        <v>3</v>
      </c>
      <c r="K2051" s="24">
        <f>'Data_in-situ'!CR353</f>
        <v>7768.1278671058117</v>
      </c>
      <c r="L2051" s="24">
        <f>'Data_in-situ'!CS353</f>
        <v>631.5369644231871</v>
      </c>
      <c r="M2051" s="46">
        <f>'Data_in-situ'!CT353</f>
        <v>3</v>
      </c>
      <c r="N2051" s="24">
        <f>'Data_in-situ'!DA346</f>
        <v>-310.54912511410987</v>
      </c>
      <c r="O2051" s="24">
        <f>'Data_in-situ'!DB346</f>
        <v>752.08332336197429</v>
      </c>
      <c r="P2051" s="46">
        <f>'Data_in-situ'!DC346</f>
        <v>3</v>
      </c>
      <c r="Q2051" s="24">
        <f>'Data_in-situ'!DE346</f>
        <v>-522.80095541718219</v>
      </c>
      <c r="R2051" s="24">
        <f>'Data_in-situ'!DF346</f>
        <v>196.66566541741983</v>
      </c>
      <c r="S2051" s="46">
        <f>'Data_in-situ'!DG346</f>
        <v>3</v>
      </c>
      <c r="T2051" s="113">
        <f>'Data_in-situ'!DN213</f>
        <v>5.4</v>
      </c>
      <c r="U2051" s="113">
        <f>'Data_in-situ'!DO213</f>
        <v>6.0203481614635956</v>
      </c>
      <c r="V2051" s="46">
        <f>'Data_in-situ'!DP213</f>
        <v>3</v>
      </c>
      <c r="W2051" s="113">
        <f>'Data_in-situ'!DR213</f>
        <v>1.4</v>
      </c>
      <c r="X2051" s="113">
        <f>'Data_in-situ'!DS213</f>
        <v>5.2321028124834132</v>
      </c>
      <c r="Y2051" s="46">
        <f>'Data_in-situ'!DT213</f>
        <v>3</v>
      </c>
      <c r="AF2051" s="113">
        <f>'Data_in-situ'!EN77</f>
        <v>-4.5</v>
      </c>
      <c r="AG2051" s="113">
        <f>'Data_in-situ'!EO77</f>
        <v>2.7658633371878665</v>
      </c>
      <c r="AH2051" s="110">
        <f>'Data_in-situ'!EP77</f>
        <v>2</v>
      </c>
      <c r="AI2051" s="113">
        <f>'Data_in-situ'!ER77</f>
        <v>-18.45</v>
      </c>
      <c r="AJ2051" s="113">
        <f>'Data_in-situ'!ES77</f>
        <v>8.9505586417832035</v>
      </c>
      <c r="AK2051" s="110">
        <f>'Data_in-situ'!ET77</f>
        <v>2</v>
      </c>
    </row>
    <row r="2052" spans="2:37" x14ac:dyDescent="0.3">
      <c r="B2052" s="24">
        <f>'Data_in-situ'!CA354</f>
        <v>-5163.6593652646679</v>
      </c>
      <c r="C2052" s="24">
        <f>'Data_in-situ'!CB354</f>
        <v>1258.9541681504393</v>
      </c>
      <c r="D2052" s="46">
        <f>'Data_in-situ'!CC354</f>
        <v>3</v>
      </c>
      <c r="E2052" s="24">
        <f>'Data_in-situ'!CE354</f>
        <v>-11281.753283847371</v>
      </c>
      <c r="F2052" s="24">
        <f>'Data_in-situ'!CF354</f>
        <v>4199.848101278134</v>
      </c>
      <c r="G2052" s="46">
        <f>'Data_in-situ'!CG354</f>
        <v>3</v>
      </c>
      <c r="H2052" s="24">
        <f>'Data_in-situ'!CN354</f>
        <v>3223.0754152425534</v>
      </c>
      <c r="I2052" s="24">
        <f>'Data_in-situ'!CO354</f>
        <v>927.04451000195218</v>
      </c>
      <c r="J2052" s="46">
        <f>'Data_in-situ'!CP354</f>
        <v>3</v>
      </c>
      <c r="K2052" s="24">
        <f>'Data_in-situ'!CR354</f>
        <v>10128.851360772116</v>
      </c>
      <c r="L2052" s="24">
        <f>'Data_in-situ'!CS354</f>
        <v>2657.7211591793016</v>
      </c>
      <c r="M2052" s="46">
        <f>'Data_in-situ'!CT354</f>
        <v>3</v>
      </c>
      <c r="N2052" s="24">
        <f>'Data_in-situ'!DA347</f>
        <v>7.5327398944743891</v>
      </c>
      <c r="O2052" s="24">
        <f>'Data_in-situ'!DB347</f>
        <v>385.89969557971807</v>
      </c>
      <c r="P2052" s="46">
        <f>'Data_in-situ'!DC347</f>
        <v>3</v>
      </c>
      <c r="Q2052" s="24">
        <f>'Data_in-situ'!DE347</f>
        <v>-55.731134523739229</v>
      </c>
      <c r="R2052" s="24">
        <f>'Data_in-situ'!DF347</f>
        <v>131.30398661871592</v>
      </c>
      <c r="S2052" s="46">
        <f>'Data_in-situ'!DG347</f>
        <v>3</v>
      </c>
      <c r="T2052" s="113">
        <f>'Data_in-situ'!DN214</f>
        <v>7.5</v>
      </c>
      <c r="U2052" s="113">
        <f>'Data_in-situ'!DO214</f>
        <v>8.3615946686994373</v>
      </c>
      <c r="V2052" s="46">
        <f>'Data_in-situ'!DP214</f>
        <v>3</v>
      </c>
      <c r="W2052" s="113">
        <f>'Data_in-situ'!DR214</f>
        <v>1.6</v>
      </c>
      <c r="X2052" s="113">
        <f>'Data_in-situ'!DS214</f>
        <v>5.979546071409616</v>
      </c>
      <c r="Y2052" s="46">
        <f>'Data_in-situ'!DT214</f>
        <v>3</v>
      </c>
      <c r="AF2052" s="113">
        <f>'Data_in-situ'!EN78</f>
        <v>-4.5</v>
      </c>
      <c r="AG2052" s="113">
        <f>'Data_in-situ'!EO78</f>
        <v>2.7658633371878665</v>
      </c>
      <c r="AH2052" s="110">
        <f>'Data_in-situ'!EP78</f>
        <v>2</v>
      </c>
      <c r="AI2052" s="113">
        <f>'Data_in-situ'!ER78</f>
        <v>-14.3</v>
      </c>
      <c r="AJ2052" s="113">
        <f>'Data_in-situ'!ES78</f>
        <v>4.2793106921559225</v>
      </c>
      <c r="AK2052" s="110">
        <f>'Data_in-situ'!ET78</f>
        <v>2</v>
      </c>
    </row>
    <row r="2053" spans="2:37" x14ac:dyDescent="0.3">
      <c r="B2053" s="24">
        <f>'Data_in-situ'!CA355</f>
        <v>-6328.9988329119469</v>
      </c>
      <c r="C2053" s="24">
        <f>'Data_in-situ'!CB355</f>
        <v>1543.0761204956746</v>
      </c>
      <c r="D2053" s="46">
        <f>'Data_in-situ'!CC355</f>
        <v>3</v>
      </c>
      <c r="E2053" s="24">
        <f>'Data_in-situ'!CE355</f>
        <v>-6508.7452571599624</v>
      </c>
      <c r="F2053" s="24">
        <f>'Data_in-situ'!CF355</f>
        <v>2423.0047158648849</v>
      </c>
      <c r="G2053" s="46">
        <f>'Data_in-situ'!CG355</f>
        <v>3</v>
      </c>
      <c r="H2053" s="24">
        <f>'Data_in-situ'!CN355</f>
        <v>5111.9658604723854</v>
      </c>
      <c r="I2053" s="24">
        <f>'Data_in-situ'!CO355</f>
        <v>1470.3409867037487</v>
      </c>
      <c r="J2053" s="46">
        <f>'Data_in-situ'!CP355</f>
        <v>3</v>
      </c>
      <c r="K2053" s="24">
        <f>'Data_in-situ'!CR355</f>
        <v>5566.4186230898367</v>
      </c>
      <c r="L2053" s="24">
        <f>'Data_in-situ'!CS355</f>
        <v>1460.579095151006</v>
      </c>
      <c r="M2053" s="46">
        <f>'Data_in-situ'!CT355</f>
        <v>3</v>
      </c>
      <c r="N2053" s="24">
        <f>'Data_in-situ'!DA348</f>
        <v>2591.2055425559711</v>
      </c>
      <c r="O2053" s="24">
        <f>'Data_in-situ'!DB348</f>
        <v>1600.5466590475353</v>
      </c>
      <c r="P2053" s="46">
        <f>'Data_in-situ'!DC348</f>
        <v>3</v>
      </c>
      <c r="Q2053" s="24">
        <f>'Data_in-situ'!DE348</f>
        <v>5059.6370329114443</v>
      </c>
      <c r="R2053" s="24">
        <f>'Data_in-situ'!DF348</f>
        <v>1113.5441452092068</v>
      </c>
      <c r="S2053" s="46">
        <f>'Data_in-situ'!DG348</f>
        <v>3</v>
      </c>
      <c r="T2053" s="113">
        <f>'Data_in-situ'!DN216</f>
        <v>36.386666666666663</v>
      </c>
      <c r="U2053" s="113">
        <f>'Data_in-situ'!DO216</f>
        <v>4.1569219381653051</v>
      </c>
      <c r="V2053" s="46">
        <f>'Data_in-situ'!DP216</f>
        <v>3</v>
      </c>
      <c r="W2053" s="113">
        <f>'Data_in-situ'!DR216</f>
        <v>12.573333333333332</v>
      </c>
      <c r="X2053" s="113">
        <f>'Data_in-situ'!DS216</f>
        <v>5.1268703904038775</v>
      </c>
      <c r="Y2053" s="46">
        <f>'Data_in-situ'!DT216</f>
        <v>3</v>
      </c>
      <c r="AF2053" s="113">
        <f>'Data_in-situ'!EN86</f>
        <v>-11.68</v>
      </c>
      <c r="AG2053" s="113">
        <f>'Data_in-situ'!EO86</f>
        <v>1.82</v>
      </c>
      <c r="AH2053" s="110">
        <f>'Data_in-situ'!EP86</f>
        <v>3</v>
      </c>
      <c r="AI2053" s="113">
        <f>'Data_in-situ'!ER86</f>
        <v>-20.88</v>
      </c>
      <c r="AJ2053" s="113">
        <f>'Data_in-situ'!ES86</f>
        <v>1.28</v>
      </c>
      <c r="AK2053" s="110">
        <f>'Data_in-situ'!ET86</f>
        <v>3</v>
      </c>
    </row>
    <row r="2054" spans="2:37" x14ac:dyDescent="0.3">
      <c r="B2054" s="24">
        <f>'Data_in-situ'!CA356</f>
        <v>-6328.9988329119469</v>
      </c>
      <c r="C2054" s="24">
        <f>'Data_in-situ'!CB356</f>
        <v>1543.0761204956746</v>
      </c>
      <c r="D2054" s="46">
        <f>'Data_in-situ'!CC356</f>
        <v>3</v>
      </c>
      <c r="E2054" s="24">
        <f>'Data_in-situ'!CE356</f>
        <v>-4475.6377749118492</v>
      </c>
      <c r="F2054" s="24">
        <f>'Data_in-situ'!CF356</f>
        <v>1666.1416304755389</v>
      </c>
      <c r="G2054" s="46">
        <f>'Data_in-situ'!CG356</f>
        <v>3</v>
      </c>
      <c r="H2054" s="24">
        <f>'Data_in-situ'!CN356</f>
        <v>5111.9658604723854</v>
      </c>
      <c r="I2054" s="24">
        <f>'Data_in-situ'!CO356</f>
        <v>1470.3409867037487</v>
      </c>
      <c r="J2054" s="46">
        <f>'Data_in-situ'!CP356</f>
        <v>3</v>
      </c>
      <c r="K2054" s="24">
        <f>'Data_in-situ'!CR356</f>
        <v>5547.6173892807064</v>
      </c>
      <c r="L2054" s="24">
        <f>'Data_in-situ'!CS356</f>
        <v>1455.6458174146255</v>
      </c>
      <c r="M2054" s="46">
        <f>'Data_in-situ'!CT356</f>
        <v>3</v>
      </c>
      <c r="N2054" s="24">
        <f>'Data_in-situ'!DA349</f>
        <v>-48.179151155642103</v>
      </c>
      <c r="O2054" s="24">
        <f>'Data_in-situ'!DB349</f>
        <v>1897.3884326053135</v>
      </c>
      <c r="P2054" s="46">
        <f>'Data_in-situ'!DC349</f>
        <v>3</v>
      </c>
      <c r="Q2054" s="24">
        <f>'Data_in-situ'!DE349</f>
        <v>1064.0214415998626</v>
      </c>
      <c r="R2054" s="24">
        <f>'Data_in-situ'!DF349</f>
        <v>385.19113146523358</v>
      </c>
      <c r="S2054" s="46">
        <f>'Data_in-situ'!DG349</f>
        <v>3</v>
      </c>
      <c r="T2054" s="113">
        <f>'Data_in-situ'!DN270</f>
        <v>9.7529199020319588</v>
      </c>
      <c r="U2054" s="113">
        <f>'Data_in-situ'!DO270</f>
        <v>10.616164230838427</v>
      </c>
      <c r="V2054" s="46">
        <f>'Data_in-situ'!DP270</f>
        <v>20</v>
      </c>
      <c r="W2054" s="113">
        <f>'Data_in-situ'!DR270</f>
        <v>1.5362827803916344E-2</v>
      </c>
      <c r="X2054" s="113">
        <f>'Data_in-situ'!DS270</f>
        <v>0.60544514040223285</v>
      </c>
      <c r="Y2054" s="46">
        <f>'Data_in-situ'!DT270</f>
        <v>20</v>
      </c>
      <c r="AF2054" s="113">
        <f>'Data_in-situ'!EN87</f>
        <v>-20.85</v>
      </c>
      <c r="AG2054" s="113">
        <f>'Data_in-situ'!EO87</f>
        <v>5.42</v>
      </c>
      <c r="AH2054" s="110">
        <f>'Data_in-situ'!EP87</f>
        <v>3</v>
      </c>
      <c r="AI2054" s="113">
        <f>'Data_in-situ'!ER87</f>
        <v>-21.08</v>
      </c>
      <c r="AJ2054" s="113">
        <f>'Data_in-situ'!ES87</f>
        <v>7.29</v>
      </c>
      <c r="AK2054" s="110">
        <f>'Data_in-situ'!ET87</f>
        <v>3</v>
      </c>
    </row>
    <row r="2055" spans="2:37" x14ac:dyDescent="0.3">
      <c r="B2055" s="24">
        <f>'Data_in-situ'!CA357</f>
        <v>-6053.2911236122554</v>
      </c>
      <c r="C2055" s="24">
        <f>'Data_in-situ'!CB357</f>
        <v>1475.8556969044168</v>
      </c>
      <c r="D2055" s="46">
        <f>'Data_in-situ'!CC357</f>
        <v>3</v>
      </c>
      <c r="E2055" s="24">
        <f>'Data_in-situ'!CE357</f>
        <v>-11865.719502913866</v>
      </c>
      <c r="F2055" s="24">
        <f>'Data_in-situ'!CF357</f>
        <v>4417.2406780036381</v>
      </c>
      <c r="G2055" s="46">
        <f>'Data_in-situ'!CG357</f>
        <v>3</v>
      </c>
      <c r="H2055" s="24">
        <f>'Data_in-situ'!CN357</f>
        <v>4090.62426273851</v>
      </c>
      <c r="I2055" s="24">
        <f>'Data_in-situ'!CO357</f>
        <v>1176.575250867078</v>
      </c>
      <c r="J2055" s="46">
        <f>'Data_in-situ'!CP357</f>
        <v>3</v>
      </c>
      <c r="K2055" s="24">
        <f>'Data_in-situ'!CR357</f>
        <v>9751.573269002236</v>
      </c>
      <c r="L2055" s="24">
        <f>'Data_in-situ'!CS357</f>
        <v>2558.7267192692693</v>
      </c>
      <c r="M2055" s="46">
        <f>'Data_in-situ'!CT357</f>
        <v>3</v>
      </c>
      <c r="N2055" s="24">
        <f>'Data_in-situ'!DA350</f>
        <v>966.28380447712357</v>
      </c>
      <c r="O2055" s="24">
        <f>'Data_in-situ'!DB350</f>
        <v>2670.8132341684627</v>
      </c>
      <c r="P2055" s="46">
        <f>'Data_in-situ'!DC350</f>
        <v>3</v>
      </c>
      <c r="Q2055" s="24">
        <f>'Data_in-situ'!DE350</f>
        <v>-527.61294357135102</v>
      </c>
      <c r="R2055" s="24">
        <f>'Data_in-situ'!DF350</f>
        <v>119.07629993106522</v>
      </c>
      <c r="S2055" s="46">
        <f>'Data_in-situ'!DG350</f>
        <v>3</v>
      </c>
      <c r="T2055" s="113">
        <f>'Data_in-situ'!DN271</f>
        <v>28.501072212251554</v>
      </c>
      <c r="U2055" s="113">
        <f>'Data_in-situ'!DO271</f>
        <v>28.652903393199384</v>
      </c>
      <c r="V2055" s="46">
        <f>'Data_in-situ'!DP271</f>
        <v>8</v>
      </c>
      <c r="W2055" s="113">
        <f>'Data_in-situ'!DR271</f>
        <v>2.155113237216562</v>
      </c>
      <c r="X2055" s="113">
        <f>'Data_in-situ'!DS271</f>
        <v>5.8344440438614322</v>
      </c>
      <c r="Y2055" s="46">
        <f>'Data_in-situ'!DT271</f>
        <v>8</v>
      </c>
      <c r="AF2055" s="113">
        <f>'Data_in-situ'!EN94</f>
        <v>-10.75</v>
      </c>
      <c r="AG2055" s="113">
        <f>'Data_in-situ'!EO94</f>
        <v>1.853</v>
      </c>
      <c r="AH2055" s="110">
        <f>'Data_in-situ'!EP94</f>
        <v>3</v>
      </c>
      <c r="AI2055" s="113">
        <f>'Data_in-situ'!ER94</f>
        <v>-20.14</v>
      </c>
      <c r="AJ2055" s="113">
        <f>'Data_in-situ'!ES94</f>
        <v>1.87</v>
      </c>
      <c r="AK2055" s="110">
        <f>'Data_in-situ'!ET94</f>
        <v>3</v>
      </c>
    </row>
    <row r="2056" spans="2:37" x14ac:dyDescent="0.3">
      <c r="B2056" s="24">
        <f>'Data_in-situ'!CA358</f>
        <v>-8439.7813360929867</v>
      </c>
      <c r="C2056" s="24">
        <f>'Data_in-situ'!CB358</f>
        <v>2057.7069747914984</v>
      </c>
      <c r="D2056" s="46">
        <f>'Data_in-situ'!CC358</f>
        <v>3</v>
      </c>
      <c r="E2056" s="24">
        <f>'Data_in-situ'!CE358</f>
        <v>-8092.5650763993508</v>
      </c>
      <c r="F2056" s="24">
        <f>'Data_in-situ'!CF358</f>
        <v>3012.6118889026902</v>
      </c>
      <c r="G2056" s="46">
        <f>'Data_in-situ'!CG358</f>
        <v>3</v>
      </c>
      <c r="H2056" s="24">
        <f>'Data_in-situ'!CN358</f>
        <v>5436.6394443079935</v>
      </c>
      <c r="I2056" s="24">
        <f>'Data_in-situ'!CO358</f>
        <v>1563.7259760881216</v>
      </c>
      <c r="J2056" s="46">
        <f>'Data_in-situ'!CP358</f>
        <v>3</v>
      </c>
      <c r="K2056" s="24">
        <f>'Data_in-situ'!CR358</f>
        <v>7258.5296659115611</v>
      </c>
      <c r="L2056" s="24">
        <f>'Data_in-situ'!CS358</f>
        <v>1904.5740914252362</v>
      </c>
      <c r="M2056" s="46">
        <f>'Data_in-situ'!CT358</f>
        <v>3</v>
      </c>
      <c r="N2056" s="24">
        <f>'Data_in-situ'!DA351</f>
        <v>4462.8866415951125</v>
      </c>
      <c r="O2056" s="24">
        <f>'Data_in-situ'!DB351</f>
        <v>2118.4369604304802</v>
      </c>
      <c r="P2056" s="46">
        <f>'Data_in-situ'!DC351</f>
        <v>3</v>
      </c>
      <c r="Q2056" s="24">
        <f>'Data_in-situ'!DE351</f>
        <v>11338.017563286921</v>
      </c>
      <c r="R2056" s="24">
        <f>'Data_in-situ'!DF351</f>
        <v>1981.8390153148923</v>
      </c>
      <c r="S2056" s="46">
        <f>'Data_in-situ'!DG351</f>
        <v>3</v>
      </c>
      <c r="T2056" s="113">
        <f>'Data_in-situ'!DN272</f>
        <v>14.883893266398051</v>
      </c>
      <c r="U2056" s="113">
        <f>'Data_in-situ'!DO272</f>
        <v>86.792053465048554</v>
      </c>
      <c r="V2056" s="46">
        <f>'Data_in-situ'!DP272</f>
        <v>8</v>
      </c>
      <c r="W2056" s="113">
        <f>'Data_in-situ'!DR272</f>
        <v>1.7398230320846468</v>
      </c>
      <c r="X2056" s="113">
        <f>'Data_in-situ'!DS272</f>
        <v>9.0283655795287849</v>
      </c>
      <c r="Y2056" s="46">
        <f>'Data_in-situ'!DT272</f>
        <v>8</v>
      </c>
      <c r="AF2056" s="113">
        <f>'Data_in-situ'!EN95</f>
        <v>-24.62</v>
      </c>
      <c r="AG2056" s="113">
        <f>'Data_in-situ'!EO95</f>
        <v>6.88</v>
      </c>
      <c r="AH2056" s="110">
        <f>'Data_in-situ'!EP95</f>
        <v>3</v>
      </c>
      <c r="AI2056" s="113">
        <f>'Data_in-situ'!ER95</f>
        <v>-23.22</v>
      </c>
      <c r="AJ2056" s="113">
        <f>'Data_in-situ'!ES95</f>
        <v>6.41</v>
      </c>
      <c r="AK2056" s="110">
        <f>'Data_in-situ'!ET95</f>
        <v>3</v>
      </c>
    </row>
    <row r="2057" spans="2:37" x14ac:dyDescent="0.3">
      <c r="B2057" s="24">
        <f>'Data_in-situ'!CA359</f>
        <v>-8439.7813360929867</v>
      </c>
      <c r="C2057" s="24">
        <f>'Data_in-situ'!CB359</f>
        <v>2057.7069747914984</v>
      </c>
      <c r="D2057" s="46">
        <f>'Data_in-situ'!CC359</f>
        <v>3</v>
      </c>
      <c r="E2057" s="24">
        <f>'Data_in-situ'!CE359</f>
        <v>-6425.7832666283757</v>
      </c>
      <c r="F2057" s="24">
        <f>'Data_in-situ'!CF359</f>
        <v>2392.1205306105239</v>
      </c>
      <c r="G2057" s="46">
        <f>'Data_in-situ'!CG359</f>
        <v>3</v>
      </c>
      <c r="H2057" s="24">
        <f>'Data_in-situ'!CN359</f>
        <v>5436.6394443079935</v>
      </c>
      <c r="I2057" s="24">
        <f>'Data_in-situ'!CO359</f>
        <v>1563.7259760881216</v>
      </c>
      <c r="J2057" s="46">
        <f>'Data_in-situ'!CP359</f>
        <v>3</v>
      </c>
      <c r="K2057" s="24">
        <f>'Data_in-situ'!CR359</f>
        <v>7678.4238876488043</v>
      </c>
      <c r="L2057" s="24">
        <f>'Data_in-situ'!CS359</f>
        <v>2014.7506275377307</v>
      </c>
      <c r="M2057" s="46">
        <f>'Data_in-situ'!CT359</f>
        <v>3</v>
      </c>
      <c r="N2057" s="24">
        <f>'Data_in-situ'!DA352</f>
        <v>-65.821682153624351</v>
      </c>
      <c r="O2057" s="24">
        <f>'Data_in-situ'!DB352</f>
        <v>2444.1125484173954</v>
      </c>
      <c r="P2057" s="46">
        <f>'Data_in-situ'!DC352</f>
        <v>3</v>
      </c>
      <c r="Q2057" s="24">
        <f>'Data_in-situ'!DE352</f>
        <v>2804.9514685184622</v>
      </c>
      <c r="R2057" s="24">
        <f>'Data_in-situ'!DF352</f>
        <v>528.03532028319501</v>
      </c>
      <c r="S2057" s="46">
        <f>'Data_in-situ'!DG352</f>
        <v>3</v>
      </c>
      <c r="T2057" s="113">
        <f>'Data_in-situ'!DN273</f>
        <v>40.553216435983082</v>
      </c>
      <c r="U2057" s="113">
        <f>'Data_in-situ'!DO273</f>
        <v>36.04252387554827</v>
      </c>
      <c r="V2057" s="46">
        <f>'Data_in-situ'!DP273</f>
        <v>8</v>
      </c>
      <c r="W2057" s="113">
        <f>'Data_in-situ'!DR273</f>
        <v>2.0877876385015846</v>
      </c>
      <c r="X2057" s="113">
        <f>'Data_in-situ'!DS273</f>
        <v>4.899966604705579</v>
      </c>
      <c r="Y2057" s="46">
        <f>'Data_in-situ'!DT273</f>
        <v>8</v>
      </c>
      <c r="AF2057" s="113">
        <f>'Data_in-situ'!EN96</f>
        <v>-6.95</v>
      </c>
      <c r="AG2057" s="113">
        <f>'Data_in-situ'!EO96</f>
        <v>1.41</v>
      </c>
      <c r="AH2057" s="110">
        <f>'Data_in-situ'!EP96</f>
        <v>3</v>
      </c>
      <c r="AI2057" s="113">
        <f>'Data_in-situ'!ER96</f>
        <v>-21.5</v>
      </c>
      <c r="AJ2057" s="113">
        <f>'Data_in-situ'!ES96</f>
        <v>1.76</v>
      </c>
      <c r="AK2057" s="110">
        <f>'Data_in-situ'!ET96</f>
        <v>3</v>
      </c>
    </row>
    <row r="2058" spans="2:37" x14ac:dyDescent="0.3">
      <c r="B2058" s="24">
        <f>'Data_in-situ'!CA415</f>
        <v>-17995.009527856251</v>
      </c>
      <c r="C2058" s="24">
        <f>'Data_in-situ'!CB415</f>
        <v>1848.1534882558306</v>
      </c>
      <c r="D2058" s="46">
        <f>'Data_in-situ'!CC415</f>
        <v>3</v>
      </c>
      <c r="E2058" s="24">
        <f>'Data_in-situ'!CE415</f>
        <v>-2054.5525514059905</v>
      </c>
      <c r="F2058" s="24">
        <f>'Data_in-situ'!CF415</f>
        <v>2813.7544962882453</v>
      </c>
      <c r="G2058" s="46">
        <f>'Data_in-situ'!CG415</f>
        <v>3</v>
      </c>
      <c r="H2058" s="24">
        <f>'Data_in-situ'!CN415</f>
        <v>11579.692563738146</v>
      </c>
      <c r="I2058" s="24">
        <f>'Data_in-situ'!CO415</f>
        <v>6378.0768142690904</v>
      </c>
      <c r="J2058" s="46">
        <f>'Data_in-situ'!CP415</f>
        <v>3</v>
      </c>
      <c r="K2058" s="24">
        <f>'Data_in-situ'!CR415</f>
        <v>3447.3943707861481</v>
      </c>
      <c r="L2058" s="24">
        <f>'Data_in-situ'!CS415</f>
        <v>3117.4820932763982</v>
      </c>
      <c r="M2058" s="46">
        <f>'Data_in-situ'!CT415</f>
        <v>3</v>
      </c>
      <c r="N2058" s="24">
        <f>'Data_in-situ'!DA353</f>
        <v>-369.93524485829175</v>
      </c>
      <c r="O2058" s="24">
        <f>'Data_in-situ'!DB353</f>
        <v>430.23040896760483</v>
      </c>
      <c r="P2058" s="46">
        <f>'Data_in-situ'!DC353</f>
        <v>3</v>
      </c>
      <c r="Q2058" s="24">
        <f>'Data_in-situ'!DE353</f>
        <v>527.66414470429572</v>
      </c>
      <c r="R2058" s="24">
        <f>'Data_in-situ'!DF353</f>
        <v>650.28157743771067</v>
      </c>
      <c r="S2058" s="46">
        <f>'Data_in-situ'!DG353</f>
        <v>3</v>
      </c>
      <c r="T2058" s="113">
        <f>'Data_in-situ'!DN274</f>
        <v>185.20163025788599</v>
      </c>
      <c r="U2058" s="113">
        <f>'Data_in-situ'!DO274</f>
        <v>63.221490486987811</v>
      </c>
      <c r="V2058" s="46">
        <f>'Data_in-situ'!DP274</f>
        <v>5</v>
      </c>
      <c r="W2058" s="113">
        <f>'Data_in-situ'!DR274</f>
        <v>121.18643762191216</v>
      </c>
      <c r="X2058" s="113">
        <f>'Data_in-situ'!DS274</f>
        <v>57.510183803125116</v>
      </c>
      <c r="Y2058" s="46">
        <f>'Data_in-situ'!DT274</f>
        <v>5</v>
      </c>
      <c r="AF2058" s="113">
        <f>'Data_in-situ'!EN97</f>
        <v>-14.43</v>
      </c>
      <c r="AG2058" s="113">
        <f>'Data_in-situ'!EO97</f>
        <v>3.89</v>
      </c>
      <c r="AH2058" s="110">
        <f>'Data_in-situ'!EP97</f>
        <v>3</v>
      </c>
      <c r="AI2058" s="113">
        <f>'Data_in-situ'!ER97</f>
        <v>-28.3</v>
      </c>
      <c r="AJ2058" s="113">
        <f>'Data_in-situ'!ES97</f>
        <v>4.55</v>
      </c>
      <c r="AK2058" s="110">
        <f>'Data_in-situ'!ET97</f>
        <v>3</v>
      </c>
    </row>
    <row r="2059" spans="2:37" x14ac:dyDescent="0.3">
      <c r="B2059" s="24">
        <f>'Data_in-situ'!CA416</f>
        <v>-5231.5</v>
      </c>
      <c r="C2059" s="24">
        <f>'Data_in-situ'!CB416</f>
        <v>774.59070169847246</v>
      </c>
      <c r="D2059" s="46">
        <f>'Data_in-situ'!CC416</f>
        <v>5</v>
      </c>
      <c r="E2059" s="24">
        <f>'Data_in-situ'!CE416</f>
        <v>-7422.0454386397278</v>
      </c>
      <c r="F2059" s="24">
        <f>'Data_in-situ'!CF416</f>
        <v>3514.8314125090737</v>
      </c>
      <c r="G2059" s="46">
        <f>'Data_in-situ'!CG416</f>
        <v>5</v>
      </c>
      <c r="H2059" s="24">
        <f>'Data_in-situ'!CN416</f>
        <v>4243.1025450256775</v>
      </c>
      <c r="I2059" s="24">
        <f>'Data_in-situ'!CO416</f>
        <v>1520.7492674654977</v>
      </c>
      <c r="J2059" s="46">
        <f>'Data_in-situ'!CP416</f>
        <v>5</v>
      </c>
      <c r="K2059" s="24">
        <f>'Data_in-situ'!CR416</f>
        <v>7080.9624577142204</v>
      </c>
      <c r="L2059" s="24">
        <f>'Data_in-situ'!CS416</f>
        <v>2727.0864177083622</v>
      </c>
      <c r="M2059" s="46">
        <f>'Data_in-situ'!CT416</f>
        <v>5</v>
      </c>
      <c r="N2059" s="24">
        <f>'Data_in-situ'!DA354</f>
        <v>-1940.5839500221145</v>
      </c>
      <c r="O2059" s="24">
        <f>'Data_in-situ'!DB354</f>
        <v>5821.085373365031</v>
      </c>
      <c r="P2059" s="46">
        <f>'Data_in-situ'!DC354</f>
        <v>3</v>
      </c>
      <c r="Q2059" s="24">
        <f>'Data_in-situ'!DE354</f>
        <v>-1152.9019230752547</v>
      </c>
      <c r="R2059" s="24">
        <f>'Data_in-situ'!DF354</f>
        <v>1098.8801605135104</v>
      </c>
      <c r="S2059" s="46">
        <f>'Data_in-situ'!DG354</f>
        <v>3</v>
      </c>
      <c r="T2059" s="113">
        <f>'Data_in-situ'!DN275</f>
        <v>72.37222075218537</v>
      </c>
      <c r="U2059" s="113">
        <f>'Data_in-situ'!DO275</f>
        <v>16.290298496553017</v>
      </c>
      <c r="V2059" s="46">
        <f>'Data_in-situ'!DP275</f>
        <v>5</v>
      </c>
      <c r="W2059" s="113">
        <f>'Data_in-situ'!DR275</f>
        <v>28.308613297303122</v>
      </c>
      <c r="X2059" s="113">
        <f>'Data_in-situ'!DS275</f>
        <v>7.7013419089793729</v>
      </c>
      <c r="Y2059" s="46">
        <f>'Data_in-situ'!DT275</f>
        <v>5</v>
      </c>
      <c r="AF2059" s="113">
        <f>'Data_in-situ'!EN100</f>
        <v>-5.833333333333333</v>
      </c>
      <c r="AG2059" s="113">
        <f>'Data_in-situ'!EO100</f>
        <v>5.3385391260156565</v>
      </c>
      <c r="AH2059" s="110">
        <f>'Data_in-situ'!EP100</f>
        <v>4</v>
      </c>
      <c r="AI2059" s="113">
        <f>'Data_in-situ'!ER100</f>
        <v>-19.5</v>
      </c>
      <c r="AJ2059" s="113">
        <f>'Data_in-situ'!ES100</f>
        <v>4.0620192023179804</v>
      </c>
      <c r="AK2059" s="110">
        <f>'Data_in-situ'!ET100</f>
        <v>4</v>
      </c>
    </row>
    <row r="2060" spans="2:37" x14ac:dyDescent="0.3">
      <c r="B2060" s="24">
        <f>'Data_in-situ'!CA417</f>
        <v>-7616.0068848250821</v>
      </c>
      <c r="C2060" s="24">
        <f>'Data_in-situ'!CB417</f>
        <v>1856.8621464095218</v>
      </c>
      <c r="D2060" s="46">
        <f>'Data_in-situ'!CC417</f>
        <v>5</v>
      </c>
      <c r="E2060" s="24">
        <f>'Data_in-situ'!CE417</f>
        <v>-11234.346432115035</v>
      </c>
      <c r="F2060" s="24">
        <f>'Data_in-situ'!CF417</f>
        <v>2636.9713135995598</v>
      </c>
      <c r="G2060" s="46">
        <f>'Data_in-situ'!CG417</f>
        <v>5</v>
      </c>
      <c r="H2060" s="24">
        <f>'Data_in-situ'!CN417</f>
        <v>7943.3298263910074</v>
      </c>
      <c r="I2060" s="24">
        <f>'Data_in-situ'!CO417</f>
        <v>2284.7185864362959</v>
      </c>
      <c r="J2060" s="46">
        <f>'Data_in-situ'!CP417</f>
        <v>5</v>
      </c>
      <c r="K2060" s="24">
        <f>'Data_in-situ'!CR417</f>
        <v>12092.326878238955</v>
      </c>
      <c r="L2060" s="24">
        <f>'Data_in-situ'!CS417</f>
        <v>4450.7541788118779</v>
      </c>
      <c r="M2060" s="46">
        <f>'Data_in-situ'!CT417</f>
        <v>5</v>
      </c>
      <c r="N2060" s="24">
        <f>'Data_in-situ'!DA355</f>
        <v>-1217.0329724395615</v>
      </c>
      <c r="O2060" s="24">
        <f>'Data_in-situ'!DB355</f>
        <v>3650.6809379157057</v>
      </c>
      <c r="P2060" s="46">
        <f>'Data_in-situ'!DC355</f>
        <v>3</v>
      </c>
      <c r="Q2060" s="24">
        <f>'Data_in-situ'!DE355</f>
        <v>-942.32663407012569</v>
      </c>
      <c r="R2060" s="24">
        <f>'Data_in-situ'!DF355</f>
        <v>898.17184114068311</v>
      </c>
      <c r="S2060" s="46">
        <f>'Data_in-situ'!DG355</f>
        <v>3</v>
      </c>
      <c r="T2060" s="113">
        <f>'Data_in-situ'!DN276</f>
        <v>49.465244035227812</v>
      </c>
      <c r="U2060" s="113">
        <f>'Data_in-situ'!DO276</f>
        <v>13.371607139963906</v>
      </c>
      <c r="V2060" s="46">
        <f>'Data_in-situ'!DP276</f>
        <v>5</v>
      </c>
      <c r="W2060" s="113">
        <f>'Data_in-situ'!DR276</f>
        <v>54.340166693175355</v>
      </c>
      <c r="X2060" s="113">
        <f>'Data_in-situ'!DS276</f>
        <v>13.781971178631771</v>
      </c>
      <c r="Y2060" s="46">
        <f>'Data_in-situ'!DT276</f>
        <v>5</v>
      </c>
      <c r="AF2060" s="113">
        <f>'Data_in-situ'!EN101</f>
        <v>-17.5</v>
      </c>
      <c r="AG2060" s="113">
        <f>'Data_in-situ'!EO101</f>
        <v>4.9497474683058327</v>
      </c>
      <c r="AH2060" s="110">
        <f>'Data_in-situ'!EP101</f>
        <v>4</v>
      </c>
      <c r="AI2060" s="113">
        <f>'Data_in-situ'!ER101</f>
        <v>-34</v>
      </c>
      <c r="AJ2060" s="113">
        <f>'Data_in-situ'!ES101</f>
        <v>11.313708498984761</v>
      </c>
      <c r="AK2060" s="110">
        <f>'Data_in-situ'!ET101</f>
        <v>4</v>
      </c>
    </row>
    <row r="2061" spans="2:37" x14ac:dyDescent="0.3">
      <c r="B2061" s="24">
        <f>'Data_in-situ'!CA447</f>
        <v>-13830.844197002392</v>
      </c>
      <c r="C2061" s="24">
        <f>'Data_in-situ'!CB447</f>
        <v>2274.6676845640554</v>
      </c>
      <c r="D2061" s="46">
        <f>'Data_in-situ'!CC447</f>
        <v>3</v>
      </c>
      <c r="E2061" s="24">
        <f>'Data_in-situ'!CE447</f>
        <v>-66220.372894871383</v>
      </c>
      <c r="F2061" s="24">
        <f>'Data_in-situ'!CF447</f>
        <v>9098.6707382562217</v>
      </c>
      <c r="G2061" s="46">
        <f>'Data_in-situ'!CG447</f>
        <v>3</v>
      </c>
      <c r="H2061" s="24">
        <f>'Data_in-situ'!CN447</f>
        <v>8766.0655826625862</v>
      </c>
      <c r="I2061" s="24">
        <f>'Data_in-situ'!CO447</f>
        <v>227.4667684564055</v>
      </c>
      <c r="J2061" s="46">
        <f>'Data_in-situ'!CP447</f>
        <v>3</v>
      </c>
      <c r="K2061" s="24">
        <f>'Data_in-situ'!CR447</f>
        <v>41998.127476961054</v>
      </c>
      <c r="L2061" s="24">
        <f>'Data_in-situ'!CS447</f>
        <v>6824.003053692164</v>
      </c>
      <c r="M2061" s="46">
        <f>'Data_in-situ'!CT447</f>
        <v>3</v>
      </c>
      <c r="N2061" s="24">
        <f>'Data_in-situ'!DA356</f>
        <v>-1217.0329724395615</v>
      </c>
      <c r="O2061" s="24">
        <f>'Data_in-situ'!DB356</f>
        <v>3650.6809379157057</v>
      </c>
      <c r="P2061" s="46">
        <f>'Data_in-situ'!DC356</f>
        <v>3</v>
      </c>
      <c r="Q2061" s="24">
        <f>'Data_in-situ'!DE356</f>
        <v>1071.9796143688573</v>
      </c>
      <c r="R2061" s="24">
        <f>'Data_in-situ'!DF356</f>
        <v>1021.7496450719074</v>
      </c>
      <c r="S2061" s="46">
        <f>'Data_in-situ'!DG356</f>
        <v>3</v>
      </c>
      <c r="T2061" s="113">
        <f>'Data_in-situ'!DN277</f>
        <v>161.00136320152035</v>
      </c>
      <c r="U2061" s="113">
        <f>'Data_in-situ'!DO277</f>
        <v>78.597780685425604</v>
      </c>
      <c r="V2061" s="46">
        <f>'Data_in-situ'!DP277</f>
        <v>5</v>
      </c>
      <c r="W2061" s="113">
        <f>'Data_in-situ'!DR277</f>
        <v>91.076976090565751</v>
      </c>
      <c r="X2061" s="113">
        <f>'Data_in-situ'!DS277</f>
        <v>23.599794088555864</v>
      </c>
      <c r="Y2061" s="46">
        <f>'Data_in-situ'!DT277</f>
        <v>5</v>
      </c>
      <c r="AF2061" s="113">
        <f>'Data_in-situ'!EN102</f>
        <v>-10</v>
      </c>
      <c r="AG2061" s="113">
        <f>'Data_in-situ'!EO102</f>
        <v>5.6568542494923806</v>
      </c>
      <c r="AH2061" s="110">
        <f>'Data_in-situ'!EP102</f>
        <v>4</v>
      </c>
      <c r="AI2061" s="113">
        <f>'Data_in-situ'!ER102</f>
        <v>-16.5</v>
      </c>
      <c r="AJ2061" s="113">
        <f>'Data_in-situ'!ES102</f>
        <v>3.5355339059327378</v>
      </c>
      <c r="AK2061" s="110">
        <f>'Data_in-situ'!ET102</f>
        <v>4</v>
      </c>
    </row>
    <row r="2062" spans="2:37" x14ac:dyDescent="0.3">
      <c r="B2062" s="24">
        <f>'Data_in-situ'!CA448</f>
        <v>-32633.333333333332</v>
      </c>
      <c r="C2062" s="24">
        <f>'Data_in-situ'!CB448</f>
        <v>3600</v>
      </c>
      <c r="D2062" s="46">
        <f>'Data_in-situ'!CC448</f>
        <v>3</v>
      </c>
      <c r="E2062" s="24">
        <f>'Data_in-situ'!CE448</f>
        <v>-65926.666666666672</v>
      </c>
      <c r="F2062" s="24">
        <f>'Data_in-situ'!CF448</f>
        <v>5926</v>
      </c>
      <c r="G2062" s="46">
        <f>'Data_in-situ'!CG448</f>
        <v>3</v>
      </c>
      <c r="H2062" s="24">
        <f>'Data_in-situ'!CN448</f>
        <v>30690</v>
      </c>
      <c r="I2062" s="24">
        <f>'Data_in-situ'!CO448</f>
        <v>3652</v>
      </c>
      <c r="J2062" s="46">
        <f>'Data_in-situ'!CP448</f>
        <v>3</v>
      </c>
      <c r="K2062" s="24">
        <f>'Data_in-situ'!CR448</f>
        <v>61160</v>
      </c>
      <c r="L2062" s="24">
        <f>'Data_in-situ'!CS448</f>
        <v>6593</v>
      </c>
      <c r="M2062" s="46">
        <f>'Data_in-situ'!CT448</f>
        <v>3</v>
      </c>
      <c r="N2062" s="24">
        <f>'Data_in-situ'!DA357</f>
        <v>-1962.6668608737455</v>
      </c>
      <c r="O2062" s="24">
        <f>'Data_in-situ'!DB357</f>
        <v>5887.3265217360085</v>
      </c>
      <c r="P2062" s="46">
        <f>'Data_in-situ'!DC357</f>
        <v>3</v>
      </c>
      <c r="Q2062" s="24">
        <f>'Data_in-situ'!DE357</f>
        <v>-2114.1462339116297</v>
      </c>
      <c r="R2062" s="24">
        <f>'Data_in-situ'!DF357</f>
        <v>2015.0832489488362</v>
      </c>
      <c r="S2062" s="46">
        <f>'Data_in-situ'!DG357</f>
        <v>3</v>
      </c>
      <c r="T2062" s="113">
        <f>'Data_in-situ'!DN278</f>
        <v>33.182385393713595</v>
      </c>
      <c r="U2062" s="113">
        <f>'Data_in-situ'!DO278</f>
        <v>11.04758962718873</v>
      </c>
      <c r="V2062" s="46">
        <f>'Data_in-situ'!DP278</f>
        <v>5</v>
      </c>
      <c r="W2062" s="113">
        <f>'Data_in-situ'!DR278</f>
        <v>70.577515694920223</v>
      </c>
      <c r="X2062" s="113">
        <f>'Data_in-situ'!DS278</f>
        <v>17.997218807343039</v>
      </c>
      <c r="Y2062" s="46">
        <f>'Data_in-situ'!DT278</f>
        <v>5</v>
      </c>
      <c r="AF2062" s="113">
        <f>'Data_in-situ'!EN103</f>
        <v>10</v>
      </c>
      <c r="AG2062" s="113">
        <f>'Data_in-situ'!EO103</f>
        <v>14.142135623730951</v>
      </c>
      <c r="AH2062" s="110">
        <f>'Data_in-situ'!EP103</f>
        <v>4</v>
      </c>
      <c r="AI2062" s="113">
        <f>'Data_in-situ'!ER103</f>
        <v>-8</v>
      </c>
      <c r="AJ2062" s="113">
        <f>'Data_in-situ'!ES103</f>
        <v>2.8284271247461903</v>
      </c>
      <c r="AK2062" s="110">
        <f>'Data_in-situ'!ET103</f>
        <v>4</v>
      </c>
    </row>
    <row r="2063" spans="2:37" x14ac:dyDescent="0.3">
      <c r="B2063" s="24">
        <f>'Data_in-situ'!CA449</f>
        <v>-36630</v>
      </c>
      <c r="C2063" s="24">
        <f>'Data_in-situ'!CB449</f>
        <v>4321</v>
      </c>
      <c r="D2063" s="46">
        <f>'Data_in-situ'!CC449</f>
        <v>3</v>
      </c>
      <c r="E2063" s="24">
        <f>'Data_in-situ'!CE449</f>
        <v>-75753.333333333328</v>
      </c>
      <c r="F2063" s="24">
        <f>'Data_in-situ'!CF449</f>
        <v>7859</v>
      </c>
      <c r="G2063" s="46">
        <f>'Data_in-situ'!CG449</f>
        <v>3</v>
      </c>
      <c r="H2063" s="24">
        <f>'Data_in-situ'!CN449</f>
        <v>33953.333333333336</v>
      </c>
      <c r="I2063" s="24">
        <f>'Data_in-situ'!CO449</f>
        <v>4126</v>
      </c>
      <c r="J2063" s="46">
        <f>'Data_in-situ'!CP449</f>
        <v>3</v>
      </c>
      <c r="K2063" s="24">
        <f>'Data_in-situ'!CR449</f>
        <v>64753.333333333336</v>
      </c>
      <c r="L2063" s="24">
        <f>'Data_in-situ'!CS449</f>
        <v>9463</v>
      </c>
      <c r="M2063" s="46">
        <f>'Data_in-situ'!CT449</f>
        <v>3</v>
      </c>
      <c r="N2063" s="24">
        <f>'Data_in-situ'!DA358</f>
        <v>-3003.1418917849933</v>
      </c>
      <c r="O2063" s="24">
        <f>'Data_in-situ'!DB358</f>
        <v>9008.3942723581713</v>
      </c>
      <c r="P2063" s="46">
        <f>'Data_in-situ'!DC358</f>
        <v>3</v>
      </c>
      <c r="Q2063" s="24">
        <f>'Data_in-situ'!DE358</f>
        <v>-834.0354104877897</v>
      </c>
      <c r="R2063" s="24">
        <f>'Data_in-situ'!DF358</f>
        <v>794.95484169727581</v>
      </c>
      <c r="S2063" s="46">
        <f>'Data_in-situ'!DG358</f>
        <v>3</v>
      </c>
      <c r="T2063" s="113">
        <f>'Data_in-situ'!DN279</f>
        <v>149.58826237069499</v>
      </c>
      <c r="U2063" s="113">
        <f>'Data_in-situ'!DO279</f>
        <v>54.002575188816245</v>
      </c>
      <c r="V2063" s="46">
        <f>'Data_in-situ'!DP279</f>
        <v>5</v>
      </c>
      <c r="W2063" s="113">
        <f>'Data_in-situ'!DR279</f>
        <v>185.74509306894518</v>
      </c>
      <c r="X2063" s="113">
        <f>'Data_in-situ'!DS279</f>
        <v>48.73879916451105</v>
      </c>
      <c r="Y2063" s="46">
        <f>'Data_in-situ'!DT279</f>
        <v>5</v>
      </c>
      <c r="AF2063" s="113">
        <f>'Data_in-situ'!EN108</f>
        <v>-10.75</v>
      </c>
      <c r="AG2063" s="113">
        <f>'Data_in-situ'!EO108</f>
        <v>1.853</v>
      </c>
      <c r="AH2063" s="110">
        <f>'Data_in-situ'!EP108</f>
        <v>3</v>
      </c>
      <c r="AI2063" s="113">
        <f>'Data_in-situ'!ER108</f>
        <v>-20.14</v>
      </c>
      <c r="AJ2063" s="113">
        <f>'Data_in-situ'!ES108</f>
        <v>1.87</v>
      </c>
      <c r="AK2063" s="110">
        <f>'Data_in-situ'!ET108</f>
        <v>3</v>
      </c>
    </row>
    <row r="2064" spans="2:37" x14ac:dyDescent="0.3">
      <c r="B2064" s="24">
        <f>'Data_in-situ'!CA450</f>
        <v>-131193.33333333334</v>
      </c>
      <c r="C2064" s="24">
        <f>'Data_in-situ'!CB450</f>
        <v>31986.307025712227</v>
      </c>
      <c r="D2064" s="46">
        <f>'Data_in-situ'!CC450</f>
        <v>1</v>
      </c>
      <c r="E2064" s="24">
        <f>'Data_in-situ'!CE450</f>
        <v>-154036.66666666666</v>
      </c>
      <c r="F2064" s="24">
        <f>'Data_in-situ'!CF450</f>
        <v>57343.090719192958</v>
      </c>
      <c r="G2064" s="46">
        <f>'Data_in-situ'!CG450</f>
        <v>1</v>
      </c>
      <c r="H2064" s="24">
        <f>'Data_in-situ'!CN450</f>
        <v>146923.33333333334</v>
      </c>
      <c r="I2064" s="24">
        <f>'Data_in-situ'!CO450</f>
        <v>42259.163069444774</v>
      </c>
      <c r="J2064" s="46">
        <f>'Data_in-situ'!CP450</f>
        <v>1</v>
      </c>
      <c r="K2064" s="24">
        <f>'Data_in-situ'!CR450</f>
        <v>176366.66666666666</v>
      </c>
      <c r="L2064" s="24">
        <f>'Data_in-situ'!CS450</f>
        <v>46277.056013406785</v>
      </c>
      <c r="M2064" s="46">
        <f>'Data_in-situ'!CT450</f>
        <v>1</v>
      </c>
      <c r="N2064" s="24">
        <f>'Data_in-situ'!DA359</f>
        <v>-3003.1418917849933</v>
      </c>
      <c r="O2064" s="24">
        <f>'Data_in-situ'!DB359</f>
        <v>9008.3942723581713</v>
      </c>
      <c r="P2064" s="46">
        <f>'Data_in-situ'!DC359</f>
        <v>3</v>
      </c>
      <c r="Q2064" s="24">
        <f>'Data_in-situ'!DE359</f>
        <v>1252.6406210204286</v>
      </c>
      <c r="R2064" s="24">
        <f>'Data_in-situ'!DF359</f>
        <v>1193.9453817727929</v>
      </c>
      <c r="S2064" s="46">
        <f>'Data_in-situ'!DG359</f>
        <v>3</v>
      </c>
      <c r="T2064" s="113">
        <f>'Data_in-situ'!DN292</f>
        <v>3.0332504908479376</v>
      </c>
      <c r="U2064" s="113">
        <f>'Data_in-situ'!DO292</f>
        <v>6.9539999999999997</v>
      </c>
      <c r="V2064" s="46">
        <f>'Data_in-situ'!DP292</f>
        <v>6</v>
      </c>
      <c r="W2064" s="113">
        <f>'Data_in-situ'!DR292</f>
        <v>5.3718567649972807E-2</v>
      </c>
      <c r="X2064" s="113">
        <f>'Data_in-situ'!DS292</f>
        <v>0.48646678719420772</v>
      </c>
      <c r="Y2064" s="46">
        <f>'Data_in-situ'!DT292</f>
        <v>6</v>
      </c>
      <c r="AF2064" s="113">
        <f>'Data_in-situ'!EN109</f>
        <v>-24.62</v>
      </c>
      <c r="AG2064" s="113">
        <f>'Data_in-situ'!EO109</f>
        <v>6.88</v>
      </c>
      <c r="AH2064" s="110">
        <f>'Data_in-situ'!EP109</f>
        <v>3</v>
      </c>
      <c r="AI2064" s="113">
        <f>'Data_in-situ'!ER109</f>
        <v>-23.22</v>
      </c>
      <c r="AJ2064" s="113">
        <f>'Data_in-situ'!ES109</f>
        <v>6.41</v>
      </c>
      <c r="AK2064" s="110">
        <f>'Data_in-situ'!ET109</f>
        <v>3</v>
      </c>
    </row>
    <row r="2065" spans="2:37" x14ac:dyDescent="0.3">
      <c r="B2065" s="24">
        <f>'Data_in-situ'!CA451</f>
        <v>-138600</v>
      </c>
      <c r="C2065" s="24">
        <f>'Data_in-situ'!CB451</f>
        <v>33792.129837113527</v>
      </c>
      <c r="D2065" s="46">
        <f>'Data_in-situ'!CC451</f>
        <v>1</v>
      </c>
      <c r="E2065" s="24">
        <f>'Data_in-situ'!CE451</f>
        <v>-152680</v>
      </c>
      <c r="F2065" s="24">
        <f>'Data_in-situ'!CF451</f>
        <v>56838.04564501773</v>
      </c>
      <c r="G2065" s="46">
        <f>'Data_in-situ'!CG451</f>
        <v>1</v>
      </c>
      <c r="H2065" s="24">
        <f>'Data_in-situ'!CN451</f>
        <v>150003.33333333334</v>
      </c>
      <c r="I2065" s="24">
        <f>'Data_in-situ'!CO451</f>
        <v>43145.055182704913</v>
      </c>
      <c r="J2065" s="46">
        <f>'Data_in-situ'!CP451</f>
        <v>1</v>
      </c>
      <c r="K2065" s="24">
        <f>'Data_in-situ'!CR451</f>
        <v>173836.66666666666</v>
      </c>
      <c r="L2065" s="24">
        <f>'Data_in-situ'!CS451</f>
        <v>45613.206353339207</v>
      </c>
      <c r="M2065" s="46">
        <f>'Data_in-situ'!CT451</f>
        <v>1</v>
      </c>
      <c r="N2065" s="24">
        <f>'Data_in-situ'!DA415</f>
        <v>-6415.3169641181039</v>
      </c>
      <c r="O2065" s="24">
        <f>'Data_in-situ'!DB415</f>
        <v>6104.4403947098008</v>
      </c>
      <c r="P2065" s="46">
        <f>'Data_in-situ'!DC415</f>
        <v>3</v>
      </c>
      <c r="Q2065" s="24">
        <f>'Data_in-situ'!DE415</f>
        <v>1392.8418193801579</v>
      </c>
      <c r="R2065" s="24">
        <f>'Data_in-situ'!DF415</f>
        <v>1342.1923247123252</v>
      </c>
      <c r="S2065" s="46">
        <f>'Data_in-situ'!DG415</f>
        <v>3</v>
      </c>
      <c r="T2065" s="113">
        <f>'Data_in-situ'!DN293</f>
        <v>3.0332504908479376</v>
      </c>
      <c r="U2065" s="113">
        <f>'Data_in-situ'!DO293</f>
        <v>10.126673956829368</v>
      </c>
      <c r="V2065" s="46">
        <f>'Data_in-situ'!DP293</f>
        <v>6</v>
      </c>
      <c r="W2065" s="113">
        <f>'Data_in-situ'!DR293</f>
        <v>-0.10743713529994561</v>
      </c>
      <c r="X2065" s="113">
        <f>'Data_in-situ'!DS293</f>
        <v>0.27043803155784618</v>
      </c>
      <c r="Y2065" s="46">
        <f>'Data_in-situ'!DT293</f>
        <v>6</v>
      </c>
      <c r="AF2065" s="113">
        <f>'Data_in-situ'!EN110</f>
        <v>-6.95</v>
      </c>
      <c r="AG2065" s="113">
        <f>'Data_in-situ'!EO110</f>
        <v>1.41</v>
      </c>
      <c r="AH2065" s="110">
        <f>'Data_in-situ'!EP110</f>
        <v>3</v>
      </c>
      <c r="AI2065" s="113">
        <f>'Data_in-situ'!ER110</f>
        <v>-21.5</v>
      </c>
      <c r="AJ2065" s="113">
        <f>'Data_in-situ'!ES110</f>
        <v>1.76</v>
      </c>
      <c r="AK2065" s="110">
        <f>'Data_in-situ'!ET110</f>
        <v>3</v>
      </c>
    </row>
    <row r="2066" spans="2:37" x14ac:dyDescent="0.3">
      <c r="B2066" s="24">
        <f>'Data_in-situ'!CA452</f>
        <v>-135483.33333333334</v>
      </c>
      <c r="C2066" s="24">
        <f>'Data_in-situ'!CB452</f>
        <v>33032.253901622884</v>
      </c>
      <c r="D2066" s="46">
        <f>'Data_in-situ'!CC452</f>
        <v>1</v>
      </c>
      <c r="E2066" s="24">
        <f>'Data_in-situ'!CE452</f>
        <v>-150663.33333333334</v>
      </c>
      <c r="F2066" s="24">
        <f>'Data_in-situ'!CF452</f>
        <v>56087.302967189695</v>
      </c>
      <c r="G2066" s="46">
        <f>'Data_in-situ'!CG452</f>
        <v>1</v>
      </c>
      <c r="H2066" s="24">
        <f>'Data_in-situ'!CN452</f>
        <v>139810</v>
      </c>
      <c r="I2066" s="24">
        <f>'Data_in-situ'!CO452</f>
        <v>40213.174141201132</v>
      </c>
      <c r="J2066" s="46">
        <f>'Data_in-situ'!CP452</f>
        <v>1</v>
      </c>
      <c r="K2066" s="24">
        <f>'Data_in-situ'!CR452</f>
        <v>166356.66666666666</v>
      </c>
      <c r="L2066" s="24">
        <f>'Data_in-situ'!CS452</f>
        <v>43650.520401835049</v>
      </c>
      <c r="M2066" s="46">
        <f>'Data_in-situ'!CT452</f>
        <v>1</v>
      </c>
      <c r="N2066" s="24">
        <f>'Data_in-situ'!DA416</f>
        <v>-988.3974549743225</v>
      </c>
      <c r="O2066" s="24">
        <f>'Data_in-situ'!DB416</f>
        <v>1706.6543556486708</v>
      </c>
      <c r="P2066" s="46">
        <f>'Data_in-situ'!DC416</f>
        <v>5</v>
      </c>
      <c r="Q2066" s="24">
        <f>'Data_in-situ'!DE416</f>
        <v>-341.0829809255074</v>
      </c>
      <c r="R2066" s="24">
        <f>'Data_in-situ'!DF416</f>
        <v>4448.7121943333168</v>
      </c>
      <c r="S2066" s="46">
        <f>'Data_in-situ'!DG416</f>
        <v>5</v>
      </c>
      <c r="T2066" s="113">
        <f>'Data_in-situ'!DN294</f>
        <v>3.0332504908479376</v>
      </c>
      <c r="U2066" s="113">
        <f>'Data_in-situ'!DO294</f>
        <v>10.126673956829368</v>
      </c>
      <c r="V2066" s="46">
        <f>'Data_in-situ'!DP294</f>
        <v>6</v>
      </c>
      <c r="W2066" s="113">
        <f>'Data_in-situ'!DR294</f>
        <v>-0.10743713529994561</v>
      </c>
      <c r="X2066" s="113">
        <f>'Data_in-situ'!DS294</f>
        <v>0.39119879833905941</v>
      </c>
      <c r="Y2066" s="46">
        <f>'Data_in-situ'!DT294</f>
        <v>6</v>
      </c>
      <c r="AF2066" s="113">
        <f>'Data_in-situ'!EN111</f>
        <v>-14.43</v>
      </c>
      <c r="AG2066" s="113">
        <f>'Data_in-situ'!EO111</f>
        <v>3.89</v>
      </c>
      <c r="AH2066" s="110">
        <f>'Data_in-situ'!EP111</f>
        <v>3</v>
      </c>
      <c r="AI2066" s="113">
        <f>'Data_in-situ'!ER111</f>
        <v>-28.3</v>
      </c>
      <c r="AJ2066" s="113">
        <f>'Data_in-situ'!ES111</f>
        <v>4.55</v>
      </c>
      <c r="AK2066" s="110">
        <f>'Data_in-situ'!ET111</f>
        <v>3</v>
      </c>
    </row>
    <row r="2067" spans="2:37" x14ac:dyDescent="0.3">
      <c r="B2067" s="24">
        <f>'Data_in-situ'!CA453</f>
        <v>-134383.33333333334</v>
      </c>
      <c r="C2067" s="24">
        <f>'Data_in-situ'!CB453</f>
        <v>32764.062394979126</v>
      </c>
      <c r="D2067" s="46">
        <f>'Data_in-situ'!CC453</f>
        <v>1</v>
      </c>
      <c r="E2067" s="24">
        <f>'Data_in-situ'!CE453</f>
        <v>-148133.33333333334</v>
      </c>
      <c r="F2067" s="24">
        <f>'Data_in-situ'!CF453</f>
        <v>55145.46215318724</v>
      </c>
      <c r="G2067" s="46">
        <f>'Data_in-situ'!CG453</f>
        <v>1</v>
      </c>
      <c r="H2067" s="24">
        <f>'Data_in-situ'!CN453</f>
        <v>136253.33333333334</v>
      </c>
      <c r="I2067" s="24">
        <f>'Data_in-situ'!CO453</f>
        <v>39190.179677079308</v>
      </c>
      <c r="J2067" s="46">
        <f>'Data_in-situ'!CP453</f>
        <v>1</v>
      </c>
      <c r="K2067" s="24">
        <f>'Data_in-situ'!CR453</f>
        <v>161810</v>
      </c>
      <c r="L2067" s="24">
        <f>'Data_in-situ'!CS453</f>
        <v>42457.515215626641</v>
      </c>
      <c r="M2067" s="46">
        <f>'Data_in-situ'!CT453</f>
        <v>1</v>
      </c>
      <c r="N2067" s="24">
        <f>'Data_in-situ'!DA417</f>
        <v>327.32294156592525</v>
      </c>
      <c r="O2067" s="24">
        <f>'Data_in-situ'!DB417</f>
        <v>2944.1256851527319</v>
      </c>
      <c r="P2067" s="46">
        <f>'Data_in-situ'!DC417</f>
        <v>5</v>
      </c>
      <c r="Q2067" s="24">
        <f>'Data_in-situ'!DE417</f>
        <v>857.98044612392005</v>
      </c>
      <c r="R2067" s="24">
        <f>'Data_in-situ'!DF417</f>
        <v>5173.2804359476186</v>
      </c>
      <c r="S2067" s="46">
        <f>'Data_in-situ'!DG417</f>
        <v>5</v>
      </c>
      <c r="T2067" s="113">
        <f>'Data_in-situ'!DN295</f>
        <v>3.0332504908479376</v>
      </c>
      <c r="U2067" s="113">
        <f>'Data_in-situ'!DO295</f>
        <v>10.126673956829368</v>
      </c>
      <c r="V2067" s="46">
        <f>'Data_in-situ'!DP295</f>
        <v>6</v>
      </c>
      <c r="W2067" s="113">
        <f>'Data_in-situ'!DR295</f>
        <v>-5.3718567649972807E-2</v>
      </c>
      <c r="X2067" s="113">
        <f>'Data_in-situ'!DS295</f>
        <v>0.37987896850363267</v>
      </c>
      <c r="Y2067" s="46">
        <f>'Data_in-situ'!DT295</f>
        <v>6</v>
      </c>
      <c r="AF2067" s="113">
        <f>'Data_in-situ'!EN145</f>
        <v>-5</v>
      </c>
      <c r="AG2067" s="113">
        <f>'Data_in-situ'!EO145</f>
        <v>2.0374819937564665</v>
      </c>
      <c r="AH2067" s="110">
        <f>'Data_in-situ'!EP145</f>
        <v>4</v>
      </c>
      <c r="AI2067" s="113">
        <f>'Data_in-situ'!ER145</f>
        <v>-7.666666666666667</v>
      </c>
      <c r="AJ2067" s="113">
        <f>'Data_in-situ'!ES145</f>
        <v>1.7389077435704887</v>
      </c>
      <c r="AK2067" s="110">
        <f>'Data_in-situ'!ET145</f>
        <v>6</v>
      </c>
    </row>
    <row r="2068" spans="2:37" x14ac:dyDescent="0.3">
      <c r="N2068" s="24">
        <f>'Data_in-situ'!DA424</f>
        <v>81.850000000000023</v>
      </c>
      <c r="O2068" s="24">
        <f>'Data_in-situ'!DB424</f>
        <v>1631.6723826083066</v>
      </c>
      <c r="P2068" s="46">
        <f>'Data_in-situ'!DC424</f>
        <v>3</v>
      </c>
      <c r="Q2068" s="24">
        <f>'Data_in-situ'!DE424</f>
        <v>9282.7649999999994</v>
      </c>
      <c r="R2068" s="24">
        <f>'Data_in-situ'!DF424</f>
        <v>6092.1653911731855</v>
      </c>
      <c r="S2068" s="46">
        <f>'Data_in-situ'!DG424</f>
        <v>3</v>
      </c>
      <c r="T2068" s="113">
        <f>'Data_in-situ'!DN296</f>
        <v>11.627460214917093</v>
      </c>
      <c r="U2068" s="113">
        <f>'Data_in-situ'!DO296</f>
        <v>19.919328099494376</v>
      </c>
      <c r="V2068" s="46">
        <f>'Data_in-situ'!DP296</f>
        <v>6</v>
      </c>
      <c r="W2068" s="113">
        <f>'Data_in-situ'!DR296</f>
        <v>5.3718567649972807E-2</v>
      </c>
      <c r="X2068" s="113">
        <f>'Data_in-situ'!DS296</f>
        <v>0.48646678719420772</v>
      </c>
      <c r="Y2068" s="46">
        <f>'Data_in-situ'!DT296</f>
        <v>6</v>
      </c>
      <c r="AF2068" s="113">
        <f>'Data_in-situ'!EN146</f>
        <v>-5</v>
      </c>
      <c r="AG2068" s="113">
        <f>'Data_in-situ'!EO146</f>
        <v>2.0374819937564665</v>
      </c>
      <c r="AH2068" s="110">
        <f>'Data_in-situ'!EP146</f>
        <v>4</v>
      </c>
      <c r="AI2068" s="113">
        <f>'Data_in-situ'!ER146</f>
        <v>-54.4</v>
      </c>
      <c r="AJ2068" s="113">
        <f>'Data_in-situ'!ES146</f>
        <v>12.338684510900162</v>
      </c>
      <c r="AK2068" s="110">
        <f>'Data_in-situ'!ET146</f>
        <v>6</v>
      </c>
    </row>
    <row r="2069" spans="2:37" x14ac:dyDescent="0.3">
      <c r="N2069" s="24">
        <f>'Data_in-situ'!DA425</f>
        <v>-983.60000000000014</v>
      </c>
      <c r="O2069" s="24">
        <f>'Data_in-situ'!DB425</f>
        <v>94.627709120179674</v>
      </c>
      <c r="P2069" s="46">
        <f>'Data_in-situ'!DC425</f>
        <v>3</v>
      </c>
      <c r="Q2069" s="24">
        <f>'Data_in-situ'!DE425</f>
        <v>8811.4750000000004</v>
      </c>
      <c r="R2069" s="24">
        <f>'Data_in-situ'!DF425</f>
        <v>5873.9289174885607</v>
      </c>
      <c r="S2069" s="46">
        <f>'Data_in-situ'!DG425</f>
        <v>3</v>
      </c>
      <c r="T2069" s="113">
        <f>'Data_in-situ'!DN297</f>
        <v>11.627460214917093</v>
      </c>
      <c r="U2069" s="113">
        <f>'Data_in-situ'!DO297</f>
        <v>19.919328099494376</v>
      </c>
      <c r="V2069" s="46">
        <f>'Data_in-situ'!DP297</f>
        <v>6</v>
      </c>
      <c r="W2069" s="113">
        <f>'Data_in-situ'!DR297</f>
        <v>-0.10743713529994561</v>
      </c>
      <c r="X2069" s="113">
        <f>'Data_in-situ'!DS297</f>
        <v>0.28944787367187741</v>
      </c>
      <c r="Y2069" s="46">
        <f>'Data_in-situ'!DT297</f>
        <v>6</v>
      </c>
      <c r="AF2069" s="113">
        <f>'Data_in-situ'!EN152</f>
        <v>-18.3</v>
      </c>
      <c r="AG2069" s="113">
        <f>'Data_in-situ'!EO152</f>
        <v>5.8</v>
      </c>
      <c r="AH2069" s="110">
        <f>'Data_in-situ'!EP152</f>
        <v>12</v>
      </c>
      <c r="AI2069" s="113">
        <f>'Data_in-situ'!ER152</f>
        <v>-39.6</v>
      </c>
      <c r="AJ2069" s="113">
        <f>'Data_in-situ'!ES152</f>
        <v>3.6</v>
      </c>
      <c r="AK2069" s="110">
        <f>'Data_in-situ'!ET152</f>
        <v>23</v>
      </c>
    </row>
    <row r="2070" spans="2:37" x14ac:dyDescent="0.3">
      <c r="N2070" s="24">
        <f>'Data_in-situ'!DA447</f>
        <v>-4783.7690721649478</v>
      </c>
      <c r="O2070" s="24">
        <f>'Data_in-situ'!DB447</f>
        <v>1766.9819161761379</v>
      </c>
      <c r="P2070" s="46">
        <f>'Data_in-situ'!DC447</f>
        <v>3</v>
      </c>
      <c r="Q2070" s="24">
        <f>'Data_in-situ'!DE447</f>
        <v>-17986.9717113402</v>
      </c>
      <c r="R2070" s="24">
        <f>'Data_in-situ'!DF447</f>
        <v>3327.1138134409139</v>
      </c>
      <c r="S2070" s="46">
        <f>'Data_in-situ'!DG447</f>
        <v>3</v>
      </c>
      <c r="T2070" s="113">
        <f>'Data_in-situ'!DN298</f>
        <v>11.627460214917093</v>
      </c>
      <c r="U2070" s="113">
        <f>'Data_in-situ'!DO298</f>
        <v>19.919328099494376</v>
      </c>
      <c r="V2070" s="46">
        <f>'Data_in-situ'!DP298</f>
        <v>6</v>
      </c>
      <c r="W2070" s="113">
        <f>'Data_in-situ'!DR298</f>
        <v>-0.10743713529994561</v>
      </c>
      <c r="X2070" s="113">
        <f>'Data_in-situ'!DS298</f>
        <v>0.39119879833905941</v>
      </c>
      <c r="Y2070" s="46">
        <f>'Data_in-situ'!DT298</f>
        <v>6</v>
      </c>
      <c r="AF2070" s="113">
        <f>'Data_in-situ'!EN153</f>
        <v>-18.3</v>
      </c>
      <c r="AG2070" s="113">
        <f>'Data_in-situ'!EO153</f>
        <v>5.8</v>
      </c>
      <c r="AH2070" s="110">
        <f>'Data_in-situ'!EP153</f>
        <v>12</v>
      </c>
      <c r="AI2070" s="113">
        <f>'Data_in-situ'!ER153</f>
        <v>-55.5</v>
      </c>
      <c r="AJ2070" s="113">
        <f>'Data_in-situ'!ES153</f>
        <v>4.4000000000000004</v>
      </c>
      <c r="AK2070" s="110">
        <f>'Data_in-situ'!ET153</f>
        <v>25</v>
      </c>
    </row>
    <row r="2071" spans="2:37" x14ac:dyDescent="0.3">
      <c r="N2071" s="24">
        <f>'Data_in-situ'!DA448</f>
        <v>-1943.3333333333333</v>
      </c>
      <c r="O2071" s="24">
        <f>'Data_in-situ'!DB448</f>
        <v>436</v>
      </c>
      <c r="P2071" s="46">
        <f>'Data_in-situ'!DC448</f>
        <v>3</v>
      </c>
      <c r="Q2071" s="24">
        <f>'Data_in-situ'!DE448</f>
        <v>-4766.666666666667</v>
      </c>
      <c r="R2071" s="24">
        <f>'Data_in-situ'!DF448</f>
        <v>1203</v>
      </c>
      <c r="S2071" s="46">
        <f>'Data_in-situ'!DG448</f>
        <v>3</v>
      </c>
      <c r="T2071" s="113">
        <f>'Data_in-situ'!DN299</f>
        <v>11.627460214917093</v>
      </c>
      <c r="U2071" s="113">
        <f>'Data_in-situ'!DO299</f>
        <v>19.919328099494376</v>
      </c>
      <c r="V2071" s="46">
        <f>'Data_in-situ'!DP299</f>
        <v>6</v>
      </c>
      <c r="W2071" s="113">
        <f>'Data_in-situ'!DR299</f>
        <v>-5.3718567649972807E-2</v>
      </c>
      <c r="X2071" s="113">
        <f>'Data_in-situ'!DS299</f>
        <v>0.37987896850363267</v>
      </c>
      <c r="Y2071" s="46">
        <f>'Data_in-situ'!DT299</f>
        <v>6</v>
      </c>
      <c r="AF2071" s="113">
        <f>'Data_in-situ'!EN154</f>
        <v>-18.3</v>
      </c>
      <c r="AG2071" s="113">
        <f>'Data_in-situ'!EO154</f>
        <v>5.8</v>
      </c>
      <c r="AH2071" s="110">
        <f>'Data_in-situ'!EP154</f>
        <v>12</v>
      </c>
      <c r="AI2071" s="113">
        <f>'Data_in-situ'!ER154</f>
        <v>-65.5</v>
      </c>
      <c r="AJ2071" s="113">
        <f>'Data_in-situ'!ES154</f>
        <v>5</v>
      </c>
      <c r="AK2071" s="110">
        <f>'Data_in-situ'!ET154</f>
        <v>7</v>
      </c>
    </row>
    <row r="2072" spans="2:37" x14ac:dyDescent="0.3">
      <c r="N2072" s="24">
        <f>'Data_in-situ'!DA449</f>
        <v>-2676.6666666666665</v>
      </c>
      <c r="O2072" s="24">
        <f>'Data_in-situ'!DB449</f>
        <v>563</v>
      </c>
      <c r="P2072" s="46">
        <f>'Data_in-situ'!DC449</f>
        <v>3</v>
      </c>
      <c r="Q2072" s="24">
        <f>'Data_in-situ'!DE449</f>
        <v>-11000</v>
      </c>
      <c r="R2072" s="24">
        <f>'Data_in-situ'!DF449</f>
        <v>2602</v>
      </c>
      <c r="S2072" s="46">
        <f>'Data_in-situ'!DG449</f>
        <v>3</v>
      </c>
      <c r="T2072" s="113">
        <f>'Data_in-situ'!DN300</f>
        <v>13.144085460341062</v>
      </c>
      <c r="U2072" s="113">
        <f>'Data_in-situ'!DO300</f>
        <v>20.285444054594439</v>
      </c>
      <c r="V2072" s="46">
        <f>'Data_in-situ'!DP300</f>
        <v>6</v>
      </c>
      <c r="W2072" s="113">
        <f>'Data_in-situ'!DR300</f>
        <v>5.3718567649972807E-2</v>
      </c>
      <c r="X2072" s="113">
        <f>'Data_in-situ'!DS300</f>
        <v>0.48646678719420772</v>
      </c>
      <c r="Y2072" s="46">
        <f>'Data_in-situ'!DT300</f>
        <v>6</v>
      </c>
      <c r="AF2072" s="113">
        <f>'Data_in-situ'!EN155</f>
        <v>-18.3</v>
      </c>
      <c r="AG2072" s="113">
        <f>'Data_in-situ'!EO155</f>
        <v>5.8</v>
      </c>
      <c r="AH2072" s="110">
        <f>'Data_in-situ'!EP155</f>
        <v>12</v>
      </c>
      <c r="AI2072" s="113">
        <f>'Data_in-situ'!ER155</f>
        <v>-78.599999999999994</v>
      </c>
      <c r="AJ2072" s="113">
        <f>'Data_in-situ'!ES155</f>
        <v>7.5</v>
      </c>
      <c r="AK2072" s="110">
        <f>'Data_in-situ'!ET155</f>
        <v>8</v>
      </c>
    </row>
    <row r="2073" spans="2:37" x14ac:dyDescent="0.3">
      <c r="N2073" s="24">
        <f>'Data_in-situ'!DA450</f>
        <v>15730</v>
      </c>
      <c r="O2073" s="24">
        <f>'Data_in-situ'!DB450</f>
        <v>47184.597668134105</v>
      </c>
      <c r="P2073" s="46">
        <f>'Data_in-situ'!DC450</f>
        <v>1</v>
      </c>
      <c r="Q2073" s="24">
        <f>'Data_in-situ'!DE450</f>
        <v>22330</v>
      </c>
      <c r="R2073" s="24">
        <f>'Data_in-situ'!DF450</f>
        <v>21283.678596713551</v>
      </c>
      <c r="S2073" s="46">
        <f>'Data_in-situ'!DG450</f>
        <v>1</v>
      </c>
      <c r="T2073" s="113">
        <f>'Data_in-situ'!DN301</f>
        <v>13.144085460341062</v>
      </c>
      <c r="U2073" s="113">
        <f>'Data_in-situ'!DO301</f>
        <v>20.285444054594439</v>
      </c>
      <c r="V2073" s="46">
        <f>'Data_in-situ'!DP301</f>
        <v>6</v>
      </c>
      <c r="W2073" s="113">
        <f>'Data_in-situ'!DR301</f>
        <v>-0.10743713529994561</v>
      </c>
      <c r="X2073" s="113">
        <f>'Data_in-situ'!DS301</f>
        <v>0.28944787367187741</v>
      </c>
      <c r="Y2073" s="46">
        <f>'Data_in-situ'!DT301</f>
        <v>6</v>
      </c>
      <c r="AF2073" s="113">
        <f>'Data_in-situ'!EN179</f>
        <v>-6.75</v>
      </c>
      <c r="AG2073" s="113">
        <f>'Data_in-situ'!EO179</f>
        <v>4.0326790102858423</v>
      </c>
      <c r="AH2073" s="110">
        <f>'Data_in-situ'!EP179</f>
        <v>3</v>
      </c>
      <c r="AI2073" s="113">
        <f>'Data_in-situ'!ER179</f>
        <v>-13.2</v>
      </c>
      <c r="AJ2073" s="113">
        <f>'Data_in-situ'!ES179</f>
        <v>6.5</v>
      </c>
      <c r="AK2073" s="110">
        <f>'Data_in-situ'!ET179</f>
        <v>3</v>
      </c>
    </row>
    <row r="2074" spans="2:37" x14ac:dyDescent="0.3">
      <c r="N2074" s="24">
        <f>'Data_in-situ'!DA451</f>
        <v>11403.333333333334</v>
      </c>
      <c r="O2074" s="24">
        <f>'Data_in-situ'!DB451</f>
        <v>34206.08362421843</v>
      </c>
      <c r="P2074" s="46">
        <f>'Data_in-situ'!DC451</f>
        <v>1</v>
      </c>
      <c r="Q2074" s="24">
        <f>'Data_in-situ'!DE451</f>
        <v>21156.666666666668</v>
      </c>
      <c r="R2074" s="24">
        <f>'Data_in-situ'!DF451</f>
        <v>20165.32438473517</v>
      </c>
      <c r="S2074" s="46">
        <f>'Data_in-situ'!DG451</f>
        <v>1</v>
      </c>
      <c r="T2074" s="113">
        <f>'Data_in-situ'!DN302</f>
        <v>13.144085460341062</v>
      </c>
      <c r="U2074" s="113">
        <f>'Data_in-situ'!DO302</f>
        <v>20.285444054594439</v>
      </c>
      <c r="V2074" s="46">
        <f>'Data_in-situ'!DP302</f>
        <v>6</v>
      </c>
      <c r="W2074" s="113">
        <f>'Data_in-situ'!DR302</f>
        <v>-0.10743713529994561</v>
      </c>
      <c r="X2074" s="113">
        <f>'Data_in-situ'!DS302</f>
        <v>0.39119879833905941</v>
      </c>
      <c r="Y2074" s="46">
        <f>'Data_in-situ'!DT302</f>
        <v>6</v>
      </c>
      <c r="AF2074" s="113">
        <f>'Data_in-situ'!EN180</f>
        <v>-7.05</v>
      </c>
      <c r="AG2074" s="113">
        <f>'Data_in-situ'!EO180</f>
        <v>2.8714108030722461</v>
      </c>
      <c r="AH2074" s="110">
        <f>'Data_in-situ'!EP180</f>
        <v>3</v>
      </c>
      <c r="AI2074" s="113">
        <f>'Data_in-situ'!ER180</f>
        <v>-16.899999999999999</v>
      </c>
      <c r="AJ2074" s="113">
        <f>'Data_in-situ'!ES180</f>
        <v>10.5</v>
      </c>
      <c r="AK2074" s="110">
        <f>'Data_in-situ'!ET180</f>
        <v>3</v>
      </c>
    </row>
    <row r="2075" spans="2:37" x14ac:dyDescent="0.3">
      <c r="N2075" s="24">
        <f>'Data_in-situ'!DA452</f>
        <v>4326.666666666667</v>
      </c>
      <c r="O2075" s="24">
        <f>'Data_in-situ'!DB452</f>
        <v>12978.514043915675</v>
      </c>
      <c r="P2075" s="46">
        <f>'Data_in-situ'!DC452</f>
        <v>1</v>
      </c>
      <c r="Q2075" s="24">
        <f>'Data_in-situ'!DE452</f>
        <v>15693.333333333334</v>
      </c>
      <c r="R2075" s="24">
        <f>'Data_in-situ'!DF452</f>
        <v>14957.987585210836</v>
      </c>
      <c r="S2075" s="46">
        <f>'Data_in-situ'!DG452</f>
        <v>1</v>
      </c>
      <c r="T2075" s="113">
        <f>'Data_in-situ'!DN303</f>
        <v>13.144085460341062</v>
      </c>
      <c r="U2075" s="113">
        <f>'Data_in-situ'!DO303</f>
        <v>20.285444054594439</v>
      </c>
      <c r="V2075" s="46">
        <f>'Data_in-situ'!DP303</f>
        <v>6</v>
      </c>
      <c r="W2075" s="113">
        <f>'Data_in-situ'!DR303</f>
        <v>-5.3718567649972807E-2</v>
      </c>
      <c r="X2075" s="113">
        <f>'Data_in-situ'!DS303</f>
        <v>0.39119879833905941</v>
      </c>
      <c r="Y2075" s="46">
        <f>'Data_in-situ'!DT303</f>
        <v>6</v>
      </c>
      <c r="AF2075" s="113">
        <f>'Data_in-situ'!EN181</f>
        <v>-8.5500000000000007</v>
      </c>
      <c r="AG2075" s="113">
        <f>'Data_in-situ'!EO181</f>
        <v>4.9678969393496883</v>
      </c>
      <c r="AH2075" s="110">
        <f>'Data_in-situ'!EP181</f>
        <v>3</v>
      </c>
      <c r="AI2075" s="113">
        <f>'Data_in-situ'!ER181</f>
        <v>-16.2</v>
      </c>
      <c r="AJ2075" s="113">
        <f>'Data_in-situ'!ES181</f>
        <v>8</v>
      </c>
      <c r="AK2075" s="110">
        <f>'Data_in-situ'!ET181</f>
        <v>3</v>
      </c>
    </row>
    <row r="2076" spans="2:37" x14ac:dyDescent="0.3">
      <c r="N2076" s="24">
        <f>'Data_in-situ'!DA453</f>
        <v>1870</v>
      </c>
      <c r="O2076" s="24">
        <f>'Data_in-situ'!DB453</f>
        <v>5609.3577647432157</v>
      </c>
      <c r="P2076" s="46">
        <f>'Data_in-situ'!DC453</f>
        <v>1</v>
      </c>
      <c r="Q2076" s="24">
        <f>'Data_in-situ'!DE453</f>
        <v>13676.666666666666</v>
      </c>
      <c r="R2076" s="24">
        <f>'Data_in-situ'!DF453</f>
        <v>13035.816283372995</v>
      </c>
      <c r="S2076" s="46">
        <f>'Data_in-situ'!DG453</f>
        <v>1</v>
      </c>
      <c r="T2076" s="113">
        <f>'Data_in-situ'!DN304</f>
        <v>0.25277087423732814</v>
      </c>
      <c r="U2076" s="113">
        <f>'Data_in-situ'!DO304</f>
        <v>2.0397555922164208</v>
      </c>
      <c r="V2076" s="46">
        <f>'Data_in-situ'!DP304</f>
        <v>6</v>
      </c>
      <c r="W2076" s="113">
        <f>'Data_in-situ'!DR304</f>
        <v>-0.16115570294991843</v>
      </c>
      <c r="X2076" s="113">
        <f>'Data_in-situ'!DS304</f>
        <v>0.5610292847687105</v>
      </c>
      <c r="Y2076" s="46">
        <f>'Data_in-situ'!DT304</f>
        <v>6</v>
      </c>
      <c r="AF2076" s="113">
        <f>'Data_in-situ'!EN201</f>
        <v>7.1</v>
      </c>
      <c r="AG2076" s="113">
        <f>'Data_in-situ'!EO201</f>
        <v>1.3435028842544376</v>
      </c>
      <c r="AH2076" s="110">
        <f>'Data_in-situ'!EP201</f>
        <v>3</v>
      </c>
      <c r="AI2076" s="113">
        <f>'Data_in-situ'!ER201</f>
        <v>-26</v>
      </c>
      <c r="AJ2076" s="113">
        <f>'Data_in-situ'!ES201</f>
        <v>5.6568542494923806</v>
      </c>
      <c r="AK2076" s="110">
        <f>'Data_in-situ'!ET201</f>
        <v>3</v>
      </c>
    </row>
    <row r="2077" spans="2:37" x14ac:dyDescent="0.3">
      <c r="T2077" s="113">
        <f>'Data_in-situ'!DN305</f>
        <v>0.25277087423732814</v>
      </c>
      <c r="U2077" s="113">
        <f>'Data_in-situ'!DO305</f>
        <v>2.0397555922164208</v>
      </c>
      <c r="V2077" s="46">
        <f>'Data_in-situ'!DP305</f>
        <v>6</v>
      </c>
      <c r="W2077" s="113">
        <f>'Data_in-situ'!DR305</f>
        <v>-0.16115570294991843</v>
      </c>
      <c r="X2077" s="113">
        <f>'Data_in-situ'!DS305</f>
        <v>0.5610292847687105</v>
      </c>
      <c r="Y2077" s="46">
        <f>'Data_in-situ'!DT305</f>
        <v>6</v>
      </c>
      <c r="AF2077" s="113">
        <f>'Data_in-situ'!EN202</f>
        <v>14.2</v>
      </c>
      <c r="AG2077" s="113">
        <f>'Data_in-situ'!EO202</f>
        <v>1.9091883092036779</v>
      </c>
      <c r="AH2077" s="110">
        <f>'Data_in-situ'!EP202</f>
        <v>3</v>
      </c>
      <c r="AI2077" s="113">
        <f>'Data_in-situ'!ER202</f>
        <v>-26.3</v>
      </c>
      <c r="AJ2077" s="113">
        <f>'Data_in-situ'!ES202</f>
        <v>4.6669047558312107</v>
      </c>
      <c r="AK2077" s="110">
        <f>'Data_in-situ'!ET202</f>
        <v>3</v>
      </c>
    </row>
    <row r="2078" spans="2:37" x14ac:dyDescent="0.3">
      <c r="T2078" s="113">
        <f>'Data_in-situ'!DN306</f>
        <v>0.25277087423732814</v>
      </c>
      <c r="U2078" s="113">
        <f>'Data_in-situ'!DO306</f>
        <v>2.0397555922164208</v>
      </c>
      <c r="V2078" s="46">
        <f>'Data_in-situ'!DP306</f>
        <v>6</v>
      </c>
      <c r="W2078" s="113">
        <f>'Data_in-situ'!DR306</f>
        <v>-0.16115570294991843</v>
      </c>
      <c r="X2078" s="113">
        <f>'Data_in-situ'!DS306</f>
        <v>0.50982923873701236</v>
      </c>
      <c r="Y2078" s="46">
        <f>'Data_in-situ'!DT306</f>
        <v>6</v>
      </c>
      <c r="AF2078" s="113">
        <f>'Data_in-situ'!EN213</f>
        <v>-14.909844559585478</v>
      </c>
      <c r="AG2078" s="113">
        <f>'Data_in-situ'!EO213</f>
        <v>1.0723470663621506</v>
      </c>
      <c r="AH2078" s="110">
        <f>'Data_in-situ'!EP213</f>
        <v>3</v>
      </c>
      <c r="AI2078" s="113">
        <f>'Data_in-situ'!ER213</f>
        <v>-31.98942141623488</v>
      </c>
      <c r="AJ2078" s="113">
        <f>'Data_in-situ'!ES213</f>
        <v>1.5801931444910506</v>
      </c>
      <c r="AK2078" s="110">
        <f>'Data_in-situ'!ET213</f>
        <v>3</v>
      </c>
    </row>
    <row r="2079" spans="2:37" x14ac:dyDescent="0.3">
      <c r="T2079" s="113">
        <f>'Data_in-situ'!DN307</f>
        <v>0.25277087423732814</v>
      </c>
      <c r="U2079" s="113">
        <f>'Data_in-situ'!DO307</f>
        <v>2.0397555922164208</v>
      </c>
      <c r="V2079" s="46">
        <f>'Data_in-situ'!DP307</f>
        <v>6</v>
      </c>
      <c r="W2079" s="113">
        <f>'Data_in-situ'!DR307</f>
        <v>-0.21487427059989123</v>
      </c>
      <c r="X2079" s="113">
        <f>'Data_in-situ'!DS307</f>
        <v>0.52942636938081877</v>
      </c>
      <c r="Y2079" s="46">
        <f>'Data_in-situ'!DT307</f>
        <v>6</v>
      </c>
      <c r="AF2079" s="113">
        <f>'Data_in-situ'!EN214</f>
        <v>-13.449581506576324</v>
      </c>
      <c r="AG2079" s="113">
        <f>'Data_in-situ'!EO214</f>
        <v>1.4236979793576987</v>
      </c>
      <c r="AH2079" s="110">
        <f>'Data_in-situ'!EP214</f>
        <v>3</v>
      </c>
      <c r="AI2079" s="113">
        <f>'Data_in-situ'!ER214</f>
        <v>-31.606217616580317</v>
      </c>
      <c r="AJ2079" s="113">
        <f>'Data_in-situ'!ES214</f>
        <v>2.0517717022532898</v>
      </c>
      <c r="AK2079" s="110">
        <f>'Data_in-situ'!ET214</f>
        <v>3</v>
      </c>
    </row>
    <row r="2080" spans="2:37" x14ac:dyDescent="0.3">
      <c r="T2080" s="113">
        <f>'Data_in-situ'!DN308</f>
        <v>1.2638543711866406</v>
      </c>
      <c r="U2080" s="113">
        <f>'Data_in-situ'!DO308</f>
        <v>3.7827422106480872</v>
      </c>
      <c r="V2080" s="46">
        <f>'Data_in-situ'!DP308</f>
        <v>6</v>
      </c>
      <c r="W2080" s="113">
        <f>'Data_in-situ'!DR308</f>
        <v>-0.16115570294991843</v>
      </c>
      <c r="X2080" s="113">
        <f>'Data_in-situ'!DS308</f>
        <v>0.5610292847687105</v>
      </c>
      <c r="Y2080" s="46">
        <f>'Data_in-situ'!DT308</f>
        <v>6</v>
      </c>
      <c r="AF2080" s="113">
        <f>'Data_in-situ'!EN216</f>
        <v>-15</v>
      </c>
      <c r="AG2080" s="113">
        <f>'Data_in-situ'!EO216</f>
        <v>6.1124459812694001</v>
      </c>
      <c r="AH2080" s="110">
        <f>'Data_in-situ'!EP216</f>
        <v>3</v>
      </c>
      <c r="AI2080" s="113">
        <f>'Data_in-situ'!ER216</f>
        <v>-38</v>
      </c>
      <c r="AJ2080" s="113">
        <f>'Data_in-situ'!ES216</f>
        <v>8.6189340333493778</v>
      </c>
      <c r="AK2080" s="110">
        <f>'Data_in-situ'!ET216</f>
        <v>3</v>
      </c>
    </row>
    <row r="2081" spans="20:37" x14ac:dyDescent="0.3">
      <c r="T2081" s="113">
        <f>'Data_in-situ'!DN309</f>
        <v>1.2638543711866406</v>
      </c>
      <c r="U2081" s="113">
        <f>'Data_in-situ'!DO309</f>
        <v>3.7827422106480872</v>
      </c>
      <c r="V2081" s="46">
        <f>'Data_in-situ'!DP309</f>
        <v>6</v>
      </c>
      <c r="W2081" s="113">
        <f>'Data_in-situ'!DR309</f>
        <v>-0.16115570294991843</v>
      </c>
      <c r="X2081" s="113">
        <f>'Data_in-situ'!DS309</f>
        <v>0.5610292847687105</v>
      </c>
      <c r="Y2081" s="46">
        <f>'Data_in-situ'!DT309</f>
        <v>6</v>
      </c>
      <c r="AF2081" s="113">
        <f>'Data_in-situ'!EN231</f>
        <v>-11</v>
      </c>
      <c r="AG2081" s="113">
        <f>'Data_in-situ'!EO231</f>
        <v>4.4824603862642265</v>
      </c>
      <c r="AH2081" s="110">
        <f>'Data_in-situ'!EP231</f>
        <v>3</v>
      </c>
      <c r="AI2081" s="113">
        <f>'Data_in-situ'!ER231</f>
        <v>-23</v>
      </c>
      <c r="AJ2081" s="113">
        <f>'Data_in-situ'!ES231</f>
        <v>5.2167232307114659</v>
      </c>
      <c r="AK2081" s="110">
        <f>'Data_in-situ'!ET231</f>
        <v>3</v>
      </c>
    </row>
    <row r="2082" spans="20:37" x14ac:dyDescent="0.3">
      <c r="T2082" s="113">
        <f>'Data_in-situ'!DN310</f>
        <v>1.2638543711866406</v>
      </c>
      <c r="U2082" s="113">
        <f>'Data_in-situ'!DO310</f>
        <v>3.7827422106480872</v>
      </c>
      <c r="V2082" s="46">
        <f>'Data_in-situ'!DP310</f>
        <v>6</v>
      </c>
      <c r="W2082" s="113">
        <f>'Data_in-situ'!DR310</f>
        <v>-0.16115570294991843</v>
      </c>
      <c r="X2082" s="113">
        <f>'Data_in-situ'!DS310</f>
        <v>0.5610292847687105</v>
      </c>
      <c r="Y2082" s="46">
        <f>'Data_in-situ'!DT310</f>
        <v>6</v>
      </c>
      <c r="AF2082" s="113">
        <f>'Data_in-situ'!EN232</f>
        <v>-11</v>
      </c>
      <c r="AG2082" s="113">
        <f>'Data_in-situ'!EO232</f>
        <v>4.4824603862642265</v>
      </c>
      <c r="AH2082" s="110">
        <f>'Data_in-situ'!EP232</f>
        <v>3</v>
      </c>
      <c r="AI2082" s="113">
        <f>'Data_in-situ'!ER232</f>
        <v>-23</v>
      </c>
      <c r="AJ2082" s="113">
        <f>'Data_in-situ'!ES232</f>
        <v>5.2167232307114659</v>
      </c>
      <c r="AK2082" s="110">
        <f>'Data_in-situ'!ET232</f>
        <v>3</v>
      </c>
    </row>
    <row r="2083" spans="20:37" x14ac:dyDescent="0.3">
      <c r="T2083" s="113">
        <f>'Data_in-situ'!DN311</f>
        <v>1.2638543711866406</v>
      </c>
      <c r="U2083" s="113">
        <f>'Data_in-situ'!DO311</f>
        <v>3.7827422106480872</v>
      </c>
      <c r="V2083" s="46">
        <f>'Data_in-situ'!DP311</f>
        <v>6</v>
      </c>
      <c r="W2083" s="113">
        <f>'Data_in-situ'!DR311</f>
        <v>-0.21487427059989123</v>
      </c>
      <c r="X2083" s="113">
        <f>'Data_in-situ'!DS311</f>
        <v>0.52942636938081877</v>
      </c>
      <c r="Y2083" s="46">
        <f>'Data_in-situ'!DT311</f>
        <v>6</v>
      </c>
      <c r="AF2083" s="113">
        <f>'Data_in-situ'!EN233</f>
        <v>-15</v>
      </c>
      <c r="AG2083" s="113">
        <f>'Data_in-situ'!EO233</f>
        <v>6.1124459812694001</v>
      </c>
      <c r="AH2083" s="110">
        <f>'Data_in-situ'!EP233</f>
        <v>3</v>
      </c>
      <c r="AI2083" s="113">
        <f>'Data_in-situ'!ER233</f>
        <v>-20</v>
      </c>
      <c r="AJ2083" s="113">
        <f>'Data_in-situ'!ES233</f>
        <v>4.5362810701838834</v>
      </c>
      <c r="AK2083" s="110">
        <f>'Data_in-situ'!ET233</f>
        <v>3</v>
      </c>
    </row>
    <row r="2084" spans="20:37" x14ac:dyDescent="0.3">
      <c r="T2084" s="113">
        <f>'Data_in-situ'!DN312</f>
        <v>0.75831262271198441</v>
      </c>
      <c r="U2084" s="113">
        <f>'Data_in-situ'!DO312</f>
        <v>2.1753507933433238</v>
      </c>
      <c r="V2084" s="46">
        <f>'Data_in-situ'!DP312</f>
        <v>6</v>
      </c>
      <c r="W2084" s="113">
        <f>'Data_in-situ'!DR312</f>
        <v>-0.16115570294991843</v>
      </c>
      <c r="X2084" s="113">
        <f>'Data_in-situ'!DS312</f>
        <v>0.5610292847687105</v>
      </c>
      <c r="Y2084" s="46">
        <f>'Data_in-situ'!DT312</f>
        <v>6</v>
      </c>
      <c r="AF2084" s="113">
        <f>'Data_in-situ'!EN234</f>
        <v>-15</v>
      </c>
      <c r="AG2084" s="113">
        <f>'Data_in-situ'!EO234</f>
        <v>6.1124459812694001</v>
      </c>
      <c r="AH2084" s="110">
        <f>'Data_in-situ'!EP234</f>
        <v>3</v>
      </c>
      <c r="AI2084" s="113">
        <f>'Data_in-situ'!ER234</f>
        <v>-20</v>
      </c>
      <c r="AJ2084" s="113">
        <f>'Data_in-situ'!ES234</f>
        <v>4.5362810701838834</v>
      </c>
      <c r="AK2084" s="110">
        <f>'Data_in-situ'!ET234</f>
        <v>3</v>
      </c>
    </row>
    <row r="2085" spans="20:37" x14ac:dyDescent="0.3">
      <c r="T2085" s="113">
        <f>'Data_in-situ'!DN313</f>
        <v>0.75831262271198441</v>
      </c>
      <c r="U2085" s="113">
        <f>'Data_in-situ'!DO313</f>
        <v>2.1753507933433238</v>
      </c>
      <c r="V2085" s="46">
        <f>'Data_in-situ'!DP313</f>
        <v>6</v>
      </c>
      <c r="W2085" s="113">
        <f>'Data_in-situ'!DR313</f>
        <v>-0.16115570294991843</v>
      </c>
      <c r="X2085" s="113">
        <f>'Data_in-situ'!DS313</f>
        <v>0.5610292847687105</v>
      </c>
      <c r="Y2085" s="46">
        <f>'Data_in-situ'!DT313</f>
        <v>6</v>
      </c>
      <c r="AF2085" s="113">
        <f>'Data_in-situ'!EN235</f>
        <v>-12</v>
      </c>
      <c r="AG2085" s="113">
        <f>'Data_in-situ'!EO235</f>
        <v>4.8899567850155199</v>
      </c>
      <c r="AH2085" s="110">
        <f>'Data_in-situ'!EP235</f>
        <v>3</v>
      </c>
      <c r="AI2085" s="113">
        <f>'Data_in-situ'!ER235</f>
        <v>-14</v>
      </c>
      <c r="AJ2085" s="113">
        <f>'Data_in-situ'!ES235</f>
        <v>3.1753967491287183</v>
      </c>
      <c r="AK2085" s="110">
        <f>'Data_in-situ'!ET235</f>
        <v>3</v>
      </c>
    </row>
    <row r="2086" spans="20:37" x14ac:dyDescent="0.3">
      <c r="T2086" s="113">
        <f>'Data_in-situ'!DN314</f>
        <v>0.75831262271198441</v>
      </c>
      <c r="U2086" s="113">
        <f>'Data_in-situ'!DO314</f>
        <v>2.1753507933433238</v>
      </c>
      <c r="V2086" s="46">
        <f>'Data_in-situ'!DP314</f>
        <v>6</v>
      </c>
      <c r="W2086" s="113">
        <f>'Data_in-situ'!DR314</f>
        <v>-0.16115570294991843</v>
      </c>
      <c r="X2086" s="113">
        <f>'Data_in-situ'!DS314</f>
        <v>0.52942636938081877</v>
      </c>
      <c r="Y2086" s="46">
        <f>'Data_in-situ'!DT314</f>
        <v>6</v>
      </c>
      <c r="AF2086" s="113">
        <f>'Data_in-situ'!EN236</f>
        <v>-12</v>
      </c>
      <c r="AG2086" s="113">
        <f>'Data_in-situ'!EO236</f>
        <v>4.8899567850155199</v>
      </c>
      <c r="AH2086" s="110">
        <f>'Data_in-situ'!EP236</f>
        <v>3</v>
      </c>
      <c r="AI2086" s="113">
        <f>'Data_in-situ'!ER236</f>
        <v>-14</v>
      </c>
      <c r="AJ2086" s="113">
        <f>'Data_in-situ'!ES236</f>
        <v>3.1753967491287183</v>
      </c>
      <c r="AK2086" s="110">
        <f>'Data_in-situ'!ET236</f>
        <v>3</v>
      </c>
    </row>
    <row r="2087" spans="20:37" x14ac:dyDescent="0.3">
      <c r="T2087" s="113">
        <f>'Data_in-situ'!DN315</f>
        <v>0.75831262271198441</v>
      </c>
      <c r="U2087" s="113">
        <f>'Data_in-situ'!DO315</f>
        <v>2.1753507933433238</v>
      </c>
      <c r="V2087" s="46">
        <f>'Data_in-situ'!DP315</f>
        <v>6</v>
      </c>
      <c r="W2087" s="113">
        <f>'Data_in-situ'!DR315</f>
        <v>-0.21487427059989123</v>
      </c>
      <c r="X2087" s="113">
        <f>'Data_in-situ'!DS315</f>
        <v>0.52942636938081877</v>
      </c>
      <c r="Y2087" s="46">
        <f>'Data_in-situ'!DT315</f>
        <v>6</v>
      </c>
      <c r="AF2087" s="113">
        <f>'Data_in-situ'!EN237</f>
        <v>-22</v>
      </c>
      <c r="AG2087" s="113">
        <f>'Data_in-situ'!EO237</f>
        <v>8.964920772528453</v>
      </c>
      <c r="AH2087" s="110">
        <f>'Data_in-situ'!EP237</f>
        <v>3</v>
      </c>
      <c r="AI2087" s="113">
        <f>'Data_in-situ'!ER237</f>
        <v>-31</v>
      </c>
      <c r="AJ2087" s="113">
        <f>'Data_in-situ'!ES237</f>
        <v>7.0312356587850191</v>
      </c>
      <c r="AK2087" s="110">
        <f>'Data_in-situ'!ET237</f>
        <v>3</v>
      </c>
    </row>
    <row r="2088" spans="20:37" x14ac:dyDescent="0.3">
      <c r="T2088" s="113">
        <f>'Data_in-situ'!DN316</f>
        <v>93.1</v>
      </c>
      <c r="U2088" s="113">
        <f>'Data_in-situ'!DO316</f>
        <v>103.79526182078902</v>
      </c>
      <c r="V2088" s="46">
        <f>'Data_in-situ'!DP316</f>
        <v>18</v>
      </c>
      <c r="W2088" s="113">
        <f>'Data_in-situ'!DR316</f>
        <v>32.799999999999997</v>
      </c>
      <c r="X2088" s="113">
        <f>'Data_in-situ'!DS316</f>
        <v>122.58069446389712</v>
      </c>
      <c r="Y2088" s="46">
        <f>'Data_in-situ'!DT316</f>
        <v>18</v>
      </c>
      <c r="AF2088" s="113">
        <f>'Data_in-situ'!EN238</f>
        <v>-22</v>
      </c>
      <c r="AG2088" s="113">
        <f>'Data_in-situ'!EO238</f>
        <v>8.964920772528453</v>
      </c>
      <c r="AH2088" s="110">
        <f>'Data_in-situ'!EP238</f>
        <v>3</v>
      </c>
      <c r="AI2088" s="113">
        <f>'Data_in-situ'!ER238</f>
        <v>-31</v>
      </c>
      <c r="AJ2088" s="113">
        <f>'Data_in-situ'!ES238</f>
        <v>7.0312356587850191</v>
      </c>
      <c r="AK2088" s="110">
        <f>'Data_in-situ'!ET238</f>
        <v>3</v>
      </c>
    </row>
    <row r="2089" spans="20:37" x14ac:dyDescent="0.3">
      <c r="T2089" s="113">
        <f>'Data_in-situ'!DN317</f>
        <v>82.2</v>
      </c>
      <c r="U2089" s="113">
        <f>'Data_in-situ'!DO317</f>
        <v>91.643077568945841</v>
      </c>
      <c r="V2089" s="46">
        <f>'Data_in-situ'!DP317</f>
        <v>15</v>
      </c>
      <c r="W2089" s="113">
        <f>'Data_in-situ'!DR317</f>
        <v>27.8</v>
      </c>
      <c r="X2089" s="113">
        <f>'Data_in-situ'!DS317</f>
        <v>103.89461299074208</v>
      </c>
      <c r="Y2089" s="46">
        <f>'Data_in-situ'!DT317</f>
        <v>15</v>
      </c>
      <c r="AF2089" s="113">
        <f>'Data_in-situ'!EN244</f>
        <v>-16</v>
      </c>
      <c r="AG2089" s="113">
        <f>'Data_in-situ'!EO244</f>
        <v>6.5199423800206935</v>
      </c>
      <c r="AH2089" s="110">
        <f>'Data_in-situ'!EP244</f>
        <v>3</v>
      </c>
      <c r="AI2089" s="113">
        <f>'Data_in-situ'!ER244</f>
        <v>-21</v>
      </c>
      <c r="AJ2089" s="113">
        <f>'Data_in-situ'!ES244</f>
        <v>4.7630951236930779</v>
      </c>
      <c r="AK2089" s="110">
        <f>'Data_in-situ'!ET244</f>
        <v>3</v>
      </c>
    </row>
    <row r="2090" spans="20:37" x14ac:dyDescent="0.3">
      <c r="T2090" s="113">
        <f>'Data_in-situ'!DN318</f>
        <v>57.9</v>
      </c>
      <c r="U2090" s="113">
        <f>'Data_in-situ'!DO318</f>
        <v>64.551510842359662</v>
      </c>
      <c r="V2090" s="46">
        <f>'Data_in-situ'!DP318</f>
        <v>18</v>
      </c>
      <c r="W2090" s="113">
        <f>'Data_in-situ'!DR318</f>
        <v>31.7</v>
      </c>
      <c r="X2090" s="113">
        <f>'Data_in-situ'!DS318</f>
        <v>118.46975653980302</v>
      </c>
      <c r="Y2090" s="46">
        <f>'Data_in-situ'!DT318</f>
        <v>18</v>
      </c>
      <c r="AF2090" s="113">
        <f>'Data_in-situ'!EN245</f>
        <v>-16</v>
      </c>
      <c r="AG2090" s="113">
        <f>'Data_in-situ'!EO245</f>
        <v>6.5199423800206935</v>
      </c>
      <c r="AH2090" s="110">
        <f>'Data_in-situ'!EP245</f>
        <v>3</v>
      </c>
      <c r="AI2090" s="113">
        <f>'Data_in-situ'!ER245</f>
        <v>-21</v>
      </c>
      <c r="AJ2090" s="113">
        <f>'Data_in-situ'!ES245</f>
        <v>4.7630951236930779</v>
      </c>
      <c r="AK2090" s="110">
        <f>'Data_in-situ'!ET245</f>
        <v>3</v>
      </c>
    </row>
    <row r="2091" spans="20:37" x14ac:dyDescent="0.3">
      <c r="T2091" s="113">
        <f>'Data_in-situ'!DN319</f>
        <v>38.4</v>
      </c>
      <c r="U2091" s="113">
        <f>'Data_in-situ'!DO319</f>
        <v>42.81136470374112</v>
      </c>
      <c r="V2091" s="46">
        <f>'Data_in-situ'!DP319</f>
        <v>12</v>
      </c>
      <c r="W2091" s="113">
        <f>'Data_in-situ'!DR319</f>
        <v>22.1</v>
      </c>
      <c r="X2091" s="113">
        <f>'Data_in-situ'!DS319</f>
        <v>82.592480111345324</v>
      </c>
      <c r="Y2091" s="46">
        <f>'Data_in-situ'!DT319</f>
        <v>12</v>
      </c>
      <c r="AF2091" s="113">
        <f>'Data_in-situ'!EN254</f>
        <v>-28</v>
      </c>
      <c r="AG2091" s="113">
        <f>'Data_in-situ'!EO254</f>
        <v>11.409899165036213</v>
      </c>
      <c r="AH2091" s="110">
        <f>'Data_in-situ'!EP254</f>
        <v>3</v>
      </c>
      <c r="AI2091" s="113">
        <f>'Data_in-situ'!ER254</f>
        <v>-36</v>
      </c>
      <c r="AJ2091" s="113">
        <f>'Data_in-situ'!ES254</f>
        <v>8.1653059263309906</v>
      </c>
      <c r="AK2091" s="110">
        <f>'Data_in-situ'!ET254</f>
        <v>3</v>
      </c>
    </row>
    <row r="2092" spans="20:37" x14ac:dyDescent="0.3">
      <c r="T2092" s="113">
        <f>'Data_in-situ'!DN320</f>
        <v>78.099999999999994</v>
      </c>
      <c r="U2092" s="113">
        <f>'Data_in-situ'!DO320</f>
        <v>87.072072483390144</v>
      </c>
      <c r="V2092" s="46">
        <f>'Data_in-situ'!DP320</f>
        <v>17</v>
      </c>
      <c r="W2092" s="113">
        <f>'Data_in-situ'!DR320</f>
        <v>34.9</v>
      </c>
      <c r="X2092" s="113">
        <f>'Data_in-situ'!DS320</f>
        <v>130.42884868262223</v>
      </c>
      <c r="Y2092" s="46">
        <f>'Data_in-situ'!DT320</f>
        <v>18</v>
      </c>
      <c r="AF2092" s="113">
        <f>'Data_in-situ'!EN255</f>
        <v>-18</v>
      </c>
      <c r="AG2092" s="113">
        <f>'Data_in-situ'!EO255</f>
        <v>7.3349351775232803</v>
      </c>
      <c r="AH2092" s="110">
        <f>'Data_in-situ'!EP255</f>
        <v>3</v>
      </c>
      <c r="AI2092" s="113">
        <f>'Data_in-situ'!ER255</f>
        <v>-24</v>
      </c>
      <c r="AJ2092" s="113">
        <f>'Data_in-situ'!ES255</f>
        <v>5.4435372842206604</v>
      </c>
      <c r="AK2092" s="110">
        <f>'Data_in-situ'!ET255</f>
        <v>3</v>
      </c>
    </row>
    <row r="2093" spans="20:37" x14ac:dyDescent="0.3">
      <c r="T2093" s="113">
        <f>'Data_in-situ'!DN321</f>
        <v>53.5</v>
      </c>
      <c r="U2093" s="113">
        <f>'Data_in-situ'!DO321</f>
        <v>59.64604197005599</v>
      </c>
      <c r="V2093" s="46">
        <f>'Data_in-situ'!DP321</f>
        <v>15</v>
      </c>
      <c r="W2093" s="113">
        <f>'Data_in-situ'!DR321</f>
        <v>34.5</v>
      </c>
      <c r="X2093" s="113">
        <f>'Data_in-situ'!DS321</f>
        <v>128.93396216476984</v>
      </c>
      <c r="Y2093" s="46">
        <f>'Data_in-situ'!DT321</f>
        <v>15</v>
      </c>
      <c r="AF2093" s="113">
        <f>'Data_in-situ'!EN256</f>
        <v>-11</v>
      </c>
      <c r="AG2093" s="113">
        <f>'Data_in-situ'!EO256</f>
        <v>4.4824603862642265</v>
      </c>
      <c r="AH2093" s="110">
        <f>'Data_in-situ'!EP256</f>
        <v>3</v>
      </c>
      <c r="AI2093" s="113">
        <f>'Data_in-situ'!ER256</f>
        <v>-13</v>
      </c>
      <c r="AJ2093" s="113">
        <f>'Data_in-situ'!ES256</f>
        <v>2.9485826956195242</v>
      </c>
      <c r="AK2093" s="110">
        <f>'Data_in-situ'!ET256</f>
        <v>3</v>
      </c>
    </row>
    <row r="2094" spans="20:37" x14ac:dyDescent="0.3">
      <c r="T2094" s="113">
        <f>'Data_in-situ'!DN322</f>
        <v>43.6</v>
      </c>
      <c r="U2094" s="113">
        <f>'Data_in-situ'!DO322</f>
        <v>48.608737007372731</v>
      </c>
      <c r="V2094" s="46">
        <f>'Data_in-situ'!DP322</f>
        <v>18</v>
      </c>
      <c r="W2094" s="113">
        <f>'Data_in-situ'!DR322</f>
        <v>14.1</v>
      </c>
      <c r="X2094" s="113">
        <f>'Data_in-situ'!DS322</f>
        <v>52.694749754297241</v>
      </c>
      <c r="Y2094" s="46">
        <f>'Data_in-situ'!DT322</f>
        <v>18</v>
      </c>
      <c r="AF2094" s="113">
        <f>'Data_in-situ'!EN257</f>
        <v>-16</v>
      </c>
      <c r="AG2094" s="113">
        <f>'Data_in-situ'!EO257</f>
        <v>6.5199423800206935</v>
      </c>
      <c r="AH2094" s="110">
        <f>'Data_in-situ'!EP257</f>
        <v>3</v>
      </c>
      <c r="AI2094" s="113">
        <f>'Data_in-situ'!ER257</f>
        <v>-20</v>
      </c>
      <c r="AJ2094" s="113">
        <f>'Data_in-situ'!ES257</f>
        <v>4.5362810701838834</v>
      </c>
      <c r="AK2094" s="110">
        <f>'Data_in-situ'!ET257</f>
        <v>3</v>
      </c>
    </row>
    <row r="2095" spans="20:37" x14ac:dyDescent="0.3">
      <c r="T2095" s="113">
        <f>'Data_in-situ'!DN323</f>
        <v>24.4</v>
      </c>
      <c r="U2095" s="113">
        <f>'Data_in-situ'!DO323</f>
        <v>27.203054655502171</v>
      </c>
      <c r="V2095" s="46">
        <f>'Data_in-situ'!DP323</f>
        <v>29</v>
      </c>
      <c r="W2095" s="113">
        <f>'Data_in-situ'!DR323</f>
        <v>5.6</v>
      </c>
      <c r="X2095" s="113">
        <f>'Data_in-situ'!DS323</f>
        <v>20.928411249933653</v>
      </c>
      <c r="Y2095" s="46">
        <f>'Data_in-situ'!DT323</f>
        <v>33</v>
      </c>
      <c r="AF2095" s="113">
        <f>'Data_in-situ'!EN258</f>
        <v>-12</v>
      </c>
      <c r="AG2095" s="113">
        <f>'Data_in-situ'!EO258</f>
        <v>4.8899567850155199</v>
      </c>
      <c r="AH2095" s="110">
        <f>'Data_in-situ'!EP258</f>
        <v>3</v>
      </c>
      <c r="AI2095" s="113">
        <f>'Data_in-situ'!ER258</f>
        <v>-27</v>
      </c>
      <c r="AJ2095" s="113">
        <f>'Data_in-situ'!ES258</f>
        <v>6.123979444748243</v>
      </c>
      <c r="AK2095" s="110">
        <f>'Data_in-situ'!ET258</f>
        <v>3</v>
      </c>
    </row>
    <row r="2096" spans="20:37" x14ac:dyDescent="0.3">
      <c r="T2096" s="113">
        <f>'Data_in-situ'!DN324</f>
        <v>19.7</v>
      </c>
      <c r="U2096" s="113">
        <f>'Data_in-situ'!DO324</f>
        <v>21.963121996450521</v>
      </c>
      <c r="V2096" s="46">
        <f>'Data_in-situ'!DP324</f>
        <v>18</v>
      </c>
      <c r="W2096" s="113">
        <f>'Data_in-situ'!DR324</f>
        <v>10.7</v>
      </c>
      <c r="X2096" s="113">
        <f>'Data_in-situ'!DS324</f>
        <v>39.9882143525518</v>
      </c>
      <c r="Y2096" s="46">
        <f>'Data_in-situ'!DT324</f>
        <v>18</v>
      </c>
      <c r="AF2096" s="113">
        <f>'Data_in-situ'!EN264</f>
        <v>-28</v>
      </c>
      <c r="AG2096" s="113">
        <f>'Data_in-situ'!EO264</f>
        <v>11.409899165036213</v>
      </c>
      <c r="AH2096" s="110">
        <f>'Data_in-situ'!EP264</f>
        <v>3</v>
      </c>
      <c r="AI2096" s="113">
        <f>'Data_in-situ'!ER264</f>
        <v>-36</v>
      </c>
      <c r="AJ2096" s="113">
        <f>'Data_in-situ'!ES264</f>
        <v>8.1653059263309906</v>
      </c>
      <c r="AK2096" s="110">
        <f>'Data_in-situ'!ET264</f>
        <v>3</v>
      </c>
    </row>
    <row r="2097" spans="20:37" x14ac:dyDescent="0.3">
      <c r="T2097" s="113">
        <f>'Data_in-situ'!DN325</f>
        <v>19.899999999999999</v>
      </c>
      <c r="U2097" s="113">
        <f>'Data_in-situ'!DO325</f>
        <v>22.186097854282508</v>
      </c>
      <c r="V2097" s="46">
        <f>'Data_in-situ'!DP325</f>
        <v>12</v>
      </c>
      <c r="W2097" s="113">
        <f>'Data_in-situ'!DR325</f>
        <v>11.3</v>
      </c>
      <c r="X2097" s="113">
        <f>'Data_in-situ'!DS325</f>
        <v>42.230544129330411</v>
      </c>
      <c r="Y2097" s="46">
        <f>'Data_in-situ'!DT325</f>
        <v>12</v>
      </c>
      <c r="AF2097" s="113">
        <f>'Data_in-situ'!EN265</f>
        <v>-18</v>
      </c>
      <c r="AG2097" s="113">
        <f>'Data_in-situ'!EO265</f>
        <v>7.3349351775232803</v>
      </c>
      <c r="AH2097" s="110">
        <f>'Data_in-situ'!EP265</f>
        <v>3</v>
      </c>
      <c r="AI2097" s="113">
        <f>'Data_in-situ'!ER265</f>
        <v>-24</v>
      </c>
      <c r="AJ2097" s="113">
        <f>'Data_in-situ'!ES265</f>
        <v>5.4435372842206604</v>
      </c>
      <c r="AK2097" s="110">
        <f>'Data_in-situ'!ET265</f>
        <v>3</v>
      </c>
    </row>
    <row r="2098" spans="20:37" x14ac:dyDescent="0.3">
      <c r="T2098" s="113">
        <f>'Data_in-situ'!DN336</f>
        <v>493.10596214853945</v>
      </c>
      <c r="U2098" s="113">
        <f>'Data_in-situ'!DO336</f>
        <v>526.28285184988022</v>
      </c>
      <c r="V2098" s="46">
        <f>'Data_in-situ'!DP336</f>
        <v>3</v>
      </c>
      <c r="W2098" s="113">
        <f>'Data_in-situ'!DR336</f>
        <v>78.722119137960249</v>
      </c>
      <c r="X2098" s="113">
        <f>'Data_in-situ'!DS336</f>
        <v>80.04506331866223</v>
      </c>
      <c r="Y2098" s="46">
        <f>'Data_in-situ'!DT336</f>
        <v>3</v>
      </c>
      <c r="AF2098" s="113">
        <f>'Data_in-situ'!EN266</f>
        <v>-11</v>
      </c>
      <c r="AG2098" s="113">
        <f>'Data_in-situ'!EO266</f>
        <v>4.4824603862642265</v>
      </c>
      <c r="AH2098" s="110">
        <f>'Data_in-situ'!EP266</f>
        <v>3</v>
      </c>
      <c r="AI2098" s="113">
        <f>'Data_in-situ'!ER266</f>
        <v>-13</v>
      </c>
      <c r="AJ2098" s="113">
        <f>'Data_in-situ'!ES266</f>
        <v>2.9485826956195242</v>
      </c>
      <c r="AK2098" s="110">
        <f>'Data_in-situ'!ET266</f>
        <v>3</v>
      </c>
    </row>
    <row r="2099" spans="20:37" x14ac:dyDescent="0.3">
      <c r="T2099" s="113">
        <f>'Data_in-situ'!DN337</f>
        <v>806.56888052092813</v>
      </c>
      <c r="U2099" s="113">
        <f>'Data_in-situ'!DO337</f>
        <v>856.38159693760133</v>
      </c>
      <c r="V2099" s="46">
        <f>'Data_in-situ'!DP337</f>
        <v>3</v>
      </c>
      <c r="W2099" s="113">
        <f>'Data_in-situ'!DR337</f>
        <v>84.62740503626496</v>
      </c>
      <c r="X2099" s="113">
        <f>'Data_in-situ'!DS337</f>
        <v>85.525142019325685</v>
      </c>
      <c r="Y2099" s="46">
        <f>'Data_in-situ'!DT337</f>
        <v>3</v>
      </c>
      <c r="AF2099" s="113">
        <f>'Data_in-situ'!EN267</f>
        <v>-16</v>
      </c>
      <c r="AG2099" s="113">
        <f>'Data_in-situ'!EO267</f>
        <v>6.5199423800206935</v>
      </c>
      <c r="AH2099" s="110">
        <f>'Data_in-situ'!EP267</f>
        <v>3</v>
      </c>
      <c r="AI2099" s="113">
        <f>'Data_in-situ'!ER267</f>
        <v>-20</v>
      </c>
      <c r="AJ2099" s="113">
        <f>'Data_in-situ'!ES267</f>
        <v>4.5362810701838834</v>
      </c>
      <c r="AK2099" s="110">
        <f>'Data_in-situ'!ET267</f>
        <v>3</v>
      </c>
    </row>
    <row r="2100" spans="20:37" x14ac:dyDescent="0.3">
      <c r="T2100" s="113">
        <f>'Data_in-situ'!DN338</f>
        <v>660.5745513402162</v>
      </c>
      <c r="U2100" s="113">
        <f>'Data_in-situ'!DO338</f>
        <v>706.60737149083172</v>
      </c>
      <c r="V2100" s="46">
        <f>'Data_in-situ'!DP338</f>
        <v>3</v>
      </c>
      <c r="W2100" s="113">
        <f>'Data_in-situ'!DR338</f>
        <v>60.94615675196922</v>
      </c>
      <c r="X2100" s="113">
        <f>'Data_in-situ'!DS338</f>
        <v>61.833294541817786</v>
      </c>
      <c r="Y2100" s="46">
        <f>'Data_in-situ'!DT338</f>
        <v>3</v>
      </c>
      <c r="AF2100" s="113">
        <f>'Data_in-situ'!EN268</f>
        <v>-12</v>
      </c>
      <c r="AG2100" s="113">
        <f>'Data_in-situ'!EO268</f>
        <v>4.8899567850155199</v>
      </c>
      <c r="AH2100" s="110">
        <f>'Data_in-situ'!EP268</f>
        <v>3</v>
      </c>
      <c r="AI2100" s="113">
        <f>'Data_in-situ'!ER268</f>
        <v>-27</v>
      </c>
      <c r="AJ2100" s="113">
        <f>'Data_in-situ'!ES268</f>
        <v>6.123979444748243</v>
      </c>
      <c r="AK2100" s="110">
        <f>'Data_in-situ'!ET268</f>
        <v>3</v>
      </c>
    </row>
    <row r="2101" spans="20:37" x14ac:dyDescent="0.3">
      <c r="T2101" s="113">
        <f>'Data_in-situ'!DN339</f>
        <v>119.51899620842497</v>
      </c>
      <c r="U2101" s="113">
        <f>'Data_in-situ'!DO339</f>
        <v>34.824121299588967</v>
      </c>
      <c r="V2101" s="46">
        <f>'Data_in-situ'!DP339</f>
        <v>3</v>
      </c>
      <c r="W2101" s="113">
        <f>'Data_in-situ'!DR339</f>
        <v>20.119884710538422</v>
      </c>
      <c r="X2101" s="113">
        <f>'Data_in-situ'!DS339</f>
        <v>3.7786326870241678</v>
      </c>
      <c r="Y2101" s="46">
        <f>'Data_in-situ'!DT339</f>
        <v>3</v>
      </c>
      <c r="AF2101" s="113">
        <f>'Data_in-situ'!EN270</f>
        <v>0</v>
      </c>
      <c r="AG2101" s="113">
        <f>'Data_in-situ'!EO270</f>
        <v>0</v>
      </c>
      <c r="AH2101" s="110">
        <f>'Data_in-situ'!EP270</f>
        <v>20</v>
      </c>
      <c r="AI2101" s="113">
        <f>'Data_in-situ'!ER270</f>
        <v>-15</v>
      </c>
      <c r="AJ2101" s="113">
        <f>'Data_in-situ'!ES270</f>
        <v>3.4022108026379128</v>
      </c>
      <c r="AK2101" s="110">
        <f>'Data_in-situ'!ET270</f>
        <v>20</v>
      </c>
    </row>
    <row r="2102" spans="20:37" x14ac:dyDescent="0.3">
      <c r="T2102" s="113">
        <f>'Data_in-situ'!DN340</f>
        <v>756.9536426533582</v>
      </c>
      <c r="U2102" s="113">
        <f>'Data_in-situ'!DO340</f>
        <v>966.52380476916505</v>
      </c>
      <c r="V2102" s="46">
        <f>'Data_in-situ'!DP340</f>
        <v>3</v>
      </c>
      <c r="W2102" s="113">
        <f>'Data_in-situ'!DR340</f>
        <v>140.83919297376897</v>
      </c>
      <c r="X2102" s="113">
        <f>'Data_in-situ'!DS340</f>
        <v>231.79656525897315</v>
      </c>
      <c r="Y2102" s="46">
        <f>'Data_in-situ'!DT340</f>
        <v>3</v>
      </c>
      <c r="AF2102" s="113">
        <f>'Data_in-situ'!EN271</f>
        <v>-26.2</v>
      </c>
      <c r="AG2102" s="113">
        <f>'Data_in-situ'!EO271</f>
        <v>1.6</v>
      </c>
      <c r="AH2102" s="110">
        <f>'Data_in-situ'!EP271</f>
        <v>4</v>
      </c>
      <c r="AI2102" s="113">
        <f>'Data_in-situ'!ER271</f>
        <v>-42</v>
      </c>
      <c r="AJ2102" s="113">
        <f>'Data_in-situ'!ES271</f>
        <v>1.6</v>
      </c>
      <c r="AK2102" s="110">
        <f>'Data_in-situ'!ET271</f>
        <v>4</v>
      </c>
    </row>
    <row r="2103" spans="20:37" x14ac:dyDescent="0.3">
      <c r="T2103" s="113">
        <f>'Data_in-situ'!DN341</f>
        <v>99.599163507020805</v>
      </c>
      <c r="U2103" s="113">
        <f>'Data_in-situ'!DO341</f>
        <v>34.500209307573023</v>
      </c>
      <c r="V2103" s="46">
        <f>'Data_in-situ'!DP341</f>
        <v>3</v>
      </c>
      <c r="W2103" s="113">
        <f>'Data_in-situ'!DR341</f>
        <v>2.0119884710538427</v>
      </c>
      <c r="X2103" s="113">
        <f>'Data_in-situ'!DS341</f>
        <v>4.1125976308977705</v>
      </c>
      <c r="Y2103" s="46">
        <f>'Data_in-situ'!DT341</f>
        <v>3</v>
      </c>
      <c r="AF2103" s="113">
        <f>'Data_in-situ'!EN274</f>
        <v>1.2156862745098034</v>
      </c>
      <c r="AG2103" s="113">
        <f>'Data_in-situ'!EO274</f>
        <v>0.49768216864884945</v>
      </c>
      <c r="AH2103" s="110">
        <f>'Data_in-situ'!EP274</f>
        <v>5</v>
      </c>
      <c r="AI2103" s="113">
        <f>'Data_in-situ'!ER274</f>
        <v>-1.3627450980392155</v>
      </c>
      <c r="AJ2103" s="113">
        <f>'Data_in-situ'!ES274</f>
        <v>0.94222961725764198</v>
      </c>
      <c r="AK2103" s="110">
        <f>'Data_in-situ'!ET274</f>
        <v>5</v>
      </c>
    </row>
    <row r="2104" spans="20:37" x14ac:dyDescent="0.3">
      <c r="T2104" s="113">
        <f>'Data_in-situ'!DN342</f>
        <v>230.49976509958381</v>
      </c>
      <c r="U2104" s="113">
        <f>'Data_in-situ'!DO342</f>
        <v>197.03120287558829</v>
      </c>
      <c r="V2104" s="46">
        <f>'Data_in-situ'!DP342</f>
        <v>3</v>
      </c>
      <c r="W2104" s="113">
        <f>'Data_in-situ'!DR342</f>
        <v>118.90670603705591</v>
      </c>
      <c r="X2104" s="113">
        <f>'Data_in-situ'!DS342</f>
        <v>159.66597828472533</v>
      </c>
      <c r="Y2104" s="46">
        <f>'Data_in-situ'!DT342</f>
        <v>3</v>
      </c>
      <c r="AF2104" s="113">
        <f>'Data_in-situ'!EN275</f>
        <v>1.6638655462184853</v>
      </c>
      <c r="AG2104" s="113">
        <f>'Data_in-situ'!EO275</f>
        <v>0.34418289379886746</v>
      </c>
      <c r="AH2104" s="110">
        <f>'Data_in-situ'!EP275</f>
        <v>5</v>
      </c>
      <c r="AI2104" s="113">
        <f>'Data_in-situ'!ER275</f>
        <v>-0.55462184873949671</v>
      </c>
      <c r="AJ2104" s="113">
        <f>'Data_in-situ'!ES275</f>
        <v>0.63167690703653101</v>
      </c>
      <c r="AK2104" s="110">
        <f>'Data_in-situ'!ET275</f>
        <v>5</v>
      </c>
    </row>
    <row r="2105" spans="20:37" x14ac:dyDescent="0.3">
      <c r="T2105" s="113">
        <f>'Data_in-situ'!DN343</f>
        <v>1089.6352531980324</v>
      </c>
      <c r="U2105" s="113">
        <f>'Data_in-situ'!DO343</f>
        <v>927.78982978332431</v>
      </c>
      <c r="V2105" s="46">
        <f>'Data_in-situ'!DP343</f>
        <v>3</v>
      </c>
      <c r="W2105" s="113">
        <f>'Data_in-situ'!DR343</f>
        <v>639.12354494917554</v>
      </c>
      <c r="X2105" s="113">
        <f>'Data_in-situ'!DS343</f>
        <v>304.35692868746287</v>
      </c>
      <c r="Y2105" s="46">
        <f>'Data_in-situ'!DT343</f>
        <v>3</v>
      </c>
      <c r="AF2105" s="113">
        <f>'Data_in-situ'!EN276</f>
        <v>1.3882352941176466</v>
      </c>
      <c r="AG2105" s="113">
        <f>'Data_in-situ'!EO276</f>
        <v>0.46526399843023991</v>
      </c>
      <c r="AH2105" s="110">
        <f>'Data_in-situ'!EP276</f>
        <v>5</v>
      </c>
      <c r="AI2105" s="113">
        <f>'Data_in-situ'!ER276</f>
        <v>-1.0352941176470594</v>
      </c>
      <c r="AJ2105" s="113">
        <f>'Data_in-situ'!ES276</f>
        <v>0.83640987539045919</v>
      </c>
      <c r="AK2105" s="110">
        <f>'Data_in-situ'!ET276</f>
        <v>5</v>
      </c>
    </row>
    <row r="2106" spans="20:37" x14ac:dyDescent="0.3">
      <c r="T2106" s="113">
        <f>'Data_in-situ'!DN344</f>
        <v>146.68166869973513</v>
      </c>
      <c r="U2106" s="113">
        <f>'Data_in-situ'!DO344</f>
        <v>127.23656397839687</v>
      </c>
      <c r="V2106" s="46">
        <f>'Data_in-situ'!DP344</f>
        <v>3</v>
      </c>
      <c r="W2106" s="113">
        <f>'Data_in-situ'!DR344</f>
        <v>29.726676509263978</v>
      </c>
      <c r="X2106" s="113">
        <f>'Data_in-situ'!DS344</f>
        <v>18.92341152926349</v>
      </c>
      <c r="Y2106" s="46">
        <f>'Data_in-situ'!DT344</f>
        <v>3</v>
      </c>
      <c r="AF2106" s="113">
        <f>'Data_in-situ'!EN277</f>
        <v>0.28104575163398426</v>
      </c>
      <c r="AG2106" s="113">
        <f>'Data_in-situ'!EO277</f>
        <v>1.0823202980922819</v>
      </c>
      <c r="AH2106" s="110">
        <f>'Data_in-situ'!EP277</f>
        <v>5</v>
      </c>
      <c r="AI2106" s="113">
        <f>'Data_in-situ'!ER277</f>
        <v>0.57352941176470584</v>
      </c>
      <c r="AJ2106" s="113">
        <f>'Data_in-situ'!ES277</f>
        <v>0.95907460925260324</v>
      </c>
      <c r="AK2106" s="110">
        <f>'Data_in-situ'!ET277</f>
        <v>5</v>
      </c>
    </row>
    <row r="2107" spans="20:37" x14ac:dyDescent="0.3">
      <c r="T2107" s="113">
        <f>'Data_in-situ'!DN345</f>
        <v>158.06344550056443</v>
      </c>
      <c r="U2107" s="113">
        <f>'Data_in-situ'!DO345</f>
        <v>156.23763874501105</v>
      </c>
      <c r="V2107" s="46">
        <f>'Data_in-situ'!DP345</f>
        <v>3</v>
      </c>
      <c r="W2107" s="113">
        <f>'Data_in-situ'!DR345</f>
        <v>533.27856040861434</v>
      </c>
      <c r="X2107" s="113">
        <f>'Data_in-situ'!DS345</f>
        <v>463.45283466494965</v>
      </c>
      <c r="Y2107" s="46">
        <f>'Data_in-situ'!DT345</f>
        <v>3</v>
      </c>
      <c r="AF2107" s="113">
        <f>'Data_in-situ'!EN278</f>
        <v>1.4575163398692808</v>
      </c>
      <c r="AG2107" s="113">
        <f>'Data_in-situ'!EO278</f>
        <v>0.75703059071343026</v>
      </c>
      <c r="AH2107" s="110">
        <f>'Data_in-situ'!EP278</f>
        <v>5</v>
      </c>
      <c r="AI2107" s="113">
        <f>'Data_in-situ'!ER278</f>
        <v>1.1487889273356398</v>
      </c>
      <c r="AJ2107" s="113">
        <f>'Data_in-situ'!ES278</f>
        <v>0.755435518283471</v>
      </c>
      <c r="AK2107" s="110">
        <f>'Data_in-situ'!ET278</f>
        <v>5</v>
      </c>
    </row>
    <row r="2108" spans="20:37" x14ac:dyDescent="0.3">
      <c r="T2108" s="113">
        <f>'Data_in-situ'!DN346</f>
        <v>1422.5710095050797</v>
      </c>
      <c r="U2108" s="113">
        <f>'Data_in-situ'!DO346</f>
        <v>1619.3061390358012</v>
      </c>
      <c r="V2108" s="46">
        <f>'Data_in-situ'!DP346</f>
        <v>3</v>
      </c>
      <c r="W2108" s="113">
        <f>'Data_in-situ'!DR346</f>
        <v>1233.2066709449209</v>
      </c>
      <c r="X2108" s="113">
        <f>'Data_in-situ'!DS346</f>
        <v>527.21983078939115</v>
      </c>
      <c r="Y2108" s="46">
        <f>'Data_in-situ'!DT346</f>
        <v>3</v>
      </c>
      <c r="AF2108" s="113">
        <f>'Data_in-situ'!EN279</f>
        <v>3.0092879256965936</v>
      </c>
      <c r="AG2108" s="113">
        <f>'Data_in-situ'!EO279</f>
        <v>0.8290793279171158</v>
      </c>
      <c r="AH2108" s="110">
        <f>'Data_in-situ'!EP279</f>
        <v>5</v>
      </c>
      <c r="AI2108" s="113">
        <f>'Data_in-situ'!ER279</f>
        <v>2.8111455108359125</v>
      </c>
      <c r="AJ2108" s="113">
        <f>'Data_in-situ'!ES279</f>
        <v>0.80714422344061043</v>
      </c>
      <c r="AK2108" s="110">
        <f>'Data_in-situ'!ET279</f>
        <v>5</v>
      </c>
    </row>
    <row r="2109" spans="20:37" x14ac:dyDescent="0.3">
      <c r="T2109" s="113">
        <f>'Data_in-situ'!DN347</f>
        <v>87.813025278091345</v>
      </c>
      <c r="U2109" s="113">
        <f>'Data_in-situ'!DO347</f>
        <v>511.88953557062587</v>
      </c>
      <c r="V2109" s="46">
        <f>'Data_in-situ'!DP347</f>
        <v>3</v>
      </c>
      <c r="W2109" s="113">
        <f>'Data_in-situ'!DR347</f>
        <v>83.324775063845991</v>
      </c>
      <c r="X2109" s="113">
        <f>'Data_in-situ'!DS347</f>
        <v>58.045203910854234</v>
      </c>
      <c r="Y2109" s="46">
        <f>'Data_in-situ'!DT347</f>
        <v>3</v>
      </c>
      <c r="AF2109" s="113">
        <f>'Data_in-situ'!EN292</f>
        <v>-20.8</v>
      </c>
      <c r="AG2109" s="113">
        <f>'Data_in-situ'!EO292</f>
        <v>8.475925094026902</v>
      </c>
      <c r="AH2109" s="110">
        <f>'Data_in-situ'!EP292</f>
        <v>1</v>
      </c>
      <c r="AI2109" s="113">
        <f>'Data_in-situ'!ER292</f>
        <v>-48.2</v>
      </c>
      <c r="AJ2109" s="113">
        <f>'Data_in-situ'!ES292</f>
        <v>10.93243737914316</v>
      </c>
      <c r="AK2109" s="110">
        <f>'Data_in-situ'!ET292</f>
        <v>1</v>
      </c>
    </row>
    <row r="2110" spans="20:37" x14ac:dyDescent="0.3">
      <c r="T2110" s="113">
        <f>'Data_in-situ'!DN354</f>
        <v>129.83859113829968</v>
      </c>
      <c r="U2110" s="113">
        <f>'Data_in-situ'!DO354</f>
        <v>144.75435619379368</v>
      </c>
      <c r="V2110" s="46">
        <f>'Data_in-situ'!DP354</f>
        <v>3</v>
      </c>
      <c r="W2110" s="113">
        <f>'Data_in-situ'!DR354</f>
        <v>3.2289849407087479</v>
      </c>
      <c r="X2110" s="113">
        <f>'Data_in-situ'!DS354</f>
        <v>12.067415135534878</v>
      </c>
      <c r="Y2110" s="46">
        <f>'Data_in-situ'!DT354</f>
        <v>3</v>
      </c>
      <c r="AF2110" s="113">
        <f>'Data_in-situ'!EN293</f>
        <v>-20.8</v>
      </c>
      <c r="AG2110" s="113">
        <f>'Data_in-situ'!EO293</f>
        <v>8.475925094026902</v>
      </c>
      <c r="AH2110" s="110">
        <f>'Data_in-situ'!EP293</f>
        <v>1</v>
      </c>
      <c r="AI2110" s="113">
        <f>'Data_in-situ'!ER293</f>
        <v>-46</v>
      </c>
      <c r="AJ2110" s="113">
        <f>'Data_in-situ'!ES293</f>
        <v>10.433446461422932</v>
      </c>
      <c r="AK2110" s="110">
        <f>'Data_in-situ'!ET293</f>
        <v>1</v>
      </c>
    </row>
    <row r="2111" spans="20:37" x14ac:dyDescent="0.3">
      <c r="T2111" s="113">
        <f>'Data_in-situ'!DN355</f>
        <v>104.97588219692315</v>
      </c>
      <c r="U2111" s="113">
        <f>'Data_in-situ'!DO355</f>
        <v>117.03543692264172</v>
      </c>
      <c r="V2111" s="46">
        <f>'Data_in-situ'!DP355</f>
        <v>3</v>
      </c>
      <c r="W2111" s="113">
        <f>'Data_in-situ'!DR355</f>
        <v>16.732012874581695</v>
      </c>
      <c r="X2111" s="113">
        <f>'Data_in-situ'!DS355</f>
        <v>62.531151156862556</v>
      </c>
      <c r="Y2111" s="46">
        <f>'Data_in-situ'!DT355</f>
        <v>3</v>
      </c>
      <c r="AF2111" s="113">
        <f>'Data_in-situ'!EN294</f>
        <v>-20.8</v>
      </c>
      <c r="AG2111" s="113">
        <f>'Data_in-situ'!EO294</f>
        <v>8.475925094026902</v>
      </c>
      <c r="AH2111" s="110">
        <f>'Data_in-situ'!EP294</f>
        <v>1</v>
      </c>
      <c r="AI2111" s="113">
        <f>'Data_in-situ'!ER294</f>
        <v>-40</v>
      </c>
      <c r="AJ2111" s="113">
        <f>'Data_in-situ'!ES294</f>
        <v>9.0725621403677668</v>
      </c>
      <c r="AK2111" s="110">
        <f>'Data_in-situ'!ET294</f>
        <v>1</v>
      </c>
    </row>
    <row r="2112" spans="20:37" x14ac:dyDescent="0.3">
      <c r="T2112" s="113">
        <f>'Data_in-situ'!DN356</f>
        <v>104.97588219692315</v>
      </c>
      <c r="U2112" s="113">
        <f>'Data_in-situ'!DO356</f>
        <v>117.03543692264172</v>
      </c>
      <c r="V2112" s="46">
        <f>'Data_in-situ'!DP356</f>
        <v>3</v>
      </c>
      <c r="W2112" s="113">
        <f>'Data_in-situ'!DR356</f>
        <v>0</v>
      </c>
      <c r="X2112" s="113">
        <f>'Data_in-situ'!DS356</f>
        <v>0</v>
      </c>
      <c r="Y2112" s="46">
        <f>'Data_in-situ'!DT356</f>
        <v>3</v>
      </c>
      <c r="AF2112" s="113">
        <f>'Data_in-situ'!EN295</f>
        <v>-20.8</v>
      </c>
      <c r="AG2112" s="113">
        <f>'Data_in-situ'!EO295</f>
        <v>8.475925094026902</v>
      </c>
      <c r="AH2112" s="110">
        <f>'Data_in-situ'!EP295</f>
        <v>1</v>
      </c>
      <c r="AI2112" s="113">
        <f>'Data_in-situ'!ER295</f>
        <v>-31.5</v>
      </c>
      <c r="AJ2112" s="113">
        <f>'Data_in-situ'!ES295</f>
        <v>7.1446426855396163</v>
      </c>
      <c r="AK2112" s="110">
        <f>'Data_in-situ'!ET295</f>
        <v>1</v>
      </c>
    </row>
    <row r="2113" spans="20:37" x14ac:dyDescent="0.3">
      <c r="T2113" s="113">
        <f>'Data_in-situ'!DN357</f>
        <v>113.26345184404866</v>
      </c>
      <c r="U2113" s="113">
        <f>'Data_in-situ'!DO357</f>
        <v>126.27507667969238</v>
      </c>
      <c r="V2113" s="46">
        <f>'Data_in-situ'!DP357</f>
        <v>3</v>
      </c>
      <c r="W2113" s="113">
        <f>'Data_in-situ'!DR357</f>
        <v>5.2837935393415876</v>
      </c>
      <c r="X2113" s="113">
        <f>'Data_in-situ'!DS357</f>
        <v>19.746679312693438</v>
      </c>
      <c r="Y2113" s="46">
        <f>'Data_in-situ'!DT357</f>
        <v>3</v>
      </c>
      <c r="AF2113" s="113">
        <f>'Data_in-situ'!EN296</f>
        <v>-20.8</v>
      </c>
      <c r="AG2113" s="113">
        <f>'Data_in-situ'!EO296</f>
        <v>8.475925094026902</v>
      </c>
      <c r="AH2113" s="110">
        <f>'Data_in-situ'!EP296</f>
        <v>1</v>
      </c>
      <c r="AI2113" s="113">
        <f>'Data_in-situ'!ER296</f>
        <v>-48.2</v>
      </c>
      <c r="AJ2113" s="113">
        <f>'Data_in-situ'!ES296</f>
        <v>10.93243737914316</v>
      </c>
      <c r="AK2113" s="110">
        <f>'Data_in-situ'!ET296</f>
        <v>1</v>
      </c>
    </row>
    <row r="2114" spans="20:37" x14ac:dyDescent="0.3">
      <c r="T2114" s="113">
        <f>'Data_in-situ'!DN358</f>
        <v>109.11966702048591</v>
      </c>
      <c r="U2114" s="113">
        <f>'Data_in-situ'!DO358</f>
        <v>121.65525680116704</v>
      </c>
      <c r="V2114" s="46">
        <f>'Data_in-situ'!DP358</f>
        <v>3</v>
      </c>
      <c r="W2114" s="113">
        <f>'Data_in-situ'!DR358</f>
        <v>3.5225290262277253</v>
      </c>
      <c r="X2114" s="113">
        <f>'Data_in-situ'!DS358</f>
        <v>13.164452875128958</v>
      </c>
      <c r="Y2114" s="46">
        <f>'Data_in-situ'!DT358</f>
        <v>3</v>
      </c>
      <c r="AF2114" s="113">
        <f>'Data_in-situ'!EN297</f>
        <v>-20.8</v>
      </c>
      <c r="AG2114" s="113">
        <f>'Data_in-situ'!EO297</f>
        <v>8.475925094026902</v>
      </c>
      <c r="AH2114" s="110">
        <f>'Data_in-situ'!EP297</f>
        <v>1</v>
      </c>
      <c r="AI2114" s="113">
        <f>'Data_in-situ'!ER297</f>
        <v>-46</v>
      </c>
      <c r="AJ2114" s="113">
        <f>'Data_in-situ'!ES297</f>
        <v>10.433446461422932</v>
      </c>
      <c r="AK2114" s="110">
        <f>'Data_in-situ'!ET297</f>
        <v>1</v>
      </c>
    </row>
    <row r="2115" spans="20:37" x14ac:dyDescent="0.3">
      <c r="T2115" s="113">
        <f>'Data_in-situ'!DN359</f>
        <v>109.11966702048591</v>
      </c>
      <c r="U2115" s="113">
        <f>'Data_in-situ'!DO359</f>
        <v>121.65525680116704</v>
      </c>
      <c r="V2115" s="46">
        <f>'Data_in-situ'!DP359</f>
        <v>3</v>
      </c>
      <c r="W2115" s="113">
        <f>'Data_in-situ'!DR359</f>
        <v>0.88063225655693134</v>
      </c>
      <c r="X2115" s="113">
        <f>'Data_in-situ'!DS359</f>
        <v>3.2911132187822396</v>
      </c>
      <c r="Y2115" s="46">
        <f>'Data_in-situ'!DT359</f>
        <v>3</v>
      </c>
      <c r="AF2115" s="113">
        <f>'Data_in-situ'!EN298</f>
        <v>-20.8</v>
      </c>
      <c r="AG2115" s="113">
        <f>'Data_in-situ'!EO298</f>
        <v>8.475925094026902</v>
      </c>
      <c r="AH2115" s="110">
        <f>'Data_in-situ'!EP298</f>
        <v>1</v>
      </c>
      <c r="AI2115" s="113">
        <f>'Data_in-situ'!ER298</f>
        <v>-40</v>
      </c>
      <c r="AJ2115" s="113">
        <f>'Data_in-situ'!ES298</f>
        <v>9.0725621403677668</v>
      </c>
      <c r="AK2115" s="110">
        <f>'Data_in-situ'!ET298</f>
        <v>1</v>
      </c>
    </row>
    <row r="2116" spans="20:37" x14ac:dyDescent="0.3">
      <c r="T2116" s="113">
        <f>'Data_in-situ'!DN360</f>
        <v>78.736738703339938</v>
      </c>
      <c r="U2116" s="113">
        <f>'Data_in-situ'!DO360</f>
        <v>27.597052434686233</v>
      </c>
      <c r="V2116" s="46">
        <f>'Data_in-situ'!DP360</f>
        <v>8</v>
      </c>
      <c r="W2116" s="113">
        <f>'Data_in-situ'!DR360</f>
        <v>125.2043222003928</v>
      </c>
      <c r="X2116" s="113">
        <f>'Data_in-situ'!DS360</f>
        <v>186.10419799607629</v>
      </c>
      <c r="Y2116" s="46">
        <f>'Data_in-situ'!DT360</f>
        <v>8</v>
      </c>
      <c r="AF2116" s="113">
        <f>'Data_in-situ'!EN299</f>
        <v>-20.8</v>
      </c>
      <c r="AG2116" s="113">
        <f>'Data_in-situ'!EO299</f>
        <v>8.475925094026902</v>
      </c>
      <c r="AH2116" s="110">
        <f>'Data_in-situ'!EP299</f>
        <v>1</v>
      </c>
      <c r="AI2116" s="113">
        <f>'Data_in-situ'!ER299</f>
        <v>-31.5</v>
      </c>
      <c r="AJ2116" s="113">
        <f>'Data_in-situ'!ES299</f>
        <v>7.1446426855396163</v>
      </c>
      <c r="AK2116" s="110">
        <f>'Data_in-situ'!ET299</f>
        <v>1</v>
      </c>
    </row>
    <row r="2117" spans="20:37" x14ac:dyDescent="0.3">
      <c r="T2117" s="113">
        <f>'Data_in-situ'!DN362</f>
        <v>13.000958989688872</v>
      </c>
      <c r="U2117" s="113">
        <f>'Data_in-situ'!DO362</f>
        <v>49.021154863031335</v>
      </c>
      <c r="V2117" s="46">
        <f>'Data_in-situ'!DP362</f>
        <v>8</v>
      </c>
      <c r="W2117" s="113">
        <f>'Data_in-situ'!DR362</f>
        <v>-4.3235288751980265</v>
      </c>
      <c r="X2117" s="113">
        <f>'Data_in-situ'!DS362</f>
        <v>9.6228681188427743</v>
      </c>
      <c r="Y2117" s="46">
        <f>'Data_in-situ'!DT362</f>
        <v>8</v>
      </c>
      <c r="AF2117" s="113">
        <f>'Data_in-situ'!EN300</f>
        <v>-20.8</v>
      </c>
      <c r="AG2117" s="113">
        <f>'Data_in-situ'!EO300</f>
        <v>8.475925094026902</v>
      </c>
      <c r="AH2117" s="110">
        <f>'Data_in-situ'!EP300</f>
        <v>1</v>
      </c>
      <c r="AI2117" s="113">
        <f>'Data_in-situ'!ER300</f>
        <v>-48.2</v>
      </c>
      <c r="AJ2117" s="113">
        <f>'Data_in-situ'!ES300</f>
        <v>10.93243737914316</v>
      </c>
      <c r="AK2117" s="110">
        <f>'Data_in-situ'!ET300</f>
        <v>1</v>
      </c>
    </row>
    <row r="2118" spans="20:37" x14ac:dyDescent="0.3">
      <c r="T2118" s="113">
        <f>'Data_in-situ'!DN363</f>
        <v>92.536237514844473</v>
      </c>
      <c r="U2118" s="113">
        <f>'Data_in-situ'!DO363</f>
        <v>343.16618940866766</v>
      </c>
      <c r="V2118" s="46">
        <f>'Data_in-situ'!DP363</f>
        <v>8</v>
      </c>
      <c r="W2118" s="113">
        <f>'Data_in-situ'!DR363</f>
        <v>-4.3235288751980265</v>
      </c>
      <c r="X2118" s="113">
        <f>'Data_in-situ'!DS363</f>
        <v>4.2368888087214085</v>
      </c>
      <c r="Y2118" s="46">
        <f>'Data_in-situ'!DT363</f>
        <v>8</v>
      </c>
      <c r="AF2118" s="113">
        <f>'Data_in-situ'!EN301</f>
        <v>-20.8</v>
      </c>
      <c r="AG2118" s="113">
        <f>'Data_in-situ'!EO301</f>
        <v>8.475925094026902</v>
      </c>
      <c r="AH2118" s="110">
        <f>'Data_in-situ'!EP301</f>
        <v>1</v>
      </c>
      <c r="AI2118" s="113">
        <f>'Data_in-situ'!ER301</f>
        <v>-46</v>
      </c>
      <c r="AJ2118" s="113">
        <f>'Data_in-situ'!ES301</f>
        <v>10.433446461422932</v>
      </c>
      <c r="AK2118" s="110">
        <f>'Data_in-situ'!ET301</f>
        <v>1</v>
      </c>
    </row>
    <row r="2119" spans="20:37" x14ac:dyDescent="0.3">
      <c r="T2119" s="113">
        <f>'Data_in-situ'!DN389</f>
        <v>68</v>
      </c>
      <c r="U2119" s="113">
        <f>'Data_in-situ'!DO389</f>
        <v>56.982751846655269</v>
      </c>
      <c r="V2119" s="46">
        <f>'Data_in-situ'!DP389</f>
        <v>4</v>
      </c>
      <c r="W2119" s="113">
        <f>'Data_in-situ'!DR389</f>
        <v>15.999999999999998</v>
      </c>
      <c r="X2119" s="113">
        <f>'Data_in-situ'!DS389</f>
        <v>88.274002438097213</v>
      </c>
      <c r="Y2119" s="46">
        <f>'Data_in-situ'!DT389</f>
        <v>4</v>
      </c>
      <c r="AF2119" s="113">
        <f>'Data_in-situ'!EN302</f>
        <v>-20.8</v>
      </c>
      <c r="AG2119" s="113">
        <f>'Data_in-situ'!EO302</f>
        <v>8.475925094026902</v>
      </c>
      <c r="AH2119" s="110">
        <f>'Data_in-situ'!EP302</f>
        <v>1</v>
      </c>
      <c r="AI2119" s="113">
        <f>'Data_in-situ'!ER302</f>
        <v>-40</v>
      </c>
      <c r="AJ2119" s="113">
        <f>'Data_in-situ'!ES302</f>
        <v>9.0725621403677668</v>
      </c>
      <c r="AK2119" s="110">
        <f>'Data_in-situ'!ET302</f>
        <v>1</v>
      </c>
    </row>
    <row r="2120" spans="20:37" x14ac:dyDescent="0.3">
      <c r="T2120" s="113">
        <f>'Data_in-situ'!DN390</f>
        <v>67.999999999999986</v>
      </c>
      <c r="U2120" s="113">
        <f>'Data_in-situ'!DO390</f>
        <v>56.982751846655255</v>
      </c>
      <c r="V2120" s="46">
        <f>'Data_in-situ'!DP390</f>
        <v>4</v>
      </c>
      <c r="W2120" s="113">
        <f>'Data_in-situ'!DR390</f>
        <v>40</v>
      </c>
      <c r="X2120" s="113">
        <f>'Data_in-situ'!DS390</f>
        <v>220.68500609524307</v>
      </c>
      <c r="Y2120" s="46">
        <f>'Data_in-situ'!DT390</f>
        <v>4</v>
      </c>
      <c r="AF2120" s="113">
        <f>'Data_in-situ'!EN303</f>
        <v>-20.8</v>
      </c>
      <c r="AG2120" s="113">
        <f>'Data_in-situ'!EO303</f>
        <v>8.475925094026902</v>
      </c>
      <c r="AH2120" s="110">
        <f>'Data_in-situ'!EP303</f>
        <v>1</v>
      </c>
      <c r="AI2120" s="113">
        <f>'Data_in-situ'!ER303</f>
        <v>-31.5</v>
      </c>
      <c r="AJ2120" s="113">
        <f>'Data_in-situ'!ES303</f>
        <v>7.1446426855396163</v>
      </c>
      <c r="AK2120" s="110">
        <f>'Data_in-situ'!ET303</f>
        <v>1</v>
      </c>
    </row>
    <row r="2121" spans="20:37" x14ac:dyDescent="0.3">
      <c r="T2121" s="113">
        <f>'Data_in-situ'!DN414</f>
        <v>434.70588235294116</v>
      </c>
      <c r="U2121" s="113">
        <f>'Data_in-situ'!DO414</f>
        <v>437.34858971687066</v>
      </c>
      <c r="V2121" s="46">
        <f>'Data_in-situ'!DP414</f>
        <v>5</v>
      </c>
      <c r="W2121" s="113">
        <f>'Data_in-situ'!DR414</f>
        <v>15.294117647058824</v>
      </c>
      <c r="X2121" s="113">
        <f>'Data_in-situ'!DS414</f>
        <v>15.126342200733873</v>
      </c>
      <c r="Y2121" s="46">
        <f>'Data_in-situ'!DT414</f>
        <v>5</v>
      </c>
      <c r="AF2121" s="113">
        <f>'Data_in-situ'!EN304</f>
        <v>-48.7</v>
      </c>
      <c r="AG2121" s="113">
        <f>'Data_in-situ'!EO304</f>
        <v>19.845074619187987</v>
      </c>
      <c r="AH2121" s="110">
        <f>'Data_in-situ'!EP304</f>
        <v>1</v>
      </c>
      <c r="AI2121" s="113">
        <f>'Data_in-situ'!ER304</f>
        <v>-77.599999999999994</v>
      </c>
      <c r="AJ2121" s="113">
        <f>'Data_in-situ'!ES304</f>
        <v>17.600770552313467</v>
      </c>
      <c r="AK2121" s="110">
        <f>'Data_in-situ'!ET304</f>
        <v>1</v>
      </c>
    </row>
    <row r="2122" spans="20:37" x14ac:dyDescent="0.3">
      <c r="T2122" s="113">
        <f>'Data_in-situ'!DN416</f>
        <v>102.39147844674257</v>
      </c>
      <c r="U2122" s="113">
        <f>'Data_in-situ'!DO416</f>
        <v>25.149528090905832</v>
      </c>
      <c r="V2122" s="46">
        <f>'Data_in-situ'!DP416</f>
        <v>5</v>
      </c>
      <c r="W2122" s="113">
        <f>'Data_in-situ'!DR416</f>
        <v>6.6536659384301489</v>
      </c>
      <c r="X2122" s="113">
        <f>'Data_in-situ'!DS416</f>
        <v>9.0885183749652523</v>
      </c>
      <c r="Y2122" s="46">
        <f>'Data_in-situ'!DT416</f>
        <v>5</v>
      </c>
      <c r="AF2122" s="113">
        <f>'Data_in-situ'!EN305</f>
        <v>-48.7</v>
      </c>
      <c r="AG2122" s="113">
        <f>'Data_in-situ'!EO305</f>
        <v>19.845074619187987</v>
      </c>
      <c r="AH2122" s="110">
        <f>'Data_in-situ'!EP305</f>
        <v>1</v>
      </c>
      <c r="AI2122" s="113">
        <f>'Data_in-situ'!ER305</f>
        <v>-119.3</v>
      </c>
      <c r="AJ2122" s="113">
        <f>'Data_in-situ'!ES305</f>
        <v>27.058916583646866</v>
      </c>
      <c r="AK2122" s="110">
        <f>'Data_in-situ'!ET305</f>
        <v>1</v>
      </c>
    </row>
    <row r="2123" spans="20:37" x14ac:dyDescent="0.3">
      <c r="T2123" s="113">
        <f>'Data_in-situ'!DN417</f>
        <v>970.38416592642932</v>
      </c>
      <c r="U2123" s="113">
        <f>'Data_in-situ'!DO417</f>
        <v>1081.8612091201044</v>
      </c>
      <c r="V2123" s="46">
        <f>'Data_in-situ'!DP417</f>
        <v>5</v>
      </c>
      <c r="W2123" s="113">
        <f>'Data_in-situ'!DR417</f>
        <v>2.3483526841518167</v>
      </c>
      <c r="X2123" s="113">
        <f>'Data_in-situ'!DS417</f>
        <v>4.0730546894946382</v>
      </c>
      <c r="Y2123" s="46">
        <f>'Data_in-situ'!DT417</f>
        <v>6</v>
      </c>
      <c r="AF2123" s="113">
        <f>'Data_in-situ'!EN306</f>
        <v>-48.7</v>
      </c>
      <c r="AG2123" s="113">
        <f>'Data_in-situ'!EO306</f>
        <v>19.845074619187987</v>
      </c>
      <c r="AH2123" s="110">
        <f>'Data_in-situ'!EP306</f>
        <v>1</v>
      </c>
      <c r="AI2123" s="113">
        <f>'Data_in-situ'!ER306</f>
        <v>-85.1</v>
      </c>
      <c r="AJ2123" s="113">
        <f>'Data_in-situ'!ES306</f>
        <v>19.301875953632422</v>
      </c>
      <c r="AK2123" s="110">
        <f>'Data_in-situ'!ET306</f>
        <v>1</v>
      </c>
    </row>
    <row r="2124" spans="20:37" x14ac:dyDescent="0.3">
      <c r="T2124" s="113">
        <f>'Data_in-situ'!DN424</f>
        <v>107.675</v>
      </c>
      <c r="U2124" s="113">
        <f>'Data_in-situ'!DO424</f>
        <v>94.631879978859843</v>
      </c>
      <c r="V2124" s="46">
        <f>'Data_in-situ'!DP424</f>
        <v>3</v>
      </c>
      <c r="W2124" s="113">
        <f>'Data_in-situ'!DR424</f>
        <v>39.175000000000004</v>
      </c>
      <c r="X2124" s="113">
        <f>'Data_in-situ'!DS424</f>
        <v>27.610222291752745</v>
      </c>
      <c r="Y2124" s="46">
        <f>'Data_in-situ'!DT424</f>
        <v>3</v>
      </c>
      <c r="AF2124" s="113">
        <f>'Data_in-situ'!EN307</f>
        <v>-48.7</v>
      </c>
      <c r="AG2124" s="113">
        <f>'Data_in-situ'!EO307</f>
        <v>19.845074619187987</v>
      </c>
      <c r="AH2124" s="110">
        <f>'Data_in-situ'!EP307</f>
        <v>1</v>
      </c>
      <c r="AI2124" s="113">
        <f>'Data_in-situ'!ER307</f>
        <v>-90</v>
      </c>
      <c r="AJ2124" s="113">
        <f>'Data_in-situ'!ES307</f>
        <v>20.413264815827475</v>
      </c>
      <c r="AK2124" s="110">
        <f>'Data_in-situ'!ET307</f>
        <v>1</v>
      </c>
    </row>
    <row r="2125" spans="20:37" x14ac:dyDescent="0.3">
      <c r="T2125" s="113">
        <f>'Data_in-situ'!DN456</f>
        <v>118.26666666666667</v>
      </c>
      <c r="U2125" s="113">
        <f>'Data_in-situ'!DO456</f>
        <v>131.85305726464713</v>
      </c>
      <c r="V2125" s="46">
        <f>'Data_in-situ'!DP456</f>
        <v>1</v>
      </c>
      <c r="W2125" s="113">
        <f>'Data_in-situ'!DR456</f>
        <v>58</v>
      </c>
      <c r="X2125" s="113">
        <f>'Data_in-situ'!DS456</f>
        <v>216.75854508859857</v>
      </c>
      <c r="Y2125" s="46">
        <f>'Data_in-situ'!DT456</f>
        <v>1</v>
      </c>
      <c r="AF2125" s="113">
        <f>'Data_in-situ'!EN308</f>
        <v>-48.7</v>
      </c>
      <c r="AG2125" s="113">
        <f>'Data_in-situ'!EO308</f>
        <v>19.845074619187987</v>
      </c>
      <c r="AH2125" s="110">
        <f>'Data_in-situ'!EP308</f>
        <v>1</v>
      </c>
      <c r="AI2125" s="113">
        <f>'Data_in-situ'!ER308</f>
        <v>-77.599999999999994</v>
      </c>
      <c r="AJ2125" s="113">
        <f>'Data_in-situ'!ES308</f>
        <v>17.600770552313467</v>
      </c>
      <c r="AK2125" s="110">
        <f>'Data_in-situ'!ET308</f>
        <v>1</v>
      </c>
    </row>
    <row r="2126" spans="20:37" x14ac:dyDescent="0.3">
      <c r="T2126" s="113">
        <f>'Data_in-situ'!DN457</f>
        <v>115.06666666666666</v>
      </c>
      <c r="U2126" s="113">
        <f>'Data_in-situ'!DO457</f>
        <v>128.28544353933538</v>
      </c>
      <c r="V2126" s="46">
        <f>'Data_in-situ'!DP457</f>
        <v>1</v>
      </c>
      <c r="W2126" s="113">
        <f>'Data_in-situ'!DR457</f>
        <v>63.333333333333336</v>
      </c>
      <c r="X2126" s="113">
        <f>'Data_in-situ'!DS457</f>
        <v>236.69036532663063</v>
      </c>
      <c r="Y2126" s="46">
        <f>'Data_in-situ'!DT457</f>
        <v>1</v>
      </c>
      <c r="AF2126" s="113">
        <f>'Data_in-situ'!EN309</f>
        <v>-48.7</v>
      </c>
      <c r="AG2126" s="113">
        <f>'Data_in-situ'!EO309</f>
        <v>19.845074619187987</v>
      </c>
      <c r="AH2126" s="110">
        <f>'Data_in-situ'!EP309</f>
        <v>1</v>
      </c>
      <c r="AI2126" s="113">
        <f>'Data_in-situ'!ER309</f>
        <v>-119.3</v>
      </c>
      <c r="AJ2126" s="113">
        <f>'Data_in-situ'!ES309</f>
        <v>27.058916583646866</v>
      </c>
      <c r="AK2126" s="110">
        <f>'Data_in-situ'!ET309</f>
        <v>1</v>
      </c>
    </row>
    <row r="2127" spans="20:37" x14ac:dyDescent="0.3">
      <c r="T2127" s="113">
        <f>'Data_in-situ'!DN458</f>
        <v>105.2</v>
      </c>
      <c r="U2127" s="113">
        <f>'Data_in-situ'!DO458</f>
        <v>117.28530121962412</v>
      </c>
      <c r="V2127" s="46">
        <f>'Data_in-situ'!DP458</f>
        <v>1</v>
      </c>
      <c r="W2127" s="113">
        <f>'Data_in-situ'!DR458</f>
        <v>45.466666666666669</v>
      </c>
      <c r="X2127" s="113">
        <f>'Data_in-situ'!DS458</f>
        <v>169.91876752922326</v>
      </c>
      <c r="Y2127" s="46">
        <f>'Data_in-situ'!DT458</f>
        <v>1</v>
      </c>
      <c r="AF2127" s="113">
        <f>'Data_in-situ'!EN310</f>
        <v>-48.7</v>
      </c>
      <c r="AG2127" s="113">
        <f>'Data_in-situ'!EO310</f>
        <v>19.845074619187987</v>
      </c>
      <c r="AH2127" s="110">
        <f>'Data_in-situ'!EP310</f>
        <v>1</v>
      </c>
      <c r="AI2127" s="113">
        <f>'Data_in-situ'!ER310</f>
        <v>-85.1</v>
      </c>
      <c r="AJ2127" s="113">
        <f>'Data_in-situ'!ES310</f>
        <v>19.301875953632422</v>
      </c>
      <c r="AK2127" s="110">
        <f>'Data_in-situ'!ET310</f>
        <v>1</v>
      </c>
    </row>
    <row r="2128" spans="20:37" x14ac:dyDescent="0.3">
      <c r="T2128" s="113">
        <f>'Data_in-situ'!DN459</f>
        <v>118.26666666666667</v>
      </c>
      <c r="U2128" s="113">
        <f>'Data_in-situ'!DO459</f>
        <v>131.85305726464713</v>
      </c>
      <c r="V2128" s="46">
        <f>'Data_in-situ'!DP459</f>
        <v>1</v>
      </c>
      <c r="W2128" s="113">
        <f>'Data_in-situ'!DR459</f>
        <v>26.133333333333336</v>
      </c>
      <c r="X2128" s="113">
        <f>'Data_in-situ'!DS459</f>
        <v>97.665919166357071</v>
      </c>
      <c r="Y2128" s="46">
        <f>'Data_in-situ'!DT459</f>
        <v>1</v>
      </c>
      <c r="AF2128" s="113">
        <f>'Data_in-situ'!EN311</f>
        <v>-48.7</v>
      </c>
      <c r="AG2128" s="113">
        <f>'Data_in-situ'!EO311</f>
        <v>19.845074619187987</v>
      </c>
      <c r="AH2128" s="110">
        <f>'Data_in-situ'!EP311</f>
        <v>1</v>
      </c>
      <c r="AI2128" s="113">
        <f>'Data_in-situ'!ER311</f>
        <v>-90</v>
      </c>
      <c r="AJ2128" s="113">
        <f>'Data_in-situ'!ES311</f>
        <v>20.413264815827475</v>
      </c>
      <c r="AK2128" s="110">
        <f>'Data_in-situ'!ET311</f>
        <v>1</v>
      </c>
    </row>
    <row r="2129" spans="20:37" x14ac:dyDescent="0.3">
      <c r="T2129" s="113">
        <f>'Data_in-situ'!DN460</f>
        <v>115.06666666666666</v>
      </c>
      <c r="U2129" s="113">
        <f>'Data_in-situ'!DO460</f>
        <v>128.28544353933538</v>
      </c>
      <c r="V2129" s="46">
        <f>'Data_in-situ'!DP460</f>
        <v>1</v>
      </c>
      <c r="W2129" s="113">
        <f>'Data_in-situ'!DR460</f>
        <v>31.733333333333334</v>
      </c>
      <c r="X2129" s="113">
        <f>'Data_in-situ'!DS460</f>
        <v>118.59433041629072</v>
      </c>
      <c r="Y2129" s="46">
        <f>'Data_in-situ'!DT460</f>
        <v>1</v>
      </c>
      <c r="AF2129" s="113">
        <f>'Data_in-situ'!EN312</f>
        <v>-48.7</v>
      </c>
      <c r="AG2129" s="113">
        <f>'Data_in-situ'!EO312</f>
        <v>19.845074619187987</v>
      </c>
      <c r="AH2129" s="110">
        <f>'Data_in-situ'!EP312</f>
        <v>1</v>
      </c>
      <c r="AI2129" s="113">
        <f>'Data_in-situ'!ER312</f>
        <v>-77.599999999999994</v>
      </c>
      <c r="AJ2129" s="113">
        <f>'Data_in-situ'!ES312</f>
        <v>17.600770552313467</v>
      </c>
      <c r="AK2129" s="110">
        <f>'Data_in-situ'!ET312</f>
        <v>1</v>
      </c>
    </row>
    <row r="2130" spans="20:37" x14ac:dyDescent="0.3">
      <c r="T2130" s="113">
        <f>'Data_in-situ'!DN461</f>
        <v>105.2</v>
      </c>
      <c r="U2130" s="113">
        <f>'Data_in-situ'!DO461</f>
        <v>117.28530121962412</v>
      </c>
      <c r="V2130" s="46">
        <f>'Data_in-situ'!DP461</f>
        <v>1</v>
      </c>
      <c r="W2130" s="113">
        <f>'Data_in-situ'!DR461</f>
        <v>29.733333333333334</v>
      </c>
      <c r="X2130" s="113">
        <f>'Data_in-situ'!DS461</f>
        <v>111.11989782702869</v>
      </c>
      <c r="Y2130" s="46">
        <f>'Data_in-situ'!DT461</f>
        <v>1</v>
      </c>
      <c r="AF2130" s="113">
        <f>'Data_in-situ'!EN313</f>
        <v>-48.7</v>
      </c>
      <c r="AG2130" s="113">
        <f>'Data_in-situ'!EO313</f>
        <v>19.845074619187987</v>
      </c>
      <c r="AH2130" s="110">
        <f>'Data_in-situ'!EP313</f>
        <v>1</v>
      </c>
      <c r="AI2130" s="113">
        <f>'Data_in-situ'!ER313</f>
        <v>-119.3</v>
      </c>
      <c r="AJ2130" s="113">
        <f>'Data_in-situ'!ES313</f>
        <v>27.058916583646866</v>
      </c>
      <c r="AK2130" s="110">
        <f>'Data_in-situ'!ET313</f>
        <v>1</v>
      </c>
    </row>
    <row r="2131" spans="20:37" x14ac:dyDescent="0.3">
      <c r="AF2131" s="113">
        <f>'Data_in-situ'!EN314</f>
        <v>-48.7</v>
      </c>
      <c r="AG2131" s="113">
        <f>'Data_in-situ'!EO314</f>
        <v>19.845074619187987</v>
      </c>
      <c r="AH2131" s="110">
        <f>'Data_in-situ'!EP314</f>
        <v>1</v>
      </c>
      <c r="AI2131" s="113">
        <f>'Data_in-situ'!ER314</f>
        <v>-85.1</v>
      </c>
      <c r="AJ2131" s="113">
        <f>'Data_in-situ'!ES314</f>
        <v>19.301875953632422</v>
      </c>
      <c r="AK2131" s="110">
        <f>'Data_in-situ'!ET314</f>
        <v>1</v>
      </c>
    </row>
    <row r="2132" spans="20:37" x14ac:dyDescent="0.3">
      <c r="AF2132" s="113">
        <f>'Data_in-situ'!EN315</f>
        <v>-48.7</v>
      </c>
      <c r="AG2132" s="113">
        <f>'Data_in-situ'!EO315</f>
        <v>19.845074619187987</v>
      </c>
      <c r="AH2132" s="110">
        <f>'Data_in-situ'!EP315</f>
        <v>1</v>
      </c>
      <c r="AI2132" s="113">
        <f>'Data_in-situ'!ER315</f>
        <v>-90</v>
      </c>
      <c r="AJ2132" s="113">
        <f>'Data_in-situ'!ES315</f>
        <v>20.413264815827475</v>
      </c>
      <c r="AK2132" s="110">
        <f>'Data_in-situ'!ET315</f>
        <v>1</v>
      </c>
    </row>
    <row r="2133" spans="20:37" x14ac:dyDescent="0.3">
      <c r="AF2133" s="113">
        <f>'Data_in-situ'!EN316</f>
        <v>-7.2</v>
      </c>
      <c r="AG2133" s="113">
        <f>'Data_in-situ'!EO316</f>
        <v>5.7</v>
      </c>
      <c r="AH2133" s="110">
        <f>'Data_in-situ'!EP316</f>
        <v>18</v>
      </c>
      <c r="AI2133" s="113">
        <f>'Data_in-situ'!ER316</f>
        <v>-22.1</v>
      </c>
      <c r="AJ2133" s="113">
        <f>'Data_in-situ'!ES316</f>
        <v>8.6</v>
      </c>
      <c r="AK2133" s="110">
        <f>'Data_in-situ'!ET316</f>
        <v>18</v>
      </c>
    </row>
    <row r="2134" spans="20:37" x14ac:dyDescent="0.3">
      <c r="AF2134" s="113">
        <f>'Data_in-situ'!EN317</f>
        <v>-18.7</v>
      </c>
      <c r="AG2134" s="113">
        <f>'Data_in-situ'!EO317</f>
        <v>7.2</v>
      </c>
      <c r="AH2134" s="110">
        <f>'Data_in-situ'!EP317</f>
        <v>15</v>
      </c>
      <c r="AI2134" s="113">
        <f>'Data_in-situ'!ER317</f>
        <v>-34.5</v>
      </c>
      <c r="AJ2134" s="113">
        <f>'Data_in-situ'!ES317</f>
        <v>9.3000000000000007</v>
      </c>
      <c r="AK2134" s="110">
        <f>'Data_in-situ'!ET317</f>
        <v>15</v>
      </c>
    </row>
    <row r="2135" spans="20:37" x14ac:dyDescent="0.3">
      <c r="AF2135" s="113">
        <f>'Data_in-situ'!EN318</f>
        <v>-10.3</v>
      </c>
      <c r="AG2135" s="113">
        <f>'Data_in-situ'!EO318</f>
        <v>8</v>
      </c>
      <c r="AH2135" s="110">
        <f>'Data_in-situ'!EP318</f>
        <v>18</v>
      </c>
      <c r="AI2135" s="113">
        <f>'Data_in-situ'!ER318</f>
        <v>-20.6</v>
      </c>
      <c r="AJ2135" s="113">
        <f>'Data_in-situ'!ES318</f>
        <v>9.6999999999999993</v>
      </c>
      <c r="AK2135" s="110">
        <f>'Data_in-situ'!ET318</f>
        <v>18</v>
      </c>
    </row>
    <row r="2136" spans="20:37" x14ac:dyDescent="0.3">
      <c r="AF2136" s="113">
        <f>'Data_in-situ'!EN319</f>
        <v>-27.8</v>
      </c>
      <c r="AG2136" s="113">
        <f>'Data_in-situ'!EO319</f>
        <v>9.3000000000000007</v>
      </c>
      <c r="AH2136" s="110">
        <f>'Data_in-situ'!EP319</f>
        <v>12</v>
      </c>
      <c r="AI2136" s="113">
        <f>'Data_in-situ'!ER319</f>
        <v>-31.9</v>
      </c>
      <c r="AJ2136" s="113">
        <f>'Data_in-situ'!ES319</f>
        <v>7.5</v>
      </c>
      <c r="AK2136" s="110">
        <f>'Data_in-situ'!ET319</f>
        <v>12</v>
      </c>
    </row>
    <row r="2137" spans="20:37" x14ac:dyDescent="0.3">
      <c r="AF2137" s="113">
        <f>'Data_in-situ'!EN320</f>
        <v>-7.1</v>
      </c>
      <c r="AG2137" s="113">
        <f>'Data_in-situ'!EO320</f>
        <v>4.7</v>
      </c>
      <c r="AH2137" s="110">
        <f>'Data_in-situ'!EP320</f>
        <v>17</v>
      </c>
      <c r="AI2137" s="113">
        <f>'Data_in-situ'!ER320</f>
        <v>-11.8</v>
      </c>
      <c r="AJ2137" s="113">
        <f>'Data_in-situ'!ES320</f>
        <v>6.6</v>
      </c>
      <c r="AK2137" s="110">
        <f>'Data_in-situ'!ET320</f>
        <v>18</v>
      </c>
    </row>
    <row r="2138" spans="20:37" x14ac:dyDescent="0.3">
      <c r="AF2138" s="113">
        <f>'Data_in-situ'!EN321</f>
        <v>-16.600000000000001</v>
      </c>
      <c r="AG2138" s="113">
        <f>'Data_in-situ'!EO321</f>
        <v>8.1999999999999993</v>
      </c>
      <c r="AH2138" s="110">
        <f>'Data_in-situ'!EP321</f>
        <v>15</v>
      </c>
      <c r="AI2138" s="113">
        <f>'Data_in-situ'!ER321</f>
        <v>-17.100000000000001</v>
      </c>
      <c r="AJ2138" s="113">
        <f>'Data_in-situ'!ES321</f>
        <v>11.3</v>
      </c>
      <c r="AK2138" s="110">
        <f>'Data_in-situ'!ET321</f>
        <v>15</v>
      </c>
    </row>
    <row r="2139" spans="20:37" x14ac:dyDescent="0.3">
      <c r="AF2139" s="113">
        <f>'Data_in-situ'!EN322</f>
        <v>-12.6</v>
      </c>
      <c r="AG2139" s="113">
        <f>'Data_in-situ'!EO322</f>
        <v>7.6</v>
      </c>
      <c r="AH2139" s="110">
        <f>'Data_in-situ'!EP322</f>
        <v>18</v>
      </c>
      <c r="AI2139" s="113">
        <f>'Data_in-situ'!ER322</f>
        <v>-18</v>
      </c>
      <c r="AJ2139" s="113">
        <f>'Data_in-situ'!ES322</f>
        <v>8.5</v>
      </c>
      <c r="AK2139" s="110">
        <f>'Data_in-situ'!ET322</f>
        <v>18</v>
      </c>
    </row>
    <row r="2140" spans="20:37" x14ac:dyDescent="0.3">
      <c r="AF2140" s="113">
        <f>'Data_in-situ'!EN323</f>
        <v>-26.2</v>
      </c>
      <c r="AG2140" s="113">
        <f>'Data_in-situ'!EO323</f>
        <v>12.1</v>
      </c>
      <c r="AH2140" s="110">
        <f>'Data_in-situ'!EP323</f>
        <v>29</v>
      </c>
      <c r="AI2140" s="113">
        <f>'Data_in-situ'!ER323</f>
        <v>-30</v>
      </c>
      <c r="AJ2140" s="113">
        <f>'Data_in-situ'!ES323</f>
        <v>11.2</v>
      </c>
      <c r="AK2140" s="110">
        <f>'Data_in-situ'!ET323</f>
        <v>33</v>
      </c>
    </row>
    <row r="2141" spans="20:37" x14ac:dyDescent="0.3">
      <c r="AF2141" s="113">
        <f>'Data_in-situ'!EN324</f>
        <v>-17.100000000000001</v>
      </c>
      <c r="AG2141" s="113">
        <f>'Data_in-situ'!EO324</f>
        <v>5.2</v>
      </c>
      <c r="AH2141" s="110">
        <f>'Data_in-situ'!EP324</f>
        <v>18</v>
      </c>
      <c r="AI2141" s="113">
        <f>'Data_in-situ'!ER324</f>
        <v>-28.9</v>
      </c>
      <c r="AJ2141" s="113">
        <f>'Data_in-situ'!ES324</f>
        <v>7.5</v>
      </c>
      <c r="AK2141" s="110">
        <f>'Data_in-situ'!ET324</f>
        <v>18</v>
      </c>
    </row>
    <row r="2142" spans="20:37" x14ac:dyDescent="0.3">
      <c r="AF2142" s="113">
        <f>'Data_in-situ'!EN325</f>
        <v>-38.9</v>
      </c>
      <c r="AG2142" s="113">
        <f>'Data_in-situ'!EO325</f>
        <v>9.4</v>
      </c>
      <c r="AH2142" s="110">
        <f>'Data_in-situ'!EP325</f>
        <v>12</v>
      </c>
      <c r="AI2142" s="113">
        <f>'Data_in-situ'!ER325</f>
        <v>-44.7</v>
      </c>
      <c r="AJ2142" s="113">
        <f>'Data_in-situ'!ES325</f>
        <v>8.9</v>
      </c>
      <c r="AK2142" s="110">
        <f>'Data_in-situ'!ET325</f>
        <v>12</v>
      </c>
    </row>
    <row r="2143" spans="20:37" x14ac:dyDescent="0.3">
      <c r="AF2143" s="113">
        <f>'Data_in-situ'!EN336</f>
        <v>-1</v>
      </c>
      <c r="AG2143" s="113">
        <f>'Data_in-situ'!EO336</f>
        <v>0.40749639875129334</v>
      </c>
      <c r="AH2143" s="110">
        <f>'Data_in-situ'!EP336</f>
        <v>3</v>
      </c>
      <c r="AI2143" s="113">
        <f>'Data_in-situ'!ER336</f>
        <v>-20</v>
      </c>
      <c r="AJ2143" s="113">
        <f>'Data_in-situ'!ES336</f>
        <v>4.5362810701838834</v>
      </c>
      <c r="AK2143" s="110">
        <f>'Data_in-situ'!ET336</f>
        <v>3</v>
      </c>
    </row>
    <row r="2144" spans="20:37" x14ac:dyDescent="0.3">
      <c r="AF2144" s="113">
        <f>'Data_in-situ'!EN337</f>
        <v>-1</v>
      </c>
      <c r="AG2144" s="113">
        <f>'Data_in-situ'!EO337</f>
        <v>0.40749639875129334</v>
      </c>
      <c r="AH2144" s="110">
        <f>'Data_in-situ'!EP337</f>
        <v>3</v>
      </c>
      <c r="AI2144" s="113">
        <f>'Data_in-situ'!ER337</f>
        <v>-20</v>
      </c>
      <c r="AJ2144" s="113">
        <f>'Data_in-situ'!ES337</f>
        <v>4.5362810701838834</v>
      </c>
      <c r="AK2144" s="110">
        <f>'Data_in-situ'!ET337</f>
        <v>3</v>
      </c>
    </row>
    <row r="2145" spans="32:37" x14ac:dyDescent="0.3">
      <c r="AF2145" s="113">
        <f>'Data_in-situ'!EN338</f>
        <v>-1</v>
      </c>
      <c r="AG2145" s="113">
        <f>'Data_in-situ'!EO338</f>
        <v>0.40749639875129334</v>
      </c>
      <c r="AH2145" s="110">
        <f>'Data_in-situ'!EP338</f>
        <v>3</v>
      </c>
      <c r="AI2145" s="113">
        <f>'Data_in-situ'!ER338</f>
        <v>-20</v>
      </c>
      <c r="AJ2145" s="113">
        <f>'Data_in-situ'!ES338</f>
        <v>4.5362810701838834</v>
      </c>
      <c r="AK2145" s="110">
        <f>'Data_in-situ'!ET338</f>
        <v>3</v>
      </c>
    </row>
    <row r="2146" spans="32:37" x14ac:dyDescent="0.3">
      <c r="AF2146" s="113">
        <f>'Data_in-situ'!EN339</f>
        <v>-18.728744939271266</v>
      </c>
      <c r="AG2146" s="113">
        <f>'Data_in-situ'!EO339</f>
        <v>0.97567994313706652</v>
      </c>
      <c r="AH2146" s="110">
        <f>'Data_in-situ'!EP339</f>
        <v>3</v>
      </c>
      <c r="AI2146" s="113">
        <f>'Data_in-situ'!ER339</f>
        <v>-28.769509981851183</v>
      </c>
      <c r="AJ2146" s="113">
        <f>'Data_in-situ'!ES339</f>
        <v>0.91964006572007306</v>
      </c>
      <c r="AK2146" s="110">
        <f>'Data_in-situ'!ET339</f>
        <v>3</v>
      </c>
    </row>
    <row r="2147" spans="32:37" x14ac:dyDescent="0.3">
      <c r="AF2147" s="113">
        <f>'Data_in-situ'!EN340</f>
        <v>-15.910685805422641</v>
      </c>
      <c r="AG2147" s="113">
        <f>'Data_in-situ'!EO340</f>
        <v>1.0227837765091556</v>
      </c>
      <c r="AH2147" s="110">
        <f>'Data_in-situ'!EP340</f>
        <v>3</v>
      </c>
      <c r="AI2147" s="113">
        <f>'Data_in-situ'!ER340</f>
        <v>-23.453947368421044</v>
      </c>
      <c r="AJ2147" s="113">
        <f>'Data_in-situ'!ES340</f>
        <v>1.196189530474022</v>
      </c>
      <c r="AK2147" s="110">
        <f>'Data_in-situ'!ET340</f>
        <v>3</v>
      </c>
    </row>
    <row r="2148" spans="32:37" x14ac:dyDescent="0.3">
      <c r="AF2148" s="113">
        <f>'Data_in-situ'!EN341</f>
        <v>-11.595789473684208</v>
      </c>
      <c r="AG2148" s="113">
        <f>'Data_in-situ'!EO341</f>
        <v>0.44954804430300416</v>
      </c>
      <c r="AH2148" s="110">
        <f>'Data_in-situ'!EP341</f>
        <v>3</v>
      </c>
      <c r="AI2148" s="113">
        <f>'Data_in-situ'!ER341</f>
        <v>-23.208711433756811</v>
      </c>
      <c r="AJ2148" s="113">
        <f>'Data_in-situ'!ES341</f>
        <v>0.78101283680717748</v>
      </c>
      <c r="AK2148" s="110">
        <f>'Data_in-situ'!ET341</f>
        <v>3</v>
      </c>
    </row>
    <row r="2149" spans="32:37" x14ac:dyDescent="0.3">
      <c r="AF2149" s="113">
        <f>'Data_in-situ'!EN342</f>
        <v>-11.142300194931776</v>
      </c>
      <c r="AG2149" s="113">
        <f>'Data_in-situ'!EO342</f>
        <v>0.60135887201815885</v>
      </c>
      <c r="AH2149" s="110">
        <f>'Data_in-situ'!EP342</f>
        <v>3</v>
      </c>
      <c r="AI2149" s="113">
        <f>'Data_in-situ'!ER342</f>
        <v>-18.027290448343074</v>
      </c>
      <c r="AJ2149" s="113">
        <f>'Data_in-situ'!ES342</f>
        <v>0.60993017965284302</v>
      </c>
      <c r="AK2149" s="110">
        <f>'Data_in-situ'!ET342</f>
        <v>3</v>
      </c>
    </row>
    <row r="2150" spans="32:37" x14ac:dyDescent="0.3">
      <c r="AF2150" s="113">
        <f>'Data_in-situ'!EN343</f>
        <v>-7.5049786628733965</v>
      </c>
      <c r="AG2150" s="113">
        <f>'Data_in-situ'!EO343</f>
        <v>0.56147558903179429</v>
      </c>
      <c r="AH2150" s="110">
        <f>'Data_in-situ'!EP343</f>
        <v>3</v>
      </c>
      <c r="AI2150" s="113">
        <f>'Data_in-situ'!ER343</f>
        <v>-14.886247877758912</v>
      </c>
      <c r="AJ2150" s="113">
        <f>'Data_in-situ'!ES343</f>
        <v>0.59475310250266267</v>
      </c>
      <c r="AK2150" s="110">
        <f>'Data_in-situ'!ET343</f>
        <v>3</v>
      </c>
    </row>
    <row r="2151" spans="32:37" x14ac:dyDescent="0.3">
      <c r="AF2151" s="113">
        <f>'Data_in-situ'!EN344</f>
        <v>-5.9727095516569193</v>
      </c>
      <c r="AG2151" s="113">
        <f>'Data_in-situ'!EO344</f>
        <v>0.38993551592449915</v>
      </c>
      <c r="AH2151" s="110">
        <f>'Data_in-situ'!EP344</f>
        <v>3</v>
      </c>
      <c r="AI2151" s="113">
        <f>'Data_in-situ'!ER344</f>
        <v>-14.607809847198643</v>
      </c>
      <c r="AJ2151" s="113">
        <f>'Data_in-situ'!ES344</f>
        <v>0.44735902456710497</v>
      </c>
      <c r="AK2151" s="110">
        <f>'Data_in-situ'!ET344</f>
        <v>3</v>
      </c>
    </row>
    <row r="2152" spans="32:37" x14ac:dyDescent="0.3">
      <c r="AF2152" s="113">
        <f>'Data_in-situ'!EN345</f>
        <v>9.6094276094276143</v>
      </c>
      <c r="AG2152" s="113">
        <f>'Data_in-situ'!EO345</f>
        <v>0.82472710313952347</v>
      </c>
      <c r="AH2152" s="110">
        <f>'Data_in-situ'!EP345</f>
        <v>3</v>
      </c>
      <c r="AI2152" s="113">
        <f>'Data_in-situ'!ER345</f>
        <v>0.24242424242424274</v>
      </c>
      <c r="AJ2152" s="113">
        <f>'Data_in-situ'!ES345</f>
        <v>0.32506616373647801</v>
      </c>
      <c r="AK2152" s="110">
        <f>'Data_in-situ'!ET345</f>
        <v>3</v>
      </c>
    </row>
    <row r="2153" spans="32:37" x14ac:dyDescent="0.3">
      <c r="AF2153" s="113">
        <f>'Data_in-situ'!EN346</f>
        <v>10.734402852049913</v>
      </c>
      <c r="AG2153" s="113">
        <f>'Data_in-situ'!EO346</f>
        <v>0.89907795198284091</v>
      </c>
      <c r="AH2153" s="110">
        <f>'Data_in-situ'!EP346</f>
        <v>3</v>
      </c>
      <c r="AI2153" s="113">
        <f>'Data_in-situ'!ER346</f>
        <v>1.4153297682709467</v>
      </c>
      <c r="AJ2153" s="113">
        <f>'Data_in-situ'!ES346</f>
        <v>0.51951553041500198</v>
      </c>
      <c r="AK2153" s="110">
        <f>'Data_in-situ'!ET346</f>
        <v>3</v>
      </c>
    </row>
    <row r="2154" spans="32:37" x14ac:dyDescent="0.3">
      <c r="AF2154" s="113">
        <f>'Data_in-situ'!EN347</f>
        <v>21.878787878787879</v>
      </c>
      <c r="AG2154" s="113">
        <f>'Data_in-situ'!EO347</f>
        <v>1.1081772383933699</v>
      </c>
      <c r="AH2154" s="110">
        <f>'Data_in-situ'!EP347</f>
        <v>3</v>
      </c>
      <c r="AI2154" s="113">
        <f>'Data_in-situ'!ER347</f>
        <v>0.76837548416496004</v>
      </c>
      <c r="AJ2154" s="113">
        <f>'Data_in-situ'!ES347</f>
        <v>1.2709978400329951</v>
      </c>
      <c r="AK2154" s="110">
        <f>'Data_in-situ'!ET347</f>
        <v>3</v>
      </c>
    </row>
    <row r="2155" spans="32:37" x14ac:dyDescent="0.3">
      <c r="AF2155" s="113">
        <f>'Data_in-situ'!EN348</f>
        <v>-17.5</v>
      </c>
      <c r="AG2155" s="113">
        <f>'Data_in-situ'!EO348</f>
        <v>4.9497474683058327</v>
      </c>
      <c r="AH2155" s="110">
        <f>'Data_in-situ'!EP348</f>
        <v>4</v>
      </c>
      <c r="AI2155" s="113">
        <f>'Data_in-situ'!ER348</f>
        <v>-34</v>
      </c>
      <c r="AJ2155" s="113">
        <f>'Data_in-situ'!ES348</f>
        <v>11.313708498984761</v>
      </c>
      <c r="AK2155" s="110">
        <f>'Data_in-situ'!ET348</f>
        <v>4</v>
      </c>
    </row>
    <row r="2156" spans="32:37" x14ac:dyDescent="0.3">
      <c r="AF2156" s="113">
        <f>'Data_in-situ'!EN349</f>
        <v>-10</v>
      </c>
      <c r="AG2156" s="113">
        <f>'Data_in-situ'!EO349</f>
        <v>5.6568542494923806</v>
      </c>
      <c r="AH2156" s="110">
        <f>'Data_in-situ'!EP349</f>
        <v>4</v>
      </c>
      <c r="AI2156" s="113">
        <f>'Data_in-situ'!ER349</f>
        <v>-16.5</v>
      </c>
      <c r="AJ2156" s="113">
        <f>'Data_in-situ'!ES349</f>
        <v>3.5355339059327378</v>
      </c>
      <c r="AK2156" s="110">
        <f>'Data_in-situ'!ET349</f>
        <v>4</v>
      </c>
    </row>
    <row r="2157" spans="32:37" x14ac:dyDescent="0.3">
      <c r="AF2157" s="113">
        <f>'Data_in-situ'!EN350</f>
        <v>10</v>
      </c>
      <c r="AG2157" s="113">
        <f>'Data_in-situ'!EO350</f>
        <v>14.142135623730951</v>
      </c>
      <c r="AH2157" s="110">
        <f>'Data_in-situ'!EP350</f>
        <v>4</v>
      </c>
      <c r="AI2157" s="113">
        <f>'Data_in-situ'!ER350</f>
        <v>-8</v>
      </c>
      <c r="AJ2157" s="113">
        <f>'Data_in-situ'!ES350</f>
        <v>2.8284271247461903</v>
      </c>
      <c r="AK2157" s="110">
        <f>'Data_in-situ'!ET350</f>
        <v>4</v>
      </c>
    </row>
    <row r="2158" spans="32:37" x14ac:dyDescent="0.3">
      <c r="AF2158" s="113">
        <f>'Data_in-situ'!EN351</f>
        <v>-17.5</v>
      </c>
      <c r="AG2158" s="113">
        <f>'Data_in-situ'!EO351</f>
        <v>4.9497474683058327</v>
      </c>
      <c r="AH2158" s="110">
        <f>'Data_in-situ'!EP351</f>
        <v>4</v>
      </c>
      <c r="AI2158" s="113">
        <f>'Data_in-situ'!ER351</f>
        <v>-34</v>
      </c>
      <c r="AJ2158" s="113">
        <f>'Data_in-situ'!ES351</f>
        <v>11.313708498984761</v>
      </c>
      <c r="AK2158" s="110">
        <f>'Data_in-situ'!ET351</f>
        <v>4</v>
      </c>
    </row>
    <row r="2159" spans="32:37" x14ac:dyDescent="0.3">
      <c r="AF2159" s="113">
        <f>'Data_in-situ'!EN352</f>
        <v>-10</v>
      </c>
      <c r="AG2159" s="113">
        <f>'Data_in-situ'!EO352</f>
        <v>5.6568542494923806</v>
      </c>
      <c r="AH2159" s="110">
        <f>'Data_in-situ'!EP352</f>
        <v>4</v>
      </c>
      <c r="AI2159" s="113">
        <f>'Data_in-situ'!ER352</f>
        <v>-16.5</v>
      </c>
      <c r="AJ2159" s="113">
        <f>'Data_in-situ'!ES352</f>
        <v>3.5355339059327378</v>
      </c>
      <c r="AK2159" s="110">
        <f>'Data_in-situ'!ET352</f>
        <v>4</v>
      </c>
    </row>
    <row r="2160" spans="32:37" x14ac:dyDescent="0.3">
      <c r="AF2160" s="113">
        <f>'Data_in-situ'!EN353</f>
        <v>10</v>
      </c>
      <c r="AG2160" s="113">
        <f>'Data_in-situ'!EO353</f>
        <v>14.142135623730951</v>
      </c>
      <c r="AH2160" s="110">
        <f>'Data_in-situ'!EP353</f>
        <v>4</v>
      </c>
      <c r="AI2160" s="113">
        <f>'Data_in-situ'!ER353</f>
        <v>-8</v>
      </c>
      <c r="AJ2160" s="113">
        <f>'Data_in-situ'!ES353</f>
        <v>2.8284271247461903</v>
      </c>
      <c r="AK2160" s="110">
        <f>'Data_in-situ'!ET353</f>
        <v>4</v>
      </c>
    </row>
    <row r="2161" spans="32:37" x14ac:dyDescent="0.3">
      <c r="AF2161" s="113">
        <f>'Data_in-situ'!EN354</f>
        <v>-2.9</v>
      </c>
      <c r="AG2161" s="113">
        <f>'Data_in-situ'!EO354</f>
        <v>2.4</v>
      </c>
      <c r="AH2161" s="110">
        <f>'Data_in-situ'!EP354</f>
        <v>3</v>
      </c>
      <c r="AI2161" s="113">
        <f>'Data_in-situ'!ER354</f>
        <v>-24.2</v>
      </c>
      <c r="AJ2161" s="113">
        <f>'Data_in-situ'!ES354</f>
        <v>10.3</v>
      </c>
      <c r="AK2161" s="110">
        <f>'Data_in-situ'!ET354</f>
        <v>2</v>
      </c>
    </row>
    <row r="2162" spans="32:37" x14ac:dyDescent="0.3">
      <c r="AF2162" s="113">
        <f>'Data_in-situ'!EN355</f>
        <v>-10.6</v>
      </c>
      <c r="AG2162" s="113">
        <f>'Data_in-situ'!EO355</f>
        <v>7.7</v>
      </c>
      <c r="AH2162" s="110">
        <f>'Data_in-situ'!EP355</f>
        <v>3</v>
      </c>
      <c r="AI2162" s="113">
        <f>'Data_in-situ'!ER355</f>
        <v>-13.2</v>
      </c>
      <c r="AJ2162" s="113">
        <f>'Data_in-situ'!ES355</f>
        <v>6.5</v>
      </c>
      <c r="AK2162" s="110">
        <f>'Data_in-situ'!ET355</f>
        <v>3</v>
      </c>
    </row>
    <row r="2163" spans="32:37" x14ac:dyDescent="0.3">
      <c r="AF2163" s="113">
        <f>'Data_in-situ'!EN356</f>
        <v>-10.6</v>
      </c>
      <c r="AG2163" s="113">
        <f>'Data_in-situ'!EO356</f>
        <v>7.7</v>
      </c>
      <c r="AH2163" s="110">
        <f>'Data_in-situ'!EP356</f>
        <v>3</v>
      </c>
      <c r="AI2163" s="113">
        <f>'Data_in-situ'!ER356</f>
        <v>-53.1</v>
      </c>
      <c r="AJ2163" s="113">
        <f>'Data_in-situ'!ES356</f>
        <v>10.3</v>
      </c>
      <c r="AK2163" s="110">
        <f>'Data_in-situ'!ET356</f>
        <v>1</v>
      </c>
    </row>
    <row r="2164" spans="32:37" x14ac:dyDescent="0.3">
      <c r="AF2164" s="113">
        <f>'Data_in-situ'!EN357</f>
        <v>-3.9</v>
      </c>
      <c r="AG2164" s="113">
        <f>'Data_in-situ'!EO357</f>
        <v>3.3</v>
      </c>
      <c r="AH2164" s="110">
        <f>'Data_in-situ'!EP357</f>
        <v>3</v>
      </c>
      <c r="AI2164" s="113">
        <f>'Data_in-situ'!ER357</f>
        <v>-25.6</v>
      </c>
      <c r="AJ2164" s="113">
        <f>'Data_in-situ'!ES357</f>
        <v>10.3</v>
      </c>
      <c r="AK2164" s="110">
        <f>'Data_in-situ'!ET357</f>
        <v>2</v>
      </c>
    </row>
    <row r="2165" spans="32:37" x14ac:dyDescent="0.3">
      <c r="AF2165" s="113">
        <f>'Data_in-situ'!EN358</f>
        <v>-10.199999999999999</v>
      </c>
      <c r="AG2165" s="113">
        <f>'Data_in-situ'!EO358</f>
        <v>4.7</v>
      </c>
      <c r="AH2165" s="110">
        <f>'Data_in-situ'!EP358</f>
        <v>3</v>
      </c>
      <c r="AI2165" s="113">
        <f>'Data_in-situ'!ER358</f>
        <v>-16.899999999999999</v>
      </c>
      <c r="AJ2165" s="113">
        <f>'Data_in-situ'!ES358</f>
        <v>10.3</v>
      </c>
      <c r="AK2165" s="110">
        <f>'Data_in-situ'!ET358</f>
        <v>3</v>
      </c>
    </row>
    <row r="2166" spans="32:37" x14ac:dyDescent="0.3">
      <c r="AF2166" s="113">
        <f>'Data_in-situ'!EN359</f>
        <v>-10.199999999999999</v>
      </c>
      <c r="AG2166" s="113">
        <f>'Data_in-situ'!EO359</f>
        <v>4.7</v>
      </c>
      <c r="AH2166" s="110">
        <f>'Data_in-situ'!EP359</f>
        <v>3</v>
      </c>
      <c r="AI2166" s="113">
        <f>'Data_in-situ'!ER359</f>
        <v>-57.1</v>
      </c>
      <c r="AJ2166" s="113">
        <f>'Data_in-situ'!ES359</f>
        <v>7.4</v>
      </c>
      <c r="AK2166" s="110">
        <f>'Data_in-situ'!ET359</f>
        <v>1</v>
      </c>
    </row>
    <row r="2167" spans="32:37" x14ac:dyDescent="0.3">
      <c r="AF2167" s="113">
        <f>'Data_in-situ'!EN360</f>
        <v>0</v>
      </c>
      <c r="AG2167" s="113">
        <f>'Data_in-situ'!EO360</f>
        <v>0</v>
      </c>
      <c r="AH2167" s="110">
        <f>'Data_in-situ'!EP360</f>
        <v>8</v>
      </c>
      <c r="AI2167" s="113">
        <f>'Data_in-situ'!ER360</f>
        <v>-20</v>
      </c>
      <c r="AJ2167" s="113">
        <f>'Data_in-situ'!ES360</f>
        <v>4.5362810701838834</v>
      </c>
      <c r="AK2167" s="110">
        <f>'Data_in-situ'!ET360</f>
        <v>8</v>
      </c>
    </row>
    <row r="2168" spans="32:37" x14ac:dyDescent="0.3">
      <c r="AF2168" s="113">
        <f>'Data_in-situ'!EN362</f>
        <v>-45.647936632378602</v>
      </c>
      <c r="AG2168" s="113">
        <f>'Data_in-situ'!EO362</f>
        <v>18.60136978812152</v>
      </c>
      <c r="AH2168" s="110">
        <f>'Data_in-situ'!EP362</f>
        <v>8</v>
      </c>
      <c r="AI2168" s="113">
        <f>'Data_in-situ'!ER362</f>
        <v>-90.991470783038906</v>
      </c>
      <c r="AJ2168" s="113">
        <f>'Data_in-situ'!ES362</f>
        <v>20.638144323064466</v>
      </c>
      <c r="AK2168" s="110">
        <f>'Data_in-situ'!ET362</f>
        <v>8</v>
      </c>
    </row>
    <row r="2169" spans="32:37" x14ac:dyDescent="0.3">
      <c r="AF2169" s="113">
        <f>'Data_in-situ'!EN363</f>
        <v>-18.912423460077601</v>
      </c>
      <c r="AG2169" s="113">
        <f>'Data_in-situ'!EO363</f>
        <v>7.7067444516410974</v>
      </c>
      <c r="AH2169" s="110">
        <f>'Data_in-situ'!EP363</f>
        <v>8</v>
      </c>
      <c r="AI2169" s="113">
        <f>'Data_in-situ'!ER363</f>
        <v>-40.3060245198091</v>
      </c>
      <c r="AJ2169" s="113">
        <f>'Data_in-situ'!ES363</f>
        <v>9.1419728021788735</v>
      </c>
      <c r="AK2169" s="110">
        <f>'Data_in-situ'!ET363</f>
        <v>8</v>
      </c>
    </row>
    <row r="2170" spans="32:37" x14ac:dyDescent="0.3">
      <c r="AF2170" s="113">
        <f>'Data_in-situ'!EN389</f>
        <v>-16</v>
      </c>
      <c r="AG2170" s="113">
        <f>'Data_in-situ'!EO389</f>
        <v>6.5199423800206935</v>
      </c>
      <c r="AH2170" s="110">
        <f>'Data_in-situ'!EP389</f>
        <v>4</v>
      </c>
      <c r="AI2170" s="113">
        <f>'Data_in-situ'!ER389</f>
        <v>-21</v>
      </c>
      <c r="AJ2170" s="113">
        <f>'Data_in-situ'!ES389</f>
        <v>4.7630951236930779</v>
      </c>
      <c r="AK2170" s="110">
        <f>'Data_in-situ'!ET389</f>
        <v>4</v>
      </c>
    </row>
    <row r="2171" spans="32:37" x14ac:dyDescent="0.3">
      <c r="AF2171" s="113">
        <f>'Data_in-situ'!EN390</f>
        <v>-15</v>
      </c>
      <c r="AG2171" s="113">
        <f>'Data_in-situ'!EO390</f>
        <v>6.1124459812694001</v>
      </c>
      <c r="AH2171" s="110">
        <f>'Data_in-situ'!EP390</f>
        <v>4</v>
      </c>
      <c r="AI2171" s="113">
        <f>'Data_in-situ'!ER390</f>
        <v>-20</v>
      </c>
      <c r="AJ2171" s="113">
        <f>'Data_in-situ'!ES390</f>
        <v>4.5362810701838834</v>
      </c>
      <c r="AK2171" s="110">
        <f>'Data_in-situ'!ET390</f>
        <v>4</v>
      </c>
    </row>
    <row r="2172" spans="32:37" x14ac:dyDescent="0.3">
      <c r="AF2172" s="113">
        <f>'Data_in-situ'!EN414</f>
        <v>6</v>
      </c>
      <c r="AG2172" s="113">
        <f>'Data_in-situ'!EO414</f>
        <v>22</v>
      </c>
      <c r="AH2172" s="110">
        <f>'Data_in-situ'!EP414</f>
        <v>5</v>
      </c>
      <c r="AI2172" s="113">
        <f>'Data_in-situ'!ER414</f>
        <v>-14</v>
      </c>
      <c r="AJ2172" s="113">
        <f>'Data_in-situ'!ES414</f>
        <v>23</v>
      </c>
      <c r="AK2172" s="110">
        <f>'Data_in-situ'!ET414</f>
        <v>5</v>
      </c>
    </row>
    <row r="2173" spans="32:37" x14ac:dyDescent="0.3">
      <c r="AF2173" s="113">
        <f>'Data_in-situ'!EN415</f>
        <v>-15.24193548387095</v>
      </c>
      <c r="AG2173" s="113">
        <f>'Data_in-situ'!EO415</f>
        <v>0.79834636585576813</v>
      </c>
      <c r="AH2173" s="110">
        <f>'Data_in-situ'!EP415</f>
        <v>3</v>
      </c>
      <c r="AI2173" s="113">
        <f>'Data_in-situ'!ER415</f>
        <v>-86.747311827956878</v>
      </c>
      <c r="AJ2173" s="113">
        <f>'Data_in-situ'!ES415</f>
        <v>35.741792340849045</v>
      </c>
      <c r="AK2173" s="110">
        <f>'Data_in-situ'!ET415</f>
        <v>3</v>
      </c>
    </row>
    <row r="2174" spans="32:37" x14ac:dyDescent="0.3">
      <c r="AF2174" s="113">
        <f>'Data_in-situ'!EN416</f>
        <v>-9.4</v>
      </c>
      <c r="AG2174" s="113">
        <f>'Data_in-situ'!EO416</f>
        <v>9.3000000000000007</v>
      </c>
      <c r="AH2174" s="110">
        <f>'Data_in-situ'!EP416</f>
        <v>5</v>
      </c>
      <c r="AI2174" s="113">
        <f>'Data_in-situ'!ER416</f>
        <v>-21.2</v>
      </c>
      <c r="AJ2174" s="113">
        <f>'Data_in-situ'!ES416</f>
        <v>14.9</v>
      </c>
      <c r="AK2174" s="110">
        <f>'Data_in-situ'!ET416</f>
        <v>5</v>
      </c>
    </row>
    <row r="2175" spans="32:37" x14ac:dyDescent="0.3">
      <c r="AF2175" s="113">
        <f>'Data_in-situ'!EN417</f>
        <v>-6.5</v>
      </c>
      <c r="AG2175" s="113">
        <f>'Data_in-situ'!EO417</f>
        <v>3.5</v>
      </c>
      <c r="AH2175" s="110">
        <f>'Data_in-situ'!EP417</f>
        <v>5</v>
      </c>
      <c r="AI2175" s="113">
        <f>'Data_in-situ'!ER417</f>
        <v>-30.6</v>
      </c>
      <c r="AJ2175" s="113">
        <f>'Data_in-situ'!ES417</f>
        <v>14.8</v>
      </c>
      <c r="AK2175" s="110">
        <f>'Data_in-situ'!ET417</f>
        <v>5</v>
      </c>
    </row>
    <row r="2176" spans="32:37" x14ac:dyDescent="0.3">
      <c r="AF2176" s="113">
        <f>'Data_in-situ'!EN440</f>
        <v>-45.3</v>
      </c>
      <c r="AG2176" s="113">
        <f>'Data_in-situ'!EO440</f>
        <v>5.7157676649772942</v>
      </c>
      <c r="AH2176" s="110">
        <f>'Data_in-situ'!EP440</f>
        <v>3</v>
      </c>
      <c r="AI2176" s="113">
        <f>'Data_in-situ'!ER440</f>
        <v>-27.4</v>
      </c>
      <c r="AJ2176" s="113">
        <f>'Data_in-situ'!ES440</f>
        <v>4.5033320996790804</v>
      </c>
      <c r="AK2176" s="110">
        <f>'Data_in-situ'!ET440</f>
        <v>3</v>
      </c>
    </row>
    <row r="2177" spans="1:37" x14ac:dyDescent="0.3">
      <c r="AF2177" s="113">
        <f>'Data_in-situ'!EN447</f>
        <v>-17.3</v>
      </c>
      <c r="AG2177" s="113">
        <f>'Data_in-situ'!EO447</f>
        <v>2.2516660498395402</v>
      </c>
      <c r="AH2177" s="110">
        <f>'Data_in-situ'!EP447</f>
        <v>3</v>
      </c>
      <c r="AI2177" s="113">
        <f>'Data_in-situ'!ER447</f>
        <v>-21.9</v>
      </c>
      <c r="AJ2177" s="113">
        <f>'Data_in-situ'!ES447</f>
        <v>3.4641016151377544</v>
      </c>
      <c r="AK2177" s="110">
        <f>'Data_in-situ'!ET447</f>
        <v>3</v>
      </c>
    </row>
    <row r="2178" spans="1:37" x14ac:dyDescent="0.3">
      <c r="AF2178" s="113">
        <f>'Data_in-situ'!EN448</f>
        <v>-6</v>
      </c>
      <c r="AG2178" s="113">
        <f>'Data_in-situ'!EO448</f>
        <v>-3</v>
      </c>
      <c r="AH2178" s="110">
        <f>'Data_in-situ'!EP448</f>
        <v>3</v>
      </c>
      <c r="AI2178" s="113">
        <f>'Data_in-situ'!ER448</f>
        <v>-21.8</v>
      </c>
      <c r="AJ2178" s="113">
        <f>'Data_in-situ'!ES448</f>
        <v>6.5</v>
      </c>
      <c r="AK2178" s="110">
        <f>'Data_in-situ'!ET448</f>
        <v>3</v>
      </c>
    </row>
    <row r="2179" spans="1:37" x14ac:dyDescent="0.3">
      <c r="AF2179" s="113">
        <f>'Data_in-situ'!EN449</f>
        <v>-7</v>
      </c>
      <c r="AG2179" s="113">
        <f>'Data_in-situ'!EO449</f>
        <v>4</v>
      </c>
      <c r="AH2179" s="110">
        <f>'Data_in-situ'!EP449</f>
        <v>3</v>
      </c>
      <c r="AI2179" s="113">
        <f>'Data_in-situ'!ER449</f>
        <v>-22.6</v>
      </c>
      <c r="AJ2179" s="113">
        <f>'Data_in-situ'!ES449</f>
        <v>5.6</v>
      </c>
      <c r="AK2179" s="110">
        <f>'Data_in-situ'!ET449</f>
        <v>3</v>
      </c>
    </row>
    <row r="2180" spans="1:37" x14ac:dyDescent="0.3">
      <c r="AF2180" s="113">
        <f>'Data_in-situ'!EN450</f>
        <v>-22</v>
      </c>
      <c r="AG2180" s="113">
        <f>'Data_in-situ'!EO450</f>
        <v>8.964920772528453</v>
      </c>
      <c r="AH2180" s="110">
        <f>'Data_in-situ'!EP450</f>
        <v>1</v>
      </c>
      <c r="AI2180" s="113">
        <f>'Data_in-situ'!ER450</f>
        <v>-77</v>
      </c>
      <c r="AJ2180" s="113">
        <f>'Data_in-situ'!ES450</f>
        <v>17.46468212020795</v>
      </c>
      <c r="AK2180" s="110">
        <f>'Data_in-situ'!ET450</f>
        <v>1</v>
      </c>
    </row>
    <row r="2181" spans="1:37" x14ac:dyDescent="0.3">
      <c r="AF2181" s="113">
        <f>'Data_in-situ'!EN451</f>
        <v>-17</v>
      </c>
      <c r="AG2181" s="113">
        <f>'Data_in-situ'!EO451</f>
        <v>6.9274387787719869</v>
      </c>
      <c r="AH2181" s="110">
        <f>'Data_in-situ'!EP451</f>
        <v>1</v>
      </c>
      <c r="AI2181" s="113">
        <f>'Data_in-situ'!ER451</f>
        <v>-73</v>
      </c>
      <c r="AJ2181" s="113">
        <f>'Data_in-situ'!ES451</f>
        <v>16.557425906171176</v>
      </c>
      <c r="AK2181" s="110">
        <f>'Data_in-situ'!ET451</f>
        <v>1</v>
      </c>
    </row>
    <row r="2182" spans="1:37" x14ac:dyDescent="0.3">
      <c r="AF2182" s="113">
        <f>'Data_in-situ'!EN452</f>
        <v>-11</v>
      </c>
      <c r="AG2182" s="113">
        <f>'Data_in-situ'!EO452</f>
        <v>4.4824603862642265</v>
      </c>
      <c r="AH2182" s="110">
        <f>'Data_in-situ'!EP452</f>
        <v>1</v>
      </c>
      <c r="AI2182" s="113">
        <f>'Data_in-situ'!ER452</f>
        <v>-59</v>
      </c>
      <c r="AJ2182" s="113">
        <f>'Data_in-situ'!ES452</f>
        <v>13.382029157042457</v>
      </c>
      <c r="AK2182" s="110">
        <f>'Data_in-situ'!ET452</f>
        <v>1</v>
      </c>
    </row>
    <row r="2183" spans="1:37" x14ac:dyDescent="0.3">
      <c r="AF2183" s="113">
        <f>'Data_in-situ'!EN453</f>
        <v>10</v>
      </c>
      <c r="AG2183" s="113">
        <f>'Data_in-situ'!EO453</f>
        <v>4.0749639875129331</v>
      </c>
      <c r="AH2183" s="110">
        <f>'Data_in-situ'!EP453</f>
        <v>1</v>
      </c>
      <c r="AI2183" s="113">
        <f>'Data_in-situ'!ER453</f>
        <v>-45</v>
      </c>
      <c r="AJ2183" s="113">
        <f>'Data_in-situ'!ES453</f>
        <v>10.206632407913737</v>
      </c>
      <c r="AK2183" s="110">
        <f>'Data_in-situ'!ET453</f>
        <v>1</v>
      </c>
    </row>
    <row r="2184" spans="1:37" x14ac:dyDescent="0.3">
      <c r="AF2184" s="113">
        <f>'Data_in-situ'!EN456</f>
        <v>-7.6</v>
      </c>
      <c r="AG2184" s="113">
        <f>'Data_in-situ'!EO456</f>
        <v>3.0969726305098293</v>
      </c>
      <c r="AH2184" s="110">
        <f>'Data_in-situ'!EP456</f>
        <v>1</v>
      </c>
      <c r="AI2184" s="113">
        <f>'Data_in-situ'!ER456</f>
        <v>-20.2</v>
      </c>
      <c r="AJ2184" s="113">
        <f>'Data_in-situ'!ES456</f>
        <v>4.5816438808857223</v>
      </c>
      <c r="AK2184" s="110">
        <f>'Data_in-situ'!ET456</f>
        <v>1</v>
      </c>
    </row>
    <row r="2185" spans="1:37" x14ac:dyDescent="0.3">
      <c r="AF2185" s="113">
        <f>'Data_in-situ'!EN457</f>
        <v>-2.4</v>
      </c>
      <c r="AG2185" s="113">
        <f>'Data_in-situ'!EO457</f>
        <v>0.97799135700310402</v>
      </c>
      <c r="AH2185" s="110">
        <f>'Data_in-situ'!EP457</f>
        <v>1</v>
      </c>
      <c r="AI2185" s="113">
        <f>'Data_in-situ'!ER457</f>
        <v>-23.2</v>
      </c>
      <c r="AJ2185" s="113">
        <f>'Data_in-situ'!ES457</f>
        <v>5.2620860414133048</v>
      </c>
      <c r="AK2185" s="110">
        <f>'Data_in-situ'!ET457</f>
        <v>1</v>
      </c>
    </row>
    <row r="2186" spans="1:37" x14ac:dyDescent="0.3">
      <c r="AF2186" s="113">
        <f>'Data_in-situ'!EN458</f>
        <v>-4.8</v>
      </c>
      <c r="AG2186" s="113">
        <f>'Data_in-situ'!EO458</f>
        <v>1.955982714006208</v>
      </c>
      <c r="AH2186" s="110">
        <f>'Data_in-situ'!EP458</f>
        <v>1</v>
      </c>
      <c r="AI2186" s="113">
        <f>'Data_in-situ'!ER458</f>
        <v>-19</v>
      </c>
      <c r="AJ2186" s="113">
        <f>'Data_in-situ'!ES458</f>
        <v>4.3094670166746889</v>
      </c>
      <c r="AK2186" s="110">
        <f>'Data_in-situ'!ET458</f>
        <v>1</v>
      </c>
    </row>
    <row r="2187" spans="1:37" x14ac:dyDescent="0.3">
      <c r="AF2187" s="113">
        <f>'Data_in-situ'!EN459</f>
        <v>-7.6</v>
      </c>
      <c r="AG2187" s="113">
        <f>'Data_in-situ'!EO459</f>
        <v>3.0969726305098293</v>
      </c>
      <c r="AH2187" s="110">
        <f>'Data_in-situ'!EP459</f>
        <v>1</v>
      </c>
      <c r="AI2187" s="113">
        <f>'Data_in-situ'!ER459</f>
        <v>-66.400000000000006</v>
      </c>
      <c r="AJ2187" s="113">
        <f>'Data_in-situ'!ES459</f>
        <v>15.060453153010494</v>
      </c>
      <c r="AK2187" s="110">
        <f>'Data_in-situ'!ET459</f>
        <v>1</v>
      </c>
    </row>
    <row r="2188" spans="1:37" x14ac:dyDescent="0.3">
      <c r="AF2188" s="113">
        <f>'Data_in-situ'!EN460</f>
        <v>-2.4</v>
      </c>
      <c r="AG2188" s="113">
        <f>'Data_in-situ'!EO460</f>
        <v>0.97799135700310402</v>
      </c>
      <c r="AH2188" s="110">
        <f>'Data_in-situ'!EP460</f>
        <v>1</v>
      </c>
      <c r="AI2188" s="113">
        <f>'Data_in-situ'!ER460</f>
        <v>-61.5</v>
      </c>
      <c r="AJ2188" s="113">
        <f>'Data_in-situ'!ES460</f>
        <v>13.949064290815441</v>
      </c>
      <c r="AK2188" s="110">
        <f>'Data_in-situ'!ET460</f>
        <v>1</v>
      </c>
    </row>
    <row r="2189" spans="1:37" x14ac:dyDescent="0.3">
      <c r="AF2189" s="113">
        <f>'Data_in-situ'!EN461</f>
        <v>-4.8</v>
      </c>
      <c r="AG2189" s="113">
        <f>'Data_in-situ'!EO461</f>
        <v>1.955982714006208</v>
      </c>
      <c r="AH2189" s="110">
        <f>'Data_in-situ'!EP461</f>
        <v>1</v>
      </c>
      <c r="AI2189" s="113">
        <f>'Data_in-situ'!ER461</f>
        <v>-58.5</v>
      </c>
      <c r="AJ2189" s="113">
        <f>'Data_in-situ'!ES461</f>
        <v>13.268622130287859</v>
      </c>
      <c r="AK2189" s="110">
        <f>'Data_in-situ'!ET461</f>
        <v>1</v>
      </c>
    </row>
    <row r="2191" spans="1:37" x14ac:dyDescent="0.3">
      <c r="A2191" s="110" t="s">
        <v>831</v>
      </c>
      <c r="B2191" s="24">
        <f>AVERAGEA(B2008:B2189)</f>
        <v>-25204.604639342127</v>
      </c>
      <c r="C2191" s="24">
        <f>STDEVA(B2008:B2189)/SQRT(COUNT(B2008:B2189))</f>
        <v>5490.6681544527419</v>
      </c>
      <c r="D2191" s="46">
        <f>COUNT(B2008:B2189)</f>
        <v>60</v>
      </c>
      <c r="E2191" s="24">
        <f>AVERAGEA(E2008:E2189)</f>
        <v>-26791.679375083637</v>
      </c>
      <c r="F2191" s="24">
        <f>STDEVA(E2008:E2189)/SQRT(COUNT(E2008:E2189))</f>
        <v>5875.865308805357</v>
      </c>
      <c r="G2191" s="46">
        <f>COUNT(E2008:E2189)</f>
        <v>60</v>
      </c>
      <c r="H2191" s="24">
        <f>AVERAGEA(H2008:H2189)</f>
        <v>26551.386688167393</v>
      </c>
      <c r="I2191" s="24">
        <f>STDEVA(H2008:H2189)/SQRT(COUNT(H2008:H2189))</f>
        <v>5774.1750824106566</v>
      </c>
      <c r="J2191" s="110">
        <f>COUNT(H2008:H2189)</f>
        <v>60</v>
      </c>
      <c r="K2191" s="24">
        <f>AVERAGEA(K2008:K2189)</f>
        <v>32652.109245964628</v>
      </c>
      <c r="L2191" s="24">
        <f>STDEVA(K2008:K2189)/SQRT(COUNT(K2008:K2189))</f>
        <v>6233.8816391373366</v>
      </c>
      <c r="M2191" s="110">
        <f>COUNT(K2008:K2189)</f>
        <v>60</v>
      </c>
      <c r="N2191" s="24">
        <f>AVERAGEA(N2008:N2189)</f>
        <v>1083.6681565865238</v>
      </c>
      <c r="O2191" s="24">
        <f>STDEVA(N2008:N2189)/SQRT(COUNT(N2008:N2189))</f>
        <v>542.85712041402667</v>
      </c>
      <c r="P2191" s="110">
        <f>COUNT(N2008:N2189)</f>
        <v>69</v>
      </c>
      <c r="Q2191" s="24">
        <f>AVERAGEA(Q2008:Q2189)</f>
        <v>5748.0272249842865</v>
      </c>
      <c r="R2191" s="24">
        <f>STDEVA(Q2008:Q2189)/SQRT(COUNT(Q2008:Q2189))</f>
        <v>1029.3270057739101</v>
      </c>
      <c r="S2191" s="110">
        <f>COUNT(Q2008:Q2189)</f>
        <v>69</v>
      </c>
      <c r="T2191" s="113">
        <f>AVERAGEA(T2008:T2189)</f>
        <v>104.6029629306629</v>
      </c>
      <c r="U2191" s="113">
        <f>STDEVA(T2008:T2189)/SQRT(COUNT(T2008:T2189))</f>
        <v>19.328923621101818</v>
      </c>
      <c r="V2191" s="110">
        <f>COUNT(T2008:T2189)</f>
        <v>123</v>
      </c>
      <c r="W2191" s="113">
        <f>AVERAGEA(W2008:W2189)</f>
        <v>39.701924850121507</v>
      </c>
      <c r="X2191" s="113">
        <f>STDEVA(W2008:W2189)/SQRT(COUNT(W2008:W2189))</f>
        <v>12.183177778852812</v>
      </c>
      <c r="Y2191" s="110">
        <f>COUNT(W2008:W2189)</f>
        <v>123</v>
      </c>
      <c r="Z2191" s="113">
        <f>AVERAGEA(Z2008:Z2189)</f>
        <v>0.45157500774879811</v>
      </c>
      <c r="AA2191" s="113">
        <f>STDEVA(Z2008:Z2189)/SQRT(COUNT(Z2008:Z2189))</f>
        <v>0.21552178524687049</v>
      </c>
      <c r="AB2191" s="110">
        <f>COUNT(Z2008:Z2189)</f>
        <v>33</v>
      </c>
      <c r="AC2191" s="113">
        <f>AVERAGEA(AC2008:AC2189)</f>
        <v>0.79390932300793915</v>
      </c>
      <c r="AD2191" s="113">
        <f>STDEVA(AC2008:AC2189)/SQRT(COUNT(AC2008:AC2189))</f>
        <v>0.30191036233370422</v>
      </c>
      <c r="AE2191" s="110">
        <f>COUNT(AC2008:AC2189)</f>
        <v>33</v>
      </c>
      <c r="AF2191" s="113">
        <f>AVERAGEA(AF2008:AF2189)</f>
        <v>-21.69632971500743</v>
      </c>
      <c r="AG2191" s="113">
        <f>STDEVA(AF2008:AF2189)/SQRT(COUNT(AF2008:AF2189))</f>
        <v>1.3633243034220839</v>
      </c>
      <c r="AH2191" s="110">
        <f>COUNT(AF2008:AF2189)</f>
        <v>182</v>
      </c>
      <c r="AI2191" s="113">
        <f>AVERAGEA(AI2008:AI2189)</f>
        <v>-49.274196140149741</v>
      </c>
      <c r="AJ2191" s="113">
        <f>STDEVA(AI2008:AI2189)/SQRT(COUNT(AI2008:AI2189))</f>
        <v>2.7862131620738726</v>
      </c>
      <c r="AK2191" s="110">
        <f>COUNT(AI2008:AI2189)</f>
        <v>182</v>
      </c>
    </row>
    <row r="2193" spans="1:37" x14ac:dyDescent="0.3">
      <c r="A2193" s="110" t="s">
        <v>980</v>
      </c>
      <c r="B2193" s="24">
        <f>'Data_in-situ'!CA462</f>
        <v>-51700</v>
      </c>
      <c r="C2193" s="24">
        <f>'Data_in-situ'!CB462</f>
        <v>12605.000812256634</v>
      </c>
      <c r="D2193" s="46">
        <f>'Data_in-situ'!CC462</f>
        <v>1</v>
      </c>
      <c r="E2193" s="24">
        <f>'Data_in-situ'!CE462</f>
        <v>-15510</v>
      </c>
      <c r="F2193" s="24">
        <f>'Data_in-situ'!CF462</f>
        <v>5773.8936858411389</v>
      </c>
      <c r="G2193" s="46">
        <f>'Data_in-situ'!CG462</f>
        <v>1</v>
      </c>
      <c r="H2193" s="24">
        <f>'Data_in-situ'!CN462</f>
        <v>39196.666666666664</v>
      </c>
      <c r="I2193" s="24">
        <f>'Data_in-situ'!CO462</f>
        <v>11274.031774703384</v>
      </c>
      <c r="J2193" s="46">
        <f>'Data_in-situ'!CP462</f>
        <v>1</v>
      </c>
      <c r="K2193" s="24">
        <f>'Data_in-situ'!CR462</f>
        <v>35236.666666666664</v>
      </c>
      <c r="L2193" s="24">
        <f>'Data_in-situ'!CS462</f>
        <v>9245.7901931151609</v>
      </c>
      <c r="M2193" s="46">
        <f>'Data_in-situ'!CT462</f>
        <v>1</v>
      </c>
      <c r="N2193" s="24">
        <f>'Data_in-situ'!DA2</f>
        <v>-2080</v>
      </c>
      <c r="O2193" s="24">
        <f>'Data_in-situ'!DB2</f>
        <v>200</v>
      </c>
      <c r="P2193" s="46">
        <f>'Data_in-situ'!DC2</f>
        <v>4</v>
      </c>
      <c r="Q2193" s="24">
        <f>'Data_in-situ'!DE2</f>
        <v>-720</v>
      </c>
      <c r="R2193" s="24">
        <f>'Data_in-situ'!DF2</f>
        <v>580</v>
      </c>
      <c r="S2193" s="46">
        <f>'Data_in-situ'!DG2</f>
        <v>4</v>
      </c>
      <c r="T2193" s="113">
        <f>'Data_in-situ'!DN2</f>
        <v>155.93</v>
      </c>
      <c r="U2193" s="113">
        <f>'Data_in-situ'!DO2</f>
        <v>91.89</v>
      </c>
      <c r="V2193" s="46">
        <f>'Data_in-situ'!DP2</f>
        <v>3</v>
      </c>
      <c r="W2193" s="113">
        <f>'Data_in-situ'!DR2</f>
        <v>-0.52095000000000002</v>
      </c>
      <c r="X2193" s="113">
        <f>'Data_in-situ'!DS2</f>
        <v>0.42061931719786716</v>
      </c>
      <c r="Y2193" s="46">
        <f>'Data_in-situ'!DT2</f>
        <v>3</v>
      </c>
      <c r="Z2193" s="113">
        <f>'Data_in-situ'!EA8</f>
        <v>9.3216878849518445E-2</v>
      </c>
      <c r="AA2193" s="113">
        <f>'Data_in-situ'!EB8</f>
        <v>0.20553512952136199</v>
      </c>
      <c r="AB2193" s="46">
        <f>'Data_in-situ'!EC8</f>
        <v>3</v>
      </c>
      <c r="AC2193" s="113">
        <f>'Data_in-situ'!EE8</f>
        <v>1.1634570510397673</v>
      </c>
      <c r="AD2193" s="113">
        <f>'Data_in-situ'!EF8</f>
        <v>0.38922612585728023</v>
      </c>
      <c r="AE2193" s="46">
        <f>'Data_in-situ'!EG8</f>
        <v>3</v>
      </c>
      <c r="AF2193" s="113">
        <f>'Data_in-situ'!EN18</f>
        <v>-6.17</v>
      </c>
      <c r="AG2193" s="113">
        <f>'Data_in-situ'!EO18</f>
        <v>1.6</v>
      </c>
      <c r="AH2193" s="110">
        <f>'Data_in-situ'!EP18</f>
        <v>3</v>
      </c>
      <c r="AI2193" s="113">
        <f>'Data_in-situ'!ER18</f>
        <v>-32.340000000000003</v>
      </c>
      <c r="AJ2193" s="113">
        <f>'Data_in-situ'!ES18</f>
        <v>1.06</v>
      </c>
      <c r="AK2193" s="110">
        <f>'Data_in-situ'!ET18</f>
        <v>3</v>
      </c>
    </row>
    <row r="2194" spans="1:37" x14ac:dyDescent="0.3">
      <c r="B2194" s="24">
        <f>'Data_in-situ'!CA463</f>
        <v>-52030</v>
      </c>
      <c r="C2194" s="24">
        <f>'Data_in-situ'!CB463</f>
        <v>12685.458264249761</v>
      </c>
      <c r="D2194" s="46">
        <f>'Data_in-situ'!CC463</f>
        <v>1</v>
      </c>
      <c r="E2194" s="24">
        <f>'Data_in-situ'!CE463</f>
        <v>-33366.666666666664</v>
      </c>
      <c r="F2194" s="24">
        <f>'Data_in-situ'!CF463</f>
        <v>12421.378851336727</v>
      </c>
      <c r="G2194" s="46">
        <f>'Data_in-situ'!CG463</f>
        <v>1</v>
      </c>
      <c r="H2194" s="24">
        <f>'Data_in-situ'!CN463</f>
        <v>53753.333333333336</v>
      </c>
      <c r="I2194" s="24">
        <f>'Data_in-situ'!CO463</f>
        <v>15460.926643325691</v>
      </c>
      <c r="J2194" s="46">
        <f>'Data_in-situ'!CP463</f>
        <v>1</v>
      </c>
      <c r="K2194" s="24">
        <f>'Data_in-situ'!CR463</f>
        <v>42936.666666666664</v>
      </c>
      <c r="L2194" s="24">
        <f>'Data_in-situ'!CS463</f>
        <v>11266.202202016497</v>
      </c>
      <c r="M2194" s="46">
        <f>'Data_in-situ'!CT463</f>
        <v>1</v>
      </c>
      <c r="N2194" s="24">
        <f>'Data_in-situ'!DA3</f>
        <v>-2080</v>
      </c>
      <c r="O2194" s="24">
        <f>'Data_in-situ'!DB3</f>
        <v>200</v>
      </c>
      <c r="P2194" s="46">
        <f>'Data_in-situ'!DC3</f>
        <v>4</v>
      </c>
      <c r="Q2194" s="24">
        <f>'Data_in-situ'!DE3</f>
        <v>-1200</v>
      </c>
      <c r="R2194" s="24">
        <f>'Data_in-situ'!DF3</f>
        <v>800</v>
      </c>
      <c r="S2194" s="46">
        <f>'Data_in-situ'!DG3</f>
        <v>4</v>
      </c>
      <c r="T2194" s="113">
        <f>'Data_in-situ'!DN3</f>
        <v>155.93</v>
      </c>
      <c r="U2194" s="113">
        <f>'Data_in-situ'!DO3</f>
        <v>91.89</v>
      </c>
      <c r="V2194" s="46">
        <f>'Data_in-situ'!DP3</f>
        <v>3</v>
      </c>
      <c r="W2194" s="113">
        <f>'Data_in-situ'!DR3</f>
        <v>-0.50150000000000006</v>
      </c>
      <c r="X2194" s="113">
        <f>'Data_in-situ'!DS3</f>
        <v>0.69631979003903077</v>
      </c>
      <c r="Y2194" s="46">
        <f>'Data_in-situ'!DT3</f>
        <v>3</v>
      </c>
      <c r="Z2194" s="113">
        <f>'Data_in-situ'!EA9</f>
        <v>9.3216878849518445E-2</v>
      </c>
      <c r="AA2194" s="113">
        <f>'Data_in-situ'!EB9</f>
        <v>0.20553512952136199</v>
      </c>
      <c r="AB2194" s="46">
        <f>'Data_in-situ'!EC9</f>
        <v>3</v>
      </c>
      <c r="AC2194" s="113">
        <f>'Data_in-situ'!EE9</f>
        <v>1.6177151825214293</v>
      </c>
      <c r="AD2194" s="113">
        <f>'Data_in-situ'!EF9</f>
        <v>0.53878192787841905</v>
      </c>
      <c r="AE2194" s="46">
        <f>'Data_in-situ'!EG9</f>
        <v>3</v>
      </c>
      <c r="AF2194" s="113">
        <f>'Data_in-situ'!EN19</f>
        <v>-6.17</v>
      </c>
      <c r="AG2194" s="113">
        <f>'Data_in-situ'!EO19</f>
        <v>1.6</v>
      </c>
      <c r="AH2194" s="110">
        <f>'Data_in-situ'!EP19</f>
        <v>3</v>
      </c>
      <c r="AI2194" s="113">
        <f>'Data_in-situ'!ER19</f>
        <v>-37.89</v>
      </c>
      <c r="AJ2194" s="113">
        <f>'Data_in-situ'!ES19</f>
        <v>1.4</v>
      </c>
      <c r="AK2194" s="110">
        <f>'Data_in-situ'!ET19</f>
        <v>3</v>
      </c>
    </row>
    <row r="2195" spans="1:37" x14ac:dyDescent="0.3">
      <c r="B2195" s="24">
        <f>'Data_in-situ'!CA464</f>
        <v>-51700</v>
      </c>
      <c r="C2195" s="24">
        <f>'Data_in-situ'!CB464</f>
        <v>12605.000812256634</v>
      </c>
      <c r="D2195" s="46">
        <f>'Data_in-situ'!CC464</f>
        <v>1</v>
      </c>
      <c r="E2195" s="24">
        <f>'Data_in-situ'!CE464</f>
        <v>-15510</v>
      </c>
      <c r="F2195" s="24">
        <f>'Data_in-situ'!CF464</f>
        <v>5773.8936858411389</v>
      </c>
      <c r="G2195" s="46">
        <f>'Data_in-situ'!CG464</f>
        <v>1</v>
      </c>
      <c r="H2195" s="24">
        <f>'Data_in-situ'!CN464</f>
        <v>39196.666666666664</v>
      </c>
      <c r="I2195" s="24">
        <f>'Data_in-situ'!CO464</f>
        <v>11274.031774703384</v>
      </c>
      <c r="J2195" s="46">
        <f>'Data_in-situ'!CP464</f>
        <v>1</v>
      </c>
      <c r="K2195" s="24">
        <f>'Data_in-situ'!CR464</f>
        <v>35236.666666666664</v>
      </c>
      <c r="L2195" s="24">
        <f>'Data_in-situ'!CS464</f>
        <v>9245.7901931151609</v>
      </c>
      <c r="M2195" s="46">
        <f>'Data_in-situ'!CT464</f>
        <v>1</v>
      </c>
      <c r="N2195" s="24">
        <f>'Data_in-situ'!DA462</f>
        <v>-12503.333333333336</v>
      </c>
      <c r="O2195" s="24">
        <f>'Data_in-situ'!DB462</f>
        <v>37505.705838773269</v>
      </c>
      <c r="P2195" s="46">
        <f>'Data_in-situ'!DC462</f>
        <v>1</v>
      </c>
      <c r="Q2195" s="24">
        <f>'Data_in-situ'!DE462</f>
        <v>19726.666666666664</v>
      </c>
      <c r="R2195" s="24">
        <f>'Data_in-situ'!DF462</f>
        <v>18802.330188886517</v>
      </c>
      <c r="S2195" s="46">
        <f>'Data_in-situ'!DG462</f>
        <v>1</v>
      </c>
      <c r="T2195" s="113">
        <f>'Data_in-situ'!DN4</f>
        <v>155.93</v>
      </c>
      <c r="U2195" s="113">
        <f>'Data_in-situ'!DO4</f>
        <v>91.89</v>
      </c>
      <c r="V2195" s="46">
        <f>'Data_in-situ'!DP4</f>
        <v>3</v>
      </c>
      <c r="W2195" s="113">
        <f>'Data_in-situ'!DR4</f>
        <v>-0.61299999999999999</v>
      </c>
      <c r="X2195" s="113">
        <f>'Data_in-situ'!DS4</f>
        <v>0.52600000000000002</v>
      </c>
      <c r="Y2195" s="46">
        <f>'Data_in-situ'!DT4</f>
        <v>3</v>
      </c>
      <c r="Z2195" s="113">
        <f>'Data_in-situ'!EA10</f>
        <v>0.10912682734488738</v>
      </c>
      <c r="AA2195" s="113">
        <f>'Data_in-situ'!EB10</f>
        <v>0.23951135746402341</v>
      </c>
      <c r="AB2195" s="46">
        <f>'Data_in-situ'!EC10</f>
        <v>3</v>
      </c>
      <c r="AC2195" s="113">
        <f>'Data_in-situ'!EE10</f>
        <v>1.8711108749125607</v>
      </c>
      <c r="AD2195" s="113">
        <f>'Data_in-situ'!EF10</f>
        <v>1.1438689414400234</v>
      </c>
      <c r="AE2195" s="46">
        <f>'Data_in-situ'!EG10</f>
        <v>3</v>
      </c>
      <c r="AF2195" s="113">
        <f>'Data_in-situ'!EN20</f>
        <v>-20.329999999999998</v>
      </c>
      <c r="AG2195" s="113">
        <f>'Data_in-situ'!EO20</f>
        <v>2.57</v>
      </c>
      <c r="AH2195" s="110">
        <f>'Data_in-situ'!EP20</f>
        <v>3</v>
      </c>
      <c r="AI2195" s="113">
        <f>'Data_in-situ'!ER20</f>
        <v>-32.340000000000003</v>
      </c>
      <c r="AJ2195" s="113">
        <f>'Data_in-situ'!ES20</f>
        <v>1.06</v>
      </c>
      <c r="AK2195" s="110">
        <f>'Data_in-situ'!ET20</f>
        <v>3</v>
      </c>
    </row>
    <row r="2196" spans="1:37" x14ac:dyDescent="0.3">
      <c r="B2196" s="24">
        <f>'Data_in-situ'!CA465</f>
        <v>-52030</v>
      </c>
      <c r="C2196" s="24">
        <f>'Data_in-situ'!CB465</f>
        <v>12685.458264249761</v>
      </c>
      <c r="D2196" s="46">
        <f>'Data_in-situ'!CC465</f>
        <v>1</v>
      </c>
      <c r="E2196" s="24">
        <f>'Data_in-situ'!CE465</f>
        <v>-33366.666666666664</v>
      </c>
      <c r="F2196" s="24">
        <f>'Data_in-situ'!CF465</f>
        <v>12421.378851336727</v>
      </c>
      <c r="G2196" s="46">
        <f>'Data_in-situ'!CG465</f>
        <v>1</v>
      </c>
      <c r="H2196" s="24">
        <f>'Data_in-situ'!CN465</f>
        <v>53753.333333333336</v>
      </c>
      <c r="I2196" s="24">
        <f>'Data_in-situ'!CO465</f>
        <v>15460.926643325691</v>
      </c>
      <c r="J2196" s="46">
        <f>'Data_in-situ'!CP465</f>
        <v>1</v>
      </c>
      <c r="K2196" s="24">
        <f>'Data_in-situ'!CR465</f>
        <v>42936.666666666664</v>
      </c>
      <c r="L2196" s="24">
        <f>'Data_in-situ'!CS465</f>
        <v>11266.202202016497</v>
      </c>
      <c r="M2196" s="46">
        <f>'Data_in-situ'!CT465</f>
        <v>1</v>
      </c>
      <c r="N2196" s="24">
        <f>'Data_in-situ'!DA463</f>
        <v>1723.3333333333358</v>
      </c>
      <c r="O2196" s="24">
        <f>'Data_in-situ'!DB463</f>
        <v>5169.4081361359113</v>
      </c>
      <c r="P2196" s="46">
        <f>'Data_in-situ'!DC463</f>
        <v>1</v>
      </c>
      <c r="Q2196" s="24">
        <f>'Data_in-situ'!DE463</f>
        <v>9570</v>
      </c>
      <c r="R2196" s="24">
        <f>'Data_in-situ'!DF463</f>
        <v>9121.5765414486632</v>
      </c>
      <c r="S2196" s="46">
        <f>'Data_in-situ'!DG463</f>
        <v>1</v>
      </c>
      <c r="T2196" s="113">
        <f>'Data_in-situ'!DN5</f>
        <v>155.93</v>
      </c>
      <c r="U2196" s="113">
        <f>'Data_in-situ'!DO5</f>
        <v>91.89</v>
      </c>
      <c r="V2196" s="46">
        <f>'Data_in-situ'!DP5</f>
        <v>3</v>
      </c>
      <c r="W2196" s="113">
        <f>'Data_in-situ'!DR5</f>
        <v>-0.35</v>
      </c>
      <c r="X2196" s="113">
        <f>'Data_in-situ'!DS5</f>
        <v>0.70099999999999996</v>
      </c>
      <c r="Y2196" s="46">
        <f>'Data_in-situ'!DT5</f>
        <v>3</v>
      </c>
      <c r="Z2196" s="113">
        <f>'Data_in-situ'!EA11</f>
        <v>0.10912682734488738</v>
      </c>
      <c r="AA2196" s="113">
        <f>'Data_in-situ'!EB11</f>
        <v>0.23951135746402341</v>
      </c>
      <c r="AB2196" s="46">
        <f>'Data_in-situ'!EC11</f>
        <v>3</v>
      </c>
      <c r="AC2196" s="113">
        <f>'Data_in-situ'!EE11</f>
        <v>0.2673015535589372</v>
      </c>
      <c r="AD2196" s="113">
        <f>'Data_in-situ'!EF11</f>
        <v>0.16021073937933927</v>
      </c>
      <c r="AE2196" s="46">
        <f>'Data_in-situ'!EG11</f>
        <v>3</v>
      </c>
      <c r="AF2196" s="113">
        <f>'Data_in-situ'!EN21</f>
        <v>-20.329999999999998</v>
      </c>
      <c r="AG2196" s="113">
        <f>'Data_in-situ'!EO21</f>
        <v>2.57</v>
      </c>
      <c r="AH2196" s="110">
        <f>'Data_in-situ'!EP21</f>
        <v>3</v>
      </c>
      <c r="AI2196" s="113">
        <f>'Data_in-situ'!ER21</f>
        <v>-37.89</v>
      </c>
      <c r="AJ2196" s="113">
        <f>'Data_in-situ'!ES21</f>
        <v>1.4</v>
      </c>
      <c r="AK2196" s="110">
        <f>'Data_in-situ'!ET21</f>
        <v>3</v>
      </c>
    </row>
    <row r="2197" spans="1:37" x14ac:dyDescent="0.3">
      <c r="B2197" s="24">
        <f>'Data_in-situ'!CA466</f>
        <v>-51700</v>
      </c>
      <c r="C2197" s="24">
        <f>'Data_in-situ'!CB466</f>
        <v>12605.000812256634</v>
      </c>
      <c r="D2197" s="46">
        <f>'Data_in-situ'!CC466</f>
        <v>1</v>
      </c>
      <c r="E2197" s="24">
        <f>'Data_in-situ'!CE466</f>
        <v>-15510</v>
      </c>
      <c r="F2197" s="24">
        <f>'Data_in-situ'!CF466</f>
        <v>5773.8936858411389</v>
      </c>
      <c r="G2197" s="46">
        <f>'Data_in-situ'!CG466</f>
        <v>1</v>
      </c>
      <c r="H2197" s="24">
        <f>'Data_in-situ'!CN466</f>
        <v>39196.666666666664</v>
      </c>
      <c r="I2197" s="24">
        <f>'Data_in-situ'!CO466</f>
        <v>11274.031774703384</v>
      </c>
      <c r="J2197" s="46">
        <f>'Data_in-situ'!CP466</f>
        <v>1</v>
      </c>
      <c r="K2197" s="24">
        <f>'Data_in-situ'!CR466</f>
        <v>35236.666666666664</v>
      </c>
      <c r="L2197" s="24">
        <f>'Data_in-situ'!CS466</f>
        <v>9245.7901931151609</v>
      </c>
      <c r="M2197" s="46">
        <f>'Data_in-situ'!CT466</f>
        <v>1</v>
      </c>
      <c r="N2197" s="24">
        <f>'Data_in-situ'!DA464</f>
        <v>-12503.333333333336</v>
      </c>
      <c r="O2197" s="24">
        <f>'Data_in-situ'!DB464</f>
        <v>37505.705838773269</v>
      </c>
      <c r="P2197" s="46">
        <f>'Data_in-situ'!DC464</f>
        <v>1</v>
      </c>
      <c r="Q2197" s="24">
        <f>'Data_in-situ'!DE464</f>
        <v>19726.666666666664</v>
      </c>
      <c r="R2197" s="24">
        <f>'Data_in-situ'!DF464</f>
        <v>18802.330188886517</v>
      </c>
      <c r="S2197" s="46">
        <f>'Data_in-situ'!DG464</f>
        <v>1</v>
      </c>
      <c r="T2197" s="113">
        <f>'Data_in-situ'!DN6</f>
        <v>155.93</v>
      </c>
      <c r="U2197" s="113">
        <f>'Data_in-situ'!DO6</f>
        <v>91.89</v>
      </c>
      <c r="V2197" s="46">
        <f>'Data_in-situ'!DP6</f>
        <v>3</v>
      </c>
      <c r="W2197" s="113">
        <f>'Data_in-situ'!DR6</f>
        <v>-0.96399999999999997</v>
      </c>
      <c r="X2197" s="113">
        <f>'Data_in-situ'!DS6</f>
        <v>0.26300000000000001</v>
      </c>
      <c r="Y2197" s="46">
        <f>'Data_in-situ'!DT6</f>
        <v>3</v>
      </c>
      <c r="Z2197" s="113">
        <f>'Data_in-situ'!EA12</f>
        <v>0.10912682734488738</v>
      </c>
      <c r="AA2197" s="113">
        <f>'Data_in-situ'!EB12</f>
        <v>0.23951135746402341</v>
      </c>
      <c r="AB2197" s="46">
        <f>'Data_in-situ'!EC12</f>
        <v>3</v>
      </c>
      <c r="AC2197" s="113">
        <f>'Data_in-situ'!EE12</f>
        <v>1.6305394767095169</v>
      </c>
      <c r="AD2197" s="113">
        <f>'Data_in-situ'!EF12</f>
        <v>0.96616422362470822</v>
      </c>
      <c r="AE2197" s="46">
        <f>'Data_in-situ'!EG12</f>
        <v>3</v>
      </c>
      <c r="AF2197" s="113">
        <f>'Data_in-situ'!EN22</f>
        <v>-6.17</v>
      </c>
      <c r="AG2197" s="113">
        <f>'Data_in-situ'!EO22</f>
        <v>1.6</v>
      </c>
      <c r="AH2197" s="110">
        <f>'Data_in-situ'!EP22</f>
        <v>3</v>
      </c>
      <c r="AI2197" s="113">
        <f>'Data_in-situ'!ER22</f>
        <v>-40</v>
      </c>
      <c r="AJ2197" s="113">
        <f>'Data_in-situ'!ES22</f>
        <v>0</v>
      </c>
      <c r="AK2197" s="110">
        <f>'Data_in-situ'!ET22</f>
        <v>3</v>
      </c>
    </row>
    <row r="2198" spans="1:37" x14ac:dyDescent="0.3">
      <c r="B2198" s="24">
        <f>'Data_in-situ'!CA467</f>
        <v>-52030</v>
      </c>
      <c r="C2198" s="24">
        <f>'Data_in-situ'!CB467</f>
        <v>12685.458264249761</v>
      </c>
      <c r="D2198" s="46">
        <f>'Data_in-situ'!CC467</f>
        <v>1</v>
      </c>
      <c r="E2198" s="24">
        <f>'Data_in-situ'!CE467</f>
        <v>-33366.666666666664</v>
      </c>
      <c r="F2198" s="24">
        <f>'Data_in-situ'!CF467</f>
        <v>12421.378851336727</v>
      </c>
      <c r="G2198" s="46">
        <f>'Data_in-situ'!CG467</f>
        <v>1</v>
      </c>
      <c r="H2198" s="24">
        <f>'Data_in-situ'!CN467</f>
        <v>53753.333333333336</v>
      </c>
      <c r="I2198" s="24">
        <f>'Data_in-situ'!CO467</f>
        <v>15460.926643325691</v>
      </c>
      <c r="J2198" s="46">
        <f>'Data_in-situ'!CP467</f>
        <v>1</v>
      </c>
      <c r="K2198" s="24">
        <f>'Data_in-situ'!CR467</f>
        <v>42936.666666666664</v>
      </c>
      <c r="L2198" s="24">
        <f>'Data_in-situ'!CS467</f>
        <v>11266.202202016497</v>
      </c>
      <c r="M2198" s="46">
        <f>'Data_in-situ'!CT467</f>
        <v>1</v>
      </c>
      <c r="N2198" s="24">
        <f>'Data_in-situ'!DA465</f>
        <v>1723.3333333333358</v>
      </c>
      <c r="O2198" s="24">
        <f>'Data_in-situ'!DB465</f>
        <v>5169.4081361359113</v>
      </c>
      <c r="P2198" s="46">
        <f>'Data_in-situ'!DC465</f>
        <v>1</v>
      </c>
      <c r="Q2198" s="24">
        <f>'Data_in-situ'!DE465</f>
        <v>9570</v>
      </c>
      <c r="R2198" s="24">
        <f>'Data_in-situ'!DF465</f>
        <v>9121.5765414486632</v>
      </c>
      <c r="S2198" s="46">
        <f>'Data_in-situ'!DG465</f>
        <v>1</v>
      </c>
      <c r="T2198" s="113">
        <f>'Data_in-situ'!DN7</f>
        <v>155.93</v>
      </c>
      <c r="U2198" s="113">
        <f>'Data_in-situ'!DO7</f>
        <v>91.89</v>
      </c>
      <c r="V2198" s="46">
        <f>'Data_in-situ'!DP7</f>
        <v>3</v>
      </c>
      <c r="W2198" s="113">
        <f>'Data_in-situ'!DR7</f>
        <v>0.35</v>
      </c>
      <c r="X2198" s="113">
        <f>'Data_in-situ'!DS7</f>
        <v>1.927</v>
      </c>
      <c r="Y2198" s="46">
        <f>'Data_in-situ'!DT7</f>
        <v>3</v>
      </c>
      <c r="Z2198" s="113">
        <f>'Data_in-situ'!EA13</f>
        <v>0.10912682734488738</v>
      </c>
      <c r="AA2198" s="113">
        <f>'Data_in-situ'!EB13</f>
        <v>0.23951135746402341</v>
      </c>
      <c r="AB2198" s="46">
        <f>'Data_in-situ'!EC13</f>
        <v>3</v>
      </c>
      <c r="AC2198" s="113">
        <f>'Data_in-situ'!EE13</f>
        <v>2.1116822731156044</v>
      </c>
      <c r="AD2198" s="113">
        <f>'Data_in-situ'!EF13</f>
        <v>0.9849415206790767</v>
      </c>
      <c r="AE2198" s="46">
        <f>'Data_in-situ'!EG13</f>
        <v>3</v>
      </c>
      <c r="AF2198" s="113">
        <f>'Data_in-situ'!EN23</f>
        <v>-6.17</v>
      </c>
      <c r="AG2198" s="113">
        <f>'Data_in-situ'!EO23</f>
        <v>1.6</v>
      </c>
      <c r="AH2198" s="110">
        <f>'Data_in-situ'!EP23</f>
        <v>3</v>
      </c>
      <c r="AI2198" s="113">
        <f>'Data_in-situ'!ER23</f>
        <v>-14.475524475524482</v>
      </c>
      <c r="AJ2198" s="113">
        <f>'Data_in-situ'!ES23</f>
        <v>3.4828674393339902</v>
      </c>
      <c r="AK2198" s="110">
        <f>'Data_in-situ'!ET23</f>
        <v>3</v>
      </c>
    </row>
    <row r="2199" spans="1:37" x14ac:dyDescent="0.3">
      <c r="B2199" s="24">
        <f>'Data_in-situ'!CA469</f>
        <v>-21404.3</v>
      </c>
      <c r="C2199" s="24">
        <f>'Data_in-situ'!CB469</f>
        <v>5218.5922415045388</v>
      </c>
      <c r="D2199" s="46">
        <f>'Data_in-situ'!CC469</f>
        <v>1</v>
      </c>
      <c r="E2199" s="24">
        <f>'Data_in-situ'!CE469</f>
        <v>-19205.5</v>
      </c>
      <c r="F2199" s="24">
        <f>'Data_in-situ'!CF469</f>
        <v>7149.6141317486772</v>
      </c>
      <c r="G2199" s="46">
        <f>'Data_in-situ'!CG469</f>
        <v>1</v>
      </c>
      <c r="H2199" s="24">
        <f>'Data_in-situ'!CN469</f>
        <v>15413.8</v>
      </c>
      <c r="I2199" s="24">
        <f>'Data_in-situ'!CO469</f>
        <v>4433.4298231717758</v>
      </c>
      <c r="J2199" s="46">
        <f>'Data_in-situ'!CP469</f>
        <v>1</v>
      </c>
      <c r="K2199" s="24">
        <f>'Data_in-situ'!CR469</f>
        <v>13847.5</v>
      </c>
      <c r="L2199" s="24">
        <f>'Data_in-situ'!CS469</f>
        <v>3633.4617263975647</v>
      </c>
      <c r="M2199" s="46">
        <f>'Data_in-situ'!CT469</f>
        <v>1</v>
      </c>
      <c r="N2199" s="24">
        <f>'Data_in-situ'!DA466</f>
        <v>-12503.333333333336</v>
      </c>
      <c r="O2199" s="24">
        <f>'Data_in-situ'!DB466</f>
        <v>37505.705838773269</v>
      </c>
      <c r="P2199" s="46">
        <f>'Data_in-situ'!DC466</f>
        <v>1</v>
      </c>
      <c r="Q2199" s="24">
        <f>'Data_in-situ'!DE466</f>
        <v>19726.666666666664</v>
      </c>
      <c r="R2199" s="24">
        <f>'Data_in-situ'!DF466</f>
        <v>18802.330188886517</v>
      </c>
      <c r="S2199" s="46">
        <f>'Data_in-situ'!DG466</f>
        <v>1</v>
      </c>
      <c r="T2199" s="113">
        <f>'Data_in-situ'!DN8</f>
        <v>77.679769199310513</v>
      </c>
      <c r="U2199" s="113">
        <f>'Data_in-situ'!DO8</f>
        <v>41.109363664076781</v>
      </c>
      <c r="V2199" s="46">
        <f>'Data_in-situ'!DP8</f>
        <v>3</v>
      </c>
      <c r="W2199" s="113">
        <f>'Data_in-situ'!DR8</f>
        <v>1.3178677201023323</v>
      </c>
      <c r="X2199" s="113">
        <f>'Data_in-situ'!DS8</f>
        <v>0.99682589896901586</v>
      </c>
      <c r="Y2199" s="46">
        <f>'Data_in-situ'!DT8</f>
        <v>3</v>
      </c>
      <c r="Z2199" s="113">
        <f>'Data_in-situ'!EA162</f>
        <v>2.1024738953323308</v>
      </c>
      <c r="AA2199" s="113">
        <f>'Data_in-situ'!EB162</f>
        <v>12.089176504021989</v>
      </c>
      <c r="AB2199" s="46">
        <f>'Data_in-situ'!EC162</f>
        <v>4</v>
      </c>
      <c r="AC2199" s="113">
        <f>'Data_in-situ'!EE162</f>
        <v>6.8008768905024581</v>
      </c>
      <c r="AD2199" s="113">
        <f>'Data_in-situ'!EF162</f>
        <v>10.154657115085213</v>
      </c>
      <c r="AE2199" s="46">
        <f>'Data_in-situ'!EG162</f>
        <v>4</v>
      </c>
      <c r="AF2199" s="113">
        <f>'Data_in-situ'!EN24</f>
        <v>-6.17</v>
      </c>
      <c r="AG2199" s="113">
        <f>'Data_in-situ'!EO24</f>
        <v>1.6</v>
      </c>
      <c r="AH2199" s="110">
        <f>'Data_in-situ'!EP24</f>
        <v>3</v>
      </c>
      <c r="AI2199" s="113">
        <f>'Data_in-situ'!ER24</f>
        <v>-40</v>
      </c>
      <c r="AJ2199" s="113">
        <f>'Data_in-situ'!ES24</f>
        <v>0</v>
      </c>
      <c r="AK2199" s="110">
        <f>'Data_in-situ'!ET24</f>
        <v>3</v>
      </c>
    </row>
    <row r="2200" spans="1:37" x14ac:dyDescent="0.3">
      <c r="N2200" s="24">
        <f>'Data_in-situ'!DA467</f>
        <v>1723.3333333333358</v>
      </c>
      <c r="O2200" s="24">
        <f>'Data_in-situ'!DB467</f>
        <v>5169.4081361359113</v>
      </c>
      <c r="P2200" s="46">
        <f>'Data_in-situ'!DC467</f>
        <v>1</v>
      </c>
      <c r="Q2200" s="24">
        <f>'Data_in-situ'!DE467</f>
        <v>9570</v>
      </c>
      <c r="R2200" s="24">
        <f>'Data_in-situ'!DF467</f>
        <v>9121.5765414486632</v>
      </c>
      <c r="S2200" s="46">
        <f>'Data_in-situ'!DG467</f>
        <v>1</v>
      </c>
      <c r="T2200" s="113">
        <f>'Data_in-situ'!DN9</f>
        <v>77.679769199310513</v>
      </c>
      <c r="U2200" s="113">
        <f>'Data_in-situ'!DO9</f>
        <v>41.109363664076781</v>
      </c>
      <c r="V2200" s="46">
        <f>'Data_in-situ'!DP9</f>
        <v>3</v>
      </c>
      <c r="W2200" s="113">
        <f>'Data_in-situ'!DR9</f>
        <v>-1.0998745633936757</v>
      </c>
      <c r="X2200" s="113">
        <f>'Data_in-situ'!DS9</f>
        <v>0.82147395233930254</v>
      </c>
      <c r="Y2200" s="46">
        <f>'Data_in-situ'!DT9</f>
        <v>3</v>
      </c>
      <c r="Z2200" s="113">
        <f>'Data_in-situ'!EA163</f>
        <v>0.69244345015682884</v>
      </c>
      <c r="AA2200" s="113">
        <f>'Data_in-situ'!EB163</f>
        <v>3.9815338999377539</v>
      </c>
      <c r="AB2200" s="46">
        <f>'Data_in-situ'!EC163</f>
        <v>4</v>
      </c>
      <c r="AC2200" s="113">
        <f>'Data_in-situ'!EE163</f>
        <v>1.8900218026919515</v>
      </c>
      <c r="AD2200" s="113">
        <f>'Data_in-situ'!EF163</f>
        <v>2.8220659858105499</v>
      </c>
      <c r="AE2200" s="46">
        <f>'Data_in-situ'!EG163</f>
        <v>4</v>
      </c>
      <c r="AF2200" s="113">
        <f>'Data_in-situ'!EN25</f>
        <v>-6.17</v>
      </c>
      <c r="AG2200" s="113">
        <f>'Data_in-situ'!EO25</f>
        <v>1.6</v>
      </c>
      <c r="AH2200" s="110">
        <f>'Data_in-situ'!EP25</f>
        <v>3</v>
      </c>
      <c r="AI2200" s="113">
        <f>'Data_in-situ'!ER25</f>
        <v>-31.710108073744415</v>
      </c>
      <c r="AJ2200" s="113">
        <f>'Data_in-situ'!ES25</f>
        <v>5.4726041682006299</v>
      </c>
      <c r="AK2200" s="110">
        <f>'Data_in-situ'!ET25</f>
        <v>3</v>
      </c>
    </row>
    <row r="2201" spans="1:37" x14ac:dyDescent="0.3">
      <c r="N2201" s="24">
        <f>'Data_in-situ'!DA469</f>
        <v>-5990.5</v>
      </c>
      <c r="O2201" s="24">
        <f>'Data_in-situ'!DB469</f>
        <v>17969.442614809748</v>
      </c>
      <c r="P2201" s="46">
        <f>'Data_in-situ'!DC469</f>
        <v>1</v>
      </c>
      <c r="Q2201" s="24">
        <f>'Data_in-situ'!DE469</f>
        <v>-5358</v>
      </c>
      <c r="R2201" s="24">
        <f>'Data_in-situ'!DF469</f>
        <v>5106.9390918580921</v>
      </c>
      <c r="S2201" s="46">
        <f>'Data_in-situ'!DG469</f>
        <v>1</v>
      </c>
      <c r="T2201" s="113">
        <f>'Data_in-situ'!DN10</f>
        <v>80.930473720608589</v>
      </c>
      <c r="U2201" s="113">
        <f>'Data_in-situ'!DO10</f>
        <v>80.92749494901247</v>
      </c>
      <c r="V2201" s="46">
        <f>'Data_in-situ'!DP10</f>
        <v>3</v>
      </c>
      <c r="W2201" s="113">
        <f>'Data_in-situ'!DR10</f>
        <v>-0.14922022827514225</v>
      </c>
      <c r="X2201" s="113">
        <f>'Data_in-situ'!DS10</f>
        <v>1.9242287674114169</v>
      </c>
      <c r="Y2201" s="46">
        <f>'Data_in-situ'!DT10</f>
        <v>3</v>
      </c>
      <c r="Z2201" s="113">
        <f>'Data_in-situ'!EA164</f>
        <v>0.69244345015682884</v>
      </c>
      <c r="AA2201" s="113">
        <f>'Data_in-situ'!EB164</f>
        <v>3.9815338999377539</v>
      </c>
      <c r="AB2201" s="46">
        <f>'Data_in-situ'!EC164</f>
        <v>4</v>
      </c>
      <c r="AC2201" s="113">
        <f>'Data_in-situ'!EE164</f>
        <v>1.2029333397446536</v>
      </c>
      <c r="AD2201" s="113">
        <f>'Data_in-situ'!EF164</f>
        <v>1.7961471430941864</v>
      </c>
      <c r="AE2201" s="46">
        <f>'Data_in-situ'!EG164</f>
        <v>4</v>
      </c>
      <c r="AF2201" s="113">
        <f>'Data_in-situ'!EN26</f>
        <v>-20.329999999999998</v>
      </c>
      <c r="AG2201" s="113">
        <f>'Data_in-situ'!EO26</f>
        <v>2.57</v>
      </c>
      <c r="AH2201" s="110">
        <f>'Data_in-situ'!EP26</f>
        <v>3</v>
      </c>
      <c r="AI2201" s="113">
        <f>'Data_in-situ'!ER26</f>
        <v>-40</v>
      </c>
      <c r="AJ2201" s="113">
        <f>'Data_in-situ'!ES26</f>
        <v>0</v>
      </c>
      <c r="AK2201" s="110">
        <f>'Data_in-situ'!ET26</f>
        <v>3</v>
      </c>
    </row>
    <row r="2202" spans="1:37" x14ac:dyDescent="0.3">
      <c r="T2202" s="113">
        <f>'Data_in-situ'!DN11</f>
        <v>80.930473720608589</v>
      </c>
      <c r="U2202" s="113">
        <f>'Data_in-situ'!DO11</f>
        <v>80.92749494901247</v>
      </c>
      <c r="V2202" s="46">
        <f>'Data_in-situ'!DP11</f>
        <v>3</v>
      </c>
      <c r="W2202" s="113">
        <f>'Data_in-situ'!DR11</f>
        <v>2.5012626262626263</v>
      </c>
      <c r="X2202" s="113">
        <f>'Data_in-situ'!DS11</f>
        <v>2.3831947437160079</v>
      </c>
      <c r="Y2202" s="46">
        <f>'Data_in-situ'!DT11</f>
        <v>3</v>
      </c>
      <c r="Z2202" s="113">
        <f>'Data_in-situ'!EA165</f>
        <v>0.69244345015682884</v>
      </c>
      <c r="AA2202" s="113">
        <f>'Data_in-situ'!EB165</f>
        <v>3.9815338999377539</v>
      </c>
      <c r="AB2202" s="46">
        <f>'Data_in-situ'!EC165</f>
        <v>4</v>
      </c>
      <c r="AC2202" s="113">
        <f>'Data_in-situ'!EE165</f>
        <v>1.5464775712183025</v>
      </c>
      <c r="AD2202" s="113">
        <f>'Data_in-situ'!EF165</f>
        <v>2.3091065644523678</v>
      </c>
      <c r="AE2202" s="46">
        <f>'Data_in-situ'!EG165</f>
        <v>4</v>
      </c>
      <c r="AF2202" s="113">
        <f>'Data_in-situ'!EN27</f>
        <v>-20.329999999999998</v>
      </c>
      <c r="AG2202" s="113">
        <f>'Data_in-situ'!EO27</f>
        <v>2.57</v>
      </c>
      <c r="AH2202" s="110">
        <f>'Data_in-situ'!EP27</f>
        <v>3</v>
      </c>
      <c r="AI2202" s="113">
        <f>'Data_in-situ'!ER27</f>
        <v>-14.475524475524482</v>
      </c>
      <c r="AJ2202" s="113">
        <f>'Data_in-situ'!ES27</f>
        <v>3.4828674393339902</v>
      </c>
      <c r="AK2202" s="110">
        <f>'Data_in-situ'!ET27</f>
        <v>3</v>
      </c>
    </row>
    <row r="2203" spans="1:37" x14ac:dyDescent="0.3">
      <c r="T2203" s="113">
        <f>'Data_in-situ'!DN12</f>
        <v>80.930473720608589</v>
      </c>
      <c r="U2203" s="113">
        <f>'Data_in-situ'!DO12</f>
        <v>80.92749494901247</v>
      </c>
      <c r="V2203" s="46">
        <f>'Data_in-situ'!DP12</f>
        <v>3</v>
      </c>
      <c r="W2203" s="113">
        <f>'Data_in-situ'!DR12</f>
        <v>-2.9015044386833213</v>
      </c>
      <c r="X2203" s="113">
        <f>'Data_in-situ'!DS12</f>
        <v>2.2386157093008641</v>
      </c>
      <c r="Y2203" s="46">
        <f>'Data_in-situ'!DT12</f>
        <v>3</v>
      </c>
      <c r="Z2203" s="113">
        <f>'Data_in-situ'!EA166</f>
        <v>1.0757430488974113</v>
      </c>
      <c r="AA2203" s="113">
        <f>'Data_in-situ'!EB166</f>
        <v>6.1854977700162745</v>
      </c>
      <c r="AB2203" s="46">
        <f>'Data_in-situ'!EC166</f>
        <v>4</v>
      </c>
      <c r="AC2203" s="113">
        <f>'Data_in-situ'!EE166</f>
        <v>1.0103547459252158</v>
      </c>
      <c r="AD2203" s="113">
        <f>'Data_in-situ'!EF166</f>
        <v>1.508600460596133</v>
      </c>
      <c r="AE2203" s="46">
        <f>'Data_in-situ'!EG166</f>
        <v>4</v>
      </c>
      <c r="AF2203" s="113">
        <f>'Data_in-situ'!EN28</f>
        <v>-20.329999999999998</v>
      </c>
      <c r="AG2203" s="113">
        <f>'Data_in-situ'!EO28</f>
        <v>2.57</v>
      </c>
      <c r="AH2203" s="110">
        <f>'Data_in-situ'!EP28</f>
        <v>3</v>
      </c>
      <c r="AI2203" s="113">
        <f>'Data_in-situ'!ER28</f>
        <v>-40</v>
      </c>
      <c r="AJ2203" s="113">
        <f>'Data_in-situ'!ES28</f>
        <v>0</v>
      </c>
      <c r="AK2203" s="110">
        <f>'Data_in-situ'!ET28</f>
        <v>3</v>
      </c>
    </row>
    <row r="2204" spans="1:37" x14ac:dyDescent="0.3">
      <c r="T2204" s="113">
        <f>'Data_in-situ'!DN13</f>
        <v>80.930473720608589</v>
      </c>
      <c r="U2204" s="113">
        <f>'Data_in-situ'!DO13</f>
        <v>80.92749494901247</v>
      </c>
      <c r="V2204" s="46">
        <f>'Data_in-situ'!DP13</f>
        <v>3</v>
      </c>
      <c r="W2204" s="113">
        <f>'Data_in-situ'!DR13</f>
        <v>1.1401515151515151</v>
      </c>
      <c r="X2204" s="113">
        <f>'Data_in-situ'!DS13</f>
        <v>0.60565777356465134</v>
      </c>
      <c r="Y2204" s="46">
        <f>'Data_in-situ'!DT13</f>
        <v>3</v>
      </c>
      <c r="Z2204" s="113">
        <f>'Data_in-situ'!EA437</f>
        <v>4.07</v>
      </c>
      <c r="AA2204" s="113">
        <f>'Data_in-situ'!EB437</f>
        <v>1.72</v>
      </c>
      <c r="AB2204" s="46">
        <f>'Data_in-situ'!EC437</f>
        <v>3</v>
      </c>
      <c r="AC2204" s="113">
        <f>'Data_in-situ'!EE437</f>
        <v>4.9000000000000004</v>
      </c>
      <c r="AD2204" s="113">
        <f>'Data_in-situ'!EF437</f>
        <v>1.52</v>
      </c>
      <c r="AE2204" s="46">
        <f>'Data_in-situ'!EG437</f>
        <v>3</v>
      </c>
      <c r="AF2204" s="113">
        <f>'Data_in-situ'!EN29</f>
        <v>-20.329999999999998</v>
      </c>
      <c r="AG2204" s="113">
        <f>'Data_in-situ'!EO29</f>
        <v>2.57</v>
      </c>
      <c r="AH2204" s="110">
        <f>'Data_in-situ'!EP29</f>
        <v>3</v>
      </c>
      <c r="AI2204" s="113">
        <f>'Data_in-situ'!ER29</f>
        <v>-31.710108073744415</v>
      </c>
      <c r="AJ2204" s="113">
        <f>'Data_in-situ'!ES29</f>
        <v>5.4726041682006299</v>
      </c>
      <c r="AK2204" s="110">
        <f>'Data_in-situ'!ET29</f>
        <v>3</v>
      </c>
    </row>
    <row r="2205" spans="1:37" x14ac:dyDescent="0.3">
      <c r="T2205" s="113">
        <f>'Data_in-situ'!DN18</f>
        <v>76.598647152414557</v>
      </c>
      <c r="U2205" s="113">
        <f>'Data_in-situ'!DO18</f>
        <v>97.385019539931207</v>
      </c>
      <c r="V2205" s="46">
        <f>'Data_in-situ'!DP18</f>
        <v>3</v>
      </c>
      <c r="W2205" s="113">
        <f>'Data_in-situ'!DR18</f>
        <v>1.2881413805511519</v>
      </c>
      <c r="X2205" s="113">
        <f>'Data_in-situ'!DS18</f>
        <v>5.0439358355151063</v>
      </c>
      <c r="Y2205" s="46">
        <f>'Data_in-situ'!DT18</f>
        <v>3</v>
      </c>
      <c r="Z2205" s="113">
        <f>'Data_in-situ'!EA438</f>
        <v>4.07</v>
      </c>
      <c r="AA2205" s="113">
        <f>'Data_in-situ'!EB438</f>
        <v>1.72</v>
      </c>
      <c r="AB2205" s="46">
        <f>'Data_in-situ'!EC438</f>
        <v>3</v>
      </c>
      <c r="AC2205" s="113">
        <f>'Data_in-situ'!EE438</f>
        <v>2.09</v>
      </c>
      <c r="AD2205" s="113">
        <f>'Data_in-situ'!EF438</f>
        <v>0.79</v>
      </c>
      <c r="AE2205" s="46">
        <f>'Data_in-situ'!EG438</f>
        <v>3</v>
      </c>
      <c r="AF2205" s="113">
        <f>'Data_in-situ'!EN163</f>
        <v>-109</v>
      </c>
      <c r="AG2205" s="113">
        <f>'Data_in-situ'!EO163</f>
        <v>44.417107463890972</v>
      </c>
      <c r="AH2205" s="110">
        <f>'Data_in-situ'!EP163</f>
        <v>4</v>
      </c>
      <c r="AI2205" s="113">
        <f>'Data_in-situ'!ER163</f>
        <v>-121</v>
      </c>
      <c r="AJ2205" s="113">
        <f>'Data_in-situ'!ES163</f>
        <v>27.444500474612497</v>
      </c>
      <c r="AK2205" s="110">
        <f>'Data_in-situ'!ET163</f>
        <v>4</v>
      </c>
    </row>
    <row r="2206" spans="1:37" x14ac:dyDescent="0.3">
      <c r="T2206" s="113">
        <f>'Data_in-situ'!DN19</f>
        <v>76.598647152414557</v>
      </c>
      <c r="U2206" s="113">
        <f>'Data_in-situ'!DO19</f>
        <v>97.385019539931207</v>
      </c>
      <c r="V2206" s="46">
        <f>'Data_in-situ'!DP19</f>
        <v>3</v>
      </c>
      <c r="W2206" s="113">
        <f>'Data_in-situ'!DR19</f>
        <v>-0.99087798503934754</v>
      </c>
      <c r="X2206" s="113">
        <f>'Data_in-situ'!DS19</f>
        <v>2.1111905341845492</v>
      </c>
      <c r="Y2206" s="46">
        <f>'Data_in-situ'!DT19</f>
        <v>3</v>
      </c>
      <c r="AF2206" s="113">
        <f>'Data_in-situ'!EN164</f>
        <v>-109</v>
      </c>
      <c r="AG2206" s="113">
        <f>'Data_in-situ'!EO164</f>
        <v>44.417107463890972</v>
      </c>
      <c r="AH2206" s="110">
        <f>'Data_in-situ'!EP164</f>
        <v>4</v>
      </c>
      <c r="AI2206" s="113">
        <f>'Data_in-situ'!ER164</f>
        <v>-119</v>
      </c>
      <c r="AJ2206" s="113">
        <f>'Data_in-situ'!ES164</f>
        <v>26.990872367594108</v>
      </c>
      <c r="AK2206" s="110">
        <f>'Data_in-situ'!ET164</f>
        <v>4</v>
      </c>
    </row>
    <row r="2207" spans="1:37" x14ac:dyDescent="0.3">
      <c r="T2207" s="113">
        <f>'Data_in-situ'!DN20</f>
        <v>3.3104450261339187</v>
      </c>
      <c r="U2207" s="113">
        <f>'Data_in-situ'!DO20</f>
        <v>3.2225601192052182</v>
      </c>
      <c r="V2207" s="46">
        <f>'Data_in-situ'!DP20</f>
        <v>3</v>
      </c>
      <c r="W2207" s="113">
        <f>'Data_in-situ'!DR20</f>
        <v>0.97256818109938847</v>
      </c>
      <c r="X2207" s="113">
        <f>'Data_in-situ'!DS20</f>
        <v>5.0056318929545522</v>
      </c>
      <c r="Y2207" s="46">
        <f>'Data_in-situ'!DT20</f>
        <v>3</v>
      </c>
      <c r="AF2207" s="113">
        <f>'Data_in-situ'!EN165</f>
        <v>-109</v>
      </c>
      <c r="AG2207" s="113">
        <f>'Data_in-situ'!EO165</f>
        <v>44.417107463890972</v>
      </c>
      <c r="AH2207" s="110">
        <f>'Data_in-situ'!EP165</f>
        <v>4</v>
      </c>
      <c r="AI2207" s="113">
        <f>'Data_in-situ'!ER165</f>
        <v>-138</v>
      </c>
      <c r="AJ2207" s="113">
        <f>'Data_in-situ'!ES165</f>
        <v>31.300339384268796</v>
      </c>
      <c r="AK2207" s="110">
        <f>'Data_in-situ'!ET165</f>
        <v>4</v>
      </c>
    </row>
    <row r="2208" spans="1:37" x14ac:dyDescent="0.3">
      <c r="T2208" s="113">
        <f>'Data_in-situ'!DN21</f>
        <v>3.3104450261339187</v>
      </c>
      <c r="U2208" s="113">
        <f>'Data_in-situ'!DO21</f>
        <v>3.2225601192052182</v>
      </c>
      <c r="V2208" s="46">
        <f>'Data_in-situ'!DP21</f>
        <v>3</v>
      </c>
      <c r="W2208" s="113">
        <f>'Data_in-situ'!DR21</f>
        <v>-0.74812937007645264</v>
      </c>
      <c r="X2208" s="113">
        <f>'Data_in-situ'!DS21</f>
        <v>2.0565387107113464</v>
      </c>
      <c r="Y2208" s="46">
        <f>'Data_in-situ'!DT21</f>
        <v>3</v>
      </c>
      <c r="AF2208" s="113">
        <f>'Data_in-situ'!EN166</f>
        <v>-76</v>
      </c>
      <c r="AG2208" s="113">
        <f>'Data_in-situ'!EO166</f>
        <v>30.969726305098295</v>
      </c>
      <c r="AH2208" s="110">
        <f>'Data_in-situ'!EP166</f>
        <v>4</v>
      </c>
      <c r="AI2208" s="113">
        <f>'Data_in-situ'!ER166</f>
        <v>-84</v>
      </c>
      <c r="AJ2208" s="113">
        <f>'Data_in-situ'!ES166</f>
        <v>19.052380494772311</v>
      </c>
      <c r="AK2208" s="110">
        <f>'Data_in-situ'!ET166</f>
        <v>4</v>
      </c>
    </row>
    <row r="2209" spans="20:37" x14ac:dyDescent="0.3">
      <c r="T2209" s="113">
        <f>'Data_in-situ'!DN22</f>
        <v>69.189192430383997</v>
      </c>
      <c r="U2209" s="113">
        <f>'Data_in-situ'!DO22</f>
        <v>105.7403076411135</v>
      </c>
      <c r="V2209" s="46">
        <f>'Data_in-situ'!DP22</f>
        <v>3</v>
      </c>
      <c r="W2209" s="113">
        <f>'Data_in-situ'!DR22</f>
        <v>0.20126042349248477</v>
      </c>
      <c r="X2209" s="113">
        <f>'Data_in-situ'!DS22</f>
        <v>3.7673237667559927</v>
      </c>
      <c r="Y2209" s="46">
        <f>'Data_in-situ'!DT22</f>
        <v>3</v>
      </c>
      <c r="AF2209" s="113">
        <f>'Data_in-situ'!EN194</f>
        <v>-7</v>
      </c>
      <c r="AG2209" s="113">
        <f>'Data_in-situ'!EO194</f>
        <v>2.8524747912590533</v>
      </c>
      <c r="AH2209" s="110">
        <f>'Data_in-situ'!EP194</f>
        <v>6</v>
      </c>
      <c r="AI2209" s="113">
        <f>'Data_in-situ'!ER194</f>
        <v>-57</v>
      </c>
      <c r="AJ2209" s="113">
        <f>'Data_in-situ'!ES194</f>
        <v>12.928401050024068</v>
      </c>
      <c r="AK2209" s="110">
        <f>'Data_in-situ'!ET194</f>
        <v>6</v>
      </c>
    </row>
    <row r="2210" spans="20:37" x14ac:dyDescent="0.3">
      <c r="T2210" s="113">
        <f>'Data_in-situ'!DN23</f>
        <v>69.189192430383997</v>
      </c>
      <c r="U2210" s="113">
        <f>'Data_in-situ'!DO23</f>
        <v>105.7403076411135</v>
      </c>
      <c r="V2210" s="46">
        <f>'Data_in-situ'!DP23</f>
        <v>3</v>
      </c>
      <c r="W2210" s="113">
        <f>'Data_in-situ'!DR23</f>
        <v>3.6083118783295469</v>
      </c>
      <c r="X2210" s="113">
        <f>'Data_in-situ'!DS23</f>
        <v>8.7762753596190368</v>
      </c>
      <c r="Y2210" s="46">
        <f>'Data_in-situ'!DT23</f>
        <v>3</v>
      </c>
      <c r="AF2210" s="113">
        <f>'Data_in-situ'!EN206</f>
        <v>3</v>
      </c>
      <c r="AG2210" s="113">
        <f>'Data_in-situ'!EO206</f>
        <v>3</v>
      </c>
      <c r="AH2210" s="110">
        <f>'Data_in-situ'!EP206</f>
        <v>10</v>
      </c>
      <c r="AI2210" s="113">
        <f>'Data_in-situ'!ER206</f>
        <v>4</v>
      </c>
      <c r="AJ2210" s="113">
        <f>'Data_in-situ'!ES206</f>
        <v>2</v>
      </c>
      <c r="AK2210" s="110">
        <f>'Data_in-situ'!ET206</f>
        <v>10</v>
      </c>
    </row>
    <row r="2211" spans="20:37" x14ac:dyDescent="0.3">
      <c r="T2211" s="113">
        <f>'Data_in-situ'!DN24</f>
        <v>69.189192430383997</v>
      </c>
      <c r="U2211" s="113">
        <f>'Data_in-situ'!DO24</f>
        <v>105.7403076411135</v>
      </c>
      <c r="V2211" s="46">
        <f>'Data_in-situ'!DP24</f>
        <v>3</v>
      </c>
      <c r="W2211" s="113">
        <f>'Data_in-situ'!DR24</f>
        <v>-2.3432463592339285</v>
      </c>
      <c r="X2211" s="113">
        <f>'Data_in-situ'!DS24</f>
        <v>2.1725078783546201</v>
      </c>
      <c r="Y2211" s="46">
        <f>'Data_in-situ'!DT24</f>
        <v>3</v>
      </c>
      <c r="AF2211" s="113">
        <f>'Data_in-situ'!EN207</f>
        <v>-19</v>
      </c>
      <c r="AG2211" s="113">
        <f>'Data_in-situ'!EO207</f>
        <v>4</v>
      </c>
      <c r="AH2211" s="110">
        <f>'Data_in-situ'!EP207</f>
        <v>10</v>
      </c>
      <c r="AI2211" s="113">
        <f>'Data_in-situ'!ER207</f>
        <v>-17</v>
      </c>
      <c r="AJ2211" s="113">
        <f>'Data_in-situ'!ES207</f>
        <v>7</v>
      </c>
      <c r="AK2211" s="110">
        <f>'Data_in-situ'!ET207</f>
        <v>10</v>
      </c>
    </row>
    <row r="2212" spans="20:37" x14ac:dyDescent="0.3">
      <c r="T2212" s="113">
        <f>'Data_in-situ'!DN25</f>
        <v>69.189192430383997</v>
      </c>
      <c r="U2212" s="113">
        <f>'Data_in-situ'!DO25</f>
        <v>105.7403076411135</v>
      </c>
      <c r="V2212" s="46">
        <f>'Data_in-situ'!DP25</f>
        <v>3</v>
      </c>
      <c r="W2212" s="113">
        <f>'Data_in-situ'!DR25</f>
        <v>1.9694770013193148</v>
      </c>
      <c r="X2212" s="113">
        <f>'Data_in-situ'!DS25</f>
        <v>4.4704507627185972</v>
      </c>
      <c r="Y2212" s="46">
        <f>'Data_in-situ'!DT25</f>
        <v>3</v>
      </c>
      <c r="AF2212" s="113">
        <f>'Data_in-situ'!EN208</f>
        <v>3</v>
      </c>
      <c r="AG2212" s="113">
        <f>'Data_in-situ'!EO208</f>
        <v>3</v>
      </c>
      <c r="AH2212" s="110">
        <f>'Data_in-situ'!EP208</f>
        <v>10</v>
      </c>
      <c r="AI2212" s="113">
        <f>'Data_in-situ'!ER208</f>
        <v>4</v>
      </c>
      <c r="AJ2212" s="113">
        <f>'Data_in-situ'!ES208</f>
        <v>2</v>
      </c>
      <c r="AK2212" s="110">
        <f>'Data_in-situ'!ET208</f>
        <v>10</v>
      </c>
    </row>
    <row r="2213" spans="20:37" x14ac:dyDescent="0.3">
      <c r="T2213" s="113">
        <f>'Data_in-situ'!DN26</f>
        <v>3.3518255889605926</v>
      </c>
      <c r="U2213" s="113">
        <f>'Data_in-situ'!DO26</f>
        <v>3.2126569880661773</v>
      </c>
      <c r="V2213" s="46">
        <f>'Data_in-situ'!DP26</f>
        <v>3</v>
      </c>
      <c r="W2213" s="113">
        <f>'Data_in-situ'!DR26</f>
        <v>0.1571071677160551</v>
      </c>
      <c r="X2213" s="113">
        <f>'Data_in-situ'!DS26</f>
        <v>2.9406674446616683</v>
      </c>
      <c r="Y2213" s="46">
        <f>'Data_in-situ'!DT26</f>
        <v>3</v>
      </c>
      <c r="AF2213" s="113">
        <f>'Data_in-situ'!EN209</f>
        <v>-19</v>
      </c>
      <c r="AG2213" s="113">
        <f>'Data_in-situ'!EO209</f>
        <v>4</v>
      </c>
      <c r="AH2213" s="110">
        <f>'Data_in-situ'!EP209</f>
        <v>10</v>
      </c>
      <c r="AI2213" s="113">
        <f>'Data_in-situ'!ER209</f>
        <v>-17</v>
      </c>
      <c r="AJ2213" s="113">
        <f>'Data_in-situ'!ES209</f>
        <v>7</v>
      </c>
      <c r="AK2213" s="110">
        <f>'Data_in-situ'!ET209</f>
        <v>10</v>
      </c>
    </row>
    <row r="2214" spans="20:37" x14ac:dyDescent="0.3">
      <c r="T2214" s="113">
        <f>'Data_in-situ'!DN27</f>
        <v>3.3518255889605926</v>
      </c>
      <c r="U2214" s="113">
        <f>'Data_in-situ'!DO27</f>
        <v>3.2126569880661773</v>
      </c>
      <c r="V2214" s="46">
        <f>'Data_in-situ'!DP27</f>
        <v>3</v>
      </c>
      <c r="W2214" s="113">
        <f>'Data_in-situ'!DR27</f>
        <v>2.8167070783378438</v>
      </c>
      <c r="X2214" s="113">
        <f>'Data_in-situ'!DS27</f>
        <v>12.110678472354174</v>
      </c>
      <c r="Y2214" s="46">
        <f>'Data_in-situ'!DT27</f>
        <v>3</v>
      </c>
      <c r="AF2214" s="113">
        <f>'Data_in-situ'!EN331</f>
        <v>-1.7536945812807845</v>
      </c>
      <c r="AG2214" s="113">
        <f>'Data_in-situ'!EO331</f>
        <v>0.69808857905462174</v>
      </c>
      <c r="AH2214" s="110">
        <f>'Data_in-situ'!EP331</f>
        <v>3</v>
      </c>
      <c r="AI2214" s="113">
        <f>'Data_in-situ'!ER331</f>
        <v>-7.7635467980295543</v>
      </c>
      <c r="AJ2214" s="113">
        <f>'Data_in-situ'!ES331</f>
        <v>0.98832726576778518</v>
      </c>
      <c r="AK2214" s="110">
        <f>'Data_in-situ'!ET331</f>
        <v>3</v>
      </c>
    </row>
    <row r="2215" spans="20:37" x14ac:dyDescent="0.3">
      <c r="T2215" s="113">
        <f>'Data_in-situ'!DN28</f>
        <v>3.3518255889605926</v>
      </c>
      <c r="U2215" s="113">
        <f>'Data_in-situ'!DO28</f>
        <v>3.2126569880661773</v>
      </c>
      <c r="V2215" s="46">
        <f>'Data_in-situ'!DP28</f>
        <v>3</v>
      </c>
      <c r="W2215" s="113">
        <f>'Data_in-situ'!DR28</f>
        <v>-1.8291763098369263</v>
      </c>
      <c r="X2215" s="113">
        <f>'Data_in-situ'!DS28</f>
        <v>1.6561975194588527</v>
      </c>
      <c r="Y2215" s="46">
        <f>'Data_in-situ'!DT28</f>
        <v>3</v>
      </c>
      <c r="AF2215" s="113">
        <f>'Data_in-situ'!EN332</f>
        <v>-1.7536945812807845</v>
      </c>
      <c r="AG2215" s="113">
        <f>'Data_in-situ'!EO332</f>
        <v>0.69808857905462174</v>
      </c>
      <c r="AH2215" s="110">
        <f>'Data_in-situ'!EP332</f>
        <v>3</v>
      </c>
      <c r="AI2215" s="113">
        <f>'Data_in-situ'!ER332</f>
        <v>-13.556650246305416</v>
      </c>
      <c r="AJ2215" s="113">
        <f>'Data_in-situ'!ES332</f>
        <v>1.7667087815907134</v>
      </c>
      <c r="AK2215" s="110">
        <f>'Data_in-situ'!ET332</f>
        <v>3</v>
      </c>
    </row>
    <row r="2216" spans="20:37" x14ac:dyDescent="0.3">
      <c r="T2216" s="113">
        <f>'Data_in-situ'!DN29</f>
        <v>3.3518255889605926</v>
      </c>
      <c r="U2216" s="113">
        <f>'Data_in-situ'!DO29</f>
        <v>3.2126569880661773</v>
      </c>
      <c r="V2216" s="46">
        <f>'Data_in-situ'!DP29</f>
        <v>3</v>
      </c>
      <c r="W2216" s="113">
        <f>'Data_in-situ'!DR29</f>
        <v>1.5374058555071104</v>
      </c>
      <c r="X2216" s="113">
        <f>'Data_in-situ'!DS29</f>
        <v>3.4762119230029214</v>
      </c>
      <c r="Y2216" s="46">
        <f>'Data_in-situ'!DT29</f>
        <v>3</v>
      </c>
    </row>
    <row r="2217" spans="20:37" x14ac:dyDescent="0.3">
      <c r="T2217" s="113">
        <f>'Data_in-situ'!DN162</f>
        <v>4.1088183748609376E-2</v>
      </c>
      <c r="U2217" s="113">
        <f>'Data_in-situ'!DO162</f>
        <v>4.5808365090522003E-2</v>
      </c>
      <c r="V2217" s="46">
        <f>'Data_in-situ'!DP162</f>
        <v>4</v>
      </c>
      <c r="W2217" s="113">
        <f>'Data_in-situ'!DR162</f>
        <v>0.1749737827715355</v>
      </c>
      <c r="X2217" s="113">
        <f>'Data_in-situ'!DS162</f>
        <v>0.65391487210700916</v>
      </c>
      <c r="Y2217" s="46">
        <f>'Data_in-situ'!DT162</f>
        <v>4</v>
      </c>
    </row>
    <row r="2218" spans="20:37" x14ac:dyDescent="0.3">
      <c r="T2218" s="113">
        <f>'Data_in-situ'!DN163</f>
        <v>-0.12122916895579239</v>
      </c>
      <c r="U2218" s="113">
        <f>'Data_in-situ'!DO163</f>
        <v>0.13515588971088227</v>
      </c>
      <c r="V2218" s="46">
        <f>'Data_in-situ'!DP163</f>
        <v>4</v>
      </c>
      <c r="W2218" s="113">
        <f>'Data_in-situ'!DR163</f>
        <v>6.1724726721622734E-2</v>
      </c>
      <c r="X2218" s="113">
        <f>'Data_in-situ'!DS163</f>
        <v>0.23067865448569461</v>
      </c>
      <c r="Y2218" s="46">
        <f>'Data_in-situ'!DT163</f>
        <v>4</v>
      </c>
    </row>
    <row r="2219" spans="20:37" x14ac:dyDescent="0.3">
      <c r="T2219" s="113">
        <f>'Data_in-situ'!DN164</f>
        <v>-0.12122916895579239</v>
      </c>
      <c r="U2219" s="113">
        <f>'Data_in-situ'!DO164</f>
        <v>0.13515588971088227</v>
      </c>
      <c r="V2219" s="46">
        <f>'Data_in-situ'!DP164</f>
        <v>4</v>
      </c>
      <c r="W2219" s="113">
        <f>'Data_in-situ'!DR164</f>
        <v>-0.12344945344324547</v>
      </c>
      <c r="X2219" s="113">
        <f>'Data_in-situ'!DS164</f>
        <v>0.46135730897138921</v>
      </c>
      <c r="Y2219" s="46">
        <f>'Data_in-situ'!DT164</f>
        <v>4</v>
      </c>
    </row>
    <row r="2220" spans="20:37" x14ac:dyDescent="0.3">
      <c r="T2220" s="113">
        <f>'Data_in-situ'!DN165</f>
        <v>-0.12122916895579239</v>
      </c>
      <c r="U2220" s="113">
        <f>'Data_in-situ'!DO165</f>
        <v>0.13515588971088227</v>
      </c>
      <c r="V2220" s="46">
        <f>'Data_in-situ'!DP165</f>
        <v>4</v>
      </c>
      <c r="W2220" s="113">
        <f>'Data_in-situ'!DR165</f>
        <v>0.12344945344324547</v>
      </c>
      <c r="X2220" s="113">
        <f>'Data_in-situ'!DS165</f>
        <v>0.46135730897138921</v>
      </c>
      <c r="Y2220" s="46">
        <f>'Data_in-situ'!DT165</f>
        <v>4</v>
      </c>
    </row>
    <row r="2221" spans="20:37" x14ac:dyDescent="0.3">
      <c r="T2221" s="113">
        <f>'Data_in-situ'!DN166</f>
        <v>-0.52800000000000002</v>
      </c>
      <c r="U2221" s="113">
        <f>'Data_in-situ'!DO166</f>
        <v>0.5886562646764405</v>
      </c>
      <c r="V2221" s="46">
        <f>'Data_in-situ'!DP166</f>
        <v>4</v>
      </c>
      <c r="W2221" s="113">
        <f>'Data_in-situ'!DR166</f>
        <v>-0.26133333333333336</v>
      </c>
      <c r="X2221" s="113">
        <f>'Data_in-situ'!DS166</f>
        <v>0.97665919166357074</v>
      </c>
      <c r="Y2221" s="46">
        <f>'Data_in-situ'!DT166</f>
        <v>4</v>
      </c>
    </row>
    <row r="2222" spans="20:37" x14ac:dyDescent="0.3">
      <c r="T2222" s="113">
        <f>'Data_in-situ'!DN194</f>
        <v>116</v>
      </c>
      <c r="U2222" s="113">
        <f>'Data_in-situ'!DO194</f>
        <v>129.32599754255131</v>
      </c>
      <c r="V2222" s="46">
        <f>'Data_in-situ'!DP194</f>
        <v>6</v>
      </c>
      <c r="W2222" s="113">
        <f>'Data_in-situ'!DR194</f>
        <v>-9</v>
      </c>
      <c r="X2222" s="113">
        <f>'Data_in-situ'!DS194</f>
        <v>33.634946651679087</v>
      </c>
      <c r="Y2222" s="46">
        <f>'Data_in-situ'!DT194</f>
        <v>6</v>
      </c>
    </row>
    <row r="2223" spans="20:37" x14ac:dyDescent="0.3">
      <c r="T2223" s="113">
        <f>'Data_in-situ'!DN206</f>
        <v>463.27543921409523</v>
      </c>
      <c r="U2223" s="113">
        <f>'Data_in-situ'!DO206</f>
        <v>273.82684401702096</v>
      </c>
      <c r="V2223" s="46">
        <f>'Data_in-situ'!DP206</f>
        <v>10</v>
      </c>
      <c r="W2223" s="113">
        <f>'Data_in-situ'!DR206</f>
        <v>96.95483735641497</v>
      </c>
      <c r="X2223" s="113">
        <f>'Data_in-situ'!DS206</f>
        <v>59.158355726925045</v>
      </c>
      <c r="Y2223" s="46">
        <f>'Data_in-situ'!DT206</f>
        <v>10</v>
      </c>
    </row>
    <row r="2224" spans="20:37" x14ac:dyDescent="0.3">
      <c r="T2224" s="113">
        <f>'Data_in-situ'!DN207</f>
        <v>-3.4702280090943463</v>
      </c>
      <c r="U2224" s="113">
        <f>'Data_in-situ'!DO207</f>
        <v>1.9645331933110226</v>
      </c>
      <c r="V2224" s="46">
        <f>'Data_in-situ'!DP207</f>
        <v>10</v>
      </c>
      <c r="W2224" s="113">
        <f>'Data_in-situ'!DR207</f>
        <v>5.0366149276059726</v>
      </c>
      <c r="X2224" s="113">
        <f>'Data_in-situ'!DS207</f>
        <v>17.873807602780403</v>
      </c>
      <c r="Y2224" s="46">
        <f>'Data_in-situ'!DT207</f>
        <v>10</v>
      </c>
    </row>
    <row r="2225" spans="1:37" x14ac:dyDescent="0.3">
      <c r="T2225" s="113">
        <f>'Data_in-situ'!DN208</f>
        <v>576.05784950966154</v>
      </c>
      <c r="U2225" s="113">
        <f>'Data_in-situ'!DO208</f>
        <v>329.18150586510939</v>
      </c>
      <c r="V2225" s="46">
        <f>'Data_in-situ'!DP208</f>
        <v>4</v>
      </c>
      <c r="W2225" s="113">
        <f>'Data_in-situ'!DR208</f>
        <v>132.21114184965677</v>
      </c>
      <c r="X2225" s="113">
        <f>'Data_in-situ'!DS208</f>
        <v>124.13591126677807</v>
      </c>
      <c r="Y2225" s="46">
        <f>'Data_in-situ'!DT208</f>
        <v>4</v>
      </c>
    </row>
    <row r="2226" spans="1:37" x14ac:dyDescent="0.3">
      <c r="T2226" s="113">
        <f>'Data_in-situ'!DN209</f>
        <v>-5.2053420136415198</v>
      </c>
      <c r="U2226" s="113">
        <f>'Data_in-situ'!DO209</f>
        <v>2.2181869265634826</v>
      </c>
      <c r="V2226" s="46">
        <f>'Data_in-situ'!DP209</f>
        <v>4</v>
      </c>
      <c r="W2226" s="113">
        <f>'Data_in-situ'!DR209</f>
        <v>-1.2591537319014932</v>
      </c>
      <c r="X2226" s="113">
        <f>'Data_in-situ'!DS209</f>
        <v>2.6242999817463004</v>
      </c>
      <c r="Y2226" s="46">
        <f>'Data_in-situ'!DT209</f>
        <v>4</v>
      </c>
    </row>
    <row r="2227" spans="1:37" x14ac:dyDescent="0.3">
      <c r="T2227" s="113">
        <f>'Data_in-situ'!DN210</f>
        <v>34.702280090943461</v>
      </c>
      <c r="U2227" s="113">
        <f>'Data_in-situ'!DO210</f>
        <v>38.688853360019664</v>
      </c>
      <c r="V2227" s="46">
        <f>'Data_in-situ'!DP210</f>
        <v>10</v>
      </c>
      <c r="W2227" s="113">
        <f>'Data_in-situ'!DR210</f>
        <v>27.701382101832849</v>
      </c>
      <c r="X2227" s="113">
        <f>'Data_in-situ'!DS210</f>
        <v>103.52605657476954</v>
      </c>
      <c r="Y2227" s="46">
        <f>'Data_in-situ'!DT210</f>
        <v>10</v>
      </c>
    </row>
    <row r="2228" spans="1:37" x14ac:dyDescent="0.3">
      <c r="T2228" s="113">
        <f>'Data_in-situ'!DN331</f>
        <v>130.67000000000002</v>
      </c>
      <c r="U2228" s="113">
        <f>'Data_in-situ'!DO331</f>
        <v>68.193149695063454</v>
      </c>
      <c r="V2228" s="46">
        <f>'Data_in-situ'!DP331</f>
        <v>3</v>
      </c>
      <c r="W2228" s="113">
        <f>'Data_in-situ'!DR331</f>
        <v>61.027999999999992</v>
      </c>
      <c r="X2228" s="113">
        <f>'Data_in-situ'!DS331</f>
        <v>43.24238046176459</v>
      </c>
      <c r="Y2228" s="46">
        <f>'Data_in-situ'!DT331</f>
        <v>3</v>
      </c>
    </row>
    <row r="2229" spans="1:37" x14ac:dyDescent="0.3">
      <c r="T2229" s="113">
        <f>'Data_in-situ'!DN332</f>
        <v>130.67000000000002</v>
      </c>
      <c r="U2229" s="113">
        <f>'Data_in-situ'!DO332</f>
        <v>68.193149695063454</v>
      </c>
      <c r="V2229" s="46">
        <f>'Data_in-situ'!DP332</f>
        <v>3</v>
      </c>
      <c r="W2229" s="113">
        <f>'Data_in-situ'!DR332</f>
        <v>1.3626666666666667</v>
      </c>
      <c r="X2229" s="113">
        <f>'Data_in-situ'!DS332</f>
        <v>1.5172765074303363</v>
      </c>
      <c r="Y2229" s="46">
        <f>'Data_in-situ'!DT332</f>
        <v>3</v>
      </c>
    </row>
    <row r="2230" spans="1:37" x14ac:dyDescent="0.3">
      <c r="T2230" s="113">
        <f>'Data_in-situ'!DN394</f>
        <v>3.0991760299625515</v>
      </c>
      <c r="U2230" s="113">
        <f>'Data_in-situ'!DO394</f>
        <v>0.97725273241836819</v>
      </c>
      <c r="V2230" s="46">
        <f>'Data_in-situ'!DP394</f>
        <v>4</v>
      </c>
      <c r="W2230" s="113">
        <f>'Data_in-situ'!DR394</f>
        <v>1.5322846441947573</v>
      </c>
      <c r="X2230" s="113">
        <f>'Data_in-situ'!DS394</f>
        <v>0.41650576982959864</v>
      </c>
      <c r="Y2230" s="46">
        <f>'Data_in-situ'!DT394</f>
        <v>4</v>
      </c>
    </row>
    <row r="2231" spans="1:37" x14ac:dyDescent="0.3">
      <c r="T2231" s="113">
        <f>'Data_in-situ'!DN395</f>
        <v>3.0991760299625515</v>
      </c>
      <c r="U2231" s="113">
        <f>'Data_in-situ'!DO395</f>
        <v>0.97725273241836819</v>
      </c>
      <c r="V2231" s="46">
        <f>'Data_in-situ'!DP395</f>
        <v>4</v>
      </c>
      <c r="W2231" s="113">
        <f>'Data_in-situ'!DR395</f>
        <v>0.58179775280898871</v>
      </c>
      <c r="X2231" s="113">
        <f>'Data_in-situ'!DS395</f>
        <v>0.21030694588731111</v>
      </c>
      <c r="Y2231" s="46">
        <f>'Data_in-situ'!DT395</f>
        <v>4</v>
      </c>
    </row>
    <row r="2232" spans="1:37" x14ac:dyDescent="0.3">
      <c r="T2232" s="113">
        <f>'Data_in-situ'!DN437</f>
        <v>199.12</v>
      </c>
      <c r="U2232" s="113">
        <f>'Data_in-situ'!DO437</f>
        <v>39.04</v>
      </c>
      <c r="V2232" s="46">
        <f>'Data_in-situ'!DP437</f>
        <v>3</v>
      </c>
      <c r="W2232" s="113">
        <f>'Data_in-situ'!DR437</f>
        <v>-1.37</v>
      </c>
      <c r="X2232" s="113">
        <f>'Data_in-situ'!DS437</f>
        <v>0.68</v>
      </c>
      <c r="Y2232" s="46">
        <f>'Data_in-situ'!DT437</f>
        <v>3</v>
      </c>
    </row>
    <row r="2233" spans="1:37" x14ac:dyDescent="0.3">
      <c r="T2233" s="113">
        <f>'Data_in-situ'!DN438</f>
        <v>199.12</v>
      </c>
      <c r="U2233" s="113">
        <f>'Data_in-situ'!DO438</f>
        <v>39.04</v>
      </c>
      <c r="V2233" s="46">
        <f>'Data_in-situ'!DP438</f>
        <v>3</v>
      </c>
      <c r="W2233" s="113">
        <f>'Data_in-situ'!DR438</f>
        <v>94.82</v>
      </c>
      <c r="X2233" s="113">
        <f>'Data_in-situ'!DS438</f>
        <v>9.86</v>
      </c>
      <c r="Y2233" s="46">
        <f>'Data_in-situ'!DT438</f>
        <v>3</v>
      </c>
    </row>
    <row r="2235" spans="1:37" x14ac:dyDescent="0.3">
      <c r="A2235" s="110" t="s">
        <v>831</v>
      </c>
      <c r="B2235" s="24">
        <f>AVERAGEA(B2193:B2233)</f>
        <v>-47513.471428571429</v>
      </c>
      <c r="C2235" s="24">
        <f>STDEVA(B2193:B2233)/SQRT(COUNT(B2193:B2233))</f>
        <v>4351.9754357847078</v>
      </c>
      <c r="D2235" s="46">
        <f>COUNT(B2193:B2233)</f>
        <v>7</v>
      </c>
      <c r="E2235" s="24">
        <f>AVERAGEA(E2193:E2233)</f>
        <v>-23690.785714285714</v>
      </c>
      <c r="F2235" s="24">
        <f>STDEVA(E2193:E2233)/SQRT(COUNT(E2193:E2233))</f>
        <v>3456.4004441102184</v>
      </c>
      <c r="G2235" s="46">
        <f>COUNT(E2193:E2233)</f>
        <v>7</v>
      </c>
      <c r="H2235" s="24">
        <f>AVERAGEA(H2193:H2233)</f>
        <v>42037.685714285712</v>
      </c>
      <c r="I2235" s="24">
        <f>STDEVA(H2193:H2233)/SQRT(COUNT(H2193:H2233))</f>
        <v>5220.8707894720837</v>
      </c>
      <c r="J2235" s="46">
        <f>COUNT(H2193:H2233)</f>
        <v>7</v>
      </c>
      <c r="K2235" s="24">
        <f>AVERAGEA(K2193:K2233)</f>
        <v>35481.071428571428</v>
      </c>
      <c r="L2235" s="24">
        <f>STDEVA(K2193:K2233)/SQRT(COUNT(K2193:K2233))</f>
        <v>3888.1637080986075</v>
      </c>
      <c r="M2235" s="46">
        <f>COUNT(K2193:K2233)</f>
        <v>7</v>
      </c>
      <c r="N2235" s="24">
        <f>AVERAGEA(N2193:N2233)</f>
        <v>-4721.166666666667</v>
      </c>
      <c r="O2235" s="24">
        <f>STDEVA(N2193:N2233)/SQRT(COUNT(N2193:N2233))</f>
        <v>2114.2500136857921</v>
      </c>
      <c r="P2235" s="46">
        <f>COUNT(N2193:N2233)</f>
        <v>9</v>
      </c>
      <c r="Q2235" s="24">
        <f>AVERAGEA(Q2193:Q2233)</f>
        <v>8956.8888888888887</v>
      </c>
      <c r="R2235" s="24">
        <f>STDEVA(Q2193:Q2233)/SQRT(COUNT(Q2193:Q2233))</f>
        <v>3229.2342363300954</v>
      </c>
      <c r="S2235" s="46">
        <f>COUNT(Q2193:Q2233)</f>
        <v>9</v>
      </c>
      <c r="T2235" s="113">
        <f>AVERAGEA(T2193:T2233)</f>
        <v>90.510522957178097</v>
      </c>
      <c r="U2235" s="113">
        <f>STDEVA(T2193:T2233)/SQRT(COUNT(T2193:T2233))</f>
        <v>18.377089878243019</v>
      </c>
      <c r="V2235" s="46">
        <f>COUNT(T2193:T2233)</f>
        <v>41</v>
      </c>
      <c r="W2235" s="113">
        <f>AVERAGEA(W2193:W2233)</f>
        <v>10.107895568701704</v>
      </c>
      <c r="X2235" s="113">
        <f>STDEVA(W2193:W2233)/SQRT(COUNT(W2193:W2233))</f>
        <v>4.707898037011355</v>
      </c>
      <c r="Y2235" s="46">
        <f>COUNT(W2193:W2233)</f>
        <v>41</v>
      </c>
      <c r="Z2235" s="113">
        <f>AVERAGEA(Z2193:Z2233)</f>
        <v>1.0783452585983704</v>
      </c>
      <c r="AA2235" s="113">
        <f>STDEVA(Z2193:Z2233)/SQRT(COUNT(Z2193:Z2233))</f>
        <v>0.40107305073430261</v>
      </c>
      <c r="AB2235" s="46">
        <f>COUNT(Z2193:Z2233)</f>
        <v>13</v>
      </c>
      <c r="AC2235" s="113">
        <f>AVERAGEA(AC2193:AC2233)</f>
        <v>2.1617285201492615</v>
      </c>
      <c r="AD2235" s="113">
        <f>STDEVA(AC2193:AC2233)/SQRT(COUNT(AC2193:AC2233))</f>
        <v>0.48683143721219663</v>
      </c>
      <c r="AE2235" s="46">
        <f>COUNT(AC2193:AC2233)</f>
        <v>13</v>
      </c>
      <c r="AF2235" s="113">
        <f>AVERAGEA(AF2193:AF2233)</f>
        <v>-26.282929963589634</v>
      </c>
      <c r="AG2235" s="113">
        <f>STDEVA(AF2193:AF2233)/SQRT(COUNT(AF2193:AF2233))</f>
        <v>7.5749473077044973</v>
      </c>
      <c r="AH2235" s="46">
        <f>COUNT(AF2193:AF2233)</f>
        <v>23</v>
      </c>
      <c r="AI2235" s="113">
        <f>AVERAGEA(AI2193:AI2233)</f>
        <v>-41.702237484472732</v>
      </c>
      <c r="AJ2235" s="113">
        <f>STDEVA(AI2193:AI2233)/SQRT(COUNT(AI2193:AI2233))</f>
        <v>8.0511571226284175</v>
      </c>
      <c r="AK2235" s="46">
        <f>COUNT(AI2193:AI2233)</f>
        <v>23</v>
      </c>
    </row>
    <row r="2237" spans="1:37" ht="15.6" x14ac:dyDescent="0.3">
      <c r="A2237" s="12" t="s">
        <v>93</v>
      </c>
      <c r="B2237" s="24">
        <f>'Data_in-situ'!CA35</f>
        <v>-9117.2313953462108</v>
      </c>
      <c r="C2237" s="24">
        <f>'Data_in-situ'!CB35</f>
        <v>2424.3247606001519</v>
      </c>
      <c r="D2237" s="46">
        <f>'Data_in-situ'!CC35</f>
        <v>3</v>
      </c>
      <c r="E2237" s="24">
        <f>'Data_in-situ'!CE35</f>
        <v>-4187.6052363562967</v>
      </c>
      <c r="F2237" s="24">
        <f>'Data_in-situ'!CF35</f>
        <v>3018.5350952743552</v>
      </c>
      <c r="G2237" s="46">
        <f>'Data_in-situ'!CG35</f>
        <v>3</v>
      </c>
      <c r="H2237" s="24">
        <f>'Data_in-situ'!CN35</f>
        <v>12663.516770662041</v>
      </c>
      <c r="I2237" s="24">
        <f>'Data_in-situ'!CO35</f>
        <v>2211.9149588307</v>
      </c>
      <c r="J2237" s="46">
        <f>'Data_in-situ'!CP35</f>
        <v>3</v>
      </c>
      <c r="K2237" s="24">
        <f>'Data_in-situ'!CR35</f>
        <v>8364.4600190841793</v>
      </c>
      <c r="L2237" s="24">
        <f>'Data_in-situ'!CS35</f>
        <v>6024.8326143304821</v>
      </c>
      <c r="M2237" s="46">
        <f>'Data_in-situ'!CT35</f>
        <v>3</v>
      </c>
      <c r="N2237" s="24">
        <f>'Data_in-situ'!DA32</f>
        <v>8950.3333333333303</v>
      </c>
      <c r="O2237" s="24">
        <f>'Data_in-situ'!DB32</f>
        <v>4633.1130043536723</v>
      </c>
      <c r="P2237" s="46">
        <f>'Data_in-situ'!DC32</f>
        <v>6</v>
      </c>
      <c r="Q2237" s="24">
        <f>'Data_in-situ'!DE32</f>
        <v>19004.333333333336</v>
      </c>
      <c r="R2237" s="24">
        <f>'Data_in-situ'!DF32</f>
        <v>11808.648436162748</v>
      </c>
      <c r="S2237" s="46">
        <f>'Data_in-situ'!DG32</f>
        <v>6</v>
      </c>
      <c r="T2237" s="113">
        <f>'Data_in-situ'!DN32</f>
        <v>88</v>
      </c>
      <c r="U2237" s="113">
        <f>'Data_in-situ'!DO32</f>
        <v>60.472215842392352</v>
      </c>
      <c r="V2237" s="46">
        <f>'Data_in-situ'!DP32</f>
        <v>6</v>
      </c>
      <c r="W2237" s="113">
        <f>'Data_in-situ'!DR32</f>
        <v>-2</v>
      </c>
      <c r="X2237" s="113">
        <f>'Data_in-situ'!DS32</f>
        <v>5.9628479399994392</v>
      </c>
      <c r="Y2237" s="46">
        <f>'Data_in-situ'!DT32</f>
        <v>6</v>
      </c>
      <c r="Z2237" s="113">
        <f>'Data_in-situ'!EA33</f>
        <v>0.3</v>
      </c>
      <c r="AA2237" s="113">
        <f>'Data_in-situ'!EB33</f>
        <v>0.35</v>
      </c>
      <c r="AB2237" s="46">
        <f>'Data_in-situ'!EC33</f>
        <v>6</v>
      </c>
      <c r="AC2237" s="113">
        <f>'Data_in-situ'!EE33</f>
        <v>3</v>
      </c>
      <c r="AD2237" s="113">
        <f>'Data_in-situ'!EF33</f>
        <v>0.95</v>
      </c>
      <c r="AE2237" s="46">
        <f>'Data_in-situ'!EG33</f>
        <v>6</v>
      </c>
      <c r="AF2237" s="113">
        <f>'Data_in-situ'!EN32</f>
        <v>-15.3</v>
      </c>
      <c r="AG2237" s="113">
        <f>'Data_in-situ'!EO32</f>
        <v>3.2</v>
      </c>
      <c r="AH2237" s="110">
        <f>'Data_in-situ'!EP32</f>
        <v>6</v>
      </c>
      <c r="AI2237" s="113">
        <f>'Data_in-situ'!ER32</f>
        <v>-47.7</v>
      </c>
      <c r="AJ2237" s="113">
        <f>'Data_in-situ'!ES32</f>
        <v>6.2</v>
      </c>
      <c r="AK2237" s="110">
        <f>'Data_in-situ'!ET32</f>
        <v>6</v>
      </c>
    </row>
    <row r="2238" spans="1:37" x14ac:dyDescent="0.3">
      <c r="B2238" s="24">
        <f>'Data_in-situ'!CA36</f>
        <v>-9117.2313953462108</v>
      </c>
      <c r="C2238" s="24">
        <f>'Data_in-situ'!CB36</f>
        <v>2424.3247606001519</v>
      </c>
      <c r="D2238" s="46">
        <f>'Data_in-situ'!CC36</f>
        <v>3</v>
      </c>
      <c r="E2238" s="24">
        <f>'Data_in-situ'!CE36</f>
        <v>-11061.598737544933</v>
      </c>
      <c r="F2238" s="24">
        <f>'Data_in-situ'!CF36</f>
        <v>1546.857501085957</v>
      </c>
      <c r="G2238" s="46">
        <f>'Data_in-situ'!CG36</f>
        <v>3</v>
      </c>
      <c r="H2238" s="24">
        <f>'Data_in-situ'!CN36</f>
        <v>12663.516770662041</v>
      </c>
      <c r="I2238" s="24">
        <f>'Data_in-situ'!CO36</f>
        <v>2211.9149588307</v>
      </c>
      <c r="J2238" s="46">
        <f>'Data_in-situ'!CP36</f>
        <v>3</v>
      </c>
      <c r="K2238" s="24">
        <f>'Data_in-situ'!CR36</f>
        <v>13557.778602361719</v>
      </c>
      <c r="L2238" s="24">
        <f>'Data_in-situ'!CS36</f>
        <v>1534.7793518535277</v>
      </c>
      <c r="M2238" s="46">
        <f>'Data_in-situ'!CT36</f>
        <v>3</v>
      </c>
      <c r="N2238" s="24">
        <f>'Data_in-situ'!DA35</f>
        <v>3546.2853753158306</v>
      </c>
      <c r="O2238" s="24">
        <f>'Data_in-situ'!DB35</f>
        <v>5941.7227544878542</v>
      </c>
      <c r="P2238" s="46">
        <f>'Data_in-situ'!DC35</f>
        <v>3</v>
      </c>
      <c r="Q2238" s="24">
        <f>'Data_in-situ'!DE35</f>
        <v>4176.8547827278826</v>
      </c>
      <c r="R2238" s="24">
        <f>'Data_in-situ'!DF35</f>
        <v>748.67399248676202</v>
      </c>
      <c r="S2238" s="46">
        <f>'Data_in-situ'!DG35</f>
        <v>3</v>
      </c>
      <c r="T2238" s="113">
        <f>'Data_in-situ'!DN33</f>
        <v>172</v>
      </c>
      <c r="U2238" s="113">
        <f>'Data_in-situ'!DO33</f>
        <v>22</v>
      </c>
      <c r="V2238" s="46">
        <f>'Data_in-situ'!DP33</f>
        <v>6</v>
      </c>
      <c r="W2238" s="113">
        <f>'Data_in-situ'!DR33</f>
        <v>-1.5</v>
      </c>
      <c r="X2238" s="113">
        <f>'Data_in-situ'!DS33</f>
        <v>0.6</v>
      </c>
      <c r="Y2238" s="46">
        <f>'Data_in-situ'!DT33</f>
        <v>6</v>
      </c>
      <c r="Z2238" s="113">
        <f>'Data_in-situ'!EA86</f>
        <v>-1.4600000000000002E-2</v>
      </c>
      <c r="AA2238" s="113">
        <f>'Data_in-situ'!EB86</f>
        <v>8.8257000000000002E-2</v>
      </c>
      <c r="AB2238" s="46">
        <f>'Data_in-situ'!EC86</f>
        <v>3</v>
      </c>
      <c r="AC2238" s="113">
        <f>'Data_in-situ'!EE86</f>
        <v>7.8840000000000004E-3</v>
      </c>
      <c r="AD2238" s="113">
        <f>'Data_in-situ'!EF86</f>
        <v>4.9822500000000006E-2</v>
      </c>
      <c r="AE2238" s="46">
        <f>'Data_in-situ'!EG86</f>
        <v>3</v>
      </c>
      <c r="AF2238" s="113">
        <f>'Data_in-situ'!EN33</f>
        <v>-9</v>
      </c>
      <c r="AG2238" s="113">
        <f>'Data_in-situ'!EO33</f>
        <v>1.9</v>
      </c>
      <c r="AH2238" s="110">
        <f>'Data_in-situ'!EP33</f>
        <v>3</v>
      </c>
      <c r="AI2238" s="113">
        <f>'Data_in-situ'!ER33</f>
        <v>-34.51</v>
      </c>
      <c r="AJ2238" s="113">
        <f>'Data_in-situ'!ES33</f>
        <v>4.08</v>
      </c>
      <c r="AK2238" s="110">
        <f>'Data_in-situ'!ET33</f>
        <v>3</v>
      </c>
    </row>
    <row r="2239" spans="1:37" x14ac:dyDescent="0.3">
      <c r="B2239" s="24">
        <f>'Data_in-situ'!CA37</f>
        <v>-10940.677674415452</v>
      </c>
      <c r="C2239" s="24">
        <f>'Data_in-situ'!CB37</f>
        <v>3587.5182834567399</v>
      </c>
      <c r="D2239" s="46">
        <f>'Data_in-situ'!CC37</f>
        <v>3</v>
      </c>
      <c r="E2239" s="24">
        <f>'Data_in-situ'!CE37</f>
        <v>-1303.6884226392244</v>
      </c>
      <c r="F2239" s="24">
        <f>'Data_in-situ'!CF37</f>
        <v>1460.696181049753</v>
      </c>
      <c r="G2239" s="46">
        <f>'Data_in-situ'!CG37</f>
        <v>3</v>
      </c>
      <c r="H2239" s="24">
        <f>'Data_in-situ'!CN37</f>
        <v>12156.97609983556</v>
      </c>
      <c r="I2239" s="24">
        <f>'Data_in-situ'!CO37</f>
        <v>3352.7816659818532</v>
      </c>
      <c r="J2239" s="46">
        <f>'Data_in-situ'!CP37</f>
        <v>3</v>
      </c>
      <c r="K2239" s="24">
        <f>'Data_in-situ'!CR37</f>
        <v>7583.1643030158775</v>
      </c>
      <c r="L2239" s="24">
        <f>'Data_in-situ'!CS37</f>
        <v>4282.3014654243434</v>
      </c>
      <c r="M2239" s="46">
        <f>'Data_in-situ'!CT37</f>
        <v>3</v>
      </c>
      <c r="N2239" s="24">
        <f>'Data_in-situ'!DA36</f>
        <v>3546.2853753158306</v>
      </c>
      <c r="O2239" s="24">
        <f>'Data_in-situ'!DB36</f>
        <v>5941.7227544878542</v>
      </c>
      <c r="P2239" s="46">
        <f>'Data_in-situ'!DC36</f>
        <v>3</v>
      </c>
      <c r="Q2239" s="24">
        <f>'Data_in-situ'!DE36</f>
        <v>2496.179864816786</v>
      </c>
      <c r="R2239" s="24">
        <f>'Data_in-situ'!DF36</f>
        <v>441.86562565211784</v>
      </c>
      <c r="S2239" s="46">
        <f>'Data_in-situ'!DG36</f>
        <v>3</v>
      </c>
      <c r="T2239" s="113">
        <f>'Data_in-situ'!DN53</f>
        <v>5.3866851938273443</v>
      </c>
      <c r="U2239" s="113">
        <f>'Data_in-situ'!DO53</f>
        <v>4.268024043852261</v>
      </c>
      <c r="V2239" s="46">
        <f>'Data_in-situ'!DP53</f>
        <v>3</v>
      </c>
      <c r="W2239" s="113">
        <f>'Data_in-situ'!DR53</f>
        <v>3.9980588354062441</v>
      </c>
      <c r="X2239" s="113">
        <f>'Data_in-situ'!DS53</f>
        <v>4.3503115567651003</v>
      </c>
      <c r="Y2239" s="46">
        <f>'Data_in-situ'!DT53</f>
        <v>3</v>
      </c>
      <c r="Z2239" s="113">
        <f>'Data_in-situ'!EA87</f>
        <v>7.3730000000000004E-2</v>
      </c>
      <c r="AA2239" s="113">
        <f>'Data_in-situ'!EB87</f>
        <v>3.5076500000000004E-2</v>
      </c>
      <c r="AB2239" s="46">
        <f>'Data_in-situ'!EC87</f>
        <v>3</v>
      </c>
      <c r="AC2239" s="113">
        <f>'Data_in-situ'!EE87</f>
        <v>8.0263499999999988E-2</v>
      </c>
      <c r="AD2239" s="113">
        <f>'Data_in-situ'!EF87</f>
        <v>2.8396999999999999E-2</v>
      </c>
      <c r="AE2239" s="46">
        <f>'Data_in-situ'!EG87</f>
        <v>3</v>
      </c>
      <c r="AF2239" s="113">
        <f>'Data_in-situ'!EN35</f>
        <v>-38</v>
      </c>
      <c r="AG2239" s="113">
        <f>'Data_in-situ'!EO35</f>
        <v>7.6</v>
      </c>
      <c r="AH2239" s="110">
        <f>'Data_in-situ'!EP35</f>
        <v>3</v>
      </c>
      <c r="AI2239" s="113">
        <f>'Data_in-situ'!ER35</f>
        <v>-73</v>
      </c>
      <c r="AJ2239" s="113">
        <f>'Data_in-situ'!ES35</f>
        <v>10.3</v>
      </c>
      <c r="AK2239" s="110">
        <f>'Data_in-situ'!ET35</f>
        <v>3</v>
      </c>
    </row>
    <row r="2240" spans="1:37" x14ac:dyDescent="0.3">
      <c r="B2240" s="24">
        <f>'Data_in-situ'!CA38</f>
        <v>-10940.677674415452</v>
      </c>
      <c r="C2240" s="24">
        <f>'Data_in-situ'!CB38</f>
        <v>3587.5182834567399</v>
      </c>
      <c r="D2240" s="46">
        <f>'Data_in-situ'!CC38</f>
        <v>3</v>
      </c>
      <c r="E2240" s="24">
        <f>'Data_in-situ'!CE38</f>
        <v>-13155.401355723083</v>
      </c>
      <c r="F2240" s="24">
        <f>'Data_in-situ'!CF38</f>
        <v>4763.1397208144126</v>
      </c>
      <c r="G2240" s="46">
        <f>'Data_in-situ'!CG38</f>
        <v>3</v>
      </c>
      <c r="H2240" s="24">
        <f>'Data_in-situ'!CN38</f>
        <v>12156.97609983556</v>
      </c>
      <c r="I2240" s="24">
        <f>'Data_in-situ'!CO38</f>
        <v>3352.7816659818532</v>
      </c>
      <c r="J2240" s="46">
        <f>'Data_in-situ'!CP38</f>
        <v>3</v>
      </c>
      <c r="K2240" s="24">
        <f>'Data_in-situ'!CR38</f>
        <v>16131.458608233776</v>
      </c>
      <c r="L2240" s="24">
        <f>'Data_in-situ'!CS38</f>
        <v>7799.7123045882036</v>
      </c>
      <c r="M2240" s="46">
        <f>'Data_in-situ'!CT38</f>
        <v>3</v>
      </c>
      <c r="N2240" s="24">
        <f>'Data_in-situ'!DA37</f>
        <v>1216.2984254201074</v>
      </c>
      <c r="O2240" s="24">
        <f>'Data_in-situ'!DB37</f>
        <v>2060.9133169618808</v>
      </c>
      <c r="P2240" s="46">
        <f>'Data_in-situ'!DC37</f>
        <v>3</v>
      </c>
      <c r="Q2240" s="24">
        <f>'Data_in-situ'!DE37</f>
        <v>6279.4758803766526</v>
      </c>
      <c r="R2240" s="24">
        <f>'Data_in-situ'!DF37</f>
        <v>947.48073610146616</v>
      </c>
      <c r="S2240" s="46">
        <f>'Data_in-situ'!DG37</f>
        <v>3</v>
      </c>
      <c r="T2240" s="113">
        <f>'Data_in-situ'!DN54</f>
        <v>5.3866851938273443</v>
      </c>
      <c r="U2240" s="113">
        <f>'Data_in-situ'!DO54</f>
        <v>4.268024043852261</v>
      </c>
      <c r="V2240" s="46">
        <f>'Data_in-situ'!DP54</f>
        <v>3</v>
      </c>
      <c r="W2240" s="113">
        <f>'Data_in-situ'!DR54</f>
        <v>2.6938792153004636</v>
      </c>
      <c r="X2240" s="113">
        <f>'Data_in-situ'!DS54</f>
        <v>4.3447601701580973</v>
      </c>
      <c r="Y2240" s="46">
        <f>'Data_in-situ'!DT54</f>
        <v>3</v>
      </c>
      <c r="Z2240" s="113">
        <f>'Data_in-situ'!EA94</f>
        <v>1.5714285714285715E-2</v>
      </c>
      <c r="AA2240" s="113">
        <f>'Data_in-situ'!EB94</f>
        <v>9.0356781150237736E-2</v>
      </c>
      <c r="AB2240" s="46">
        <f>'Data_in-situ'!EC94</f>
        <v>3</v>
      </c>
      <c r="AC2240" s="113">
        <f>'Data_in-situ'!EE94</f>
        <v>1.7285714285714286E-2</v>
      </c>
      <c r="AD2240" s="113">
        <f>'Data_in-situ'!EF94</f>
        <v>2.5809980740261605E-2</v>
      </c>
      <c r="AE2240" s="46">
        <f>'Data_in-situ'!EG94</f>
        <v>3</v>
      </c>
      <c r="AF2240" s="113">
        <f>'Data_in-situ'!EN36</f>
        <v>-38</v>
      </c>
      <c r="AG2240" s="113">
        <f>'Data_in-situ'!EO36</f>
        <v>7.6</v>
      </c>
      <c r="AH2240" s="110">
        <f>'Data_in-situ'!EP36</f>
        <v>3</v>
      </c>
      <c r="AI2240" s="113">
        <f>'Data_in-situ'!ER36</f>
        <v>-112</v>
      </c>
      <c r="AJ2240" s="113">
        <f>'Data_in-situ'!ES36</f>
        <v>15.2</v>
      </c>
      <c r="AK2240" s="110">
        <f>'Data_in-situ'!ET36</f>
        <v>3</v>
      </c>
    </row>
    <row r="2241" spans="2:37" x14ac:dyDescent="0.3">
      <c r="B2241" s="24">
        <f>'Data_in-situ'!CA39</f>
        <v>-11180.604816398249</v>
      </c>
      <c r="C2241" s="24">
        <f>'Data_in-situ'!CB39</f>
        <v>6822.7682537892761</v>
      </c>
      <c r="D2241" s="46">
        <f>'Data_in-situ'!CC39</f>
        <v>3</v>
      </c>
      <c r="E2241" s="24">
        <f>'Data_in-situ'!CE39</f>
        <v>-2014.7911986242559</v>
      </c>
      <c r="F2241" s="24">
        <f>'Data_in-situ'!CF39</f>
        <v>1143.1535329954588</v>
      </c>
      <c r="G2241" s="46">
        <f>'Data_in-situ'!CG39</f>
        <v>3</v>
      </c>
      <c r="H2241" s="24">
        <f>'Data_in-situ'!CN39</f>
        <v>12213.258396594058</v>
      </c>
      <c r="I2241" s="24">
        <f>'Data_in-situ'!CO39</f>
        <v>5829.3069078214994</v>
      </c>
      <c r="J2241" s="46">
        <f>'Data_in-situ'!CP39</f>
        <v>3</v>
      </c>
      <c r="K2241" s="24">
        <f>'Data_in-situ'!CR39</f>
        <v>13236.068601627712</v>
      </c>
      <c r="L2241" s="24">
        <f>'Data_in-situ'!CS39</f>
        <v>2169.8026552469478</v>
      </c>
      <c r="M2241" s="46">
        <f>'Data_in-situ'!CT39</f>
        <v>3</v>
      </c>
      <c r="N2241" s="24">
        <f>'Data_in-situ'!DA38</f>
        <v>1216.2984254201074</v>
      </c>
      <c r="O2241" s="24">
        <f>'Data_in-situ'!DB38</f>
        <v>2060.9133169618808</v>
      </c>
      <c r="P2241" s="46">
        <f>'Data_in-situ'!DC38</f>
        <v>3</v>
      </c>
      <c r="Q2241" s="24">
        <f>'Data_in-situ'!DE38</f>
        <v>2976.0572525106927</v>
      </c>
      <c r="R2241" s="24">
        <f>'Data_in-situ'!DF38</f>
        <v>692.55442504565758</v>
      </c>
      <c r="S2241" s="46">
        <f>'Data_in-situ'!DG38</f>
        <v>3</v>
      </c>
      <c r="T2241" s="113">
        <f>'Data_in-situ'!DN55</f>
        <v>4.9255681733440708</v>
      </c>
      <c r="U2241" s="113">
        <f>'Data_in-situ'!DO55</f>
        <v>6.4838403831872826</v>
      </c>
      <c r="V2241" s="46">
        <f>'Data_in-situ'!DP55</f>
        <v>3</v>
      </c>
      <c r="W2241" s="113">
        <f>'Data_in-situ'!DR55</f>
        <v>4.361518729534084</v>
      </c>
      <c r="X2241" s="113">
        <f>'Data_in-situ'!DS55</f>
        <v>5.0347578591510027</v>
      </c>
      <c r="Y2241" s="46">
        <f>'Data_in-situ'!DT55</f>
        <v>3</v>
      </c>
      <c r="Z2241" s="113">
        <f>'Data_in-situ'!EA95</f>
        <v>1.8857142857142857E-2</v>
      </c>
      <c r="AA2241" s="113">
        <f>'Data_in-situ'!EB95</f>
        <v>0.10842813738028528</v>
      </c>
      <c r="AB2241" s="46">
        <f>'Data_in-situ'!EC95</f>
        <v>3</v>
      </c>
      <c r="AC2241" s="113">
        <f>'Data_in-situ'!EE95</f>
        <v>2.0428571428571428E-2</v>
      </c>
      <c r="AD2241" s="113">
        <f>'Data_in-situ'!EF95</f>
        <v>3.0502704511218261E-2</v>
      </c>
      <c r="AE2241" s="46">
        <f>'Data_in-situ'!EG95</f>
        <v>3</v>
      </c>
      <c r="AF2241" s="113">
        <f>'Data_in-situ'!EN37</f>
        <v>-47</v>
      </c>
      <c r="AG2241" s="113">
        <f>'Data_in-situ'!EO37</f>
        <v>6.8</v>
      </c>
      <c r="AH2241" s="110">
        <f>'Data_in-situ'!EP37</f>
        <v>3</v>
      </c>
      <c r="AI2241" s="113">
        <f>'Data_in-situ'!ER37</f>
        <v>-82</v>
      </c>
      <c r="AJ2241" s="113">
        <f>'Data_in-situ'!ES37</f>
        <v>12.3</v>
      </c>
      <c r="AK2241" s="110">
        <f>'Data_in-situ'!ET37</f>
        <v>3</v>
      </c>
    </row>
    <row r="2242" spans="2:37" x14ac:dyDescent="0.3">
      <c r="B2242" s="24">
        <f>'Data_in-situ'!CA40</f>
        <v>-11180.604816398249</v>
      </c>
      <c r="C2242" s="24">
        <f>'Data_in-situ'!CB40</f>
        <v>6822.7682537892761</v>
      </c>
      <c r="D2242" s="46">
        <f>'Data_in-situ'!CC40</f>
        <v>3</v>
      </c>
      <c r="E2242" s="24">
        <f>'Data_in-situ'!CE40</f>
        <v>-13708.481292600329</v>
      </c>
      <c r="F2242" s="24">
        <f>'Data_in-situ'!CF40</f>
        <v>4128.0544247058242</v>
      </c>
      <c r="G2242" s="46">
        <f>'Data_in-situ'!CG40</f>
        <v>3</v>
      </c>
      <c r="H2242" s="24">
        <f>'Data_in-situ'!CN40</f>
        <v>12213.258396594058</v>
      </c>
      <c r="I2242" s="24">
        <f>'Data_in-situ'!CO40</f>
        <v>5829.3069078214994</v>
      </c>
      <c r="J2242" s="46">
        <f>'Data_in-situ'!CP40</f>
        <v>3</v>
      </c>
      <c r="K2242" s="24">
        <f>'Data_in-situ'!CR40</f>
        <v>16774.878609701791</v>
      </c>
      <c r="L2242" s="24">
        <f>'Data_in-situ'!CS40</f>
        <v>6880.9051275668298</v>
      </c>
      <c r="M2242" s="46">
        <f>'Data_in-situ'!CT40</f>
        <v>3</v>
      </c>
      <c r="N2242" s="24">
        <f>'Data_in-situ'!DA39</f>
        <v>1032.6535801958089</v>
      </c>
      <c r="O2242" s="24">
        <f>'Data_in-situ'!DB39</f>
        <v>1588.5865996086475</v>
      </c>
      <c r="P2242" s="46">
        <f>'Data_in-situ'!DC39</f>
        <v>3</v>
      </c>
      <c r="Q2242" s="24">
        <f>'Data_in-situ'!DE39</f>
        <v>11221.277403003456</v>
      </c>
      <c r="R2242" s="24">
        <f>'Data_in-situ'!DF39</f>
        <v>1545.6282146126041</v>
      </c>
      <c r="S2242" s="46">
        <f>'Data_in-situ'!DG39</f>
        <v>3</v>
      </c>
      <c r="T2242" s="113">
        <f>'Data_in-situ'!DN56</f>
        <v>4.9255681733440708</v>
      </c>
      <c r="U2242" s="113">
        <f>'Data_in-situ'!DO56</f>
        <v>6.4838403831872826</v>
      </c>
      <c r="V2242" s="46">
        <f>'Data_in-situ'!DP56</f>
        <v>3</v>
      </c>
      <c r="W2242" s="113">
        <f>'Data_in-situ'!DR56</f>
        <v>2.5655992526671083</v>
      </c>
      <c r="X2242" s="113">
        <f>'Data_in-situ'!DS56</f>
        <v>2.1677925245184233</v>
      </c>
      <c r="Y2242" s="46">
        <f>'Data_in-situ'!DT56</f>
        <v>3</v>
      </c>
      <c r="Z2242" s="113">
        <f>'Data_in-situ'!EA96</f>
        <v>1.257142857142857E-2</v>
      </c>
      <c r="AA2242" s="113">
        <f>'Data_in-situ'!EB96</f>
        <v>7.2285424920190175E-2</v>
      </c>
      <c r="AB2242" s="46">
        <f>'Data_in-situ'!EC96</f>
        <v>3</v>
      </c>
      <c r="AC2242" s="113">
        <f>'Data_in-situ'!EE96</f>
        <v>1.4142857142857141E-2</v>
      </c>
      <c r="AD2242" s="113">
        <f>'Data_in-situ'!EF96</f>
        <v>2.1117256969304946E-2</v>
      </c>
      <c r="AE2242" s="46">
        <f>'Data_in-situ'!EG96</f>
        <v>3</v>
      </c>
      <c r="AF2242" s="113">
        <f>'Data_in-situ'!EN38</f>
        <v>-47</v>
      </c>
      <c r="AG2242" s="113">
        <f>'Data_in-situ'!EO38</f>
        <v>6.8</v>
      </c>
      <c r="AH2242" s="110">
        <f>'Data_in-situ'!EP38</f>
        <v>3</v>
      </c>
      <c r="AI2242" s="113">
        <f>'Data_in-situ'!ER38</f>
        <v>-120</v>
      </c>
      <c r="AJ2242" s="113">
        <f>'Data_in-situ'!ES38</f>
        <v>11.8</v>
      </c>
      <c r="AK2242" s="110">
        <f>'Data_in-situ'!ET38</f>
        <v>3</v>
      </c>
    </row>
    <row r="2243" spans="2:37" x14ac:dyDescent="0.3">
      <c r="B2243" s="24">
        <f>'Data_in-situ'!CA41</f>
        <v>-7247.1260453614086</v>
      </c>
      <c r="C2243" s="24">
        <f>'Data_in-situ'!CB41</f>
        <v>2100.9616035887611</v>
      </c>
      <c r="D2243" s="46">
        <f>'Data_in-situ'!CC41</f>
        <v>3</v>
      </c>
      <c r="E2243" s="24">
        <f>'Data_in-situ'!CE41</f>
        <v>-4029.5823972485118</v>
      </c>
      <c r="F2243" s="24">
        <f>'Data_in-situ'!CF41</f>
        <v>3302.4435397646589</v>
      </c>
      <c r="G2243" s="46">
        <f>'Data_in-situ'!CG41</f>
        <v>3</v>
      </c>
      <c r="H2243" s="24">
        <f>'Data_in-situ'!CN41</f>
        <v>6440.2877983621229</v>
      </c>
      <c r="I2243" s="24">
        <f>'Data_in-situ'!CO41</f>
        <v>2181.3507268282779</v>
      </c>
      <c r="J2243" s="46">
        <f>'Data_in-situ'!CP41</f>
        <v>3</v>
      </c>
      <c r="K2243" s="24">
        <f>'Data_in-situ'!CR41</f>
        <v>16039.541465166916</v>
      </c>
      <c r="L2243" s="24">
        <f>'Data_in-situ'!CS41</f>
        <v>7252.7203244742068</v>
      </c>
      <c r="M2243" s="46">
        <f>'Data_in-situ'!CT41</f>
        <v>3</v>
      </c>
      <c r="N2243" s="24">
        <f>'Data_in-situ'!DA40</f>
        <v>1032.6535801958089</v>
      </c>
      <c r="O2243" s="24">
        <f>'Data_in-situ'!DB40</f>
        <v>1588.5865996086475</v>
      </c>
      <c r="P2243" s="46">
        <f>'Data_in-situ'!DC40</f>
        <v>3</v>
      </c>
      <c r="Q2243" s="24">
        <f>'Data_in-situ'!DE40</f>
        <v>3066.3973171014622</v>
      </c>
      <c r="R2243" s="24">
        <f>'Data_in-situ'!DF40</f>
        <v>896.27712667386777</v>
      </c>
      <c r="S2243" s="46">
        <f>'Data_in-situ'!DG40</f>
        <v>3</v>
      </c>
      <c r="T2243" s="113">
        <f>'Data_in-situ'!DN57</f>
        <v>6.958675036383962</v>
      </c>
      <c r="U2243" s="113">
        <f>'Data_in-situ'!DO57</f>
        <v>1.1532569524351295</v>
      </c>
      <c r="V2243" s="46">
        <f>'Data_in-situ'!DP57</f>
        <v>3</v>
      </c>
      <c r="W2243" s="113">
        <f>'Data_in-situ'!DR57</f>
        <v>1.1758996574724245</v>
      </c>
      <c r="X2243" s="113">
        <f>'Data_in-situ'!DS57</f>
        <v>1.4564673447344252</v>
      </c>
      <c r="Y2243" s="46">
        <f>'Data_in-situ'!DT57</f>
        <v>3</v>
      </c>
      <c r="Z2243" s="113">
        <f>'Data_in-situ'!EA97</f>
        <v>1.257142857142857E-2</v>
      </c>
      <c r="AA2243" s="113">
        <f>'Data_in-situ'!EB97</f>
        <v>7.2285424920190175E-2</v>
      </c>
      <c r="AB2243" s="46">
        <f>'Data_in-situ'!EC97</f>
        <v>3</v>
      </c>
      <c r="AC2243" s="113">
        <f>'Data_in-situ'!EE97</f>
        <v>1.4142857142857141E-2</v>
      </c>
      <c r="AD2243" s="113">
        <f>'Data_in-situ'!EF97</f>
        <v>2.1117256969304946E-2</v>
      </c>
      <c r="AE2243" s="46">
        <f>'Data_in-situ'!EG97</f>
        <v>3</v>
      </c>
      <c r="AF2243" s="113">
        <f>'Data_in-situ'!EN39</f>
        <v>-56</v>
      </c>
      <c r="AG2243" s="113">
        <f>'Data_in-situ'!EO39</f>
        <v>10.1</v>
      </c>
      <c r="AH2243" s="110">
        <f>'Data_in-situ'!EP39</f>
        <v>3</v>
      </c>
      <c r="AI2243" s="113">
        <f>'Data_in-situ'!ER39</f>
        <v>-91</v>
      </c>
      <c r="AJ2243" s="113">
        <f>'Data_in-situ'!ES39</f>
        <v>11.3</v>
      </c>
      <c r="AK2243" s="110">
        <f>'Data_in-situ'!ET39</f>
        <v>3</v>
      </c>
    </row>
    <row r="2244" spans="2:37" x14ac:dyDescent="0.3">
      <c r="B2244" s="24">
        <f>'Data_in-situ'!CA42</f>
        <v>-7247.1260453614086</v>
      </c>
      <c r="C2244" s="24">
        <f>'Data_in-situ'!CB42</f>
        <v>2100.9616035887611</v>
      </c>
      <c r="D2244" s="46">
        <f>'Data_in-situ'!CC42</f>
        <v>3</v>
      </c>
      <c r="E2244" s="24">
        <f>'Data_in-situ'!CE42</f>
        <v>-4582.6623341257582</v>
      </c>
      <c r="F2244" s="24">
        <f>'Data_in-situ'!CF42</f>
        <v>1206.6620626063177</v>
      </c>
      <c r="G2244" s="46">
        <f>'Data_in-situ'!CG42</f>
        <v>3</v>
      </c>
      <c r="H2244" s="24">
        <f>'Data_in-situ'!CN42</f>
        <v>6440.2877983621229</v>
      </c>
      <c r="I2244" s="24">
        <f>'Data_in-situ'!CO42</f>
        <v>2181.3507268282779</v>
      </c>
      <c r="J2244" s="46">
        <f>'Data_in-situ'!CP42</f>
        <v>3</v>
      </c>
      <c r="K2244" s="24">
        <f>'Data_in-situ'!CR42</f>
        <v>24633.794341918241</v>
      </c>
      <c r="L2244" s="24">
        <f>'Data_in-situ'!CS42</f>
        <v>2489.5274353362884</v>
      </c>
      <c r="M2244" s="46">
        <f>'Data_in-situ'!CT42</f>
        <v>3</v>
      </c>
      <c r="N2244" s="24">
        <f>'Data_in-situ'!DA41</f>
        <v>-806.83824699928573</v>
      </c>
      <c r="O2244" s="24">
        <f>'Data_in-situ'!DB41</f>
        <v>461.4050593199143</v>
      </c>
      <c r="P2244" s="46">
        <f>'Data_in-situ'!DC41</f>
        <v>3</v>
      </c>
      <c r="Q2244" s="24">
        <f>'Data_in-situ'!DE41</f>
        <v>12009.959067918404</v>
      </c>
      <c r="R2244" s="24">
        <f>'Data_in-situ'!DF41</f>
        <v>2892.3831674824651</v>
      </c>
      <c r="S2244" s="46">
        <f>'Data_in-situ'!DG41</f>
        <v>3</v>
      </c>
      <c r="T2244" s="113">
        <f>'Data_in-situ'!DN58</f>
        <v>6.958675036383962</v>
      </c>
      <c r="U2244" s="113">
        <f>'Data_in-situ'!DO58</f>
        <v>1.1532569524351295</v>
      </c>
      <c r="V2244" s="46">
        <f>'Data_in-situ'!DP58</f>
        <v>3</v>
      </c>
      <c r="W2244" s="113">
        <f>'Data_in-situ'!DR58</f>
        <v>1.090379682383521</v>
      </c>
      <c r="X2244" s="113">
        <f>'Data_in-situ'!DS58</f>
        <v>2.1822665028157022</v>
      </c>
      <c r="Y2244" s="46">
        <f>'Data_in-situ'!DT58</f>
        <v>3</v>
      </c>
      <c r="Z2244" s="113">
        <f>'Data_in-situ'!EA108</f>
        <v>1.9171428571428568E-2</v>
      </c>
      <c r="AA2244" s="113">
        <f>'Data_in-situ'!EB108</f>
        <v>0.11023527300329002</v>
      </c>
      <c r="AB2244" s="46">
        <f>'Data_in-situ'!EC108</f>
        <v>3</v>
      </c>
      <c r="AC2244" s="113">
        <f>'Data_in-situ'!EE108</f>
        <v>3.0642857142857142E-2</v>
      </c>
      <c r="AD2244" s="113">
        <f>'Data_in-situ'!EF108</f>
        <v>4.5754056766827388E-2</v>
      </c>
      <c r="AE2244" s="46">
        <f>'Data_in-situ'!EG108</f>
        <v>3</v>
      </c>
      <c r="AF2244" s="113">
        <f>'Data_in-situ'!EN40</f>
        <v>-56</v>
      </c>
      <c r="AG2244" s="113">
        <f>'Data_in-situ'!EO40</f>
        <v>10.1</v>
      </c>
      <c r="AH2244" s="110">
        <f>'Data_in-situ'!EP40</f>
        <v>3</v>
      </c>
      <c r="AI2244" s="113">
        <f>'Data_in-situ'!ER40</f>
        <v>-128</v>
      </c>
      <c r="AJ2244" s="113">
        <f>'Data_in-situ'!ES40</f>
        <v>14.2</v>
      </c>
      <c r="AK2244" s="110">
        <f>'Data_in-situ'!ET40</f>
        <v>3</v>
      </c>
    </row>
    <row r="2245" spans="2:37" x14ac:dyDescent="0.3">
      <c r="B2245" s="24">
        <f>'Data_in-situ'!CA43</f>
        <v>-7369.2686191596349</v>
      </c>
      <c r="C2245" s="24">
        <f>'Data_in-situ'!CB43</f>
        <v>746.95892899118678</v>
      </c>
      <c r="D2245" s="46">
        <f>'Data_in-situ'!CC43</f>
        <v>3</v>
      </c>
      <c r="E2245" s="24">
        <f>'Data_in-situ'!CE43</f>
        <v>-3516.0081701482113</v>
      </c>
      <c r="F2245" s="24">
        <f>'Data_in-situ'!CF43</f>
        <v>4890.1567800361299</v>
      </c>
      <c r="G2245" s="46">
        <f>'Data_in-situ'!CG43</f>
        <v>3</v>
      </c>
      <c r="H2245" s="24">
        <f>'Data_in-situ'!CN43</f>
        <v>11939.302764655935</v>
      </c>
      <c r="I2245" s="24">
        <f>'Data_in-situ'!CO43</f>
        <v>4483.7070147716358</v>
      </c>
      <c r="J2245" s="46">
        <f>'Data_in-situ'!CP43</f>
        <v>3</v>
      </c>
      <c r="K2245" s="24">
        <f>'Data_in-situ'!CR43</f>
        <v>16131.458608233776</v>
      </c>
      <c r="L2245" s="24">
        <f>'Data_in-situ'!CS43</f>
        <v>7799.7123045882036</v>
      </c>
      <c r="M2245" s="46">
        <f>'Data_in-situ'!CT43</f>
        <v>3</v>
      </c>
      <c r="N2245" s="24">
        <f>'Data_in-situ'!DA42</f>
        <v>-806.83824699928573</v>
      </c>
      <c r="O2245" s="24">
        <f>'Data_in-situ'!DB42</f>
        <v>461.4050593199143</v>
      </c>
      <c r="P2245" s="46">
        <f>'Data_in-situ'!DC42</f>
        <v>3</v>
      </c>
      <c r="Q2245" s="24">
        <f>'Data_in-situ'!DE42</f>
        <v>20051.132007792483</v>
      </c>
      <c r="R2245" s="24">
        <f>'Data_in-situ'!DF42</f>
        <v>2691.1988636577989</v>
      </c>
      <c r="S2245" s="46">
        <f>'Data_in-situ'!DG42</f>
        <v>3</v>
      </c>
      <c r="T2245" s="113">
        <f>'Data_in-situ'!DN59</f>
        <v>10.866266106411475</v>
      </c>
      <c r="U2245" s="113">
        <f>'Data_in-situ'!DO59</f>
        <v>5.3394122234557058</v>
      </c>
      <c r="V2245" s="46">
        <f>'Data_in-situ'!DP59</f>
        <v>3</v>
      </c>
      <c r="W2245" s="113">
        <f>'Data_in-situ'!DR59</f>
        <v>1.8694061542190537</v>
      </c>
      <c r="X2245" s="113">
        <f>'Data_in-situ'!DS59</f>
        <v>2.1264618086738842</v>
      </c>
      <c r="Y2245" s="46">
        <f>'Data_in-situ'!DT59</f>
        <v>3</v>
      </c>
      <c r="Z2245" s="113">
        <f>'Data_in-situ'!EA109</f>
        <v>4.7771428571428562E-2</v>
      </c>
      <c r="AA2245" s="113">
        <f>'Data_in-situ'!EB109</f>
        <v>0.27468461469672267</v>
      </c>
      <c r="AB2245" s="46">
        <f>'Data_in-situ'!EC109</f>
        <v>3</v>
      </c>
      <c r="AC2245" s="113">
        <f>'Data_in-situ'!EE109</f>
        <v>0.21685714285714286</v>
      </c>
      <c r="AD2245" s="113">
        <f>'Data_in-situ'!EF109</f>
        <v>0.32379794019600922</v>
      </c>
      <c r="AE2245" s="46">
        <f>'Data_in-situ'!EG109</f>
        <v>3</v>
      </c>
      <c r="AF2245" s="113">
        <f>'Data_in-situ'!EN41</f>
        <v>-38</v>
      </c>
      <c r="AG2245" s="113">
        <f>'Data_in-situ'!EO41</f>
        <v>7.6</v>
      </c>
      <c r="AH2245" s="110">
        <f>'Data_in-situ'!EP41</f>
        <v>3</v>
      </c>
      <c r="AI2245" s="113">
        <f>'Data_in-situ'!ER41</f>
        <v>-73</v>
      </c>
      <c r="AJ2245" s="113">
        <f>'Data_in-situ'!ES41</f>
        <v>10.3</v>
      </c>
      <c r="AK2245" s="110">
        <f>'Data_in-situ'!ET41</f>
        <v>3</v>
      </c>
    </row>
    <row r="2246" spans="2:37" x14ac:dyDescent="0.3">
      <c r="B2246" s="24">
        <f>'Data_in-situ'!CA44</f>
        <v>-7369.2686191596349</v>
      </c>
      <c r="C2246" s="24">
        <f>'Data_in-situ'!CB44</f>
        <v>746.95892899118678</v>
      </c>
      <c r="D2246" s="46">
        <f>'Data_in-situ'!CC44</f>
        <v>3</v>
      </c>
      <c r="E2246" s="24">
        <f>'Data_in-situ'!CE44</f>
        <v>-4661.6737536796509</v>
      </c>
      <c r="F2246" s="24">
        <f>'Data_in-situ'!CF44</f>
        <v>1270.1705922171766</v>
      </c>
      <c r="G2246" s="46">
        <f>'Data_in-situ'!CG44</f>
        <v>3</v>
      </c>
      <c r="H2246" s="24">
        <f>'Data_in-situ'!CN44</f>
        <v>11939.302764655935</v>
      </c>
      <c r="I2246" s="24">
        <f>'Data_in-situ'!CO44</f>
        <v>4483.7070147716358</v>
      </c>
      <c r="J2246" s="46">
        <f>'Data_in-situ'!CP44</f>
        <v>3</v>
      </c>
      <c r="K2246" s="24">
        <f>'Data_in-situ'!CR44</f>
        <v>23300.995767448785</v>
      </c>
      <c r="L2246" s="24">
        <f>'Data_in-situ'!CS44</f>
        <v>3584.4542083747219</v>
      </c>
      <c r="M2246" s="46">
        <f>'Data_in-situ'!CT44</f>
        <v>3</v>
      </c>
      <c r="N2246" s="24">
        <f>'Data_in-situ'!DA43</f>
        <v>4570.0341454963</v>
      </c>
      <c r="O2246" s="24">
        <f>'Data_in-situ'!DB43</f>
        <v>2072.5073882436504</v>
      </c>
      <c r="P2246" s="46">
        <f>'Data_in-situ'!DC43</f>
        <v>3</v>
      </c>
      <c r="Q2246" s="24">
        <f>'Data_in-situ'!DE43</f>
        <v>12615.450438085565</v>
      </c>
      <c r="R2246" s="24">
        <f>'Data_in-situ'!DF43</f>
        <v>3401.8688612922183</v>
      </c>
      <c r="S2246" s="46">
        <f>'Data_in-situ'!DG43</f>
        <v>3</v>
      </c>
      <c r="T2246" s="113">
        <f>'Data_in-situ'!DN60</f>
        <v>10.866266106411475</v>
      </c>
      <c r="U2246" s="113">
        <f>'Data_in-situ'!DO60</f>
        <v>5.3394122234557058</v>
      </c>
      <c r="V2246" s="46">
        <f>'Data_in-situ'!DP60</f>
        <v>3</v>
      </c>
      <c r="W2246" s="113">
        <f>'Data_in-situ'!DR60</f>
        <v>1.2247833424193799</v>
      </c>
      <c r="X2246" s="113">
        <f>'Data_in-situ'!DS60</f>
        <v>3.4037999999999999</v>
      </c>
      <c r="Y2246" s="46">
        <f>'Data_in-situ'!DT60</f>
        <v>3</v>
      </c>
      <c r="Z2246" s="113">
        <f>'Data_in-situ'!EA110</f>
        <v>5.4528571428571426E-2</v>
      </c>
      <c r="AA2246" s="113">
        <f>'Data_in-situ'!EB110</f>
        <v>0.3135380305913249</v>
      </c>
      <c r="AB2246" s="46">
        <f>'Data_in-situ'!EC110</f>
        <v>3</v>
      </c>
      <c r="AC2246" s="113">
        <f>'Data_in-situ'!EE110</f>
        <v>3.5828571428571425E-2</v>
      </c>
      <c r="AD2246" s="113">
        <f>'Data_in-situ'!EF110</f>
        <v>5.3497050988905864E-2</v>
      </c>
      <c r="AE2246" s="46">
        <f>'Data_in-situ'!EG110</f>
        <v>3</v>
      </c>
      <c r="AF2246" s="113">
        <f>'Data_in-situ'!EN42</f>
        <v>-38</v>
      </c>
      <c r="AG2246" s="113">
        <f>'Data_in-situ'!EO42</f>
        <v>7.6</v>
      </c>
      <c r="AH2246" s="110">
        <f>'Data_in-situ'!EP42</f>
        <v>3</v>
      </c>
      <c r="AI2246" s="113">
        <f>'Data_in-situ'!ER42</f>
        <v>-112</v>
      </c>
      <c r="AJ2246" s="113">
        <f>'Data_in-situ'!ES42</f>
        <v>15.2</v>
      </c>
      <c r="AK2246" s="110">
        <f>'Data_in-situ'!ET42</f>
        <v>3</v>
      </c>
    </row>
    <row r="2247" spans="2:37" x14ac:dyDescent="0.3">
      <c r="B2247" s="24">
        <f>'Data_in-situ'!CA45</f>
        <v>-7939.2672968846891</v>
      </c>
      <c r="C2247" s="24">
        <f>'Data_in-situ'!CB45</f>
        <v>2111.9731212798092</v>
      </c>
      <c r="D2247" s="46">
        <f>'Data_in-situ'!CC45</f>
        <v>3</v>
      </c>
      <c r="E2247" s="24">
        <f>'Data_in-situ'!CE45</f>
        <v>-3674.0310092559957</v>
      </c>
      <c r="F2247" s="24">
        <f>'Data_in-situ'!CF45</f>
        <v>3492.9691285972353</v>
      </c>
      <c r="G2247" s="46">
        <f>'Data_in-situ'!CG45</f>
        <v>3</v>
      </c>
      <c r="H2247" s="24">
        <f>'Data_in-situ'!CN45</f>
        <v>12286.087492260051</v>
      </c>
      <c r="I2247" s="24">
        <f>'Data_in-situ'!CO45</f>
        <v>4228.1100433523952</v>
      </c>
      <c r="J2247" s="46">
        <f>'Data_in-situ'!CP45</f>
        <v>3</v>
      </c>
      <c r="K2247" s="24">
        <f>'Data_in-situ'!CR45</f>
        <v>22335.865765246766</v>
      </c>
      <c r="L2247" s="24">
        <f>'Data_in-situ'!CS45</f>
        <v>5098.0031695624621</v>
      </c>
      <c r="M2247" s="46">
        <f>'Data_in-situ'!CT45</f>
        <v>3</v>
      </c>
      <c r="N2247" s="24">
        <f>'Data_in-situ'!DA44</f>
        <v>4570.0341454963</v>
      </c>
      <c r="O2247" s="24">
        <f>'Data_in-situ'!DB44</f>
        <v>2072.5073882436504</v>
      </c>
      <c r="P2247" s="46">
        <f>'Data_in-situ'!DC44</f>
        <v>3</v>
      </c>
      <c r="Q2247" s="24">
        <f>'Data_in-situ'!DE44</f>
        <v>18639.322013769135</v>
      </c>
      <c r="R2247" s="24">
        <f>'Data_in-situ'!DF44</f>
        <v>3134.054571327079</v>
      </c>
      <c r="S2247" s="46">
        <f>'Data_in-situ'!DG44</f>
        <v>3</v>
      </c>
      <c r="T2247" s="113">
        <f>'Data_in-situ'!DN61</f>
        <v>9.9527304602972393</v>
      </c>
      <c r="U2247" s="113">
        <f>'Data_in-situ'!DO61</f>
        <v>3.6109447780902064</v>
      </c>
      <c r="V2247" s="46">
        <f>'Data_in-situ'!DP61</f>
        <v>3</v>
      </c>
      <c r="W2247" s="113">
        <f>'Data_in-situ'!DR61</f>
        <v>1.4557731833142631</v>
      </c>
      <c r="X2247" s="113">
        <f>'Data_in-situ'!DS61</f>
        <v>2.2523897859272677</v>
      </c>
      <c r="Y2247" s="46">
        <f>'Data_in-situ'!DT61</f>
        <v>3</v>
      </c>
      <c r="Z2247" s="113">
        <f>'Data_in-situ'!EA111</f>
        <v>8.4699999999999998E-2</v>
      </c>
      <c r="AA2247" s="113">
        <f>'Data_in-situ'!EB111</f>
        <v>0.48702305039978139</v>
      </c>
      <c r="AB2247" s="46">
        <f>'Data_in-situ'!EC111</f>
        <v>3</v>
      </c>
      <c r="AC2247" s="113">
        <f>'Data_in-situ'!EE111</f>
        <v>6.1599999999999995E-2</v>
      </c>
      <c r="AD2247" s="113">
        <f>'Data_in-situ'!EF111</f>
        <v>9.1977385910750442E-2</v>
      </c>
      <c r="AE2247" s="46">
        <f>'Data_in-situ'!EG111</f>
        <v>3</v>
      </c>
      <c r="AF2247" s="113">
        <f>'Data_in-situ'!EN43</f>
        <v>-44</v>
      </c>
      <c r="AG2247" s="113">
        <f>'Data_in-situ'!EO43</f>
        <v>6.8</v>
      </c>
      <c r="AH2247" s="110">
        <f>'Data_in-situ'!EP43</f>
        <v>3</v>
      </c>
      <c r="AI2247" s="113">
        <f>'Data_in-situ'!ER43</f>
        <v>-79</v>
      </c>
      <c r="AJ2247" s="113">
        <f>'Data_in-situ'!ES43</f>
        <v>12.3</v>
      </c>
      <c r="AK2247" s="110">
        <f>'Data_in-situ'!ET43</f>
        <v>3</v>
      </c>
    </row>
    <row r="2248" spans="2:37" x14ac:dyDescent="0.3">
      <c r="B2248" s="24">
        <f>'Data_in-situ'!CA46</f>
        <v>-7939.2672968846891</v>
      </c>
      <c r="C2248" s="24">
        <f>'Data_in-situ'!CB46</f>
        <v>2111.9731212798092</v>
      </c>
      <c r="D2248" s="46">
        <f>'Data_in-situ'!CC46</f>
        <v>3</v>
      </c>
      <c r="E2248" s="24">
        <f>'Data_in-situ'!CE46</f>
        <v>-4859.2023025643821</v>
      </c>
      <c r="F2248" s="24">
        <f>'Data_in-situ'!CF46</f>
        <v>1397.1876514388941</v>
      </c>
      <c r="G2248" s="46">
        <f>'Data_in-situ'!CG46</f>
        <v>3</v>
      </c>
      <c r="H2248" s="24">
        <f>'Data_in-situ'!CN46</f>
        <v>12286.087492260051</v>
      </c>
      <c r="I2248" s="24">
        <f>'Data_in-situ'!CO46</f>
        <v>2603.8497140452123</v>
      </c>
      <c r="J2248" s="46">
        <f>'Data_in-situ'!CP46</f>
        <v>3</v>
      </c>
      <c r="K2248" s="24">
        <f>'Data_in-situ'!CR46</f>
        <v>23071.202909781641</v>
      </c>
      <c r="L2248" s="24">
        <f>'Data_in-situ'!CS46</f>
        <v>3447.7118721915385</v>
      </c>
      <c r="M2248" s="46">
        <f>'Data_in-situ'!CT46</f>
        <v>3</v>
      </c>
      <c r="N2248" s="24">
        <f>'Data_in-situ'!DA45</f>
        <v>4346.8201953753614</v>
      </c>
      <c r="O2248" s="24">
        <f>'Data_in-situ'!DB45</f>
        <v>1600.2428388061255</v>
      </c>
      <c r="P2248" s="46">
        <f>'Data_in-situ'!DC45</f>
        <v>3</v>
      </c>
      <c r="Q2248" s="24">
        <f>'Data_in-situ'!DE45</f>
        <v>18661.834755990771</v>
      </c>
      <c r="R2248" s="24">
        <f>'Data_in-situ'!DF45</f>
        <v>3804.3746385120953</v>
      </c>
      <c r="S2248" s="46">
        <f>'Data_in-situ'!DG45</f>
        <v>3</v>
      </c>
      <c r="T2248" s="113">
        <f>'Data_in-situ'!DN62</f>
        <v>9.9527304602972393</v>
      </c>
      <c r="U2248" s="113">
        <f>'Data_in-situ'!DO62</f>
        <v>3.6109447780902064</v>
      </c>
      <c r="V2248" s="46">
        <f>'Data_in-situ'!DP62</f>
        <v>3</v>
      </c>
      <c r="W2248" s="113">
        <f>'Data_in-situ'!DR62</f>
        <v>1.0045372150544916</v>
      </c>
      <c r="X2248" s="113">
        <f>'Data_in-situ'!DS62</f>
        <v>1.2391823776598332</v>
      </c>
      <c r="Y2248" s="46">
        <f>'Data_in-situ'!DT62</f>
        <v>3</v>
      </c>
      <c r="Z2248" s="113">
        <f>'Data_in-situ'!EA135</f>
        <v>0.2</v>
      </c>
      <c r="AA2248" s="113">
        <f>'Data_in-situ'!EB135</f>
        <v>0.51961524227066314</v>
      </c>
      <c r="AB2248" s="46">
        <f>'Data_in-situ'!EC135</f>
        <v>3</v>
      </c>
      <c r="AC2248" s="113">
        <f>'Data_in-situ'!EE135</f>
        <v>0.9</v>
      </c>
      <c r="AD2248" s="113">
        <f>'Data_in-situ'!EF135</f>
        <v>1.0392304845413263</v>
      </c>
      <c r="AE2248" s="46">
        <f>'Data_in-situ'!EG135</f>
        <v>3</v>
      </c>
      <c r="AF2248" s="113">
        <f>'Data_in-situ'!EN44</f>
        <v>-44</v>
      </c>
      <c r="AG2248" s="113">
        <f>'Data_in-situ'!EO44</f>
        <v>6.8</v>
      </c>
      <c r="AH2248" s="110">
        <f>'Data_in-situ'!EP44</f>
        <v>3</v>
      </c>
      <c r="AI2248" s="113">
        <f>'Data_in-situ'!ER44</f>
        <v>-116</v>
      </c>
      <c r="AJ2248" s="113">
        <f>'Data_in-situ'!ES44</f>
        <v>11.8</v>
      </c>
      <c r="AK2248" s="110">
        <f>'Data_in-situ'!ET44</f>
        <v>3</v>
      </c>
    </row>
    <row r="2249" spans="2:37" x14ac:dyDescent="0.3">
      <c r="B2249" s="24">
        <f>'Data_in-situ'!CA47</f>
        <v>-8294.385041352898</v>
      </c>
      <c r="C2249" s="24">
        <f>'Data_in-situ'!CB47</f>
        <v>1642.4661972156998</v>
      </c>
      <c r="D2249" s="46">
        <f>'Data_in-situ'!CC47</f>
        <v>3</v>
      </c>
      <c r="E2249" s="24">
        <f>'Data_in-situ'!CE47</f>
        <v>-4116.4949587577939</v>
      </c>
      <c r="F2249" s="24">
        <f>'Data_in-situ'!CF47</f>
        <v>2228.1690065442513</v>
      </c>
      <c r="G2249" s="46">
        <f>'Data_in-situ'!CG47</f>
        <v>3</v>
      </c>
      <c r="H2249" s="24">
        <f>'Data_in-situ'!CN47</f>
        <v>9925.2960228500779</v>
      </c>
      <c r="I2249" s="24">
        <f>'Data_in-situ'!CO47</f>
        <v>1567.0081026388868</v>
      </c>
      <c r="J2249" s="46">
        <f>'Data_in-situ'!CP47</f>
        <v>3</v>
      </c>
      <c r="K2249" s="24">
        <f>'Data_in-situ'!CR47</f>
        <v>11818.246669821412</v>
      </c>
      <c r="L2249" s="24">
        <f>'Data_in-situ'!CS47</f>
        <v>4651.0454986548657</v>
      </c>
      <c r="M2249" s="46">
        <f>'Data_in-situ'!CT47</f>
        <v>3</v>
      </c>
      <c r="N2249" s="24">
        <f>'Data_in-situ'!DA46</f>
        <v>4346.8201953753614</v>
      </c>
      <c r="O2249" s="24">
        <f>'Data_in-situ'!DB46</f>
        <v>1600.2428388061255</v>
      </c>
      <c r="P2249" s="46">
        <f>'Data_in-situ'!DC46</f>
        <v>3</v>
      </c>
      <c r="Q2249" s="24">
        <f>'Data_in-situ'!DE46</f>
        <v>18212.000607217258</v>
      </c>
      <c r="R2249" s="24">
        <f>'Data_in-situ'!DF46</f>
        <v>4028.2334522837918</v>
      </c>
      <c r="S2249" s="46">
        <f>'Data_in-situ'!DG46</f>
        <v>3</v>
      </c>
      <c r="T2249" s="113">
        <f>'Data_in-situ'!DN63</f>
        <v>10.24121540117542</v>
      </c>
      <c r="U2249" s="113">
        <f>'Data_in-situ'!DO63</f>
        <v>7.0937907088882888</v>
      </c>
      <c r="V2249" s="46">
        <f>'Data_in-situ'!DP63</f>
        <v>3</v>
      </c>
      <c r="W2249" s="113">
        <f>'Data_in-situ'!DR63</f>
        <v>0.9615623609345133</v>
      </c>
      <c r="X2249" s="113">
        <f>'Data_in-situ'!DS63</f>
        <v>1.1781116185620597</v>
      </c>
      <c r="Y2249" s="46">
        <f>'Data_in-situ'!DT63</f>
        <v>3</v>
      </c>
      <c r="Z2249" s="113">
        <f>'Data_in-situ'!EA136</f>
        <v>0.3</v>
      </c>
      <c r="AA2249" s="113">
        <f>'Data_in-situ'!EB136</f>
        <v>0.8660254037844386</v>
      </c>
      <c r="AB2249" s="46">
        <f>'Data_in-situ'!EC136</f>
        <v>3</v>
      </c>
      <c r="AC2249" s="113">
        <f>'Data_in-situ'!EE136</f>
        <v>0.7</v>
      </c>
      <c r="AD2249" s="113">
        <f>'Data_in-situ'!EF136</f>
        <v>0.8660254037844386</v>
      </c>
      <c r="AE2249" s="46">
        <f>'Data_in-situ'!EG136</f>
        <v>3</v>
      </c>
      <c r="AF2249" s="113">
        <f>'Data_in-situ'!EN45</f>
        <v>-50</v>
      </c>
      <c r="AG2249" s="113">
        <f>'Data_in-situ'!EO45</f>
        <v>6.8</v>
      </c>
      <c r="AH2249" s="110">
        <f>'Data_in-situ'!EP45</f>
        <v>3</v>
      </c>
      <c r="AI2249" s="113">
        <f>'Data_in-situ'!ER45</f>
        <v>-85</v>
      </c>
      <c r="AJ2249" s="113">
        <f>'Data_in-situ'!ES45</f>
        <v>12.3</v>
      </c>
      <c r="AK2249" s="110">
        <f>'Data_in-situ'!ET45</f>
        <v>3</v>
      </c>
    </row>
    <row r="2250" spans="2:37" x14ac:dyDescent="0.3">
      <c r="B2250" s="24">
        <f>'Data_in-situ'!CA48</f>
        <v>-8294.385041352898</v>
      </c>
      <c r="C2250" s="24">
        <f>'Data_in-situ'!CB48</f>
        <v>1642.4661972156998</v>
      </c>
      <c r="D2250" s="46">
        <f>'Data_in-situ'!CC48</f>
        <v>3</v>
      </c>
      <c r="E2250" s="24">
        <f>'Data_in-situ'!CE48</f>
        <v>-7951.7092639037292</v>
      </c>
      <c r="F2250" s="24">
        <f>'Data_in-situ'!CF48</f>
        <v>991.198558307697</v>
      </c>
      <c r="G2250" s="46">
        <f>'Data_in-situ'!CG48</f>
        <v>3</v>
      </c>
      <c r="H2250" s="24">
        <f>'Data_in-situ'!CN48</f>
        <v>9925.2960228500779</v>
      </c>
      <c r="I2250" s="24">
        <f>'Data_in-situ'!CO48</f>
        <v>1567.0081026388868</v>
      </c>
      <c r="J2250" s="46">
        <f>'Data_in-situ'!CP48</f>
        <v>3</v>
      </c>
      <c r="K2250" s="24">
        <f>'Data_in-situ'!CR48</f>
        <v>18874.266157348848</v>
      </c>
      <c r="L2250" s="24">
        <f>'Data_in-situ'!CS48</f>
        <v>1436.9763260046241</v>
      </c>
      <c r="M2250" s="46">
        <f>'Data_in-situ'!CT48</f>
        <v>3</v>
      </c>
      <c r="N2250" s="24">
        <f>'Data_in-situ'!DA47</f>
        <v>1587.3797452740284</v>
      </c>
      <c r="O2250" s="24">
        <f>'Data_in-situ'!DB47</f>
        <v>3333.5525389363561</v>
      </c>
      <c r="P2250" s="46">
        <f>'Data_in-situ'!DC47</f>
        <v>3</v>
      </c>
      <c r="Q2250" s="24">
        <f>'Data_in-situ'!DE47</f>
        <v>7701.7517110636172</v>
      </c>
      <c r="R2250" s="24">
        <f>'Data_in-situ'!DF47</f>
        <v>1365.154161423319</v>
      </c>
      <c r="S2250" s="46">
        <f>'Data_in-situ'!DG47</f>
        <v>3</v>
      </c>
      <c r="T2250" s="113">
        <f>'Data_in-situ'!DN64</f>
        <v>10.24121540117542</v>
      </c>
      <c r="U2250" s="113">
        <f>'Data_in-situ'!DO64</f>
        <v>7.0937907088882888</v>
      </c>
      <c r="V2250" s="46">
        <f>'Data_in-situ'!DP64</f>
        <v>3</v>
      </c>
      <c r="W2250" s="113">
        <f>'Data_in-situ'!DR64</f>
        <v>0.45660782502476893</v>
      </c>
      <c r="X2250" s="113">
        <f>'Data_in-situ'!DS64</f>
        <v>1.5313900415070829</v>
      </c>
      <c r="Y2250" s="46">
        <f>'Data_in-situ'!DT64</f>
        <v>3</v>
      </c>
      <c r="Z2250" s="113">
        <f>'Data_in-situ'!EA137</f>
        <v>0.2</v>
      </c>
      <c r="AA2250" s="113">
        <f>'Data_in-situ'!EB137</f>
        <v>0.51961524227066314</v>
      </c>
      <c r="AB2250" s="46">
        <f>'Data_in-situ'!EC137</f>
        <v>3</v>
      </c>
      <c r="AC2250" s="113">
        <f>'Data_in-situ'!EE137</f>
        <v>0.6</v>
      </c>
      <c r="AD2250" s="113">
        <f>'Data_in-situ'!EF137</f>
        <v>0.51961524227066314</v>
      </c>
      <c r="AE2250" s="46">
        <f>'Data_in-situ'!EG137</f>
        <v>3</v>
      </c>
      <c r="AF2250" s="113">
        <f>'Data_in-situ'!EN46</f>
        <v>-50</v>
      </c>
      <c r="AG2250" s="113">
        <f>'Data_in-situ'!EO46</f>
        <v>6.8</v>
      </c>
      <c r="AH2250" s="110">
        <f>'Data_in-situ'!EP46</f>
        <v>3</v>
      </c>
      <c r="AI2250" s="113">
        <f>'Data_in-situ'!ER46</f>
        <v>-120</v>
      </c>
      <c r="AJ2250" s="113">
        <f>'Data_in-situ'!ES46</f>
        <v>11.8</v>
      </c>
      <c r="AK2250" s="110">
        <f>'Data_in-situ'!ET46</f>
        <v>3</v>
      </c>
    </row>
    <row r="2251" spans="2:37" x14ac:dyDescent="0.3">
      <c r="B2251" s="24">
        <f>'Data_in-situ'!CA49</f>
        <v>-9369.2576901028933</v>
      </c>
      <c r="C2251" s="24">
        <f>'Data_in-situ'!CB49</f>
        <v>2035.7162873934246</v>
      </c>
      <c r="D2251" s="46">
        <f>'Data_in-situ'!CC49</f>
        <v>3</v>
      </c>
      <c r="E2251" s="24">
        <f>'Data_in-situ'!CE49</f>
        <v>-2299.2323090182686</v>
      </c>
      <c r="F2251" s="24">
        <f>'Data_in-situ'!CF49</f>
        <v>2342.6341654926264</v>
      </c>
      <c r="G2251" s="46">
        <f>'Data_in-situ'!CG49</f>
        <v>3</v>
      </c>
      <c r="H2251" s="24">
        <f>'Data_in-situ'!CN49</f>
        <v>12061.199832356524</v>
      </c>
      <c r="I2251" s="24">
        <f>'Data_in-situ'!CO49</f>
        <v>2723.4693933324475</v>
      </c>
      <c r="J2251" s="46">
        <f>'Data_in-situ'!CP49</f>
        <v>3</v>
      </c>
      <c r="K2251" s="24">
        <f>'Data_in-situ'!CR49</f>
        <v>11429.896740363933</v>
      </c>
      <c r="L2251" s="24">
        <f>'Data_in-situ'!CS49</f>
        <v>4226.8745195225956</v>
      </c>
      <c r="M2251" s="46">
        <f>'Data_in-situ'!CT49</f>
        <v>3</v>
      </c>
      <c r="N2251" s="24">
        <f>'Data_in-situ'!DA48</f>
        <v>1456.7860366045747</v>
      </c>
      <c r="O2251" s="24">
        <f>'Data_in-situ'!DB48</f>
        <v>3333.5525389363561</v>
      </c>
      <c r="P2251" s="46">
        <f>'Data_in-situ'!DC48</f>
        <v>3</v>
      </c>
      <c r="Q2251" s="24">
        <f>'Data_in-situ'!DE48</f>
        <v>10922.55689344512</v>
      </c>
      <c r="R2251" s="24">
        <f>'Data_in-situ'!DF48</f>
        <v>1312.0511177126614</v>
      </c>
      <c r="S2251" s="46">
        <f>'Data_in-situ'!DG48</f>
        <v>3</v>
      </c>
      <c r="T2251" s="113">
        <f>'Data_in-situ'!DN65</f>
        <v>7.7977007953643627</v>
      </c>
      <c r="U2251" s="113">
        <f>'Data_in-situ'!DO65</f>
        <v>3.3514104017873239</v>
      </c>
      <c r="V2251" s="46">
        <f>'Data_in-situ'!DP65</f>
        <v>3</v>
      </c>
      <c r="W2251" s="113">
        <f>'Data_in-situ'!DR65</f>
        <v>3.0401651288720082</v>
      </c>
      <c r="X2251" s="113">
        <f>'Data_in-situ'!DS65</f>
        <v>2.576926227735012</v>
      </c>
      <c r="Y2251" s="46">
        <f>'Data_in-situ'!DT65</f>
        <v>3</v>
      </c>
      <c r="Z2251" s="113">
        <f>'Data_in-situ'!EA138</f>
        <v>0.3</v>
      </c>
      <c r="AA2251" s="113">
        <f>'Data_in-situ'!EB138</f>
        <v>0.8660254037844386</v>
      </c>
      <c r="AB2251" s="46">
        <f>'Data_in-situ'!EC138</f>
        <v>3</v>
      </c>
      <c r="AC2251" s="113">
        <f>'Data_in-situ'!EE138</f>
        <v>0.4</v>
      </c>
      <c r="AD2251" s="113">
        <f>'Data_in-situ'!EF138</f>
        <v>0.69282032302755092</v>
      </c>
      <c r="AE2251" s="46">
        <f>'Data_in-situ'!EG138</f>
        <v>3</v>
      </c>
      <c r="AF2251" s="113">
        <f>'Data_in-situ'!EN47</f>
        <v>-38</v>
      </c>
      <c r="AG2251" s="113">
        <f>'Data_in-situ'!EO47</f>
        <v>5.412566119688516</v>
      </c>
      <c r="AH2251" s="110">
        <f>'Data_in-situ'!EP47</f>
        <v>3</v>
      </c>
      <c r="AI2251" s="113">
        <f>'Data_in-situ'!ER47</f>
        <v>-73</v>
      </c>
      <c r="AJ2251" s="113">
        <f>'Data_in-situ'!ES47</f>
        <v>7.3195252578292278</v>
      </c>
      <c r="AK2251" s="110">
        <f>'Data_in-situ'!ET47</f>
        <v>3</v>
      </c>
    </row>
    <row r="2252" spans="2:37" x14ac:dyDescent="0.3">
      <c r="B2252" s="24">
        <f>'Data_in-situ'!CA50</f>
        <v>-9369.2576901028933</v>
      </c>
      <c r="C2252" s="24">
        <f>'Data_in-situ'!CB50</f>
        <v>2035.7162873934246</v>
      </c>
      <c r="D2252" s="46">
        <f>'Data_in-situ'!CC50</f>
        <v>3</v>
      </c>
      <c r="E2252" s="24">
        <f>'Data_in-situ'!CE50</f>
        <v>-9078.4121067422348</v>
      </c>
      <c r="F2252" s="24">
        <f>'Data_in-situ'!CF50</f>
        <v>2550.7669434897421</v>
      </c>
      <c r="G2252" s="46">
        <f>'Data_in-situ'!CG50</f>
        <v>3</v>
      </c>
      <c r="H2252" s="24">
        <f>'Data_in-situ'!CN50</f>
        <v>12061.199832356524</v>
      </c>
      <c r="I2252" s="24">
        <f>'Data_in-situ'!CO50</f>
        <v>2723.4693933324475</v>
      </c>
      <c r="J2252" s="46">
        <f>'Data_in-situ'!CP50</f>
        <v>3</v>
      </c>
      <c r="K2252" s="24">
        <f>'Data_in-situ'!CR50</f>
        <v>19572.836444656983</v>
      </c>
      <c r="L2252" s="24">
        <f>'Data_in-situ'!CS50</f>
        <v>4405.6978485162454</v>
      </c>
      <c r="M2252" s="46">
        <f>'Data_in-situ'!CT50</f>
        <v>3</v>
      </c>
      <c r="N2252" s="24">
        <f>'Data_in-situ'!DA49</f>
        <v>2691.9421422536325</v>
      </c>
      <c r="O2252" s="24">
        <f>'Data_in-situ'!DB49</f>
        <v>1470.8979553996573</v>
      </c>
      <c r="P2252" s="46">
        <f>'Data_in-situ'!DC49</f>
        <v>3</v>
      </c>
      <c r="Q2252" s="24">
        <f>'Data_in-situ'!DE49</f>
        <v>9130.6644313456636</v>
      </c>
      <c r="R2252" s="24">
        <f>'Data_in-situ'!DF49</f>
        <v>1617.1067844170707</v>
      </c>
      <c r="S2252" s="46">
        <f>'Data_in-situ'!DG49</f>
        <v>3</v>
      </c>
      <c r="T2252" s="113">
        <f>'Data_in-situ'!DN66</f>
        <v>7.7977007953643627</v>
      </c>
      <c r="U2252" s="113">
        <f>'Data_in-situ'!DO66</f>
        <v>3.3514104017873239</v>
      </c>
      <c r="V2252" s="46">
        <f>'Data_in-situ'!DP66</f>
        <v>3</v>
      </c>
      <c r="W2252" s="113">
        <f>'Data_in-situ'!DR66</f>
        <v>1.9887131963175433</v>
      </c>
      <c r="X2252" s="113">
        <f>'Data_in-situ'!DS66</f>
        <v>2.7881365985407487</v>
      </c>
      <c r="Y2252" s="46">
        <f>'Data_in-situ'!DT66</f>
        <v>3</v>
      </c>
      <c r="Z2252" s="113">
        <f>'Data_in-situ'!EA139</f>
        <v>0.2</v>
      </c>
      <c r="AA2252" s="113">
        <f>'Data_in-situ'!EB139</f>
        <v>0.51961524227066314</v>
      </c>
      <c r="AB2252" s="46">
        <f>'Data_in-situ'!EC139</f>
        <v>3</v>
      </c>
      <c r="AC2252" s="113">
        <f>'Data_in-situ'!EE139</f>
        <v>0.3</v>
      </c>
      <c r="AD2252" s="113">
        <f>'Data_in-situ'!EF139</f>
        <v>0.51961524227066314</v>
      </c>
      <c r="AE2252" s="46">
        <f>'Data_in-situ'!EG139</f>
        <v>3</v>
      </c>
      <c r="AF2252" s="113">
        <f>'Data_in-situ'!EN48</f>
        <v>-38</v>
      </c>
      <c r="AG2252" s="113">
        <f>'Data_in-situ'!EO48</f>
        <v>5.412566119688516</v>
      </c>
      <c r="AH2252" s="110">
        <f>'Data_in-situ'!EP48</f>
        <v>3</v>
      </c>
      <c r="AI2252" s="113">
        <f>'Data_in-situ'!ER48</f>
        <v>-112</v>
      </c>
      <c r="AJ2252" s="113">
        <f>'Data_in-situ'!ES48</f>
        <v>10.756618055876112</v>
      </c>
      <c r="AK2252" s="110">
        <f>'Data_in-situ'!ET48</f>
        <v>3</v>
      </c>
    </row>
    <row r="2253" spans="2:37" x14ac:dyDescent="0.3">
      <c r="B2253" s="24">
        <f>'Data_in-situ'!CA51</f>
        <v>-9754.4163078122838</v>
      </c>
      <c r="C2253" s="24">
        <f>'Data_in-situ'!CB51</f>
        <v>3932.1332121217479</v>
      </c>
      <c r="D2253" s="46">
        <f>'Data_in-situ'!CC51</f>
        <v>3</v>
      </c>
      <c r="E2253" s="24">
        <f>'Data_in-situ'!CE51</f>
        <v>-2761.4491134085392</v>
      </c>
      <c r="F2253" s="24">
        <f>'Data_in-situ'!CF51</f>
        <v>1692.9192981356198</v>
      </c>
      <c r="G2253" s="46">
        <f>'Data_in-situ'!CG51</f>
        <v>3</v>
      </c>
      <c r="H2253" s="24">
        <f>'Data_in-situ'!CN51</f>
        <v>12245.303198687096</v>
      </c>
      <c r="I2253" s="24">
        <f>'Data_in-situ'!CO51</f>
        <v>3757.3069479498581</v>
      </c>
      <c r="J2253" s="46">
        <f>'Data_in-situ'!CP51</f>
        <v>3</v>
      </c>
      <c r="K2253" s="24">
        <f>'Data_in-situ'!CR51</f>
        <v>17330.977325256288</v>
      </c>
      <c r="L2253" s="24">
        <f>'Data_in-situ'!CS51</f>
        <v>2585.939777312642</v>
      </c>
      <c r="M2253" s="46">
        <f>'Data_in-situ'!CT51</f>
        <v>3</v>
      </c>
      <c r="N2253" s="24">
        <f>'Data_in-situ'!DA50</f>
        <v>2691.9421422536325</v>
      </c>
      <c r="O2253" s="24">
        <f>'Data_in-situ'!DB50</f>
        <v>1470.8979553996573</v>
      </c>
      <c r="P2253" s="46">
        <f>'Data_in-situ'!DC50</f>
        <v>3</v>
      </c>
      <c r="Q2253" s="24">
        <f>'Data_in-situ'!DE50</f>
        <v>10494.424337914745</v>
      </c>
      <c r="R2253" s="24">
        <f>'Data_in-situ'!DF50</f>
        <v>1546.8515977021152</v>
      </c>
      <c r="S2253" s="46">
        <f>'Data_in-situ'!DG50</f>
        <v>3</v>
      </c>
      <c r="T2253" s="113">
        <f>'Data_in-situ'!DN67</f>
        <v>7.1375195796034658</v>
      </c>
      <c r="U2253" s="113">
        <f>'Data_in-situ'!DO67</f>
        <v>3.9633493035082119</v>
      </c>
      <c r="V2253" s="46">
        <f>'Data_in-situ'!DP67</f>
        <v>3</v>
      </c>
      <c r="W2253" s="113">
        <f>'Data_in-situ'!DR67</f>
        <v>3.0539332337351648</v>
      </c>
      <c r="X2253" s="113">
        <f>'Data_in-situ'!DS67</f>
        <v>2.9487867124895311</v>
      </c>
      <c r="Y2253" s="46">
        <f>'Data_in-situ'!DT67</f>
        <v>3</v>
      </c>
      <c r="Z2253" s="113">
        <f>'Data_in-situ'!EA140</f>
        <v>0.3</v>
      </c>
      <c r="AA2253" s="113">
        <f>'Data_in-situ'!EB140</f>
        <v>0.8660254037844386</v>
      </c>
      <c r="AB2253" s="46">
        <f>'Data_in-situ'!EC140</f>
        <v>3</v>
      </c>
      <c r="AC2253" s="113">
        <f>'Data_in-situ'!EE140</f>
        <v>0.4</v>
      </c>
      <c r="AD2253" s="113">
        <f>'Data_in-situ'!EF140</f>
        <v>1.0392304845413263</v>
      </c>
      <c r="AE2253" s="46">
        <f>'Data_in-situ'!EG140</f>
        <v>3</v>
      </c>
      <c r="AF2253" s="113">
        <f>'Data_in-situ'!EN49</f>
        <v>-45.680000000000007</v>
      </c>
      <c r="AG2253" s="113">
        <f>'Data_in-situ'!EO49</f>
        <v>4.842822317616041</v>
      </c>
      <c r="AH2253" s="110">
        <f>'Data_in-situ'!EP49</f>
        <v>3</v>
      </c>
      <c r="AI2253" s="113">
        <f>'Data_in-situ'!ER49</f>
        <v>-80.650000000000006</v>
      </c>
      <c r="AJ2253" s="113">
        <f>'Data_in-situ'!ES49</f>
        <v>8.7407922981844166</v>
      </c>
      <c r="AK2253" s="110">
        <f>'Data_in-situ'!ET49</f>
        <v>3</v>
      </c>
    </row>
    <row r="2254" spans="2:37" x14ac:dyDescent="0.3">
      <c r="B2254" s="24">
        <f>'Data_in-situ'!CA52</f>
        <v>-9754.4163078122838</v>
      </c>
      <c r="C2254" s="24">
        <f>'Data_in-situ'!CB52</f>
        <v>3932.1332121217479</v>
      </c>
      <c r="D2254" s="46">
        <f>'Data_in-situ'!CC52</f>
        <v>3</v>
      </c>
      <c r="E2254" s="24">
        <f>'Data_in-situ'!CE52</f>
        <v>-9460.8273773830751</v>
      </c>
      <c r="F2254" s="24">
        <f>'Data_in-situ'!CF52</f>
        <v>2248.9137051770867</v>
      </c>
      <c r="G2254" s="46">
        <f>'Data_in-situ'!CG52</f>
        <v>3</v>
      </c>
      <c r="H2254" s="24">
        <f>'Data_in-situ'!CN52</f>
        <v>12245.303198687096</v>
      </c>
      <c r="I2254" s="24">
        <f>'Data_in-situ'!CO52</f>
        <v>3459.6241558518745</v>
      </c>
      <c r="J2254" s="46">
        <f>'Data_in-situ'!CP52</f>
        <v>3</v>
      </c>
      <c r="K2254" s="24">
        <f>'Data_in-situ'!CR52</f>
        <v>19797.114273740117</v>
      </c>
      <c r="L2254" s="24">
        <f>'Data_in-situ'!CS52</f>
        <v>3942.244199118858</v>
      </c>
      <c r="M2254" s="46">
        <f>'Data_in-situ'!CT52</f>
        <v>3</v>
      </c>
      <c r="N2254" s="24">
        <f>'Data_in-situ'!DA51</f>
        <v>2490.8868908748118</v>
      </c>
      <c r="O2254" s="24">
        <f>'Data_in-situ'!DB51</f>
        <v>1134.5350284056235</v>
      </c>
      <c r="P2254" s="46">
        <f>'Data_in-situ'!DC51</f>
        <v>3</v>
      </c>
      <c r="Q2254" s="24">
        <f>'Data_in-situ'!DE51</f>
        <v>14569.528211847748</v>
      </c>
      <c r="R2254" s="24">
        <f>'Data_in-situ'!DF51</f>
        <v>1911.412784772738</v>
      </c>
      <c r="S2254" s="46">
        <f>'Data_in-situ'!DG51</f>
        <v>3</v>
      </c>
      <c r="T2254" s="113">
        <f>'Data_in-situ'!DN68</f>
        <v>7.1375195796034658</v>
      </c>
      <c r="U2254" s="113">
        <f>'Data_in-situ'!DO68</f>
        <v>3.9633493035082119</v>
      </c>
      <c r="V2254" s="46">
        <f>'Data_in-situ'!DP68</f>
        <v>3</v>
      </c>
      <c r="W2254" s="113">
        <f>'Data_in-situ'!DR68</f>
        <v>1.8162894746130522</v>
      </c>
      <c r="X2254" s="113">
        <f>'Data_in-situ'!DS68</f>
        <v>1.2745561332707356</v>
      </c>
      <c r="Y2254" s="46">
        <f>'Data_in-situ'!DT68</f>
        <v>3</v>
      </c>
      <c r="Z2254" s="113">
        <f>'Data_in-situ'!EA141</f>
        <v>1</v>
      </c>
      <c r="AA2254" s="113">
        <f>'Data_in-situ'!EB141</f>
        <v>1.5811388300841898</v>
      </c>
      <c r="AB2254" s="46">
        <f>'Data_in-situ'!EC141</f>
        <v>10</v>
      </c>
      <c r="AC2254" s="113">
        <f>'Data_in-situ'!EE141</f>
        <v>2</v>
      </c>
      <c r="AD2254" s="113">
        <f>'Data_in-situ'!EF141</f>
        <v>2.8460498941515415</v>
      </c>
      <c r="AE2254" s="46">
        <f>'Data_in-situ'!EG141</f>
        <v>10</v>
      </c>
      <c r="AF2254" s="113">
        <f>'Data_in-situ'!EN50</f>
        <v>-45.680000000000007</v>
      </c>
      <c r="AG2254" s="113">
        <f>'Data_in-situ'!EO50</f>
        <v>4.842822317616041</v>
      </c>
      <c r="AH2254" s="110">
        <f>'Data_in-situ'!EP50</f>
        <v>3</v>
      </c>
      <c r="AI2254" s="113">
        <f>'Data_in-situ'!ER50</f>
        <v>-118.08000000000001</v>
      </c>
      <c r="AJ2254" s="113">
        <f>'Data_in-situ'!ES50</f>
        <v>8.3505324381143513</v>
      </c>
      <c r="AK2254" s="110">
        <f>'Data_in-situ'!ET50</f>
        <v>3</v>
      </c>
    </row>
    <row r="2255" spans="2:37" x14ac:dyDescent="0.3">
      <c r="B2255" s="24">
        <f>'Data_in-situ'!CA71</f>
        <v>-9117.231395346209</v>
      </c>
      <c r="C2255" s="24">
        <f>'Data_in-situ'!CB71</f>
        <v>2424.3247606001519</v>
      </c>
      <c r="D2255" s="46">
        <f>'Data_in-situ'!CC71</f>
        <v>3</v>
      </c>
      <c r="E2255" s="24">
        <f>'Data_in-situ'!CE71</f>
        <v>-11061.598737544935</v>
      </c>
      <c r="F2255" s="24">
        <f>'Data_in-situ'!CF71</f>
        <v>12004.393621698095</v>
      </c>
      <c r="G2255" s="46">
        <f>'Data_in-situ'!CG71</f>
        <v>3</v>
      </c>
      <c r="H2255" s="24">
        <f>'Data_in-situ'!CN71</f>
        <v>12663.516770662041</v>
      </c>
      <c r="I2255" s="24">
        <f>'Data_in-situ'!CO71</f>
        <v>2011.7619468526057</v>
      </c>
      <c r="J2255" s="46">
        <f>'Data_in-situ'!CP71</f>
        <v>3</v>
      </c>
      <c r="K2255" s="24">
        <f>'Data_in-situ'!CR71</f>
        <v>13557.778602361721</v>
      </c>
      <c r="L2255" s="24">
        <f>'Data_in-situ'!CS71</f>
        <v>1534.7793518535277</v>
      </c>
      <c r="M2255" s="46">
        <f>'Data_in-situ'!CT71</f>
        <v>3</v>
      </c>
      <c r="N2255" s="24">
        <f>'Data_in-situ'!DA52</f>
        <v>2490.8868908748118</v>
      </c>
      <c r="O2255" s="24">
        <f>'Data_in-situ'!DB52</f>
        <v>1134.5350284056235</v>
      </c>
      <c r="P2255" s="46">
        <f>'Data_in-situ'!DC52</f>
        <v>3</v>
      </c>
      <c r="Q2255" s="24">
        <f>'Data_in-situ'!DE52</f>
        <v>10336.286896357044</v>
      </c>
      <c r="R2255" s="24">
        <f>'Data_in-situ'!DF52</f>
        <v>1988.9291863416881</v>
      </c>
      <c r="S2255" s="46">
        <f>'Data_in-situ'!DG52</f>
        <v>3</v>
      </c>
      <c r="T2255" s="113">
        <f>'Data_in-situ'!DN69</f>
        <v>8.4029927968922031</v>
      </c>
      <c r="U2255" s="113">
        <f>'Data_in-situ'!DO69</f>
        <v>3.1873816651232265</v>
      </c>
      <c r="V2255" s="46">
        <f>'Data_in-situ'!DP69</f>
        <v>3</v>
      </c>
      <c r="W2255" s="113">
        <f>'Data_in-situ'!DR69</f>
        <v>1.0794478740303646</v>
      </c>
      <c r="X2255" s="113">
        <f>'Data_in-situ'!DS69</f>
        <v>0.96059962800413323</v>
      </c>
      <c r="Y2255" s="46">
        <f>'Data_in-situ'!DT69</f>
        <v>3</v>
      </c>
      <c r="Z2255" s="113">
        <f>'Data_in-situ'!EA142</f>
        <v>1</v>
      </c>
      <c r="AA2255" s="113">
        <f>'Data_in-situ'!EB142</f>
        <v>1.5811388300841898</v>
      </c>
      <c r="AB2255" s="46">
        <f>'Data_in-situ'!EC142</f>
        <v>10</v>
      </c>
      <c r="AC2255" s="113">
        <f>'Data_in-situ'!EE142</f>
        <v>2</v>
      </c>
      <c r="AD2255" s="113">
        <f>'Data_in-situ'!EF142</f>
        <v>4.4271887242357311</v>
      </c>
      <c r="AE2255" s="46">
        <f>'Data_in-situ'!EG142</f>
        <v>10</v>
      </c>
      <c r="AF2255" s="113">
        <f>'Data_in-situ'!EN51</f>
        <v>-53.36</v>
      </c>
      <c r="AG2255" s="113">
        <f>'Data_in-situ'!EO51</f>
        <v>6.3986248522631799</v>
      </c>
      <c r="AH2255" s="110">
        <f>'Data_in-situ'!EP51</f>
        <v>3</v>
      </c>
      <c r="AI2255" s="113">
        <f>'Data_in-situ'!ER51</f>
        <v>-88.300000000000011</v>
      </c>
      <c r="AJ2255" s="113">
        <f>'Data_in-situ'!ES51</f>
        <v>8.3224065029293062</v>
      </c>
      <c r="AK2255" s="110">
        <f>'Data_in-situ'!ET51</f>
        <v>3</v>
      </c>
    </row>
    <row r="2256" spans="2:37" x14ac:dyDescent="0.3">
      <c r="B2256" s="24">
        <f>'Data_in-situ'!CA72</f>
        <v>-10940.677674415452</v>
      </c>
      <c r="C2256" s="24">
        <f>'Data_in-situ'!CB72</f>
        <v>3587.5182834567408</v>
      </c>
      <c r="D2256" s="46">
        <f>'Data_in-situ'!CC72</f>
        <v>3</v>
      </c>
      <c r="E2256" s="24">
        <f>'Data_in-situ'!CE72</f>
        <v>-13155.401355723083</v>
      </c>
      <c r="F2256" s="24">
        <f>'Data_in-situ'!CF72</f>
        <v>5176.9391284347485</v>
      </c>
      <c r="G2256" s="46">
        <f>'Data_in-situ'!CG72</f>
        <v>3</v>
      </c>
      <c r="H2256" s="24">
        <f>'Data_in-situ'!CN72</f>
        <v>12156.97609983556</v>
      </c>
      <c r="I2256" s="24">
        <f>'Data_in-situ'!CO72</f>
        <v>3352.7816659818532</v>
      </c>
      <c r="J2256" s="46">
        <f>'Data_in-situ'!CP72</f>
        <v>3</v>
      </c>
      <c r="K2256" s="24">
        <f>'Data_in-situ'!CR72</f>
        <v>16499.127180501211</v>
      </c>
      <c r="L2256" s="24">
        <f>'Data_in-situ'!CS72</f>
        <v>2145.4857374487219</v>
      </c>
      <c r="M2256" s="46">
        <f>'Data_in-situ'!CT72</f>
        <v>3</v>
      </c>
      <c r="N2256" s="24">
        <f>'Data_in-situ'!DA71</f>
        <v>3546.2853753158324</v>
      </c>
      <c r="O2256" s="24">
        <f>'Data_in-situ'!DB71</f>
        <v>5941.722754487856</v>
      </c>
      <c r="P2256" s="46">
        <f>'Data_in-situ'!DC71</f>
        <v>3</v>
      </c>
      <c r="Q2256" s="24">
        <f>'Data_in-situ'!DE71</f>
        <v>2496.179864816786</v>
      </c>
      <c r="R2256" s="24">
        <f>'Data_in-situ'!DF71</f>
        <v>441.8656256521171</v>
      </c>
      <c r="S2256" s="46">
        <f>'Data_in-situ'!DG71</f>
        <v>3</v>
      </c>
      <c r="T2256" s="113">
        <f>'Data_in-situ'!DN70</f>
        <v>8.4029927968922031</v>
      </c>
      <c r="U2256" s="113">
        <f>'Data_in-situ'!DO70</f>
        <v>3.1873816651232265</v>
      </c>
      <c r="V2256" s="46">
        <f>'Data_in-situ'!DP70</f>
        <v>3</v>
      </c>
      <c r="W2256" s="113">
        <f>'Data_in-situ'!DR70</f>
        <v>0.78616919085132009</v>
      </c>
      <c r="X2256" s="113">
        <f>'Data_in-situ'!DS70</f>
        <v>1.3520526050253143</v>
      </c>
      <c r="Y2256" s="46">
        <f>'Data_in-situ'!DT70</f>
        <v>3</v>
      </c>
      <c r="Z2256" s="113">
        <f>'Data_in-situ'!EA143</f>
        <v>1</v>
      </c>
      <c r="AA2256" s="113">
        <f>'Data_in-situ'!EB143</f>
        <v>1.5811388300841898</v>
      </c>
      <c r="AB2256" s="46">
        <f>'Data_in-situ'!EC143</f>
        <v>10</v>
      </c>
      <c r="AC2256" s="113">
        <f>'Data_in-situ'!EE143</f>
        <v>11</v>
      </c>
      <c r="AD2256" s="113">
        <f>'Data_in-situ'!EF143</f>
        <v>13.914021704740872</v>
      </c>
      <c r="AE2256" s="46">
        <f>'Data_in-situ'!EG143</f>
        <v>10</v>
      </c>
      <c r="AF2256" s="113">
        <f>'Data_in-situ'!EN52</f>
        <v>-53.36</v>
      </c>
      <c r="AG2256" s="113">
        <f>'Data_in-situ'!EO52</f>
        <v>6.3986248522631799</v>
      </c>
      <c r="AH2256" s="110">
        <f>'Data_in-situ'!EP52</f>
        <v>3</v>
      </c>
      <c r="AI2256" s="113">
        <f>'Data_in-situ'!ER52</f>
        <v>-124.16</v>
      </c>
      <c r="AJ2256" s="113">
        <f>'Data_in-situ'!ES52</f>
        <v>9.3061459262145689</v>
      </c>
      <c r="AK2256" s="110">
        <f>'Data_in-situ'!ET52</f>
        <v>3</v>
      </c>
    </row>
    <row r="2257" spans="2:37" x14ac:dyDescent="0.3">
      <c r="B2257" s="24">
        <f>'Data_in-situ'!CA73</f>
        <v>-7247.1260453614077</v>
      </c>
      <c r="C2257" s="24">
        <f>'Data_in-situ'!CB73</f>
        <v>2100.9616035887616</v>
      </c>
      <c r="D2257" s="46">
        <f>'Data_in-situ'!CC73</f>
        <v>3</v>
      </c>
      <c r="E2257" s="24">
        <f>'Data_in-situ'!CE73</f>
        <v>-4582.6623341257582</v>
      </c>
      <c r="F2257" s="24">
        <f>'Data_in-situ'!CF73</f>
        <v>1321.5627260440792</v>
      </c>
      <c r="G2257" s="46">
        <f>'Data_in-situ'!CG73</f>
        <v>3</v>
      </c>
      <c r="H2257" s="24">
        <f>'Data_in-situ'!CN73</f>
        <v>6440.2877983621229</v>
      </c>
      <c r="I2257" s="24">
        <f>'Data_in-situ'!CO73</f>
        <v>2181.3507268282779</v>
      </c>
      <c r="J2257" s="46">
        <f>'Data_in-situ'!CP73</f>
        <v>3</v>
      </c>
      <c r="K2257" s="24">
        <f>'Data_in-situ'!CR73</f>
        <v>24633.794341918241</v>
      </c>
      <c r="L2257" s="24">
        <f>'Data_in-situ'!CS73</f>
        <v>2489.5274353362884</v>
      </c>
      <c r="M2257" s="46">
        <f>'Data_in-situ'!CT73</f>
        <v>3</v>
      </c>
      <c r="N2257" s="24">
        <f>'Data_in-situ'!DA72</f>
        <v>1216.2984254201074</v>
      </c>
      <c r="O2257" s="24">
        <f>'Data_in-situ'!DB72</f>
        <v>2060.9133169618799</v>
      </c>
      <c r="P2257" s="46">
        <f>'Data_in-situ'!DC72</f>
        <v>3</v>
      </c>
      <c r="Q2257" s="24">
        <f>'Data_in-situ'!DE72</f>
        <v>3343.7258247781283</v>
      </c>
      <c r="R2257" s="24">
        <f>'Data_in-situ'!DF72</f>
        <v>717.82293341401112</v>
      </c>
      <c r="S2257" s="46">
        <f>'Data_in-situ'!DG72</f>
        <v>3</v>
      </c>
      <c r="T2257" s="113">
        <f>'Data_in-situ'!DN77</f>
        <v>107.85213477594468</v>
      </c>
      <c r="U2257" s="113">
        <f>'Data_in-situ'!DO77</f>
        <v>101.11467674058741</v>
      </c>
      <c r="V2257" s="46">
        <f>'Data_in-situ'!DP77</f>
        <v>6</v>
      </c>
      <c r="W2257" s="113">
        <f>'Data_in-situ'!DR77</f>
        <v>11.097</v>
      </c>
      <c r="X2257" s="113">
        <f>'Data_in-situ'!DS77</f>
        <v>12.912818417114034</v>
      </c>
      <c r="Y2257" s="46">
        <f>'Data_in-situ'!DT77</f>
        <v>6</v>
      </c>
      <c r="Z2257" s="113">
        <f>'Data_in-situ'!EA144</f>
        <v>1</v>
      </c>
      <c r="AA2257" s="113">
        <f>'Data_in-situ'!EB144</f>
        <v>1.5811388300841898</v>
      </c>
      <c r="AB2257" s="46">
        <f>'Data_in-situ'!EC144</f>
        <v>10</v>
      </c>
      <c r="AC2257" s="113">
        <f>'Data_in-situ'!EE144</f>
        <v>6</v>
      </c>
      <c r="AD2257" s="113">
        <f>'Data_in-situ'!EF144</f>
        <v>8.538149682454625</v>
      </c>
      <c r="AE2257" s="46">
        <f>'Data_in-situ'!EG144</f>
        <v>10</v>
      </c>
      <c r="AF2257" s="113">
        <f>'Data_in-situ'!EN53</f>
        <v>-38</v>
      </c>
      <c r="AG2257" s="113">
        <f>'Data_in-situ'!EO53</f>
        <v>7.6</v>
      </c>
      <c r="AH2257" s="110">
        <f>'Data_in-situ'!EP53</f>
        <v>3</v>
      </c>
      <c r="AI2257" s="113">
        <f>'Data_in-situ'!ER53</f>
        <v>-73</v>
      </c>
      <c r="AJ2257" s="113">
        <f>'Data_in-situ'!ES53</f>
        <v>10.3</v>
      </c>
      <c r="AK2257" s="110">
        <f>'Data_in-situ'!ET53</f>
        <v>3</v>
      </c>
    </row>
    <row r="2258" spans="2:37" x14ac:dyDescent="0.3">
      <c r="B2258" s="24">
        <f>'Data_in-situ'!CA74</f>
        <v>-7369.268619159634</v>
      </c>
      <c r="C2258" s="24">
        <f>'Data_in-situ'!CB74</f>
        <v>746.95892899118678</v>
      </c>
      <c r="D2258" s="46">
        <f>'Data_in-situ'!CC74</f>
        <v>3</v>
      </c>
      <c r="E2258" s="24">
        <f>'Data_in-situ'!CE74</f>
        <v>-4661.6737536796509</v>
      </c>
      <c r="F2258" s="24">
        <f>'Data_in-situ'!CF74</f>
        <v>1389.6358486823906</v>
      </c>
      <c r="G2258" s="46">
        <f>'Data_in-situ'!CG74</f>
        <v>3</v>
      </c>
      <c r="H2258" s="24">
        <f>'Data_in-situ'!CN74</f>
        <v>11939.302764655935</v>
      </c>
      <c r="I2258" s="24">
        <f>'Data_in-situ'!CO74</f>
        <v>4483.7070147716368</v>
      </c>
      <c r="J2258" s="46">
        <f>'Data_in-situ'!CP74</f>
        <v>3</v>
      </c>
      <c r="K2258" s="24">
        <f>'Data_in-situ'!CR74</f>
        <v>23300.995767448785</v>
      </c>
      <c r="L2258" s="24">
        <f>'Data_in-situ'!CS74</f>
        <v>3584.4542083747219</v>
      </c>
      <c r="M2258" s="46">
        <f>'Data_in-situ'!CT74</f>
        <v>3</v>
      </c>
      <c r="N2258" s="24">
        <f>'Data_in-situ'!DA73</f>
        <v>-806.83824699928482</v>
      </c>
      <c r="O2258" s="24">
        <f>'Data_in-situ'!DB73</f>
        <v>1429.0549882340658</v>
      </c>
      <c r="P2258" s="46">
        <f>'Data_in-situ'!DC73</f>
        <v>3</v>
      </c>
      <c r="Q2258" s="24">
        <f>'Data_in-situ'!DE73</f>
        <v>20051.132007792483</v>
      </c>
      <c r="R2258" s="24">
        <f>'Data_in-situ'!DF73</f>
        <v>2691.1988636577994</v>
      </c>
      <c r="S2258" s="46">
        <f>'Data_in-situ'!DG73</f>
        <v>3</v>
      </c>
      <c r="T2258" s="113">
        <f>'Data_in-situ'!DN78</f>
        <v>107.85213477594468</v>
      </c>
      <c r="U2258" s="113">
        <f>'Data_in-situ'!DO78</f>
        <v>101.11467674058741</v>
      </c>
      <c r="V2258" s="46">
        <f>'Data_in-situ'!DP78</f>
        <v>6</v>
      </c>
      <c r="W2258" s="113">
        <f>'Data_in-situ'!DR78</f>
        <v>23.372199999999999</v>
      </c>
      <c r="X2258" s="113">
        <f>'Data_in-situ'!DS78</f>
        <v>23.116574134644171</v>
      </c>
      <c r="Y2258" s="46">
        <f>'Data_in-situ'!DT78</f>
        <v>6</v>
      </c>
      <c r="Z2258" s="113">
        <f>'Data_in-situ'!EA145</f>
        <v>-6.8828571428571433E-2</v>
      </c>
      <c r="AA2258" s="113">
        <f>'Data_in-situ'!EB145</f>
        <v>0.39576270143804132</v>
      </c>
      <c r="AB2258" s="46">
        <f>'Data_in-situ'!EC145</f>
        <v>4</v>
      </c>
      <c r="AC2258" s="113">
        <f>'Data_in-situ'!EE145</f>
        <v>0.19271999999999997</v>
      </c>
      <c r="AD2258" s="113">
        <f>'Data_in-situ'!EF145</f>
        <v>0.28775782163506208</v>
      </c>
      <c r="AE2258" s="46">
        <f>'Data_in-situ'!EG145</f>
        <v>4</v>
      </c>
      <c r="AF2258" s="113">
        <f>'Data_in-situ'!EN54</f>
        <v>-38</v>
      </c>
      <c r="AG2258" s="113">
        <f>'Data_in-situ'!EO54</f>
        <v>7.6</v>
      </c>
      <c r="AH2258" s="110">
        <f>'Data_in-situ'!EP54</f>
        <v>3</v>
      </c>
      <c r="AI2258" s="113">
        <f>'Data_in-situ'!ER54</f>
        <v>-112</v>
      </c>
      <c r="AJ2258" s="113">
        <f>'Data_in-situ'!ES54</f>
        <v>15.2</v>
      </c>
      <c r="AK2258" s="110">
        <f>'Data_in-situ'!ET54</f>
        <v>3</v>
      </c>
    </row>
    <row r="2259" spans="2:37" x14ac:dyDescent="0.3">
      <c r="B2259" s="24">
        <f>'Data_in-situ'!CA75</f>
        <v>-8294.3850413528962</v>
      </c>
      <c r="C2259" s="24">
        <f>'Data_in-situ'!CB75</f>
        <v>1642.4661972156998</v>
      </c>
      <c r="D2259" s="46">
        <f>'Data_in-situ'!CC75</f>
        <v>3</v>
      </c>
      <c r="E2259" s="24">
        <f>'Data_in-situ'!CE75</f>
        <v>-8210.866720040498</v>
      </c>
      <c r="F2259" s="24">
        <f>'Data_in-situ'!CF75</f>
        <v>6747.5626737645262</v>
      </c>
      <c r="G2259" s="46">
        <f>'Data_in-situ'!CG75</f>
        <v>3</v>
      </c>
      <c r="H2259" s="24">
        <f>'Data_in-situ'!CN75</f>
        <v>9925.2960228500779</v>
      </c>
      <c r="I2259" s="24">
        <f>'Data_in-situ'!CO75</f>
        <v>1480.0009145095366</v>
      </c>
      <c r="J2259" s="46">
        <f>'Data_in-situ'!CP75</f>
        <v>3</v>
      </c>
      <c r="K2259" s="24">
        <f>'Data_in-situ'!CR75</f>
        <v>18431.22552776659</v>
      </c>
      <c r="L2259" s="24">
        <f>'Data_in-situ'!CS75</f>
        <v>1392.33025401075</v>
      </c>
      <c r="M2259" s="46">
        <f>'Data_in-situ'!CT75</f>
        <v>3</v>
      </c>
      <c r="N2259" s="24">
        <f>'Data_in-situ'!DA74</f>
        <v>4570.0341454963009</v>
      </c>
      <c r="O2259" s="24">
        <f>'Data_in-situ'!DB74</f>
        <v>7489.8905028845447</v>
      </c>
      <c r="P2259" s="46">
        <f>'Data_in-situ'!DC74</f>
        <v>3</v>
      </c>
      <c r="Q2259" s="24">
        <f>'Data_in-situ'!DE74</f>
        <v>18639.322013769135</v>
      </c>
      <c r="R2259" s="24">
        <f>'Data_in-situ'!DF74</f>
        <v>3134.0545713270785</v>
      </c>
      <c r="S2259" s="46">
        <f>'Data_in-situ'!DG74</f>
        <v>3</v>
      </c>
      <c r="T2259" s="113">
        <f>'Data_in-situ'!DN86</f>
        <v>78.666666666666671</v>
      </c>
      <c r="U2259" s="113">
        <f>'Data_in-situ'!DO86</f>
        <v>87.703837413914115</v>
      </c>
      <c r="V2259" s="46">
        <f>'Data_in-situ'!DP86</f>
        <v>3</v>
      </c>
      <c r="W2259" s="113">
        <f>'Data_in-situ'!DR86</f>
        <v>34.666666666666664</v>
      </c>
      <c r="X2259" s="113">
        <f>'Data_in-situ'!DS86</f>
        <v>129.55683154720833</v>
      </c>
      <c r="Y2259" s="46">
        <f>'Data_in-situ'!DT86</f>
        <v>3</v>
      </c>
      <c r="Z2259" s="113">
        <f>'Data_in-situ'!EA146</f>
        <v>-6.8828571428571433E-2</v>
      </c>
      <c r="AA2259" s="113">
        <f>'Data_in-situ'!EB146</f>
        <v>0.39576270143804132</v>
      </c>
      <c r="AB2259" s="46">
        <f>'Data_in-situ'!EC146</f>
        <v>4</v>
      </c>
      <c r="AC2259" s="113">
        <f>'Data_in-situ'!EE146</f>
        <v>4.5977485714285713</v>
      </c>
      <c r="AD2259" s="113">
        <f>'Data_in-situ'!EF146</f>
        <v>6.8650794590079105</v>
      </c>
      <c r="AE2259" s="46">
        <f>'Data_in-situ'!EG146</f>
        <v>4</v>
      </c>
      <c r="AF2259" s="113">
        <f>'Data_in-situ'!EN55</f>
        <v>-47</v>
      </c>
      <c r="AG2259" s="113">
        <f>'Data_in-situ'!EO55</f>
        <v>6.8</v>
      </c>
      <c r="AH2259" s="110">
        <f>'Data_in-situ'!EP55</f>
        <v>3</v>
      </c>
      <c r="AI2259" s="113">
        <f>'Data_in-situ'!ER55</f>
        <v>-82</v>
      </c>
      <c r="AJ2259" s="113">
        <f>'Data_in-situ'!ES55</f>
        <v>12.3</v>
      </c>
      <c r="AK2259" s="110">
        <f>'Data_in-situ'!ET55</f>
        <v>3</v>
      </c>
    </row>
    <row r="2260" spans="2:37" x14ac:dyDescent="0.3">
      <c r="B2260" s="24">
        <f>'Data_in-situ'!CA76</f>
        <v>-9369.2576901028915</v>
      </c>
      <c r="C2260" s="24">
        <f>'Data_in-situ'!CB76</f>
        <v>2035.7162873934251</v>
      </c>
      <c r="D2260" s="46">
        <f>'Data_in-situ'!CC76</f>
        <v>3</v>
      </c>
      <c r="E2260" s="24">
        <f>'Data_in-situ'!CE76</f>
        <v>-9418.1612108239733</v>
      </c>
      <c r="F2260" s="24">
        <f>'Data_in-situ'!CF76</f>
        <v>2962.8630952565604</v>
      </c>
      <c r="G2260" s="46">
        <f>'Data_in-situ'!CG76</f>
        <v>3</v>
      </c>
      <c r="H2260" s="24">
        <f>'Data_in-situ'!CN76</f>
        <v>12061.199832356524</v>
      </c>
      <c r="I2260" s="24">
        <f>'Data_in-situ'!CO76</f>
        <v>2723.4693933324479</v>
      </c>
      <c r="J2260" s="46">
        <f>'Data_in-situ'!CP76</f>
        <v>3</v>
      </c>
      <c r="K2260" s="24">
        <f>'Data_in-situ'!CR76</f>
        <v>19491.949358758146</v>
      </c>
      <c r="L2260" s="24">
        <f>'Data_in-situ'!CS76</f>
        <v>1982.6669401893841</v>
      </c>
      <c r="M2260" s="46">
        <f>'Data_in-situ'!CT76</f>
        <v>3</v>
      </c>
      <c r="N2260" s="24">
        <f>'Data_in-situ'!DA75</f>
        <v>1630.9109814971816</v>
      </c>
      <c r="O2260" s="24">
        <f>'Data_in-situ'!DB75</f>
        <v>3386.2554087633621</v>
      </c>
      <c r="P2260" s="46">
        <f>'Data_in-situ'!DC75</f>
        <v>3</v>
      </c>
      <c r="Q2260" s="24">
        <f>'Data_in-situ'!DE75</f>
        <v>10220.358807726092</v>
      </c>
      <c r="R2260" s="24">
        <f>'Data_in-situ'!DF75</f>
        <v>1209.7052702050512</v>
      </c>
      <c r="S2260" s="46">
        <f>'Data_in-situ'!DG75</f>
        <v>3</v>
      </c>
      <c r="T2260" s="113">
        <f>'Data_in-situ'!DN87</f>
        <v>31.999999999999996</v>
      </c>
      <c r="U2260" s="113">
        <f>'Data_in-situ'!DO87</f>
        <v>35.676137253117595</v>
      </c>
      <c r="V2260" s="46">
        <f>'Data_in-situ'!DP87</f>
        <v>3</v>
      </c>
      <c r="W2260" s="113">
        <f>'Data_in-situ'!DR87</f>
        <v>14.666666666666668</v>
      </c>
      <c r="X2260" s="113">
        <f>'Data_in-situ'!DS87</f>
        <v>54.812505654588151</v>
      </c>
      <c r="Y2260" s="46">
        <f>'Data_in-situ'!DT87</f>
        <v>3</v>
      </c>
      <c r="Z2260" s="113">
        <f>'Data_in-situ'!EA147</f>
        <v>0</v>
      </c>
      <c r="AA2260" s="113">
        <f>'Data_in-situ'!EB147</f>
        <v>1.71</v>
      </c>
      <c r="AB2260" s="46">
        <f>'Data_in-situ'!EC147</f>
        <v>7</v>
      </c>
      <c r="AC2260" s="113">
        <f>'Data_in-situ'!EE147</f>
        <v>3.4241884673332552</v>
      </c>
      <c r="AD2260" s="113">
        <f>'Data_in-situ'!EF147</f>
        <v>13.696753869332952</v>
      </c>
      <c r="AE2260" s="46">
        <f>'Data_in-situ'!EG147</f>
        <v>44</v>
      </c>
      <c r="AF2260" s="113">
        <f>'Data_in-situ'!EN56</f>
        <v>-47</v>
      </c>
      <c r="AG2260" s="113">
        <f>'Data_in-situ'!EO56</f>
        <v>6.8</v>
      </c>
      <c r="AH2260" s="110">
        <f>'Data_in-situ'!EP56</f>
        <v>3</v>
      </c>
      <c r="AI2260" s="113">
        <f>'Data_in-situ'!ER56</f>
        <v>-120</v>
      </c>
      <c r="AJ2260" s="113">
        <f>'Data_in-situ'!ES56</f>
        <v>11.8</v>
      </c>
      <c r="AK2260" s="110">
        <f>'Data_in-situ'!ET56</f>
        <v>3</v>
      </c>
    </row>
    <row r="2261" spans="2:37" x14ac:dyDescent="0.3">
      <c r="B2261" s="24">
        <f>'Data_in-situ'!CA354</f>
        <v>-5163.6593652646679</v>
      </c>
      <c r="C2261" s="24">
        <f>'Data_in-situ'!CB354</f>
        <v>1258.9541681504393</v>
      </c>
      <c r="D2261" s="46">
        <f>'Data_in-situ'!CC354</f>
        <v>3</v>
      </c>
      <c r="E2261" s="24">
        <f>'Data_in-situ'!CE354</f>
        <v>-11281.753283847371</v>
      </c>
      <c r="F2261" s="24">
        <f>'Data_in-situ'!CF354</f>
        <v>4199.848101278134</v>
      </c>
      <c r="G2261" s="46">
        <f>'Data_in-situ'!CG354</f>
        <v>3</v>
      </c>
      <c r="H2261" s="24">
        <f>'Data_in-situ'!CN354</f>
        <v>3223.0754152425534</v>
      </c>
      <c r="I2261" s="24">
        <f>'Data_in-situ'!CO354</f>
        <v>927.04451000195218</v>
      </c>
      <c r="J2261" s="46">
        <f>'Data_in-situ'!CP354</f>
        <v>3</v>
      </c>
      <c r="K2261" s="24">
        <f>'Data_in-situ'!CR354</f>
        <v>10128.851360772116</v>
      </c>
      <c r="L2261" s="24">
        <f>'Data_in-situ'!CS354</f>
        <v>2657.7211591793016</v>
      </c>
      <c r="M2261" s="46">
        <f>'Data_in-situ'!CT354</f>
        <v>3</v>
      </c>
      <c r="N2261" s="24">
        <f>'Data_in-situ'!DA76</f>
        <v>2691.9421422536325</v>
      </c>
      <c r="O2261" s="24">
        <f>'Data_in-situ'!DB76</f>
        <v>3491.7953924879967</v>
      </c>
      <c r="P2261" s="46">
        <f>'Data_in-situ'!DC76</f>
        <v>3</v>
      </c>
      <c r="Q2261" s="24">
        <f>'Data_in-situ'!DE76</f>
        <v>10073.788147934172</v>
      </c>
      <c r="R2261" s="24">
        <f>'Data_in-situ'!DF76</f>
        <v>1436.3793028165639</v>
      </c>
      <c r="S2261" s="46">
        <f>'Data_in-situ'!DG76</f>
        <v>3</v>
      </c>
      <c r="T2261" s="113">
        <f>'Data_in-situ'!DN108</f>
        <v>24</v>
      </c>
      <c r="U2261" s="113">
        <f>'Data_in-situ'!DO108</f>
        <v>26.757102939838202</v>
      </c>
      <c r="V2261" s="46">
        <f>'Data_in-situ'!DP108</f>
        <v>3</v>
      </c>
      <c r="W2261" s="113">
        <f>'Data_in-situ'!DR108</f>
        <v>7.8666666666666663</v>
      </c>
      <c r="X2261" s="113">
        <f>'Data_in-situ'!DS108</f>
        <v>29.399434851097276</v>
      </c>
      <c r="Y2261" s="46">
        <f>'Data_in-situ'!DT108</f>
        <v>3</v>
      </c>
      <c r="Z2261" s="113">
        <f>'Data_in-situ'!EA201</f>
        <v>0</v>
      </c>
      <c r="AA2261" s="113">
        <f>'Data_in-situ'!EB201</f>
        <v>0</v>
      </c>
      <c r="AB2261" s="46">
        <f>'Data_in-situ'!EC201</f>
        <v>3</v>
      </c>
      <c r="AC2261" s="113">
        <f>'Data_in-situ'!EE201</f>
        <v>0.03</v>
      </c>
      <c r="AD2261" s="113">
        <f>'Data_in-situ'!EF201</f>
        <v>4.4794181450040799E-2</v>
      </c>
      <c r="AE2261" s="46">
        <f>'Data_in-situ'!EG201</f>
        <v>3</v>
      </c>
      <c r="AF2261" s="113">
        <f>'Data_in-situ'!EN57</f>
        <v>-56</v>
      </c>
      <c r="AG2261" s="113">
        <f>'Data_in-situ'!EO57</f>
        <v>10.1</v>
      </c>
      <c r="AH2261" s="110">
        <f>'Data_in-situ'!EP57</f>
        <v>3</v>
      </c>
      <c r="AI2261" s="113">
        <f>'Data_in-situ'!ER57</f>
        <v>-91</v>
      </c>
      <c r="AJ2261" s="113">
        <f>'Data_in-situ'!ES57</f>
        <v>11.3</v>
      </c>
      <c r="AK2261" s="110">
        <f>'Data_in-situ'!ET57</f>
        <v>3</v>
      </c>
    </row>
    <row r="2262" spans="2:37" x14ac:dyDescent="0.3">
      <c r="B2262" s="24">
        <f>'Data_in-situ'!CA355</f>
        <v>-6328.9988329119469</v>
      </c>
      <c r="C2262" s="24">
        <f>'Data_in-situ'!CB355</f>
        <v>1543.0761204956746</v>
      </c>
      <c r="D2262" s="46">
        <f>'Data_in-situ'!CC355</f>
        <v>3</v>
      </c>
      <c r="E2262" s="24">
        <f>'Data_in-situ'!CE355</f>
        <v>-6508.7452571599624</v>
      </c>
      <c r="F2262" s="24">
        <f>'Data_in-situ'!CF355</f>
        <v>2423.0047158648849</v>
      </c>
      <c r="G2262" s="46">
        <f>'Data_in-situ'!CG355</f>
        <v>3</v>
      </c>
      <c r="H2262" s="24">
        <f>'Data_in-situ'!CN355</f>
        <v>5111.9658604723854</v>
      </c>
      <c r="I2262" s="24">
        <f>'Data_in-situ'!CO355</f>
        <v>1470.3409867037487</v>
      </c>
      <c r="J2262" s="46">
        <f>'Data_in-situ'!CP355</f>
        <v>3</v>
      </c>
      <c r="K2262" s="24">
        <f>'Data_in-situ'!CR355</f>
        <v>5566.4186230898367</v>
      </c>
      <c r="L2262" s="24">
        <f>'Data_in-situ'!CS355</f>
        <v>1460.579095151006</v>
      </c>
      <c r="M2262" s="46">
        <f>'Data_in-situ'!CT355</f>
        <v>3</v>
      </c>
      <c r="N2262" s="24">
        <f>'Data_in-situ'!DA135</f>
        <v>2000</v>
      </c>
      <c r="O2262" s="24">
        <f>'Data_in-situ'!DB135</f>
        <v>5999.3131173724232</v>
      </c>
      <c r="P2262" s="46">
        <f>'Data_in-situ'!DC135</f>
        <v>3</v>
      </c>
      <c r="Q2262" s="24">
        <f>'Data_in-situ'!DE135</f>
        <v>-6800</v>
      </c>
      <c r="R2262" s="24">
        <f>'Data_in-situ'!DF135</f>
        <v>6481.3710012383399</v>
      </c>
      <c r="S2262" s="46">
        <f>'Data_in-situ'!DG135</f>
        <v>3</v>
      </c>
      <c r="T2262" s="113">
        <f>'Data_in-situ'!DN109</f>
        <v>24.133333333333336</v>
      </c>
      <c r="U2262" s="113">
        <f>'Data_in-situ'!DO109</f>
        <v>26.905753511726196</v>
      </c>
      <c r="V2262" s="46">
        <f>'Data_in-situ'!DP109</f>
        <v>3</v>
      </c>
      <c r="W2262" s="113">
        <f>'Data_in-situ'!DR109</f>
        <v>8.4</v>
      </c>
      <c r="X2262" s="113">
        <f>'Data_in-situ'!DS109</f>
        <v>31.392616874900483</v>
      </c>
      <c r="Y2262" s="46">
        <f>'Data_in-situ'!DT109</f>
        <v>3</v>
      </c>
      <c r="Z2262" s="113">
        <f>'Data_in-situ'!EA202</f>
        <v>0</v>
      </c>
      <c r="AA2262" s="113">
        <f>'Data_in-situ'!EB202</f>
        <v>0</v>
      </c>
      <c r="AB2262" s="46">
        <f>'Data_in-situ'!EC202</f>
        <v>3</v>
      </c>
      <c r="AC2262" s="113">
        <f>'Data_in-situ'!EE202</f>
        <v>0.05</v>
      </c>
      <c r="AD2262" s="113">
        <f>'Data_in-situ'!EF202</f>
        <v>7.4656969083401345E-2</v>
      </c>
      <c r="AE2262" s="46">
        <f>'Data_in-situ'!EG202</f>
        <v>3</v>
      </c>
      <c r="AF2262" s="113">
        <f>'Data_in-situ'!EN58</f>
        <v>-56</v>
      </c>
      <c r="AG2262" s="113">
        <f>'Data_in-situ'!EO58</f>
        <v>10.1</v>
      </c>
      <c r="AH2262" s="110">
        <f>'Data_in-situ'!EP58</f>
        <v>3</v>
      </c>
      <c r="AI2262" s="113">
        <f>'Data_in-situ'!ER58</f>
        <v>-128</v>
      </c>
      <c r="AJ2262" s="113">
        <f>'Data_in-situ'!ES58</f>
        <v>14.2</v>
      </c>
      <c r="AK2262" s="110">
        <f>'Data_in-situ'!ET58</f>
        <v>3</v>
      </c>
    </row>
    <row r="2263" spans="2:37" x14ac:dyDescent="0.3">
      <c r="B2263" s="24">
        <f>'Data_in-situ'!CA356</f>
        <v>-6328.9988329119469</v>
      </c>
      <c r="C2263" s="24">
        <f>'Data_in-situ'!CB356</f>
        <v>1543.0761204956746</v>
      </c>
      <c r="D2263" s="46">
        <f>'Data_in-situ'!CC356</f>
        <v>3</v>
      </c>
      <c r="E2263" s="24">
        <f>'Data_in-situ'!CE356</f>
        <v>-4475.6377749118492</v>
      </c>
      <c r="F2263" s="24">
        <f>'Data_in-situ'!CF356</f>
        <v>1666.1416304755389</v>
      </c>
      <c r="G2263" s="46">
        <f>'Data_in-situ'!CG356</f>
        <v>3</v>
      </c>
      <c r="H2263" s="24">
        <f>'Data_in-situ'!CN356</f>
        <v>5111.9658604723854</v>
      </c>
      <c r="I2263" s="24">
        <f>'Data_in-situ'!CO356</f>
        <v>1470.3409867037487</v>
      </c>
      <c r="J2263" s="46">
        <f>'Data_in-situ'!CP356</f>
        <v>3</v>
      </c>
      <c r="K2263" s="24">
        <f>'Data_in-situ'!CR356</f>
        <v>5547.6173892807064</v>
      </c>
      <c r="L2263" s="24">
        <f>'Data_in-situ'!CS356</f>
        <v>1455.6458174146255</v>
      </c>
      <c r="M2263" s="46">
        <f>'Data_in-situ'!CT356</f>
        <v>3</v>
      </c>
      <c r="N2263" s="24">
        <f>'Data_in-situ'!DA136</f>
        <v>2000</v>
      </c>
      <c r="O2263" s="24">
        <f>'Data_in-situ'!DB136</f>
        <v>5999.3131173724232</v>
      </c>
      <c r="P2263" s="46">
        <f>'Data_in-situ'!DC136</f>
        <v>3</v>
      </c>
      <c r="Q2263" s="24">
        <f>'Data_in-situ'!DE136</f>
        <v>-6800</v>
      </c>
      <c r="R2263" s="24">
        <f>'Data_in-situ'!DF136</f>
        <v>6481.3710012383399</v>
      </c>
      <c r="S2263" s="46">
        <f>'Data_in-situ'!DG136</f>
        <v>3</v>
      </c>
      <c r="T2263" s="113">
        <f>'Data_in-situ'!DN110</f>
        <v>59.466666666666661</v>
      </c>
      <c r="U2263" s="113">
        <f>'Data_in-situ'!DO110</f>
        <v>66.298155062043534</v>
      </c>
      <c r="V2263" s="46">
        <f>'Data_in-situ'!DP110</f>
        <v>3</v>
      </c>
      <c r="W2263" s="113">
        <f>'Data_in-situ'!DR110</f>
        <v>27.333333333333329</v>
      </c>
      <c r="X2263" s="113">
        <f>'Data_in-situ'!DS110</f>
        <v>102.15057871991425</v>
      </c>
      <c r="Y2263" s="46">
        <f>'Data_in-situ'!DT110</f>
        <v>3</v>
      </c>
      <c r="Z2263" s="113">
        <f>'Data_in-situ'!EA211</f>
        <v>-0.17393369108406392</v>
      </c>
      <c r="AA2263" s="113">
        <f>'Data_in-situ'!EB211</f>
        <v>1.6605685683663671</v>
      </c>
      <c r="AB2263" s="46">
        <f>'Data_in-situ'!EC211</f>
        <v>46</v>
      </c>
      <c r="AC2263" s="113">
        <f>'Data_in-situ'!EE211</f>
        <v>6.6517114309370617</v>
      </c>
      <c r="AD2263" s="113">
        <f>'Data_in-situ'!EF211</f>
        <v>10.95710857096801</v>
      </c>
      <c r="AE2263" s="46">
        <f>'Data_in-situ'!EG211</f>
        <v>73</v>
      </c>
      <c r="AF2263" s="113">
        <f>'Data_in-situ'!EN59</f>
        <v>-38</v>
      </c>
      <c r="AG2263" s="113">
        <f>'Data_in-situ'!EO59</f>
        <v>7.6</v>
      </c>
      <c r="AH2263" s="110">
        <f>'Data_in-situ'!EP59</f>
        <v>3</v>
      </c>
      <c r="AI2263" s="113">
        <f>'Data_in-situ'!ER59</f>
        <v>-73</v>
      </c>
      <c r="AJ2263" s="113">
        <f>'Data_in-situ'!ES59</f>
        <v>10.3</v>
      </c>
      <c r="AK2263" s="110">
        <f>'Data_in-situ'!ET59</f>
        <v>3</v>
      </c>
    </row>
    <row r="2264" spans="2:37" x14ac:dyDescent="0.3">
      <c r="B2264" s="24">
        <f>'Data_in-situ'!CA357</f>
        <v>-6053.2911236122554</v>
      </c>
      <c r="C2264" s="24">
        <f>'Data_in-situ'!CB357</f>
        <v>1475.8556969044168</v>
      </c>
      <c r="D2264" s="46">
        <f>'Data_in-situ'!CC357</f>
        <v>3</v>
      </c>
      <c r="E2264" s="24">
        <f>'Data_in-situ'!CE357</f>
        <v>-11865.719502913866</v>
      </c>
      <c r="F2264" s="24">
        <f>'Data_in-situ'!CF357</f>
        <v>4417.2406780036381</v>
      </c>
      <c r="G2264" s="46">
        <f>'Data_in-situ'!CG357</f>
        <v>3</v>
      </c>
      <c r="H2264" s="24">
        <f>'Data_in-situ'!CN357</f>
        <v>4090.62426273851</v>
      </c>
      <c r="I2264" s="24">
        <f>'Data_in-situ'!CO357</f>
        <v>1176.575250867078</v>
      </c>
      <c r="J2264" s="46">
        <f>'Data_in-situ'!CP357</f>
        <v>3</v>
      </c>
      <c r="K2264" s="24">
        <f>'Data_in-situ'!CR357</f>
        <v>9751.573269002236</v>
      </c>
      <c r="L2264" s="24">
        <f>'Data_in-situ'!CS357</f>
        <v>2558.7267192692693</v>
      </c>
      <c r="M2264" s="46">
        <f>'Data_in-situ'!CT357</f>
        <v>3</v>
      </c>
      <c r="N2264" s="24">
        <f>'Data_in-situ'!DA137</f>
        <v>2000</v>
      </c>
      <c r="O2264" s="24">
        <f>'Data_in-situ'!DB137</f>
        <v>5999.3131173724232</v>
      </c>
      <c r="P2264" s="46">
        <f>'Data_in-situ'!DC137</f>
        <v>3</v>
      </c>
      <c r="Q2264" s="24">
        <f>'Data_in-situ'!DE137</f>
        <v>-8000</v>
      </c>
      <c r="R2264" s="24">
        <f>'Data_in-situ'!DF137</f>
        <v>7625.1423543980472</v>
      </c>
      <c r="S2264" s="46">
        <f>'Data_in-situ'!DG137</f>
        <v>3</v>
      </c>
      <c r="T2264" s="113">
        <f>'Data_in-situ'!DN111</f>
        <v>50.8</v>
      </c>
      <c r="U2264" s="113">
        <f>'Data_in-situ'!DO111</f>
        <v>56.635867889324189</v>
      </c>
      <c r="V2264" s="46">
        <f>'Data_in-situ'!DP111</f>
        <v>3</v>
      </c>
      <c r="W2264" s="113">
        <f>'Data_in-situ'!DR111</f>
        <v>28.133333333333329</v>
      </c>
      <c r="X2264" s="113">
        <f>'Data_in-situ'!DS111</f>
        <v>105.14035175561906</v>
      </c>
      <c r="Y2264" s="46">
        <f>'Data_in-situ'!DT111</f>
        <v>3</v>
      </c>
      <c r="Z2264" s="113">
        <f>'Data_in-situ'!EA212</f>
        <v>4.2926101488275123E-2</v>
      </c>
      <c r="AA2264" s="113">
        <f>'Data_in-situ'!EB212</f>
        <v>0.24682409549693443</v>
      </c>
      <c r="AB2264" s="46">
        <f>'Data_in-situ'!EC212</f>
        <v>46</v>
      </c>
      <c r="AC2264" s="113">
        <f>'Data_in-situ'!EE212</f>
        <v>38.025961499819161</v>
      </c>
      <c r="AD2264" s="113">
        <f>'Data_in-situ'!EF212</f>
        <v>56.778060641172175</v>
      </c>
      <c r="AE2264" s="46">
        <f>'Data_in-situ'!EG212</f>
        <v>66</v>
      </c>
      <c r="AF2264" s="113">
        <f>'Data_in-situ'!EN60</f>
        <v>-38</v>
      </c>
      <c r="AG2264" s="113">
        <f>'Data_in-situ'!EO60</f>
        <v>7.6</v>
      </c>
      <c r="AH2264" s="110">
        <f>'Data_in-situ'!EP60</f>
        <v>3</v>
      </c>
      <c r="AI2264" s="113">
        <f>'Data_in-situ'!ER60</f>
        <v>-112</v>
      </c>
      <c r="AJ2264" s="113">
        <f>'Data_in-situ'!ES60</f>
        <v>15.2</v>
      </c>
      <c r="AK2264" s="110">
        <f>'Data_in-situ'!ET60</f>
        <v>3</v>
      </c>
    </row>
    <row r="2265" spans="2:37" x14ac:dyDescent="0.3">
      <c r="B2265" s="24">
        <f>'Data_in-situ'!CA358</f>
        <v>-8439.7813360929867</v>
      </c>
      <c r="C2265" s="24">
        <f>'Data_in-situ'!CB358</f>
        <v>2057.7069747914984</v>
      </c>
      <c r="D2265" s="46">
        <f>'Data_in-situ'!CC358</f>
        <v>3</v>
      </c>
      <c r="E2265" s="24">
        <f>'Data_in-situ'!CE358</f>
        <v>-8092.5650763993508</v>
      </c>
      <c r="F2265" s="24">
        <f>'Data_in-situ'!CF358</f>
        <v>3012.6118889026902</v>
      </c>
      <c r="G2265" s="46">
        <f>'Data_in-situ'!CG358</f>
        <v>3</v>
      </c>
      <c r="H2265" s="24">
        <f>'Data_in-situ'!CN358</f>
        <v>5436.6394443079935</v>
      </c>
      <c r="I2265" s="24">
        <f>'Data_in-situ'!CO358</f>
        <v>1563.7259760881216</v>
      </c>
      <c r="J2265" s="46">
        <f>'Data_in-situ'!CP358</f>
        <v>3</v>
      </c>
      <c r="K2265" s="24">
        <f>'Data_in-situ'!CR358</f>
        <v>7258.5296659115611</v>
      </c>
      <c r="L2265" s="24">
        <f>'Data_in-situ'!CS358</f>
        <v>1904.5740914252362</v>
      </c>
      <c r="M2265" s="46">
        <f>'Data_in-situ'!CT358</f>
        <v>3</v>
      </c>
      <c r="N2265" s="24">
        <f>'Data_in-situ'!DA138</f>
        <v>2000</v>
      </c>
      <c r="O2265" s="24">
        <f>'Data_in-situ'!DB138</f>
        <v>5999.3131173724232</v>
      </c>
      <c r="P2265" s="46">
        <f>'Data_in-situ'!DC138</f>
        <v>3</v>
      </c>
      <c r="Q2265" s="24">
        <f>'Data_in-situ'!DE138</f>
        <v>-8000</v>
      </c>
      <c r="R2265" s="24">
        <f>'Data_in-situ'!DF138</f>
        <v>7625.1423543980472</v>
      </c>
      <c r="S2265" s="46">
        <f>'Data_in-situ'!DG138</f>
        <v>3</v>
      </c>
      <c r="T2265" s="113">
        <f>'Data_in-situ'!DN134</f>
        <v>3.1</v>
      </c>
      <c r="U2265" s="113">
        <f>'Data_in-situ'!DO134</f>
        <v>0.1</v>
      </c>
      <c r="V2265" s="46">
        <f>'Data_in-situ'!DP134</f>
        <v>3</v>
      </c>
      <c r="W2265" s="113">
        <f>'Data_in-situ'!DR134</f>
        <v>-2.8100000000000005</v>
      </c>
      <c r="X2265" s="113">
        <f>'Data_in-situ'!DS134</f>
        <v>0.1</v>
      </c>
      <c r="Y2265" s="46">
        <f>'Data_in-situ'!DT134</f>
        <v>3</v>
      </c>
      <c r="Z2265" s="113">
        <f>'Data_in-situ'!EA214</f>
        <v>0.7</v>
      </c>
      <c r="AA2265" s="113">
        <f>'Data_in-situ'!EB214</f>
        <v>4.0249838876014987</v>
      </c>
      <c r="AB2265" s="46">
        <f>'Data_in-situ'!EC214</f>
        <v>3</v>
      </c>
      <c r="AC2265" s="113">
        <f>'Data_in-situ'!EE214</f>
        <v>0.8</v>
      </c>
      <c r="AD2265" s="113">
        <f>'Data_in-situ'!EF214</f>
        <v>1.1945115053344215</v>
      </c>
      <c r="AE2265" s="46">
        <f>'Data_in-situ'!EG214</f>
        <v>3</v>
      </c>
      <c r="AF2265" s="113">
        <f>'Data_in-situ'!EN61</f>
        <v>-44</v>
      </c>
      <c r="AG2265" s="113">
        <f>'Data_in-situ'!EO61</f>
        <v>6.8</v>
      </c>
      <c r="AH2265" s="110">
        <f>'Data_in-situ'!EP61</f>
        <v>3</v>
      </c>
      <c r="AI2265" s="113">
        <f>'Data_in-situ'!ER61</f>
        <v>-79</v>
      </c>
      <c r="AJ2265" s="113">
        <f>'Data_in-situ'!ES61</f>
        <v>12.3</v>
      </c>
      <c r="AK2265" s="110">
        <f>'Data_in-situ'!ET61</f>
        <v>3</v>
      </c>
    </row>
    <row r="2266" spans="2:37" x14ac:dyDescent="0.3">
      <c r="B2266" s="24">
        <f>'Data_in-situ'!CA359</f>
        <v>-8439.7813360929867</v>
      </c>
      <c r="C2266" s="24">
        <f>'Data_in-situ'!CB359</f>
        <v>2057.7069747914984</v>
      </c>
      <c r="D2266" s="46">
        <f>'Data_in-situ'!CC359</f>
        <v>3</v>
      </c>
      <c r="E2266" s="24">
        <f>'Data_in-situ'!CE359</f>
        <v>-6425.7832666283757</v>
      </c>
      <c r="F2266" s="24">
        <f>'Data_in-situ'!CF359</f>
        <v>2392.1205306105239</v>
      </c>
      <c r="G2266" s="46">
        <f>'Data_in-situ'!CG359</f>
        <v>3</v>
      </c>
      <c r="H2266" s="24">
        <f>'Data_in-situ'!CN359</f>
        <v>5436.6394443079935</v>
      </c>
      <c r="I2266" s="24">
        <f>'Data_in-situ'!CO359</f>
        <v>1563.7259760881216</v>
      </c>
      <c r="J2266" s="46">
        <f>'Data_in-situ'!CP359</f>
        <v>3</v>
      </c>
      <c r="K2266" s="24">
        <f>'Data_in-situ'!CR359</f>
        <v>7678.4238876488043</v>
      </c>
      <c r="L2266" s="24">
        <f>'Data_in-situ'!CS359</f>
        <v>2014.7506275377307</v>
      </c>
      <c r="M2266" s="46">
        <f>'Data_in-situ'!CT359</f>
        <v>3</v>
      </c>
      <c r="N2266" s="24">
        <f>'Data_in-situ'!DA139</f>
        <v>2000</v>
      </c>
      <c r="O2266" s="24">
        <f>'Data_in-situ'!DB139</f>
        <v>5999.3131173724232</v>
      </c>
      <c r="P2266" s="46">
        <f>'Data_in-situ'!DC139</f>
        <v>3</v>
      </c>
      <c r="Q2266" s="24">
        <f>'Data_in-situ'!DE139</f>
        <v>-2000</v>
      </c>
      <c r="R2266" s="24">
        <f>'Data_in-situ'!DF139</f>
        <v>1906.2855885995118</v>
      </c>
      <c r="S2266" s="46">
        <f>'Data_in-situ'!DG139</f>
        <v>3</v>
      </c>
      <c r="T2266" s="113">
        <f>'Data_in-situ'!DN135</f>
        <v>106</v>
      </c>
      <c r="U2266" s="113">
        <f>'Data_in-situ'!DO135</f>
        <v>76.556645694544372</v>
      </c>
      <c r="V2266" s="46">
        <f>'Data_in-situ'!DP135</f>
        <v>3</v>
      </c>
      <c r="W2266" s="113">
        <f>'Data_in-situ'!DR135</f>
        <v>1</v>
      </c>
      <c r="X2266" s="113">
        <f>'Data_in-situ'!DS135</f>
        <v>2.0784609690826525</v>
      </c>
      <c r="Y2266" s="46">
        <f>'Data_in-situ'!DT135</f>
        <v>3</v>
      </c>
      <c r="Z2266" s="113">
        <f>'Data_in-situ'!EA216</f>
        <v>7.5428571428571428E-2</v>
      </c>
      <c r="AA2266" s="113">
        <f>'Data_in-situ'!EB216</f>
        <v>0.15514226519224084</v>
      </c>
      <c r="AB2266" s="46">
        <f>'Data_in-situ'!EC216</f>
        <v>3</v>
      </c>
      <c r="AC2266" s="113">
        <f>'Data_in-situ'!EE216</f>
        <v>6.4428571428571418E-2</v>
      </c>
      <c r="AD2266" s="113">
        <f>'Data_in-situ'!EF216</f>
        <v>0.21502173596819346</v>
      </c>
      <c r="AE2266" s="46">
        <f>'Data_in-situ'!EG216</f>
        <v>3</v>
      </c>
      <c r="AF2266" s="113">
        <f>'Data_in-situ'!EN62</f>
        <v>-44</v>
      </c>
      <c r="AG2266" s="113">
        <f>'Data_in-situ'!EO62</f>
        <v>6.8</v>
      </c>
      <c r="AH2266" s="110">
        <f>'Data_in-situ'!EP62</f>
        <v>3</v>
      </c>
      <c r="AI2266" s="113">
        <f>'Data_in-situ'!ER62</f>
        <v>-116</v>
      </c>
      <c r="AJ2266" s="113">
        <f>'Data_in-situ'!ES62</f>
        <v>11.8</v>
      </c>
      <c r="AK2266" s="110">
        <f>'Data_in-situ'!ET62</f>
        <v>3</v>
      </c>
    </row>
    <row r="2267" spans="2:37" x14ac:dyDescent="0.3">
      <c r="B2267" s="24">
        <f>'Data_in-situ'!CA415</f>
        <v>-17995.009527856251</v>
      </c>
      <c r="C2267" s="24">
        <f>'Data_in-situ'!CB415</f>
        <v>1848.1534882558306</v>
      </c>
      <c r="D2267" s="46">
        <f>'Data_in-situ'!CC415</f>
        <v>3</v>
      </c>
      <c r="E2267" s="24">
        <f>'Data_in-situ'!CE415</f>
        <v>-2054.5525514059905</v>
      </c>
      <c r="F2267" s="24">
        <f>'Data_in-situ'!CF415</f>
        <v>2813.7544962882453</v>
      </c>
      <c r="G2267" s="46">
        <f>'Data_in-situ'!CG415</f>
        <v>3</v>
      </c>
      <c r="H2267" s="24">
        <f>'Data_in-situ'!CN415</f>
        <v>11579.692563738146</v>
      </c>
      <c r="I2267" s="24">
        <f>'Data_in-situ'!CO415</f>
        <v>6378.0768142690904</v>
      </c>
      <c r="J2267" s="46">
        <f>'Data_in-situ'!CP415</f>
        <v>3</v>
      </c>
      <c r="K2267" s="24">
        <f>'Data_in-situ'!CR415</f>
        <v>3447.3943707861481</v>
      </c>
      <c r="L2267" s="24">
        <f>'Data_in-situ'!CS415</f>
        <v>3117.4820932763982</v>
      </c>
      <c r="M2267" s="46">
        <f>'Data_in-situ'!CT415</f>
        <v>3</v>
      </c>
      <c r="N2267" s="24">
        <f>'Data_in-situ'!DA140</f>
        <v>2000</v>
      </c>
      <c r="O2267" s="24">
        <f>'Data_in-situ'!DB140</f>
        <v>5999.3131173724232</v>
      </c>
      <c r="P2267" s="46">
        <f>'Data_in-situ'!DC140</f>
        <v>3</v>
      </c>
      <c r="Q2267" s="24">
        <f>'Data_in-situ'!DE140</f>
        <v>-1999</v>
      </c>
      <c r="R2267" s="24">
        <f>'Data_in-situ'!DF140</f>
        <v>1905.332445805212</v>
      </c>
      <c r="S2267" s="46">
        <f>'Data_in-situ'!DG140</f>
        <v>3</v>
      </c>
      <c r="T2267" s="113">
        <f>'Data_in-situ'!DN136</f>
        <v>122</v>
      </c>
      <c r="U2267" s="113">
        <f>'Data_in-situ'!DO136</f>
        <v>57.850496972800492</v>
      </c>
      <c r="V2267" s="46">
        <f>'Data_in-situ'!DP136</f>
        <v>3</v>
      </c>
      <c r="W2267" s="113">
        <f>'Data_in-situ'!DR136</f>
        <v>0</v>
      </c>
      <c r="X2267" s="113">
        <f>'Data_in-situ'!DS136</f>
        <v>2.4248711305964279</v>
      </c>
      <c r="Y2267" s="46">
        <f>'Data_in-situ'!DT136</f>
        <v>3</v>
      </c>
      <c r="Z2267" s="113">
        <f>'Data_in-situ'!EA254</f>
        <v>1.9797330692495084E-2</v>
      </c>
      <c r="AA2267" s="113">
        <f>'Data_in-situ'!EB254</f>
        <v>9.4097353220211316E-2</v>
      </c>
      <c r="AB2267" s="46">
        <f>'Data_in-situ'!EC254</f>
        <v>3</v>
      </c>
      <c r="AC2267" s="113">
        <f>'Data_in-situ'!EE254</f>
        <v>2.4487558815364012E-2</v>
      </c>
      <c r="AD2267" s="113">
        <f>'Data_in-situ'!EF254</f>
        <v>5.089541115262039E-2</v>
      </c>
      <c r="AE2267" s="46">
        <f>'Data_in-situ'!EG254</f>
        <v>3</v>
      </c>
      <c r="AF2267" s="113">
        <f>'Data_in-situ'!EN63</f>
        <v>-50</v>
      </c>
      <c r="AG2267" s="113">
        <f>'Data_in-situ'!EO63</f>
        <v>6.8</v>
      </c>
      <c r="AH2267" s="110">
        <f>'Data_in-situ'!EP63</f>
        <v>3</v>
      </c>
      <c r="AI2267" s="113">
        <f>'Data_in-situ'!ER63</f>
        <v>-85</v>
      </c>
      <c r="AJ2267" s="113">
        <f>'Data_in-situ'!ES63</f>
        <v>12.3</v>
      </c>
      <c r="AK2267" s="110">
        <f>'Data_in-situ'!ET63</f>
        <v>3</v>
      </c>
    </row>
    <row r="2268" spans="2:37" x14ac:dyDescent="0.3">
      <c r="B2268" s="24">
        <f>'Data_in-situ'!CA416</f>
        <v>-5231.5</v>
      </c>
      <c r="C2268" s="24">
        <f>'Data_in-situ'!CB416</f>
        <v>774.59070169847246</v>
      </c>
      <c r="D2268" s="46">
        <f>'Data_in-situ'!CC416</f>
        <v>5</v>
      </c>
      <c r="E2268" s="24">
        <f>'Data_in-situ'!CE416</f>
        <v>-7422.0454386397278</v>
      </c>
      <c r="F2268" s="24">
        <f>'Data_in-situ'!CF416</f>
        <v>3514.8314125090737</v>
      </c>
      <c r="G2268" s="46">
        <f>'Data_in-situ'!CG416</f>
        <v>5</v>
      </c>
      <c r="H2268" s="24">
        <f>'Data_in-situ'!CN416</f>
        <v>4243.1025450256775</v>
      </c>
      <c r="I2268" s="24">
        <f>'Data_in-situ'!CO416</f>
        <v>1520.7492674654977</v>
      </c>
      <c r="J2268" s="46">
        <f>'Data_in-situ'!CP416</f>
        <v>5</v>
      </c>
      <c r="K2268" s="24">
        <f>'Data_in-situ'!CR416</f>
        <v>7080.9624577142204</v>
      </c>
      <c r="L2268" s="24">
        <f>'Data_in-situ'!CS416</f>
        <v>2727.0864177083622</v>
      </c>
      <c r="M2268" s="46">
        <f>'Data_in-situ'!CT416</f>
        <v>5</v>
      </c>
      <c r="N2268" s="24">
        <f>'Data_in-situ'!DA147</f>
        <v>-55</v>
      </c>
      <c r="O2268" s="24">
        <f>'Data_in-situ'!DB147</f>
        <v>450</v>
      </c>
      <c r="P2268" s="46">
        <f>'Data_in-situ'!DC147</f>
        <v>6</v>
      </c>
      <c r="Q2268" s="24">
        <f>'Data_in-situ'!DE147</f>
        <v>-910</v>
      </c>
      <c r="R2268" s="24">
        <f>'Data_in-situ'!DF147</f>
        <v>180</v>
      </c>
      <c r="S2268" s="46">
        <f>'Data_in-situ'!DG147</f>
        <v>2</v>
      </c>
      <c r="T2268" s="113">
        <f>'Data_in-situ'!DN137</f>
        <v>106</v>
      </c>
      <c r="U2268" s="113">
        <f>'Data_in-situ'!DO137</f>
        <v>76.556645694544372</v>
      </c>
      <c r="V2268" s="46">
        <f>'Data_in-situ'!DP137</f>
        <v>3</v>
      </c>
      <c r="W2268" s="113">
        <f>'Data_in-situ'!DR137</f>
        <v>4</v>
      </c>
      <c r="X2268" s="113">
        <f>'Data_in-situ'!DS137</f>
        <v>4.1569219381653051</v>
      </c>
      <c r="Y2268" s="46">
        <f>'Data_in-situ'!DT137</f>
        <v>3</v>
      </c>
      <c r="Z2268" s="113">
        <f>'Data_in-situ'!EA255</f>
        <v>-0.1060571287097951</v>
      </c>
      <c r="AA2268" s="113">
        <f>'Data_in-situ'!EB255</f>
        <v>0.28407129566600942</v>
      </c>
      <c r="AB2268" s="46">
        <f>'Data_in-situ'!EC255</f>
        <v>3</v>
      </c>
      <c r="AC2268" s="113">
        <f>'Data_in-situ'!EE255</f>
        <v>-1.1798551065584481E-2</v>
      </c>
      <c r="AD2268" s="113">
        <f>'Data_in-situ'!EF255</f>
        <v>4.6464249030440392E-2</v>
      </c>
      <c r="AE2268" s="46">
        <f>'Data_in-situ'!EG255</f>
        <v>3</v>
      </c>
      <c r="AF2268" s="113">
        <f>'Data_in-situ'!EN64</f>
        <v>-50</v>
      </c>
      <c r="AG2268" s="113">
        <f>'Data_in-situ'!EO64</f>
        <v>6.8</v>
      </c>
      <c r="AH2268" s="110">
        <f>'Data_in-situ'!EP64</f>
        <v>3</v>
      </c>
      <c r="AI2268" s="113">
        <f>'Data_in-situ'!ER64</f>
        <v>-120</v>
      </c>
      <c r="AJ2268" s="113">
        <f>'Data_in-situ'!ES64</f>
        <v>11.8</v>
      </c>
      <c r="AK2268" s="110">
        <f>'Data_in-situ'!ET64</f>
        <v>3</v>
      </c>
    </row>
    <row r="2269" spans="2:37" x14ac:dyDescent="0.3">
      <c r="B2269" s="24">
        <f>'Data_in-situ'!CA418</f>
        <v>-31496.666666666664</v>
      </c>
      <c r="C2269" s="24">
        <f>'Data_in-situ'!CB418</f>
        <v>7679.2168068996079</v>
      </c>
      <c r="D2269" s="46">
        <f>'Data_in-situ'!CC418</f>
        <v>1</v>
      </c>
      <c r="E2269" s="24">
        <f>'Data_in-situ'!CE418</f>
        <v>-47703.333333333328</v>
      </c>
      <c r="F2269" s="24">
        <f>'Data_in-situ'!CF418</f>
        <v>17758.476797350639</v>
      </c>
      <c r="G2269" s="46">
        <f>'Data_in-situ'!CG418</f>
        <v>1</v>
      </c>
      <c r="H2269" s="24">
        <f>'Data_in-situ'!CN418</f>
        <v>24456.666666666664</v>
      </c>
      <c r="I2269" s="24">
        <f>'Data_in-situ'!CO418</f>
        <v>7034.4052326727378</v>
      </c>
      <c r="J2269" s="46">
        <f>'Data_in-situ'!CP418</f>
        <v>1</v>
      </c>
      <c r="K2269" s="24">
        <f>'Data_in-situ'!CR418</f>
        <v>44476.666666666672</v>
      </c>
      <c r="L2269" s="24">
        <f>'Data_in-situ'!CS418</f>
        <v>11670.284603796765</v>
      </c>
      <c r="M2269" s="46">
        <f>'Data_in-situ'!CT418</f>
        <v>1</v>
      </c>
      <c r="N2269" s="24">
        <f>'Data_in-situ'!DA201</f>
        <v>-2040</v>
      </c>
      <c r="O2269" s="24">
        <f>'Data_in-situ'!DB201</f>
        <v>6119.2993797198715</v>
      </c>
      <c r="P2269" s="46">
        <f>'Data_in-situ'!DC201</f>
        <v>3</v>
      </c>
      <c r="Q2269" s="24">
        <f>'Data_in-situ'!DE201</f>
        <v>5060</v>
      </c>
      <c r="R2269" s="24">
        <f>'Data_in-situ'!DF201</f>
        <v>698.59382571944718</v>
      </c>
      <c r="S2269" s="46">
        <f>'Data_in-situ'!DG201</f>
        <v>3</v>
      </c>
      <c r="T2269" s="113">
        <f>'Data_in-situ'!DN138</f>
        <v>122</v>
      </c>
      <c r="U2269" s="113">
        <f>'Data_in-situ'!DO138</f>
        <v>57.850496972800492</v>
      </c>
      <c r="V2269" s="46">
        <f>'Data_in-situ'!DP138</f>
        <v>3</v>
      </c>
      <c r="W2269" s="113">
        <f>'Data_in-situ'!DR138</f>
        <v>5</v>
      </c>
      <c r="X2269" s="113">
        <f>'Data_in-situ'!DS138</f>
        <v>6.9282032302755088</v>
      </c>
      <c r="Y2269" s="46">
        <f>'Data_in-situ'!DT138</f>
        <v>3</v>
      </c>
      <c r="Z2269" s="113">
        <f>'Data_in-situ'!EA256</f>
        <v>-4.2277844422856668E-2</v>
      </c>
      <c r="AA2269" s="113">
        <f>'Data_in-situ'!EB256</f>
        <v>0.1213395789758789</v>
      </c>
      <c r="AB2269" s="46">
        <f>'Data_in-situ'!EC256</f>
        <v>3</v>
      </c>
      <c r="AC2269" s="113">
        <f>'Data_in-situ'!EE256</f>
        <v>4.8975117630728024E-2</v>
      </c>
      <c r="AD2269" s="113">
        <f>'Data_in-situ'!EF256</f>
        <v>0.13610077440950419</v>
      </c>
      <c r="AE2269" s="46">
        <f>'Data_in-situ'!EG256</f>
        <v>3</v>
      </c>
      <c r="AF2269" s="113">
        <f>'Data_in-situ'!EN65</f>
        <v>-38</v>
      </c>
      <c r="AG2269" s="113">
        <f>'Data_in-situ'!EO65</f>
        <v>5.412566119688516</v>
      </c>
      <c r="AH2269" s="110">
        <f>'Data_in-situ'!EP65</f>
        <v>3</v>
      </c>
      <c r="AI2269" s="113">
        <f>'Data_in-situ'!ER65</f>
        <v>-73</v>
      </c>
      <c r="AJ2269" s="113">
        <f>'Data_in-situ'!ES65</f>
        <v>7.3195252578292278</v>
      </c>
      <c r="AK2269" s="110">
        <f>'Data_in-situ'!ET65</f>
        <v>3</v>
      </c>
    </row>
    <row r="2270" spans="2:37" x14ac:dyDescent="0.3">
      <c r="B2270" s="24">
        <f>'Data_in-situ'!CA419</f>
        <v>-30323.333333333336</v>
      </c>
      <c r="C2270" s="24">
        <f>'Data_in-situ'!CB419</f>
        <v>7393.145866479601</v>
      </c>
      <c r="D2270" s="46">
        <f>'Data_in-situ'!CC419</f>
        <v>1</v>
      </c>
      <c r="E2270" s="24">
        <f>'Data_in-situ'!CE419</f>
        <v>-45173.333333333328</v>
      </c>
      <c r="F2270" s="24">
        <f>'Data_in-situ'!CF419</f>
        <v>16816.635983348184</v>
      </c>
      <c r="G2270" s="46">
        <f>'Data_in-situ'!CG419</f>
        <v>1</v>
      </c>
      <c r="H2270" s="24">
        <f>'Data_in-situ'!CN419</f>
        <v>22513.333333333336</v>
      </c>
      <c r="I2270" s="24">
        <f>'Data_in-situ'!CO419</f>
        <v>6475.4494945443212</v>
      </c>
      <c r="J2270" s="46">
        <f>'Data_in-situ'!CP419</f>
        <v>1</v>
      </c>
      <c r="K2270" s="24">
        <f>'Data_in-situ'!CR419</f>
        <v>43303.333333333328</v>
      </c>
      <c r="L2270" s="24">
        <f>'Data_in-situ'!CS419</f>
        <v>11362.412297678464</v>
      </c>
      <c r="M2270" s="46">
        <f>'Data_in-situ'!CT419</f>
        <v>1</v>
      </c>
      <c r="N2270" s="24">
        <f>'Data_in-situ'!DA202</f>
        <v>-4180</v>
      </c>
      <c r="O2270" s="24">
        <f>'Data_in-situ'!DB202</f>
        <v>12538.564415308363</v>
      </c>
      <c r="P2270" s="46">
        <f>'Data_in-situ'!DC202</f>
        <v>3</v>
      </c>
      <c r="Q2270" s="24">
        <f>'Data_in-situ'!DE202</f>
        <v>1540</v>
      </c>
      <c r="R2270" s="24">
        <f>'Data_in-situ'!DF202</f>
        <v>1460.696181049753</v>
      </c>
      <c r="S2270" s="46">
        <f>'Data_in-situ'!DG202</f>
        <v>3</v>
      </c>
      <c r="T2270" s="113">
        <f>'Data_in-situ'!DN139</f>
        <v>106</v>
      </c>
      <c r="U2270" s="113">
        <f>'Data_in-situ'!DO139</f>
        <v>76.556645694544372</v>
      </c>
      <c r="V2270" s="46">
        <f>'Data_in-situ'!DP139</f>
        <v>3</v>
      </c>
      <c r="W2270" s="113">
        <f>'Data_in-situ'!DR139</f>
        <v>5</v>
      </c>
      <c r="X2270" s="113">
        <f>'Data_in-situ'!DS139</f>
        <v>3.2908965343808667</v>
      </c>
      <c r="Y2270" s="46">
        <f>'Data_in-situ'!DT139</f>
        <v>3</v>
      </c>
      <c r="Z2270" s="113">
        <f>'Data_in-situ'!EA257</f>
        <v>-4.2422851483918042E-3</v>
      </c>
      <c r="AA2270" s="113">
        <f>'Data_in-situ'!EB257</f>
        <v>0.15345744896774013</v>
      </c>
      <c r="AB2270" s="46">
        <f>'Data_in-situ'!EC257</f>
        <v>3</v>
      </c>
      <c r="AC2270" s="113">
        <f>'Data_in-situ'!EE257</f>
        <v>0.11130708552438189</v>
      </c>
      <c r="AD2270" s="113">
        <f>'Data_in-situ'!EF257</f>
        <v>0.10440008400553796</v>
      </c>
      <c r="AE2270" s="46">
        <f>'Data_in-situ'!EG257</f>
        <v>3</v>
      </c>
      <c r="AF2270" s="113">
        <f>'Data_in-situ'!EN66</f>
        <v>-38</v>
      </c>
      <c r="AG2270" s="113">
        <f>'Data_in-situ'!EO66</f>
        <v>5.412566119688516</v>
      </c>
      <c r="AH2270" s="110">
        <f>'Data_in-situ'!EP66</f>
        <v>3</v>
      </c>
      <c r="AI2270" s="113">
        <f>'Data_in-situ'!ER66</f>
        <v>-112</v>
      </c>
      <c r="AJ2270" s="113">
        <f>'Data_in-situ'!ES66</f>
        <v>10.756618055876112</v>
      </c>
      <c r="AK2270" s="110">
        <f>'Data_in-situ'!ET66</f>
        <v>3</v>
      </c>
    </row>
    <row r="2271" spans="2:37" x14ac:dyDescent="0.3">
      <c r="B2271" s="24">
        <f>'Data_in-situ'!CA432</f>
        <v>-7090</v>
      </c>
      <c r="C2271" s="24">
        <f>'Data_in-situ'!CB432</f>
        <v>1524.2047106606119</v>
      </c>
      <c r="D2271" s="46">
        <f>'Data_in-situ'!CC432</f>
        <v>3</v>
      </c>
      <c r="E2271" s="24">
        <f>'Data_in-situ'!CE432</f>
        <v>-18490</v>
      </c>
      <c r="F2271" s="24">
        <f>'Data_in-situ'!CF432</f>
        <v>3689.2682201217081</v>
      </c>
      <c r="G2271" s="46">
        <f>'Data_in-situ'!CG432</f>
        <v>3</v>
      </c>
      <c r="H2271" s="24">
        <f>'Data_in-situ'!CN432</f>
        <v>7020</v>
      </c>
      <c r="I2271" s="24">
        <f>'Data_in-situ'!CO432</f>
        <v>1299.038105676658</v>
      </c>
      <c r="J2271" s="46">
        <f>'Data_in-situ'!CP432</f>
        <v>3</v>
      </c>
      <c r="K2271" s="24">
        <f>'Data_in-situ'!CR432</f>
        <v>23060</v>
      </c>
      <c r="L2271" s="24">
        <f>'Data_in-situ'!CS432</f>
        <v>2424.871130596428</v>
      </c>
      <c r="M2271" s="46">
        <f>'Data_in-situ'!CT432</f>
        <v>3</v>
      </c>
      <c r="N2271" s="24">
        <f>'Data_in-situ'!DA213</f>
        <v>-5500</v>
      </c>
      <c r="O2271" s="24">
        <f>'Data_in-situ'!DB213</f>
        <v>16498.111072774162</v>
      </c>
      <c r="P2271" s="46">
        <f>'Data_in-situ'!DC213</f>
        <v>3</v>
      </c>
      <c r="Q2271" s="24">
        <f>'Data_in-situ'!DE213</f>
        <v>-5500</v>
      </c>
      <c r="R2271" s="24">
        <f>'Data_in-situ'!DF213</f>
        <v>5242.2853686486578</v>
      </c>
      <c r="S2271" s="46">
        <f>'Data_in-situ'!DG213</f>
        <v>3</v>
      </c>
      <c r="T2271" s="113">
        <f>'Data_in-situ'!DN140</f>
        <v>122</v>
      </c>
      <c r="U2271" s="113">
        <f>'Data_in-situ'!DO140</f>
        <v>57.850496972800492</v>
      </c>
      <c r="V2271" s="46">
        <f>'Data_in-situ'!DP140</f>
        <v>3</v>
      </c>
      <c r="W2271" s="113">
        <f>'Data_in-situ'!DR140</f>
        <v>16</v>
      </c>
      <c r="X2271" s="113">
        <f>'Data_in-situ'!DS140</f>
        <v>12.297560733739028</v>
      </c>
      <c r="Y2271" s="46">
        <f>'Data_in-situ'!DT140</f>
        <v>3</v>
      </c>
      <c r="Z2271" s="113">
        <f>'Data_in-situ'!EA258</f>
        <v>-5.3028564354897549E-2</v>
      </c>
      <c r="AA2271" s="113">
        <f>'Data_in-situ'!EB258</f>
        <v>0.14435421348527655</v>
      </c>
      <c r="AB2271" s="46">
        <f>'Data_in-situ'!EC258</f>
        <v>3</v>
      </c>
      <c r="AC2271" s="113">
        <f>'Data_in-situ'!EE258</f>
        <v>-7.5688818156579678E-3</v>
      </c>
      <c r="AD2271" s="113">
        <f>'Data_in-situ'!EF258</f>
        <v>3.6346822857934974E-2</v>
      </c>
      <c r="AE2271" s="46">
        <f>'Data_in-situ'!EG258</f>
        <v>3</v>
      </c>
      <c r="AF2271" s="113">
        <f>'Data_in-situ'!EN67</f>
        <v>-45.680000000000007</v>
      </c>
      <c r="AG2271" s="113">
        <f>'Data_in-situ'!EO67</f>
        <v>4.842822317616041</v>
      </c>
      <c r="AH2271" s="110">
        <f>'Data_in-situ'!EP67</f>
        <v>3</v>
      </c>
      <c r="AI2271" s="113">
        <f>'Data_in-situ'!ER67</f>
        <v>-80.650000000000006</v>
      </c>
      <c r="AJ2271" s="113">
        <f>'Data_in-situ'!ES67</f>
        <v>8.7407922981844166</v>
      </c>
      <c r="AK2271" s="110">
        <f>'Data_in-situ'!ET67</f>
        <v>3</v>
      </c>
    </row>
    <row r="2272" spans="2:37" x14ac:dyDescent="0.3">
      <c r="B2272" s="24">
        <f>'Data_in-situ'!CA433</f>
        <v>-6290</v>
      </c>
      <c r="C2272" s="24">
        <f>'Data_in-situ'!CB433</f>
        <v>1316.3586137523466</v>
      </c>
      <c r="D2272" s="46">
        <f>'Data_in-situ'!CC433</f>
        <v>3</v>
      </c>
      <c r="E2272" s="24">
        <f>'Data_in-situ'!CE433</f>
        <v>-19210</v>
      </c>
      <c r="F2272" s="24">
        <f>'Data_in-situ'!CF433</f>
        <v>3290.8965343808668</v>
      </c>
      <c r="G2272" s="46">
        <f>'Data_in-situ'!CG433</f>
        <v>3</v>
      </c>
      <c r="H2272" s="24">
        <f>'Data_in-situ'!CN433</f>
        <v>5020</v>
      </c>
      <c r="I2272" s="24">
        <f>'Data_in-situ'!CO433</f>
        <v>917.98692801150492</v>
      </c>
      <c r="J2272" s="46">
        <f>'Data_in-situ'!CP433</f>
        <v>3</v>
      </c>
      <c r="K2272" s="24">
        <f>'Data_in-situ'!CR433</f>
        <v>24030</v>
      </c>
      <c r="L2272" s="24">
        <f>'Data_in-situ'!CS433</f>
        <v>2459.5121467478057</v>
      </c>
      <c r="M2272" s="46">
        <f>'Data_in-situ'!CT433</f>
        <v>3</v>
      </c>
      <c r="N2272" s="24">
        <f>'Data_in-situ'!DA214</f>
        <v>-5500</v>
      </c>
      <c r="O2272" s="24">
        <f>'Data_in-situ'!DB214</f>
        <v>16498.111072774162</v>
      </c>
      <c r="P2272" s="46">
        <f>'Data_in-situ'!DC214</f>
        <v>3</v>
      </c>
      <c r="Q2272" s="24">
        <f>'Data_in-situ'!DE214</f>
        <v>-5500</v>
      </c>
      <c r="R2272" s="24">
        <f>'Data_in-situ'!DF214</f>
        <v>5242.2853686486578</v>
      </c>
      <c r="S2272" s="46">
        <f>'Data_in-situ'!DG214</f>
        <v>3</v>
      </c>
      <c r="T2272" s="113">
        <f>'Data_in-situ'!DN141</f>
        <v>51</v>
      </c>
      <c r="U2272" s="113">
        <f>'Data_in-situ'!DO141</f>
        <v>61.031958841249725</v>
      </c>
      <c r="V2272" s="46">
        <f>'Data_in-situ'!DP141</f>
        <v>3</v>
      </c>
      <c r="W2272" s="113">
        <f>'Data_in-situ'!DR141</f>
        <v>5</v>
      </c>
      <c r="X2272" s="113">
        <f>'Data_in-situ'!DS141</f>
        <v>6.008327554319921</v>
      </c>
      <c r="Y2272" s="46">
        <f>'Data_in-situ'!DT141</f>
        <v>10</v>
      </c>
      <c r="Z2272" s="113">
        <f>'Data_in-situ'!EA259</f>
        <v>-2.1211425741959021E-3</v>
      </c>
      <c r="AA2272" s="113">
        <f>'Data_in-situ'!EB259</f>
        <v>0.11034884630218306</v>
      </c>
      <c r="AB2272" s="46">
        <f>'Data_in-situ'!EC259</f>
        <v>3</v>
      </c>
      <c r="AC2272" s="113">
        <f>'Data_in-situ'!EE259</f>
        <v>6.0105826183166223E-3</v>
      </c>
      <c r="AD2272" s="113">
        <f>'Data_in-situ'!EF259</f>
        <v>5.4024465971174704E-2</v>
      </c>
      <c r="AE2272" s="46">
        <f>'Data_in-situ'!EG259</f>
        <v>3</v>
      </c>
      <c r="AF2272" s="113">
        <f>'Data_in-situ'!EN68</f>
        <v>-45.680000000000007</v>
      </c>
      <c r="AG2272" s="113">
        <f>'Data_in-situ'!EO68</f>
        <v>4.842822317616041</v>
      </c>
      <c r="AH2272" s="110">
        <f>'Data_in-situ'!EP68</f>
        <v>3</v>
      </c>
      <c r="AI2272" s="113">
        <f>'Data_in-situ'!ER68</f>
        <v>-118.08000000000001</v>
      </c>
      <c r="AJ2272" s="113">
        <f>'Data_in-situ'!ES68</f>
        <v>8.3505324381143513</v>
      </c>
      <c r="AK2272" s="110">
        <f>'Data_in-situ'!ET68</f>
        <v>3</v>
      </c>
    </row>
    <row r="2273" spans="2:37" x14ac:dyDescent="0.3">
      <c r="B2273" s="24">
        <f>'Data_in-situ'!CA447</f>
        <v>-13830.844197002392</v>
      </c>
      <c r="C2273" s="24">
        <f>'Data_in-situ'!CB447</f>
        <v>2274.6676845640554</v>
      </c>
      <c r="D2273" s="46">
        <f>'Data_in-situ'!CC447</f>
        <v>3</v>
      </c>
      <c r="E2273" s="24">
        <f>'Data_in-situ'!CE447</f>
        <v>-66220.372894871383</v>
      </c>
      <c r="F2273" s="24">
        <f>'Data_in-situ'!CF447</f>
        <v>9098.6707382562217</v>
      </c>
      <c r="G2273" s="46">
        <f>'Data_in-situ'!CG447</f>
        <v>3</v>
      </c>
      <c r="H2273" s="24">
        <f>'Data_in-situ'!CN447</f>
        <v>8766.0655826625862</v>
      </c>
      <c r="I2273" s="24">
        <f>'Data_in-situ'!CO447</f>
        <v>227.4667684564055</v>
      </c>
      <c r="J2273" s="46">
        <f>'Data_in-situ'!CP447</f>
        <v>3</v>
      </c>
      <c r="K2273" s="24">
        <f>'Data_in-situ'!CR447</f>
        <v>41998.127476961054</v>
      </c>
      <c r="L2273" s="24">
        <f>'Data_in-situ'!CS447</f>
        <v>6824.003053692164</v>
      </c>
      <c r="M2273" s="46">
        <f>'Data_in-situ'!CT447</f>
        <v>3</v>
      </c>
      <c r="N2273" s="24">
        <f>'Data_in-situ'!DA270</f>
        <v>2799.2431805620463</v>
      </c>
      <c r="O2273" s="24">
        <f>'Data_in-situ'!DB270</f>
        <v>1473.9559786073848</v>
      </c>
      <c r="P2273" s="46">
        <f>'Data_in-situ'!DC270</f>
        <v>20</v>
      </c>
      <c r="Q2273" s="24">
        <f>'Data_in-situ'!DE270</f>
        <v>6964.2392311529056</v>
      </c>
      <c r="R2273" s="24">
        <f>'Data_in-situ'!DF270</f>
        <v>2472.9188125624614</v>
      </c>
      <c r="S2273" s="46">
        <f>'Data_in-situ'!DG270</f>
        <v>20</v>
      </c>
      <c r="T2273" s="113">
        <f>'Data_in-situ'!DN142</f>
        <v>101</v>
      </c>
      <c r="U2273" s="113">
        <f>'Data_in-situ'!DO142</f>
        <v>133.44811725910563</v>
      </c>
      <c r="V2273" s="46">
        <f>'Data_in-situ'!DP142</f>
        <v>3</v>
      </c>
      <c r="W2273" s="113">
        <f>'Data_in-situ'!DR142</f>
        <v>13</v>
      </c>
      <c r="X2273" s="113">
        <f>'Data_in-situ'!DS142</f>
        <v>25.93067681338071</v>
      </c>
      <c r="Y2273" s="46">
        <f>'Data_in-situ'!DT142</f>
        <v>10</v>
      </c>
      <c r="Z2273" s="113">
        <f>'Data_in-situ'!EA264</f>
        <v>8.484570296783607E-2</v>
      </c>
      <c r="AA2273" s="113">
        <f>'Data_in-situ'!EB264</f>
        <v>0.23150687644726506</v>
      </c>
      <c r="AB2273" s="46">
        <f>'Data_in-situ'!EC264</f>
        <v>3</v>
      </c>
      <c r="AC2273" s="113">
        <f>'Data_in-situ'!EE264</f>
        <v>0.16473448657608519</v>
      </c>
      <c r="AD2273" s="113">
        <f>'Data_in-situ'!EF264</f>
        <v>0.18337619194833357</v>
      </c>
      <c r="AE2273" s="46">
        <f>'Data_in-situ'!EG264</f>
        <v>3</v>
      </c>
      <c r="AF2273" s="113">
        <f>'Data_in-situ'!EN69</f>
        <v>-53.36</v>
      </c>
      <c r="AG2273" s="113">
        <f>'Data_in-situ'!EO69</f>
        <v>6.3986248522631799</v>
      </c>
      <c r="AH2273" s="110">
        <f>'Data_in-situ'!EP69</f>
        <v>3</v>
      </c>
      <c r="AI2273" s="113">
        <f>'Data_in-situ'!ER69</f>
        <v>-88.300000000000011</v>
      </c>
      <c r="AJ2273" s="113">
        <f>'Data_in-situ'!ES69</f>
        <v>8.3224065029293062</v>
      </c>
      <c r="AK2273" s="110">
        <f>'Data_in-situ'!ET69</f>
        <v>3</v>
      </c>
    </row>
    <row r="2274" spans="2:37" x14ac:dyDescent="0.3">
      <c r="B2274" s="24">
        <f>'Data_in-situ'!CA448</f>
        <v>-32633.333333333332</v>
      </c>
      <c r="C2274" s="24">
        <f>'Data_in-situ'!CB448</f>
        <v>3600</v>
      </c>
      <c r="D2274" s="46">
        <f>'Data_in-situ'!CC448</f>
        <v>3</v>
      </c>
      <c r="E2274" s="24">
        <f>'Data_in-situ'!CE448</f>
        <v>-65926.666666666672</v>
      </c>
      <c r="F2274" s="24">
        <f>'Data_in-situ'!CF448</f>
        <v>5926</v>
      </c>
      <c r="G2274" s="46">
        <f>'Data_in-situ'!CG448</f>
        <v>3</v>
      </c>
      <c r="H2274" s="24">
        <f>'Data_in-situ'!CN448</f>
        <v>30690</v>
      </c>
      <c r="I2274" s="24">
        <f>'Data_in-situ'!CO448</f>
        <v>3652</v>
      </c>
      <c r="J2274" s="46">
        <f>'Data_in-situ'!CP448</f>
        <v>3</v>
      </c>
      <c r="K2274" s="24">
        <f>'Data_in-situ'!CR448</f>
        <v>61160</v>
      </c>
      <c r="L2274" s="24">
        <f>'Data_in-situ'!CS448</f>
        <v>6593</v>
      </c>
      <c r="M2274" s="46">
        <f>'Data_in-situ'!CT448</f>
        <v>3</v>
      </c>
      <c r="N2274" s="24">
        <f>'Data_in-situ'!DA354</f>
        <v>-1940.5839500221145</v>
      </c>
      <c r="O2274" s="24">
        <f>'Data_in-situ'!DB354</f>
        <v>5821.085373365031</v>
      </c>
      <c r="P2274" s="46">
        <f>'Data_in-situ'!DC354</f>
        <v>3</v>
      </c>
      <c r="Q2274" s="24">
        <f>'Data_in-situ'!DE354</f>
        <v>-1152.9019230752547</v>
      </c>
      <c r="R2274" s="24">
        <f>'Data_in-situ'!DF354</f>
        <v>1098.8801605135104</v>
      </c>
      <c r="S2274" s="46">
        <f>'Data_in-situ'!DG354</f>
        <v>3</v>
      </c>
      <c r="T2274" s="113">
        <f>'Data_in-situ'!DN143</f>
        <v>51</v>
      </c>
      <c r="U2274" s="113">
        <f>'Data_in-situ'!DO143</f>
        <v>61.031958841249725</v>
      </c>
      <c r="V2274" s="46">
        <f>'Data_in-situ'!DP143</f>
        <v>3</v>
      </c>
      <c r="W2274" s="113">
        <f>'Data_in-situ'!DR143</f>
        <v>1</v>
      </c>
      <c r="X2274" s="113">
        <f>'Data_in-situ'!DS143</f>
        <v>5.6920997883030831</v>
      </c>
      <c r="Y2274" s="46">
        <f>'Data_in-situ'!DT143</f>
        <v>10</v>
      </c>
      <c r="Z2274" s="113">
        <f>'Data_in-situ'!EA265</f>
        <v>7.7775227720516399E-2</v>
      </c>
      <c r="AA2274" s="113">
        <f>'Data_in-situ'!EB265</f>
        <v>0.21037856459857804</v>
      </c>
      <c r="AB2274" s="46">
        <f>'Data_in-situ'!EC265</f>
        <v>3</v>
      </c>
      <c r="AC2274" s="113">
        <f>'Data_in-situ'!EE265</f>
        <v>4.0070550788777477E-2</v>
      </c>
      <c r="AD2274" s="113">
        <f>'Data_in-situ'!EF265</f>
        <v>1.5796303365028162E-2</v>
      </c>
      <c r="AE2274" s="46">
        <f>'Data_in-situ'!EG265</f>
        <v>3</v>
      </c>
      <c r="AF2274" s="113">
        <f>'Data_in-situ'!EN70</f>
        <v>-53.36</v>
      </c>
      <c r="AG2274" s="113">
        <f>'Data_in-situ'!EO70</f>
        <v>6.3986248522631799</v>
      </c>
      <c r="AH2274" s="110">
        <f>'Data_in-situ'!EP70</f>
        <v>3</v>
      </c>
      <c r="AI2274" s="113">
        <f>'Data_in-situ'!ER70</f>
        <v>-124.16</v>
      </c>
      <c r="AJ2274" s="113">
        <f>'Data_in-situ'!ES70</f>
        <v>9.3061459262145689</v>
      </c>
      <c r="AK2274" s="110">
        <f>'Data_in-situ'!ET70</f>
        <v>3</v>
      </c>
    </row>
    <row r="2275" spans="2:37" x14ac:dyDescent="0.3">
      <c r="B2275" s="24">
        <f>'Data_in-situ'!CA449</f>
        <v>-36630</v>
      </c>
      <c r="C2275" s="24">
        <f>'Data_in-situ'!CB449</f>
        <v>4321</v>
      </c>
      <c r="D2275" s="46">
        <f>'Data_in-situ'!CC449</f>
        <v>3</v>
      </c>
      <c r="E2275" s="24">
        <f>'Data_in-situ'!CE449</f>
        <v>-75753.333333333328</v>
      </c>
      <c r="F2275" s="24">
        <f>'Data_in-situ'!CF449</f>
        <v>7859</v>
      </c>
      <c r="G2275" s="46">
        <f>'Data_in-situ'!CG449</f>
        <v>3</v>
      </c>
      <c r="H2275" s="24">
        <f>'Data_in-situ'!CN449</f>
        <v>33953.333333333336</v>
      </c>
      <c r="I2275" s="24">
        <f>'Data_in-situ'!CO449</f>
        <v>4126</v>
      </c>
      <c r="J2275" s="46">
        <f>'Data_in-situ'!CP449</f>
        <v>3</v>
      </c>
      <c r="K2275" s="24">
        <f>'Data_in-situ'!CR449</f>
        <v>64753.333333333336</v>
      </c>
      <c r="L2275" s="24">
        <f>'Data_in-situ'!CS449</f>
        <v>9463</v>
      </c>
      <c r="M2275" s="46">
        <f>'Data_in-situ'!CT449</f>
        <v>3</v>
      </c>
      <c r="N2275" s="24">
        <f>'Data_in-situ'!DA355</f>
        <v>-1217.0329724395615</v>
      </c>
      <c r="O2275" s="24">
        <f>'Data_in-situ'!DB355</f>
        <v>3650.6809379157057</v>
      </c>
      <c r="P2275" s="46">
        <f>'Data_in-situ'!DC355</f>
        <v>3</v>
      </c>
      <c r="Q2275" s="24">
        <f>'Data_in-situ'!DE355</f>
        <v>-942.32663407012569</v>
      </c>
      <c r="R2275" s="24">
        <f>'Data_in-situ'!DF355</f>
        <v>898.17184114068311</v>
      </c>
      <c r="S2275" s="46">
        <f>'Data_in-situ'!DG355</f>
        <v>3</v>
      </c>
      <c r="T2275" s="113">
        <f>'Data_in-situ'!DN144</f>
        <v>101</v>
      </c>
      <c r="U2275" s="113">
        <f>'Data_in-situ'!DO144</f>
        <v>133.44811725910563</v>
      </c>
      <c r="V2275" s="46">
        <f>'Data_in-situ'!DP144</f>
        <v>3</v>
      </c>
      <c r="W2275" s="113">
        <f>'Data_in-situ'!DR144</f>
        <v>17</v>
      </c>
      <c r="X2275" s="113">
        <f>'Data_in-situ'!DS144</f>
        <v>24.981993515330199</v>
      </c>
      <c r="Y2275" s="46">
        <f>'Data_in-situ'!DT144</f>
        <v>10</v>
      </c>
      <c r="Z2275" s="113">
        <f>'Data_in-situ'!EA266</f>
        <v>8.3674900420237147E-2</v>
      </c>
      <c r="AA2275" s="113">
        <f>'Data_in-situ'!EB266</f>
        <v>0.22267558913078545</v>
      </c>
      <c r="AB2275" s="46">
        <f>'Data_in-situ'!EC266</f>
        <v>3</v>
      </c>
      <c r="AC2275" s="113">
        <f>'Data_in-situ'!EE266</f>
        <v>0.1068548021034066</v>
      </c>
      <c r="AD2275" s="113">
        <f>'Data_in-situ'!EF266</f>
        <v>0.12190903765819365</v>
      </c>
      <c r="AE2275" s="46">
        <f>'Data_in-situ'!EG266</f>
        <v>3</v>
      </c>
      <c r="AF2275" s="113">
        <f>'Data_in-situ'!EN71</f>
        <v>-38</v>
      </c>
      <c r="AG2275" s="113">
        <f>'Data_in-situ'!EO71</f>
        <v>7.6</v>
      </c>
      <c r="AH2275" s="110">
        <f>'Data_in-situ'!EP71</f>
        <v>3</v>
      </c>
      <c r="AI2275" s="113">
        <f>'Data_in-situ'!ER71</f>
        <v>-112</v>
      </c>
      <c r="AJ2275" s="113">
        <f>'Data_in-situ'!ES71</f>
        <v>15.2</v>
      </c>
      <c r="AK2275" s="110">
        <f>'Data_in-situ'!ET71</f>
        <v>3</v>
      </c>
    </row>
    <row r="2276" spans="2:37" x14ac:dyDescent="0.3">
      <c r="B2276" s="24">
        <f>'Data_in-situ'!CA454</f>
        <v>-160161.20218579238</v>
      </c>
      <c r="C2276" s="24">
        <f>'Data_in-situ'!CB454</f>
        <v>10636.467274593098</v>
      </c>
      <c r="D2276" s="46">
        <f>'Data_in-situ'!CC454</f>
        <v>3</v>
      </c>
      <c r="E2276" s="24">
        <f>'Data_in-situ'!CE454</f>
        <v>-207277.44990892528</v>
      </c>
      <c r="F2276" s="24">
        <f>'Data_in-situ'!CF454</f>
        <v>21272.601806047955</v>
      </c>
      <c r="G2276" s="46">
        <f>'Data_in-situ'!CG454</f>
        <v>3</v>
      </c>
      <c r="H2276" s="24">
        <f>'Data_in-situ'!CN454</f>
        <v>67306.558222944135</v>
      </c>
      <c r="I2276" s="24">
        <f>'Data_in-situ'!CO454</f>
        <v>13632.710832908837</v>
      </c>
      <c r="J2276" s="46">
        <f>'Data_in-situ'!CP454</f>
        <v>3</v>
      </c>
      <c r="K2276" s="24">
        <f>'Data_in-situ'!CR454</f>
        <v>144420.60780366213</v>
      </c>
      <c r="L2276" s="24">
        <f>'Data_in-situ'!CS454</f>
        <v>24745.786342212687</v>
      </c>
      <c r="M2276" s="46">
        <f>'Data_in-situ'!CT454</f>
        <v>3</v>
      </c>
      <c r="N2276" s="24">
        <f>'Data_in-situ'!DA356</f>
        <v>-1217.0329724395615</v>
      </c>
      <c r="O2276" s="24">
        <f>'Data_in-situ'!DB356</f>
        <v>3650.6809379157057</v>
      </c>
      <c r="P2276" s="46">
        <f>'Data_in-situ'!DC356</f>
        <v>3</v>
      </c>
      <c r="Q2276" s="24">
        <f>'Data_in-situ'!DE356</f>
        <v>1071.9796143688573</v>
      </c>
      <c r="R2276" s="24">
        <f>'Data_in-situ'!DF356</f>
        <v>1021.7496450719074</v>
      </c>
      <c r="S2276" s="46">
        <f>'Data_in-situ'!DG356</f>
        <v>3</v>
      </c>
      <c r="T2276" s="113">
        <f>'Data_in-situ'!DN145</f>
        <v>244.12367999999998</v>
      </c>
      <c r="U2276" s="113">
        <f>'Data_in-situ'!DO145</f>
        <v>272.16843482550502</v>
      </c>
      <c r="V2276" s="46">
        <f>'Data_in-situ'!DP145</f>
        <v>4</v>
      </c>
      <c r="W2276" s="113">
        <f>'Data_in-situ'!DR145</f>
        <v>190.38399999999999</v>
      </c>
      <c r="X2276" s="113">
        <f>'Data_in-situ'!DS145</f>
        <v>711.50618703703014</v>
      </c>
      <c r="Y2276" s="46">
        <f>'Data_in-situ'!DT145</f>
        <v>6</v>
      </c>
      <c r="Z2276" s="113">
        <f>'Data_in-situ'!EA268</f>
        <v>-1.2019807920443442E-2</v>
      </c>
      <c r="AA2276" s="113">
        <f>'Data_in-situ'!EB268</f>
        <v>6.5123648236046217E-2</v>
      </c>
      <c r="AB2276" s="46">
        <f>'Data_in-situ'!EC268</f>
        <v>3</v>
      </c>
      <c r="AC2276" s="113">
        <f>'Data_in-situ'!EE268</f>
        <v>2.8939842236339292E-2</v>
      </c>
      <c r="AD2276" s="113">
        <f>'Data_in-situ'!EF268</f>
        <v>6.2567123803824801E-2</v>
      </c>
      <c r="AE2276" s="46">
        <f>'Data_in-situ'!EG268</f>
        <v>3</v>
      </c>
      <c r="AF2276" s="113">
        <f>'Data_in-situ'!EN72</f>
        <v>-47</v>
      </c>
      <c r="AG2276" s="113">
        <f>'Data_in-situ'!EO72</f>
        <v>6.8</v>
      </c>
      <c r="AH2276" s="110">
        <f>'Data_in-situ'!EP72</f>
        <v>3</v>
      </c>
      <c r="AI2276" s="113">
        <f>'Data_in-situ'!ER72</f>
        <v>-120</v>
      </c>
      <c r="AJ2276" s="113">
        <f>'Data_in-situ'!ES72</f>
        <v>11.8</v>
      </c>
      <c r="AK2276" s="110">
        <f>'Data_in-situ'!ET72</f>
        <v>3</v>
      </c>
    </row>
    <row r="2277" spans="2:37" x14ac:dyDescent="0.3">
      <c r="B2277" s="24">
        <f>'Data_in-situ'!CA455</f>
        <v>-160161.20218579238</v>
      </c>
      <c r="C2277" s="24">
        <f>'Data_in-situ'!CB455</f>
        <v>10636.467274593098</v>
      </c>
      <c r="D2277" s="46">
        <f>'Data_in-situ'!CC455</f>
        <v>3</v>
      </c>
      <c r="E2277" s="24">
        <f>'Data_in-situ'!CE455</f>
        <v>-129453.33333333317</v>
      </c>
      <c r="F2277" s="24">
        <f>'Data_in-situ'!CF455</f>
        <v>6791.9062619830866</v>
      </c>
      <c r="G2277" s="46">
        <f>'Data_in-situ'!CG455</f>
        <v>3</v>
      </c>
      <c r="H2277" s="24">
        <f>'Data_in-situ'!CN455</f>
        <v>67306.558222944135</v>
      </c>
      <c r="I2277" s="24">
        <f>'Data_in-situ'!CO455</f>
        <v>13632.710832908837</v>
      </c>
      <c r="J2277" s="46">
        <f>'Data_in-situ'!CP455</f>
        <v>3</v>
      </c>
      <c r="K2277" s="24">
        <f>'Data_in-situ'!CR455</f>
        <v>78968.070175438406</v>
      </c>
      <c r="L2277" s="24">
        <f>'Data_in-situ'!CS455</f>
        <v>7711.5970214802783</v>
      </c>
      <c r="M2277" s="46">
        <f>'Data_in-situ'!CT455</f>
        <v>3</v>
      </c>
      <c r="N2277" s="24">
        <f>'Data_in-situ'!DA357</f>
        <v>-1962.6668608737455</v>
      </c>
      <c r="O2277" s="24">
        <f>'Data_in-situ'!DB357</f>
        <v>5887.3265217360085</v>
      </c>
      <c r="P2277" s="46">
        <f>'Data_in-situ'!DC357</f>
        <v>3</v>
      </c>
      <c r="Q2277" s="24">
        <f>'Data_in-situ'!DE357</f>
        <v>-2114.1462339116297</v>
      </c>
      <c r="R2277" s="24">
        <f>'Data_in-situ'!DF357</f>
        <v>2015.0832489488362</v>
      </c>
      <c r="S2277" s="46">
        <f>'Data_in-situ'!DG357</f>
        <v>3</v>
      </c>
      <c r="T2277" s="113">
        <f>'Data_in-situ'!DN146</f>
        <v>244.12367999999998</v>
      </c>
      <c r="U2277" s="113">
        <f>'Data_in-situ'!DO146</f>
        <v>272.16843482550502</v>
      </c>
      <c r="V2277" s="46">
        <f>'Data_in-situ'!DP146</f>
        <v>4</v>
      </c>
      <c r="W2277" s="113">
        <f>'Data_in-situ'!DR146</f>
        <v>6.7043200000000001</v>
      </c>
      <c r="X2277" s="113">
        <f>'Data_in-situ'!DS146</f>
        <v>25.055493948420573</v>
      </c>
      <c r="Y2277" s="46">
        <f>'Data_in-situ'!DT146</f>
        <v>6</v>
      </c>
      <c r="Z2277" s="113">
        <f>'Data_in-situ'!EA393</f>
        <v>5.8770295611265379E-2</v>
      </c>
      <c r="AA2277" s="113">
        <f>'Data_in-situ'!EB393</f>
        <v>0.33792784700702894</v>
      </c>
      <c r="AB2277" s="46">
        <f>'Data_in-situ'!EC393</f>
        <v>3</v>
      </c>
      <c r="AC2277" s="113">
        <f>'Data_in-situ'!EE393</f>
        <v>6.9833384230864909E-2</v>
      </c>
      <c r="AD2277" s="113">
        <f>'Data_in-situ'!EF393</f>
        <v>0.10427097615025936</v>
      </c>
      <c r="AE2277" s="46">
        <f>'Data_in-situ'!EG393</f>
        <v>3</v>
      </c>
      <c r="AF2277" s="113">
        <f>'Data_in-situ'!EN73</f>
        <v>-38</v>
      </c>
      <c r="AG2277" s="113">
        <f>'Data_in-situ'!EO73</f>
        <v>7.6</v>
      </c>
      <c r="AH2277" s="110">
        <f>'Data_in-situ'!EP73</f>
        <v>3</v>
      </c>
      <c r="AI2277" s="113">
        <f>'Data_in-situ'!ER73</f>
        <v>-112</v>
      </c>
      <c r="AJ2277" s="113">
        <f>'Data_in-situ'!ES73</f>
        <v>15.2</v>
      </c>
      <c r="AK2277" s="110">
        <f>'Data_in-situ'!ET73</f>
        <v>3</v>
      </c>
    </row>
    <row r="2278" spans="2:37" x14ac:dyDescent="0.3">
      <c r="N2278" s="24">
        <f>'Data_in-situ'!DA358</f>
        <v>-3003.1418917849933</v>
      </c>
      <c r="O2278" s="24">
        <f>'Data_in-situ'!DB358</f>
        <v>9008.3942723581713</v>
      </c>
      <c r="P2278" s="46">
        <f>'Data_in-situ'!DC358</f>
        <v>3</v>
      </c>
      <c r="Q2278" s="24">
        <f>'Data_in-situ'!DE358</f>
        <v>-834.0354104877897</v>
      </c>
      <c r="R2278" s="24">
        <f>'Data_in-situ'!DF358</f>
        <v>794.95484169727581</v>
      </c>
      <c r="S2278" s="46">
        <f>'Data_in-situ'!DG358</f>
        <v>3</v>
      </c>
      <c r="T2278" s="113">
        <f>'Data_in-situ'!DN147</f>
        <v>66.3</v>
      </c>
      <c r="U2278" s="113">
        <f>'Data_in-situ'!DO147</f>
        <v>102</v>
      </c>
      <c r="V2278" s="46">
        <f>'Data_in-situ'!DP147</f>
        <v>14</v>
      </c>
      <c r="W2278" s="113">
        <f>'Data_in-situ'!DR147</f>
        <v>5.0999999999999996</v>
      </c>
      <c r="X2278" s="113">
        <f>'Data_in-situ'!DS147</f>
        <v>30.6</v>
      </c>
      <c r="Y2278" s="46">
        <f>'Data_in-situ'!DT147</f>
        <v>40</v>
      </c>
      <c r="Z2278" s="113">
        <f>'Data_in-situ'!EA424</f>
        <v>5.5000000000000014E-3</v>
      </c>
      <c r="AA2278" s="113">
        <f>'Data_in-situ'!EB424</f>
        <v>3.892835299196034E-2</v>
      </c>
      <c r="AB2278" s="46">
        <f>'Data_in-situ'!EC424</f>
        <v>3</v>
      </c>
      <c r="AC2278" s="113">
        <f>'Data_in-situ'!EE424</f>
        <v>0.55899999999999994</v>
      </c>
      <c r="AD2278" s="113">
        <f>'Data_in-situ'!EF424</f>
        <v>0.83462586428491037</v>
      </c>
      <c r="AE2278" s="46">
        <f>'Data_in-situ'!EG424</f>
        <v>3</v>
      </c>
      <c r="AF2278" s="113">
        <f>'Data_in-situ'!EN74</f>
        <v>-44</v>
      </c>
      <c r="AG2278" s="113">
        <f>'Data_in-situ'!EO74</f>
        <v>6.8</v>
      </c>
      <c r="AH2278" s="110">
        <f>'Data_in-situ'!EP74</f>
        <v>3</v>
      </c>
      <c r="AI2278" s="113">
        <f>'Data_in-situ'!ER74</f>
        <v>-116</v>
      </c>
      <c r="AJ2278" s="113">
        <f>'Data_in-situ'!ES74</f>
        <v>11.8</v>
      </c>
      <c r="AK2278" s="110">
        <f>'Data_in-situ'!ET74</f>
        <v>3</v>
      </c>
    </row>
    <row r="2279" spans="2:37" x14ac:dyDescent="0.3">
      <c r="N2279" s="24">
        <f>'Data_in-situ'!DA359</f>
        <v>-3003.1418917849933</v>
      </c>
      <c r="O2279" s="24">
        <f>'Data_in-situ'!DB359</f>
        <v>9008.3942723581713</v>
      </c>
      <c r="P2279" s="46">
        <f>'Data_in-situ'!DC359</f>
        <v>3</v>
      </c>
      <c r="Q2279" s="24">
        <f>'Data_in-situ'!DE359</f>
        <v>1252.6406210204286</v>
      </c>
      <c r="R2279" s="24">
        <f>'Data_in-situ'!DF359</f>
        <v>1193.9453817727929</v>
      </c>
      <c r="S2279" s="46">
        <f>'Data_in-situ'!DG359</f>
        <v>3</v>
      </c>
      <c r="T2279" s="113">
        <f>'Data_in-situ'!DN179</f>
        <v>140.79806050736187</v>
      </c>
      <c r="U2279" s="113">
        <f>'Data_in-situ'!DO179</f>
        <v>57.85185596345088</v>
      </c>
      <c r="V2279" s="46">
        <f>'Data_in-situ'!DP179</f>
        <v>3</v>
      </c>
      <c r="W2279" s="113">
        <f>'Data_in-situ'!DR179</f>
        <v>22.365263658588713</v>
      </c>
      <c r="X2279" s="113">
        <f>'Data_in-situ'!DS179</f>
        <v>28.96859337526929</v>
      </c>
      <c r="Y2279" s="46">
        <f>'Data_in-situ'!DT179</f>
        <v>3</v>
      </c>
      <c r="Z2279" s="113">
        <f>'Data_in-situ'!EA432</f>
        <v>0.14142857142857143</v>
      </c>
      <c r="AA2279" s="113">
        <f>'Data_in-situ'!EB432</f>
        <v>0.29939735387976307</v>
      </c>
      <c r="AB2279" s="46">
        <f>'Data_in-situ'!EC432</f>
        <v>3</v>
      </c>
      <c r="AC2279" s="113">
        <f>'Data_in-situ'!EE432</f>
        <v>1.8071428571428574</v>
      </c>
      <c r="AD2279" s="113">
        <f>'Data_in-situ'!EF432</f>
        <v>2.1229994184201382</v>
      </c>
      <c r="AE2279" s="46">
        <f>'Data_in-situ'!EG432</f>
        <v>3</v>
      </c>
      <c r="AF2279" s="113">
        <f>'Data_in-situ'!EN75</f>
        <v>-38</v>
      </c>
      <c r="AG2279" s="113">
        <f>'Data_in-situ'!EO75</f>
        <v>5.412566119688516</v>
      </c>
      <c r="AH2279" s="110">
        <f>'Data_in-situ'!EP75</f>
        <v>3</v>
      </c>
      <c r="AI2279" s="113">
        <f>'Data_in-situ'!ER75</f>
        <v>-112</v>
      </c>
      <c r="AJ2279" s="113">
        <f>'Data_in-situ'!ES75</f>
        <v>10.825132239377032</v>
      </c>
      <c r="AK2279" s="110">
        <f>'Data_in-situ'!ET75</f>
        <v>3</v>
      </c>
    </row>
    <row r="2280" spans="2:37" x14ac:dyDescent="0.3">
      <c r="N2280" s="24">
        <f>'Data_in-situ'!DA415</f>
        <v>-6415.3169641181039</v>
      </c>
      <c r="O2280" s="24">
        <f>'Data_in-situ'!DB415</f>
        <v>6104.4403947098008</v>
      </c>
      <c r="P2280" s="46">
        <f>'Data_in-situ'!DC415</f>
        <v>3</v>
      </c>
      <c r="Q2280" s="24">
        <f>'Data_in-situ'!DE415</f>
        <v>1392.8418193801579</v>
      </c>
      <c r="R2280" s="24">
        <f>'Data_in-situ'!DF415</f>
        <v>1342.1923247123252</v>
      </c>
      <c r="S2280" s="46">
        <f>'Data_in-situ'!DG415</f>
        <v>3</v>
      </c>
      <c r="T2280" s="113">
        <f>'Data_in-situ'!DN180</f>
        <v>129.84710024567806</v>
      </c>
      <c r="U2280" s="113">
        <f>'Data_in-situ'!DO180</f>
        <v>45.955805142101362</v>
      </c>
      <c r="V2280" s="46">
        <f>'Data_in-situ'!DP180</f>
        <v>3</v>
      </c>
      <c r="W2280" s="113">
        <f>'Data_in-situ'!DR180</f>
        <v>14.486591233404059</v>
      </c>
      <c r="X2280" s="113">
        <f>'Data_in-situ'!DS180</f>
        <v>18.662006281146603</v>
      </c>
      <c r="Y2280" s="46">
        <f>'Data_in-situ'!DT180</f>
        <v>3</v>
      </c>
      <c r="Z2280" s="113">
        <f>'Data_in-situ'!EA433</f>
        <v>0.11</v>
      </c>
      <c r="AA2280" s="113">
        <f>'Data_in-situ'!EB433</f>
        <v>0.65323059028311947</v>
      </c>
      <c r="AB2280" s="46">
        <f>'Data_in-situ'!EC433</f>
        <v>3</v>
      </c>
      <c r="AC2280" s="113">
        <f>'Data_in-situ'!EE433</f>
        <v>4.0071428571428571</v>
      </c>
      <c r="AD2280" s="113">
        <f>'Data_in-situ'!EF433</f>
        <v>2.7490120674414609</v>
      </c>
      <c r="AE2280" s="46">
        <f>'Data_in-situ'!EG433</f>
        <v>3</v>
      </c>
      <c r="AF2280" s="113">
        <f>'Data_in-situ'!EN76</f>
        <v>-45.680000000000007</v>
      </c>
      <c r="AG2280" s="113">
        <f>'Data_in-situ'!EO76</f>
        <v>4.842822317616041</v>
      </c>
      <c r="AH2280" s="110">
        <f>'Data_in-situ'!EP76</f>
        <v>3</v>
      </c>
      <c r="AI2280" s="113">
        <f>'Data_in-situ'!ER76</f>
        <v>-118.24000000000001</v>
      </c>
      <c r="AJ2280" s="113">
        <f>'Data_in-situ'!ES76</f>
        <v>8.4037210805690119</v>
      </c>
      <c r="AK2280" s="110">
        <f>'Data_in-situ'!ET76</f>
        <v>3</v>
      </c>
    </row>
    <row r="2281" spans="2:37" x14ac:dyDescent="0.3">
      <c r="N2281" s="24">
        <f>'Data_in-situ'!DA416</f>
        <v>-988.3974549743225</v>
      </c>
      <c r="O2281" s="24">
        <f>'Data_in-situ'!DB416</f>
        <v>1706.6543556486708</v>
      </c>
      <c r="P2281" s="46">
        <f>'Data_in-situ'!DC416</f>
        <v>5</v>
      </c>
      <c r="Q2281" s="24">
        <f>'Data_in-situ'!DE416</f>
        <v>-341.0829809255074</v>
      </c>
      <c r="R2281" s="24">
        <f>'Data_in-situ'!DF416</f>
        <v>4448.7121943333168</v>
      </c>
      <c r="S2281" s="46">
        <f>'Data_in-situ'!DG416</f>
        <v>5</v>
      </c>
      <c r="T2281" s="113">
        <f>'Data_in-situ'!DN181</f>
        <v>159.57113524167664</v>
      </c>
      <c r="U2281" s="113">
        <f>'Data_in-situ'!DO181</f>
        <v>73.816751459863269</v>
      </c>
      <c r="V2281" s="46">
        <f>'Data_in-situ'!DP181</f>
        <v>3</v>
      </c>
      <c r="W2281" s="113">
        <f>'Data_in-situ'!DR181</f>
        <v>15.757344850369346</v>
      </c>
      <c r="X2281" s="113">
        <f>'Data_in-situ'!DS181</f>
        <v>19.375072891550516</v>
      </c>
      <c r="Y2281" s="46">
        <f>'Data_in-situ'!DT181</f>
        <v>3</v>
      </c>
      <c r="Z2281" s="113">
        <f>'Data_in-situ'!EA441</f>
        <v>0.3</v>
      </c>
      <c r="AA2281" s="113">
        <f>'Data_in-situ'!EB441</f>
        <v>0.35</v>
      </c>
      <c r="AB2281" s="46">
        <f>'Data_in-situ'!EC441</f>
        <v>6</v>
      </c>
      <c r="AC2281" s="113">
        <f>'Data_in-situ'!EE441</f>
        <v>3.7</v>
      </c>
      <c r="AD2281" s="113">
        <f>'Data_in-situ'!EF441</f>
        <v>1.05</v>
      </c>
      <c r="AE2281" s="46">
        <f>'Data_in-situ'!EG441</f>
        <v>6</v>
      </c>
      <c r="AF2281" s="113">
        <f>'Data_in-situ'!EN77</f>
        <v>-4.5</v>
      </c>
      <c r="AG2281" s="113">
        <f>'Data_in-situ'!EO77</f>
        <v>2.7658633371878665</v>
      </c>
      <c r="AH2281" s="110">
        <f>'Data_in-situ'!EP77</f>
        <v>2</v>
      </c>
      <c r="AI2281" s="113">
        <f>'Data_in-situ'!ER77</f>
        <v>-18.45</v>
      </c>
      <c r="AJ2281" s="113">
        <f>'Data_in-situ'!ES77</f>
        <v>8.9505586417832035</v>
      </c>
      <c r="AK2281" s="110">
        <f>'Data_in-situ'!ET77</f>
        <v>2</v>
      </c>
    </row>
    <row r="2282" spans="2:37" x14ac:dyDescent="0.3">
      <c r="N2282" s="24">
        <f>'Data_in-situ'!DA418</f>
        <v>-7040</v>
      </c>
      <c r="O2282" s="24">
        <f>'Data_in-situ'!DB418</f>
        <v>1650</v>
      </c>
      <c r="P2282" s="46">
        <f>'Data_in-situ'!DC418</f>
        <v>1</v>
      </c>
      <c r="Q2282" s="24">
        <f>'Data_in-situ'!DE418</f>
        <v>-3226.666666666667</v>
      </c>
      <c r="R2282" s="24">
        <f>'Data_in-situ'!DF418</f>
        <v>953.33333333333326</v>
      </c>
      <c r="S2282" s="46">
        <f>'Data_in-situ'!DG418</f>
        <v>1</v>
      </c>
      <c r="T2282" s="113">
        <f>'Data_in-situ'!DN201</f>
        <v>54.705882352941174</v>
      </c>
      <c r="U2282" s="113">
        <f>'Data_in-situ'!DO201</f>
        <v>60.990455230513547</v>
      </c>
      <c r="V2282" s="46">
        <f>'Data_in-situ'!DP201</f>
        <v>3</v>
      </c>
      <c r="W2282" s="113">
        <f>'Data_in-situ'!DR201</f>
        <v>0</v>
      </c>
      <c r="X2282" s="113">
        <f>'Data_in-situ'!DS201</f>
        <v>0</v>
      </c>
      <c r="Y2282" s="46">
        <f>'Data_in-situ'!DT201</f>
        <v>3</v>
      </c>
      <c r="Z2282" s="113">
        <f>'Data_in-situ'!EA442</f>
        <v>0.3</v>
      </c>
      <c r="AA2282" s="113">
        <f>'Data_in-situ'!EB442</f>
        <v>0.35</v>
      </c>
      <c r="AB2282" s="46">
        <f>'Data_in-situ'!EC442</f>
        <v>6</v>
      </c>
      <c r="AC2282" s="113">
        <f>'Data_in-situ'!EE442</f>
        <v>1.5</v>
      </c>
      <c r="AD2282" s="113">
        <f>'Data_in-situ'!EF442</f>
        <v>0.6</v>
      </c>
      <c r="AE2282" s="46">
        <f>'Data_in-situ'!EG442</f>
        <v>6</v>
      </c>
      <c r="AF2282" s="113">
        <f>'Data_in-situ'!EN78</f>
        <v>-4.5</v>
      </c>
      <c r="AG2282" s="113">
        <f>'Data_in-situ'!EO78</f>
        <v>2.7658633371878665</v>
      </c>
      <c r="AH2282" s="110">
        <f>'Data_in-situ'!EP78</f>
        <v>2</v>
      </c>
      <c r="AI2282" s="113">
        <f>'Data_in-situ'!ER78</f>
        <v>-14.3</v>
      </c>
      <c r="AJ2282" s="113">
        <f>'Data_in-situ'!ES78</f>
        <v>4.2793106921559225</v>
      </c>
      <c r="AK2282" s="110">
        <f>'Data_in-situ'!ET78</f>
        <v>2</v>
      </c>
    </row>
    <row r="2283" spans="2:37" x14ac:dyDescent="0.3">
      <c r="N2283" s="24">
        <f>'Data_in-situ'!DA419</f>
        <v>-7846.6666666666661</v>
      </c>
      <c r="O2283" s="24">
        <f>'Data_in-situ'!DB419</f>
        <v>1466.6666666666665</v>
      </c>
      <c r="P2283" s="46">
        <f>'Data_in-situ'!DC419</f>
        <v>1</v>
      </c>
      <c r="Q2283" s="24">
        <f>'Data_in-situ'!DE419</f>
        <v>-1870</v>
      </c>
      <c r="R2283" s="24">
        <f>'Data_in-situ'!DF419</f>
        <v>1283.3333333333335</v>
      </c>
      <c r="S2283" s="46">
        <f>'Data_in-situ'!DG419</f>
        <v>1</v>
      </c>
      <c r="T2283" s="113">
        <f>'Data_in-situ'!DN202</f>
        <v>57.352941176470587</v>
      </c>
      <c r="U2283" s="113">
        <f>'Data_in-situ'!DO202</f>
        <v>63.941606290054523</v>
      </c>
      <c r="V2283" s="46">
        <f>'Data_in-situ'!DP202</f>
        <v>3</v>
      </c>
      <c r="W2283" s="113">
        <f>'Data_in-situ'!DR202</f>
        <v>0</v>
      </c>
      <c r="X2283" s="113">
        <f>'Data_in-situ'!DS202</f>
        <v>0</v>
      </c>
      <c r="Y2283" s="46">
        <f>'Data_in-situ'!DT202</f>
        <v>3</v>
      </c>
      <c r="Z2283" s="113">
        <f>'Data_in-situ'!EA443</f>
        <v>0.3</v>
      </c>
      <c r="AA2283" s="113">
        <f>'Data_in-situ'!EB443</f>
        <v>0.35</v>
      </c>
      <c r="AB2283" s="46">
        <f>'Data_in-situ'!EC443</f>
        <v>6</v>
      </c>
      <c r="AC2283" s="113">
        <f>'Data_in-situ'!EE443</f>
        <v>37.700000000000003</v>
      </c>
      <c r="AD2283" s="113">
        <f>'Data_in-situ'!EF443</f>
        <v>2.95</v>
      </c>
      <c r="AE2283" s="46">
        <f>'Data_in-situ'!EG443</f>
        <v>4</v>
      </c>
      <c r="AF2283" s="113">
        <f>'Data_in-situ'!EN86</f>
        <v>-11.68</v>
      </c>
      <c r="AG2283" s="113">
        <f>'Data_in-situ'!EO86</f>
        <v>1.82</v>
      </c>
      <c r="AH2283" s="110">
        <f>'Data_in-situ'!EP86</f>
        <v>3</v>
      </c>
      <c r="AI2283" s="113">
        <f>'Data_in-situ'!ER86</f>
        <v>-20.88</v>
      </c>
      <c r="AJ2283" s="113">
        <f>'Data_in-situ'!ES86</f>
        <v>1.28</v>
      </c>
      <c r="AK2283" s="110">
        <f>'Data_in-situ'!ET86</f>
        <v>3</v>
      </c>
    </row>
    <row r="2284" spans="2:37" x14ac:dyDescent="0.3">
      <c r="N2284" s="24">
        <f>'Data_in-situ'!DA424</f>
        <v>81.850000000000023</v>
      </c>
      <c r="O2284" s="24">
        <f>'Data_in-situ'!DB424</f>
        <v>1631.6723826083066</v>
      </c>
      <c r="P2284" s="46">
        <f>'Data_in-situ'!DC424</f>
        <v>3</v>
      </c>
      <c r="Q2284" s="24">
        <f>'Data_in-situ'!DE424</f>
        <v>9282.7649999999994</v>
      </c>
      <c r="R2284" s="24">
        <f>'Data_in-situ'!DF424</f>
        <v>6092.1653911731855</v>
      </c>
      <c r="S2284" s="46">
        <f>'Data_in-situ'!DG424</f>
        <v>3</v>
      </c>
      <c r="T2284" s="113">
        <f>'Data_in-situ'!DN211</f>
        <v>679.54671344272833</v>
      </c>
      <c r="U2284" s="113">
        <f>'Data_in-situ'!DO211</f>
        <v>860.0591867401946</v>
      </c>
      <c r="V2284" s="46">
        <f>'Data_in-situ'!DP211</f>
        <v>46</v>
      </c>
      <c r="W2284" s="113">
        <f>'Data_in-situ'!DR211</f>
        <v>15.65177995944169</v>
      </c>
      <c r="X2284" s="113">
        <f>'Data_in-situ'!DS211</f>
        <v>24.385487937237958</v>
      </c>
      <c r="Y2284" s="46">
        <f>'Data_in-situ'!DT211</f>
        <v>73</v>
      </c>
      <c r="Z2284" s="113">
        <f>'Data_in-situ'!EA444</f>
        <v>-0.35536232754524372</v>
      </c>
      <c r="AA2284" s="113">
        <f>'Data_in-situ'!EB444</f>
        <v>38.250757143327704</v>
      </c>
      <c r="AB2284" s="46">
        <f>'Data_in-situ'!EC444</f>
        <v>46</v>
      </c>
      <c r="AC2284" s="113">
        <f>'Data_in-situ'!EE444</f>
        <v>20.199714045305026</v>
      </c>
      <c r="AD2284" s="113">
        <f>'Data_in-situ'!EF444</f>
        <v>184.05347959835046</v>
      </c>
      <c r="AE2284" s="46">
        <f>'Data_in-situ'!EG444</f>
        <v>53</v>
      </c>
      <c r="AF2284" s="113">
        <f>'Data_in-situ'!EN87</f>
        <v>-20.85</v>
      </c>
      <c r="AG2284" s="113">
        <f>'Data_in-situ'!EO87</f>
        <v>5.42</v>
      </c>
      <c r="AH2284" s="110">
        <f>'Data_in-situ'!EP87</f>
        <v>3</v>
      </c>
      <c r="AI2284" s="113">
        <f>'Data_in-situ'!ER87</f>
        <v>-21.08</v>
      </c>
      <c r="AJ2284" s="113">
        <f>'Data_in-situ'!ES87</f>
        <v>7.29</v>
      </c>
      <c r="AK2284" s="110">
        <f>'Data_in-situ'!ET87</f>
        <v>3</v>
      </c>
    </row>
    <row r="2285" spans="2:37" x14ac:dyDescent="0.3">
      <c r="N2285" s="24">
        <f>'Data_in-situ'!DA425</f>
        <v>-983.60000000000014</v>
      </c>
      <c r="O2285" s="24">
        <f>'Data_in-situ'!DB425</f>
        <v>94.627709120179674</v>
      </c>
      <c r="P2285" s="46">
        <f>'Data_in-situ'!DC425</f>
        <v>3</v>
      </c>
      <c r="Q2285" s="24">
        <f>'Data_in-situ'!DE425</f>
        <v>8811.4750000000004</v>
      </c>
      <c r="R2285" s="24">
        <f>'Data_in-situ'!DF425</f>
        <v>5873.9289174885607</v>
      </c>
      <c r="S2285" s="46">
        <f>'Data_in-situ'!DG425</f>
        <v>3</v>
      </c>
      <c r="T2285" s="113">
        <f>'Data_in-situ'!DN212</f>
        <v>70.824570735895975</v>
      </c>
      <c r="U2285" s="113">
        <f>'Data_in-situ'!DO212</f>
        <v>78.960847077092538</v>
      </c>
      <c r="V2285" s="46">
        <f>'Data_in-situ'!DP212</f>
        <v>46</v>
      </c>
      <c r="W2285" s="113">
        <f>'Data_in-situ'!DR212</f>
        <v>-0.12589285714285717</v>
      </c>
      <c r="X2285" s="113">
        <f>'Data_in-situ'!DS212</f>
        <v>0.47048883709193973</v>
      </c>
      <c r="Y2285" s="46">
        <f>'Data_in-situ'!DT212</f>
        <v>66</v>
      </c>
      <c r="AF2285" s="113">
        <f>'Data_in-situ'!EN94</f>
        <v>-10.75</v>
      </c>
      <c r="AG2285" s="113">
        <f>'Data_in-situ'!EO94</f>
        <v>1.853</v>
      </c>
      <c r="AH2285" s="110">
        <f>'Data_in-situ'!EP94</f>
        <v>3</v>
      </c>
      <c r="AI2285" s="113">
        <f>'Data_in-situ'!ER94</f>
        <v>-20.14</v>
      </c>
      <c r="AJ2285" s="113">
        <f>'Data_in-situ'!ES94</f>
        <v>1.87</v>
      </c>
      <c r="AK2285" s="110">
        <f>'Data_in-situ'!ET94</f>
        <v>3</v>
      </c>
    </row>
    <row r="2286" spans="2:37" x14ac:dyDescent="0.3">
      <c r="N2286" s="24">
        <f>'Data_in-situ'!DA432</f>
        <v>-80</v>
      </c>
      <c r="O2286" s="24">
        <f>'Data_in-situ'!DB432</f>
        <v>2009.1789367798974</v>
      </c>
      <c r="P2286" s="46">
        <f>'Data_in-situ'!DC432</f>
        <v>3</v>
      </c>
      <c r="Q2286" s="24">
        <f>'Data_in-situ'!DE432</f>
        <v>4580</v>
      </c>
      <c r="R2286" s="24">
        <f>'Data_in-situ'!DF432</f>
        <v>4416.7295593006365</v>
      </c>
      <c r="S2286" s="46">
        <f>'Data_in-situ'!DG432</f>
        <v>3</v>
      </c>
      <c r="T2286" s="113">
        <f>'Data_in-situ'!DN213</f>
        <v>5.4</v>
      </c>
      <c r="U2286" s="113">
        <f>'Data_in-situ'!DO213</f>
        <v>6.0203481614635956</v>
      </c>
      <c r="V2286" s="46">
        <f>'Data_in-situ'!DP213</f>
        <v>3</v>
      </c>
      <c r="W2286" s="113">
        <f>'Data_in-situ'!DR213</f>
        <v>1.4</v>
      </c>
      <c r="X2286" s="113">
        <f>'Data_in-situ'!DS213</f>
        <v>5.2321028124834132</v>
      </c>
      <c r="Y2286" s="46">
        <f>'Data_in-situ'!DT213</f>
        <v>3</v>
      </c>
      <c r="AF2286" s="113">
        <f>'Data_in-situ'!EN95</f>
        <v>-24.62</v>
      </c>
      <c r="AG2286" s="113">
        <f>'Data_in-situ'!EO95</f>
        <v>6.88</v>
      </c>
      <c r="AH2286" s="110">
        <f>'Data_in-situ'!EP95</f>
        <v>3</v>
      </c>
      <c r="AI2286" s="113">
        <f>'Data_in-situ'!ER95</f>
        <v>-23.22</v>
      </c>
      <c r="AJ2286" s="113">
        <f>'Data_in-situ'!ES95</f>
        <v>6.41</v>
      </c>
      <c r="AK2286" s="110">
        <f>'Data_in-situ'!ET95</f>
        <v>3</v>
      </c>
    </row>
    <row r="2287" spans="2:37" x14ac:dyDescent="0.3">
      <c r="N2287" s="24">
        <f>'Data_in-situ'!DA433</f>
        <v>-1270</v>
      </c>
      <c r="O2287" s="24">
        <f>'Data_in-situ'!DB433</f>
        <v>1593.4867429633669</v>
      </c>
      <c r="P2287" s="46">
        <f>'Data_in-situ'!DC433</f>
        <v>3</v>
      </c>
      <c r="Q2287" s="24">
        <f>'Data_in-situ'!DE433</f>
        <v>4820</v>
      </c>
      <c r="R2287" s="24">
        <f>'Data_in-situ'!DF433</f>
        <v>4122.2809220139279</v>
      </c>
      <c r="S2287" s="46">
        <f>'Data_in-situ'!DG433</f>
        <v>3</v>
      </c>
      <c r="T2287" s="113">
        <f>'Data_in-situ'!DN214</f>
        <v>7.5</v>
      </c>
      <c r="U2287" s="113">
        <f>'Data_in-situ'!DO214</f>
        <v>8.3615946686994373</v>
      </c>
      <c r="V2287" s="46">
        <f>'Data_in-situ'!DP214</f>
        <v>3</v>
      </c>
      <c r="W2287" s="113">
        <f>'Data_in-situ'!DR214</f>
        <v>1.6</v>
      </c>
      <c r="X2287" s="113">
        <f>'Data_in-situ'!DS214</f>
        <v>5.979546071409616</v>
      </c>
      <c r="Y2287" s="46">
        <f>'Data_in-situ'!DT214</f>
        <v>3</v>
      </c>
      <c r="AF2287" s="113">
        <f>'Data_in-situ'!EN96</f>
        <v>-6.95</v>
      </c>
      <c r="AG2287" s="113">
        <f>'Data_in-situ'!EO96</f>
        <v>1.41</v>
      </c>
      <c r="AH2287" s="110">
        <f>'Data_in-situ'!EP96</f>
        <v>3</v>
      </c>
      <c r="AI2287" s="113">
        <f>'Data_in-situ'!ER96</f>
        <v>-21.5</v>
      </c>
      <c r="AJ2287" s="113">
        <f>'Data_in-situ'!ES96</f>
        <v>1.76</v>
      </c>
      <c r="AK2287" s="110">
        <f>'Data_in-situ'!ET96</f>
        <v>3</v>
      </c>
    </row>
    <row r="2288" spans="2:37" x14ac:dyDescent="0.3">
      <c r="N2288" s="24">
        <f>'Data_in-situ'!DA447</f>
        <v>-4783.7690721649478</v>
      </c>
      <c r="O2288" s="24">
        <f>'Data_in-situ'!DB447</f>
        <v>1766.9819161761379</v>
      </c>
      <c r="P2288" s="46">
        <f>'Data_in-situ'!DC447</f>
        <v>3</v>
      </c>
      <c r="Q2288" s="24">
        <f>'Data_in-situ'!DE447</f>
        <v>-17986.9717113402</v>
      </c>
      <c r="R2288" s="24">
        <f>'Data_in-situ'!DF447</f>
        <v>3327.1138134409139</v>
      </c>
      <c r="S2288" s="46">
        <f>'Data_in-situ'!DG447</f>
        <v>3</v>
      </c>
      <c r="T2288" s="113">
        <f>'Data_in-situ'!DN216</f>
        <v>36.386666666666663</v>
      </c>
      <c r="U2288" s="113">
        <f>'Data_in-situ'!DO216</f>
        <v>4.1569219381653051</v>
      </c>
      <c r="V2288" s="46">
        <f>'Data_in-situ'!DP216</f>
        <v>3</v>
      </c>
      <c r="W2288" s="113">
        <f>'Data_in-situ'!DR216</f>
        <v>12.573333333333332</v>
      </c>
      <c r="X2288" s="113">
        <f>'Data_in-situ'!DS216</f>
        <v>5.1268703904038775</v>
      </c>
      <c r="Y2288" s="46">
        <f>'Data_in-situ'!DT216</f>
        <v>3</v>
      </c>
      <c r="AF2288" s="113">
        <f>'Data_in-situ'!EN97</f>
        <v>-14.43</v>
      </c>
      <c r="AG2288" s="113">
        <f>'Data_in-situ'!EO97</f>
        <v>3.89</v>
      </c>
      <c r="AH2288" s="110">
        <f>'Data_in-situ'!EP97</f>
        <v>3</v>
      </c>
      <c r="AI2288" s="113">
        <f>'Data_in-situ'!ER97</f>
        <v>-28.3</v>
      </c>
      <c r="AJ2288" s="113">
        <f>'Data_in-situ'!ES97</f>
        <v>4.55</v>
      </c>
      <c r="AK2288" s="110">
        <f>'Data_in-situ'!ET97</f>
        <v>3</v>
      </c>
    </row>
    <row r="2289" spans="14:37" x14ac:dyDescent="0.3">
      <c r="N2289" s="24">
        <f>'Data_in-situ'!DA448</f>
        <v>-1943.3333333333333</v>
      </c>
      <c r="O2289" s="24">
        <f>'Data_in-situ'!DB448</f>
        <v>436</v>
      </c>
      <c r="P2289" s="46">
        <f>'Data_in-situ'!DC448</f>
        <v>3</v>
      </c>
      <c r="Q2289" s="24">
        <f>'Data_in-situ'!DE448</f>
        <v>-4766.666666666667</v>
      </c>
      <c r="R2289" s="24">
        <f>'Data_in-situ'!DF448</f>
        <v>1203</v>
      </c>
      <c r="S2289" s="46">
        <f>'Data_in-situ'!DG448</f>
        <v>3</v>
      </c>
      <c r="T2289" s="113">
        <f>'Data_in-situ'!DN270</f>
        <v>9.7529199020319588</v>
      </c>
      <c r="U2289" s="113">
        <f>'Data_in-situ'!DO270</f>
        <v>10.616164230838427</v>
      </c>
      <c r="V2289" s="46">
        <f>'Data_in-situ'!DP270</f>
        <v>20</v>
      </c>
      <c r="W2289" s="113">
        <f>'Data_in-situ'!DR270</f>
        <v>1.5362827803916344E-2</v>
      </c>
      <c r="X2289" s="113">
        <f>'Data_in-situ'!DS270</f>
        <v>0.60544514040223285</v>
      </c>
      <c r="Y2289" s="46">
        <f>'Data_in-situ'!DT270</f>
        <v>20</v>
      </c>
      <c r="AF2289" s="113">
        <f>'Data_in-situ'!EN108</f>
        <v>-10.75</v>
      </c>
      <c r="AG2289" s="113">
        <f>'Data_in-situ'!EO108</f>
        <v>1.853</v>
      </c>
      <c r="AH2289" s="110">
        <f>'Data_in-situ'!EP108</f>
        <v>3</v>
      </c>
      <c r="AI2289" s="113">
        <f>'Data_in-situ'!ER108</f>
        <v>-20.14</v>
      </c>
      <c r="AJ2289" s="113">
        <f>'Data_in-situ'!ES108</f>
        <v>1.87</v>
      </c>
      <c r="AK2289" s="110">
        <f>'Data_in-situ'!ET108</f>
        <v>3</v>
      </c>
    </row>
    <row r="2290" spans="14:37" x14ac:dyDescent="0.3">
      <c r="N2290" s="24">
        <f>'Data_in-situ'!DA449</f>
        <v>-2676.6666666666665</v>
      </c>
      <c r="O2290" s="24">
        <f>'Data_in-situ'!DB449</f>
        <v>563</v>
      </c>
      <c r="P2290" s="46">
        <f>'Data_in-situ'!DC449</f>
        <v>3</v>
      </c>
      <c r="Q2290" s="24">
        <f>'Data_in-situ'!DE449</f>
        <v>-11000</v>
      </c>
      <c r="R2290" s="24">
        <f>'Data_in-situ'!DF449</f>
        <v>2602</v>
      </c>
      <c r="S2290" s="46">
        <f>'Data_in-situ'!DG449</f>
        <v>3</v>
      </c>
      <c r="T2290" s="113">
        <f>'Data_in-situ'!DN274</f>
        <v>185.20163025788599</v>
      </c>
      <c r="U2290" s="113">
        <f>'Data_in-situ'!DO274</f>
        <v>63.221490486987811</v>
      </c>
      <c r="V2290" s="46">
        <f>'Data_in-situ'!DP274</f>
        <v>5</v>
      </c>
      <c r="W2290" s="113">
        <f>'Data_in-situ'!DR274</f>
        <v>121.18643762191216</v>
      </c>
      <c r="X2290" s="113">
        <f>'Data_in-situ'!DS274</f>
        <v>57.510183803125116</v>
      </c>
      <c r="Y2290" s="46">
        <f>'Data_in-situ'!DT274</f>
        <v>5</v>
      </c>
      <c r="AF2290" s="113">
        <f>'Data_in-situ'!EN109</f>
        <v>-24.62</v>
      </c>
      <c r="AG2290" s="113">
        <f>'Data_in-situ'!EO109</f>
        <v>6.88</v>
      </c>
      <c r="AH2290" s="110">
        <f>'Data_in-situ'!EP109</f>
        <v>3</v>
      </c>
      <c r="AI2290" s="113">
        <f>'Data_in-situ'!ER109</f>
        <v>-23.22</v>
      </c>
      <c r="AJ2290" s="113">
        <f>'Data_in-situ'!ES109</f>
        <v>6.41</v>
      </c>
      <c r="AK2290" s="110">
        <f>'Data_in-situ'!ET109</f>
        <v>3</v>
      </c>
    </row>
    <row r="2291" spans="14:37" x14ac:dyDescent="0.3">
      <c r="N2291" s="24">
        <f>'Data_in-situ'!DA454</f>
        <v>-92854.643962848248</v>
      </c>
      <c r="O2291" s="24">
        <f>'Data_in-situ'!DB454</f>
        <v>8527.3893173831366</v>
      </c>
      <c r="P2291" s="46">
        <f>'Data_in-situ'!DC454</f>
        <v>3</v>
      </c>
      <c r="Q2291" s="24">
        <f>'Data_in-situ'!DE454</f>
        <v>-62856.84210526316</v>
      </c>
      <c r="R2291" s="24">
        <f>'Data_in-situ'!DF454</f>
        <v>12642.403019037374</v>
      </c>
      <c r="S2291" s="46">
        <f>'Data_in-situ'!DG454</f>
        <v>3</v>
      </c>
      <c r="T2291" s="113">
        <f>'Data_in-situ'!DN275</f>
        <v>72.37222075218537</v>
      </c>
      <c r="U2291" s="113">
        <f>'Data_in-situ'!DO275</f>
        <v>16.290298496553017</v>
      </c>
      <c r="V2291" s="46">
        <f>'Data_in-situ'!DP275</f>
        <v>5</v>
      </c>
      <c r="W2291" s="113">
        <f>'Data_in-situ'!DR275</f>
        <v>28.308613297303122</v>
      </c>
      <c r="X2291" s="113">
        <f>'Data_in-situ'!DS275</f>
        <v>7.7013419089793729</v>
      </c>
      <c r="Y2291" s="46">
        <f>'Data_in-situ'!DT275</f>
        <v>5</v>
      </c>
      <c r="AF2291" s="113">
        <f>'Data_in-situ'!EN110</f>
        <v>-6.95</v>
      </c>
      <c r="AG2291" s="113">
        <f>'Data_in-situ'!EO110</f>
        <v>1.41</v>
      </c>
      <c r="AH2291" s="110">
        <f>'Data_in-situ'!EP110</f>
        <v>3</v>
      </c>
      <c r="AI2291" s="113">
        <f>'Data_in-situ'!ER110</f>
        <v>-21.5</v>
      </c>
      <c r="AJ2291" s="113">
        <f>'Data_in-situ'!ES110</f>
        <v>1.76</v>
      </c>
      <c r="AK2291" s="110">
        <f>'Data_in-situ'!ET110</f>
        <v>3</v>
      </c>
    </row>
    <row r="2292" spans="14:37" x14ac:dyDescent="0.3">
      <c r="N2292" s="24">
        <f>'Data_in-situ'!DA455</f>
        <v>-92854.643962848248</v>
      </c>
      <c r="O2292" s="24">
        <f>'Data_in-situ'!DB455</f>
        <v>8527.3893173831366</v>
      </c>
      <c r="P2292" s="46">
        <f>'Data_in-situ'!DC455</f>
        <v>3</v>
      </c>
      <c r="Q2292" s="24">
        <f>'Data_in-situ'!DE455</f>
        <v>-50485.263157894762</v>
      </c>
      <c r="R2292" s="24">
        <f>'Data_in-situ'!DF455</f>
        <v>3652.2236993561119</v>
      </c>
      <c r="S2292" s="46">
        <f>'Data_in-situ'!DG455</f>
        <v>3</v>
      </c>
      <c r="T2292" s="113">
        <f>'Data_in-situ'!DN276</f>
        <v>49.465244035227812</v>
      </c>
      <c r="U2292" s="113">
        <f>'Data_in-situ'!DO276</f>
        <v>13.371607139963906</v>
      </c>
      <c r="V2292" s="46">
        <f>'Data_in-situ'!DP276</f>
        <v>5</v>
      </c>
      <c r="W2292" s="113">
        <f>'Data_in-situ'!DR276</f>
        <v>54.340166693175355</v>
      </c>
      <c r="X2292" s="113">
        <f>'Data_in-situ'!DS276</f>
        <v>13.781971178631771</v>
      </c>
      <c r="Y2292" s="46">
        <f>'Data_in-situ'!DT276</f>
        <v>5</v>
      </c>
      <c r="AF2292" s="113">
        <f>'Data_in-situ'!EN111</f>
        <v>-14.43</v>
      </c>
      <c r="AG2292" s="113">
        <f>'Data_in-situ'!EO111</f>
        <v>3.89</v>
      </c>
      <c r="AH2292" s="110">
        <f>'Data_in-situ'!EP111</f>
        <v>3</v>
      </c>
      <c r="AI2292" s="113">
        <f>'Data_in-situ'!ER111</f>
        <v>-28.3</v>
      </c>
      <c r="AJ2292" s="113">
        <f>'Data_in-situ'!ES111</f>
        <v>4.55</v>
      </c>
      <c r="AK2292" s="110">
        <f>'Data_in-situ'!ET111</f>
        <v>3</v>
      </c>
    </row>
    <row r="2293" spans="14:37" x14ac:dyDescent="0.3">
      <c r="T2293" s="113">
        <f>'Data_in-situ'!DN277</f>
        <v>161.00136320152035</v>
      </c>
      <c r="U2293" s="113">
        <f>'Data_in-situ'!DO277</f>
        <v>78.597780685425604</v>
      </c>
      <c r="V2293" s="46">
        <f>'Data_in-situ'!DP277</f>
        <v>5</v>
      </c>
      <c r="W2293" s="113">
        <f>'Data_in-situ'!DR277</f>
        <v>91.076976090565751</v>
      </c>
      <c r="X2293" s="113">
        <f>'Data_in-situ'!DS277</f>
        <v>23.599794088555864</v>
      </c>
      <c r="Y2293" s="46">
        <f>'Data_in-situ'!DT277</f>
        <v>5</v>
      </c>
      <c r="AF2293" s="113">
        <f>'Data_in-situ'!EN134</f>
        <v>-24.4</v>
      </c>
      <c r="AG2293" s="113">
        <f>'Data_in-situ'!EO134</f>
        <v>23.902301144450508</v>
      </c>
      <c r="AH2293" s="110">
        <f>'Data_in-situ'!EP134</f>
        <v>3</v>
      </c>
      <c r="AI2293" s="113">
        <f>'Data_in-situ'!ER134</f>
        <v>-57.4</v>
      </c>
      <c r="AJ2293" s="113">
        <f>'Data_in-situ'!ES134</f>
        <v>28.405633244129582</v>
      </c>
      <c r="AK2293" s="110">
        <f>'Data_in-situ'!ET134</f>
        <v>3</v>
      </c>
    </row>
    <row r="2294" spans="14:37" x14ac:dyDescent="0.3">
      <c r="T2294" s="113">
        <f>'Data_in-situ'!DN278</f>
        <v>33.182385393713595</v>
      </c>
      <c r="U2294" s="113">
        <f>'Data_in-situ'!DO278</f>
        <v>11.04758962718873</v>
      </c>
      <c r="V2294" s="46">
        <f>'Data_in-situ'!DP278</f>
        <v>5</v>
      </c>
      <c r="W2294" s="113">
        <f>'Data_in-situ'!DR278</f>
        <v>70.577515694920223</v>
      </c>
      <c r="X2294" s="113">
        <f>'Data_in-situ'!DS278</f>
        <v>17.997218807343039</v>
      </c>
      <c r="Y2294" s="46">
        <f>'Data_in-situ'!DT278</f>
        <v>5</v>
      </c>
      <c r="AF2294" s="113">
        <f>'Data_in-situ'!EN135</f>
        <v>-6.8927332639611532</v>
      </c>
      <c r="AG2294" s="113">
        <f>'Data_in-situ'!EO135</f>
        <v>1.3328157064282187</v>
      </c>
      <c r="AH2294" s="110">
        <f>'Data_in-situ'!EP135</f>
        <v>3</v>
      </c>
      <c r="AI2294" s="113">
        <f>'Data_in-situ'!ER135</f>
        <v>-25.764809902740932</v>
      </c>
      <c r="AJ2294" s="113">
        <f>'Data_in-situ'!ES135</f>
        <v>2.3806323207959159</v>
      </c>
      <c r="AK2294" s="110">
        <f>'Data_in-situ'!ET135</f>
        <v>3</v>
      </c>
    </row>
    <row r="2295" spans="14:37" x14ac:dyDescent="0.3">
      <c r="T2295" s="113">
        <f>'Data_in-situ'!DN279</f>
        <v>149.58826237069499</v>
      </c>
      <c r="U2295" s="113">
        <f>'Data_in-situ'!DO279</f>
        <v>54.002575188816245</v>
      </c>
      <c r="V2295" s="46">
        <f>'Data_in-situ'!DP279</f>
        <v>5</v>
      </c>
      <c r="W2295" s="113">
        <f>'Data_in-situ'!DR279</f>
        <v>185.74509306894518</v>
      </c>
      <c r="X2295" s="113">
        <f>'Data_in-situ'!DS279</f>
        <v>48.73879916451105</v>
      </c>
      <c r="Y2295" s="46">
        <f>'Data_in-situ'!DT279</f>
        <v>5</v>
      </c>
      <c r="AF2295" s="113">
        <f>'Data_in-situ'!EN136</f>
        <v>-7.2545662413056524</v>
      </c>
      <c r="AG2295" s="113">
        <f>'Data_in-situ'!EO136</f>
        <v>1.3531236339616048</v>
      </c>
      <c r="AH2295" s="110">
        <f>'Data_in-situ'!EP136</f>
        <v>3</v>
      </c>
      <c r="AI2295" s="113">
        <f>'Data_in-situ'!ER136</f>
        <v>-28.596491228070171</v>
      </c>
      <c r="AJ2295" s="113">
        <f>'Data_in-situ'!ES136</f>
        <v>2.2785559654849021</v>
      </c>
      <c r="AK2295" s="110">
        <f>'Data_in-situ'!ET136</f>
        <v>3</v>
      </c>
    </row>
    <row r="2296" spans="14:37" x14ac:dyDescent="0.3">
      <c r="T2296" s="113">
        <f>'Data_in-situ'!DN292</f>
        <v>3.0332504908479376</v>
      </c>
      <c r="U2296" s="113">
        <f>'Data_in-situ'!DO292</f>
        <v>6.9539999999999997</v>
      </c>
      <c r="V2296" s="46">
        <f>'Data_in-situ'!DP292</f>
        <v>6</v>
      </c>
      <c r="W2296" s="113">
        <f>'Data_in-situ'!DR292</f>
        <v>5.3718567649972807E-2</v>
      </c>
      <c r="X2296" s="113">
        <f>'Data_in-situ'!DS292</f>
        <v>0.48646678719420772</v>
      </c>
      <c r="Y2296" s="46">
        <f>'Data_in-situ'!DT292</f>
        <v>6</v>
      </c>
      <c r="AF2296" s="113">
        <f>'Data_in-situ'!EN137</f>
        <v>-6.8927332639611532</v>
      </c>
      <c r="AG2296" s="113">
        <f>'Data_in-situ'!EO137</f>
        <v>1.3328157064282187</v>
      </c>
      <c r="AH2296" s="110">
        <f>'Data_in-situ'!EP137</f>
        <v>3</v>
      </c>
      <c r="AI2296" s="113">
        <f>'Data_in-situ'!ER137</f>
        <v>-20.420000000000002</v>
      </c>
      <c r="AJ2296" s="113">
        <f>'Data_in-situ'!ES137</f>
        <v>3.03</v>
      </c>
      <c r="AK2296" s="110">
        <f>'Data_in-situ'!ET137</f>
        <v>3</v>
      </c>
    </row>
    <row r="2297" spans="14:37" x14ac:dyDescent="0.3">
      <c r="T2297" s="113">
        <f>'Data_in-situ'!DN293</f>
        <v>3.0332504908479376</v>
      </c>
      <c r="U2297" s="113">
        <f>'Data_in-situ'!DO293</f>
        <v>10.126673956829368</v>
      </c>
      <c r="V2297" s="46">
        <f>'Data_in-situ'!DP293</f>
        <v>6</v>
      </c>
      <c r="W2297" s="113">
        <f>'Data_in-situ'!DR293</f>
        <v>-0.10743713529994561</v>
      </c>
      <c r="X2297" s="113">
        <f>'Data_in-situ'!DS293</f>
        <v>0.27043803155784618</v>
      </c>
      <c r="Y2297" s="46">
        <f>'Data_in-situ'!DT293</f>
        <v>6</v>
      </c>
      <c r="AF2297" s="113">
        <f>'Data_in-situ'!EN138</f>
        <v>-7.2545662413056524</v>
      </c>
      <c r="AG2297" s="113">
        <f>'Data_in-situ'!EO138</f>
        <v>1.3531236339616048</v>
      </c>
      <c r="AH2297" s="110">
        <f>'Data_in-situ'!EP138</f>
        <v>3</v>
      </c>
      <c r="AI2297" s="113">
        <f>'Data_in-situ'!ER138</f>
        <v>-22.46</v>
      </c>
      <c r="AJ2297" s="113">
        <f>'Data_in-situ'!ES138</f>
        <v>2.21</v>
      </c>
      <c r="AK2297" s="110">
        <f>'Data_in-situ'!ET138</f>
        <v>3</v>
      </c>
    </row>
    <row r="2298" spans="14:37" x14ac:dyDescent="0.3">
      <c r="T2298" s="113">
        <f>'Data_in-situ'!DN294</f>
        <v>3.0332504908479376</v>
      </c>
      <c r="U2298" s="113">
        <f>'Data_in-situ'!DO294</f>
        <v>10.126673956829368</v>
      </c>
      <c r="V2298" s="46">
        <f>'Data_in-situ'!DP294</f>
        <v>6</v>
      </c>
      <c r="W2298" s="113">
        <f>'Data_in-situ'!DR294</f>
        <v>-0.10743713529994561</v>
      </c>
      <c r="X2298" s="113">
        <f>'Data_in-situ'!DS294</f>
        <v>0.39119879833905941</v>
      </c>
      <c r="Y2298" s="46">
        <f>'Data_in-situ'!DT294</f>
        <v>6</v>
      </c>
      <c r="AF2298" s="113">
        <f>'Data_in-situ'!EN139</f>
        <v>-6.8927332639611532</v>
      </c>
      <c r="AG2298" s="113">
        <f>'Data_in-situ'!EO139</f>
        <v>1.3328157064282187</v>
      </c>
      <c r="AH2298" s="110">
        <f>'Data_in-situ'!EP139</f>
        <v>3</v>
      </c>
      <c r="AI2298" s="113">
        <f>'Data_in-situ'!ER139</f>
        <v>-16.070318436140084</v>
      </c>
      <c r="AJ2298" s="113">
        <f>'Data_in-situ'!ES139</f>
        <v>1.1726469643872839</v>
      </c>
      <c r="AK2298" s="110">
        <f>'Data_in-situ'!ET139</f>
        <v>3</v>
      </c>
    </row>
    <row r="2299" spans="14:37" x14ac:dyDescent="0.3">
      <c r="T2299" s="113">
        <f>'Data_in-situ'!DN295</f>
        <v>3.0332504908479376</v>
      </c>
      <c r="U2299" s="113">
        <f>'Data_in-situ'!DO295</f>
        <v>10.126673956829368</v>
      </c>
      <c r="V2299" s="46">
        <f>'Data_in-situ'!DP295</f>
        <v>6</v>
      </c>
      <c r="W2299" s="113">
        <f>'Data_in-situ'!DR295</f>
        <v>-5.3718567649972807E-2</v>
      </c>
      <c r="X2299" s="113">
        <f>'Data_in-situ'!DS295</f>
        <v>0.37987896850363267</v>
      </c>
      <c r="Y2299" s="46">
        <f>'Data_in-situ'!DT295</f>
        <v>6</v>
      </c>
      <c r="AF2299" s="113">
        <f>'Data_in-situ'!EN140</f>
        <v>-7.2545662413056524</v>
      </c>
      <c r="AG2299" s="113">
        <f>'Data_in-situ'!EO140</f>
        <v>1.3531236339616048</v>
      </c>
      <c r="AH2299" s="110">
        <f>'Data_in-situ'!EP140</f>
        <v>3</v>
      </c>
      <c r="AI2299" s="113">
        <f>'Data_in-situ'!ER140</f>
        <v>-18.404147413501633</v>
      </c>
      <c r="AJ2299" s="113">
        <f>'Data_in-situ'!ES140</f>
        <v>1.4652840768454194</v>
      </c>
      <c r="AK2299" s="110">
        <f>'Data_in-situ'!ET140</f>
        <v>3</v>
      </c>
    </row>
    <row r="2300" spans="14:37" x14ac:dyDescent="0.3">
      <c r="T2300" s="113">
        <f>'Data_in-situ'!DN296</f>
        <v>11.627460214917093</v>
      </c>
      <c r="U2300" s="113">
        <f>'Data_in-situ'!DO296</f>
        <v>19.919328099494376</v>
      </c>
      <c r="V2300" s="46">
        <f>'Data_in-situ'!DP296</f>
        <v>6</v>
      </c>
      <c r="W2300" s="113">
        <f>'Data_in-situ'!DR296</f>
        <v>5.3718567649972807E-2</v>
      </c>
      <c r="X2300" s="113">
        <f>'Data_in-situ'!DS296</f>
        <v>0.48646678719420772</v>
      </c>
      <c r="Y2300" s="46">
        <f>'Data_in-situ'!DT296</f>
        <v>6</v>
      </c>
      <c r="AF2300" s="113">
        <f>'Data_in-situ'!EN141</f>
        <v>-0.59</v>
      </c>
      <c r="AG2300" s="113">
        <f>'Data_in-situ'!EO141</f>
        <v>1.75</v>
      </c>
      <c r="AH2300" s="110">
        <f>'Data_in-situ'!EP141</f>
        <v>4</v>
      </c>
      <c r="AI2300" s="113">
        <f>'Data_in-situ'!ER141</f>
        <v>-18.989999999999998</v>
      </c>
      <c r="AJ2300" s="113">
        <f>'Data_in-situ'!ES141</f>
        <v>2.77</v>
      </c>
      <c r="AK2300" s="110">
        <f>'Data_in-situ'!ET141</f>
        <v>4</v>
      </c>
    </row>
    <row r="2301" spans="14:37" x14ac:dyDescent="0.3">
      <c r="T2301" s="113">
        <f>'Data_in-situ'!DN297</f>
        <v>11.627460214917093</v>
      </c>
      <c r="U2301" s="113">
        <f>'Data_in-situ'!DO297</f>
        <v>19.919328099494376</v>
      </c>
      <c r="V2301" s="46">
        <f>'Data_in-situ'!DP297</f>
        <v>6</v>
      </c>
      <c r="W2301" s="113">
        <f>'Data_in-situ'!DR297</f>
        <v>-0.10743713529994561</v>
      </c>
      <c r="X2301" s="113">
        <f>'Data_in-situ'!DS297</f>
        <v>0.28944787367187741</v>
      </c>
      <c r="Y2301" s="46">
        <f>'Data_in-situ'!DT297</f>
        <v>6</v>
      </c>
      <c r="AF2301" s="113">
        <f>'Data_in-situ'!EN142</f>
        <v>-2.0499999999999998</v>
      </c>
      <c r="AG2301" s="113">
        <f>'Data_in-situ'!EO142</f>
        <v>1.38</v>
      </c>
      <c r="AH2301" s="110">
        <f>'Data_in-situ'!EP142</f>
        <v>4</v>
      </c>
      <c r="AI2301" s="113">
        <f>'Data_in-situ'!ER142</f>
        <v>-16.7</v>
      </c>
      <c r="AJ2301" s="113">
        <f>'Data_in-situ'!ES142</f>
        <v>1.42</v>
      </c>
      <c r="AK2301" s="110">
        <f>'Data_in-situ'!ET142</f>
        <v>4</v>
      </c>
    </row>
    <row r="2302" spans="14:37" x14ac:dyDescent="0.3">
      <c r="T2302" s="113">
        <f>'Data_in-situ'!DN298</f>
        <v>11.627460214917093</v>
      </c>
      <c r="U2302" s="113">
        <f>'Data_in-situ'!DO298</f>
        <v>19.919328099494376</v>
      </c>
      <c r="V2302" s="46">
        <f>'Data_in-situ'!DP298</f>
        <v>6</v>
      </c>
      <c r="W2302" s="113">
        <f>'Data_in-situ'!DR298</f>
        <v>-0.10743713529994561</v>
      </c>
      <c r="X2302" s="113">
        <f>'Data_in-situ'!DS298</f>
        <v>0.39119879833905941</v>
      </c>
      <c r="Y2302" s="46">
        <f>'Data_in-situ'!DT298</f>
        <v>6</v>
      </c>
      <c r="AF2302" s="113">
        <f>'Data_in-situ'!EN143</f>
        <v>-0.59</v>
      </c>
      <c r="AG2302" s="113">
        <f>'Data_in-situ'!EO143</f>
        <v>1.75</v>
      </c>
      <c r="AH2302" s="110">
        <f>'Data_in-situ'!EP143</f>
        <v>4</v>
      </c>
      <c r="AI2302" s="113">
        <f>'Data_in-situ'!ER143</f>
        <v>-17.329999999999998</v>
      </c>
      <c r="AJ2302" s="113">
        <f>'Data_in-situ'!ES143</f>
        <v>1.8</v>
      </c>
      <c r="AK2302" s="110">
        <f>'Data_in-situ'!ET143</f>
        <v>4</v>
      </c>
    </row>
    <row r="2303" spans="14:37" x14ac:dyDescent="0.3">
      <c r="T2303" s="113">
        <f>'Data_in-situ'!DN299</f>
        <v>11.627460214917093</v>
      </c>
      <c r="U2303" s="113">
        <f>'Data_in-situ'!DO299</f>
        <v>19.919328099494376</v>
      </c>
      <c r="V2303" s="46">
        <f>'Data_in-situ'!DP299</f>
        <v>6</v>
      </c>
      <c r="W2303" s="113">
        <f>'Data_in-situ'!DR299</f>
        <v>-5.3718567649972807E-2</v>
      </c>
      <c r="X2303" s="113">
        <f>'Data_in-situ'!DS299</f>
        <v>0.37987896850363267</v>
      </c>
      <c r="Y2303" s="46">
        <f>'Data_in-situ'!DT299</f>
        <v>6</v>
      </c>
      <c r="AF2303" s="113">
        <f>'Data_in-situ'!EN144</f>
        <v>-2.0499999999999998</v>
      </c>
      <c r="AG2303" s="113">
        <f>'Data_in-situ'!EO144</f>
        <v>1.38</v>
      </c>
      <c r="AH2303" s="110">
        <f>'Data_in-situ'!EP144</f>
        <v>4</v>
      </c>
      <c r="AI2303" s="113">
        <f>'Data_in-situ'!ER144</f>
        <v>-21.37</v>
      </c>
      <c r="AJ2303" s="113">
        <f>'Data_in-situ'!ES144</f>
        <v>1.45</v>
      </c>
      <c r="AK2303" s="110">
        <f>'Data_in-situ'!ET144</f>
        <v>4</v>
      </c>
    </row>
    <row r="2304" spans="14:37" x14ac:dyDescent="0.3">
      <c r="T2304" s="113">
        <f>'Data_in-situ'!DN300</f>
        <v>13.144085460341062</v>
      </c>
      <c r="U2304" s="113">
        <f>'Data_in-situ'!DO300</f>
        <v>20.285444054594439</v>
      </c>
      <c r="V2304" s="46">
        <f>'Data_in-situ'!DP300</f>
        <v>6</v>
      </c>
      <c r="W2304" s="113">
        <f>'Data_in-situ'!DR300</f>
        <v>5.3718567649972807E-2</v>
      </c>
      <c r="X2304" s="113">
        <f>'Data_in-situ'!DS300</f>
        <v>0.48646678719420772</v>
      </c>
      <c r="Y2304" s="46">
        <f>'Data_in-situ'!DT300</f>
        <v>6</v>
      </c>
      <c r="AF2304" s="113">
        <f>'Data_in-situ'!EN145</f>
        <v>-5</v>
      </c>
      <c r="AG2304" s="113">
        <f>'Data_in-situ'!EO145</f>
        <v>2.0374819937564665</v>
      </c>
      <c r="AH2304" s="110">
        <f>'Data_in-situ'!EP145</f>
        <v>4</v>
      </c>
      <c r="AI2304" s="113">
        <f>'Data_in-situ'!ER145</f>
        <v>-7.666666666666667</v>
      </c>
      <c r="AJ2304" s="113">
        <f>'Data_in-situ'!ES145</f>
        <v>1.7389077435704887</v>
      </c>
      <c r="AK2304" s="110">
        <f>'Data_in-situ'!ET145</f>
        <v>6</v>
      </c>
    </row>
    <row r="2305" spans="20:37" x14ac:dyDescent="0.3">
      <c r="T2305" s="113">
        <f>'Data_in-situ'!DN301</f>
        <v>13.144085460341062</v>
      </c>
      <c r="U2305" s="113">
        <f>'Data_in-situ'!DO301</f>
        <v>20.285444054594439</v>
      </c>
      <c r="V2305" s="46">
        <f>'Data_in-situ'!DP301</f>
        <v>6</v>
      </c>
      <c r="W2305" s="113">
        <f>'Data_in-situ'!DR301</f>
        <v>-0.10743713529994561</v>
      </c>
      <c r="X2305" s="113">
        <f>'Data_in-situ'!DS301</f>
        <v>0.28944787367187741</v>
      </c>
      <c r="Y2305" s="46">
        <f>'Data_in-situ'!DT301</f>
        <v>6</v>
      </c>
      <c r="AF2305" s="113">
        <f>'Data_in-situ'!EN146</f>
        <v>-5</v>
      </c>
      <c r="AG2305" s="113">
        <f>'Data_in-situ'!EO146</f>
        <v>2.0374819937564665</v>
      </c>
      <c r="AH2305" s="110">
        <f>'Data_in-situ'!EP146</f>
        <v>4</v>
      </c>
      <c r="AI2305" s="113">
        <f>'Data_in-situ'!ER146</f>
        <v>-54.4</v>
      </c>
      <c r="AJ2305" s="113">
        <f>'Data_in-situ'!ES146</f>
        <v>12.338684510900162</v>
      </c>
      <c r="AK2305" s="110">
        <f>'Data_in-situ'!ET146</f>
        <v>6</v>
      </c>
    </row>
    <row r="2306" spans="20:37" x14ac:dyDescent="0.3">
      <c r="T2306" s="113">
        <f>'Data_in-situ'!DN302</f>
        <v>13.144085460341062</v>
      </c>
      <c r="U2306" s="113">
        <f>'Data_in-situ'!DO302</f>
        <v>20.285444054594439</v>
      </c>
      <c r="V2306" s="46">
        <f>'Data_in-situ'!DP302</f>
        <v>6</v>
      </c>
      <c r="W2306" s="113">
        <f>'Data_in-situ'!DR302</f>
        <v>-0.10743713529994561</v>
      </c>
      <c r="X2306" s="113">
        <f>'Data_in-situ'!DS302</f>
        <v>0.39119879833905941</v>
      </c>
      <c r="Y2306" s="46">
        <f>'Data_in-situ'!DT302</f>
        <v>6</v>
      </c>
      <c r="AF2306" s="113">
        <f>'Data_in-situ'!EN179</f>
        <v>-6.75</v>
      </c>
      <c r="AG2306" s="113">
        <f>'Data_in-situ'!EO179</f>
        <v>4.0326790102858423</v>
      </c>
      <c r="AH2306" s="110">
        <f>'Data_in-situ'!EP179</f>
        <v>3</v>
      </c>
      <c r="AI2306" s="113">
        <f>'Data_in-situ'!ER179</f>
        <v>-13.2</v>
      </c>
      <c r="AJ2306" s="113">
        <f>'Data_in-situ'!ES179</f>
        <v>6.5</v>
      </c>
      <c r="AK2306" s="110">
        <f>'Data_in-situ'!ET179</f>
        <v>3</v>
      </c>
    </row>
    <row r="2307" spans="20:37" x14ac:dyDescent="0.3">
      <c r="T2307" s="113">
        <f>'Data_in-situ'!DN303</f>
        <v>13.144085460341062</v>
      </c>
      <c r="U2307" s="113">
        <f>'Data_in-situ'!DO303</f>
        <v>20.285444054594439</v>
      </c>
      <c r="V2307" s="46">
        <f>'Data_in-situ'!DP303</f>
        <v>6</v>
      </c>
      <c r="W2307" s="113">
        <f>'Data_in-situ'!DR303</f>
        <v>-5.3718567649972807E-2</v>
      </c>
      <c r="X2307" s="113">
        <f>'Data_in-situ'!DS303</f>
        <v>0.39119879833905941</v>
      </c>
      <c r="Y2307" s="46">
        <f>'Data_in-situ'!DT303</f>
        <v>6</v>
      </c>
      <c r="AF2307" s="113">
        <f>'Data_in-situ'!EN180</f>
        <v>-7.05</v>
      </c>
      <c r="AG2307" s="113">
        <f>'Data_in-situ'!EO180</f>
        <v>2.8714108030722461</v>
      </c>
      <c r="AH2307" s="110">
        <f>'Data_in-situ'!EP180</f>
        <v>3</v>
      </c>
      <c r="AI2307" s="113">
        <f>'Data_in-situ'!ER180</f>
        <v>-16.899999999999999</v>
      </c>
      <c r="AJ2307" s="113">
        <f>'Data_in-situ'!ES180</f>
        <v>10.5</v>
      </c>
      <c r="AK2307" s="110">
        <f>'Data_in-situ'!ET180</f>
        <v>3</v>
      </c>
    </row>
    <row r="2308" spans="20:37" x14ac:dyDescent="0.3">
      <c r="T2308" s="113">
        <f>'Data_in-situ'!DN304</f>
        <v>0.25277087423732814</v>
      </c>
      <c r="U2308" s="113">
        <f>'Data_in-situ'!DO304</f>
        <v>2.0397555922164208</v>
      </c>
      <c r="V2308" s="46">
        <f>'Data_in-situ'!DP304</f>
        <v>6</v>
      </c>
      <c r="W2308" s="113">
        <f>'Data_in-situ'!DR304</f>
        <v>-0.16115570294991843</v>
      </c>
      <c r="X2308" s="113">
        <f>'Data_in-situ'!DS304</f>
        <v>0.5610292847687105</v>
      </c>
      <c r="Y2308" s="46">
        <f>'Data_in-situ'!DT304</f>
        <v>6</v>
      </c>
      <c r="AF2308" s="113">
        <f>'Data_in-situ'!EN181</f>
        <v>-8.5500000000000007</v>
      </c>
      <c r="AG2308" s="113">
        <f>'Data_in-situ'!EO181</f>
        <v>4.9678969393496883</v>
      </c>
      <c r="AH2308" s="110">
        <f>'Data_in-situ'!EP181</f>
        <v>3</v>
      </c>
      <c r="AI2308" s="113">
        <f>'Data_in-situ'!ER181</f>
        <v>-16.2</v>
      </c>
      <c r="AJ2308" s="113">
        <f>'Data_in-situ'!ES181</f>
        <v>8</v>
      </c>
      <c r="AK2308" s="110">
        <f>'Data_in-situ'!ET181</f>
        <v>3</v>
      </c>
    </row>
    <row r="2309" spans="20:37" x14ac:dyDescent="0.3">
      <c r="T2309" s="113">
        <f>'Data_in-situ'!DN305</f>
        <v>0.25277087423732814</v>
      </c>
      <c r="U2309" s="113">
        <f>'Data_in-situ'!DO305</f>
        <v>2.0397555922164208</v>
      </c>
      <c r="V2309" s="46">
        <f>'Data_in-situ'!DP305</f>
        <v>6</v>
      </c>
      <c r="W2309" s="113">
        <f>'Data_in-situ'!DR305</f>
        <v>-0.16115570294991843</v>
      </c>
      <c r="X2309" s="113">
        <f>'Data_in-situ'!DS305</f>
        <v>0.5610292847687105</v>
      </c>
      <c r="Y2309" s="46">
        <f>'Data_in-situ'!DT305</f>
        <v>6</v>
      </c>
      <c r="AF2309" s="113">
        <f>'Data_in-situ'!EN201</f>
        <v>7.1</v>
      </c>
      <c r="AG2309" s="113">
        <f>'Data_in-situ'!EO201</f>
        <v>1.3435028842544376</v>
      </c>
      <c r="AH2309" s="110">
        <f>'Data_in-situ'!EP201</f>
        <v>3</v>
      </c>
      <c r="AI2309" s="113">
        <f>'Data_in-situ'!ER201</f>
        <v>-26</v>
      </c>
      <c r="AJ2309" s="113">
        <f>'Data_in-situ'!ES201</f>
        <v>5.6568542494923806</v>
      </c>
      <c r="AK2309" s="110">
        <f>'Data_in-situ'!ET201</f>
        <v>3</v>
      </c>
    </row>
    <row r="2310" spans="20:37" x14ac:dyDescent="0.3">
      <c r="T2310" s="113">
        <f>'Data_in-situ'!DN306</f>
        <v>0.25277087423732814</v>
      </c>
      <c r="U2310" s="113">
        <f>'Data_in-situ'!DO306</f>
        <v>2.0397555922164208</v>
      </c>
      <c r="V2310" s="46">
        <f>'Data_in-situ'!DP306</f>
        <v>6</v>
      </c>
      <c r="W2310" s="113">
        <f>'Data_in-situ'!DR306</f>
        <v>-0.16115570294991843</v>
      </c>
      <c r="X2310" s="113">
        <f>'Data_in-situ'!DS306</f>
        <v>0.50982923873701236</v>
      </c>
      <c r="Y2310" s="46">
        <f>'Data_in-situ'!DT306</f>
        <v>6</v>
      </c>
      <c r="AF2310" s="113">
        <f>'Data_in-situ'!EN202</f>
        <v>14.2</v>
      </c>
      <c r="AG2310" s="113">
        <f>'Data_in-situ'!EO202</f>
        <v>1.9091883092036779</v>
      </c>
      <c r="AH2310" s="110">
        <f>'Data_in-situ'!EP202</f>
        <v>3</v>
      </c>
      <c r="AI2310" s="113">
        <f>'Data_in-situ'!ER202</f>
        <v>-26.3</v>
      </c>
      <c r="AJ2310" s="113">
        <f>'Data_in-situ'!ES202</f>
        <v>4.6669047558312107</v>
      </c>
      <c r="AK2310" s="110">
        <f>'Data_in-situ'!ET202</f>
        <v>3</v>
      </c>
    </row>
    <row r="2311" spans="20:37" x14ac:dyDescent="0.3">
      <c r="T2311" s="113">
        <f>'Data_in-situ'!DN307</f>
        <v>0.25277087423732814</v>
      </c>
      <c r="U2311" s="113">
        <f>'Data_in-situ'!DO307</f>
        <v>2.0397555922164208</v>
      </c>
      <c r="V2311" s="46">
        <f>'Data_in-situ'!DP307</f>
        <v>6</v>
      </c>
      <c r="W2311" s="113">
        <f>'Data_in-situ'!DR307</f>
        <v>-0.21487427059989123</v>
      </c>
      <c r="X2311" s="113">
        <f>'Data_in-situ'!DS307</f>
        <v>0.52942636938081877</v>
      </c>
      <c r="Y2311" s="46">
        <f>'Data_in-situ'!DT307</f>
        <v>6</v>
      </c>
      <c r="AF2311" s="113">
        <f>'Data_in-situ'!EN211</f>
        <v>-15</v>
      </c>
      <c r="AG2311" s="113">
        <f>'Data_in-situ'!EO211</f>
        <v>13</v>
      </c>
      <c r="AH2311" s="110">
        <f>'Data_in-situ'!EP211</f>
        <v>9836</v>
      </c>
      <c r="AI2311" s="113">
        <f>'Data_in-situ'!ER211</f>
        <v>-22</v>
      </c>
      <c r="AJ2311" s="113">
        <f>'Data_in-situ'!ES211</f>
        <v>10</v>
      </c>
      <c r="AK2311" s="110">
        <f>'Data_in-situ'!ET211</f>
        <v>11052</v>
      </c>
    </row>
    <row r="2312" spans="20:37" x14ac:dyDescent="0.3">
      <c r="T2312" s="113">
        <f>'Data_in-situ'!DN308</f>
        <v>1.2638543711866406</v>
      </c>
      <c r="U2312" s="113">
        <f>'Data_in-situ'!DO308</f>
        <v>3.7827422106480872</v>
      </c>
      <c r="V2312" s="46">
        <f>'Data_in-situ'!DP308</f>
        <v>6</v>
      </c>
      <c r="W2312" s="113">
        <f>'Data_in-situ'!DR308</f>
        <v>-0.16115570294991843</v>
      </c>
      <c r="X2312" s="113">
        <f>'Data_in-situ'!DS308</f>
        <v>0.5610292847687105</v>
      </c>
      <c r="Y2312" s="46">
        <f>'Data_in-situ'!DT308</f>
        <v>6</v>
      </c>
      <c r="AF2312" s="113">
        <f>'Data_in-situ'!EN212</f>
        <v>-15</v>
      </c>
      <c r="AG2312" s="113">
        <f>'Data_in-situ'!EO212</f>
        <v>13</v>
      </c>
      <c r="AH2312" s="110">
        <f>'Data_in-situ'!EP212</f>
        <v>9836</v>
      </c>
      <c r="AI2312" s="113">
        <f>'Data_in-situ'!ER212</f>
        <v>-68</v>
      </c>
      <c r="AJ2312" s="113">
        <f>'Data_in-situ'!ES212</f>
        <v>23</v>
      </c>
      <c r="AK2312" s="110">
        <f>'Data_in-situ'!ET212</f>
        <v>11052</v>
      </c>
    </row>
    <row r="2313" spans="20:37" x14ac:dyDescent="0.3">
      <c r="T2313" s="113">
        <f>'Data_in-situ'!DN309</f>
        <v>1.2638543711866406</v>
      </c>
      <c r="U2313" s="113">
        <f>'Data_in-situ'!DO309</f>
        <v>3.7827422106480872</v>
      </c>
      <c r="V2313" s="46">
        <f>'Data_in-situ'!DP309</f>
        <v>6</v>
      </c>
      <c r="W2313" s="113">
        <f>'Data_in-situ'!DR309</f>
        <v>-0.16115570294991843</v>
      </c>
      <c r="X2313" s="113">
        <f>'Data_in-situ'!DS309</f>
        <v>0.5610292847687105</v>
      </c>
      <c r="Y2313" s="46">
        <f>'Data_in-situ'!DT309</f>
        <v>6</v>
      </c>
      <c r="AF2313" s="113">
        <f>'Data_in-situ'!EN213</f>
        <v>-14.909844559585478</v>
      </c>
      <c r="AG2313" s="113">
        <f>'Data_in-situ'!EO213</f>
        <v>1.0723470663621506</v>
      </c>
      <c r="AH2313" s="110">
        <f>'Data_in-situ'!EP213</f>
        <v>3</v>
      </c>
      <c r="AI2313" s="113">
        <f>'Data_in-situ'!ER213</f>
        <v>-31.98942141623488</v>
      </c>
      <c r="AJ2313" s="113">
        <f>'Data_in-situ'!ES213</f>
        <v>1.5801931444910506</v>
      </c>
      <c r="AK2313" s="110">
        <f>'Data_in-situ'!ET213</f>
        <v>3</v>
      </c>
    </row>
    <row r="2314" spans="20:37" x14ac:dyDescent="0.3">
      <c r="T2314" s="113">
        <f>'Data_in-situ'!DN310</f>
        <v>1.2638543711866406</v>
      </c>
      <c r="U2314" s="113">
        <f>'Data_in-situ'!DO310</f>
        <v>3.7827422106480872</v>
      </c>
      <c r="V2314" s="46">
        <f>'Data_in-situ'!DP310</f>
        <v>6</v>
      </c>
      <c r="W2314" s="113">
        <f>'Data_in-situ'!DR310</f>
        <v>-0.16115570294991843</v>
      </c>
      <c r="X2314" s="113">
        <f>'Data_in-situ'!DS310</f>
        <v>0.5610292847687105</v>
      </c>
      <c r="Y2314" s="46">
        <f>'Data_in-situ'!DT310</f>
        <v>6</v>
      </c>
      <c r="AF2314" s="113">
        <f>'Data_in-situ'!EN214</f>
        <v>-13.449581506576324</v>
      </c>
      <c r="AG2314" s="113">
        <f>'Data_in-situ'!EO214</f>
        <v>1.4236979793576987</v>
      </c>
      <c r="AH2314" s="110">
        <f>'Data_in-situ'!EP214</f>
        <v>3</v>
      </c>
      <c r="AI2314" s="113">
        <f>'Data_in-situ'!ER214</f>
        <v>-31.606217616580317</v>
      </c>
      <c r="AJ2314" s="113">
        <f>'Data_in-situ'!ES214</f>
        <v>2.0517717022532898</v>
      </c>
      <c r="AK2314" s="110">
        <f>'Data_in-situ'!ET214</f>
        <v>3</v>
      </c>
    </row>
    <row r="2315" spans="20:37" x14ac:dyDescent="0.3">
      <c r="T2315" s="113">
        <f>'Data_in-situ'!DN311</f>
        <v>1.2638543711866406</v>
      </c>
      <c r="U2315" s="113">
        <f>'Data_in-situ'!DO311</f>
        <v>3.7827422106480872</v>
      </c>
      <c r="V2315" s="46">
        <f>'Data_in-situ'!DP311</f>
        <v>6</v>
      </c>
      <c r="W2315" s="113">
        <f>'Data_in-situ'!DR311</f>
        <v>-0.21487427059989123</v>
      </c>
      <c r="X2315" s="113">
        <f>'Data_in-situ'!DS311</f>
        <v>0.52942636938081877</v>
      </c>
      <c r="Y2315" s="46">
        <f>'Data_in-situ'!DT311</f>
        <v>6</v>
      </c>
      <c r="AF2315" s="113">
        <f>'Data_in-situ'!EN216</f>
        <v>-15</v>
      </c>
      <c r="AG2315" s="113">
        <f>'Data_in-situ'!EO216</f>
        <v>6.1124459812694001</v>
      </c>
      <c r="AH2315" s="110">
        <f>'Data_in-situ'!EP216</f>
        <v>3</v>
      </c>
      <c r="AI2315" s="113">
        <f>'Data_in-situ'!ER216</f>
        <v>-38</v>
      </c>
      <c r="AJ2315" s="113">
        <f>'Data_in-situ'!ES216</f>
        <v>8.6189340333493778</v>
      </c>
      <c r="AK2315" s="110">
        <f>'Data_in-situ'!ET216</f>
        <v>3</v>
      </c>
    </row>
    <row r="2316" spans="20:37" x14ac:dyDescent="0.3">
      <c r="T2316" s="113">
        <f>'Data_in-situ'!DN312</f>
        <v>0.75831262271198441</v>
      </c>
      <c r="U2316" s="113">
        <f>'Data_in-situ'!DO312</f>
        <v>2.1753507933433238</v>
      </c>
      <c r="V2316" s="46">
        <f>'Data_in-situ'!DP312</f>
        <v>6</v>
      </c>
      <c r="W2316" s="113">
        <f>'Data_in-situ'!DR312</f>
        <v>-0.16115570294991843</v>
      </c>
      <c r="X2316" s="113">
        <f>'Data_in-situ'!DS312</f>
        <v>0.5610292847687105</v>
      </c>
      <c r="Y2316" s="46">
        <f>'Data_in-situ'!DT312</f>
        <v>6</v>
      </c>
      <c r="AF2316" s="113">
        <f>'Data_in-situ'!EN231</f>
        <v>-11</v>
      </c>
      <c r="AG2316" s="113">
        <f>'Data_in-situ'!EO231</f>
        <v>4.4824603862642265</v>
      </c>
      <c r="AH2316" s="110">
        <f>'Data_in-situ'!EP231</f>
        <v>3</v>
      </c>
      <c r="AI2316" s="113">
        <f>'Data_in-situ'!ER231</f>
        <v>-23</v>
      </c>
      <c r="AJ2316" s="113">
        <f>'Data_in-situ'!ES231</f>
        <v>5.2167232307114659</v>
      </c>
      <c r="AK2316" s="110">
        <f>'Data_in-situ'!ET231</f>
        <v>3</v>
      </c>
    </row>
    <row r="2317" spans="20:37" x14ac:dyDescent="0.3">
      <c r="T2317" s="113">
        <f>'Data_in-situ'!DN313</f>
        <v>0.75831262271198441</v>
      </c>
      <c r="U2317" s="113">
        <f>'Data_in-situ'!DO313</f>
        <v>2.1753507933433238</v>
      </c>
      <c r="V2317" s="46">
        <f>'Data_in-situ'!DP313</f>
        <v>6</v>
      </c>
      <c r="W2317" s="113">
        <f>'Data_in-situ'!DR313</f>
        <v>-0.16115570294991843</v>
      </c>
      <c r="X2317" s="113">
        <f>'Data_in-situ'!DS313</f>
        <v>0.5610292847687105</v>
      </c>
      <c r="Y2317" s="46">
        <f>'Data_in-situ'!DT313</f>
        <v>6</v>
      </c>
      <c r="AF2317" s="113">
        <f>'Data_in-situ'!EN232</f>
        <v>-11</v>
      </c>
      <c r="AG2317" s="113">
        <f>'Data_in-situ'!EO232</f>
        <v>4.4824603862642265</v>
      </c>
      <c r="AH2317" s="110">
        <f>'Data_in-situ'!EP232</f>
        <v>3</v>
      </c>
      <c r="AI2317" s="113">
        <f>'Data_in-situ'!ER232</f>
        <v>-23</v>
      </c>
      <c r="AJ2317" s="113">
        <f>'Data_in-situ'!ES232</f>
        <v>5.2167232307114659</v>
      </c>
      <c r="AK2317" s="110">
        <f>'Data_in-situ'!ET232</f>
        <v>3</v>
      </c>
    </row>
    <row r="2318" spans="20:37" x14ac:dyDescent="0.3">
      <c r="T2318" s="113">
        <f>'Data_in-situ'!DN314</f>
        <v>0.75831262271198441</v>
      </c>
      <c r="U2318" s="113">
        <f>'Data_in-situ'!DO314</f>
        <v>2.1753507933433238</v>
      </c>
      <c r="V2318" s="46">
        <f>'Data_in-situ'!DP314</f>
        <v>6</v>
      </c>
      <c r="W2318" s="113">
        <f>'Data_in-situ'!DR314</f>
        <v>-0.16115570294991843</v>
      </c>
      <c r="X2318" s="113">
        <f>'Data_in-situ'!DS314</f>
        <v>0.52942636938081877</v>
      </c>
      <c r="Y2318" s="46">
        <f>'Data_in-situ'!DT314</f>
        <v>6</v>
      </c>
      <c r="AF2318" s="113">
        <f>'Data_in-situ'!EN233</f>
        <v>-15</v>
      </c>
      <c r="AG2318" s="113">
        <f>'Data_in-situ'!EO233</f>
        <v>6.1124459812694001</v>
      </c>
      <c r="AH2318" s="110">
        <f>'Data_in-situ'!EP233</f>
        <v>3</v>
      </c>
      <c r="AI2318" s="113">
        <f>'Data_in-situ'!ER233</f>
        <v>-20</v>
      </c>
      <c r="AJ2318" s="113">
        <f>'Data_in-situ'!ES233</f>
        <v>4.5362810701838834</v>
      </c>
      <c r="AK2318" s="110">
        <f>'Data_in-situ'!ET233</f>
        <v>3</v>
      </c>
    </row>
    <row r="2319" spans="20:37" x14ac:dyDescent="0.3">
      <c r="T2319" s="113">
        <f>'Data_in-situ'!DN315</f>
        <v>0.75831262271198441</v>
      </c>
      <c r="U2319" s="113">
        <f>'Data_in-situ'!DO315</f>
        <v>2.1753507933433238</v>
      </c>
      <c r="V2319" s="46">
        <f>'Data_in-situ'!DP315</f>
        <v>6</v>
      </c>
      <c r="W2319" s="113">
        <f>'Data_in-situ'!DR315</f>
        <v>-0.21487427059989123</v>
      </c>
      <c r="X2319" s="113">
        <f>'Data_in-situ'!DS315</f>
        <v>0.52942636938081877</v>
      </c>
      <c r="Y2319" s="46">
        <f>'Data_in-situ'!DT315</f>
        <v>6</v>
      </c>
      <c r="AF2319" s="113">
        <f>'Data_in-situ'!EN234</f>
        <v>-15</v>
      </c>
      <c r="AG2319" s="113">
        <f>'Data_in-situ'!EO234</f>
        <v>6.1124459812694001</v>
      </c>
      <c r="AH2319" s="110">
        <f>'Data_in-situ'!EP234</f>
        <v>3</v>
      </c>
      <c r="AI2319" s="113">
        <f>'Data_in-situ'!ER234</f>
        <v>-20</v>
      </c>
      <c r="AJ2319" s="113">
        <f>'Data_in-situ'!ES234</f>
        <v>4.5362810701838834</v>
      </c>
      <c r="AK2319" s="110">
        <f>'Data_in-situ'!ET234</f>
        <v>3</v>
      </c>
    </row>
    <row r="2320" spans="20:37" x14ac:dyDescent="0.3">
      <c r="T2320" s="113">
        <f>'Data_in-situ'!DN316</f>
        <v>93.1</v>
      </c>
      <c r="U2320" s="113">
        <f>'Data_in-situ'!DO316</f>
        <v>103.79526182078902</v>
      </c>
      <c r="V2320" s="46">
        <f>'Data_in-situ'!DP316</f>
        <v>18</v>
      </c>
      <c r="W2320" s="113">
        <f>'Data_in-situ'!DR316</f>
        <v>32.799999999999997</v>
      </c>
      <c r="X2320" s="113">
        <f>'Data_in-situ'!DS316</f>
        <v>122.58069446389712</v>
      </c>
      <c r="Y2320" s="46">
        <f>'Data_in-situ'!DT316</f>
        <v>18</v>
      </c>
      <c r="AF2320" s="113">
        <f>'Data_in-situ'!EN235</f>
        <v>-12</v>
      </c>
      <c r="AG2320" s="113">
        <f>'Data_in-situ'!EO235</f>
        <v>4.8899567850155199</v>
      </c>
      <c r="AH2320" s="110">
        <f>'Data_in-situ'!EP235</f>
        <v>3</v>
      </c>
      <c r="AI2320" s="113">
        <f>'Data_in-situ'!ER235</f>
        <v>-14</v>
      </c>
      <c r="AJ2320" s="113">
        <f>'Data_in-situ'!ES235</f>
        <v>3.1753967491287183</v>
      </c>
      <c r="AK2320" s="110">
        <f>'Data_in-situ'!ET235</f>
        <v>3</v>
      </c>
    </row>
    <row r="2321" spans="20:37" x14ac:dyDescent="0.3">
      <c r="T2321" s="113">
        <f>'Data_in-situ'!DN317</f>
        <v>82.2</v>
      </c>
      <c r="U2321" s="113">
        <f>'Data_in-situ'!DO317</f>
        <v>91.643077568945841</v>
      </c>
      <c r="V2321" s="46">
        <f>'Data_in-situ'!DP317</f>
        <v>15</v>
      </c>
      <c r="W2321" s="113">
        <f>'Data_in-situ'!DR317</f>
        <v>27.8</v>
      </c>
      <c r="X2321" s="113">
        <f>'Data_in-situ'!DS317</f>
        <v>103.89461299074208</v>
      </c>
      <c r="Y2321" s="46">
        <f>'Data_in-situ'!DT317</f>
        <v>15</v>
      </c>
      <c r="AF2321" s="113">
        <f>'Data_in-situ'!EN236</f>
        <v>-12</v>
      </c>
      <c r="AG2321" s="113">
        <f>'Data_in-situ'!EO236</f>
        <v>4.8899567850155199</v>
      </c>
      <c r="AH2321" s="110">
        <f>'Data_in-situ'!EP236</f>
        <v>3</v>
      </c>
      <c r="AI2321" s="113">
        <f>'Data_in-situ'!ER236</f>
        <v>-14</v>
      </c>
      <c r="AJ2321" s="113">
        <f>'Data_in-situ'!ES236</f>
        <v>3.1753967491287183</v>
      </c>
      <c r="AK2321" s="110">
        <f>'Data_in-situ'!ET236</f>
        <v>3</v>
      </c>
    </row>
    <row r="2322" spans="20:37" x14ac:dyDescent="0.3">
      <c r="T2322" s="113">
        <f>'Data_in-situ'!DN318</f>
        <v>57.9</v>
      </c>
      <c r="U2322" s="113">
        <f>'Data_in-situ'!DO318</f>
        <v>64.551510842359662</v>
      </c>
      <c r="V2322" s="46">
        <f>'Data_in-situ'!DP318</f>
        <v>18</v>
      </c>
      <c r="W2322" s="113">
        <f>'Data_in-situ'!DR318</f>
        <v>31.7</v>
      </c>
      <c r="X2322" s="113">
        <f>'Data_in-situ'!DS318</f>
        <v>118.46975653980302</v>
      </c>
      <c r="Y2322" s="46">
        <f>'Data_in-situ'!DT318</f>
        <v>18</v>
      </c>
      <c r="AF2322" s="113">
        <f>'Data_in-situ'!EN237</f>
        <v>-22</v>
      </c>
      <c r="AG2322" s="113">
        <f>'Data_in-situ'!EO237</f>
        <v>8.964920772528453</v>
      </c>
      <c r="AH2322" s="110">
        <f>'Data_in-situ'!EP237</f>
        <v>3</v>
      </c>
      <c r="AI2322" s="113">
        <f>'Data_in-situ'!ER237</f>
        <v>-31</v>
      </c>
      <c r="AJ2322" s="113">
        <f>'Data_in-situ'!ES237</f>
        <v>7.0312356587850191</v>
      </c>
      <c r="AK2322" s="110">
        <f>'Data_in-situ'!ET237</f>
        <v>3</v>
      </c>
    </row>
    <row r="2323" spans="20:37" x14ac:dyDescent="0.3">
      <c r="T2323" s="113">
        <f>'Data_in-situ'!DN319</f>
        <v>38.4</v>
      </c>
      <c r="U2323" s="113">
        <f>'Data_in-situ'!DO319</f>
        <v>42.81136470374112</v>
      </c>
      <c r="V2323" s="46">
        <f>'Data_in-situ'!DP319</f>
        <v>12</v>
      </c>
      <c r="W2323" s="113">
        <f>'Data_in-situ'!DR319</f>
        <v>22.1</v>
      </c>
      <c r="X2323" s="113">
        <f>'Data_in-situ'!DS319</f>
        <v>82.592480111345324</v>
      </c>
      <c r="Y2323" s="46">
        <f>'Data_in-situ'!DT319</f>
        <v>12</v>
      </c>
      <c r="AF2323" s="113">
        <f>'Data_in-situ'!EN238</f>
        <v>-22</v>
      </c>
      <c r="AG2323" s="113">
        <f>'Data_in-situ'!EO238</f>
        <v>8.964920772528453</v>
      </c>
      <c r="AH2323" s="110">
        <f>'Data_in-situ'!EP238</f>
        <v>3</v>
      </c>
      <c r="AI2323" s="113">
        <f>'Data_in-situ'!ER238</f>
        <v>-31</v>
      </c>
      <c r="AJ2323" s="113">
        <f>'Data_in-situ'!ES238</f>
        <v>7.0312356587850191</v>
      </c>
      <c r="AK2323" s="110">
        <f>'Data_in-situ'!ET238</f>
        <v>3</v>
      </c>
    </row>
    <row r="2324" spans="20:37" x14ac:dyDescent="0.3">
      <c r="T2324" s="113">
        <f>'Data_in-situ'!DN320</f>
        <v>78.099999999999994</v>
      </c>
      <c r="U2324" s="113">
        <f>'Data_in-situ'!DO320</f>
        <v>87.072072483390144</v>
      </c>
      <c r="V2324" s="46">
        <f>'Data_in-situ'!DP320</f>
        <v>17</v>
      </c>
      <c r="W2324" s="113">
        <f>'Data_in-situ'!DR320</f>
        <v>34.9</v>
      </c>
      <c r="X2324" s="113">
        <f>'Data_in-situ'!DS320</f>
        <v>130.42884868262223</v>
      </c>
      <c r="Y2324" s="46">
        <f>'Data_in-situ'!DT320</f>
        <v>18</v>
      </c>
      <c r="AF2324" s="113">
        <f>'Data_in-situ'!EN244</f>
        <v>-16</v>
      </c>
      <c r="AG2324" s="113">
        <f>'Data_in-situ'!EO244</f>
        <v>6.5199423800206935</v>
      </c>
      <c r="AH2324" s="110">
        <f>'Data_in-situ'!EP244</f>
        <v>3</v>
      </c>
      <c r="AI2324" s="113">
        <f>'Data_in-situ'!ER244</f>
        <v>-21</v>
      </c>
      <c r="AJ2324" s="113">
        <f>'Data_in-situ'!ES244</f>
        <v>4.7630951236930779</v>
      </c>
      <c r="AK2324" s="110">
        <f>'Data_in-situ'!ET244</f>
        <v>3</v>
      </c>
    </row>
    <row r="2325" spans="20:37" x14ac:dyDescent="0.3">
      <c r="T2325" s="113">
        <f>'Data_in-situ'!DN321</f>
        <v>53.5</v>
      </c>
      <c r="U2325" s="113">
        <f>'Data_in-situ'!DO321</f>
        <v>59.64604197005599</v>
      </c>
      <c r="V2325" s="46">
        <f>'Data_in-situ'!DP321</f>
        <v>15</v>
      </c>
      <c r="W2325" s="113">
        <f>'Data_in-situ'!DR321</f>
        <v>34.5</v>
      </c>
      <c r="X2325" s="113">
        <f>'Data_in-situ'!DS321</f>
        <v>128.93396216476984</v>
      </c>
      <c r="Y2325" s="46">
        <f>'Data_in-situ'!DT321</f>
        <v>15</v>
      </c>
      <c r="AF2325" s="113">
        <f>'Data_in-situ'!EN245</f>
        <v>-16</v>
      </c>
      <c r="AG2325" s="113">
        <f>'Data_in-situ'!EO245</f>
        <v>6.5199423800206935</v>
      </c>
      <c r="AH2325" s="110">
        <f>'Data_in-situ'!EP245</f>
        <v>3</v>
      </c>
      <c r="AI2325" s="113">
        <f>'Data_in-situ'!ER245</f>
        <v>-21</v>
      </c>
      <c r="AJ2325" s="113">
        <f>'Data_in-situ'!ES245</f>
        <v>4.7630951236930779</v>
      </c>
      <c r="AK2325" s="110">
        <f>'Data_in-situ'!ET245</f>
        <v>3</v>
      </c>
    </row>
    <row r="2326" spans="20:37" x14ac:dyDescent="0.3">
      <c r="T2326" s="113">
        <f>'Data_in-situ'!DN322</f>
        <v>43.6</v>
      </c>
      <c r="U2326" s="113">
        <f>'Data_in-situ'!DO322</f>
        <v>48.608737007372731</v>
      </c>
      <c r="V2326" s="46">
        <f>'Data_in-situ'!DP322</f>
        <v>18</v>
      </c>
      <c r="W2326" s="113">
        <f>'Data_in-situ'!DR322</f>
        <v>14.1</v>
      </c>
      <c r="X2326" s="113">
        <f>'Data_in-situ'!DS322</f>
        <v>52.694749754297241</v>
      </c>
      <c r="Y2326" s="46">
        <f>'Data_in-situ'!DT322</f>
        <v>18</v>
      </c>
      <c r="AF2326" s="113">
        <f>'Data_in-situ'!EN254</f>
        <v>-28</v>
      </c>
      <c r="AG2326" s="113">
        <f>'Data_in-situ'!EO254</f>
        <v>11.409899165036213</v>
      </c>
      <c r="AH2326" s="110">
        <f>'Data_in-situ'!EP254</f>
        <v>3</v>
      </c>
      <c r="AI2326" s="113">
        <f>'Data_in-situ'!ER254</f>
        <v>-36</v>
      </c>
      <c r="AJ2326" s="113">
        <f>'Data_in-situ'!ES254</f>
        <v>8.1653059263309906</v>
      </c>
      <c r="AK2326" s="110">
        <f>'Data_in-situ'!ET254</f>
        <v>3</v>
      </c>
    </row>
    <row r="2327" spans="20:37" x14ac:dyDescent="0.3">
      <c r="T2327" s="113">
        <f>'Data_in-situ'!DN323</f>
        <v>24.4</v>
      </c>
      <c r="U2327" s="113">
        <f>'Data_in-situ'!DO323</f>
        <v>27.203054655502171</v>
      </c>
      <c r="V2327" s="46">
        <f>'Data_in-situ'!DP323</f>
        <v>29</v>
      </c>
      <c r="W2327" s="113">
        <f>'Data_in-situ'!DR323</f>
        <v>5.6</v>
      </c>
      <c r="X2327" s="113">
        <f>'Data_in-situ'!DS323</f>
        <v>20.928411249933653</v>
      </c>
      <c r="Y2327" s="46">
        <f>'Data_in-situ'!DT323</f>
        <v>33</v>
      </c>
      <c r="AF2327" s="113">
        <f>'Data_in-situ'!EN255</f>
        <v>-18</v>
      </c>
      <c r="AG2327" s="113">
        <f>'Data_in-situ'!EO255</f>
        <v>7.3349351775232803</v>
      </c>
      <c r="AH2327" s="110">
        <f>'Data_in-situ'!EP255</f>
        <v>3</v>
      </c>
      <c r="AI2327" s="113">
        <f>'Data_in-situ'!ER255</f>
        <v>-24</v>
      </c>
      <c r="AJ2327" s="113">
        <f>'Data_in-situ'!ES255</f>
        <v>5.4435372842206604</v>
      </c>
      <c r="AK2327" s="110">
        <f>'Data_in-situ'!ET255</f>
        <v>3</v>
      </c>
    </row>
    <row r="2328" spans="20:37" x14ac:dyDescent="0.3">
      <c r="T2328" s="113">
        <f>'Data_in-situ'!DN324</f>
        <v>19.7</v>
      </c>
      <c r="U2328" s="113">
        <f>'Data_in-situ'!DO324</f>
        <v>21.963121996450521</v>
      </c>
      <c r="V2328" s="46">
        <f>'Data_in-situ'!DP324</f>
        <v>18</v>
      </c>
      <c r="W2328" s="113">
        <f>'Data_in-situ'!DR324</f>
        <v>10.7</v>
      </c>
      <c r="X2328" s="113">
        <f>'Data_in-situ'!DS324</f>
        <v>39.9882143525518</v>
      </c>
      <c r="Y2328" s="46">
        <f>'Data_in-situ'!DT324</f>
        <v>18</v>
      </c>
      <c r="AF2328" s="113">
        <f>'Data_in-situ'!EN256</f>
        <v>-11</v>
      </c>
      <c r="AG2328" s="113">
        <f>'Data_in-situ'!EO256</f>
        <v>4.4824603862642265</v>
      </c>
      <c r="AH2328" s="110">
        <f>'Data_in-situ'!EP256</f>
        <v>3</v>
      </c>
      <c r="AI2328" s="113">
        <f>'Data_in-situ'!ER256</f>
        <v>-13</v>
      </c>
      <c r="AJ2328" s="113">
        <f>'Data_in-situ'!ES256</f>
        <v>2.9485826956195242</v>
      </c>
      <c r="AK2328" s="110">
        <f>'Data_in-situ'!ET256</f>
        <v>3</v>
      </c>
    </row>
    <row r="2329" spans="20:37" x14ac:dyDescent="0.3">
      <c r="T2329" s="113">
        <f>'Data_in-situ'!DN325</f>
        <v>19.899999999999999</v>
      </c>
      <c r="U2329" s="113">
        <f>'Data_in-situ'!DO325</f>
        <v>22.186097854282508</v>
      </c>
      <c r="V2329" s="46">
        <f>'Data_in-situ'!DP325</f>
        <v>12</v>
      </c>
      <c r="W2329" s="113">
        <f>'Data_in-situ'!DR325</f>
        <v>11.3</v>
      </c>
      <c r="X2329" s="113">
        <f>'Data_in-situ'!DS325</f>
        <v>42.230544129330411</v>
      </c>
      <c r="Y2329" s="46">
        <f>'Data_in-situ'!DT325</f>
        <v>12</v>
      </c>
      <c r="AF2329" s="113">
        <f>'Data_in-situ'!EN257</f>
        <v>-16</v>
      </c>
      <c r="AG2329" s="113">
        <f>'Data_in-situ'!EO257</f>
        <v>6.5199423800206935</v>
      </c>
      <c r="AH2329" s="110">
        <f>'Data_in-situ'!EP257</f>
        <v>3</v>
      </c>
      <c r="AI2329" s="113">
        <f>'Data_in-situ'!ER257</f>
        <v>-20</v>
      </c>
      <c r="AJ2329" s="113">
        <f>'Data_in-situ'!ES257</f>
        <v>4.5362810701838834</v>
      </c>
      <c r="AK2329" s="110">
        <f>'Data_in-situ'!ET257</f>
        <v>3</v>
      </c>
    </row>
    <row r="2330" spans="20:37" x14ac:dyDescent="0.3">
      <c r="T2330" s="113">
        <f>'Data_in-situ'!DN336</f>
        <v>493.10596214853945</v>
      </c>
      <c r="U2330" s="113">
        <f>'Data_in-situ'!DO336</f>
        <v>526.28285184988022</v>
      </c>
      <c r="V2330" s="46">
        <f>'Data_in-situ'!DP336</f>
        <v>3</v>
      </c>
      <c r="W2330" s="113">
        <f>'Data_in-situ'!DR336</f>
        <v>78.722119137960249</v>
      </c>
      <c r="X2330" s="113">
        <f>'Data_in-situ'!DS336</f>
        <v>80.04506331866223</v>
      </c>
      <c r="Y2330" s="46">
        <f>'Data_in-situ'!DT336</f>
        <v>3</v>
      </c>
      <c r="AF2330" s="113">
        <f>'Data_in-situ'!EN258</f>
        <v>-12</v>
      </c>
      <c r="AG2330" s="113">
        <f>'Data_in-situ'!EO258</f>
        <v>4.8899567850155199</v>
      </c>
      <c r="AH2330" s="110">
        <f>'Data_in-situ'!EP258</f>
        <v>3</v>
      </c>
      <c r="AI2330" s="113">
        <f>'Data_in-situ'!ER258</f>
        <v>-27</v>
      </c>
      <c r="AJ2330" s="113">
        <f>'Data_in-situ'!ES258</f>
        <v>6.123979444748243</v>
      </c>
      <c r="AK2330" s="110">
        <f>'Data_in-situ'!ET258</f>
        <v>3</v>
      </c>
    </row>
    <row r="2331" spans="20:37" x14ac:dyDescent="0.3">
      <c r="T2331" s="113">
        <f>'Data_in-situ'!DN337</f>
        <v>806.56888052092813</v>
      </c>
      <c r="U2331" s="113">
        <f>'Data_in-situ'!DO337</f>
        <v>856.38159693760133</v>
      </c>
      <c r="V2331" s="46">
        <f>'Data_in-situ'!DP337</f>
        <v>3</v>
      </c>
      <c r="W2331" s="113">
        <f>'Data_in-situ'!DR337</f>
        <v>84.62740503626496</v>
      </c>
      <c r="X2331" s="113">
        <f>'Data_in-situ'!DS337</f>
        <v>85.525142019325685</v>
      </c>
      <c r="Y2331" s="46">
        <f>'Data_in-situ'!DT337</f>
        <v>3</v>
      </c>
      <c r="AF2331" s="113">
        <f>'Data_in-situ'!EN264</f>
        <v>-28</v>
      </c>
      <c r="AG2331" s="113">
        <f>'Data_in-situ'!EO264</f>
        <v>11.409899165036213</v>
      </c>
      <c r="AH2331" s="110">
        <f>'Data_in-situ'!EP264</f>
        <v>3</v>
      </c>
      <c r="AI2331" s="113">
        <f>'Data_in-situ'!ER264</f>
        <v>-36</v>
      </c>
      <c r="AJ2331" s="113">
        <f>'Data_in-situ'!ES264</f>
        <v>8.1653059263309906</v>
      </c>
      <c r="AK2331" s="110">
        <f>'Data_in-situ'!ET264</f>
        <v>3</v>
      </c>
    </row>
    <row r="2332" spans="20:37" x14ac:dyDescent="0.3">
      <c r="T2332" s="113">
        <f>'Data_in-situ'!DN338</f>
        <v>660.5745513402162</v>
      </c>
      <c r="U2332" s="113">
        <f>'Data_in-situ'!DO338</f>
        <v>706.60737149083172</v>
      </c>
      <c r="V2332" s="46">
        <f>'Data_in-situ'!DP338</f>
        <v>3</v>
      </c>
      <c r="W2332" s="113">
        <f>'Data_in-situ'!DR338</f>
        <v>60.94615675196922</v>
      </c>
      <c r="X2332" s="113">
        <f>'Data_in-situ'!DS338</f>
        <v>61.833294541817786</v>
      </c>
      <c r="Y2332" s="46">
        <f>'Data_in-situ'!DT338</f>
        <v>3</v>
      </c>
      <c r="AF2332" s="113">
        <f>'Data_in-situ'!EN265</f>
        <v>-18</v>
      </c>
      <c r="AG2332" s="113">
        <f>'Data_in-situ'!EO265</f>
        <v>7.3349351775232803</v>
      </c>
      <c r="AH2332" s="110">
        <f>'Data_in-situ'!EP265</f>
        <v>3</v>
      </c>
      <c r="AI2332" s="113">
        <f>'Data_in-situ'!ER265</f>
        <v>-24</v>
      </c>
      <c r="AJ2332" s="113">
        <f>'Data_in-situ'!ES265</f>
        <v>5.4435372842206604</v>
      </c>
      <c r="AK2332" s="110">
        <f>'Data_in-situ'!ET265</f>
        <v>3</v>
      </c>
    </row>
    <row r="2333" spans="20:37" x14ac:dyDescent="0.3">
      <c r="T2333" s="113">
        <f>'Data_in-situ'!DN354</f>
        <v>129.83859113829968</v>
      </c>
      <c r="U2333" s="113">
        <f>'Data_in-situ'!DO354</f>
        <v>144.75435619379368</v>
      </c>
      <c r="V2333" s="46">
        <f>'Data_in-situ'!DP354</f>
        <v>3</v>
      </c>
      <c r="W2333" s="113">
        <f>'Data_in-situ'!DR354</f>
        <v>3.2289849407087479</v>
      </c>
      <c r="X2333" s="113">
        <f>'Data_in-situ'!DS354</f>
        <v>12.067415135534878</v>
      </c>
      <c r="Y2333" s="46">
        <f>'Data_in-situ'!DT354</f>
        <v>3</v>
      </c>
      <c r="AF2333" s="113">
        <f>'Data_in-situ'!EN266</f>
        <v>-11</v>
      </c>
      <c r="AG2333" s="113">
        <f>'Data_in-situ'!EO266</f>
        <v>4.4824603862642265</v>
      </c>
      <c r="AH2333" s="110">
        <f>'Data_in-situ'!EP266</f>
        <v>3</v>
      </c>
      <c r="AI2333" s="113">
        <f>'Data_in-situ'!ER266</f>
        <v>-13</v>
      </c>
      <c r="AJ2333" s="113">
        <f>'Data_in-situ'!ES266</f>
        <v>2.9485826956195242</v>
      </c>
      <c r="AK2333" s="110">
        <f>'Data_in-situ'!ET266</f>
        <v>3</v>
      </c>
    </row>
    <row r="2334" spans="20:37" x14ac:dyDescent="0.3">
      <c r="T2334" s="113">
        <f>'Data_in-situ'!DN355</f>
        <v>104.97588219692315</v>
      </c>
      <c r="U2334" s="113">
        <f>'Data_in-situ'!DO355</f>
        <v>117.03543692264172</v>
      </c>
      <c r="V2334" s="46">
        <f>'Data_in-situ'!DP355</f>
        <v>3</v>
      </c>
      <c r="W2334" s="113">
        <f>'Data_in-situ'!DR355</f>
        <v>16.732012874581695</v>
      </c>
      <c r="X2334" s="113">
        <f>'Data_in-situ'!DS355</f>
        <v>62.531151156862556</v>
      </c>
      <c r="Y2334" s="46">
        <f>'Data_in-situ'!DT355</f>
        <v>3</v>
      </c>
      <c r="AF2334" s="113">
        <f>'Data_in-situ'!EN267</f>
        <v>-16</v>
      </c>
      <c r="AG2334" s="113">
        <f>'Data_in-situ'!EO267</f>
        <v>6.5199423800206935</v>
      </c>
      <c r="AH2334" s="110">
        <f>'Data_in-situ'!EP267</f>
        <v>3</v>
      </c>
      <c r="AI2334" s="113">
        <f>'Data_in-situ'!ER267</f>
        <v>-20</v>
      </c>
      <c r="AJ2334" s="113">
        <f>'Data_in-situ'!ES267</f>
        <v>4.5362810701838834</v>
      </c>
      <c r="AK2334" s="110">
        <f>'Data_in-situ'!ET267</f>
        <v>3</v>
      </c>
    </row>
    <row r="2335" spans="20:37" x14ac:dyDescent="0.3">
      <c r="T2335" s="113">
        <f>'Data_in-situ'!DN356</f>
        <v>104.97588219692315</v>
      </c>
      <c r="U2335" s="113">
        <f>'Data_in-situ'!DO356</f>
        <v>117.03543692264172</v>
      </c>
      <c r="V2335" s="46">
        <f>'Data_in-situ'!DP356</f>
        <v>3</v>
      </c>
      <c r="W2335" s="113">
        <f>'Data_in-situ'!DR356</f>
        <v>0</v>
      </c>
      <c r="X2335" s="113">
        <f>'Data_in-situ'!DS356</f>
        <v>0</v>
      </c>
      <c r="Y2335" s="46">
        <f>'Data_in-situ'!DT356</f>
        <v>3</v>
      </c>
      <c r="AF2335" s="113">
        <f>'Data_in-situ'!EN268</f>
        <v>-12</v>
      </c>
      <c r="AG2335" s="113">
        <f>'Data_in-situ'!EO268</f>
        <v>4.8899567850155199</v>
      </c>
      <c r="AH2335" s="110">
        <f>'Data_in-situ'!EP268</f>
        <v>3</v>
      </c>
      <c r="AI2335" s="113">
        <f>'Data_in-situ'!ER268</f>
        <v>-27</v>
      </c>
      <c r="AJ2335" s="113">
        <f>'Data_in-situ'!ES268</f>
        <v>6.123979444748243</v>
      </c>
      <c r="AK2335" s="110">
        <f>'Data_in-situ'!ET268</f>
        <v>3</v>
      </c>
    </row>
    <row r="2336" spans="20:37" x14ac:dyDescent="0.3">
      <c r="T2336" s="113">
        <f>'Data_in-situ'!DN357</f>
        <v>113.26345184404866</v>
      </c>
      <c r="U2336" s="113">
        <f>'Data_in-situ'!DO357</f>
        <v>126.27507667969238</v>
      </c>
      <c r="V2336" s="46">
        <f>'Data_in-situ'!DP357</f>
        <v>3</v>
      </c>
      <c r="W2336" s="113">
        <f>'Data_in-situ'!DR357</f>
        <v>5.2837935393415876</v>
      </c>
      <c r="X2336" s="113">
        <f>'Data_in-situ'!DS357</f>
        <v>19.746679312693438</v>
      </c>
      <c r="Y2336" s="46">
        <f>'Data_in-situ'!DT357</f>
        <v>3</v>
      </c>
      <c r="AF2336" s="113">
        <f>'Data_in-situ'!EN270</f>
        <v>0</v>
      </c>
      <c r="AG2336" s="113">
        <f>'Data_in-situ'!EO270</f>
        <v>0</v>
      </c>
      <c r="AH2336" s="110">
        <f>'Data_in-situ'!EP270</f>
        <v>20</v>
      </c>
      <c r="AI2336" s="113">
        <f>'Data_in-situ'!ER270</f>
        <v>-15</v>
      </c>
      <c r="AJ2336" s="113">
        <f>'Data_in-situ'!ES270</f>
        <v>3.4022108026379128</v>
      </c>
      <c r="AK2336" s="110">
        <f>'Data_in-situ'!ET270</f>
        <v>20</v>
      </c>
    </row>
    <row r="2337" spans="20:37" x14ac:dyDescent="0.3">
      <c r="T2337" s="113">
        <f>'Data_in-situ'!DN358</f>
        <v>109.11966702048591</v>
      </c>
      <c r="U2337" s="113">
        <f>'Data_in-situ'!DO358</f>
        <v>121.65525680116704</v>
      </c>
      <c r="V2337" s="46">
        <f>'Data_in-situ'!DP358</f>
        <v>3</v>
      </c>
      <c r="W2337" s="113">
        <f>'Data_in-situ'!DR358</f>
        <v>3.5225290262277253</v>
      </c>
      <c r="X2337" s="113">
        <f>'Data_in-situ'!DS358</f>
        <v>13.164452875128958</v>
      </c>
      <c r="Y2337" s="46">
        <f>'Data_in-situ'!DT358</f>
        <v>3</v>
      </c>
      <c r="AF2337" s="113">
        <f>'Data_in-situ'!EN274</f>
        <v>1.2156862745098034</v>
      </c>
      <c r="AG2337" s="113">
        <f>'Data_in-situ'!EO274</f>
        <v>0.49768216864884945</v>
      </c>
      <c r="AH2337" s="110">
        <f>'Data_in-situ'!EP274</f>
        <v>5</v>
      </c>
      <c r="AI2337" s="113">
        <f>'Data_in-situ'!ER274</f>
        <v>-1.3627450980392155</v>
      </c>
      <c r="AJ2337" s="113">
        <f>'Data_in-situ'!ES274</f>
        <v>0.94222961725764198</v>
      </c>
      <c r="AK2337" s="110">
        <f>'Data_in-situ'!ET274</f>
        <v>5</v>
      </c>
    </row>
    <row r="2338" spans="20:37" x14ac:dyDescent="0.3">
      <c r="T2338" s="113">
        <f>'Data_in-situ'!DN359</f>
        <v>109.11966702048591</v>
      </c>
      <c r="U2338" s="113">
        <f>'Data_in-situ'!DO359</f>
        <v>121.65525680116704</v>
      </c>
      <c r="V2338" s="46">
        <f>'Data_in-situ'!DP359</f>
        <v>3</v>
      </c>
      <c r="W2338" s="113">
        <f>'Data_in-situ'!DR359</f>
        <v>0.88063225655693134</v>
      </c>
      <c r="X2338" s="113">
        <f>'Data_in-situ'!DS359</f>
        <v>3.2911132187822396</v>
      </c>
      <c r="Y2338" s="46">
        <f>'Data_in-situ'!DT359</f>
        <v>3</v>
      </c>
      <c r="AF2338" s="113">
        <f>'Data_in-situ'!EN275</f>
        <v>1.6638655462184853</v>
      </c>
      <c r="AG2338" s="113">
        <f>'Data_in-situ'!EO275</f>
        <v>0.34418289379886746</v>
      </c>
      <c r="AH2338" s="110">
        <f>'Data_in-situ'!EP275</f>
        <v>5</v>
      </c>
      <c r="AI2338" s="113">
        <f>'Data_in-situ'!ER275</f>
        <v>-0.55462184873949671</v>
      </c>
      <c r="AJ2338" s="113">
        <f>'Data_in-situ'!ES275</f>
        <v>0.63167690703653101</v>
      </c>
      <c r="AK2338" s="110">
        <f>'Data_in-situ'!ET275</f>
        <v>5</v>
      </c>
    </row>
    <row r="2339" spans="20:37" x14ac:dyDescent="0.3">
      <c r="T2339" s="113">
        <f>'Data_in-situ'!DN360</f>
        <v>78.736738703339938</v>
      </c>
      <c r="U2339" s="113">
        <f>'Data_in-situ'!DO360</f>
        <v>27.597052434686233</v>
      </c>
      <c r="V2339" s="46">
        <f>'Data_in-situ'!DP360</f>
        <v>8</v>
      </c>
      <c r="W2339" s="113">
        <f>'Data_in-situ'!DR360</f>
        <v>125.2043222003928</v>
      </c>
      <c r="X2339" s="113">
        <f>'Data_in-situ'!DS360</f>
        <v>186.10419799607629</v>
      </c>
      <c r="Y2339" s="46">
        <f>'Data_in-situ'!DT360</f>
        <v>8</v>
      </c>
      <c r="AF2339" s="113">
        <f>'Data_in-situ'!EN276</f>
        <v>1.3882352941176466</v>
      </c>
      <c r="AG2339" s="113">
        <f>'Data_in-situ'!EO276</f>
        <v>0.46526399843023991</v>
      </c>
      <c r="AH2339" s="110">
        <f>'Data_in-situ'!EP276</f>
        <v>5</v>
      </c>
      <c r="AI2339" s="113">
        <f>'Data_in-situ'!ER276</f>
        <v>-1.0352941176470594</v>
      </c>
      <c r="AJ2339" s="113">
        <f>'Data_in-situ'!ES276</f>
        <v>0.83640987539045919</v>
      </c>
      <c r="AK2339" s="110">
        <f>'Data_in-situ'!ET276</f>
        <v>5</v>
      </c>
    </row>
    <row r="2340" spans="20:37" x14ac:dyDescent="0.3">
      <c r="T2340" s="113">
        <f>'Data_in-situ'!DN362</f>
        <v>13.000958989688872</v>
      </c>
      <c r="U2340" s="113">
        <f>'Data_in-situ'!DO362</f>
        <v>49.021154863031335</v>
      </c>
      <c r="V2340" s="46">
        <f>'Data_in-situ'!DP362</f>
        <v>8</v>
      </c>
      <c r="W2340" s="113">
        <f>'Data_in-situ'!DR362</f>
        <v>-4.3235288751980265</v>
      </c>
      <c r="X2340" s="113">
        <f>'Data_in-situ'!DS362</f>
        <v>9.6228681188427743</v>
      </c>
      <c r="Y2340" s="46">
        <f>'Data_in-situ'!DT362</f>
        <v>8</v>
      </c>
      <c r="AF2340" s="113">
        <f>'Data_in-situ'!EN277</f>
        <v>0.28104575163398426</v>
      </c>
      <c r="AG2340" s="113">
        <f>'Data_in-situ'!EO277</f>
        <v>1.0823202980922819</v>
      </c>
      <c r="AH2340" s="110">
        <f>'Data_in-situ'!EP277</f>
        <v>5</v>
      </c>
      <c r="AI2340" s="113">
        <f>'Data_in-situ'!ER277</f>
        <v>0.57352941176470584</v>
      </c>
      <c r="AJ2340" s="113">
        <f>'Data_in-situ'!ES277</f>
        <v>0.95907460925260324</v>
      </c>
      <c r="AK2340" s="110">
        <f>'Data_in-situ'!ET277</f>
        <v>5</v>
      </c>
    </row>
    <row r="2341" spans="20:37" x14ac:dyDescent="0.3">
      <c r="T2341" s="113">
        <f>'Data_in-situ'!DN363</f>
        <v>92.536237514844473</v>
      </c>
      <c r="U2341" s="113">
        <f>'Data_in-situ'!DO363</f>
        <v>343.16618940866766</v>
      </c>
      <c r="V2341" s="46">
        <f>'Data_in-situ'!DP363</f>
        <v>8</v>
      </c>
      <c r="W2341" s="113">
        <f>'Data_in-situ'!DR363</f>
        <v>-4.3235288751980265</v>
      </c>
      <c r="X2341" s="113">
        <f>'Data_in-situ'!DS363</f>
        <v>4.2368888087214085</v>
      </c>
      <c r="Y2341" s="46">
        <f>'Data_in-situ'!DT363</f>
        <v>8</v>
      </c>
      <c r="AF2341" s="113">
        <f>'Data_in-situ'!EN278</f>
        <v>1.4575163398692808</v>
      </c>
      <c r="AG2341" s="113">
        <f>'Data_in-situ'!EO278</f>
        <v>0.75703059071343026</v>
      </c>
      <c r="AH2341" s="110">
        <f>'Data_in-situ'!EP278</f>
        <v>5</v>
      </c>
      <c r="AI2341" s="113">
        <f>'Data_in-situ'!ER278</f>
        <v>1.1487889273356398</v>
      </c>
      <c r="AJ2341" s="113">
        <f>'Data_in-situ'!ES278</f>
        <v>0.755435518283471</v>
      </c>
      <c r="AK2341" s="110">
        <f>'Data_in-situ'!ET278</f>
        <v>5</v>
      </c>
    </row>
    <row r="2342" spans="20:37" x14ac:dyDescent="0.3">
      <c r="T2342" s="113">
        <f>'Data_in-situ'!DN389</f>
        <v>68</v>
      </c>
      <c r="U2342" s="113">
        <f>'Data_in-situ'!DO389</f>
        <v>56.982751846655269</v>
      </c>
      <c r="V2342" s="46">
        <f>'Data_in-situ'!DP389</f>
        <v>4</v>
      </c>
      <c r="W2342" s="113">
        <f>'Data_in-situ'!DR389</f>
        <v>15.999999999999998</v>
      </c>
      <c r="X2342" s="113">
        <f>'Data_in-situ'!DS389</f>
        <v>88.274002438097213</v>
      </c>
      <c r="Y2342" s="46">
        <f>'Data_in-situ'!DT389</f>
        <v>4</v>
      </c>
      <c r="AF2342" s="113">
        <f>'Data_in-situ'!EN279</f>
        <v>3.0092879256965936</v>
      </c>
      <c r="AG2342" s="113">
        <f>'Data_in-situ'!EO279</f>
        <v>0.8290793279171158</v>
      </c>
      <c r="AH2342" s="110">
        <f>'Data_in-situ'!EP279</f>
        <v>5</v>
      </c>
      <c r="AI2342" s="113">
        <f>'Data_in-situ'!ER279</f>
        <v>2.8111455108359125</v>
      </c>
      <c r="AJ2342" s="113">
        <f>'Data_in-situ'!ES279</f>
        <v>0.80714422344061043</v>
      </c>
      <c r="AK2342" s="110">
        <f>'Data_in-situ'!ET279</f>
        <v>5</v>
      </c>
    </row>
    <row r="2343" spans="20:37" x14ac:dyDescent="0.3">
      <c r="T2343" s="113">
        <f>'Data_in-situ'!DN390</f>
        <v>67.999999999999986</v>
      </c>
      <c r="U2343" s="113">
        <f>'Data_in-situ'!DO390</f>
        <v>56.982751846655255</v>
      </c>
      <c r="V2343" s="46">
        <f>'Data_in-situ'!DP390</f>
        <v>4</v>
      </c>
      <c r="W2343" s="113">
        <f>'Data_in-situ'!DR390</f>
        <v>40</v>
      </c>
      <c r="X2343" s="113">
        <f>'Data_in-situ'!DS390</f>
        <v>220.68500609524307</v>
      </c>
      <c r="Y2343" s="46">
        <f>'Data_in-situ'!DT390</f>
        <v>4</v>
      </c>
      <c r="AF2343" s="113">
        <f>'Data_in-situ'!EN292</f>
        <v>-20.8</v>
      </c>
      <c r="AG2343" s="113">
        <f>'Data_in-situ'!EO292</f>
        <v>8.475925094026902</v>
      </c>
      <c r="AH2343" s="110">
        <f>'Data_in-situ'!EP292</f>
        <v>1</v>
      </c>
      <c r="AI2343" s="113">
        <f>'Data_in-situ'!ER292</f>
        <v>-48.2</v>
      </c>
      <c r="AJ2343" s="113">
        <f>'Data_in-situ'!ES292</f>
        <v>10.93243737914316</v>
      </c>
      <c r="AK2343" s="110">
        <f>'Data_in-situ'!ET292</f>
        <v>1</v>
      </c>
    </row>
    <row r="2344" spans="20:37" x14ac:dyDescent="0.3">
      <c r="T2344" s="113">
        <f>'Data_in-situ'!DN416</f>
        <v>102.39147844674257</v>
      </c>
      <c r="U2344" s="113">
        <f>'Data_in-situ'!DO416</f>
        <v>25.149528090905832</v>
      </c>
      <c r="V2344" s="46">
        <f>'Data_in-situ'!DP416</f>
        <v>5</v>
      </c>
      <c r="W2344" s="113">
        <f>'Data_in-situ'!DR416</f>
        <v>6.6536659384301489</v>
      </c>
      <c r="X2344" s="113">
        <f>'Data_in-situ'!DS416</f>
        <v>9.0885183749652523</v>
      </c>
      <c r="Y2344" s="46">
        <f>'Data_in-situ'!DT416</f>
        <v>5</v>
      </c>
      <c r="AF2344" s="113">
        <f>'Data_in-situ'!EN293</f>
        <v>-20.8</v>
      </c>
      <c r="AG2344" s="113">
        <f>'Data_in-situ'!EO293</f>
        <v>8.475925094026902</v>
      </c>
      <c r="AH2344" s="110">
        <f>'Data_in-situ'!EP293</f>
        <v>1</v>
      </c>
      <c r="AI2344" s="113">
        <f>'Data_in-situ'!ER293</f>
        <v>-46</v>
      </c>
      <c r="AJ2344" s="113">
        <f>'Data_in-situ'!ES293</f>
        <v>10.433446461422932</v>
      </c>
      <c r="AK2344" s="110">
        <f>'Data_in-situ'!ET293</f>
        <v>1</v>
      </c>
    </row>
    <row r="2345" spans="20:37" x14ac:dyDescent="0.3">
      <c r="T2345" s="113">
        <f>'Data_in-situ'!DN424</f>
        <v>107.675</v>
      </c>
      <c r="U2345" s="113">
        <f>'Data_in-situ'!DO424</f>
        <v>94.631879978859843</v>
      </c>
      <c r="V2345" s="46">
        <f>'Data_in-situ'!DP424</f>
        <v>3</v>
      </c>
      <c r="W2345" s="113">
        <f>'Data_in-situ'!DR424</f>
        <v>39.175000000000004</v>
      </c>
      <c r="X2345" s="113">
        <f>'Data_in-situ'!DS424</f>
        <v>27.610222291752745</v>
      </c>
      <c r="Y2345" s="46">
        <f>'Data_in-situ'!DT424</f>
        <v>3</v>
      </c>
      <c r="AF2345" s="113">
        <f>'Data_in-situ'!EN294</f>
        <v>-20.8</v>
      </c>
      <c r="AG2345" s="113">
        <f>'Data_in-situ'!EO294</f>
        <v>8.475925094026902</v>
      </c>
      <c r="AH2345" s="110">
        <f>'Data_in-situ'!EP294</f>
        <v>1</v>
      </c>
      <c r="AI2345" s="113">
        <f>'Data_in-situ'!ER294</f>
        <v>-40</v>
      </c>
      <c r="AJ2345" s="113">
        <f>'Data_in-situ'!ES294</f>
        <v>9.0725621403677668</v>
      </c>
      <c r="AK2345" s="110">
        <f>'Data_in-situ'!ET294</f>
        <v>1</v>
      </c>
    </row>
    <row r="2346" spans="20:37" x14ac:dyDescent="0.3">
      <c r="T2346" s="113">
        <f>'Data_in-situ'!DN426</f>
        <v>34.4</v>
      </c>
      <c r="U2346" s="113">
        <f>'Data_in-situ'!DO426</f>
        <v>38.351847547101421</v>
      </c>
      <c r="V2346" s="46">
        <f>'Data_in-situ'!DP426</f>
        <v>4</v>
      </c>
      <c r="W2346" s="113">
        <f>'Data_in-situ'!DR426</f>
        <v>-3.0666666666666664</v>
      </c>
      <c r="X2346" s="113">
        <f>'Data_in-situ'!DS426</f>
        <v>11.46079663686843</v>
      </c>
      <c r="Y2346" s="46">
        <f>'Data_in-situ'!DT426</f>
        <v>4</v>
      </c>
      <c r="AF2346" s="113">
        <f>'Data_in-situ'!EN295</f>
        <v>-20.8</v>
      </c>
      <c r="AG2346" s="113">
        <f>'Data_in-situ'!EO295</f>
        <v>8.475925094026902</v>
      </c>
      <c r="AH2346" s="110">
        <f>'Data_in-situ'!EP295</f>
        <v>1</v>
      </c>
      <c r="AI2346" s="113">
        <f>'Data_in-situ'!ER295</f>
        <v>-31.5</v>
      </c>
      <c r="AJ2346" s="113">
        <f>'Data_in-situ'!ES295</f>
        <v>7.1446426855396163</v>
      </c>
      <c r="AK2346" s="110">
        <f>'Data_in-situ'!ET295</f>
        <v>1</v>
      </c>
    </row>
    <row r="2347" spans="20:37" x14ac:dyDescent="0.3">
      <c r="T2347" s="113">
        <f>'Data_in-situ'!DN427</f>
        <v>34.4</v>
      </c>
      <c r="U2347" s="113">
        <f>'Data_in-situ'!DO427</f>
        <v>38.351847547101421</v>
      </c>
      <c r="V2347" s="46">
        <f>'Data_in-situ'!DP427</f>
        <v>4</v>
      </c>
      <c r="W2347" s="113">
        <f>'Data_in-situ'!DR427</f>
        <v>0.16</v>
      </c>
      <c r="X2347" s="113">
        <f>'Data_in-situ'!DS427</f>
        <v>0.5979546071409616</v>
      </c>
      <c r="Y2347" s="46">
        <f>'Data_in-situ'!DT427</f>
        <v>4</v>
      </c>
      <c r="AF2347" s="113">
        <f>'Data_in-situ'!EN296</f>
        <v>-20.8</v>
      </c>
      <c r="AG2347" s="113">
        <f>'Data_in-situ'!EO296</f>
        <v>8.475925094026902</v>
      </c>
      <c r="AH2347" s="110">
        <f>'Data_in-situ'!EP296</f>
        <v>1</v>
      </c>
      <c r="AI2347" s="113">
        <f>'Data_in-situ'!ER296</f>
        <v>-48.2</v>
      </c>
      <c r="AJ2347" s="113">
        <f>'Data_in-situ'!ES296</f>
        <v>10.93243737914316</v>
      </c>
      <c r="AK2347" s="110">
        <f>'Data_in-situ'!ET296</f>
        <v>1</v>
      </c>
    </row>
    <row r="2348" spans="20:37" x14ac:dyDescent="0.3">
      <c r="T2348" s="113">
        <f>'Data_in-situ'!DN428</f>
        <v>84.266666666666666</v>
      </c>
      <c r="U2348" s="113">
        <f>'Data_in-situ'!DO428</f>
        <v>93.947161433209686</v>
      </c>
      <c r="V2348" s="46">
        <f>'Data_in-situ'!DP428</f>
        <v>4</v>
      </c>
      <c r="W2348" s="113">
        <f>'Data_in-situ'!DR428</f>
        <v>-1.4666666666666668</v>
      </c>
      <c r="X2348" s="113">
        <f>'Data_in-situ'!DS428</f>
        <v>5.4812505654588151</v>
      </c>
      <c r="Y2348" s="46">
        <f>'Data_in-situ'!DT428</f>
        <v>4</v>
      </c>
      <c r="AF2348" s="113">
        <f>'Data_in-situ'!EN297</f>
        <v>-20.8</v>
      </c>
      <c r="AG2348" s="113">
        <f>'Data_in-situ'!EO297</f>
        <v>8.475925094026902</v>
      </c>
      <c r="AH2348" s="110">
        <f>'Data_in-situ'!EP297</f>
        <v>1</v>
      </c>
      <c r="AI2348" s="113">
        <f>'Data_in-situ'!ER297</f>
        <v>-46</v>
      </c>
      <c r="AJ2348" s="113">
        <f>'Data_in-situ'!ES297</f>
        <v>10.433446461422932</v>
      </c>
      <c r="AK2348" s="110">
        <f>'Data_in-situ'!ET297</f>
        <v>1</v>
      </c>
    </row>
    <row r="2349" spans="20:37" x14ac:dyDescent="0.3">
      <c r="T2349" s="113">
        <f>'Data_in-situ'!DN429</f>
        <v>16</v>
      </c>
      <c r="U2349" s="113">
        <f>'Data_in-situ'!DO429</f>
        <v>17.838068626558801</v>
      </c>
      <c r="V2349" s="46">
        <f>'Data_in-situ'!DP429</f>
        <v>4</v>
      </c>
      <c r="W2349" s="113">
        <f>'Data_in-situ'!DR429</f>
        <v>-2.36</v>
      </c>
      <c r="X2349" s="113">
        <f>'Data_in-situ'!DS429</f>
        <v>8.8198304553291837</v>
      </c>
      <c r="Y2349" s="46">
        <f>'Data_in-situ'!DT429</f>
        <v>4</v>
      </c>
      <c r="AF2349" s="113">
        <f>'Data_in-situ'!EN298</f>
        <v>-20.8</v>
      </c>
      <c r="AG2349" s="113">
        <f>'Data_in-situ'!EO298</f>
        <v>8.475925094026902</v>
      </c>
      <c r="AH2349" s="110">
        <f>'Data_in-situ'!EP298</f>
        <v>1</v>
      </c>
      <c r="AI2349" s="113">
        <f>'Data_in-situ'!ER298</f>
        <v>-40</v>
      </c>
      <c r="AJ2349" s="113">
        <f>'Data_in-situ'!ES298</f>
        <v>9.0725621403677668</v>
      </c>
      <c r="AK2349" s="110">
        <f>'Data_in-situ'!ET298</f>
        <v>1</v>
      </c>
    </row>
    <row r="2350" spans="20:37" x14ac:dyDescent="0.3">
      <c r="T2350" s="113">
        <f>'Data_in-situ'!DN430</f>
        <v>11.866666666666667</v>
      </c>
      <c r="U2350" s="113">
        <f>'Data_in-situ'!DO430</f>
        <v>13.229900898031111</v>
      </c>
      <c r="V2350" s="46">
        <f>'Data_in-situ'!DP430</f>
        <v>4</v>
      </c>
      <c r="W2350" s="113">
        <f>'Data_in-situ'!DR430</f>
        <v>-0.6</v>
      </c>
      <c r="X2350" s="113">
        <f>'Data_in-situ'!DS430</f>
        <v>2.2423297767786057</v>
      </c>
      <c r="Y2350" s="46">
        <f>'Data_in-situ'!DT430</f>
        <v>4</v>
      </c>
      <c r="AF2350" s="113">
        <f>'Data_in-situ'!EN299</f>
        <v>-20.8</v>
      </c>
      <c r="AG2350" s="113">
        <f>'Data_in-situ'!EO299</f>
        <v>8.475925094026902</v>
      </c>
      <c r="AH2350" s="110">
        <f>'Data_in-situ'!EP299</f>
        <v>1</v>
      </c>
      <c r="AI2350" s="113">
        <f>'Data_in-situ'!ER299</f>
        <v>-31.5</v>
      </c>
      <c r="AJ2350" s="113">
        <f>'Data_in-situ'!ES299</f>
        <v>7.1446426855396163</v>
      </c>
      <c r="AK2350" s="110">
        <f>'Data_in-situ'!ET299</f>
        <v>1</v>
      </c>
    </row>
    <row r="2351" spans="20:37" x14ac:dyDescent="0.3">
      <c r="T2351" s="113">
        <f>'Data_in-situ'!DN431</f>
        <v>21.066666666666666</v>
      </c>
      <c r="U2351" s="113">
        <f>'Data_in-situ'!DO431</f>
        <v>23.486790358302422</v>
      </c>
      <c r="V2351" s="46">
        <f>'Data_in-situ'!DP431</f>
        <v>4</v>
      </c>
      <c r="W2351" s="113">
        <f>'Data_in-situ'!DR431</f>
        <v>-2.48</v>
      </c>
      <c r="X2351" s="113">
        <f>'Data_in-situ'!DS431</f>
        <v>9.2682964106849042</v>
      </c>
      <c r="Y2351" s="46">
        <f>'Data_in-situ'!DT431</f>
        <v>4</v>
      </c>
      <c r="AF2351" s="113">
        <f>'Data_in-situ'!EN300</f>
        <v>-20.8</v>
      </c>
      <c r="AG2351" s="113">
        <f>'Data_in-situ'!EO300</f>
        <v>8.475925094026902</v>
      </c>
      <c r="AH2351" s="110">
        <f>'Data_in-situ'!EP300</f>
        <v>1</v>
      </c>
      <c r="AI2351" s="113">
        <f>'Data_in-situ'!ER300</f>
        <v>-48.2</v>
      </c>
      <c r="AJ2351" s="113">
        <f>'Data_in-situ'!ES300</f>
        <v>10.93243737914316</v>
      </c>
      <c r="AK2351" s="110">
        <f>'Data_in-situ'!ET300</f>
        <v>1</v>
      </c>
    </row>
    <row r="2352" spans="20:37" x14ac:dyDescent="0.3">
      <c r="T2352" s="113">
        <f>'Data_in-situ'!DN432</f>
        <v>75.653333333333322</v>
      </c>
      <c r="U2352" s="113">
        <f>'Data_in-situ'!DO432</f>
        <v>22.585942530698158</v>
      </c>
      <c r="V2352" s="46">
        <f>'Data_in-situ'!DP432</f>
        <v>3</v>
      </c>
      <c r="W2352" s="113">
        <f>'Data_in-situ'!DR432</f>
        <v>1.9466666666666665</v>
      </c>
      <c r="X2352" s="113">
        <f>'Data_in-situ'!DS432</f>
        <v>8.1752798117251011</v>
      </c>
      <c r="Y2352" s="46">
        <f>'Data_in-situ'!DT432</f>
        <v>3</v>
      </c>
      <c r="AF2352" s="113">
        <f>'Data_in-situ'!EN301</f>
        <v>-20.8</v>
      </c>
      <c r="AG2352" s="113">
        <f>'Data_in-situ'!EO301</f>
        <v>8.475925094026902</v>
      </c>
      <c r="AH2352" s="110">
        <f>'Data_in-situ'!EP301</f>
        <v>1</v>
      </c>
      <c r="AI2352" s="113">
        <f>'Data_in-situ'!ER301</f>
        <v>-46</v>
      </c>
      <c r="AJ2352" s="113">
        <f>'Data_in-situ'!ES301</f>
        <v>10.433446461422932</v>
      </c>
      <c r="AK2352" s="110">
        <f>'Data_in-situ'!ET301</f>
        <v>1</v>
      </c>
    </row>
    <row r="2353" spans="20:37" x14ac:dyDescent="0.3">
      <c r="T2353" s="113">
        <f>'Data_in-situ'!DN433</f>
        <v>36.813333333333333</v>
      </c>
      <c r="U2353" s="113">
        <f>'Data_in-situ'!DO433</f>
        <v>5.8889727457341818</v>
      </c>
      <c r="V2353" s="46">
        <f>'Data_in-situ'!DP433</f>
        <v>3</v>
      </c>
      <c r="W2353" s="113">
        <f>'Data_in-situ'!DR433</f>
        <v>0.97333333333333327</v>
      </c>
      <c r="X2353" s="113">
        <f>'Data_in-situ'!DS433</f>
        <v>1.1777945491468365</v>
      </c>
      <c r="Y2353" s="46">
        <f>'Data_in-situ'!DT433</f>
        <v>3</v>
      </c>
      <c r="AF2353" s="113">
        <f>'Data_in-situ'!EN302</f>
        <v>-20.8</v>
      </c>
      <c r="AG2353" s="113">
        <f>'Data_in-situ'!EO302</f>
        <v>8.475925094026902</v>
      </c>
      <c r="AH2353" s="110">
        <f>'Data_in-situ'!EP302</f>
        <v>1</v>
      </c>
      <c r="AI2353" s="113">
        <f>'Data_in-situ'!ER302</f>
        <v>-40</v>
      </c>
      <c r="AJ2353" s="113">
        <f>'Data_in-situ'!ES302</f>
        <v>9.0725621403677668</v>
      </c>
      <c r="AK2353" s="110">
        <f>'Data_in-situ'!ET302</f>
        <v>1</v>
      </c>
    </row>
    <row r="2354" spans="20:37" x14ac:dyDescent="0.3">
      <c r="T2354" s="113">
        <f>'Data_in-situ'!DN441</f>
        <v>172</v>
      </c>
      <c r="U2354" s="113">
        <f>'Data_in-situ'!DO441</f>
        <v>22</v>
      </c>
      <c r="V2354" s="46">
        <f>'Data_in-situ'!DP441</f>
        <v>6</v>
      </c>
      <c r="W2354" s="113">
        <f>'Data_in-situ'!DR441</f>
        <v>1.5</v>
      </c>
      <c r="X2354" s="113">
        <f>'Data_in-situ'!DS441</f>
        <v>1.6</v>
      </c>
      <c r="Y2354" s="46">
        <f>'Data_in-situ'!DT441</f>
        <v>6</v>
      </c>
      <c r="AF2354" s="113">
        <f>'Data_in-situ'!EN303</f>
        <v>-20.8</v>
      </c>
      <c r="AG2354" s="113">
        <f>'Data_in-situ'!EO303</f>
        <v>8.475925094026902</v>
      </c>
      <c r="AH2354" s="110">
        <f>'Data_in-situ'!EP303</f>
        <v>1</v>
      </c>
      <c r="AI2354" s="113">
        <f>'Data_in-situ'!ER303</f>
        <v>-31.5</v>
      </c>
      <c r="AJ2354" s="113">
        <f>'Data_in-situ'!ES303</f>
        <v>7.1446426855396163</v>
      </c>
      <c r="AK2354" s="110">
        <f>'Data_in-situ'!ET303</f>
        <v>1</v>
      </c>
    </row>
    <row r="2355" spans="20:37" x14ac:dyDescent="0.3">
      <c r="T2355" s="113">
        <f>'Data_in-situ'!DN442</f>
        <v>172</v>
      </c>
      <c r="U2355" s="113">
        <f>'Data_in-situ'!DO442</f>
        <v>22</v>
      </c>
      <c r="V2355" s="46">
        <f>'Data_in-situ'!DP442</f>
        <v>6</v>
      </c>
      <c r="W2355" s="113">
        <f>'Data_in-situ'!DR442</f>
        <v>-1.4</v>
      </c>
      <c r="X2355" s="113">
        <f>'Data_in-situ'!DS442</f>
        <v>1.5</v>
      </c>
      <c r="Y2355" s="46">
        <f>'Data_in-situ'!DT442</f>
        <v>6</v>
      </c>
      <c r="AF2355" s="113">
        <f>'Data_in-situ'!EN304</f>
        <v>-48.7</v>
      </c>
      <c r="AG2355" s="113">
        <f>'Data_in-situ'!EO304</f>
        <v>19.845074619187987</v>
      </c>
      <c r="AH2355" s="110">
        <f>'Data_in-situ'!EP304</f>
        <v>1</v>
      </c>
      <c r="AI2355" s="113">
        <f>'Data_in-situ'!ER304</f>
        <v>-77.599999999999994</v>
      </c>
      <c r="AJ2355" s="113">
        <f>'Data_in-situ'!ES304</f>
        <v>17.600770552313467</v>
      </c>
      <c r="AK2355" s="110">
        <f>'Data_in-situ'!ET304</f>
        <v>1</v>
      </c>
    </row>
    <row r="2356" spans="20:37" x14ac:dyDescent="0.3">
      <c r="T2356" s="113">
        <f>'Data_in-situ'!DN443</f>
        <v>172</v>
      </c>
      <c r="U2356" s="113">
        <f>'Data_in-situ'!DO443</f>
        <v>22</v>
      </c>
      <c r="V2356" s="46">
        <f>'Data_in-situ'!DP443</f>
        <v>6</v>
      </c>
      <c r="W2356" s="113">
        <f>'Data_in-situ'!DR443</f>
        <v>-0.6</v>
      </c>
      <c r="X2356" s="113">
        <f>'Data_in-situ'!DS443</f>
        <v>0.65</v>
      </c>
      <c r="Y2356" s="46">
        <f>'Data_in-situ'!DT443</f>
        <v>4</v>
      </c>
      <c r="AF2356" s="113">
        <f>'Data_in-situ'!EN305</f>
        <v>-48.7</v>
      </c>
      <c r="AG2356" s="113">
        <f>'Data_in-situ'!EO305</f>
        <v>19.845074619187987</v>
      </c>
      <c r="AH2356" s="110">
        <f>'Data_in-situ'!EP305</f>
        <v>1</v>
      </c>
      <c r="AI2356" s="113">
        <f>'Data_in-situ'!ER305</f>
        <v>-119.3</v>
      </c>
      <c r="AJ2356" s="113">
        <f>'Data_in-situ'!ES305</f>
        <v>27.058916583646866</v>
      </c>
      <c r="AK2356" s="110">
        <f>'Data_in-situ'!ET305</f>
        <v>1</v>
      </c>
    </row>
    <row r="2357" spans="20:37" x14ac:dyDescent="0.3">
      <c r="T2357" s="113">
        <f>'Data_in-situ'!DN444</f>
        <v>1231.8452874333798</v>
      </c>
      <c r="U2357" s="113">
        <f>'Data_in-situ'!DO444</f>
        <v>2386.9642276450431</v>
      </c>
      <c r="V2357" s="46">
        <f>'Data_in-situ'!DP444</f>
        <v>46</v>
      </c>
      <c r="W2357" s="113">
        <f>'Data_in-situ'!DR444</f>
        <v>23.778911502590674</v>
      </c>
      <c r="X2357" s="113">
        <f>'Data_in-situ'!DS444</f>
        <v>31.04286769933886</v>
      </c>
      <c r="Y2357" s="46">
        <f>'Data_in-situ'!DT444</f>
        <v>53</v>
      </c>
      <c r="AF2357" s="113">
        <f>'Data_in-situ'!EN306</f>
        <v>-48.7</v>
      </c>
      <c r="AG2357" s="113">
        <f>'Data_in-situ'!EO306</f>
        <v>19.845074619187987</v>
      </c>
      <c r="AH2357" s="110">
        <f>'Data_in-situ'!EP306</f>
        <v>1</v>
      </c>
      <c r="AI2357" s="113">
        <f>'Data_in-situ'!ER306</f>
        <v>-85.1</v>
      </c>
      <c r="AJ2357" s="113">
        <f>'Data_in-situ'!ES306</f>
        <v>19.301875953632422</v>
      </c>
      <c r="AK2357" s="110">
        <f>'Data_in-situ'!ET306</f>
        <v>1</v>
      </c>
    </row>
    <row r="2358" spans="20:37" x14ac:dyDescent="0.3">
      <c r="T2358" s="113">
        <f>'Data_in-situ'!DN454</f>
        <v>26.051392891450497</v>
      </c>
      <c r="U2358" s="113">
        <f>'Data_in-situ'!DO454</f>
        <v>12.515768654879148</v>
      </c>
      <c r="V2358" s="46">
        <f>'Data_in-situ'!DP454</f>
        <v>3</v>
      </c>
      <c r="W2358" s="113">
        <f>'Data_in-situ'!DR454</f>
        <v>-2.2790585975024058</v>
      </c>
      <c r="X2358" s="113">
        <f>'Data_in-situ'!DS454</f>
        <v>1.8593013863594432</v>
      </c>
      <c r="Y2358" s="46">
        <f>'Data_in-situ'!DT454</f>
        <v>3</v>
      </c>
      <c r="AF2358" s="113">
        <f>'Data_in-situ'!EN307</f>
        <v>-48.7</v>
      </c>
      <c r="AG2358" s="113">
        <f>'Data_in-situ'!EO307</f>
        <v>19.845074619187987</v>
      </c>
      <c r="AH2358" s="110">
        <f>'Data_in-situ'!EP307</f>
        <v>1</v>
      </c>
      <c r="AI2358" s="113">
        <f>'Data_in-situ'!ER307</f>
        <v>-90</v>
      </c>
      <c r="AJ2358" s="113">
        <f>'Data_in-situ'!ES307</f>
        <v>20.413264815827475</v>
      </c>
      <c r="AK2358" s="110">
        <f>'Data_in-situ'!ET307</f>
        <v>1</v>
      </c>
    </row>
    <row r="2359" spans="20:37" x14ac:dyDescent="0.3">
      <c r="AF2359" s="113">
        <f>'Data_in-situ'!EN308</f>
        <v>-48.7</v>
      </c>
      <c r="AG2359" s="113">
        <f>'Data_in-situ'!EO308</f>
        <v>19.845074619187987</v>
      </c>
      <c r="AH2359" s="110">
        <f>'Data_in-situ'!EP308</f>
        <v>1</v>
      </c>
      <c r="AI2359" s="113">
        <f>'Data_in-situ'!ER308</f>
        <v>-77.599999999999994</v>
      </c>
      <c r="AJ2359" s="113">
        <f>'Data_in-situ'!ES308</f>
        <v>17.600770552313467</v>
      </c>
      <c r="AK2359" s="110">
        <f>'Data_in-situ'!ET308</f>
        <v>1</v>
      </c>
    </row>
    <row r="2360" spans="20:37" x14ac:dyDescent="0.3">
      <c r="AF2360" s="113">
        <f>'Data_in-situ'!EN309</f>
        <v>-48.7</v>
      </c>
      <c r="AG2360" s="113">
        <f>'Data_in-situ'!EO309</f>
        <v>19.845074619187987</v>
      </c>
      <c r="AH2360" s="110">
        <f>'Data_in-situ'!EP309</f>
        <v>1</v>
      </c>
      <c r="AI2360" s="113">
        <f>'Data_in-situ'!ER309</f>
        <v>-119.3</v>
      </c>
      <c r="AJ2360" s="113">
        <f>'Data_in-situ'!ES309</f>
        <v>27.058916583646866</v>
      </c>
      <c r="AK2360" s="110">
        <f>'Data_in-situ'!ET309</f>
        <v>1</v>
      </c>
    </row>
    <row r="2361" spans="20:37" x14ac:dyDescent="0.3">
      <c r="AF2361" s="113">
        <f>'Data_in-situ'!EN310</f>
        <v>-48.7</v>
      </c>
      <c r="AG2361" s="113">
        <f>'Data_in-situ'!EO310</f>
        <v>19.845074619187987</v>
      </c>
      <c r="AH2361" s="110">
        <f>'Data_in-situ'!EP310</f>
        <v>1</v>
      </c>
      <c r="AI2361" s="113">
        <f>'Data_in-situ'!ER310</f>
        <v>-85.1</v>
      </c>
      <c r="AJ2361" s="113">
        <f>'Data_in-situ'!ES310</f>
        <v>19.301875953632422</v>
      </c>
      <c r="AK2361" s="110">
        <f>'Data_in-situ'!ET310</f>
        <v>1</v>
      </c>
    </row>
    <row r="2362" spans="20:37" x14ac:dyDescent="0.3">
      <c r="AF2362" s="113">
        <f>'Data_in-situ'!EN311</f>
        <v>-48.7</v>
      </c>
      <c r="AG2362" s="113">
        <f>'Data_in-situ'!EO311</f>
        <v>19.845074619187987</v>
      </c>
      <c r="AH2362" s="110">
        <f>'Data_in-situ'!EP311</f>
        <v>1</v>
      </c>
      <c r="AI2362" s="113">
        <f>'Data_in-situ'!ER311</f>
        <v>-90</v>
      </c>
      <c r="AJ2362" s="113">
        <f>'Data_in-situ'!ES311</f>
        <v>20.413264815827475</v>
      </c>
      <c r="AK2362" s="110">
        <f>'Data_in-situ'!ET311</f>
        <v>1</v>
      </c>
    </row>
    <row r="2363" spans="20:37" x14ac:dyDescent="0.3">
      <c r="AF2363" s="113">
        <f>'Data_in-situ'!EN312</f>
        <v>-48.7</v>
      </c>
      <c r="AG2363" s="113">
        <f>'Data_in-situ'!EO312</f>
        <v>19.845074619187987</v>
      </c>
      <c r="AH2363" s="110">
        <f>'Data_in-situ'!EP312</f>
        <v>1</v>
      </c>
      <c r="AI2363" s="113">
        <f>'Data_in-situ'!ER312</f>
        <v>-77.599999999999994</v>
      </c>
      <c r="AJ2363" s="113">
        <f>'Data_in-situ'!ES312</f>
        <v>17.600770552313467</v>
      </c>
      <c r="AK2363" s="110">
        <f>'Data_in-situ'!ET312</f>
        <v>1</v>
      </c>
    </row>
    <row r="2364" spans="20:37" x14ac:dyDescent="0.3">
      <c r="AF2364" s="113">
        <f>'Data_in-situ'!EN313</f>
        <v>-48.7</v>
      </c>
      <c r="AG2364" s="113">
        <f>'Data_in-situ'!EO313</f>
        <v>19.845074619187987</v>
      </c>
      <c r="AH2364" s="110">
        <f>'Data_in-situ'!EP313</f>
        <v>1</v>
      </c>
      <c r="AI2364" s="113">
        <f>'Data_in-situ'!ER313</f>
        <v>-119.3</v>
      </c>
      <c r="AJ2364" s="113">
        <f>'Data_in-situ'!ES313</f>
        <v>27.058916583646866</v>
      </c>
      <c r="AK2364" s="110">
        <f>'Data_in-situ'!ET313</f>
        <v>1</v>
      </c>
    </row>
    <row r="2365" spans="20:37" x14ac:dyDescent="0.3">
      <c r="AF2365" s="113">
        <f>'Data_in-situ'!EN314</f>
        <v>-48.7</v>
      </c>
      <c r="AG2365" s="113">
        <f>'Data_in-situ'!EO314</f>
        <v>19.845074619187987</v>
      </c>
      <c r="AH2365" s="110">
        <f>'Data_in-situ'!EP314</f>
        <v>1</v>
      </c>
      <c r="AI2365" s="113">
        <f>'Data_in-situ'!ER314</f>
        <v>-85.1</v>
      </c>
      <c r="AJ2365" s="113">
        <f>'Data_in-situ'!ES314</f>
        <v>19.301875953632422</v>
      </c>
      <c r="AK2365" s="110">
        <f>'Data_in-situ'!ET314</f>
        <v>1</v>
      </c>
    </row>
    <row r="2366" spans="20:37" x14ac:dyDescent="0.3">
      <c r="AF2366" s="113">
        <f>'Data_in-situ'!EN315</f>
        <v>-48.7</v>
      </c>
      <c r="AG2366" s="113">
        <f>'Data_in-situ'!EO315</f>
        <v>19.845074619187987</v>
      </c>
      <c r="AH2366" s="110">
        <f>'Data_in-situ'!EP315</f>
        <v>1</v>
      </c>
      <c r="AI2366" s="113">
        <f>'Data_in-situ'!ER315</f>
        <v>-90</v>
      </c>
      <c r="AJ2366" s="113">
        <f>'Data_in-situ'!ES315</f>
        <v>20.413264815827475</v>
      </c>
      <c r="AK2366" s="110">
        <f>'Data_in-situ'!ET315</f>
        <v>1</v>
      </c>
    </row>
    <row r="2367" spans="20:37" x14ac:dyDescent="0.3">
      <c r="AF2367" s="113">
        <f>'Data_in-situ'!EN316</f>
        <v>-7.2</v>
      </c>
      <c r="AG2367" s="113">
        <f>'Data_in-situ'!EO316</f>
        <v>5.7</v>
      </c>
      <c r="AH2367" s="110">
        <f>'Data_in-situ'!EP316</f>
        <v>18</v>
      </c>
      <c r="AI2367" s="113">
        <f>'Data_in-situ'!ER316</f>
        <v>-22.1</v>
      </c>
      <c r="AJ2367" s="113">
        <f>'Data_in-situ'!ES316</f>
        <v>8.6</v>
      </c>
      <c r="AK2367" s="110">
        <f>'Data_in-situ'!ET316</f>
        <v>18</v>
      </c>
    </row>
    <row r="2368" spans="20:37" x14ac:dyDescent="0.3">
      <c r="AF2368" s="113">
        <f>'Data_in-situ'!EN317</f>
        <v>-18.7</v>
      </c>
      <c r="AG2368" s="113">
        <f>'Data_in-situ'!EO317</f>
        <v>7.2</v>
      </c>
      <c r="AH2368" s="110">
        <f>'Data_in-situ'!EP317</f>
        <v>15</v>
      </c>
      <c r="AI2368" s="113">
        <f>'Data_in-situ'!ER317</f>
        <v>-34.5</v>
      </c>
      <c r="AJ2368" s="113">
        <f>'Data_in-situ'!ES317</f>
        <v>9.3000000000000007</v>
      </c>
      <c r="AK2368" s="110">
        <f>'Data_in-situ'!ET317</f>
        <v>15</v>
      </c>
    </row>
    <row r="2369" spans="32:37" x14ac:dyDescent="0.3">
      <c r="AF2369" s="113">
        <f>'Data_in-situ'!EN318</f>
        <v>-10.3</v>
      </c>
      <c r="AG2369" s="113">
        <f>'Data_in-situ'!EO318</f>
        <v>8</v>
      </c>
      <c r="AH2369" s="110">
        <f>'Data_in-situ'!EP318</f>
        <v>18</v>
      </c>
      <c r="AI2369" s="113">
        <f>'Data_in-situ'!ER318</f>
        <v>-20.6</v>
      </c>
      <c r="AJ2369" s="113">
        <f>'Data_in-situ'!ES318</f>
        <v>9.6999999999999993</v>
      </c>
      <c r="AK2369" s="110">
        <f>'Data_in-situ'!ET318</f>
        <v>18</v>
      </c>
    </row>
    <row r="2370" spans="32:37" x14ac:dyDescent="0.3">
      <c r="AF2370" s="113">
        <f>'Data_in-situ'!EN319</f>
        <v>-27.8</v>
      </c>
      <c r="AG2370" s="113">
        <f>'Data_in-situ'!EO319</f>
        <v>9.3000000000000007</v>
      </c>
      <c r="AH2370" s="110">
        <f>'Data_in-situ'!EP319</f>
        <v>12</v>
      </c>
      <c r="AI2370" s="113">
        <f>'Data_in-situ'!ER319</f>
        <v>-31.9</v>
      </c>
      <c r="AJ2370" s="113">
        <f>'Data_in-situ'!ES319</f>
        <v>7.5</v>
      </c>
      <c r="AK2370" s="110">
        <f>'Data_in-situ'!ET319</f>
        <v>12</v>
      </c>
    </row>
    <row r="2371" spans="32:37" x14ac:dyDescent="0.3">
      <c r="AF2371" s="113">
        <f>'Data_in-situ'!EN320</f>
        <v>-7.1</v>
      </c>
      <c r="AG2371" s="113">
        <f>'Data_in-situ'!EO320</f>
        <v>4.7</v>
      </c>
      <c r="AH2371" s="110">
        <f>'Data_in-situ'!EP320</f>
        <v>17</v>
      </c>
      <c r="AI2371" s="113">
        <f>'Data_in-situ'!ER320</f>
        <v>-11.8</v>
      </c>
      <c r="AJ2371" s="113">
        <f>'Data_in-situ'!ES320</f>
        <v>6.6</v>
      </c>
      <c r="AK2371" s="110">
        <f>'Data_in-situ'!ET320</f>
        <v>18</v>
      </c>
    </row>
    <row r="2372" spans="32:37" x14ac:dyDescent="0.3">
      <c r="AF2372" s="113">
        <f>'Data_in-situ'!EN321</f>
        <v>-16.600000000000001</v>
      </c>
      <c r="AG2372" s="113">
        <f>'Data_in-situ'!EO321</f>
        <v>8.1999999999999993</v>
      </c>
      <c r="AH2372" s="110">
        <f>'Data_in-situ'!EP321</f>
        <v>15</v>
      </c>
      <c r="AI2372" s="113">
        <f>'Data_in-situ'!ER321</f>
        <v>-17.100000000000001</v>
      </c>
      <c r="AJ2372" s="113">
        <f>'Data_in-situ'!ES321</f>
        <v>11.3</v>
      </c>
      <c r="AK2372" s="110">
        <f>'Data_in-situ'!ET321</f>
        <v>15</v>
      </c>
    </row>
    <row r="2373" spans="32:37" x14ac:dyDescent="0.3">
      <c r="AF2373" s="113">
        <f>'Data_in-situ'!EN322</f>
        <v>-12.6</v>
      </c>
      <c r="AG2373" s="113">
        <f>'Data_in-situ'!EO322</f>
        <v>7.6</v>
      </c>
      <c r="AH2373" s="110">
        <f>'Data_in-situ'!EP322</f>
        <v>18</v>
      </c>
      <c r="AI2373" s="113">
        <f>'Data_in-situ'!ER322</f>
        <v>-18</v>
      </c>
      <c r="AJ2373" s="113">
        <f>'Data_in-situ'!ES322</f>
        <v>8.5</v>
      </c>
      <c r="AK2373" s="110">
        <f>'Data_in-situ'!ET322</f>
        <v>18</v>
      </c>
    </row>
    <row r="2374" spans="32:37" x14ac:dyDescent="0.3">
      <c r="AF2374" s="113">
        <f>'Data_in-situ'!EN323</f>
        <v>-26.2</v>
      </c>
      <c r="AG2374" s="113">
        <f>'Data_in-situ'!EO323</f>
        <v>12.1</v>
      </c>
      <c r="AH2374" s="110">
        <f>'Data_in-situ'!EP323</f>
        <v>29</v>
      </c>
      <c r="AI2374" s="113">
        <f>'Data_in-situ'!ER323</f>
        <v>-30</v>
      </c>
      <c r="AJ2374" s="113">
        <f>'Data_in-situ'!ES323</f>
        <v>11.2</v>
      </c>
      <c r="AK2374" s="110">
        <f>'Data_in-situ'!ET323</f>
        <v>33</v>
      </c>
    </row>
    <row r="2375" spans="32:37" x14ac:dyDescent="0.3">
      <c r="AF2375" s="113">
        <f>'Data_in-situ'!EN324</f>
        <v>-17.100000000000001</v>
      </c>
      <c r="AG2375" s="113">
        <f>'Data_in-situ'!EO324</f>
        <v>5.2</v>
      </c>
      <c r="AH2375" s="110">
        <f>'Data_in-situ'!EP324</f>
        <v>18</v>
      </c>
      <c r="AI2375" s="113">
        <f>'Data_in-situ'!ER324</f>
        <v>-28.9</v>
      </c>
      <c r="AJ2375" s="113">
        <f>'Data_in-situ'!ES324</f>
        <v>7.5</v>
      </c>
      <c r="AK2375" s="110">
        <f>'Data_in-situ'!ET324</f>
        <v>18</v>
      </c>
    </row>
    <row r="2376" spans="32:37" x14ac:dyDescent="0.3">
      <c r="AF2376" s="113">
        <f>'Data_in-situ'!EN325</f>
        <v>-38.9</v>
      </c>
      <c r="AG2376" s="113">
        <f>'Data_in-situ'!EO325</f>
        <v>9.4</v>
      </c>
      <c r="AH2376" s="110">
        <f>'Data_in-situ'!EP325</f>
        <v>12</v>
      </c>
      <c r="AI2376" s="113">
        <f>'Data_in-situ'!ER325</f>
        <v>-44.7</v>
      </c>
      <c r="AJ2376" s="113">
        <f>'Data_in-situ'!ES325</f>
        <v>8.9</v>
      </c>
      <c r="AK2376" s="110">
        <f>'Data_in-situ'!ET325</f>
        <v>12</v>
      </c>
    </row>
    <row r="2377" spans="32:37" x14ac:dyDescent="0.3">
      <c r="AF2377" s="113">
        <f>'Data_in-situ'!EN336</f>
        <v>-1</v>
      </c>
      <c r="AG2377" s="113">
        <f>'Data_in-situ'!EO336</f>
        <v>0.40749639875129334</v>
      </c>
      <c r="AH2377" s="110">
        <f>'Data_in-situ'!EP336</f>
        <v>3</v>
      </c>
      <c r="AI2377" s="113">
        <f>'Data_in-situ'!ER336</f>
        <v>-20</v>
      </c>
      <c r="AJ2377" s="113">
        <f>'Data_in-situ'!ES336</f>
        <v>4.5362810701838834</v>
      </c>
      <c r="AK2377" s="110">
        <f>'Data_in-situ'!ET336</f>
        <v>3</v>
      </c>
    </row>
    <row r="2378" spans="32:37" x14ac:dyDescent="0.3">
      <c r="AF2378" s="113">
        <f>'Data_in-situ'!EN337</f>
        <v>-1</v>
      </c>
      <c r="AG2378" s="113">
        <f>'Data_in-situ'!EO337</f>
        <v>0.40749639875129334</v>
      </c>
      <c r="AH2378" s="110">
        <f>'Data_in-situ'!EP337</f>
        <v>3</v>
      </c>
      <c r="AI2378" s="113">
        <f>'Data_in-situ'!ER337</f>
        <v>-20</v>
      </c>
      <c r="AJ2378" s="113">
        <f>'Data_in-situ'!ES337</f>
        <v>4.5362810701838834</v>
      </c>
      <c r="AK2378" s="110">
        <f>'Data_in-situ'!ET337</f>
        <v>3</v>
      </c>
    </row>
    <row r="2379" spans="32:37" x14ac:dyDescent="0.3">
      <c r="AF2379" s="113">
        <f>'Data_in-situ'!EN338</f>
        <v>-1</v>
      </c>
      <c r="AG2379" s="113">
        <f>'Data_in-situ'!EO338</f>
        <v>0.40749639875129334</v>
      </c>
      <c r="AH2379" s="110">
        <f>'Data_in-situ'!EP338</f>
        <v>3</v>
      </c>
      <c r="AI2379" s="113">
        <f>'Data_in-situ'!ER338</f>
        <v>-20</v>
      </c>
      <c r="AJ2379" s="113">
        <f>'Data_in-situ'!ES338</f>
        <v>4.5362810701838834</v>
      </c>
      <c r="AK2379" s="110">
        <f>'Data_in-situ'!ET338</f>
        <v>3</v>
      </c>
    </row>
    <row r="2380" spans="32:37" x14ac:dyDescent="0.3">
      <c r="AF2380" s="113">
        <f>'Data_in-situ'!EN354</f>
        <v>-2.9</v>
      </c>
      <c r="AG2380" s="113">
        <f>'Data_in-situ'!EO354</f>
        <v>2.4</v>
      </c>
      <c r="AH2380" s="110">
        <f>'Data_in-situ'!EP354</f>
        <v>3</v>
      </c>
      <c r="AI2380" s="113">
        <f>'Data_in-situ'!ER354</f>
        <v>-24.2</v>
      </c>
      <c r="AJ2380" s="113">
        <f>'Data_in-situ'!ES354</f>
        <v>10.3</v>
      </c>
      <c r="AK2380" s="110">
        <f>'Data_in-situ'!ET354</f>
        <v>2</v>
      </c>
    </row>
    <row r="2381" spans="32:37" x14ac:dyDescent="0.3">
      <c r="AF2381" s="113">
        <f>'Data_in-situ'!EN355</f>
        <v>-10.6</v>
      </c>
      <c r="AG2381" s="113">
        <f>'Data_in-situ'!EO355</f>
        <v>7.7</v>
      </c>
      <c r="AH2381" s="110">
        <f>'Data_in-situ'!EP355</f>
        <v>3</v>
      </c>
      <c r="AI2381" s="113">
        <f>'Data_in-situ'!ER355</f>
        <v>-13.2</v>
      </c>
      <c r="AJ2381" s="113">
        <f>'Data_in-situ'!ES355</f>
        <v>6.5</v>
      </c>
      <c r="AK2381" s="110">
        <f>'Data_in-situ'!ET355</f>
        <v>3</v>
      </c>
    </row>
    <row r="2382" spans="32:37" x14ac:dyDescent="0.3">
      <c r="AF2382" s="113">
        <f>'Data_in-situ'!EN356</f>
        <v>-10.6</v>
      </c>
      <c r="AG2382" s="113">
        <f>'Data_in-situ'!EO356</f>
        <v>7.7</v>
      </c>
      <c r="AH2382" s="110">
        <f>'Data_in-situ'!EP356</f>
        <v>3</v>
      </c>
      <c r="AI2382" s="113">
        <f>'Data_in-situ'!ER356</f>
        <v>-53.1</v>
      </c>
      <c r="AJ2382" s="113">
        <f>'Data_in-situ'!ES356</f>
        <v>10.3</v>
      </c>
      <c r="AK2382" s="110">
        <f>'Data_in-situ'!ET356</f>
        <v>1</v>
      </c>
    </row>
    <row r="2383" spans="32:37" x14ac:dyDescent="0.3">
      <c r="AF2383" s="113">
        <f>'Data_in-situ'!EN357</f>
        <v>-3.9</v>
      </c>
      <c r="AG2383" s="113">
        <f>'Data_in-situ'!EO357</f>
        <v>3.3</v>
      </c>
      <c r="AH2383" s="110">
        <f>'Data_in-situ'!EP357</f>
        <v>3</v>
      </c>
      <c r="AI2383" s="113">
        <f>'Data_in-situ'!ER357</f>
        <v>-25.6</v>
      </c>
      <c r="AJ2383" s="113">
        <f>'Data_in-situ'!ES357</f>
        <v>10.3</v>
      </c>
      <c r="AK2383" s="110">
        <f>'Data_in-situ'!ET357</f>
        <v>2</v>
      </c>
    </row>
    <row r="2384" spans="32:37" x14ac:dyDescent="0.3">
      <c r="AF2384" s="113">
        <f>'Data_in-situ'!EN358</f>
        <v>-10.199999999999999</v>
      </c>
      <c r="AG2384" s="113">
        <f>'Data_in-situ'!EO358</f>
        <v>4.7</v>
      </c>
      <c r="AH2384" s="110">
        <f>'Data_in-situ'!EP358</f>
        <v>3</v>
      </c>
      <c r="AI2384" s="113">
        <f>'Data_in-situ'!ER358</f>
        <v>-16.899999999999999</v>
      </c>
      <c r="AJ2384" s="113">
        <f>'Data_in-situ'!ES358</f>
        <v>10.3</v>
      </c>
      <c r="AK2384" s="110">
        <f>'Data_in-situ'!ET358</f>
        <v>3</v>
      </c>
    </row>
    <row r="2385" spans="32:37" x14ac:dyDescent="0.3">
      <c r="AF2385" s="113">
        <f>'Data_in-situ'!EN359</f>
        <v>-10.199999999999999</v>
      </c>
      <c r="AG2385" s="113">
        <f>'Data_in-situ'!EO359</f>
        <v>4.7</v>
      </c>
      <c r="AH2385" s="110">
        <f>'Data_in-situ'!EP359</f>
        <v>3</v>
      </c>
      <c r="AI2385" s="113">
        <f>'Data_in-situ'!ER359</f>
        <v>-57.1</v>
      </c>
      <c r="AJ2385" s="113">
        <f>'Data_in-situ'!ES359</f>
        <v>7.4</v>
      </c>
      <c r="AK2385" s="110">
        <f>'Data_in-situ'!ET359</f>
        <v>1</v>
      </c>
    </row>
    <row r="2386" spans="32:37" x14ac:dyDescent="0.3">
      <c r="AF2386" s="113">
        <f>'Data_in-situ'!EN360</f>
        <v>0</v>
      </c>
      <c r="AG2386" s="113">
        <f>'Data_in-situ'!EO360</f>
        <v>0</v>
      </c>
      <c r="AH2386" s="110">
        <f>'Data_in-situ'!EP360</f>
        <v>8</v>
      </c>
      <c r="AI2386" s="113">
        <f>'Data_in-situ'!ER360</f>
        <v>-20</v>
      </c>
      <c r="AJ2386" s="113">
        <f>'Data_in-situ'!ES360</f>
        <v>4.5362810701838834</v>
      </c>
      <c r="AK2386" s="110">
        <f>'Data_in-situ'!ET360</f>
        <v>8</v>
      </c>
    </row>
    <row r="2387" spans="32:37" x14ac:dyDescent="0.3">
      <c r="AF2387" s="113">
        <f>'Data_in-situ'!EN362</f>
        <v>-45.647936632378602</v>
      </c>
      <c r="AG2387" s="113">
        <f>'Data_in-situ'!EO362</f>
        <v>18.60136978812152</v>
      </c>
      <c r="AH2387" s="110">
        <f>'Data_in-situ'!EP362</f>
        <v>8</v>
      </c>
      <c r="AI2387" s="113">
        <f>'Data_in-situ'!ER362</f>
        <v>-90.991470783038906</v>
      </c>
      <c r="AJ2387" s="113">
        <f>'Data_in-situ'!ES362</f>
        <v>20.638144323064466</v>
      </c>
      <c r="AK2387" s="110">
        <f>'Data_in-situ'!ET362</f>
        <v>8</v>
      </c>
    </row>
    <row r="2388" spans="32:37" x14ac:dyDescent="0.3">
      <c r="AF2388" s="113">
        <f>'Data_in-situ'!EN363</f>
        <v>-18.912423460077601</v>
      </c>
      <c r="AG2388" s="113">
        <f>'Data_in-situ'!EO363</f>
        <v>7.7067444516410974</v>
      </c>
      <c r="AH2388" s="110">
        <f>'Data_in-situ'!EP363</f>
        <v>8</v>
      </c>
      <c r="AI2388" s="113">
        <f>'Data_in-situ'!ER363</f>
        <v>-40.3060245198091</v>
      </c>
      <c r="AJ2388" s="113">
        <f>'Data_in-situ'!ES363</f>
        <v>9.1419728021788735</v>
      </c>
      <c r="AK2388" s="110">
        <f>'Data_in-situ'!ET363</f>
        <v>8</v>
      </c>
    </row>
    <row r="2389" spans="32:37" x14ac:dyDescent="0.3">
      <c r="AF2389" s="113">
        <f>'Data_in-situ'!EN389</f>
        <v>-16</v>
      </c>
      <c r="AG2389" s="113">
        <f>'Data_in-situ'!EO389</f>
        <v>6.5199423800206935</v>
      </c>
      <c r="AH2389" s="110">
        <f>'Data_in-situ'!EP389</f>
        <v>4</v>
      </c>
      <c r="AI2389" s="113">
        <f>'Data_in-situ'!ER389</f>
        <v>-21</v>
      </c>
      <c r="AJ2389" s="113">
        <f>'Data_in-situ'!ES389</f>
        <v>4.7630951236930779</v>
      </c>
      <c r="AK2389" s="110">
        <f>'Data_in-situ'!ET389</f>
        <v>4</v>
      </c>
    </row>
    <row r="2390" spans="32:37" x14ac:dyDescent="0.3">
      <c r="AF2390" s="113">
        <f>'Data_in-situ'!EN390</f>
        <v>-15</v>
      </c>
      <c r="AG2390" s="113">
        <f>'Data_in-situ'!EO390</f>
        <v>6.1124459812694001</v>
      </c>
      <c r="AH2390" s="110">
        <f>'Data_in-situ'!EP390</f>
        <v>4</v>
      </c>
      <c r="AI2390" s="113">
        <f>'Data_in-situ'!ER390</f>
        <v>-20</v>
      </c>
      <c r="AJ2390" s="113">
        <f>'Data_in-situ'!ES390</f>
        <v>4.5362810701838834</v>
      </c>
      <c r="AK2390" s="110">
        <f>'Data_in-situ'!ET390</f>
        <v>4</v>
      </c>
    </row>
    <row r="2391" spans="32:37" x14ac:dyDescent="0.3">
      <c r="AF2391" s="113">
        <f>'Data_in-situ'!EN415</f>
        <v>-15.24193548387095</v>
      </c>
      <c r="AG2391" s="113">
        <f>'Data_in-situ'!EO415</f>
        <v>0.79834636585576813</v>
      </c>
      <c r="AH2391" s="110">
        <f>'Data_in-situ'!EP415</f>
        <v>3</v>
      </c>
      <c r="AI2391" s="113">
        <f>'Data_in-situ'!ER415</f>
        <v>-86.747311827956878</v>
      </c>
      <c r="AJ2391" s="113">
        <f>'Data_in-situ'!ES415</f>
        <v>35.741792340849045</v>
      </c>
      <c r="AK2391" s="110">
        <f>'Data_in-situ'!ET415</f>
        <v>3</v>
      </c>
    </row>
    <row r="2392" spans="32:37" x14ac:dyDescent="0.3">
      <c r="AF2392" s="113">
        <f>'Data_in-situ'!EN416</f>
        <v>-9.4</v>
      </c>
      <c r="AG2392" s="113">
        <f>'Data_in-situ'!EO416</f>
        <v>9.3000000000000007</v>
      </c>
      <c r="AH2392" s="110">
        <f>'Data_in-situ'!EP416</f>
        <v>5</v>
      </c>
      <c r="AI2392" s="113">
        <f>'Data_in-situ'!ER416</f>
        <v>-21.2</v>
      </c>
      <c r="AJ2392" s="113">
        <f>'Data_in-situ'!ES416</f>
        <v>14.9</v>
      </c>
      <c r="AK2392" s="110">
        <f>'Data_in-situ'!ET416</f>
        <v>5</v>
      </c>
    </row>
    <row r="2393" spans="32:37" x14ac:dyDescent="0.3">
      <c r="AF2393" s="113">
        <f>'Data_in-situ'!EN418</f>
        <v>-7.3</v>
      </c>
      <c r="AG2393" s="113">
        <f>'Data_in-situ'!EO418</f>
        <v>3.6</v>
      </c>
      <c r="AH2393" s="110">
        <f>'Data_in-situ'!EP418</f>
        <v>3</v>
      </c>
      <c r="AI2393" s="113">
        <f>'Data_in-situ'!ER418</f>
        <v>-75.599999999999994</v>
      </c>
      <c r="AJ2393" s="113">
        <f>'Data_in-situ'!ES418</f>
        <v>14.2</v>
      </c>
      <c r="AK2393" s="110">
        <f>'Data_in-situ'!ET418</f>
        <v>3</v>
      </c>
    </row>
    <row r="2394" spans="32:37" x14ac:dyDescent="0.3">
      <c r="AF2394" s="113">
        <f>'Data_in-situ'!EN419</f>
        <v>-4.2</v>
      </c>
      <c r="AG2394" s="113">
        <f>'Data_in-situ'!EO419</f>
        <v>5.2</v>
      </c>
      <c r="AH2394" s="110">
        <f>'Data_in-situ'!EP419</f>
        <v>3</v>
      </c>
      <c r="AI2394" s="113">
        <f>'Data_in-situ'!ER419</f>
        <v>-64.3</v>
      </c>
      <c r="AJ2394" s="113">
        <f>'Data_in-situ'!ES419</f>
        <v>5.9</v>
      </c>
      <c r="AK2394" s="110">
        <f>'Data_in-situ'!ET419</f>
        <v>3</v>
      </c>
    </row>
    <row r="2395" spans="32:37" x14ac:dyDescent="0.3">
      <c r="AF2395" s="113">
        <f>'Data_in-situ'!EN432</f>
        <v>-14.226633581472301</v>
      </c>
      <c r="AG2395" s="113">
        <f>'Data_in-situ'!EO432</f>
        <v>0.84179554111043309</v>
      </c>
      <c r="AH2395" s="110">
        <f>'Data_in-situ'!EP432</f>
        <v>3</v>
      </c>
      <c r="AI2395" s="113">
        <f>'Data_in-situ'!ER432</f>
        <v>-56.100981767180912</v>
      </c>
      <c r="AJ2395" s="113">
        <f>'Data_in-situ'!ES432</f>
        <v>3.5983168804300347</v>
      </c>
      <c r="AK2395" s="110">
        <f>'Data_in-situ'!ET432</f>
        <v>3</v>
      </c>
    </row>
    <row r="2396" spans="32:37" x14ac:dyDescent="0.3">
      <c r="AF2396" s="113">
        <f>'Data_in-situ'!EN433</f>
        <v>-12.821300563236036</v>
      </c>
      <c r="AG2396" s="113">
        <f>'Data_in-situ'!EO433</f>
        <v>0.77828981054787205</v>
      </c>
      <c r="AH2396" s="110">
        <f>'Data_in-situ'!EP433</f>
        <v>3</v>
      </c>
      <c r="AI2396" s="113">
        <f>'Data_in-situ'!ER433</f>
        <v>-49.305962854349943</v>
      </c>
      <c r="AJ2396" s="113">
        <f>'Data_in-situ'!ES433</f>
        <v>4.302708385623629</v>
      </c>
      <c r="AK2396" s="110">
        <f>'Data_in-situ'!ET433</f>
        <v>3</v>
      </c>
    </row>
    <row r="2397" spans="32:37" x14ac:dyDescent="0.3">
      <c r="AF2397" s="113">
        <f>'Data_in-situ'!EN443</f>
        <v>-9</v>
      </c>
      <c r="AG2397" s="113">
        <f>'Data_in-situ'!EO443</f>
        <v>1.9</v>
      </c>
      <c r="AH2397" s="110">
        <f>'Data_in-situ'!EP443</f>
        <v>3</v>
      </c>
      <c r="AI2397" s="113">
        <f>'Data_in-situ'!ER443</f>
        <v>-37.76</v>
      </c>
      <c r="AJ2397" s="113">
        <f>'Data_in-situ'!ES443</f>
        <v>2.68</v>
      </c>
      <c r="AK2397" s="110">
        <f>'Data_in-situ'!ET443</f>
        <v>3</v>
      </c>
    </row>
    <row r="2398" spans="32:37" x14ac:dyDescent="0.3">
      <c r="AF2398" s="113">
        <f>'Data_in-situ'!EN444</f>
        <v>-15</v>
      </c>
      <c r="AG2398" s="113">
        <f>'Data_in-situ'!EO444</f>
        <v>13</v>
      </c>
      <c r="AH2398" s="110">
        <f>'Data_in-situ'!EP444</f>
        <v>9836</v>
      </c>
      <c r="AI2398" s="113">
        <f>'Data_in-situ'!ER444</f>
        <v>-55</v>
      </c>
      <c r="AJ2398" s="113">
        <f>'Data_in-situ'!ES444</f>
        <v>15</v>
      </c>
      <c r="AK2398" s="110">
        <f>'Data_in-situ'!ET444</f>
        <v>14736</v>
      </c>
    </row>
    <row r="2399" spans="32:37" x14ac:dyDescent="0.3">
      <c r="AF2399" s="113">
        <f>'Data_in-situ'!EN447</f>
        <v>-17.3</v>
      </c>
      <c r="AG2399" s="113">
        <f>'Data_in-situ'!EO447</f>
        <v>2.2516660498395402</v>
      </c>
      <c r="AH2399" s="110">
        <f>'Data_in-situ'!EP447</f>
        <v>3</v>
      </c>
      <c r="AI2399" s="113">
        <f>'Data_in-situ'!ER447</f>
        <v>-21.9</v>
      </c>
      <c r="AJ2399" s="113">
        <f>'Data_in-situ'!ES447</f>
        <v>3.4641016151377544</v>
      </c>
      <c r="AK2399" s="110">
        <f>'Data_in-situ'!ET447</f>
        <v>3</v>
      </c>
    </row>
    <row r="2400" spans="32:37" x14ac:dyDescent="0.3">
      <c r="AF2400" s="113">
        <f>'Data_in-situ'!EN448</f>
        <v>-6</v>
      </c>
      <c r="AG2400" s="113">
        <f>'Data_in-situ'!EO448</f>
        <v>-3</v>
      </c>
      <c r="AH2400" s="110">
        <f>'Data_in-situ'!EP448</f>
        <v>3</v>
      </c>
      <c r="AI2400" s="113">
        <f>'Data_in-situ'!ER448</f>
        <v>-21.8</v>
      </c>
      <c r="AJ2400" s="113">
        <f>'Data_in-situ'!ES448</f>
        <v>6.5</v>
      </c>
      <c r="AK2400" s="110">
        <f>'Data_in-situ'!ET448</f>
        <v>3</v>
      </c>
    </row>
    <row r="2401" spans="1:37" x14ac:dyDescent="0.3">
      <c r="AF2401" s="113">
        <f>'Data_in-situ'!EN449</f>
        <v>-7</v>
      </c>
      <c r="AG2401" s="113">
        <f>'Data_in-situ'!EO449</f>
        <v>4</v>
      </c>
      <c r="AH2401" s="110">
        <f>'Data_in-situ'!EP449</f>
        <v>3</v>
      </c>
      <c r="AI2401" s="113">
        <f>'Data_in-situ'!ER449</f>
        <v>-22.6</v>
      </c>
      <c r="AJ2401" s="113">
        <f>'Data_in-situ'!ES449</f>
        <v>5.6</v>
      </c>
      <c r="AK2401" s="110">
        <f>'Data_in-situ'!ET449</f>
        <v>3</v>
      </c>
    </row>
    <row r="2402" spans="1:37" x14ac:dyDescent="0.3">
      <c r="AF2402" s="113">
        <f>'Data_in-situ'!EN454</f>
        <v>-5.6149732620320822</v>
      </c>
      <c r="AG2402" s="113">
        <f>'Data_in-situ'!EO454</f>
        <v>0.89761221109140865</v>
      </c>
      <c r="AH2402" s="110">
        <f>'Data_in-situ'!EP454</f>
        <v>3</v>
      </c>
      <c r="AI2402" s="113">
        <f>'Data_in-situ'!ER454</f>
        <v>-132.2570532915361</v>
      </c>
      <c r="AJ2402" s="113">
        <f>'Data_in-situ'!ES454</f>
        <v>8.6718103212007449</v>
      </c>
      <c r="AK2402" s="110">
        <f>'Data_in-situ'!ET454</f>
        <v>3</v>
      </c>
    </row>
    <row r="2403" spans="1:37" x14ac:dyDescent="0.3">
      <c r="AF2403" s="113">
        <f>'Data_in-situ'!EN455</f>
        <v>-5.6149732620320822</v>
      </c>
      <c r="AG2403" s="113">
        <f>'Data_in-situ'!EO455</f>
        <v>0.89761221109140865</v>
      </c>
      <c r="AH2403" s="110">
        <f>'Data_in-situ'!EP455</f>
        <v>3</v>
      </c>
      <c r="AI2403" s="113">
        <f>'Data_in-situ'!ER455</f>
        <v>-65.23510971786834</v>
      </c>
      <c r="AJ2403" s="113">
        <f>'Data_in-situ'!ES455</f>
        <v>10.177520442006553</v>
      </c>
      <c r="AK2403" s="110">
        <f>'Data_in-situ'!ET455</f>
        <v>3</v>
      </c>
    </row>
    <row r="2405" spans="1:37" x14ac:dyDescent="0.3">
      <c r="A2405" s="110" t="s">
        <v>831</v>
      </c>
      <c r="B2405" s="24">
        <f>AVERAGEA(B2237:B2403)</f>
        <v>-18472.195573074863</v>
      </c>
      <c r="C2405" s="24">
        <f>STDEVA(B2237:B2403)/SQRT(COUNT(B2237:B2403))</f>
        <v>5209.8995035221906</v>
      </c>
      <c r="D2405" s="46">
        <f>COUNT(B2237:B2403)</f>
        <v>41</v>
      </c>
      <c r="E2405" s="24">
        <f>AVERAGEA(E2237:E2403)</f>
        <v>-21727.99610749671</v>
      </c>
      <c r="F2405" s="24">
        <f>STDEVA(E2237:E2403)/SQRT(COUNT(E2237:E2403))</f>
        <v>6135.3567912074823</v>
      </c>
      <c r="G2405" s="46">
        <f>COUNT(E2237:E2403)</f>
        <v>41</v>
      </c>
      <c r="H2405" s="24">
        <f>AVERAGEA(H2237:H2403)</f>
        <v>14154.030653644859</v>
      </c>
      <c r="I2405" s="24">
        <f>STDEVA(H2237:H2403)/SQRT(COUNT(H2237:H2403))</f>
        <v>2152.247879765745</v>
      </c>
      <c r="J2405" s="110">
        <f>COUNT(H2237:H2403)</f>
        <v>41</v>
      </c>
      <c r="K2405" s="24">
        <f>AVERAGEA(K2237:K2403)</f>
        <v>24354.360629399125</v>
      </c>
      <c r="L2405" s="24">
        <f>STDEVA(K2237:K2403)/SQRT(COUNT(K2237:K2403))</f>
        <v>3952.591731229521</v>
      </c>
      <c r="M2405" s="110">
        <f>COUNT(K2237:K2403)</f>
        <v>41</v>
      </c>
      <c r="N2405" s="24">
        <f>AVERAGEA(N2237:N2403)</f>
        <v>-3061.7008658632612</v>
      </c>
      <c r="O2405" s="24">
        <f>STDEVA(N2237:N2403)/SQRT(COUNT(N2237:N2403))</f>
        <v>2371.33562429831</v>
      </c>
      <c r="P2405" s="110">
        <f>COUNT(N2237:N2403)</f>
        <v>56</v>
      </c>
      <c r="Q2405" s="24">
        <f>AVERAGEA(Q2237:Q2403)</f>
        <v>2126.429136947414</v>
      </c>
      <c r="R2405" s="24">
        <f>STDEVA(Q2237:Q2403)/SQRT(COUNT(Q2237:Q2403))</f>
        <v>1913.6769579703709</v>
      </c>
      <c r="S2405" s="110">
        <f>COUNT(Q2237:Q2403)</f>
        <v>56</v>
      </c>
      <c r="T2405" s="113">
        <f>AVERAGEA(T2237:T2403)</f>
        <v>84.570650260637422</v>
      </c>
      <c r="U2405" s="113">
        <f>STDEVA(T2237:T2403)/SQRT(COUNT(T2237:T2403))</f>
        <v>14.652407777082248</v>
      </c>
      <c r="V2405" s="110">
        <f>COUNT(T2237:T2403)</f>
        <v>122</v>
      </c>
      <c r="W2405" s="113">
        <f>AVERAGEA(W2237:W2403)</f>
        <v>14.731081412008862</v>
      </c>
      <c r="X2405" s="113">
        <f>STDEVA(W2237:W2403)/SQRT(COUNT(W2237:W2403))</f>
        <v>2.9154293825402813</v>
      </c>
      <c r="Y2405" s="110">
        <f>COUNT(W2237:W2403)</f>
        <v>122</v>
      </c>
      <c r="Z2405" s="113">
        <f>AVERAGEA(Z2237:Z2403)</f>
        <v>0.15705130169638445</v>
      </c>
      <c r="AA2405" s="113">
        <f>STDEVA(Z2237:Z2403)/SQRT(COUNT(Z2237:Z2403))</f>
        <v>4.376569524456949E-2</v>
      </c>
      <c r="AB2405" s="110">
        <f>COUNT(Z2237:Z2403)</f>
        <v>48</v>
      </c>
      <c r="AC2405" s="113">
        <f>AVERAGEA(AC2237:AC2403)</f>
        <v>3.1602225072835206</v>
      </c>
      <c r="AD2405" s="113">
        <f>STDEVA(AC2237:AC2403)/SQRT(COUNT(AC2237:AC2403))</f>
        <v>1.1694769488460854</v>
      </c>
      <c r="AE2405" s="110">
        <f>COUNT(AC2237:AC2403)</f>
        <v>48</v>
      </c>
      <c r="AF2405" s="113">
        <f>AVERAGEA(AF2237:AF2403)</f>
        <v>-22.94530457302405</v>
      </c>
      <c r="AG2405" s="113">
        <f>STDEVA(AF2237:AF2403)/SQRT(COUNT(AF2237:AF2403))</f>
        <v>1.3788136553832464</v>
      </c>
      <c r="AH2405" s="110">
        <f>COUNT(AF2237:AF2403)</f>
        <v>167</v>
      </c>
      <c r="AI2405" s="113">
        <f>AVERAGEA(AI2237:AI2403)</f>
        <v>-52.215276554827348</v>
      </c>
      <c r="AJ2405" s="113">
        <f>STDEVA(AI2237:AI2403)/SQRT(COUNT(AI2237:AI2403))</f>
        <v>2.9541629958931814</v>
      </c>
      <c r="AK2405" s="110">
        <f>COUNT(AI2237:AI2403)</f>
        <v>167</v>
      </c>
    </row>
    <row r="2407" spans="1:37" ht="15.6" x14ac:dyDescent="0.3">
      <c r="A2407" s="12" t="s">
        <v>85</v>
      </c>
      <c r="B2407" s="24">
        <f>'Data_in-situ'!CA30</f>
        <v>-40736.294508300089</v>
      </c>
      <c r="C2407" s="24">
        <f>'Data_in-situ'!CB30</f>
        <v>9264.5737614785212</v>
      </c>
      <c r="D2407" s="46">
        <f>'Data_in-situ'!CC30</f>
        <v>6</v>
      </c>
      <c r="E2407" s="24">
        <f>'Data_in-situ'!CE30</f>
        <v>-30951.137650990822</v>
      </c>
      <c r="F2407" s="24">
        <f>'Data_in-situ'!CF30</f>
        <v>7720.4781345655592</v>
      </c>
      <c r="G2407" s="46">
        <f>'Data_in-situ'!CG30</f>
        <v>6</v>
      </c>
      <c r="H2407" s="24">
        <f>'Data_in-situ'!CN30</f>
        <v>23661.813178740125</v>
      </c>
      <c r="I2407" s="24">
        <f>'Data_in-situ'!CO30</f>
        <v>8127.2621692012581</v>
      </c>
      <c r="J2407" s="46">
        <f>'Data_in-situ'!CP30</f>
        <v>6</v>
      </c>
      <c r="K2407" s="24">
        <f>'Data_in-situ'!CR30</f>
        <v>17959.926513784052</v>
      </c>
      <c r="L2407" s="24">
        <f>'Data_in-situ'!CS30</f>
        <v>6049.9193018093547</v>
      </c>
      <c r="M2407" s="46">
        <f>'Data_in-situ'!CT30</f>
        <v>6</v>
      </c>
      <c r="N2407" s="24">
        <f>'Data_in-situ'!DA30</f>
        <v>-17074.481329559963</v>
      </c>
      <c r="O2407" s="24">
        <f>'Data_in-situ'!DB30</f>
        <v>1832.3959637482985</v>
      </c>
      <c r="P2407" s="46">
        <f>'Data_in-situ'!DC30</f>
        <v>6</v>
      </c>
      <c r="Q2407" s="24">
        <f>'Data_in-situ'!DE30</f>
        <v>-12991.21113720677</v>
      </c>
      <c r="R2407" s="24">
        <f>'Data_in-situ'!DF30</f>
        <v>15856.449105704574</v>
      </c>
      <c r="S2407" s="46">
        <f>'Data_in-situ'!DG30</f>
        <v>6</v>
      </c>
      <c r="T2407" s="113">
        <f>'Data_in-situ'!DN14</f>
        <v>1212.2979432249506</v>
      </c>
      <c r="U2407" s="113">
        <f>'Data_in-situ'!DO14</f>
        <v>324.6860048502561</v>
      </c>
      <c r="V2407" s="46">
        <f>'Data_in-situ'!DP14</f>
        <v>9</v>
      </c>
      <c r="W2407" s="113">
        <f>'Data_in-situ'!DR14</f>
        <v>4.8030530526021593</v>
      </c>
      <c r="X2407" s="113">
        <f>'Data_in-situ'!DS14</f>
        <v>10.100613157809143</v>
      </c>
      <c r="Y2407" s="46">
        <f>'Data_in-situ'!DT14</f>
        <v>9</v>
      </c>
      <c r="Z2407" s="113">
        <f>'Data_in-situ'!EA84</f>
        <v>-0.10183500000000001</v>
      </c>
      <c r="AA2407" s="113">
        <f>'Data_in-situ'!EB84</f>
        <v>6.3291E-2</v>
      </c>
      <c r="AB2407" s="46">
        <f>'Data_in-situ'!EC84</f>
        <v>3</v>
      </c>
      <c r="AC2407" s="113">
        <f>'Data_in-situ'!EE84</f>
        <v>2.9631794999999999</v>
      </c>
      <c r="AD2407" s="113">
        <f>'Data_in-situ'!EF84</f>
        <v>0.67948399999999998</v>
      </c>
      <c r="AE2407" s="46">
        <f>'Data_in-situ'!EG84</f>
        <v>3</v>
      </c>
      <c r="AF2407" s="113">
        <f>'Data_in-situ'!EN14</f>
        <v>11.41</v>
      </c>
      <c r="AG2407" s="113">
        <f>'Data_in-situ'!EO14</f>
        <v>3.1216542489519883</v>
      </c>
      <c r="AH2407" s="110">
        <f>'Data_in-situ'!EP14</f>
        <v>4</v>
      </c>
      <c r="AI2407" s="113">
        <f>'Data_in-situ'!ER14</f>
        <v>-91.8</v>
      </c>
      <c r="AJ2407" s="113">
        <f>'Data_in-situ'!ES14</f>
        <v>9.6999999999999993</v>
      </c>
      <c r="AK2407" s="110">
        <f>'Data_in-situ'!ET14</f>
        <v>4</v>
      </c>
    </row>
    <row r="2408" spans="1:37" x14ac:dyDescent="0.3">
      <c r="B2408" s="24">
        <f>'Data_in-situ'!CA31</f>
        <v>-29498.69602325177</v>
      </c>
      <c r="C2408" s="24">
        <f>'Data_in-situ'!CB31</f>
        <v>5661.6839653480265</v>
      </c>
      <c r="D2408" s="46">
        <f>'Data_in-situ'!CC31</f>
        <v>6</v>
      </c>
      <c r="E2408" s="24">
        <f>'Data_in-situ'!CE31</f>
        <v>-23758.267633507035</v>
      </c>
      <c r="F2408" s="24">
        <f>'Data_in-situ'!CF31</f>
        <v>4117.5883384349272</v>
      </c>
      <c r="G2408" s="46">
        <f>'Data_in-situ'!CG31</f>
        <v>6</v>
      </c>
      <c r="H2408" s="24">
        <f>'Data_in-situ'!CN31</f>
        <v>24809.052605588167</v>
      </c>
      <c r="I2408" s="24">
        <f>'Data_in-situ'!CO31</f>
        <v>6528.4178481847057</v>
      </c>
      <c r="J2408" s="46">
        <f>'Data_in-situ'!CP31</f>
        <v>6</v>
      </c>
      <c r="K2408" s="24">
        <f>'Data_in-situ'!CR31</f>
        <v>21625.217639046135</v>
      </c>
      <c r="L2408" s="24">
        <f>'Data_in-situ'!CS31</f>
        <v>4944.4422331318983</v>
      </c>
      <c r="M2408" s="46">
        <f>'Data_in-situ'!CT31</f>
        <v>6</v>
      </c>
      <c r="N2408" s="24">
        <f>'Data_in-situ'!DA31</f>
        <v>-4689.643417663603</v>
      </c>
      <c r="O2408" s="24">
        <f>'Data_in-situ'!DB31</f>
        <v>822.55847950944644</v>
      </c>
      <c r="P2408" s="46">
        <f>'Data_in-situ'!DC31</f>
        <v>6</v>
      </c>
      <c r="Q2408" s="24">
        <f>'Data_in-situ'!DE31</f>
        <v>-2133.0499944609001</v>
      </c>
      <c r="R2408" s="24">
        <f>'Data_in-situ'!DF31</f>
        <v>2649.3488808970865</v>
      </c>
      <c r="S2408" s="46">
        <f>'Data_in-situ'!DG31</f>
        <v>6</v>
      </c>
      <c r="T2408" s="113">
        <f>'Data_in-situ'!DN15</f>
        <v>2106.5008889916066</v>
      </c>
      <c r="U2408" s="113">
        <f>'Data_in-situ'!DO15</f>
        <v>550.27007995085796</v>
      </c>
      <c r="V2408" s="46">
        <f>'Data_in-situ'!DP15</f>
        <v>12</v>
      </c>
      <c r="W2408" s="113">
        <f>'Data_in-situ'!DR15</f>
        <v>-0.36946561943093542</v>
      </c>
      <c r="X2408" s="113">
        <f>'Data_in-situ'!DS15</f>
        <v>0.8584618328302922</v>
      </c>
      <c r="Y2408" s="46">
        <f>'Data_in-situ'!DT15</f>
        <v>12</v>
      </c>
      <c r="Z2408" s="113">
        <f>'Data_in-situ'!EA85</f>
        <v>2.8688999999999999E-2</v>
      </c>
      <c r="AA2408" s="113">
        <f>'Data_in-situ'!EB85</f>
        <v>4.7267500000000004E-2</v>
      </c>
      <c r="AB2408" s="46">
        <f>'Data_in-situ'!EC85</f>
        <v>3</v>
      </c>
      <c r="AC2408" s="113">
        <f>'Data_in-situ'!EE85</f>
        <v>0.80300000000000005</v>
      </c>
      <c r="AD2408" s="113">
        <f>'Data_in-situ'!EF85</f>
        <v>0.225132</v>
      </c>
      <c r="AE2408" s="46">
        <f>'Data_in-situ'!EG85</f>
        <v>3</v>
      </c>
      <c r="AF2408" s="113">
        <f>'Data_in-situ'!EN15</f>
        <v>5.6550000000000002</v>
      </c>
      <c r="AG2408" s="113">
        <f>'Data_in-situ'!EO15</f>
        <v>3.8089383363346805</v>
      </c>
      <c r="AH2408" s="110">
        <f>'Data_in-situ'!EP15</f>
        <v>4</v>
      </c>
      <c r="AI2408" s="113">
        <f>'Data_in-situ'!ER15</f>
        <v>-105</v>
      </c>
      <c r="AJ2408" s="113">
        <f>'Data_in-situ'!ES15</f>
        <v>8.1</v>
      </c>
      <c r="AK2408" s="110">
        <f>'Data_in-situ'!ET15</f>
        <v>4</v>
      </c>
    </row>
    <row r="2409" spans="1:37" x14ac:dyDescent="0.3">
      <c r="B2409" s="24">
        <f>'Data_in-situ'!CA128</f>
        <v>-30804.409295502097</v>
      </c>
      <c r="C2409" s="24">
        <f>'Data_in-situ'!CB128</f>
        <v>7508.6897887327168</v>
      </c>
      <c r="D2409" s="46">
        <f>'Data_in-situ'!CC128</f>
        <v>48</v>
      </c>
      <c r="E2409" s="24">
        <f>'Data_in-situ'!CE128</f>
        <v>-23917.078756679508</v>
      </c>
      <c r="F2409" s="24">
        <f>'Data_in-situ'!CF128</f>
        <v>4465.2242350151555</v>
      </c>
      <c r="G2409" s="46">
        <f>'Data_in-situ'!CG128</f>
        <v>48</v>
      </c>
      <c r="H2409" s="24">
        <f>'Data_in-situ'!CN128</f>
        <v>25786.496613792402</v>
      </c>
      <c r="I2409" s="24">
        <f>'Data_in-situ'!CO128</f>
        <v>7450.7457504082913</v>
      </c>
      <c r="J2409" s="46">
        <f>'Data_in-situ'!CP128</f>
        <v>48</v>
      </c>
      <c r="K2409" s="24">
        <f>'Data_in-situ'!CR128</f>
        <v>19674.213717161841</v>
      </c>
      <c r="L2409" s="24">
        <f>'Data_in-situ'!CS128</f>
        <v>4051.362841738935</v>
      </c>
      <c r="M2409" s="46">
        <f>'Data_in-situ'!CT128</f>
        <v>48</v>
      </c>
      <c r="N2409" s="24">
        <f>'Data_in-situ'!DA128</f>
        <v>-5017.9126817096931</v>
      </c>
      <c r="O2409" s="24">
        <f>'Data_in-situ'!DB128</f>
        <v>931.02637244697166</v>
      </c>
      <c r="P2409" s="46">
        <f>'Data_in-situ'!DC128</f>
        <v>48</v>
      </c>
      <c r="Q2409" s="24">
        <f>'Data_in-situ'!DE128</f>
        <v>-4242.8650395176674</v>
      </c>
      <c r="R2409" s="24">
        <f>'Data_in-situ'!DF128</f>
        <v>1877.4148698526124</v>
      </c>
      <c r="S2409" s="46">
        <f>'Data_in-situ'!DG128</f>
        <v>48</v>
      </c>
      <c r="T2409" s="113">
        <f>'Data_in-situ'!DN16</f>
        <v>382.09999892536933</v>
      </c>
      <c r="U2409" s="113">
        <f>'Data_in-situ'!DO16</f>
        <v>116.45849359259256</v>
      </c>
      <c r="V2409" s="46">
        <f>'Data_in-situ'!DP16</f>
        <v>9</v>
      </c>
      <c r="W2409" s="113">
        <f>'Data_in-situ'!DR16</f>
        <v>31.035112032198569</v>
      </c>
      <c r="X2409" s="113">
        <f>'Data_in-situ'!DS16</f>
        <v>65.358501102872523</v>
      </c>
      <c r="Y2409" s="46">
        <f>'Data_in-situ'!DT16</f>
        <v>9</v>
      </c>
      <c r="Z2409" s="113">
        <f>'Data_in-situ'!EA90</f>
        <v>0.12316304575332541</v>
      </c>
      <c r="AA2409" s="113">
        <f>'Data_in-situ'!EB90</f>
        <v>1.532860435877279</v>
      </c>
      <c r="AB2409" s="46">
        <f>'Data_in-situ'!EC90</f>
        <v>3</v>
      </c>
      <c r="AC2409" s="113">
        <f>'Data_in-situ'!EE90</f>
        <v>0.37414709355805537</v>
      </c>
      <c r="AD2409" s="113">
        <f>'Data_in-situ'!EF90</f>
        <v>1.1112977251351353</v>
      </c>
      <c r="AE2409" s="46">
        <f>'Data_in-situ'!EG90</f>
        <v>3</v>
      </c>
      <c r="AF2409" s="113">
        <f>'Data_in-situ'!EN17</f>
        <v>-31.375000000000004</v>
      </c>
      <c r="AG2409" s="113">
        <f>'Data_in-situ'!EO17</f>
        <v>10.767974391685748</v>
      </c>
      <c r="AH2409" s="110">
        <f>'Data_in-situ'!EP17</f>
        <v>4</v>
      </c>
      <c r="AI2409" s="113">
        <f>'Data_in-situ'!ER17</f>
        <v>-57.38</v>
      </c>
      <c r="AJ2409" s="113">
        <f>'Data_in-situ'!ES17</f>
        <v>9.4499999999999993</v>
      </c>
      <c r="AK2409" s="110">
        <f>'Data_in-situ'!ET17</f>
        <v>4</v>
      </c>
    </row>
    <row r="2410" spans="1:37" x14ac:dyDescent="0.3">
      <c r="B2410" s="24">
        <f>'Data_in-situ'!CA129</f>
        <v>-30804.409295502097</v>
      </c>
      <c r="C2410" s="24">
        <f>'Data_in-situ'!CB129</f>
        <v>7508.6897887327168</v>
      </c>
      <c r="D2410" s="46">
        <f>'Data_in-situ'!CC129</f>
        <v>48</v>
      </c>
      <c r="E2410" s="24">
        <f>'Data_in-situ'!CE129</f>
        <v>-22424.619825270362</v>
      </c>
      <c r="F2410" s="24">
        <f>'Data_in-situ'!CF129</f>
        <v>7078.0868325420652</v>
      </c>
      <c r="G2410" s="46">
        <f>'Data_in-situ'!CG129</f>
        <v>48</v>
      </c>
      <c r="H2410" s="24">
        <f>'Data_in-situ'!CN129</f>
        <v>25786.496613792402</v>
      </c>
      <c r="I2410" s="24">
        <f>'Data_in-situ'!CO129</f>
        <v>7450.7457504082913</v>
      </c>
      <c r="J2410" s="46">
        <f>'Data_in-situ'!CP129</f>
        <v>48</v>
      </c>
      <c r="K2410" s="24">
        <f>'Data_in-situ'!CR129</f>
        <v>34101.631064272638</v>
      </c>
      <c r="L2410" s="24">
        <f>'Data_in-situ'!CS129</f>
        <v>6764.0540443406962</v>
      </c>
      <c r="M2410" s="46">
        <f>'Data_in-situ'!CT129</f>
        <v>48</v>
      </c>
      <c r="N2410" s="24">
        <f>'Data_in-situ'!DA129</f>
        <v>-5017.9126817096931</v>
      </c>
      <c r="O2410" s="24">
        <f>'Data_in-situ'!DB129</f>
        <v>931.02637244697166</v>
      </c>
      <c r="P2410" s="46">
        <f>'Data_in-situ'!DC129</f>
        <v>48</v>
      </c>
      <c r="Q2410" s="24">
        <f>'Data_in-situ'!DE129</f>
        <v>11677.011239002279</v>
      </c>
      <c r="R2410" s="24">
        <f>'Data_in-situ'!DF129</f>
        <v>2084.9187260523231</v>
      </c>
      <c r="S2410" s="46">
        <f>'Data_in-situ'!DG129</f>
        <v>48</v>
      </c>
      <c r="T2410" s="113">
        <f>'Data_in-situ'!DN17</f>
        <v>60.942159705621961</v>
      </c>
      <c r="U2410" s="113">
        <f>'Data_in-situ'!DO17</f>
        <v>16.400357502575496</v>
      </c>
      <c r="V2410" s="46">
        <f>'Data_in-situ'!DP17</f>
        <v>12</v>
      </c>
      <c r="W2410" s="113">
        <f>'Data_in-situ'!DR17</f>
        <v>31.035112032198569</v>
      </c>
      <c r="X2410" s="113">
        <f>'Data_in-situ'!DS17</f>
        <v>65.358501102872523</v>
      </c>
      <c r="Y2410" s="46">
        <f>'Data_in-situ'!DT17</f>
        <v>12</v>
      </c>
      <c r="Z2410" s="113">
        <f>'Data_in-situ'!EA91</f>
        <v>1.5714285714285715E-2</v>
      </c>
      <c r="AA2410" s="113">
        <f>'Data_in-situ'!EB91</f>
        <v>9.0356781150237736E-2</v>
      </c>
      <c r="AB2410" s="46">
        <f>'Data_in-situ'!EC91</f>
        <v>3</v>
      </c>
      <c r="AC2410" s="113">
        <f>'Data_in-situ'!EE91</f>
        <v>1.0214285714285716</v>
      </c>
      <c r="AD2410" s="113">
        <f>'Data_in-situ'!EF91</f>
        <v>1.5251352255609132</v>
      </c>
      <c r="AE2410" s="46">
        <f>'Data_in-situ'!EG91</f>
        <v>3</v>
      </c>
      <c r="AF2410" s="113">
        <f>'Data_in-situ'!EN81</f>
        <v>-9</v>
      </c>
      <c r="AG2410" s="113">
        <f>'Data_in-situ'!EO81</f>
        <v>3.6674675887616401</v>
      </c>
      <c r="AH2410" s="110">
        <f>'Data_in-situ'!EP81</f>
        <v>3</v>
      </c>
      <c r="AI2410" s="113">
        <f>'Data_in-situ'!ER81</f>
        <v>-15</v>
      </c>
      <c r="AJ2410" s="113">
        <f>'Data_in-situ'!ES81</f>
        <v>3.4022108026379128</v>
      </c>
      <c r="AK2410" s="110">
        <f>'Data_in-situ'!ET81</f>
        <v>3</v>
      </c>
    </row>
    <row r="2411" spans="1:37" x14ac:dyDescent="0.3">
      <c r="B2411" s="24">
        <f>'Data_in-situ'!CA130</f>
        <v>-39843.491213361398</v>
      </c>
      <c r="C2411" s="24">
        <f>'Data_in-situ'!CB130</f>
        <v>12909.471724359584</v>
      </c>
      <c r="D2411" s="46">
        <f>'Data_in-situ'!CC130</f>
        <v>66</v>
      </c>
      <c r="E2411" s="24">
        <f>'Data_in-situ'!CE130</f>
        <v>-35035.77220338145</v>
      </c>
      <c r="F2411" s="24">
        <f>'Data_in-situ'!CF130</f>
        <v>6481.9820713073177</v>
      </c>
      <c r="G2411" s="46">
        <f>'Data_in-situ'!CG130</f>
        <v>66</v>
      </c>
      <c r="H2411" s="24">
        <f>'Data_in-situ'!CN130</f>
        <v>35408.568959456847</v>
      </c>
      <c r="I2411" s="24">
        <f>'Data_in-situ'!CO130</f>
        <v>12878.668982057387</v>
      </c>
      <c r="J2411" s="46">
        <f>'Data_in-situ'!CP130</f>
        <v>66</v>
      </c>
      <c r="K2411" s="24">
        <f>'Data_in-situ'!CR130</f>
        <v>26888.134502472181</v>
      </c>
      <c r="L2411" s="24">
        <f>'Data_in-situ'!CS130</f>
        <v>6047.8746396959068</v>
      </c>
      <c r="M2411" s="46">
        <f>'Data_in-situ'!CT130</f>
        <v>66</v>
      </c>
      <c r="N2411" s="24">
        <f>'Data_in-situ'!DA130</f>
        <v>-4434.9222539045541</v>
      </c>
      <c r="O2411" s="24">
        <f>'Data_in-situ'!DB130</f>
        <v>891.2605974868037</v>
      </c>
      <c r="P2411" s="46">
        <f>'Data_in-situ'!DC130</f>
        <v>66</v>
      </c>
      <c r="Q2411" s="24">
        <f>'Data_in-situ'!DE130</f>
        <v>-8147.6377009092694</v>
      </c>
      <c r="R2411" s="24">
        <f>'Data_in-situ'!DF130</f>
        <v>2332.2315312319697</v>
      </c>
      <c r="S2411" s="46">
        <f>'Data_in-situ'!DG130</f>
        <v>66</v>
      </c>
      <c r="T2411" s="113">
        <f>'Data_in-situ'!DN30</f>
        <v>155.37117670145557</v>
      </c>
      <c r="U2411" s="113">
        <f>'Data_in-situ'!DO30</f>
        <v>42.709219724301029</v>
      </c>
      <c r="V2411" s="46">
        <f>'Data_in-situ'!DP30</f>
        <v>6</v>
      </c>
      <c r="W2411" s="113">
        <f>'Data_in-situ'!DR30</f>
        <v>185.22204309442213</v>
      </c>
      <c r="X2411" s="113">
        <f>'Data_in-situ'!DS30</f>
        <v>44.646673389917268</v>
      </c>
      <c r="Y2411" s="46">
        <f>'Data_in-situ'!DT30</f>
        <v>6</v>
      </c>
      <c r="Z2411" s="113">
        <f>'Data_in-situ'!EA92</f>
        <v>2.357142857142857E-2</v>
      </c>
      <c r="AA2411" s="113">
        <f>'Data_in-situ'!EB92</f>
        <v>0.13553517172535659</v>
      </c>
      <c r="AB2411" s="46">
        <f>'Data_in-situ'!EC92</f>
        <v>3</v>
      </c>
      <c r="AC2411" s="113">
        <f>'Data_in-situ'!EE92</f>
        <v>2.1214285714285714</v>
      </c>
      <c r="AD2411" s="113">
        <f>'Data_in-situ'!EF92</f>
        <v>3.1675885453957426</v>
      </c>
      <c r="AE2411" s="46">
        <f>'Data_in-situ'!EG92</f>
        <v>3</v>
      </c>
      <c r="AF2411" s="113">
        <f>'Data_in-situ'!EN82</f>
        <v>-9</v>
      </c>
      <c r="AG2411" s="113">
        <f>'Data_in-situ'!EO82</f>
        <v>3.6674675887616401</v>
      </c>
      <c r="AH2411" s="110">
        <f>'Data_in-situ'!EP82</f>
        <v>3</v>
      </c>
      <c r="AI2411" s="113">
        <f>'Data_in-situ'!ER82</f>
        <v>-21</v>
      </c>
      <c r="AJ2411" s="113">
        <f>'Data_in-situ'!ES82</f>
        <v>4.7630951236930779</v>
      </c>
      <c r="AK2411" s="110">
        <f>'Data_in-situ'!ET82</f>
        <v>3</v>
      </c>
    </row>
    <row r="2412" spans="1:37" x14ac:dyDescent="0.3">
      <c r="B2412" s="24">
        <f>'Data_in-situ'!CA131</f>
        <v>-39843.491213361398</v>
      </c>
      <c r="C2412" s="24">
        <f>'Data_in-situ'!CB131</f>
        <v>12909.471724359584</v>
      </c>
      <c r="D2412" s="46">
        <f>'Data_in-situ'!CC131</f>
        <v>66</v>
      </c>
      <c r="E2412" s="24">
        <f>'Data_in-situ'!CE131</f>
        <v>-47094.824204889017</v>
      </c>
      <c r="F2412" s="24">
        <f>'Data_in-situ'!CF131</f>
        <v>13325.726368768714</v>
      </c>
      <c r="G2412" s="46">
        <f>'Data_in-situ'!CG131</f>
        <v>66</v>
      </c>
      <c r="H2412" s="24">
        <f>'Data_in-situ'!CN131</f>
        <v>35408.568959456847</v>
      </c>
      <c r="I2412" s="24">
        <f>'Data_in-situ'!CO131</f>
        <v>12878.668982057387</v>
      </c>
      <c r="J2412" s="46">
        <f>'Data_in-situ'!CP131</f>
        <v>66</v>
      </c>
      <c r="K2412" s="24">
        <f>'Data_in-situ'!CR131</f>
        <v>52464.145688921722</v>
      </c>
      <c r="L2412" s="24">
        <f>'Data_in-situ'!CS131</f>
        <v>12723.425553607172</v>
      </c>
      <c r="M2412" s="46">
        <f>'Data_in-situ'!CT131</f>
        <v>66</v>
      </c>
      <c r="N2412" s="24">
        <f>'Data_in-situ'!DA131</f>
        <v>-4434.9222539045541</v>
      </c>
      <c r="O2412" s="24">
        <f>'Data_in-situ'!DB131</f>
        <v>891.2605974868037</v>
      </c>
      <c r="P2412" s="46">
        <f>'Data_in-situ'!DC131</f>
        <v>66</v>
      </c>
      <c r="Q2412" s="24">
        <f>'Data_in-situ'!DE131</f>
        <v>5369.3214840327073</v>
      </c>
      <c r="R2412" s="24">
        <f>'Data_in-situ'!DF131</f>
        <v>3960.9879370068538</v>
      </c>
      <c r="S2412" s="46">
        <f>'Data_in-situ'!DG131</f>
        <v>66</v>
      </c>
      <c r="T2412" s="113">
        <f>'Data_in-situ'!DN31</f>
        <v>12.121705834279082</v>
      </c>
      <c r="U2412" s="113">
        <f>'Data_in-situ'!DO31</f>
        <v>3.2958824722656956</v>
      </c>
      <c r="V2412" s="46">
        <f>'Data_in-situ'!DP31</f>
        <v>6</v>
      </c>
      <c r="W2412" s="113">
        <f>'Data_in-situ'!DR31</f>
        <v>18.390311681684526</v>
      </c>
      <c r="X2412" s="113">
        <f>'Data_in-situ'!DS31</f>
        <v>4.9126277024028253</v>
      </c>
      <c r="Y2412" s="46">
        <f>'Data_in-situ'!DT31</f>
        <v>6</v>
      </c>
      <c r="Z2412" s="113">
        <f>'Data_in-situ'!EA93</f>
        <v>2.357142857142857E-2</v>
      </c>
      <c r="AA2412" s="113">
        <f>'Data_in-situ'!EB93</f>
        <v>0.13553517172535659</v>
      </c>
      <c r="AB2412" s="46">
        <f>'Data_in-situ'!EC93</f>
        <v>3</v>
      </c>
      <c r="AC2412" s="113">
        <f>'Data_in-situ'!EE93</f>
        <v>0.80142857142857149</v>
      </c>
      <c r="AD2412" s="113">
        <f>'Data_in-situ'!EF93</f>
        <v>1.1966445615939472</v>
      </c>
      <c r="AE2412" s="46">
        <f>'Data_in-situ'!EG93</f>
        <v>3</v>
      </c>
      <c r="AF2412" s="113">
        <f>'Data_in-situ'!EN83</f>
        <v>-9</v>
      </c>
      <c r="AG2412" s="113">
        <f>'Data_in-situ'!EO83</f>
        <v>3.6674675887616401</v>
      </c>
      <c r="AH2412" s="110">
        <f>'Data_in-situ'!EP83</f>
        <v>3</v>
      </c>
      <c r="AI2412" s="113">
        <f>'Data_in-situ'!ER83</f>
        <v>-26</v>
      </c>
      <c r="AJ2412" s="113">
        <f>'Data_in-situ'!ES83</f>
        <v>5.8971653912390485</v>
      </c>
      <c r="AK2412" s="110">
        <f>'Data_in-situ'!ET83</f>
        <v>3</v>
      </c>
    </row>
    <row r="2413" spans="1:37" x14ac:dyDescent="0.3">
      <c r="B2413" s="24">
        <f>'Data_in-situ'!CA132</f>
        <v>-16584.165556391476</v>
      </c>
      <c r="C2413" s="24">
        <f>'Data_in-situ'!CB132</f>
        <v>3505.6021221629076</v>
      </c>
      <c r="D2413" s="46">
        <f>'Data_in-situ'!CC132</f>
        <v>57</v>
      </c>
      <c r="E2413" s="24">
        <f>'Data_in-situ'!CE132</f>
        <v>-18655.544302064984</v>
      </c>
      <c r="F2413" s="24">
        <f>'Data_in-situ'!CF132</f>
        <v>9333.8389055230891</v>
      </c>
      <c r="G2413" s="46">
        <f>'Data_in-situ'!CG132</f>
        <v>57</v>
      </c>
      <c r="H2413" s="24">
        <f>'Data_in-situ'!CN132</f>
        <v>12315.894090129594</v>
      </c>
      <c r="I2413" s="24">
        <f>'Data_in-situ'!CO132</f>
        <v>3346.1883831600085</v>
      </c>
      <c r="J2413" s="46">
        <f>'Data_in-situ'!CP132</f>
        <v>57</v>
      </c>
      <c r="K2413" s="24">
        <f>'Data_in-situ'!CR132</f>
        <v>12460.292931851514</v>
      </c>
      <c r="L2413" s="24">
        <f>'Data_in-situ'!CS132</f>
        <v>2060.2193631794362</v>
      </c>
      <c r="M2413" s="46">
        <f>'Data_in-situ'!CT132</f>
        <v>57</v>
      </c>
      <c r="N2413" s="24">
        <f>'Data_in-situ'!DA132</f>
        <v>-4268.271466261881</v>
      </c>
      <c r="O2413" s="24">
        <f>'Data_in-situ'!DB132</f>
        <v>1045.11699982255</v>
      </c>
      <c r="P2413" s="46">
        <f>'Data_in-situ'!DC132</f>
        <v>57</v>
      </c>
      <c r="Q2413" s="24">
        <f>'Data_in-situ'!DE132</f>
        <v>-6195.2513702134684</v>
      </c>
      <c r="R2413" s="24">
        <f>'Data_in-situ'!DF132</f>
        <v>9103.6281168464357</v>
      </c>
      <c r="S2413" s="46">
        <f>'Data_in-situ'!DG132</f>
        <v>57</v>
      </c>
      <c r="T2413" s="113">
        <f>'Data_in-situ'!DN81</f>
        <v>131.4</v>
      </c>
      <c r="U2413" s="113">
        <f>'Data_in-situ'!DO81</f>
        <v>146.49513859561415</v>
      </c>
      <c r="V2413" s="46">
        <f>'Data_in-situ'!DP81</f>
        <v>3</v>
      </c>
      <c r="W2413" s="113">
        <f>'Data_in-situ'!DR81</f>
        <v>38.799999999999997</v>
      </c>
      <c r="X2413" s="113">
        <f>'Data_in-situ'!DS81</f>
        <v>145.00399223168318</v>
      </c>
      <c r="Y2413" s="46">
        <f>'Data_in-situ'!DT81</f>
        <v>3</v>
      </c>
      <c r="Z2413" s="113">
        <f>'Data_in-situ'!EA104</f>
        <v>2.2785714285714288E-2</v>
      </c>
      <c r="AA2413" s="113">
        <f>'Data_in-situ'!EB104</f>
        <v>0.13101733266784471</v>
      </c>
      <c r="AB2413" s="46">
        <f>'Data_in-situ'!EC104</f>
        <v>3</v>
      </c>
      <c r="AC2413" s="113">
        <f>'Data_in-situ'!EE104</f>
        <v>2.1057142857142859</v>
      </c>
      <c r="AD2413" s="113">
        <f>'Data_in-situ'!EF104</f>
        <v>3.1441249265409592</v>
      </c>
      <c r="AE2413" s="46">
        <f>'Data_in-situ'!EG104</f>
        <v>3</v>
      </c>
      <c r="AF2413" s="113">
        <f>'Data_in-situ'!EN84</f>
        <v>-2.8</v>
      </c>
      <c r="AG2413" s="113">
        <f>'Data_in-situ'!EO84</f>
        <v>0.72</v>
      </c>
      <c r="AH2413" s="110">
        <f>'Data_in-situ'!EP84</f>
        <v>3</v>
      </c>
      <c r="AI2413" s="113">
        <f>'Data_in-situ'!ER84</f>
        <v>-23.33</v>
      </c>
      <c r="AJ2413" s="113">
        <f>'Data_in-situ'!ES84</f>
        <v>3.46</v>
      </c>
      <c r="AK2413" s="110">
        <f>'Data_in-situ'!ET84</f>
        <v>3</v>
      </c>
    </row>
    <row r="2414" spans="1:37" x14ac:dyDescent="0.3">
      <c r="B2414" s="24">
        <f>'Data_in-situ'!CA133</f>
        <v>-16584.165556391476</v>
      </c>
      <c r="C2414" s="24">
        <f>'Data_in-situ'!CB133</f>
        <v>3505.6021221629076</v>
      </c>
      <c r="D2414" s="46">
        <f>'Data_in-situ'!CC133</f>
        <v>57</v>
      </c>
      <c r="E2414" s="24">
        <f>'Data_in-situ'!CE133</f>
        <v>-16893.314446670054</v>
      </c>
      <c r="F2414" s="24">
        <f>'Data_in-situ'!CF133</f>
        <v>9325.4215781383391</v>
      </c>
      <c r="G2414" s="46">
        <f>'Data_in-situ'!CG133</f>
        <v>57</v>
      </c>
      <c r="H2414" s="24">
        <f>'Data_in-situ'!CN133</f>
        <v>12315.894090129594</v>
      </c>
      <c r="I2414" s="24">
        <f>'Data_in-situ'!CO133</f>
        <v>3346.1883831600085</v>
      </c>
      <c r="J2414" s="46">
        <f>'Data_in-situ'!CP133</f>
        <v>57</v>
      </c>
      <c r="K2414" s="24">
        <f>'Data_in-situ'!CR133</f>
        <v>11148.593839338751</v>
      </c>
      <c r="L2414" s="24">
        <f>'Data_in-situ'!CS133</f>
        <v>2042.0451589318177</v>
      </c>
      <c r="M2414" s="46">
        <f>'Data_in-situ'!CT133</f>
        <v>57</v>
      </c>
      <c r="N2414" s="24">
        <f>'Data_in-situ'!DA133</f>
        <v>-4268.271466261881</v>
      </c>
      <c r="O2414" s="24">
        <f>'Data_in-situ'!DB133</f>
        <v>1045.11699982255</v>
      </c>
      <c r="P2414" s="46">
        <f>'Data_in-situ'!DC133</f>
        <v>57</v>
      </c>
      <c r="Q2414" s="24">
        <f>'Data_in-situ'!DE133</f>
        <v>-5744.7206073313027</v>
      </c>
      <c r="R2414" s="24">
        <f>'Data_in-situ'!DF133</f>
        <v>9099.0955143295014</v>
      </c>
      <c r="S2414" s="46">
        <f>'Data_in-situ'!DG133</f>
        <v>57</v>
      </c>
      <c r="T2414" s="113">
        <f>'Data_in-situ'!DN82</f>
        <v>131.4</v>
      </c>
      <c r="U2414" s="113">
        <f>'Data_in-situ'!DO82</f>
        <v>146.49513859561415</v>
      </c>
      <c r="V2414" s="46">
        <f>'Data_in-situ'!DP82</f>
        <v>3</v>
      </c>
      <c r="W2414" s="113">
        <f>'Data_in-situ'!DR82</f>
        <v>1.4000000000000001</v>
      </c>
      <c r="X2414" s="113">
        <f>'Data_in-situ'!DS82</f>
        <v>5.2321028124834141</v>
      </c>
      <c r="Y2414" s="46">
        <f>'Data_in-situ'!DT82</f>
        <v>3</v>
      </c>
      <c r="Z2414" s="113">
        <f>'Data_in-situ'!EA105</f>
        <v>9.1928571428571401E-2</v>
      </c>
      <c r="AA2414" s="113">
        <f>'Data_in-situ'!EB105</f>
        <v>0.52858716972889053</v>
      </c>
      <c r="AB2414" s="46">
        <f>'Data_in-situ'!EC105</f>
        <v>3</v>
      </c>
      <c r="AC2414" s="113">
        <f>'Data_in-situ'!EE105</f>
        <v>0.87057142857142855</v>
      </c>
      <c r="AD2414" s="113">
        <f>'Data_in-situ'!EF105</f>
        <v>1.2998844845549935</v>
      </c>
      <c r="AE2414" s="46">
        <f>'Data_in-situ'!EG105</f>
        <v>3</v>
      </c>
      <c r="AF2414" s="113">
        <f>'Data_in-situ'!EN85</f>
        <v>-5.04</v>
      </c>
      <c r="AG2414" s="113">
        <f>'Data_in-situ'!EO85</f>
        <v>1.83</v>
      </c>
      <c r="AH2414" s="110">
        <f>'Data_in-situ'!EP85</f>
        <v>3</v>
      </c>
      <c r="AI2414" s="113">
        <f>'Data_in-situ'!ER85</f>
        <v>-37.299999999999997</v>
      </c>
      <c r="AJ2414" s="113">
        <f>'Data_in-situ'!ES85</f>
        <v>7.39</v>
      </c>
      <c r="AK2414" s="110">
        <f>'Data_in-situ'!ET85</f>
        <v>3</v>
      </c>
    </row>
    <row r="2415" spans="1:37" x14ac:dyDescent="0.3">
      <c r="B2415" s="24">
        <f>'Data_in-situ'!CA199</f>
        <v>-17120.448467345523</v>
      </c>
      <c r="C2415" s="24">
        <f>'Data_in-situ'!CB199</f>
        <v>4174.1444262492878</v>
      </c>
      <c r="D2415" s="46">
        <f>'Data_in-situ'!CC199</f>
        <v>1</v>
      </c>
      <c r="E2415" s="24">
        <f>'Data_in-situ'!CE199</f>
        <v>-14041.350510064822</v>
      </c>
      <c r="F2415" s="24">
        <f>'Data_in-situ'!CF199</f>
        <v>5227.1608672305301</v>
      </c>
      <c r="G2415" s="46">
        <f>'Data_in-situ'!CG199</f>
        <v>1</v>
      </c>
      <c r="H2415" s="24">
        <f>'Data_in-situ'!CN199</f>
        <v>12896.16741487473</v>
      </c>
      <c r="I2415" s="24">
        <f>'Data_in-situ'!CO199</f>
        <v>3709.2899364025543</v>
      </c>
      <c r="J2415" s="46">
        <f>'Data_in-situ'!CP199</f>
        <v>1</v>
      </c>
      <c r="K2415" s="24">
        <f>'Data_in-situ'!CR199</f>
        <v>14385.676578962597</v>
      </c>
      <c r="L2415" s="24">
        <f>'Data_in-situ'!CS199</f>
        <v>3774.6745086112619</v>
      </c>
      <c r="M2415" s="46">
        <f>'Data_in-situ'!CT199</f>
        <v>1</v>
      </c>
      <c r="N2415" s="24">
        <f>'Data_in-situ'!DA148</f>
        <v>-100</v>
      </c>
      <c r="O2415" s="24">
        <f>'Data_in-situ'!DB148</f>
        <v>270</v>
      </c>
      <c r="P2415" s="46">
        <f>'Data_in-situ'!DC148</f>
        <v>16</v>
      </c>
      <c r="Q2415" s="24">
        <f>'Data_in-situ'!DE148</f>
        <v>-910</v>
      </c>
      <c r="R2415" s="24">
        <f>'Data_in-situ'!DF148</f>
        <v>180</v>
      </c>
      <c r="S2415" s="46">
        <f>'Data_in-situ'!DG148</f>
        <v>2</v>
      </c>
      <c r="T2415" s="113">
        <f>'Data_in-situ'!DN83</f>
        <v>131.4</v>
      </c>
      <c r="U2415" s="113">
        <f>'Data_in-situ'!DO83</f>
        <v>146.49513859561415</v>
      </c>
      <c r="V2415" s="46">
        <f>'Data_in-situ'!DP83</f>
        <v>3</v>
      </c>
      <c r="W2415" s="113">
        <f>'Data_in-situ'!DR83</f>
        <v>3.6</v>
      </c>
      <c r="X2415" s="113">
        <f>'Data_in-situ'!DS83</f>
        <v>13.453978660671636</v>
      </c>
      <c r="Y2415" s="46">
        <f>'Data_in-situ'!DT83</f>
        <v>3</v>
      </c>
      <c r="Z2415" s="113">
        <f>'Data_in-situ'!EA106</f>
        <v>5.3428571428571429E-2</v>
      </c>
      <c r="AA2415" s="113">
        <f>'Data_in-situ'!EB106</f>
        <v>0.30721305591080827</v>
      </c>
      <c r="AB2415" s="46">
        <f>'Data_in-situ'!EC106</f>
        <v>3</v>
      </c>
      <c r="AC2415" s="113">
        <f>'Data_in-situ'!EE106</f>
        <v>5.7985714285714279E-2</v>
      </c>
      <c r="AD2415" s="113">
        <f>'Data_in-situ'!EF106</f>
        <v>8.6580753574150279E-2</v>
      </c>
      <c r="AE2415" s="46">
        <f>'Data_in-situ'!EG106</f>
        <v>3</v>
      </c>
      <c r="AF2415" s="113">
        <f>'Data_in-situ'!EN90</f>
        <v>-26.8</v>
      </c>
      <c r="AG2415" s="113">
        <f>'Data_in-situ'!EO90</f>
        <v>10.920903486534662</v>
      </c>
      <c r="AH2415" s="110">
        <f>'Data_in-situ'!EP90</f>
        <v>3</v>
      </c>
      <c r="AI2415" s="113">
        <f>'Data_in-situ'!ER90</f>
        <v>-62.1</v>
      </c>
      <c r="AJ2415" s="113">
        <f>'Data_in-situ'!ES90</f>
        <v>14.085152722920959</v>
      </c>
      <c r="AK2415" s="110">
        <f>'Data_in-situ'!ET90</f>
        <v>3</v>
      </c>
    </row>
    <row r="2416" spans="1:37" x14ac:dyDescent="0.3">
      <c r="B2416" s="24">
        <f>'Data_in-situ'!CA200</f>
        <v>-15725.784017121432</v>
      </c>
      <c r="C2416" s="24">
        <f>'Data_in-situ'!CB200</f>
        <v>3834.1106442782989</v>
      </c>
      <c r="D2416" s="46">
        <f>'Data_in-situ'!CC200</f>
        <v>1</v>
      </c>
      <c r="E2416" s="24">
        <f>'Data_in-situ'!CE200</f>
        <v>-16611.232720206455</v>
      </c>
      <c r="F2416" s="24">
        <f>'Data_in-situ'!CF200</f>
        <v>6183.8485955665874</v>
      </c>
      <c r="G2416" s="46">
        <f>'Data_in-situ'!CG200</f>
        <v>1</v>
      </c>
      <c r="H2416" s="24">
        <f>'Data_in-situ'!CN200</f>
        <v>12587.493371634213</v>
      </c>
      <c r="I2416" s="24">
        <f>'Data_in-situ'!CO200</f>
        <v>3620.5068518327839</v>
      </c>
      <c r="J2416" s="46">
        <f>'Data_in-situ'!CP200</f>
        <v>1</v>
      </c>
      <c r="K2416" s="24">
        <f>'Data_in-situ'!CR200</f>
        <v>17012.76988978263</v>
      </c>
      <c r="L2416" s="24">
        <f>'Data_in-situ'!CS200</f>
        <v>4464.0005961028419</v>
      </c>
      <c r="M2416" s="46">
        <f>'Data_in-situ'!CT200</f>
        <v>1</v>
      </c>
      <c r="N2416" s="24">
        <f>'Data_in-situ'!DA197</f>
        <v>-6476.6640398246809</v>
      </c>
      <c r="O2416" s="24">
        <f>'Data_in-situ'!DB197</f>
        <v>2851.847869896872</v>
      </c>
      <c r="P2416" s="46">
        <f>'Data_in-situ'!DC197</f>
        <v>3</v>
      </c>
      <c r="Q2416" s="24">
        <f>'Data_in-situ'!DE197</f>
        <v>303.7999143045227</v>
      </c>
      <c r="R2416" s="24">
        <f>'Data_in-situ'!DF197</f>
        <v>833.8763402434389</v>
      </c>
      <c r="S2416" s="46">
        <f>'Data_in-situ'!DG197</f>
        <v>3</v>
      </c>
      <c r="T2416" s="113">
        <f>'Data_in-situ'!DN84</f>
        <v>255.99999999999997</v>
      </c>
      <c r="U2416" s="113">
        <f>'Data_in-situ'!DO84</f>
        <v>285.40909802494076</v>
      </c>
      <c r="V2416" s="46">
        <f>'Data_in-situ'!DP84</f>
        <v>3</v>
      </c>
      <c r="W2416" s="113">
        <f>'Data_in-situ'!DR84</f>
        <v>-0.4</v>
      </c>
      <c r="X2416" s="113">
        <f>'Data_in-situ'!DS84</f>
        <v>1.494886517852404</v>
      </c>
      <c r="Y2416" s="46">
        <f>'Data_in-situ'!DT84</f>
        <v>3</v>
      </c>
      <c r="Z2416" s="113">
        <f>'Data_in-situ'!EA107</f>
        <v>0.24042857142857144</v>
      </c>
      <c r="AA2416" s="113">
        <f>'Data_in-situ'!EB107</f>
        <v>1.3824587515986373</v>
      </c>
      <c r="AB2416" s="46">
        <f>'Data_in-situ'!EC107</f>
        <v>3</v>
      </c>
      <c r="AC2416" s="113">
        <f>'Data_in-situ'!EE107</f>
        <v>0.88314285714285712</v>
      </c>
      <c r="AD2416" s="113">
        <f>'Data_in-situ'!EF107</f>
        <v>1.3186553796388201</v>
      </c>
      <c r="AE2416" s="46">
        <f>'Data_in-situ'!EG107</f>
        <v>3</v>
      </c>
      <c r="AF2416" s="113">
        <f>'Data_in-situ'!EN91</f>
        <v>-27.34</v>
      </c>
      <c r="AG2416" s="113">
        <f>'Data_in-situ'!EO91</f>
        <v>6.04</v>
      </c>
      <c r="AH2416" s="110">
        <f>'Data_in-situ'!EP91</f>
        <v>3</v>
      </c>
      <c r="AI2416" s="113">
        <f>'Data_in-situ'!ER91</f>
        <v>-42.07</v>
      </c>
      <c r="AJ2416" s="113">
        <f>'Data_in-situ'!ES91</f>
        <v>2.04</v>
      </c>
      <c r="AK2416" s="110">
        <f>'Data_in-situ'!ET91</f>
        <v>3</v>
      </c>
    </row>
    <row r="2417" spans="2:37" x14ac:dyDescent="0.3">
      <c r="B2417" s="24">
        <f>'Data_in-situ'!CA222</f>
        <v>-17643.02413085182</v>
      </c>
      <c r="C2417" s="24">
        <f>'Data_in-situ'!CB222</f>
        <v>3122.5184951907863</v>
      </c>
      <c r="D2417" s="46">
        <f>'Data_in-situ'!CC222</f>
        <v>3</v>
      </c>
      <c r="E2417" s="24">
        <f>'Data_in-situ'!CE222</f>
        <v>-18545.337897111574</v>
      </c>
      <c r="F2417" s="24">
        <f>'Data_in-situ'!CF222</f>
        <v>1220.592996774214</v>
      </c>
      <c r="G2417" s="46">
        <f>'Data_in-situ'!CG222</f>
        <v>3</v>
      </c>
      <c r="H2417" s="24">
        <f>'Data_in-situ'!CN222</f>
        <v>12120.970993298208</v>
      </c>
      <c r="I2417" s="24">
        <f>'Data_in-situ'!CO222</f>
        <v>2737.6911459160037</v>
      </c>
      <c r="J2417" s="46">
        <f>'Data_in-situ'!CP222</f>
        <v>3</v>
      </c>
      <c r="K2417" s="24">
        <f>'Data_in-situ'!CR222</f>
        <v>14804.615301473419</v>
      </c>
      <c r="L2417" s="24">
        <f>'Data_in-situ'!CS222</f>
        <v>2182.1730906862158</v>
      </c>
      <c r="M2417" s="46">
        <f>'Data_in-situ'!CT222</f>
        <v>3</v>
      </c>
      <c r="N2417" s="24">
        <f>'Data_in-situ'!DA198</f>
        <v>-5712.1472856207492</v>
      </c>
      <c r="O2417" s="24">
        <f>'Data_in-situ'!DB198</f>
        <v>3273.2058172899874</v>
      </c>
      <c r="P2417" s="46">
        <f>'Data_in-situ'!DC198</f>
        <v>3</v>
      </c>
      <c r="Q2417" s="24">
        <f>'Data_in-situ'!DE198</f>
        <v>-61.395104632969371</v>
      </c>
      <c r="R2417" s="24">
        <f>'Data_in-situ'!DF198</f>
        <v>529.41384138606963</v>
      </c>
      <c r="S2417" s="46">
        <f>'Data_in-situ'!DG198</f>
        <v>3</v>
      </c>
      <c r="T2417" s="113">
        <f>'Data_in-situ'!DN85</f>
        <v>580</v>
      </c>
      <c r="U2417" s="113">
        <f>'Data_in-situ'!DO85</f>
        <v>646.62998771275659</v>
      </c>
      <c r="V2417" s="46">
        <f>'Data_in-situ'!DP85</f>
        <v>3</v>
      </c>
      <c r="W2417" s="113">
        <f>'Data_in-situ'!DR85</f>
        <v>0.53333333333333333</v>
      </c>
      <c r="X2417" s="113">
        <f>'Data_in-situ'!DS85</f>
        <v>1.9931820238032052</v>
      </c>
      <c r="Y2417" s="46">
        <f>'Data_in-situ'!DT85</f>
        <v>3</v>
      </c>
      <c r="Z2417" s="113">
        <f>'Data_in-situ'!EA128</f>
        <v>0.61975925336567961</v>
      </c>
      <c r="AA2417" s="113">
        <f>'Data_in-situ'!EB128</f>
        <v>0.31937151793647711</v>
      </c>
      <c r="AB2417" s="46">
        <f>'Data_in-situ'!EC128</f>
        <v>18</v>
      </c>
      <c r="AC2417" s="113">
        <f>'Data_in-situ'!EE128</f>
        <v>0.85760492742086802</v>
      </c>
      <c r="AD2417" s="113">
        <f>'Data_in-situ'!EF128</f>
        <v>1.8545293886198424</v>
      </c>
      <c r="AE2417" s="46">
        <f>'Data_in-situ'!EG128</f>
        <v>18</v>
      </c>
      <c r="AF2417" s="113">
        <f>'Data_in-situ'!EN92</f>
        <v>-2.62</v>
      </c>
      <c r="AG2417" s="113">
        <f>'Data_in-situ'!EO92</f>
        <v>0.79</v>
      </c>
      <c r="AH2417" s="110">
        <f>'Data_in-situ'!EP92</f>
        <v>3</v>
      </c>
      <c r="AI2417" s="113">
        <f>'Data_in-situ'!ER92</f>
        <v>-21.88</v>
      </c>
      <c r="AJ2417" s="113">
        <f>'Data_in-situ'!ES92</f>
        <v>3.76</v>
      </c>
      <c r="AK2417" s="110">
        <f>'Data_in-situ'!ET92</f>
        <v>3</v>
      </c>
    </row>
    <row r="2418" spans="2:37" x14ac:dyDescent="0.3">
      <c r="B2418" s="24">
        <f>'Data_in-situ'!CA223</f>
        <v>-16723.603637465083</v>
      </c>
      <c r="C2418" s="24">
        <f>'Data_in-situ'!CB223</f>
        <v>2362.7967430320127</v>
      </c>
      <c r="D2418" s="46">
        <f>'Data_in-situ'!CC223</f>
        <v>3</v>
      </c>
      <c r="E2418" s="24">
        <f>'Data_in-situ'!CE223</f>
        <v>-16792.689257373804</v>
      </c>
      <c r="F2418" s="24">
        <f>'Data_in-situ'!CF223</f>
        <v>2297.5736170821519</v>
      </c>
      <c r="G2418" s="46">
        <f>'Data_in-situ'!CG223</f>
        <v>3</v>
      </c>
      <c r="H2418" s="24">
        <f>'Data_in-situ'!CN223</f>
        <v>10565.625157874983</v>
      </c>
      <c r="I2418" s="24">
        <f>'Data_in-situ'!CO223</f>
        <v>3177.8813752357983</v>
      </c>
      <c r="J2418" s="46">
        <f>'Data_in-situ'!CP223</f>
        <v>3</v>
      </c>
      <c r="K2418" s="24">
        <f>'Data_in-situ'!CR223</f>
        <v>13251.044559960765</v>
      </c>
      <c r="L2418" s="24">
        <f>'Data_in-situ'!CS223</f>
        <v>2768.2995631046829</v>
      </c>
      <c r="M2418" s="46">
        <f>'Data_in-situ'!CT223</f>
        <v>3</v>
      </c>
      <c r="N2418" s="24">
        <f>'Data_in-situ'!DA199</f>
        <v>-4224.281052470792</v>
      </c>
      <c r="O2418" s="24">
        <f>'Data_in-situ'!DB199</f>
        <v>12671.392364777903</v>
      </c>
      <c r="P2418" s="46">
        <f>'Data_in-situ'!DC199</f>
        <v>1</v>
      </c>
      <c r="Q2418" s="24">
        <f>'Data_in-situ'!DE199</f>
        <v>344.32606889777549</v>
      </c>
      <c r="R2418" s="24">
        <f>'Data_in-situ'!DF199</f>
        <v>328.19191145947599</v>
      </c>
      <c r="S2418" s="46">
        <f>'Data_in-situ'!DG199</f>
        <v>1</v>
      </c>
      <c r="T2418" s="113">
        <f>'Data_in-situ'!DN100</f>
        <v>29.877540000000003</v>
      </c>
      <c r="U2418" s="113">
        <f>'Data_in-situ'!DO100</f>
        <v>10.5768948600239</v>
      </c>
      <c r="V2418" s="46">
        <f>'Data_in-situ'!DP100</f>
        <v>3</v>
      </c>
      <c r="W2418" s="113">
        <f>'Data_in-situ'!DR100</f>
        <v>21.248370000000001</v>
      </c>
      <c r="X2418" s="113">
        <f>'Data_in-situ'!DS100</f>
        <v>3.4542118170720228</v>
      </c>
      <c r="Y2418" s="46">
        <f>'Data_in-situ'!DT100</f>
        <v>3</v>
      </c>
      <c r="Z2418" s="113">
        <f>'Data_in-situ'!EA129</f>
        <v>0.61975925336567961</v>
      </c>
      <c r="AA2418" s="113">
        <f>'Data_in-situ'!EB129</f>
        <v>0.31937151793647711</v>
      </c>
      <c r="AB2418" s="46">
        <f>'Data_in-situ'!EC129</f>
        <v>18</v>
      </c>
      <c r="AC2418" s="113">
        <f>'Data_in-situ'!EE129</f>
        <v>1.2578205602172745</v>
      </c>
      <c r="AD2418" s="113">
        <f>'Data_in-situ'!EF129</f>
        <v>0.63959090137404107</v>
      </c>
      <c r="AE2418" s="46">
        <f>'Data_in-situ'!EG129</f>
        <v>18</v>
      </c>
      <c r="AF2418" s="113">
        <f>'Data_in-situ'!EN93</f>
        <v>-6.51</v>
      </c>
      <c r="AG2418" s="113">
        <f>'Data_in-situ'!EO93</f>
        <v>2.2799999999999998</v>
      </c>
      <c r="AH2418" s="110">
        <f>'Data_in-situ'!EP93</f>
        <v>3</v>
      </c>
      <c r="AI2418" s="113">
        <f>'Data_in-situ'!ER93</f>
        <v>-46.73</v>
      </c>
      <c r="AJ2418" s="113">
        <f>'Data_in-situ'!ES93</f>
        <v>5.78</v>
      </c>
      <c r="AK2418" s="110">
        <f>'Data_in-situ'!ET93</f>
        <v>3</v>
      </c>
    </row>
    <row r="2419" spans="2:37" x14ac:dyDescent="0.3">
      <c r="B2419" s="24">
        <f>'Data_in-situ'!CA224</f>
        <v>-13221.293435196718</v>
      </c>
      <c r="C2419" s="24">
        <f>'Data_in-situ'!CB224</f>
        <v>5835.686028701105</v>
      </c>
      <c r="D2419" s="46">
        <f>'Data_in-situ'!CC224</f>
        <v>3</v>
      </c>
      <c r="E2419" s="24">
        <f>'Data_in-situ'!CE224</f>
        <v>-13858.019355218201</v>
      </c>
      <c r="F2419" s="24">
        <f>'Data_in-situ'!CF224</f>
        <v>8055.4344954724056</v>
      </c>
      <c r="G2419" s="46">
        <f>'Data_in-situ'!CG224</f>
        <v>3</v>
      </c>
      <c r="H2419" s="24">
        <f>'Data_in-situ'!CN224</f>
        <v>9278.44239752473</v>
      </c>
      <c r="I2419" s="24">
        <f>'Data_in-situ'!CO224</f>
        <v>3665.2968271222612</v>
      </c>
      <c r="J2419" s="46">
        <f>'Data_in-situ'!CP224</f>
        <v>3</v>
      </c>
      <c r="K2419" s="24">
        <f>'Data_in-situ'!CR224</f>
        <v>8910.18513514601</v>
      </c>
      <c r="L2419" s="24">
        <f>'Data_in-situ'!CS224</f>
        <v>4926.3065430817614</v>
      </c>
      <c r="M2419" s="46">
        <f>'Data_in-situ'!CT224</f>
        <v>3</v>
      </c>
      <c r="N2419" s="24">
        <f>'Data_in-situ'!DA200</f>
        <v>-3138.2906454872195</v>
      </c>
      <c r="O2419" s="24">
        <f>'Data_in-situ'!DB200</f>
        <v>9413.7941177993216</v>
      </c>
      <c r="P2419" s="46">
        <f>'Data_in-situ'!DC200</f>
        <v>1</v>
      </c>
      <c r="Q2419" s="24">
        <f>'Data_in-situ'!DE200</f>
        <v>401.53716957617513</v>
      </c>
      <c r="R2419" s="24">
        <f>'Data_in-situ'!DF200</f>
        <v>382.72225982505051</v>
      </c>
      <c r="S2419" s="46">
        <f>'Data_in-situ'!DG200</f>
        <v>1</v>
      </c>
      <c r="T2419" s="113">
        <f>'Data_in-situ'!DN101</f>
        <v>24.519000000000002</v>
      </c>
      <c r="U2419" s="113">
        <f>'Data_in-situ'!DO101</f>
        <v>3.8585295126511601</v>
      </c>
      <c r="V2419" s="46">
        <f>'Data_in-situ'!DP101</f>
        <v>3</v>
      </c>
      <c r="W2419" s="113">
        <f>'Data_in-situ'!DR101</f>
        <v>2.714</v>
      </c>
      <c r="X2419" s="113">
        <f>'Data_in-situ'!DS101</f>
        <v>1.8204276969987025</v>
      </c>
      <c r="Y2419" s="46">
        <f>'Data_in-situ'!DT101</f>
        <v>3</v>
      </c>
      <c r="Z2419" s="113">
        <f>'Data_in-situ'!EA130</f>
        <v>0.32108009511715851</v>
      </c>
      <c r="AA2419" s="113">
        <f>'Data_in-situ'!EB130</f>
        <v>0.19494609457370263</v>
      </c>
      <c r="AB2419" s="46">
        <f>'Data_in-situ'!EC130</f>
        <v>18</v>
      </c>
      <c r="AC2419" s="113">
        <f>'Data_in-situ'!EE130</f>
        <v>1.0977343070987131</v>
      </c>
      <c r="AD2419" s="113">
        <f>'Data_in-situ'!EF130</f>
        <v>0.53387084501368376</v>
      </c>
      <c r="AE2419" s="46">
        <f>'Data_in-situ'!EG130</f>
        <v>18</v>
      </c>
      <c r="AF2419" s="113">
        <f>'Data_in-situ'!EN100</f>
        <v>-5.833333333333333</v>
      </c>
      <c r="AG2419" s="113">
        <f>'Data_in-situ'!EO100</f>
        <v>5.3385391260156565</v>
      </c>
      <c r="AH2419" s="110">
        <f>'Data_in-situ'!EP100</f>
        <v>4</v>
      </c>
      <c r="AI2419" s="113">
        <f>'Data_in-situ'!ER100</f>
        <v>-19.5</v>
      </c>
      <c r="AJ2419" s="113">
        <f>'Data_in-situ'!ES100</f>
        <v>4.0620192023179804</v>
      </c>
      <c r="AK2419" s="110">
        <f>'Data_in-situ'!ET100</f>
        <v>4</v>
      </c>
    </row>
    <row r="2420" spans="2:37" x14ac:dyDescent="0.3">
      <c r="B2420" s="24">
        <f>'Data_in-situ'!CA225</f>
        <v>-12433.234643422073</v>
      </c>
      <c r="C2420" s="24">
        <f>'Data_in-situ'!CB225</f>
        <v>4080.0979371640278</v>
      </c>
      <c r="D2420" s="46">
        <f>'Data_in-situ'!CC225</f>
        <v>3</v>
      </c>
      <c r="E2420" s="24">
        <f>'Data_in-situ'!CE225</f>
        <v>-12839.064123912327</v>
      </c>
      <c r="F2420" s="24">
        <f>'Data_in-situ'!CF225</f>
        <v>6079.7463275012169</v>
      </c>
      <c r="G2420" s="46">
        <f>'Data_in-situ'!CG225</f>
        <v>3</v>
      </c>
      <c r="H2420" s="24">
        <f>'Data_in-situ'!CN225</f>
        <v>8581.2184023350092</v>
      </c>
      <c r="I2420" s="24">
        <f>'Data_in-situ'!CO225</f>
        <v>3466.4725308910288</v>
      </c>
      <c r="J2420" s="46">
        <f>'Data_in-situ'!CP225</f>
        <v>3</v>
      </c>
      <c r="K2420" s="24">
        <f>'Data_in-situ'!CR225</f>
        <v>7630.773936253252</v>
      </c>
      <c r="L2420" s="24">
        <f>'Data_in-situ'!CS225</f>
        <v>3659.7826622477482</v>
      </c>
      <c r="M2420" s="46">
        <f>'Data_in-situ'!CT225</f>
        <v>3</v>
      </c>
      <c r="N2420" s="24">
        <f>'Data_in-situ'!DA222</f>
        <v>-5522.053137553612</v>
      </c>
      <c r="O2420" s="24">
        <f>'Data_in-situ'!DB222</f>
        <v>3799.0509125782523</v>
      </c>
      <c r="P2420" s="46">
        <f>'Data_in-situ'!DC222</f>
        <v>3</v>
      </c>
      <c r="Q2420" s="24">
        <f>'Data_in-situ'!DE222</f>
        <v>-3740.7225956381553</v>
      </c>
      <c r="R2420" s="24">
        <f>'Data_in-situ'!DF222</f>
        <v>3396.3473178087561</v>
      </c>
      <c r="S2420" s="46">
        <f>'Data_in-situ'!DG222</f>
        <v>3</v>
      </c>
      <c r="T2420" s="113">
        <f>'Data_in-situ'!DN102</f>
        <v>37.001000000000005</v>
      </c>
      <c r="U2420" s="113">
        <f>'Data_in-situ'!DO102</f>
        <v>14.229681127839795</v>
      </c>
      <c r="V2420" s="46">
        <f>'Data_in-situ'!DP102</f>
        <v>3</v>
      </c>
      <c r="W2420" s="113">
        <f>'Data_in-situ'!DR102</f>
        <v>17.568999999999999</v>
      </c>
      <c r="X2420" s="113">
        <f>'Data_in-situ'!DS102</f>
        <v>3.3260057125627429</v>
      </c>
      <c r="Y2420" s="46">
        <f>'Data_in-situ'!DT102</f>
        <v>3</v>
      </c>
      <c r="Z2420" s="113">
        <f>'Data_in-situ'!EA131</f>
        <v>0.32108009511715851</v>
      </c>
      <c r="AA2420" s="113">
        <f>'Data_in-situ'!EB131</f>
        <v>0.19494609457370263</v>
      </c>
      <c r="AB2420" s="46">
        <f>'Data_in-situ'!EC131</f>
        <v>18</v>
      </c>
      <c r="AC2420" s="113">
        <f>'Data_in-situ'!EE131</f>
        <v>0.69751867430230663</v>
      </c>
      <c r="AD2420" s="113">
        <f>'Data_in-situ'!EF131</f>
        <v>0.31514419303530533</v>
      </c>
      <c r="AE2420" s="46">
        <f>'Data_in-situ'!EG131</f>
        <v>18</v>
      </c>
      <c r="AF2420" s="113">
        <f>'Data_in-situ'!EN101</f>
        <v>-17.5</v>
      </c>
      <c r="AG2420" s="113">
        <f>'Data_in-situ'!EO101</f>
        <v>4.9497474683058327</v>
      </c>
      <c r="AH2420" s="110">
        <f>'Data_in-situ'!EP101</f>
        <v>4</v>
      </c>
      <c r="AI2420" s="113">
        <f>'Data_in-situ'!ER101</f>
        <v>-34</v>
      </c>
      <c r="AJ2420" s="113">
        <f>'Data_in-situ'!ES101</f>
        <v>11.313708498984761</v>
      </c>
      <c r="AK2420" s="110">
        <f>'Data_in-situ'!ET101</f>
        <v>4</v>
      </c>
    </row>
    <row r="2421" spans="2:37" x14ac:dyDescent="0.3">
      <c r="B2421" s="24">
        <f>'Data_in-situ'!CA271</f>
        <v>-40673.401413977677</v>
      </c>
      <c r="C2421" s="24">
        <f>'Data_in-situ'!CB271</f>
        <v>10107.748850350723</v>
      </c>
      <c r="D2421" s="46">
        <f>'Data_in-situ'!CC271</f>
        <v>8</v>
      </c>
      <c r="E2421" s="24">
        <f>'Data_in-situ'!CE271</f>
        <v>-44668.814018586389</v>
      </c>
      <c r="F2421" s="24">
        <f>'Data_in-situ'!CF271</f>
        <v>7435.5187362050165</v>
      </c>
      <c r="G2421" s="46">
        <f>'Data_in-situ'!CG271</f>
        <v>8</v>
      </c>
      <c r="H2421" s="24">
        <f>'Data_in-situ'!CN271</f>
        <v>25646.988483892328</v>
      </c>
      <c r="I2421" s="24">
        <f>'Data_in-situ'!CO271</f>
        <v>7128.4662989719045</v>
      </c>
      <c r="J2421" s="46">
        <f>'Data_in-situ'!CP271</f>
        <v>8</v>
      </c>
      <c r="K2421" s="24">
        <f>'Data_in-situ'!CR271</f>
        <v>30448.252211184394</v>
      </c>
      <c r="L2421" s="24">
        <f>'Data_in-situ'!CS271</f>
        <v>38699.412338334165</v>
      </c>
      <c r="M2421" s="46">
        <f>'Data_in-situ'!CT271</f>
        <v>8</v>
      </c>
      <c r="N2421" s="24">
        <f>'Data_in-situ'!DA223</f>
        <v>-6157.9784795900996</v>
      </c>
      <c r="O2421" s="24">
        <f>'Data_in-situ'!DB223</f>
        <v>2847.6279977138138</v>
      </c>
      <c r="P2421" s="46">
        <f>'Data_in-situ'!DC223</f>
        <v>3</v>
      </c>
      <c r="Q2421" s="24">
        <f>'Data_in-situ'!DE223</f>
        <v>-3541.6446974130395</v>
      </c>
      <c r="R2421" s="24">
        <f>'Data_in-situ'!DF223</f>
        <v>2451.0546798159935</v>
      </c>
      <c r="S2421" s="46">
        <f>'Data_in-situ'!DG223</f>
        <v>3</v>
      </c>
      <c r="T2421" s="113">
        <f>'Data_in-situ'!DN103</f>
        <v>29.018000000000001</v>
      </c>
      <c r="U2421" s="113">
        <f>'Data_in-situ'!DO103</f>
        <v>28.458867247309758</v>
      </c>
      <c r="V2421" s="46">
        <f>'Data_in-situ'!DP103</f>
        <v>3</v>
      </c>
      <c r="W2421" s="113">
        <f>'Data_in-situ'!DR103</f>
        <v>44.106000000000002</v>
      </c>
      <c r="X2421" s="113">
        <f>'Data_in-situ'!DS103</f>
        <v>9.7564479704449827</v>
      </c>
      <c r="Y2421" s="46">
        <f>'Data_in-situ'!DT103</f>
        <v>3</v>
      </c>
      <c r="Z2421" s="113">
        <f>'Data_in-situ'!EA132</f>
        <v>0.6346932112781053</v>
      </c>
      <c r="AA2421" s="113">
        <f>'Data_in-situ'!EB132</f>
        <v>0.12856385073753784</v>
      </c>
      <c r="AB2421" s="46">
        <f>'Data_in-situ'!EC132</f>
        <v>21</v>
      </c>
      <c r="AC2421" s="113">
        <f>'Data_in-situ'!EE132</f>
        <v>0.75469233613036468</v>
      </c>
      <c r="AD2421" s="113">
        <f>'Data_in-situ'!EF132</f>
        <v>0.35864660190524744</v>
      </c>
      <c r="AE2421" s="46">
        <f>'Data_in-situ'!EG132</f>
        <v>21</v>
      </c>
      <c r="AF2421" s="113">
        <f>'Data_in-situ'!EN102</f>
        <v>-10</v>
      </c>
      <c r="AG2421" s="113">
        <f>'Data_in-situ'!EO102</f>
        <v>5.6568542494923806</v>
      </c>
      <c r="AH2421" s="110">
        <f>'Data_in-situ'!EP102</f>
        <v>4</v>
      </c>
      <c r="AI2421" s="113">
        <f>'Data_in-situ'!ER102</f>
        <v>-16.5</v>
      </c>
      <c r="AJ2421" s="113">
        <f>'Data_in-situ'!ES102</f>
        <v>3.5355339059327378</v>
      </c>
      <c r="AK2421" s="110">
        <f>'Data_in-situ'!ET102</f>
        <v>4</v>
      </c>
    </row>
    <row r="2422" spans="2:37" x14ac:dyDescent="0.3">
      <c r="B2422" s="24">
        <f>'Data_in-situ'!CA339</f>
        <v>-2994.9187190031953</v>
      </c>
      <c r="C2422" s="24">
        <f>'Data_in-situ'!CB339</f>
        <v>676.52043369186902</v>
      </c>
      <c r="D2422" s="46">
        <f>'Data_in-situ'!CC339</f>
        <v>3</v>
      </c>
      <c r="E2422" s="24">
        <f>'Data_in-situ'!CE339</f>
        <v>-2403.5364233284786</v>
      </c>
      <c r="F2422" s="24">
        <f>'Data_in-situ'!CF339</f>
        <v>338.39733243694133</v>
      </c>
      <c r="G2422" s="46">
        <f>'Data_in-situ'!CG339</f>
        <v>3</v>
      </c>
      <c r="H2422" s="24">
        <f>'Data_in-situ'!CN339</f>
        <v>3969.4505741620792</v>
      </c>
      <c r="I2422" s="24">
        <f>'Data_in-situ'!CO339</f>
        <v>723.08718823658228</v>
      </c>
      <c r="J2422" s="46">
        <f>'Data_in-situ'!CP339</f>
        <v>3</v>
      </c>
      <c r="K2422" s="24">
        <f>'Data_in-situ'!CR339</f>
        <v>4246.5463132141167</v>
      </c>
      <c r="L2422" s="24">
        <f>'Data_in-situ'!CS339</f>
        <v>528.2044209164568</v>
      </c>
      <c r="M2422" s="46">
        <f>'Data_in-situ'!CT339</f>
        <v>3</v>
      </c>
      <c r="N2422" s="24">
        <f>'Data_in-situ'!DA224</f>
        <v>-3942.8510376719878</v>
      </c>
      <c r="O2422" s="24">
        <f>'Data_in-situ'!DB224</f>
        <v>3165.2218188801453</v>
      </c>
      <c r="P2422" s="46">
        <f>'Data_in-situ'!DC224</f>
        <v>3</v>
      </c>
      <c r="Q2422" s="24">
        <f>'Data_in-situ'!DE224</f>
        <v>-4947.8342200721909</v>
      </c>
      <c r="R2422" s="24">
        <f>'Data_in-situ'!DF224</f>
        <v>674.98350911365401</v>
      </c>
      <c r="S2422" s="46">
        <f>'Data_in-situ'!DG224</f>
        <v>3</v>
      </c>
      <c r="T2422" s="113">
        <f>'Data_in-situ'!DN104</f>
        <v>277.33333333333331</v>
      </c>
      <c r="U2422" s="113">
        <f>'Data_in-situ'!DO104</f>
        <v>309.19318952701917</v>
      </c>
      <c r="V2422" s="46">
        <f>'Data_in-situ'!DP104</f>
        <v>3</v>
      </c>
      <c r="W2422" s="113">
        <f>'Data_in-situ'!DR104</f>
        <v>0.04</v>
      </c>
      <c r="X2422" s="113">
        <f>'Data_in-situ'!DS104</f>
        <v>0.1494886517852404</v>
      </c>
      <c r="Y2422" s="46">
        <f>'Data_in-situ'!DT104</f>
        <v>3</v>
      </c>
      <c r="Z2422" s="113">
        <f>'Data_in-situ'!EA133</f>
        <v>0.6346932112781053</v>
      </c>
      <c r="AA2422" s="113">
        <f>'Data_in-situ'!EB133</f>
        <v>0.12856385073753784</v>
      </c>
      <c r="AB2422" s="46">
        <f>'Data_in-situ'!EC133</f>
        <v>21</v>
      </c>
      <c r="AC2422" s="113">
        <f>'Data_in-situ'!EE133</f>
        <v>0.77756180086158733</v>
      </c>
      <c r="AD2422" s="113">
        <f>'Data_in-situ'!EF133</f>
        <v>0.42421666014248416</v>
      </c>
      <c r="AE2422" s="46">
        <f>'Data_in-situ'!EG133</f>
        <v>21</v>
      </c>
      <c r="AF2422" s="113">
        <f>'Data_in-situ'!EN103</f>
        <v>10</v>
      </c>
      <c r="AG2422" s="113">
        <f>'Data_in-situ'!EO103</f>
        <v>14.142135623730951</v>
      </c>
      <c r="AH2422" s="110">
        <f>'Data_in-situ'!EP103</f>
        <v>4</v>
      </c>
      <c r="AI2422" s="113">
        <f>'Data_in-situ'!ER103</f>
        <v>-8</v>
      </c>
      <c r="AJ2422" s="113">
        <f>'Data_in-situ'!ES103</f>
        <v>2.8284271247461903</v>
      </c>
      <c r="AK2422" s="110">
        <f>'Data_in-situ'!ET103</f>
        <v>4</v>
      </c>
    </row>
    <row r="2423" spans="2:37" x14ac:dyDescent="0.3">
      <c r="B2423" s="24">
        <f>'Data_in-situ'!CA340</f>
        <v>-3247.736532945024</v>
      </c>
      <c r="C2423" s="24">
        <f>'Data_in-situ'!CB340</f>
        <v>576.55145764577287</v>
      </c>
      <c r="D2423" s="46">
        <f>'Data_in-situ'!CC340</f>
        <v>3</v>
      </c>
      <c r="E2423" s="24">
        <f>'Data_in-situ'!CE340</f>
        <v>-2538.1344630348735</v>
      </c>
      <c r="F2423" s="24">
        <f>'Data_in-situ'!CF340</f>
        <v>178.15163353403054</v>
      </c>
      <c r="G2423" s="46">
        <f>'Data_in-situ'!CG340</f>
        <v>3</v>
      </c>
      <c r="H2423" s="24">
        <f>'Data_in-situ'!CN340</f>
        <v>4869.5004136523185</v>
      </c>
      <c r="I2423" s="24">
        <f>'Data_in-situ'!CO340</f>
        <v>764.57941069494359</v>
      </c>
      <c r="J2423" s="46">
        <f>'Data_in-situ'!CP340</f>
        <v>3</v>
      </c>
      <c r="K2423" s="24">
        <f>'Data_in-situ'!CR340</f>
        <v>4268.1023858700255</v>
      </c>
      <c r="L2423" s="24">
        <f>'Data_in-situ'!CS340</f>
        <v>956.60990521947133</v>
      </c>
      <c r="M2423" s="46">
        <f>'Data_in-situ'!CT340</f>
        <v>3</v>
      </c>
      <c r="N2423" s="24">
        <f>'Data_in-situ'!DA225</f>
        <v>-3852.0162410870635</v>
      </c>
      <c r="O2423" s="24">
        <f>'Data_in-situ'!DB225</f>
        <v>1523.8784102336624</v>
      </c>
      <c r="P2423" s="46">
        <f>'Data_in-situ'!DC225</f>
        <v>3</v>
      </c>
      <c r="Q2423" s="24">
        <f>'Data_in-situ'!DE225</f>
        <v>-5208.2901876590749</v>
      </c>
      <c r="R2423" s="24">
        <f>'Data_in-situ'!DF225</f>
        <v>1132.6794776566101</v>
      </c>
      <c r="S2423" s="46">
        <f>'Data_in-situ'!DG225</f>
        <v>3</v>
      </c>
      <c r="T2423" s="113">
        <f>'Data_in-situ'!DN105</f>
        <v>326.66666666666663</v>
      </c>
      <c r="U2423" s="113">
        <f>'Data_in-situ'!DO105</f>
        <v>364.19390112557551</v>
      </c>
      <c r="V2423" s="46">
        <f>'Data_in-situ'!DP105</f>
        <v>3</v>
      </c>
      <c r="W2423" s="113">
        <f>'Data_in-situ'!DR105</f>
        <v>-0.10666666666666666</v>
      </c>
      <c r="X2423" s="113">
        <f>'Data_in-situ'!DS105</f>
        <v>0.39863640476064105</v>
      </c>
      <c r="Y2423" s="46">
        <f>'Data_in-situ'!DT105</f>
        <v>3</v>
      </c>
      <c r="Z2423" s="113">
        <f>'Data_in-situ'!EA148</f>
        <v>0.43</v>
      </c>
      <c r="AA2423" s="113">
        <f>'Data_in-situ'!EB148</f>
        <v>0.86</v>
      </c>
      <c r="AB2423" s="46">
        <f>'Data_in-situ'!EC148</f>
        <v>17</v>
      </c>
      <c r="AC2423" s="113">
        <f>'Data_in-situ'!EE148</f>
        <v>3.4241884673332552</v>
      </c>
      <c r="AD2423" s="113">
        <f>'Data_in-situ'!EF148</f>
        <v>13.696753869332952</v>
      </c>
      <c r="AE2423" s="46">
        <f>'Data_in-situ'!EG148</f>
        <v>44</v>
      </c>
      <c r="AF2423" s="113">
        <f>'Data_in-situ'!EN104</f>
        <v>-27.34</v>
      </c>
      <c r="AG2423" s="113">
        <f>'Data_in-situ'!EO104</f>
        <v>6.04</v>
      </c>
      <c r="AH2423" s="110">
        <f>'Data_in-situ'!EP104</f>
        <v>3</v>
      </c>
      <c r="AI2423" s="113">
        <f>'Data_in-situ'!ER104</f>
        <v>-42.07</v>
      </c>
      <c r="AJ2423" s="113">
        <f>'Data_in-situ'!ES104</f>
        <v>2.04</v>
      </c>
      <c r="AK2423" s="110">
        <f>'Data_in-situ'!ET104</f>
        <v>3</v>
      </c>
    </row>
    <row r="2424" spans="2:37" x14ac:dyDescent="0.3">
      <c r="B2424" s="24">
        <f>'Data_in-situ'!CA341</f>
        <v>-4239.5602645629651</v>
      </c>
      <c r="C2424" s="24">
        <f>'Data_in-situ'!CB341</f>
        <v>1115.0244091372156</v>
      </c>
      <c r="D2424" s="46">
        <f>'Data_in-situ'!CC341</f>
        <v>3</v>
      </c>
      <c r="E2424" s="24">
        <f>'Data_in-situ'!CE341</f>
        <v>-3364.9509926598698</v>
      </c>
      <c r="F2424" s="24">
        <f>'Data_in-situ'!CF341</f>
        <v>1102.2450453899555</v>
      </c>
      <c r="G2424" s="46">
        <f>'Data_in-situ'!CG341</f>
        <v>3</v>
      </c>
      <c r="H2424" s="24">
        <f>'Data_in-situ'!CN341</f>
        <v>7477.3371280727561</v>
      </c>
      <c r="I2424" s="24">
        <f>'Data_in-situ'!CO341</f>
        <v>1843.7169743300331</v>
      </c>
      <c r="J2424" s="46">
        <f>'Data_in-situ'!CP341</f>
        <v>3</v>
      </c>
      <c r="K2424" s="24">
        <f>'Data_in-situ'!CR341</f>
        <v>5971.0321256868547</v>
      </c>
      <c r="L2424" s="24">
        <f>'Data_in-situ'!CS341</f>
        <v>1963.4643578324303</v>
      </c>
      <c r="M2424" s="46">
        <f>'Data_in-situ'!CT341</f>
        <v>3</v>
      </c>
      <c r="N2424" s="24">
        <f>'Data_in-situ'!DA271</f>
        <v>-15026.412930085349</v>
      </c>
      <c r="O2424" s="24">
        <f>'Data_in-situ'!DB271</f>
        <v>12368.573830371251</v>
      </c>
      <c r="P2424" s="46">
        <f>'Data_in-situ'!DC271</f>
        <v>8</v>
      </c>
      <c r="Q2424" s="24">
        <f>'Data_in-situ'!DE271</f>
        <v>-14220.561807401995</v>
      </c>
      <c r="R2424" s="24">
        <f>'Data_in-situ'!DF271</f>
        <v>39407.251289691172</v>
      </c>
      <c r="S2424" s="46">
        <f>'Data_in-situ'!DG271</f>
        <v>8</v>
      </c>
      <c r="T2424" s="113">
        <f>'Data_in-situ'!DN106</f>
        <v>100.8</v>
      </c>
      <c r="U2424" s="113">
        <f>'Data_in-situ'!DO106</f>
        <v>112.37983234732044</v>
      </c>
      <c r="V2424" s="46">
        <f>'Data_in-situ'!DP106</f>
        <v>3</v>
      </c>
      <c r="W2424" s="113">
        <f>'Data_in-situ'!DR106</f>
        <v>1.0666666666666667</v>
      </c>
      <c r="X2424" s="113">
        <f>'Data_in-situ'!DS106</f>
        <v>3.9863640476064104</v>
      </c>
      <c r="Y2424" s="46">
        <f>'Data_in-situ'!DT106</f>
        <v>3</v>
      </c>
      <c r="Z2424" s="113">
        <f>'Data_in-situ'!EA156</f>
        <v>-0.65249999999999997</v>
      </c>
      <c r="AA2424" s="113">
        <f>'Data_in-situ'!EB156</f>
        <v>9.3070564627061342E-2</v>
      </c>
      <c r="AB2424" s="46">
        <f>'Data_in-situ'!EC156</f>
        <v>4</v>
      </c>
      <c r="AC2424" s="113">
        <f>'Data_in-situ'!EE156</f>
        <v>0.6623</v>
      </c>
      <c r="AD2424" s="113">
        <f>'Data_in-situ'!EF156</f>
        <v>6.1265079776329362E-2</v>
      </c>
      <c r="AE2424" s="46">
        <f>'Data_in-situ'!EG156</f>
        <v>4</v>
      </c>
      <c r="AF2424" s="113">
        <f>'Data_in-situ'!EN105</f>
        <v>-27.34</v>
      </c>
      <c r="AG2424" s="113">
        <f>'Data_in-situ'!EO105</f>
        <v>6.04</v>
      </c>
      <c r="AH2424" s="110">
        <f>'Data_in-situ'!EP105</f>
        <v>3</v>
      </c>
      <c r="AI2424" s="113">
        <f>'Data_in-situ'!ER105</f>
        <v>-42.07</v>
      </c>
      <c r="AJ2424" s="113">
        <f>'Data_in-situ'!ES105</f>
        <v>2.04</v>
      </c>
      <c r="AK2424" s="110">
        <f>'Data_in-situ'!ET105</f>
        <v>3</v>
      </c>
    </row>
    <row r="2425" spans="2:37" x14ac:dyDescent="0.3">
      <c r="B2425" s="24">
        <f>'Data_in-situ'!CA342</f>
        <v>-2945.161089648047</v>
      </c>
      <c r="C2425" s="24">
        <f>'Data_in-situ'!CB342</f>
        <v>96.327483684879894</v>
      </c>
      <c r="D2425" s="46">
        <f>'Data_in-situ'!CC342</f>
        <v>3</v>
      </c>
      <c r="E2425" s="24">
        <f>'Data_in-situ'!CE342</f>
        <v>-2329.5681312375768</v>
      </c>
      <c r="F2425" s="24">
        <f>'Data_in-situ'!CF342</f>
        <v>936.72704913647306</v>
      </c>
      <c r="G2425" s="46">
        <f>'Data_in-situ'!CG342</f>
        <v>3</v>
      </c>
      <c r="H2425" s="24">
        <f>'Data_in-situ'!CN342</f>
        <v>2386.82655517393</v>
      </c>
      <c r="I2425" s="24">
        <f>'Data_in-situ'!CO342</f>
        <v>98.565445597832763</v>
      </c>
      <c r="J2425" s="46">
        <f>'Data_in-situ'!CP342</f>
        <v>3</v>
      </c>
      <c r="K2425" s="24">
        <f>'Data_in-situ'!CR342</f>
        <v>2420.4945007500228</v>
      </c>
      <c r="L2425" s="24">
        <f>'Data_in-situ'!CS342</f>
        <v>226.67580770330741</v>
      </c>
      <c r="M2425" s="46">
        <f>'Data_in-situ'!CT342</f>
        <v>3</v>
      </c>
      <c r="N2425" s="24">
        <f>'Data_in-situ'!DA339</f>
        <v>974.5318551588839</v>
      </c>
      <c r="O2425" s="24">
        <f>'Data_in-situ'!DB339</f>
        <v>469.46628575554143</v>
      </c>
      <c r="P2425" s="46">
        <f>'Data_in-situ'!DC339</f>
        <v>3</v>
      </c>
      <c r="Q2425" s="24">
        <f>'Data_in-situ'!DE339</f>
        <v>1843.0098898856381</v>
      </c>
      <c r="R2425" s="24">
        <f>'Data_in-situ'!DF339</f>
        <v>320.75875891326473</v>
      </c>
      <c r="S2425" s="46">
        <f>'Data_in-situ'!DG339</f>
        <v>3</v>
      </c>
      <c r="T2425" s="113">
        <f>'Data_in-situ'!DN107</f>
        <v>93.066666666666677</v>
      </c>
      <c r="U2425" s="113">
        <f>'Data_in-situ'!DO107</f>
        <v>103.75809917781704</v>
      </c>
      <c r="V2425" s="46">
        <f>'Data_in-situ'!DP107</f>
        <v>3</v>
      </c>
      <c r="W2425" s="113">
        <f>'Data_in-situ'!DR107</f>
        <v>0.13333333333333333</v>
      </c>
      <c r="X2425" s="113">
        <f>'Data_in-situ'!DS107</f>
        <v>0.4982955059508013</v>
      </c>
      <c r="Y2425" s="46">
        <f>'Data_in-situ'!DT107</f>
        <v>3</v>
      </c>
      <c r="Z2425" s="113">
        <f>'Data_in-situ'!EA157</f>
        <v>-0.65249999999999997</v>
      </c>
      <c r="AA2425" s="113">
        <f>'Data_in-situ'!EB157</f>
        <v>9.3070564627061342E-2</v>
      </c>
      <c r="AB2425" s="46">
        <f>'Data_in-situ'!EC157</f>
        <v>4</v>
      </c>
      <c r="AC2425" s="113">
        <f>'Data_in-situ'!EE157</f>
        <v>0.12470000000000003</v>
      </c>
      <c r="AD2425" s="113">
        <f>'Data_in-situ'!EF157</f>
        <v>4.1450211097170543E-2</v>
      </c>
      <c r="AE2425" s="46">
        <f>'Data_in-situ'!EG157</f>
        <v>4</v>
      </c>
      <c r="AF2425" s="113">
        <f>'Data_in-situ'!EN106</f>
        <v>-2.62</v>
      </c>
      <c r="AG2425" s="113">
        <f>'Data_in-situ'!EO106</f>
        <v>0.79</v>
      </c>
      <c r="AH2425" s="110">
        <f>'Data_in-situ'!EP106</f>
        <v>3</v>
      </c>
      <c r="AI2425" s="113">
        <f>'Data_in-situ'!ER106</f>
        <v>-21.88</v>
      </c>
      <c r="AJ2425" s="113">
        <f>'Data_in-situ'!ES106</f>
        <v>3.76</v>
      </c>
      <c r="AK2425" s="110">
        <f>'Data_in-situ'!ET106</f>
        <v>3</v>
      </c>
    </row>
    <row r="2426" spans="2:37" x14ac:dyDescent="0.3">
      <c r="B2426" s="24">
        <f>'Data_in-situ'!CA343</f>
        <v>-2887.6945318012554</v>
      </c>
      <c r="C2426" s="24">
        <f>'Data_in-situ'!CB343</f>
        <v>116.06106513063514</v>
      </c>
      <c r="D2426" s="46">
        <f>'Data_in-situ'!CC343</f>
        <v>3</v>
      </c>
      <c r="E2426" s="24">
        <f>'Data_in-situ'!CE343</f>
        <v>-2017.0650892422923</v>
      </c>
      <c r="F2426" s="24">
        <f>'Data_in-situ'!CF343</f>
        <v>715.26564447368787</v>
      </c>
      <c r="G2426" s="46">
        <f>'Data_in-situ'!CG343</f>
        <v>3</v>
      </c>
      <c r="H2426" s="24">
        <f>'Data_in-situ'!CN343</f>
        <v>2301.5827496320044</v>
      </c>
      <c r="I2426" s="24">
        <f>'Data_in-situ'!CO343</f>
        <v>97.898666178602923</v>
      </c>
      <c r="J2426" s="46">
        <f>'Data_in-situ'!CP343</f>
        <v>3</v>
      </c>
      <c r="K2426" s="24">
        <f>'Data_in-situ'!CR343</f>
        <v>2420.4945007500228</v>
      </c>
      <c r="L2426" s="24">
        <f>'Data_in-situ'!CS343</f>
        <v>564.27419535299123</v>
      </c>
      <c r="M2426" s="46">
        <f>'Data_in-situ'!CT343</f>
        <v>3</v>
      </c>
      <c r="N2426" s="24">
        <f>'Data_in-situ'!DA340</f>
        <v>1621.7638807072944</v>
      </c>
      <c r="O2426" s="24">
        <f>'Data_in-situ'!DB340</f>
        <v>1098.3220496581039</v>
      </c>
      <c r="P2426" s="46">
        <f>'Data_in-situ'!DC340</f>
        <v>3</v>
      </c>
      <c r="Q2426" s="24">
        <f>'Data_in-situ'!DE340</f>
        <v>1729.967922835152</v>
      </c>
      <c r="R2426" s="24">
        <f>'Data_in-situ'!DF340</f>
        <v>370.59428586838715</v>
      </c>
      <c r="S2426" s="46">
        <f>'Data_in-situ'!DG340</f>
        <v>3</v>
      </c>
      <c r="T2426" s="113">
        <f>'Data_in-situ'!DN128</f>
        <v>214.33232862768773</v>
      </c>
      <c r="U2426" s="113">
        <f>'Data_in-situ'!DO128</f>
        <v>127.05286261842672</v>
      </c>
      <c r="V2426" s="46">
        <f>'Data_in-situ'!DP128</f>
        <v>18</v>
      </c>
      <c r="W2426" s="113">
        <f>'Data_in-situ'!DR128</f>
        <v>74.807487646490884</v>
      </c>
      <c r="X2426" s="113">
        <f>'Data_in-situ'!DS128</f>
        <v>46.844140538456692</v>
      </c>
      <c r="Y2426" s="46">
        <f>'Data_in-situ'!DT128</f>
        <v>18</v>
      </c>
      <c r="Z2426" s="113">
        <f>'Data_in-situ'!EA158</f>
        <v>-0.65249999999999997</v>
      </c>
      <c r="AA2426" s="113">
        <f>'Data_in-situ'!EB158</f>
        <v>9.3070564627061342E-2</v>
      </c>
      <c r="AB2426" s="46">
        <f>'Data_in-situ'!EC158</f>
        <v>4</v>
      </c>
      <c r="AC2426" s="113">
        <f>'Data_in-situ'!EE158</f>
        <v>0.42030000000000001</v>
      </c>
      <c r="AD2426" s="113">
        <f>'Data_in-situ'!EF158</f>
        <v>2.773084924772409E-2</v>
      </c>
      <c r="AE2426" s="46">
        <f>'Data_in-situ'!EG158</f>
        <v>4</v>
      </c>
      <c r="AF2426" s="113">
        <f>'Data_in-situ'!EN107</f>
        <v>-6.51</v>
      </c>
      <c r="AG2426" s="113">
        <f>'Data_in-situ'!EO107</f>
        <v>2.2799999999999998</v>
      </c>
      <c r="AH2426" s="110">
        <f>'Data_in-situ'!EP107</f>
        <v>3</v>
      </c>
      <c r="AI2426" s="113">
        <f>'Data_in-situ'!ER107</f>
        <v>-46.73</v>
      </c>
      <c r="AJ2426" s="113">
        <f>'Data_in-situ'!ES107</f>
        <v>5.78</v>
      </c>
      <c r="AK2426" s="110">
        <f>'Data_in-situ'!ET107</f>
        <v>3</v>
      </c>
    </row>
    <row r="2427" spans="2:37" x14ac:dyDescent="0.3">
      <c r="B2427" s="24">
        <f>'Data_in-situ'!CA344</f>
        <v>-2413.5954295652286</v>
      </c>
      <c r="C2427" s="24">
        <f>'Data_in-situ'!CB344</f>
        <v>229.44356214196344</v>
      </c>
      <c r="D2427" s="46">
        <f>'Data_in-situ'!CC344</f>
        <v>3</v>
      </c>
      <c r="E2427" s="24">
        <f>'Data_in-situ'!CE344</f>
        <v>-1974.4510380611171</v>
      </c>
      <c r="F2427" s="24">
        <f>'Data_in-situ'!CF344</f>
        <v>445.58850967321683</v>
      </c>
      <c r="G2427" s="46">
        <f>'Data_in-situ'!CG344</f>
        <v>3</v>
      </c>
      <c r="H2427" s="24">
        <f>'Data_in-situ'!CN344</f>
        <v>3307.4596550267315</v>
      </c>
      <c r="I2427" s="24">
        <f>'Data_in-situ'!CO344</f>
        <v>917.36533177060426</v>
      </c>
      <c r="J2427" s="46">
        <f>'Data_in-situ'!CP344</f>
        <v>3</v>
      </c>
      <c r="K2427" s="24">
        <f>'Data_in-situ'!CR344</f>
        <v>2945.9965963075938</v>
      </c>
      <c r="L2427" s="24">
        <f>'Data_in-situ'!CS344</f>
        <v>650.63940348918732</v>
      </c>
      <c r="M2427" s="46">
        <f>'Data_in-situ'!CT344</f>
        <v>3</v>
      </c>
      <c r="N2427" s="24">
        <f>'Data_in-situ'!DA341</f>
        <v>3237.7768635097909</v>
      </c>
      <c r="O2427" s="24">
        <f>'Data_in-situ'!DB341</f>
        <v>1588.2056081972487</v>
      </c>
      <c r="P2427" s="46">
        <f>'Data_in-situ'!DC341</f>
        <v>3</v>
      </c>
      <c r="Q2427" s="24">
        <f>'Data_in-situ'!DE341</f>
        <v>2606.0811330269848</v>
      </c>
      <c r="R2427" s="24">
        <f>'Data_in-situ'!DF341</f>
        <v>272.81038691279781</v>
      </c>
      <c r="S2427" s="46">
        <f>'Data_in-situ'!DG341</f>
        <v>3</v>
      </c>
      <c r="T2427" s="113">
        <f>'Data_in-situ'!DN129</f>
        <v>214.33232862768773</v>
      </c>
      <c r="U2427" s="113">
        <f>'Data_in-situ'!DO129</f>
        <v>127.05286261842672</v>
      </c>
      <c r="V2427" s="46">
        <f>'Data_in-situ'!DP129</f>
        <v>18</v>
      </c>
      <c r="W2427" s="113">
        <f>'Data_in-situ'!DR129</f>
        <v>3.701330808396313</v>
      </c>
      <c r="X2427" s="113">
        <f>'Data_in-situ'!DS129</f>
        <v>11.16614647740138</v>
      </c>
      <c r="Y2427" s="46">
        <f>'Data_in-situ'!DT129</f>
        <v>18</v>
      </c>
      <c r="Z2427" s="113">
        <f>'Data_in-situ'!EA159</f>
        <v>-0.36220000000000002</v>
      </c>
      <c r="AA2427" s="113">
        <f>'Data_in-situ'!EB159</f>
        <v>0.55423680859358304</v>
      </c>
      <c r="AB2427" s="46">
        <f>'Data_in-situ'!EC159</f>
        <v>4</v>
      </c>
      <c r="AC2427" s="113">
        <f>'Data_in-situ'!EE159</f>
        <v>-2.8500000000000001E-2</v>
      </c>
      <c r="AD2427" s="113">
        <f>'Data_in-situ'!EF159</f>
        <v>9.9569071503153028E-2</v>
      </c>
      <c r="AE2427" s="46">
        <f>'Data_in-situ'!EG159</f>
        <v>4</v>
      </c>
      <c r="AF2427" s="113">
        <f>'Data_in-situ'!EN128</f>
        <v>-7.08</v>
      </c>
      <c r="AG2427" s="113">
        <f>'Data_in-situ'!EO128</f>
        <v>2.8850745031591569</v>
      </c>
      <c r="AH2427" s="110">
        <f>'Data_in-situ'!EP128</f>
        <v>18</v>
      </c>
      <c r="AI2427" s="113">
        <f>'Data_in-situ'!ER128</f>
        <v>-15.22</v>
      </c>
      <c r="AJ2427" s="113">
        <f>'Data_in-situ'!ES128</f>
        <v>3.4521098944099355</v>
      </c>
      <c r="AK2427" s="110">
        <f>'Data_in-situ'!ET128</f>
        <v>18</v>
      </c>
    </row>
    <row r="2428" spans="2:37" x14ac:dyDescent="0.3">
      <c r="B2428" s="24">
        <f>'Data_in-situ'!CA345</f>
        <v>-1544.0509482067121</v>
      </c>
      <c r="C2428" s="24">
        <f>'Data_in-situ'!CB345</f>
        <v>837.60714709123818</v>
      </c>
      <c r="D2428" s="46">
        <f>'Data_in-situ'!CC345</f>
        <v>3</v>
      </c>
      <c r="E2428" s="24">
        <f>'Data_in-situ'!CE345</f>
        <v>-1178.558304384421</v>
      </c>
      <c r="F2428" s="24">
        <f>'Data_in-situ'!CF345</f>
        <v>1103.8093288412595</v>
      </c>
      <c r="G2428" s="46">
        <f>'Data_in-situ'!CG345</f>
        <v>3</v>
      </c>
      <c r="H2428" s="24">
        <f>'Data_in-situ'!CN345</f>
        <v>821.95693707396595</v>
      </c>
      <c r="I2428" s="24">
        <f>'Data_in-situ'!CO345</f>
        <v>860.95304933064097</v>
      </c>
      <c r="J2428" s="46">
        <f>'Data_in-situ'!CP345</f>
        <v>3</v>
      </c>
      <c r="K2428" s="24">
        <f>'Data_in-situ'!CR345</f>
        <v>1214.1076881752506</v>
      </c>
      <c r="L2428" s="24">
        <f>'Data_in-situ'!CS345</f>
        <v>590.58610863952993</v>
      </c>
      <c r="M2428" s="46">
        <f>'Data_in-situ'!CT345</f>
        <v>3</v>
      </c>
      <c r="N2428" s="24">
        <f>'Data_in-situ'!DA342</f>
        <v>-558.33453447411694</v>
      </c>
      <c r="O2428" s="24">
        <f>'Data_in-situ'!DB342</f>
        <v>748.7456945126147</v>
      </c>
      <c r="P2428" s="46">
        <f>'Data_in-situ'!DC342</f>
        <v>3</v>
      </c>
      <c r="Q2428" s="24">
        <f>'Data_in-situ'!DE342</f>
        <v>90.926369512445945</v>
      </c>
      <c r="R2428" s="24">
        <f>'Data_in-situ'!DF342</f>
        <v>382.25882942650333</v>
      </c>
      <c r="S2428" s="46">
        <f>'Data_in-situ'!DG342</f>
        <v>3</v>
      </c>
      <c r="T2428" s="113">
        <f>'Data_in-situ'!DN130</f>
        <v>319.22459108513186</v>
      </c>
      <c r="U2428" s="113">
        <f>'Data_in-situ'!DO130</f>
        <v>121.19295255477282</v>
      </c>
      <c r="V2428" s="46">
        <f>'Data_in-situ'!DP130</f>
        <v>18</v>
      </c>
      <c r="W2428" s="113">
        <f>'Data_in-situ'!DR130</f>
        <v>222.57960625006015</v>
      </c>
      <c r="X2428" s="113">
        <f>'Data_in-situ'!DS130</f>
        <v>146.24752567167019</v>
      </c>
      <c r="Y2428" s="46">
        <f>'Data_in-situ'!DT130</f>
        <v>18</v>
      </c>
      <c r="Z2428" s="113">
        <f>'Data_in-situ'!EA160</f>
        <v>-0.36220000000000002</v>
      </c>
      <c r="AA2428" s="113">
        <f>'Data_in-situ'!EB160</f>
        <v>0.55423680859358304</v>
      </c>
      <c r="AB2428" s="46">
        <f>'Data_in-situ'!EC160</f>
        <v>4</v>
      </c>
      <c r="AC2428" s="113">
        <f>'Data_in-situ'!EE160</f>
        <v>8.210000000000002E-2</v>
      </c>
      <c r="AD2428" s="113">
        <f>'Data_in-situ'!EF160</f>
        <v>1.2639620247459968E-2</v>
      </c>
      <c r="AE2428" s="46">
        <f>'Data_in-situ'!EG160</f>
        <v>4</v>
      </c>
      <c r="AF2428" s="113">
        <f>'Data_in-situ'!EN129</f>
        <v>-7.08</v>
      </c>
      <c r="AG2428" s="113">
        <f>'Data_in-situ'!EO129</f>
        <v>2.8850745031591569</v>
      </c>
      <c r="AH2428" s="110">
        <f>'Data_in-situ'!EP129</f>
        <v>18</v>
      </c>
      <c r="AI2428" s="113">
        <f>'Data_in-situ'!ER129</f>
        <v>-36.11</v>
      </c>
      <c r="AJ2428" s="113">
        <f>'Data_in-situ'!ES129</f>
        <v>8.190255472217002</v>
      </c>
      <c r="AK2428" s="110">
        <f>'Data_in-situ'!ET129</f>
        <v>18</v>
      </c>
    </row>
    <row r="2429" spans="2:37" x14ac:dyDescent="0.3">
      <c r="B2429" s="24">
        <f>'Data_in-situ'!CA346</f>
        <v>-998.69911894347672</v>
      </c>
      <c r="C2429" s="24">
        <f>'Data_in-situ'!CB346</f>
        <v>642.0310889187042</v>
      </c>
      <c r="D2429" s="46">
        <f>'Data_in-situ'!CC346</f>
        <v>3</v>
      </c>
      <c r="E2429" s="24">
        <f>'Data_in-situ'!CE346</f>
        <v>-1433.3817215486201</v>
      </c>
      <c r="F2429" s="24">
        <f>'Data_in-situ'!CF346</f>
        <v>1186.7128562544101</v>
      </c>
      <c r="G2429" s="46">
        <f>'Data_in-situ'!CG346</f>
        <v>3</v>
      </c>
      <c r="H2429" s="24">
        <f>'Data_in-situ'!CN346</f>
        <v>688.14999382936685</v>
      </c>
      <c r="I2429" s="24">
        <f>'Data_in-situ'!CO346</f>
        <v>827.80955818446023</v>
      </c>
      <c r="J2429" s="46">
        <f>'Data_in-situ'!CP346</f>
        <v>3</v>
      </c>
      <c r="K2429" s="24">
        <f>'Data_in-situ'!CR346</f>
        <v>910.58076613143794</v>
      </c>
      <c r="L2429" s="24">
        <f>'Data_in-situ'!CS346</f>
        <v>867.05035134873242</v>
      </c>
      <c r="M2429" s="46">
        <f>'Data_in-situ'!CT346</f>
        <v>3</v>
      </c>
      <c r="N2429" s="24">
        <f>'Data_in-situ'!DA343</f>
        <v>-586.111782169251</v>
      </c>
      <c r="O2429" s="24">
        <f>'Data_in-situ'!DB343</f>
        <v>363.91958912283872</v>
      </c>
      <c r="P2429" s="46">
        <f>'Data_in-situ'!DC343</f>
        <v>3</v>
      </c>
      <c r="Q2429" s="24">
        <f>'Data_in-situ'!DE343</f>
        <v>403.42941150773049</v>
      </c>
      <c r="R2429" s="24">
        <f>'Data_in-situ'!DF343</f>
        <v>463.61307598966926</v>
      </c>
      <c r="S2429" s="46">
        <f>'Data_in-situ'!DG343</f>
        <v>3</v>
      </c>
      <c r="T2429" s="113">
        <f>'Data_in-situ'!DN131</f>
        <v>319.22459108513186</v>
      </c>
      <c r="U2429" s="113">
        <f>'Data_in-situ'!DO131</f>
        <v>121.19295255477282</v>
      </c>
      <c r="V2429" s="46">
        <f>'Data_in-situ'!DP131</f>
        <v>18</v>
      </c>
      <c r="W2429" s="113">
        <f>'Data_in-situ'!DR131</f>
        <v>5.4661003499523613</v>
      </c>
      <c r="X2429" s="113">
        <f>'Data_in-situ'!DS131</f>
        <v>11.395301936593999</v>
      </c>
      <c r="Y2429" s="46">
        <f>'Data_in-situ'!DT131</f>
        <v>18</v>
      </c>
      <c r="Z2429" s="113">
        <f>'Data_in-situ'!EA161</f>
        <v>-0.36220000000000002</v>
      </c>
      <c r="AA2429" s="113">
        <f>'Data_in-situ'!EB161</f>
        <v>0.55423680859358304</v>
      </c>
      <c r="AB2429" s="46">
        <f>'Data_in-situ'!EC161</f>
        <v>4</v>
      </c>
      <c r="AC2429" s="113">
        <f>'Data_in-situ'!EE161</f>
        <v>0.3004</v>
      </c>
      <c r="AD2429" s="113">
        <f>'Data_in-situ'!EF161</f>
        <v>2.3186418438387587E-2</v>
      </c>
      <c r="AE2429" s="46">
        <f>'Data_in-situ'!EG161</f>
        <v>4</v>
      </c>
      <c r="AF2429" s="113">
        <f>'Data_in-situ'!EN130</f>
        <v>-12.04</v>
      </c>
      <c r="AG2429" s="113">
        <f>'Data_in-situ'!EO130</f>
        <v>4.9062566409655712</v>
      </c>
      <c r="AH2429" s="110">
        <f>'Data_in-situ'!EP130</f>
        <v>18</v>
      </c>
      <c r="AI2429" s="113">
        <f>'Data_in-situ'!ER130</f>
        <v>-15.22</v>
      </c>
      <c r="AJ2429" s="113">
        <f>'Data_in-situ'!ES130</f>
        <v>3.4521098944099355</v>
      </c>
      <c r="AK2429" s="110">
        <f>'Data_in-situ'!ET130</f>
        <v>18</v>
      </c>
    </row>
    <row r="2430" spans="2:37" x14ac:dyDescent="0.3">
      <c r="B2430" s="24">
        <f>'Data_in-situ'!CA347</f>
        <v>-757.07836436037758</v>
      </c>
      <c r="C2430" s="24">
        <f>'Data_in-situ'!CB347</f>
        <v>753.46149598311479</v>
      </c>
      <c r="D2430" s="46">
        <f>'Data_in-situ'!CC347</f>
        <v>3</v>
      </c>
      <c r="E2430" s="24">
        <f>'Data_in-situ'!CE347</f>
        <v>-1751.9109930038685</v>
      </c>
      <c r="F2430" s="24">
        <f>'Data_in-situ'!CF347</f>
        <v>1655.7034599262597</v>
      </c>
      <c r="G2430" s="46">
        <f>'Data_in-situ'!CG347</f>
        <v>3</v>
      </c>
      <c r="H2430" s="24">
        <f>'Data_in-situ'!CN347</f>
        <v>764.61110425485197</v>
      </c>
      <c r="I2430" s="24">
        <f>'Data_in-situ'!CO347</f>
        <v>794.72773935581358</v>
      </c>
      <c r="J2430" s="46">
        <f>'Data_in-situ'!CP347</f>
        <v>3</v>
      </c>
      <c r="K2430" s="24">
        <f>'Data_in-situ'!CR347</f>
        <v>1696.1798584801293</v>
      </c>
      <c r="L2430" s="24">
        <f>'Data_in-situ'!CS347</f>
        <v>1486.728586277671</v>
      </c>
      <c r="M2430" s="46">
        <f>'Data_in-situ'!CT347</f>
        <v>3</v>
      </c>
      <c r="N2430" s="24">
        <f>'Data_in-situ'!DA344</f>
        <v>893.86422546150288</v>
      </c>
      <c r="O2430" s="24">
        <f>'Data_in-situ'!DB344</f>
        <v>1145.1881990612055</v>
      </c>
      <c r="P2430" s="46">
        <f>'Data_in-situ'!DC344</f>
        <v>3</v>
      </c>
      <c r="Q2430" s="24">
        <f>'Data_in-situ'!DE344</f>
        <v>971.54555824647673</v>
      </c>
      <c r="R2430" s="24">
        <f>'Data_in-situ'!DF344</f>
        <v>320.49742821623516</v>
      </c>
      <c r="S2430" s="46">
        <f>'Data_in-situ'!DG344</f>
        <v>3</v>
      </c>
      <c r="T2430" s="113">
        <f>'Data_in-situ'!DN132</f>
        <v>440.08296271455015</v>
      </c>
      <c r="U2430" s="113">
        <f>'Data_in-situ'!DO132</f>
        <v>113.40347895786114</v>
      </c>
      <c r="V2430" s="46">
        <f>'Data_in-situ'!DP132</f>
        <v>21</v>
      </c>
      <c r="W2430" s="113">
        <f>'Data_in-situ'!DR132</f>
        <v>251.76858211880577</v>
      </c>
      <c r="X2430" s="113">
        <f>'Data_in-situ'!DS132</f>
        <v>162.14335017466513</v>
      </c>
      <c r="Y2430" s="46">
        <f>'Data_in-situ'!DT132</f>
        <v>21</v>
      </c>
      <c r="Z2430" s="113">
        <f>'Data_in-situ'!EA203</f>
        <v>0.80142857142857149</v>
      </c>
      <c r="AA2430" s="113">
        <f>'Data_in-situ'!EB203</f>
        <v>0.1905255888325765</v>
      </c>
      <c r="AB2430" s="46">
        <f>'Data_in-situ'!EC203</f>
        <v>3</v>
      </c>
      <c r="AC2430" s="113">
        <f>'Data_in-situ'!EE203</f>
        <v>1.5242857142857142</v>
      </c>
      <c r="AD2430" s="113">
        <f>'Data_in-situ'!EF203</f>
        <v>0.3538332364033564</v>
      </c>
      <c r="AE2430" s="46">
        <f>'Data_in-situ'!EG203</f>
        <v>3</v>
      </c>
      <c r="AF2430" s="113">
        <f>'Data_in-situ'!EN131</f>
        <v>-12.04</v>
      </c>
      <c r="AG2430" s="113">
        <f>'Data_in-situ'!EO131</f>
        <v>4.9062566409655712</v>
      </c>
      <c r="AH2430" s="110">
        <f>'Data_in-situ'!EP131</f>
        <v>18</v>
      </c>
      <c r="AI2430" s="113">
        <f>'Data_in-situ'!ER131</f>
        <v>-24.07</v>
      </c>
      <c r="AJ2430" s="113">
        <f>'Data_in-situ'!ES131</f>
        <v>5.459414267966304</v>
      </c>
      <c r="AK2430" s="110">
        <f>'Data_in-situ'!ET131</f>
        <v>18</v>
      </c>
    </row>
    <row r="2431" spans="2:37" x14ac:dyDescent="0.3">
      <c r="B2431" s="24">
        <f>'Data_in-situ'!CA348</f>
        <v>-3659.9602825374368</v>
      </c>
      <c r="C2431" s="24">
        <f>'Data_in-situ'!CB348</f>
        <v>593.4851284595926</v>
      </c>
      <c r="D2431" s="46">
        <f>'Data_in-situ'!CC348</f>
        <v>3</v>
      </c>
      <c r="E2431" s="24">
        <f>'Data_in-situ'!CE348</f>
        <v>-2778.6457143135131</v>
      </c>
      <c r="F2431" s="24">
        <f>'Data_in-situ'!CF348</f>
        <v>942.7176783399251</v>
      </c>
      <c r="G2431" s="46">
        <f>'Data_in-situ'!CG348</f>
        <v>3</v>
      </c>
      <c r="H2431" s="24">
        <f>'Data_in-situ'!CN348</f>
        <v>6251.1658250934079</v>
      </c>
      <c r="I2431" s="24">
        <f>'Data_in-situ'!CO348</f>
        <v>266.97663228644535</v>
      </c>
      <c r="J2431" s="46">
        <f>'Data_in-situ'!CP348</f>
        <v>3</v>
      </c>
      <c r="K2431" s="24">
        <f>'Data_in-situ'!CR348</f>
        <v>7838.2827472249573</v>
      </c>
      <c r="L2431" s="24">
        <f>'Data_in-situ'!CS348</f>
        <v>2291.0465602792738</v>
      </c>
      <c r="M2431" s="46">
        <f>'Data_in-situ'!CT348</f>
        <v>3</v>
      </c>
      <c r="N2431" s="24">
        <f>'Data_in-situ'!DA345</f>
        <v>-722.09401113274612</v>
      </c>
      <c r="O2431" s="24">
        <f>'Data_in-situ'!DB345</f>
        <v>355.55395504217751</v>
      </c>
      <c r="P2431" s="46">
        <f>'Data_in-situ'!DC345</f>
        <v>3</v>
      </c>
      <c r="Q2431" s="24">
        <f>'Data_in-situ'!DE345</f>
        <v>35.549383790829552</v>
      </c>
      <c r="R2431" s="24">
        <f>'Data_in-situ'!DF345</f>
        <v>98.404402630841858</v>
      </c>
      <c r="S2431" s="46">
        <f>'Data_in-situ'!DG345</f>
        <v>3</v>
      </c>
      <c r="T2431" s="113">
        <f>'Data_in-situ'!DN133</f>
        <v>440.08296271455015</v>
      </c>
      <c r="U2431" s="113">
        <f>'Data_in-situ'!DO133</f>
        <v>113.40347895786114</v>
      </c>
      <c r="V2431" s="46">
        <f>'Data_in-situ'!DP133</f>
        <v>21</v>
      </c>
      <c r="W2431" s="113">
        <f>'Data_in-situ'!DR133</f>
        <v>25.550114778634466</v>
      </c>
      <c r="X2431" s="113">
        <f>'Data_in-situ'!DS133</f>
        <v>18.733958929588759</v>
      </c>
      <c r="Y2431" s="46">
        <f>'Data_in-situ'!DT133</f>
        <v>21</v>
      </c>
      <c r="Z2431" s="113">
        <f>'Data_in-situ'!EA204</f>
        <v>0.80142857142857149</v>
      </c>
      <c r="AA2431" s="113">
        <f>'Data_in-situ'!EB204</f>
        <v>0.1905255888325765</v>
      </c>
      <c r="AB2431" s="46">
        <f>'Data_in-situ'!EC204</f>
        <v>3</v>
      </c>
      <c r="AC2431" s="113">
        <f>'Data_in-situ'!EE204</f>
        <v>1.4614285714285715</v>
      </c>
      <c r="AD2431" s="113">
        <f>'Data_in-situ'!EF204</f>
        <v>0.21774353009437314</v>
      </c>
      <c r="AE2431" s="46">
        <f>'Data_in-situ'!EG204</f>
        <v>3</v>
      </c>
      <c r="AF2431" s="113">
        <f>'Data_in-situ'!EN132</f>
        <v>-4.96</v>
      </c>
      <c r="AG2431" s="113">
        <f>'Data_in-situ'!EO132</f>
        <v>2.0211821378064148</v>
      </c>
      <c r="AH2431" s="110">
        <f>'Data_in-situ'!EP132</f>
        <v>21</v>
      </c>
      <c r="AI2431" s="113">
        <f>'Data_in-situ'!ER132</f>
        <v>-10.09</v>
      </c>
      <c r="AJ2431" s="113">
        <f>'Data_in-situ'!ES132</f>
        <v>2.2885537999077692</v>
      </c>
      <c r="AK2431" s="110">
        <f>'Data_in-situ'!ET132</f>
        <v>21</v>
      </c>
    </row>
    <row r="2432" spans="2:37" x14ac:dyDescent="0.3">
      <c r="B2432" s="24">
        <f>'Data_in-situ'!CA349</f>
        <v>-4810.2335141920603</v>
      </c>
      <c r="C2432" s="24">
        <f>'Data_in-situ'!CB349</f>
        <v>507.91046480105655</v>
      </c>
      <c r="D2432" s="46">
        <f>'Data_in-situ'!CC349</f>
        <v>3</v>
      </c>
      <c r="E2432" s="24">
        <f>'Data_in-situ'!CE349</f>
        <v>-5079.1058870940042</v>
      </c>
      <c r="F2432" s="24">
        <f>'Data_in-situ'!CF349</f>
        <v>317.38779673465609</v>
      </c>
      <c r="G2432" s="46">
        <f>'Data_in-situ'!CG349</f>
        <v>3</v>
      </c>
      <c r="H2432" s="24">
        <f>'Data_in-situ'!CN349</f>
        <v>4762.0543630364182</v>
      </c>
      <c r="I2432" s="24">
        <f>'Data_in-situ'!CO349</f>
        <v>997.80477562796057</v>
      </c>
      <c r="J2432" s="46">
        <f>'Data_in-situ'!CP349</f>
        <v>3</v>
      </c>
      <c r="K2432" s="24">
        <f>'Data_in-situ'!CR349</f>
        <v>6143.1273286938667</v>
      </c>
      <c r="L2432" s="24">
        <f>'Data_in-situ'!CS349</f>
        <v>1144.5750412473667</v>
      </c>
      <c r="M2432" s="46">
        <f>'Data_in-situ'!CT349</f>
        <v>3</v>
      </c>
      <c r="N2432" s="24">
        <f>'Data_in-situ'!DA346</f>
        <v>-310.54912511410987</v>
      </c>
      <c r="O2432" s="24">
        <f>'Data_in-situ'!DB346</f>
        <v>752.08332336197429</v>
      </c>
      <c r="P2432" s="46">
        <f>'Data_in-situ'!DC346</f>
        <v>3</v>
      </c>
      <c r="Q2432" s="24">
        <f>'Data_in-situ'!DE346</f>
        <v>-522.80095541718219</v>
      </c>
      <c r="R2432" s="24">
        <f>'Data_in-situ'!DF346</f>
        <v>196.66566541741983</v>
      </c>
      <c r="S2432" s="46">
        <f>'Data_in-situ'!DG346</f>
        <v>3</v>
      </c>
      <c r="T2432" s="113">
        <f>'Data_in-situ'!DN148</f>
        <v>178.6</v>
      </c>
      <c r="U2432" s="113">
        <f>'Data_in-situ'!DO148</f>
        <v>265.3</v>
      </c>
      <c r="V2432" s="46">
        <f>'Data_in-situ'!DP148</f>
        <v>39</v>
      </c>
      <c r="W2432" s="113">
        <f>'Data_in-situ'!DR148</f>
        <v>5.0999999999999996</v>
      </c>
      <c r="X2432" s="113">
        <f>'Data_in-situ'!DS148</f>
        <v>30.6</v>
      </c>
      <c r="Y2432" s="46">
        <f>'Data_in-situ'!DT148</f>
        <v>40</v>
      </c>
      <c r="Z2432" s="113">
        <f>'Data_in-situ'!EA217</f>
        <v>1.3785046728971999</v>
      </c>
      <c r="AA2432" s="113">
        <f>'Data_in-situ'!EB217</f>
        <v>1.030159237619066</v>
      </c>
      <c r="AB2432" s="46">
        <f>'Data_in-situ'!EC217</f>
        <v>6</v>
      </c>
      <c r="AC2432" s="113">
        <f>'Data_in-situ'!EE217</f>
        <v>3.2242990654205603</v>
      </c>
      <c r="AD2432" s="113">
        <f>'Data_in-situ'!EF217</f>
        <v>3.548326262910205</v>
      </c>
      <c r="AE2432" s="46">
        <f>'Data_in-situ'!EG217</f>
        <v>6</v>
      </c>
      <c r="AF2432" s="113">
        <f>'Data_in-situ'!EN133</f>
        <v>-4.96</v>
      </c>
      <c r="AG2432" s="113">
        <f>'Data_in-situ'!EO133</f>
        <v>2.0211821378064148</v>
      </c>
      <c r="AH2432" s="110">
        <f>'Data_in-situ'!EP133</f>
        <v>21</v>
      </c>
      <c r="AI2432" s="113">
        <f>'Data_in-situ'!ER133</f>
        <v>-14.16</v>
      </c>
      <c r="AJ2432" s="113">
        <f>'Data_in-situ'!ES133</f>
        <v>3.2116869976901894</v>
      </c>
      <c r="AK2432" s="110">
        <f>'Data_in-situ'!ET133</f>
        <v>21</v>
      </c>
    </row>
    <row r="2433" spans="2:37" x14ac:dyDescent="0.3">
      <c r="B2433" s="24">
        <f>'Data_in-situ'!CA350</f>
        <v>-1686.1959873118906</v>
      </c>
      <c r="C2433" s="24">
        <f>'Data_in-situ'!CB350</f>
        <v>951.52416117583982</v>
      </c>
      <c r="D2433" s="46">
        <f>'Data_in-situ'!CC350</f>
        <v>3</v>
      </c>
      <c r="E2433" s="24">
        <f>'Data_in-situ'!CE350</f>
        <v>-4019.3433355883844</v>
      </c>
      <c r="F2433" s="24">
        <f>'Data_in-situ'!CF350</f>
        <v>183.63556153089817</v>
      </c>
      <c r="G2433" s="46">
        <f>'Data_in-situ'!CG350</f>
        <v>3</v>
      </c>
      <c r="H2433" s="24">
        <f>'Data_in-situ'!CN350</f>
        <v>2652.4797917890141</v>
      </c>
      <c r="I2433" s="24">
        <f>'Data_in-situ'!CO350</f>
        <v>1183.1159884255349</v>
      </c>
      <c r="J2433" s="46">
        <f>'Data_in-situ'!CP350</f>
        <v>3</v>
      </c>
      <c r="K2433" s="24">
        <f>'Data_in-situ'!CR350</f>
        <v>3491.7303920170334</v>
      </c>
      <c r="L2433" s="24">
        <f>'Data_in-situ'!CS350</f>
        <v>187.13801568192349</v>
      </c>
      <c r="M2433" s="46">
        <f>'Data_in-situ'!CT350</f>
        <v>3</v>
      </c>
      <c r="N2433" s="24">
        <f>'Data_in-situ'!DA347</f>
        <v>7.5327398944743891</v>
      </c>
      <c r="O2433" s="24">
        <f>'Data_in-situ'!DB347</f>
        <v>385.89969557971807</v>
      </c>
      <c r="P2433" s="46">
        <f>'Data_in-situ'!DC347</f>
        <v>3</v>
      </c>
      <c r="Q2433" s="24">
        <f>'Data_in-situ'!DE347</f>
        <v>-55.731134523739229</v>
      </c>
      <c r="R2433" s="24">
        <f>'Data_in-situ'!DF347</f>
        <v>131.30398661871592</v>
      </c>
      <c r="S2433" s="46">
        <f>'Data_in-situ'!DG347</f>
        <v>3</v>
      </c>
      <c r="T2433" s="113">
        <f>'Data_in-situ'!DN156</f>
        <v>34.884300000000003</v>
      </c>
      <c r="U2433" s="113">
        <f>'Data_in-situ'!DO156</f>
        <v>2.7604911899877527</v>
      </c>
      <c r="V2433" s="46">
        <f>'Data_in-situ'!DP156</f>
        <v>4</v>
      </c>
      <c r="W2433" s="113">
        <f>'Data_in-situ'!DR156</f>
        <v>15.5944</v>
      </c>
      <c r="X2433" s="113">
        <f>'Data_in-situ'!DS156</f>
        <v>2.1027833031484722</v>
      </c>
      <c r="Y2433" s="46">
        <f>'Data_in-situ'!DT156</f>
        <v>4</v>
      </c>
      <c r="Z2433" s="113">
        <f>'Data_in-situ'!EA218</f>
        <v>1.3785046728971999</v>
      </c>
      <c r="AA2433" s="113">
        <f>'Data_in-situ'!EB218</f>
        <v>1.030159237619066</v>
      </c>
      <c r="AB2433" s="46">
        <f>'Data_in-situ'!EC218</f>
        <v>6</v>
      </c>
      <c r="AC2433" s="113">
        <f>'Data_in-situ'!EE218</f>
        <v>2.8037383177570097</v>
      </c>
      <c r="AD2433" s="113">
        <f>'Data_in-situ'!EF218</f>
        <v>2.5181670252910933</v>
      </c>
      <c r="AE2433" s="46">
        <f>'Data_in-situ'!EG218</f>
        <v>6</v>
      </c>
      <c r="AF2433" s="113">
        <f>'Data_in-situ'!EN174</f>
        <v>-8</v>
      </c>
      <c r="AG2433" s="113">
        <f>'Data_in-situ'!EO174</f>
        <v>3.2599711900103467</v>
      </c>
      <c r="AH2433" s="110">
        <f>'Data_in-situ'!EP174</f>
        <v>3</v>
      </c>
      <c r="AI2433" s="113">
        <f>'Data_in-situ'!ER174</f>
        <v>-11</v>
      </c>
      <c r="AJ2433" s="113">
        <f>'Data_in-situ'!ES174</f>
        <v>2.4949545886011357</v>
      </c>
      <c r="AK2433" s="110">
        <f>'Data_in-situ'!ET174</f>
        <v>3</v>
      </c>
    </row>
    <row r="2434" spans="2:37" x14ac:dyDescent="0.3">
      <c r="B2434" s="24">
        <f>'Data_in-situ'!CA351</f>
        <v>-7900.0449087308316</v>
      </c>
      <c r="C2434" s="24">
        <f>'Data_in-situ'!CB351</f>
        <v>1770.2016517990935</v>
      </c>
      <c r="D2434" s="46">
        <f>'Data_in-situ'!CC351</f>
        <v>3</v>
      </c>
      <c r="E2434" s="24">
        <f>'Data_in-situ'!CE351</f>
        <v>-3744.7097475457695</v>
      </c>
      <c r="F2434" s="24">
        <f>'Data_in-situ'!CF351</f>
        <v>2032.4000980341211</v>
      </c>
      <c r="G2434" s="46">
        <f>'Data_in-situ'!CG351</f>
        <v>3</v>
      </c>
      <c r="H2434" s="24">
        <f>'Data_in-situ'!CN351</f>
        <v>12362.931550325944</v>
      </c>
      <c r="I2434" s="24">
        <f>'Data_in-situ'!CO351</f>
        <v>2275.2743302978161</v>
      </c>
      <c r="J2434" s="46">
        <f>'Data_in-situ'!CP351</f>
        <v>3</v>
      </c>
      <c r="K2434" s="24">
        <f>'Data_in-situ'!CR351</f>
        <v>15082.727310832692</v>
      </c>
      <c r="L2434" s="24">
        <f>'Data_in-situ'!CS351</f>
        <v>2876.4150226571255</v>
      </c>
      <c r="M2434" s="46">
        <f>'Data_in-situ'!CT351</f>
        <v>3</v>
      </c>
      <c r="N2434" s="24">
        <f>'Data_in-situ'!DA348</f>
        <v>2591.2055425559711</v>
      </c>
      <c r="O2434" s="24">
        <f>'Data_in-situ'!DB348</f>
        <v>1600.5466590475353</v>
      </c>
      <c r="P2434" s="46">
        <f>'Data_in-situ'!DC348</f>
        <v>3</v>
      </c>
      <c r="Q2434" s="24">
        <f>'Data_in-situ'!DE348</f>
        <v>5059.6370329114443</v>
      </c>
      <c r="R2434" s="24">
        <f>'Data_in-situ'!DF348</f>
        <v>1113.5441452092068</v>
      </c>
      <c r="S2434" s="46">
        <f>'Data_in-situ'!DG348</f>
        <v>3</v>
      </c>
      <c r="T2434" s="113">
        <f>'Data_in-situ'!DN157</f>
        <v>34.884300000000003</v>
      </c>
      <c r="U2434" s="113">
        <f>'Data_in-situ'!DO157</f>
        <v>2.7604911899877527</v>
      </c>
      <c r="V2434" s="46">
        <f>'Data_in-situ'!DP157</f>
        <v>4</v>
      </c>
      <c r="W2434" s="113">
        <f>'Data_in-situ'!DR157</f>
        <v>-3.7234000000000003</v>
      </c>
      <c r="X2434" s="113">
        <f>'Data_in-situ'!DS157</f>
        <v>0.33700001483679487</v>
      </c>
      <c r="Y2434" s="46">
        <f>'Data_in-situ'!DT157</f>
        <v>4</v>
      </c>
      <c r="Z2434" s="113">
        <f>'Data_in-situ'!EA250</f>
        <v>4.7842000883736189E-3</v>
      </c>
      <c r="AA2434" s="113">
        <f>'Data_in-situ'!EB250</f>
        <v>5.7651671572041305E-2</v>
      </c>
      <c r="AB2434" s="46">
        <f>'Data_in-situ'!EC250</f>
        <v>3</v>
      </c>
      <c r="AC2434" s="113">
        <f>'Data_in-situ'!EE250</f>
        <v>2.8668507573783328</v>
      </c>
      <c r="AD2434" s="113">
        <f>'Data_in-situ'!EF250</f>
        <v>1.8611493473177243</v>
      </c>
      <c r="AE2434" s="46">
        <f>'Data_in-situ'!EG250</f>
        <v>3</v>
      </c>
      <c r="AF2434" s="113">
        <f>'Data_in-situ'!EN175</f>
        <v>-8</v>
      </c>
      <c r="AG2434" s="113">
        <f>'Data_in-situ'!EO175</f>
        <v>3.2599711900103467</v>
      </c>
      <c r="AH2434" s="110">
        <f>'Data_in-situ'!EP175</f>
        <v>3</v>
      </c>
      <c r="AI2434" s="113">
        <f>'Data_in-situ'!ER175</f>
        <v>-19</v>
      </c>
      <c r="AJ2434" s="113">
        <f>'Data_in-situ'!ES175</f>
        <v>4.3094670166746889</v>
      </c>
      <c r="AK2434" s="110">
        <f>'Data_in-situ'!ET175</f>
        <v>3</v>
      </c>
    </row>
    <row r="2435" spans="2:37" x14ac:dyDescent="0.3">
      <c r="B2435" s="24">
        <f>'Data_in-situ'!CA352</f>
        <v>-10050.787546565918</v>
      </c>
      <c r="C2435" s="24">
        <f>'Data_in-situ'!CB352</f>
        <v>1612.547694762013</v>
      </c>
      <c r="D2435" s="46">
        <f>'Data_in-situ'!CC352</f>
        <v>3</v>
      </c>
      <c r="E2435" s="24">
        <f>'Data_in-situ'!CE352</f>
        <v>-12603.385992432437</v>
      </c>
      <c r="F2435" s="24">
        <f>'Data_in-situ'!CF352</f>
        <v>2731.1470412581525</v>
      </c>
      <c r="G2435" s="46">
        <f>'Data_in-situ'!CG352</f>
        <v>3</v>
      </c>
      <c r="H2435" s="24">
        <f>'Data_in-situ'!CN352</f>
        <v>9984.9658644122937</v>
      </c>
      <c r="I2435" s="24">
        <f>'Data_in-situ'!CO352</f>
        <v>333.56620847738458</v>
      </c>
      <c r="J2435" s="46">
        <f>'Data_in-situ'!CP352</f>
        <v>3</v>
      </c>
      <c r="K2435" s="24">
        <f>'Data_in-situ'!CR352</f>
        <v>15408.337460950899</v>
      </c>
      <c r="L2435" s="24">
        <f>'Data_in-situ'!CS352</f>
        <v>3231.8122751183146</v>
      </c>
      <c r="M2435" s="46">
        <f>'Data_in-situ'!CT352</f>
        <v>3</v>
      </c>
      <c r="N2435" s="24">
        <f>'Data_in-situ'!DA349</f>
        <v>-48.179151155642103</v>
      </c>
      <c r="O2435" s="24">
        <f>'Data_in-situ'!DB349</f>
        <v>1897.3884326053135</v>
      </c>
      <c r="P2435" s="46">
        <f>'Data_in-situ'!DC349</f>
        <v>3</v>
      </c>
      <c r="Q2435" s="24">
        <f>'Data_in-situ'!DE349</f>
        <v>1064.0214415998626</v>
      </c>
      <c r="R2435" s="24">
        <f>'Data_in-situ'!DF349</f>
        <v>385.19113146523358</v>
      </c>
      <c r="S2435" s="46">
        <f>'Data_in-situ'!DG349</f>
        <v>3</v>
      </c>
      <c r="T2435" s="113">
        <f>'Data_in-situ'!DN158</f>
        <v>34.884300000000003</v>
      </c>
      <c r="U2435" s="113">
        <f>'Data_in-situ'!DO158</f>
        <v>2.7604911899877527</v>
      </c>
      <c r="V2435" s="46">
        <f>'Data_in-situ'!DP158</f>
        <v>4</v>
      </c>
      <c r="W2435" s="113">
        <f>'Data_in-situ'!DR158</f>
        <v>-6.8844000000000012</v>
      </c>
      <c r="X2435" s="113">
        <f>'Data_in-situ'!DS158</f>
        <v>0.4472975072588713</v>
      </c>
      <c r="Y2435" s="46">
        <f>'Data_in-situ'!DT158</f>
        <v>4</v>
      </c>
      <c r="Z2435" s="113">
        <f>'Data_in-situ'!EA251</f>
        <v>2.9121217929230725E-2</v>
      </c>
      <c r="AA2435" s="113">
        <f>'Data_in-situ'!EB251</f>
        <v>6.8659445106331193E-2</v>
      </c>
      <c r="AB2435" s="46">
        <f>'Data_in-situ'!EC251</f>
        <v>3</v>
      </c>
      <c r="AC2435" s="113">
        <f>'Data_in-situ'!EE251</f>
        <v>0.10511786110387221</v>
      </c>
      <c r="AD2435" s="113">
        <f>'Data_in-situ'!EF251</f>
        <v>0.10740648717807684</v>
      </c>
      <c r="AE2435" s="46">
        <f>'Data_in-situ'!EG251</f>
        <v>3</v>
      </c>
      <c r="AF2435" s="113">
        <f>'Data_in-situ'!EN176</f>
        <v>-7.2</v>
      </c>
      <c r="AG2435" s="113">
        <f>'Data_in-situ'!EO176</f>
        <v>2.1</v>
      </c>
      <c r="AH2435" s="110">
        <f>'Data_in-situ'!EP176</f>
        <v>4</v>
      </c>
      <c r="AI2435" s="113">
        <f>'Data_in-situ'!ER176</f>
        <v>-39.6</v>
      </c>
      <c r="AJ2435" s="113">
        <f>'Data_in-situ'!ES176</f>
        <v>17.2</v>
      </c>
      <c r="AK2435" s="110">
        <f>'Data_in-situ'!ET176</f>
        <v>3</v>
      </c>
    </row>
    <row r="2436" spans="2:37" x14ac:dyDescent="0.3">
      <c r="B2436" s="24">
        <f>'Data_in-situ'!CA353</f>
        <v>-3420.20536553287</v>
      </c>
      <c r="C2436" s="24">
        <f>'Data_in-situ'!CB353</f>
        <v>2581.3476538531618</v>
      </c>
      <c r="D2436" s="46">
        <f>'Data_in-situ'!CC353</f>
        <v>3</v>
      </c>
      <c r="E2436" s="24">
        <f>'Data_in-situ'!CE353</f>
        <v>-7240.463722401516</v>
      </c>
      <c r="F2436" s="24">
        <f>'Data_in-situ'!CF353</f>
        <v>1430.8247194500545</v>
      </c>
      <c r="G2436" s="46">
        <f>'Data_in-situ'!CG353</f>
        <v>3</v>
      </c>
      <c r="H2436" s="24">
        <f>'Data_in-situ'!CN353</f>
        <v>3050.2701206745783</v>
      </c>
      <c r="I2436" s="24">
        <f>'Data_in-situ'!CO353</f>
        <v>3364.4645178084379</v>
      </c>
      <c r="J2436" s="46">
        <f>'Data_in-situ'!CP353</f>
        <v>3</v>
      </c>
      <c r="K2436" s="24">
        <f>'Data_in-situ'!CR353</f>
        <v>7768.1278671058117</v>
      </c>
      <c r="L2436" s="24">
        <f>'Data_in-situ'!CS353</f>
        <v>631.5369644231871</v>
      </c>
      <c r="M2436" s="46">
        <f>'Data_in-situ'!CT353</f>
        <v>3</v>
      </c>
      <c r="N2436" s="24">
        <f>'Data_in-situ'!DA350</f>
        <v>966.28380447712357</v>
      </c>
      <c r="O2436" s="24">
        <f>'Data_in-situ'!DB350</f>
        <v>2670.8132341684627</v>
      </c>
      <c r="P2436" s="46">
        <f>'Data_in-situ'!DC350</f>
        <v>3</v>
      </c>
      <c r="Q2436" s="24">
        <f>'Data_in-situ'!DE350</f>
        <v>-527.61294357135102</v>
      </c>
      <c r="R2436" s="24">
        <f>'Data_in-situ'!DF350</f>
        <v>119.07629993106522</v>
      </c>
      <c r="S2436" s="46">
        <f>'Data_in-situ'!DG350</f>
        <v>3</v>
      </c>
      <c r="T2436" s="113">
        <f>'Data_in-situ'!DN159</f>
        <v>12.3249</v>
      </c>
      <c r="U2436" s="113">
        <f>'Data_in-situ'!DO159</f>
        <v>4.0482329046140624</v>
      </c>
      <c r="V2436" s="46">
        <f>'Data_in-situ'!DP159</f>
        <v>4</v>
      </c>
      <c r="W2436" s="113">
        <f>'Data_in-situ'!DR159</f>
        <v>4.5682</v>
      </c>
      <c r="X2436" s="113">
        <f>'Data_in-situ'!DS159</f>
        <v>1.4385784823915586</v>
      </c>
      <c r="Y2436" s="46">
        <f>'Data_in-situ'!DT159</f>
        <v>4</v>
      </c>
      <c r="Z2436" s="113">
        <f>'Data_in-situ'!EA260</f>
        <v>4.7842000883736184E-2</v>
      </c>
      <c r="AA2436" s="113">
        <f>'Data_in-situ'!EB260</f>
        <v>4.4106351316338478E-2</v>
      </c>
      <c r="AB2436" s="46">
        <f>'Data_in-situ'!EC260</f>
        <v>3</v>
      </c>
      <c r="AC2436" s="113">
        <f>'Data_in-situ'!EE260</f>
        <v>0.82820132990929607</v>
      </c>
      <c r="AD2436" s="113">
        <f>'Data_in-situ'!EF260</f>
        <v>0.5966246705874263</v>
      </c>
      <c r="AE2436" s="46">
        <f>'Data_in-situ'!EG260</f>
        <v>3</v>
      </c>
      <c r="AF2436" s="113">
        <f>'Data_in-situ'!EN177</f>
        <v>-9.1999999999999993</v>
      </c>
      <c r="AG2436" s="113">
        <f>'Data_in-situ'!EO177</f>
        <v>4.8</v>
      </c>
      <c r="AH2436" s="110">
        <f>'Data_in-situ'!EP177</f>
        <v>4</v>
      </c>
      <c r="AI2436" s="113">
        <f>'Data_in-situ'!ER177</f>
        <v>-41</v>
      </c>
      <c r="AJ2436" s="113">
        <f>'Data_in-situ'!ES177</f>
        <v>11</v>
      </c>
      <c r="AK2436" s="110">
        <f>'Data_in-situ'!ET177</f>
        <v>3</v>
      </c>
    </row>
    <row r="2437" spans="2:37" x14ac:dyDescent="0.3">
      <c r="B2437" s="24">
        <f>'Data_in-situ'!CA401</f>
        <v>-252.97619047619</v>
      </c>
      <c r="C2437" s="24">
        <f>'Data_in-situ'!CB401</f>
        <v>61.678241517097945</v>
      </c>
      <c r="D2437" s="46">
        <f>'Data_in-situ'!CC401</f>
        <v>1</v>
      </c>
      <c r="E2437" s="24">
        <f>'Data_in-situ'!CE401</f>
        <v>-259.32892988544108</v>
      </c>
      <c r="F2437" s="24">
        <f>'Data_in-situ'!CF401</f>
        <v>96.540146410153937</v>
      </c>
      <c r="G2437" s="46">
        <f>'Data_in-situ'!CG401</f>
        <v>1</v>
      </c>
      <c r="H2437" s="24">
        <f>'Data_in-situ'!CN401</f>
        <v>243.00271458600855</v>
      </c>
      <c r="I2437" s="24">
        <f>'Data_in-situ'!CO401</f>
        <v>69.894216997580699</v>
      </c>
      <c r="J2437" s="46">
        <f>'Data_in-situ'!CP401</f>
        <v>1</v>
      </c>
      <c r="K2437" s="24">
        <f>'Data_in-situ'!CR401</f>
        <v>278.68155282729083</v>
      </c>
      <c r="L2437" s="24">
        <f>'Data_in-situ'!CS401</f>
        <v>73.123578700198763</v>
      </c>
      <c r="M2437" s="46">
        <f>'Data_in-situ'!CT401</f>
        <v>1</v>
      </c>
      <c r="N2437" s="24">
        <f>'Data_in-situ'!DA351</f>
        <v>4462.8866415951125</v>
      </c>
      <c r="O2437" s="24">
        <f>'Data_in-situ'!DB351</f>
        <v>2118.4369604304802</v>
      </c>
      <c r="P2437" s="46">
        <f>'Data_in-situ'!DC351</f>
        <v>3</v>
      </c>
      <c r="Q2437" s="24">
        <f>'Data_in-situ'!DE351</f>
        <v>11338.017563286921</v>
      </c>
      <c r="R2437" s="24">
        <f>'Data_in-situ'!DF351</f>
        <v>1981.8390153148923</v>
      </c>
      <c r="S2437" s="46">
        <f>'Data_in-situ'!DG351</f>
        <v>3</v>
      </c>
      <c r="T2437" s="113">
        <f>'Data_in-situ'!DN160</f>
        <v>12.3249</v>
      </c>
      <c r="U2437" s="113">
        <f>'Data_in-situ'!DO160</f>
        <v>4.0482329046140624</v>
      </c>
      <c r="V2437" s="46">
        <f>'Data_in-situ'!DP160</f>
        <v>4</v>
      </c>
      <c r="W2437" s="113">
        <f>'Data_in-situ'!DR160</f>
        <v>-2.4133</v>
      </c>
      <c r="X2437" s="113">
        <f>'Data_in-situ'!DS160</f>
        <v>0.28343706532491475</v>
      </c>
      <c r="Y2437" s="46">
        <f>'Data_in-situ'!DT160</f>
        <v>4</v>
      </c>
      <c r="Z2437" s="113">
        <f>'Data_in-situ'!EA261</f>
        <v>0.27041130934285673</v>
      </c>
      <c r="AA2437" s="113">
        <f>'Data_in-situ'!EB261</f>
        <v>0.17637490766446459</v>
      </c>
      <c r="AB2437" s="46">
        <f>'Data_in-situ'!EC261</f>
        <v>3</v>
      </c>
      <c r="AC2437" s="113">
        <f>'Data_in-situ'!EE261</f>
        <v>1.0193247137345183</v>
      </c>
      <c r="AD2437" s="113">
        <f>'Data_in-situ'!EF261</f>
        <v>0.85363748658627392</v>
      </c>
      <c r="AE2437" s="46">
        <f>'Data_in-situ'!EG261</f>
        <v>3</v>
      </c>
      <c r="AF2437" s="113">
        <f>'Data_in-situ'!EN178</f>
        <v>-9.6999999999999993</v>
      </c>
      <c r="AG2437" s="113">
        <f>'Data_in-situ'!EO178</f>
        <v>3.7</v>
      </c>
      <c r="AH2437" s="110">
        <f>'Data_in-situ'!EP178</f>
        <v>4</v>
      </c>
      <c r="AI2437" s="113">
        <f>'Data_in-situ'!ER178</f>
        <v>-45.2</v>
      </c>
      <c r="AJ2437" s="113">
        <f>'Data_in-situ'!ES178</f>
        <v>11.5</v>
      </c>
      <c r="AK2437" s="110">
        <f>'Data_in-situ'!ET178</f>
        <v>3</v>
      </c>
    </row>
    <row r="2438" spans="2:37" x14ac:dyDescent="0.3">
      <c r="B2438" s="24">
        <f>'Data_in-situ'!CA402</f>
        <v>-270.83333333333297</v>
      </c>
      <c r="C2438" s="24">
        <f>'Data_in-situ'!CB402</f>
        <v>66.031999741834312</v>
      </c>
      <c r="D2438" s="46">
        <f>'Data_in-situ'!CC402</f>
        <v>1</v>
      </c>
      <c r="E2438" s="24">
        <f>'Data_in-situ'!CE402</f>
        <v>-301.00679361702942</v>
      </c>
      <c r="F2438" s="24">
        <f>'Data_in-situ'!CF402</f>
        <v>112.05552708321424</v>
      </c>
      <c r="G2438" s="46">
        <f>'Data_in-situ'!CG402</f>
        <v>1</v>
      </c>
      <c r="H2438" s="24">
        <f>'Data_in-situ'!CN402</f>
        <v>252.06998005563568</v>
      </c>
      <c r="I2438" s="24">
        <f>'Data_in-situ'!CO402</f>
        <v>72.502210169132198</v>
      </c>
      <c r="J2438" s="46">
        <f>'Data_in-situ'!CP402</f>
        <v>1</v>
      </c>
      <c r="K2438" s="24">
        <f>'Data_in-situ'!CR402</f>
        <v>294.16386131769627</v>
      </c>
      <c r="L2438" s="24">
        <f>'Data_in-situ'!CS402</f>
        <v>77.18599973909879</v>
      </c>
      <c r="M2438" s="46">
        <f>'Data_in-situ'!CT402</f>
        <v>1</v>
      </c>
      <c r="N2438" s="24">
        <f>'Data_in-situ'!DA352</f>
        <v>-65.821682153624351</v>
      </c>
      <c r="O2438" s="24">
        <f>'Data_in-situ'!DB352</f>
        <v>2444.1125484173954</v>
      </c>
      <c r="P2438" s="46">
        <f>'Data_in-situ'!DC352</f>
        <v>3</v>
      </c>
      <c r="Q2438" s="24">
        <f>'Data_in-situ'!DE352</f>
        <v>2804.9514685184622</v>
      </c>
      <c r="R2438" s="24">
        <f>'Data_in-situ'!DF352</f>
        <v>528.03532028319501</v>
      </c>
      <c r="S2438" s="46">
        <f>'Data_in-situ'!DG352</f>
        <v>3</v>
      </c>
      <c r="T2438" s="113">
        <f>'Data_in-situ'!DN161</f>
        <v>12.3249</v>
      </c>
      <c r="U2438" s="113">
        <f>'Data_in-situ'!DO161</f>
        <v>4.0482329046140624</v>
      </c>
      <c r="V2438" s="46">
        <f>'Data_in-situ'!DP161</f>
        <v>4</v>
      </c>
      <c r="W2438" s="113">
        <f>'Data_in-situ'!DR161</f>
        <v>0.28770000000000012</v>
      </c>
      <c r="X2438" s="113">
        <f>'Data_in-situ'!DS161</f>
        <v>0.26312447624650959</v>
      </c>
      <c r="Y2438" s="46">
        <f>'Data_in-situ'!DT161</f>
        <v>4</v>
      </c>
      <c r="Z2438" s="113">
        <f>'Data_in-situ'!EA420</f>
        <v>0.17500000000000002</v>
      </c>
      <c r="AA2438" s="113">
        <f>'Data_in-situ'!EB420</f>
        <v>6.6645830077107365E-2</v>
      </c>
      <c r="AB2438" s="46">
        <f>'Data_in-situ'!EC420</f>
        <v>3</v>
      </c>
      <c r="AC2438" s="113">
        <f>'Data_in-situ'!EE420</f>
        <v>3.8644999999999996</v>
      </c>
      <c r="AD2438" s="113">
        <f>'Data_in-situ'!EF420</f>
        <v>2.343140076194052</v>
      </c>
      <c r="AE2438" s="46">
        <f>'Data_in-situ'!EG420</f>
        <v>3</v>
      </c>
      <c r="AF2438" s="113">
        <f>'Data_in-situ'!EN182</f>
        <v>10.513333333333334</v>
      </c>
      <c r="AG2438" s="113">
        <f>'Data_in-situ'!EO182</f>
        <v>1.0373523991392701</v>
      </c>
      <c r="AH2438" s="110">
        <f>'Data_in-situ'!EP182</f>
        <v>3</v>
      </c>
      <c r="AI2438" s="113">
        <f>'Data_in-situ'!ER182</f>
        <v>-89.296666666666667</v>
      </c>
      <c r="AJ2438" s="113">
        <f>'Data_in-situ'!ES182</f>
        <v>4.948066962629615</v>
      </c>
      <c r="AK2438" s="110">
        <f>'Data_in-situ'!ET182</f>
        <v>3</v>
      </c>
    </row>
    <row r="2439" spans="2:37" x14ac:dyDescent="0.3">
      <c r="B2439" s="24">
        <f>'Data_in-situ'!CA403</f>
        <v>-241.07142857142901</v>
      </c>
      <c r="C2439" s="24">
        <f>'Data_in-situ'!CB403</f>
        <v>58.775736033940618</v>
      </c>
      <c r="D2439" s="46">
        <f>'Data_in-situ'!CC403</f>
        <v>1</v>
      </c>
      <c r="E2439" s="24">
        <f>'Data_in-situ'!CE403</f>
        <v>-271.67792654665266</v>
      </c>
      <c r="F2439" s="24">
        <f>'Data_in-situ'!CF403</f>
        <v>101.13729623920892</v>
      </c>
      <c r="G2439" s="46">
        <f>'Data_in-situ'!CG403</f>
        <v>1</v>
      </c>
      <c r="H2439" s="24">
        <f>'Data_in-situ'!CN403</f>
        <v>217.61437127105197</v>
      </c>
      <c r="I2439" s="24">
        <f>'Data_in-situ'!CO403</f>
        <v>62.591836117236312</v>
      </c>
      <c r="J2439" s="46">
        <f>'Data_in-situ'!CP403</f>
        <v>1</v>
      </c>
      <c r="K2439" s="24">
        <f>'Data_in-situ'!CR403</f>
        <v>295.88411781662973</v>
      </c>
      <c r="L2439" s="24">
        <f>'Data_in-situ'!CS403</f>
        <v>77.637379854532</v>
      </c>
      <c r="M2439" s="46">
        <f>'Data_in-situ'!CT403</f>
        <v>1</v>
      </c>
      <c r="N2439" s="24">
        <f>'Data_in-situ'!DA353</f>
        <v>-369.93524485829175</v>
      </c>
      <c r="O2439" s="24">
        <f>'Data_in-situ'!DB353</f>
        <v>430.23040896760483</v>
      </c>
      <c r="P2439" s="46">
        <f>'Data_in-situ'!DC353</f>
        <v>3</v>
      </c>
      <c r="Q2439" s="24">
        <f>'Data_in-situ'!DE353</f>
        <v>527.66414470429572</v>
      </c>
      <c r="R2439" s="24">
        <f>'Data_in-situ'!DF353</f>
        <v>650.28157743771067</v>
      </c>
      <c r="S2439" s="46">
        <f>'Data_in-situ'!DG353</f>
        <v>3</v>
      </c>
      <c r="T2439" s="113">
        <f>'Data_in-situ'!DN176</f>
        <v>1294.4026579568806</v>
      </c>
      <c r="U2439" s="113">
        <f>'Data_in-situ'!DO176</f>
        <v>1425.6221977894311</v>
      </c>
      <c r="V2439" s="46">
        <f>'Data_in-situ'!DP176</f>
        <v>4</v>
      </c>
      <c r="W2439" s="113">
        <f>'Data_in-situ'!DR176</f>
        <v>22.36227209479982</v>
      </c>
      <c r="X2439" s="113">
        <f>'Data_in-situ'!DS176</f>
        <v>23.370237472575557</v>
      </c>
      <c r="Y2439" s="46">
        <f>'Data_in-situ'!DT176</f>
        <v>3</v>
      </c>
      <c r="Z2439" s="113">
        <f>'Data_in-situ'!EA421</f>
        <v>0.81500000000000006</v>
      </c>
      <c r="AA2439" s="113">
        <f>'Data_in-situ'!EB421</f>
        <v>0.72028350899720972</v>
      </c>
      <c r="AB2439" s="46">
        <f>'Data_in-situ'!EC421</f>
        <v>3</v>
      </c>
      <c r="AC2439" s="113">
        <f>'Data_in-situ'!EE421</f>
        <v>5.5957499999999989</v>
      </c>
      <c r="AD2439" s="113">
        <f>'Data_in-situ'!EF421</f>
        <v>4.4151157143197661</v>
      </c>
      <c r="AE2439" s="46">
        <f>'Data_in-situ'!EG421</f>
        <v>3</v>
      </c>
      <c r="AF2439" s="113">
        <f>'Data_in-situ'!EN183</f>
        <v>21.581790123456788</v>
      </c>
      <c r="AG2439" s="113">
        <f>'Data_in-situ'!EO183</f>
        <v>1.1499049536443477</v>
      </c>
      <c r="AH2439" s="110">
        <f>'Data_in-situ'!EP183</f>
        <v>3</v>
      </c>
      <c r="AI2439" s="113">
        <f>'Data_in-situ'!ER183</f>
        <v>-89.296666666666667</v>
      </c>
      <c r="AJ2439" s="113">
        <f>'Data_in-situ'!ES183</f>
        <v>4.948066962629615</v>
      </c>
      <c r="AK2439" s="110">
        <f>'Data_in-situ'!ET183</f>
        <v>3</v>
      </c>
    </row>
    <row r="2440" spans="2:37" x14ac:dyDescent="0.3">
      <c r="B2440" s="24">
        <f>'Data_in-situ'!CA404</f>
        <v>-1190.8947368421052</v>
      </c>
      <c r="C2440" s="24">
        <f>'Data_in-situ'!CB404</f>
        <v>8.1728070175438585</v>
      </c>
      <c r="D2440" s="46">
        <f>'Data_in-situ'!CC404</f>
        <v>4</v>
      </c>
      <c r="E2440" s="24">
        <f>'Data_in-situ'!CE404</f>
        <v>-1647.1117744611581</v>
      </c>
      <c r="F2440" s="24">
        <f>'Data_in-situ'!CF404</f>
        <v>42.213296514097145</v>
      </c>
      <c r="G2440" s="46">
        <f>'Data_in-situ'!CG404</f>
        <v>4</v>
      </c>
      <c r="H2440" s="24">
        <f>'Data_in-situ'!CN404</f>
        <v>1173.6539891420518</v>
      </c>
      <c r="I2440" s="24">
        <f>'Data_in-situ'!CO404</f>
        <v>59.312279426335792</v>
      </c>
      <c r="J2440" s="46">
        <f>'Data_in-situ'!CP404</f>
        <v>4</v>
      </c>
      <c r="K2440" s="24">
        <f>'Data_in-situ'!CR404</f>
        <v>1113.3378134148315</v>
      </c>
      <c r="L2440" s="24">
        <f>'Data_in-situ'!CS404</f>
        <v>77.030208091757075</v>
      </c>
      <c r="M2440" s="46">
        <f>'Data_in-situ'!CT404</f>
        <v>4</v>
      </c>
      <c r="N2440" s="24">
        <f>'Data_in-situ'!DA396</f>
        <v>-1484.6994535519118</v>
      </c>
      <c r="O2440" s="24">
        <f>'Data_in-situ'!DB396</f>
        <v>4453.588453524826</v>
      </c>
      <c r="P2440" s="46">
        <f>'Data_in-situ'!DC396</f>
        <v>1</v>
      </c>
      <c r="Q2440" s="24">
        <f>'Data_in-situ'!DE396</f>
        <v>390.71038251366002</v>
      </c>
      <c r="R2440" s="24">
        <f>'Data_in-situ'!DF396</f>
        <v>372.40278575099637</v>
      </c>
      <c r="S2440" s="46">
        <f>'Data_in-situ'!DG396</f>
        <v>1</v>
      </c>
      <c r="T2440" s="113">
        <f>'Data_in-situ'!DN177</f>
        <v>835.37440260212782</v>
      </c>
      <c r="U2440" s="113">
        <f>'Data_in-situ'!DO177</f>
        <v>1277.3279087005756</v>
      </c>
      <c r="V2440" s="46">
        <f>'Data_in-situ'!DP177</f>
        <v>4</v>
      </c>
      <c r="W2440" s="113">
        <f>'Data_in-situ'!DR177</f>
        <v>14.31185414067193</v>
      </c>
      <c r="X2440" s="113">
        <f>'Data_in-situ'!DS177</f>
        <v>14.416523575818015</v>
      </c>
      <c r="Y2440" s="46">
        <f>'Data_in-situ'!DT177</f>
        <v>3</v>
      </c>
      <c r="Z2440" s="113">
        <f>'Data_in-situ'!EA434</f>
        <v>0.31428571428571433</v>
      </c>
      <c r="AA2440" s="113">
        <f>'Data_in-situ'!EB434</f>
        <v>1.8071356230047548</v>
      </c>
      <c r="AB2440" s="46">
        <f>'Data_in-situ'!EC434</f>
        <v>3</v>
      </c>
      <c r="AC2440" s="113">
        <f>'Data_in-situ'!EE434</f>
        <v>14.614285714285716</v>
      </c>
      <c r="AD2440" s="113">
        <f>'Data_in-situ'!EF434</f>
        <v>21.821165534948449</v>
      </c>
      <c r="AE2440" s="46">
        <f>'Data_in-situ'!EG434</f>
        <v>3</v>
      </c>
      <c r="AF2440" s="113">
        <f>'Data_in-situ'!EN184</f>
        <v>15.494138888888889</v>
      </c>
      <c r="AG2440" s="113">
        <f>'Data_in-situ'!EO184</f>
        <v>0.77024816389862394</v>
      </c>
      <c r="AH2440" s="110">
        <f>'Data_in-situ'!EP184</f>
        <v>3</v>
      </c>
      <c r="AI2440" s="113">
        <f>'Data_in-situ'!ER184</f>
        <v>-89.296666666666667</v>
      </c>
      <c r="AJ2440" s="113">
        <f>'Data_in-situ'!ES184</f>
        <v>4.948066962629615</v>
      </c>
      <c r="AK2440" s="110">
        <f>'Data_in-situ'!ET184</f>
        <v>3</v>
      </c>
    </row>
    <row r="2441" spans="2:37" x14ac:dyDescent="0.3">
      <c r="B2441" s="24">
        <f>'Data_in-situ'!CA405</f>
        <v>-1587.859649122807</v>
      </c>
      <c r="C2441" s="24">
        <f>'Data_in-situ'!CB405</f>
        <v>7.4722807017543857</v>
      </c>
      <c r="D2441" s="46">
        <f>'Data_in-situ'!CC405</f>
        <v>4</v>
      </c>
      <c r="E2441" s="24">
        <f>'Data_in-situ'!CE405</f>
        <v>-1598.6673105064185</v>
      </c>
      <c r="F2441" s="24">
        <f>'Data_in-situ'!CF405</f>
        <v>44.336749279956244</v>
      </c>
      <c r="G2441" s="46">
        <f>'Data_in-situ'!CG405</f>
        <v>4</v>
      </c>
      <c r="H2441" s="24">
        <f>'Data_in-situ'!CN405</f>
        <v>1001.8997468285809</v>
      </c>
      <c r="I2441" s="24">
        <f>'Data_in-situ'!CO405</f>
        <v>31.53551699296025</v>
      </c>
      <c r="J2441" s="46">
        <f>'Data_in-situ'!CP405</f>
        <v>4</v>
      </c>
      <c r="K2441" s="24">
        <f>'Data_in-situ'!CR405</f>
        <v>1031.8740709698438</v>
      </c>
      <c r="L2441" s="24">
        <f>'Data_in-situ'!CS405</f>
        <v>95.91547767591031</v>
      </c>
      <c r="M2441" s="46">
        <f>'Data_in-situ'!CT405</f>
        <v>4</v>
      </c>
      <c r="N2441" s="24">
        <f>'Data_in-situ'!DA397</f>
        <v>-1316.3934426229509</v>
      </c>
      <c r="O2441" s="24">
        <f>'Data_in-situ'!DB397</f>
        <v>3948.7282239754559</v>
      </c>
      <c r="P2441" s="46">
        <f>'Data_in-situ'!DC397</f>
        <v>1</v>
      </c>
      <c r="Q2441" s="24">
        <f>'Data_in-situ'!DE397</f>
        <v>54.098360655737935</v>
      </c>
      <c r="R2441" s="24">
        <f>'Data_in-situ'!DF397</f>
        <v>51.563462642446027</v>
      </c>
      <c r="S2441" s="46">
        <f>'Data_in-situ'!DG397</f>
        <v>1</v>
      </c>
      <c r="T2441" s="113">
        <f>'Data_in-situ'!DN178</f>
        <v>564.51922087106243</v>
      </c>
      <c r="U2441" s="113">
        <f>'Data_in-situ'!DO178</f>
        <v>574.53047753186331</v>
      </c>
      <c r="V2441" s="46">
        <f>'Data_in-situ'!DP178</f>
        <v>4</v>
      </c>
      <c r="W2441" s="113">
        <f>'Data_in-situ'!DR178</f>
        <v>18.784308559631839</v>
      </c>
      <c r="X2441" s="113">
        <f>'Data_in-situ'!DS178</f>
        <v>16.576139153459437</v>
      </c>
      <c r="Y2441" s="46">
        <f>'Data_in-situ'!DT178</f>
        <v>3</v>
      </c>
      <c r="Z2441" s="113">
        <f>'Data_in-situ'!EA435</f>
        <v>0.31428571428571433</v>
      </c>
      <c r="AA2441" s="113">
        <f>'Data_in-situ'!EB435</f>
        <v>1.8071356230047548</v>
      </c>
      <c r="AB2441" s="46">
        <f>'Data_in-situ'!EC435</f>
        <v>3</v>
      </c>
      <c r="AC2441" s="113">
        <f>'Data_in-situ'!EE435</f>
        <v>12.257142857142856</v>
      </c>
      <c r="AD2441" s="113">
        <f>'Data_in-situ'!EF435</f>
        <v>18.301622706730956</v>
      </c>
      <c r="AE2441" s="46">
        <f>'Data_in-situ'!EG435</f>
        <v>3</v>
      </c>
      <c r="AF2441" s="113">
        <f>'Data_in-situ'!EN185</f>
        <v>-29.297839506172831</v>
      </c>
      <c r="AG2441" s="113">
        <f>'Data_in-situ'!EO185</f>
        <v>7.4871417952407429</v>
      </c>
      <c r="AH2441" s="110">
        <f>'Data_in-situ'!EP185</f>
        <v>3</v>
      </c>
      <c r="AI2441" s="113">
        <f>'Data_in-situ'!ER185</f>
        <v>-89.296666666666667</v>
      </c>
      <c r="AJ2441" s="113">
        <f>'Data_in-situ'!ES185</f>
        <v>4.948066962629615</v>
      </c>
      <c r="AK2441" s="110">
        <f>'Data_in-situ'!ET185</f>
        <v>3</v>
      </c>
    </row>
    <row r="2442" spans="2:37" x14ac:dyDescent="0.3">
      <c r="B2442" s="24">
        <f>'Data_in-situ'!CA406</f>
        <v>-1541.1578947368423</v>
      </c>
      <c r="C2442" s="24">
        <f>'Data_in-situ'!CB406</f>
        <v>7.2387719298245612</v>
      </c>
      <c r="D2442" s="46">
        <f>'Data_in-situ'!CC406</f>
        <v>4</v>
      </c>
      <c r="E2442" s="24">
        <f>'Data_in-situ'!CE406</f>
        <v>-2325.3342698275173</v>
      </c>
      <c r="F2442" s="24">
        <f>'Data_in-situ'!CF406</f>
        <v>61.965584260203691</v>
      </c>
      <c r="G2442" s="46">
        <f>'Data_in-situ'!CG406</f>
        <v>4</v>
      </c>
      <c r="H2442" s="24">
        <f>'Data_in-situ'!CN406</f>
        <v>1345.4082314555228</v>
      </c>
      <c r="I2442" s="24">
        <f>'Data_in-situ'!CO406</f>
        <v>87.695812130506496</v>
      </c>
      <c r="J2442" s="46">
        <f>'Data_in-situ'!CP406</f>
        <v>4</v>
      </c>
      <c r="K2442" s="24">
        <f>'Data_in-situ'!CR406</f>
        <v>1031.8740709698438</v>
      </c>
      <c r="L2442" s="24">
        <f>'Data_in-situ'!CS406</f>
        <v>302.96098741004602</v>
      </c>
      <c r="M2442" s="46">
        <f>'Data_in-situ'!CT406</f>
        <v>4</v>
      </c>
      <c r="N2442" s="24">
        <f>'Data_in-situ'!DA398</f>
        <v>-1484.6994535519118</v>
      </c>
      <c r="O2442" s="24">
        <f>'Data_in-situ'!DB398</f>
        <v>4453.588453524826</v>
      </c>
      <c r="P2442" s="46">
        <f>'Data_in-situ'!DC398</f>
        <v>1</v>
      </c>
      <c r="Q2442" s="24">
        <f>'Data_in-situ'!DE398</f>
        <v>847.54098360655883</v>
      </c>
      <c r="R2442" s="24">
        <f>'Data_in-situ'!DF398</f>
        <v>807.82758139831913</v>
      </c>
      <c r="S2442" s="46">
        <f>'Data_in-situ'!DG398</f>
        <v>1</v>
      </c>
      <c r="T2442" s="113">
        <f>'Data_in-situ'!DN182</f>
        <v>1413.9420186433458</v>
      </c>
      <c r="U2442" s="113">
        <f>'Data_in-situ'!DO182</f>
        <v>520.26850212340003</v>
      </c>
      <c r="V2442" s="46">
        <f>'Data_in-situ'!DP182</f>
        <v>3</v>
      </c>
      <c r="W2442" s="113">
        <f>'Data_in-situ'!DR182</f>
        <v>5.2453106713176574</v>
      </c>
      <c r="X2442" s="113">
        <f>'Data_in-situ'!DS182</f>
        <v>10.686883582340696</v>
      </c>
      <c r="Y2442" s="46">
        <f>'Data_in-situ'!DT182</f>
        <v>3</v>
      </c>
      <c r="AF2442" s="113">
        <f>'Data_in-situ'!EN186</f>
        <v>-15.092592592592601</v>
      </c>
      <c r="AG2442" s="113">
        <f>'Data_in-situ'!EO186</f>
        <v>7.11534501237022</v>
      </c>
      <c r="AH2442" s="110">
        <f>'Data_in-situ'!EP186</f>
        <v>3</v>
      </c>
      <c r="AI2442" s="113">
        <f>'Data_in-situ'!ER186</f>
        <v>-89.296666666666667</v>
      </c>
      <c r="AJ2442" s="113">
        <f>'Data_in-situ'!ES186</f>
        <v>4.948066962629615</v>
      </c>
      <c r="AK2442" s="110">
        <f>'Data_in-situ'!ET186</f>
        <v>3</v>
      </c>
    </row>
    <row r="2443" spans="2:37" x14ac:dyDescent="0.3">
      <c r="B2443" s="24">
        <f>'Data_in-situ'!CA407</f>
        <v>-2129.6</v>
      </c>
      <c r="C2443" s="24">
        <f>'Data_in-situ'!CB407</f>
        <v>6.8256410256410263</v>
      </c>
      <c r="D2443" s="46">
        <f>'Data_in-situ'!CC407</f>
        <v>4</v>
      </c>
      <c r="E2443" s="24">
        <f>'Data_in-situ'!CE407</f>
        <v>-2860.45927166603</v>
      </c>
      <c r="F2443" s="24">
        <f>'Data_in-situ'!CF407</f>
        <v>83.041731299949717</v>
      </c>
      <c r="G2443" s="46">
        <f>'Data_in-situ'!CG407</f>
        <v>4</v>
      </c>
      <c r="H2443" s="24">
        <f>'Data_in-situ'!CN407</f>
        <v>1355.5373277970868</v>
      </c>
      <c r="I2443" s="24">
        <f>'Data_in-situ'!CO407</f>
        <v>118.50504120960676</v>
      </c>
      <c r="J2443" s="46">
        <f>'Data_in-situ'!CP407</f>
        <v>4</v>
      </c>
      <c r="K2443" s="24">
        <f>'Data_in-situ'!CR407</f>
        <v>1460.4986850650098</v>
      </c>
      <c r="L2443" s="24">
        <f>'Data_in-situ'!CS407</f>
        <v>101.18634540814155</v>
      </c>
      <c r="M2443" s="46">
        <f>'Data_in-situ'!CT407</f>
        <v>4</v>
      </c>
      <c r="N2443" s="24">
        <f>'Data_in-situ'!DA399</f>
        <v>-2037.7049180327876</v>
      </c>
      <c r="O2443" s="24">
        <f>'Data_in-situ'!DB399</f>
        <v>6112.4149220442005</v>
      </c>
      <c r="P2443" s="46">
        <f>'Data_in-situ'!DC399</f>
        <v>1</v>
      </c>
      <c r="Q2443" s="24">
        <f>'Data_in-situ'!DE399</f>
        <v>-571.03825136612102</v>
      </c>
      <c r="R2443" s="24">
        <f>'Data_in-situ'!DF399</f>
        <v>544.28099455915094</v>
      </c>
      <c r="S2443" s="46">
        <f>'Data_in-situ'!DG399</f>
        <v>1</v>
      </c>
      <c r="T2443" s="113">
        <f>'Data_in-situ'!DN183</f>
        <v>965.8440732691339</v>
      </c>
      <c r="U2443" s="113">
        <f>'Data_in-situ'!DO183</f>
        <v>308.47001167764779</v>
      </c>
      <c r="V2443" s="46">
        <f>'Data_in-situ'!DP183</f>
        <v>3</v>
      </c>
      <c r="W2443" s="113">
        <f>'Data_in-situ'!DR183</f>
        <v>5.2453106713176574</v>
      </c>
      <c r="X2443" s="113">
        <f>'Data_in-situ'!DS183</f>
        <v>10.686883582340696</v>
      </c>
      <c r="Y2443" s="46">
        <f>'Data_in-situ'!DT183</f>
        <v>3</v>
      </c>
      <c r="AF2443" s="113">
        <f>'Data_in-situ'!EN187</f>
        <v>-22.905478395061731</v>
      </c>
      <c r="AG2443" s="113">
        <f>'Data_in-situ'!EO187</f>
        <v>5.2162753162474411</v>
      </c>
      <c r="AH2443" s="110">
        <f>'Data_in-situ'!EP187</f>
        <v>3</v>
      </c>
      <c r="AI2443" s="113">
        <f>'Data_in-situ'!ER187</f>
        <v>-89.296666666666667</v>
      </c>
      <c r="AJ2443" s="113">
        <f>'Data_in-situ'!ES187</f>
        <v>4.948066962629615</v>
      </c>
      <c r="AK2443" s="110">
        <f>'Data_in-situ'!ET187</f>
        <v>3</v>
      </c>
    </row>
    <row r="2444" spans="2:37" x14ac:dyDescent="0.3">
      <c r="B2444" s="24">
        <f>'Data_in-situ'!CA408</f>
        <v>-2259.2871794871794</v>
      </c>
      <c r="C2444" s="24">
        <f>'Data_in-situ'!CB408</f>
        <v>13.651282051282053</v>
      </c>
      <c r="D2444" s="46">
        <f>'Data_in-situ'!CC408</f>
        <v>4</v>
      </c>
      <c r="E2444" s="24">
        <f>'Data_in-situ'!CE408</f>
        <v>-1940.0144565259704</v>
      </c>
      <c r="F2444" s="24">
        <f>'Data_in-situ'!CF408</f>
        <v>56.070928981894077</v>
      </c>
      <c r="G2444" s="46">
        <f>'Data_in-situ'!CG408</f>
        <v>4</v>
      </c>
      <c r="H2444" s="24">
        <f>'Data_in-situ'!CN408</f>
        <v>1857.5881899441558</v>
      </c>
      <c r="I2444" s="24">
        <f>'Data_in-situ'!CO408</f>
        <v>103.36331194089117</v>
      </c>
      <c r="J2444" s="46">
        <f>'Data_in-situ'!CP408</f>
        <v>4</v>
      </c>
      <c r="K2444" s="24">
        <f>'Data_in-situ'!CR408</f>
        <v>1587.498570722837</v>
      </c>
      <c r="L2444" s="24">
        <f>'Data_in-situ'!CS408</f>
        <v>105.69113003255019</v>
      </c>
      <c r="M2444" s="46">
        <f>'Data_in-situ'!CT408</f>
        <v>4</v>
      </c>
      <c r="N2444" s="24">
        <f>'Data_in-situ'!DA400</f>
        <v>30.769259991496654</v>
      </c>
      <c r="O2444" s="24">
        <f>'Data_in-situ'!DB400</f>
        <v>92.297212539414176</v>
      </c>
      <c r="P2444" s="46">
        <f>'Data_in-situ'!DC400</f>
        <v>1</v>
      </c>
      <c r="Q2444" s="24">
        <f>'Data_in-situ'!DE400</f>
        <v>-12.040273178424011</v>
      </c>
      <c r="R2444" s="24">
        <f>'Data_in-situ'!DF400</f>
        <v>11.476099621415464</v>
      </c>
      <c r="S2444" s="46">
        <f>'Data_in-situ'!DG400</f>
        <v>1</v>
      </c>
      <c r="T2444" s="113">
        <f>'Data_in-situ'!DN184</f>
        <v>1212.2979432249506</v>
      </c>
      <c r="U2444" s="113">
        <f>'Data_in-situ'!DO184</f>
        <v>318.03950472765939</v>
      </c>
      <c r="V2444" s="46">
        <f>'Data_in-situ'!DP184</f>
        <v>3</v>
      </c>
      <c r="W2444" s="113">
        <f>'Data_in-situ'!DR184</f>
        <v>5.2453106713176574</v>
      </c>
      <c r="X2444" s="113">
        <f>'Data_in-situ'!DS184</f>
        <v>10.686883582340696</v>
      </c>
      <c r="Y2444" s="46">
        <f>'Data_in-situ'!DT184</f>
        <v>3</v>
      </c>
      <c r="AF2444" s="113">
        <f>'Data_in-situ'!EN188</f>
        <v>15.494138888888889</v>
      </c>
      <c r="AG2444" s="113">
        <f>'Data_in-situ'!EO188</f>
        <v>0.77024816389862394</v>
      </c>
      <c r="AH2444" s="110">
        <f>'Data_in-situ'!EP188</f>
        <v>3</v>
      </c>
      <c r="AI2444" s="113">
        <f>'Data_in-situ'!ER188</f>
        <v>-91.63</v>
      </c>
      <c r="AJ2444" s="113">
        <f>'Data_in-situ'!ES188</f>
        <v>7.7942286340599471</v>
      </c>
      <c r="AK2444" s="110">
        <f>'Data_in-situ'!ET188</f>
        <v>3</v>
      </c>
    </row>
    <row r="2445" spans="2:37" x14ac:dyDescent="0.3">
      <c r="B2445" s="24">
        <f>'Data_in-situ'!CA412</f>
        <v>-27659.550451779181</v>
      </c>
      <c r="C2445" s="24">
        <f>'Data_in-situ'!CB412</f>
        <v>2920.5942857142213</v>
      </c>
      <c r="D2445" s="46">
        <f>'Data_in-situ'!CC412</f>
        <v>3</v>
      </c>
      <c r="E2445" s="24">
        <f>'Data_in-situ'!CE412</f>
        <v>-19692.259359339321</v>
      </c>
      <c r="F2445" s="24">
        <f>'Data_in-situ'!CF412</f>
        <v>1592.4436015993197</v>
      </c>
      <c r="G2445" s="46">
        <f>'Data_in-situ'!CG412</f>
        <v>3</v>
      </c>
      <c r="H2445" s="24">
        <f>'Data_in-situ'!CN412</f>
        <v>26436.559507179623</v>
      </c>
      <c r="I2445" s="24">
        <f>'Data_in-situ'!CO412</f>
        <v>3571.7210373879325</v>
      </c>
      <c r="J2445" s="46">
        <f>'Data_in-situ'!CP412</f>
        <v>3</v>
      </c>
      <c r="K2445" s="24">
        <f>'Data_in-situ'!CR412</f>
        <v>20646.170885257681</v>
      </c>
      <c r="L2445" s="24">
        <f>'Data_in-situ'!CS412</f>
        <v>1492.9781828658879</v>
      </c>
      <c r="M2445" s="46">
        <f>'Data_in-situ'!CT412</f>
        <v>3</v>
      </c>
      <c r="N2445" s="24">
        <f>'Data_in-situ'!DA401</f>
        <v>-9.9734758901814473</v>
      </c>
      <c r="O2445" s="24">
        <f>'Data_in-situ'!DB401</f>
        <v>29.917002366881579</v>
      </c>
      <c r="P2445" s="46">
        <f>'Data_in-situ'!DC401</f>
        <v>1</v>
      </c>
      <c r="Q2445" s="24">
        <f>'Data_in-situ'!DE401</f>
        <v>19.352622941849745</v>
      </c>
      <c r="R2445" s="24">
        <f>'Data_in-situ'!DF401</f>
        <v>18.445813107824229</v>
      </c>
      <c r="S2445" s="46">
        <f>'Data_in-situ'!DG401</f>
        <v>1</v>
      </c>
      <c r="T2445" s="113">
        <f>'Data_in-situ'!DN185</f>
        <v>319.20253634957294</v>
      </c>
      <c r="U2445" s="113">
        <f>'Data_in-situ'!DO185</f>
        <v>123.29702910462079</v>
      </c>
      <c r="V2445" s="46">
        <f>'Data_in-situ'!DP185</f>
        <v>3</v>
      </c>
      <c r="W2445" s="113">
        <f>'Data_in-situ'!DR185</f>
        <v>5.2453106713176574</v>
      </c>
      <c r="X2445" s="113">
        <f>'Data_in-situ'!DS185</f>
        <v>10.686883582340696</v>
      </c>
      <c r="Y2445" s="46">
        <f>'Data_in-situ'!DT185</f>
        <v>3</v>
      </c>
      <c r="AF2445" s="113">
        <f>'Data_in-situ'!EN189</f>
        <v>15.494138888888889</v>
      </c>
      <c r="AG2445" s="113">
        <f>'Data_in-situ'!EO189</f>
        <v>0.77024816389862394</v>
      </c>
      <c r="AH2445" s="110">
        <f>'Data_in-situ'!EP189</f>
        <v>3</v>
      </c>
      <c r="AI2445" s="113">
        <f>'Data_in-situ'!ER189</f>
        <v>-87.6</v>
      </c>
      <c r="AJ2445" s="113">
        <f>'Data_in-situ'!ES189</f>
        <v>10.825317547305483</v>
      </c>
      <c r="AK2445" s="110">
        <f>'Data_in-situ'!ET189</f>
        <v>3</v>
      </c>
    </row>
    <row r="2446" spans="2:37" x14ac:dyDescent="0.3">
      <c r="B2446" s="24">
        <f>'Data_in-situ'!CA413</f>
        <v>-13417.445102313484</v>
      </c>
      <c r="C2446" s="24">
        <f>'Data_in-situ'!CB413</f>
        <v>2513.9989496861413</v>
      </c>
      <c r="D2446" s="46">
        <f>'Data_in-situ'!CC413</f>
        <v>3</v>
      </c>
      <c r="E2446" s="24">
        <f>'Data_in-situ'!CE413</f>
        <v>-10261.140414323805</v>
      </c>
      <c r="F2446" s="24">
        <f>'Data_in-situ'!CF413</f>
        <v>928.25974642230233</v>
      </c>
      <c r="G2446" s="46">
        <f>'Data_in-situ'!CG413</f>
        <v>3</v>
      </c>
      <c r="H2446" s="24">
        <f>'Data_in-situ'!CN413</f>
        <v>12328.007487080895</v>
      </c>
      <c r="I2446" s="24">
        <f>'Data_in-situ'!CO413</f>
        <v>1844.6484474290598</v>
      </c>
      <c r="J2446" s="46">
        <f>'Data_in-situ'!CP413</f>
        <v>3</v>
      </c>
      <c r="K2446" s="24">
        <f>'Data_in-situ'!CR413</f>
        <v>10779.460950989149</v>
      </c>
      <c r="L2446" s="24">
        <f>'Data_in-situ'!CS413</f>
        <v>1426.079653929331</v>
      </c>
      <c r="M2446" s="46">
        <f>'Data_in-situ'!CT413</f>
        <v>3</v>
      </c>
      <c r="N2446" s="24">
        <f>'Data_in-situ'!DA402</f>
        <v>-18.763353277697291</v>
      </c>
      <c r="O2446" s="24">
        <f>'Data_in-situ'!DB402</f>
        <v>56.283615722391104</v>
      </c>
      <c r="P2446" s="46">
        <f>'Data_in-situ'!DC402</f>
        <v>1</v>
      </c>
      <c r="Q2446" s="24">
        <f>'Data_in-situ'!DE402</f>
        <v>-6.8429322993331425</v>
      </c>
      <c r="R2446" s="24">
        <f>'Data_in-situ'!DF402</f>
        <v>6.5222916129904451</v>
      </c>
      <c r="S2446" s="46">
        <f>'Data_in-situ'!DG402</f>
        <v>1</v>
      </c>
      <c r="T2446" s="113">
        <f>'Data_in-situ'!DN186</f>
        <v>396.02095568448323</v>
      </c>
      <c r="U2446" s="113">
        <f>'Data_in-situ'!DO186</f>
        <v>825.11321611621167</v>
      </c>
      <c r="V2446" s="46">
        <f>'Data_in-situ'!DP186</f>
        <v>3</v>
      </c>
      <c r="W2446" s="113">
        <f>'Data_in-situ'!DR186</f>
        <v>5.2453106713176574</v>
      </c>
      <c r="X2446" s="113">
        <f>'Data_in-situ'!DS186</f>
        <v>10.686883582340696</v>
      </c>
      <c r="Y2446" s="46">
        <f>'Data_in-situ'!DT186</f>
        <v>3</v>
      </c>
      <c r="AF2446" s="113">
        <f>'Data_in-situ'!EN190</f>
        <v>15.494138888888889</v>
      </c>
      <c r="AG2446" s="113">
        <f>'Data_in-situ'!EO190</f>
        <v>0.77024816389862394</v>
      </c>
      <c r="AH2446" s="110">
        <f>'Data_in-situ'!EP190</f>
        <v>3</v>
      </c>
      <c r="AI2446" s="113">
        <f>'Data_in-situ'!ER190</f>
        <v>-89.296666666666667</v>
      </c>
      <c r="AJ2446" s="113">
        <f>'Data_in-situ'!ES190</f>
        <v>6.512511036458978</v>
      </c>
      <c r="AK2446" s="110">
        <f>'Data_in-situ'!ET190</f>
        <v>3</v>
      </c>
    </row>
    <row r="2447" spans="2:37" x14ac:dyDescent="0.3">
      <c r="B2447" s="24">
        <f>'Data_in-situ'!CA417</f>
        <v>-7616.0068848250821</v>
      </c>
      <c r="C2447" s="24">
        <f>'Data_in-situ'!CB417</f>
        <v>1856.8621464095218</v>
      </c>
      <c r="D2447" s="46">
        <f>'Data_in-situ'!CC417</f>
        <v>5</v>
      </c>
      <c r="E2447" s="24">
        <f>'Data_in-situ'!CE417</f>
        <v>-11234.346432115035</v>
      </c>
      <c r="F2447" s="24">
        <f>'Data_in-situ'!CF417</f>
        <v>2636.9713135995598</v>
      </c>
      <c r="G2447" s="46">
        <f>'Data_in-situ'!CG417</f>
        <v>5</v>
      </c>
      <c r="H2447" s="24">
        <f>'Data_in-situ'!CN417</f>
        <v>7943.3298263910074</v>
      </c>
      <c r="I2447" s="24">
        <f>'Data_in-situ'!CO417</f>
        <v>2284.7185864362959</v>
      </c>
      <c r="J2447" s="46">
        <f>'Data_in-situ'!CP417</f>
        <v>5</v>
      </c>
      <c r="K2447" s="24">
        <f>'Data_in-situ'!CR417</f>
        <v>12092.326878238955</v>
      </c>
      <c r="L2447" s="24">
        <f>'Data_in-situ'!CS417</f>
        <v>4450.7541788118779</v>
      </c>
      <c r="M2447" s="46">
        <f>'Data_in-situ'!CT417</f>
        <v>5</v>
      </c>
      <c r="N2447" s="24">
        <f>'Data_in-situ'!DA403</f>
        <v>-23.457057300377045</v>
      </c>
      <c r="O2447" s="24">
        <f>'Data_in-situ'!DB403</f>
        <v>70.363115778554274</v>
      </c>
      <c r="P2447" s="46">
        <f>'Data_in-situ'!DC403</f>
        <v>1</v>
      </c>
      <c r="Q2447" s="24">
        <f>'Data_in-situ'!DE403</f>
        <v>24.206191269977069</v>
      </c>
      <c r="R2447" s="24">
        <f>'Data_in-situ'!DF403</f>
        <v>23.071956786420301</v>
      </c>
      <c r="S2447" s="46">
        <f>'Data_in-situ'!DG403</f>
        <v>1</v>
      </c>
      <c r="T2447" s="113">
        <f>'Data_in-situ'!DN187</f>
        <v>353.77082505028261</v>
      </c>
      <c r="U2447" s="113">
        <f>'Data_in-situ'!DO187</f>
        <v>377.4427718737299</v>
      </c>
      <c r="V2447" s="46">
        <f>'Data_in-situ'!DP187</f>
        <v>3</v>
      </c>
      <c r="W2447" s="113">
        <f>'Data_in-situ'!DR187</f>
        <v>5.2453106713176574</v>
      </c>
      <c r="X2447" s="113">
        <f>'Data_in-situ'!DS187</f>
        <v>10.686883582340696</v>
      </c>
      <c r="Y2447" s="46">
        <f>'Data_in-situ'!DT187</f>
        <v>3</v>
      </c>
      <c r="AF2447" s="113">
        <f>'Data_in-situ'!EN191</f>
        <v>-22.905478395061731</v>
      </c>
      <c r="AG2447" s="113">
        <f>'Data_in-situ'!EO191</f>
        <v>5.2162753162474411</v>
      </c>
      <c r="AH2447" s="110">
        <f>'Data_in-situ'!EP191</f>
        <v>3</v>
      </c>
      <c r="AI2447" s="113">
        <f>'Data_in-situ'!ER191</f>
        <v>-91.63</v>
      </c>
      <c r="AJ2447" s="113">
        <f>'Data_in-situ'!ES191</f>
        <v>7.7942286340599471</v>
      </c>
      <c r="AK2447" s="110">
        <f>'Data_in-situ'!ET191</f>
        <v>3</v>
      </c>
    </row>
    <row r="2448" spans="2:37" x14ac:dyDescent="0.3">
      <c r="B2448" s="24">
        <f>'Data_in-situ'!CA468</f>
        <v>-38630</v>
      </c>
      <c r="C2448" s="24">
        <f>'Data_in-situ'!CB468</f>
        <v>9418.3980924076168</v>
      </c>
      <c r="D2448" s="46">
        <f>'Data_in-situ'!CC468</f>
        <v>1</v>
      </c>
      <c r="E2448" s="24">
        <f>'Data_in-situ'!CE468</f>
        <v>-35990</v>
      </c>
      <c r="F2448" s="24">
        <f>'Data_in-situ'!CF468</f>
        <v>880</v>
      </c>
      <c r="G2448" s="46">
        <f>'Data_in-situ'!CG468</f>
        <v>1</v>
      </c>
      <c r="H2448" s="24">
        <f>'Data_in-situ'!CN468</f>
        <v>37280</v>
      </c>
      <c r="I2448" s="24">
        <f>'Data_in-situ'!CO468</f>
        <v>1760</v>
      </c>
      <c r="J2448" s="46">
        <f>'Data_in-situ'!CP468</f>
        <v>1</v>
      </c>
      <c r="K2448" s="24">
        <f>'Data_in-situ'!CR468</f>
        <v>35670</v>
      </c>
      <c r="L2448" s="24">
        <f>'Data_in-situ'!CS468</f>
        <v>670</v>
      </c>
      <c r="M2448" s="46">
        <f>'Data_in-situ'!CT468</f>
        <v>1</v>
      </c>
      <c r="N2448" s="24">
        <f>'Data_in-situ'!DA404</f>
        <v>-17.240747700053362</v>
      </c>
      <c r="O2448" s="24">
        <f>'Data_in-situ'!DB404</f>
        <v>1.8994060532667709</v>
      </c>
      <c r="P2448" s="46">
        <f>'Data_in-situ'!DC404</f>
        <v>4</v>
      </c>
      <c r="Q2448" s="24">
        <f>'Data_in-situ'!DE404</f>
        <v>-533.77396104632658</v>
      </c>
      <c r="R2448" s="24">
        <f>'Data_in-situ'!DF404</f>
        <v>650.20080041312121</v>
      </c>
      <c r="S2448" s="46">
        <f>'Data_in-situ'!DG404</f>
        <v>4</v>
      </c>
      <c r="T2448" s="113">
        <f>'Data_in-situ'!DN188</f>
        <v>1212.2979432249506</v>
      </c>
      <c r="U2448" s="113">
        <f>'Data_in-situ'!DO188</f>
        <v>318.03950472765939</v>
      </c>
      <c r="V2448" s="46">
        <f>'Data_in-situ'!DP188</f>
        <v>3</v>
      </c>
      <c r="W2448" s="113">
        <f>'Data_in-situ'!DR188</f>
        <v>4.8706456233663973</v>
      </c>
      <c r="X2448" s="113">
        <f>'Data_in-situ'!DS188</f>
        <v>10.042950275238745</v>
      </c>
      <c r="Y2448" s="46">
        <f>'Data_in-situ'!DT188</f>
        <v>3</v>
      </c>
      <c r="AF2448" s="113">
        <f>'Data_in-situ'!EN192</f>
        <v>-22.905478395061731</v>
      </c>
      <c r="AG2448" s="113">
        <f>'Data_in-situ'!EO192</f>
        <v>5.2162753162474411</v>
      </c>
      <c r="AH2448" s="110">
        <f>'Data_in-situ'!EP192</f>
        <v>3</v>
      </c>
      <c r="AI2448" s="113">
        <f>'Data_in-situ'!ER192</f>
        <v>-87.6</v>
      </c>
      <c r="AJ2448" s="113">
        <f>'Data_in-situ'!ES192</f>
        <v>10.825317547305483</v>
      </c>
      <c r="AK2448" s="110">
        <f>'Data_in-situ'!ET192</f>
        <v>3</v>
      </c>
    </row>
    <row r="2449" spans="14:37" x14ac:dyDescent="0.3">
      <c r="N2449" s="24">
        <f>'Data_in-situ'!DA405</f>
        <v>-585.95990229422614</v>
      </c>
      <c r="O2449" s="24">
        <f>'Data_in-situ'!DB405</f>
        <v>247.14424390137435</v>
      </c>
      <c r="P2449" s="46">
        <f>'Data_in-situ'!DC405</f>
        <v>4</v>
      </c>
      <c r="Q2449" s="24">
        <f>'Data_in-situ'!DE405</f>
        <v>-566.79323953657467</v>
      </c>
      <c r="R2449" s="24">
        <f>'Data_in-situ'!DF405</f>
        <v>690.43890345404782</v>
      </c>
      <c r="S2449" s="46">
        <f>'Data_in-situ'!DG405</f>
        <v>4</v>
      </c>
      <c r="T2449" s="113">
        <f>'Data_in-situ'!DN189</f>
        <v>1212.2979432249506</v>
      </c>
      <c r="U2449" s="113">
        <f>'Data_in-situ'!DO189</f>
        <v>318.03950472765939</v>
      </c>
      <c r="V2449" s="46">
        <f>'Data_in-situ'!DP189</f>
        <v>3</v>
      </c>
      <c r="W2449" s="113">
        <f>'Data_in-situ'!DR189</f>
        <v>4.4959805754151345</v>
      </c>
      <c r="X2449" s="113">
        <f>'Data_in-situ'!DS189</f>
        <v>9.194274493457808</v>
      </c>
      <c r="Y2449" s="46">
        <f>'Data_in-situ'!DT189</f>
        <v>3</v>
      </c>
      <c r="AF2449" s="113">
        <f>'Data_in-situ'!EN193</f>
        <v>-22.905478395061731</v>
      </c>
      <c r="AG2449" s="113">
        <f>'Data_in-situ'!EO193</f>
        <v>5.2162753162474411</v>
      </c>
      <c r="AH2449" s="110">
        <f>'Data_in-situ'!EP193</f>
        <v>3</v>
      </c>
      <c r="AI2449" s="113">
        <f>'Data_in-situ'!ER193</f>
        <v>-89.296666666666667</v>
      </c>
      <c r="AJ2449" s="113">
        <f>'Data_in-situ'!ES193</f>
        <v>6.512511036458978</v>
      </c>
      <c r="AK2449" s="110">
        <f>'Data_in-situ'!ET193</f>
        <v>3</v>
      </c>
    </row>
    <row r="2450" spans="14:37" x14ac:dyDescent="0.3">
      <c r="N2450" s="24">
        <f>'Data_in-situ'!DA406</f>
        <v>-195.7496632813195</v>
      </c>
      <c r="O2450" s="24">
        <f>'Data_in-situ'!DB406</f>
        <v>14.333494088181441</v>
      </c>
      <c r="P2450" s="46">
        <f>'Data_in-situ'!DC406</f>
        <v>4</v>
      </c>
      <c r="Q2450" s="24">
        <f>'Data_in-situ'!DE406</f>
        <v>-1293.4601988576735</v>
      </c>
      <c r="R2450" s="24">
        <f>'Data_in-situ'!DF406</f>
        <v>1575.5989774270381</v>
      </c>
      <c r="S2450" s="46">
        <f>'Data_in-situ'!DG406</f>
        <v>4</v>
      </c>
      <c r="T2450" s="113">
        <f>'Data_in-situ'!DN190</f>
        <v>1212.2979432249506</v>
      </c>
      <c r="U2450" s="113">
        <f>'Data_in-situ'!DO190</f>
        <v>318.03950472765939</v>
      </c>
      <c r="V2450" s="46">
        <f>'Data_in-situ'!DP190</f>
        <v>3</v>
      </c>
      <c r="W2450" s="113">
        <f>'Data_in-situ'!DR190</f>
        <v>6.3693058151714421</v>
      </c>
      <c r="X2450" s="113">
        <f>'Data_in-situ'!DS190</f>
        <v>13.141978030809039</v>
      </c>
      <c r="Y2450" s="46">
        <f>'Data_in-situ'!DT190</f>
        <v>3</v>
      </c>
      <c r="AF2450" s="113">
        <f>'Data_in-situ'!EN195</f>
        <v>-8.1</v>
      </c>
      <c r="AG2450" s="113">
        <f>'Data_in-situ'!EO195</f>
        <v>1.2</v>
      </c>
      <c r="AH2450" s="110">
        <f>'Data_in-situ'!EP195</f>
        <v>3</v>
      </c>
      <c r="AI2450" s="113">
        <f>'Data_in-situ'!ER195</f>
        <v>-13.1</v>
      </c>
      <c r="AJ2450" s="113">
        <f>'Data_in-situ'!ES195</f>
        <v>0.8</v>
      </c>
      <c r="AK2450" s="110">
        <f>'Data_in-situ'!ET195</f>
        <v>3</v>
      </c>
    </row>
    <row r="2451" spans="14:37" x14ac:dyDescent="0.3">
      <c r="N2451" s="24">
        <f>'Data_in-situ'!DA407</f>
        <v>-774.06267220291306</v>
      </c>
      <c r="O2451" s="24">
        <f>'Data_in-situ'!DB407</f>
        <v>326.74240251044733</v>
      </c>
      <c r="P2451" s="46">
        <f>'Data_in-situ'!DC407</f>
        <v>4</v>
      </c>
      <c r="Q2451" s="24">
        <f>'Data_in-situ'!DE407</f>
        <v>-1399.9605866010202</v>
      </c>
      <c r="R2451" s="24">
        <f>'Data_in-situ'!DF407</f>
        <v>96.005553517597278</v>
      </c>
      <c r="S2451" s="46">
        <f>'Data_in-situ'!DG407</f>
        <v>4</v>
      </c>
      <c r="T2451" s="113">
        <f>'Data_in-situ'!DN191</f>
        <v>353.77082505028261</v>
      </c>
      <c r="U2451" s="113">
        <f>'Data_in-situ'!DO191</f>
        <v>377.4427718737299</v>
      </c>
      <c r="V2451" s="46">
        <f>'Data_in-situ'!DP191</f>
        <v>3</v>
      </c>
      <c r="W2451" s="113">
        <f>'Data_in-situ'!DR191</f>
        <v>4.8706456233663973</v>
      </c>
      <c r="X2451" s="113">
        <f>'Data_in-situ'!DS191</f>
        <v>10.042950275238745</v>
      </c>
      <c r="Y2451" s="46">
        <f>'Data_in-situ'!DT191</f>
        <v>3</v>
      </c>
      <c r="AF2451" s="113">
        <f>'Data_in-situ'!EN196</f>
        <v>-20.399999999999999</v>
      </c>
      <c r="AG2451" s="113">
        <f>'Data_in-situ'!EO196</f>
        <v>2.2999999999999998</v>
      </c>
      <c r="AH2451" s="110">
        <f>'Data_in-situ'!EP196</f>
        <v>3</v>
      </c>
      <c r="AI2451" s="113">
        <f>'Data_in-situ'!ER196</f>
        <v>-28.4</v>
      </c>
      <c r="AJ2451" s="113">
        <f>'Data_in-situ'!ES196</f>
        <v>3.2</v>
      </c>
      <c r="AK2451" s="110">
        <f>'Data_in-situ'!ET196</f>
        <v>3</v>
      </c>
    </row>
    <row r="2452" spans="14:37" x14ac:dyDescent="0.3">
      <c r="N2452" s="24">
        <f>'Data_in-situ'!DA408</f>
        <v>-401.69898954302357</v>
      </c>
      <c r="O2452" s="24">
        <f>'Data_in-situ'!DB408</f>
        <v>32.172723320258399</v>
      </c>
      <c r="P2452" s="46">
        <f>'Data_in-situ'!DC408</f>
        <v>4</v>
      </c>
      <c r="Q2452" s="24">
        <f>'Data_in-situ'!DE408</f>
        <v>-352.51588580313341</v>
      </c>
      <c r="R2452" s="24">
        <f>'Data_in-situ'!DF408</f>
        <v>429.43708601551509</v>
      </c>
      <c r="S2452" s="46">
        <f>'Data_in-situ'!DG408</f>
        <v>4</v>
      </c>
      <c r="T2452" s="113">
        <f>'Data_in-situ'!DN192</f>
        <v>353.77082505028261</v>
      </c>
      <c r="U2452" s="113">
        <f>'Data_in-situ'!DO192</f>
        <v>377.4427718737299</v>
      </c>
      <c r="V2452" s="46">
        <f>'Data_in-situ'!DP192</f>
        <v>3</v>
      </c>
      <c r="W2452" s="113">
        <f>'Data_in-situ'!DR192</f>
        <v>4.4959805754151345</v>
      </c>
      <c r="X2452" s="113">
        <f>'Data_in-situ'!DS192</f>
        <v>9.194274493457808</v>
      </c>
      <c r="Y2452" s="46">
        <f>'Data_in-situ'!DT192</f>
        <v>3</v>
      </c>
      <c r="AF2452" s="113">
        <f>'Data_in-situ'!EN197</f>
        <v>-8.1</v>
      </c>
      <c r="AG2452" s="113">
        <f>'Data_in-situ'!EO197</f>
        <v>1.2</v>
      </c>
      <c r="AH2452" s="110">
        <f>'Data_in-situ'!EP197</f>
        <v>3</v>
      </c>
      <c r="AI2452" s="113">
        <f>'Data_in-situ'!ER197</f>
        <v>-13.1</v>
      </c>
      <c r="AJ2452" s="113">
        <f>'Data_in-situ'!ES197</f>
        <v>0.8</v>
      </c>
      <c r="AK2452" s="110">
        <f>'Data_in-situ'!ET197</f>
        <v>3</v>
      </c>
    </row>
    <row r="2453" spans="14:37" x14ac:dyDescent="0.3">
      <c r="N2453" s="24">
        <f>'Data_in-situ'!DA412</f>
        <v>-1222.9909445995581</v>
      </c>
      <c r="O2453" s="24">
        <f>'Data_in-situ'!DB412</f>
        <v>291.56979829815799</v>
      </c>
      <c r="P2453" s="46">
        <f>'Data_in-situ'!DC412</f>
        <v>3</v>
      </c>
      <c r="Q2453" s="24">
        <f>'Data_in-situ'!DE412</f>
        <v>953.91152591835998</v>
      </c>
      <c r="R2453" s="24">
        <f>'Data_in-situ'!DF412</f>
        <v>1166.1567239388746</v>
      </c>
      <c r="S2453" s="46">
        <f>'Data_in-situ'!DG412</f>
        <v>3</v>
      </c>
      <c r="T2453" s="113">
        <f>'Data_in-situ'!DN193</f>
        <v>353.77082505028261</v>
      </c>
      <c r="U2453" s="113">
        <f>'Data_in-situ'!DO193</f>
        <v>377.4427718737299</v>
      </c>
      <c r="V2453" s="46">
        <f>'Data_in-situ'!DP193</f>
        <v>3</v>
      </c>
      <c r="W2453" s="113">
        <f>'Data_in-situ'!DR193</f>
        <v>6.3693058151714421</v>
      </c>
      <c r="X2453" s="113">
        <f>'Data_in-situ'!DS193</f>
        <v>13.141978030809039</v>
      </c>
      <c r="Y2453" s="46">
        <f>'Data_in-situ'!DT193</f>
        <v>3</v>
      </c>
      <c r="AF2453" s="113">
        <f>'Data_in-situ'!EN198</f>
        <v>-20.399999999999999</v>
      </c>
      <c r="AG2453" s="113">
        <f>'Data_in-situ'!EO198</f>
        <v>2.2999999999999998</v>
      </c>
      <c r="AH2453" s="110">
        <f>'Data_in-situ'!EP198</f>
        <v>3</v>
      </c>
      <c r="AI2453" s="113">
        <f>'Data_in-situ'!ER198</f>
        <v>-28.4</v>
      </c>
      <c r="AJ2453" s="113">
        <f>'Data_in-situ'!ES198</f>
        <v>3.2</v>
      </c>
      <c r="AK2453" s="110">
        <f>'Data_in-situ'!ET198</f>
        <v>3</v>
      </c>
    </row>
    <row r="2454" spans="14:37" x14ac:dyDescent="0.3">
      <c r="N2454" s="24">
        <f>'Data_in-situ'!DA413</f>
        <v>-1089.4376152325895</v>
      </c>
      <c r="O2454" s="24">
        <f>'Data_in-situ'!DB413</f>
        <v>396.38137595921512</v>
      </c>
      <c r="P2454" s="46">
        <f>'Data_in-situ'!DC413</f>
        <v>3</v>
      </c>
      <c r="Q2454" s="24">
        <f>'Data_in-situ'!DE413</f>
        <v>518.32053666534375</v>
      </c>
      <c r="R2454" s="24">
        <f>'Data_in-situ'!DF413</f>
        <v>639.04094931753639</v>
      </c>
      <c r="S2454" s="46">
        <f>'Data_in-situ'!DG413</f>
        <v>3</v>
      </c>
      <c r="T2454" s="113">
        <f>'Data_in-situ'!DN195</f>
        <v>157.55702481107656</v>
      </c>
      <c r="U2454" s="113">
        <f>'Data_in-situ'!DO195</f>
        <v>48.678566846799022</v>
      </c>
      <c r="V2454" s="46">
        <f>'Data_in-situ'!DP195</f>
        <v>3</v>
      </c>
      <c r="W2454" s="113">
        <f>'Data_in-situ'!DR195</f>
        <v>113.18254393770165</v>
      </c>
      <c r="X2454" s="113">
        <f>'Data_in-situ'!DS195</f>
        <v>73.207043848592377</v>
      </c>
      <c r="Y2454" s="46">
        <f>'Data_in-situ'!DT195</f>
        <v>3</v>
      </c>
      <c r="AF2454" s="113">
        <f>'Data_in-situ'!EN199</f>
        <v>-20.100000000000001</v>
      </c>
      <c r="AG2454" s="113">
        <f>'Data_in-situ'!EO199</f>
        <v>2</v>
      </c>
      <c r="AH2454" s="110">
        <f>'Data_in-situ'!EP199</f>
        <v>16</v>
      </c>
      <c r="AI2454" s="113">
        <f>'Data_in-situ'!ER199</f>
        <v>-38.200000000000003</v>
      </c>
      <c r="AJ2454" s="113">
        <f>'Data_in-situ'!ES199</f>
        <v>2</v>
      </c>
      <c r="AK2454" s="110">
        <f>'Data_in-situ'!ET199</f>
        <v>16</v>
      </c>
    </row>
    <row r="2455" spans="14:37" x14ac:dyDescent="0.3">
      <c r="N2455" s="24">
        <f>'Data_in-situ'!DA417</f>
        <v>327.32294156592525</v>
      </c>
      <c r="O2455" s="24">
        <f>'Data_in-situ'!DB417</f>
        <v>2944.1256851527319</v>
      </c>
      <c r="P2455" s="46">
        <f>'Data_in-situ'!DC417</f>
        <v>5</v>
      </c>
      <c r="Q2455" s="24">
        <f>'Data_in-situ'!DE417</f>
        <v>857.98044612392005</v>
      </c>
      <c r="R2455" s="24">
        <f>'Data_in-situ'!DF417</f>
        <v>5173.2804359476186</v>
      </c>
      <c r="S2455" s="46">
        <f>'Data_in-situ'!DG417</f>
        <v>5</v>
      </c>
      <c r="T2455" s="113">
        <f>'Data_in-situ'!DN196</f>
        <v>20.372391781452269</v>
      </c>
      <c r="U2455" s="113">
        <f>'Data_in-situ'!DO196</f>
        <v>47.083328695005008</v>
      </c>
      <c r="V2455" s="46">
        <f>'Data_in-situ'!DP196</f>
        <v>3</v>
      </c>
      <c r="W2455" s="113">
        <f>'Data_in-situ'!DR196</f>
        <v>23.189276423209868</v>
      </c>
      <c r="X2455" s="113">
        <f>'Data_in-situ'!DS196</f>
        <v>55.90659464438842</v>
      </c>
      <c r="Y2455" s="46">
        <f>'Data_in-situ'!DT196</f>
        <v>3</v>
      </c>
      <c r="AF2455" s="113">
        <f>'Data_in-situ'!EN200</f>
        <v>-23</v>
      </c>
      <c r="AG2455" s="113">
        <f>'Data_in-situ'!EO200</f>
        <v>3.2</v>
      </c>
      <c r="AH2455" s="110">
        <f>'Data_in-situ'!EP200</f>
        <v>16</v>
      </c>
      <c r="AI2455" s="113">
        <f>'Data_in-situ'!ER200</f>
        <v>-35.299999999999997</v>
      </c>
      <c r="AJ2455" s="113">
        <f>'Data_in-situ'!ES200</f>
        <v>4.4000000000000004</v>
      </c>
      <c r="AK2455" s="110">
        <f>'Data_in-situ'!ET200</f>
        <v>16</v>
      </c>
    </row>
    <row r="2456" spans="14:37" x14ac:dyDescent="0.3">
      <c r="N2456" s="24">
        <f>'Data_in-situ'!DA420</f>
        <v>-655.74999999999989</v>
      </c>
      <c r="O2456" s="24">
        <f>'Data_in-situ'!DB420</f>
        <v>1124.8403001463512</v>
      </c>
      <c r="P2456" s="46">
        <f>'Data_in-situ'!DC420</f>
        <v>3</v>
      </c>
      <c r="Q2456" s="24">
        <f>'Data_in-situ'!DE420</f>
        <v>13852.474999999999</v>
      </c>
      <c r="R2456" s="24">
        <f>'Data_in-situ'!DF420</f>
        <v>8765.263715525527</v>
      </c>
      <c r="S2456" s="46">
        <f>'Data_in-situ'!DG420</f>
        <v>3</v>
      </c>
      <c r="T2456" s="113">
        <f>'Data_in-situ'!DN197</f>
        <v>155.82698820258872</v>
      </c>
      <c r="U2456" s="113">
        <f>'Data_in-situ'!DO197</f>
        <v>23.032741265577613</v>
      </c>
      <c r="V2456" s="46">
        <f>'Data_in-situ'!DP197</f>
        <v>3</v>
      </c>
      <c r="W2456" s="113">
        <f>'Data_in-situ'!DR197</f>
        <v>112.44558555457438</v>
      </c>
      <c r="X2456" s="113">
        <f>'Data_in-situ'!DS197</f>
        <v>45.444038695017397</v>
      </c>
      <c r="Y2456" s="46">
        <f>'Data_in-situ'!DT197</f>
        <v>3</v>
      </c>
      <c r="AF2456" s="113">
        <f>'Data_in-situ'!EN203</f>
        <v>3</v>
      </c>
      <c r="AG2456" s="113">
        <f>'Data_in-situ'!EO203</f>
        <v>1.22248919625388</v>
      </c>
      <c r="AH2456" s="110">
        <f>'Data_in-situ'!EP203</f>
        <v>3</v>
      </c>
      <c r="AI2456" s="113">
        <f>'Data_in-situ'!ER203</f>
        <v>-42</v>
      </c>
      <c r="AJ2456" s="113">
        <f>'Data_in-situ'!ES203</f>
        <v>9.5261902473861557</v>
      </c>
      <c r="AK2456" s="110">
        <f>'Data_in-situ'!ET203</f>
        <v>3</v>
      </c>
    </row>
    <row r="2457" spans="14:37" x14ac:dyDescent="0.3">
      <c r="N2457" s="24">
        <f>'Data_in-situ'!DA421</f>
        <v>-388.52499999999998</v>
      </c>
      <c r="O2457" s="24">
        <f>'Data_in-situ'!DB421</f>
        <v>1170.5952194111908</v>
      </c>
      <c r="P2457" s="46">
        <f>'Data_in-situ'!DC421</f>
        <v>3</v>
      </c>
      <c r="Q2457" s="24">
        <f>'Data_in-situ'!DE421</f>
        <v>10594.25</v>
      </c>
      <c r="R2457" s="24">
        <f>'Data_in-situ'!DF421</f>
        <v>5864.6849566565243</v>
      </c>
      <c r="S2457" s="46">
        <f>'Data_in-situ'!DG421</f>
        <v>3</v>
      </c>
      <c r="T2457" s="113">
        <f>'Data_in-situ'!DN198</f>
        <v>26.090957895544143</v>
      </c>
      <c r="U2457" s="113">
        <f>'Data_in-situ'!DO198</f>
        <v>4.5126597497032837</v>
      </c>
      <c r="V2457" s="46">
        <f>'Data_in-situ'!DP198</f>
        <v>3</v>
      </c>
      <c r="W2457" s="113">
        <f>'Data_in-situ'!DR198</f>
        <v>36.800373454224456</v>
      </c>
      <c r="X2457" s="113">
        <f>'Data_in-situ'!DS198</f>
        <v>16.18313151345119</v>
      </c>
      <c r="Y2457" s="46">
        <f>'Data_in-situ'!DT198</f>
        <v>3</v>
      </c>
      <c r="AF2457" s="113">
        <f>'Data_in-situ'!EN204</f>
        <v>3</v>
      </c>
      <c r="AG2457" s="113">
        <f>'Data_in-situ'!EO204</f>
        <v>1.22248919625388</v>
      </c>
      <c r="AH2457" s="110">
        <f>'Data_in-situ'!EP204</f>
        <v>3</v>
      </c>
      <c r="AI2457" s="113">
        <f>'Data_in-situ'!ER204</f>
        <v>-41</v>
      </c>
      <c r="AJ2457" s="113">
        <f>'Data_in-situ'!ES204</f>
        <v>9.2993761938769612</v>
      </c>
      <c r="AK2457" s="110">
        <f>'Data_in-situ'!ET204</f>
        <v>3</v>
      </c>
    </row>
    <row r="2458" spans="14:37" x14ac:dyDescent="0.3">
      <c r="N2458" s="24">
        <f>'Data_in-situ'!DA422</f>
        <v>-1372.9750000000001</v>
      </c>
      <c r="O2458" s="24">
        <f>'Data_in-situ'!DB422</f>
        <v>924.10220135094733</v>
      </c>
      <c r="P2458" s="46">
        <f>'Data_in-situ'!DC422</f>
        <v>3</v>
      </c>
      <c r="Q2458" s="24">
        <f>'Data_in-situ'!DE422</f>
        <v>9692.625</v>
      </c>
      <c r="R2458" s="24">
        <f>'Data_in-situ'!DF422</f>
        <v>5495.0505473296917</v>
      </c>
      <c r="S2458" s="46">
        <f>'Data_in-situ'!DG422</f>
        <v>3</v>
      </c>
      <c r="T2458" s="113">
        <f>'Data_in-situ'!DN200</f>
        <v>245.98402154970469</v>
      </c>
      <c r="U2458" s="113">
        <f>'Data_in-situ'!DO200</f>
        <v>274.24249109003443</v>
      </c>
      <c r="V2458" s="46">
        <f>'Data_in-situ'!DP200</f>
        <v>1</v>
      </c>
      <c r="W2458" s="113">
        <f>'Data_in-situ'!DR200</f>
        <v>137.10405045597599</v>
      </c>
      <c r="X2458" s="113">
        <f>'Data_in-situ'!DS200</f>
        <v>512.38749142398558</v>
      </c>
      <c r="Y2458" s="46">
        <f>'Data_in-situ'!DT200</f>
        <v>1</v>
      </c>
      <c r="AF2458" s="113">
        <f>'Data_in-situ'!EN217</f>
        <v>-37.626417233560076</v>
      </c>
      <c r="AG2458" s="113">
        <f>'Data_in-situ'!EO217</f>
        <v>4.4214357150460231</v>
      </c>
      <c r="AH2458" s="110">
        <f>'Data_in-situ'!EP217</f>
        <v>6</v>
      </c>
      <c r="AI2458" s="113">
        <f>'Data_in-situ'!ER217</f>
        <v>-45.222713794142358</v>
      </c>
      <c r="AJ2458" s="113">
        <f>'Data_in-situ'!ES217</f>
        <v>4.4131903136073891</v>
      </c>
      <c r="AK2458" s="110">
        <f>'Data_in-situ'!ET217</f>
        <v>6</v>
      </c>
    </row>
    <row r="2459" spans="14:37" x14ac:dyDescent="0.3">
      <c r="N2459" s="24">
        <f>'Data_in-situ'!DA423</f>
        <v>-1372.9750000000001</v>
      </c>
      <c r="O2459" s="24">
        <f>'Data_in-situ'!DB423</f>
        <v>924.10220135094733</v>
      </c>
      <c r="P2459" s="46">
        <f>'Data_in-situ'!DC423</f>
        <v>3</v>
      </c>
      <c r="Q2459" s="24">
        <f>'Data_in-situ'!DE423</f>
        <v>17704.899999999998</v>
      </c>
      <c r="R2459" s="24">
        <f>'Data_in-situ'!DF423</f>
        <v>3753.2231304129346</v>
      </c>
      <c r="S2459" s="46">
        <f>'Data_in-situ'!DG423</f>
        <v>3</v>
      </c>
      <c r="T2459" s="113">
        <f>'Data_in-situ'!DN217</f>
        <v>42.739726027397303</v>
      </c>
      <c r="U2459" s="113">
        <f>'Data_in-situ'!DO217</f>
        <v>33.554654010728207</v>
      </c>
      <c r="V2459" s="46">
        <f>'Data_in-situ'!DP217</f>
        <v>6</v>
      </c>
      <c r="W2459" s="113">
        <f>'Data_in-situ'!DR217</f>
        <v>15.6164383561644</v>
      </c>
      <c r="X2459" s="113">
        <f>'Data_in-situ'!DS217</f>
        <v>21.474978566866142</v>
      </c>
      <c r="Y2459" s="46">
        <f>'Data_in-situ'!DT217</f>
        <v>6</v>
      </c>
      <c r="AF2459" s="113">
        <f>'Data_in-situ'!EN218</f>
        <v>-37.626417233560076</v>
      </c>
      <c r="AG2459" s="113">
        <f>'Data_in-situ'!EO218</f>
        <v>4.4214357150460231</v>
      </c>
      <c r="AH2459" s="110">
        <f>'Data_in-situ'!EP218</f>
        <v>6</v>
      </c>
      <c r="AI2459" s="113">
        <f>'Data_in-situ'!ER218</f>
        <v>-55.775689347117904</v>
      </c>
      <c r="AJ2459" s="113">
        <f>'Data_in-situ'!ES218</f>
        <v>3.8401258483742482</v>
      </c>
      <c r="AK2459" s="110">
        <f>'Data_in-situ'!ET218</f>
        <v>6</v>
      </c>
    </row>
    <row r="2460" spans="14:37" x14ac:dyDescent="0.3">
      <c r="N2460" s="24">
        <f>'Data_in-situ'!DA468</f>
        <v>-1350</v>
      </c>
      <c r="O2460" s="24">
        <f>'Data_in-situ'!DB468</f>
        <v>2670</v>
      </c>
      <c r="P2460" s="46">
        <f>'Data_in-situ'!DC468</f>
        <v>1</v>
      </c>
      <c r="Q2460" s="24">
        <f>'Data_in-situ'!DE468</f>
        <v>-320</v>
      </c>
      <c r="R2460" s="24">
        <f>'Data_in-situ'!DF468</f>
        <v>1110</v>
      </c>
      <c r="S2460" s="46">
        <f>'Data_in-situ'!DG468</f>
        <v>1</v>
      </c>
      <c r="T2460" s="113">
        <f>'Data_in-situ'!DN218</f>
        <v>42.739726027397296</v>
      </c>
      <c r="U2460" s="113">
        <f>'Data_in-situ'!DO218</f>
        <v>33.554654010728207</v>
      </c>
      <c r="V2460" s="46">
        <f>'Data_in-situ'!DP218</f>
        <v>6</v>
      </c>
      <c r="W2460" s="113">
        <f>'Data_in-situ'!DR218</f>
        <v>16.164383561643799</v>
      </c>
      <c r="X2460" s="113">
        <f>'Data_in-situ'!DS218</f>
        <v>14.764047764720594</v>
      </c>
      <c r="Y2460" s="46">
        <f>'Data_in-situ'!DT218</f>
        <v>6</v>
      </c>
      <c r="AF2460" s="113">
        <f>'Data_in-situ'!EN239</f>
        <v>-2</v>
      </c>
      <c r="AG2460" s="113">
        <f>'Data_in-situ'!EO239</f>
        <v>0.81499279750258669</v>
      </c>
      <c r="AH2460" s="110">
        <f>'Data_in-situ'!EP239</f>
        <v>3</v>
      </c>
      <c r="AI2460" s="113">
        <f>'Data_in-situ'!ER239</f>
        <v>-30</v>
      </c>
      <c r="AJ2460" s="113">
        <f>'Data_in-situ'!ES239</f>
        <v>6.8044216052758255</v>
      </c>
      <c r="AK2460" s="110">
        <f>'Data_in-situ'!ET239</f>
        <v>3</v>
      </c>
    </row>
    <row r="2461" spans="14:37" x14ac:dyDescent="0.3">
      <c r="T2461" s="113">
        <f>'Data_in-situ'!DN271</f>
        <v>28.501072212251554</v>
      </c>
      <c r="U2461" s="113">
        <f>'Data_in-situ'!DO271</f>
        <v>28.652903393199384</v>
      </c>
      <c r="V2461" s="46">
        <f>'Data_in-situ'!DP271</f>
        <v>8</v>
      </c>
      <c r="W2461" s="113">
        <f>'Data_in-situ'!DR271</f>
        <v>2.155113237216562</v>
      </c>
      <c r="X2461" s="113">
        <f>'Data_in-situ'!DS271</f>
        <v>5.8344440438614322</v>
      </c>
      <c r="Y2461" s="46">
        <f>'Data_in-situ'!DT271</f>
        <v>8</v>
      </c>
      <c r="AF2461" s="113">
        <f>'Data_in-situ'!EN240</f>
        <v>-2</v>
      </c>
      <c r="AG2461" s="113">
        <f>'Data_in-situ'!EO240</f>
        <v>0.81499279750258669</v>
      </c>
      <c r="AH2461" s="110">
        <f>'Data_in-situ'!EP240</f>
        <v>3</v>
      </c>
      <c r="AI2461" s="113">
        <f>'Data_in-situ'!ER240</f>
        <v>-30</v>
      </c>
      <c r="AJ2461" s="113">
        <f>'Data_in-situ'!ES240</f>
        <v>6.8044216052758255</v>
      </c>
      <c r="AK2461" s="110">
        <f>'Data_in-situ'!ET240</f>
        <v>3</v>
      </c>
    </row>
    <row r="2462" spans="14:37" x14ac:dyDescent="0.3">
      <c r="T2462" s="113">
        <f>'Data_in-situ'!DN272</f>
        <v>14.883893266398051</v>
      </c>
      <c r="U2462" s="113">
        <f>'Data_in-situ'!DO272</f>
        <v>86.792053465048554</v>
      </c>
      <c r="V2462" s="46">
        <f>'Data_in-situ'!DP272</f>
        <v>8</v>
      </c>
      <c r="W2462" s="113">
        <f>'Data_in-situ'!DR272</f>
        <v>1.7398230320846468</v>
      </c>
      <c r="X2462" s="113">
        <f>'Data_in-situ'!DS272</f>
        <v>9.0283655795287849</v>
      </c>
      <c r="Y2462" s="46">
        <f>'Data_in-situ'!DT272</f>
        <v>8</v>
      </c>
      <c r="AF2462" s="113">
        <f>'Data_in-situ'!EN241</f>
        <v>-20</v>
      </c>
      <c r="AG2462" s="113">
        <f>'Data_in-situ'!EO241</f>
        <v>8.1499279750258662</v>
      </c>
      <c r="AH2462" s="110">
        <f>'Data_in-situ'!EP241</f>
        <v>3</v>
      </c>
      <c r="AI2462" s="113">
        <f>'Data_in-situ'!ER241</f>
        <v>-36</v>
      </c>
      <c r="AJ2462" s="113">
        <f>'Data_in-situ'!ES241</f>
        <v>8.1653059263309906</v>
      </c>
      <c r="AK2462" s="110">
        <f>'Data_in-situ'!ET241</f>
        <v>3</v>
      </c>
    </row>
    <row r="2463" spans="14:37" x14ac:dyDescent="0.3">
      <c r="T2463" s="113">
        <f>'Data_in-situ'!DN273</f>
        <v>40.553216435983082</v>
      </c>
      <c r="U2463" s="113">
        <f>'Data_in-situ'!DO273</f>
        <v>36.04252387554827</v>
      </c>
      <c r="V2463" s="46">
        <f>'Data_in-situ'!DP273</f>
        <v>8</v>
      </c>
      <c r="W2463" s="113">
        <f>'Data_in-situ'!DR273</f>
        <v>2.0877876385015846</v>
      </c>
      <c r="X2463" s="113">
        <f>'Data_in-situ'!DS273</f>
        <v>4.899966604705579</v>
      </c>
      <c r="Y2463" s="46">
        <f>'Data_in-situ'!DT273</f>
        <v>8</v>
      </c>
      <c r="AF2463" s="113">
        <f>'Data_in-situ'!EN242</f>
        <v>-20</v>
      </c>
      <c r="AG2463" s="113">
        <f>'Data_in-situ'!EO242</f>
        <v>8.1499279750258662</v>
      </c>
      <c r="AH2463" s="110">
        <f>'Data_in-situ'!EP242</f>
        <v>3</v>
      </c>
      <c r="AI2463" s="113">
        <f>'Data_in-situ'!ER242</f>
        <v>-36</v>
      </c>
      <c r="AJ2463" s="113">
        <f>'Data_in-situ'!ES242</f>
        <v>8.1653059263309906</v>
      </c>
      <c r="AK2463" s="110">
        <f>'Data_in-situ'!ET242</f>
        <v>3</v>
      </c>
    </row>
    <row r="2464" spans="14:37" x14ac:dyDescent="0.3">
      <c r="T2464" s="113">
        <f>'Data_in-situ'!DN280</f>
        <v>4.3449126612056599</v>
      </c>
      <c r="U2464" s="113">
        <f>'Data_in-situ'!DO280</f>
        <v>9.5961779850217681</v>
      </c>
      <c r="V2464" s="46">
        <f>'Data_in-situ'!DP280</f>
        <v>6</v>
      </c>
      <c r="W2464" s="113">
        <f>'Data_in-situ'!DR280</f>
        <v>-0.16115570294991843</v>
      </c>
      <c r="X2464" s="113">
        <f>'Data_in-situ'!DS280</f>
        <v>0.55821924153316771</v>
      </c>
      <c r="Y2464" s="46">
        <f>'Data_in-situ'!DT280</f>
        <v>6</v>
      </c>
      <c r="AF2464" s="113">
        <f>'Data_in-situ'!EN243</f>
        <v>-16</v>
      </c>
      <c r="AG2464" s="113">
        <f>'Data_in-situ'!EO243</f>
        <v>6.5199423800206935</v>
      </c>
      <c r="AH2464" s="110">
        <f>'Data_in-situ'!EP243</f>
        <v>3</v>
      </c>
      <c r="AI2464" s="113">
        <f>'Data_in-situ'!ER243</f>
        <v>-43</v>
      </c>
      <c r="AJ2464" s="113">
        <f>'Data_in-situ'!ES243</f>
        <v>9.7530043008953502</v>
      </c>
      <c r="AK2464" s="110">
        <f>'Data_in-situ'!ET243</f>
        <v>3</v>
      </c>
    </row>
    <row r="2465" spans="20:37" x14ac:dyDescent="0.3">
      <c r="T2465" s="113">
        <f>'Data_in-situ'!DN281</f>
        <v>4.3449126612056599</v>
      </c>
      <c r="U2465" s="113">
        <f>'Data_in-situ'!DO281</f>
        <v>9.5961779850217681</v>
      </c>
      <c r="V2465" s="46">
        <f>'Data_in-situ'!DP281</f>
        <v>6</v>
      </c>
      <c r="W2465" s="113">
        <f>'Data_in-situ'!DR281</f>
        <v>-5.3718567649972807E-2</v>
      </c>
      <c r="X2465" s="113">
        <f>'Data_in-situ'!DS281</f>
        <v>0.5398869703372956</v>
      </c>
      <c r="Y2465" s="46">
        <f>'Data_in-situ'!DT281</f>
        <v>6</v>
      </c>
      <c r="AF2465" s="113">
        <f>'Data_in-situ'!EN250</f>
        <v>-4</v>
      </c>
      <c r="AG2465" s="113">
        <f>'Data_in-situ'!EO250</f>
        <v>1.6299855950051734</v>
      </c>
      <c r="AH2465" s="110">
        <f>'Data_in-situ'!EP250</f>
        <v>3</v>
      </c>
      <c r="AI2465" s="113">
        <f>'Data_in-situ'!ER250</f>
        <v>-31</v>
      </c>
      <c r="AJ2465" s="113">
        <f>'Data_in-situ'!ES250</f>
        <v>7.0312356587850191</v>
      </c>
      <c r="AK2465" s="110">
        <f>'Data_in-situ'!ET250</f>
        <v>3</v>
      </c>
    </row>
    <row r="2466" spans="20:37" x14ac:dyDescent="0.3">
      <c r="T2466" s="113">
        <f>'Data_in-situ'!DN282</f>
        <v>4.3449126612056599</v>
      </c>
      <c r="U2466" s="113">
        <f>'Data_in-situ'!DO282</f>
        <v>9.5961779850217681</v>
      </c>
      <c r="V2466" s="46">
        <f>'Data_in-situ'!DP282</f>
        <v>6</v>
      </c>
      <c r="W2466" s="113">
        <f>'Data_in-situ'!DR282</f>
        <v>5.3718567649972807E-2</v>
      </c>
      <c r="X2466" s="113">
        <f>'Data_in-situ'!DS282</f>
        <v>0.43312042016840363</v>
      </c>
      <c r="Y2466" s="46">
        <f>'Data_in-situ'!DT282</f>
        <v>6</v>
      </c>
      <c r="AF2466" s="113">
        <f>'Data_in-situ'!EN251</f>
        <v>-21</v>
      </c>
      <c r="AG2466" s="113">
        <f>'Data_in-situ'!EO251</f>
        <v>8.5574243737771596</v>
      </c>
      <c r="AH2466" s="110">
        <f>'Data_in-situ'!EP251</f>
        <v>3</v>
      </c>
      <c r="AI2466" s="113">
        <f>'Data_in-situ'!ER251</f>
        <v>-38</v>
      </c>
      <c r="AJ2466" s="113">
        <f>'Data_in-situ'!ES251</f>
        <v>8.6189340333493778</v>
      </c>
      <c r="AK2466" s="110">
        <f>'Data_in-situ'!ET251</f>
        <v>3</v>
      </c>
    </row>
    <row r="2467" spans="20:37" x14ac:dyDescent="0.3">
      <c r="T2467" s="113">
        <f>'Data_in-situ'!DN283</f>
        <v>4.3449126612056599</v>
      </c>
      <c r="U2467" s="113">
        <f>'Data_in-situ'!DO283</f>
        <v>9.5961779850217681</v>
      </c>
      <c r="V2467" s="46">
        <f>'Data_in-situ'!DP283</f>
        <v>6</v>
      </c>
      <c r="W2467" s="113">
        <f>'Data_in-situ'!DR283</f>
        <v>5.3718567649972807E-2</v>
      </c>
      <c r="X2467" s="113">
        <f>'Data_in-situ'!DS283</f>
        <v>0.43312042016840363</v>
      </c>
      <c r="Y2467" s="46">
        <f>'Data_in-situ'!DT283</f>
        <v>6</v>
      </c>
      <c r="AF2467" s="113">
        <f>'Data_in-situ'!EN252</f>
        <v>0</v>
      </c>
      <c r="AG2467" s="113">
        <f>'Data_in-situ'!EO252</f>
        <v>0</v>
      </c>
      <c r="AH2467" s="110">
        <f>'Data_in-situ'!EP252</f>
        <v>3</v>
      </c>
      <c r="AI2467" s="113">
        <f>'Data_in-situ'!ER252</f>
        <v>-50</v>
      </c>
      <c r="AJ2467" s="113">
        <f>'Data_in-situ'!ES252</f>
        <v>11.340702675459708</v>
      </c>
      <c r="AK2467" s="110">
        <f>'Data_in-situ'!ET252</f>
        <v>3</v>
      </c>
    </row>
    <row r="2468" spans="20:37" x14ac:dyDescent="0.3">
      <c r="T2468" s="113">
        <f>'Data_in-situ'!DN284</f>
        <v>27.51778018763585</v>
      </c>
      <c r="U2468" s="113">
        <f>'Data_in-situ'!DO284</f>
        <v>12.137611972737048</v>
      </c>
      <c r="V2468" s="46">
        <f>'Data_in-situ'!DP284</f>
        <v>6</v>
      </c>
      <c r="W2468" s="113">
        <f>'Data_in-situ'!DR284</f>
        <v>-0.16115570294991843</v>
      </c>
      <c r="X2468" s="113">
        <f>'Data_in-situ'!DS284</f>
        <v>0.5610292847687105</v>
      </c>
      <c r="Y2468" s="46">
        <f>'Data_in-situ'!DT284</f>
        <v>6</v>
      </c>
      <c r="AF2468" s="113">
        <f>'Data_in-situ'!EN260</f>
        <v>-4</v>
      </c>
      <c r="AG2468" s="113">
        <f>'Data_in-situ'!EO260</f>
        <v>1.6299855950051734</v>
      </c>
      <c r="AH2468" s="110">
        <f>'Data_in-situ'!EP260</f>
        <v>3</v>
      </c>
      <c r="AI2468" s="113">
        <f>'Data_in-situ'!ER260</f>
        <v>-31</v>
      </c>
      <c r="AJ2468" s="113">
        <f>'Data_in-situ'!ES260</f>
        <v>7.0312356587850191</v>
      </c>
      <c r="AK2468" s="110">
        <f>'Data_in-situ'!ET260</f>
        <v>3</v>
      </c>
    </row>
    <row r="2469" spans="20:37" x14ac:dyDescent="0.3">
      <c r="T2469" s="113">
        <f>'Data_in-situ'!DN285</f>
        <v>27.51778018763585</v>
      </c>
      <c r="U2469" s="113">
        <f>'Data_in-situ'!DO285</f>
        <v>12.137611972737048</v>
      </c>
      <c r="V2469" s="46">
        <f>'Data_in-situ'!DP285</f>
        <v>6</v>
      </c>
      <c r="W2469" s="113">
        <f>'Data_in-situ'!DR285</f>
        <v>-5.3718567649972807E-2</v>
      </c>
      <c r="X2469" s="113">
        <f>'Data_in-situ'!DS285</f>
        <v>11.665364622891369</v>
      </c>
      <c r="Y2469" s="46">
        <f>'Data_in-situ'!DT285</f>
        <v>6</v>
      </c>
      <c r="AF2469" s="113">
        <f>'Data_in-situ'!EN261</f>
        <v>-21</v>
      </c>
      <c r="AG2469" s="113">
        <f>'Data_in-situ'!EO261</f>
        <v>8.5574243737771596</v>
      </c>
      <c r="AH2469" s="110">
        <f>'Data_in-situ'!EP261</f>
        <v>3</v>
      </c>
      <c r="AI2469" s="113">
        <f>'Data_in-situ'!ER261</f>
        <v>-38</v>
      </c>
      <c r="AJ2469" s="113">
        <f>'Data_in-situ'!ES261</f>
        <v>8.6189340333493778</v>
      </c>
      <c r="AK2469" s="110">
        <f>'Data_in-situ'!ET261</f>
        <v>3</v>
      </c>
    </row>
    <row r="2470" spans="20:37" x14ac:dyDescent="0.3">
      <c r="T2470" s="113">
        <f>'Data_in-situ'!DN286</f>
        <v>27.51778018763585</v>
      </c>
      <c r="U2470" s="113">
        <f>'Data_in-situ'!DO286</f>
        <v>12.137611972737048</v>
      </c>
      <c r="V2470" s="46">
        <f>'Data_in-situ'!DP286</f>
        <v>6</v>
      </c>
      <c r="W2470" s="113">
        <f>'Data_in-situ'!DR286</f>
        <v>5.3718567649972807E-2</v>
      </c>
      <c r="X2470" s="113">
        <f>'Data_in-situ'!DS286</f>
        <v>1.4941129876440691</v>
      </c>
      <c r="Y2470" s="46">
        <f>'Data_in-situ'!DT286</f>
        <v>6</v>
      </c>
      <c r="AF2470" s="113">
        <f>'Data_in-situ'!EN262</f>
        <v>0</v>
      </c>
      <c r="AG2470" s="113">
        <f>'Data_in-situ'!EO262</f>
        <v>0</v>
      </c>
      <c r="AH2470" s="110">
        <f>'Data_in-situ'!EP262</f>
        <v>3</v>
      </c>
      <c r="AI2470" s="113">
        <f>'Data_in-situ'!ER262</f>
        <v>-50</v>
      </c>
      <c r="AJ2470" s="113">
        <f>'Data_in-situ'!ES262</f>
        <v>11.340702675459708</v>
      </c>
      <c r="AK2470" s="110">
        <f>'Data_in-situ'!ET262</f>
        <v>3</v>
      </c>
    </row>
    <row r="2471" spans="20:37" x14ac:dyDescent="0.3">
      <c r="T2471" s="113">
        <f>'Data_in-situ'!DN287</f>
        <v>27.51778018763585</v>
      </c>
      <c r="U2471" s="113">
        <f>'Data_in-situ'!DO287</f>
        <v>12.137611972737048</v>
      </c>
      <c r="V2471" s="46">
        <f>'Data_in-situ'!DP287</f>
        <v>6</v>
      </c>
      <c r="W2471" s="113">
        <f>'Data_in-situ'!DR287</f>
        <v>5.3718567649972807E-2</v>
      </c>
      <c r="X2471" s="113">
        <f>'Data_in-situ'!DS287</f>
        <v>0.43312042016840363</v>
      </c>
      <c r="Y2471" s="46">
        <f>'Data_in-situ'!DT287</f>
        <v>6</v>
      </c>
      <c r="AF2471" s="113">
        <f>'Data_in-situ'!EN271</f>
        <v>-26.2</v>
      </c>
      <c r="AG2471" s="113">
        <f>'Data_in-situ'!EO271</f>
        <v>1.6</v>
      </c>
      <c r="AH2471" s="110">
        <f>'Data_in-situ'!EP271</f>
        <v>4</v>
      </c>
      <c r="AI2471" s="113">
        <f>'Data_in-situ'!ER271</f>
        <v>-42</v>
      </c>
      <c r="AJ2471" s="113">
        <f>'Data_in-situ'!ES271</f>
        <v>1.6</v>
      </c>
      <c r="AK2471" s="110">
        <f>'Data_in-situ'!ET271</f>
        <v>4</v>
      </c>
    </row>
    <row r="2472" spans="20:37" x14ac:dyDescent="0.3">
      <c r="T2472" s="113">
        <f>'Data_in-situ'!DN288</f>
        <v>17.621034681556281</v>
      </c>
      <c r="U2472" s="113">
        <f>'Data_in-situ'!DO288</f>
        <v>25.060650744317332</v>
      </c>
      <c r="V2472" s="46">
        <f>'Data_in-situ'!DP288</f>
        <v>6</v>
      </c>
      <c r="W2472" s="113">
        <f>'Data_in-situ'!DR288</f>
        <v>-0.16115570294991843</v>
      </c>
      <c r="X2472" s="113">
        <f>'Data_in-situ'!DS288</f>
        <v>0.5610292847687105</v>
      </c>
      <c r="Y2472" s="46">
        <f>'Data_in-situ'!DT288</f>
        <v>6</v>
      </c>
      <c r="AF2472" s="113">
        <f>'Data_in-situ'!EN280</f>
        <v>-24.4</v>
      </c>
      <c r="AG2472" s="113">
        <f>'Data_in-situ'!EO280</f>
        <v>9.9429121295315568</v>
      </c>
      <c r="AH2472" s="110">
        <f>'Data_in-situ'!EP280</f>
        <v>1</v>
      </c>
      <c r="AI2472" s="113">
        <f>'Data_in-situ'!ER280</f>
        <v>-83.7</v>
      </c>
      <c r="AJ2472" s="113">
        <f>'Data_in-situ'!ES280</f>
        <v>18.984336278719553</v>
      </c>
      <c r="AK2472" s="110">
        <f>'Data_in-situ'!ET280</f>
        <v>1</v>
      </c>
    </row>
    <row r="2473" spans="20:37" x14ac:dyDescent="0.3">
      <c r="T2473" s="113">
        <f>'Data_in-situ'!DN289</f>
        <v>17.621034681556281</v>
      </c>
      <c r="U2473" s="113">
        <f>'Data_in-situ'!DO289</f>
        <v>25.060650744317332</v>
      </c>
      <c r="V2473" s="46">
        <f>'Data_in-situ'!DP289</f>
        <v>6</v>
      </c>
      <c r="W2473" s="113">
        <f>'Data_in-situ'!DR289</f>
        <v>-5.3718567649972807E-2</v>
      </c>
      <c r="X2473" s="113">
        <f>'Data_in-situ'!DS289</f>
        <v>0.5398869703372956</v>
      </c>
      <c r="Y2473" s="46">
        <f>'Data_in-situ'!DT289</f>
        <v>6</v>
      </c>
      <c r="AF2473" s="113">
        <f>'Data_in-situ'!EN281</f>
        <v>-24.4</v>
      </c>
      <c r="AG2473" s="113">
        <f>'Data_in-situ'!EO281</f>
        <v>9.9429121295315568</v>
      </c>
      <c r="AH2473" s="110">
        <f>'Data_in-situ'!EP281</f>
        <v>1</v>
      </c>
      <c r="AI2473" s="113">
        <f>'Data_in-situ'!ER281</f>
        <v>-49.1</v>
      </c>
      <c r="AJ2473" s="113">
        <f>'Data_in-situ'!ES281</f>
        <v>11.136570027301435</v>
      </c>
      <c r="AK2473" s="110">
        <f>'Data_in-situ'!ET281</f>
        <v>1</v>
      </c>
    </row>
    <row r="2474" spans="20:37" x14ac:dyDescent="0.3">
      <c r="T2474" s="113">
        <f>'Data_in-situ'!DN290</f>
        <v>17.621034681556281</v>
      </c>
      <c r="U2474" s="113">
        <f>'Data_in-situ'!DO290</f>
        <v>25.060650744317332</v>
      </c>
      <c r="V2474" s="46">
        <f>'Data_in-situ'!DP290</f>
        <v>6</v>
      </c>
      <c r="W2474" s="113">
        <f>'Data_in-situ'!DR290</f>
        <v>5.3718567649972807E-2</v>
      </c>
      <c r="X2474" s="113">
        <f>'Data_in-situ'!DS290</f>
        <v>0.43312042016840363</v>
      </c>
      <c r="Y2474" s="46">
        <f>'Data_in-situ'!DT290</f>
        <v>6</v>
      </c>
      <c r="AF2474" s="113">
        <f>'Data_in-situ'!EN282</f>
        <v>-24.4</v>
      </c>
      <c r="AG2474" s="113">
        <f>'Data_in-situ'!EO282</f>
        <v>9.9429121295315568</v>
      </c>
      <c r="AH2474" s="110">
        <f>'Data_in-situ'!EP282</f>
        <v>1</v>
      </c>
      <c r="AI2474" s="113">
        <f>'Data_in-situ'!ER282</f>
        <v>-63.8</v>
      </c>
      <c r="AJ2474" s="113">
        <f>'Data_in-situ'!ES282</f>
        <v>14.470736613886588</v>
      </c>
      <c r="AK2474" s="110">
        <f>'Data_in-situ'!ET282</f>
        <v>1</v>
      </c>
    </row>
    <row r="2475" spans="20:37" x14ac:dyDescent="0.3">
      <c r="T2475" s="113">
        <f>'Data_in-situ'!DN291</f>
        <v>17.621034681556281</v>
      </c>
      <c r="U2475" s="113">
        <f>'Data_in-situ'!DO291</f>
        <v>25.060650744317332</v>
      </c>
      <c r="V2475" s="46">
        <f>'Data_in-situ'!DP291</f>
        <v>6</v>
      </c>
      <c r="W2475" s="113">
        <f>'Data_in-situ'!DR291</f>
        <v>5.3718567649972807E-2</v>
      </c>
      <c r="X2475" s="113">
        <f>'Data_in-situ'!DS291</f>
        <v>0.43312042016840363</v>
      </c>
      <c r="Y2475" s="46">
        <f>'Data_in-situ'!DT291</f>
        <v>6</v>
      </c>
      <c r="AF2475" s="113">
        <f>'Data_in-situ'!EN283</f>
        <v>-24.4</v>
      </c>
      <c r="AG2475" s="113">
        <f>'Data_in-situ'!EO283</f>
        <v>9.9429121295315568</v>
      </c>
      <c r="AH2475" s="110">
        <f>'Data_in-situ'!EP283</f>
        <v>1</v>
      </c>
      <c r="AI2475" s="113">
        <f>'Data_in-situ'!ER283</f>
        <v>-34.4</v>
      </c>
      <c r="AJ2475" s="113">
        <f>'Data_in-situ'!ES283</f>
        <v>7.8024034407162794</v>
      </c>
      <c r="AK2475" s="110">
        <f>'Data_in-situ'!ET283</f>
        <v>1</v>
      </c>
    </row>
    <row r="2476" spans="20:37" x14ac:dyDescent="0.3">
      <c r="T2476" s="113">
        <f>'Data_in-situ'!DN326</f>
        <v>220.49</v>
      </c>
      <c r="U2476" s="113">
        <f>'Data_in-situ'!DO326</f>
        <v>245.81973446687189</v>
      </c>
      <c r="V2476" s="46">
        <f>'Data_in-situ'!DP326</f>
        <v>18</v>
      </c>
      <c r="W2476" s="113">
        <f>'Data_in-situ'!DR326</f>
        <v>-0.5</v>
      </c>
      <c r="X2476" s="113">
        <f>'Data_in-situ'!DS326</f>
        <v>1.868608147315505</v>
      </c>
      <c r="Y2476" s="46">
        <f>'Data_in-situ'!DT326</f>
        <v>18</v>
      </c>
      <c r="AF2476" s="113">
        <f>'Data_in-situ'!EN284</f>
        <v>-24.4</v>
      </c>
      <c r="AG2476" s="113">
        <f>'Data_in-situ'!EO284</f>
        <v>9.9429121295315568</v>
      </c>
      <c r="AH2476" s="110">
        <f>'Data_in-situ'!EP284</f>
        <v>1</v>
      </c>
      <c r="AI2476" s="113">
        <f>'Data_in-situ'!ER284</f>
        <v>-83.7</v>
      </c>
      <c r="AJ2476" s="113">
        <f>'Data_in-situ'!ES284</f>
        <v>18.984336278719553</v>
      </c>
      <c r="AK2476" s="110">
        <f>'Data_in-situ'!ET284</f>
        <v>1</v>
      </c>
    </row>
    <row r="2477" spans="20:37" x14ac:dyDescent="0.3">
      <c r="T2477" s="113">
        <f>'Data_in-situ'!DN327</f>
        <v>395.8</v>
      </c>
      <c r="U2477" s="113">
        <f>'Data_in-situ'!DO327</f>
        <v>441.26922264949837</v>
      </c>
      <c r="V2477" s="46">
        <f>'Data_in-situ'!DP327</f>
        <v>12</v>
      </c>
      <c r="W2477" s="113">
        <f>'Data_in-situ'!DR327</f>
        <v>0.2</v>
      </c>
      <c r="X2477" s="113">
        <f>'Data_in-situ'!DS327</f>
        <v>0.747443258926202</v>
      </c>
      <c r="Y2477" s="46">
        <f>'Data_in-situ'!DT327</f>
        <v>15</v>
      </c>
      <c r="AF2477" s="113">
        <f>'Data_in-situ'!EN285</f>
        <v>-24.4</v>
      </c>
      <c r="AG2477" s="113">
        <f>'Data_in-situ'!EO285</f>
        <v>9.9429121295315568</v>
      </c>
      <c r="AH2477" s="110">
        <f>'Data_in-situ'!EP285</f>
        <v>1</v>
      </c>
      <c r="AI2477" s="113">
        <f>'Data_in-situ'!ER285</f>
        <v>-49.1</v>
      </c>
      <c r="AJ2477" s="113">
        <f>'Data_in-situ'!ES285</f>
        <v>11.136570027301435</v>
      </c>
      <c r="AK2477" s="110">
        <f>'Data_in-situ'!ET285</f>
        <v>1</v>
      </c>
    </row>
    <row r="2478" spans="20:37" x14ac:dyDescent="0.3">
      <c r="T2478" s="113">
        <f>'Data_in-situ'!DN328</f>
        <v>180.3</v>
      </c>
      <c r="U2478" s="113">
        <f>'Data_in-situ'!DO328</f>
        <v>201.0127358355345</v>
      </c>
      <c r="V2478" s="46">
        <f>'Data_in-situ'!DP328</f>
        <v>18</v>
      </c>
      <c r="W2478" s="113">
        <f>'Data_in-situ'!DR328</f>
        <v>0.2</v>
      </c>
      <c r="X2478" s="113">
        <f>'Data_in-situ'!DS328</f>
        <v>0.747443258926202</v>
      </c>
      <c r="Y2478" s="46">
        <f>'Data_in-situ'!DT328</f>
        <v>18</v>
      </c>
      <c r="AF2478" s="113">
        <f>'Data_in-situ'!EN286</f>
        <v>-24.4</v>
      </c>
      <c r="AG2478" s="113">
        <f>'Data_in-situ'!EO286</f>
        <v>9.9429121295315568</v>
      </c>
      <c r="AH2478" s="110">
        <f>'Data_in-situ'!EP286</f>
        <v>1</v>
      </c>
      <c r="AI2478" s="113">
        <f>'Data_in-situ'!ER286</f>
        <v>-63.8</v>
      </c>
      <c r="AJ2478" s="113">
        <f>'Data_in-situ'!ES286</f>
        <v>14.470736613886588</v>
      </c>
      <c r="AK2478" s="110">
        <f>'Data_in-situ'!ET286</f>
        <v>1</v>
      </c>
    </row>
    <row r="2479" spans="20:37" x14ac:dyDescent="0.3">
      <c r="T2479" s="113">
        <f>'Data_in-situ'!DN329</f>
        <v>22.6</v>
      </c>
      <c r="U2479" s="113">
        <f>'Data_in-situ'!DO329</f>
        <v>25.196271935014309</v>
      </c>
      <c r="V2479" s="46">
        <f>'Data_in-situ'!DP329</f>
        <v>15</v>
      </c>
      <c r="W2479" s="113">
        <f>'Data_in-situ'!DR329</f>
        <v>0.03</v>
      </c>
      <c r="X2479" s="113">
        <f>'Data_in-situ'!DS329</f>
        <v>0.11211648883893029</v>
      </c>
      <c r="Y2479" s="46">
        <f>'Data_in-situ'!DT329</f>
        <v>15</v>
      </c>
      <c r="AF2479" s="113">
        <f>'Data_in-situ'!EN287</f>
        <v>-24.4</v>
      </c>
      <c r="AG2479" s="113">
        <f>'Data_in-situ'!EO287</f>
        <v>9.9429121295315568</v>
      </c>
      <c r="AH2479" s="110">
        <f>'Data_in-situ'!EP287</f>
        <v>1</v>
      </c>
      <c r="AI2479" s="113">
        <f>'Data_in-situ'!ER287</f>
        <v>-34.4</v>
      </c>
      <c r="AJ2479" s="113">
        <f>'Data_in-situ'!ES287</f>
        <v>7.8024034407162794</v>
      </c>
      <c r="AK2479" s="110">
        <f>'Data_in-situ'!ET287</f>
        <v>1</v>
      </c>
    </row>
    <row r="2480" spans="20:37" x14ac:dyDescent="0.3">
      <c r="T2480" s="113">
        <f>'Data_in-situ'!DN330</f>
        <v>23.9</v>
      </c>
      <c r="U2480" s="113">
        <f>'Data_in-situ'!DO330</f>
        <v>26.645615010922207</v>
      </c>
      <c r="V2480" s="46">
        <f>'Data_in-situ'!DP330</f>
        <v>10</v>
      </c>
      <c r="W2480" s="113">
        <f>'Data_in-situ'!DR330</f>
        <v>8.6999999999999993</v>
      </c>
      <c r="X2480" s="113">
        <f>'Data_in-situ'!DS330</f>
        <v>32.513781763289785</v>
      </c>
      <c r="Y2480" s="46">
        <f>'Data_in-situ'!DT330</f>
        <v>15</v>
      </c>
      <c r="AF2480" s="113">
        <f>'Data_in-situ'!EN288</f>
        <v>-24.4</v>
      </c>
      <c r="AG2480" s="113">
        <f>'Data_in-situ'!EO288</f>
        <v>9.9429121295315568</v>
      </c>
      <c r="AH2480" s="110">
        <f>'Data_in-situ'!EP288</f>
        <v>1</v>
      </c>
      <c r="AI2480" s="113">
        <f>'Data_in-situ'!ER288</f>
        <v>-83.7</v>
      </c>
      <c r="AJ2480" s="113">
        <f>'Data_in-situ'!ES288</f>
        <v>18.984336278719553</v>
      </c>
      <c r="AK2480" s="110">
        <f>'Data_in-situ'!ET288</f>
        <v>1</v>
      </c>
    </row>
    <row r="2481" spans="20:37" x14ac:dyDescent="0.3">
      <c r="T2481" s="113">
        <f>'Data_in-situ'!DN333</f>
        <v>224.95402018476722</v>
      </c>
      <c r="U2481" s="113">
        <f>'Data_in-situ'!DO333</f>
        <v>27.300798963122862</v>
      </c>
      <c r="V2481" s="46">
        <f>'Data_in-situ'!DP333</f>
        <v>3</v>
      </c>
      <c r="W2481" s="113">
        <f>'Data_in-situ'!DR333</f>
        <v>41.219419022620272</v>
      </c>
      <c r="X2481" s="113">
        <f>'Data_in-situ'!DS333</f>
        <v>28.248116299491517</v>
      </c>
      <c r="Y2481" s="46">
        <f>'Data_in-situ'!DT333</f>
        <v>3</v>
      </c>
      <c r="AF2481" s="113">
        <f>'Data_in-situ'!EN289</f>
        <v>-24.4</v>
      </c>
      <c r="AG2481" s="113">
        <f>'Data_in-situ'!EO289</f>
        <v>9.9429121295315568</v>
      </c>
      <c r="AH2481" s="110">
        <f>'Data_in-situ'!EP289</f>
        <v>1</v>
      </c>
      <c r="AI2481" s="113">
        <f>'Data_in-situ'!ER289</f>
        <v>-49.1</v>
      </c>
      <c r="AJ2481" s="113">
        <f>'Data_in-situ'!ES289</f>
        <v>11.136570027301435</v>
      </c>
      <c r="AK2481" s="110">
        <f>'Data_in-situ'!ET289</f>
        <v>1</v>
      </c>
    </row>
    <row r="2482" spans="20:37" x14ac:dyDescent="0.3">
      <c r="T2482" s="113">
        <f>'Data_in-situ'!DN334</f>
        <v>319.73915567142052</v>
      </c>
      <c r="U2482" s="113">
        <f>'Data_in-situ'!DO334</f>
        <v>43.930407967061235</v>
      </c>
      <c r="V2482" s="46">
        <f>'Data_in-situ'!DP334</f>
        <v>3</v>
      </c>
      <c r="W2482" s="113">
        <f>'Data_in-situ'!DR334</f>
        <v>51.711287050105334</v>
      </c>
      <c r="X2482" s="113">
        <f>'Data_in-situ'!DS334</f>
        <v>35.138864518591532</v>
      </c>
      <c r="Y2482" s="46">
        <f>'Data_in-situ'!DT334</f>
        <v>3</v>
      </c>
      <c r="AF2482" s="113">
        <f>'Data_in-situ'!EN290</f>
        <v>-24.4</v>
      </c>
      <c r="AG2482" s="113">
        <f>'Data_in-situ'!EO290</f>
        <v>9.9429121295315568</v>
      </c>
      <c r="AH2482" s="110">
        <f>'Data_in-situ'!EP290</f>
        <v>1</v>
      </c>
      <c r="AI2482" s="113">
        <f>'Data_in-situ'!ER290</f>
        <v>-63.8</v>
      </c>
      <c r="AJ2482" s="113">
        <f>'Data_in-situ'!ES290</f>
        <v>14.470736613886588</v>
      </c>
      <c r="AK2482" s="110">
        <f>'Data_in-situ'!ET290</f>
        <v>1</v>
      </c>
    </row>
    <row r="2483" spans="20:37" x14ac:dyDescent="0.3">
      <c r="T2483" s="113">
        <f>'Data_in-situ'!DN335</f>
        <v>231.15879516066161</v>
      </c>
      <c r="U2483" s="113">
        <f>'Data_in-situ'!DO335</f>
        <v>29.849428994378311</v>
      </c>
      <c r="V2483" s="46">
        <f>'Data_in-situ'!DP335</f>
        <v>3</v>
      </c>
      <c r="W2483" s="113">
        <f>'Data_in-situ'!DR335</f>
        <v>36.322102883026695</v>
      </c>
      <c r="X2483" s="113">
        <f>'Data_in-situ'!DS335</f>
        <v>24.783672418143286</v>
      </c>
      <c r="Y2483" s="46">
        <f>'Data_in-situ'!DT335</f>
        <v>3</v>
      </c>
      <c r="AF2483" s="113">
        <f>'Data_in-situ'!EN291</f>
        <v>-24.4</v>
      </c>
      <c r="AG2483" s="113">
        <f>'Data_in-situ'!EO291</f>
        <v>9.9429121295315568</v>
      </c>
      <c r="AH2483" s="110">
        <f>'Data_in-situ'!EP291</f>
        <v>1</v>
      </c>
      <c r="AI2483" s="113">
        <f>'Data_in-situ'!ER291</f>
        <v>-34.4</v>
      </c>
      <c r="AJ2483" s="113">
        <f>'Data_in-situ'!ES291</f>
        <v>7.8024034407162794</v>
      </c>
      <c r="AK2483" s="110">
        <f>'Data_in-situ'!ET291</f>
        <v>1</v>
      </c>
    </row>
    <row r="2484" spans="20:37" x14ac:dyDescent="0.3">
      <c r="T2484" s="113">
        <f>'Data_in-situ'!DN339</f>
        <v>119.51899620842497</v>
      </c>
      <c r="U2484" s="113">
        <f>'Data_in-situ'!DO339</f>
        <v>34.824121299588967</v>
      </c>
      <c r="V2484" s="46">
        <f>'Data_in-situ'!DP339</f>
        <v>3</v>
      </c>
      <c r="W2484" s="113">
        <f>'Data_in-situ'!DR339</f>
        <v>20.119884710538422</v>
      </c>
      <c r="X2484" s="113">
        <f>'Data_in-situ'!DS339</f>
        <v>3.7786326870241678</v>
      </c>
      <c r="Y2484" s="46">
        <f>'Data_in-situ'!DT339</f>
        <v>3</v>
      </c>
      <c r="AF2484" s="113">
        <f>'Data_in-situ'!EN326</f>
        <v>-2.5</v>
      </c>
      <c r="AG2484" s="113">
        <f>'Data_in-situ'!EO326</f>
        <v>2.2999999999999998</v>
      </c>
      <c r="AH2484" s="110">
        <f>'Data_in-situ'!EP326</f>
        <v>18</v>
      </c>
      <c r="AI2484" s="113">
        <f>'Data_in-situ'!ER326</f>
        <v>-30.1</v>
      </c>
      <c r="AJ2484" s="113">
        <f>'Data_in-situ'!ES326</f>
        <v>13.9</v>
      </c>
      <c r="AK2484" s="110">
        <f>'Data_in-situ'!ET326</f>
        <v>18</v>
      </c>
    </row>
    <row r="2485" spans="20:37" x14ac:dyDescent="0.3">
      <c r="T2485" s="113">
        <f>'Data_in-situ'!DN340</f>
        <v>756.9536426533582</v>
      </c>
      <c r="U2485" s="113">
        <f>'Data_in-situ'!DO340</f>
        <v>966.52380476916505</v>
      </c>
      <c r="V2485" s="46">
        <f>'Data_in-situ'!DP340</f>
        <v>3</v>
      </c>
      <c r="W2485" s="113">
        <f>'Data_in-situ'!DR340</f>
        <v>140.83919297376897</v>
      </c>
      <c r="X2485" s="113">
        <f>'Data_in-situ'!DS340</f>
        <v>231.79656525897315</v>
      </c>
      <c r="Y2485" s="46">
        <f>'Data_in-situ'!DT340</f>
        <v>3</v>
      </c>
      <c r="AF2485" s="113">
        <f>'Data_in-situ'!EN327</f>
        <v>-5.9</v>
      </c>
      <c r="AG2485" s="113">
        <f>'Data_in-situ'!EO327</f>
        <v>4.8</v>
      </c>
      <c r="AH2485" s="110">
        <f>'Data_in-situ'!EP327</f>
        <v>12</v>
      </c>
      <c r="AI2485" s="113">
        <f>'Data_in-situ'!ER327</f>
        <v>-39.700000000000003</v>
      </c>
      <c r="AJ2485" s="113">
        <f>'Data_in-situ'!ES327</f>
        <v>17.8</v>
      </c>
      <c r="AK2485" s="110">
        <f>'Data_in-situ'!ET327</f>
        <v>15</v>
      </c>
    </row>
    <row r="2486" spans="20:37" x14ac:dyDescent="0.3">
      <c r="T2486" s="113">
        <f>'Data_in-situ'!DN341</f>
        <v>99.599163507020805</v>
      </c>
      <c r="U2486" s="113">
        <f>'Data_in-situ'!DO341</f>
        <v>34.500209307573023</v>
      </c>
      <c r="V2486" s="46">
        <f>'Data_in-situ'!DP341</f>
        <v>3</v>
      </c>
      <c r="W2486" s="113">
        <f>'Data_in-situ'!DR341</f>
        <v>2.0119884710538427</v>
      </c>
      <c r="X2486" s="113">
        <f>'Data_in-situ'!DS341</f>
        <v>4.1125976308977705</v>
      </c>
      <c r="Y2486" s="46">
        <f>'Data_in-situ'!DT341</f>
        <v>3</v>
      </c>
      <c r="AF2486" s="113">
        <f>'Data_in-situ'!EN328</f>
        <v>-8.3000000000000007</v>
      </c>
      <c r="AG2486" s="113">
        <f>'Data_in-situ'!EO328</f>
        <v>7.5</v>
      </c>
      <c r="AH2486" s="110">
        <f>'Data_in-situ'!EP328</f>
        <v>18</v>
      </c>
      <c r="AI2486" s="113">
        <f>'Data_in-situ'!ER328</f>
        <v>-32</v>
      </c>
      <c r="AJ2486" s="113">
        <f>'Data_in-situ'!ES328</f>
        <v>17.2</v>
      </c>
      <c r="AK2486" s="110">
        <f>'Data_in-situ'!ET328</f>
        <v>18</v>
      </c>
    </row>
    <row r="2487" spans="20:37" x14ac:dyDescent="0.3">
      <c r="T2487" s="113">
        <f>'Data_in-situ'!DN342</f>
        <v>230.49976509958381</v>
      </c>
      <c r="U2487" s="113">
        <f>'Data_in-situ'!DO342</f>
        <v>197.03120287558829</v>
      </c>
      <c r="V2487" s="46">
        <f>'Data_in-situ'!DP342</f>
        <v>3</v>
      </c>
      <c r="W2487" s="113">
        <f>'Data_in-situ'!DR342</f>
        <v>118.90670603705591</v>
      </c>
      <c r="X2487" s="113">
        <f>'Data_in-situ'!DS342</f>
        <v>159.66597828472533</v>
      </c>
      <c r="Y2487" s="46">
        <f>'Data_in-situ'!DT342</f>
        <v>3</v>
      </c>
      <c r="AF2487" s="113">
        <f>'Data_in-situ'!EN329</f>
        <v>-32.799999999999997</v>
      </c>
      <c r="AG2487" s="113">
        <f>'Data_in-situ'!EO329</f>
        <v>14.8</v>
      </c>
      <c r="AH2487" s="110">
        <f>'Data_in-situ'!EP329</f>
        <v>15</v>
      </c>
      <c r="AI2487" s="113">
        <f>'Data_in-situ'!ER329</f>
        <v>-48.3</v>
      </c>
      <c r="AJ2487" s="113">
        <f>'Data_in-situ'!ES329</f>
        <v>15.3</v>
      </c>
      <c r="AK2487" s="110">
        <f>'Data_in-situ'!ET329</f>
        <v>15</v>
      </c>
    </row>
    <row r="2488" spans="20:37" x14ac:dyDescent="0.3">
      <c r="T2488" s="113">
        <f>'Data_in-situ'!DN343</f>
        <v>1089.6352531980324</v>
      </c>
      <c r="U2488" s="113">
        <f>'Data_in-situ'!DO343</f>
        <v>927.78982978332431</v>
      </c>
      <c r="V2488" s="46">
        <f>'Data_in-situ'!DP343</f>
        <v>3</v>
      </c>
      <c r="W2488" s="113">
        <f>'Data_in-situ'!DR343</f>
        <v>639.12354494917554</v>
      </c>
      <c r="X2488" s="113">
        <f>'Data_in-situ'!DS343</f>
        <v>304.35692868746287</v>
      </c>
      <c r="Y2488" s="46">
        <f>'Data_in-situ'!DT343</f>
        <v>3</v>
      </c>
      <c r="AF2488" s="113">
        <f>'Data_in-situ'!EN330</f>
        <v>-27.5</v>
      </c>
      <c r="AG2488" s="113">
        <f>'Data_in-situ'!EO330</f>
        <v>13.7</v>
      </c>
      <c r="AH2488" s="110">
        <f>'Data_in-situ'!EP330</f>
        <v>10</v>
      </c>
      <c r="AI2488" s="113">
        <f>'Data_in-situ'!ER330</f>
        <v>-43.3</v>
      </c>
      <c r="AJ2488" s="113">
        <f>'Data_in-situ'!ES330</f>
        <v>10.7</v>
      </c>
      <c r="AK2488" s="110">
        <f>'Data_in-situ'!ET330</f>
        <v>15</v>
      </c>
    </row>
    <row r="2489" spans="20:37" x14ac:dyDescent="0.3">
      <c r="T2489" s="113">
        <f>'Data_in-situ'!DN344</f>
        <v>146.68166869973513</v>
      </c>
      <c r="U2489" s="113">
        <f>'Data_in-situ'!DO344</f>
        <v>127.23656397839687</v>
      </c>
      <c r="V2489" s="46">
        <f>'Data_in-situ'!DP344</f>
        <v>3</v>
      </c>
      <c r="W2489" s="113">
        <f>'Data_in-situ'!DR344</f>
        <v>29.726676509263978</v>
      </c>
      <c r="X2489" s="113">
        <f>'Data_in-situ'!DS344</f>
        <v>18.92341152926349</v>
      </c>
      <c r="Y2489" s="46">
        <f>'Data_in-situ'!DT344</f>
        <v>3</v>
      </c>
      <c r="AF2489" s="113">
        <f>'Data_in-situ'!EN333</f>
        <v>-1</v>
      </c>
      <c r="AG2489" s="113">
        <f>'Data_in-situ'!EO333</f>
        <v>0.40749639875129334</v>
      </c>
      <c r="AH2489" s="110">
        <f>'Data_in-situ'!EP333</f>
        <v>3</v>
      </c>
      <c r="AI2489" s="113">
        <f>'Data_in-situ'!ER333</f>
        <v>-20</v>
      </c>
      <c r="AJ2489" s="113">
        <f>'Data_in-situ'!ES333</f>
        <v>4.5362810701838834</v>
      </c>
      <c r="AK2489" s="110">
        <f>'Data_in-situ'!ET333</f>
        <v>3</v>
      </c>
    </row>
    <row r="2490" spans="20:37" x14ac:dyDescent="0.3">
      <c r="T2490" s="113">
        <f>'Data_in-situ'!DN345</f>
        <v>158.06344550056443</v>
      </c>
      <c r="U2490" s="113">
        <f>'Data_in-situ'!DO345</f>
        <v>156.23763874501105</v>
      </c>
      <c r="V2490" s="46">
        <f>'Data_in-situ'!DP345</f>
        <v>3</v>
      </c>
      <c r="W2490" s="113">
        <f>'Data_in-situ'!DR345</f>
        <v>533.27856040861434</v>
      </c>
      <c r="X2490" s="113">
        <f>'Data_in-situ'!DS345</f>
        <v>463.45283466494965</v>
      </c>
      <c r="Y2490" s="46">
        <f>'Data_in-situ'!DT345</f>
        <v>3</v>
      </c>
      <c r="AF2490" s="113">
        <f>'Data_in-situ'!EN334</f>
        <v>-1</v>
      </c>
      <c r="AG2490" s="113">
        <f>'Data_in-situ'!EO334</f>
        <v>0.40749639875129334</v>
      </c>
      <c r="AH2490" s="110">
        <f>'Data_in-situ'!EP334</f>
        <v>3</v>
      </c>
      <c r="AI2490" s="113">
        <f>'Data_in-situ'!ER334</f>
        <v>-20</v>
      </c>
      <c r="AJ2490" s="113">
        <f>'Data_in-situ'!ES334</f>
        <v>4.5362810701838834</v>
      </c>
      <c r="AK2490" s="110">
        <f>'Data_in-situ'!ET334</f>
        <v>3</v>
      </c>
    </row>
    <row r="2491" spans="20:37" x14ac:dyDescent="0.3">
      <c r="T2491" s="113">
        <f>'Data_in-situ'!DN346</f>
        <v>1422.5710095050797</v>
      </c>
      <c r="U2491" s="113">
        <f>'Data_in-situ'!DO346</f>
        <v>1619.3061390358012</v>
      </c>
      <c r="V2491" s="46">
        <f>'Data_in-situ'!DP346</f>
        <v>3</v>
      </c>
      <c r="W2491" s="113">
        <f>'Data_in-situ'!DR346</f>
        <v>1233.2066709449209</v>
      </c>
      <c r="X2491" s="113">
        <f>'Data_in-situ'!DS346</f>
        <v>527.21983078939115</v>
      </c>
      <c r="Y2491" s="46">
        <f>'Data_in-situ'!DT346</f>
        <v>3</v>
      </c>
      <c r="AF2491" s="113">
        <f>'Data_in-situ'!EN335</f>
        <v>-1</v>
      </c>
      <c r="AG2491" s="113">
        <f>'Data_in-situ'!EO335</f>
        <v>0.40749639875129334</v>
      </c>
      <c r="AH2491" s="110">
        <f>'Data_in-situ'!EP335</f>
        <v>3</v>
      </c>
      <c r="AI2491" s="113">
        <f>'Data_in-situ'!ER335</f>
        <v>-20</v>
      </c>
      <c r="AJ2491" s="113">
        <f>'Data_in-situ'!ES335</f>
        <v>4.5362810701838834</v>
      </c>
      <c r="AK2491" s="110">
        <f>'Data_in-situ'!ET335</f>
        <v>3</v>
      </c>
    </row>
    <row r="2492" spans="20:37" x14ac:dyDescent="0.3">
      <c r="T2492" s="113">
        <f>'Data_in-situ'!DN347</f>
        <v>87.813025278091345</v>
      </c>
      <c r="U2492" s="113">
        <f>'Data_in-situ'!DO347</f>
        <v>511.88953557062587</v>
      </c>
      <c r="V2492" s="46">
        <f>'Data_in-situ'!DP347</f>
        <v>3</v>
      </c>
      <c r="W2492" s="113">
        <f>'Data_in-situ'!DR347</f>
        <v>83.324775063845991</v>
      </c>
      <c r="X2492" s="113">
        <f>'Data_in-situ'!DS347</f>
        <v>58.045203910854234</v>
      </c>
      <c r="Y2492" s="46">
        <f>'Data_in-situ'!DT347</f>
        <v>3</v>
      </c>
      <c r="AF2492" s="113">
        <f>'Data_in-situ'!EN339</f>
        <v>-18.728744939271266</v>
      </c>
      <c r="AG2492" s="113">
        <f>'Data_in-situ'!EO339</f>
        <v>0.97567994313706652</v>
      </c>
      <c r="AH2492" s="110">
        <f>'Data_in-situ'!EP339</f>
        <v>3</v>
      </c>
      <c r="AI2492" s="113">
        <f>'Data_in-situ'!ER339</f>
        <v>-28.769509981851183</v>
      </c>
      <c r="AJ2492" s="113">
        <f>'Data_in-situ'!ES339</f>
        <v>0.91964006572007306</v>
      </c>
      <c r="AK2492" s="110">
        <f>'Data_in-situ'!ET339</f>
        <v>3</v>
      </c>
    </row>
    <row r="2493" spans="20:37" x14ac:dyDescent="0.3">
      <c r="T2493" s="113">
        <f>'Data_in-situ'!DN361</f>
        <v>193.62208240634681</v>
      </c>
      <c r="U2493" s="113">
        <f>'Data_in-situ'!DO361</f>
        <v>614.14718799845184</v>
      </c>
      <c r="V2493" s="46">
        <f>'Data_in-situ'!DP361</f>
        <v>8</v>
      </c>
      <c r="W2493" s="113">
        <f>'Data_in-situ'!DR361</f>
        <v>-17.39938687312296</v>
      </c>
      <c r="X2493" s="113">
        <f>'Data_in-situ'!DS361</f>
        <v>20.727267101856409</v>
      </c>
      <c r="Y2493" s="46">
        <f>'Data_in-situ'!DT361</f>
        <v>8</v>
      </c>
      <c r="AF2493" s="113">
        <f>'Data_in-situ'!EN340</f>
        <v>-15.910685805422641</v>
      </c>
      <c r="AG2493" s="113">
        <f>'Data_in-situ'!EO340</f>
        <v>1.0227837765091556</v>
      </c>
      <c r="AH2493" s="110">
        <f>'Data_in-situ'!EP340</f>
        <v>3</v>
      </c>
      <c r="AI2493" s="113">
        <f>'Data_in-situ'!ER340</f>
        <v>-23.453947368421044</v>
      </c>
      <c r="AJ2493" s="113">
        <f>'Data_in-situ'!ES340</f>
        <v>1.196189530474022</v>
      </c>
      <c r="AK2493" s="110">
        <f>'Data_in-situ'!ET340</f>
        <v>3</v>
      </c>
    </row>
    <row r="2494" spans="20:37" x14ac:dyDescent="0.3">
      <c r="T2494" s="113">
        <f>'Data_in-situ'!DN391</f>
        <v>441.33333333333337</v>
      </c>
      <c r="U2494" s="113">
        <f>'Data_in-situ'!DO391</f>
        <v>369.82923257339007</v>
      </c>
      <c r="V2494" s="46">
        <f>'Data_in-situ'!DP391</f>
        <v>4</v>
      </c>
      <c r="W2494" s="113">
        <f>'Data_in-situ'!DR391</f>
        <v>0</v>
      </c>
      <c r="X2494" s="113">
        <f>'Data_in-situ'!DS391</f>
        <v>0</v>
      </c>
      <c r="Y2494" s="46">
        <f>'Data_in-situ'!DT391</f>
        <v>4</v>
      </c>
      <c r="AF2494" s="113">
        <f>'Data_in-situ'!EN341</f>
        <v>-11.595789473684208</v>
      </c>
      <c r="AG2494" s="113">
        <f>'Data_in-situ'!EO341</f>
        <v>0.44954804430300416</v>
      </c>
      <c r="AH2494" s="110">
        <f>'Data_in-situ'!EP341</f>
        <v>3</v>
      </c>
      <c r="AI2494" s="113">
        <f>'Data_in-situ'!ER341</f>
        <v>-23.208711433756811</v>
      </c>
      <c r="AJ2494" s="113">
        <f>'Data_in-situ'!ES341</f>
        <v>0.78101283680717748</v>
      </c>
      <c r="AK2494" s="110">
        <f>'Data_in-situ'!ET341</f>
        <v>3</v>
      </c>
    </row>
    <row r="2495" spans="20:37" x14ac:dyDescent="0.3">
      <c r="T2495" s="113">
        <f>'Data_in-situ'!DN397</f>
        <v>94.039460020768402</v>
      </c>
      <c r="U2495" s="113">
        <f>'Data_in-situ'!DO397</f>
        <v>104.84264634093746</v>
      </c>
      <c r="V2495" s="46">
        <f>'Data_in-situ'!DP397</f>
        <v>1</v>
      </c>
      <c r="W2495" s="113">
        <f>'Data_in-situ'!DR397</f>
        <v>47.85046728971961</v>
      </c>
      <c r="X2495" s="113">
        <f>'Data_in-situ'!DS397</f>
        <v>178.82754606084828</v>
      </c>
      <c r="Y2495" s="46">
        <f>'Data_in-situ'!DT397</f>
        <v>1</v>
      </c>
      <c r="AF2495" s="113">
        <f>'Data_in-situ'!EN342</f>
        <v>-11.142300194931776</v>
      </c>
      <c r="AG2495" s="113">
        <f>'Data_in-situ'!EO342</f>
        <v>0.60135887201815885</v>
      </c>
      <c r="AH2495" s="110">
        <f>'Data_in-situ'!EP342</f>
        <v>3</v>
      </c>
      <c r="AI2495" s="113">
        <f>'Data_in-situ'!ER342</f>
        <v>-18.027290448343074</v>
      </c>
      <c r="AJ2495" s="113">
        <f>'Data_in-situ'!ES342</f>
        <v>0.60993017965284302</v>
      </c>
      <c r="AK2495" s="110">
        <f>'Data_in-situ'!ET342</f>
        <v>3</v>
      </c>
    </row>
    <row r="2496" spans="20:37" x14ac:dyDescent="0.3">
      <c r="T2496" s="113">
        <f>'Data_in-situ'!DN398</f>
        <v>84.070612668743479</v>
      </c>
      <c r="U2496" s="113">
        <f>'Data_in-situ'!DO398</f>
        <v>93.728584891368115</v>
      </c>
      <c r="V2496" s="46">
        <f>'Data_in-situ'!DP398</f>
        <v>1</v>
      </c>
      <c r="W2496" s="113">
        <f>'Data_in-situ'!DR398</f>
        <v>46.853582554517196</v>
      </c>
      <c r="X2496" s="113">
        <f>'Data_in-situ'!DS398</f>
        <v>175.10197218458089</v>
      </c>
      <c r="Y2496" s="46">
        <f>'Data_in-situ'!DT398</f>
        <v>1</v>
      </c>
      <c r="AF2496" s="113">
        <f>'Data_in-situ'!EN343</f>
        <v>-7.5049786628733965</v>
      </c>
      <c r="AG2496" s="113">
        <f>'Data_in-situ'!EO343</f>
        <v>0.56147558903179429</v>
      </c>
      <c r="AH2496" s="110">
        <f>'Data_in-situ'!EP343</f>
        <v>3</v>
      </c>
      <c r="AI2496" s="113">
        <f>'Data_in-situ'!ER343</f>
        <v>-14.886247877758912</v>
      </c>
      <c r="AJ2496" s="113">
        <f>'Data_in-situ'!ES343</f>
        <v>0.59475310250266267</v>
      </c>
      <c r="AK2496" s="110">
        <f>'Data_in-situ'!ET343</f>
        <v>3</v>
      </c>
    </row>
    <row r="2497" spans="20:37" x14ac:dyDescent="0.3">
      <c r="T2497" s="113">
        <f>'Data_in-situ'!DN399</f>
        <v>100.35306334371759</v>
      </c>
      <c r="U2497" s="113">
        <f>'Data_in-situ'!DO399</f>
        <v>111.88155192566481</v>
      </c>
      <c r="V2497" s="46">
        <f>'Data_in-situ'!DP399</f>
        <v>1</v>
      </c>
      <c r="W2497" s="113">
        <f>'Data_in-situ'!DR399</f>
        <v>50.176531671858797</v>
      </c>
      <c r="X2497" s="113">
        <f>'Data_in-situ'!DS399</f>
        <v>187.52055177213964</v>
      </c>
      <c r="Y2497" s="46">
        <f>'Data_in-situ'!DT399</f>
        <v>1</v>
      </c>
      <c r="AF2497" s="113">
        <f>'Data_in-situ'!EN344</f>
        <v>-5.9727095516569193</v>
      </c>
      <c r="AG2497" s="113">
        <f>'Data_in-situ'!EO344</f>
        <v>0.38993551592449915</v>
      </c>
      <c r="AH2497" s="110">
        <f>'Data_in-situ'!EP344</f>
        <v>3</v>
      </c>
      <c r="AI2497" s="113">
        <f>'Data_in-situ'!ER344</f>
        <v>-14.607809847198643</v>
      </c>
      <c r="AJ2497" s="113">
        <f>'Data_in-situ'!ES344</f>
        <v>0.44735902456710497</v>
      </c>
      <c r="AK2497" s="110">
        <f>'Data_in-situ'!ET344</f>
        <v>3</v>
      </c>
    </row>
    <row r="2498" spans="20:37" x14ac:dyDescent="0.3">
      <c r="T2498" s="113">
        <f>'Data_in-situ'!DN400</f>
        <v>507.98367438755889</v>
      </c>
      <c r="U2498" s="113">
        <f>'Data_in-situ'!DO400</f>
        <v>309.25085319324296</v>
      </c>
      <c r="V2498" s="46">
        <f>'Data_in-situ'!DP400</f>
        <v>8</v>
      </c>
      <c r="W2498" s="113">
        <f>'Data_in-situ'!DR400</f>
        <v>12.765061923408211</v>
      </c>
      <c r="X2498" s="113">
        <f>'Data_in-situ'!DS400</f>
        <v>23.812364224373002</v>
      </c>
      <c r="Y2498" s="46">
        <f>'Data_in-situ'!DT400</f>
        <v>4</v>
      </c>
      <c r="AF2498" s="113">
        <f>'Data_in-situ'!EN345</f>
        <v>9.6094276094276143</v>
      </c>
      <c r="AG2498" s="113">
        <f>'Data_in-situ'!EO345</f>
        <v>0.82472710313952347</v>
      </c>
      <c r="AH2498" s="110">
        <f>'Data_in-situ'!EP345</f>
        <v>3</v>
      </c>
      <c r="AI2498" s="113">
        <f>'Data_in-situ'!ER345</f>
        <v>0.24242424242424274</v>
      </c>
      <c r="AJ2498" s="113">
        <f>'Data_in-situ'!ES345</f>
        <v>0.32506616373647801</v>
      </c>
      <c r="AK2498" s="110">
        <f>'Data_in-situ'!ET345</f>
        <v>3</v>
      </c>
    </row>
    <row r="2499" spans="20:37" x14ac:dyDescent="0.3">
      <c r="T2499" s="113">
        <f>'Data_in-situ'!DN417</f>
        <v>970.38416592642932</v>
      </c>
      <c r="U2499" s="113">
        <f>'Data_in-situ'!DO417</f>
        <v>1081.8612091201044</v>
      </c>
      <c r="V2499" s="46">
        <f>'Data_in-situ'!DP417</f>
        <v>5</v>
      </c>
      <c r="W2499" s="113">
        <f>'Data_in-situ'!DR417</f>
        <v>2.3483526841518167</v>
      </c>
      <c r="X2499" s="113">
        <f>'Data_in-situ'!DS417</f>
        <v>4.0730546894946382</v>
      </c>
      <c r="Y2499" s="46">
        <f>'Data_in-situ'!DT417</f>
        <v>6</v>
      </c>
      <c r="AF2499" s="113">
        <f>'Data_in-situ'!EN346</f>
        <v>10.734402852049913</v>
      </c>
      <c r="AG2499" s="113">
        <f>'Data_in-situ'!EO346</f>
        <v>0.89907795198284091</v>
      </c>
      <c r="AH2499" s="110">
        <f>'Data_in-situ'!EP346</f>
        <v>3</v>
      </c>
      <c r="AI2499" s="113">
        <f>'Data_in-situ'!ER346</f>
        <v>1.4153297682709467</v>
      </c>
      <c r="AJ2499" s="113">
        <f>'Data_in-situ'!ES346</f>
        <v>0.51951553041500198</v>
      </c>
      <c r="AK2499" s="110">
        <f>'Data_in-situ'!ET346</f>
        <v>3</v>
      </c>
    </row>
    <row r="2500" spans="20:37" x14ac:dyDescent="0.3">
      <c r="T2500" s="113">
        <f>'Data_in-situ'!DN420</f>
        <v>132.85</v>
      </c>
      <c r="U2500" s="113">
        <f>'Data_in-situ'!DO420</f>
        <v>167.40306896828386</v>
      </c>
      <c r="V2500" s="46">
        <f>'Data_in-situ'!DP420</f>
        <v>3</v>
      </c>
      <c r="W2500" s="113">
        <f>'Data_in-situ'!DR420</f>
        <v>10.199999999999999</v>
      </c>
      <c r="X2500" s="113">
        <f>'Data_in-situ'!DS420</f>
        <v>15.571341196784134</v>
      </c>
      <c r="Y2500" s="46">
        <f>'Data_in-situ'!DT420</f>
        <v>3</v>
      </c>
      <c r="AF2500" s="113">
        <f>'Data_in-situ'!EN347</f>
        <v>21.878787878787879</v>
      </c>
      <c r="AG2500" s="113">
        <f>'Data_in-situ'!EO347</f>
        <v>1.1081772383933699</v>
      </c>
      <c r="AH2500" s="110">
        <f>'Data_in-situ'!EP347</f>
        <v>3</v>
      </c>
      <c r="AI2500" s="113">
        <f>'Data_in-situ'!ER347</f>
        <v>0.76837548416496004</v>
      </c>
      <c r="AJ2500" s="113">
        <f>'Data_in-situ'!ES347</f>
        <v>1.2709978400329951</v>
      </c>
      <c r="AK2500" s="110">
        <f>'Data_in-situ'!ET347</f>
        <v>3</v>
      </c>
    </row>
    <row r="2501" spans="20:37" x14ac:dyDescent="0.3">
      <c r="T2501" s="113">
        <f>'Data_in-situ'!DN421</f>
        <v>136.1</v>
      </c>
      <c r="U2501" s="113">
        <f>'Data_in-situ'!DO421</f>
        <v>88.336949611511187</v>
      </c>
      <c r="V2501" s="46">
        <f>'Data_in-situ'!DP421</f>
        <v>3</v>
      </c>
      <c r="W2501" s="113">
        <f>'Data_in-situ'!DR421</f>
        <v>18.149999999999999</v>
      </c>
      <c r="X2501" s="113">
        <f>'Data_in-situ'!DS421</f>
        <v>9.7939181808576166</v>
      </c>
      <c r="Y2501" s="46">
        <f>'Data_in-situ'!DT421</f>
        <v>3</v>
      </c>
      <c r="AF2501" s="113">
        <f>'Data_in-situ'!EN348</f>
        <v>-17.5</v>
      </c>
      <c r="AG2501" s="113">
        <f>'Data_in-situ'!EO348</f>
        <v>4.9497474683058327</v>
      </c>
      <c r="AH2501" s="110">
        <f>'Data_in-situ'!EP348</f>
        <v>4</v>
      </c>
      <c r="AI2501" s="113">
        <f>'Data_in-situ'!ER348</f>
        <v>-34</v>
      </c>
      <c r="AJ2501" s="113">
        <f>'Data_in-situ'!ES348</f>
        <v>11.313708498984761</v>
      </c>
      <c r="AK2501" s="110">
        <f>'Data_in-situ'!ET348</f>
        <v>4</v>
      </c>
    </row>
    <row r="2502" spans="20:37" x14ac:dyDescent="0.3">
      <c r="T2502" s="113">
        <f>'Data_in-situ'!DN422</f>
        <v>136.1</v>
      </c>
      <c r="U2502" s="113">
        <f>'Data_in-situ'!DO422</f>
        <v>88.336949611511187</v>
      </c>
      <c r="V2502" s="46">
        <f>'Data_in-situ'!DP422</f>
        <v>3</v>
      </c>
      <c r="W2502" s="113">
        <f>'Data_in-situ'!DR422</f>
        <v>9.9</v>
      </c>
      <c r="X2502" s="113">
        <f>'Data_in-situ'!DS422</f>
        <v>15.571341196784134</v>
      </c>
      <c r="Y2502" s="46">
        <f>'Data_in-situ'!DT422</f>
        <v>3</v>
      </c>
      <c r="AF2502" s="113">
        <f>'Data_in-situ'!EN349</f>
        <v>-10</v>
      </c>
      <c r="AG2502" s="113">
        <f>'Data_in-situ'!EO349</f>
        <v>5.6568542494923806</v>
      </c>
      <c r="AH2502" s="110">
        <f>'Data_in-situ'!EP349</f>
        <v>4</v>
      </c>
      <c r="AI2502" s="113">
        <f>'Data_in-situ'!ER349</f>
        <v>-16.5</v>
      </c>
      <c r="AJ2502" s="113">
        <f>'Data_in-situ'!ES349</f>
        <v>3.5355339059327378</v>
      </c>
      <c r="AK2502" s="110">
        <f>'Data_in-situ'!ET349</f>
        <v>4</v>
      </c>
    </row>
    <row r="2503" spans="20:37" x14ac:dyDescent="0.3">
      <c r="T2503" s="113">
        <f>'Data_in-situ'!DN423</f>
        <v>136.1</v>
      </c>
      <c r="U2503" s="113">
        <f>'Data_in-situ'!DO423</f>
        <v>88.336949611511187</v>
      </c>
      <c r="V2503" s="46">
        <f>'Data_in-situ'!DP423</f>
        <v>3</v>
      </c>
      <c r="W2503" s="113">
        <f>'Data_in-situ'!DR423</f>
        <v>1</v>
      </c>
      <c r="X2503" s="113">
        <f>'Data_in-situ'!DS423</f>
        <v>5.0560195147302718</v>
      </c>
      <c r="Y2503" s="46">
        <f>'Data_in-situ'!DT423</f>
        <v>3</v>
      </c>
      <c r="AF2503" s="113">
        <f>'Data_in-situ'!EN350</f>
        <v>10</v>
      </c>
      <c r="AG2503" s="113">
        <f>'Data_in-situ'!EO350</f>
        <v>14.142135623730951</v>
      </c>
      <c r="AH2503" s="110">
        <f>'Data_in-situ'!EP350</f>
        <v>4</v>
      </c>
      <c r="AI2503" s="113">
        <f>'Data_in-situ'!ER350</f>
        <v>-8</v>
      </c>
      <c r="AJ2503" s="113">
        <f>'Data_in-situ'!ES350</f>
        <v>2.8284271247461903</v>
      </c>
      <c r="AK2503" s="110">
        <f>'Data_in-situ'!ET350</f>
        <v>4</v>
      </c>
    </row>
    <row r="2504" spans="20:37" x14ac:dyDescent="0.3">
      <c r="T2504" s="113">
        <f>'Data_in-situ'!DN434</f>
        <v>198.66666666666666</v>
      </c>
      <c r="U2504" s="113">
        <f>'Data_in-situ'!DO434</f>
        <v>221.4893521131051</v>
      </c>
      <c r="V2504" s="46">
        <f>'Data_in-situ'!DP434</f>
        <v>3</v>
      </c>
      <c r="W2504" s="113">
        <f>'Data_in-situ'!DR434</f>
        <v>2.8000000000000003</v>
      </c>
      <c r="X2504" s="113">
        <f>'Data_in-situ'!DS434</f>
        <v>10.464205624966828</v>
      </c>
      <c r="Y2504" s="46">
        <f>'Data_in-situ'!DT434</f>
        <v>3</v>
      </c>
      <c r="AF2504" s="113">
        <f>'Data_in-situ'!EN351</f>
        <v>-17.5</v>
      </c>
      <c r="AG2504" s="113">
        <f>'Data_in-situ'!EO351</f>
        <v>4.9497474683058327</v>
      </c>
      <c r="AH2504" s="110">
        <f>'Data_in-situ'!EP351</f>
        <v>4</v>
      </c>
      <c r="AI2504" s="113">
        <f>'Data_in-situ'!ER351</f>
        <v>-34</v>
      </c>
      <c r="AJ2504" s="113">
        <f>'Data_in-situ'!ES351</f>
        <v>11.313708498984761</v>
      </c>
      <c r="AK2504" s="110">
        <f>'Data_in-situ'!ET351</f>
        <v>4</v>
      </c>
    </row>
    <row r="2505" spans="20:37" x14ac:dyDescent="0.3">
      <c r="T2505" s="113">
        <f>'Data_in-situ'!DN435</f>
        <v>345.33333333333331</v>
      </c>
      <c r="U2505" s="113">
        <f>'Data_in-situ'!DO435</f>
        <v>385.00498118989412</v>
      </c>
      <c r="V2505" s="46">
        <f>'Data_in-situ'!DP435</f>
        <v>3</v>
      </c>
      <c r="W2505" s="113">
        <f>'Data_in-situ'!DR435</f>
        <v>1.3333333333333333</v>
      </c>
      <c r="X2505" s="113">
        <f>'Data_in-situ'!DS435</f>
        <v>4.9829550595080132</v>
      </c>
      <c r="Y2505" s="46">
        <f>'Data_in-situ'!DT435</f>
        <v>3</v>
      </c>
      <c r="AF2505" s="113">
        <f>'Data_in-situ'!EN352</f>
        <v>-10</v>
      </c>
      <c r="AG2505" s="113">
        <f>'Data_in-situ'!EO352</f>
        <v>5.6568542494923806</v>
      </c>
      <c r="AH2505" s="110">
        <f>'Data_in-situ'!EP352</f>
        <v>4</v>
      </c>
      <c r="AI2505" s="113">
        <f>'Data_in-situ'!ER352</f>
        <v>-16.5</v>
      </c>
      <c r="AJ2505" s="113">
        <f>'Data_in-situ'!ES352</f>
        <v>3.5355339059327378</v>
      </c>
      <c r="AK2505" s="110">
        <f>'Data_in-situ'!ET352</f>
        <v>4</v>
      </c>
    </row>
    <row r="2506" spans="20:37" x14ac:dyDescent="0.3">
      <c r="AF2506" s="113">
        <f>'Data_in-situ'!EN353</f>
        <v>10</v>
      </c>
      <c r="AG2506" s="113">
        <f>'Data_in-situ'!EO353</f>
        <v>14.142135623730951</v>
      </c>
      <c r="AH2506" s="110">
        <f>'Data_in-situ'!EP353</f>
        <v>4</v>
      </c>
      <c r="AI2506" s="113">
        <f>'Data_in-situ'!ER353</f>
        <v>-8</v>
      </c>
      <c r="AJ2506" s="113">
        <f>'Data_in-situ'!ES353</f>
        <v>2.8284271247461903</v>
      </c>
      <c r="AK2506" s="110">
        <f>'Data_in-situ'!ET353</f>
        <v>4</v>
      </c>
    </row>
    <row r="2507" spans="20:37" x14ac:dyDescent="0.3">
      <c r="AF2507" s="113">
        <f>'Data_in-situ'!EN361</f>
        <v>-22.8355929225071</v>
      </c>
      <c r="AG2507" s="113">
        <f>'Data_in-situ'!EO361</f>
        <v>9.3054218792721652</v>
      </c>
      <c r="AH2507" s="110">
        <f>'Data_in-situ'!EP361</f>
        <v>8</v>
      </c>
      <c r="AI2507" s="113">
        <f>'Data_in-situ'!ER361</f>
        <v>-45.187277814574003</v>
      </c>
      <c r="AJ2507" s="113">
        <f>'Data_in-situ'!ES361</f>
        <v>10.249109648169611</v>
      </c>
      <c r="AK2507" s="110">
        <f>'Data_in-situ'!ET361</f>
        <v>8</v>
      </c>
    </row>
    <row r="2508" spans="20:37" x14ac:dyDescent="0.3">
      <c r="AF2508" s="113">
        <f>'Data_in-situ'!EN372</f>
        <v>-40.51870340955886</v>
      </c>
      <c r="AG2508" s="113">
        <f>'Data_in-situ'!EO372</f>
        <v>20.370209301600063</v>
      </c>
      <c r="AH2508" s="110">
        <f>'Data_in-situ'!EP372</f>
        <v>6</v>
      </c>
      <c r="AI2508" s="113">
        <f>'Data_in-situ'!ER372</f>
        <v>-50.351292976661703</v>
      </c>
      <c r="AJ2508" s="113">
        <f>'Data_in-situ'!ES372</f>
        <v>17.957460020005087</v>
      </c>
      <c r="AK2508" s="110">
        <f>'Data_in-situ'!ET372</f>
        <v>6</v>
      </c>
    </row>
    <row r="2509" spans="20:37" x14ac:dyDescent="0.3">
      <c r="AF2509" s="113">
        <f>'Data_in-situ'!EN373</f>
        <v>-40.51870340955886</v>
      </c>
      <c r="AG2509" s="113">
        <f>'Data_in-situ'!EO373</f>
        <v>20.370209301600063</v>
      </c>
      <c r="AH2509" s="110">
        <f>'Data_in-situ'!EP373</f>
        <v>6</v>
      </c>
      <c r="AI2509" s="113">
        <f>'Data_in-situ'!ER373</f>
        <v>-50.44953735219223</v>
      </c>
      <c r="AJ2509" s="113">
        <f>'Data_in-situ'!ES373</f>
        <v>14.661286194047287</v>
      </c>
      <c r="AK2509" s="110">
        <f>'Data_in-situ'!ET373</f>
        <v>6</v>
      </c>
    </row>
    <row r="2510" spans="20:37" x14ac:dyDescent="0.3">
      <c r="AF2510" s="113">
        <f>'Data_in-situ'!EN374</f>
        <v>-18.43977174360656</v>
      </c>
      <c r="AG2510" s="113">
        <f>'Data_in-situ'!EO374</f>
        <v>7.4660723000216542</v>
      </c>
      <c r="AH2510" s="110">
        <f>'Data_in-situ'!EP374</f>
        <v>6</v>
      </c>
      <c r="AI2510" s="113">
        <f>'Data_in-situ'!ER374</f>
        <v>-32.926909210095033</v>
      </c>
      <c r="AJ2510" s="113">
        <f>'Data_in-situ'!ES374</f>
        <v>5.9181798677139321</v>
      </c>
      <c r="AK2510" s="110">
        <f>'Data_in-situ'!ET374</f>
        <v>6</v>
      </c>
    </row>
    <row r="2511" spans="20:37" x14ac:dyDescent="0.3">
      <c r="AF2511" s="113">
        <f>'Data_in-situ'!EN375</f>
        <v>-18.43977174360656</v>
      </c>
      <c r="AG2511" s="113">
        <f>'Data_in-situ'!EO375</f>
        <v>7.4660723000216542</v>
      </c>
      <c r="AH2511" s="110">
        <f>'Data_in-situ'!EP375</f>
        <v>6</v>
      </c>
      <c r="AI2511" s="113">
        <f>'Data_in-situ'!ER375</f>
        <v>-40.367064742679283</v>
      </c>
      <c r="AJ2511" s="113">
        <f>'Data_in-situ'!ES375</f>
        <v>4.0843551355325198</v>
      </c>
      <c r="AK2511" s="110">
        <f>'Data_in-situ'!ET375</f>
        <v>6</v>
      </c>
    </row>
    <row r="2512" spans="20:37" x14ac:dyDescent="0.3">
      <c r="AF2512" s="113">
        <f>'Data_in-situ'!EN376</f>
        <v>-25.327560341085523</v>
      </c>
      <c r="AG2512" s="113">
        <f>'Data_in-situ'!EO376</f>
        <v>3.7216854561993782</v>
      </c>
      <c r="AH2512" s="110">
        <f>'Data_in-situ'!EP376</f>
        <v>6</v>
      </c>
      <c r="AI2512" s="113">
        <f>'Data_in-situ'!ER376</f>
        <v>-38.138726825441289</v>
      </c>
      <c r="AJ2512" s="113">
        <f>'Data_in-situ'!ES376</f>
        <v>2.9417033415847209</v>
      </c>
      <c r="AK2512" s="110">
        <f>'Data_in-situ'!ET376</f>
        <v>6</v>
      </c>
    </row>
    <row r="2513" spans="1:37" x14ac:dyDescent="0.3">
      <c r="AF2513" s="113">
        <f>'Data_in-situ'!EN377</f>
        <v>-25.327560341085523</v>
      </c>
      <c r="AG2513" s="113">
        <f>'Data_in-situ'!EO377</f>
        <v>3.7216854561993782</v>
      </c>
      <c r="AH2513" s="110">
        <f>'Data_in-situ'!EP377</f>
        <v>6</v>
      </c>
      <c r="AI2513" s="113">
        <f>'Data_in-situ'!ER377</f>
        <v>-44.870926010354054</v>
      </c>
      <c r="AJ2513" s="113">
        <f>'Data_in-situ'!ES377</f>
        <v>2.2702362142729355</v>
      </c>
      <c r="AK2513" s="110">
        <f>'Data_in-situ'!ET377</f>
        <v>6</v>
      </c>
    </row>
    <row r="2514" spans="1:37" x14ac:dyDescent="0.3">
      <c r="AF2514" s="113">
        <f>'Data_in-situ'!EN378</f>
        <v>-48.76169720736587</v>
      </c>
      <c r="AG2514" s="113">
        <f>'Data_in-situ'!EO378</f>
        <v>3.8844664928993486</v>
      </c>
      <c r="AH2514" s="110">
        <f>'Data_in-situ'!EP378</f>
        <v>6</v>
      </c>
      <c r="AI2514" s="113">
        <f>'Data_in-situ'!ER378</f>
        <v>-60.453706185710573</v>
      </c>
      <c r="AJ2514" s="113">
        <f>'Data_in-situ'!ES378</f>
        <v>3.5711359265362042</v>
      </c>
      <c r="AK2514" s="110">
        <f>'Data_in-situ'!ET378</f>
        <v>6</v>
      </c>
    </row>
    <row r="2515" spans="1:37" x14ac:dyDescent="0.3">
      <c r="AF2515" s="113">
        <f>'Data_in-situ'!EN379</f>
        <v>-48.76169720736587</v>
      </c>
      <c r="AG2515" s="113">
        <f>'Data_in-situ'!EO379</f>
        <v>3.8844664928993486</v>
      </c>
      <c r="AH2515" s="110">
        <f>'Data_in-situ'!EP379</f>
        <v>6</v>
      </c>
      <c r="AI2515" s="113">
        <f>'Data_in-situ'!ER379</f>
        <v>-64.194692039592596</v>
      </c>
      <c r="AJ2515" s="113">
        <f>'Data_in-situ'!ES379</f>
        <v>3.0503400500711311</v>
      </c>
      <c r="AK2515" s="110">
        <f>'Data_in-situ'!ET379</f>
        <v>6</v>
      </c>
    </row>
    <row r="2516" spans="1:37" x14ac:dyDescent="0.3">
      <c r="AF2516" s="113">
        <f>'Data_in-situ'!EN391</f>
        <v>-2</v>
      </c>
      <c r="AG2516" s="113">
        <f>'Data_in-situ'!EO391</f>
        <v>0.81499279750258669</v>
      </c>
      <c r="AH2516" s="110">
        <f>'Data_in-situ'!EP391</f>
        <v>4</v>
      </c>
      <c r="AI2516" s="113">
        <f>'Data_in-situ'!ER391</f>
        <v>-30</v>
      </c>
      <c r="AJ2516" s="113">
        <f>'Data_in-situ'!ES391</f>
        <v>6.8044216052758255</v>
      </c>
      <c r="AK2516" s="110">
        <f>'Data_in-situ'!ET391</f>
        <v>4</v>
      </c>
    </row>
    <row r="2517" spans="1:37" x14ac:dyDescent="0.3">
      <c r="AF2517" s="113">
        <f>'Data_in-situ'!EN400</f>
        <v>8.6888471563287055</v>
      </c>
      <c r="AG2517" s="113">
        <f>'Data_in-situ'!EO400</f>
        <v>0.9459684366413168</v>
      </c>
      <c r="AH2517" s="110">
        <f>'Data_in-situ'!EP400</f>
        <v>8</v>
      </c>
      <c r="AI2517" s="113">
        <f>'Data_in-situ'!ER400</f>
        <v>-10.544207227786568</v>
      </c>
      <c r="AJ2517" s="113">
        <f>'Data_in-situ'!ES400</f>
        <v>3.1095266572641616</v>
      </c>
      <c r="AK2517" s="110">
        <f>'Data_in-situ'!ET400</f>
        <v>8</v>
      </c>
    </row>
    <row r="2518" spans="1:37" x14ac:dyDescent="0.3">
      <c r="AF2518" s="113">
        <f>'Data_in-situ'!EN412</f>
        <v>-8.1</v>
      </c>
      <c r="AG2518" s="113">
        <f>'Data_in-situ'!EO412</f>
        <v>1.2</v>
      </c>
      <c r="AH2518" s="110">
        <f>'Data_in-situ'!EP412</f>
        <v>3</v>
      </c>
      <c r="AI2518" s="113">
        <f>'Data_in-situ'!ER412</f>
        <v>-13.1</v>
      </c>
      <c r="AJ2518" s="113">
        <f>'Data_in-situ'!ES412</f>
        <v>0.8</v>
      </c>
      <c r="AK2518" s="110">
        <f>'Data_in-situ'!ET412</f>
        <v>3</v>
      </c>
    </row>
    <row r="2519" spans="1:37" x14ac:dyDescent="0.3">
      <c r="AF2519" s="113">
        <f>'Data_in-situ'!EN413</f>
        <v>-20.399999999999999</v>
      </c>
      <c r="AG2519" s="113">
        <f>'Data_in-situ'!EO413</f>
        <v>2.2999999999999998</v>
      </c>
      <c r="AH2519" s="110">
        <f>'Data_in-situ'!EP413</f>
        <v>3</v>
      </c>
      <c r="AI2519" s="113">
        <f>'Data_in-situ'!ER413</f>
        <v>-28.4</v>
      </c>
      <c r="AJ2519" s="113">
        <f>'Data_in-situ'!ES413</f>
        <v>3.2</v>
      </c>
      <c r="AK2519" s="110">
        <f>'Data_in-situ'!ET413</f>
        <v>3</v>
      </c>
    </row>
    <row r="2520" spans="1:37" x14ac:dyDescent="0.3">
      <c r="AF2520" s="113">
        <f>'Data_in-situ'!EN417</f>
        <v>-6.5</v>
      </c>
      <c r="AG2520" s="113">
        <f>'Data_in-situ'!EO417</f>
        <v>3.5</v>
      </c>
      <c r="AH2520" s="110">
        <f>'Data_in-situ'!EP417</f>
        <v>5</v>
      </c>
      <c r="AI2520" s="113">
        <f>'Data_in-situ'!ER417</f>
        <v>-30.6</v>
      </c>
      <c r="AJ2520" s="113">
        <f>'Data_in-situ'!ES417</f>
        <v>14.8</v>
      </c>
      <c r="AK2520" s="110">
        <f>'Data_in-situ'!ET417</f>
        <v>5</v>
      </c>
    </row>
    <row r="2522" spans="1:37" x14ac:dyDescent="0.3">
      <c r="A2522" s="110" t="s">
        <v>831</v>
      </c>
      <c r="B2522" s="24">
        <f>AVERAGEA(B2407:B2520)</f>
        <v>-12585.536139591359</v>
      </c>
      <c r="C2522" s="24">
        <f>STDEVA(B2407:B2520)/SQRT(COUNT(B2407:B2520))</f>
        <v>2073.7384818316023</v>
      </c>
      <c r="D2522" s="46">
        <f>COUNT(B2407:B2520)</f>
        <v>42</v>
      </c>
      <c r="E2522" s="24">
        <f>AVERAGEA(E2407:E2520)</f>
        <v>-11879.18155715757</v>
      </c>
      <c r="F2522" s="24">
        <f>STDEVA(E2407:E2520)/SQRT(COUNT(E2407:E2520))</f>
        <v>1936.3225276377814</v>
      </c>
      <c r="G2522" s="46">
        <f>COUNT(E2407:E2520)</f>
        <v>42</v>
      </c>
      <c r="H2522" s="24">
        <f>AVERAGEA(H2407:H2520)</f>
        <v>10577.502507868128</v>
      </c>
      <c r="I2522" s="24">
        <f>STDEVA(H2407:H2520)/SQRT(COUNT(H2407:H2520))</f>
        <v>1666.2501856722747</v>
      </c>
      <c r="J2522" s="110">
        <f>COUNT(H2407:H2520)</f>
        <v>42</v>
      </c>
      <c r="K2522" s="24">
        <f>AVERAGEA(K2407:K2520)</f>
        <v>11211.264590699817</v>
      </c>
      <c r="L2522" s="24">
        <f>STDEVA(K2407:K2520)/SQRT(COUNT(K2407:K2520))</f>
        <v>1783.164545729609</v>
      </c>
      <c r="M2522" s="110">
        <f>COUNT(K2407:K2520)</f>
        <v>42</v>
      </c>
      <c r="N2522" s="24">
        <f>AVERAGEA(N2407:N2520)</f>
        <v>-1976.0958678812794</v>
      </c>
      <c r="O2522" s="24">
        <f>STDEVA(N2407:N2520)/SQRT(COUNT(N2407:N2520))</f>
        <v>501.53893150614653</v>
      </c>
      <c r="P2522" s="110">
        <f>COUNT(N2407:N2520)</f>
        <v>54</v>
      </c>
      <c r="Q2522" s="24">
        <f>AVERAGEA(Q2407:Q2520)</f>
        <v>441.35950779032277</v>
      </c>
      <c r="R2522" s="24">
        <f>STDEVA(Q2407:Q2520)/SQRT(COUNT(Q2407:Q2520))</f>
        <v>762.21194282235786</v>
      </c>
      <c r="S2522" s="110">
        <f>COUNT(Q2407:Q2520)</f>
        <v>54</v>
      </c>
      <c r="T2522" s="113">
        <f>AVERAGEA(T2407:T2520)</f>
        <v>308.88184489360867</v>
      </c>
      <c r="U2522" s="113">
        <f>STDEVA(T2407:T2520)/SQRT(COUNT(T2407:T2520))</f>
        <v>41.175006302966381</v>
      </c>
      <c r="V2522" s="110">
        <f>COUNT(T2407:T2520)</f>
        <v>99</v>
      </c>
      <c r="W2522" s="113">
        <f>AVERAGEA(W2407:W2520)</f>
        <v>47.476632359564128</v>
      </c>
      <c r="X2522" s="113">
        <f>STDEVA(W2407:W2520)/SQRT(COUNT(W2407:W2520))</f>
        <v>15.245434483527653</v>
      </c>
      <c r="Y2522" s="110">
        <f>COUNT(W2407:W2520)</f>
        <v>99</v>
      </c>
      <c r="Z2522" s="113">
        <f>AVERAGEA(Z2407:Z2520)</f>
        <v>0.21111449663345574</v>
      </c>
      <c r="AA2522" s="113">
        <f>STDEVA(Z2407:Z2520)/SQRT(COUNT(Z2407:Z2520))</f>
        <v>8.3147270936897819E-2</v>
      </c>
      <c r="AB2522" s="110">
        <f>COUNT(Z2407:Z2520)</f>
        <v>35</v>
      </c>
      <c r="AC2522" s="113">
        <f>AVERAGEA(AC2407:AC2520)</f>
        <v>2.0741535019819675</v>
      </c>
      <c r="AD2522" s="113">
        <f>STDEVA(AC2407:AC2520)/SQRT(COUNT(AC2407:AC2520))</f>
        <v>0.52781646788410141</v>
      </c>
      <c r="AE2522" s="110">
        <f>COUNT(AC2407:AC2520)</f>
        <v>35</v>
      </c>
      <c r="AF2522" s="113">
        <f>AVERAGEA(AF2407:AF2520)</f>
        <v>-12.201681016878124</v>
      </c>
      <c r="AG2522" s="113">
        <f>STDEVA(AF2407:AF2520)/SQRT(COUNT(AF2407:AF2520))</f>
        <v>1.3606456696590534</v>
      </c>
      <c r="AH2522" s="110">
        <f>COUNT(AF2407:AF2520)</f>
        <v>114</v>
      </c>
      <c r="AI2522" s="113">
        <f>AVERAGEA(AI2407:AI2520)</f>
        <v>-40.726784774755714</v>
      </c>
      <c r="AJ2522" s="113">
        <f>STDEVA(AI2407:AI2520)/SQRT(COUNT(AI2407:AI2520))</f>
        <v>2.3529964395116347</v>
      </c>
      <c r="AK2522" s="110">
        <f>COUNT(AI2407:AI2520)</f>
        <v>114</v>
      </c>
    </row>
    <row r="2524" spans="1:37" x14ac:dyDescent="0.3">
      <c r="A2524" s="110" t="s">
        <v>981</v>
      </c>
      <c r="B2524" s="24">
        <f>'Data_in-situ'!CA246</f>
        <v>-129103.33333333334</v>
      </c>
      <c r="C2524" s="24">
        <f>'Data_in-situ'!CB246</f>
        <v>31476.743163089086</v>
      </c>
      <c r="D2524" s="46">
        <f>'Data_in-situ'!CC246</f>
        <v>1</v>
      </c>
      <c r="E2524" s="24">
        <f>'Data_in-situ'!CE246</f>
        <v>-116380</v>
      </c>
      <c r="F2524" s="24">
        <f>'Data_in-situ'!CF246</f>
        <v>43324.677444112938</v>
      </c>
      <c r="G2524" s="46">
        <f>'Data_in-situ'!CG246</f>
        <v>1</v>
      </c>
      <c r="H2524" s="24">
        <f>'Data_in-situ'!CN246</f>
        <v>136436.66666666666</v>
      </c>
      <c r="I2524" s="24">
        <f>'Data_in-situ'!CO246</f>
        <v>39242.911350487644</v>
      </c>
      <c r="J2524" s="46">
        <f>'Data_in-situ'!CP246</f>
        <v>1</v>
      </c>
      <c r="K2524" s="24">
        <f>'Data_in-situ'!CR246</f>
        <v>134603.33333333334</v>
      </c>
      <c r="L2524" s="24">
        <f>'Data_in-situ'!CS246</f>
        <v>35318.726117508595</v>
      </c>
      <c r="M2524" s="46">
        <f>'Data_in-situ'!CT246</f>
        <v>1</v>
      </c>
      <c r="N2524" s="24">
        <f>'Data_in-situ'!DA168</f>
        <v>25.237137365721058</v>
      </c>
      <c r="O2524" s="24">
        <f>'Data_in-situ'!DB168</f>
        <v>75.702744621550025</v>
      </c>
      <c r="P2524" s="46">
        <f>'Data_in-situ'!DC168</f>
        <v>3</v>
      </c>
      <c r="Q2524" s="24">
        <f>'Data_in-situ'!DE168</f>
        <v>227.90960825112143</v>
      </c>
      <c r="R2524" s="24">
        <f>'Data_in-situ'!DF168</f>
        <v>217.23040085623657</v>
      </c>
      <c r="S2524" s="46">
        <f>'Data_in-situ'!DG168</f>
        <v>3</v>
      </c>
      <c r="T2524" s="113">
        <f>'Data_in-situ'!DN34</f>
        <v>218.59000000000026</v>
      </c>
      <c r="U2524" s="113">
        <f>'Data_in-situ'!DO34</f>
        <v>226.1967612500232</v>
      </c>
      <c r="V2524" s="46">
        <f>'Data_in-situ'!DP34</f>
        <v>25</v>
      </c>
      <c r="W2524" s="113">
        <f>'Data_in-situ'!DR34</f>
        <v>-1.3730769230769226</v>
      </c>
      <c r="X2524" s="113">
        <f>'Data_in-situ'!DS34</f>
        <v>0.50491400638738226</v>
      </c>
      <c r="Y2524" s="46">
        <f>'Data_in-situ'!DT34</f>
        <v>75</v>
      </c>
      <c r="Z2524" s="113">
        <f>'Data_in-situ'!EA98</f>
        <v>-9.6326468671612098E-2</v>
      </c>
      <c r="AA2524" s="113">
        <f>'Data_in-situ'!EB98</f>
        <v>5.4029389318036893E-2</v>
      </c>
      <c r="AB2524" s="46">
        <f>'Data_in-situ'!EC98</f>
        <v>3</v>
      </c>
      <c r="AC2524" s="113">
        <f>'Data_in-situ'!EE98</f>
        <v>1.5454704465443767</v>
      </c>
      <c r="AD2524" s="113">
        <f>'Data_in-situ'!EF98</f>
        <v>0.28931759999999995</v>
      </c>
      <c r="AE2524" s="46">
        <f>'Data_in-situ'!EG98</f>
        <v>3</v>
      </c>
      <c r="AF2524" s="113">
        <f>'Data_in-situ'!EN98</f>
        <v>3.3333333333333335</v>
      </c>
      <c r="AG2524" s="113">
        <f>'Data_in-situ'!EO98</f>
        <v>1.5275252316519463</v>
      </c>
      <c r="AH2524" s="110">
        <f>'Data_in-situ'!EP98</f>
        <v>3</v>
      </c>
      <c r="AI2524" s="113">
        <f>'Data_in-situ'!ER98</f>
        <v>-18.100000000000001</v>
      </c>
      <c r="AJ2524" s="113">
        <f>'Data_in-situ'!ES98</f>
        <v>5.6</v>
      </c>
      <c r="AK2524" s="110">
        <f>'Data_in-situ'!ET98</f>
        <v>3</v>
      </c>
    </row>
    <row r="2525" spans="1:37" x14ac:dyDescent="0.3">
      <c r="B2525" s="24">
        <f>'Data_in-situ'!CA247</f>
        <v>-130313.33333333334</v>
      </c>
      <c r="C2525" s="24">
        <f>'Data_in-situ'!CB247</f>
        <v>31771.753820397222</v>
      </c>
      <c r="D2525" s="46">
        <f>'Data_in-situ'!CC247</f>
        <v>1</v>
      </c>
      <c r="E2525" s="24">
        <f>'Data_in-situ'!CE247</f>
        <v>-121146.66666666666</v>
      </c>
      <c r="F2525" s="24">
        <f>'Data_in-situ'!CF247</f>
        <v>45099.160137161038</v>
      </c>
      <c r="G2525" s="46">
        <f>'Data_in-situ'!CG247</f>
        <v>1</v>
      </c>
      <c r="H2525" s="24">
        <f>'Data_in-situ'!CN247</f>
        <v>132953.33333333334</v>
      </c>
      <c r="I2525" s="24">
        <f>'Data_in-situ'!CO247</f>
        <v>38241.009555729164</v>
      </c>
      <c r="J2525" s="46">
        <f>'Data_in-situ'!CP247</f>
        <v>1</v>
      </c>
      <c r="K2525" s="24">
        <f>'Data_in-situ'!CR247</f>
        <v>128553.33333333334</v>
      </c>
      <c r="L2525" s="24">
        <f>'Data_in-situ'!CS247</f>
        <v>33731.259539086117</v>
      </c>
      <c r="M2525" s="46">
        <f>'Data_in-situ'!CT247</f>
        <v>1</v>
      </c>
      <c r="N2525" s="24">
        <f>'Data_in-situ'!DA169</f>
        <v>826.51624872736215</v>
      </c>
      <c r="O2525" s="24">
        <f>'Data_in-situ'!DB169</f>
        <v>2479.2648863557561</v>
      </c>
      <c r="P2525" s="46">
        <f>'Data_in-situ'!DC169</f>
        <v>3</v>
      </c>
      <c r="Q2525" s="24">
        <f>'Data_in-situ'!DE169</f>
        <v>-2686.077525816791</v>
      </c>
      <c r="R2525" s="24">
        <f>'Data_in-situ'!DF169</f>
        <v>2560.2154386627908</v>
      </c>
      <c r="S2525" s="46">
        <f>'Data_in-situ'!DG169</f>
        <v>3</v>
      </c>
      <c r="T2525" s="113">
        <f>'Data_in-situ'!DN79</f>
        <v>345.6</v>
      </c>
      <c r="U2525" s="113">
        <f>'Data_in-situ'!DO79</f>
        <v>358.40000000000003</v>
      </c>
      <c r="V2525" s="46">
        <f>'Data_in-situ'!DP79</f>
        <v>4</v>
      </c>
      <c r="W2525" s="113">
        <f>'Data_in-situ'!DR79</f>
        <v>-2.4</v>
      </c>
      <c r="X2525" s="113">
        <f>'Data_in-situ'!DS79</f>
        <v>0.8</v>
      </c>
      <c r="Y2525" s="46">
        <f>'Data_in-situ'!DT79</f>
        <v>4</v>
      </c>
      <c r="Z2525" s="113">
        <f>'Data_in-situ'!EA99</f>
        <v>-0.40440266730939189</v>
      </c>
      <c r="AA2525" s="113">
        <f>'Data_in-situ'!EB99</f>
        <v>1.1600159999999999</v>
      </c>
      <c r="AB2525" s="46">
        <f>'Data_in-situ'!EC99</f>
        <v>24</v>
      </c>
      <c r="AC2525" s="113">
        <f>'Data_in-situ'!EE99</f>
        <v>0.41440059292199383</v>
      </c>
      <c r="AD2525" s="113">
        <f>'Data_in-situ'!EF99</f>
        <v>1.3178879999999999</v>
      </c>
      <c r="AE2525" s="46">
        <f>'Data_in-situ'!EG99</f>
        <v>15</v>
      </c>
      <c r="AF2525" s="113">
        <f>'Data_in-situ'!EN99</f>
        <v>6.52</v>
      </c>
      <c r="AG2525" s="113">
        <f>'Data_in-situ'!EO99</f>
        <v>6.22</v>
      </c>
      <c r="AH2525" s="110">
        <f>'Data_in-situ'!EP99</f>
        <v>4</v>
      </c>
      <c r="AI2525" s="113">
        <f>'Data_in-situ'!ER99</f>
        <v>-36.47</v>
      </c>
      <c r="AJ2525" s="113">
        <f>'Data_in-situ'!ES99</f>
        <v>14.77</v>
      </c>
      <c r="AK2525" s="110">
        <f>'Data_in-situ'!ET99</f>
        <v>4</v>
      </c>
    </row>
    <row r="2526" spans="1:37" x14ac:dyDescent="0.3">
      <c r="B2526" s="24">
        <f>'Data_in-situ'!CA248</f>
        <v>-120743.33333333334</v>
      </c>
      <c r="C2526" s="24">
        <f>'Data_in-situ'!CB248</f>
        <v>29438.487712596525</v>
      </c>
      <c r="D2526" s="46">
        <f>'Data_in-situ'!CC248</f>
        <v>1</v>
      </c>
      <c r="E2526" s="24">
        <f>'Data_in-situ'!CE248</f>
        <v>-111613.33333333334</v>
      </c>
      <c r="F2526" s="24">
        <f>'Data_in-situ'!CF248</f>
        <v>41550.194751064839</v>
      </c>
      <c r="G2526" s="46">
        <f>'Data_in-situ'!CG248</f>
        <v>1</v>
      </c>
      <c r="H2526" s="24">
        <f>'Data_in-situ'!CN248</f>
        <v>136986.66666666666</v>
      </c>
      <c r="I2526" s="24">
        <f>'Data_in-situ'!CO248</f>
        <v>39401.106370712667</v>
      </c>
      <c r="J2526" s="46">
        <f>'Data_in-situ'!CP248</f>
        <v>1</v>
      </c>
      <c r="K2526" s="24">
        <f>'Data_in-situ'!CR248</f>
        <v>130093.33333333334</v>
      </c>
      <c r="L2526" s="24">
        <f>'Data_in-situ'!CS248</f>
        <v>34135.341940866383</v>
      </c>
      <c r="M2526" s="46">
        <f>'Data_in-situ'!CT248</f>
        <v>1</v>
      </c>
      <c r="N2526" s="24">
        <f>'Data_in-situ'!DA170</f>
        <v>-870.68123911737575</v>
      </c>
      <c r="O2526" s="24">
        <f>'Data_in-situ'!DB170</f>
        <v>2611.7446894434738</v>
      </c>
      <c r="P2526" s="46">
        <f>'Data_in-situ'!DC170</f>
        <v>3</v>
      </c>
      <c r="Q2526" s="24">
        <f>'Data_in-situ'!DE170</f>
        <v>-911.63843300448298</v>
      </c>
      <c r="R2526" s="24">
        <f>'Data_in-situ'!DF170</f>
        <v>868.92160342494367</v>
      </c>
      <c r="S2526" s="46">
        <f>'Data_in-situ'!DG170</f>
        <v>3</v>
      </c>
      <c r="T2526" s="113">
        <f>'Data_in-situ'!DN88</f>
        <v>17.100000000000001</v>
      </c>
      <c r="U2526" s="113">
        <f>'Data_in-situ'!DO88</f>
        <v>7.9674337148168348</v>
      </c>
      <c r="V2526" s="46">
        <f>'Data_in-situ'!DP88</f>
        <v>3</v>
      </c>
      <c r="W2526" s="113">
        <f>'Data_in-situ'!DR88</f>
        <v>11.100000000000001</v>
      </c>
      <c r="X2526" s="113">
        <f>'Data_in-situ'!DS88</f>
        <v>4.3301270189221928</v>
      </c>
      <c r="Y2526" s="46">
        <f>'Data_in-situ'!DT88</f>
        <v>3</v>
      </c>
      <c r="Z2526" s="113">
        <f>'Data_in-situ'!EA152</f>
        <v>4.2428571428571429</v>
      </c>
      <c r="AA2526" s="113">
        <f>'Data_in-situ'!EB152</f>
        <v>2.9857142857142853</v>
      </c>
      <c r="AB2526" s="46">
        <f>'Data_in-situ'!EC152</f>
        <v>7</v>
      </c>
      <c r="AC2526" s="113">
        <f>'Data_in-situ'!EE152</f>
        <v>3.7714285714285714</v>
      </c>
      <c r="AD2526" s="113">
        <f>'Data_in-situ'!EF152</f>
        <v>1.7285714285714289</v>
      </c>
      <c r="AE2526" s="46">
        <f>'Data_in-situ'!EG152</f>
        <v>10</v>
      </c>
      <c r="AF2526" s="113">
        <f>'Data_in-situ'!EN152</f>
        <v>-18.3</v>
      </c>
      <c r="AG2526" s="113">
        <f>'Data_in-situ'!EO152</f>
        <v>5.8</v>
      </c>
      <c r="AH2526" s="110">
        <f>'Data_in-situ'!EP152</f>
        <v>12</v>
      </c>
      <c r="AI2526" s="113">
        <f>'Data_in-situ'!ER152</f>
        <v>-39.6</v>
      </c>
      <c r="AJ2526" s="113">
        <f>'Data_in-situ'!ES152</f>
        <v>3.6</v>
      </c>
      <c r="AK2526" s="110">
        <f>'Data_in-situ'!ET152</f>
        <v>23</v>
      </c>
    </row>
    <row r="2527" spans="1:37" x14ac:dyDescent="0.3">
      <c r="B2527" s="24">
        <f>'Data_in-situ'!CA249</f>
        <v>-128773.33333333334</v>
      </c>
      <c r="C2527" s="24">
        <f>'Data_in-situ'!CB249</f>
        <v>31396.285711095959</v>
      </c>
      <c r="D2527" s="46">
        <f>'Data_in-situ'!CC249</f>
        <v>1</v>
      </c>
      <c r="E2527" s="24">
        <f>'Data_in-situ'!CE249</f>
        <v>-118946.66666666666</v>
      </c>
      <c r="F2527" s="24">
        <f>'Data_in-situ'!CF249</f>
        <v>44280.168124984993</v>
      </c>
      <c r="G2527" s="46">
        <f>'Data_in-situ'!CG249</f>
        <v>1</v>
      </c>
      <c r="H2527" s="24">
        <f>'Data_in-situ'!CN249</f>
        <v>127783.33333333334</v>
      </c>
      <c r="I2527" s="24">
        <f>'Data_in-situ'!CO249</f>
        <v>36753.97636561394</v>
      </c>
      <c r="J2527" s="46">
        <f>'Data_in-situ'!CP249</f>
        <v>1</v>
      </c>
      <c r="K2527" s="24">
        <f>'Data_in-situ'!CR249</f>
        <v>122870</v>
      </c>
      <c r="L2527" s="24">
        <f>'Data_in-situ'!CS249</f>
        <v>32240.003056325604</v>
      </c>
      <c r="M2527" s="46">
        <f>'Data_in-situ'!CT249</f>
        <v>1</v>
      </c>
      <c r="N2527" s="24">
        <f>'Data_in-situ'!DA171</f>
        <v>82.020696438593234</v>
      </c>
      <c r="O2527" s="24">
        <f>'Data_in-situ'!DB171</f>
        <v>246.03392002003699</v>
      </c>
      <c r="P2527" s="46">
        <f>'Data_in-situ'!DC171</f>
        <v>3</v>
      </c>
      <c r="Q2527" s="24">
        <f>'Data_in-situ'!DE171</f>
        <v>-4541.9129072902078</v>
      </c>
      <c r="R2527" s="24">
        <f>'Data_in-situ'!DF171</f>
        <v>4329.0915599207165</v>
      </c>
      <c r="S2527" s="46">
        <f>'Data_in-situ'!DG171</f>
        <v>3</v>
      </c>
      <c r="T2527" s="113">
        <f>'Data_in-situ'!DN89</f>
        <v>17.3</v>
      </c>
      <c r="U2527" s="113">
        <f>'Data_in-situ'!DO89</f>
        <v>8.1406387955737234</v>
      </c>
      <c r="V2527" s="46">
        <f>'Data_in-situ'!DP89</f>
        <v>3</v>
      </c>
      <c r="W2527" s="113">
        <f>'Data_in-situ'!DR89</f>
        <v>12.5</v>
      </c>
      <c r="X2527" s="113">
        <f>'Data_in-situ'!DS89</f>
        <v>5.0229473419497435</v>
      </c>
      <c r="Y2527" s="46">
        <f>'Data_in-situ'!DT89</f>
        <v>3</v>
      </c>
      <c r="Z2527" s="113">
        <f>'Data_in-situ'!EA153</f>
        <v>4.2428571428571429</v>
      </c>
      <c r="AA2527" s="113">
        <f>'Data_in-situ'!EB153</f>
        <v>2.9857142857142853</v>
      </c>
      <c r="AB2527" s="46">
        <f>'Data_in-situ'!EC153</f>
        <v>7</v>
      </c>
      <c r="AC2527" s="113">
        <f>'Data_in-situ'!EE153</f>
        <v>7.8571428571428568</v>
      </c>
      <c r="AD2527" s="113">
        <f>'Data_in-situ'!EF153</f>
        <v>4.2428571428571429</v>
      </c>
      <c r="AE2527" s="46">
        <f>'Data_in-situ'!EG153</f>
        <v>8</v>
      </c>
      <c r="AF2527" s="113">
        <f>'Data_in-situ'!EN153</f>
        <v>-18.3</v>
      </c>
      <c r="AG2527" s="113">
        <f>'Data_in-situ'!EO153</f>
        <v>5.8</v>
      </c>
      <c r="AH2527" s="110">
        <f>'Data_in-situ'!EP153</f>
        <v>12</v>
      </c>
      <c r="AI2527" s="113">
        <f>'Data_in-situ'!ER153</f>
        <v>-55.5</v>
      </c>
      <c r="AJ2527" s="113">
        <f>'Data_in-situ'!ES153</f>
        <v>4.4000000000000004</v>
      </c>
      <c r="AK2527" s="110">
        <f>'Data_in-situ'!ET153</f>
        <v>25</v>
      </c>
    </row>
    <row r="2528" spans="1:37" x14ac:dyDescent="0.3">
      <c r="B2528" s="24">
        <f>'Data_in-situ'!CA450</f>
        <v>-131193.33333333334</v>
      </c>
      <c r="C2528" s="24">
        <f>'Data_in-situ'!CB450</f>
        <v>31986.307025712227</v>
      </c>
      <c r="D2528" s="46">
        <f>'Data_in-situ'!CC450</f>
        <v>1</v>
      </c>
      <c r="E2528" s="24">
        <f>'Data_in-situ'!CE450</f>
        <v>-154036.66666666666</v>
      </c>
      <c r="F2528" s="24">
        <f>'Data_in-situ'!CF450</f>
        <v>57343.090719192958</v>
      </c>
      <c r="G2528" s="46">
        <f>'Data_in-situ'!CG450</f>
        <v>1</v>
      </c>
      <c r="H2528" s="24">
        <f>'Data_in-situ'!CN450</f>
        <v>146923.33333333334</v>
      </c>
      <c r="I2528" s="24">
        <f>'Data_in-situ'!CO450</f>
        <v>42259.163069444774</v>
      </c>
      <c r="J2528" s="46">
        <f>'Data_in-situ'!CP450</f>
        <v>1</v>
      </c>
      <c r="K2528" s="24">
        <f>'Data_in-situ'!CR450</f>
        <v>176366.66666666666</v>
      </c>
      <c r="L2528" s="24">
        <f>'Data_in-situ'!CS450</f>
        <v>46277.056013406785</v>
      </c>
      <c r="M2528" s="46">
        <f>'Data_in-situ'!CT450</f>
        <v>1</v>
      </c>
      <c r="N2528" s="24">
        <f>'Data_in-situ'!DA226</f>
        <v>-4000</v>
      </c>
      <c r="O2528" s="24">
        <f>'Data_in-situ'!DB226</f>
        <v>11998.626234744846</v>
      </c>
      <c r="P2528" s="46">
        <f>'Data_in-situ'!DC226</f>
        <v>4</v>
      </c>
      <c r="Q2528" s="24">
        <f>'Data_in-situ'!DE226</f>
        <v>2600</v>
      </c>
      <c r="R2528" s="24">
        <f>'Data_in-situ'!DF226</f>
        <v>2478.1712651793655</v>
      </c>
      <c r="S2528" s="46">
        <f>'Data_in-situ'!DG226</f>
        <v>4</v>
      </c>
      <c r="T2528" s="113">
        <f>'Data_in-situ'!DN98</f>
        <v>29.564989329793384</v>
      </c>
      <c r="U2528" s="113">
        <f>'Data_in-situ'!DO98</f>
        <v>10.677333333333335</v>
      </c>
      <c r="V2528" s="46">
        <f>'Data_in-situ'!DP98</f>
        <v>3</v>
      </c>
      <c r="W2528" s="113">
        <f>'Data_in-situ'!DR98</f>
        <v>7.9918819188191907</v>
      </c>
      <c r="X2528" s="113">
        <f>'Data_in-situ'!DS98</f>
        <v>0.87360000000000004</v>
      </c>
      <c r="Y2528" s="46">
        <f>'Data_in-situ'!DT98</f>
        <v>3</v>
      </c>
      <c r="Z2528" s="113">
        <f>'Data_in-situ'!EA154</f>
        <v>4.2428571428571429</v>
      </c>
      <c r="AA2528" s="113">
        <f>'Data_in-situ'!EB154</f>
        <v>2.9857142857142853</v>
      </c>
      <c r="AB2528" s="46">
        <f>'Data_in-situ'!EC154</f>
        <v>7</v>
      </c>
      <c r="AC2528" s="113">
        <f>'Data_in-situ'!EE154</f>
        <v>1.8857142857142857</v>
      </c>
      <c r="AD2528" s="113">
        <f>'Data_in-situ'!EF154</f>
        <v>2.8156342625739934</v>
      </c>
      <c r="AE2528" s="46">
        <f>'Data_in-situ'!EG154</f>
        <v>1</v>
      </c>
      <c r="AF2528" s="113">
        <f>'Data_in-situ'!EN154</f>
        <v>-18.3</v>
      </c>
      <c r="AG2528" s="113">
        <f>'Data_in-situ'!EO154</f>
        <v>5.8</v>
      </c>
      <c r="AH2528" s="110">
        <f>'Data_in-situ'!EP154</f>
        <v>12</v>
      </c>
      <c r="AI2528" s="113">
        <f>'Data_in-situ'!ER154</f>
        <v>-65.5</v>
      </c>
      <c r="AJ2528" s="113">
        <f>'Data_in-situ'!ES154</f>
        <v>5</v>
      </c>
      <c r="AK2528" s="110">
        <f>'Data_in-situ'!ET154</f>
        <v>7</v>
      </c>
    </row>
    <row r="2529" spans="2:37" x14ac:dyDescent="0.3">
      <c r="B2529" s="24">
        <f>'Data_in-situ'!CA451</f>
        <v>-138600</v>
      </c>
      <c r="C2529" s="24">
        <f>'Data_in-situ'!CB451</f>
        <v>33792.129837113527</v>
      </c>
      <c r="D2529" s="46">
        <f>'Data_in-situ'!CC451</f>
        <v>1</v>
      </c>
      <c r="E2529" s="24">
        <f>'Data_in-situ'!CE451</f>
        <v>-152680</v>
      </c>
      <c r="F2529" s="24">
        <f>'Data_in-situ'!CF451</f>
        <v>56838.04564501773</v>
      </c>
      <c r="G2529" s="46">
        <f>'Data_in-situ'!CG451</f>
        <v>1</v>
      </c>
      <c r="H2529" s="24">
        <f>'Data_in-situ'!CN451</f>
        <v>150003.33333333334</v>
      </c>
      <c r="I2529" s="24">
        <f>'Data_in-situ'!CO451</f>
        <v>43145.055182704913</v>
      </c>
      <c r="J2529" s="46">
        <f>'Data_in-situ'!CP451</f>
        <v>1</v>
      </c>
      <c r="K2529" s="24">
        <f>'Data_in-situ'!CR451</f>
        <v>173836.66666666666</v>
      </c>
      <c r="L2529" s="24">
        <f>'Data_in-situ'!CS451</f>
        <v>45613.206353339207</v>
      </c>
      <c r="M2529" s="46">
        <f>'Data_in-situ'!CT451</f>
        <v>1</v>
      </c>
      <c r="N2529" s="24">
        <f>'Data_in-situ'!DA227</f>
        <v>-2700</v>
      </c>
      <c r="O2529" s="24">
        <f>'Data_in-situ'!DB227</f>
        <v>8099.0727084527707</v>
      </c>
      <c r="P2529" s="46">
        <f>'Data_in-situ'!DC227</f>
        <v>4</v>
      </c>
      <c r="Q2529" s="24">
        <f>'Data_in-situ'!DE227</f>
        <v>3900</v>
      </c>
      <c r="R2529" s="24">
        <f>'Data_in-situ'!DF227</f>
        <v>3717.256897769048</v>
      </c>
      <c r="S2529" s="46">
        <f>'Data_in-situ'!DG227</f>
        <v>4</v>
      </c>
      <c r="T2529" s="113">
        <f>'Data_in-situ'!DN99</f>
        <v>142.07619872372933</v>
      </c>
      <c r="U2529" s="113">
        <f>'Data_in-situ'!DO99</f>
        <v>118.22720000000001</v>
      </c>
      <c r="V2529" s="46">
        <f>'Data_in-situ'!DP99</f>
        <v>24</v>
      </c>
      <c r="W2529" s="113">
        <f>'Data_in-situ'!DR99</f>
        <v>1.3426361623616241</v>
      </c>
      <c r="X2529" s="113">
        <f>'Data_in-situ'!DS99</f>
        <v>1.8695039999999998</v>
      </c>
      <c r="Y2529" s="46">
        <f>'Data_in-situ'!DT99</f>
        <v>15</v>
      </c>
      <c r="Z2529" s="113">
        <f>'Data_in-situ'!EA168</f>
        <v>9.3513037184644965</v>
      </c>
      <c r="AA2529" s="113">
        <f>'Data_in-situ'!EB168</f>
        <v>53.769781135553693</v>
      </c>
      <c r="AB2529" s="46">
        <f>'Data_in-situ'!EC168</f>
        <v>3</v>
      </c>
      <c r="AC2529" s="113">
        <f>'Data_in-situ'!EE168</f>
        <v>12.26580629480485</v>
      </c>
      <c r="AD2529" s="113">
        <f>'Data_in-situ'!EF168</f>
        <v>18.314558426684705</v>
      </c>
      <c r="AE2529" s="46">
        <f>'Data_in-situ'!EG168</f>
        <v>3</v>
      </c>
      <c r="AF2529" s="113">
        <f>'Data_in-situ'!EN155</f>
        <v>-18.3</v>
      </c>
      <c r="AG2529" s="113">
        <f>'Data_in-situ'!EO155</f>
        <v>5.8</v>
      </c>
      <c r="AH2529" s="110">
        <f>'Data_in-situ'!EP155</f>
        <v>12</v>
      </c>
      <c r="AI2529" s="113">
        <f>'Data_in-situ'!ER155</f>
        <v>-78.599999999999994</v>
      </c>
      <c r="AJ2529" s="113">
        <f>'Data_in-situ'!ES155</f>
        <v>7.5</v>
      </c>
      <c r="AK2529" s="110">
        <f>'Data_in-situ'!ET155</f>
        <v>8</v>
      </c>
    </row>
    <row r="2530" spans="2:37" x14ac:dyDescent="0.3">
      <c r="B2530" s="24">
        <f>'Data_in-situ'!CA452</f>
        <v>-135483.33333333334</v>
      </c>
      <c r="C2530" s="24">
        <f>'Data_in-situ'!CB452</f>
        <v>33032.253901622884</v>
      </c>
      <c r="D2530" s="46">
        <f>'Data_in-situ'!CC452</f>
        <v>1</v>
      </c>
      <c r="E2530" s="24">
        <f>'Data_in-situ'!CE452</f>
        <v>-150663.33333333334</v>
      </c>
      <c r="F2530" s="24">
        <f>'Data_in-situ'!CF452</f>
        <v>56087.302967189695</v>
      </c>
      <c r="G2530" s="46">
        <f>'Data_in-situ'!CG452</f>
        <v>1</v>
      </c>
      <c r="H2530" s="24">
        <f>'Data_in-situ'!CN452</f>
        <v>139810</v>
      </c>
      <c r="I2530" s="24">
        <f>'Data_in-situ'!CO452</f>
        <v>40213.174141201132</v>
      </c>
      <c r="J2530" s="46">
        <f>'Data_in-situ'!CP452</f>
        <v>1</v>
      </c>
      <c r="K2530" s="24">
        <f>'Data_in-situ'!CR452</f>
        <v>166356.66666666666</v>
      </c>
      <c r="L2530" s="24">
        <f>'Data_in-situ'!CS452</f>
        <v>43650.520401835049</v>
      </c>
      <c r="M2530" s="46">
        <f>'Data_in-situ'!CT452</f>
        <v>1</v>
      </c>
      <c r="N2530" s="24">
        <f>'Data_in-situ'!DA228</f>
        <v>-2400</v>
      </c>
      <c r="O2530" s="24">
        <f>'Data_in-situ'!DB228</f>
        <v>7199.1757408469075</v>
      </c>
      <c r="P2530" s="46">
        <f>'Data_in-situ'!DC228</f>
        <v>4</v>
      </c>
      <c r="Q2530" s="24">
        <f>'Data_in-situ'!DE228</f>
        <v>4200</v>
      </c>
      <c r="R2530" s="24">
        <f>'Data_in-situ'!DF228</f>
        <v>4003.1997360589748</v>
      </c>
      <c r="S2530" s="46">
        <f>'Data_in-situ'!DG228</f>
        <v>4</v>
      </c>
      <c r="T2530" s="113">
        <f>'Data_in-situ'!DN152</f>
        <v>38.133333333333333</v>
      </c>
      <c r="U2530" s="113">
        <f>'Data_in-situ'!DO152</f>
        <v>12.933333333333332</v>
      </c>
      <c r="V2530" s="46">
        <f>'Data_in-situ'!DP152</f>
        <v>8</v>
      </c>
      <c r="W2530" s="113">
        <f>'Data_in-situ'!DR152</f>
        <v>4.9333333333333336</v>
      </c>
      <c r="X2530" s="113">
        <f>'Data_in-situ'!DS152</f>
        <v>2.5333333333333332</v>
      </c>
      <c r="Y2530" s="46">
        <f>'Data_in-situ'!DT152</f>
        <v>7</v>
      </c>
      <c r="Z2530" s="113">
        <f>'Data_in-situ'!EA169</f>
        <v>10.444427313037668</v>
      </c>
      <c r="AA2530" s="113">
        <f>'Data_in-situ'!EB169</f>
        <v>60.055216643145187</v>
      </c>
      <c r="AB2530" s="46">
        <f>'Data_in-situ'!EC169</f>
        <v>3</v>
      </c>
      <c r="AC2530" s="113">
        <f>'Data_in-situ'!EE169</f>
        <v>19.289099302725344</v>
      </c>
      <c r="AD2530" s="113">
        <f>'Data_in-situ'!EF169</f>
        <v>28.801313805804487</v>
      </c>
      <c r="AE2530" s="46">
        <f>'Data_in-situ'!EG169</f>
        <v>3</v>
      </c>
      <c r="AF2530" s="113">
        <f>'Data_in-situ'!EN167</f>
        <v>-18</v>
      </c>
      <c r="AG2530" s="113">
        <f>'Data_in-situ'!EO167</f>
        <v>7.3349351775232803</v>
      </c>
      <c r="AH2530" s="110">
        <f>'Data_in-situ'!EP167</f>
        <v>3</v>
      </c>
      <c r="AI2530" s="113">
        <f>'Data_in-situ'!ER167</f>
        <v>-37</v>
      </c>
      <c r="AJ2530" s="113">
        <f>'Data_in-situ'!ES167</f>
        <v>8.3921199798401851</v>
      </c>
      <c r="AK2530" s="110">
        <f>'Data_in-situ'!ET167</f>
        <v>3</v>
      </c>
    </row>
    <row r="2531" spans="2:37" x14ac:dyDescent="0.3">
      <c r="B2531" s="24">
        <f>'Data_in-situ'!CA453</f>
        <v>-134383.33333333334</v>
      </c>
      <c r="C2531" s="24">
        <f>'Data_in-situ'!CB453</f>
        <v>32764.062394979126</v>
      </c>
      <c r="D2531" s="46">
        <f>'Data_in-situ'!CC453</f>
        <v>1</v>
      </c>
      <c r="E2531" s="24">
        <f>'Data_in-situ'!CE453</f>
        <v>-148133.33333333334</v>
      </c>
      <c r="F2531" s="24">
        <f>'Data_in-situ'!CF453</f>
        <v>55145.46215318724</v>
      </c>
      <c r="G2531" s="46">
        <f>'Data_in-situ'!CG453</f>
        <v>1</v>
      </c>
      <c r="H2531" s="24">
        <f>'Data_in-situ'!CN453</f>
        <v>136253.33333333334</v>
      </c>
      <c r="I2531" s="24">
        <f>'Data_in-situ'!CO453</f>
        <v>39190.179677079308</v>
      </c>
      <c r="J2531" s="46">
        <f>'Data_in-situ'!CP453</f>
        <v>1</v>
      </c>
      <c r="K2531" s="24">
        <f>'Data_in-situ'!CR453</f>
        <v>161810</v>
      </c>
      <c r="L2531" s="24">
        <f>'Data_in-situ'!CS453</f>
        <v>42457.515215626641</v>
      </c>
      <c r="M2531" s="46">
        <f>'Data_in-situ'!CT453</f>
        <v>1</v>
      </c>
      <c r="N2531" s="24">
        <f>'Data_in-situ'!DA229</f>
        <v>-2700</v>
      </c>
      <c r="O2531" s="24">
        <f>'Data_in-situ'!DB229</f>
        <v>8099.0727084527707</v>
      </c>
      <c r="P2531" s="46">
        <f>'Data_in-situ'!DC229</f>
        <v>4</v>
      </c>
      <c r="Q2531" s="24">
        <f>'Data_in-situ'!DE229</f>
        <v>5300</v>
      </c>
      <c r="R2531" s="24">
        <f>'Data_in-situ'!DF229</f>
        <v>5051.6568097887066</v>
      </c>
      <c r="S2531" s="46">
        <f>'Data_in-situ'!DG229</f>
        <v>4</v>
      </c>
      <c r="T2531" s="113">
        <f>'Data_in-situ'!DN153</f>
        <v>38.133333333333333</v>
      </c>
      <c r="U2531" s="113">
        <f>'Data_in-situ'!DO153</f>
        <v>12.933333333333332</v>
      </c>
      <c r="V2531" s="46">
        <f>'Data_in-situ'!DP153</f>
        <v>8</v>
      </c>
      <c r="W2531" s="113">
        <f>'Data_in-situ'!DR153</f>
        <v>6.9333333333333336</v>
      </c>
      <c r="X2531" s="113">
        <f>'Data_in-situ'!DS153</f>
        <v>6.8</v>
      </c>
      <c r="Y2531" s="46">
        <f>'Data_in-situ'!DT153</f>
        <v>5</v>
      </c>
      <c r="Z2531" s="113">
        <f>'Data_in-situ'!EA172</f>
        <v>0.74525790987535934</v>
      </c>
      <c r="AA2531" s="113">
        <f>'Data_in-situ'!EB172</f>
        <v>0.23830443450184333</v>
      </c>
      <c r="AB2531" s="46">
        <f>'Data_in-situ'!EC172</f>
        <v>3</v>
      </c>
      <c r="AC2531" s="113">
        <f>'Data_in-situ'!EE172</f>
        <v>2.0509990412272292</v>
      </c>
      <c r="AD2531" s="113">
        <f>'Data_in-situ'!EF172</f>
        <v>1.58486712384372</v>
      </c>
      <c r="AE2531" s="46">
        <f>'Data_in-situ'!EG172</f>
        <v>3</v>
      </c>
      <c r="AF2531" s="113">
        <f>'Data_in-situ'!EN168</f>
        <v>-7.118297455968686</v>
      </c>
      <c r="AG2531" s="113">
        <f>'Data_in-situ'!EO168</f>
        <v>2.0896725316659488</v>
      </c>
      <c r="AH2531" s="110">
        <f>'Data_in-situ'!EP168</f>
        <v>3</v>
      </c>
      <c r="AI2531" s="113">
        <f>'Data_in-situ'!ER168</f>
        <v>-41.42054794520547</v>
      </c>
      <c r="AJ2531" s="113">
        <f>'Data_in-situ'!ES168</f>
        <v>4.0513805156967972</v>
      </c>
      <c r="AK2531" s="110">
        <f>'Data_in-situ'!ET168</f>
        <v>3</v>
      </c>
    </row>
    <row r="2532" spans="2:37" x14ac:dyDescent="0.3">
      <c r="N2532" s="24">
        <f>'Data_in-situ'!DA230</f>
        <v>-2850</v>
      </c>
      <c r="O2532" s="24">
        <f>'Data_in-situ'!DB230</f>
        <v>8549.0211922557028</v>
      </c>
      <c r="P2532" s="46">
        <f>'Data_in-situ'!DC230</f>
        <v>4</v>
      </c>
      <c r="Q2532" s="24">
        <f>'Data_in-situ'!DE230</f>
        <v>5150</v>
      </c>
      <c r="R2532" s="24">
        <f>'Data_in-situ'!DF230</f>
        <v>4908.6853906437427</v>
      </c>
      <c r="S2532" s="46">
        <f>'Data_in-situ'!DG230</f>
        <v>4</v>
      </c>
      <c r="T2532" s="113">
        <f>'Data_in-situ'!DN154</f>
        <v>38.133333333333333</v>
      </c>
      <c r="U2532" s="113">
        <f>'Data_in-situ'!DO154</f>
        <v>12.933333333333332</v>
      </c>
      <c r="V2532" s="46">
        <f>'Data_in-situ'!DP154</f>
        <v>8</v>
      </c>
      <c r="W2532" s="113">
        <f>'Data_in-situ'!DR154</f>
        <v>-0.26666666666666666</v>
      </c>
      <c r="X2532" s="113">
        <f>'Data_in-situ'!DS154</f>
        <v>0.9965910119016026</v>
      </c>
      <c r="Y2532" s="46">
        <f>'Data_in-situ'!DT154</f>
        <v>1</v>
      </c>
      <c r="Z2532" s="113">
        <f>'Data_in-situ'!EA205</f>
        <v>0.87842857142857156</v>
      </c>
      <c r="AA2532" s="113">
        <f>'Data_in-situ'!EB205</f>
        <v>0.16185714285714287</v>
      </c>
      <c r="AB2532" s="46">
        <f>'Data_in-situ'!EC205</f>
        <v>4</v>
      </c>
      <c r="AC2532" s="113">
        <f>'Data_in-situ'!EE205</f>
        <v>24.849</v>
      </c>
      <c r="AD2532" s="113">
        <f>'Data_in-situ'!EF205</f>
        <v>0.65528571428571425</v>
      </c>
      <c r="AE2532" s="46">
        <f>'Data_in-situ'!EG205</f>
        <v>4</v>
      </c>
      <c r="AF2532" s="113">
        <f>'Data_in-situ'!EN169</f>
        <v>-23.325205479452055</v>
      </c>
      <c r="AG2532" s="113">
        <f>'Data_in-situ'!EO169</f>
        <v>9.1345235133236322</v>
      </c>
      <c r="AH2532" s="110">
        <f>'Data_in-situ'!EP169</f>
        <v>3</v>
      </c>
      <c r="AI2532" s="113">
        <f>'Data_in-situ'!ER169</f>
        <v>-50.248283223625691</v>
      </c>
      <c r="AJ2532" s="113">
        <f>'Data_in-situ'!ES169</f>
        <v>5.5408758417852315</v>
      </c>
      <c r="AK2532" s="110">
        <f>'Data_in-situ'!ET169</f>
        <v>3</v>
      </c>
    </row>
    <row r="2533" spans="2:37" x14ac:dyDescent="0.3">
      <c r="N2533" s="24">
        <f>'Data_in-situ'!DA246</f>
        <v>7663.3333333333339</v>
      </c>
      <c r="O2533" s="24">
        <f>'Data_in-situ'!DB246</f>
        <v>22987.368094732003</v>
      </c>
      <c r="P2533" s="46">
        <f>'Data_in-situ'!DC246</f>
        <v>1</v>
      </c>
      <c r="Q2533" s="24">
        <f>'Data_in-situ'!DE246</f>
        <v>18223.333333333332</v>
      </c>
      <c r="R2533" s="24">
        <f>'Data_in-situ'!DF246</f>
        <v>17369.438854789216</v>
      </c>
      <c r="S2533" s="46">
        <f>'Data_in-situ'!DG246</f>
        <v>1</v>
      </c>
      <c r="T2533" s="113">
        <f>'Data_in-situ'!DN155</f>
        <v>38.133333333333333</v>
      </c>
      <c r="U2533" s="113">
        <f>'Data_in-situ'!DO155</f>
        <v>12.933333333333332</v>
      </c>
      <c r="V2533" s="46">
        <f>'Data_in-situ'!DP155</f>
        <v>8</v>
      </c>
      <c r="W2533" s="113">
        <f>'Data_in-situ'!DR155</f>
        <v>2.6666666666666665</v>
      </c>
      <c r="X2533" s="113">
        <f>'Data_in-situ'!DS155</f>
        <v>3.6</v>
      </c>
      <c r="Y2533" s="46">
        <f>'Data_in-situ'!DT155</f>
        <v>5</v>
      </c>
      <c r="Z2533" s="113">
        <f>'Data_in-situ'!EA219</f>
        <v>2.294285714285714</v>
      </c>
      <c r="AA2533" s="113">
        <f>'Data_in-situ'!EB219</f>
        <v>0.87097412037749256</v>
      </c>
      <c r="AB2533" s="46">
        <f>'Data_in-situ'!EC219</f>
        <v>3</v>
      </c>
      <c r="AC2533" s="113">
        <f>'Data_in-situ'!EE219</f>
        <v>2.152857142857143</v>
      </c>
      <c r="AD2533" s="113">
        <f>'Data_in-situ'!EF219</f>
        <v>0.81653823785389912</v>
      </c>
      <c r="AE2533" s="46">
        <f>'Data_in-situ'!EG219</f>
        <v>3</v>
      </c>
      <c r="AF2533" s="113">
        <f>'Data_in-situ'!EN170</f>
        <v>-5.9909980430528433</v>
      </c>
      <c r="AG2533" s="113">
        <f>'Data_in-situ'!EO170</f>
        <v>3.1338536679828461</v>
      </c>
      <c r="AH2533" s="110">
        <f>'Data_in-situ'!EP170</f>
        <v>3</v>
      </c>
      <c r="AI2533" s="113">
        <f>'Data_in-situ'!ER170</f>
        <v>-25.035567514677091</v>
      </c>
      <c r="AJ2533" s="113">
        <f>'Data_in-situ'!ES170</f>
        <v>3.3576627131775418</v>
      </c>
      <c r="AK2533" s="110">
        <f>'Data_in-situ'!ET170</f>
        <v>3</v>
      </c>
    </row>
    <row r="2534" spans="2:37" x14ac:dyDescent="0.3">
      <c r="N2534" s="24">
        <f>'Data_in-situ'!DA247</f>
        <v>2640</v>
      </c>
      <c r="O2534" s="24">
        <f>'Data_in-situ'!DB247</f>
        <v>7919.0933149315979</v>
      </c>
      <c r="P2534" s="46">
        <f>'Data_in-situ'!DC247</f>
        <v>1</v>
      </c>
      <c r="Q2534" s="24">
        <f>'Data_in-situ'!DE247</f>
        <v>7406.6666666666661</v>
      </c>
      <c r="R2534" s="24">
        <f>'Data_in-situ'!DF247</f>
        <v>7059.610963113525</v>
      </c>
      <c r="S2534" s="46">
        <f>'Data_in-situ'!DG247</f>
        <v>1</v>
      </c>
      <c r="T2534" s="113">
        <f>'Data_in-situ'!DN167</f>
        <v>2.9175154909077907</v>
      </c>
      <c r="U2534" s="113">
        <f>'Data_in-situ'!DO167</f>
        <v>16.507200000000001</v>
      </c>
      <c r="V2534" s="46">
        <f>'Data_in-situ'!DP167</f>
        <v>8</v>
      </c>
      <c r="W2534" s="113">
        <f>'Data_in-situ'!DR167</f>
        <v>-0.3033323434259278</v>
      </c>
      <c r="X2534" s="113">
        <f>'Data_in-situ'!DS167</f>
        <v>3.4939236241769644</v>
      </c>
      <c r="Y2534" s="46">
        <f>'Data_in-situ'!DT167</f>
        <v>8</v>
      </c>
      <c r="Z2534" s="113">
        <f>'Data_in-situ'!EA220</f>
        <v>0.3457142857142857</v>
      </c>
      <c r="AA2534" s="113">
        <f>'Data_in-situ'!EB220</f>
        <v>0.10887176504718657</v>
      </c>
      <c r="AB2534" s="46">
        <f>'Data_in-situ'!EC220</f>
        <v>3</v>
      </c>
      <c r="AC2534" s="113">
        <f>'Data_in-situ'!EE220</f>
        <v>0.29857142857142854</v>
      </c>
      <c r="AD2534" s="113">
        <f>'Data_in-situ'!EF220</f>
        <v>8.165382378538992E-2</v>
      </c>
      <c r="AE2534" s="46">
        <f>'Data_in-situ'!EG220</f>
        <v>3</v>
      </c>
      <c r="AF2534" s="113">
        <f>'Data_in-situ'!EN171</f>
        <v>-28.456673189823867</v>
      </c>
      <c r="AG2534" s="113">
        <f>'Data_in-situ'!EO171</f>
        <v>9.4179374135466869</v>
      </c>
      <c r="AH2534" s="110">
        <f>'Data_in-situ'!EP171</f>
        <v>3</v>
      </c>
      <c r="AI2534" s="113">
        <f>'Data_in-situ'!ER171</f>
        <v>-19.023532289628182</v>
      </c>
      <c r="AJ2534" s="113">
        <f>'Data_in-situ'!ES171</f>
        <v>6.0791484886821818</v>
      </c>
      <c r="AK2534" s="110">
        <f>'Data_in-situ'!ET171</f>
        <v>3</v>
      </c>
    </row>
    <row r="2535" spans="2:37" x14ac:dyDescent="0.3">
      <c r="N2535" s="24">
        <f>'Data_in-situ'!DA248</f>
        <v>16243.333333333332</v>
      </c>
      <c r="O2535" s="24">
        <f>'Data_in-situ'!DB248</f>
        <v>48724.421368259689</v>
      </c>
      <c r="P2535" s="46">
        <f>'Data_in-situ'!DC248</f>
        <v>1</v>
      </c>
      <c r="Q2535" s="24">
        <f>'Data_in-situ'!DE248</f>
        <v>18480</v>
      </c>
      <c r="R2535" s="24">
        <f>'Data_in-situ'!DF248</f>
        <v>17614.07883865949</v>
      </c>
      <c r="S2535" s="46">
        <f>'Data_in-situ'!DG248</f>
        <v>1</v>
      </c>
      <c r="T2535" s="113">
        <f>'Data_in-situ'!DN168</f>
        <v>11.795840386040403</v>
      </c>
      <c r="U2535" s="113">
        <f>'Data_in-situ'!DO168</f>
        <v>13.150938144632661</v>
      </c>
      <c r="V2535" s="46">
        <f>'Data_in-situ'!DP168</f>
        <v>3</v>
      </c>
      <c r="W2535" s="113">
        <f>'Data_in-situ'!DR168</f>
        <v>0.26812694984226471</v>
      </c>
      <c r="X2535" s="113">
        <f>'Data_in-situ'!DS168</f>
        <v>1.002048405980223</v>
      </c>
      <c r="Y2535" s="46">
        <f>'Data_in-situ'!DT168</f>
        <v>3</v>
      </c>
      <c r="Z2535" s="113">
        <f>'Data_in-situ'!EA221</f>
        <v>1.1800914940670852</v>
      </c>
      <c r="AA2535" s="113">
        <f>'Data_in-situ'!EB221</f>
        <v>0.73618285714285703</v>
      </c>
      <c r="AB2535" s="46">
        <f>'Data_in-situ'!EC221</f>
        <v>2</v>
      </c>
      <c r="AC2535" s="113">
        <f>'Data_in-situ'!EE221</f>
        <v>0.9163634502292034</v>
      </c>
      <c r="AD2535" s="113">
        <f>'Data_in-situ'!EF221</f>
        <v>0.55673828571428574</v>
      </c>
      <c r="AE2535" s="46">
        <f>'Data_in-situ'!EG221</f>
        <v>6</v>
      </c>
      <c r="AF2535" s="113">
        <f>'Data_in-situ'!EN173</f>
        <v>-14.041514041514047</v>
      </c>
      <c r="AG2535" s="113">
        <f>'Data_in-situ'!EO173</f>
        <v>3.8618262026084285</v>
      </c>
      <c r="AH2535" s="110">
        <f>'Data_in-situ'!EP173</f>
        <v>3</v>
      </c>
      <c r="AI2535" s="113">
        <f>'Data_in-situ'!ER173</f>
        <v>-37.912087912087912</v>
      </c>
      <c r="AJ2535" s="113">
        <f>'Data_in-situ'!ES173</f>
        <v>6.2846687384361628</v>
      </c>
      <c r="AK2535" s="110">
        <f>'Data_in-situ'!ET173</f>
        <v>3</v>
      </c>
    </row>
    <row r="2536" spans="2:37" x14ac:dyDescent="0.3">
      <c r="N2536" s="24">
        <f>'Data_in-situ'!DA249</f>
        <v>-990</v>
      </c>
      <c r="O2536" s="24">
        <f>'Data_in-situ'!DB249</f>
        <v>2969.6599930993493</v>
      </c>
      <c r="P2536" s="46">
        <f>'Data_in-situ'!DC249</f>
        <v>1</v>
      </c>
      <c r="Q2536" s="24">
        <f>'Data_in-situ'!DE249</f>
        <v>3923.333333333333</v>
      </c>
      <c r="R2536" s="24">
        <f>'Data_in-situ'!DF249</f>
        <v>3739.4968963027086</v>
      </c>
      <c r="S2536" s="46">
        <f>'Data_in-situ'!DG249</f>
        <v>1</v>
      </c>
      <c r="T2536" s="113">
        <f>'Data_in-situ'!DN169</f>
        <v>14.661871345978286</v>
      </c>
      <c r="U2536" s="113">
        <f>'Data_in-situ'!DO169</f>
        <v>16.346216703958547</v>
      </c>
      <c r="V2536" s="46">
        <f>'Data_in-situ'!DP169</f>
        <v>3</v>
      </c>
      <c r="W2536" s="113">
        <f>'Data_in-situ'!DR169</f>
        <v>4.2578559634951523</v>
      </c>
      <c r="X2536" s="113">
        <f>'Data_in-situ'!DS169</f>
        <v>15.912528686965901</v>
      </c>
      <c r="Y2536" s="46">
        <f>'Data_in-situ'!DT169</f>
        <v>3</v>
      </c>
      <c r="Z2536" s="113">
        <f>'Data_in-situ'!EA410</f>
        <v>0.97428571428571431</v>
      </c>
      <c r="AA2536" s="113">
        <f>'Data_in-situ'!EB410</f>
        <v>0.17285714285714285</v>
      </c>
      <c r="AB2536" s="46">
        <f>'Data_in-situ'!EC410</f>
        <v>4</v>
      </c>
      <c r="AC2536" s="113">
        <f>'Data_in-situ'!EE410</f>
        <v>11.157142857142857</v>
      </c>
      <c r="AD2536" s="113">
        <f>'Data_in-situ'!EF410</f>
        <v>1.8857142857142857</v>
      </c>
      <c r="AE2536" s="46">
        <f>'Data_in-situ'!EG410</f>
        <v>4</v>
      </c>
      <c r="AF2536" s="113">
        <f>'Data_in-situ'!EN205</f>
        <v>-10</v>
      </c>
      <c r="AG2536" s="113">
        <f>'Data_in-situ'!EO205</f>
        <v>23</v>
      </c>
      <c r="AH2536" s="110">
        <f>'Data_in-situ'!EP205</f>
        <v>4</v>
      </c>
      <c r="AI2536" s="113">
        <f>'Data_in-situ'!ER205</f>
        <v>-56</v>
      </c>
      <c r="AJ2536" s="113">
        <f>'Data_in-situ'!ES205</f>
        <v>34</v>
      </c>
      <c r="AK2536" s="110">
        <f>'Data_in-situ'!ET205</f>
        <v>4</v>
      </c>
    </row>
    <row r="2537" spans="2:37" x14ac:dyDescent="0.3">
      <c r="N2537" s="24">
        <f>'Data_in-situ'!DA450</f>
        <v>15730</v>
      </c>
      <c r="O2537" s="24">
        <f>'Data_in-situ'!DB450</f>
        <v>47184.597668134105</v>
      </c>
      <c r="P2537" s="46">
        <f>'Data_in-situ'!DC450</f>
        <v>1</v>
      </c>
      <c r="Q2537" s="24">
        <f>'Data_in-situ'!DE450</f>
        <v>22330</v>
      </c>
      <c r="R2537" s="24">
        <f>'Data_in-situ'!DF450</f>
        <v>21283.678596713551</v>
      </c>
      <c r="S2537" s="46">
        <f>'Data_in-situ'!DG450</f>
        <v>1</v>
      </c>
      <c r="T2537" s="113">
        <f>'Data_in-situ'!DN170</f>
        <v>5.1084348128521384</v>
      </c>
      <c r="U2537" s="113">
        <f>'Data_in-situ'!DO170</f>
        <v>5.6952881728724067</v>
      </c>
      <c r="V2537" s="46">
        <f>'Data_in-situ'!DP170</f>
        <v>3</v>
      </c>
      <c r="W2537" s="113">
        <f>'Data_in-situ'!DR170</f>
        <v>-0.69713006958988755</v>
      </c>
      <c r="X2537" s="113">
        <f>'Data_in-situ'!DS170</f>
        <v>2.6053258555485774</v>
      </c>
      <c r="Y2537" s="46">
        <f>'Data_in-situ'!DT170</f>
        <v>3</v>
      </c>
      <c r="Z2537" s="113">
        <f>'Data_in-situ'!EA411</f>
        <v>6.9142857142857155</v>
      </c>
      <c r="AA2537" s="113">
        <f>'Data_in-situ'!EB411</f>
        <v>1.8857142857142857</v>
      </c>
      <c r="AB2537" s="46">
        <f>'Data_in-situ'!EC411</f>
        <v>4</v>
      </c>
      <c r="AC2537" s="113">
        <f>'Data_in-situ'!EE411</f>
        <v>36.142857142857146</v>
      </c>
      <c r="AD2537" s="113">
        <f>'Data_in-situ'!EF411</f>
        <v>15.400000000000002</v>
      </c>
      <c r="AE2537" s="46">
        <f>'Data_in-situ'!EG411</f>
        <v>4</v>
      </c>
      <c r="AF2537" s="113">
        <f>'Data_in-situ'!EN221</f>
        <v>-16</v>
      </c>
      <c r="AG2537" s="113">
        <f>'Data_in-situ'!EO221</f>
        <v>0.7</v>
      </c>
      <c r="AH2537" s="110">
        <f>'Data_in-situ'!EP221</f>
        <v>2</v>
      </c>
      <c r="AI2537" s="113">
        <f>'Data_in-situ'!ER221</f>
        <v>-44</v>
      </c>
      <c r="AJ2537" s="113">
        <f>'Data_in-situ'!ES221</f>
        <v>14</v>
      </c>
      <c r="AK2537" s="110">
        <f>'Data_in-situ'!ET221</f>
        <v>6</v>
      </c>
    </row>
    <row r="2538" spans="2:37" x14ac:dyDescent="0.3">
      <c r="N2538" s="24">
        <f>'Data_in-situ'!DA451</f>
        <v>11403.333333333334</v>
      </c>
      <c r="O2538" s="24">
        <f>'Data_in-situ'!DB451</f>
        <v>34206.08362421843</v>
      </c>
      <c r="P2538" s="46">
        <f>'Data_in-situ'!DC451</f>
        <v>1</v>
      </c>
      <c r="Q2538" s="24">
        <f>'Data_in-situ'!DE451</f>
        <v>21156.666666666668</v>
      </c>
      <c r="R2538" s="24">
        <f>'Data_in-situ'!DF451</f>
        <v>20165.32438473517</v>
      </c>
      <c r="S2538" s="46">
        <f>'Data_in-situ'!DG451</f>
        <v>1</v>
      </c>
      <c r="T2538" s="113">
        <f>'Data_in-situ'!DN171</f>
        <v>8.2133016861181183</v>
      </c>
      <c r="U2538" s="113">
        <f>'Data_in-situ'!DO171</f>
        <v>9.1568399454753813</v>
      </c>
      <c r="V2538" s="46">
        <f>'Data_in-situ'!DP171</f>
        <v>3</v>
      </c>
      <c r="W2538" s="113">
        <f>'Data_in-situ'!DR171</f>
        <v>3.0351970722144359</v>
      </c>
      <c r="X2538" s="113">
        <f>'Data_in-situ'!DS171</f>
        <v>11.343187955696123</v>
      </c>
      <c r="Y2538" s="46">
        <f>'Data_in-situ'!DT171</f>
        <v>3</v>
      </c>
      <c r="Z2538" s="113">
        <f>'Data_in-situ'!EA439</f>
        <v>1.0999999999999999</v>
      </c>
      <c r="AA2538" s="113">
        <f>'Data_in-situ'!EB439</f>
        <v>6.3249746805166405</v>
      </c>
      <c r="AB2538" s="46">
        <f>'Data_in-situ'!EC439</f>
        <v>3</v>
      </c>
      <c r="AC2538" s="113">
        <f>'Data_in-situ'!EE439</f>
        <v>5.1857142857142851</v>
      </c>
      <c r="AD2538" s="113">
        <f>'Data_in-situ'!EF439</f>
        <v>7.7429942220784804</v>
      </c>
      <c r="AE2538" s="46">
        <f>'Data_in-situ'!EG439</f>
        <v>3</v>
      </c>
      <c r="AF2538" s="113">
        <f>'Data_in-situ'!EN226</f>
        <v>-15</v>
      </c>
      <c r="AG2538" s="113">
        <f>'Data_in-situ'!EO226</f>
        <v>6.1124459812694001</v>
      </c>
      <c r="AH2538" s="110">
        <f>'Data_in-situ'!EP226</f>
        <v>4</v>
      </c>
      <c r="AI2538" s="113">
        <f>'Data_in-situ'!ER226</f>
        <v>-60</v>
      </c>
      <c r="AJ2538" s="113">
        <f>'Data_in-situ'!ES226</f>
        <v>13.608843210551651</v>
      </c>
      <c r="AK2538" s="110">
        <f>'Data_in-situ'!ET226</f>
        <v>4</v>
      </c>
    </row>
    <row r="2539" spans="2:37" x14ac:dyDescent="0.3">
      <c r="N2539" s="24">
        <f>'Data_in-situ'!DA452</f>
        <v>4326.666666666667</v>
      </c>
      <c r="O2539" s="24">
        <f>'Data_in-situ'!DB452</f>
        <v>12978.514043915675</v>
      </c>
      <c r="P2539" s="46">
        <f>'Data_in-situ'!DC452</f>
        <v>1</v>
      </c>
      <c r="Q2539" s="24">
        <f>'Data_in-situ'!DE452</f>
        <v>15693.333333333334</v>
      </c>
      <c r="R2539" s="24">
        <f>'Data_in-situ'!DF452</f>
        <v>14957.987585210836</v>
      </c>
      <c r="S2539" s="46">
        <f>'Data_in-situ'!DG452</f>
        <v>1</v>
      </c>
      <c r="T2539" s="113">
        <f>'Data_in-situ'!DN205</f>
        <v>1.365079365079364</v>
      </c>
      <c r="U2539" s="113">
        <f>'Data_in-situ'!DO205</f>
        <v>1.1269841269841301</v>
      </c>
      <c r="V2539" s="46">
        <f>'Data_in-situ'!DP205</f>
        <v>4</v>
      </c>
      <c r="W2539" s="113">
        <f>'Data_in-situ'!DR205</f>
        <v>-2.3809523809523801E-2</v>
      </c>
      <c r="X2539" s="113">
        <f>'Data_in-situ'!DS205</f>
        <v>4.7619047619047603E-2</v>
      </c>
      <c r="Y2539" s="46">
        <f>'Data_in-situ'!DT205</f>
        <v>4</v>
      </c>
      <c r="Z2539" s="113">
        <f>'Data_in-situ'!EA440</f>
        <v>1.0999999999999999</v>
      </c>
      <c r="AA2539" s="113">
        <f>'Data_in-situ'!EB440</f>
        <v>6.3249746805166405</v>
      </c>
      <c r="AB2539" s="46">
        <f>'Data_in-situ'!EC440</f>
        <v>3</v>
      </c>
      <c r="AC2539" s="113">
        <f>'Data_in-situ'!EE440</f>
        <v>1.8857142857142857</v>
      </c>
      <c r="AD2539" s="113">
        <f>'Data_in-situ'!EF440</f>
        <v>2.8156342625739934</v>
      </c>
      <c r="AE2539" s="46">
        <f>'Data_in-situ'!EG440</f>
        <v>3</v>
      </c>
      <c r="AF2539" s="113">
        <f>'Data_in-situ'!EN227</f>
        <v>-9.6300000000000008</v>
      </c>
      <c r="AG2539" s="113">
        <f>'Data_in-situ'!EO227</f>
        <v>3.9241903199749553</v>
      </c>
      <c r="AH2539" s="110">
        <f>'Data_in-situ'!EP227</f>
        <v>4</v>
      </c>
      <c r="AI2539" s="113">
        <f>'Data_in-situ'!ER227</f>
        <v>-60</v>
      </c>
      <c r="AJ2539" s="113">
        <f>'Data_in-situ'!ES227</f>
        <v>13.608843210551651</v>
      </c>
      <c r="AK2539" s="110">
        <f>'Data_in-situ'!ET227</f>
        <v>4</v>
      </c>
    </row>
    <row r="2540" spans="2:37" x14ac:dyDescent="0.3">
      <c r="N2540" s="24">
        <f>'Data_in-situ'!DA453</f>
        <v>1870</v>
      </c>
      <c r="O2540" s="24">
        <f>'Data_in-situ'!DB453</f>
        <v>5609.3577647432157</v>
      </c>
      <c r="P2540" s="46">
        <f>'Data_in-situ'!DC453</f>
        <v>1</v>
      </c>
      <c r="Q2540" s="24">
        <f>'Data_in-situ'!DE453</f>
        <v>13676.666666666666</v>
      </c>
      <c r="R2540" s="24">
        <f>'Data_in-situ'!DF453</f>
        <v>13035.816283372995</v>
      </c>
      <c r="S2540" s="46">
        <f>'Data_in-situ'!DG453</f>
        <v>1</v>
      </c>
      <c r="T2540" s="113">
        <f>'Data_in-situ'!DN219</f>
        <v>21.18</v>
      </c>
      <c r="U2540" s="113">
        <f>'Data_in-situ'!DO219</f>
        <v>2.2516660498395402</v>
      </c>
      <c r="V2540" s="46">
        <f>'Data_in-situ'!DP219</f>
        <v>3</v>
      </c>
      <c r="W2540" s="113">
        <f>'Data_in-situ'!DR219</f>
        <v>9.06</v>
      </c>
      <c r="X2540" s="113">
        <f>'Data_in-situ'!DS219</f>
        <v>0.95262794416288255</v>
      </c>
      <c r="Y2540" s="46">
        <f>'Data_in-situ'!DT219</f>
        <v>3</v>
      </c>
      <c r="AF2540" s="113">
        <f>'Data_in-situ'!EN228</f>
        <v>-8.65</v>
      </c>
      <c r="AG2540" s="113">
        <f>'Data_in-situ'!EO228</f>
        <v>3.5248438491986875</v>
      </c>
      <c r="AH2540" s="110">
        <f>'Data_in-situ'!EP228</f>
        <v>4</v>
      </c>
      <c r="AI2540" s="113">
        <f>'Data_in-situ'!ER228</f>
        <v>-60</v>
      </c>
      <c r="AJ2540" s="113">
        <f>'Data_in-situ'!ES228</f>
        <v>13.608843210551651</v>
      </c>
      <c r="AK2540" s="110">
        <f>'Data_in-situ'!ET228</f>
        <v>4</v>
      </c>
    </row>
    <row r="2541" spans="2:37" x14ac:dyDescent="0.3">
      <c r="T2541" s="113">
        <f>'Data_in-situ'!DN220</f>
        <v>13.53</v>
      </c>
      <c r="U2541" s="113">
        <f>'Data_in-situ'!DO220</f>
        <v>1.593486742963367</v>
      </c>
      <c r="V2541" s="46">
        <f>'Data_in-situ'!DP220</f>
        <v>3</v>
      </c>
      <c r="W2541" s="113">
        <f>'Data_in-situ'!DR220</f>
        <v>3.23</v>
      </c>
      <c r="X2541" s="113">
        <f>'Data_in-situ'!DS220</f>
        <v>0.74478184725461716</v>
      </c>
      <c r="Y2541" s="46">
        <f>'Data_in-situ'!DT220</f>
        <v>3</v>
      </c>
      <c r="AF2541" s="113">
        <f>'Data_in-situ'!EN229</f>
        <v>-9.6199999999999992</v>
      </c>
      <c r="AG2541" s="113">
        <f>'Data_in-situ'!EO229</f>
        <v>3.9201153559874418</v>
      </c>
      <c r="AH2541" s="110">
        <f>'Data_in-situ'!EP229</f>
        <v>4</v>
      </c>
      <c r="AI2541" s="113">
        <f>'Data_in-situ'!ER229</f>
        <v>-80</v>
      </c>
      <c r="AJ2541" s="113">
        <f>'Data_in-situ'!ES229</f>
        <v>18.145124280735534</v>
      </c>
      <c r="AK2541" s="110">
        <f>'Data_in-situ'!ET229</f>
        <v>4</v>
      </c>
    </row>
    <row r="2542" spans="2:37" x14ac:dyDescent="0.3">
      <c r="T2542" s="113">
        <f>'Data_in-situ'!DN221</f>
        <v>102.01732234975572</v>
      </c>
      <c r="U2542" s="113">
        <f>'Data_in-situ'!DO221</f>
        <v>83.345787424497175</v>
      </c>
      <c r="V2542" s="46">
        <f>'Data_in-situ'!DP221</f>
        <v>2</v>
      </c>
      <c r="W2542" s="113">
        <f>'Data_in-situ'!DR221</f>
        <v>0.61419354838709672</v>
      </c>
      <c r="X2542" s="113">
        <f>'Data_in-situ'!DS221</f>
        <v>11.86963649409887</v>
      </c>
      <c r="Y2542" s="46">
        <f>'Data_in-situ'!DT221</f>
        <v>6</v>
      </c>
      <c r="AF2542" s="113">
        <f>'Data_in-situ'!EN230</f>
        <v>-5.36</v>
      </c>
      <c r="AG2542" s="113">
        <f>'Data_in-situ'!EO230</f>
        <v>2.1841806973069327</v>
      </c>
      <c r="AH2542" s="110">
        <f>'Data_in-situ'!EP230</f>
        <v>4</v>
      </c>
      <c r="AI2542" s="113">
        <f>'Data_in-situ'!ER230</f>
        <v>-80</v>
      </c>
      <c r="AJ2542" s="113">
        <f>'Data_in-situ'!ES230</f>
        <v>18.145124280735534</v>
      </c>
      <c r="AK2542" s="110">
        <f>'Data_in-situ'!ET230</f>
        <v>4</v>
      </c>
    </row>
    <row r="2543" spans="2:37" x14ac:dyDescent="0.3">
      <c r="T2543" s="113">
        <f>'Data_in-situ'!DN226</f>
        <v>23</v>
      </c>
      <c r="U2543" s="113">
        <f>'Data_in-situ'!DO226</f>
        <v>25.642223650678275</v>
      </c>
      <c r="V2543" s="46">
        <f>'Data_in-situ'!DP226</f>
        <v>4</v>
      </c>
      <c r="W2543" s="113">
        <f>'Data_in-situ'!DR226</f>
        <v>0.03</v>
      </c>
      <c r="X2543" s="113">
        <f>'Data_in-situ'!DS226</f>
        <v>0.11211648883893029</v>
      </c>
      <c r="Y2543" s="46">
        <f>'Data_in-situ'!DT226</f>
        <v>4</v>
      </c>
      <c r="AF2543" s="113">
        <f>'Data_in-situ'!EN414</f>
        <v>6</v>
      </c>
      <c r="AG2543" s="113">
        <f>'Data_in-situ'!EO414</f>
        <v>22</v>
      </c>
      <c r="AH2543" s="110">
        <f>'Data_in-situ'!EP414</f>
        <v>5</v>
      </c>
      <c r="AI2543" s="113">
        <f>'Data_in-situ'!ER414</f>
        <v>-14</v>
      </c>
      <c r="AJ2543" s="113">
        <f>'Data_in-situ'!ES414</f>
        <v>23</v>
      </c>
      <c r="AK2543" s="110">
        <f>'Data_in-situ'!ET414</f>
        <v>5</v>
      </c>
    </row>
    <row r="2544" spans="2:37" x14ac:dyDescent="0.3">
      <c r="T2544" s="113">
        <f>'Data_in-situ'!DN227</f>
        <v>23</v>
      </c>
      <c r="U2544" s="113">
        <f>'Data_in-situ'!DO227</f>
        <v>25.642223650678275</v>
      </c>
      <c r="V2544" s="46">
        <f>'Data_in-situ'!DP227</f>
        <v>4</v>
      </c>
      <c r="W2544" s="113">
        <f>'Data_in-situ'!DR227</f>
        <v>0.03</v>
      </c>
      <c r="X2544" s="113">
        <f>'Data_in-situ'!DS227</f>
        <v>0.11211648883893029</v>
      </c>
      <c r="Y2544" s="46">
        <f>'Data_in-situ'!DT227</f>
        <v>4</v>
      </c>
      <c r="AF2544" s="113">
        <f>'Data_in-situ'!EN439</f>
        <v>-45.3</v>
      </c>
      <c r="AG2544" s="113">
        <f>'Data_in-situ'!EO439</f>
        <v>5.7157676649772942</v>
      </c>
      <c r="AH2544" s="110">
        <f>'Data_in-situ'!EP439</f>
        <v>3</v>
      </c>
      <c r="AI2544" s="113">
        <f>'Data_in-situ'!ER439</f>
        <v>-60.2</v>
      </c>
      <c r="AJ2544" s="113">
        <f>'Data_in-situ'!ES439</f>
        <v>4.676537180435969</v>
      </c>
      <c r="AK2544" s="110">
        <f>'Data_in-situ'!ET439</f>
        <v>3</v>
      </c>
    </row>
    <row r="2545" spans="20:37" x14ac:dyDescent="0.3">
      <c r="T2545" s="113">
        <f>'Data_in-situ'!DN228</f>
        <v>23</v>
      </c>
      <c r="U2545" s="113">
        <f>'Data_in-situ'!DO228</f>
        <v>25.642223650678275</v>
      </c>
      <c r="V2545" s="46">
        <f>'Data_in-situ'!DP228</f>
        <v>4</v>
      </c>
      <c r="W2545" s="113">
        <f>'Data_in-situ'!DR228</f>
        <v>0.03</v>
      </c>
      <c r="X2545" s="113">
        <f>'Data_in-situ'!DS228</f>
        <v>0.11211648883893029</v>
      </c>
      <c r="Y2545" s="46">
        <f>'Data_in-situ'!DT228</f>
        <v>4</v>
      </c>
      <c r="AF2545" s="113">
        <f>'Data_in-situ'!EN440</f>
        <v>-45.3</v>
      </c>
      <c r="AG2545" s="113">
        <f>'Data_in-situ'!EO440</f>
        <v>5.7157676649772942</v>
      </c>
      <c r="AH2545" s="110">
        <f>'Data_in-situ'!EP440</f>
        <v>3</v>
      </c>
      <c r="AI2545" s="113">
        <f>'Data_in-situ'!ER440</f>
        <v>-27.4</v>
      </c>
      <c r="AJ2545" s="113">
        <f>'Data_in-situ'!ES440</f>
        <v>4.5033320996790804</v>
      </c>
      <c r="AK2545" s="110">
        <f>'Data_in-situ'!ET440</f>
        <v>3</v>
      </c>
    </row>
    <row r="2546" spans="20:37" x14ac:dyDescent="0.3">
      <c r="T2546" s="113">
        <f>'Data_in-situ'!DN229</f>
        <v>23</v>
      </c>
      <c r="U2546" s="113">
        <f>'Data_in-situ'!DO229</f>
        <v>25.642223650678275</v>
      </c>
      <c r="V2546" s="46">
        <f>'Data_in-situ'!DP229</f>
        <v>4</v>
      </c>
      <c r="W2546" s="113">
        <f>'Data_in-situ'!DR229</f>
        <v>2.2000000000000002</v>
      </c>
      <c r="X2546" s="113">
        <f>'Data_in-situ'!DS229</f>
        <v>8.2218758481882226</v>
      </c>
      <c r="Y2546" s="46">
        <f>'Data_in-situ'!DT229</f>
        <v>4</v>
      </c>
      <c r="AF2546" s="113">
        <f>'Data_in-situ'!EN445</f>
        <v>6</v>
      </c>
      <c r="AG2546" s="113">
        <f>'Data_in-situ'!EO445</f>
        <v>22</v>
      </c>
      <c r="AH2546" s="110">
        <f>'Data_in-situ'!EP445</f>
        <v>5</v>
      </c>
      <c r="AI2546" s="113">
        <f>'Data_in-situ'!ER445</f>
        <v>-39</v>
      </c>
      <c r="AJ2546" s="113">
        <f>'Data_in-situ'!ES445</f>
        <v>15</v>
      </c>
      <c r="AK2546" s="110">
        <f>'Data_in-situ'!ET445</f>
        <v>5</v>
      </c>
    </row>
    <row r="2547" spans="20:37" x14ac:dyDescent="0.3">
      <c r="T2547" s="113">
        <f>'Data_in-situ'!DN230</f>
        <v>23</v>
      </c>
      <c r="U2547" s="113">
        <f>'Data_in-situ'!DO230</f>
        <v>25.642223650678275</v>
      </c>
      <c r="V2547" s="46">
        <f>'Data_in-situ'!DP230</f>
        <v>4</v>
      </c>
      <c r="W2547" s="113">
        <f>'Data_in-situ'!DR230</f>
        <v>2.2000000000000002</v>
      </c>
      <c r="X2547" s="113">
        <f>'Data_in-situ'!DS230</f>
        <v>8.2218758481882226</v>
      </c>
      <c r="Y2547" s="46">
        <f>'Data_in-situ'!DT230</f>
        <v>4</v>
      </c>
      <c r="AF2547" s="113">
        <f>'Data_in-situ'!EN446</f>
        <v>6</v>
      </c>
      <c r="AG2547" s="113">
        <f>'Data_in-situ'!EO446</f>
        <v>22</v>
      </c>
      <c r="AH2547" s="110">
        <f>'Data_in-situ'!EP446</f>
        <v>5</v>
      </c>
      <c r="AI2547" s="113">
        <f>'Data_in-situ'!ER446</f>
        <v>-21</v>
      </c>
      <c r="AJ2547" s="113">
        <f>'Data_in-situ'!ES446</f>
        <v>18</v>
      </c>
      <c r="AK2547" s="110">
        <f>'Data_in-situ'!ET446</f>
        <v>5</v>
      </c>
    </row>
    <row r="2548" spans="20:37" x14ac:dyDescent="0.3">
      <c r="T2548" s="113">
        <f>'Data_in-situ'!DN388</f>
        <v>42</v>
      </c>
      <c r="U2548" s="113">
        <f>'Data_in-situ'!DO388</f>
        <v>46.824930144716852</v>
      </c>
      <c r="V2548" s="46">
        <f>'Data_in-situ'!DP388</f>
        <v>3</v>
      </c>
      <c r="W2548" s="113">
        <f>'Data_in-situ'!DR388</f>
        <v>2</v>
      </c>
      <c r="X2548" s="113">
        <f>'Data_in-situ'!DS388</f>
        <v>7.4744325892620198</v>
      </c>
      <c r="Y2548" s="46">
        <f>'Data_in-situ'!DT388</f>
        <v>3</v>
      </c>
      <c r="AF2548" s="113">
        <f>'Data_in-situ'!EN450</f>
        <v>-22</v>
      </c>
      <c r="AG2548" s="113">
        <f>'Data_in-situ'!EO450</f>
        <v>8.964920772528453</v>
      </c>
      <c r="AH2548" s="110">
        <f>'Data_in-situ'!EP450</f>
        <v>1</v>
      </c>
      <c r="AI2548" s="113">
        <f>'Data_in-situ'!ER450</f>
        <v>-77</v>
      </c>
      <c r="AJ2548" s="113">
        <f>'Data_in-situ'!ES450</f>
        <v>17.46468212020795</v>
      </c>
      <c r="AK2548" s="110">
        <f>'Data_in-situ'!ET450</f>
        <v>1</v>
      </c>
    </row>
    <row r="2549" spans="20:37" x14ac:dyDescent="0.3">
      <c r="T2549" s="113">
        <f>'Data_in-situ'!DN392</f>
        <v>12.847999999999999</v>
      </c>
      <c r="U2549" s="113">
        <f>'Data_in-situ'!DO392</f>
        <v>8.1760000000000002</v>
      </c>
      <c r="V2549" s="46">
        <f>'Data_in-situ'!DP392</f>
        <v>2</v>
      </c>
      <c r="W2549" s="113">
        <f>'Data_in-situ'!DR392</f>
        <v>-3.5040000000000004</v>
      </c>
      <c r="X2549" s="113">
        <f>'Data_in-situ'!DS392</f>
        <v>1.1680000000000001</v>
      </c>
      <c r="Y2549" s="46">
        <f>'Data_in-situ'!DT392</f>
        <v>2</v>
      </c>
      <c r="AF2549" s="113">
        <f>'Data_in-situ'!EN451</f>
        <v>-17</v>
      </c>
      <c r="AG2549" s="113">
        <f>'Data_in-situ'!EO451</f>
        <v>6.9274387787719869</v>
      </c>
      <c r="AH2549" s="110">
        <f>'Data_in-situ'!EP451</f>
        <v>1</v>
      </c>
      <c r="AI2549" s="113">
        <f>'Data_in-situ'!ER451</f>
        <v>-73</v>
      </c>
      <c r="AJ2549" s="113">
        <f>'Data_in-situ'!ES451</f>
        <v>16.557425906171176</v>
      </c>
      <c r="AK2549" s="110">
        <f>'Data_in-situ'!ET451</f>
        <v>1</v>
      </c>
    </row>
    <row r="2550" spans="20:37" x14ac:dyDescent="0.3">
      <c r="T2550" s="113">
        <f>'Data_in-situ'!DN409</f>
        <v>96.36</v>
      </c>
      <c r="U2550" s="113">
        <f>'Data_in-situ'!DO409</f>
        <v>53.436</v>
      </c>
      <c r="V2550" s="46">
        <f>'Data_in-situ'!DP409</f>
        <v>5</v>
      </c>
      <c r="W2550" s="113">
        <f>'Data_in-situ'!DR409</f>
        <v>120.88799999999998</v>
      </c>
      <c r="X2550" s="113">
        <f>'Data_in-situ'!DS409</f>
        <v>71.831999999999994</v>
      </c>
      <c r="Y2550" s="46">
        <f>'Data_in-situ'!DT409</f>
        <v>5</v>
      </c>
      <c r="AF2550" s="113">
        <f>'Data_in-situ'!EN452</f>
        <v>-11</v>
      </c>
      <c r="AG2550" s="113">
        <f>'Data_in-situ'!EO452</f>
        <v>4.4824603862642265</v>
      </c>
      <c r="AH2550" s="110">
        <f>'Data_in-situ'!EP452</f>
        <v>1</v>
      </c>
      <c r="AI2550" s="113">
        <f>'Data_in-situ'!ER452</f>
        <v>-59</v>
      </c>
      <c r="AJ2550" s="113">
        <f>'Data_in-situ'!ES452</f>
        <v>13.382029157042457</v>
      </c>
      <c r="AK2550" s="110">
        <f>'Data_in-situ'!ET452</f>
        <v>1</v>
      </c>
    </row>
    <row r="2551" spans="20:37" x14ac:dyDescent="0.3">
      <c r="T2551" s="113">
        <f>'Data_in-situ'!DN414</f>
        <v>434.70588235294116</v>
      </c>
      <c r="U2551" s="113">
        <f>'Data_in-situ'!DO414</f>
        <v>437.34858971687066</v>
      </c>
      <c r="V2551" s="46">
        <f>'Data_in-situ'!DP414</f>
        <v>5</v>
      </c>
      <c r="W2551" s="113">
        <f>'Data_in-situ'!DR414</f>
        <v>15.294117647058824</v>
      </c>
      <c r="X2551" s="113">
        <f>'Data_in-situ'!DS414</f>
        <v>15.126342200733873</v>
      </c>
      <c r="Y2551" s="46">
        <f>'Data_in-situ'!DT414</f>
        <v>5</v>
      </c>
      <c r="AF2551" s="113">
        <f>'Data_in-situ'!EN453</f>
        <v>10</v>
      </c>
      <c r="AG2551" s="113">
        <f>'Data_in-situ'!EO453</f>
        <v>4.0749639875129331</v>
      </c>
      <c r="AH2551" s="110">
        <f>'Data_in-situ'!EP453</f>
        <v>1</v>
      </c>
      <c r="AI2551" s="113">
        <f>'Data_in-situ'!ER453</f>
        <v>-45</v>
      </c>
      <c r="AJ2551" s="113">
        <f>'Data_in-situ'!ES453</f>
        <v>10.206632407913737</v>
      </c>
      <c r="AK2551" s="110">
        <f>'Data_in-situ'!ET453</f>
        <v>1</v>
      </c>
    </row>
    <row r="2552" spans="20:37" x14ac:dyDescent="0.3">
      <c r="T2552" s="113">
        <f>'Data_in-situ'!DN445</f>
        <v>434.70588235294116</v>
      </c>
      <c r="U2552" s="113">
        <f>'Data_in-situ'!DO445</f>
        <v>437.34858971687066</v>
      </c>
      <c r="V2552" s="46">
        <f>'Data_in-situ'!DP445</f>
        <v>5</v>
      </c>
      <c r="W2552" s="113">
        <f>'Data_in-situ'!DR445</f>
        <v>78.82352941176471</v>
      </c>
      <c r="X2552" s="113">
        <f>'Data_in-situ'!DS445</f>
        <v>78.92004626469847</v>
      </c>
      <c r="Y2552" s="46">
        <f>'Data_in-situ'!DT445</f>
        <v>5</v>
      </c>
      <c r="AF2552" s="113">
        <f>'Data_in-situ'!EN456</f>
        <v>-7.6</v>
      </c>
      <c r="AG2552" s="113">
        <f>'Data_in-situ'!EO456</f>
        <v>3.0969726305098293</v>
      </c>
      <c r="AH2552" s="110">
        <f>'Data_in-situ'!EP456</f>
        <v>1</v>
      </c>
      <c r="AI2552" s="113">
        <f>'Data_in-situ'!ER456</f>
        <v>-20.2</v>
      </c>
      <c r="AJ2552" s="113">
        <f>'Data_in-situ'!ES456</f>
        <v>4.5816438808857223</v>
      </c>
      <c r="AK2552" s="110">
        <f>'Data_in-situ'!ET456</f>
        <v>1</v>
      </c>
    </row>
    <row r="2553" spans="20:37" x14ac:dyDescent="0.3">
      <c r="T2553" s="113">
        <f>'Data_in-situ'!DN446</f>
        <v>434.70588235294116</v>
      </c>
      <c r="U2553" s="113">
        <f>'Data_in-situ'!DO446</f>
        <v>437.34858971687066</v>
      </c>
      <c r="V2553" s="46">
        <f>'Data_in-situ'!DP446</f>
        <v>5</v>
      </c>
      <c r="W2553" s="113">
        <f>'Data_in-situ'!DR446</f>
        <v>225.58823529411765</v>
      </c>
      <c r="X2553" s="113">
        <f>'Data_in-situ'!DS446</f>
        <v>225.57979890659644</v>
      </c>
      <c r="Y2553" s="46">
        <f>'Data_in-situ'!DT446</f>
        <v>5</v>
      </c>
      <c r="AF2553" s="113">
        <f>'Data_in-situ'!EN457</f>
        <v>-2.4</v>
      </c>
      <c r="AG2553" s="113">
        <f>'Data_in-situ'!EO457</f>
        <v>0.97799135700310402</v>
      </c>
      <c r="AH2553" s="110">
        <f>'Data_in-situ'!EP457</f>
        <v>1</v>
      </c>
      <c r="AI2553" s="113">
        <f>'Data_in-situ'!ER457</f>
        <v>-23.2</v>
      </c>
      <c r="AJ2553" s="113">
        <f>'Data_in-situ'!ES457</f>
        <v>5.2620860414133048</v>
      </c>
      <c r="AK2553" s="110">
        <f>'Data_in-situ'!ET457</f>
        <v>1</v>
      </c>
    </row>
    <row r="2554" spans="20:37" x14ac:dyDescent="0.3">
      <c r="T2554" s="113">
        <f>'Data_in-situ'!DN456</f>
        <v>118.26666666666667</v>
      </c>
      <c r="U2554" s="113">
        <f>'Data_in-situ'!DO456</f>
        <v>131.85305726464713</v>
      </c>
      <c r="V2554" s="46">
        <f>'Data_in-situ'!DP456</f>
        <v>1</v>
      </c>
      <c r="W2554" s="113">
        <f>'Data_in-situ'!DR456</f>
        <v>58</v>
      </c>
      <c r="X2554" s="113">
        <f>'Data_in-situ'!DS456</f>
        <v>216.75854508859857</v>
      </c>
      <c r="Y2554" s="46">
        <f>'Data_in-situ'!DT456</f>
        <v>1</v>
      </c>
      <c r="AF2554" s="113">
        <f>'Data_in-situ'!EN458</f>
        <v>-4.8</v>
      </c>
      <c r="AG2554" s="113">
        <f>'Data_in-situ'!EO458</f>
        <v>1.955982714006208</v>
      </c>
      <c r="AH2554" s="110">
        <f>'Data_in-situ'!EP458</f>
        <v>1</v>
      </c>
      <c r="AI2554" s="113">
        <f>'Data_in-situ'!ER458</f>
        <v>-19</v>
      </c>
      <c r="AJ2554" s="113">
        <f>'Data_in-situ'!ES458</f>
        <v>4.3094670166746889</v>
      </c>
      <c r="AK2554" s="110">
        <f>'Data_in-situ'!ET458</f>
        <v>1</v>
      </c>
    </row>
    <row r="2555" spans="20:37" x14ac:dyDescent="0.3">
      <c r="T2555" s="113">
        <f>'Data_in-situ'!DN457</f>
        <v>115.06666666666666</v>
      </c>
      <c r="U2555" s="113">
        <f>'Data_in-situ'!DO457</f>
        <v>128.28544353933538</v>
      </c>
      <c r="V2555" s="46">
        <f>'Data_in-situ'!DP457</f>
        <v>1</v>
      </c>
      <c r="W2555" s="113">
        <f>'Data_in-situ'!DR457</f>
        <v>63.333333333333336</v>
      </c>
      <c r="X2555" s="113">
        <f>'Data_in-situ'!DS457</f>
        <v>236.69036532663063</v>
      </c>
      <c r="Y2555" s="46">
        <f>'Data_in-situ'!DT457</f>
        <v>1</v>
      </c>
      <c r="AF2555" s="113">
        <f>'Data_in-situ'!EN459</f>
        <v>-7.6</v>
      </c>
      <c r="AG2555" s="113">
        <f>'Data_in-situ'!EO459</f>
        <v>3.0969726305098293</v>
      </c>
      <c r="AH2555" s="110">
        <f>'Data_in-situ'!EP459</f>
        <v>1</v>
      </c>
      <c r="AI2555" s="113">
        <f>'Data_in-situ'!ER459</f>
        <v>-66.400000000000006</v>
      </c>
      <c r="AJ2555" s="113">
        <f>'Data_in-situ'!ES459</f>
        <v>15.060453153010494</v>
      </c>
      <c r="AK2555" s="110">
        <f>'Data_in-situ'!ET459</f>
        <v>1</v>
      </c>
    </row>
    <row r="2556" spans="20:37" x14ac:dyDescent="0.3">
      <c r="T2556" s="113">
        <f>'Data_in-situ'!DN458</f>
        <v>105.2</v>
      </c>
      <c r="U2556" s="113">
        <f>'Data_in-situ'!DO458</f>
        <v>117.28530121962412</v>
      </c>
      <c r="V2556" s="46">
        <f>'Data_in-situ'!DP458</f>
        <v>1</v>
      </c>
      <c r="W2556" s="113">
        <f>'Data_in-situ'!DR458</f>
        <v>45.466666666666669</v>
      </c>
      <c r="X2556" s="113">
        <f>'Data_in-situ'!DS458</f>
        <v>169.91876752922326</v>
      </c>
      <c r="Y2556" s="46">
        <f>'Data_in-situ'!DT458</f>
        <v>1</v>
      </c>
      <c r="AF2556" s="113">
        <f>'Data_in-situ'!EN460</f>
        <v>-2.4</v>
      </c>
      <c r="AG2556" s="113">
        <f>'Data_in-situ'!EO460</f>
        <v>0.97799135700310402</v>
      </c>
      <c r="AH2556" s="110">
        <f>'Data_in-situ'!EP460</f>
        <v>1</v>
      </c>
      <c r="AI2556" s="113">
        <f>'Data_in-situ'!ER460</f>
        <v>-61.5</v>
      </c>
      <c r="AJ2556" s="113">
        <f>'Data_in-situ'!ES460</f>
        <v>13.949064290815441</v>
      </c>
      <c r="AK2556" s="110">
        <f>'Data_in-situ'!ET460</f>
        <v>1</v>
      </c>
    </row>
    <row r="2557" spans="20:37" x14ac:dyDescent="0.3">
      <c r="T2557" s="113">
        <f>'Data_in-situ'!DN459</f>
        <v>118.26666666666667</v>
      </c>
      <c r="U2557" s="113">
        <f>'Data_in-situ'!DO459</f>
        <v>131.85305726464713</v>
      </c>
      <c r="V2557" s="46">
        <f>'Data_in-situ'!DP459</f>
        <v>1</v>
      </c>
      <c r="W2557" s="113">
        <f>'Data_in-situ'!DR459</f>
        <v>26.133333333333336</v>
      </c>
      <c r="X2557" s="113">
        <f>'Data_in-situ'!DS459</f>
        <v>97.665919166357071</v>
      </c>
      <c r="Y2557" s="46">
        <f>'Data_in-situ'!DT459</f>
        <v>1</v>
      </c>
      <c r="AF2557" s="113">
        <f>'Data_in-situ'!EN461</f>
        <v>-4.8</v>
      </c>
      <c r="AG2557" s="113">
        <f>'Data_in-situ'!EO461</f>
        <v>1.955982714006208</v>
      </c>
      <c r="AH2557" s="110">
        <f>'Data_in-situ'!EP461</f>
        <v>1</v>
      </c>
      <c r="AI2557" s="113">
        <f>'Data_in-situ'!ER461</f>
        <v>-58.5</v>
      </c>
      <c r="AJ2557" s="113">
        <f>'Data_in-situ'!ES461</f>
        <v>13.268622130287859</v>
      </c>
      <c r="AK2557" s="110">
        <f>'Data_in-situ'!ET461</f>
        <v>1</v>
      </c>
    </row>
    <row r="2558" spans="20:37" x14ac:dyDescent="0.3">
      <c r="T2558" s="113">
        <f>'Data_in-situ'!DN460</f>
        <v>115.06666666666666</v>
      </c>
      <c r="U2558" s="113">
        <f>'Data_in-situ'!DO460</f>
        <v>128.28544353933538</v>
      </c>
      <c r="V2558" s="46">
        <f>'Data_in-situ'!DP460</f>
        <v>1</v>
      </c>
      <c r="W2558" s="113">
        <f>'Data_in-situ'!DR460</f>
        <v>31.733333333333334</v>
      </c>
      <c r="X2558" s="113">
        <f>'Data_in-situ'!DS460</f>
        <v>118.59433041629072</v>
      </c>
      <c r="Y2558" s="46">
        <f>'Data_in-situ'!DT460</f>
        <v>1</v>
      </c>
    </row>
    <row r="2559" spans="20:37" x14ac:dyDescent="0.3">
      <c r="T2559" s="113">
        <f>'Data_in-situ'!DN461</f>
        <v>105.2</v>
      </c>
      <c r="U2559" s="113">
        <f>'Data_in-situ'!DO461</f>
        <v>117.28530121962412</v>
      </c>
      <c r="V2559" s="46">
        <f>'Data_in-situ'!DP461</f>
        <v>1</v>
      </c>
      <c r="W2559" s="113">
        <f>'Data_in-situ'!DR461</f>
        <v>29.733333333333334</v>
      </c>
      <c r="X2559" s="113">
        <f>'Data_in-situ'!DS461</f>
        <v>111.11989782702869</v>
      </c>
      <c r="Y2559" s="46">
        <f>'Data_in-situ'!DT461</f>
        <v>1</v>
      </c>
    </row>
    <row r="2561" spans="1:37" x14ac:dyDescent="0.3">
      <c r="A2561" s="110" t="s">
        <v>831</v>
      </c>
      <c r="B2561" s="24">
        <f>AVERAGEA(B2524:B2559)</f>
        <v>-131074.16666666669</v>
      </c>
      <c r="C2561" s="24">
        <f>STDEVA(B2524:B2559)/SQRT(COUNT(B2524:B2559))</f>
        <v>1906.4116702195261</v>
      </c>
      <c r="D2561" s="46">
        <f>COUNT(B2524:B2559)</f>
        <v>8</v>
      </c>
      <c r="E2561" s="24">
        <f>AVERAGEA(E2524:E2559)</f>
        <v>-134200</v>
      </c>
      <c r="F2561" s="24">
        <f>STDEVA(E2524:E2559)/SQRT(COUNT(E2524:E2559))</f>
        <v>6588.6082243014826</v>
      </c>
      <c r="G2561" s="46">
        <f>COUNT(E2524:E2559)</f>
        <v>8</v>
      </c>
      <c r="H2561" s="24">
        <f>AVERAGEA(H2524:H2559)</f>
        <v>138393.75</v>
      </c>
      <c r="I2561" s="24">
        <f>STDEVA(H2524:H2559)/SQRT(COUNT(H2524:H2559))</f>
        <v>2542.8909961017907</v>
      </c>
      <c r="J2561" s="46">
        <f>COUNT(H2524:H2559)</f>
        <v>8</v>
      </c>
      <c r="K2561" s="24">
        <f>AVERAGEA(K2524:K2559)</f>
        <v>149311.25</v>
      </c>
      <c r="L2561" s="24">
        <f>STDEVA(K2524:K2559)/SQRT(COUNT(K2524:K2559))</f>
        <v>7901.105883453748</v>
      </c>
      <c r="M2561" s="46">
        <f>COUNT(K2524:K2559)</f>
        <v>8</v>
      </c>
      <c r="N2561" s="24">
        <f>AVERAGEA(N2524:N2559)</f>
        <v>2605.8682064753507</v>
      </c>
      <c r="O2561" s="24">
        <f>STDEVA(N2524:N2559)/SQRT(COUNT(N2524:N2559))</f>
        <v>1558.5153374080126</v>
      </c>
      <c r="P2561" s="46">
        <f>COUNT(N2524:N2559)</f>
        <v>17</v>
      </c>
      <c r="Q2561" s="24">
        <f>AVERAGEA(Q2524:Q2559)</f>
        <v>7889.8988671846846</v>
      </c>
      <c r="R2561" s="24">
        <f>STDEVA(Q2524:Q2559)/SQRT(COUNT(Q2524:Q2559))</f>
        <v>2089.9864924181211</v>
      </c>
      <c r="S2561" s="46">
        <f>COUNT(Q2524:Q2559)</f>
        <v>17</v>
      </c>
      <c r="T2561" s="113">
        <f>AVERAGEA(T2524:T2559)</f>
        <v>93.081838904141051</v>
      </c>
      <c r="U2561" s="113">
        <f>STDEVA(T2524:T2559)/SQRT(COUNT(T2524:T2559))</f>
        <v>20.923702668282441</v>
      </c>
      <c r="V2561" s="46">
        <f>COUNT(T2524:T2559)</f>
        <v>36</v>
      </c>
      <c r="W2561" s="113">
        <f>AVERAGEA(W2524:W2559)</f>
        <v>21.134696993745152</v>
      </c>
      <c r="X2561" s="113">
        <f>STDEVA(W2524:W2559)/SQRT(COUNT(W2524:W2559))</f>
        <v>7.3714526460095842</v>
      </c>
      <c r="Y2561" s="46">
        <f>COUNT(W2524:W2559)</f>
        <v>36</v>
      </c>
      <c r="Z2561" s="113">
        <f>AVERAGEA(Z2524:Z2559)</f>
        <v>2.9722451705021897</v>
      </c>
      <c r="AA2561" s="113">
        <f>STDEVA(Z2524:Z2559)/SQRT(COUNT(Z2524:Z2559))</f>
        <v>0.83825940427361023</v>
      </c>
      <c r="AB2561" s="46">
        <f>COUNT(Z2524:Z2559)</f>
        <v>16</v>
      </c>
      <c r="AC2561" s="113">
        <f>AVERAGEA(AC2524:AC2559)</f>
        <v>8.2292676240997409</v>
      </c>
      <c r="AD2561" s="113">
        <f>STDEVA(AC2524:AC2559)/SQRT(COUNT(AC2524:AC2559))</f>
        <v>2.5896741167194817</v>
      </c>
      <c r="AE2561" s="46">
        <f>COUNT(AC2524:AC2559)</f>
        <v>16</v>
      </c>
      <c r="AF2561" s="113">
        <f>AVERAGEA(AF2524:AF2559)</f>
        <v>-11.080569261072888</v>
      </c>
      <c r="AG2561" s="113">
        <f>STDEVA(AF2524:AF2559)/SQRT(COUNT(AF2524:AF2559))</f>
        <v>2.199781667282088</v>
      </c>
      <c r="AH2561" s="46">
        <f>COUNT(AF2524:AF2559)</f>
        <v>34</v>
      </c>
      <c r="AI2561" s="113">
        <f>AVERAGEA(AI2524:AI2559)</f>
        <v>-47.317941731918367</v>
      </c>
      <c r="AJ2561" s="113">
        <f>STDEVA(AI2524:AI2559)/SQRT(COUNT(AI2524:AI2559))</f>
        <v>3.4781985573234877</v>
      </c>
      <c r="AK2561" s="46">
        <f>COUNT(AI2524:AI2559)</f>
        <v>34</v>
      </c>
    </row>
    <row r="2563" spans="1:37" x14ac:dyDescent="0.3">
      <c r="A2563" s="110" t="s">
        <v>871</v>
      </c>
      <c r="B2563" s="24">
        <f>'Data_in-situ'!CA401</f>
        <v>-252.97619047619</v>
      </c>
      <c r="C2563" s="24">
        <f>'Data_in-situ'!CB401</f>
        <v>61.678241517097945</v>
      </c>
      <c r="D2563" s="46">
        <f>'Data_in-situ'!CC401</f>
        <v>1</v>
      </c>
      <c r="E2563" s="24">
        <f>'Data_in-situ'!CE401</f>
        <v>-259.32892988544108</v>
      </c>
      <c r="F2563" s="24">
        <f>'Data_in-situ'!CF401</f>
        <v>96.540146410153937</v>
      </c>
      <c r="G2563" s="46">
        <f>'Data_in-situ'!CG401</f>
        <v>1</v>
      </c>
      <c r="H2563" s="24">
        <f>'Data_in-situ'!CN401</f>
        <v>243.00271458600855</v>
      </c>
      <c r="I2563" s="24">
        <f>'Data_in-situ'!CO401</f>
        <v>69.894216997580699</v>
      </c>
      <c r="J2563" s="46">
        <f>'Data_in-situ'!CP401</f>
        <v>1</v>
      </c>
      <c r="K2563" s="24">
        <f>'Data_in-situ'!CR401</f>
        <v>278.68155282729083</v>
      </c>
      <c r="L2563" s="24">
        <f>'Data_in-situ'!CS401</f>
        <v>73.123578700198763</v>
      </c>
      <c r="M2563" s="46">
        <f>'Data_in-situ'!CT401</f>
        <v>1</v>
      </c>
      <c r="N2563" s="24">
        <f>'Data_in-situ'!DA400</f>
        <v>30.769259991496654</v>
      </c>
      <c r="O2563" s="24">
        <f>'Data_in-situ'!DB400</f>
        <v>92.297212539414176</v>
      </c>
      <c r="P2563" s="46">
        <f>'Data_in-situ'!DC400</f>
        <v>1</v>
      </c>
      <c r="Q2563" s="24">
        <f>'Data_in-situ'!DE400</f>
        <v>-12.040273178424011</v>
      </c>
      <c r="R2563" s="24">
        <f>'Data_in-situ'!DF400</f>
        <v>11.476099621415464</v>
      </c>
      <c r="S2563" s="46">
        <f>'Data_in-situ'!DG400</f>
        <v>1</v>
      </c>
      <c r="T2563" s="113">
        <f>'Data_in-situ'!DN14</f>
        <v>1212.2979432249506</v>
      </c>
      <c r="U2563" s="113">
        <f>'Data_in-situ'!DO14</f>
        <v>324.6860048502561</v>
      </c>
      <c r="V2563" s="46">
        <f>'Data_in-situ'!DP14</f>
        <v>9</v>
      </c>
      <c r="W2563" s="113">
        <f>'Data_in-situ'!DR14</f>
        <v>4.8030530526021593</v>
      </c>
      <c r="X2563" s="113">
        <f>'Data_in-situ'!DS14</f>
        <v>10.100613157809143</v>
      </c>
      <c r="Y2563" s="46">
        <f>'Data_in-situ'!DT14</f>
        <v>9</v>
      </c>
      <c r="Z2563" s="113">
        <f>'Data_in-situ'!EA116</f>
        <v>7.2261696923095198E-2</v>
      </c>
      <c r="AA2563" s="113">
        <f>'Data_in-situ'!EB116</f>
        <v>0.41550309400885854</v>
      </c>
      <c r="AB2563" s="46">
        <f>'Data_in-situ'!EC116</f>
        <v>3</v>
      </c>
      <c r="AC2563" s="113">
        <f>'Data_in-situ'!EE116</f>
        <v>1.5614749500456337</v>
      </c>
      <c r="AD2563" s="113">
        <f>'Data_in-situ'!EF116</f>
        <v>2.3314997414012506</v>
      </c>
      <c r="AE2563" s="46">
        <f>'Data_in-situ'!EG116</f>
        <v>3</v>
      </c>
      <c r="AF2563" s="113">
        <f>'Data_in-situ'!EN14</f>
        <v>11.41</v>
      </c>
      <c r="AG2563" s="113">
        <f>'Data_in-situ'!EO14</f>
        <v>3.1216542489519883</v>
      </c>
      <c r="AH2563" s="110">
        <f>'Data_in-situ'!EP14</f>
        <v>4</v>
      </c>
      <c r="AI2563" s="113">
        <f>'Data_in-situ'!ER14</f>
        <v>-91.8</v>
      </c>
      <c r="AJ2563" s="113">
        <f>'Data_in-situ'!ES14</f>
        <v>9.6999999999999993</v>
      </c>
      <c r="AK2563" s="110">
        <f>'Data_in-situ'!ET14</f>
        <v>4</v>
      </c>
    </row>
    <row r="2564" spans="1:37" x14ac:dyDescent="0.3">
      <c r="B2564" s="24">
        <f>'Data_in-situ'!CA402</f>
        <v>-270.83333333333297</v>
      </c>
      <c r="C2564" s="24">
        <f>'Data_in-situ'!CB402</f>
        <v>66.031999741834312</v>
      </c>
      <c r="D2564" s="46">
        <f>'Data_in-situ'!CC402</f>
        <v>1</v>
      </c>
      <c r="E2564" s="24">
        <f>'Data_in-situ'!CE402</f>
        <v>-301.00679361702942</v>
      </c>
      <c r="F2564" s="24">
        <f>'Data_in-situ'!CF402</f>
        <v>112.05552708321424</v>
      </c>
      <c r="G2564" s="46">
        <f>'Data_in-situ'!CG402</f>
        <v>1</v>
      </c>
      <c r="H2564" s="24">
        <f>'Data_in-situ'!CN402</f>
        <v>252.06998005563568</v>
      </c>
      <c r="I2564" s="24">
        <f>'Data_in-situ'!CO402</f>
        <v>72.502210169132198</v>
      </c>
      <c r="J2564" s="46">
        <f>'Data_in-situ'!CP402</f>
        <v>1</v>
      </c>
      <c r="K2564" s="24">
        <f>'Data_in-situ'!CR402</f>
        <v>294.16386131769627</v>
      </c>
      <c r="L2564" s="24">
        <f>'Data_in-situ'!CS402</f>
        <v>77.18599973909879</v>
      </c>
      <c r="M2564" s="46">
        <f>'Data_in-situ'!CT402</f>
        <v>1</v>
      </c>
      <c r="N2564" s="24">
        <f>'Data_in-situ'!DA401</f>
        <v>-9.9734758901814473</v>
      </c>
      <c r="O2564" s="24">
        <f>'Data_in-situ'!DB401</f>
        <v>29.917002366881579</v>
      </c>
      <c r="P2564" s="46">
        <f>'Data_in-situ'!DC401</f>
        <v>1</v>
      </c>
      <c r="Q2564" s="24">
        <f>'Data_in-situ'!DE401</f>
        <v>19.352622941849745</v>
      </c>
      <c r="R2564" s="24">
        <f>'Data_in-situ'!DF401</f>
        <v>18.445813107824229</v>
      </c>
      <c r="S2564" s="46">
        <f>'Data_in-situ'!DG401</f>
        <v>1</v>
      </c>
      <c r="T2564" s="113">
        <f>'Data_in-situ'!DN15</f>
        <v>2106.5008889916066</v>
      </c>
      <c r="U2564" s="113">
        <f>'Data_in-situ'!DO15</f>
        <v>550.27007995085796</v>
      </c>
      <c r="V2564" s="46">
        <f>'Data_in-situ'!DP15</f>
        <v>12</v>
      </c>
      <c r="W2564" s="113">
        <f>'Data_in-situ'!DR15</f>
        <v>-0.36946561943093542</v>
      </c>
      <c r="X2564" s="113">
        <f>'Data_in-situ'!DS15</f>
        <v>0.8584618328302922</v>
      </c>
      <c r="Y2564" s="46">
        <f>'Data_in-situ'!DT15</f>
        <v>12</v>
      </c>
      <c r="Z2564" s="113">
        <f>'Data_in-situ'!EA117</f>
        <v>1.0679983859531741</v>
      </c>
      <c r="AA2564" s="113">
        <f>'Data_in-situ'!EB117</f>
        <v>6.1409661363513326</v>
      </c>
      <c r="AB2564" s="46">
        <f>'Data_in-situ'!EC117</f>
        <v>3</v>
      </c>
      <c r="AC2564" s="113">
        <f>'Data_in-situ'!EE117</f>
        <v>1.9745850203174469</v>
      </c>
      <c r="AD2564" s="113">
        <f>'Data_in-situ'!EF117</f>
        <v>2.9483306562877405</v>
      </c>
      <c r="AE2564" s="46">
        <f>'Data_in-situ'!EG117</f>
        <v>3</v>
      </c>
      <c r="AF2564" s="113">
        <f>'Data_in-situ'!EN15</f>
        <v>5.6550000000000002</v>
      </c>
      <c r="AG2564" s="113">
        <f>'Data_in-situ'!EO15</f>
        <v>3.8089383363346805</v>
      </c>
      <c r="AH2564" s="110">
        <f>'Data_in-situ'!EP15</f>
        <v>4</v>
      </c>
      <c r="AI2564" s="113">
        <f>'Data_in-situ'!ER15</f>
        <v>-105</v>
      </c>
      <c r="AJ2564" s="113">
        <f>'Data_in-situ'!ES15</f>
        <v>8.1</v>
      </c>
      <c r="AK2564" s="110">
        <f>'Data_in-situ'!ET15</f>
        <v>4</v>
      </c>
    </row>
    <row r="2565" spans="1:37" x14ac:dyDescent="0.3">
      <c r="B2565" s="24">
        <f>'Data_in-situ'!CA403</f>
        <v>-241.07142857142901</v>
      </c>
      <c r="C2565" s="24">
        <f>'Data_in-situ'!CB403</f>
        <v>58.775736033940618</v>
      </c>
      <c r="D2565" s="46">
        <f>'Data_in-situ'!CC403</f>
        <v>1</v>
      </c>
      <c r="E2565" s="24">
        <f>'Data_in-situ'!CE403</f>
        <v>-271.67792654665266</v>
      </c>
      <c r="F2565" s="24">
        <f>'Data_in-situ'!CF403</f>
        <v>101.13729623920892</v>
      </c>
      <c r="G2565" s="46">
        <f>'Data_in-situ'!CG403</f>
        <v>1</v>
      </c>
      <c r="H2565" s="24">
        <f>'Data_in-situ'!CN403</f>
        <v>217.61437127105197</v>
      </c>
      <c r="I2565" s="24">
        <f>'Data_in-situ'!CO403</f>
        <v>62.591836117236312</v>
      </c>
      <c r="J2565" s="46">
        <f>'Data_in-situ'!CP403</f>
        <v>1</v>
      </c>
      <c r="K2565" s="24">
        <f>'Data_in-situ'!CR403</f>
        <v>295.88411781662973</v>
      </c>
      <c r="L2565" s="24">
        <f>'Data_in-situ'!CS403</f>
        <v>77.637379854532</v>
      </c>
      <c r="M2565" s="46">
        <f>'Data_in-situ'!CT403</f>
        <v>1</v>
      </c>
      <c r="N2565" s="24">
        <f>'Data_in-situ'!DA402</f>
        <v>-18.763353277697291</v>
      </c>
      <c r="O2565" s="24">
        <f>'Data_in-situ'!DB402</f>
        <v>56.283615722391104</v>
      </c>
      <c r="P2565" s="46">
        <f>'Data_in-situ'!DC402</f>
        <v>1</v>
      </c>
      <c r="Q2565" s="24">
        <f>'Data_in-situ'!DE402</f>
        <v>-6.8429322993331425</v>
      </c>
      <c r="R2565" s="24">
        <f>'Data_in-situ'!DF402</f>
        <v>6.5222916129904451</v>
      </c>
      <c r="S2565" s="46">
        <f>'Data_in-situ'!DG402</f>
        <v>1</v>
      </c>
      <c r="T2565" s="113">
        <f>'Data_in-situ'!DN34</f>
        <v>218.59000000000026</v>
      </c>
      <c r="U2565" s="113">
        <f>'Data_in-situ'!DO34</f>
        <v>226.1967612500232</v>
      </c>
      <c r="V2565" s="46">
        <f>'Data_in-situ'!DP34</f>
        <v>25</v>
      </c>
      <c r="W2565" s="113">
        <f>'Data_in-situ'!DR34</f>
        <v>-1.3730769230769226</v>
      </c>
      <c r="X2565" s="113">
        <f>'Data_in-situ'!DS34</f>
        <v>0.50491400638738226</v>
      </c>
      <c r="Y2565" s="46">
        <f>'Data_in-situ'!DT34</f>
        <v>75</v>
      </c>
      <c r="Z2565" s="113">
        <f>'Data_in-situ'!EA118</f>
        <v>0.35237503307278556</v>
      </c>
      <c r="AA2565" s="113">
        <f>'Data_in-situ'!EB118</f>
        <v>2.0261483293014391</v>
      </c>
      <c r="AB2565" s="46">
        <f>'Data_in-situ'!EC118</f>
        <v>3</v>
      </c>
      <c r="AC2565" s="113">
        <f>'Data_in-situ'!EE118</f>
        <v>2.9072916465010485</v>
      </c>
      <c r="AD2565" s="113">
        <f>'Data_in-situ'!EF118</f>
        <v>4.3409916513851954</v>
      </c>
      <c r="AE2565" s="46">
        <f>'Data_in-situ'!EG118</f>
        <v>3</v>
      </c>
      <c r="AF2565" s="113">
        <f>'Data_in-situ'!EN103</f>
        <v>10</v>
      </c>
      <c r="AG2565" s="113">
        <f>'Data_in-situ'!EO103</f>
        <v>14.142135623730951</v>
      </c>
      <c r="AH2565" s="110">
        <f>'Data_in-situ'!EP103</f>
        <v>4</v>
      </c>
      <c r="AI2565" s="113">
        <f>'Data_in-situ'!ER103</f>
        <v>-8</v>
      </c>
      <c r="AJ2565" s="113">
        <f>'Data_in-situ'!ES103</f>
        <v>2.8284271247461903</v>
      </c>
      <c r="AK2565" s="110">
        <f>'Data_in-situ'!ET103</f>
        <v>4</v>
      </c>
    </row>
    <row r="2566" spans="1:37" x14ac:dyDescent="0.3">
      <c r="B2566" s="24">
        <f>'Data_in-situ'!CA404</f>
        <v>-1190.8947368421052</v>
      </c>
      <c r="C2566" s="24">
        <f>'Data_in-situ'!CB404</f>
        <v>8.1728070175438585</v>
      </c>
      <c r="D2566" s="46">
        <f>'Data_in-situ'!CC404</f>
        <v>4</v>
      </c>
      <c r="E2566" s="24">
        <f>'Data_in-situ'!CE404</f>
        <v>-1647.1117744611581</v>
      </c>
      <c r="F2566" s="24">
        <f>'Data_in-situ'!CF404</f>
        <v>42.213296514097145</v>
      </c>
      <c r="G2566" s="46">
        <f>'Data_in-situ'!CG404</f>
        <v>4</v>
      </c>
      <c r="H2566" s="24">
        <f>'Data_in-situ'!CN404</f>
        <v>1173.6539891420518</v>
      </c>
      <c r="I2566" s="24">
        <f>'Data_in-situ'!CO404</f>
        <v>59.312279426335792</v>
      </c>
      <c r="J2566" s="46">
        <f>'Data_in-situ'!CP404</f>
        <v>4</v>
      </c>
      <c r="K2566" s="24">
        <f>'Data_in-situ'!CR404</f>
        <v>1113.3378134148315</v>
      </c>
      <c r="L2566" s="24">
        <f>'Data_in-situ'!CS404</f>
        <v>77.030208091757075</v>
      </c>
      <c r="M2566" s="46">
        <f>'Data_in-situ'!CT404</f>
        <v>4</v>
      </c>
      <c r="N2566" s="24">
        <f>'Data_in-situ'!DA403</f>
        <v>-23.457057300377045</v>
      </c>
      <c r="O2566" s="24">
        <f>'Data_in-situ'!DB403</f>
        <v>70.363115778554274</v>
      </c>
      <c r="P2566" s="46">
        <f>'Data_in-situ'!DC403</f>
        <v>1</v>
      </c>
      <c r="Q2566" s="24">
        <f>'Data_in-situ'!DE403</f>
        <v>24.206191269977069</v>
      </c>
      <c r="R2566" s="24">
        <f>'Data_in-situ'!DF403</f>
        <v>23.071956786420301</v>
      </c>
      <c r="S2566" s="46">
        <f>'Data_in-situ'!DG403</f>
        <v>1</v>
      </c>
      <c r="T2566" s="113">
        <f>'Data_in-situ'!DN103</f>
        <v>29.018000000000001</v>
      </c>
      <c r="U2566" s="113">
        <f>'Data_in-situ'!DO103</f>
        <v>28.458867247309758</v>
      </c>
      <c r="V2566" s="46">
        <f>'Data_in-situ'!DP103</f>
        <v>3</v>
      </c>
      <c r="W2566" s="113">
        <f>'Data_in-situ'!DR103</f>
        <v>44.106000000000002</v>
      </c>
      <c r="X2566" s="113">
        <f>'Data_in-situ'!DS103</f>
        <v>9.7564479704449827</v>
      </c>
      <c r="Y2566" s="46">
        <f>'Data_in-situ'!DT103</f>
        <v>3</v>
      </c>
      <c r="Z2566" s="113">
        <f>'Data_in-situ'!EA119</f>
        <v>0.2322697401099488</v>
      </c>
      <c r="AA2566" s="113">
        <f>'Data_in-situ'!EB119</f>
        <v>1.3355456593141879</v>
      </c>
      <c r="AB2566" s="46">
        <f>'Data_in-situ'!EC119</f>
        <v>3</v>
      </c>
      <c r="AC2566" s="113">
        <f>'Data_in-situ'!EE119</f>
        <v>3.1939260341842504</v>
      </c>
      <c r="AD2566" s="113">
        <f>'Data_in-situ'!EF119</f>
        <v>4.7689767437752844</v>
      </c>
      <c r="AE2566" s="46">
        <f>'Data_in-situ'!EG119</f>
        <v>3</v>
      </c>
      <c r="AF2566" s="113">
        <f>'Data_in-situ'!EN116</f>
        <v>55</v>
      </c>
      <c r="AG2566" s="113">
        <f>'Data_in-situ'!EO116</f>
        <v>22.412301931321135</v>
      </c>
      <c r="AH2566" s="110">
        <f>'Data_in-situ'!EP116</f>
        <v>3</v>
      </c>
      <c r="AI2566" s="113">
        <f>'Data_in-situ'!ER116</f>
        <v>-30</v>
      </c>
      <c r="AJ2566" s="113">
        <f>'Data_in-situ'!ES116</f>
        <v>6.8044216052758255</v>
      </c>
      <c r="AK2566" s="110">
        <f>'Data_in-situ'!ET116</f>
        <v>3</v>
      </c>
    </row>
    <row r="2567" spans="1:37" x14ac:dyDescent="0.3">
      <c r="B2567" s="24">
        <f>'Data_in-situ'!CA405</f>
        <v>-1587.859649122807</v>
      </c>
      <c r="C2567" s="24">
        <f>'Data_in-situ'!CB405</f>
        <v>7.4722807017543857</v>
      </c>
      <c r="D2567" s="46">
        <f>'Data_in-situ'!CC405</f>
        <v>4</v>
      </c>
      <c r="E2567" s="24">
        <f>'Data_in-situ'!CE405</f>
        <v>-1598.6673105064185</v>
      </c>
      <c r="F2567" s="24">
        <f>'Data_in-situ'!CF405</f>
        <v>44.336749279956244</v>
      </c>
      <c r="G2567" s="46">
        <f>'Data_in-situ'!CG405</f>
        <v>4</v>
      </c>
      <c r="H2567" s="24">
        <f>'Data_in-situ'!CN405</f>
        <v>1001.8997468285809</v>
      </c>
      <c r="I2567" s="24">
        <f>'Data_in-situ'!CO405</f>
        <v>31.53551699296025</v>
      </c>
      <c r="J2567" s="46">
        <f>'Data_in-situ'!CP405</f>
        <v>4</v>
      </c>
      <c r="K2567" s="24">
        <f>'Data_in-situ'!CR405</f>
        <v>1031.8740709698438</v>
      </c>
      <c r="L2567" s="24">
        <f>'Data_in-situ'!CS405</f>
        <v>95.91547767591031</v>
      </c>
      <c r="M2567" s="46">
        <f>'Data_in-situ'!CT405</f>
        <v>4</v>
      </c>
      <c r="N2567" s="24">
        <f>'Data_in-situ'!DA404</f>
        <v>-17.240747700053362</v>
      </c>
      <c r="O2567" s="24">
        <f>'Data_in-situ'!DB404</f>
        <v>1.8994060532667709</v>
      </c>
      <c r="P2567" s="46">
        <f>'Data_in-situ'!DC404</f>
        <v>4</v>
      </c>
      <c r="Q2567" s="24">
        <f>'Data_in-situ'!DE404</f>
        <v>-533.77396104632658</v>
      </c>
      <c r="R2567" s="24">
        <f>'Data_in-situ'!DF404</f>
        <v>650.20080041312121</v>
      </c>
      <c r="S2567" s="46">
        <f>'Data_in-situ'!DG404</f>
        <v>4</v>
      </c>
      <c r="Z2567" s="113">
        <f>'Data_in-situ'!EA122</f>
        <v>2.1678509076928559E-2</v>
      </c>
      <c r="AA2567" s="113">
        <f>'Data_in-situ'!EB122</f>
        <v>0.12465092820265757</v>
      </c>
      <c r="AB2567" s="46">
        <f>'Data_in-situ'!EC122</f>
        <v>3</v>
      </c>
      <c r="AC2567" s="113">
        <f>'Data_in-situ'!EE122</f>
        <v>1.4195226818596671</v>
      </c>
      <c r="AD2567" s="113">
        <f>'Data_in-situ'!EF122</f>
        <v>2.1195452194556825</v>
      </c>
      <c r="AE2567" s="46">
        <f>'Data_in-situ'!EG122</f>
        <v>3</v>
      </c>
      <c r="AF2567" s="113">
        <f>'Data_in-situ'!EN117</f>
        <v>45</v>
      </c>
      <c r="AG2567" s="113">
        <f>'Data_in-situ'!EO117</f>
        <v>18.337337943808201</v>
      </c>
      <c r="AH2567" s="110">
        <f>'Data_in-situ'!EP117</f>
        <v>3</v>
      </c>
      <c r="AI2567" s="113">
        <f>'Data_in-situ'!ER117</f>
        <v>-32</v>
      </c>
      <c r="AJ2567" s="113">
        <f>'Data_in-situ'!ES117</f>
        <v>7.2580497122942136</v>
      </c>
      <c r="AK2567" s="110">
        <f>'Data_in-situ'!ET117</f>
        <v>3</v>
      </c>
    </row>
    <row r="2568" spans="1:37" x14ac:dyDescent="0.3">
      <c r="B2568" s="24">
        <f>'Data_in-situ'!CA406</f>
        <v>-1541.1578947368423</v>
      </c>
      <c r="C2568" s="24">
        <f>'Data_in-situ'!CB406</f>
        <v>7.2387719298245612</v>
      </c>
      <c r="D2568" s="46">
        <f>'Data_in-situ'!CC406</f>
        <v>4</v>
      </c>
      <c r="E2568" s="24">
        <f>'Data_in-situ'!CE406</f>
        <v>-2325.3342698275173</v>
      </c>
      <c r="F2568" s="24">
        <f>'Data_in-situ'!CF406</f>
        <v>61.965584260203691</v>
      </c>
      <c r="G2568" s="46">
        <f>'Data_in-situ'!CG406</f>
        <v>4</v>
      </c>
      <c r="H2568" s="24">
        <f>'Data_in-situ'!CN406</f>
        <v>1345.4082314555228</v>
      </c>
      <c r="I2568" s="24">
        <f>'Data_in-situ'!CO406</f>
        <v>87.695812130506496</v>
      </c>
      <c r="J2568" s="46">
        <f>'Data_in-situ'!CP406</f>
        <v>4</v>
      </c>
      <c r="K2568" s="24">
        <f>'Data_in-situ'!CR406</f>
        <v>1031.8740709698438</v>
      </c>
      <c r="L2568" s="24">
        <f>'Data_in-situ'!CS406</f>
        <v>302.96098741004602</v>
      </c>
      <c r="M2568" s="46">
        <f>'Data_in-situ'!CT406</f>
        <v>4</v>
      </c>
      <c r="N2568" s="24">
        <f>'Data_in-situ'!DA405</f>
        <v>-585.95990229422614</v>
      </c>
      <c r="O2568" s="24">
        <f>'Data_in-situ'!DB405</f>
        <v>247.14424390137435</v>
      </c>
      <c r="P2568" s="46">
        <f>'Data_in-situ'!DC405</f>
        <v>4</v>
      </c>
      <c r="Q2568" s="24">
        <f>'Data_in-situ'!DE405</f>
        <v>-566.79323953657467</v>
      </c>
      <c r="R2568" s="24">
        <f>'Data_in-situ'!DF405</f>
        <v>690.43890345404782</v>
      </c>
      <c r="S2568" s="46">
        <f>'Data_in-situ'!DG405</f>
        <v>4</v>
      </c>
      <c r="Z2568" s="113">
        <f>'Data_in-situ'!EA123</f>
        <v>6.2823434467833755E-2</v>
      </c>
      <c r="AA2568" s="113">
        <f>'Data_in-situ'!EB123</f>
        <v>0.36123330213831362</v>
      </c>
      <c r="AB2568" s="46">
        <f>'Data_in-situ'!EC123</f>
        <v>3</v>
      </c>
      <c r="AC2568" s="113">
        <f>'Data_in-situ'!EE123</f>
        <v>2.4682312753968088</v>
      </c>
      <c r="AD2568" s="113">
        <f>'Data_in-situ'!EF123</f>
        <v>3.6854133203596762</v>
      </c>
      <c r="AE2568" s="46">
        <f>'Data_in-situ'!EG123</f>
        <v>3</v>
      </c>
      <c r="AF2568" s="113">
        <f>'Data_in-situ'!EN118</f>
        <v>37</v>
      </c>
      <c r="AG2568" s="113">
        <f>'Data_in-situ'!EO118</f>
        <v>15.077366753797854</v>
      </c>
      <c r="AH2568" s="110">
        <f>'Data_in-situ'!EP118</f>
        <v>3</v>
      </c>
      <c r="AI2568" s="113">
        <f>'Data_in-situ'!ER118</f>
        <v>-39</v>
      </c>
      <c r="AJ2568" s="113">
        <f>'Data_in-situ'!ES118</f>
        <v>8.8457480868585723</v>
      </c>
      <c r="AK2568" s="110">
        <f>'Data_in-situ'!ET118</f>
        <v>3</v>
      </c>
    </row>
    <row r="2569" spans="1:37" x14ac:dyDescent="0.3">
      <c r="B2569" s="24">
        <f>'Data_in-situ'!CA407</f>
        <v>-2129.6</v>
      </c>
      <c r="C2569" s="24">
        <f>'Data_in-situ'!CB407</f>
        <v>6.8256410256410263</v>
      </c>
      <c r="D2569" s="46">
        <f>'Data_in-situ'!CC407</f>
        <v>4</v>
      </c>
      <c r="E2569" s="24">
        <f>'Data_in-situ'!CE407</f>
        <v>-2860.45927166603</v>
      </c>
      <c r="F2569" s="24">
        <f>'Data_in-situ'!CF407</f>
        <v>83.041731299949717</v>
      </c>
      <c r="G2569" s="46">
        <f>'Data_in-situ'!CG407</f>
        <v>4</v>
      </c>
      <c r="H2569" s="24">
        <f>'Data_in-situ'!CN407</f>
        <v>1355.5373277970868</v>
      </c>
      <c r="I2569" s="24">
        <f>'Data_in-situ'!CO407</f>
        <v>118.50504120960676</v>
      </c>
      <c r="J2569" s="46">
        <f>'Data_in-situ'!CP407</f>
        <v>4</v>
      </c>
      <c r="K2569" s="24">
        <f>'Data_in-situ'!CR407</f>
        <v>1460.4986850650098</v>
      </c>
      <c r="L2569" s="24">
        <f>'Data_in-situ'!CS407</f>
        <v>101.18634540814155</v>
      </c>
      <c r="M2569" s="46">
        <f>'Data_in-situ'!CT407</f>
        <v>4</v>
      </c>
      <c r="N2569" s="24">
        <f>'Data_in-situ'!DA406</f>
        <v>-195.7496632813195</v>
      </c>
      <c r="O2569" s="24">
        <f>'Data_in-situ'!DB406</f>
        <v>14.333494088181441</v>
      </c>
      <c r="P2569" s="46">
        <f>'Data_in-situ'!DC406</f>
        <v>4</v>
      </c>
      <c r="Q2569" s="24">
        <f>'Data_in-situ'!DE406</f>
        <v>-1293.4601988576735</v>
      </c>
      <c r="R2569" s="24">
        <f>'Data_in-situ'!DF406</f>
        <v>1575.5989774270381</v>
      </c>
      <c r="S2569" s="46">
        <f>'Data_in-situ'!DG406</f>
        <v>4</v>
      </c>
      <c r="Z2569" s="113">
        <f>'Data_in-situ'!EA126</f>
        <v>0.1445233938461904</v>
      </c>
      <c r="AA2569" s="113">
        <f>'Data_in-situ'!EB126</f>
        <v>0.83100618801771708</v>
      </c>
      <c r="AB2569" s="46">
        <f>'Data_in-situ'!EC126</f>
        <v>3</v>
      </c>
      <c r="AC2569" s="113">
        <f>'Data_in-situ'!EE126</f>
        <v>2.2712362909754678</v>
      </c>
      <c r="AD2569" s="113">
        <f>'Data_in-situ'!EF126</f>
        <v>3.3912723511290923</v>
      </c>
      <c r="AE2569" s="46">
        <f>'Data_in-situ'!EG126</f>
        <v>3</v>
      </c>
      <c r="AF2569" s="113">
        <f>'Data_in-situ'!EN119</f>
        <v>24</v>
      </c>
      <c r="AG2569" s="113">
        <f>'Data_in-situ'!EO119</f>
        <v>9.7799135700310398</v>
      </c>
      <c r="AH2569" s="110">
        <f>'Data_in-situ'!EP119</f>
        <v>3</v>
      </c>
      <c r="AI2569" s="113">
        <f>'Data_in-situ'!ER119</f>
        <v>-36</v>
      </c>
      <c r="AJ2569" s="113">
        <f>'Data_in-situ'!ES119</f>
        <v>8.1653059263309906</v>
      </c>
      <c r="AK2569" s="110">
        <f>'Data_in-situ'!ET119</f>
        <v>3</v>
      </c>
    </row>
    <row r="2570" spans="1:37" x14ac:dyDescent="0.3">
      <c r="B2570" s="24">
        <f>'Data_in-situ'!CA408</f>
        <v>-2259.2871794871794</v>
      </c>
      <c r="C2570" s="24">
        <f>'Data_in-situ'!CB408</f>
        <v>13.651282051282053</v>
      </c>
      <c r="D2570" s="46">
        <f>'Data_in-situ'!CC408</f>
        <v>4</v>
      </c>
      <c r="E2570" s="24">
        <f>'Data_in-situ'!CE408</f>
        <v>-1940.0144565259704</v>
      </c>
      <c r="F2570" s="24">
        <f>'Data_in-situ'!CF408</f>
        <v>56.070928981894077</v>
      </c>
      <c r="G2570" s="46">
        <f>'Data_in-situ'!CG408</f>
        <v>4</v>
      </c>
      <c r="H2570" s="24">
        <f>'Data_in-situ'!CN408</f>
        <v>1857.5881899441558</v>
      </c>
      <c r="I2570" s="24">
        <f>'Data_in-situ'!CO408</f>
        <v>103.36331194089117</v>
      </c>
      <c r="J2570" s="46">
        <f>'Data_in-situ'!CP408</f>
        <v>4</v>
      </c>
      <c r="K2570" s="24">
        <f>'Data_in-situ'!CR408</f>
        <v>1587.498570722837</v>
      </c>
      <c r="L2570" s="24">
        <f>'Data_in-situ'!CS408</f>
        <v>105.69113003255019</v>
      </c>
      <c r="M2570" s="46">
        <f>'Data_in-situ'!CT408</f>
        <v>4</v>
      </c>
      <c r="N2570" s="24">
        <f>'Data_in-situ'!DA407</f>
        <v>-774.06267220291306</v>
      </c>
      <c r="O2570" s="24">
        <f>'Data_in-situ'!DB407</f>
        <v>326.74240251044733</v>
      </c>
      <c r="P2570" s="46">
        <f>'Data_in-situ'!DC407</f>
        <v>4</v>
      </c>
      <c r="Q2570" s="24">
        <f>'Data_in-situ'!DE407</f>
        <v>-1399.9605866010202</v>
      </c>
      <c r="R2570" s="24">
        <f>'Data_in-situ'!DF407</f>
        <v>96.005553517597278</v>
      </c>
      <c r="S2570" s="46">
        <f>'Data_in-situ'!DG407</f>
        <v>4</v>
      </c>
      <c r="Z2570" s="113">
        <f>'Data_in-situ'!EA127</f>
        <v>0.25129373787133502</v>
      </c>
      <c r="AA2570" s="113">
        <f>'Data_in-situ'!EB127</f>
        <v>1.4449332085532545</v>
      </c>
      <c r="AB2570" s="46">
        <f>'Data_in-situ'!EC127</f>
        <v>3</v>
      </c>
      <c r="AC2570" s="113">
        <f>'Data_in-situ'!EE127</f>
        <v>2.7150544029364894</v>
      </c>
      <c r="AD2570" s="113">
        <f>'Data_in-situ'!EF127</f>
        <v>4.0539546523956433</v>
      </c>
      <c r="AE2570" s="46">
        <f>'Data_in-situ'!EG127</f>
        <v>3</v>
      </c>
      <c r="AF2570" s="113">
        <f>'Data_in-situ'!EN122</f>
        <v>65</v>
      </c>
      <c r="AG2570" s="113">
        <f>'Data_in-situ'!EO122</f>
        <v>26.487265918834066</v>
      </c>
      <c r="AH2570" s="110">
        <f>'Data_in-situ'!EP122</f>
        <v>3</v>
      </c>
      <c r="AI2570" s="113">
        <f>'Data_in-situ'!ER122</f>
        <v>-38</v>
      </c>
      <c r="AJ2570" s="113">
        <f>'Data_in-situ'!ES122</f>
        <v>8.6189340333493778</v>
      </c>
      <c r="AK2570" s="110">
        <f>'Data_in-situ'!ET122</f>
        <v>3</v>
      </c>
    </row>
    <row r="2571" spans="1:37" x14ac:dyDescent="0.3">
      <c r="B2571" s="24">
        <f>'Data_in-situ'!CA447</f>
        <v>-13830.844197002392</v>
      </c>
      <c r="C2571" s="24">
        <f>'Data_in-situ'!CB447</f>
        <v>2274.6676845640554</v>
      </c>
      <c r="D2571" s="46">
        <f>'Data_in-situ'!CC447</f>
        <v>3</v>
      </c>
      <c r="E2571" s="24">
        <f>'Data_in-situ'!CE447</f>
        <v>-66220.372894871383</v>
      </c>
      <c r="F2571" s="24">
        <f>'Data_in-situ'!CF447</f>
        <v>9098.6707382562217</v>
      </c>
      <c r="G2571" s="46">
        <f>'Data_in-situ'!CG447</f>
        <v>3</v>
      </c>
      <c r="H2571" s="24">
        <f>'Data_in-situ'!CN447</f>
        <v>8766.0655826625862</v>
      </c>
      <c r="I2571" s="24">
        <f>'Data_in-situ'!CO447</f>
        <v>227.4667684564055</v>
      </c>
      <c r="J2571" s="46">
        <f>'Data_in-situ'!CP447</f>
        <v>3</v>
      </c>
      <c r="K2571" s="24">
        <f>'Data_in-situ'!CR447</f>
        <v>41998.127476961054</v>
      </c>
      <c r="L2571" s="24">
        <f>'Data_in-situ'!CS447</f>
        <v>6824.003053692164</v>
      </c>
      <c r="M2571" s="46">
        <f>'Data_in-situ'!CT447</f>
        <v>3</v>
      </c>
      <c r="N2571" s="24">
        <f>'Data_in-situ'!DA408</f>
        <v>-401.69898954302357</v>
      </c>
      <c r="O2571" s="24">
        <f>'Data_in-situ'!DB408</f>
        <v>32.172723320258399</v>
      </c>
      <c r="P2571" s="46">
        <f>'Data_in-situ'!DC408</f>
        <v>4</v>
      </c>
      <c r="Q2571" s="24">
        <f>'Data_in-situ'!DE408</f>
        <v>-352.51588580313341</v>
      </c>
      <c r="R2571" s="24">
        <f>'Data_in-situ'!DF408</f>
        <v>429.43708601551509</v>
      </c>
      <c r="S2571" s="46">
        <f>'Data_in-situ'!DG408</f>
        <v>4</v>
      </c>
      <c r="AF2571" s="113">
        <f>'Data_in-situ'!EN123</f>
        <v>50</v>
      </c>
      <c r="AG2571" s="113">
        <f>'Data_in-situ'!EO123</f>
        <v>20.374819937564666</v>
      </c>
      <c r="AH2571" s="110">
        <f>'Data_in-situ'!EP123</f>
        <v>3</v>
      </c>
      <c r="AI2571" s="113">
        <f>'Data_in-situ'!ER123</f>
        <v>-34</v>
      </c>
      <c r="AJ2571" s="113">
        <f>'Data_in-situ'!ES123</f>
        <v>7.7116778193126017</v>
      </c>
      <c r="AK2571" s="110">
        <f>'Data_in-situ'!ET123</f>
        <v>3</v>
      </c>
    </row>
    <row r="2572" spans="1:37" x14ac:dyDescent="0.3">
      <c r="B2572" s="24">
        <f>'Data_in-situ'!CA462</f>
        <v>-51700</v>
      </c>
      <c r="C2572" s="24">
        <f>'Data_in-situ'!CB462</f>
        <v>12605.000812256634</v>
      </c>
      <c r="D2572" s="46">
        <f>'Data_in-situ'!CC462</f>
        <v>1</v>
      </c>
      <c r="E2572" s="24">
        <f>'Data_in-situ'!CE462</f>
        <v>-15510</v>
      </c>
      <c r="F2572" s="24">
        <f>'Data_in-situ'!CF462</f>
        <v>5773.8936858411389</v>
      </c>
      <c r="G2572" s="46">
        <f>'Data_in-situ'!CG462</f>
        <v>1</v>
      </c>
      <c r="H2572" s="24">
        <f>'Data_in-situ'!CN462</f>
        <v>39196.666666666664</v>
      </c>
      <c r="I2572" s="24">
        <f>'Data_in-situ'!CO462</f>
        <v>11274.031774703384</v>
      </c>
      <c r="J2572" s="46">
        <f>'Data_in-situ'!CP462</f>
        <v>1</v>
      </c>
      <c r="K2572" s="24">
        <f>'Data_in-situ'!CR462</f>
        <v>35236.666666666664</v>
      </c>
      <c r="L2572" s="24">
        <f>'Data_in-situ'!CS462</f>
        <v>9245.7901931151609</v>
      </c>
      <c r="M2572" s="46">
        <f>'Data_in-situ'!CT462</f>
        <v>1</v>
      </c>
      <c r="N2572" s="24">
        <f>'Data_in-situ'!DA447</f>
        <v>-4783.7690721649478</v>
      </c>
      <c r="O2572" s="24">
        <f>'Data_in-situ'!DB447</f>
        <v>1766.9819161761379</v>
      </c>
      <c r="P2572" s="46">
        <f>'Data_in-situ'!DC447</f>
        <v>3</v>
      </c>
      <c r="Q2572" s="24">
        <f>'Data_in-situ'!DE447</f>
        <v>-17986.9717113402</v>
      </c>
      <c r="R2572" s="24">
        <f>'Data_in-situ'!DF447</f>
        <v>3327.1138134409139</v>
      </c>
      <c r="S2572" s="46">
        <f>'Data_in-situ'!DG447</f>
        <v>3</v>
      </c>
      <c r="AF2572" s="113">
        <f>'Data_in-situ'!EN126</f>
        <v>43</v>
      </c>
      <c r="AG2572" s="113">
        <f>'Data_in-situ'!EO126</f>
        <v>17.522345146305614</v>
      </c>
      <c r="AH2572" s="110">
        <f>'Data_in-situ'!EP126</f>
        <v>3</v>
      </c>
      <c r="AI2572" s="113">
        <f>'Data_in-situ'!ER126</f>
        <v>-31</v>
      </c>
      <c r="AJ2572" s="113">
        <f>'Data_in-situ'!ES126</f>
        <v>7.0312356587850191</v>
      </c>
      <c r="AK2572" s="110">
        <f>'Data_in-situ'!ET126</f>
        <v>3</v>
      </c>
    </row>
    <row r="2573" spans="1:37" x14ac:dyDescent="0.3">
      <c r="B2573" s="24">
        <f>'Data_in-situ'!CA463</f>
        <v>-52030</v>
      </c>
      <c r="C2573" s="24">
        <f>'Data_in-situ'!CB463</f>
        <v>12685.458264249761</v>
      </c>
      <c r="D2573" s="46">
        <f>'Data_in-situ'!CC463</f>
        <v>1</v>
      </c>
      <c r="E2573" s="24">
        <f>'Data_in-situ'!CE463</f>
        <v>-33366.666666666664</v>
      </c>
      <c r="F2573" s="24">
        <f>'Data_in-situ'!CF463</f>
        <v>12421.378851336727</v>
      </c>
      <c r="G2573" s="46">
        <f>'Data_in-situ'!CG463</f>
        <v>1</v>
      </c>
      <c r="H2573" s="24">
        <f>'Data_in-situ'!CN463</f>
        <v>53753.333333333336</v>
      </c>
      <c r="I2573" s="24">
        <f>'Data_in-situ'!CO463</f>
        <v>15460.926643325691</v>
      </c>
      <c r="J2573" s="46">
        <f>'Data_in-situ'!CP463</f>
        <v>1</v>
      </c>
      <c r="K2573" s="24">
        <f>'Data_in-situ'!CR463</f>
        <v>42936.666666666664</v>
      </c>
      <c r="L2573" s="24">
        <f>'Data_in-situ'!CS463</f>
        <v>11266.202202016497</v>
      </c>
      <c r="M2573" s="46">
        <f>'Data_in-situ'!CT463</f>
        <v>1</v>
      </c>
      <c r="N2573" s="24">
        <f>'Data_in-situ'!DA462</f>
        <v>-12503.333333333336</v>
      </c>
      <c r="O2573" s="24">
        <f>'Data_in-situ'!DB462</f>
        <v>37505.705838773269</v>
      </c>
      <c r="P2573" s="46">
        <f>'Data_in-situ'!DC462</f>
        <v>1</v>
      </c>
      <c r="Q2573" s="24">
        <f>'Data_in-situ'!DE462</f>
        <v>19726.666666666664</v>
      </c>
      <c r="R2573" s="24">
        <f>'Data_in-situ'!DF462</f>
        <v>18802.330188886517</v>
      </c>
      <c r="S2573" s="46">
        <f>'Data_in-situ'!DG462</f>
        <v>1</v>
      </c>
      <c r="AF2573" s="113">
        <f>'Data_in-situ'!EN127</f>
        <v>40</v>
      </c>
      <c r="AG2573" s="113">
        <f>'Data_in-situ'!EO127</f>
        <v>16.299855950051732</v>
      </c>
      <c r="AH2573" s="110">
        <f>'Data_in-situ'!EP127</f>
        <v>3</v>
      </c>
      <c r="AI2573" s="113">
        <f>'Data_in-situ'!ER127</f>
        <v>-30</v>
      </c>
      <c r="AJ2573" s="113">
        <f>'Data_in-situ'!ES127</f>
        <v>6.8044216052758255</v>
      </c>
      <c r="AK2573" s="110">
        <f>'Data_in-situ'!ET127</f>
        <v>3</v>
      </c>
    </row>
    <row r="2574" spans="1:37" x14ac:dyDescent="0.3">
      <c r="B2574" s="24">
        <f>'Data_in-situ'!CA464</f>
        <v>-51700</v>
      </c>
      <c r="C2574" s="24">
        <f>'Data_in-situ'!CB464</f>
        <v>12605.000812256634</v>
      </c>
      <c r="D2574" s="46">
        <f>'Data_in-situ'!CC464</f>
        <v>1</v>
      </c>
      <c r="E2574" s="24">
        <f>'Data_in-situ'!CE464</f>
        <v>-15510</v>
      </c>
      <c r="F2574" s="24">
        <f>'Data_in-situ'!CF464</f>
        <v>5773.8936858411389</v>
      </c>
      <c r="G2574" s="46">
        <f>'Data_in-situ'!CG464</f>
        <v>1</v>
      </c>
      <c r="H2574" s="24">
        <f>'Data_in-situ'!CN464</f>
        <v>39196.666666666664</v>
      </c>
      <c r="I2574" s="24">
        <f>'Data_in-situ'!CO464</f>
        <v>11274.031774703384</v>
      </c>
      <c r="J2574" s="46">
        <f>'Data_in-situ'!CP464</f>
        <v>1</v>
      </c>
      <c r="K2574" s="24">
        <f>'Data_in-situ'!CR464</f>
        <v>35236.666666666664</v>
      </c>
      <c r="L2574" s="24">
        <f>'Data_in-situ'!CS464</f>
        <v>9245.7901931151609</v>
      </c>
      <c r="M2574" s="46">
        <f>'Data_in-situ'!CT464</f>
        <v>1</v>
      </c>
      <c r="N2574" s="24">
        <f>'Data_in-situ'!DA463</f>
        <v>1723.3333333333358</v>
      </c>
      <c r="O2574" s="24">
        <f>'Data_in-situ'!DB463</f>
        <v>5169.4081361359113</v>
      </c>
      <c r="P2574" s="46">
        <f>'Data_in-situ'!DC463</f>
        <v>1</v>
      </c>
      <c r="Q2574" s="24">
        <f>'Data_in-situ'!DE463</f>
        <v>9570</v>
      </c>
      <c r="R2574" s="24">
        <f>'Data_in-situ'!DF463</f>
        <v>9121.5765414486632</v>
      </c>
      <c r="S2574" s="46">
        <f>'Data_in-situ'!DG463</f>
        <v>1</v>
      </c>
      <c r="AF2574" s="113">
        <f>'Data_in-situ'!EN182</f>
        <v>10.513333333333334</v>
      </c>
      <c r="AG2574" s="113">
        <f>'Data_in-situ'!EO182</f>
        <v>1.0373523991392701</v>
      </c>
      <c r="AH2574" s="110">
        <f>'Data_in-situ'!EP182</f>
        <v>3</v>
      </c>
      <c r="AI2574" s="113">
        <f>'Data_in-situ'!ER182</f>
        <v>-89.296666666666667</v>
      </c>
      <c r="AJ2574" s="113">
        <f>'Data_in-situ'!ES182</f>
        <v>4.948066962629615</v>
      </c>
      <c r="AK2574" s="110">
        <f>'Data_in-situ'!ET182</f>
        <v>3</v>
      </c>
    </row>
    <row r="2575" spans="1:37" x14ac:dyDescent="0.3">
      <c r="B2575" s="24">
        <f>'Data_in-situ'!CA465</f>
        <v>-52030</v>
      </c>
      <c r="C2575" s="24">
        <f>'Data_in-situ'!CB465</f>
        <v>12685.458264249761</v>
      </c>
      <c r="D2575" s="46">
        <f>'Data_in-situ'!CC465</f>
        <v>1</v>
      </c>
      <c r="E2575" s="24">
        <f>'Data_in-situ'!CE465</f>
        <v>-33366.666666666664</v>
      </c>
      <c r="F2575" s="24">
        <f>'Data_in-situ'!CF465</f>
        <v>12421.378851336727</v>
      </c>
      <c r="G2575" s="46">
        <f>'Data_in-situ'!CG465</f>
        <v>1</v>
      </c>
      <c r="H2575" s="24">
        <f>'Data_in-situ'!CN465</f>
        <v>53753.333333333336</v>
      </c>
      <c r="I2575" s="24">
        <f>'Data_in-situ'!CO465</f>
        <v>15460.926643325691</v>
      </c>
      <c r="J2575" s="46">
        <f>'Data_in-situ'!CP465</f>
        <v>1</v>
      </c>
      <c r="K2575" s="24">
        <f>'Data_in-situ'!CR465</f>
        <v>42936.666666666664</v>
      </c>
      <c r="L2575" s="24">
        <f>'Data_in-situ'!CS465</f>
        <v>11266.202202016497</v>
      </c>
      <c r="M2575" s="46">
        <f>'Data_in-situ'!CT465</f>
        <v>1</v>
      </c>
      <c r="N2575" s="24">
        <f>'Data_in-situ'!DA464</f>
        <v>-12503.333333333336</v>
      </c>
      <c r="O2575" s="24">
        <f>'Data_in-situ'!DB464</f>
        <v>37505.705838773269</v>
      </c>
      <c r="P2575" s="46">
        <f>'Data_in-situ'!DC464</f>
        <v>1</v>
      </c>
      <c r="Q2575" s="24">
        <f>'Data_in-situ'!DE464</f>
        <v>19726.666666666664</v>
      </c>
      <c r="R2575" s="24">
        <f>'Data_in-situ'!DF464</f>
        <v>18802.330188886517</v>
      </c>
      <c r="S2575" s="46">
        <f>'Data_in-situ'!DG464</f>
        <v>1</v>
      </c>
      <c r="T2575" s="113">
        <f>'Data_in-situ'!DN182</f>
        <v>1413.9420186433458</v>
      </c>
      <c r="U2575" s="113">
        <f>'Data_in-situ'!DO182</f>
        <v>520.26850212340003</v>
      </c>
      <c r="V2575" s="46">
        <f>'Data_in-situ'!DP182</f>
        <v>3</v>
      </c>
      <c r="W2575" s="113">
        <f>'Data_in-situ'!DR182</f>
        <v>5.2453106713176574</v>
      </c>
      <c r="X2575" s="113">
        <f>'Data_in-situ'!DS182</f>
        <v>10.686883582340696</v>
      </c>
      <c r="Y2575" s="46">
        <f>'Data_in-situ'!DT182</f>
        <v>3</v>
      </c>
      <c r="AF2575" s="113">
        <f>'Data_in-situ'!EN183</f>
        <v>21.581790123456788</v>
      </c>
      <c r="AG2575" s="113">
        <f>'Data_in-situ'!EO183</f>
        <v>1.1499049536443477</v>
      </c>
      <c r="AH2575" s="110">
        <f>'Data_in-situ'!EP183</f>
        <v>3</v>
      </c>
      <c r="AI2575" s="113">
        <f>'Data_in-situ'!ER183</f>
        <v>-89.296666666666667</v>
      </c>
      <c r="AJ2575" s="113">
        <f>'Data_in-situ'!ES183</f>
        <v>4.948066962629615</v>
      </c>
      <c r="AK2575" s="110">
        <f>'Data_in-situ'!ET183</f>
        <v>3</v>
      </c>
    </row>
    <row r="2576" spans="1:37" x14ac:dyDescent="0.3">
      <c r="B2576" s="24">
        <f>'Data_in-situ'!CA466</f>
        <v>-51700</v>
      </c>
      <c r="C2576" s="24">
        <f>'Data_in-situ'!CB466</f>
        <v>12605.000812256634</v>
      </c>
      <c r="D2576" s="46">
        <f>'Data_in-situ'!CC466</f>
        <v>1</v>
      </c>
      <c r="E2576" s="24">
        <f>'Data_in-situ'!CE466</f>
        <v>-15510</v>
      </c>
      <c r="F2576" s="24">
        <f>'Data_in-situ'!CF466</f>
        <v>5773.8936858411389</v>
      </c>
      <c r="G2576" s="46">
        <f>'Data_in-situ'!CG466</f>
        <v>1</v>
      </c>
      <c r="H2576" s="24">
        <f>'Data_in-situ'!CN466</f>
        <v>39196.666666666664</v>
      </c>
      <c r="I2576" s="24">
        <f>'Data_in-situ'!CO466</f>
        <v>11274.031774703384</v>
      </c>
      <c r="J2576" s="46">
        <f>'Data_in-situ'!CP466</f>
        <v>1</v>
      </c>
      <c r="K2576" s="24">
        <f>'Data_in-situ'!CR466</f>
        <v>35236.666666666664</v>
      </c>
      <c r="L2576" s="24">
        <f>'Data_in-situ'!CS466</f>
        <v>9245.7901931151609</v>
      </c>
      <c r="M2576" s="46">
        <f>'Data_in-situ'!CT466</f>
        <v>1</v>
      </c>
      <c r="N2576" s="24">
        <f>'Data_in-situ'!DA465</f>
        <v>1723.3333333333358</v>
      </c>
      <c r="O2576" s="24">
        <f>'Data_in-situ'!DB465</f>
        <v>5169.4081361359113</v>
      </c>
      <c r="P2576" s="46">
        <f>'Data_in-situ'!DC465</f>
        <v>1</v>
      </c>
      <c r="Q2576" s="24">
        <f>'Data_in-situ'!DE465</f>
        <v>9570</v>
      </c>
      <c r="R2576" s="24">
        <f>'Data_in-situ'!DF465</f>
        <v>9121.5765414486632</v>
      </c>
      <c r="S2576" s="46">
        <f>'Data_in-situ'!DG465</f>
        <v>1</v>
      </c>
      <c r="T2576" s="113">
        <f>'Data_in-situ'!DN183</f>
        <v>965.8440732691339</v>
      </c>
      <c r="U2576" s="113">
        <f>'Data_in-situ'!DO183</f>
        <v>308.47001167764779</v>
      </c>
      <c r="V2576" s="46">
        <f>'Data_in-situ'!DP183</f>
        <v>3</v>
      </c>
      <c r="W2576" s="113">
        <f>'Data_in-situ'!DR183</f>
        <v>5.2453106713176574</v>
      </c>
      <c r="X2576" s="113">
        <f>'Data_in-situ'!DS183</f>
        <v>10.686883582340696</v>
      </c>
      <c r="Y2576" s="46">
        <f>'Data_in-situ'!DT183</f>
        <v>3</v>
      </c>
      <c r="AF2576" s="113">
        <f>'Data_in-situ'!EN184</f>
        <v>15.494138888888889</v>
      </c>
      <c r="AG2576" s="113">
        <f>'Data_in-situ'!EO184</f>
        <v>0.77024816389862394</v>
      </c>
      <c r="AH2576" s="110">
        <f>'Data_in-situ'!EP184</f>
        <v>3</v>
      </c>
      <c r="AI2576" s="113">
        <f>'Data_in-situ'!ER184</f>
        <v>-89.296666666666667</v>
      </c>
      <c r="AJ2576" s="113">
        <f>'Data_in-situ'!ES184</f>
        <v>4.948066962629615</v>
      </c>
      <c r="AK2576" s="110">
        <f>'Data_in-situ'!ET184</f>
        <v>3</v>
      </c>
    </row>
    <row r="2577" spans="1:37" x14ac:dyDescent="0.3">
      <c r="B2577" s="24">
        <f>'Data_in-situ'!CA467</f>
        <v>-52030</v>
      </c>
      <c r="C2577" s="24">
        <f>'Data_in-situ'!CB467</f>
        <v>12685.458264249761</v>
      </c>
      <c r="D2577" s="46">
        <f>'Data_in-situ'!CC467</f>
        <v>1</v>
      </c>
      <c r="E2577" s="24">
        <f>'Data_in-situ'!CE467</f>
        <v>-33366.666666666664</v>
      </c>
      <c r="F2577" s="24">
        <f>'Data_in-situ'!CF467</f>
        <v>12421.378851336727</v>
      </c>
      <c r="G2577" s="46">
        <f>'Data_in-situ'!CG467</f>
        <v>1</v>
      </c>
      <c r="H2577" s="24">
        <f>'Data_in-situ'!CN467</f>
        <v>53753.333333333336</v>
      </c>
      <c r="I2577" s="24">
        <f>'Data_in-situ'!CO467</f>
        <v>15460.926643325691</v>
      </c>
      <c r="J2577" s="46">
        <f>'Data_in-situ'!CP467</f>
        <v>1</v>
      </c>
      <c r="K2577" s="24">
        <f>'Data_in-situ'!CR467</f>
        <v>42936.666666666664</v>
      </c>
      <c r="L2577" s="24">
        <f>'Data_in-situ'!CS467</f>
        <v>11266.202202016497</v>
      </c>
      <c r="M2577" s="46">
        <f>'Data_in-situ'!CT467</f>
        <v>1</v>
      </c>
      <c r="N2577" s="24">
        <f>'Data_in-situ'!DA466</f>
        <v>-12503.333333333336</v>
      </c>
      <c r="O2577" s="24">
        <f>'Data_in-situ'!DB466</f>
        <v>37505.705838773269</v>
      </c>
      <c r="P2577" s="46">
        <f>'Data_in-situ'!DC466</f>
        <v>1</v>
      </c>
      <c r="Q2577" s="24">
        <f>'Data_in-situ'!DE466</f>
        <v>19726.666666666664</v>
      </c>
      <c r="R2577" s="24">
        <f>'Data_in-situ'!DF466</f>
        <v>18802.330188886517</v>
      </c>
      <c r="S2577" s="46">
        <f>'Data_in-situ'!DG466</f>
        <v>1</v>
      </c>
      <c r="T2577" s="113">
        <f>'Data_in-situ'!DN184</f>
        <v>1212.2979432249506</v>
      </c>
      <c r="U2577" s="113">
        <f>'Data_in-situ'!DO184</f>
        <v>318.03950472765939</v>
      </c>
      <c r="V2577" s="46">
        <f>'Data_in-situ'!DP184</f>
        <v>3</v>
      </c>
      <c r="W2577" s="113">
        <f>'Data_in-situ'!DR184</f>
        <v>5.2453106713176574</v>
      </c>
      <c r="X2577" s="113">
        <f>'Data_in-situ'!DS184</f>
        <v>10.686883582340696</v>
      </c>
      <c r="Y2577" s="46">
        <f>'Data_in-situ'!DT184</f>
        <v>3</v>
      </c>
      <c r="AF2577" s="113">
        <f>'Data_in-situ'!EN188</f>
        <v>15.494138888888889</v>
      </c>
      <c r="AG2577" s="113">
        <f>'Data_in-situ'!EO188</f>
        <v>0.77024816389862394</v>
      </c>
      <c r="AH2577" s="110">
        <f>'Data_in-situ'!EP188</f>
        <v>3</v>
      </c>
      <c r="AI2577" s="113">
        <f>'Data_in-situ'!ER188</f>
        <v>-91.63</v>
      </c>
      <c r="AJ2577" s="113">
        <f>'Data_in-situ'!ES188</f>
        <v>7.7942286340599471</v>
      </c>
      <c r="AK2577" s="110">
        <f>'Data_in-situ'!ET188</f>
        <v>3</v>
      </c>
    </row>
    <row r="2578" spans="1:37" x14ac:dyDescent="0.3">
      <c r="N2578" s="24">
        <f>'Data_in-situ'!DA467</f>
        <v>1723.3333333333358</v>
      </c>
      <c r="O2578" s="24">
        <f>'Data_in-situ'!DB467</f>
        <v>5169.4081361359113</v>
      </c>
      <c r="P2578" s="46">
        <f>'Data_in-situ'!DC467</f>
        <v>1</v>
      </c>
      <c r="Q2578" s="24">
        <f>'Data_in-situ'!DE467</f>
        <v>9570</v>
      </c>
      <c r="R2578" s="24">
        <f>'Data_in-situ'!DF467</f>
        <v>9121.5765414486632</v>
      </c>
      <c r="S2578" s="46">
        <f>'Data_in-situ'!DG467</f>
        <v>1</v>
      </c>
      <c r="T2578" s="113">
        <f>'Data_in-situ'!DN188</f>
        <v>1212.2979432249506</v>
      </c>
      <c r="U2578" s="113">
        <f>'Data_in-situ'!DO188</f>
        <v>318.03950472765939</v>
      </c>
      <c r="V2578" s="46">
        <f>'Data_in-situ'!DP188</f>
        <v>3</v>
      </c>
      <c r="W2578" s="113">
        <f>'Data_in-situ'!DR188</f>
        <v>4.8706456233663973</v>
      </c>
      <c r="X2578" s="113">
        <f>'Data_in-situ'!DS188</f>
        <v>10.042950275238745</v>
      </c>
      <c r="Y2578" s="46">
        <f>'Data_in-situ'!DT188</f>
        <v>3</v>
      </c>
      <c r="AF2578" s="113">
        <f>'Data_in-situ'!EN189</f>
        <v>15.494138888888889</v>
      </c>
      <c r="AG2578" s="113">
        <f>'Data_in-situ'!EO189</f>
        <v>0.77024816389862394</v>
      </c>
      <c r="AH2578" s="110">
        <f>'Data_in-situ'!EP189</f>
        <v>3</v>
      </c>
      <c r="AI2578" s="113">
        <f>'Data_in-situ'!ER189</f>
        <v>-87.6</v>
      </c>
      <c r="AJ2578" s="113">
        <f>'Data_in-situ'!ES189</f>
        <v>10.825317547305483</v>
      </c>
      <c r="AK2578" s="110">
        <f>'Data_in-situ'!ET189</f>
        <v>3</v>
      </c>
    </row>
    <row r="2579" spans="1:37" x14ac:dyDescent="0.3">
      <c r="T2579" s="113">
        <f>'Data_in-situ'!DN189</f>
        <v>1212.2979432249506</v>
      </c>
      <c r="U2579" s="113">
        <f>'Data_in-situ'!DO189</f>
        <v>318.03950472765939</v>
      </c>
      <c r="V2579" s="46">
        <f>'Data_in-situ'!DP189</f>
        <v>3</v>
      </c>
      <c r="W2579" s="113">
        <f>'Data_in-situ'!DR189</f>
        <v>4.4959805754151345</v>
      </c>
      <c r="X2579" s="113">
        <f>'Data_in-situ'!DS189</f>
        <v>9.194274493457808</v>
      </c>
      <c r="Y2579" s="46">
        <f>'Data_in-situ'!DT189</f>
        <v>3</v>
      </c>
      <c r="AF2579" s="113">
        <f>'Data_in-situ'!EN190</f>
        <v>15.494138888888889</v>
      </c>
      <c r="AG2579" s="113">
        <f>'Data_in-situ'!EO190</f>
        <v>0.77024816389862394</v>
      </c>
      <c r="AH2579" s="110">
        <f>'Data_in-situ'!EP190</f>
        <v>3</v>
      </c>
      <c r="AI2579" s="113">
        <f>'Data_in-situ'!ER190</f>
        <v>-89.296666666666667</v>
      </c>
      <c r="AJ2579" s="113">
        <f>'Data_in-situ'!ES190</f>
        <v>6.512511036458978</v>
      </c>
      <c r="AK2579" s="110">
        <f>'Data_in-situ'!ET190</f>
        <v>3</v>
      </c>
    </row>
    <row r="2580" spans="1:37" x14ac:dyDescent="0.3">
      <c r="T2580" s="113">
        <f>'Data_in-situ'!DN190</f>
        <v>1212.2979432249506</v>
      </c>
      <c r="U2580" s="113">
        <f>'Data_in-situ'!DO190</f>
        <v>318.03950472765939</v>
      </c>
      <c r="V2580" s="46">
        <f>'Data_in-situ'!DP190</f>
        <v>3</v>
      </c>
      <c r="W2580" s="113">
        <f>'Data_in-situ'!DR190</f>
        <v>6.3693058151714421</v>
      </c>
      <c r="X2580" s="113">
        <f>'Data_in-situ'!DS190</f>
        <v>13.141978030809039</v>
      </c>
      <c r="Y2580" s="46">
        <f>'Data_in-situ'!DT190</f>
        <v>3</v>
      </c>
      <c r="AF2580" s="113">
        <f>'Data_in-situ'!EN194</f>
        <v>-7</v>
      </c>
      <c r="AG2580" s="113">
        <f>'Data_in-situ'!EO194</f>
        <v>2.8524747912590533</v>
      </c>
      <c r="AH2580" s="110">
        <f>'Data_in-situ'!EP194</f>
        <v>6</v>
      </c>
      <c r="AI2580" s="113">
        <f>'Data_in-situ'!ER194</f>
        <v>-57</v>
      </c>
      <c r="AJ2580" s="113">
        <f>'Data_in-situ'!ES194</f>
        <v>12.928401050024068</v>
      </c>
      <c r="AK2580" s="110">
        <f>'Data_in-situ'!ET194</f>
        <v>6</v>
      </c>
    </row>
    <row r="2581" spans="1:37" x14ac:dyDescent="0.3">
      <c r="T2581" s="113">
        <f>'Data_in-situ'!DN194</f>
        <v>116</v>
      </c>
      <c r="U2581" s="113">
        <f>'Data_in-situ'!DO194</f>
        <v>129.32599754255131</v>
      </c>
      <c r="V2581" s="46">
        <f>'Data_in-situ'!DP194</f>
        <v>6</v>
      </c>
      <c r="W2581" s="113">
        <f>'Data_in-situ'!DR194</f>
        <v>-9</v>
      </c>
      <c r="X2581" s="113">
        <f>'Data_in-situ'!DS194</f>
        <v>33.634946651679087</v>
      </c>
      <c r="Y2581" s="46">
        <f>'Data_in-situ'!DT194</f>
        <v>6</v>
      </c>
      <c r="AF2581" s="113">
        <f>'Data_in-situ'!EN400</f>
        <v>8.6888471563287055</v>
      </c>
      <c r="AG2581" s="113">
        <f>'Data_in-situ'!EO400</f>
        <v>0.9459684366413168</v>
      </c>
      <c r="AH2581" s="110">
        <f>'Data_in-situ'!EP400</f>
        <v>8</v>
      </c>
      <c r="AI2581" s="113">
        <f>'Data_in-situ'!ER400</f>
        <v>-10.544207227786568</v>
      </c>
      <c r="AJ2581" s="113">
        <f>'Data_in-situ'!ES400</f>
        <v>3.1095266572641616</v>
      </c>
      <c r="AK2581" s="110">
        <f>'Data_in-situ'!ET400</f>
        <v>8</v>
      </c>
    </row>
    <row r="2582" spans="1:37" x14ac:dyDescent="0.3">
      <c r="T2582" s="113">
        <f>'Data_in-situ'!DN400</f>
        <v>507.98367438755889</v>
      </c>
      <c r="U2582" s="113">
        <f>'Data_in-situ'!DO400</f>
        <v>309.25085319324296</v>
      </c>
      <c r="V2582" s="46">
        <f>'Data_in-situ'!DP400</f>
        <v>8</v>
      </c>
      <c r="W2582" s="113">
        <f>'Data_in-situ'!DR400</f>
        <v>12.765061923408211</v>
      </c>
      <c r="X2582" s="113">
        <f>'Data_in-situ'!DS400</f>
        <v>23.812364224373002</v>
      </c>
      <c r="Y2582" s="46">
        <f>'Data_in-situ'!DT400</f>
        <v>4</v>
      </c>
      <c r="AF2582" s="113">
        <f>'Data_in-situ'!EN447</f>
        <v>-17.3</v>
      </c>
      <c r="AG2582" s="113">
        <f>'Data_in-situ'!EO447</f>
        <v>2.2516660498395402</v>
      </c>
      <c r="AH2582" s="110">
        <f>'Data_in-situ'!EP447</f>
        <v>3</v>
      </c>
      <c r="AI2582" s="113">
        <f>'Data_in-situ'!ER447</f>
        <v>-21.9</v>
      </c>
      <c r="AJ2582" s="113">
        <f>'Data_in-situ'!ES447</f>
        <v>3.4641016151377544</v>
      </c>
      <c r="AK2582" s="110">
        <f>'Data_in-situ'!ET447</f>
        <v>3</v>
      </c>
    </row>
    <row r="2584" spans="1:37" x14ac:dyDescent="0.3">
      <c r="A2584" s="110" t="s">
        <v>831</v>
      </c>
      <c r="B2584" s="24">
        <f>AVERAGEA(B2563:B2582)</f>
        <v>-22299.634973971482</v>
      </c>
      <c r="C2584" s="24">
        <f>STDEVA(B2563:B2582)/SQRT(COUNT(B2563:B2582))</f>
        <v>6505.8101818271034</v>
      </c>
      <c r="D2584" s="46">
        <f>COUNT(B2563:B2582)</f>
        <v>15</v>
      </c>
      <c r="E2584" s="24">
        <f>AVERAGEA(E2563:E2582)</f>
        <v>-14936.931575193837</v>
      </c>
      <c r="F2584" s="24">
        <f>STDEVA(E2563:E2582)/SQRT(COUNT(E2563:E2582))</f>
        <v>4939.1516473640231</v>
      </c>
      <c r="G2584" s="46">
        <f>COUNT(E2563:E2582)</f>
        <v>15</v>
      </c>
      <c r="H2584" s="24">
        <f>AVERAGEA(H2563:H2582)</f>
        <v>19670.856008916177</v>
      </c>
      <c r="I2584" s="24">
        <f>STDEVA(H2563:H2582)/SQRT(COUNT(H2563:H2582))</f>
        <v>5999.9020950944314</v>
      </c>
      <c r="J2584" s="46">
        <f>COUNT(H2563:H2582)</f>
        <v>15</v>
      </c>
      <c r="K2584" s="24">
        <f>AVERAGEA(K2563:K2582)</f>
        <v>18907.462681337667</v>
      </c>
      <c r="L2584" s="24">
        <f>STDEVA(K2563:K2582)/SQRT(COUNT(K2563:K2582))</f>
        <v>5193.9867260341771</v>
      </c>
      <c r="M2584" s="46">
        <f>COUNT(K2563:K2582)</f>
        <v>15</v>
      </c>
      <c r="N2584" s="24">
        <f>AVERAGEA(N2563:N2582)</f>
        <v>-2444.9941046039526</v>
      </c>
      <c r="O2584" s="24">
        <f>STDEVA(N2563:N2582)/SQRT(COUNT(N2563:N2582))</f>
        <v>1301.1062957026465</v>
      </c>
      <c r="P2584" s="46">
        <f>COUNT(N2563:N2582)</f>
        <v>16</v>
      </c>
      <c r="Q2584" s="24">
        <f>AVERAGEA(Q2563:Q2582)</f>
        <v>4111.3250015968206</v>
      </c>
      <c r="R2584" s="24">
        <f>STDEVA(Q2563:Q2582)/SQRT(COUNT(Q2563:Q2582))</f>
        <v>2499.6888224946283</v>
      </c>
      <c r="S2584" s="46">
        <f>COUNT(Q2563:Q2582)</f>
        <v>16</v>
      </c>
      <c r="T2584" s="113">
        <f>AVERAGEA(T2563:T2582)</f>
        <v>951.61403095136654</v>
      </c>
      <c r="U2584" s="113">
        <f>STDEVA(T2563:T2582)/SQRT(COUNT(T2563:T2582))</f>
        <v>177.76090931105253</v>
      </c>
      <c r="V2584" s="46">
        <f>COUNT(T2563:T2582)</f>
        <v>12</v>
      </c>
      <c r="W2584" s="113">
        <f>AVERAGEA(W2563:W2582)</f>
        <v>6.8669530384507054</v>
      </c>
      <c r="X2584" s="113">
        <f>STDEVA(W2563:W2582)/SQRT(COUNT(W2563:W2582))</f>
        <v>3.7086728983455006</v>
      </c>
      <c r="Y2584" s="46">
        <f>COUNT(W2563:W2582)</f>
        <v>12</v>
      </c>
      <c r="Z2584" s="113">
        <f>AVERAGEA(Z2563:Z2582)</f>
        <v>0.27565299141516142</v>
      </c>
      <c r="AA2584" s="113">
        <f>STDEVA(Z2563:Z2582)/SQRT(COUNT(Z2563:Z2582))</f>
        <v>0.11986118635380028</v>
      </c>
      <c r="AB2584" s="46">
        <f>COUNT(Z2563:Z2582)</f>
        <v>8</v>
      </c>
      <c r="AC2584" s="113">
        <f>AVERAGEA(AC2563:AC2582)</f>
        <v>2.3139152877771014</v>
      </c>
      <c r="AD2584" s="113">
        <f>STDEVA(AC2563:AC2582)/SQRT(COUNT(AC2563:AC2582))</f>
        <v>0.22337954380932656</v>
      </c>
      <c r="AE2584" s="46">
        <f>COUNT(AC2563:AC2582)</f>
        <v>8</v>
      </c>
      <c r="AF2584" s="113">
        <f>AVERAGEA(AF2563:AF2582)</f>
        <v>23.226276308433714</v>
      </c>
      <c r="AG2584" s="113">
        <f>STDEVA(AF2563:AF2582)/SQRT(COUNT(AF2563:AF2582))</f>
        <v>4.7579109107429236</v>
      </c>
      <c r="AH2584" s="46">
        <f>COUNT(AF2563:AF2582)</f>
        <v>20</v>
      </c>
      <c r="AI2584" s="113">
        <f>AVERAGEA(AI2563:AI2582)</f>
        <v>-55.033043694722664</v>
      </c>
      <c r="AJ2584" s="113">
        <f>STDEVA(AI2563:AI2582)/SQRT(COUNT(AI2563:AI2582))</f>
        <v>7.2458169331779079</v>
      </c>
      <c r="AK2584" s="46">
        <f>COUNT(AI2563:AI2582)</f>
        <v>20</v>
      </c>
    </row>
    <row r="2586" spans="1:37" x14ac:dyDescent="0.3">
      <c r="A2586" s="110" t="s">
        <v>1042</v>
      </c>
      <c r="B2586" s="24">
        <f>'Data_in-situ'!CA30</f>
        <v>-40736.294508300089</v>
      </c>
      <c r="C2586" s="24">
        <f>'Data_in-situ'!CB30</f>
        <v>9264.5737614785212</v>
      </c>
      <c r="D2586" s="46">
        <f>'Data_in-situ'!CC30</f>
        <v>6</v>
      </c>
      <c r="E2586" s="24">
        <f>'Data_in-situ'!CE30</f>
        <v>-30951.137650990822</v>
      </c>
      <c r="F2586" s="24">
        <f>'Data_in-situ'!CF30</f>
        <v>7720.4781345655592</v>
      </c>
      <c r="G2586" s="46">
        <f>'Data_in-situ'!CG30</f>
        <v>6</v>
      </c>
      <c r="H2586" s="24">
        <f>'Data_in-situ'!CN30</f>
        <v>23661.813178740125</v>
      </c>
      <c r="I2586" s="24">
        <f>'Data_in-situ'!CO30</f>
        <v>8127.2621692012581</v>
      </c>
      <c r="J2586" s="46">
        <f>'Data_in-situ'!CP30</f>
        <v>6</v>
      </c>
      <c r="K2586" s="24">
        <f>'Data_in-situ'!CR30</f>
        <v>17959.926513784052</v>
      </c>
      <c r="L2586" s="24">
        <f>'Data_in-situ'!CS30</f>
        <v>6049.9193018093547</v>
      </c>
      <c r="M2586" s="46">
        <f>'Data_in-situ'!CT30</f>
        <v>6</v>
      </c>
      <c r="N2586" s="24">
        <f>'Data_in-situ'!DA2</f>
        <v>-2080</v>
      </c>
      <c r="O2586" s="24">
        <f>'Data_in-situ'!DB2</f>
        <v>200</v>
      </c>
      <c r="P2586" s="46">
        <f>'Data_in-situ'!DC2</f>
        <v>4</v>
      </c>
      <c r="Q2586" s="24">
        <f>'Data_in-situ'!DE2</f>
        <v>-720</v>
      </c>
      <c r="R2586" s="24">
        <f>'Data_in-situ'!DF2</f>
        <v>580</v>
      </c>
      <c r="S2586" s="46">
        <f>'Data_in-situ'!DG2</f>
        <v>4</v>
      </c>
      <c r="T2586" s="113">
        <f>'Data_in-situ'!DN2</f>
        <v>155.93</v>
      </c>
      <c r="U2586" s="113">
        <f>'Data_in-situ'!DO2</f>
        <v>91.89</v>
      </c>
      <c r="V2586" s="46">
        <f>'Data_in-situ'!DP2</f>
        <v>3</v>
      </c>
      <c r="W2586" s="113">
        <f>'Data_in-situ'!DR2</f>
        <v>-0.52095000000000002</v>
      </c>
      <c r="X2586" s="113">
        <f>'Data_in-situ'!DS2</f>
        <v>0.42061931719786716</v>
      </c>
      <c r="Y2586" s="46">
        <f>'Data_in-situ'!DT2</f>
        <v>3</v>
      </c>
      <c r="Z2586" s="113">
        <f>'Data_in-situ'!EA8</f>
        <v>9.3216878849518445E-2</v>
      </c>
      <c r="AA2586" s="113">
        <f>'Data_in-situ'!EB8</f>
        <v>0.20553512952136199</v>
      </c>
      <c r="AB2586" s="46">
        <f>'Data_in-situ'!EC8</f>
        <v>3</v>
      </c>
      <c r="AC2586" s="113">
        <f>'Data_in-situ'!EE8</f>
        <v>1.1634570510397673</v>
      </c>
      <c r="AD2586" s="113">
        <f>'Data_in-situ'!EF8</f>
        <v>0.38922612585728023</v>
      </c>
      <c r="AE2586" s="46">
        <f>'Data_in-situ'!EG8</f>
        <v>3</v>
      </c>
      <c r="AF2586" s="113">
        <f>'Data_in-situ'!EN17</f>
        <v>-31.375000000000004</v>
      </c>
      <c r="AG2586" s="113">
        <f>'Data_in-situ'!EO17</f>
        <v>10.767974391685748</v>
      </c>
      <c r="AH2586" s="110">
        <f>'Data_in-situ'!EP17</f>
        <v>4</v>
      </c>
      <c r="AI2586" s="113">
        <f>'Data_in-situ'!ER17</f>
        <v>-57.38</v>
      </c>
      <c r="AJ2586" s="113">
        <f>'Data_in-situ'!ES17</f>
        <v>9.4499999999999993</v>
      </c>
      <c r="AK2586" s="110">
        <f>'Data_in-situ'!ET17</f>
        <v>4</v>
      </c>
    </row>
    <row r="2587" spans="1:37" x14ac:dyDescent="0.3">
      <c r="B2587" s="24">
        <f>'Data_in-situ'!CA31</f>
        <v>-29498.69602325177</v>
      </c>
      <c r="C2587" s="24">
        <f>'Data_in-situ'!CB31</f>
        <v>5661.6839653480265</v>
      </c>
      <c r="D2587" s="46">
        <f>'Data_in-situ'!CC31</f>
        <v>6</v>
      </c>
      <c r="E2587" s="24">
        <f>'Data_in-situ'!CE31</f>
        <v>-23758.267633507035</v>
      </c>
      <c r="F2587" s="24">
        <f>'Data_in-situ'!CF31</f>
        <v>4117.5883384349272</v>
      </c>
      <c r="G2587" s="46">
        <f>'Data_in-situ'!CG31</f>
        <v>6</v>
      </c>
      <c r="H2587" s="24">
        <f>'Data_in-situ'!CN31</f>
        <v>24809.052605588167</v>
      </c>
      <c r="I2587" s="24">
        <f>'Data_in-situ'!CO31</f>
        <v>6528.4178481847057</v>
      </c>
      <c r="J2587" s="46">
        <f>'Data_in-situ'!CP31</f>
        <v>6</v>
      </c>
      <c r="K2587" s="24">
        <f>'Data_in-situ'!CR31</f>
        <v>21625.217639046135</v>
      </c>
      <c r="L2587" s="24">
        <f>'Data_in-situ'!CS31</f>
        <v>4944.4422331318983</v>
      </c>
      <c r="M2587" s="46">
        <f>'Data_in-situ'!CT31</f>
        <v>6</v>
      </c>
      <c r="N2587" s="24">
        <f>'Data_in-situ'!DA3</f>
        <v>-2080</v>
      </c>
      <c r="O2587" s="24">
        <f>'Data_in-situ'!DB3</f>
        <v>200</v>
      </c>
      <c r="P2587" s="46">
        <f>'Data_in-situ'!DC3</f>
        <v>4</v>
      </c>
      <c r="Q2587" s="24">
        <f>'Data_in-situ'!DE3</f>
        <v>-1200</v>
      </c>
      <c r="R2587" s="24">
        <f>'Data_in-situ'!DF3</f>
        <v>800</v>
      </c>
      <c r="S2587" s="46">
        <f>'Data_in-situ'!DG3</f>
        <v>4</v>
      </c>
      <c r="T2587" s="113">
        <f>'Data_in-situ'!DN3</f>
        <v>155.93</v>
      </c>
      <c r="U2587" s="113">
        <f>'Data_in-situ'!DO3</f>
        <v>91.89</v>
      </c>
      <c r="V2587" s="46">
        <f>'Data_in-situ'!DP3</f>
        <v>3</v>
      </c>
      <c r="W2587" s="113">
        <f>'Data_in-situ'!DR3</f>
        <v>-0.50150000000000006</v>
      </c>
      <c r="X2587" s="113">
        <f>'Data_in-situ'!DS3</f>
        <v>0.69631979003903077</v>
      </c>
      <c r="Y2587" s="46">
        <f>'Data_in-situ'!DT3</f>
        <v>3</v>
      </c>
      <c r="Z2587" s="113">
        <f>'Data_in-situ'!EA9</f>
        <v>9.3216878849518445E-2</v>
      </c>
      <c r="AA2587" s="113">
        <f>'Data_in-situ'!EB9</f>
        <v>0.20553512952136199</v>
      </c>
      <c r="AB2587" s="46">
        <f>'Data_in-situ'!EC9</f>
        <v>3</v>
      </c>
      <c r="AC2587" s="113">
        <f>'Data_in-situ'!EE9</f>
        <v>1.6177151825214293</v>
      </c>
      <c r="AD2587" s="113">
        <f>'Data_in-situ'!EF9</f>
        <v>0.53878192787841905</v>
      </c>
      <c r="AE2587" s="46">
        <f>'Data_in-situ'!EG9</f>
        <v>3</v>
      </c>
      <c r="AF2587" s="113">
        <f>'Data_in-situ'!EN18</f>
        <v>-6.17</v>
      </c>
      <c r="AG2587" s="113">
        <f>'Data_in-situ'!EO18</f>
        <v>1.6</v>
      </c>
      <c r="AH2587" s="110">
        <f>'Data_in-situ'!EP18</f>
        <v>3</v>
      </c>
      <c r="AI2587" s="113">
        <f>'Data_in-situ'!ER18</f>
        <v>-32.340000000000003</v>
      </c>
      <c r="AJ2587" s="113">
        <f>'Data_in-situ'!ES18</f>
        <v>1.06</v>
      </c>
      <c r="AK2587" s="110">
        <f>'Data_in-situ'!ET18</f>
        <v>3</v>
      </c>
    </row>
    <row r="2588" spans="1:37" x14ac:dyDescent="0.3">
      <c r="B2588" s="24">
        <f>'Data_in-situ'!CA35</f>
        <v>-9117.2313953462108</v>
      </c>
      <c r="C2588" s="24">
        <f>'Data_in-situ'!CB35</f>
        <v>2424.3247606001519</v>
      </c>
      <c r="D2588" s="46">
        <f>'Data_in-situ'!CC35</f>
        <v>3</v>
      </c>
      <c r="E2588" s="24">
        <f>'Data_in-situ'!CE35</f>
        <v>-4187.6052363562967</v>
      </c>
      <c r="F2588" s="24">
        <f>'Data_in-situ'!CF35</f>
        <v>3018.5350952743552</v>
      </c>
      <c r="G2588" s="46">
        <f>'Data_in-situ'!CG35</f>
        <v>3</v>
      </c>
      <c r="H2588" s="24">
        <f>'Data_in-situ'!CN35</f>
        <v>12663.516770662041</v>
      </c>
      <c r="I2588" s="24">
        <f>'Data_in-situ'!CO35</f>
        <v>2211.9149588307</v>
      </c>
      <c r="J2588" s="46">
        <f>'Data_in-situ'!CP35</f>
        <v>3</v>
      </c>
      <c r="K2588" s="24">
        <f>'Data_in-situ'!CR35</f>
        <v>8364.4600190841793</v>
      </c>
      <c r="L2588" s="24">
        <f>'Data_in-situ'!CS35</f>
        <v>6024.8326143304821</v>
      </c>
      <c r="M2588" s="46">
        <f>'Data_in-situ'!CT35</f>
        <v>3</v>
      </c>
      <c r="N2588" s="24">
        <f>'Data_in-situ'!DA30</f>
        <v>-17074.481329559963</v>
      </c>
      <c r="O2588" s="24">
        <f>'Data_in-situ'!DB30</f>
        <v>1832.3959637482985</v>
      </c>
      <c r="P2588" s="46">
        <f>'Data_in-situ'!DC30</f>
        <v>6</v>
      </c>
      <c r="Q2588" s="24">
        <f>'Data_in-situ'!DE30</f>
        <v>-12991.21113720677</v>
      </c>
      <c r="R2588" s="24">
        <f>'Data_in-situ'!DF30</f>
        <v>15856.449105704574</v>
      </c>
      <c r="S2588" s="46">
        <f>'Data_in-situ'!DG30</f>
        <v>6</v>
      </c>
      <c r="T2588" s="113">
        <f>'Data_in-situ'!DN4</f>
        <v>155.93</v>
      </c>
      <c r="U2588" s="113">
        <f>'Data_in-situ'!DO4</f>
        <v>91.89</v>
      </c>
      <c r="V2588" s="46">
        <f>'Data_in-situ'!DP4</f>
        <v>3</v>
      </c>
      <c r="W2588" s="113">
        <f>'Data_in-situ'!DR4</f>
        <v>-0.61299999999999999</v>
      </c>
      <c r="X2588" s="113">
        <f>'Data_in-situ'!DS4</f>
        <v>0.52600000000000002</v>
      </c>
      <c r="Y2588" s="46">
        <f>'Data_in-situ'!DT4</f>
        <v>3</v>
      </c>
      <c r="Z2588" s="113">
        <f>'Data_in-situ'!EA10</f>
        <v>0.10912682734488738</v>
      </c>
      <c r="AA2588" s="113">
        <f>'Data_in-situ'!EB10</f>
        <v>0.23951135746402341</v>
      </c>
      <c r="AB2588" s="46">
        <f>'Data_in-situ'!EC10</f>
        <v>3</v>
      </c>
      <c r="AC2588" s="113">
        <f>'Data_in-situ'!EE10</f>
        <v>1.8711108749125607</v>
      </c>
      <c r="AD2588" s="113">
        <f>'Data_in-situ'!EF10</f>
        <v>1.1438689414400234</v>
      </c>
      <c r="AE2588" s="46">
        <f>'Data_in-situ'!EG10</f>
        <v>3</v>
      </c>
      <c r="AF2588" s="113">
        <f>'Data_in-situ'!EN19</f>
        <v>-6.17</v>
      </c>
      <c r="AG2588" s="113">
        <f>'Data_in-situ'!EO19</f>
        <v>1.6</v>
      </c>
      <c r="AH2588" s="110">
        <f>'Data_in-situ'!EP19</f>
        <v>3</v>
      </c>
      <c r="AI2588" s="113">
        <f>'Data_in-situ'!ER19</f>
        <v>-37.89</v>
      </c>
      <c r="AJ2588" s="113">
        <f>'Data_in-situ'!ES19</f>
        <v>1.4</v>
      </c>
      <c r="AK2588" s="110">
        <f>'Data_in-situ'!ET19</f>
        <v>3</v>
      </c>
    </row>
    <row r="2589" spans="1:37" x14ac:dyDescent="0.3">
      <c r="B2589" s="24">
        <f>'Data_in-situ'!CA36</f>
        <v>-9117.2313953462108</v>
      </c>
      <c r="C2589" s="24">
        <f>'Data_in-situ'!CB36</f>
        <v>2424.3247606001519</v>
      </c>
      <c r="D2589" s="46">
        <f>'Data_in-situ'!CC36</f>
        <v>3</v>
      </c>
      <c r="E2589" s="24">
        <f>'Data_in-situ'!CE36</f>
        <v>-11061.598737544933</v>
      </c>
      <c r="F2589" s="24">
        <f>'Data_in-situ'!CF36</f>
        <v>1546.857501085957</v>
      </c>
      <c r="G2589" s="46">
        <f>'Data_in-situ'!CG36</f>
        <v>3</v>
      </c>
      <c r="H2589" s="24">
        <f>'Data_in-situ'!CN36</f>
        <v>12663.516770662041</v>
      </c>
      <c r="I2589" s="24">
        <f>'Data_in-situ'!CO36</f>
        <v>2211.9149588307</v>
      </c>
      <c r="J2589" s="46">
        <f>'Data_in-situ'!CP36</f>
        <v>3</v>
      </c>
      <c r="K2589" s="24">
        <f>'Data_in-situ'!CR36</f>
        <v>13557.778602361719</v>
      </c>
      <c r="L2589" s="24">
        <f>'Data_in-situ'!CS36</f>
        <v>1534.7793518535277</v>
      </c>
      <c r="M2589" s="46">
        <f>'Data_in-situ'!CT36</f>
        <v>3</v>
      </c>
      <c r="N2589" s="24">
        <f>'Data_in-situ'!DA31</f>
        <v>-4689.643417663603</v>
      </c>
      <c r="O2589" s="24">
        <f>'Data_in-situ'!DB31</f>
        <v>822.55847950944644</v>
      </c>
      <c r="P2589" s="46">
        <f>'Data_in-situ'!DC31</f>
        <v>6</v>
      </c>
      <c r="Q2589" s="24">
        <f>'Data_in-situ'!DE31</f>
        <v>-2133.0499944609001</v>
      </c>
      <c r="R2589" s="24">
        <f>'Data_in-situ'!DF31</f>
        <v>2649.3488808970865</v>
      </c>
      <c r="S2589" s="46">
        <f>'Data_in-situ'!DG31</f>
        <v>6</v>
      </c>
      <c r="T2589" s="113">
        <f>'Data_in-situ'!DN5</f>
        <v>155.93</v>
      </c>
      <c r="U2589" s="113">
        <f>'Data_in-situ'!DO5</f>
        <v>91.89</v>
      </c>
      <c r="V2589" s="46">
        <f>'Data_in-situ'!DP5</f>
        <v>3</v>
      </c>
      <c r="W2589" s="113">
        <f>'Data_in-situ'!DR5</f>
        <v>-0.35</v>
      </c>
      <c r="X2589" s="113">
        <f>'Data_in-situ'!DS5</f>
        <v>0.70099999999999996</v>
      </c>
      <c r="Y2589" s="46">
        <f>'Data_in-situ'!DT5</f>
        <v>3</v>
      </c>
      <c r="Z2589" s="113">
        <f>'Data_in-situ'!EA11</f>
        <v>0.10912682734488738</v>
      </c>
      <c r="AA2589" s="113">
        <f>'Data_in-situ'!EB11</f>
        <v>0.23951135746402341</v>
      </c>
      <c r="AB2589" s="46">
        <f>'Data_in-situ'!EC11</f>
        <v>3</v>
      </c>
      <c r="AC2589" s="113">
        <f>'Data_in-situ'!EE11</f>
        <v>0.2673015535589372</v>
      </c>
      <c r="AD2589" s="113">
        <f>'Data_in-situ'!EF11</f>
        <v>0.16021073937933927</v>
      </c>
      <c r="AE2589" s="46">
        <f>'Data_in-situ'!EG11</f>
        <v>3</v>
      </c>
      <c r="AF2589" s="113">
        <f>'Data_in-situ'!EN20</f>
        <v>-20.329999999999998</v>
      </c>
      <c r="AG2589" s="113">
        <f>'Data_in-situ'!EO20</f>
        <v>2.57</v>
      </c>
      <c r="AH2589" s="110">
        <f>'Data_in-situ'!EP20</f>
        <v>3</v>
      </c>
      <c r="AI2589" s="113">
        <f>'Data_in-situ'!ER20</f>
        <v>-32.340000000000003</v>
      </c>
      <c r="AJ2589" s="113">
        <f>'Data_in-situ'!ES20</f>
        <v>1.06</v>
      </c>
      <c r="AK2589" s="110">
        <f>'Data_in-situ'!ET20</f>
        <v>3</v>
      </c>
    </row>
    <row r="2590" spans="1:37" x14ac:dyDescent="0.3">
      <c r="B2590" s="24">
        <f>'Data_in-situ'!CA37</f>
        <v>-10940.677674415452</v>
      </c>
      <c r="C2590" s="24">
        <f>'Data_in-situ'!CB37</f>
        <v>3587.5182834567399</v>
      </c>
      <c r="D2590" s="46">
        <f>'Data_in-situ'!CC37</f>
        <v>3</v>
      </c>
      <c r="E2590" s="24">
        <f>'Data_in-situ'!CE37</f>
        <v>-1303.6884226392244</v>
      </c>
      <c r="F2590" s="24">
        <f>'Data_in-situ'!CF37</f>
        <v>1460.696181049753</v>
      </c>
      <c r="G2590" s="46">
        <f>'Data_in-situ'!CG37</f>
        <v>3</v>
      </c>
      <c r="H2590" s="24">
        <f>'Data_in-situ'!CN37</f>
        <v>12156.97609983556</v>
      </c>
      <c r="I2590" s="24">
        <f>'Data_in-situ'!CO37</f>
        <v>3352.7816659818532</v>
      </c>
      <c r="J2590" s="46">
        <f>'Data_in-situ'!CP37</f>
        <v>3</v>
      </c>
      <c r="K2590" s="24">
        <f>'Data_in-situ'!CR37</f>
        <v>7583.1643030158775</v>
      </c>
      <c r="L2590" s="24">
        <f>'Data_in-situ'!CS37</f>
        <v>4282.3014654243434</v>
      </c>
      <c r="M2590" s="46">
        <f>'Data_in-situ'!CT37</f>
        <v>3</v>
      </c>
      <c r="N2590" s="24">
        <f>'Data_in-situ'!DA32</f>
        <v>8950.3333333333303</v>
      </c>
      <c r="O2590" s="24">
        <f>'Data_in-situ'!DB32</f>
        <v>4633.1130043536723</v>
      </c>
      <c r="P2590" s="46">
        <f>'Data_in-situ'!DC32</f>
        <v>6</v>
      </c>
      <c r="Q2590" s="24">
        <f>'Data_in-situ'!DE32</f>
        <v>19004.333333333336</v>
      </c>
      <c r="R2590" s="24">
        <f>'Data_in-situ'!DF32</f>
        <v>11808.648436162748</v>
      </c>
      <c r="S2590" s="46">
        <f>'Data_in-situ'!DG32</f>
        <v>6</v>
      </c>
      <c r="T2590" s="113">
        <f>'Data_in-situ'!DN6</f>
        <v>155.93</v>
      </c>
      <c r="U2590" s="113">
        <f>'Data_in-situ'!DO6</f>
        <v>91.89</v>
      </c>
      <c r="V2590" s="46">
        <f>'Data_in-situ'!DP6</f>
        <v>3</v>
      </c>
      <c r="W2590" s="113">
        <f>'Data_in-situ'!DR6</f>
        <v>-0.96399999999999997</v>
      </c>
      <c r="X2590" s="113">
        <f>'Data_in-situ'!DS6</f>
        <v>0.26300000000000001</v>
      </c>
      <c r="Y2590" s="46">
        <f>'Data_in-situ'!DT6</f>
        <v>3</v>
      </c>
      <c r="Z2590" s="113">
        <f>'Data_in-situ'!EA12</f>
        <v>0.10912682734488738</v>
      </c>
      <c r="AA2590" s="113">
        <f>'Data_in-situ'!EB12</f>
        <v>0.23951135746402341</v>
      </c>
      <c r="AB2590" s="46">
        <f>'Data_in-situ'!EC12</f>
        <v>3</v>
      </c>
      <c r="AC2590" s="113">
        <f>'Data_in-situ'!EE12</f>
        <v>1.6305394767095169</v>
      </c>
      <c r="AD2590" s="113">
        <f>'Data_in-situ'!EF12</f>
        <v>0.96616422362470822</v>
      </c>
      <c r="AE2590" s="46">
        <f>'Data_in-situ'!EG12</f>
        <v>3</v>
      </c>
      <c r="AF2590" s="113">
        <f>'Data_in-situ'!EN21</f>
        <v>-20.329999999999998</v>
      </c>
      <c r="AG2590" s="113">
        <f>'Data_in-situ'!EO21</f>
        <v>2.57</v>
      </c>
      <c r="AH2590" s="110">
        <f>'Data_in-situ'!EP21</f>
        <v>3</v>
      </c>
      <c r="AI2590" s="113">
        <f>'Data_in-situ'!ER21</f>
        <v>-37.89</v>
      </c>
      <c r="AJ2590" s="113">
        <f>'Data_in-situ'!ES21</f>
        <v>1.4</v>
      </c>
      <c r="AK2590" s="110">
        <f>'Data_in-situ'!ET21</f>
        <v>3</v>
      </c>
    </row>
    <row r="2591" spans="1:37" x14ac:dyDescent="0.3">
      <c r="B2591" s="24">
        <f>'Data_in-situ'!CA38</f>
        <v>-10940.677674415452</v>
      </c>
      <c r="C2591" s="24">
        <f>'Data_in-situ'!CB38</f>
        <v>3587.5182834567399</v>
      </c>
      <c r="D2591" s="46">
        <f>'Data_in-situ'!CC38</f>
        <v>3</v>
      </c>
      <c r="E2591" s="24">
        <f>'Data_in-situ'!CE38</f>
        <v>-13155.401355723083</v>
      </c>
      <c r="F2591" s="24">
        <f>'Data_in-situ'!CF38</f>
        <v>4763.1397208144126</v>
      </c>
      <c r="G2591" s="46">
        <f>'Data_in-situ'!CG38</f>
        <v>3</v>
      </c>
      <c r="H2591" s="24">
        <f>'Data_in-situ'!CN38</f>
        <v>12156.97609983556</v>
      </c>
      <c r="I2591" s="24">
        <f>'Data_in-situ'!CO38</f>
        <v>3352.7816659818532</v>
      </c>
      <c r="J2591" s="46">
        <f>'Data_in-situ'!CP38</f>
        <v>3</v>
      </c>
      <c r="K2591" s="24">
        <f>'Data_in-situ'!CR38</f>
        <v>16131.458608233776</v>
      </c>
      <c r="L2591" s="24">
        <f>'Data_in-situ'!CS38</f>
        <v>7799.7123045882036</v>
      </c>
      <c r="M2591" s="46">
        <f>'Data_in-situ'!CT38</f>
        <v>3</v>
      </c>
      <c r="N2591" s="24">
        <f>'Data_in-situ'!DA35</f>
        <v>3546.2853753158306</v>
      </c>
      <c r="O2591" s="24">
        <f>'Data_in-situ'!DB35</f>
        <v>5941.7227544878542</v>
      </c>
      <c r="P2591" s="46">
        <f>'Data_in-situ'!DC35</f>
        <v>3</v>
      </c>
      <c r="Q2591" s="24">
        <f>'Data_in-situ'!DE35</f>
        <v>4176.8547827278826</v>
      </c>
      <c r="R2591" s="24">
        <f>'Data_in-situ'!DF35</f>
        <v>748.67399248676202</v>
      </c>
      <c r="S2591" s="46">
        <f>'Data_in-situ'!DG35</f>
        <v>3</v>
      </c>
      <c r="T2591" s="113">
        <f>'Data_in-situ'!DN7</f>
        <v>155.93</v>
      </c>
      <c r="U2591" s="113">
        <f>'Data_in-situ'!DO7</f>
        <v>91.89</v>
      </c>
      <c r="V2591" s="46">
        <f>'Data_in-situ'!DP7</f>
        <v>3</v>
      </c>
      <c r="W2591" s="113">
        <f>'Data_in-situ'!DR7</f>
        <v>0.35</v>
      </c>
      <c r="X2591" s="113">
        <f>'Data_in-situ'!DS7</f>
        <v>1.927</v>
      </c>
      <c r="Y2591" s="46">
        <f>'Data_in-situ'!DT7</f>
        <v>3</v>
      </c>
      <c r="Z2591" s="113">
        <f>'Data_in-situ'!EA13</f>
        <v>0.10912682734488738</v>
      </c>
      <c r="AA2591" s="113">
        <f>'Data_in-situ'!EB13</f>
        <v>0.23951135746402341</v>
      </c>
      <c r="AB2591" s="46">
        <f>'Data_in-situ'!EC13</f>
        <v>3</v>
      </c>
      <c r="AC2591" s="113">
        <f>'Data_in-situ'!EE13</f>
        <v>2.1116822731156044</v>
      </c>
      <c r="AD2591" s="113">
        <f>'Data_in-situ'!EF13</f>
        <v>0.9849415206790767</v>
      </c>
      <c r="AE2591" s="46">
        <f>'Data_in-situ'!EG13</f>
        <v>3</v>
      </c>
      <c r="AF2591" s="113">
        <f>'Data_in-situ'!EN22</f>
        <v>-6.17</v>
      </c>
      <c r="AG2591" s="113">
        <f>'Data_in-situ'!EO22</f>
        <v>1.6</v>
      </c>
      <c r="AH2591" s="110">
        <f>'Data_in-situ'!EP22</f>
        <v>3</v>
      </c>
      <c r="AI2591" s="113">
        <f>'Data_in-situ'!ER22</f>
        <v>-40</v>
      </c>
      <c r="AJ2591" s="113">
        <f>'Data_in-situ'!ES22</f>
        <v>0</v>
      </c>
      <c r="AK2591" s="110">
        <f>'Data_in-situ'!ET22</f>
        <v>3</v>
      </c>
    </row>
    <row r="2592" spans="1:37" x14ac:dyDescent="0.3">
      <c r="B2592" s="24">
        <f>'Data_in-situ'!CA39</f>
        <v>-11180.604816398249</v>
      </c>
      <c r="C2592" s="24">
        <f>'Data_in-situ'!CB39</f>
        <v>6822.7682537892761</v>
      </c>
      <c r="D2592" s="46">
        <f>'Data_in-situ'!CC39</f>
        <v>3</v>
      </c>
      <c r="E2592" s="24">
        <f>'Data_in-situ'!CE39</f>
        <v>-2014.7911986242559</v>
      </c>
      <c r="F2592" s="24">
        <f>'Data_in-situ'!CF39</f>
        <v>1143.1535329954588</v>
      </c>
      <c r="G2592" s="46">
        <f>'Data_in-situ'!CG39</f>
        <v>3</v>
      </c>
      <c r="H2592" s="24">
        <f>'Data_in-situ'!CN39</f>
        <v>12213.258396594058</v>
      </c>
      <c r="I2592" s="24">
        <f>'Data_in-situ'!CO39</f>
        <v>5829.3069078214994</v>
      </c>
      <c r="J2592" s="46">
        <f>'Data_in-situ'!CP39</f>
        <v>3</v>
      </c>
      <c r="K2592" s="24">
        <f>'Data_in-situ'!CR39</f>
        <v>13236.068601627712</v>
      </c>
      <c r="L2592" s="24">
        <f>'Data_in-situ'!CS39</f>
        <v>2169.8026552469478</v>
      </c>
      <c r="M2592" s="46">
        <f>'Data_in-situ'!CT39</f>
        <v>3</v>
      </c>
      <c r="N2592" s="24">
        <f>'Data_in-situ'!DA36</f>
        <v>3546.2853753158306</v>
      </c>
      <c r="O2592" s="24">
        <f>'Data_in-situ'!DB36</f>
        <v>5941.7227544878542</v>
      </c>
      <c r="P2592" s="46">
        <f>'Data_in-situ'!DC36</f>
        <v>3</v>
      </c>
      <c r="Q2592" s="24">
        <f>'Data_in-situ'!DE36</f>
        <v>2496.179864816786</v>
      </c>
      <c r="R2592" s="24">
        <f>'Data_in-situ'!DF36</f>
        <v>441.86562565211784</v>
      </c>
      <c r="S2592" s="46">
        <f>'Data_in-situ'!DG36</f>
        <v>3</v>
      </c>
      <c r="T2592" s="113">
        <f>'Data_in-situ'!DN8</f>
        <v>77.679769199310513</v>
      </c>
      <c r="U2592" s="113">
        <f>'Data_in-situ'!DO8</f>
        <v>41.109363664076781</v>
      </c>
      <c r="V2592" s="46">
        <f>'Data_in-situ'!DP8</f>
        <v>3</v>
      </c>
      <c r="W2592" s="113">
        <f>'Data_in-situ'!DR8</f>
        <v>1.3178677201023323</v>
      </c>
      <c r="X2592" s="113">
        <f>'Data_in-situ'!DS8</f>
        <v>0.99682589896901586</v>
      </c>
      <c r="Y2592" s="46">
        <f>'Data_in-situ'!DT8</f>
        <v>3</v>
      </c>
      <c r="Z2592" s="113">
        <f>'Data_in-situ'!EA33</f>
        <v>0.3</v>
      </c>
      <c r="AA2592" s="113">
        <f>'Data_in-situ'!EB33</f>
        <v>0.35</v>
      </c>
      <c r="AB2592" s="46">
        <f>'Data_in-situ'!EC33</f>
        <v>6</v>
      </c>
      <c r="AC2592" s="113">
        <f>'Data_in-situ'!EE33</f>
        <v>3</v>
      </c>
      <c r="AD2592" s="113">
        <f>'Data_in-situ'!EF33</f>
        <v>0.95</v>
      </c>
      <c r="AE2592" s="46">
        <f>'Data_in-situ'!EG33</f>
        <v>6</v>
      </c>
      <c r="AF2592" s="113">
        <f>'Data_in-situ'!EN23</f>
        <v>-6.17</v>
      </c>
      <c r="AG2592" s="113">
        <f>'Data_in-situ'!EO23</f>
        <v>1.6</v>
      </c>
      <c r="AH2592" s="110">
        <f>'Data_in-situ'!EP23</f>
        <v>3</v>
      </c>
      <c r="AI2592" s="113">
        <f>'Data_in-situ'!ER23</f>
        <v>-14.475524475524482</v>
      </c>
      <c r="AJ2592" s="113">
        <f>'Data_in-situ'!ES23</f>
        <v>3.4828674393339902</v>
      </c>
      <c r="AK2592" s="110">
        <f>'Data_in-situ'!ET23</f>
        <v>3</v>
      </c>
    </row>
    <row r="2593" spans="2:37" x14ac:dyDescent="0.3">
      <c r="B2593" s="24">
        <f>'Data_in-situ'!CA40</f>
        <v>-11180.604816398249</v>
      </c>
      <c r="C2593" s="24">
        <f>'Data_in-situ'!CB40</f>
        <v>6822.7682537892761</v>
      </c>
      <c r="D2593" s="46">
        <f>'Data_in-situ'!CC40</f>
        <v>3</v>
      </c>
      <c r="E2593" s="24">
        <f>'Data_in-situ'!CE40</f>
        <v>-13708.481292600329</v>
      </c>
      <c r="F2593" s="24">
        <f>'Data_in-situ'!CF40</f>
        <v>4128.0544247058242</v>
      </c>
      <c r="G2593" s="46">
        <f>'Data_in-situ'!CG40</f>
        <v>3</v>
      </c>
      <c r="H2593" s="24">
        <f>'Data_in-situ'!CN40</f>
        <v>12213.258396594058</v>
      </c>
      <c r="I2593" s="24">
        <f>'Data_in-situ'!CO40</f>
        <v>5829.3069078214994</v>
      </c>
      <c r="J2593" s="46">
        <f>'Data_in-situ'!CP40</f>
        <v>3</v>
      </c>
      <c r="K2593" s="24">
        <f>'Data_in-situ'!CR40</f>
        <v>16774.878609701791</v>
      </c>
      <c r="L2593" s="24">
        <f>'Data_in-situ'!CS40</f>
        <v>6880.9051275668298</v>
      </c>
      <c r="M2593" s="46">
        <f>'Data_in-situ'!CT40</f>
        <v>3</v>
      </c>
      <c r="N2593" s="24">
        <f>'Data_in-situ'!DA37</f>
        <v>1216.2984254201074</v>
      </c>
      <c r="O2593" s="24">
        <f>'Data_in-situ'!DB37</f>
        <v>2060.9133169618808</v>
      </c>
      <c r="P2593" s="46">
        <f>'Data_in-situ'!DC37</f>
        <v>3</v>
      </c>
      <c r="Q2593" s="24">
        <f>'Data_in-situ'!DE37</f>
        <v>6279.4758803766526</v>
      </c>
      <c r="R2593" s="24">
        <f>'Data_in-situ'!DF37</f>
        <v>947.48073610146616</v>
      </c>
      <c r="S2593" s="46">
        <f>'Data_in-situ'!DG37</f>
        <v>3</v>
      </c>
      <c r="T2593" s="113">
        <f>'Data_in-situ'!DN9</f>
        <v>77.679769199310513</v>
      </c>
      <c r="U2593" s="113">
        <f>'Data_in-situ'!DO9</f>
        <v>41.109363664076781</v>
      </c>
      <c r="V2593" s="46">
        <f>'Data_in-situ'!DP9</f>
        <v>3</v>
      </c>
      <c r="W2593" s="113">
        <f>'Data_in-situ'!DR9</f>
        <v>-1.0998745633936757</v>
      </c>
      <c r="X2593" s="113">
        <f>'Data_in-situ'!DS9</f>
        <v>0.82147395233930254</v>
      </c>
      <c r="Y2593" s="46">
        <f>'Data_in-situ'!DT9</f>
        <v>3</v>
      </c>
      <c r="Z2593" s="113">
        <f>'Data_in-situ'!EA84</f>
        <v>-0.10183500000000001</v>
      </c>
      <c r="AA2593" s="113">
        <f>'Data_in-situ'!EB84</f>
        <v>6.3291E-2</v>
      </c>
      <c r="AB2593" s="46">
        <f>'Data_in-situ'!EC84</f>
        <v>3</v>
      </c>
      <c r="AC2593" s="113">
        <f>'Data_in-situ'!EE84</f>
        <v>2.9631794999999999</v>
      </c>
      <c r="AD2593" s="113">
        <f>'Data_in-situ'!EF84</f>
        <v>0.67948399999999998</v>
      </c>
      <c r="AE2593" s="46">
        <f>'Data_in-situ'!EG84</f>
        <v>3</v>
      </c>
      <c r="AF2593" s="113">
        <f>'Data_in-situ'!EN24</f>
        <v>-6.17</v>
      </c>
      <c r="AG2593" s="113">
        <f>'Data_in-situ'!EO24</f>
        <v>1.6</v>
      </c>
      <c r="AH2593" s="110">
        <f>'Data_in-situ'!EP24</f>
        <v>3</v>
      </c>
      <c r="AI2593" s="113">
        <f>'Data_in-situ'!ER24</f>
        <v>-40</v>
      </c>
      <c r="AJ2593" s="113">
        <f>'Data_in-situ'!ES24</f>
        <v>0</v>
      </c>
      <c r="AK2593" s="110">
        <f>'Data_in-situ'!ET24</f>
        <v>3</v>
      </c>
    </row>
    <row r="2594" spans="2:37" x14ac:dyDescent="0.3">
      <c r="B2594" s="24">
        <f>'Data_in-situ'!CA41</f>
        <v>-7247.1260453614086</v>
      </c>
      <c r="C2594" s="24">
        <f>'Data_in-situ'!CB41</f>
        <v>2100.9616035887611</v>
      </c>
      <c r="D2594" s="46">
        <f>'Data_in-situ'!CC41</f>
        <v>3</v>
      </c>
      <c r="E2594" s="24">
        <f>'Data_in-situ'!CE41</f>
        <v>-4029.5823972485118</v>
      </c>
      <c r="F2594" s="24">
        <f>'Data_in-situ'!CF41</f>
        <v>3302.4435397646589</v>
      </c>
      <c r="G2594" s="46">
        <f>'Data_in-situ'!CG41</f>
        <v>3</v>
      </c>
      <c r="H2594" s="24">
        <f>'Data_in-situ'!CN41</f>
        <v>6440.2877983621229</v>
      </c>
      <c r="I2594" s="24">
        <f>'Data_in-situ'!CO41</f>
        <v>2181.3507268282779</v>
      </c>
      <c r="J2594" s="46">
        <f>'Data_in-situ'!CP41</f>
        <v>3</v>
      </c>
      <c r="K2594" s="24">
        <f>'Data_in-situ'!CR41</f>
        <v>16039.541465166916</v>
      </c>
      <c r="L2594" s="24">
        <f>'Data_in-situ'!CS41</f>
        <v>7252.7203244742068</v>
      </c>
      <c r="M2594" s="46">
        <f>'Data_in-situ'!CT41</f>
        <v>3</v>
      </c>
      <c r="N2594" s="24">
        <f>'Data_in-situ'!DA38</f>
        <v>1216.2984254201074</v>
      </c>
      <c r="O2594" s="24">
        <f>'Data_in-situ'!DB38</f>
        <v>2060.9133169618808</v>
      </c>
      <c r="P2594" s="46">
        <f>'Data_in-situ'!DC38</f>
        <v>3</v>
      </c>
      <c r="Q2594" s="24">
        <f>'Data_in-situ'!DE38</f>
        <v>2976.0572525106927</v>
      </c>
      <c r="R2594" s="24">
        <f>'Data_in-situ'!DF38</f>
        <v>692.55442504565758</v>
      </c>
      <c r="S2594" s="46">
        <f>'Data_in-situ'!DG38</f>
        <v>3</v>
      </c>
      <c r="T2594" s="113">
        <f>'Data_in-situ'!DN10</f>
        <v>80.930473720608589</v>
      </c>
      <c r="U2594" s="113">
        <f>'Data_in-situ'!DO10</f>
        <v>80.92749494901247</v>
      </c>
      <c r="V2594" s="46">
        <f>'Data_in-situ'!DP10</f>
        <v>3</v>
      </c>
      <c r="W2594" s="113">
        <f>'Data_in-situ'!DR10</f>
        <v>-0.14922022827514225</v>
      </c>
      <c r="X2594" s="113">
        <f>'Data_in-situ'!DS10</f>
        <v>1.9242287674114169</v>
      </c>
      <c r="Y2594" s="46">
        <f>'Data_in-situ'!DT10</f>
        <v>3</v>
      </c>
      <c r="Z2594" s="113">
        <f>'Data_in-situ'!EA85</f>
        <v>2.8688999999999999E-2</v>
      </c>
      <c r="AA2594" s="113">
        <f>'Data_in-situ'!EB85</f>
        <v>4.7267500000000004E-2</v>
      </c>
      <c r="AB2594" s="46">
        <f>'Data_in-situ'!EC85</f>
        <v>3</v>
      </c>
      <c r="AC2594" s="113">
        <f>'Data_in-situ'!EE85</f>
        <v>0.80300000000000005</v>
      </c>
      <c r="AD2594" s="113">
        <f>'Data_in-situ'!EF85</f>
        <v>0.225132</v>
      </c>
      <c r="AE2594" s="46">
        <f>'Data_in-situ'!EG85</f>
        <v>3</v>
      </c>
      <c r="AF2594" s="113">
        <f>'Data_in-situ'!EN25</f>
        <v>-6.17</v>
      </c>
      <c r="AG2594" s="113">
        <f>'Data_in-situ'!EO25</f>
        <v>1.6</v>
      </c>
      <c r="AH2594" s="110">
        <f>'Data_in-situ'!EP25</f>
        <v>3</v>
      </c>
      <c r="AI2594" s="113">
        <f>'Data_in-situ'!ER25</f>
        <v>-31.710108073744415</v>
      </c>
      <c r="AJ2594" s="113">
        <f>'Data_in-situ'!ES25</f>
        <v>5.4726041682006299</v>
      </c>
      <c r="AK2594" s="110">
        <f>'Data_in-situ'!ET25</f>
        <v>3</v>
      </c>
    </row>
    <row r="2595" spans="2:37" x14ac:dyDescent="0.3">
      <c r="B2595" s="24">
        <f>'Data_in-situ'!CA42</f>
        <v>-7247.1260453614086</v>
      </c>
      <c r="C2595" s="24">
        <f>'Data_in-situ'!CB42</f>
        <v>2100.9616035887611</v>
      </c>
      <c r="D2595" s="46">
        <f>'Data_in-situ'!CC42</f>
        <v>3</v>
      </c>
      <c r="E2595" s="24">
        <f>'Data_in-situ'!CE42</f>
        <v>-4582.6623341257582</v>
      </c>
      <c r="F2595" s="24">
        <f>'Data_in-situ'!CF42</f>
        <v>1206.6620626063177</v>
      </c>
      <c r="G2595" s="46">
        <f>'Data_in-situ'!CG42</f>
        <v>3</v>
      </c>
      <c r="H2595" s="24">
        <f>'Data_in-situ'!CN42</f>
        <v>6440.2877983621229</v>
      </c>
      <c r="I2595" s="24">
        <f>'Data_in-situ'!CO42</f>
        <v>2181.3507268282779</v>
      </c>
      <c r="J2595" s="46">
        <f>'Data_in-situ'!CP42</f>
        <v>3</v>
      </c>
      <c r="K2595" s="24">
        <f>'Data_in-situ'!CR42</f>
        <v>24633.794341918241</v>
      </c>
      <c r="L2595" s="24">
        <f>'Data_in-situ'!CS42</f>
        <v>2489.5274353362884</v>
      </c>
      <c r="M2595" s="46">
        <f>'Data_in-situ'!CT42</f>
        <v>3</v>
      </c>
      <c r="N2595" s="24">
        <f>'Data_in-situ'!DA39</f>
        <v>1032.6535801958089</v>
      </c>
      <c r="O2595" s="24">
        <f>'Data_in-situ'!DB39</f>
        <v>1588.5865996086475</v>
      </c>
      <c r="P2595" s="46">
        <f>'Data_in-situ'!DC39</f>
        <v>3</v>
      </c>
      <c r="Q2595" s="24">
        <f>'Data_in-situ'!DE39</f>
        <v>11221.277403003456</v>
      </c>
      <c r="R2595" s="24">
        <f>'Data_in-situ'!DF39</f>
        <v>1545.6282146126041</v>
      </c>
      <c r="S2595" s="46">
        <f>'Data_in-situ'!DG39</f>
        <v>3</v>
      </c>
      <c r="T2595" s="113">
        <f>'Data_in-situ'!DN11</f>
        <v>80.930473720608589</v>
      </c>
      <c r="U2595" s="113">
        <f>'Data_in-situ'!DO11</f>
        <v>80.92749494901247</v>
      </c>
      <c r="V2595" s="46">
        <f>'Data_in-situ'!DP11</f>
        <v>3</v>
      </c>
      <c r="W2595" s="113">
        <f>'Data_in-situ'!DR11</f>
        <v>2.5012626262626263</v>
      </c>
      <c r="X2595" s="113">
        <f>'Data_in-situ'!DS11</f>
        <v>2.3831947437160079</v>
      </c>
      <c r="Y2595" s="46">
        <f>'Data_in-situ'!DT11</f>
        <v>3</v>
      </c>
      <c r="Z2595" s="113">
        <f>'Data_in-situ'!EA86</f>
        <v>-1.4600000000000002E-2</v>
      </c>
      <c r="AA2595" s="113">
        <f>'Data_in-situ'!EB86</f>
        <v>8.8257000000000002E-2</v>
      </c>
      <c r="AB2595" s="46">
        <f>'Data_in-situ'!EC86</f>
        <v>3</v>
      </c>
      <c r="AC2595" s="113">
        <f>'Data_in-situ'!EE86</f>
        <v>7.8840000000000004E-3</v>
      </c>
      <c r="AD2595" s="113">
        <f>'Data_in-situ'!EF86</f>
        <v>4.9822500000000006E-2</v>
      </c>
      <c r="AE2595" s="46">
        <f>'Data_in-situ'!EG86</f>
        <v>3</v>
      </c>
      <c r="AF2595" s="113">
        <f>'Data_in-situ'!EN26</f>
        <v>-20.329999999999998</v>
      </c>
      <c r="AG2595" s="113">
        <f>'Data_in-situ'!EO26</f>
        <v>2.57</v>
      </c>
      <c r="AH2595" s="110">
        <f>'Data_in-situ'!EP26</f>
        <v>3</v>
      </c>
      <c r="AI2595" s="113">
        <f>'Data_in-situ'!ER26</f>
        <v>-40</v>
      </c>
      <c r="AJ2595" s="113">
        <f>'Data_in-situ'!ES26</f>
        <v>0</v>
      </c>
      <c r="AK2595" s="110">
        <f>'Data_in-situ'!ET26</f>
        <v>3</v>
      </c>
    </row>
    <row r="2596" spans="2:37" x14ac:dyDescent="0.3">
      <c r="B2596" s="24">
        <f>'Data_in-situ'!CA43</f>
        <v>-7369.2686191596349</v>
      </c>
      <c r="C2596" s="24">
        <f>'Data_in-situ'!CB43</f>
        <v>746.95892899118678</v>
      </c>
      <c r="D2596" s="46">
        <f>'Data_in-situ'!CC43</f>
        <v>3</v>
      </c>
      <c r="E2596" s="24">
        <f>'Data_in-situ'!CE43</f>
        <v>-3516.0081701482113</v>
      </c>
      <c r="F2596" s="24">
        <f>'Data_in-situ'!CF43</f>
        <v>4890.1567800361299</v>
      </c>
      <c r="G2596" s="46">
        <f>'Data_in-situ'!CG43</f>
        <v>3</v>
      </c>
      <c r="H2596" s="24">
        <f>'Data_in-situ'!CN43</f>
        <v>11939.302764655935</v>
      </c>
      <c r="I2596" s="24">
        <f>'Data_in-situ'!CO43</f>
        <v>4483.7070147716358</v>
      </c>
      <c r="J2596" s="46">
        <f>'Data_in-situ'!CP43</f>
        <v>3</v>
      </c>
      <c r="K2596" s="24">
        <f>'Data_in-situ'!CR43</f>
        <v>16131.458608233776</v>
      </c>
      <c r="L2596" s="24">
        <f>'Data_in-situ'!CS43</f>
        <v>7799.7123045882036</v>
      </c>
      <c r="M2596" s="46">
        <f>'Data_in-situ'!CT43</f>
        <v>3</v>
      </c>
      <c r="N2596" s="24">
        <f>'Data_in-situ'!DA40</f>
        <v>1032.6535801958089</v>
      </c>
      <c r="O2596" s="24">
        <f>'Data_in-situ'!DB40</f>
        <v>1588.5865996086475</v>
      </c>
      <c r="P2596" s="46">
        <f>'Data_in-situ'!DC40</f>
        <v>3</v>
      </c>
      <c r="Q2596" s="24">
        <f>'Data_in-situ'!DE40</f>
        <v>3066.3973171014622</v>
      </c>
      <c r="R2596" s="24">
        <f>'Data_in-situ'!DF40</f>
        <v>896.27712667386777</v>
      </c>
      <c r="S2596" s="46">
        <f>'Data_in-situ'!DG40</f>
        <v>3</v>
      </c>
      <c r="T2596" s="113">
        <f>'Data_in-situ'!DN12</f>
        <v>80.930473720608589</v>
      </c>
      <c r="U2596" s="113">
        <f>'Data_in-situ'!DO12</f>
        <v>80.92749494901247</v>
      </c>
      <c r="V2596" s="46">
        <f>'Data_in-situ'!DP12</f>
        <v>3</v>
      </c>
      <c r="W2596" s="113">
        <f>'Data_in-situ'!DR12</f>
        <v>-2.9015044386833213</v>
      </c>
      <c r="X2596" s="113">
        <f>'Data_in-situ'!DS12</f>
        <v>2.2386157093008641</v>
      </c>
      <c r="Y2596" s="46">
        <f>'Data_in-situ'!DT12</f>
        <v>3</v>
      </c>
      <c r="Z2596" s="113">
        <f>'Data_in-situ'!EA87</f>
        <v>7.3730000000000004E-2</v>
      </c>
      <c r="AA2596" s="113">
        <f>'Data_in-situ'!EB87</f>
        <v>3.5076500000000004E-2</v>
      </c>
      <c r="AB2596" s="46">
        <f>'Data_in-situ'!EC87</f>
        <v>3</v>
      </c>
      <c r="AC2596" s="113">
        <f>'Data_in-situ'!EE87</f>
        <v>8.0263499999999988E-2</v>
      </c>
      <c r="AD2596" s="113">
        <f>'Data_in-situ'!EF87</f>
        <v>2.8396999999999999E-2</v>
      </c>
      <c r="AE2596" s="46">
        <f>'Data_in-situ'!EG87</f>
        <v>3</v>
      </c>
      <c r="AF2596" s="113">
        <f>'Data_in-situ'!EN27</f>
        <v>-20.329999999999998</v>
      </c>
      <c r="AG2596" s="113">
        <f>'Data_in-situ'!EO27</f>
        <v>2.57</v>
      </c>
      <c r="AH2596" s="110">
        <f>'Data_in-situ'!EP27</f>
        <v>3</v>
      </c>
      <c r="AI2596" s="113">
        <f>'Data_in-situ'!ER27</f>
        <v>-14.475524475524482</v>
      </c>
      <c r="AJ2596" s="113">
        <f>'Data_in-situ'!ES27</f>
        <v>3.4828674393339902</v>
      </c>
      <c r="AK2596" s="110">
        <f>'Data_in-situ'!ET27</f>
        <v>3</v>
      </c>
    </row>
    <row r="2597" spans="2:37" x14ac:dyDescent="0.3">
      <c r="B2597" s="24">
        <f>'Data_in-situ'!CA44</f>
        <v>-7369.2686191596349</v>
      </c>
      <c r="C2597" s="24">
        <f>'Data_in-situ'!CB44</f>
        <v>746.95892899118678</v>
      </c>
      <c r="D2597" s="46">
        <f>'Data_in-situ'!CC44</f>
        <v>3</v>
      </c>
      <c r="E2597" s="24">
        <f>'Data_in-situ'!CE44</f>
        <v>-4661.6737536796509</v>
      </c>
      <c r="F2597" s="24">
        <f>'Data_in-situ'!CF44</f>
        <v>1270.1705922171766</v>
      </c>
      <c r="G2597" s="46">
        <f>'Data_in-situ'!CG44</f>
        <v>3</v>
      </c>
      <c r="H2597" s="24">
        <f>'Data_in-situ'!CN44</f>
        <v>11939.302764655935</v>
      </c>
      <c r="I2597" s="24">
        <f>'Data_in-situ'!CO44</f>
        <v>4483.7070147716358</v>
      </c>
      <c r="J2597" s="46">
        <f>'Data_in-situ'!CP44</f>
        <v>3</v>
      </c>
      <c r="K2597" s="24">
        <f>'Data_in-situ'!CR44</f>
        <v>23300.995767448785</v>
      </c>
      <c r="L2597" s="24">
        <f>'Data_in-situ'!CS44</f>
        <v>3584.4542083747219</v>
      </c>
      <c r="M2597" s="46">
        <f>'Data_in-situ'!CT44</f>
        <v>3</v>
      </c>
      <c r="N2597" s="24">
        <f>'Data_in-situ'!DA41</f>
        <v>-806.83824699928573</v>
      </c>
      <c r="O2597" s="24">
        <f>'Data_in-situ'!DB41</f>
        <v>461.4050593199143</v>
      </c>
      <c r="P2597" s="46">
        <f>'Data_in-situ'!DC41</f>
        <v>3</v>
      </c>
      <c r="Q2597" s="24">
        <f>'Data_in-situ'!DE41</f>
        <v>12009.959067918404</v>
      </c>
      <c r="R2597" s="24">
        <f>'Data_in-situ'!DF41</f>
        <v>2892.3831674824651</v>
      </c>
      <c r="S2597" s="46">
        <f>'Data_in-situ'!DG41</f>
        <v>3</v>
      </c>
      <c r="T2597" s="113">
        <f>'Data_in-situ'!DN13</f>
        <v>80.930473720608589</v>
      </c>
      <c r="U2597" s="113">
        <f>'Data_in-situ'!DO13</f>
        <v>80.92749494901247</v>
      </c>
      <c r="V2597" s="46">
        <f>'Data_in-situ'!DP13</f>
        <v>3</v>
      </c>
      <c r="W2597" s="113">
        <f>'Data_in-situ'!DR13</f>
        <v>1.1401515151515151</v>
      </c>
      <c r="X2597" s="113">
        <f>'Data_in-situ'!DS13</f>
        <v>0.60565777356465134</v>
      </c>
      <c r="Y2597" s="46">
        <f>'Data_in-situ'!DT13</f>
        <v>3</v>
      </c>
      <c r="Z2597" s="113">
        <f>'Data_in-situ'!EA90</f>
        <v>0.12316304575332541</v>
      </c>
      <c r="AA2597" s="113">
        <f>'Data_in-situ'!EB90</f>
        <v>1.532860435877279</v>
      </c>
      <c r="AB2597" s="46">
        <f>'Data_in-situ'!EC90</f>
        <v>3</v>
      </c>
      <c r="AC2597" s="113">
        <f>'Data_in-situ'!EE90</f>
        <v>0.37414709355805537</v>
      </c>
      <c r="AD2597" s="113">
        <f>'Data_in-situ'!EF90</f>
        <v>1.1112977251351353</v>
      </c>
      <c r="AE2597" s="46">
        <f>'Data_in-situ'!EG90</f>
        <v>3</v>
      </c>
      <c r="AF2597" s="113">
        <f>'Data_in-situ'!EN28</f>
        <v>-20.329999999999998</v>
      </c>
      <c r="AG2597" s="113">
        <f>'Data_in-situ'!EO28</f>
        <v>2.57</v>
      </c>
      <c r="AH2597" s="110">
        <f>'Data_in-situ'!EP28</f>
        <v>3</v>
      </c>
      <c r="AI2597" s="113">
        <f>'Data_in-situ'!ER28</f>
        <v>-40</v>
      </c>
      <c r="AJ2597" s="113">
        <f>'Data_in-situ'!ES28</f>
        <v>0</v>
      </c>
      <c r="AK2597" s="110">
        <f>'Data_in-situ'!ET28</f>
        <v>3</v>
      </c>
    </row>
    <row r="2598" spans="2:37" x14ac:dyDescent="0.3">
      <c r="B2598" s="24">
        <f>'Data_in-situ'!CA45</f>
        <v>-7939.2672968846891</v>
      </c>
      <c r="C2598" s="24">
        <f>'Data_in-situ'!CB45</f>
        <v>2111.9731212798092</v>
      </c>
      <c r="D2598" s="46">
        <f>'Data_in-situ'!CC45</f>
        <v>3</v>
      </c>
      <c r="E2598" s="24">
        <f>'Data_in-situ'!CE45</f>
        <v>-3674.0310092559957</v>
      </c>
      <c r="F2598" s="24">
        <f>'Data_in-situ'!CF45</f>
        <v>3492.9691285972353</v>
      </c>
      <c r="G2598" s="46">
        <f>'Data_in-situ'!CG45</f>
        <v>3</v>
      </c>
      <c r="H2598" s="24">
        <f>'Data_in-situ'!CN45</f>
        <v>12286.087492260051</v>
      </c>
      <c r="I2598" s="24">
        <f>'Data_in-situ'!CO45</f>
        <v>4228.1100433523952</v>
      </c>
      <c r="J2598" s="46">
        <f>'Data_in-situ'!CP45</f>
        <v>3</v>
      </c>
      <c r="K2598" s="24">
        <f>'Data_in-situ'!CR45</f>
        <v>22335.865765246766</v>
      </c>
      <c r="L2598" s="24">
        <f>'Data_in-situ'!CS45</f>
        <v>5098.0031695624621</v>
      </c>
      <c r="M2598" s="46">
        <f>'Data_in-situ'!CT45</f>
        <v>3</v>
      </c>
      <c r="N2598" s="24">
        <f>'Data_in-situ'!DA42</f>
        <v>-806.83824699928573</v>
      </c>
      <c r="O2598" s="24">
        <f>'Data_in-situ'!DB42</f>
        <v>461.4050593199143</v>
      </c>
      <c r="P2598" s="46">
        <f>'Data_in-situ'!DC42</f>
        <v>3</v>
      </c>
      <c r="Q2598" s="24">
        <f>'Data_in-situ'!DE42</f>
        <v>20051.132007792483</v>
      </c>
      <c r="R2598" s="24">
        <f>'Data_in-situ'!DF42</f>
        <v>2691.1988636577989</v>
      </c>
      <c r="S2598" s="46">
        <f>'Data_in-situ'!DG42</f>
        <v>3</v>
      </c>
      <c r="T2598" s="113">
        <f>'Data_in-situ'!DN16</f>
        <v>382.09999892536933</v>
      </c>
      <c r="U2598" s="113">
        <f>'Data_in-situ'!DO16</f>
        <v>116.45849359259256</v>
      </c>
      <c r="V2598" s="46">
        <f>'Data_in-situ'!DP16</f>
        <v>9</v>
      </c>
      <c r="W2598" s="113">
        <f>'Data_in-situ'!DR16</f>
        <v>31.035112032198569</v>
      </c>
      <c r="X2598" s="113">
        <f>'Data_in-situ'!DS16</f>
        <v>65.358501102872523</v>
      </c>
      <c r="Y2598" s="46">
        <f>'Data_in-situ'!DT16</f>
        <v>9</v>
      </c>
      <c r="Z2598" s="113">
        <f>'Data_in-situ'!EA91</f>
        <v>1.5714285714285715E-2</v>
      </c>
      <c r="AA2598" s="113">
        <f>'Data_in-situ'!EB91</f>
        <v>9.0356781150237736E-2</v>
      </c>
      <c r="AB2598" s="46">
        <f>'Data_in-situ'!EC91</f>
        <v>3</v>
      </c>
      <c r="AC2598" s="113">
        <f>'Data_in-situ'!EE91</f>
        <v>1.0214285714285716</v>
      </c>
      <c r="AD2598" s="113">
        <f>'Data_in-situ'!EF91</f>
        <v>1.5251352255609132</v>
      </c>
      <c r="AE2598" s="46">
        <f>'Data_in-situ'!EG91</f>
        <v>3</v>
      </c>
      <c r="AF2598" s="113">
        <f>'Data_in-situ'!EN29</f>
        <v>-20.329999999999998</v>
      </c>
      <c r="AG2598" s="113">
        <f>'Data_in-situ'!EO29</f>
        <v>2.57</v>
      </c>
      <c r="AH2598" s="110">
        <f>'Data_in-situ'!EP29</f>
        <v>3</v>
      </c>
      <c r="AI2598" s="113">
        <f>'Data_in-situ'!ER29</f>
        <v>-31.710108073744415</v>
      </c>
      <c r="AJ2598" s="113">
        <f>'Data_in-situ'!ES29</f>
        <v>5.4726041682006299</v>
      </c>
      <c r="AK2598" s="110">
        <f>'Data_in-situ'!ET29</f>
        <v>3</v>
      </c>
    </row>
    <row r="2599" spans="2:37" x14ac:dyDescent="0.3">
      <c r="B2599" s="24">
        <f>'Data_in-situ'!CA46</f>
        <v>-7939.2672968846891</v>
      </c>
      <c r="C2599" s="24">
        <f>'Data_in-situ'!CB46</f>
        <v>2111.9731212798092</v>
      </c>
      <c r="D2599" s="46">
        <f>'Data_in-situ'!CC46</f>
        <v>3</v>
      </c>
      <c r="E2599" s="24">
        <f>'Data_in-situ'!CE46</f>
        <v>-4859.2023025643821</v>
      </c>
      <c r="F2599" s="24">
        <f>'Data_in-situ'!CF46</f>
        <v>1397.1876514388941</v>
      </c>
      <c r="G2599" s="46">
        <f>'Data_in-situ'!CG46</f>
        <v>3</v>
      </c>
      <c r="H2599" s="24">
        <f>'Data_in-situ'!CN46</f>
        <v>12286.087492260051</v>
      </c>
      <c r="I2599" s="24">
        <f>'Data_in-situ'!CO46</f>
        <v>2603.8497140452123</v>
      </c>
      <c r="J2599" s="46">
        <f>'Data_in-situ'!CP46</f>
        <v>3</v>
      </c>
      <c r="K2599" s="24">
        <f>'Data_in-situ'!CR46</f>
        <v>23071.202909781641</v>
      </c>
      <c r="L2599" s="24">
        <f>'Data_in-situ'!CS46</f>
        <v>3447.7118721915385</v>
      </c>
      <c r="M2599" s="46">
        <f>'Data_in-situ'!CT46</f>
        <v>3</v>
      </c>
      <c r="N2599" s="24">
        <f>'Data_in-situ'!DA43</f>
        <v>4570.0341454963</v>
      </c>
      <c r="O2599" s="24">
        <f>'Data_in-situ'!DB43</f>
        <v>2072.5073882436504</v>
      </c>
      <c r="P2599" s="46">
        <f>'Data_in-situ'!DC43</f>
        <v>3</v>
      </c>
      <c r="Q2599" s="24">
        <f>'Data_in-situ'!DE43</f>
        <v>12615.450438085565</v>
      </c>
      <c r="R2599" s="24">
        <f>'Data_in-situ'!DF43</f>
        <v>3401.8688612922183</v>
      </c>
      <c r="S2599" s="46">
        <f>'Data_in-situ'!DG43</f>
        <v>3</v>
      </c>
      <c r="T2599" s="113">
        <f>'Data_in-situ'!DN17</f>
        <v>60.942159705621961</v>
      </c>
      <c r="U2599" s="113">
        <f>'Data_in-situ'!DO17</f>
        <v>16.400357502575496</v>
      </c>
      <c r="V2599" s="46">
        <f>'Data_in-situ'!DP17</f>
        <v>12</v>
      </c>
      <c r="W2599" s="113">
        <f>'Data_in-situ'!DR17</f>
        <v>31.035112032198569</v>
      </c>
      <c r="X2599" s="113">
        <f>'Data_in-situ'!DS17</f>
        <v>65.358501102872523</v>
      </c>
      <c r="Y2599" s="46">
        <f>'Data_in-situ'!DT17</f>
        <v>12</v>
      </c>
      <c r="Z2599" s="113">
        <f>'Data_in-situ'!EA92</f>
        <v>2.357142857142857E-2</v>
      </c>
      <c r="AA2599" s="113">
        <f>'Data_in-situ'!EB92</f>
        <v>0.13553517172535659</v>
      </c>
      <c r="AB2599" s="46">
        <f>'Data_in-situ'!EC92</f>
        <v>3</v>
      </c>
      <c r="AC2599" s="113">
        <f>'Data_in-situ'!EE92</f>
        <v>2.1214285714285714</v>
      </c>
      <c r="AD2599" s="113">
        <f>'Data_in-situ'!EF92</f>
        <v>3.1675885453957426</v>
      </c>
      <c r="AE2599" s="46">
        <f>'Data_in-situ'!EG92</f>
        <v>3</v>
      </c>
      <c r="AF2599" s="113">
        <f>'Data_in-situ'!EN32</f>
        <v>-15.3</v>
      </c>
      <c r="AG2599" s="113">
        <f>'Data_in-situ'!EO32</f>
        <v>3.2</v>
      </c>
      <c r="AH2599" s="110">
        <f>'Data_in-situ'!EP32</f>
        <v>6</v>
      </c>
      <c r="AI2599" s="113">
        <f>'Data_in-situ'!ER32</f>
        <v>-47.7</v>
      </c>
      <c r="AJ2599" s="113">
        <f>'Data_in-situ'!ES32</f>
        <v>6.2</v>
      </c>
      <c r="AK2599" s="110">
        <f>'Data_in-situ'!ET32</f>
        <v>6</v>
      </c>
    </row>
    <row r="2600" spans="2:37" x14ac:dyDescent="0.3">
      <c r="B2600" s="24">
        <f>'Data_in-situ'!CA47</f>
        <v>-8294.385041352898</v>
      </c>
      <c r="C2600" s="24">
        <f>'Data_in-situ'!CB47</f>
        <v>1642.4661972156998</v>
      </c>
      <c r="D2600" s="46">
        <f>'Data_in-situ'!CC47</f>
        <v>3</v>
      </c>
      <c r="E2600" s="24">
        <f>'Data_in-situ'!CE47</f>
        <v>-4116.4949587577939</v>
      </c>
      <c r="F2600" s="24">
        <f>'Data_in-situ'!CF47</f>
        <v>2228.1690065442513</v>
      </c>
      <c r="G2600" s="46">
        <f>'Data_in-situ'!CG47</f>
        <v>3</v>
      </c>
      <c r="H2600" s="24">
        <f>'Data_in-situ'!CN47</f>
        <v>9925.2960228500779</v>
      </c>
      <c r="I2600" s="24">
        <f>'Data_in-situ'!CO47</f>
        <v>1567.0081026388868</v>
      </c>
      <c r="J2600" s="46">
        <f>'Data_in-situ'!CP47</f>
        <v>3</v>
      </c>
      <c r="K2600" s="24">
        <f>'Data_in-situ'!CR47</f>
        <v>11818.246669821412</v>
      </c>
      <c r="L2600" s="24">
        <f>'Data_in-situ'!CS47</f>
        <v>4651.0454986548657</v>
      </c>
      <c r="M2600" s="46">
        <f>'Data_in-situ'!CT47</f>
        <v>3</v>
      </c>
      <c r="N2600" s="24">
        <f>'Data_in-situ'!DA44</f>
        <v>4570.0341454963</v>
      </c>
      <c r="O2600" s="24">
        <f>'Data_in-situ'!DB44</f>
        <v>2072.5073882436504</v>
      </c>
      <c r="P2600" s="46">
        <f>'Data_in-situ'!DC44</f>
        <v>3</v>
      </c>
      <c r="Q2600" s="24">
        <f>'Data_in-situ'!DE44</f>
        <v>18639.322013769135</v>
      </c>
      <c r="R2600" s="24">
        <f>'Data_in-situ'!DF44</f>
        <v>3134.054571327079</v>
      </c>
      <c r="S2600" s="46">
        <f>'Data_in-situ'!DG44</f>
        <v>3</v>
      </c>
      <c r="T2600" s="113">
        <f>'Data_in-situ'!DN18</f>
        <v>76.598647152414557</v>
      </c>
      <c r="U2600" s="113">
        <f>'Data_in-situ'!DO18</f>
        <v>97.385019539931207</v>
      </c>
      <c r="V2600" s="46">
        <f>'Data_in-situ'!DP18</f>
        <v>3</v>
      </c>
      <c r="W2600" s="113">
        <f>'Data_in-situ'!DR18</f>
        <v>1.2881413805511519</v>
      </c>
      <c r="X2600" s="113">
        <f>'Data_in-situ'!DS18</f>
        <v>5.0439358355151063</v>
      </c>
      <c r="Y2600" s="46">
        <f>'Data_in-situ'!DT18</f>
        <v>3</v>
      </c>
      <c r="Z2600" s="113">
        <f>'Data_in-situ'!EA93</f>
        <v>2.357142857142857E-2</v>
      </c>
      <c r="AA2600" s="113">
        <f>'Data_in-situ'!EB93</f>
        <v>0.13553517172535659</v>
      </c>
      <c r="AB2600" s="46">
        <f>'Data_in-situ'!EC93</f>
        <v>3</v>
      </c>
      <c r="AC2600" s="113">
        <f>'Data_in-situ'!EE93</f>
        <v>0.80142857142857149</v>
      </c>
      <c r="AD2600" s="113">
        <f>'Data_in-situ'!EF93</f>
        <v>1.1966445615939472</v>
      </c>
      <c r="AE2600" s="46">
        <f>'Data_in-situ'!EG93</f>
        <v>3</v>
      </c>
      <c r="AF2600" s="113">
        <f>'Data_in-situ'!EN33</f>
        <v>-9</v>
      </c>
      <c r="AG2600" s="113">
        <f>'Data_in-situ'!EO33</f>
        <v>1.9</v>
      </c>
      <c r="AH2600" s="110">
        <f>'Data_in-situ'!EP33</f>
        <v>3</v>
      </c>
      <c r="AI2600" s="113">
        <f>'Data_in-situ'!ER33</f>
        <v>-34.51</v>
      </c>
      <c r="AJ2600" s="113">
        <f>'Data_in-situ'!ES33</f>
        <v>4.08</v>
      </c>
      <c r="AK2600" s="110">
        <f>'Data_in-situ'!ET33</f>
        <v>3</v>
      </c>
    </row>
    <row r="2601" spans="2:37" x14ac:dyDescent="0.3">
      <c r="B2601" s="24">
        <f>'Data_in-situ'!CA48</f>
        <v>-8294.385041352898</v>
      </c>
      <c r="C2601" s="24">
        <f>'Data_in-situ'!CB48</f>
        <v>1642.4661972156998</v>
      </c>
      <c r="D2601" s="46">
        <f>'Data_in-situ'!CC48</f>
        <v>3</v>
      </c>
      <c r="E2601" s="24">
        <f>'Data_in-situ'!CE48</f>
        <v>-7951.7092639037292</v>
      </c>
      <c r="F2601" s="24">
        <f>'Data_in-situ'!CF48</f>
        <v>991.198558307697</v>
      </c>
      <c r="G2601" s="46">
        <f>'Data_in-situ'!CG48</f>
        <v>3</v>
      </c>
      <c r="H2601" s="24">
        <f>'Data_in-situ'!CN48</f>
        <v>9925.2960228500779</v>
      </c>
      <c r="I2601" s="24">
        <f>'Data_in-situ'!CO48</f>
        <v>1567.0081026388868</v>
      </c>
      <c r="J2601" s="46">
        <f>'Data_in-situ'!CP48</f>
        <v>3</v>
      </c>
      <c r="K2601" s="24">
        <f>'Data_in-situ'!CR48</f>
        <v>18874.266157348848</v>
      </c>
      <c r="L2601" s="24">
        <f>'Data_in-situ'!CS48</f>
        <v>1436.9763260046241</v>
      </c>
      <c r="M2601" s="46">
        <f>'Data_in-situ'!CT48</f>
        <v>3</v>
      </c>
      <c r="N2601" s="24">
        <f>'Data_in-situ'!DA45</f>
        <v>4346.8201953753614</v>
      </c>
      <c r="O2601" s="24">
        <f>'Data_in-situ'!DB45</f>
        <v>1600.2428388061255</v>
      </c>
      <c r="P2601" s="46">
        <f>'Data_in-situ'!DC45</f>
        <v>3</v>
      </c>
      <c r="Q2601" s="24">
        <f>'Data_in-situ'!DE45</f>
        <v>18661.834755990771</v>
      </c>
      <c r="R2601" s="24">
        <f>'Data_in-situ'!DF45</f>
        <v>3804.3746385120953</v>
      </c>
      <c r="S2601" s="46">
        <f>'Data_in-situ'!DG45</f>
        <v>3</v>
      </c>
      <c r="T2601" s="113">
        <f>'Data_in-situ'!DN19</f>
        <v>76.598647152414557</v>
      </c>
      <c r="U2601" s="113">
        <f>'Data_in-situ'!DO19</f>
        <v>97.385019539931207</v>
      </c>
      <c r="V2601" s="46">
        <f>'Data_in-situ'!DP19</f>
        <v>3</v>
      </c>
      <c r="W2601" s="113">
        <f>'Data_in-situ'!DR19</f>
        <v>-0.99087798503934754</v>
      </c>
      <c r="X2601" s="113">
        <f>'Data_in-situ'!DS19</f>
        <v>2.1111905341845492</v>
      </c>
      <c r="Y2601" s="46">
        <f>'Data_in-situ'!DT19</f>
        <v>3</v>
      </c>
      <c r="Z2601" s="113">
        <f>'Data_in-situ'!EA94</f>
        <v>1.5714285714285715E-2</v>
      </c>
      <c r="AA2601" s="113">
        <f>'Data_in-situ'!EB94</f>
        <v>9.0356781150237736E-2</v>
      </c>
      <c r="AB2601" s="46">
        <f>'Data_in-situ'!EC94</f>
        <v>3</v>
      </c>
      <c r="AC2601" s="113">
        <f>'Data_in-situ'!EE94</f>
        <v>1.7285714285714286E-2</v>
      </c>
      <c r="AD2601" s="113">
        <f>'Data_in-situ'!EF94</f>
        <v>2.5809980740261605E-2</v>
      </c>
      <c r="AE2601" s="46">
        <f>'Data_in-situ'!EG94</f>
        <v>3</v>
      </c>
      <c r="AF2601" s="113">
        <f>'Data_in-situ'!EN35</f>
        <v>-38</v>
      </c>
      <c r="AG2601" s="113">
        <f>'Data_in-situ'!EO35</f>
        <v>7.6</v>
      </c>
      <c r="AH2601" s="110">
        <f>'Data_in-situ'!EP35</f>
        <v>3</v>
      </c>
      <c r="AI2601" s="113">
        <f>'Data_in-situ'!ER35</f>
        <v>-73</v>
      </c>
      <c r="AJ2601" s="113">
        <f>'Data_in-situ'!ES35</f>
        <v>10.3</v>
      </c>
      <c r="AK2601" s="110">
        <f>'Data_in-situ'!ET35</f>
        <v>3</v>
      </c>
    </row>
    <row r="2602" spans="2:37" x14ac:dyDescent="0.3">
      <c r="B2602" s="24">
        <f>'Data_in-situ'!CA49</f>
        <v>-9369.2576901028933</v>
      </c>
      <c r="C2602" s="24">
        <f>'Data_in-situ'!CB49</f>
        <v>2035.7162873934246</v>
      </c>
      <c r="D2602" s="46">
        <f>'Data_in-situ'!CC49</f>
        <v>3</v>
      </c>
      <c r="E2602" s="24">
        <f>'Data_in-situ'!CE49</f>
        <v>-2299.2323090182686</v>
      </c>
      <c r="F2602" s="24">
        <f>'Data_in-situ'!CF49</f>
        <v>2342.6341654926264</v>
      </c>
      <c r="G2602" s="46">
        <f>'Data_in-situ'!CG49</f>
        <v>3</v>
      </c>
      <c r="H2602" s="24">
        <f>'Data_in-situ'!CN49</f>
        <v>12061.199832356524</v>
      </c>
      <c r="I2602" s="24">
        <f>'Data_in-situ'!CO49</f>
        <v>2723.4693933324475</v>
      </c>
      <c r="J2602" s="46">
        <f>'Data_in-situ'!CP49</f>
        <v>3</v>
      </c>
      <c r="K2602" s="24">
        <f>'Data_in-situ'!CR49</f>
        <v>11429.896740363933</v>
      </c>
      <c r="L2602" s="24">
        <f>'Data_in-situ'!CS49</f>
        <v>4226.8745195225956</v>
      </c>
      <c r="M2602" s="46">
        <f>'Data_in-situ'!CT49</f>
        <v>3</v>
      </c>
      <c r="N2602" s="24">
        <f>'Data_in-situ'!DA46</f>
        <v>4346.8201953753614</v>
      </c>
      <c r="O2602" s="24">
        <f>'Data_in-situ'!DB46</f>
        <v>1600.2428388061255</v>
      </c>
      <c r="P2602" s="46">
        <f>'Data_in-situ'!DC46</f>
        <v>3</v>
      </c>
      <c r="Q2602" s="24">
        <f>'Data_in-situ'!DE46</f>
        <v>18212.000607217258</v>
      </c>
      <c r="R2602" s="24">
        <f>'Data_in-situ'!DF46</f>
        <v>4028.2334522837918</v>
      </c>
      <c r="S2602" s="46">
        <f>'Data_in-situ'!DG46</f>
        <v>3</v>
      </c>
      <c r="T2602" s="113">
        <f>'Data_in-situ'!DN20</f>
        <v>3.3104450261339187</v>
      </c>
      <c r="U2602" s="113">
        <f>'Data_in-situ'!DO20</f>
        <v>3.2225601192052182</v>
      </c>
      <c r="V2602" s="46">
        <f>'Data_in-situ'!DP20</f>
        <v>3</v>
      </c>
      <c r="W2602" s="113">
        <f>'Data_in-situ'!DR20</f>
        <v>0.97256818109938847</v>
      </c>
      <c r="X2602" s="113">
        <f>'Data_in-situ'!DS20</f>
        <v>5.0056318929545522</v>
      </c>
      <c r="Y2602" s="46">
        <f>'Data_in-situ'!DT20</f>
        <v>3</v>
      </c>
      <c r="Z2602" s="113">
        <f>'Data_in-situ'!EA95</f>
        <v>1.8857142857142857E-2</v>
      </c>
      <c r="AA2602" s="113">
        <f>'Data_in-situ'!EB95</f>
        <v>0.10842813738028528</v>
      </c>
      <c r="AB2602" s="46">
        <f>'Data_in-situ'!EC95</f>
        <v>3</v>
      </c>
      <c r="AC2602" s="113">
        <f>'Data_in-situ'!EE95</f>
        <v>2.0428571428571428E-2</v>
      </c>
      <c r="AD2602" s="113">
        <f>'Data_in-situ'!EF95</f>
        <v>3.0502704511218261E-2</v>
      </c>
      <c r="AE2602" s="46">
        <f>'Data_in-situ'!EG95</f>
        <v>3</v>
      </c>
      <c r="AF2602" s="113">
        <f>'Data_in-situ'!EN36</f>
        <v>-38</v>
      </c>
      <c r="AG2602" s="113">
        <f>'Data_in-situ'!EO36</f>
        <v>7.6</v>
      </c>
      <c r="AH2602" s="110">
        <f>'Data_in-situ'!EP36</f>
        <v>3</v>
      </c>
      <c r="AI2602" s="113">
        <f>'Data_in-situ'!ER36</f>
        <v>-112</v>
      </c>
      <c r="AJ2602" s="113">
        <f>'Data_in-situ'!ES36</f>
        <v>15.2</v>
      </c>
      <c r="AK2602" s="110">
        <f>'Data_in-situ'!ET36</f>
        <v>3</v>
      </c>
    </row>
    <row r="2603" spans="2:37" x14ac:dyDescent="0.3">
      <c r="B2603" s="24">
        <f>'Data_in-situ'!CA50</f>
        <v>-9369.2576901028933</v>
      </c>
      <c r="C2603" s="24">
        <f>'Data_in-situ'!CB50</f>
        <v>2035.7162873934246</v>
      </c>
      <c r="D2603" s="46">
        <f>'Data_in-situ'!CC50</f>
        <v>3</v>
      </c>
      <c r="E2603" s="24">
        <f>'Data_in-situ'!CE50</f>
        <v>-9078.4121067422348</v>
      </c>
      <c r="F2603" s="24">
        <f>'Data_in-situ'!CF50</f>
        <v>2550.7669434897421</v>
      </c>
      <c r="G2603" s="46">
        <f>'Data_in-situ'!CG50</f>
        <v>3</v>
      </c>
      <c r="H2603" s="24">
        <f>'Data_in-situ'!CN50</f>
        <v>12061.199832356524</v>
      </c>
      <c r="I2603" s="24">
        <f>'Data_in-situ'!CO50</f>
        <v>2723.4693933324475</v>
      </c>
      <c r="J2603" s="46">
        <f>'Data_in-situ'!CP50</f>
        <v>3</v>
      </c>
      <c r="K2603" s="24">
        <f>'Data_in-situ'!CR50</f>
        <v>19572.836444656983</v>
      </c>
      <c r="L2603" s="24">
        <f>'Data_in-situ'!CS50</f>
        <v>4405.6978485162454</v>
      </c>
      <c r="M2603" s="46">
        <f>'Data_in-situ'!CT50</f>
        <v>3</v>
      </c>
      <c r="N2603" s="24">
        <f>'Data_in-situ'!DA47</f>
        <v>1587.3797452740284</v>
      </c>
      <c r="O2603" s="24">
        <f>'Data_in-situ'!DB47</f>
        <v>3333.5525389363561</v>
      </c>
      <c r="P2603" s="46">
        <f>'Data_in-situ'!DC47</f>
        <v>3</v>
      </c>
      <c r="Q2603" s="24">
        <f>'Data_in-situ'!DE47</f>
        <v>7701.7517110636172</v>
      </c>
      <c r="R2603" s="24">
        <f>'Data_in-situ'!DF47</f>
        <v>1365.154161423319</v>
      </c>
      <c r="S2603" s="46">
        <f>'Data_in-situ'!DG47</f>
        <v>3</v>
      </c>
      <c r="T2603" s="113">
        <f>'Data_in-situ'!DN21</f>
        <v>3.3104450261339187</v>
      </c>
      <c r="U2603" s="113">
        <f>'Data_in-situ'!DO21</f>
        <v>3.2225601192052182</v>
      </c>
      <c r="V2603" s="46">
        <f>'Data_in-situ'!DP21</f>
        <v>3</v>
      </c>
      <c r="W2603" s="113">
        <f>'Data_in-situ'!DR21</f>
        <v>-0.74812937007645264</v>
      </c>
      <c r="X2603" s="113">
        <f>'Data_in-situ'!DS21</f>
        <v>2.0565387107113464</v>
      </c>
      <c r="Y2603" s="46">
        <f>'Data_in-situ'!DT21</f>
        <v>3</v>
      </c>
      <c r="Z2603" s="113">
        <f>'Data_in-situ'!EA96</f>
        <v>1.257142857142857E-2</v>
      </c>
      <c r="AA2603" s="113">
        <f>'Data_in-situ'!EB96</f>
        <v>7.2285424920190175E-2</v>
      </c>
      <c r="AB2603" s="46">
        <f>'Data_in-situ'!EC96</f>
        <v>3</v>
      </c>
      <c r="AC2603" s="113">
        <f>'Data_in-situ'!EE96</f>
        <v>1.4142857142857141E-2</v>
      </c>
      <c r="AD2603" s="113">
        <f>'Data_in-situ'!EF96</f>
        <v>2.1117256969304946E-2</v>
      </c>
      <c r="AE2603" s="46">
        <f>'Data_in-situ'!EG96</f>
        <v>3</v>
      </c>
      <c r="AF2603" s="113">
        <f>'Data_in-situ'!EN37</f>
        <v>-47</v>
      </c>
      <c r="AG2603" s="113">
        <f>'Data_in-situ'!EO37</f>
        <v>6.8</v>
      </c>
      <c r="AH2603" s="110">
        <f>'Data_in-situ'!EP37</f>
        <v>3</v>
      </c>
      <c r="AI2603" s="113">
        <f>'Data_in-situ'!ER37</f>
        <v>-82</v>
      </c>
      <c r="AJ2603" s="113">
        <f>'Data_in-situ'!ES37</f>
        <v>12.3</v>
      </c>
      <c r="AK2603" s="110">
        <f>'Data_in-situ'!ET37</f>
        <v>3</v>
      </c>
    </row>
    <row r="2604" spans="2:37" x14ac:dyDescent="0.3">
      <c r="B2604" s="24">
        <f>'Data_in-situ'!CA51</f>
        <v>-9754.4163078122838</v>
      </c>
      <c r="C2604" s="24">
        <f>'Data_in-situ'!CB51</f>
        <v>3932.1332121217479</v>
      </c>
      <c r="D2604" s="46">
        <f>'Data_in-situ'!CC51</f>
        <v>3</v>
      </c>
      <c r="E2604" s="24">
        <f>'Data_in-situ'!CE51</f>
        <v>-2761.4491134085392</v>
      </c>
      <c r="F2604" s="24">
        <f>'Data_in-situ'!CF51</f>
        <v>1692.9192981356198</v>
      </c>
      <c r="G2604" s="46">
        <f>'Data_in-situ'!CG51</f>
        <v>3</v>
      </c>
      <c r="H2604" s="24">
        <f>'Data_in-situ'!CN51</f>
        <v>12245.303198687096</v>
      </c>
      <c r="I2604" s="24">
        <f>'Data_in-situ'!CO51</f>
        <v>3757.3069479498581</v>
      </c>
      <c r="J2604" s="46">
        <f>'Data_in-situ'!CP51</f>
        <v>3</v>
      </c>
      <c r="K2604" s="24">
        <f>'Data_in-situ'!CR51</f>
        <v>17330.977325256288</v>
      </c>
      <c r="L2604" s="24">
        <f>'Data_in-situ'!CS51</f>
        <v>2585.939777312642</v>
      </c>
      <c r="M2604" s="46">
        <f>'Data_in-situ'!CT51</f>
        <v>3</v>
      </c>
      <c r="N2604" s="24">
        <f>'Data_in-situ'!DA48</f>
        <v>1456.7860366045747</v>
      </c>
      <c r="O2604" s="24">
        <f>'Data_in-situ'!DB48</f>
        <v>3333.5525389363561</v>
      </c>
      <c r="P2604" s="46">
        <f>'Data_in-situ'!DC48</f>
        <v>3</v>
      </c>
      <c r="Q2604" s="24">
        <f>'Data_in-situ'!DE48</f>
        <v>10922.55689344512</v>
      </c>
      <c r="R2604" s="24">
        <f>'Data_in-situ'!DF48</f>
        <v>1312.0511177126614</v>
      </c>
      <c r="S2604" s="46">
        <f>'Data_in-situ'!DG48</f>
        <v>3</v>
      </c>
      <c r="T2604" s="113">
        <f>'Data_in-situ'!DN22</f>
        <v>69.189192430383997</v>
      </c>
      <c r="U2604" s="113">
        <f>'Data_in-situ'!DO22</f>
        <v>105.7403076411135</v>
      </c>
      <c r="V2604" s="46">
        <f>'Data_in-situ'!DP22</f>
        <v>3</v>
      </c>
      <c r="W2604" s="113">
        <f>'Data_in-situ'!DR22</f>
        <v>0.20126042349248477</v>
      </c>
      <c r="X2604" s="113">
        <f>'Data_in-situ'!DS22</f>
        <v>3.7673237667559927</v>
      </c>
      <c r="Y2604" s="46">
        <f>'Data_in-situ'!DT22</f>
        <v>3</v>
      </c>
      <c r="Z2604" s="113">
        <f>'Data_in-situ'!EA97</f>
        <v>1.257142857142857E-2</v>
      </c>
      <c r="AA2604" s="113">
        <f>'Data_in-situ'!EB97</f>
        <v>7.2285424920190175E-2</v>
      </c>
      <c r="AB2604" s="46">
        <f>'Data_in-situ'!EC97</f>
        <v>3</v>
      </c>
      <c r="AC2604" s="113">
        <f>'Data_in-situ'!EE97</f>
        <v>1.4142857142857141E-2</v>
      </c>
      <c r="AD2604" s="113">
        <f>'Data_in-situ'!EF97</f>
        <v>2.1117256969304946E-2</v>
      </c>
      <c r="AE2604" s="46">
        <f>'Data_in-situ'!EG97</f>
        <v>3</v>
      </c>
      <c r="AF2604" s="113">
        <f>'Data_in-situ'!EN38</f>
        <v>-47</v>
      </c>
      <c r="AG2604" s="113">
        <f>'Data_in-situ'!EO38</f>
        <v>6.8</v>
      </c>
      <c r="AH2604" s="110">
        <f>'Data_in-situ'!EP38</f>
        <v>3</v>
      </c>
      <c r="AI2604" s="113">
        <f>'Data_in-situ'!ER38</f>
        <v>-120</v>
      </c>
      <c r="AJ2604" s="113">
        <f>'Data_in-situ'!ES38</f>
        <v>11.8</v>
      </c>
      <c r="AK2604" s="110">
        <f>'Data_in-situ'!ET38</f>
        <v>3</v>
      </c>
    </row>
    <row r="2605" spans="2:37" x14ac:dyDescent="0.3">
      <c r="B2605" s="24">
        <f>'Data_in-situ'!CA52</f>
        <v>-9754.4163078122838</v>
      </c>
      <c r="C2605" s="24">
        <f>'Data_in-situ'!CB52</f>
        <v>3932.1332121217479</v>
      </c>
      <c r="D2605" s="46">
        <f>'Data_in-situ'!CC52</f>
        <v>3</v>
      </c>
      <c r="E2605" s="24">
        <f>'Data_in-situ'!CE52</f>
        <v>-9460.8273773830751</v>
      </c>
      <c r="F2605" s="24">
        <f>'Data_in-situ'!CF52</f>
        <v>2248.9137051770867</v>
      </c>
      <c r="G2605" s="46">
        <f>'Data_in-situ'!CG52</f>
        <v>3</v>
      </c>
      <c r="H2605" s="24">
        <f>'Data_in-situ'!CN52</f>
        <v>12245.303198687096</v>
      </c>
      <c r="I2605" s="24">
        <f>'Data_in-situ'!CO52</f>
        <v>3459.6241558518745</v>
      </c>
      <c r="J2605" s="46">
        <f>'Data_in-situ'!CP52</f>
        <v>3</v>
      </c>
      <c r="K2605" s="24">
        <f>'Data_in-situ'!CR52</f>
        <v>19797.114273740117</v>
      </c>
      <c r="L2605" s="24">
        <f>'Data_in-situ'!CS52</f>
        <v>3942.244199118858</v>
      </c>
      <c r="M2605" s="46">
        <f>'Data_in-situ'!CT52</f>
        <v>3</v>
      </c>
      <c r="N2605" s="24">
        <f>'Data_in-situ'!DA49</f>
        <v>2691.9421422536325</v>
      </c>
      <c r="O2605" s="24">
        <f>'Data_in-situ'!DB49</f>
        <v>1470.8979553996573</v>
      </c>
      <c r="P2605" s="46">
        <f>'Data_in-situ'!DC49</f>
        <v>3</v>
      </c>
      <c r="Q2605" s="24">
        <f>'Data_in-situ'!DE49</f>
        <v>9130.6644313456636</v>
      </c>
      <c r="R2605" s="24">
        <f>'Data_in-situ'!DF49</f>
        <v>1617.1067844170707</v>
      </c>
      <c r="S2605" s="46">
        <f>'Data_in-situ'!DG49</f>
        <v>3</v>
      </c>
      <c r="T2605" s="113">
        <f>'Data_in-situ'!DN23</f>
        <v>69.189192430383997</v>
      </c>
      <c r="U2605" s="113">
        <f>'Data_in-situ'!DO23</f>
        <v>105.7403076411135</v>
      </c>
      <c r="V2605" s="46">
        <f>'Data_in-situ'!DP23</f>
        <v>3</v>
      </c>
      <c r="W2605" s="113">
        <f>'Data_in-situ'!DR23</f>
        <v>3.6083118783295469</v>
      </c>
      <c r="X2605" s="113">
        <f>'Data_in-situ'!DS23</f>
        <v>8.7762753596190368</v>
      </c>
      <c r="Y2605" s="46">
        <f>'Data_in-situ'!DT23</f>
        <v>3</v>
      </c>
      <c r="Z2605" s="113">
        <f>'Data_in-situ'!EA98</f>
        <v>-9.6326468671612098E-2</v>
      </c>
      <c r="AA2605" s="113">
        <f>'Data_in-situ'!EB98</f>
        <v>5.4029389318036893E-2</v>
      </c>
      <c r="AB2605" s="46">
        <f>'Data_in-situ'!EC98</f>
        <v>3</v>
      </c>
      <c r="AC2605" s="113">
        <f>'Data_in-situ'!EE98</f>
        <v>1.5454704465443767</v>
      </c>
      <c r="AD2605" s="113">
        <f>'Data_in-situ'!EF98</f>
        <v>0.28931759999999995</v>
      </c>
      <c r="AE2605" s="46">
        <f>'Data_in-situ'!EG98</f>
        <v>3</v>
      </c>
      <c r="AF2605" s="113">
        <f>'Data_in-situ'!EN39</f>
        <v>-56</v>
      </c>
      <c r="AG2605" s="113">
        <f>'Data_in-situ'!EO39</f>
        <v>10.1</v>
      </c>
      <c r="AH2605" s="110">
        <f>'Data_in-situ'!EP39</f>
        <v>3</v>
      </c>
      <c r="AI2605" s="113">
        <f>'Data_in-situ'!ER39</f>
        <v>-91</v>
      </c>
      <c r="AJ2605" s="113">
        <f>'Data_in-situ'!ES39</f>
        <v>11.3</v>
      </c>
      <c r="AK2605" s="110">
        <f>'Data_in-situ'!ET39</f>
        <v>3</v>
      </c>
    </row>
    <row r="2606" spans="2:37" x14ac:dyDescent="0.3">
      <c r="B2606" s="24">
        <f>'Data_in-situ'!CA71</f>
        <v>-9117.231395346209</v>
      </c>
      <c r="C2606" s="24">
        <f>'Data_in-situ'!CB71</f>
        <v>2424.3247606001519</v>
      </c>
      <c r="D2606" s="46">
        <f>'Data_in-situ'!CC71</f>
        <v>3</v>
      </c>
      <c r="E2606" s="24">
        <f>'Data_in-situ'!CE71</f>
        <v>-11061.598737544935</v>
      </c>
      <c r="F2606" s="24">
        <f>'Data_in-situ'!CF71</f>
        <v>12004.393621698095</v>
      </c>
      <c r="G2606" s="46">
        <f>'Data_in-situ'!CG71</f>
        <v>3</v>
      </c>
      <c r="H2606" s="24">
        <f>'Data_in-situ'!CN71</f>
        <v>12663.516770662041</v>
      </c>
      <c r="I2606" s="24">
        <f>'Data_in-situ'!CO71</f>
        <v>2011.7619468526057</v>
      </c>
      <c r="J2606" s="46">
        <f>'Data_in-situ'!CP71</f>
        <v>3</v>
      </c>
      <c r="K2606" s="24">
        <f>'Data_in-situ'!CR71</f>
        <v>13557.778602361721</v>
      </c>
      <c r="L2606" s="24">
        <f>'Data_in-situ'!CS71</f>
        <v>1534.7793518535277</v>
      </c>
      <c r="M2606" s="46">
        <f>'Data_in-situ'!CT71</f>
        <v>3</v>
      </c>
      <c r="N2606" s="24">
        <f>'Data_in-situ'!DA50</f>
        <v>2691.9421422536325</v>
      </c>
      <c r="O2606" s="24">
        <f>'Data_in-situ'!DB50</f>
        <v>1470.8979553996573</v>
      </c>
      <c r="P2606" s="46">
        <f>'Data_in-situ'!DC50</f>
        <v>3</v>
      </c>
      <c r="Q2606" s="24">
        <f>'Data_in-situ'!DE50</f>
        <v>10494.424337914745</v>
      </c>
      <c r="R2606" s="24">
        <f>'Data_in-situ'!DF50</f>
        <v>1546.8515977021152</v>
      </c>
      <c r="S2606" s="46">
        <f>'Data_in-situ'!DG50</f>
        <v>3</v>
      </c>
      <c r="T2606" s="113">
        <f>'Data_in-situ'!DN24</f>
        <v>69.189192430383997</v>
      </c>
      <c r="U2606" s="113">
        <f>'Data_in-situ'!DO24</f>
        <v>105.7403076411135</v>
      </c>
      <c r="V2606" s="46">
        <f>'Data_in-situ'!DP24</f>
        <v>3</v>
      </c>
      <c r="W2606" s="113">
        <f>'Data_in-situ'!DR24</f>
        <v>-2.3432463592339285</v>
      </c>
      <c r="X2606" s="113">
        <f>'Data_in-situ'!DS24</f>
        <v>2.1725078783546201</v>
      </c>
      <c r="Y2606" s="46">
        <f>'Data_in-situ'!DT24</f>
        <v>3</v>
      </c>
      <c r="Z2606" s="113">
        <f>'Data_in-situ'!EA99</f>
        <v>-0.40440266730939189</v>
      </c>
      <c r="AA2606" s="113">
        <f>'Data_in-situ'!EB99</f>
        <v>1.1600159999999999</v>
      </c>
      <c r="AB2606" s="46">
        <f>'Data_in-situ'!EC99</f>
        <v>24</v>
      </c>
      <c r="AC2606" s="113">
        <f>'Data_in-situ'!EE99</f>
        <v>0.41440059292199383</v>
      </c>
      <c r="AD2606" s="113">
        <f>'Data_in-situ'!EF99</f>
        <v>1.3178879999999999</v>
      </c>
      <c r="AE2606" s="46">
        <f>'Data_in-situ'!EG99</f>
        <v>15</v>
      </c>
      <c r="AF2606" s="113">
        <f>'Data_in-situ'!EN40</f>
        <v>-56</v>
      </c>
      <c r="AG2606" s="113">
        <f>'Data_in-situ'!EO40</f>
        <v>10.1</v>
      </c>
      <c r="AH2606" s="110">
        <f>'Data_in-situ'!EP40</f>
        <v>3</v>
      </c>
      <c r="AI2606" s="113">
        <f>'Data_in-situ'!ER40</f>
        <v>-128</v>
      </c>
      <c r="AJ2606" s="113">
        <f>'Data_in-situ'!ES40</f>
        <v>14.2</v>
      </c>
      <c r="AK2606" s="110">
        <f>'Data_in-situ'!ET40</f>
        <v>3</v>
      </c>
    </row>
    <row r="2607" spans="2:37" x14ac:dyDescent="0.3">
      <c r="B2607" s="24">
        <f>'Data_in-situ'!CA72</f>
        <v>-10940.677674415452</v>
      </c>
      <c r="C2607" s="24">
        <f>'Data_in-situ'!CB72</f>
        <v>3587.5182834567408</v>
      </c>
      <c r="D2607" s="46">
        <f>'Data_in-situ'!CC72</f>
        <v>3</v>
      </c>
      <c r="E2607" s="24">
        <f>'Data_in-situ'!CE72</f>
        <v>-13155.401355723083</v>
      </c>
      <c r="F2607" s="24">
        <f>'Data_in-situ'!CF72</f>
        <v>5176.9391284347485</v>
      </c>
      <c r="G2607" s="46">
        <f>'Data_in-situ'!CG72</f>
        <v>3</v>
      </c>
      <c r="H2607" s="24">
        <f>'Data_in-situ'!CN72</f>
        <v>12156.97609983556</v>
      </c>
      <c r="I2607" s="24">
        <f>'Data_in-situ'!CO72</f>
        <v>3352.7816659818532</v>
      </c>
      <c r="J2607" s="46">
        <f>'Data_in-situ'!CP72</f>
        <v>3</v>
      </c>
      <c r="K2607" s="24">
        <f>'Data_in-situ'!CR72</f>
        <v>16499.127180501211</v>
      </c>
      <c r="L2607" s="24">
        <f>'Data_in-situ'!CS72</f>
        <v>2145.4857374487219</v>
      </c>
      <c r="M2607" s="46">
        <f>'Data_in-situ'!CT72</f>
        <v>3</v>
      </c>
      <c r="N2607" s="24">
        <f>'Data_in-situ'!DA51</f>
        <v>2490.8868908748118</v>
      </c>
      <c r="O2607" s="24">
        <f>'Data_in-situ'!DB51</f>
        <v>1134.5350284056235</v>
      </c>
      <c r="P2607" s="46">
        <f>'Data_in-situ'!DC51</f>
        <v>3</v>
      </c>
      <c r="Q2607" s="24">
        <f>'Data_in-situ'!DE51</f>
        <v>14569.528211847748</v>
      </c>
      <c r="R2607" s="24">
        <f>'Data_in-situ'!DF51</f>
        <v>1911.412784772738</v>
      </c>
      <c r="S2607" s="46">
        <f>'Data_in-situ'!DG51</f>
        <v>3</v>
      </c>
      <c r="T2607" s="113">
        <f>'Data_in-situ'!DN25</f>
        <v>69.189192430383997</v>
      </c>
      <c r="U2607" s="113">
        <f>'Data_in-situ'!DO25</f>
        <v>105.7403076411135</v>
      </c>
      <c r="V2607" s="46">
        <f>'Data_in-situ'!DP25</f>
        <v>3</v>
      </c>
      <c r="W2607" s="113">
        <f>'Data_in-situ'!DR25</f>
        <v>1.9694770013193148</v>
      </c>
      <c r="X2607" s="113">
        <f>'Data_in-situ'!DS25</f>
        <v>4.4704507627185972</v>
      </c>
      <c r="Y2607" s="46">
        <f>'Data_in-situ'!DT25</f>
        <v>3</v>
      </c>
      <c r="Z2607" s="113">
        <f>'Data_in-situ'!EA104</f>
        <v>2.2785714285714288E-2</v>
      </c>
      <c r="AA2607" s="113">
        <f>'Data_in-situ'!EB104</f>
        <v>0.13101733266784471</v>
      </c>
      <c r="AB2607" s="46">
        <f>'Data_in-situ'!EC104</f>
        <v>3</v>
      </c>
      <c r="AC2607" s="113">
        <f>'Data_in-situ'!EE104</f>
        <v>2.1057142857142859</v>
      </c>
      <c r="AD2607" s="113">
        <f>'Data_in-situ'!EF104</f>
        <v>3.1441249265409592</v>
      </c>
      <c r="AE2607" s="46">
        <f>'Data_in-situ'!EG104</f>
        <v>3</v>
      </c>
      <c r="AF2607" s="113">
        <f>'Data_in-situ'!EN41</f>
        <v>-38</v>
      </c>
      <c r="AG2607" s="113">
        <f>'Data_in-situ'!EO41</f>
        <v>7.6</v>
      </c>
      <c r="AH2607" s="110">
        <f>'Data_in-situ'!EP41</f>
        <v>3</v>
      </c>
      <c r="AI2607" s="113">
        <f>'Data_in-situ'!ER41</f>
        <v>-73</v>
      </c>
      <c r="AJ2607" s="113">
        <f>'Data_in-situ'!ES41</f>
        <v>10.3</v>
      </c>
      <c r="AK2607" s="110">
        <f>'Data_in-situ'!ET41</f>
        <v>3</v>
      </c>
    </row>
    <row r="2608" spans="2:37" x14ac:dyDescent="0.3">
      <c r="B2608" s="24">
        <f>'Data_in-situ'!CA73</f>
        <v>-7247.1260453614077</v>
      </c>
      <c r="C2608" s="24">
        <f>'Data_in-situ'!CB73</f>
        <v>2100.9616035887616</v>
      </c>
      <c r="D2608" s="46">
        <f>'Data_in-situ'!CC73</f>
        <v>3</v>
      </c>
      <c r="E2608" s="24">
        <f>'Data_in-situ'!CE73</f>
        <v>-4582.6623341257582</v>
      </c>
      <c r="F2608" s="24">
        <f>'Data_in-situ'!CF73</f>
        <v>1321.5627260440792</v>
      </c>
      <c r="G2608" s="46">
        <f>'Data_in-situ'!CG73</f>
        <v>3</v>
      </c>
      <c r="H2608" s="24">
        <f>'Data_in-situ'!CN73</f>
        <v>6440.2877983621229</v>
      </c>
      <c r="I2608" s="24">
        <f>'Data_in-situ'!CO73</f>
        <v>2181.3507268282779</v>
      </c>
      <c r="J2608" s="46">
        <f>'Data_in-situ'!CP73</f>
        <v>3</v>
      </c>
      <c r="K2608" s="24">
        <f>'Data_in-situ'!CR73</f>
        <v>24633.794341918241</v>
      </c>
      <c r="L2608" s="24">
        <f>'Data_in-situ'!CS73</f>
        <v>2489.5274353362884</v>
      </c>
      <c r="M2608" s="46">
        <f>'Data_in-situ'!CT73</f>
        <v>3</v>
      </c>
      <c r="N2608" s="24">
        <f>'Data_in-situ'!DA52</f>
        <v>2490.8868908748118</v>
      </c>
      <c r="O2608" s="24">
        <f>'Data_in-situ'!DB52</f>
        <v>1134.5350284056235</v>
      </c>
      <c r="P2608" s="46">
        <f>'Data_in-situ'!DC52</f>
        <v>3</v>
      </c>
      <c r="Q2608" s="24">
        <f>'Data_in-situ'!DE52</f>
        <v>10336.286896357044</v>
      </c>
      <c r="R2608" s="24">
        <f>'Data_in-situ'!DF52</f>
        <v>1988.9291863416881</v>
      </c>
      <c r="S2608" s="46">
        <f>'Data_in-situ'!DG52</f>
        <v>3</v>
      </c>
      <c r="T2608" s="113">
        <f>'Data_in-situ'!DN26</f>
        <v>3.3518255889605926</v>
      </c>
      <c r="U2608" s="113">
        <f>'Data_in-situ'!DO26</f>
        <v>3.2126569880661773</v>
      </c>
      <c r="V2608" s="46">
        <f>'Data_in-situ'!DP26</f>
        <v>3</v>
      </c>
      <c r="W2608" s="113">
        <f>'Data_in-situ'!DR26</f>
        <v>0.1571071677160551</v>
      </c>
      <c r="X2608" s="113">
        <f>'Data_in-situ'!DS26</f>
        <v>2.9406674446616683</v>
      </c>
      <c r="Y2608" s="46">
        <f>'Data_in-situ'!DT26</f>
        <v>3</v>
      </c>
      <c r="Z2608" s="113">
        <f>'Data_in-situ'!EA105</f>
        <v>9.1928571428571401E-2</v>
      </c>
      <c r="AA2608" s="113">
        <f>'Data_in-situ'!EB105</f>
        <v>0.52858716972889053</v>
      </c>
      <c r="AB2608" s="46">
        <f>'Data_in-situ'!EC105</f>
        <v>3</v>
      </c>
      <c r="AC2608" s="113">
        <f>'Data_in-situ'!EE105</f>
        <v>0.87057142857142855</v>
      </c>
      <c r="AD2608" s="113">
        <f>'Data_in-situ'!EF105</f>
        <v>1.2998844845549935</v>
      </c>
      <c r="AE2608" s="46">
        <f>'Data_in-situ'!EG105</f>
        <v>3</v>
      </c>
      <c r="AF2608" s="113">
        <f>'Data_in-situ'!EN42</f>
        <v>-38</v>
      </c>
      <c r="AG2608" s="113">
        <f>'Data_in-situ'!EO42</f>
        <v>7.6</v>
      </c>
      <c r="AH2608" s="110">
        <f>'Data_in-situ'!EP42</f>
        <v>3</v>
      </c>
      <c r="AI2608" s="113">
        <f>'Data_in-situ'!ER42</f>
        <v>-112</v>
      </c>
      <c r="AJ2608" s="113">
        <f>'Data_in-situ'!ES42</f>
        <v>15.2</v>
      </c>
      <c r="AK2608" s="110">
        <f>'Data_in-situ'!ET42</f>
        <v>3</v>
      </c>
    </row>
    <row r="2609" spans="2:37" x14ac:dyDescent="0.3">
      <c r="B2609" s="24">
        <f>'Data_in-situ'!CA74</f>
        <v>-7369.268619159634</v>
      </c>
      <c r="C2609" s="24">
        <f>'Data_in-situ'!CB74</f>
        <v>746.95892899118678</v>
      </c>
      <c r="D2609" s="46">
        <f>'Data_in-situ'!CC74</f>
        <v>3</v>
      </c>
      <c r="E2609" s="24">
        <f>'Data_in-situ'!CE74</f>
        <v>-4661.6737536796509</v>
      </c>
      <c r="F2609" s="24">
        <f>'Data_in-situ'!CF74</f>
        <v>1389.6358486823906</v>
      </c>
      <c r="G2609" s="46">
        <f>'Data_in-situ'!CG74</f>
        <v>3</v>
      </c>
      <c r="H2609" s="24">
        <f>'Data_in-situ'!CN74</f>
        <v>11939.302764655935</v>
      </c>
      <c r="I2609" s="24">
        <f>'Data_in-situ'!CO74</f>
        <v>4483.7070147716368</v>
      </c>
      <c r="J2609" s="46">
        <f>'Data_in-situ'!CP74</f>
        <v>3</v>
      </c>
      <c r="K2609" s="24">
        <f>'Data_in-situ'!CR74</f>
        <v>23300.995767448785</v>
      </c>
      <c r="L2609" s="24">
        <f>'Data_in-situ'!CS74</f>
        <v>3584.4542083747219</v>
      </c>
      <c r="M2609" s="46">
        <f>'Data_in-situ'!CT74</f>
        <v>3</v>
      </c>
      <c r="N2609" s="24">
        <f>'Data_in-situ'!DA71</f>
        <v>3546.2853753158324</v>
      </c>
      <c r="O2609" s="24">
        <f>'Data_in-situ'!DB71</f>
        <v>5941.722754487856</v>
      </c>
      <c r="P2609" s="46">
        <f>'Data_in-situ'!DC71</f>
        <v>3</v>
      </c>
      <c r="Q2609" s="24">
        <f>'Data_in-situ'!DE71</f>
        <v>2496.179864816786</v>
      </c>
      <c r="R2609" s="24">
        <f>'Data_in-situ'!DF71</f>
        <v>441.8656256521171</v>
      </c>
      <c r="S2609" s="46">
        <f>'Data_in-situ'!DG71</f>
        <v>3</v>
      </c>
      <c r="T2609" s="113">
        <f>'Data_in-situ'!DN27</f>
        <v>3.3518255889605926</v>
      </c>
      <c r="U2609" s="113">
        <f>'Data_in-situ'!DO27</f>
        <v>3.2126569880661773</v>
      </c>
      <c r="V2609" s="46">
        <f>'Data_in-situ'!DP27</f>
        <v>3</v>
      </c>
      <c r="W2609" s="113">
        <f>'Data_in-situ'!DR27</f>
        <v>2.8167070783378438</v>
      </c>
      <c r="X2609" s="113">
        <f>'Data_in-situ'!DS27</f>
        <v>12.110678472354174</v>
      </c>
      <c r="Y2609" s="46">
        <f>'Data_in-situ'!DT27</f>
        <v>3</v>
      </c>
      <c r="Z2609" s="113">
        <f>'Data_in-situ'!EA106</f>
        <v>5.3428571428571429E-2</v>
      </c>
      <c r="AA2609" s="113">
        <f>'Data_in-situ'!EB106</f>
        <v>0.30721305591080827</v>
      </c>
      <c r="AB2609" s="46">
        <f>'Data_in-situ'!EC106</f>
        <v>3</v>
      </c>
      <c r="AC2609" s="113">
        <f>'Data_in-situ'!EE106</f>
        <v>5.7985714285714279E-2</v>
      </c>
      <c r="AD2609" s="113">
        <f>'Data_in-situ'!EF106</f>
        <v>8.6580753574150279E-2</v>
      </c>
      <c r="AE2609" s="46">
        <f>'Data_in-situ'!EG106</f>
        <v>3</v>
      </c>
      <c r="AF2609" s="113">
        <f>'Data_in-situ'!EN43</f>
        <v>-44</v>
      </c>
      <c r="AG2609" s="113">
        <f>'Data_in-situ'!EO43</f>
        <v>6.8</v>
      </c>
      <c r="AH2609" s="110">
        <f>'Data_in-situ'!EP43</f>
        <v>3</v>
      </c>
      <c r="AI2609" s="113">
        <f>'Data_in-situ'!ER43</f>
        <v>-79</v>
      </c>
      <c r="AJ2609" s="113">
        <f>'Data_in-situ'!ES43</f>
        <v>12.3</v>
      </c>
      <c r="AK2609" s="110">
        <f>'Data_in-situ'!ET43</f>
        <v>3</v>
      </c>
    </row>
    <row r="2610" spans="2:37" x14ac:dyDescent="0.3">
      <c r="B2610" s="24">
        <f>'Data_in-situ'!CA75</f>
        <v>-8294.3850413528962</v>
      </c>
      <c r="C2610" s="24">
        <f>'Data_in-situ'!CB75</f>
        <v>1642.4661972156998</v>
      </c>
      <c r="D2610" s="46">
        <f>'Data_in-situ'!CC75</f>
        <v>3</v>
      </c>
      <c r="E2610" s="24">
        <f>'Data_in-situ'!CE75</f>
        <v>-8210.866720040498</v>
      </c>
      <c r="F2610" s="24">
        <f>'Data_in-situ'!CF75</f>
        <v>6747.5626737645262</v>
      </c>
      <c r="G2610" s="46">
        <f>'Data_in-situ'!CG75</f>
        <v>3</v>
      </c>
      <c r="H2610" s="24">
        <f>'Data_in-situ'!CN75</f>
        <v>9925.2960228500779</v>
      </c>
      <c r="I2610" s="24">
        <f>'Data_in-situ'!CO75</f>
        <v>1480.0009145095366</v>
      </c>
      <c r="J2610" s="46">
        <f>'Data_in-situ'!CP75</f>
        <v>3</v>
      </c>
      <c r="K2610" s="24">
        <f>'Data_in-situ'!CR75</f>
        <v>18431.22552776659</v>
      </c>
      <c r="L2610" s="24">
        <f>'Data_in-situ'!CS75</f>
        <v>1392.33025401075</v>
      </c>
      <c r="M2610" s="46">
        <f>'Data_in-situ'!CT75</f>
        <v>3</v>
      </c>
      <c r="N2610" s="24">
        <f>'Data_in-situ'!DA72</f>
        <v>1216.2984254201074</v>
      </c>
      <c r="O2610" s="24">
        <f>'Data_in-situ'!DB72</f>
        <v>2060.9133169618799</v>
      </c>
      <c r="P2610" s="46">
        <f>'Data_in-situ'!DC72</f>
        <v>3</v>
      </c>
      <c r="Q2610" s="24">
        <f>'Data_in-situ'!DE72</f>
        <v>3343.7258247781283</v>
      </c>
      <c r="R2610" s="24">
        <f>'Data_in-situ'!DF72</f>
        <v>717.82293341401112</v>
      </c>
      <c r="S2610" s="46">
        <f>'Data_in-situ'!DG72</f>
        <v>3</v>
      </c>
      <c r="T2610" s="113">
        <f>'Data_in-situ'!DN28</f>
        <v>3.3518255889605926</v>
      </c>
      <c r="U2610" s="113">
        <f>'Data_in-situ'!DO28</f>
        <v>3.2126569880661773</v>
      </c>
      <c r="V2610" s="46">
        <f>'Data_in-situ'!DP28</f>
        <v>3</v>
      </c>
      <c r="W2610" s="113">
        <f>'Data_in-situ'!DR28</f>
        <v>-1.8291763098369263</v>
      </c>
      <c r="X2610" s="113">
        <f>'Data_in-situ'!DS28</f>
        <v>1.6561975194588527</v>
      </c>
      <c r="Y2610" s="46">
        <f>'Data_in-situ'!DT28</f>
        <v>3</v>
      </c>
      <c r="Z2610" s="113">
        <f>'Data_in-situ'!EA107</f>
        <v>0.24042857142857144</v>
      </c>
      <c r="AA2610" s="113">
        <f>'Data_in-situ'!EB107</f>
        <v>1.3824587515986373</v>
      </c>
      <c r="AB2610" s="46">
        <f>'Data_in-situ'!EC107</f>
        <v>3</v>
      </c>
      <c r="AC2610" s="113">
        <f>'Data_in-situ'!EE107</f>
        <v>0.88314285714285712</v>
      </c>
      <c r="AD2610" s="113">
        <f>'Data_in-situ'!EF107</f>
        <v>1.3186553796388201</v>
      </c>
      <c r="AE2610" s="46">
        <f>'Data_in-situ'!EG107</f>
        <v>3</v>
      </c>
      <c r="AF2610" s="113">
        <f>'Data_in-situ'!EN44</f>
        <v>-44</v>
      </c>
      <c r="AG2610" s="113">
        <f>'Data_in-situ'!EO44</f>
        <v>6.8</v>
      </c>
      <c r="AH2610" s="110">
        <f>'Data_in-situ'!EP44</f>
        <v>3</v>
      </c>
      <c r="AI2610" s="113">
        <f>'Data_in-situ'!ER44</f>
        <v>-116</v>
      </c>
      <c r="AJ2610" s="113">
        <f>'Data_in-situ'!ES44</f>
        <v>11.8</v>
      </c>
      <c r="AK2610" s="110">
        <f>'Data_in-situ'!ET44</f>
        <v>3</v>
      </c>
    </row>
    <row r="2611" spans="2:37" x14ac:dyDescent="0.3">
      <c r="B2611" s="24">
        <f>'Data_in-situ'!CA76</f>
        <v>-9369.2576901028915</v>
      </c>
      <c r="C2611" s="24">
        <f>'Data_in-situ'!CB76</f>
        <v>2035.7162873934251</v>
      </c>
      <c r="D2611" s="46">
        <f>'Data_in-situ'!CC76</f>
        <v>3</v>
      </c>
      <c r="E2611" s="24">
        <f>'Data_in-situ'!CE76</f>
        <v>-9418.1612108239733</v>
      </c>
      <c r="F2611" s="24">
        <f>'Data_in-situ'!CF76</f>
        <v>2962.8630952565604</v>
      </c>
      <c r="G2611" s="46">
        <f>'Data_in-situ'!CG76</f>
        <v>3</v>
      </c>
      <c r="H2611" s="24">
        <f>'Data_in-situ'!CN76</f>
        <v>12061.199832356524</v>
      </c>
      <c r="I2611" s="24">
        <f>'Data_in-situ'!CO76</f>
        <v>2723.4693933324479</v>
      </c>
      <c r="J2611" s="46">
        <f>'Data_in-situ'!CP76</f>
        <v>3</v>
      </c>
      <c r="K2611" s="24">
        <f>'Data_in-situ'!CR76</f>
        <v>19491.949358758146</v>
      </c>
      <c r="L2611" s="24">
        <f>'Data_in-situ'!CS76</f>
        <v>1982.6669401893841</v>
      </c>
      <c r="M2611" s="46">
        <f>'Data_in-situ'!CT76</f>
        <v>3</v>
      </c>
      <c r="N2611" s="24">
        <f>'Data_in-situ'!DA73</f>
        <v>-806.83824699928482</v>
      </c>
      <c r="O2611" s="24">
        <f>'Data_in-situ'!DB73</f>
        <v>1429.0549882340658</v>
      </c>
      <c r="P2611" s="46">
        <f>'Data_in-situ'!DC73</f>
        <v>3</v>
      </c>
      <c r="Q2611" s="24">
        <f>'Data_in-situ'!DE73</f>
        <v>20051.132007792483</v>
      </c>
      <c r="R2611" s="24">
        <f>'Data_in-situ'!DF73</f>
        <v>2691.1988636577994</v>
      </c>
      <c r="S2611" s="46">
        <f>'Data_in-situ'!DG73</f>
        <v>3</v>
      </c>
      <c r="T2611" s="113">
        <f>'Data_in-situ'!DN29</f>
        <v>3.3518255889605926</v>
      </c>
      <c r="U2611" s="113">
        <f>'Data_in-situ'!DO29</f>
        <v>3.2126569880661773</v>
      </c>
      <c r="V2611" s="46">
        <f>'Data_in-situ'!DP29</f>
        <v>3</v>
      </c>
      <c r="W2611" s="113">
        <f>'Data_in-situ'!DR29</f>
        <v>1.5374058555071104</v>
      </c>
      <c r="X2611" s="113">
        <f>'Data_in-situ'!DS29</f>
        <v>3.4762119230029214</v>
      </c>
      <c r="Y2611" s="46">
        <f>'Data_in-situ'!DT29</f>
        <v>3</v>
      </c>
      <c r="Z2611" s="113">
        <f>'Data_in-situ'!EA108</f>
        <v>1.9171428571428568E-2</v>
      </c>
      <c r="AA2611" s="113">
        <f>'Data_in-situ'!EB108</f>
        <v>0.11023527300329002</v>
      </c>
      <c r="AB2611" s="46">
        <f>'Data_in-situ'!EC108</f>
        <v>3</v>
      </c>
      <c r="AC2611" s="113">
        <f>'Data_in-situ'!EE108</f>
        <v>3.0642857142857142E-2</v>
      </c>
      <c r="AD2611" s="113">
        <f>'Data_in-situ'!EF108</f>
        <v>4.5754056766827388E-2</v>
      </c>
      <c r="AE2611" s="46">
        <f>'Data_in-situ'!EG108</f>
        <v>3</v>
      </c>
      <c r="AF2611" s="113">
        <f>'Data_in-situ'!EN45</f>
        <v>-50</v>
      </c>
      <c r="AG2611" s="113">
        <f>'Data_in-situ'!EO45</f>
        <v>6.8</v>
      </c>
      <c r="AH2611" s="110">
        <f>'Data_in-situ'!EP45</f>
        <v>3</v>
      </c>
      <c r="AI2611" s="113">
        <f>'Data_in-situ'!ER45</f>
        <v>-85</v>
      </c>
      <c r="AJ2611" s="113">
        <f>'Data_in-situ'!ES45</f>
        <v>12.3</v>
      </c>
      <c r="AK2611" s="110">
        <f>'Data_in-situ'!ET45</f>
        <v>3</v>
      </c>
    </row>
    <row r="2612" spans="2:37" x14ac:dyDescent="0.3">
      <c r="B2612" s="24">
        <f>'Data_in-situ'!CA128</f>
        <v>-30804.409295502097</v>
      </c>
      <c r="C2612" s="24">
        <f>'Data_in-situ'!CB128</f>
        <v>7508.6897887327168</v>
      </c>
      <c r="D2612" s="46">
        <f>'Data_in-situ'!CC128</f>
        <v>48</v>
      </c>
      <c r="E2612" s="24">
        <f>'Data_in-situ'!CE128</f>
        <v>-23917.078756679508</v>
      </c>
      <c r="F2612" s="24">
        <f>'Data_in-situ'!CF128</f>
        <v>4465.2242350151555</v>
      </c>
      <c r="G2612" s="46">
        <f>'Data_in-situ'!CG128</f>
        <v>48</v>
      </c>
      <c r="H2612" s="24">
        <f>'Data_in-situ'!CN128</f>
        <v>25786.496613792402</v>
      </c>
      <c r="I2612" s="24">
        <f>'Data_in-situ'!CO128</f>
        <v>7450.7457504082913</v>
      </c>
      <c r="J2612" s="46">
        <f>'Data_in-situ'!CP128</f>
        <v>48</v>
      </c>
      <c r="K2612" s="24">
        <f>'Data_in-situ'!CR128</f>
        <v>19674.213717161841</v>
      </c>
      <c r="L2612" s="24">
        <f>'Data_in-situ'!CS128</f>
        <v>4051.362841738935</v>
      </c>
      <c r="M2612" s="46">
        <f>'Data_in-situ'!CT128</f>
        <v>48</v>
      </c>
      <c r="N2612" s="24">
        <f>'Data_in-situ'!DA74</f>
        <v>4570.0341454963009</v>
      </c>
      <c r="O2612" s="24">
        <f>'Data_in-situ'!DB74</f>
        <v>7489.8905028845447</v>
      </c>
      <c r="P2612" s="46">
        <f>'Data_in-situ'!DC74</f>
        <v>3</v>
      </c>
      <c r="Q2612" s="24">
        <f>'Data_in-situ'!DE74</f>
        <v>18639.322013769135</v>
      </c>
      <c r="R2612" s="24">
        <f>'Data_in-situ'!DF74</f>
        <v>3134.0545713270785</v>
      </c>
      <c r="S2612" s="46">
        <f>'Data_in-situ'!DG74</f>
        <v>3</v>
      </c>
      <c r="T2612" s="113">
        <f>'Data_in-situ'!DN30</f>
        <v>155.37117670145557</v>
      </c>
      <c r="U2612" s="113">
        <f>'Data_in-situ'!DO30</f>
        <v>42.709219724301029</v>
      </c>
      <c r="V2612" s="46">
        <f>'Data_in-situ'!DP30</f>
        <v>6</v>
      </c>
      <c r="W2612" s="113">
        <f>'Data_in-situ'!DR30</f>
        <v>185.22204309442213</v>
      </c>
      <c r="X2612" s="113">
        <f>'Data_in-situ'!DS30</f>
        <v>44.646673389917268</v>
      </c>
      <c r="Y2612" s="46">
        <f>'Data_in-situ'!DT30</f>
        <v>6</v>
      </c>
      <c r="Z2612" s="113">
        <f>'Data_in-situ'!EA109</f>
        <v>4.7771428571428562E-2</v>
      </c>
      <c r="AA2612" s="113">
        <f>'Data_in-situ'!EB109</f>
        <v>0.27468461469672267</v>
      </c>
      <c r="AB2612" s="46">
        <f>'Data_in-situ'!EC109</f>
        <v>3</v>
      </c>
      <c r="AC2612" s="113">
        <f>'Data_in-situ'!EE109</f>
        <v>0.21685714285714286</v>
      </c>
      <c r="AD2612" s="113">
        <f>'Data_in-situ'!EF109</f>
        <v>0.32379794019600922</v>
      </c>
      <c r="AE2612" s="46">
        <f>'Data_in-situ'!EG109</f>
        <v>3</v>
      </c>
      <c r="AF2612" s="113">
        <f>'Data_in-situ'!EN46</f>
        <v>-50</v>
      </c>
      <c r="AG2612" s="113">
        <f>'Data_in-situ'!EO46</f>
        <v>6.8</v>
      </c>
      <c r="AH2612" s="110">
        <f>'Data_in-situ'!EP46</f>
        <v>3</v>
      </c>
      <c r="AI2612" s="113">
        <f>'Data_in-situ'!ER46</f>
        <v>-120</v>
      </c>
      <c r="AJ2612" s="113">
        <f>'Data_in-situ'!ES46</f>
        <v>11.8</v>
      </c>
      <c r="AK2612" s="110">
        <f>'Data_in-situ'!ET46</f>
        <v>3</v>
      </c>
    </row>
    <row r="2613" spans="2:37" x14ac:dyDescent="0.3">
      <c r="B2613" s="24">
        <f>'Data_in-situ'!CA129</f>
        <v>-30804.409295502097</v>
      </c>
      <c r="C2613" s="24">
        <f>'Data_in-situ'!CB129</f>
        <v>7508.6897887327168</v>
      </c>
      <c r="D2613" s="46">
        <f>'Data_in-situ'!CC129</f>
        <v>48</v>
      </c>
      <c r="E2613" s="24">
        <f>'Data_in-situ'!CE129</f>
        <v>-22424.619825270362</v>
      </c>
      <c r="F2613" s="24">
        <f>'Data_in-situ'!CF129</f>
        <v>7078.0868325420652</v>
      </c>
      <c r="G2613" s="46">
        <f>'Data_in-situ'!CG129</f>
        <v>48</v>
      </c>
      <c r="H2613" s="24">
        <f>'Data_in-situ'!CN129</f>
        <v>25786.496613792402</v>
      </c>
      <c r="I2613" s="24">
        <f>'Data_in-situ'!CO129</f>
        <v>7450.7457504082913</v>
      </c>
      <c r="J2613" s="46">
        <f>'Data_in-situ'!CP129</f>
        <v>48</v>
      </c>
      <c r="K2613" s="24">
        <f>'Data_in-situ'!CR129</f>
        <v>34101.631064272638</v>
      </c>
      <c r="L2613" s="24">
        <f>'Data_in-situ'!CS129</f>
        <v>6764.0540443406962</v>
      </c>
      <c r="M2613" s="46">
        <f>'Data_in-situ'!CT129</f>
        <v>48</v>
      </c>
      <c r="N2613" s="24">
        <f>'Data_in-situ'!DA75</f>
        <v>1630.9109814971816</v>
      </c>
      <c r="O2613" s="24">
        <f>'Data_in-situ'!DB75</f>
        <v>3386.2554087633621</v>
      </c>
      <c r="P2613" s="46">
        <f>'Data_in-situ'!DC75</f>
        <v>3</v>
      </c>
      <c r="Q2613" s="24">
        <f>'Data_in-situ'!DE75</f>
        <v>10220.358807726092</v>
      </c>
      <c r="R2613" s="24">
        <f>'Data_in-situ'!DF75</f>
        <v>1209.7052702050512</v>
      </c>
      <c r="S2613" s="46">
        <f>'Data_in-situ'!DG75</f>
        <v>3</v>
      </c>
      <c r="T2613" s="113">
        <f>'Data_in-situ'!DN31</f>
        <v>12.121705834279082</v>
      </c>
      <c r="U2613" s="113">
        <f>'Data_in-situ'!DO31</f>
        <v>3.2958824722656956</v>
      </c>
      <c r="V2613" s="46">
        <f>'Data_in-situ'!DP31</f>
        <v>6</v>
      </c>
      <c r="W2613" s="113">
        <f>'Data_in-situ'!DR31</f>
        <v>18.390311681684526</v>
      </c>
      <c r="X2613" s="113">
        <f>'Data_in-situ'!DS31</f>
        <v>4.9126277024028253</v>
      </c>
      <c r="Y2613" s="46">
        <f>'Data_in-situ'!DT31</f>
        <v>6</v>
      </c>
      <c r="Z2613" s="113">
        <f>'Data_in-situ'!EA110</f>
        <v>5.4528571428571426E-2</v>
      </c>
      <c r="AA2613" s="113">
        <f>'Data_in-situ'!EB110</f>
        <v>0.3135380305913249</v>
      </c>
      <c r="AB2613" s="46">
        <f>'Data_in-situ'!EC110</f>
        <v>3</v>
      </c>
      <c r="AC2613" s="113">
        <f>'Data_in-situ'!EE110</f>
        <v>3.5828571428571425E-2</v>
      </c>
      <c r="AD2613" s="113">
        <f>'Data_in-situ'!EF110</f>
        <v>5.3497050988905864E-2</v>
      </c>
      <c r="AE2613" s="46">
        <f>'Data_in-situ'!EG110</f>
        <v>3</v>
      </c>
      <c r="AF2613" s="113">
        <f>'Data_in-situ'!EN47</f>
        <v>-38</v>
      </c>
      <c r="AG2613" s="113">
        <f>'Data_in-situ'!EO47</f>
        <v>5.412566119688516</v>
      </c>
      <c r="AH2613" s="110">
        <f>'Data_in-situ'!EP47</f>
        <v>3</v>
      </c>
      <c r="AI2613" s="113">
        <f>'Data_in-situ'!ER47</f>
        <v>-73</v>
      </c>
      <c r="AJ2613" s="113">
        <f>'Data_in-situ'!ES47</f>
        <v>7.3195252578292278</v>
      </c>
      <c r="AK2613" s="110">
        <f>'Data_in-situ'!ET47</f>
        <v>3</v>
      </c>
    </row>
    <row r="2614" spans="2:37" x14ac:dyDescent="0.3">
      <c r="B2614" s="24">
        <f>'Data_in-situ'!CA130</f>
        <v>-39843.491213361398</v>
      </c>
      <c r="C2614" s="24">
        <f>'Data_in-situ'!CB130</f>
        <v>12909.471724359584</v>
      </c>
      <c r="D2614" s="46">
        <f>'Data_in-situ'!CC130</f>
        <v>66</v>
      </c>
      <c r="E2614" s="24">
        <f>'Data_in-situ'!CE130</f>
        <v>-35035.77220338145</v>
      </c>
      <c r="F2614" s="24">
        <f>'Data_in-situ'!CF130</f>
        <v>6481.9820713073177</v>
      </c>
      <c r="G2614" s="46">
        <f>'Data_in-situ'!CG130</f>
        <v>66</v>
      </c>
      <c r="H2614" s="24">
        <f>'Data_in-situ'!CN130</f>
        <v>35408.568959456847</v>
      </c>
      <c r="I2614" s="24">
        <f>'Data_in-situ'!CO130</f>
        <v>12878.668982057387</v>
      </c>
      <c r="J2614" s="46">
        <f>'Data_in-situ'!CP130</f>
        <v>66</v>
      </c>
      <c r="K2614" s="24">
        <f>'Data_in-situ'!CR130</f>
        <v>26888.134502472181</v>
      </c>
      <c r="L2614" s="24">
        <f>'Data_in-situ'!CS130</f>
        <v>6047.8746396959068</v>
      </c>
      <c r="M2614" s="46">
        <f>'Data_in-situ'!CT130</f>
        <v>66</v>
      </c>
      <c r="N2614" s="24">
        <f>'Data_in-situ'!DA76</f>
        <v>2691.9421422536325</v>
      </c>
      <c r="O2614" s="24">
        <f>'Data_in-situ'!DB76</f>
        <v>3491.7953924879967</v>
      </c>
      <c r="P2614" s="46">
        <f>'Data_in-situ'!DC76</f>
        <v>3</v>
      </c>
      <c r="Q2614" s="24">
        <f>'Data_in-situ'!DE76</f>
        <v>10073.788147934172</v>
      </c>
      <c r="R2614" s="24">
        <f>'Data_in-situ'!DF76</f>
        <v>1436.3793028165639</v>
      </c>
      <c r="S2614" s="46">
        <f>'Data_in-situ'!DG76</f>
        <v>3</v>
      </c>
      <c r="T2614" s="113">
        <f>'Data_in-situ'!DN32</f>
        <v>88</v>
      </c>
      <c r="U2614" s="113">
        <f>'Data_in-situ'!DO32</f>
        <v>60.472215842392352</v>
      </c>
      <c r="V2614" s="46">
        <f>'Data_in-situ'!DP32</f>
        <v>6</v>
      </c>
      <c r="W2614" s="113">
        <f>'Data_in-situ'!DR32</f>
        <v>-2</v>
      </c>
      <c r="X2614" s="113">
        <f>'Data_in-situ'!DS32</f>
        <v>5.9628479399994392</v>
      </c>
      <c r="Y2614" s="46">
        <f>'Data_in-situ'!DT32</f>
        <v>6</v>
      </c>
      <c r="Z2614" s="113">
        <f>'Data_in-situ'!EA111</f>
        <v>8.4699999999999998E-2</v>
      </c>
      <c r="AA2614" s="113">
        <f>'Data_in-situ'!EB111</f>
        <v>0.48702305039978139</v>
      </c>
      <c r="AB2614" s="46">
        <f>'Data_in-situ'!EC111</f>
        <v>3</v>
      </c>
      <c r="AC2614" s="113">
        <f>'Data_in-situ'!EE111</f>
        <v>6.1599999999999995E-2</v>
      </c>
      <c r="AD2614" s="113">
        <f>'Data_in-situ'!EF111</f>
        <v>9.1977385910750442E-2</v>
      </c>
      <c r="AE2614" s="46">
        <f>'Data_in-situ'!EG111</f>
        <v>3</v>
      </c>
      <c r="AF2614" s="113">
        <f>'Data_in-situ'!EN48</f>
        <v>-38</v>
      </c>
      <c r="AG2614" s="113">
        <f>'Data_in-situ'!EO48</f>
        <v>5.412566119688516</v>
      </c>
      <c r="AH2614" s="110">
        <f>'Data_in-situ'!EP48</f>
        <v>3</v>
      </c>
      <c r="AI2614" s="113">
        <f>'Data_in-situ'!ER48</f>
        <v>-112</v>
      </c>
      <c r="AJ2614" s="113">
        <f>'Data_in-situ'!ES48</f>
        <v>10.756618055876112</v>
      </c>
      <c r="AK2614" s="110">
        <f>'Data_in-situ'!ET48</f>
        <v>3</v>
      </c>
    </row>
    <row r="2615" spans="2:37" x14ac:dyDescent="0.3">
      <c r="B2615" s="24">
        <f>'Data_in-situ'!CA131</f>
        <v>-39843.491213361398</v>
      </c>
      <c r="C2615" s="24">
        <f>'Data_in-situ'!CB131</f>
        <v>12909.471724359584</v>
      </c>
      <c r="D2615" s="46">
        <f>'Data_in-situ'!CC131</f>
        <v>66</v>
      </c>
      <c r="E2615" s="24">
        <f>'Data_in-situ'!CE131</f>
        <v>-47094.824204889017</v>
      </c>
      <c r="F2615" s="24">
        <f>'Data_in-situ'!CF131</f>
        <v>13325.726368768714</v>
      </c>
      <c r="G2615" s="46">
        <f>'Data_in-situ'!CG131</f>
        <v>66</v>
      </c>
      <c r="H2615" s="24">
        <f>'Data_in-situ'!CN131</f>
        <v>35408.568959456847</v>
      </c>
      <c r="I2615" s="24">
        <f>'Data_in-situ'!CO131</f>
        <v>12878.668982057387</v>
      </c>
      <c r="J2615" s="46">
        <f>'Data_in-situ'!CP131</f>
        <v>66</v>
      </c>
      <c r="K2615" s="24">
        <f>'Data_in-situ'!CR131</f>
        <v>52464.145688921722</v>
      </c>
      <c r="L2615" s="24">
        <f>'Data_in-situ'!CS131</f>
        <v>12723.425553607172</v>
      </c>
      <c r="M2615" s="46">
        <f>'Data_in-situ'!CT131</f>
        <v>66</v>
      </c>
      <c r="N2615" s="24">
        <f>'Data_in-situ'!DA128</f>
        <v>-5017.9126817096931</v>
      </c>
      <c r="O2615" s="24">
        <f>'Data_in-situ'!DB128</f>
        <v>931.02637244697166</v>
      </c>
      <c r="P2615" s="46">
        <f>'Data_in-situ'!DC128</f>
        <v>48</v>
      </c>
      <c r="Q2615" s="24">
        <f>'Data_in-situ'!DE128</f>
        <v>-4242.8650395176674</v>
      </c>
      <c r="R2615" s="24">
        <f>'Data_in-situ'!DF128</f>
        <v>1877.4148698526124</v>
      </c>
      <c r="S2615" s="46">
        <f>'Data_in-situ'!DG128</f>
        <v>48</v>
      </c>
      <c r="T2615" s="113">
        <f>'Data_in-situ'!DN33</f>
        <v>172</v>
      </c>
      <c r="U2615" s="113">
        <f>'Data_in-situ'!DO33</f>
        <v>22</v>
      </c>
      <c r="V2615" s="46">
        <f>'Data_in-situ'!DP33</f>
        <v>6</v>
      </c>
      <c r="W2615" s="113">
        <f>'Data_in-situ'!DR33</f>
        <v>-1.5</v>
      </c>
      <c r="X2615" s="113">
        <f>'Data_in-situ'!DS33</f>
        <v>0.6</v>
      </c>
      <c r="Y2615" s="46">
        <f>'Data_in-situ'!DT33</f>
        <v>6</v>
      </c>
      <c r="Z2615" s="113">
        <f>'Data_in-situ'!EA112</f>
        <v>1.8193831442341308</v>
      </c>
      <c r="AA2615" s="113">
        <f>'Data_in-situ'!EB112</f>
        <v>10.461411201308758</v>
      </c>
      <c r="AB2615" s="46">
        <f>'Data_in-situ'!EC112</f>
        <v>3</v>
      </c>
      <c r="AC2615" s="113">
        <f>'Data_in-situ'!EE112</f>
        <v>1.4382096725045124</v>
      </c>
      <c r="AD2615" s="113">
        <f>'Data_in-situ'!EF112</f>
        <v>2.1474475011123628</v>
      </c>
      <c r="AE2615" s="46">
        <f>'Data_in-situ'!EG112</f>
        <v>3</v>
      </c>
      <c r="AF2615" s="113">
        <f>'Data_in-situ'!EN49</f>
        <v>-45.680000000000007</v>
      </c>
      <c r="AG2615" s="113">
        <f>'Data_in-situ'!EO49</f>
        <v>4.842822317616041</v>
      </c>
      <c r="AH2615" s="110">
        <f>'Data_in-situ'!EP49</f>
        <v>3</v>
      </c>
      <c r="AI2615" s="113">
        <f>'Data_in-situ'!ER49</f>
        <v>-80.650000000000006</v>
      </c>
      <c r="AJ2615" s="113">
        <f>'Data_in-situ'!ES49</f>
        <v>8.7407922981844166</v>
      </c>
      <c r="AK2615" s="110">
        <f>'Data_in-situ'!ET49</f>
        <v>3</v>
      </c>
    </row>
    <row r="2616" spans="2:37" x14ac:dyDescent="0.3">
      <c r="B2616" s="24">
        <f>'Data_in-situ'!CA132</f>
        <v>-16584.165556391476</v>
      </c>
      <c r="C2616" s="24">
        <f>'Data_in-situ'!CB132</f>
        <v>3505.6021221629076</v>
      </c>
      <c r="D2616" s="46">
        <f>'Data_in-situ'!CC132</f>
        <v>57</v>
      </c>
      <c r="E2616" s="24">
        <f>'Data_in-situ'!CE132</f>
        <v>-18655.544302064984</v>
      </c>
      <c r="F2616" s="24">
        <f>'Data_in-situ'!CF132</f>
        <v>9333.8389055230891</v>
      </c>
      <c r="G2616" s="46">
        <f>'Data_in-situ'!CG132</f>
        <v>57</v>
      </c>
      <c r="H2616" s="24">
        <f>'Data_in-situ'!CN132</f>
        <v>12315.894090129594</v>
      </c>
      <c r="I2616" s="24">
        <f>'Data_in-situ'!CO132</f>
        <v>3346.1883831600085</v>
      </c>
      <c r="J2616" s="46">
        <f>'Data_in-situ'!CP132</f>
        <v>57</v>
      </c>
      <c r="K2616" s="24">
        <f>'Data_in-situ'!CR132</f>
        <v>12460.292931851514</v>
      </c>
      <c r="L2616" s="24">
        <f>'Data_in-situ'!CS132</f>
        <v>2060.2193631794362</v>
      </c>
      <c r="M2616" s="46">
        <f>'Data_in-situ'!CT132</f>
        <v>57</v>
      </c>
      <c r="N2616" s="24">
        <f>'Data_in-situ'!DA129</f>
        <v>-5017.9126817096931</v>
      </c>
      <c r="O2616" s="24">
        <f>'Data_in-situ'!DB129</f>
        <v>931.02637244697166</v>
      </c>
      <c r="P2616" s="46">
        <f>'Data_in-situ'!DC129</f>
        <v>48</v>
      </c>
      <c r="Q2616" s="24">
        <f>'Data_in-situ'!DE129</f>
        <v>11677.011239002279</v>
      </c>
      <c r="R2616" s="24">
        <f>'Data_in-situ'!DF129</f>
        <v>2084.9187260523231</v>
      </c>
      <c r="S2616" s="46">
        <f>'Data_in-situ'!DG129</f>
        <v>48</v>
      </c>
      <c r="T2616" s="113">
        <f>'Data_in-situ'!DN53</f>
        <v>5.3866851938273443</v>
      </c>
      <c r="U2616" s="113">
        <f>'Data_in-situ'!DO53</f>
        <v>4.268024043852261</v>
      </c>
      <c r="V2616" s="46">
        <f>'Data_in-situ'!DP53</f>
        <v>3</v>
      </c>
      <c r="W2616" s="113">
        <f>'Data_in-situ'!DR53</f>
        <v>3.9980588354062441</v>
      </c>
      <c r="X2616" s="113">
        <f>'Data_in-situ'!DS53</f>
        <v>4.3503115567651003</v>
      </c>
      <c r="Y2616" s="46">
        <f>'Data_in-situ'!DT53</f>
        <v>3</v>
      </c>
      <c r="Z2616" s="113">
        <f>'Data_in-situ'!EA113</f>
        <v>1.1072245992053424</v>
      </c>
      <c r="AA2616" s="113">
        <f>'Data_in-situ'!EB113</f>
        <v>6.3665159596536158</v>
      </c>
      <c r="AB2616" s="46">
        <f>'Data_in-situ'!EC113</f>
        <v>3</v>
      </c>
      <c r="AC2616" s="113">
        <f>'Data_in-situ'!EE113</f>
        <v>6.6685966855719432</v>
      </c>
      <c r="AD2616" s="113">
        <f>'Data_in-situ'!EF113</f>
        <v>9.9571443316883439</v>
      </c>
      <c r="AE2616" s="46">
        <f>'Data_in-situ'!EG113</f>
        <v>3</v>
      </c>
      <c r="AF2616" s="113">
        <f>'Data_in-situ'!EN50</f>
        <v>-45.680000000000007</v>
      </c>
      <c r="AG2616" s="113">
        <f>'Data_in-situ'!EO50</f>
        <v>4.842822317616041</v>
      </c>
      <c r="AH2616" s="110">
        <f>'Data_in-situ'!EP50</f>
        <v>3</v>
      </c>
      <c r="AI2616" s="113">
        <f>'Data_in-situ'!ER50</f>
        <v>-118.08000000000001</v>
      </c>
      <c r="AJ2616" s="113">
        <f>'Data_in-situ'!ES50</f>
        <v>8.3505324381143513</v>
      </c>
      <c r="AK2616" s="110">
        <f>'Data_in-situ'!ET50</f>
        <v>3</v>
      </c>
    </row>
    <row r="2617" spans="2:37" x14ac:dyDescent="0.3">
      <c r="B2617" s="24">
        <f>'Data_in-situ'!CA133</f>
        <v>-16584.165556391476</v>
      </c>
      <c r="C2617" s="24">
        <f>'Data_in-situ'!CB133</f>
        <v>3505.6021221629076</v>
      </c>
      <c r="D2617" s="46">
        <f>'Data_in-situ'!CC133</f>
        <v>57</v>
      </c>
      <c r="E2617" s="24">
        <f>'Data_in-situ'!CE133</f>
        <v>-16893.314446670054</v>
      </c>
      <c r="F2617" s="24">
        <f>'Data_in-situ'!CF133</f>
        <v>9325.4215781383391</v>
      </c>
      <c r="G2617" s="46">
        <f>'Data_in-situ'!CG133</f>
        <v>57</v>
      </c>
      <c r="H2617" s="24">
        <f>'Data_in-situ'!CN133</f>
        <v>12315.894090129594</v>
      </c>
      <c r="I2617" s="24">
        <f>'Data_in-situ'!CO133</f>
        <v>3346.1883831600085</v>
      </c>
      <c r="J2617" s="46">
        <f>'Data_in-situ'!CP133</f>
        <v>57</v>
      </c>
      <c r="K2617" s="24">
        <f>'Data_in-situ'!CR133</f>
        <v>11148.593839338751</v>
      </c>
      <c r="L2617" s="24">
        <f>'Data_in-situ'!CS133</f>
        <v>2042.0451589318177</v>
      </c>
      <c r="M2617" s="46">
        <f>'Data_in-situ'!CT133</f>
        <v>57</v>
      </c>
      <c r="N2617" s="24">
        <f>'Data_in-situ'!DA130</f>
        <v>-4434.9222539045541</v>
      </c>
      <c r="O2617" s="24">
        <f>'Data_in-situ'!DB130</f>
        <v>891.2605974868037</v>
      </c>
      <c r="P2617" s="46">
        <f>'Data_in-situ'!DC130</f>
        <v>66</v>
      </c>
      <c r="Q2617" s="24">
        <f>'Data_in-situ'!DE130</f>
        <v>-8147.6377009092694</v>
      </c>
      <c r="R2617" s="24">
        <f>'Data_in-situ'!DF130</f>
        <v>2332.2315312319697</v>
      </c>
      <c r="S2617" s="46">
        <f>'Data_in-situ'!DG130</f>
        <v>66</v>
      </c>
      <c r="T2617" s="113">
        <f>'Data_in-situ'!DN54</f>
        <v>5.3866851938273443</v>
      </c>
      <c r="U2617" s="113">
        <f>'Data_in-situ'!DO54</f>
        <v>4.268024043852261</v>
      </c>
      <c r="V2617" s="46">
        <f>'Data_in-situ'!DP54</f>
        <v>3</v>
      </c>
      <c r="W2617" s="113">
        <f>'Data_in-situ'!DR54</f>
        <v>2.6938792153004636</v>
      </c>
      <c r="X2617" s="113">
        <f>'Data_in-situ'!DS54</f>
        <v>4.3447601701580973</v>
      </c>
      <c r="Y2617" s="46">
        <f>'Data_in-situ'!DT54</f>
        <v>3</v>
      </c>
      <c r="Z2617" s="113">
        <f>'Data_in-situ'!EA114</f>
        <v>0.53231951884872231</v>
      </c>
      <c r="AA2617" s="113">
        <f>'Data_in-situ'!EB114</f>
        <v>3.0608249806026997</v>
      </c>
      <c r="AB2617" s="46">
        <f>'Data_in-situ'!EC114</f>
        <v>3</v>
      </c>
      <c r="AC2617" s="113">
        <f>'Data_in-situ'!EE114</f>
        <v>2.1039743148589367</v>
      </c>
      <c r="AD2617" s="113">
        <f>'Data_in-situ'!EF114</f>
        <v>3.141526907533883</v>
      </c>
      <c r="AE2617" s="46">
        <f>'Data_in-situ'!EG114</f>
        <v>3</v>
      </c>
      <c r="AF2617" s="113">
        <f>'Data_in-situ'!EN51</f>
        <v>-53.36</v>
      </c>
      <c r="AG2617" s="113">
        <f>'Data_in-situ'!EO51</f>
        <v>6.3986248522631799</v>
      </c>
      <c r="AH2617" s="110">
        <f>'Data_in-situ'!EP51</f>
        <v>3</v>
      </c>
      <c r="AI2617" s="113">
        <f>'Data_in-situ'!ER51</f>
        <v>-88.300000000000011</v>
      </c>
      <c r="AJ2617" s="113">
        <f>'Data_in-situ'!ES51</f>
        <v>8.3224065029293062</v>
      </c>
      <c r="AK2617" s="110">
        <f>'Data_in-situ'!ET51</f>
        <v>3</v>
      </c>
    </row>
    <row r="2618" spans="2:37" x14ac:dyDescent="0.3">
      <c r="B2618" s="24">
        <f>'Data_in-situ'!CA199</f>
        <v>-17120.448467345523</v>
      </c>
      <c r="C2618" s="24">
        <f>'Data_in-situ'!CB199</f>
        <v>4174.1444262492878</v>
      </c>
      <c r="D2618" s="46">
        <f>'Data_in-situ'!CC199</f>
        <v>1</v>
      </c>
      <c r="E2618" s="24">
        <f>'Data_in-situ'!CE199</f>
        <v>-14041.350510064822</v>
      </c>
      <c r="F2618" s="24">
        <f>'Data_in-situ'!CF199</f>
        <v>5227.1608672305301</v>
      </c>
      <c r="G2618" s="46">
        <f>'Data_in-situ'!CG199</f>
        <v>1</v>
      </c>
      <c r="H2618" s="24">
        <f>'Data_in-situ'!CN199</f>
        <v>12896.16741487473</v>
      </c>
      <c r="I2618" s="24">
        <f>'Data_in-situ'!CO199</f>
        <v>3709.2899364025543</v>
      </c>
      <c r="J2618" s="46">
        <f>'Data_in-situ'!CP199</f>
        <v>1</v>
      </c>
      <c r="K2618" s="24">
        <f>'Data_in-situ'!CR199</f>
        <v>14385.676578962597</v>
      </c>
      <c r="L2618" s="24">
        <f>'Data_in-situ'!CS199</f>
        <v>3774.6745086112619</v>
      </c>
      <c r="M2618" s="46">
        <f>'Data_in-situ'!CT199</f>
        <v>1</v>
      </c>
      <c r="N2618" s="24">
        <f>'Data_in-situ'!DA131</f>
        <v>-4434.9222539045541</v>
      </c>
      <c r="O2618" s="24">
        <f>'Data_in-situ'!DB131</f>
        <v>891.2605974868037</v>
      </c>
      <c r="P2618" s="46">
        <f>'Data_in-situ'!DC131</f>
        <v>66</v>
      </c>
      <c r="Q2618" s="24">
        <f>'Data_in-situ'!DE131</f>
        <v>5369.3214840327073</v>
      </c>
      <c r="R2618" s="24">
        <f>'Data_in-situ'!DF131</f>
        <v>3960.9879370068538</v>
      </c>
      <c r="S2618" s="46">
        <f>'Data_in-situ'!DG131</f>
        <v>66</v>
      </c>
      <c r="T2618" s="113">
        <f>'Data_in-situ'!DN55</f>
        <v>4.9255681733440708</v>
      </c>
      <c r="U2618" s="113">
        <f>'Data_in-situ'!DO55</f>
        <v>6.4838403831872826</v>
      </c>
      <c r="V2618" s="46">
        <f>'Data_in-situ'!DP55</f>
        <v>3</v>
      </c>
      <c r="W2618" s="113">
        <f>'Data_in-situ'!DR55</f>
        <v>4.361518729534084</v>
      </c>
      <c r="X2618" s="113">
        <f>'Data_in-situ'!DS55</f>
        <v>5.0347578591510027</v>
      </c>
      <c r="Y2618" s="46">
        <f>'Data_in-situ'!DT55</f>
        <v>3</v>
      </c>
      <c r="Z2618" s="113">
        <f>'Data_in-situ'!EA115</f>
        <v>0.58480172493239913</v>
      </c>
      <c r="AA2618" s="113">
        <f>'Data_in-situ'!EB115</f>
        <v>3.3625964575635288</v>
      </c>
      <c r="AB2618" s="46">
        <f>'Data_in-situ'!EC115</f>
        <v>3</v>
      </c>
      <c r="AC2618" s="113">
        <f>'Data_in-situ'!EE115</f>
        <v>2.8250547138481497</v>
      </c>
      <c r="AD2618" s="113">
        <f>'Data_in-situ'!EF115</f>
        <v>4.2182004486135707</v>
      </c>
      <c r="AE2618" s="46">
        <f>'Data_in-situ'!EG115</f>
        <v>3</v>
      </c>
      <c r="AF2618" s="113">
        <f>'Data_in-situ'!EN52</f>
        <v>-53.36</v>
      </c>
      <c r="AG2618" s="113">
        <f>'Data_in-situ'!EO52</f>
        <v>6.3986248522631799</v>
      </c>
      <c r="AH2618" s="110">
        <f>'Data_in-situ'!EP52</f>
        <v>3</v>
      </c>
      <c r="AI2618" s="113">
        <f>'Data_in-situ'!ER52</f>
        <v>-124.16</v>
      </c>
      <c r="AJ2618" s="113">
        <f>'Data_in-situ'!ES52</f>
        <v>9.3061459262145689</v>
      </c>
      <c r="AK2618" s="110">
        <f>'Data_in-situ'!ET52</f>
        <v>3</v>
      </c>
    </row>
    <row r="2619" spans="2:37" x14ac:dyDescent="0.3">
      <c r="B2619" s="24">
        <f>'Data_in-situ'!CA200</f>
        <v>-15725.784017121432</v>
      </c>
      <c r="C2619" s="24">
        <f>'Data_in-situ'!CB200</f>
        <v>3834.1106442782989</v>
      </c>
      <c r="D2619" s="46">
        <f>'Data_in-situ'!CC200</f>
        <v>1</v>
      </c>
      <c r="E2619" s="24">
        <f>'Data_in-situ'!CE200</f>
        <v>-16611.232720206455</v>
      </c>
      <c r="F2619" s="24">
        <f>'Data_in-situ'!CF200</f>
        <v>6183.8485955665874</v>
      </c>
      <c r="G2619" s="46">
        <f>'Data_in-situ'!CG200</f>
        <v>1</v>
      </c>
      <c r="H2619" s="24">
        <f>'Data_in-situ'!CN200</f>
        <v>12587.493371634213</v>
      </c>
      <c r="I2619" s="24">
        <f>'Data_in-situ'!CO200</f>
        <v>3620.5068518327839</v>
      </c>
      <c r="J2619" s="46">
        <f>'Data_in-situ'!CP200</f>
        <v>1</v>
      </c>
      <c r="K2619" s="24">
        <f>'Data_in-situ'!CR200</f>
        <v>17012.76988978263</v>
      </c>
      <c r="L2619" s="24">
        <f>'Data_in-situ'!CS200</f>
        <v>4464.0005961028419</v>
      </c>
      <c r="M2619" s="46">
        <f>'Data_in-situ'!CT200</f>
        <v>1</v>
      </c>
      <c r="N2619" s="24">
        <f>'Data_in-situ'!DA132</f>
        <v>-4268.271466261881</v>
      </c>
      <c r="O2619" s="24">
        <f>'Data_in-situ'!DB132</f>
        <v>1045.11699982255</v>
      </c>
      <c r="P2619" s="46">
        <f>'Data_in-situ'!DC132</f>
        <v>57</v>
      </c>
      <c r="Q2619" s="24">
        <f>'Data_in-situ'!DE132</f>
        <v>-6195.2513702134684</v>
      </c>
      <c r="R2619" s="24">
        <f>'Data_in-situ'!DF132</f>
        <v>9103.6281168464357</v>
      </c>
      <c r="S2619" s="46">
        <f>'Data_in-situ'!DG132</f>
        <v>57</v>
      </c>
      <c r="T2619" s="113">
        <f>'Data_in-situ'!DN56</f>
        <v>4.9255681733440708</v>
      </c>
      <c r="U2619" s="113">
        <f>'Data_in-situ'!DO56</f>
        <v>6.4838403831872826</v>
      </c>
      <c r="V2619" s="46">
        <f>'Data_in-situ'!DP56</f>
        <v>3</v>
      </c>
      <c r="W2619" s="113">
        <f>'Data_in-situ'!DR56</f>
        <v>2.5655992526671083</v>
      </c>
      <c r="X2619" s="113">
        <f>'Data_in-situ'!DS56</f>
        <v>2.1677925245184233</v>
      </c>
      <c r="Y2619" s="46">
        <f>'Data_in-situ'!DT56</f>
        <v>3</v>
      </c>
      <c r="Z2619" s="113">
        <f>'Data_in-situ'!EA120</f>
        <v>7.2775325769365226E-2</v>
      </c>
      <c r="AA2619" s="113">
        <f>'Data_in-situ'!EB120</f>
        <v>0.41845644805235027</v>
      </c>
      <c r="AB2619" s="46">
        <f>'Data_in-situ'!EC120</f>
        <v>3</v>
      </c>
      <c r="AC2619" s="113">
        <f>'Data_in-situ'!EE120</f>
        <v>1.917612896672684</v>
      </c>
      <c r="AD2619" s="113">
        <f>'Data_in-situ'!EF120</f>
        <v>2.8632633348164851</v>
      </c>
      <c r="AE2619" s="46">
        <f>'Data_in-situ'!EG120</f>
        <v>3</v>
      </c>
      <c r="AF2619" s="113">
        <f>'Data_in-situ'!EN53</f>
        <v>-38</v>
      </c>
      <c r="AG2619" s="113">
        <f>'Data_in-situ'!EO53</f>
        <v>7.6</v>
      </c>
      <c r="AH2619" s="110">
        <f>'Data_in-situ'!EP53</f>
        <v>3</v>
      </c>
      <c r="AI2619" s="113">
        <f>'Data_in-situ'!ER53</f>
        <v>-73</v>
      </c>
      <c r="AJ2619" s="113">
        <f>'Data_in-situ'!ES53</f>
        <v>10.3</v>
      </c>
      <c r="AK2619" s="110">
        <f>'Data_in-situ'!ET53</f>
        <v>3</v>
      </c>
    </row>
    <row r="2620" spans="2:37" x14ac:dyDescent="0.3">
      <c r="B2620" s="24">
        <f>'Data_in-situ'!CA222</f>
        <v>-17643.02413085182</v>
      </c>
      <c r="C2620" s="24">
        <f>'Data_in-situ'!CB222</f>
        <v>3122.5184951907863</v>
      </c>
      <c r="D2620" s="46">
        <f>'Data_in-situ'!CC222</f>
        <v>3</v>
      </c>
      <c r="E2620" s="24">
        <f>'Data_in-situ'!CE222</f>
        <v>-18545.337897111574</v>
      </c>
      <c r="F2620" s="24">
        <f>'Data_in-situ'!CF222</f>
        <v>1220.592996774214</v>
      </c>
      <c r="G2620" s="46">
        <f>'Data_in-situ'!CG222</f>
        <v>3</v>
      </c>
      <c r="H2620" s="24">
        <f>'Data_in-situ'!CN222</f>
        <v>12120.970993298208</v>
      </c>
      <c r="I2620" s="24">
        <f>'Data_in-situ'!CO222</f>
        <v>2737.6911459160037</v>
      </c>
      <c r="J2620" s="46">
        <f>'Data_in-situ'!CP222</f>
        <v>3</v>
      </c>
      <c r="K2620" s="24">
        <f>'Data_in-situ'!CR222</f>
        <v>14804.615301473419</v>
      </c>
      <c r="L2620" s="24">
        <f>'Data_in-situ'!CS222</f>
        <v>2182.1730906862158</v>
      </c>
      <c r="M2620" s="46">
        <f>'Data_in-situ'!CT222</f>
        <v>3</v>
      </c>
      <c r="N2620" s="24">
        <f>'Data_in-situ'!DA133</f>
        <v>-4268.271466261881</v>
      </c>
      <c r="O2620" s="24">
        <f>'Data_in-situ'!DB133</f>
        <v>1045.11699982255</v>
      </c>
      <c r="P2620" s="46">
        <f>'Data_in-situ'!DC133</f>
        <v>57</v>
      </c>
      <c r="Q2620" s="24">
        <f>'Data_in-situ'!DE133</f>
        <v>-5744.7206073313027</v>
      </c>
      <c r="R2620" s="24">
        <f>'Data_in-situ'!DF133</f>
        <v>9099.0955143295014</v>
      </c>
      <c r="S2620" s="46">
        <f>'Data_in-situ'!DG133</f>
        <v>57</v>
      </c>
      <c r="T2620" s="113">
        <f>'Data_in-situ'!DN57</f>
        <v>6.958675036383962</v>
      </c>
      <c r="U2620" s="113">
        <f>'Data_in-situ'!DO57</f>
        <v>1.1532569524351295</v>
      </c>
      <c r="V2620" s="46">
        <f>'Data_in-situ'!DP57</f>
        <v>3</v>
      </c>
      <c r="W2620" s="113">
        <f>'Data_in-situ'!DR57</f>
        <v>1.1758996574724245</v>
      </c>
      <c r="X2620" s="113">
        <f>'Data_in-situ'!DS57</f>
        <v>1.4564673447344252</v>
      </c>
      <c r="Y2620" s="46">
        <f>'Data_in-situ'!DT57</f>
        <v>3</v>
      </c>
      <c r="Z2620" s="113">
        <f>'Data_in-situ'!EA121</f>
        <v>0.31634988548724063</v>
      </c>
      <c r="AA2620" s="113">
        <f>'Data_in-situ'!EB121</f>
        <v>1.8190045599010327</v>
      </c>
      <c r="AB2620" s="46">
        <f>'Data_in-situ'!EC121</f>
        <v>3</v>
      </c>
      <c r="AC2620" s="113">
        <f>'Data_in-situ'!EE121</f>
        <v>3.5426919892100956</v>
      </c>
      <c r="AD2620" s="113">
        <f>'Data_in-situ'!EF121</f>
        <v>5.2897329262094335</v>
      </c>
      <c r="AE2620" s="46">
        <f>'Data_in-situ'!EG121</f>
        <v>3</v>
      </c>
      <c r="AF2620" s="113">
        <f>'Data_in-situ'!EN54</f>
        <v>-38</v>
      </c>
      <c r="AG2620" s="113">
        <f>'Data_in-situ'!EO54</f>
        <v>7.6</v>
      </c>
      <c r="AH2620" s="110">
        <f>'Data_in-situ'!EP54</f>
        <v>3</v>
      </c>
      <c r="AI2620" s="113">
        <f>'Data_in-situ'!ER54</f>
        <v>-112</v>
      </c>
      <c r="AJ2620" s="113">
        <f>'Data_in-situ'!ES54</f>
        <v>15.2</v>
      </c>
      <c r="AK2620" s="110">
        <f>'Data_in-situ'!ET54</f>
        <v>3</v>
      </c>
    </row>
    <row r="2621" spans="2:37" x14ac:dyDescent="0.3">
      <c r="B2621" s="24">
        <f>'Data_in-situ'!CA223</f>
        <v>-16723.603637465083</v>
      </c>
      <c r="C2621" s="24">
        <f>'Data_in-situ'!CB223</f>
        <v>2362.7967430320127</v>
      </c>
      <c r="D2621" s="46">
        <f>'Data_in-situ'!CC223</f>
        <v>3</v>
      </c>
      <c r="E2621" s="24">
        <f>'Data_in-situ'!CE223</f>
        <v>-16792.689257373804</v>
      </c>
      <c r="F2621" s="24">
        <f>'Data_in-situ'!CF223</f>
        <v>2297.5736170821519</v>
      </c>
      <c r="G2621" s="46">
        <f>'Data_in-situ'!CG223</f>
        <v>3</v>
      </c>
      <c r="H2621" s="24">
        <f>'Data_in-situ'!CN223</f>
        <v>10565.625157874983</v>
      </c>
      <c r="I2621" s="24">
        <f>'Data_in-situ'!CO223</f>
        <v>3177.8813752357983</v>
      </c>
      <c r="J2621" s="46">
        <f>'Data_in-situ'!CP223</f>
        <v>3</v>
      </c>
      <c r="K2621" s="24">
        <f>'Data_in-situ'!CR223</f>
        <v>13251.044559960765</v>
      </c>
      <c r="L2621" s="24">
        <f>'Data_in-situ'!CS223</f>
        <v>2768.2995631046829</v>
      </c>
      <c r="M2621" s="46">
        <f>'Data_in-situ'!CT223</f>
        <v>3</v>
      </c>
      <c r="N2621" s="24">
        <f>'Data_in-situ'!DA135</f>
        <v>2000</v>
      </c>
      <c r="O2621" s="24">
        <f>'Data_in-situ'!DB135</f>
        <v>5999.3131173724232</v>
      </c>
      <c r="P2621" s="46">
        <f>'Data_in-situ'!DC135</f>
        <v>3</v>
      </c>
      <c r="Q2621" s="24">
        <f>'Data_in-situ'!DE135</f>
        <v>-6800</v>
      </c>
      <c r="R2621" s="24">
        <f>'Data_in-situ'!DF135</f>
        <v>6481.3710012383399</v>
      </c>
      <c r="S2621" s="46">
        <f>'Data_in-situ'!DG135</f>
        <v>3</v>
      </c>
      <c r="T2621" s="113">
        <f>'Data_in-situ'!DN58</f>
        <v>6.958675036383962</v>
      </c>
      <c r="U2621" s="113">
        <f>'Data_in-situ'!DO58</f>
        <v>1.1532569524351295</v>
      </c>
      <c r="V2621" s="46">
        <f>'Data_in-situ'!DP58</f>
        <v>3</v>
      </c>
      <c r="W2621" s="113">
        <f>'Data_in-situ'!DR58</f>
        <v>1.090379682383521</v>
      </c>
      <c r="X2621" s="113">
        <f>'Data_in-situ'!DS58</f>
        <v>2.1822665028157022</v>
      </c>
      <c r="Y2621" s="46">
        <f>'Data_in-situ'!DT58</f>
        <v>3</v>
      </c>
      <c r="Z2621" s="113">
        <f>'Data_in-situ'!EA124</f>
        <v>2.0013214586575439</v>
      </c>
      <c r="AA2621" s="113">
        <f>'Data_in-situ'!EB124</f>
        <v>11.507552321439633</v>
      </c>
      <c r="AB2621" s="46">
        <f>'Data_in-situ'!EC124</f>
        <v>3</v>
      </c>
      <c r="AC2621" s="113">
        <f>'Data_in-situ'!EE124</f>
        <v>3.1161209570931105</v>
      </c>
      <c r="AD2621" s="113">
        <f>'Data_in-situ'!EF124</f>
        <v>4.6528029190767866</v>
      </c>
      <c r="AE2621" s="46">
        <f>'Data_in-situ'!EG124</f>
        <v>3</v>
      </c>
      <c r="AF2621" s="113">
        <f>'Data_in-situ'!EN55</f>
        <v>-47</v>
      </c>
      <c r="AG2621" s="113">
        <f>'Data_in-situ'!EO55</f>
        <v>6.8</v>
      </c>
      <c r="AH2621" s="110">
        <f>'Data_in-situ'!EP55</f>
        <v>3</v>
      </c>
      <c r="AI2621" s="113">
        <f>'Data_in-situ'!ER55</f>
        <v>-82</v>
      </c>
      <c r="AJ2621" s="113">
        <f>'Data_in-situ'!ES55</f>
        <v>12.3</v>
      </c>
      <c r="AK2621" s="110">
        <f>'Data_in-situ'!ET55</f>
        <v>3</v>
      </c>
    </row>
    <row r="2622" spans="2:37" x14ac:dyDescent="0.3">
      <c r="B2622" s="24">
        <f>'Data_in-situ'!CA224</f>
        <v>-13221.293435196718</v>
      </c>
      <c r="C2622" s="24">
        <f>'Data_in-situ'!CB224</f>
        <v>5835.686028701105</v>
      </c>
      <c r="D2622" s="46">
        <f>'Data_in-situ'!CC224</f>
        <v>3</v>
      </c>
      <c r="E2622" s="24">
        <f>'Data_in-situ'!CE224</f>
        <v>-13858.019355218201</v>
      </c>
      <c r="F2622" s="24">
        <f>'Data_in-situ'!CF224</f>
        <v>8055.4344954724056</v>
      </c>
      <c r="G2622" s="46">
        <f>'Data_in-situ'!CG224</f>
        <v>3</v>
      </c>
      <c r="H2622" s="24">
        <f>'Data_in-situ'!CN224</f>
        <v>9278.44239752473</v>
      </c>
      <c r="I2622" s="24">
        <f>'Data_in-situ'!CO224</f>
        <v>3665.2968271222612</v>
      </c>
      <c r="J2622" s="46">
        <f>'Data_in-situ'!CP224</f>
        <v>3</v>
      </c>
      <c r="K2622" s="24">
        <f>'Data_in-situ'!CR224</f>
        <v>8910.18513514601</v>
      </c>
      <c r="L2622" s="24">
        <f>'Data_in-situ'!CS224</f>
        <v>4926.3065430817614</v>
      </c>
      <c r="M2622" s="46">
        <f>'Data_in-situ'!CT224</f>
        <v>3</v>
      </c>
      <c r="N2622" s="24">
        <f>'Data_in-situ'!DA136</f>
        <v>2000</v>
      </c>
      <c r="O2622" s="24">
        <f>'Data_in-situ'!DB136</f>
        <v>5999.3131173724232</v>
      </c>
      <c r="P2622" s="46">
        <f>'Data_in-situ'!DC136</f>
        <v>3</v>
      </c>
      <c r="Q2622" s="24">
        <f>'Data_in-situ'!DE136</f>
        <v>-6800</v>
      </c>
      <c r="R2622" s="24">
        <f>'Data_in-situ'!DF136</f>
        <v>6481.3710012383399</v>
      </c>
      <c r="S2622" s="46">
        <f>'Data_in-situ'!DG136</f>
        <v>3</v>
      </c>
      <c r="T2622" s="113">
        <f>'Data_in-situ'!DN59</f>
        <v>10.866266106411475</v>
      </c>
      <c r="U2622" s="113">
        <f>'Data_in-situ'!DO59</f>
        <v>5.3394122234557058</v>
      </c>
      <c r="V2622" s="46">
        <f>'Data_in-situ'!DP59</f>
        <v>3</v>
      </c>
      <c r="W2622" s="113">
        <f>'Data_in-situ'!DR59</f>
        <v>1.8694061542190537</v>
      </c>
      <c r="X2622" s="113">
        <f>'Data_in-situ'!DS59</f>
        <v>2.1264618086738842</v>
      </c>
      <c r="Y2622" s="46">
        <f>'Data_in-situ'!DT59</f>
        <v>3</v>
      </c>
      <c r="Z2622" s="113">
        <f>'Data_in-situ'!EA125</f>
        <v>2.0562742556670646</v>
      </c>
      <c r="AA2622" s="113">
        <f>'Data_in-situ'!EB125</f>
        <v>11.823529639356714</v>
      </c>
      <c r="AB2622" s="46">
        <f>'Data_in-situ'!EC125</f>
        <v>3</v>
      </c>
      <c r="AC2622" s="113">
        <f>'Data_in-situ'!EE125</f>
        <v>3.9594792820583411</v>
      </c>
      <c r="AD2622" s="113">
        <f>'Data_in-situ'!EF125</f>
        <v>5.9120544469399539</v>
      </c>
      <c r="AE2622" s="46">
        <f>'Data_in-situ'!EG125</f>
        <v>3</v>
      </c>
      <c r="AF2622" s="113">
        <f>'Data_in-situ'!EN56</f>
        <v>-47</v>
      </c>
      <c r="AG2622" s="113">
        <f>'Data_in-situ'!EO56</f>
        <v>6.8</v>
      </c>
      <c r="AH2622" s="110">
        <f>'Data_in-situ'!EP56</f>
        <v>3</v>
      </c>
      <c r="AI2622" s="113">
        <f>'Data_in-situ'!ER56</f>
        <v>-120</v>
      </c>
      <c r="AJ2622" s="113">
        <f>'Data_in-situ'!ES56</f>
        <v>11.8</v>
      </c>
      <c r="AK2622" s="110">
        <f>'Data_in-situ'!ET56</f>
        <v>3</v>
      </c>
    </row>
    <row r="2623" spans="2:37" x14ac:dyDescent="0.3">
      <c r="B2623" s="24">
        <f>'Data_in-situ'!CA225</f>
        <v>-12433.234643422073</v>
      </c>
      <c r="C2623" s="24">
        <f>'Data_in-situ'!CB225</f>
        <v>4080.0979371640278</v>
      </c>
      <c r="D2623" s="46">
        <f>'Data_in-situ'!CC225</f>
        <v>3</v>
      </c>
      <c r="E2623" s="24">
        <f>'Data_in-situ'!CE225</f>
        <v>-12839.064123912327</v>
      </c>
      <c r="F2623" s="24">
        <f>'Data_in-situ'!CF225</f>
        <v>6079.7463275012169</v>
      </c>
      <c r="G2623" s="46">
        <f>'Data_in-situ'!CG225</f>
        <v>3</v>
      </c>
      <c r="H2623" s="24">
        <f>'Data_in-situ'!CN225</f>
        <v>8581.2184023350092</v>
      </c>
      <c r="I2623" s="24">
        <f>'Data_in-situ'!CO225</f>
        <v>3466.4725308910288</v>
      </c>
      <c r="J2623" s="46">
        <f>'Data_in-situ'!CP225</f>
        <v>3</v>
      </c>
      <c r="K2623" s="24">
        <f>'Data_in-situ'!CR225</f>
        <v>7630.773936253252</v>
      </c>
      <c r="L2623" s="24">
        <f>'Data_in-situ'!CS225</f>
        <v>3659.7826622477482</v>
      </c>
      <c r="M2623" s="46">
        <f>'Data_in-situ'!CT225</f>
        <v>3</v>
      </c>
      <c r="N2623" s="24">
        <f>'Data_in-situ'!DA137</f>
        <v>2000</v>
      </c>
      <c r="O2623" s="24">
        <f>'Data_in-situ'!DB137</f>
        <v>5999.3131173724232</v>
      </c>
      <c r="P2623" s="46">
        <f>'Data_in-situ'!DC137</f>
        <v>3</v>
      </c>
      <c r="Q2623" s="24">
        <f>'Data_in-situ'!DE137</f>
        <v>-8000</v>
      </c>
      <c r="R2623" s="24">
        <f>'Data_in-situ'!DF137</f>
        <v>7625.1423543980472</v>
      </c>
      <c r="S2623" s="46">
        <f>'Data_in-situ'!DG137</f>
        <v>3</v>
      </c>
      <c r="T2623" s="113">
        <f>'Data_in-situ'!DN60</f>
        <v>10.866266106411475</v>
      </c>
      <c r="U2623" s="113">
        <f>'Data_in-situ'!DO60</f>
        <v>5.3394122234557058</v>
      </c>
      <c r="V2623" s="46">
        <f>'Data_in-situ'!DP60</f>
        <v>3</v>
      </c>
      <c r="W2623" s="113">
        <f>'Data_in-situ'!DR60</f>
        <v>1.2247833424193799</v>
      </c>
      <c r="X2623" s="113">
        <f>'Data_in-situ'!DS60</f>
        <v>3.4037999999999999</v>
      </c>
      <c r="Y2623" s="46">
        <f>'Data_in-situ'!DT60</f>
        <v>3</v>
      </c>
      <c r="Z2623" s="113">
        <f>'Data_in-situ'!EA128</f>
        <v>0.61975925336567961</v>
      </c>
      <c r="AA2623" s="113">
        <f>'Data_in-situ'!EB128</f>
        <v>0.31937151793647711</v>
      </c>
      <c r="AB2623" s="46">
        <f>'Data_in-situ'!EC128</f>
        <v>18</v>
      </c>
      <c r="AC2623" s="113">
        <f>'Data_in-situ'!EE128</f>
        <v>0.85760492742086802</v>
      </c>
      <c r="AD2623" s="113">
        <f>'Data_in-situ'!EF128</f>
        <v>1.8545293886198424</v>
      </c>
      <c r="AE2623" s="46">
        <f>'Data_in-situ'!EG128</f>
        <v>18</v>
      </c>
      <c r="AF2623" s="113">
        <f>'Data_in-situ'!EN57</f>
        <v>-56</v>
      </c>
      <c r="AG2623" s="113">
        <f>'Data_in-situ'!EO57</f>
        <v>10.1</v>
      </c>
      <c r="AH2623" s="110">
        <f>'Data_in-situ'!EP57</f>
        <v>3</v>
      </c>
      <c r="AI2623" s="113">
        <f>'Data_in-situ'!ER57</f>
        <v>-91</v>
      </c>
      <c r="AJ2623" s="113">
        <f>'Data_in-situ'!ES57</f>
        <v>11.3</v>
      </c>
      <c r="AK2623" s="110">
        <f>'Data_in-situ'!ET57</f>
        <v>3</v>
      </c>
    </row>
    <row r="2624" spans="2:37" x14ac:dyDescent="0.3">
      <c r="B2624" s="24">
        <f>'Data_in-situ'!CA246</f>
        <v>-129103.33333333334</v>
      </c>
      <c r="C2624" s="24">
        <f>'Data_in-situ'!CB246</f>
        <v>31476.743163089086</v>
      </c>
      <c r="D2624" s="46">
        <f>'Data_in-situ'!CC246</f>
        <v>1</v>
      </c>
      <c r="E2624" s="24">
        <f>'Data_in-situ'!CE246</f>
        <v>-116380</v>
      </c>
      <c r="F2624" s="24">
        <f>'Data_in-situ'!CF246</f>
        <v>43324.677444112938</v>
      </c>
      <c r="G2624" s="46">
        <f>'Data_in-situ'!CG246</f>
        <v>1</v>
      </c>
      <c r="H2624" s="24">
        <f>'Data_in-situ'!CN246</f>
        <v>136436.66666666666</v>
      </c>
      <c r="I2624" s="24">
        <f>'Data_in-situ'!CO246</f>
        <v>39242.911350487644</v>
      </c>
      <c r="J2624" s="46">
        <f>'Data_in-situ'!CP246</f>
        <v>1</v>
      </c>
      <c r="K2624" s="24">
        <f>'Data_in-situ'!CR246</f>
        <v>134603.33333333334</v>
      </c>
      <c r="L2624" s="24">
        <f>'Data_in-situ'!CS246</f>
        <v>35318.726117508595</v>
      </c>
      <c r="M2624" s="46">
        <f>'Data_in-situ'!CT246</f>
        <v>1</v>
      </c>
      <c r="N2624" s="24">
        <f>'Data_in-situ'!DA138</f>
        <v>2000</v>
      </c>
      <c r="O2624" s="24">
        <f>'Data_in-situ'!DB138</f>
        <v>5999.3131173724232</v>
      </c>
      <c r="P2624" s="46">
        <f>'Data_in-situ'!DC138</f>
        <v>3</v>
      </c>
      <c r="Q2624" s="24">
        <f>'Data_in-situ'!DE138</f>
        <v>-8000</v>
      </c>
      <c r="R2624" s="24">
        <f>'Data_in-situ'!DF138</f>
        <v>7625.1423543980472</v>
      </c>
      <c r="S2624" s="46">
        <f>'Data_in-situ'!DG138</f>
        <v>3</v>
      </c>
      <c r="T2624" s="113">
        <f>'Data_in-situ'!DN61</f>
        <v>9.9527304602972393</v>
      </c>
      <c r="U2624" s="113">
        <f>'Data_in-situ'!DO61</f>
        <v>3.6109447780902064</v>
      </c>
      <c r="V2624" s="46">
        <f>'Data_in-situ'!DP61</f>
        <v>3</v>
      </c>
      <c r="W2624" s="113">
        <f>'Data_in-situ'!DR61</f>
        <v>1.4557731833142631</v>
      </c>
      <c r="X2624" s="113">
        <f>'Data_in-situ'!DS61</f>
        <v>2.2523897859272677</v>
      </c>
      <c r="Y2624" s="46">
        <f>'Data_in-situ'!DT61</f>
        <v>3</v>
      </c>
      <c r="Z2624" s="113">
        <f>'Data_in-situ'!EA129</f>
        <v>0.61975925336567961</v>
      </c>
      <c r="AA2624" s="113">
        <f>'Data_in-situ'!EB129</f>
        <v>0.31937151793647711</v>
      </c>
      <c r="AB2624" s="46">
        <f>'Data_in-situ'!EC129</f>
        <v>18</v>
      </c>
      <c r="AC2624" s="113">
        <f>'Data_in-situ'!EE129</f>
        <v>1.2578205602172745</v>
      </c>
      <c r="AD2624" s="113">
        <f>'Data_in-situ'!EF129</f>
        <v>0.63959090137404107</v>
      </c>
      <c r="AE2624" s="46">
        <f>'Data_in-situ'!EG129</f>
        <v>18</v>
      </c>
      <c r="AF2624" s="113">
        <f>'Data_in-situ'!EN58</f>
        <v>-56</v>
      </c>
      <c r="AG2624" s="113">
        <f>'Data_in-situ'!EO58</f>
        <v>10.1</v>
      </c>
      <c r="AH2624" s="110">
        <f>'Data_in-situ'!EP58</f>
        <v>3</v>
      </c>
      <c r="AI2624" s="113">
        <f>'Data_in-situ'!ER58</f>
        <v>-128</v>
      </c>
      <c r="AJ2624" s="113">
        <f>'Data_in-situ'!ES58</f>
        <v>14.2</v>
      </c>
      <c r="AK2624" s="110">
        <f>'Data_in-situ'!ET58</f>
        <v>3</v>
      </c>
    </row>
    <row r="2625" spans="2:37" x14ac:dyDescent="0.3">
      <c r="B2625" s="24">
        <f>'Data_in-situ'!CA247</f>
        <v>-130313.33333333334</v>
      </c>
      <c r="C2625" s="24">
        <f>'Data_in-situ'!CB247</f>
        <v>31771.753820397222</v>
      </c>
      <c r="D2625" s="46">
        <f>'Data_in-situ'!CC247</f>
        <v>1</v>
      </c>
      <c r="E2625" s="24">
        <f>'Data_in-situ'!CE247</f>
        <v>-121146.66666666666</v>
      </c>
      <c r="F2625" s="24">
        <f>'Data_in-situ'!CF247</f>
        <v>45099.160137161038</v>
      </c>
      <c r="G2625" s="46">
        <f>'Data_in-situ'!CG247</f>
        <v>1</v>
      </c>
      <c r="H2625" s="24">
        <f>'Data_in-situ'!CN247</f>
        <v>132953.33333333334</v>
      </c>
      <c r="I2625" s="24">
        <f>'Data_in-situ'!CO247</f>
        <v>38241.009555729164</v>
      </c>
      <c r="J2625" s="46">
        <f>'Data_in-situ'!CP247</f>
        <v>1</v>
      </c>
      <c r="K2625" s="24">
        <f>'Data_in-situ'!CR247</f>
        <v>128553.33333333334</v>
      </c>
      <c r="L2625" s="24">
        <f>'Data_in-situ'!CS247</f>
        <v>33731.259539086117</v>
      </c>
      <c r="M2625" s="46">
        <f>'Data_in-situ'!CT247</f>
        <v>1</v>
      </c>
      <c r="N2625" s="24">
        <f>'Data_in-situ'!DA139</f>
        <v>2000</v>
      </c>
      <c r="O2625" s="24">
        <f>'Data_in-situ'!DB139</f>
        <v>5999.3131173724232</v>
      </c>
      <c r="P2625" s="46">
        <f>'Data_in-situ'!DC139</f>
        <v>3</v>
      </c>
      <c r="Q2625" s="24">
        <f>'Data_in-situ'!DE139</f>
        <v>-2000</v>
      </c>
      <c r="R2625" s="24">
        <f>'Data_in-situ'!DF139</f>
        <v>1906.2855885995118</v>
      </c>
      <c r="S2625" s="46">
        <f>'Data_in-situ'!DG139</f>
        <v>3</v>
      </c>
      <c r="T2625" s="113">
        <f>'Data_in-situ'!DN62</f>
        <v>9.9527304602972393</v>
      </c>
      <c r="U2625" s="113">
        <f>'Data_in-situ'!DO62</f>
        <v>3.6109447780902064</v>
      </c>
      <c r="V2625" s="46">
        <f>'Data_in-situ'!DP62</f>
        <v>3</v>
      </c>
      <c r="W2625" s="113">
        <f>'Data_in-situ'!DR62</f>
        <v>1.0045372150544916</v>
      </c>
      <c r="X2625" s="113">
        <f>'Data_in-situ'!DS62</f>
        <v>1.2391823776598332</v>
      </c>
      <c r="Y2625" s="46">
        <f>'Data_in-situ'!DT62</f>
        <v>3</v>
      </c>
      <c r="Z2625" s="113">
        <f>'Data_in-situ'!EA130</f>
        <v>0.32108009511715851</v>
      </c>
      <c r="AA2625" s="113">
        <f>'Data_in-situ'!EB130</f>
        <v>0.19494609457370263</v>
      </c>
      <c r="AB2625" s="46">
        <f>'Data_in-situ'!EC130</f>
        <v>18</v>
      </c>
      <c r="AC2625" s="113">
        <f>'Data_in-situ'!EE130</f>
        <v>1.0977343070987131</v>
      </c>
      <c r="AD2625" s="113">
        <f>'Data_in-situ'!EF130</f>
        <v>0.53387084501368376</v>
      </c>
      <c r="AE2625" s="46">
        <f>'Data_in-situ'!EG130</f>
        <v>18</v>
      </c>
      <c r="AF2625" s="113">
        <f>'Data_in-situ'!EN59</f>
        <v>-38</v>
      </c>
      <c r="AG2625" s="113">
        <f>'Data_in-situ'!EO59</f>
        <v>7.6</v>
      </c>
      <c r="AH2625" s="110">
        <f>'Data_in-situ'!EP59</f>
        <v>3</v>
      </c>
      <c r="AI2625" s="113">
        <f>'Data_in-situ'!ER59</f>
        <v>-73</v>
      </c>
      <c r="AJ2625" s="113">
        <f>'Data_in-situ'!ES59</f>
        <v>10.3</v>
      </c>
      <c r="AK2625" s="110">
        <f>'Data_in-situ'!ET59</f>
        <v>3</v>
      </c>
    </row>
    <row r="2626" spans="2:37" x14ac:dyDescent="0.3">
      <c r="B2626" s="24">
        <f>'Data_in-situ'!CA248</f>
        <v>-120743.33333333334</v>
      </c>
      <c r="C2626" s="24">
        <f>'Data_in-situ'!CB248</f>
        <v>29438.487712596525</v>
      </c>
      <c r="D2626" s="46">
        <f>'Data_in-situ'!CC248</f>
        <v>1</v>
      </c>
      <c r="E2626" s="24">
        <f>'Data_in-situ'!CE248</f>
        <v>-111613.33333333334</v>
      </c>
      <c r="F2626" s="24">
        <f>'Data_in-situ'!CF248</f>
        <v>41550.194751064839</v>
      </c>
      <c r="G2626" s="46">
        <f>'Data_in-situ'!CG248</f>
        <v>1</v>
      </c>
      <c r="H2626" s="24">
        <f>'Data_in-situ'!CN248</f>
        <v>136986.66666666666</v>
      </c>
      <c r="I2626" s="24">
        <f>'Data_in-situ'!CO248</f>
        <v>39401.106370712667</v>
      </c>
      <c r="J2626" s="46">
        <f>'Data_in-situ'!CP248</f>
        <v>1</v>
      </c>
      <c r="K2626" s="24">
        <f>'Data_in-situ'!CR248</f>
        <v>130093.33333333334</v>
      </c>
      <c r="L2626" s="24">
        <f>'Data_in-situ'!CS248</f>
        <v>34135.341940866383</v>
      </c>
      <c r="M2626" s="46">
        <f>'Data_in-situ'!CT248</f>
        <v>1</v>
      </c>
      <c r="N2626" s="24">
        <f>'Data_in-situ'!DA140</f>
        <v>2000</v>
      </c>
      <c r="O2626" s="24">
        <f>'Data_in-situ'!DB140</f>
        <v>5999.3131173724232</v>
      </c>
      <c r="P2626" s="46">
        <f>'Data_in-situ'!DC140</f>
        <v>3</v>
      </c>
      <c r="Q2626" s="24">
        <f>'Data_in-situ'!DE140</f>
        <v>-1999</v>
      </c>
      <c r="R2626" s="24">
        <f>'Data_in-situ'!DF140</f>
        <v>1905.332445805212</v>
      </c>
      <c r="S2626" s="46">
        <f>'Data_in-situ'!DG140</f>
        <v>3</v>
      </c>
      <c r="T2626" s="113">
        <f>'Data_in-situ'!DN63</f>
        <v>10.24121540117542</v>
      </c>
      <c r="U2626" s="113">
        <f>'Data_in-situ'!DO63</f>
        <v>7.0937907088882888</v>
      </c>
      <c r="V2626" s="46">
        <f>'Data_in-situ'!DP63</f>
        <v>3</v>
      </c>
      <c r="W2626" s="113">
        <f>'Data_in-situ'!DR63</f>
        <v>0.9615623609345133</v>
      </c>
      <c r="X2626" s="113">
        <f>'Data_in-situ'!DS63</f>
        <v>1.1781116185620597</v>
      </c>
      <c r="Y2626" s="46">
        <f>'Data_in-situ'!DT63</f>
        <v>3</v>
      </c>
      <c r="Z2626" s="113">
        <f>'Data_in-situ'!EA131</f>
        <v>0.32108009511715851</v>
      </c>
      <c r="AA2626" s="113">
        <f>'Data_in-situ'!EB131</f>
        <v>0.19494609457370263</v>
      </c>
      <c r="AB2626" s="46">
        <f>'Data_in-situ'!EC131</f>
        <v>18</v>
      </c>
      <c r="AC2626" s="113">
        <f>'Data_in-situ'!EE131</f>
        <v>0.69751867430230663</v>
      </c>
      <c r="AD2626" s="113">
        <f>'Data_in-situ'!EF131</f>
        <v>0.31514419303530533</v>
      </c>
      <c r="AE2626" s="46">
        <f>'Data_in-situ'!EG131</f>
        <v>18</v>
      </c>
      <c r="AF2626" s="113">
        <f>'Data_in-situ'!EN60</f>
        <v>-38</v>
      </c>
      <c r="AG2626" s="113">
        <f>'Data_in-situ'!EO60</f>
        <v>7.6</v>
      </c>
      <c r="AH2626" s="110">
        <f>'Data_in-situ'!EP60</f>
        <v>3</v>
      </c>
      <c r="AI2626" s="113">
        <f>'Data_in-situ'!ER60</f>
        <v>-112</v>
      </c>
      <c r="AJ2626" s="113">
        <f>'Data_in-situ'!ES60</f>
        <v>15.2</v>
      </c>
      <c r="AK2626" s="110">
        <f>'Data_in-situ'!ET60</f>
        <v>3</v>
      </c>
    </row>
    <row r="2627" spans="2:37" x14ac:dyDescent="0.3">
      <c r="B2627" s="24">
        <f>'Data_in-situ'!CA249</f>
        <v>-128773.33333333334</v>
      </c>
      <c r="C2627" s="24">
        <f>'Data_in-situ'!CB249</f>
        <v>31396.285711095959</v>
      </c>
      <c r="D2627" s="46">
        <f>'Data_in-situ'!CC249</f>
        <v>1</v>
      </c>
      <c r="E2627" s="24">
        <f>'Data_in-situ'!CE249</f>
        <v>-118946.66666666666</v>
      </c>
      <c r="F2627" s="24">
        <f>'Data_in-situ'!CF249</f>
        <v>44280.168124984993</v>
      </c>
      <c r="G2627" s="46">
        <f>'Data_in-situ'!CG249</f>
        <v>1</v>
      </c>
      <c r="H2627" s="24">
        <f>'Data_in-situ'!CN249</f>
        <v>127783.33333333334</v>
      </c>
      <c r="I2627" s="24">
        <f>'Data_in-situ'!CO249</f>
        <v>36753.97636561394</v>
      </c>
      <c r="J2627" s="46">
        <f>'Data_in-situ'!CP249</f>
        <v>1</v>
      </c>
      <c r="K2627" s="24">
        <f>'Data_in-situ'!CR249</f>
        <v>122870</v>
      </c>
      <c r="L2627" s="24">
        <f>'Data_in-situ'!CS249</f>
        <v>32240.003056325604</v>
      </c>
      <c r="M2627" s="46">
        <f>'Data_in-situ'!CT249</f>
        <v>1</v>
      </c>
      <c r="N2627" s="24">
        <f>'Data_in-situ'!DA168</f>
        <v>25.237137365721058</v>
      </c>
      <c r="O2627" s="24">
        <f>'Data_in-situ'!DB168</f>
        <v>75.702744621550025</v>
      </c>
      <c r="P2627" s="46">
        <f>'Data_in-situ'!DC168</f>
        <v>3</v>
      </c>
      <c r="Q2627" s="24">
        <f>'Data_in-situ'!DE168</f>
        <v>227.90960825112143</v>
      </c>
      <c r="R2627" s="24">
        <f>'Data_in-situ'!DF168</f>
        <v>217.23040085623657</v>
      </c>
      <c r="S2627" s="46">
        <f>'Data_in-situ'!DG168</f>
        <v>3</v>
      </c>
      <c r="T2627" s="113">
        <f>'Data_in-situ'!DN64</f>
        <v>10.24121540117542</v>
      </c>
      <c r="U2627" s="113">
        <f>'Data_in-situ'!DO64</f>
        <v>7.0937907088882888</v>
      </c>
      <c r="V2627" s="46">
        <f>'Data_in-situ'!DP64</f>
        <v>3</v>
      </c>
      <c r="W2627" s="113">
        <f>'Data_in-situ'!DR64</f>
        <v>0.45660782502476893</v>
      </c>
      <c r="X2627" s="113">
        <f>'Data_in-situ'!DS64</f>
        <v>1.5313900415070829</v>
      </c>
      <c r="Y2627" s="46">
        <f>'Data_in-situ'!DT64</f>
        <v>3</v>
      </c>
      <c r="Z2627" s="113">
        <f>'Data_in-situ'!EA132</f>
        <v>0.6346932112781053</v>
      </c>
      <c r="AA2627" s="113">
        <f>'Data_in-situ'!EB132</f>
        <v>0.12856385073753784</v>
      </c>
      <c r="AB2627" s="46">
        <f>'Data_in-situ'!EC132</f>
        <v>21</v>
      </c>
      <c r="AC2627" s="113">
        <f>'Data_in-situ'!EE132</f>
        <v>0.75469233613036468</v>
      </c>
      <c r="AD2627" s="113">
        <f>'Data_in-situ'!EF132</f>
        <v>0.35864660190524744</v>
      </c>
      <c r="AE2627" s="46">
        <f>'Data_in-situ'!EG132</f>
        <v>21</v>
      </c>
      <c r="AF2627" s="113">
        <f>'Data_in-situ'!EN61</f>
        <v>-44</v>
      </c>
      <c r="AG2627" s="113">
        <f>'Data_in-situ'!EO61</f>
        <v>6.8</v>
      </c>
      <c r="AH2627" s="110">
        <f>'Data_in-situ'!EP61</f>
        <v>3</v>
      </c>
      <c r="AI2627" s="113">
        <f>'Data_in-situ'!ER61</f>
        <v>-79</v>
      </c>
      <c r="AJ2627" s="113">
        <f>'Data_in-situ'!ES61</f>
        <v>12.3</v>
      </c>
      <c r="AK2627" s="110">
        <f>'Data_in-situ'!ET61</f>
        <v>3</v>
      </c>
    </row>
    <row r="2628" spans="2:37" x14ac:dyDescent="0.3">
      <c r="B2628" s="24">
        <f>'Data_in-situ'!CA271</f>
        <v>-40673.401413977677</v>
      </c>
      <c r="C2628" s="24">
        <f>'Data_in-situ'!CB271</f>
        <v>10107.748850350723</v>
      </c>
      <c r="D2628" s="46">
        <f>'Data_in-situ'!CC271</f>
        <v>8</v>
      </c>
      <c r="E2628" s="24">
        <f>'Data_in-situ'!CE271</f>
        <v>-44668.814018586389</v>
      </c>
      <c r="F2628" s="24">
        <f>'Data_in-situ'!CF271</f>
        <v>7435.5187362050165</v>
      </c>
      <c r="G2628" s="46">
        <f>'Data_in-situ'!CG271</f>
        <v>8</v>
      </c>
      <c r="H2628" s="24">
        <f>'Data_in-situ'!CN271</f>
        <v>25646.988483892328</v>
      </c>
      <c r="I2628" s="24">
        <f>'Data_in-situ'!CO271</f>
        <v>7128.4662989719045</v>
      </c>
      <c r="J2628" s="46">
        <f>'Data_in-situ'!CP271</f>
        <v>8</v>
      </c>
      <c r="K2628" s="24">
        <f>'Data_in-situ'!CR271</f>
        <v>30448.252211184394</v>
      </c>
      <c r="L2628" s="24">
        <f>'Data_in-situ'!CS271</f>
        <v>38699.412338334165</v>
      </c>
      <c r="M2628" s="46">
        <f>'Data_in-situ'!CT271</f>
        <v>8</v>
      </c>
      <c r="N2628" s="24">
        <f>'Data_in-situ'!DA169</f>
        <v>826.51624872736215</v>
      </c>
      <c r="O2628" s="24">
        <f>'Data_in-situ'!DB169</f>
        <v>2479.2648863557561</v>
      </c>
      <c r="P2628" s="46">
        <f>'Data_in-situ'!DC169</f>
        <v>3</v>
      </c>
      <c r="Q2628" s="24">
        <f>'Data_in-situ'!DE169</f>
        <v>-2686.077525816791</v>
      </c>
      <c r="R2628" s="24">
        <f>'Data_in-situ'!DF169</f>
        <v>2560.2154386627908</v>
      </c>
      <c r="S2628" s="46">
        <f>'Data_in-situ'!DG169</f>
        <v>3</v>
      </c>
      <c r="T2628" s="113">
        <f>'Data_in-situ'!DN65</f>
        <v>7.7977007953643627</v>
      </c>
      <c r="U2628" s="113">
        <f>'Data_in-situ'!DO65</f>
        <v>3.3514104017873239</v>
      </c>
      <c r="V2628" s="46">
        <f>'Data_in-situ'!DP65</f>
        <v>3</v>
      </c>
      <c r="W2628" s="113">
        <f>'Data_in-situ'!DR65</f>
        <v>3.0401651288720082</v>
      </c>
      <c r="X2628" s="113">
        <f>'Data_in-situ'!DS65</f>
        <v>2.576926227735012</v>
      </c>
      <c r="Y2628" s="46">
        <f>'Data_in-situ'!DT65</f>
        <v>3</v>
      </c>
      <c r="Z2628" s="113">
        <f>'Data_in-situ'!EA133</f>
        <v>0.6346932112781053</v>
      </c>
      <c r="AA2628" s="113">
        <f>'Data_in-situ'!EB133</f>
        <v>0.12856385073753784</v>
      </c>
      <c r="AB2628" s="46">
        <f>'Data_in-situ'!EC133</f>
        <v>21</v>
      </c>
      <c r="AC2628" s="113">
        <f>'Data_in-situ'!EE133</f>
        <v>0.77756180086158733</v>
      </c>
      <c r="AD2628" s="113">
        <f>'Data_in-situ'!EF133</f>
        <v>0.42421666014248416</v>
      </c>
      <c r="AE2628" s="46">
        <f>'Data_in-situ'!EG133</f>
        <v>21</v>
      </c>
      <c r="AF2628" s="113">
        <f>'Data_in-situ'!EN62</f>
        <v>-44</v>
      </c>
      <c r="AG2628" s="113">
        <f>'Data_in-situ'!EO62</f>
        <v>6.8</v>
      </c>
      <c r="AH2628" s="110">
        <f>'Data_in-situ'!EP62</f>
        <v>3</v>
      </c>
      <c r="AI2628" s="113">
        <f>'Data_in-situ'!ER62</f>
        <v>-116</v>
      </c>
      <c r="AJ2628" s="113">
        <f>'Data_in-situ'!ES62</f>
        <v>11.8</v>
      </c>
      <c r="AK2628" s="110">
        <f>'Data_in-situ'!ET62</f>
        <v>3</v>
      </c>
    </row>
    <row r="2629" spans="2:37" x14ac:dyDescent="0.3">
      <c r="B2629" s="24">
        <f>'Data_in-situ'!CA339</f>
        <v>-2994.9187190031953</v>
      </c>
      <c r="C2629" s="24">
        <f>'Data_in-situ'!CB339</f>
        <v>676.52043369186902</v>
      </c>
      <c r="D2629" s="46">
        <f>'Data_in-situ'!CC339</f>
        <v>3</v>
      </c>
      <c r="E2629" s="24">
        <f>'Data_in-situ'!CE339</f>
        <v>-2403.5364233284786</v>
      </c>
      <c r="F2629" s="24">
        <f>'Data_in-situ'!CF339</f>
        <v>338.39733243694133</v>
      </c>
      <c r="G2629" s="46">
        <f>'Data_in-situ'!CG339</f>
        <v>3</v>
      </c>
      <c r="H2629" s="24">
        <f>'Data_in-situ'!CN339</f>
        <v>3969.4505741620792</v>
      </c>
      <c r="I2629" s="24">
        <f>'Data_in-situ'!CO339</f>
        <v>723.08718823658228</v>
      </c>
      <c r="J2629" s="46">
        <f>'Data_in-situ'!CP339</f>
        <v>3</v>
      </c>
      <c r="K2629" s="24">
        <f>'Data_in-situ'!CR339</f>
        <v>4246.5463132141167</v>
      </c>
      <c r="L2629" s="24">
        <f>'Data_in-situ'!CS339</f>
        <v>528.2044209164568</v>
      </c>
      <c r="M2629" s="46">
        <f>'Data_in-situ'!CT339</f>
        <v>3</v>
      </c>
      <c r="N2629" s="24">
        <f>'Data_in-situ'!DA170</f>
        <v>-870.68123911737575</v>
      </c>
      <c r="O2629" s="24">
        <f>'Data_in-situ'!DB170</f>
        <v>2611.7446894434738</v>
      </c>
      <c r="P2629" s="46">
        <f>'Data_in-situ'!DC170</f>
        <v>3</v>
      </c>
      <c r="Q2629" s="24">
        <f>'Data_in-situ'!DE170</f>
        <v>-911.63843300448298</v>
      </c>
      <c r="R2629" s="24">
        <f>'Data_in-situ'!DF170</f>
        <v>868.92160342494367</v>
      </c>
      <c r="S2629" s="46">
        <f>'Data_in-situ'!DG170</f>
        <v>3</v>
      </c>
      <c r="T2629" s="113">
        <f>'Data_in-situ'!DN66</f>
        <v>7.7977007953643627</v>
      </c>
      <c r="U2629" s="113">
        <f>'Data_in-situ'!DO66</f>
        <v>3.3514104017873239</v>
      </c>
      <c r="V2629" s="46">
        <f>'Data_in-situ'!DP66</f>
        <v>3</v>
      </c>
      <c r="W2629" s="113">
        <f>'Data_in-situ'!DR66</f>
        <v>1.9887131963175433</v>
      </c>
      <c r="X2629" s="113">
        <f>'Data_in-situ'!DS66</f>
        <v>2.7881365985407487</v>
      </c>
      <c r="Y2629" s="46">
        <f>'Data_in-situ'!DT66</f>
        <v>3</v>
      </c>
      <c r="Z2629" s="113">
        <f>'Data_in-situ'!EA135</f>
        <v>0.2</v>
      </c>
      <c r="AA2629" s="113">
        <f>'Data_in-situ'!EB135</f>
        <v>0.51961524227066314</v>
      </c>
      <c r="AB2629" s="46">
        <f>'Data_in-situ'!EC135</f>
        <v>3</v>
      </c>
      <c r="AC2629" s="113">
        <f>'Data_in-situ'!EE135</f>
        <v>0.9</v>
      </c>
      <c r="AD2629" s="113">
        <f>'Data_in-situ'!EF135</f>
        <v>1.0392304845413263</v>
      </c>
      <c r="AE2629" s="46">
        <f>'Data_in-situ'!EG135</f>
        <v>3</v>
      </c>
      <c r="AF2629" s="113">
        <f>'Data_in-situ'!EN63</f>
        <v>-50</v>
      </c>
      <c r="AG2629" s="113">
        <f>'Data_in-situ'!EO63</f>
        <v>6.8</v>
      </c>
      <c r="AH2629" s="110">
        <f>'Data_in-situ'!EP63</f>
        <v>3</v>
      </c>
      <c r="AI2629" s="113">
        <f>'Data_in-situ'!ER63</f>
        <v>-85</v>
      </c>
      <c r="AJ2629" s="113">
        <f>'Data_in-situ'!ES63</f>
        <v>12.3</v>
      </c>
      <c r="AK2629" s="110">
        <f>'Data_in-situ'!ET63</f>
        <v>3</v>
      </c>
    </row>
    <row r="2630" spans="2:37" x14ac:dyDescent="0.3">
      <c r="B2630" s="24">
        <f>'Data_in-situ'!CA340</f>
        <v>-3247.736532945024</v>
      </c>
      <c r="C2630" s="24">
        <f>'Data_in-situ'!CB340</f>
        <v>576.55145764577287</v>
      </c>
      <c r="D2630" s="46">
        <f>'Data_in-situ'!CC340</f>
        <v>3</v>
      </c>
      <c r="E2630" s="24">
        <f>'Data_in-situ'!CE340</f>
        <v>-2538.1344630348735</v>
      </c>
      <c r="F2630" s="24">
        <f>'Data_in-situ'!CF340</f>
        <v>178.15163353403054</v>
      </c>
      <c r="G2630" s="46">
        <f>'Data_in-situ'!CG340</f>
        <v>3</v>
      </c>
      <c r="H2630" s="24">
        <f>'Data_in-situ'!CN340</f>
        <v>4869.5004136523185</v>
      </c>
      <c r="I2630" s="24">
        <f>'Data_in-situ'!CO340</f>
        <v>764.57941069494359</v>
      </c>
      <c r="J2630" s="46">
        <f>'Data_in-situ'!CP340</f>
        <v>3</v>
      </c>
      <c r="K2630" s="24">
        <f>'Data_in-situ'!CR340</f>
        <v>4268.1023858700255</v>
      </c>
      <c r="L2630" s="24">
        <f>'Data_in-situ'!CS340</f>
        <v>956.60990521947133</v>
      </c>
      <c r="M2630" s="46">
        <f>'Data_in-situ'!CT340</f>
        <v>3</v>
      </c>
      <c r="N2630" s="24">
        <f>'Data_in-situ'!DA171</f>
        <v>82.020696438593234</v>
      </c>
      <c r="O2630" s="24">
        <f>'Data_in-situ'!DB171</f>
        <v>246.03392002003699</v>
      </c>
      <c r="P2630" s="46">
        <f>'Data_in-situ'!DC171</f>
        <v>3</v>
      </c>
      <c r="Q2630" s="24">
        <f>'Data_in-situ'!DE171</f>
        <v>-4541.9129072902078</v>
      </c>
      <c r="R2630" s="24">
        <f>'Data_in-situ'!DF171</f>
        <v>4329.0915599207165</v>
      </c>
      <c r="S2630" s="46">
        <f>'Data_in-situ'!DG171</f>
        <v>3</v>
      </c>
      <c r="T2630" s="113">
        <f>'Data_in-situ'!DN67</f>
        <v>7.1375195796034658</v>
      </c>
      <c r="U2630" s="113">
        <f>'Data_in-situ'!DO67</f>
        <v>3.9633493035082119</v>
      </c>
      <c r="V2630" s="46">
        <f>'Data_in-situ'!DP67</f>
        <v>3</v>
      </c>
      <c r="W2630" s="113">
        <f>'Data_in-situ'!DR67</f>
        <v>3.0539332337351648</v>
      </c>
      <c r="X2630" s="113">
        <f>'Data_in-situ'!DS67</f>
        <v>2.9487867124895311</v>
      </c>
      <c r="Y2630" s="46">
        <f>'Data_in-situ'!DT67</f>
        <v>3</v>
      </c>
      <c r="Z2630" s="113">
        <f>'Data_in-situ'!EA136</f>
        <v>0.3</v>
      </c>
      <c r="AA2630" s="113">
        <f>'Data_in-situ'!EB136</f>
        <v>0.8660254037844386</v>
      </c>
      <c r="AB2630" s="46">
        <f>'Data_in-situ'!EC136</f>
        <v>3</v>
      </c>
      <c r="AC2630" s="113">
        <f>'Data_in-situ'!EE136</f>
        <v>0.7</v>
      </c>
      <c r="AD2630" s="113">
        <f>'Data_in-situ'!EF136</f>
        <v>0.8660254037844386</v>
      </c>
      <c r="AE2630" s="46">
        <f>'Data_in-situ'!EG136</f>
        <v>3</v>
      </c>
      <c r="AF2630" s="113">
        <f>'Data_in-situ'!EN64</f>
        <v>-50</v>
      </c>
      <c r="AG2630" s="113">
        <f>'Data_in-situ'!EO64</f>
        <v>6.8</v>
      </c>
      <c r="AH2630" s="110">
        <f>'Data_in-situ'!EP64</f>
        <v>3</v>
      </c>
      <c r="AI2630" s="113">
        <f>'Data_in-situ'!ER64</f>
        <v>-120</v>
      </c>
      <c r="AJ2630" s="113">
        <f>'Data_in-situ'!ES64</f>
        <v>11.8</v>
      </c>
      <c r="AK2630" s="110">
        <f>'Data_in-situ'!ET64</f>
        <v>3</v>
      </c>
    </row>
    <row r="2631" spans="2:37" x14ac:dyDescent="0.3">
      <c r="B2631" s="24">
        <f>'Data_in-situ'!CA341</f>
        <v>-4239.5602645629651</v>
      </c>
      <c r="C2631" s="24">
        <f>'Data_in-situ'!CB341</f>
        <v>1115.0244091372156</v>
      </c>
      <c r="D2631" s="46">
        <f>'Data_in-situ'!CC341</f>
        <v>3</v>
      </c>
      <c r="E2631" s="24">
        <f>'Data_in-situ'!CE341</f>
        <v>-3364.9509926598698</v>
      </c>
      <c r="F2631" s="24">
        <f>'Data_in-situ'!CF341</f>
        <v>1102.2450453899555</v>
      </c>
      <c r="G2631" s="46">
        <f>'Data_in-situ'!CG341</f>
        <v>3</v>
      </c>
      <c r="H2631" s="24">
        <f>'Data_in-situ'!CN341</f>
        <v>7477.3371280727561</v>
      </c>
      <c r="I2631" s="24">
        <f>'Data_in-situ'!CO341</f>
        <v>1843.7169743300331</v>
      </c>
      <c r="J2631" s="46">
        <f>'Data_in-situ'!CP341</f>
        <v>3</v>
      </c>
      <c r="K2631" s="24">
        <f>'Data_in-situ'!CR341</f>
        <v>5971.0321256868547</v>
      </c>
      <c r="L2631" s="24">
        <f>'Data_in-situ'!CS341</f>
        <v>1963.4643578324303</v>
      </c>
      <c r="M2631" s="46">
        <f>'Data_in-situ'!CT341</f>
        <v>3</v>
      </c>
      <c r="N2631" s="24">
        <f>'Data_in-situ'!DA197</f>
        <v>-6476.6640398246809</v>
      </c>
      <c r="O2631" s="24">
        <f>'Data_in-situ'!DB197</f>
        <v>2851.847869896872</v>
      </c>
      <c r="P2631" s="46">
        <f>'Data_in-situ'!DC197</f>
        <v>3</v>
      </c>
      <c r="Q2631" s="24">
        <f>'Data_in-situ'!DE197</f>
        <v>303.7999143045227</v>
      </c>
      <c r="R2631" s="24">
        <f>'Data_in-situ'!DF197</f>
        <v>833.8763402434389</v>
      </c>
      <c r="S2631" s="46">
        <f>'Data_in-situ'!DG197</f>
        <v>3</v>
      </c>
      <c r="T2631" s="113">
        <f>'Data_in-situ'!DN68</f>
        <v>7.1375195796034658</v>
      </c>
      <c r="U2631" s="113">
        <f>'Data_in-situ'!DO68</f>
        <v>3.9633493035082119</v>
      </c>
      <c r="V2631" s="46">
        <f>'Data_in-situ'!DP68</f>
        <v>3</v>
      </c>
      <c r="W2631" s="113">
        <f>'Data_in-situ'!DR68</f>
        <v>1.8162894746130522</v>
      </c>
      <c r="X2631" s="113">
        <f>'Data_in-situ'!DS68</f>
        <v>1.2745561332707356</v>
      </c>
      <c r="Y2631" s="46">
        <f>'Data_in-situ'!DT68</f>
        <v>3</v>
      </c>
      <c r="Z2631" s="113">
        <f>'Data_in-situ'!EA137</f>
        <v>0.2</v>
      </c>
      <c r="AA2631" s="113">
        <f>'Data_in-situ'!EB137</f>
        <v>0.51961524227066314</v>
      </c>
      <c r="AB2631" s="46">
        <f>'Data_in-situ'!EC137</f>
        <v>3</v>
      </c>
      <c r="AC2631" s="113">
        <f>'Data_in-situ'!EE137</f>
        <v>0.6</v>
      </c>
      <c r="AD2631" s="113">
        <f>'Data_in-situ'!EF137</f>
        <v>0.51961524227066314</v>
      </c>
      <c r="AE2631" s="46">
        <f>'Data_in-situ'!EG137</f>
        <v>3</v>
      </c>
      <c r="AF2631" s="113">
        <f>'Data_in-situ'!EN65</f>
        <v>-38</v>
      </c>
      <c r="AG2631" s="113">
        <f>'Data_in-situ'!EO65</f>
        <v>5.412566119688516</v>
      </c>
      <c r="AH2631" s="110">
        <f>'Data_in-situ'!EP65</f>
        <v>3</v>
      </c>
      <c r="AI2631" s="113">
        <f>'Data_in-situ'!ER65</f>
        <v>-73</v>
      </c>
      <c r="AJ2631" s="113">
        <f>'Data_in-situ'!ES65</f>
        <v>7.3195252578292278</v>
      </c>
      <c r="AK2631" s="110">
        <f>'Data_in-situ'!ET65</f>
        <v>3</v>
      </c>
    </row>
    <row r="2632" spans="2:37" x14ac:dyDescent="0.3">
      <c r="B2632" s="24">
        <f>'Data_in-situ'!CA342</f>
        <v>-2945.161089648047</v>
      </c>
      <c r="C2632" s="24">
        <f>'Data_in-situ'!CB342</f>
        <v>96.327483684879894</v>
      </c>
      <c r="D2632" s="46">
        <f>'Data_in-situ'!CC342</f>
        <v>3</v>
      </c>
      <c r="E2632" s="24">
        <f>'Data_in-situ'!CE342</f>
        <v>-2329.5681312375768</v>
      </c>
      <c r="F2632" s="24">
        <f>'Data_in-situ'!CF342</f>
        <v>936.72704913647306</v>
      </c>
      <c r="G2632" s="46">
        <f>'Data_in-situ'!CG342</f>
        <v>3</v>
      </c>
      <c r="H2632" s="24">
        <f>'Data_in-situ'!CN342</f>
        <v>2386.82655517393</v>
      </c>
      <c r="I2632" s="24">
        <f>'Data_in-situ'!CO342</f>
        <v>98.565445597832763</v>
      </c>
      <c r="J2632" s="46">
        <f>'Data_in-situ'!CP342</f>
        <v>3</v>
      </c>
      <c r="K2632" s="24">
        <f>'Data_in-situ'!CR342</f>
        <v>2420.4945007500228</v>
      </c>
      <c r="L2632" s="24">
        <f>'Data_in-situ'!CS342</f>
        <v>226.67580770330741</v>
      </c>
      <c r="M2632" s="46">
        <f>'Data_in-situ'!CT342</f>
        <v>3</v>
      </c>
      <c r="N2632" s="24">
        <f>'Data_in-situ'!DA198</f>
        <v>-5712.1472856207492</v>
      </c>
      <c r="O2632" s="24">
        <f>'Data_in-situ'!DB198</f>
        <v>3273.2058172899874</v>
      </c>
      <c r="P2632" s="46">
        <f>'Data_in-situ'!DC198</f>
        <v>3</v>
      </c>
      <c r="Q2632" s="24">
        <f>'Data_in-situ'!DE198</f>
        <v>-61.395104632969371</v>
      </c>
      <c r="R2632" s="24">
        <f>'Data_in-situ'!DF198</f>
        <v>529.41384138606963</v>
      </c>
      <c r="S2632" s="46">
        <f>'Data_in-situ'!DG198</f>
        <v>3</v>
      </c>
      <c r="T2632" s="113">
        <f>'Data_in-situ'!DN69</f>
        <v>8.4029927968922031</v>
      </c>
      <c r="U2632" s="113">
        <f>'Data_in-situ'!DO69</f>
        <v>3.1873816651232265</v>
      </c>
      <c r="V2632" s="46">
        <f>'Data_in-situ'!DP69</f>
        <v>3</v>
      </c>
      <c r="W2632" s="113">
        <f>'Data_in-situ'!DR69</f>
        <v>1.0794478740303646</v>
      </c>
      <c r="X2632" s="113">
        <f>'Data_in-situ'!DS69</f>
        <v>0.96059962800413323</v>
      </c>
      <c r="Y2632" s="46">
        <f>'Data_in-situ'!DT69</f>
        <v>3</v>
      </c>
      <c r="Z2632" s="113">
        <f>'Data_in-situ'!EA138</f>
        <v>0.3</v>
      </c>
      <c r="AA2632" s="113">
        <f>'Data_in-situ'!EB138</f>
        <v>0.8660254037844386</v>
      </c>
      <c r="AB2632" s="46">
        <f>'Data_in-situ'!EC138</f>
        <v>3</v>
      </c>
      <c r="AC2632" s="113">
        <f>'Data_in-situ'!EE138</f>
        <v>0.4</v>
      </c>
      <c r="AD2632" s="113">
        <f>'Data_in-situ'!EF138</f>
        <v>0.69282032302755092</v>
      </c>
      <c r="AE2632" s="46">
        <f>'Data_in-situ'!EG138</f>
        <v>3</v>
      </c>
      <c r="AF2632" s="113">
        <f>'Data_in-situ'!EN66</f>
        <v>-38</v>
      </c>
      <c r="AG2632" s="113">
        <f>'Data_in-situ'!EO66</f>
        <v>5.412566119688516</v>
      </c>
      <c r="AH2632" s="110">
        <f>'Data_in-situ'!EP66</f>
        <v>3</v>
      </c>
      <c r="AI2632" s="113">
        <f>'Data_in-situ'!ER66</f>
        <v>-112</v>
      </c>
      <c r="AJ2632" s="113">
        <f>'Data_in-situ'!ES66</f>
        <v>10.756618055876112</v>
      </c>
      <c r="AK2632" s="110">
        <f>'Data_in-situ'!ET66</f>
        <v>3</v>
      </c>
    </row>
    <row r="2633" spans="2:37" x14ac:dyDescent="0.3">
      <c r="B2633" s="24">
        <f>'Data_in-situ'!CA343</f>
        <v>-2887.6945318012554</v>
      </c>
      <c r="C2633" s="24">
        <f>'Data_in-situ'!CB343</f>
        <v>116.06106513063514</v>
      </c>
      <c r="D2633" s="46">
        <f>'Data_in-situ'!CC343</f>
        <v>3</v>
      </c>
      <c r="E2633" s="24">
        <f>'Data_in-situ'!CE343</f>
        <v>-2017.0650892422923</v>
      </c>
      <c r="F2633" s="24">
        <f>'Data_in-situ'!CF343</f>
        <v>715.26564447368787</v>
      </c>
      <c r="G2633" s="46">
        <f>'Data_in-situ'!CG343</f>
        <v>3</v>
      </c>
      <c r="H2633" s="24">
        <f>'Data_in-situ'!CN343</f>
        <v>2301.5827496320044</v>
      </c>
      <c r="I2633" s="24">
        <f>'Data_in-situ'!CO343</f>
        <v>97.898666178602923</v>
      </c>
      <c r="J2633" s="46">
        <f>'Data_in-situ'!CP343</f>
        <v>3</v>
      </c>
      <c r="K2633" s="24">
        <f>'Data_in-situ'!CR343</f>
        <v>2420.4945007500228</v>
      </c>
      <c r="L2633" s="24">
        <f>'Data_in-situ'!CS343</f>
        <v>564.27419535299123</v>
      </c>
      <c r="M2633" s="46">
        <f>'Data_in-situ'!CT343</f>
        <v>3</v>
      </c>
      <c r="N2633" s="24">
        <f>'Data_in-situ'!DA199</f>
        <v>-4224.281052470792</v>
      </c>
      <c r="O2633" s="24">
        <f>'Data_in-situ'!DB199</f>
        <v>12671.392364777903</v>
      </c>
      <c r="P2633" s="46">
        <f>'Data_in-situ'!DC199</f>
        <v>1</v>
      </c>
      <c r="Q2633" s="24">
        <f>'Data_in-situ'!DE199</f>
        <v>344.32606889777549</v>
      </c>
      <c r="R2633" s="24">
        <f>'Data_in-situ'!DF199</f>
        <v>328.19191145947599</v>
      </c>
      <c r="S2633" s="46">
        <f>'Data_in-situ'!DG199</f>
        <v>1</v>
      </c>
      <c r="T2633" s="113">
        <f>'Data_in-situ'!DN70</f>
        <v>8.4029927968922031</v>
      </c>
      <c r="U2633" s="113">
        <f>'Data_in-situ'!DO70</f>
        <v>3.1873816651232265</v>
      </c>
      <c r="V2633" s="46">
        <f>'Data_in-situ'!DP70</f>
        <v>3</v>
      </c>
      <c r="W2633" s="113">
        <f>'Data_in-situ'!DR70</f>
        <v>0.78616919085132009</v>
      </c>
      <c r="X2633" s="113">
        <f>'Data_in-situ'!DS70</f>
        <v>1.3520526050253143</v>
      </c>
      <c r="Y2633" s="46">
        <f>'Data_in-situ'!DT70</f>
        <v>3</v>
      </c>
      <c r="Z2633" s="113">
        <f>'Data_in-situ'!EA139</f>
        <v>0.2</v>
      </c>
      <c r="AA2633" s="113">
        <f>'Data_in-situ'!EB139</f>
        <v>0.51961524227066314</v>
      </c>
      <c r="AB2633" s="46">
        <f>'Data_in-situ'!EC139</f>
        <v>3</v>
      </c>
      <c r="AC2633" s="113">
        <f>'Data_in-situ'!EE139</f>
        <v>0.3</v>
      </c>
      <c r="AD2633" s="113">
        <f>'Data_in-situ'!EF139</f>
        <v>0.51961524227066314</v>
      </c>
      <c r="AE2633" s="46">
        <f>'Data_in-situ'!EG139</f>
        <v>3</v>
      </c>
      <c r="AF2633" s="113">
        <f>'Data_in-situ'!EN67</f>
        <v>-45.680000000000007</v>
      </c>
      <c r="AG2633" s="113">
        <f>'Data_in-situ'!EO67</f>
        <v>4.842822317616041</v>
      </c>
      <c r="AH2633" s="110">
        <f>'Data_in-situ'!EP67</f>
        <v>3</v>
      </c>
      <c r="AI2633" s="113">
        <f>'Data_in-situ'!ER67</f>
        <v>-80.650000000000006</v>
      </c>
      <c r="AJ2633" s="113">
        <f>'Data_in-situ'!ES67</f>
        <v>8.7407922981844166</v>
      </c>
      <c r="AK2633" s="110">
        <f>'Data_in-situ'!ET67</f>
        <v>3</v>
      </c>
    </row>
    <row r="2634" spans="2:37" x14ac:dyDescent="0.3">
      <c r="B2634" s="24">
        <f>'Data_in-situ'!CA344</f>
        <v>-2413.5954295652286</v>
      </c>
      <c r="C2634" s="24">
        <f>'Data_in-situ'!CB344</f>
        <v>229.44356214196344</v>
      </c>
      <c r="D2634" s="46">
        <f>'Data_in-situ'!CC344</f>
        <v>3</v>
      </c>
      <c r="E2634" s="24">
        <f>'Data_in-situ'!CE344</f>
        <v>-1974.4510380611171</v>
      </c>
      <c r="F2634" s="24">
        <f>'Data_in-situ'!CF344</f>
        <v>445.58850967321683</v>
      </c>
      <c r="G2634" s="46">
        <f>'Data_in-situ'!CG344</f>
        <v>3</v>
      </c>
      <c r="H2634" s="24">
        <f>'Data_in-situ'!CN344</f>
        <v>3307.4596550267315</v>
      </c>
      <c r="I2634" s="24">
        <f>'Data_in-situ'!CO344</f>
        <v>917.36533177060426</v>
      </c>
      <c r="J2634" s="46">
        <f>'Data_in-situ'!CP344</f>
        <v>3</v>
      </c>
      <c r="K2634" s="24">
        <f>'Data_in-situ'!CR344</f>
        <v>2945.9965963075938</v>
      </c>
      <c r="L2634" s="24">
        <f>'Data_in-situ'!CS344</f>
        <v>650.63940348918732</v>
      </c>
      <c r="M2634" s="46">
        <f>'Data_in-situ'!CT344</f>
        <v>3</v>
      </c>
      <c r="N2634" s="24">
        <f>'Data_in-situ'!DA200</f>
        <v>-3138.2906454872195</v>
      </c>
      <c r="O2634" s="24">
        <f>'Data_in-situ'!DB200</f>
        <v>9413.7941177993216</v>
      </c>
      <c r="P2634" s="46">
        <f>'Data_in-situ'!DC200</f>
        <v>1</v>
      </c>
      <c r="Q2634" s="24">
        <f>'Data_in-situ'!DE200</f>
        <v>401.53716957617513</v>
      </c>
      <c r="R2634" s="24">
        <f>'Data_in-situ'!DF200</f>
        <v>382.72225982505051</v>
      </c>
      <c r="S2634" s="46">
        <f>'Data_in-situ'!DG200</f>
        <v>1</v>
      </c>
      <c r="T2634" s="113">
        <f>'Data_in-situ'!DN77</f>
        <v>107.85213477594468</v>
      </c>
      <c r="U2634" s="113">
        <f>'Data_in-situ'!DO77</f>
        <v>101.11467674058741</v>
      </c>
      <c r="V2634" s="46">
        <f>'Data_in-situ'!DP77</f>
        <v>6</v>
      </c>
      <c r="W2634" s="113">
        <f>'Data_in-situ'!DR77</f>
        <v>11.097</v>
      </c>
      <c r="X2634" s="113">
        <f>'Data_in-situ'!DS77</f>
        <v>12.912818417114034</v>
      </c>
      <c r="Y2634" s="46">
        <f>'Data_in-situ'!DT77</f>
        <v>6</v>
      </c>
      <c r="Z2634" s="113">
        <f>'Data_in-situ'!EA140</f>
        <v>0.3</v>
      </c>
      <c r="AA2634" s="113">
        <f>'Data_in-situ'!EB140</f>
        <v>0.8660254037844386</v>
      </c>
      <c r="AB2634" s="46">
        <f>'Data_in-situ'!EC140</f>
        <v>3</v>
      </c>
      <c r="AC2634" s="113">
        <f>'Data_in-situ'!EE140</f>
        <v>0.4</v>
      </c>
      <c r="AD2634" s="113">
        <f>'Data_in-situ'!EF140</f>
        <v>1.0392304845413263</v>
      </c>
      <c r="AE2634" s="46">
        <f>'Data_in-situ'!EG140</f>
        <v>3</v>
      </c>
      <c r="AF2634" s="113">
        <f>'Data_in-situ'!EN68</f>
        <v>-45.680000000000007</v>
      </c>
      <c r="AG2634" s="113">
        <f>'Data_in-situ'!EO68</f>
        <v>4.842822317616041</v>
      </c>
      <c r="AH2634" s="110">
        <f>'Data_in-situ'!EP68</f>
        <v>3</v>
      </c>
      <c r="AI2634" s="113">
        <f>'Data_in-situ'!ER68</f>
        <v>-118.08000000000001</v>
      </c>
      <c r="AJ2634" s="113">
        <f>'Data_in-situ'!ES68</f>
        <v>8.3505324381143513</v>
      </c>
      <c r="AK2634" s="110">
        <f>'Data_in-situ'!ET68</f>
        <v>3</v>
      </c>
    </row>
    <row r="2635" spans="2:37" x14ac:dyDescent="0.3">
      <c r="B2635" s="24">
        <f>'Data_in-situ'!CA345</f>
        <v>-1544.0509482067121</v>
      </c>
      <c r="C2635" s="24">
        <f>'Data_in-situ'!CB345</f>
        <v>837.60714709123818</v>
      </c>
      <c r="D2635" s="46">
        <f>'Data_in-situ'!CC345</f>
        <v>3</v>
      </c>
      <c r="E2635" s="24">
        <f>'Data_in-situ'!CE345</f>
        <v>-1178.558304384421</v>
      </c>
      <c r="F2635" s="24">
        <f>'Data_in-situ'!CF345</f>
        <v>1103.8093288412595</v>
      </c>
      <c r="G2635" s="46">
        <f>'Data_in-situ'!CG345</f>
        <v>3</v>
      </c>
      <c r="H2635" s="24">
        <f>'Data_in-situ'!CN345</f>
        <v>821.95693707396595</v>
      </c>
      <c r="I2635" s="24">
        <f>'Data_in-situ'!CO345</f>
        <v>860.95304933064097</v>
      </c>
      <c r="J2635" s="46">
        <f>'Data_in-situ'!CP345</f>
        <v>3</v>
      </c>
      <c r="K2635" s="24">
        <f>'Data_in-situ'!CR345</f>
        <v>1214.1076881752506</v>
      </c>
      <c r="L2635" s="24">
        <f>'Data_in-situ'!CS345</f>
        <v>590.58610863952993</v>
      </c>
      <c r="M2635" s="46">
        <f>'Data_in-situ'!CT345</f>
        <v>3</v>
      </c>
      <c r="N2635" s="24">
        <f>'Data_in-situ'!DA201</f>
        <v>-2040</v>
      </c>
      <c r="O2635" s="24">
        <f>'Data_in-situ'!DB201</f>
        <v>6119.2993797198715</v>
      </c>
      <c r="P2635" s="46">
        <f>'Data_in-situ'!DC201</f>
        <v>3</v>
      </c>
      <c r="Q2635" s="24">
        <f>'Data_in-situ'!DE201</f>
        <v>5060</v>
      </c>
      <c r="R2635" s="24">
        <f>'Data_in-situ'!DF201</f>
        <v>698.59382571944718</v>
      </c>
      <c r="S2635" s="46">
        <f>'Data_in-situ'!DG201</f>
        <v>3</v>
      </c>
      <c r="T2635" s="113">
        <f>'Data_in-situ'!DN78</f>
        <v>107.85213477594468</v>
      </c>
      <c r="U2635" s="113">
        <f>'Data_in-situ'!DO78</f>
        <v>101.11467674058741</v>
      </c>
      <c r="V2635" s="46">
        <f>'Data_in-situ'!DP78</f>
        <v>6</v>
      </c>
      <c r="W2635" s="113">
        <f>'Data_in-situ'!DR78</f>
        <v>23.372199999999999</v>
      </c>
      <c r="X2635" s="113">
        <f>'Data_in-situ'!DS78</f>
        <v>23.116574134644171</v>
      </c>
      <c r="Y2635" s="46">
        <f>'Data_in-situ'!DT78</f>
        <v>6</v>
      </c>
      <c r="Z2635" s="113">
        <f>'Data_in-situ'!EA141</f>
        <v>1</v>
      </c>
      <c r="AA2635" s="113">
        <f>'Data_in-situ'!EB141</f>
        <v>1.5811388300841898</v>
      </c>
      <c r="AB2635" s="46">
        <f>'Data_in-situ'!EC141</f>
        <v>10</v>
      </c>
      <c r="AC2635" s="113">
        <f>'Data_in-situ'!EE141</f>
        <v>2</v>
      </c>
      <c r="AD2635" s="113">
        <f>'Data_in-situ'!EF141</f>
        <v>2.8460498941515415</v>
      </c>
      <c r="AE2635" s="46">
        <f>'Data_in-situ'!EG141</f>
        <v>10</v>
      </c>
      <c r="AF2635" s="113">
        <f>'Data_in-situ'!EN69</f>
        <v>-53.36</v>
      </c>
      <c r="AG2635" s="113">
        <f>'Data_in-situ'!EO69</f>
        <v>6.3986248522631799</v>
      </c>
      <c r="AH2635" s="110">
        <f>'Data_in-situ'!EP69</f>
        <v>3</v>
      </c>
      <c r="AI2635" s="113">
        <f>'Data_in-situ'!ER69</f>
        <v>-88.300000000000011</v>
      </c>
      <c r="AJ2635" s="113">
        <f>'Data_in-situ'!ES69</f>
        <v>8.3224065029293062</v>
      </c>
      <c r="AK2635" s="110">
        <f>'Data_in-situ'!ET69</f>
        <v>3</v>
      </c>
    </row>
    <row r="2636" spans="2:37" x14ac:dyDescent="0.3">
      <c r="B2636" s="24">
        <f>'Data_in-situ'!CA346</f>
        <v>-998.69911894347672</v>
      </c>
      <c r="C2636" s="24">
        <f>'Data_in-situ'!CB346</f>
        <v>642.0310889187042</v>
      </c>
      <c r="D2636" s="46">
        <f>'Data_in-situ'!CC346</f>
        <v>3</v>
      </c>
      <c r="E2636" s="24">
        <f>'Data_in-situ'!CE346</f>
        <v>-1433.3817215486201</v>
      </c>
      <c r="F2636" s="24">
        <f>'Data_in-situ'!CF346</f>
        <v>1186.7128562544101</v>
      </c>
      <c r="G2636" s="46">
        <f>'Data_in-situ'!CG346</f>
        <v>3</v>
      </c>
      <c r="H2636" s="24">
        <f>'Data_in-situ'!CN346</f>
        <v>688.14999382936685</v>
      </c>
      <c r="I2636" s="24">
        <f>'Data_in-situ'!CO346</f>
        <v>827.80955818446023</v>
      </c>
      <c r="J2636" s="46">
        <f>'Data_in-situ'!CP346</f>
        <v>3</v>
      </c>
      <c r="K2636" s="24">
        <f>'Data_in-situ'!CR346</f>
        <v>910.58076613143794</v>
      </c>
      <c r="L2636" s="24">
        <f>'Data_in-situ'!CS346</f>
        <v>867.05035134873242</v>
      </c>
      <c r="M2636" s="46">
        <f>'Data_in-situ'!CT346</f>
        <v>3</v>
      </c>
      <c r="N2636" s="24">
        <f>'Data_in-situ'!DA202</f>
        <v>-4180</v>
      </c>
      <c r="O2636" s="24">
        <f>'Data_in-situ'!DB202</f>
        <v>12538.564415308363</v>
      </c>
      <c r="P2636" s="46">
        <f>'Data_in-situ'!DC202</f>
        <v>3</v>
      </c>
      <c r="Q2636" s="24">
        <f>'Data_in-situ'!DE202</f>
        <v>1540</v>
      </c>
      <c r="R2636" s="24">
        <f>'Data_in-situ'!DF202</f>
        <v>1460.696181049753</v>
      </c>
      <c r="S2636" s="46">
        <f>'Data_in-situ'!DG202</f>
        <v>3</v>
      </c>
      <c r="T2636" s="113">
        <f>'Data_in-situ'!DN79</f>
        <v>345.6</v>
      </c>
      <c r="U2636" s="113">
        <f>'Data_in-situ'!DO79</f>
        <v>358.40000000000003</v>
      </c>
      <c r="V2636" s="46">
        <f>'Data_in-situ'!DP79</f>
        <v>4</v>
      </c>
      <c r="W2636" s="113">
        <f>'Data_in-situ'!DR79</f>
        <v>-2.4</v>
      </c>
      <c r="X2636" s="113">
        <f>'Data_in-situ'!DS79</f>
        <v>0.8</v>
      </c>
      <c r="Y2636" s="46">
        <f>'Data_in-situ'!DT79</f>
        <v>4</v>
      </c>
      <c r="Z2636" s="113">
        <f>'Data_in-situ'!EA142</f>
        <v>1</v>
      </c>
      <c r="AA2636" s="113">
        <f>'Data_in-situ'!EB142</f>
        <v>1.5811388300841898</v>
      </c>
      <c r="AB2636" s="46">
        <f>'Data_in-situ'!EC142</f>
        <v>10</v>
      </c>
      <c r="AC2636" s="113">
        <f>'Data_in-situ'!EE142</f>
        <v>2</v>
      </c>
      <c r="AD2636" s="113">
        <f>'Data_in-situ'!EF142</f>
        <v>4.4271887242357311</v>
      </c>
      <c r="AE2636" s="46">
        <f>'Data_in-situ'!EG142</f>
        <v>10</v>
      </c>
      <c r="AF2636" s="113">
        <f>'Data_in-situ'!EN70</f>
        <v>-53.36</v>
      </c>
      <c r="AG2636" s="113">
        <f>'Data_in-situ'!EO70</f>
        <v>6.3986248522631799</v>
      </c>
      <c r="AH2636" s="110">
        <f>'Data_in-situ'!EP70</f>
        <v>3</v>
      </c>
      <c r="AI2636" s="113">
        <f>'Data_in-situ'!ER70</f>
        <v>-124.16</v>
      </c>
      <c r="AJ2636" s="113">
        <f>'Data_in-situ'!ES70</f>
        <v>9.3061459262145689</v>
      </c>
      <c r="AK2636" s="110">
        <f>'Data_in-situ'!ET70</f>
        <v>3</v>
      </c>
    </row>
    <row r="2637" spans="2:37" x14ac:dyDescent="0.3">
      <c r="B2637" s="24">
        <f>'Data_in-situ'!CA347</f>
        <v>-757.07836436037758</v>
      </c>
      <c r="C2637" s="24">
        <f>'Data_in-situ'!CB347</f>
        <v>753.46149598311479</v>
      </c>
      <c r="D2637" s="46">
        <f>'Data_in-situ'!CC347</f>
        <v>3</v>
      </c>
      <c r="E2637" s="24">
        <f>'Data_in-situ'!CE347</f>
        <v>-1751.9109930038685</v>
      </c>
      <c r="F2637" s="24">
        <f>'Data_in-situ'!CF347</f>
        <v>1655.7034599262597</v>
      </c>
      <c r="G2637" s="46">
        <f>'Data_in-situ'!CG347</f>
        <v>3</v>
      </c>
      <c r="H2637" s="24">
        <f>'Data_in-situ'!CN347</f>
        <v>764.61110425485197</v>
      </c>
      <c r="I2637" s="24">
        <f>'Data_in-situ'!CO347</f>
        <v>794.72773935581358</v>
      </c>
      <c r="J2637" s="46">
        <f>'Data_in-situ'!CP347</f>
        <v>3</v>
      </c>
      <c r="K2637" s="24">
        <f>'Data_in-situ'!CR347</f>
        <v>1696.1798584801293</v>
      </c>
      <c r="L2637" s="24">
        <f>'Data_in-situ'!CS347</f>
        <v>1486.728586277671</v>
      </c>
      <c r="M2637" s="46">
        <f>'Data_in-situ'!CT347</f>
        <v>3</v>
      </c>
      <c r="N2637" s="24">
        <f>'Data_in-situ'!DA213</f>
        <v>-5500</v>
      </c>
      <c r="O2637" s="24">
        <f>'Data_in-situ'!DB213</f>
        <v>16498.111072774162</v>
      </c>
      <c r="P2637" s="46">
        <f>'Data_in-situ'!DC213</f>
        <v>3</v>
      </c>
      <c r="Q2637" s="24">
        <f>'Data_in-situ'!DE213</f>
        <v>-5500</v>
      </c>
      <c r="R2637" s="24">
        <f>'Data_in-situ'!DF213</f>
        <v>5242.2853686486578</v>
      </c>
      <c r="S2637" s="46">
        <f>'Data_in-situ'!DG213</f>
        <v>3</v>
      </c>
      <c r="T2637" s="113">
        <f>'Data_in-situ'!DN81</f>
        <v>131.4</v>
      </c>
      <c r="U2637" s="113">
        <f>'Data_in-situ'!DO81</f>
        <v>146.49513859561415</v>
      </c>
      <c r="V2637" s="46">
        <f>'Data_in-situ'!DP81</f>
        <v>3</v>
      </c>
      <c r="W2637" s="113">
        <f>'Data_in-situ'!DR81</f>
        <v>38.799999999999997</v>
      </c>
      <c r="X2637" s="113">
        <f>'Data_in-situ'!DS81</f>
        <v>145.00399223168318</v>
      </c>
      <c r="Y2637" s="46">
        <f>'Data_in-situ'!DT81</f>
        <v>3</v>
      </c>
      <c r="Z2637" s="113">
        <f>'Data_in-situ'!EA143</f>
        <v>1</v>
      </c>
      <c r="AA2637" s="113">
        <f>'Data_in-situ'!EB143</f>
        <v>1.5811388300841898</v>
      </c>
      <c r="AB2637" s="46">
        <f>'Data_in-situ'!EC143</f>
        <v>10</v>
      </c>
      <c r="AC2637" s="113">
        <f>'Data_in-situ'!EE143</f>
        <v>11</v>
      </c>
      <c r="AD2637" s="113">
        <f>'Data_in-situ'!EF143</f>
        <v>13.914021704740872</v>
      </c>
      <c r="AE2637" s="46">
        <f>'Data_in-situ'!EG143</f>
        <v>10</v>
      </c>
      <c r="AF2637" s="113">
        <f>'Data_in-situ'!EN71</f>
        <v>-38</v>
      </c>
      <c r="AG2637" s="113">
        <f>'Data_in-situ'!EO71</f>
        <v>7.6</v>
      </c>
      <c r="AH2637" s="110">
        <f>'Data_in-situ'!EP71</f>
        <v>3</v>
      </c>
      <c r="AI2637" s="113">
        <f>'Data_in-situ'!ER71</f>
        <v>-112</v>
      </c>
      <c r="AJ2637" s="113">
        <f>'Data_in-situ'!ES71</f>
        <v>15.2</v>
      </c>
      <c r="AK2637" s="110">
        <f>'Data_in-situ'!ET71</f>
        <v>3</v>
      </c>
    </row>
    <row r="2638" spans="2:37" x14ac:dyDescent="0.3">
      <c r="B2638" s="24">
        <f>'Data_in-situ'!CA348</f>
        <v>-3659.9602825374368</v>
      </c>
      <c r="C2638" s="24">
        <f>'Data_in-situ'!CB348</f>
        <v>593.4851284595926</v>
      </c>
      <c r="D2638" s="46">
        <f>'Data_in-situ'!CC348</f>
        <v>3</v>
      </c>
      <c r="E2638" s="24">
        <f>'Data_in-situ'!CE348</f>
        <v>-2778.6457143135131</v>
      </c>
      <c r="F2638" s="24">
        <f>'Data_in-situ'!CF348</f>
        <v>942.7176783399251</v>
      </c>
      <c r="G2638" s="46">
        <f>'Data_in-situ'!CG348</f>
        <v>3</v>
      </c>
      <c r="H2638" s="24">
        <f>'Data_in-situ'!CN348</f>
        <v>6251.1658250934079</v>
      </c>
      <c r="I2638" s="24">
        <f>'Data_in-situ'!CO348</f>
        <v>266.97663228644535</v>
      </c>
      <c r="J2638" s="46">
        <f>'Data_in-situ'!CP348</f>
        <v>3</v>
      </c>
      <c r="K2638" s="24">
        <f>'Data_in-situ'!CR348</f>
        <v>7838.2827472249573</v>
      </c>
      <c r="L2638" s="24">
        <f>'Data_in-situ'!CS348</f>
        <v>2291.0465602792738</v>
      </c>
      <c r="M2638" s="46">
        <f>'Data_in-situ'!CT348</f>
        <v>3</v>
      </c>
      <c r="N2638" s="24">
        <f>'Data_in-situ'!DA214</f>
        <v>-5500</v>
      </c>
      <c r="O2638" s="24">
        <f>'Data_in-situ'!DB214</f>
        <v>16498.111072774162</v>
      </c>
      <c r="P2638" s="46">
        <f>'Data_in-situ'!DC214</f>
        <v>3</v>
      </c>
      <c r="Q2638" s="24">
        <f>'Data_in-situ'!DE214</f>
        <v>-5500</v>
      </c>
      <c r="R2638" s="24">
        <f>'Data_in-situ'!DF214</f>
        <v>5242.2853686486578</v>
      </c>
      <c r="S2638" s="46">
        <f>'Data_in-situ'!DG214</f>
        <v>3</v>
      </c>
      <c r="T2638" s="113">
        <f>'Data_in-situ'!DN82</f>
        <v>131.4</v>
      </c>
      <c r="U2638" s="113">
        <f>'Data_in-situ'!DO82</f>
        <v>146.49513859561415</v>
      </c>
      <c r="V2638" s="46">
        <f>'Data_in-situ'!DP82</f>
        <v>3</v>
      </c>
      <c r="W2638" s="113">
        <f>'Data_in-situ'!DR82</f>
        <v>1.4000000000000001</v>
      </c>
      <c r="X2638" s="113">
        <f>'Data_in-situ'!DS82</f>
        <v>5.2321028124834141</v>
      </c>
      <c r="Y2638" s="46">
        <f>'Data_in-situ'!DT82</f>
        <v>3</v>
      </c>
      <c r="Z2638" s="113">
        <f>'Data_in-situ'!EA144</f>
        <v>1</v>
      </c>
      <c r="AA2638" s="113">
        <f>'Data_in-situ'!EB144</f>
        <v>1.5811388300841898</v>
      </c>
      <c r="AB2638" s="46">
        <f>'Data_in-situ'!EC144</f>
        <v>10</v>
      </c>
      <c r="AC2638" s="113">
        <f>'Data_in-situ'!EE144</f>
        <v>6</v>
      </c>
      <c r="AD2638" s="113">
        <f>'Data_in-situ'!EF144</f>
        <v>8.538149682454625</v>
      </c>
      <c r="AE2638" s="46">
        <f>'Data_in-situ'!EG144</f>
        <v>10</v>
      </c>
      <c r="AF2638" s="113">
        <f>'Data_in-situ'!EN72</f>
        <v>-47</v>
      </c>
      <c r="AG2638" s="113">
        <f>'Data_in-situ'!EO72</f>
        <v>6.8</v>
      </c>
      <c r="AH2638" s="110">
        <f>'Data_in-situ'!EP72</f>
        <v>3</v>
      </c>
      <c r="AI2638" s="113">
        <f>'Data_in-situ'!ER72</f>
        <v>-120</v>
      </c>
      <c r="AJ2638" s="113">
        <f>'Data_in-situ'!ES72</f>
        <v>11.8</v>
      </c>
      <c r="AK2638" s="110">
        <f>'Data_in-situ'!ET72</f>
        <v>3</v>
      </c>
    </row>
    <row r="2639" spans="2:37" x14ac:dyDescent="0.3">
      <c r="B2639" s="24">
        <f>'Data_in-situ'!CA349</f>
        <v>-4810.2335141920603</v>
      </c>
      <c r="C2639" s="24">
        <f>'Data_in-situ'!CB349</f>
        <v>507.91046480105655</v>
      </c>
      <c r="D2639" s="46">
        <f>'Data_in-situ'!CC349</f>
        <v>3</v>
      </c>
      <c r="E2639" s="24">
        <f>'Data_in-situ'!CE349</f>
        <v>-5079.1058870940042</v>
      </c>
      <c r="F2639" s="24">
        <f>'Data_in-situ'!CF349</f>
        <v>317.38779673465609</v>
      </c>
      <c r="G2639" s="46">
        <f>'Data_in-situ'!CG349</f>
        <v>3</v>
      </c>
      <c r="H2639" s="24">
        <f>'Data_in-situ'!CN349</f>
        <v>4762.0543630364182</v>
      </c>
      <c r="I2639" s="24">
        <f>'Data_in-situ'!CO349</f>
        <v>997.80477562796057</v>
      </c>
      <c r="J2639" s="46">
        <f>'Data_in-situ'!CP349</f>
        <v>3</v>
      </c>
      <c r="K2639" s="24">
        <f>'Data_in-situ'!CR349</f>
        <v>6143.1273286938667</v>
      </c>
      <c r="L2639" s="24">
        <f>'Data_in-situ'!CS349</f>
        <v>1144.5750412473667</v>
      </c>
      <c r="M2639" s="46">
        <f>'Data_in-situ'!CT349</f>
        <v>3</v>
      </c>
      <c r="N2639" s="24">
        <f>'Data_in-situ'!DA222</f>
        <v>-5522.053137553612</v>
      </c>
      <c r="O2639" s="24">
        <f>'Data_in-situ'!DB222</f>
        <v>3799.0509125782523</v>
      </c>
      <c r="P2639" s="46">
        <f>'Data_in-situ'!DC222</f>
        <v>3</v>
      </c>
      <c r="Q2639" s="24">
        <f>'Data_in-situ'!DE222</f>
        <v>-3740.7225956381553</v>
      </c>
      <c r="R2639" s="24">
        <f>'Data_in-situ'!DF222</f>
        <v>3396.3473178087561</v>
      </c>
      <c r="S2639" s="46">
        <f>'Data_in-situ'!DG222</f>
        <v>3</v>
      </c>
      <c r="T2639" s="113">
        <f>'Data_in-situ'!DN83</f>
        <v>131.4</v>
      </c>
      <c r="U2639" s="113">
        <f>'Data_in-situ'!DO83</f>
        <v>146.49513859561415</v>
      </c>
      <c r="V2639" s="46">
        <f>'Data_in-situ'!DP83</f>
        <v>3</v>
      </c>
      <c r="W2639" s="113">
        <f>'Data_in-situ'!DR83</f>
        <v>3.6</v>
      </c>
      <c r="X2639" s="113">
        <f>'Data_in-situ'!DS83</f>
        <v>13.453978660671636</v>
      </c>
      <c r="Y2639" s="46">
        <f>'Data_in-situ'!DT83</f>
        <v>3</v>
      </c>
      <c r="Z2639" s="113">
        <f>'Data_in-situ'!EA145</f>
        <v>-6.8828571428571433E-2</v>
      </c>
      <c r="AA2639" s="113">
        <f>'Data_in-situ'!EB145</f>
        <v>0.39576270143804132</v>
      </c>
      <c r="AB2639" s="46">
        <f>'Data_in-situ'!EC145</f>
        <v>4</v>
      </c>
      <c r="AC2639" s="113">
        <f>'Data_in-situ'!EE145</f>
        <v>0.19271999999999997</v>
      </c>
      <c r="AD2639" s="113">
        <f>'Data_in-situ'!EF145</f>
        <v>0.28775782163506208</v>
      </c>
      <c r="AE2639" s="46">
        <f>'Data_in-situ'!EG145</f>
        <v>4</v>
      </c>
      <c r="AF2639" s="113">
        <f>'Data_in-situ'!EN73</f>
        <v>-38</v>
      </c>
      <c r="AG2639" s="113">
        <f>'Data_in-situ'!EO73</f>
        <v>7.6</v>
      </c>
      <c r="AH2639" s="110">
        <f>'Data_in-situ'!EP73</f>
        <v>3</v>
      </c>
      <c r="AI2639" s="113">
        <f>'Data_in-situ'!ER73</f>
        <v>-112</v>
      </c>
      <c r="AJ2639" s="113">
        <f>'Data_in-situ'!ES73</f>
        <v>15.2</v>
      </c>
      <c r="AK2639" s="110">
        <f>'Data_in-situ'!ET73</f>
        <v>3</v>
      </c>
    </row>
    <row r="2640" spans="2:37" x14ac:dyDescent="0.3">
      <c r="B2640" s="24">
        <f>'Data_in-situ'!CA350</f>
        <v>-1686.1959873118906</v>
      </c>
      <c r="C2640" s="24">
        <f>'Data_in-situ'!CB350</f>
        <v>951.52416117583982</v>
      </c>
      <c r="D2640" s="46">
        <f>'Data_in-situ'!CC350</f>
        <v>3</v>
      </c>
      <c r="E2640" s="24">
        <f>'Data_in-situ'!CE350</f>
        <v>-4019.3433355883844</v>
      </c>
      <c r="F2640" s="24">
        <f>'Data_in-situ'!CF350</f>
        <v>183.63556153089817</v>
      </c>
      <c r="G2640" s="46">
        <f>'Data_in-situ'!CG350</f>
        <v>3</v>
      </c>
      <c r="H2640" s="24">
        <f>'Data_in-situ'!CN350</f>
        <v>2652.4797917890141</v>
      </c>
      <c r="I2640" s="24">
        <f>'Data_in-situ'!CO350</f>
        <v>1183.1159884255349</v>
      </c>
      <c r="J2640" s="46">
        <f>'Data_in-situ'!CP350</f>
        <v>3</v>
      </c>
      <c r="K2640" s="24">
        <f>'Data_in-situ'!CR350</f>
        <v>3491.7303920170334</v>
      </c>
      <c r="L2640" s="24">
        <f>'Data_in-situ'!CS350</f>
        <v>187.13801568192349</v>
      </c>
      <c r="M2640" s="46">
        <f>'Data_in-situ'!CT350</f>
        <v>3</v>
      </c>
      <c r="N2640" s="24">
        <f>'Data_in-situ'!DA223</f>
        <v>-6157.9784795900996</v>
      </c>
      <c r="O2640" s="24">
        <f>'Data_in-situ'!DB223</f>
        <v>2847.6279977138138</v>
      </c>
      <c r="P2640" s="46">
        <f>'Data_in-situ'!DC223</f>
        <v>3</v>
      </c>
      <c r="Q2640" s="24">
        <f>'Data_in-situ'!DE223</f>
        <v>-3541.6446974130395</v>
      </c>
      <c r="R2640" s="24">
        <f>'Data_in-situ'!DF223</f>
        <v>2451.0546798159935</v>
      </c>
      <c r="S2640" s="46">
        <f>'Data_in-situ'!DG223</f>
        <v>3</v>
      </c>
      <c r="T2640" s="113">
        <f>'Data_in-situ'!DN84</f>
        <v>255.99999999999997</v>
      </c>
      <c r="U2640" s="113">
        <f>'Data_in-situ'!DO84</f>
        <v>285.40909802494076</v>
      </c>
      <c r="V2640" s="46">
        <f>'Data_in-situ'!DP84</f>
        <v>3</v>
      </c>
      <c r="W2640" s="113">
        <f>'Data_in-situ'!DR84</f>
        <v>-0.4</v>
      </c>
      <c r="X2640" s="113">
        <f>'Data_in-situ'!DS84</f>
        <v>1.494886517852404</v>
      </c>
      <c r="Y2640" s="46">
        <f>'Data_in-situ'!DT84</f>
        <v>3</v>
      </c>
      <c r="Z2640" s="113">
        <f>'Data_in-situ'!EA146</f>
        <v>-6.8828571428571433E-2</v>
      </c>
      <c r="AA2640" s="113">
        <f>'Data_in-situ'!EB146</f>
        <v>0.39576270143804132</v>
      </c>
      <c r="AB2640" s="46">
        <f>'Data_in-situ'!EC146</f>
        <v>4</v>
      </c>
      <c r="AC2640" s="113">
        <f>'Data_in-situ'!EE146</f>
        <v>4.5977485714285713</v>
      </c>
      <c r="AD2640" s="113">
        <f>'Data_in-situ'!EF146</f>
        <v>6.8650794590079105</v>
      </c>
      <c r="AE2640" s="46">
        <f>'Data_in-situ'!EG146</f>
        <v>4</v>
      </c>
      <c r="AF2640" s="113">
        <f>'Data_in-situ'!EN74</f>
        <v>-44</v>
      </c>
      <c r="AG2640" s="113">
        <f>'Data_in-situ'!EO74</f>
        <v>6.8</v>
      </c>
      <c r="AH2640" s="110">
        <f>'Data_in-situ'!EP74</f>
        <v>3</v>
      </c>
      <c r="AI2640" s="113">
        <f>'Data_in-situ'!ER74</f>
        <v>-116</v>
      </c>
      <c r="AJ2640" s="113">
        <f>'Data_in-situ'!ES74</f>
        <v>11.8</v>
      </c>
      <c r="AK2640" s="110">
        <f>'Data_in-situ'!ET74</f>
        <v>3</v>
      </c>
    </row>
    <row r="2641" spans="2:37" x14ac:dyDescent="0.3">
      <c r="B2641" s="24">
        <f>'Data_in-situ'!CA351</f>
        <v>-7900.0449087308316</v>
      </c>
      <c r="C2641" s="24">
        <f>'Data_in-situ'!CB351</f>
        <v>1770.2016517990935</v>
      </c>
      <c r="D2641" s="46">
        <f>'Data_in-situ'!CC351</f>
        <v>3</v>
      </c>
      <c r="E2641" s="24">
        <f>'Data_in-situ'!CE351</f>
        <v>-3744.7097475457695</v>
      </c>
      <c r="F2641" s="24">
        <f>'Data_in-situ'!CF351</f>
        <v>2032.4000980341211</v>
      </c>
      <c r="G2641" s="46">
        <f>'Data_in-situ'!CG351</f>
        <v>3</v>
      </c>
      <c r="H2641" s="24">
        <f>'Data_in-situ'!CN351</f>
        <v>12362.931550325944</v>
      </c>
      <c r="I2641" s="24">
        <f>'Data_in-situ'!CO351</f>
        <v>2275.2743302978161</v>
      </c>
      <c r="J2641" s="46">
        <f>'Data_in-situ'!CP351</f>
        <v>3</v>
      </c>
      <c r="K2641" s="24">
        <f>'Data_in-situ'!CR351</f>
        <v>15082.727310832692</v>
      </c>
      <c r="L2641" s="24">
        <f>'Data_in-situ'!CS351</f>
        <v>2876.4150226571255</v>
      </c>
      <c r="M2641" s="46">
        <f>'Data_in-situ'!CT351</f>
        <v>3</v>
      </c>
      <c r="N2641" s="24">
        <f>'Data_in-situ'!DA224</f>
        <v>-3942.8510376719878</v>
      </c>
      <c r="O2641" s="24">
        <f>'Data_in-situ'!DB224</f>
        <v>3165.2218188801453</v>
      </c>
      <c r="P2641" s="46">
        <f>'Data_in-situ'!DC224</f>
        <v>3</v>
      </c>
      <c r="Q2641" s="24">
        <f>'Data_in-situ'!DE224</f>
        <v>-4947.8342200721909</v>
      </c>
      <c r="R2641" s="24">
        <f>'Data_in-situ'!DF224</f>
        <v>674.98350911365401</v>
      </c>
      <c r="S2641" s="46">
        <f>'Data_in-situ'!DG224</f>
        <v>3</v>
      </c>
      <c r="T2641" s="113">
        <f>'Data_in-situ'!DN85</f>
        <v>580</v>
      </c>
      <c r="U2641" s="113">
        <f>'Data_in-situ'!DO85</f>
        <v>646.62998771275659</v>
      </c>
      <c r="V2641" s="46">
        <f>'Data_in-situ'!DP85</f>
        <v>3</v>
      </c>
      <c r="W2641" s="113">
        <f>'Data_in-situ'!DR85</f>
        <v>0.53333333333333333</v>
      </c>
      <c r="X2641" s="113">
        <f>'Data_in-situ'!DS85</f>
        <v>1.9931820238032052</v>
      </c>
      <c r="Y2641" s="46">
        <f>'Data_in-situ'!DT85</f>
        <v>3</v>
      </c>
      <c r="Z2641" s="113">
        <f>'Data_in-situ'!EA156</f>
        <v>-0.65249999999999997</v>
      </c>
      <c r="AA2641" s="113">
        <f>'Data_in-situ'!EB156</f>
        <v>9.3070564627061342E-2</v>
      </c>
      <c r="AB2641" s="46">
        <f>'Data_in-situ'!EC156</f>
        <v>4</v>
      </c>
      <c r="AC2641" s="113">
        <f>'Data_in-situ'!EE156</f>
        <v>0.6623</v>
      </c>
      <c r="AD2641" s="113">
        <f>'Data_in-situ'!EF156</f>
        <v>6.1265079776329362E-2</v>
      </c>
      <c r="AE2641" s="46">
        <f>'Data_in-situ'!EG156</f>
        <v>4</v>
      </c>
      <c r="AF2641" s="113">
        <f>'Data_in-situ'!EN75</f>
        <v>-38</v>
      </c>
      <c r="AG2641" s="113">
        <f>'Data_in-situ'!EO75</f>
        <v>5.412566119688516</v>
      </c>
      <c r="AH2641" s="110">
        <f>'Data_in-situ'!EP75</f>
        <v>3</v>
      </c>
      <c r="AI2641" s="113">
        <f>'Data_in-situ'!ER75</f>
        <v>-112</v>
      </c>
      <c r="AJ2641" s="113">
        <f>'Data_in-situ'!ES75</f>
        <v>10.825132239377032</v>
      </c>
      <c r="AK2641" s="110">
        <f>'Data_in-situ'!ET75</f>
        <v>3</v>
      </c>
    </row>
    <row r="2642" spans="2:37" x14ac:dyDescent="0.3">
      <c r="B2642" s="24">
        <f>'Data_in-situ'!CA352</f>
        <v>-10050.787546565918</v>
      </c>
      <c r="C2642" s="24">
        <f>'Data_in-situ'!CB352</f>
        <v>1612.547694762013</v>
      </c>
      <c r="D2642" s="46">
        <f>'Data_in-situ'!CC352</f>
        <v>3</v>
      </c>
      <c r="E2642" s="24">
        <f>'Data_in-situ'!CE352</f>
        <v>-12603.385992432437</v>
      </c>
      <c r="F2642" s="24">
        <f>'Data_in-situ'!CF352</f>
        <v>2731.1470412581525</v>
      </c>
      <c r="G2642" s="46">
        <f>'Data_in-situ'!CG352</f>
        <v>3</v>
      </c>
      <c r="H2642" s="24">
        <f>'Data_in-situ'!CN352</f>
        <v>9984.9658644122937</v>
      </c>
      <c r="I2642" s="24">
        <f>'Data_in-situ'!CO352</f>
        <v>333.56620847738458</v>
      </c>
      <c r="J2642" s="46">
        <f>'Data_in-situ'!CP352</f>
        <v>3</v>
      </c>
      <c r="K2642" s="24">
        <f>'Data_in-situ'!CR352</f>
        <v>15408.337460950899</v>
      </c>
      <c r="L2642" s="24">
        <f>'Data_in-situ'!CS352</f>
        <v>3231.8122751183146</v>
      </c>
      <c r="M2642" s="46">
        <f>'Data_in-situ'!CT352</f>
        <v>3</v>
      </c>
      <c r="N2642" s="24">
        <f>'Data_in-situ'!DA225</f>
        <v>-3852.0162410870635</v>
      </c>
      <c r="O2642" s="24">
        <f>'Data_in-situ'!DB225</f>
        <v>1523.8784102336624</v>
      </c>
      <c r="P2642" s="46">
        <f>'Data_in-situ'!DC225</f>
        <v>3</v>
      </c>
      <c r="Q2642" s="24">
        <f>'Data_in-situ'!DE225</f>
        <v>-5208.2901876590749</v>
      </c>
      <c r="R2642" s="24">
        <f>'Data_in-situ'!DF225</f>
        <v>1132.6794776566101</v>
      </c>
      <c r="S2642" s="46">
        <f>'Data_in-situ'!DG225</f>
        <v>3</v>
      </c>
      <c r="T2642" s="113">
        <f>'Data_in-situ'!DN86</f>
        <v>78.666666666666671</v>
      </c>
      <c r="U2642" s="113">
        <f>'Data_in-situ'!DO86</f>
        <v>87.703837413914115</v>
      </c>
      <c r="V2642" s="46">
        <f>'Data_in-situ'!DP86</f>
        <v>3</v>
      </c>
      <c r="W2642" s="113">
        <f>'Data_in-situ'!DR86</f>
        <v>34.666666666666664</v>
      </c>
      <c r="X2642" s="113">
        <f>'Data_in-situ'!DS86</f>
        <v>129.55683154720833</v>
      </c>
      <c r="Y2642" s="46">
        <f>'Data_in-situ'!DT86</f>
        <v>3</v>
      </c>
      <c r="Z2642" s="113">
        <f>'Data_in-situ'!EA157</f>
        <v>-0.65249999999999997</v>
      </c>
      <c r="AA2642" s="113">
        <f>'Data_in-situ'!EB157</f>
        <v>9.3070564627061342E-2</v>
      </c>
      <c r="AB2642" s="46">
        <f>'Data_in-situ'!EC157</f>
        <v>4</v>
      </c>
      <c r="AC2642" s="113">
        <f>'Data_in-situ'!EE157</f>
        <v>0.12470000000000003</v>
      </c>
      <c r="AD2642" s="113">
        <f>'Data_in-situ'!EF157</f>
        <v>4.1450211097170543E-2</v>
      </c>
      <c r="AE2642" s="46">
        <f>'Data_in-situ'!EG157</f>
        <v>4</v>
      </c>
      <c r="AF2642" s="113">
        <f>'Data_in-situ'!EN76</f>
        <v>-45.680000000000007</v>
      </c>
      <c r="AG2642" s="113">
        <f>'Data_in-situ'!EO76</f>
        <v>4.842822317616041</v>
      </c>
      <c r="AH2642" s="110">
        <f>'Data_in-situ'!EP76</f>
        <v>3</v>
      </c>
      <c r="AI2642" s="113">
        <f>'Data_in-situ'!ER76</f>
        <v>-118.24000000000001</v>
      </c>
      <c r="AJ2642" s="113">
        <f>'Data_in-situ'!ES76</f>
        <v>8.4037210805690119</v>
      </c>
      <c r="AK2642" s="110">
        <f>'Data_in-situ'!ET76</f>
        <v>3</v>
      </c>
    </row>
    <row r="2643" spans="2:37" x14ac:dyDescent="0.3">
      <c r="B2643" s="24">
        <f>'Data_in-situ'!CA353</f>
        <v>-3420.20536553287</v>
      </c>
      <c r="C2643" s="24">
        <f>'Data_in-situ'!CB353</f>
        <v>2581.3476538531618</v>
      </c>
      <c r="D2643" s="46">
        <f>'Data_in-situ'!CC353</f>
        <v>3</v>
      </c>
      <c r="E2643" s="24">
        <f>'Data_in-situ'!CE353</f>
        <v>-7240.463722401516</v>
      </c>
      <c r="F2643" s="24">
        <f>'Data_in-situ'!CF353</f>
        <v>1430.8247194500545</v>
      </c>
      <c r="G2643" s="46">
        <f>'Data_in-situ'!CG353</f>
        <v>3</v>
      </c>
      <c r="H2643" s="24">
        <f>'Data_in-situ'!CN353</f>
        <v>3050.2701206745783</v>
      </c>
      <c r="I2643" s="24">
        <f>'Data_in-situ'!CO353</f>
        <v>3364.4645178084379</v>
      </c>
      <c r="J2643" s="46">
        <f>'Data_in-situ'!CP353</f>
        <v>3</v>
      </c>
      <c r="K2643" s="24">
        <f>'Data_in-situ'!CR353</f>
        <v>7768.1278671058117</v>
      </c>
      <c r="L2643" s="24">
        <f>'Data_in-situ'!CS353</f>
        <v>631.5369644231871</v>
      </c>
      <c r="M2643" s="46">
        <f>'Data_in-situ'!CT353</f>
        <v>3</v>
      </c>
      <c r="N2643" s="24">
        <f>'Data_in-situ'!DA226</f>
        <v>-4000</v>
      </c>
      <c r="O2643" s="24">
        <f>'Data_in-situ'!DB226</f>
        <v>11998.626234744846</v>
      </c>
      <c r="P2643" s="46">
        <f>'Data_in-situ'!DC226</f>
        <v>4</v>
      </c>
      <c r="Q2643" s="24">
        <f>'Data_in-situ'!DE226</f>
        <v>2600</v>
      </c>
      <c r="R2643" s="24">
        <f>'Data_in-situ'!DF226</f>
        <v>2478.1712651793655</v>
      </c>
      <c r="S2643" s="46">
        <f>'Data_in-situ'!DG226</f>
        <v>4</v>
      </c>
      <c r="T2643" s="113">
        <f>'Data_in-situ'!DN87</f>
        <v>31.999999999999996</v>
      </c>
      <c r="U2643" s="113">
        <f>'Data_in-situ'!DO87</f>
        <v>35.676137253117595</v>
      </c>
      <c r="V2643" s="46">
        <f>'Data_in-situ'!DP87</f>
        <v>3</v>
      </c>
      <c r="W2643" s="113">
        <f>'Data_in-situ'!DR87</f>
        <v>14.666666666666668</v>
      </c>
      <c r="X2643" s="113">
        <f>'Data_in-situ'!DS87</f>
        <v>54.812505654588151</v>
      </c>
      <c r="Y2643" s="46">
        <f>'Data_in-situ'!DT87</f>
        <v>3</v>
      </c>
      <c r="Z2643" s="113">
        <f>'Data_in-situ'!EA158</f>
        <v>-0.65249999999999997</v>
      </c>
      <c r="AA2643" s="113">
        <f>'Data_in-situ'!EB158</f>
        <v>9.3070564627061342E-2</v>
      </c>
      <c r="AB2643" s="46">
        <f>'Data_in-situ'!EC158</f>
        <v>4</v>
      </c>
      <c r="AC2643" s="113">
        <f>'Data_in-situ'!EE158</f>
        <v>0.42030000000000001</v>
      </c>
      <c r="AD2643" s="113">
        <f>'Data_in-situ'!EF158</f>
        <v>2.773084924772409E-2</v>
      </c>
      <c r="AE2643" s="46">
        <f>'Data_in-situ'!EG158</f>
        <v>4</v>
      </c>
      <c r="AF2643" s="113">
        <f>'Data_in-situ'!EN77</f>
        <v>-4.5</v>
      </c>
      <c r="AG2643" s="113">
        <f>'Data_in-situ'!EO77</f>
        <v>2.7658633371878665</v>
      </c>
      <c r="AH2643" s="110">
        <f>'Data_in-situ'!EP77</f>
        <v>2</v>
      </c>
      <c r="AI2643" s="113">
        <f>'Data_in-situ'!ER77</f>
        <v>-18.45</v>
      </c>
      <c r="AJ2643" s="113">
        <f>'Data_in-situ'!ES77</f>
        <v>8.9505586417832035</v>
      </c>
      <c r="AK2643" s="110">
        <f>'Data_in-situ'!ET77</f>
        <v>2</v>
      </c>
    </row>
    <row r="2644" spans="2:37" x14ac:dyDescent="0.3">
      <c r="B2644" s="24">
        <f>'Data_in-situ'!CA354</f>
        <v>-5163.6593652646679</v>
      </c>
      <c r="C2644" s="24">
        <f>'Data_in-situ'!CB354</f>
        <v>1258.9541681504393</v>
      </c>
      <c r="D2644" s="46">
        <f>'Data_in-situ'!CC354</f>
        <v>3</v>
      </c>
      <c r="E2644" s="24">
        <f>'Data_in-situ'!CE354</f>
        <v>-11281.753283847371</v>
      </c>
      <c r="F2644" s="24">
        <f>'Data_in-situ'!CF354</f>
        <v>4199.848101278134</v>
      </c>
      <c r="G2644" s="46">
        <f>'Data_in-situ'!CG354</f>
        <v>3</v>
      </c>
      <c r="H2644" s="24">
        <f>'Data_in-situ'!CN354</f>
        <v>3223.0754152425534</v>
      </c>
      <c r="I2644" s="24">
        <f>'Data_in-situ'!CO354</f>
        <v>927.04451000195218</v>
      </c>
      <c r="J2644" s="46">
        <f>'Data_in-situ'!CP354</f>
        <v>3</v>
      </c>
      <c r="K2644" s="24">
        <f>'Data_in-situ'!CR354</f>
        <v>10128.851360772116</v>
      </c>
      <c r="L2644" s="24">
        <f>'Data_in-situ'!CS354</f>
        <v>2657.7211591793016</v>
      </c>
      <c r="M2644" s="46">
        <f>'Data_in-situ'!CT354</f>
        <v>3</v>
      </c>
      <c r="N2644" s="24">
        <f>'Data_in-situ'!DA227</f>
        <v>-2700</v>
      </c>
      <c r="O2644" s="24">
        <f>'Data_in-situ'!DB227</f>
        <v>8099.0727084527707</v>
      </c>
      <c r="P2644" s="46">
        <f>'Data_in-situ'!DC227</f>
        <v>4</v>
      </c>
      <c r="Q2644" s="24">
        <f>'Data_in-situ'!DE227</f>
        <v>3900</v>
      </c>
      <c r="R2644" s="24">
        <f>'Data_in-situ'!DF227</f>
        <v>3717.256897769048</v>
      </c>
      <c r="S2644" s="46">
        <f>'Data_in-situ'!DG227</f>
        <v>4</v>
      </c>
      <c r="T2644" s="113">
        <f>'Data_in-situ'!DN88</f>
        <v>17.100000000000001</v>
      </c>
      <c r="U2644" s="113">
        <f>'Data_in-situ'!DO88</f>
        <v>7.9674337148168348</v>
      </c>
      <c r="V2644" s="46">
        <f>'Data_in-situ'!DP88</f>
        <v>3</v>
      </c>
      <c r="W2644" s="113">
        <f>'Data_in-situ'!DR88</f>
        <v>11.100000000000001</v>
      </c>
      <c r="X2644" s="113">
        <f>'Data_in-situ'!DS88</f>
        <v>4.3301270189221928</v>
      </c>
      <c r="Y2644" s="46">
        <f>'Data_in-situ'!DT88</f>
        <v>3</v>
      </c>
      <c r="Z2644" s="113">
        <f>'Data_in-situ'!EA159</f>
        <v>-0.36220000000000002</v>
      </c>
      <c r="AA2644" s="113">
        <f>'Data_in-situ'!EB159</f>
        <v>0.55423680859358304</v>
      </c>
      <c r="AB2644" s="46">
        <f>'Data_in-situ'!EC159</f>
        <v>4</v>
      </c>
      <c r="AC2644" s="113">
        <f>'Data_in-situ'!EE159</f>
        <v>-2.8500000000000001E-2</v>
      </c>
      <c r="AD2644" s="113">
        <f>'Data_in-situ'!EF159</f>
        <v>9.9569071503153028E-2</v>
      </c>
      <c r="AE2644" s="46">
        <f>'Data_in-situ'!EG159</f>
        <v>4</v>
      </c>
      <c r="AF2644" s="113">
        <f>'Data_in-situ'!EN78</f>
        <v>-4.5</v>
      </c>
      <c r="AG2644" s="113">
        <f>'Data_in-situ'!EO78</f>
        <v>2.7658633371878665</v>
      </c>
      <c r="AH2644" s="110">
        <f>'Data_in-situ'!EP78</f>
        <v>2</v>
      </c>
      <c r="AI2644" s="113">
        <f>'Data_in-situ'!ER78</f>
        <v>-14.3</v>
      </c>
      <c r="AJ2644" s="113">
        <f>'Data_in-situ'!ES78</f>
        <v>4.2793106921559225</v>
      </c>
      <c r="AK2644" s="110">
        <f>'Data_in-situ'!ET78</f>
        <v>2</v>
      </c>
    </row>
    <row r="2645" spans="2:37" x14ac:dyDescent="0.3">
      <c r="B2645" s="24">
        <f>'Data_in-situ'!CA355</f>
        <v>-6328.9988329119469</v>
      </c>
      <c r="C2645" s="24">
        <f>'Data_in-situ'!CB355</f>
        <v>1543.0761204956746</v>
      </c>
      <c r="D2645" s="46">
        <f>'Data_in-situ'!CC355</f>
        <v>3</v>
      </c>
      <c r="E2645" s="24">
        <f>'Data_in-situ'!CE355</f>
        <v>-6508.7452571599624</v>
      </c>
      <c r="F2645" s="24">
        <f>'Data_in-situ'!CF355</f>
        <v>2423.0047158648849</v>
      </c>
      <c r="G2645" s="46">
        <f>'Data_in-situ'!CG355</f>
        <v>3</v>
      </c>
      <c r="H2645" s="24">
        <f>'Data_in-situ'!CN355</f>
        <v>5111.9658604723854</v>
      </c>
      <c r="I2645" s="24">
        <f>'Data_in-situ'!CO355</f>
        <v>1470.3409867037487</v>
      </c>
      <c r="J2645" s="46">
        <f>'Data_in-situ'!CP355</f>
        <v>3</v>
      </c>
      <c r="K2645" s="24">
        <f>'Data_in-situ'!CR355</f>
        <v>5566.4186230898367</v>
      </c>
      <c r="L2645" s="24">
        <f>'Data_in-situ'!CS355</f>
        <v>1460.579095151006</v>
      </c>
      <c r="M2645" s="46">
        <f>'Data_in-situ'!CT355</f>
        <v>3</v>
      </c>
      <c r="N2645" s="24">
        <f>'Data_in-situ'!DA228</f>
        <v>-2400</v>
      </c>
      <c r="O2645" s="24">
        <f>'Data_in-situ'!DB228</f>
        <v>7199.1757408469075</v>
      </c>
      <c r="P2645" s="46">
        <f>'Data_in-situ'!DC228</f>
        <v>4</v>
      </c>
      <c r="Q2645" s="24">
        <f>'Data_in-situ'!DE228</f>
        <v>4200</v>
      </c>
      <c r="R2645" s="24">
        <f>'Data_in-situ'!DF228</f>
        <v>4003.1997360589748</v>
      </c>
      <c r="S2645" s="46">
        <f>'Data_in-situ'!DG228</f>
        <v>4</v>
      </c>
      <c r="T2645" s="113">
        <f>'Data_in-situ'!DN89</f>
        <v>17.3</v>
      </c>
      <c r="U2645" s="113">
        <f>'Data_in-situ'!DO89</f>
        <v>8.1406387955737234</v>
      </c>
      <c r="V2645" s="46">
        <f>'Data_in-situ'!DP89</f>
        <v>3</v>
      </c>
      <c r="W2645" s="113">
        <f>'Data_in-situ'!DR89</f>
        <v>12.5</v>
      </c>
      <c r="X2645" s="113">
        <f>'Data_in-situ'!DS89</f>
        <v>5.0229473419497435</v>
      </c>
      <c r="Y2645" s="46">
        <f>'Data_in-situ'!DT89</f>
        <v>3</v>
      </c>
      <c r="Z2645" s="113">
        <f>'Data_in-situ'!EA160</f>
        <v>-0.36220000000000002</v>
      </c>
      <c r="AA2645" s="113">
        <f>'Data_in-situ'!EB160</f>
        <v>0.55423680859358304</v>
      </c>
      <c r="AB2645" s="46">
        <f>'Data_in-situ'!EC160</f>
        <v>4</v>
      </c>
      <c r="AC2645" s="113">
        <f>'Data_in-situ'!EE160</f>
        <v>8.210000000000002E-2</v>
      </c>
      <c r="AD2645" s="113">
        <f>'Data_in-situ'!EF160</f>
        <v>1.2639620247459968E-2</v>
      </c>
      <c r="AE2645" s="46">
        <f>'Data_in-situ'!EG160</f>
        <v>4</v>
      </c>
      <c r="AF2645" s="113">
        <f>'Data_in-situ'!EN81</f>
        <v>-9</v>
      </c>
      <c r="AG2645" s="113">
        <f>'Data_in-situ'!EO81</f>
        <v>3.6674675887616401</v>
      </c>
      <c r="AH2645" s="110">
        <f>'Data_in-situ'!EP81</f>
        <v>3</v>
      </c>
      <c r="AI2645" s="113">
        <f>'Data_in-situ'!ER81</f>
        <v>-15</v>
      </c>
      <c r="AJ2645" s="113">
        <f>'Data_in-situ'!ES81</f>
        <v>3.4022108026379128</v>
      </c>
      <c r="AK2645" s="110">
        <f>'Data_in-situ'!ET81</f>
        <v>3</v>
      </c>
    </row>
    <row r="2646" spans="2:37" x14ac:dyDescent="0.3">
      <c r="B2646" s="24">
        <f>'Data_in-situ'!CA356</f>
        <v>-6328.9988329119469</v>
      </c>
      <c r="C2646" s="24">
        <f>'Data_in-situ'!CB356</f>
        <v>1543.0761204956746</v>
      </c>
      <c r="D2646" s="46">
        <f>'Data_in-situ'!CC356</f>
        <v>3</v>
      </c>
      <c r="E2646" s="24">
        <f>'Data_in-situ'!CE356</f>
        <v>-4475.6377749118492</v>
      </c>
      <c r="F2646" s="24">
        <f>'Data_in-situ'!CF356</f>
        <v>1666.1416304755389</v>
      </c>
      <c r="G2646" s="46">
        <f>'Data_in-situ'!CG356</f>
        <v>3</v>
      </c>
      <c r="H2646" s="24">
        <f>'Data_in-situ'!CN356</f>
        <v>5111.9658604723854</v>
      </c>
      <c r="I2646" s="24">
        <f>'Data_in-situ'!CO356</f>
        <v>1470.3409867037487</v>
      </c>
      <c r="J2646" s="46">
        <f>'Data_in-situ'!CP356</f>
        <v>3</v>
      </c>
      <c r="K2646" s="24">
        <f>'Data_in-situ'!CR356</f>
        <v>5547.6173892807064</v>
      </c>
      <c r="L2646" s="24">
        <f>'Data_in-situ'!CS356</f>
        <v>1455.6458174146255</v>
      </c>
      <c r="M2646" s="46">
        <f>'Data_in-situ'!CT356</f>
        <v>3</v>
      </c>
      <c r="N2646" s="24">
        <f>'Data_in-situ'!DA229</f>
        <v>-2700</v>
      </c>
      <c r="O2646" s="24">
        <f>'Data_in-situ'!DB229</f>
        <v>8099.0727084527707</v>
      </c>
      <c r="P2646" s="46">
        <f>'Data_in-situ'!DC229</f>
        <v>4</v>
      </c>
      <c r="Q2646" s="24">
        <f>'Data_in-situ'!DE229</f>
        <v>5300</v>
      </c>
      <c r="R2646" s="24">
        <f>'Data_in-situ'!DF229</f>
        <v>5051.6568097887066</v>
      </c>
      <c r="S2646" s="46">
        <f>'Data_in-situ'!DG229</f>
        <v>4</v>
      </c>
      <c r="T2646" s="113">
        <f>'Data_in-situ'!DN98</f>
        <v>29.564989329793384</v>
      </c>
      <c r="U2646" s="113">
        <f>'Data_in-situ'!DO98</f>
        <v>10.677333333333335</v>
      </c>
      <c r="V2646" s="46">
        <f>'Data_in-situ'!DP98</f>
        <v>3</v>
      </c>
      <c r="W2646" s="113">
        <f>'Data_in-situ'!DR98</f>
        <v>7.9918819188191907</v>
      </c>
      <c r="X2646" s="113">
        <f>'Data_in-situ'!DS98</f>
        <v>0.87360000000000004</v>
      </c>
      <c r="Y2646" s="46">
        <f>'Data_in-situ'!DT98</f>
        <v>3</v>
      </c>
      <c r="Z2646" s="113">
        <f>'Data_in-situ'!EA161</f>
        <v>-0.36220000000000002</v>
      </c>
      <c r="AA2646" s="113">
        <f>'Data_in-situ'!EB161</f>
        <v>0.55423680859358304</v>
      </c>
      <c r="AB2646" s="46">
        <f>'Data_in-situ'!EC161</f>
        <v>4</v>
      </c>
      <c r="AC2646" s="113">
        <f>'Data_in-situ'!EE161</f>
        <v>0.3004</v>
      </c>
      <c r="AD2646" s="113">
        <f>'Data_in-situ'!EF161</f>
        <v>2.3186418438387587E-2</v>
      </c>
      <c r="AE2646" s="46">
        <f>'Data_in-situ'!EG161</f>
        <v>4</v>
      </c>
      <c r="AF2646" s="113">
        <f>'Data_in-situ'!EN82</f>
        <v>-9</v>
      </c>
      <c r="AG2646" s="113">
        <f>'Data_in-situ'!EO82</f>
        <v>3.6674675887616401</v>
      </c>
      <c r="AH2646" s="110">
        <f>'Data_in-situ'!EP82</f>
        <v>3</v>
      </c>
      <c r="AI2646" s="113">
        <f>'Data_in-situ'!ER82</f>
        <v>-21</v>
      </c>
      <c r="AJ2646" s="113">
        <f>'Data_in-situ'!ES82</f>
        <v>4.7630951236930779</v>
      </c>
      <c r="AK2646" s="110">
        <f>'Data_in-situ'!ET82</f>
        <v>3</v>
      </c>
    </row>
    <row r="2647" spans="2:37" x14ac:dyDescent="0.3">
      <c r="B2647" s="24">
        <f>'Data_in-situ'!CA357</f>
        <v>-6053.2911236122554</v>
      </c>
      <c r="C2647" s="24">
        <f>'Data_in-situ'!CB357</f>
        <v>1475.8556969044168</v>
      </c>
      <c r="D2647" s="46">
        <f>'Data_in-situ'!CC357</f>
        <v>3</v>
      </c>
      <c r="E2647" s="24">
        <f>'Data_in-situ'!CE357</f>
        <v>-11865.719502913866</v>
      </c>
      <c r="F2647" s="24">
        <f>'Data_in-situ'!CF357</f>
        <v>4417.2406780036381</v>
      </c>
      <c r="G2647" s="46">
        <f>'Data_in-situ'!CG357</f>
        <v>3</v>
      </c>
      <c r="H2647" s="24">
        <f>'Data_in-situ'!CN357</f>
        <v>4090.62426273851</v>
      </c>
      <c r="I2647" s="24">
        <f>'Data_in-situ'!CO357</f>
        <v>1176.575250867078</v>
      </c>
      <c r="J2647" s="46">
        <f>'Data_in-situ'!CP357</f>
        <v>3</v>
      </c>
      <c r="K2647" s="24">
        <f>'Data_in-situ'!CR357</f>
        <v>9751.573269002236</v>
      </c>
      <c r="L2647" s="24">
        <f>'Data_in-situ'!CS357</f>
        <v>2558.7267192692693</v>
      </c>
      <c r="M2647" s="46">
        <f>'Data_in-situ'!CT357</f>
        <v>3</v>
      </c>
      <c r="N2647" s="24">
        <f>'Data_in-situ'!DA230</f>
        <v>-2850</v>
      </c>
      <c r="O2647" s="24">
        <f>'Data_in-situ'!DB230</f>
        <v>8549.0211922557028</v>
      </c>
      <c r="P2647" s="46">
        <f>'Data_in-situ'!DC230</f>
        <v>4</v>
      </c>
      <c r="Q2647" s="24">
        <f>'Data_in-situ'!DE230</f>
        <v>5150</v>
      </c>
      <c r="R2647" s="24">
        <f>'Data_in-situ'!DF230</f>
        <v>4908.6853906437427</v>
      </c>
      <c r="S2647" s="46">
        <f>'Data_in-situ'!DG230</f>
        <v>4</v>
      </c>
      <c r="T2647" s="113">
        <f>'Data_in-situ'!DN99</f>
        <v>142.07619872372933</v>
      </c>
      <c r="U2647" s="113">
        <f>'Data_in-situ'!DO99</f>
        <v>118.22720000000001</v>
      </c>
      <c r="V2647" s="46">
        <f>'Data_in-situ'!DP99</f>
        <v>24</v>
      </c>
      <c r="W2647" s="113">
        <f>'Data_in-situ'!DR99</f>
        <v>1.3426361623616241</v>
      </c>
      <c r="X2647" s="113">
        <f>'Data_in-situ'!DS99</f>
        <v>1.8695039999999998</v>
      </c>
      <c r="Y2647" s="46">
        <f>'Data_in-situ'!DT99</f>
        <v>15</v>
      </c>
      <c r="Z2647" s="113">
        <f>'Data_in-situ'!EA162</f>
        <v>2.1024738953323308</v>
      </c>
      <c r="AA2647" s="113">
        <f>'Data_in-situ'!EB162</f>
        <v>12.089176504021989</v>
      </c>
      <c r="AB2647" s="46">
        <f>'Data_in-situ'!EC162</f>
        <v>4</v>
      </c>
      <c r="AC2647" s="113">
        <f>'Data_in-situ'!EE162</f>
        <v>6.8008768905024581</v>
      </c>
      <c r="AD2647" s="113">
        <f>'Data_in-situ'!EF162</f>
        <v>10.154657115085213</v>
      </c>
      <c r="AE2647" s="46">
        <f>'Data_in-situ'!EG162</f>
        <v>4</v>
      </c>
      <c r="AF2647" s="113">
        <f>'Data_in-situ'!EN83</f>
        <v>-9</v>
      </c>
      <c r="AG2647" s="113">
        <f>'Data_in-situ'!EO83</f>
        <v>3.6674675887616401</v>
      </c>
      <c r="AH2647" s="110">
        <f>'Data_in-situ'!EP83</f>
        <v>3</v>
      </c>
      <c r="AI2647" s="113">
        <f>'Data_in-situ'!ER83</f>
        <v>-26</v>
      </c>
      <c r="AJ2647" s="113">
        <f>'Data_in-situ'!ES83</f>
        <v>5.8971653912390485</v>
      </c>
      <c r="AK2647" s="110">
        <f>'Data_in-situ'!ET83</f>
        <v>3</v>
      </c>
    </row>
    <row r="2648" spans="2:37" x14ac:dyDescent="0.3">
      <c r="B2648" s="24">
        <f>'Data_in-situ'!CA358</f>
        <v>-8439.7813360929867</v>
      </c>
      <c r="C2648" s="24">
        <f>'Data_in-situ'!CB358</f>
        <v>2057.7069747914984</v>
      </c>
      <c r="D2648" s="46">
        <f>'Data_in-situ'!CC358</f>
        <v>3</v>
      </c>
      <c r="E2648" s="24">
        <f>'Data_in-situ'!CE358</f>
        <v>-8092.5650763993508</v>
      </c>
      <c r="F2648" s="24">
        <f>'Data_in-situ'!CF358</f>
        <v>3012.6118889026902</v>
      </c>
      <c r="G2648" s="46">
        <f>'Data_in-situ'!CG358</f>
        <v>3</v>
      </c>
      <c r="H2648" s="24">
        <f>'Data_in-situ'!CN358</f>
        <v>5436.6394443079935</v>
      </c>
      <c r="I2648" s="24">
        <f>'Data_in-situ'!CO358</f>
        <v>1563.7259760881216</v>
      </c>
      <c r="J2648" s="46">
        <f>'Data_in-situ'!CP358</f>
        <v>3</v>
      </c>
      <c r="K2648" s="24">
        <f>'Data_in-situ'!CR358</f>
        <v>7258.5296659115611</v>
      </c>
      <c r="L2648" s="24">
        <f>'Data_in-situ'!CS358</f>
        <v>1904.5740914252362</v>
      </c>
      <c r="M2648" s="46">
        <f>'Data_in-situ'!CT358</f>
        <v>3</v>
      </c>
      <c r="N2648" s="24">
        <f>'Data_in-situ'!DA246</f>
        <v>7663.3333333333339</v>
      </c>
      <c r="O2648" s="24">
        <f>'Data_in-situ'!DB246</f>
        <v>22987.368094732003</v>
      </c>
      <c r="P2648" s="46">
        <f>'Data_in-situ'!DC246</f>
        <v>1</v>
      </c>
      <c r="Q2648" s="24">
        <f>'Data_in-situ'!DE246</f>
        <v>18223.333333333332</v>
      </c>
      <c r="R2648" s="24">
        <f>'Data_in-situ'!DF246</f>
        <v>17369.438854789216</v>
      </c>
      <c r="S2648" s="46">
        <f>'Data_in-situ'!DG246</f>
        <v>1</v>
      </c>
      <c r="T2648" s="113">
        <f>'Data_in-situ'!DN100</f>
        <v>29.877540000000003</v>
      </c>
      <c r="U2648" s="113">
        <f>'Data_in-situ'!DO100</f>
        <v>10.5768948600239</v>
      </c>
      <c r="V2648" s="46">
        <f>'Data_in-situ'!DP100</f>
        <v>3</v>
      </c>
      <c r="W2648" s="113">
        <f>'Data_in-situ'!DR100</f>
        <v>21.248370000000001</v>
      </c>
      <c r="X2648" s="113">
        <f>'Data_in-situ'!DS100</f>
        <v>3.4542118170720228</v>
      </c>
      <c r="Y2648" s="46">
        <f>'Data_in-situ'!DT100</f>
        <v>3</v>
      </c>
      <c r="Z2648" s="113">
        <f>'Data_in-situ'!EA163</f>
        <v>0.69244345015682884</v>
      </c>
      <c r="AA2648" s="113">
        <f>'Data_in-situ'!EB163</f>
        <v>3.9815338999377539</v>
      </c>
      <c r="AB2648" s="46">
        <f>'Data_in-situ'!EC163</f>
        <v>4</v>
      </c>
      <c r="AC2648" s="113">
        <f>'Data_in-situ'!EE163</f>
        <v>1.8900218026919515</v>
      </c>
      <c r="AD2648" s="113">
        <f>'Data_in-situ'!EF163</f>
        <v>2.8220659858105499</v>
      </c>
      <c r="AE2648" s="46">
        <f>'Data_in-situ'!EG163</f>
        <v>4</v>
      </c>
      <c r="AF2648" s="113">
        <f>'Data_in-situ'!EN84</f>
        <v>-2.8</v>
      </c>
      <c r="AG2648" s="113">
        <f>'Data_in-situ'!EO84</f>
        <v>0.72</v>
      </c>
      <c r="AH2648" s="110">
        <f>'Data_in-situ'!EP84</f>
        <v>3</v>
      </c>
      <c r="AI2648" s="113">
        <f>'Data_in-situ'!ER84</f>
        <v>-23.33</v>
      </c>
      <c r="AJ2648" s="113">
        <f>'Data_in-situ'!ES84</f>
        <v>3.46</v>
      </c>
      <c r="AK2648" s="110">
        <f>'Data_in-situ'!ET84</f>
        <v>3</v>
      </c>
    </row>
    <row r="2649" spans="2:37" x14ac:dyDescent="0.3">
      <c r="B2649" s="24">
        <f>'Data_in-situ'!CA359</f>
        <v>-8439.7813360929867</v>
      </c>
      <c r="C2649" s="24">
        <f>'Data_in-situ'!CB359</f>
        <v>2057.7069747914984</v>
      </c>
      <c r="D2649" s="46">
        <f>'Data_in-situ'!CC359</f>
        <v>3</v>
      </c>
      <c r="E2649" s="24">
        <f>'Data_in-situ'!CE359</f>
        <v>-6425.7832666283757</v>
      </c>
      <c r="F2649" s="24">
        <f>'Data_in-situ'!CF359</f>
        <v>2392.1205306105239</v>
      </c>
      <c r="G2649" s="46">
        <f>'Data_in-situ'!CG359</f>
        <v>3</v>
      </c>
      <c r="H2649" s="24">
        <f>'Data_in-situ'!CN359</f>
        <v>5436.6394443079935</v>
      </c>
      <c r="I2649" s="24">
        <f>'Data_in-situ'!CO359</f>
        <v>1563.7259760881216</v>
      </c>
      <c r="J2649" s="46">
        <f>'Data_in-situ'!CP359</f>
        <v>3</v>
      </c>
      <c r="K2649" s="24">
        <f>'Data_in-situ'!CR359</f>
        <v>7678.4238876488043</v>
      </c>
      <c r="L2649" s="24">
        <f>'Data_in-situ'!CS359</f>
        <v>2014.7506275377307</v>
      </c>
      <c r="M2649" s="46">
        <f>'Data_in-situ'!CT359</f>
        <v>3</v>
      </c>
      <c r="N2649" s="24">
        <f>'Data_in-situ'!DA247</f>
        <v>2640</v>
      </c>
      <c r="O2649" s="24">
        <f>'Data_in-situ'!DB247</f>
        <v>7919.0933149315979</v>
      </c>
      <c r="P2649" s="46">
        <f>'Data_in-situ'!DC247</f>
        <v>1</v>
      </c>
      <c r="Q2649" s="24">
        <f>'Data_in-situ'!DE247</f>
        <v>7406.6666666666661</v>
      </c>
      <c r="R2649" s="24">
        <f>'Data_in-situ'!DF247</f>
        <v>7059.610963113525</v>
      </c>
      <c r="S2649" s="46">
        <f>'Data_in-situ'!DG247</f>
        <v>1</v>
      </c>
      <c r="T2649" s="113">
        <f>'Data_in-situ'!DN101</f>
        <v>24.519000000000002</v>
      </c>
      <c r="U2649" s="113">
        <f>'Data_in-situ'!DO101</f>
        <v>3.8585295126511601</v>
      </c>
      <c r="V2649" s="46">
        <f>'Data_in-situ'!DP101</f>
        <v>3</v>
      </c>
      <c r="W2649" s="113">
        <f>'Data_in-situ'!DR101</f>
        <v>2.714</v>
      </c>
      <c r="X2649" s="113">
        <f>'Data_in-situ'!DS101</f>
        <v>1.8204276969987025</v>
      </c>
      <c r="Y2649" s="46">
        <f>'Data_in-situ'!DT101</f>
        <v>3</v>
      </c>
      <c r="Z2649" s="113">
        <f>'Data_in-situ'!EA164</f>
        <v>0.69244345015682884</v>
      </c>
      <c r="AA2649" s="113">
        <f>'Data_in-situ'!EB164</f>
        <v>3.9815338999377539</v>
      </c>
      <c r="AB2649" s="46">
        <f>'Data_in-situ'!EC164</f>
        <v>4</v>
      </c>
      <c r="AC2649" s="113">
        <f>'Data_in-situ'!EE164</f>
        <v>1.2029333397446536</v>
      </c>
      <c r="AD2649" s="113">
        <f>'Data_in-situ'!EF164</f>
        <v>1.7961471430941864</v>
      </c>
      <c r="AE2649" s="46">
        <f>'Data_in-situ'!EG164</f>
        <v>4</v>
      </c>
      <c r="AF2649" s="113">
        <f>'Data_in-situ'!EN85</f>
        <v>-5.04</v>
      </c>
      <c r="AG2649" s="113">
        <f>'Data_in-situ'!EO85</f>
        <v>1.83</v>
      </c>
      <c r="AH2649" s="110">
        <f>'Data_in-situ'!EP85</f>
        <v>3</v>
      </c>
      <c r="AI2649" s="113">
        <f>'Data_in-situ'!ER85</f>
        <v>-37.299999999999997</v>
      </c>
      <c r="AJ2649" s="113">
        <f>'Data_in-situ'!ES85</f>
        <v>7.39</v>
      </c>
      <c r="AK2649" s="110">
        <f>'Data_in-situ'!ET85</f>
        <v>3</v>
      </c>
    </row>
    <row r="2650" spans="2:37" x14ac:dyDescent="0.3">
      <c r="B2650" s="24">
        <f>'Data_in-situ'!CA412</f>
        <v>-27659.550451779181</v>
      </c>
      <c r="C2650" s="24">
        <f>'Data_in-situ'!CB412</f>
        <v>2920.5942857142213</v>
      </c>
      <c r="D2650" s="46">
        <f>'Data_in-situ'!CC412</f>
        <v>3</v>
      </c>
      <c r="E2650" s="24">
        <f>'Data_in-situ'!CE412</f>
        <v>-19692.259359339321</v>
      </c>
      <c r="F2650" s="24">
        <f>'Data_in-situ'!CF412</f>
        <v>1592.4436015993197</v>
      </c>
      <c r="G2650" s="46">
        <f>'Data_in-situ'!CG412</f>
        <v>3</v>
      </c>
      <c r="H2650" s="24">
        <f>'Data_in-situ'!CN412</f>
        <v>26436.559507179623</v>
      </c>
      <c r="I2650" s="24">
        <f>'Data_in-situ'!CO412</f>
        <v>3571.7210373879325</v>
      </c>
      <c r="J2650" s="46">
        <f>'Data_in-situ'!CP412</f>
        <v>3</v>
      </c>
      <c r="K2650" s="24">
        <f>'Data_in-situ'!CR412</f>
        <v>20646.170885257681</v>
      </c>
      <c r="L2650" s="24">
        <f>'Data_in-situ'!CS412</f>
        <v>1492.9781828658879</v>
      </c>
      <c r="M2650" s="46">
        <f>'Data_in-situ'!CT412</f>
        <v>3</v>
      </c>
      <c r="N2650" s="24">
        <f>'Data_in-situ'!DA248</f>
        <v>16243.333333333332</v>
      </c>
      <c r="O2650" s="24">
        <f>'Data_in-situ'!DB248</f>
        <v>48724.421368259689</v>
      </c>
      <c r="P2650" s="46">
        <f>'Data_in-situ'!DC248</f>
        <v>1</v>
      </c>
      <c r="Q2650" s="24">
        <f>'Data_in-situ'!DE248</f>
        <v>18480</v>
      </c>
      <c r="R2650" s="24">
        <f>'Data_in-situ'!DF248</f>
        <v>17614.07883865949</v>
      </c>
      <c r="S2650" s="46">
        <f>'Data_in-situ'!DG248</f>
        <v>1</v>
      </c>
      <c r="T2650" s="113">
        <f>'Data_in-situ'!DN102</f>
        <v>37.001000000000005</v>
      </c>
      <c r="U2650" s="113">
        <f>'Data_in-situ'!DO102</f>
        <v>14.229681127839795</v>
      </c>
      <c r="V2650" s="46">
        <f>'Data_in-situ'!DP102</f>
        <v>3</v>
      </c>
      <c r="W2650" s="113">
        <f>'Data_in-situ'!DR102</f>
        <v>17.568999999999999</v>
      </c>
      <c r="X2650" s="113">
        <f>'Data_in-situ'!DS102</f>
        <v>3.3260057125627429</v>
      </c>
      <c r="Y2650" s="46">
        <f>'Data_in-situ'!DT102</f>
        <v>3</v>
      </c>
      <c r="Z2650" s="113">
        <f>'Data_in-situ'!EA165</f>
        <v>0.69244345015682884</v>
      </c>
      <c r="AA2650" s="113">
        <f>'Data_in-situ'!EB165</f>
        <v>3.9815338999377539</v>
      </c>
      <c r="AB2650" s="46">
        <f>'Data_in-situ'!EC165</f>
        <v>4</v>
      </c>
      <c r="AC2650" s="113">
        <f>'Data_in-situ'!EE165</f>
        <v>1.5464775712183025</v>
      </c>
      <c r="AD2650" s="113">
        <f>'Data_in-situ'!EF165</f>
        <v>2.3091065644523678</v>
      </c>
      <c r="AE2650" s="46">
        <f>'Data_in-situ'!EG165</f>
        <v>4</v>
      </c>
      <c r="AF2650" s="113">
        <f>'Data_in-situ'!EN86</f>
        <v>-11.68</v>
      </c>
      <c r="AG2650" s="113">
        <f>'Data_in-situ'!EO86</f>
        <v>1.82</v>
      </c>
      <c r="AH2650" s="110">
        <f>'Data_in-situ'!EP86</f>
        <v>3</v>
      </c>
      <c r="AI2650" s="113">
        <f>'Data_in-situ'!ER86</f>
        <v>-20.88</v>
      </c>
      <c r="AJ2650" s="113">
        <f>'Data_in-situ'!ES86</f>
        <v>1.28</v>
      </c>
      <c r="AK2650" s="110">
        <f>'Data_in-situ'!ET86</f>
        <v>3</v>
      </c>
    </row>
    <row r="2651" spans="2:37" x14ac:dyDescent="0.3">
      <c r="B2651" s="24">
        <f>'Data_in-situ'!CA413</f>
        <v>-13417.445102313484</v>
      </c>
      <c r="C2651" s="24">
        <f>'Data_in-situ'!CB413</f>
        <v>2513.9989496861413</v>
      </c>
      <c r="D2651" s="46">
        <f>'Data_in-situ'!CC413</f>
        <v>3</v>
      </c>
      <c r="E2651" s="24">
        <f>'Data_in-situ'!CE413</f>
        <v>-10261.140414323805</v>
      </c>
      <c r="F2651" s="24">
        <f>'Data_in-situ'!CF413</f>
        <v>928.25974642230233</v>
      </c>
      <c r="G2651" s="46">
        <f>'Data_in-situ'!CG413</f>
        <v>3</v>
      </c>
      <c r="H2651" s="24">
        <f>'Data_in-situ'!CN413</f>
        <v>12328.007487080895</v>
      </c>
      <c r="I2651" s="24">
        <f>'Data_in-situ'!CO413</f>
        <v>1844.6484474290598</v>
      </c>
      <c r="J2651" s="46">
        <f>'Data_in-situ'!CP413</f>
        <v>3</v>
      </c>
      <c r="K2651" s="24">
        <f>'Data_in-situ'!CR413</f>
        <v>10779.460950989149</v>
      </c>
      <c r="L2651" s="24">
        <f>'Data_in-situ'!CS413</f>
        <v>1426.079653929331</v>
      </c>
      <c r="M2651" s="46">
        <f>'Data_in-situ'!CT413</f>
        <v>3</v>
      </c>
      <c r="N2651" s="24">
        <f>'Data_in-situ'!DA249</f>
        <v>-990</v>
      </c>
      <c r="O2651" s="24">
        <f>'Data_in-situ'!DB249</f>
        <v>2969.6599930993493</v>
      </c>
      <c r="P2651" s="46">
        <f>'Data_in-situ'!DC249</f>
        <v>1</v>
      </c>
      <c r="Q2651" s="24">
        <f>'Data_in-situ'!DE249</f>
        <v>3923.333333333333</v>
      </c>
      <c r="R2651" s="24">
        <f>'Data_in-situ'!DF249</f>
        <v>3739.4968963027086</v>
      </c>
      <c r="S2651" s="46">
        <f>'Data_in-situ'!DG249</f>
        <v>1</v>
      </c>
      <c r="T2651" s="113">
        <f>'Data_in-situ'!DN104</f>
        <v>277.33333333333331</v>
      </c>
      <c r="U2651" s="113">
        <f>'Data_in-situ'!DO104</f>
        <v>309.19318952701917</v>
      </c>
      <c r="V2651" s="46">
        <f>'Data_in-situ'!DP104</f>
        <v>3</v>
      </c>
      <c r="W2651" s="113">
        <f>'Data_in-situ'!DR104</f>
        <v>0.04</v>
      </c>
      <c r="X2651" s="113">
        <f>'Data_in-situ'!DS104</f>
        <v>0.1494886517852404</v>
      </c>
      <c r="Y2651" s="46">
        <f>'Data_in-situ'!DT104</f>
        <v>3</v>
      </c>
      <c r="Z2651" s="113">
        <f>'Data_in-situ'!EA166</f>
        <v>1.0757430488974113</v>
      </c>
      <c r="AA2651" s="113">
        <f>'Data_in-situ'!EB166</f>
        <v>6.1854977700162745</v>
      </c>
      <c r="AB2651" s="46">
        <f>'Data_in-situ'!EC166</f>
        <v>4</v>
      </c>
      <c r="AC2651" s="113">
        <f>'Data_in-situ'!EE166</f>
        <v>1.0103547459252158</v>
      </c>
      <c r="AD2651" s="113">
        <f>'Data_in-situ'!EF166</f>
        <v>1.508600460596133</v>
      </c>
      <c r="AE2651" s="46">
        <f>'Data_in-situ'!EG166</f>
        <v>4</v>
      </c>
      <c r="AF2651" s="113">
        <f>'Data_in-situ'!EN87</f>
        <v>-20.85</v>
      </c>
      <c r="AG2651" s="113">
        <f>'Data_in-situ'!EO87</f>
        <v>5.42</v>
      </c>
      <c r="AH2651" s="110">
        <f>'Data_in-situ'!EP87</f>
        <v>3</v>
      </c>
      <c r="AI2651" s="113">
        <f>'Data_in-situ'!ER87</f>
        <v>-21.08</v>
      </c>
      <c r="AJ2651" s="113">
        <f>'Data_in-situ'!ES87</f>
        <v>7.29</v>
      </c>
      <c r="AK2651" s="110">
        <f>'Data_in-situ'!ET87</f>
        <v>3</v>
      </c>
    </row>
    <row r="2652" spans="2:37" x14ac:dyDescent="0.3">
      <c r="B2652" s="24">
        <f>'Data_in-situ'!CA415</f>
        <v>-17995.009527856251</v>
      </c>
      <c r="C2652" s="24">
        <f>'Data_in-situ'!CB415</f>
        <v>1848.1534882558306</v>
      </c>
      <c r="D2652" s="46">
        <f>'Data_in-situ'!CC415</f>
        <v>3</v>
      </c>
      <c r="E2652" s="24">
        <f>'Data_in-situ'!CE415</f>
        <v>-2054.5525514059905</v>
      </c>
      <c r="F2652" s="24">
        <f>'Data_in-situ'!CF415</f>
        <v>2813.7544962882453</v>
      </c>
      <c r="G2652" s="46">
        <f>'Data_in-situ'!CG415</f>
        <v>3</v>
      </c>
      <c r="H2652" s="24">
        <f>'Data_in-situ'!CN415</f>
        <v>11579.692563738146</v>
      </c>
      <c r="I2652" s="24">
        <f>'Data_in-situ'!CO415</f>
        <v>6378.0768142690904</v>
      </c>
      <c r="J2652" s="46">
        <f>'Data_in-situ'!CP415</f>
        <v>3</v>
      </c>
      <c r="K2652" s="24">
        <f>'Data_in-situ'!CR415</f>
        <v>3447.3943707861481</v>
      </c>
      <c r="L2652" s="24">
        <f>'Data_in-situ'!CS415</f>
        <v>3117.4820932763982</v>
      </c>
      <c r="M2652" s="46">
        <f>'Data_in-situ'!CT415</f>
        <v>3</v>
      </c>
      <c r="N2652" s="24">
        <f>'Data_in-situ'!DA270</f>
        <v>2799.2431805620463</v>
      </c>
      <c r="O2652" s="24">
        <f>'Data_in-situ'!DB270</f>
        <v>1473.9559786073848</v>
      </c>
      <c r="P2652" s="46">
        <f>'Data_in-situ'!DC270</f>
        <v>20</v>
      </c>
      <c r="Q2652" s="24">
        <f>'Data_in-situ'!DE270</f>
        <v>6964.2392311529056</v>
      </c>
      <c r="R2652" s="24">
        <f>'Data_in-situ'!DF270</f>
        <v>2472.9188125624614</v>
      </c>
      <c r="S2652" s="46">
        <f>'Data_in-situ'!DG270</f>
        <v>20</v>
      </c>
      <c r="T2652" s="113">
        <f>'Data_in-situ'!DN105</f>
        <v>326.66666666666663</v>
      </c>
      <c r="U2652" s="113">
        <f>'Data_in-situ'!DO105</f>
        <v>364.19390112557551</v>
      </c>
      <c r="V2652" s="46">
        <f>'Data_in-situ'!DP105</f>
        <v>3</v>
      </c>
      <c r="W2652" s="113">
        <f>'Data_in-situ'!DR105</f>
        <v>-0.10666666666666666</v>
      </c>
      <c r="X2652" s="113">
        <f>'Data_in-situ'!DS105</f>
        <v>0.39863640476064105</v>
      </c>
      <c r="Y2652" s="46">
        <f>'Data_in-situ'!DT105</f>
        <v>3</v>
      </c>
      <c r="Z2652" s="113">
        <f>'Data_in-situ'!EA168</f>
        <v>9.3513037184644965</v>
      </c>
      <c r="AA2652" s="113">
        <f>'Data_in-situ'!EB168</f>
        <v>53.769781135553693</v>
      </c>
      <c r="AB2652" s="46">
        <f>'Data_in-situ'!EC168</f>
        <v>3</v>
      </c>
      <c r="AC2652" s="113">
        <f>'Data_in-situ'!EE168</f>
        <v>12.26580629480485</v>
      </c>
      <c r="AD2652" s="113">
        <f>'Data_in-situ'!EF168</f>
        <v>18.314558426684705</v>
      </c>
      <c r="AE2652" s="46">
        <f>'Data_in-situ'!EG168</f>
        <v>3</v>
      </c>
      <c r="AF2652" s="113">
        <f>'Data_in-situ'!EN90</f>
        <v>-26.8</v>
      </c>
      <c r="AG2652" s="113">
        <f>'Data_in-situ'!EO90</f>
        <v>10.920903486534662</v>
      </c>
      <c r="AH2652" s="110">
        <f>'Data_in-situ'!EP90</f>
        <v>3</v>
      </c>
      <c r="AI2652" s="113">
        <f>'Data_in-situ'!ER90</f>
        <v>-62.1</v>
      </c>
      <c r="AJ2652" s="113">
        <f>'Data_in-situ'!ES90</f>
        <v>14.085152722920959</v>
      </c>
      <c r="AK2652" s="110">
        <f>'Data_in-situ'!ET90</f>
        <v>3</v>
      </c>
    </row>
    <row r="2653" spans="2:37" x14ac:dyDescent="0.3">
      <c r="B2653" s="24">
        <f>'Data_in-situ'!CA416</f>
        <v>-5231.5</v>
      </c>
      <c r="C2653" s="24">
        <f>'Data_in-situ'!CB416</f>
        <v>774.59070169847246</v>
      </c>
      <c r="D2653" s="46">
        <f>'Data_in-situ'!CC416</f>
        <v>5</v>
      </c>
      <c r="E2653" s="24">
        <f>'Data_in-situ'!CE416</f>
        <v>-7422.0454386397278</v>
      </c>
      <c r="F2653" s="24">
        <f>'Data_in-situ'!CF416</f>
        <v>3514.8314125090737</v>
      </c>
      <c r="G2653" s="46">
        <f>'Data_in-situ'!CG416</f>
        <v>5</v>
      </c>
      <c r="H2653" s="24">
        <f>'Data_in-situ'!CN416</f>
        <v>4243.1025450256775</v>
      </c>
      <c r="I2653" s="24">
        <f>'Data_in-situ'!CO416</f>
        <v>1520.7492674654977</v>
      </c>
      <c r="J2653" s="46">
        <f>'Data_in-situ'!CP416</f>
        <v>5</v>
      </c>
      <c r="K2653" s="24">
        <f>'Data_in-situ'!CR416</f>
        <v>7080.9624577142204</v>
      </c>
      <c r="L2653" s="24">
        <f>'Data_in-situ'!CS416</f>
        <v>2727.0864177083622</v>
      </c>
      <c r="M2653" s="46">
        <f>'Data_in-situ'!CT416</f>
        <v>5</v>
      </c>
      <c r="N2653" s="24">
        <f>'Data_in-situ'!DA271</f>
        <v>-15026.412930085349</v>
      </c>
      <c r="O2653" s="24">
        <f>'Data_in-situ'!DB271</f>
        <v>12368.573830371251</v>
      </c>
      <c r="P2653" s="46">
        <f>'Data_in-situ'!DC271</f>
        <v>8</v>
      </c>
      <c r="Q2653" s="24">
        <f>'Data_in-situ'!DE271</f>
        <v>-14220.561807401995</v>
      </c>
      <c r="R2653" s="24">
        <f>'Data_in-situ'!DF271</f>
        <v>39407.251289691172</v>
      </c>
      <c r="S2653" s="46">
        <f>'Data_in-situ'!DG271</f>
        <v>8</v>
      </c>
      <c r="T2653" s="113">
        <f>'Data_in-situ'!DN106</f>
        <v>100.8</v>
      </c>
      <c r="U2653" s="113">
        <f>'Data_in-situ'!DO106</f>
        <v>112.37983234732044</v>
      </c>
      <c r="V2653" s="46">
        <f>'Data_in-situ'!DP106</f>
        <v>3</v>
      </c>
      <c r="W2653" s="113">
        <f>'Data_in-situ'!DR106</f>
        <v>1.0666666666666667</v>
      </c>
      <c r="X2653" s="113">
        <f>'Data_in-situ'!DS106</f>
        <v>3.9863640476064104</v>
      </c>
      <c r="Y2653" s="46">
        <f>'Data_in-situ'!DT106</f>
        <v>3</v>
      </c>
      <c r="Z2653" s="113">
        <f>'Data_in-situ'!EA169</f>
        <v>10.444427313037668</v>
      </c>
      <c r="AA2653" s="113">
        <f>'Data_in-situ'!EB169</f>
        <v>60.055216643145187</v>
      </c>
      <c r="AB2653" s="46">
        <f>'Data_in-situ'!EC169</f>
        <v>3</v>
      </c>
      <c r="AC2653" s="113">
        <f>'Data_in-situ'!EE169</f>
        <v>19.289099302725344</v>
      </c>
      <c r="AD2653" s="113">
        <f>'Data_in-situ'!EF169</f>
        <v>28.801313805804487</v>
      </c>
      <c r="AE2653" s="46">
        <f>'Data_in-situ'!EG169</f>
        <v>3</v>
      </c>
      <c r="AF2653" s="113">
        <f>'Data_in-situ'!EN91</f>
        <v>-27.34</v>
      </c>
      <c r="AG2653" s="113">
        <f>'Data_in-situ'!EO91</f>
        <v>6.04</v>
      </c>
      <c r="AH2653" s="110">
        <f>'Data_in-situ'!EP91</f>
        <v>3</v>
      </c>
      <c r="AI2653" s="113">
        <f>'Data_in-situ'!ER91</f>
        <v>-42.07</v>
      </c>
      <c r="AJ2653" s="113">
        <f>'Data_in-situ'!ES91</f>
        <v>2.04</v>
      </c>
      <c r="AK2653" s="110">
        <f>'Data_in-situ'!ET91</f>
        <v>3</v>
      </c>
    </row>
    <row r="2654" spans="2:37" x14ac:dyDescent="0.3">
      <c r="B2654" s="24">
        <f>'Data_in-situ'!CA417</f>
        <v>-7616.0068848250821</v>
      </c>
      <c r="C2654" s="24">
        <f>'Data_in-situ'!CB417</f>
        <v>1856.8621464095218</v>
      </c>
      <c r="D2654" s="46">
        <f>'Data_in-situ'!CC417</f>
        <v>5</v>
      </c>
      <c r="E2654" s="24">
        <f>'Data_in-situ'!CE417</f>
        <v>-11234.346432115035</v>
      </c>
      <c r="F2654" s="24">
        <f>'Data_in-situ'!CF417</f>
        <v>2636.9713135995598</v>
      </c>
      <c r="G2654" s="46">
        <f>'Data_in-situ'!CG417</f>
        <v>5</v>
      </c>
      <c r="H2654" s="24">
        <f>'Data_in-situ'!CN417</f>
        <v>7943.3298263910074</v>
      </c>
      <c r="I2654" s="24">
        <f>'Data_in-situ'!CO417</f>
        <v>2284.7185864362959</v>
      </c>
      <c r="J2654" s="46">
        <f>'Data_in-situ'!CP417</f>
        <v>5</v>
      </c>
      <c r="K2654" s="24">
        <f>'Data_in-situ'!CR417</f>
        <v>12092.326878238955</v>
      </c>
      <c r="L2654" s="24">
        <f>'Data_in-situ'!CS417</f>
        <v>4450.7541788118779</v>
      </c>
      <c r="M2654" s="46">
        <f>'Data_in-situ'!CT417</f>
        <v>5</v>
      </c>
      <c r="N2654" s="24">
        <f>'Data_in-situ'!DA339</f>
        <v>974.5318551588839</v>
      </c>
      <c r="O2654" s="24">
        <f>'Data_in-situ'!DB339</f>
        <v>469.46628575554143</v>
      </c>
      <c r="P2654" s="46">
        <f>'Data_in-situ'!DC339</f>
        <v>3</v>
      </c>
      <c r="Q2654" s="24">
        <f>'Data_in-situ'!DE339</f>
        <v>1843.0098898856381</v>
      </c>
      <c r="R2654" s="24">
        <f>'Data_in-situ'!DF339</f>
        <v>320.75875891326473</v>
      </c>
      <c r="S2654" s="46">
        <f>'Data_in-situ'!DG339</f>
        <v>3</v>
      </c>
      <c r="T2654" s="113">
        <f>'Data_in-situ'!DN107</f>
        <v>93.066666666666677</v>
      </c>
      <c r="U2654" s="113">
        <f>'Data_in-situ'!DO107</f>
        <v>103.75809917781704</v>
      </c>
      <c r="V2654" s="46">
        <f>'Data_in-situ'!DP107</f>
        <v>3</v>
      </c>
      <c r="W2654" s="113">
        <f>'Data_in-situ'!DR107</f>
        <v>0.13333333333333333</v>
      </c>
      <c r="X2654" s="113">
        <f>'Data_in-situ'!DS107</f>
        <v>0.4982955059508013</v>
      </c>
      <c r="Y2654" s="46">
        <f>'Data_in-situ'!DT107</f>
        <v>3</v>
      </c>
      <c r="Z2654" s="113">
        <f>'Data_in-situ'!EA201</f>
        <v>0</v>
      </c>
      <c r="AA2654" s="113">
        <f>'Data_in-situ'!EB201</f>
        <v>0</v>
      </c>
      <c r="AB2654" s="46">
        <f>'Data_in-situ'!EC201</f>
        <v>3</v>
      </c>
      <c r="AC2654" s="113">
        <f>'Data_in-situ'!EE201</f>
        <v>0.03</v>
      </c>
      <c r="AD2654" s="113">
        <f>'Data_in-situ'!EF201</f>
        <v>4.4794181450040799E-2</v>
      </c>
      <c r="AE2654" s="46">
        <f>'Data_in-situ'!EG201</f>
        <v>3</v>
      </c>
      <c r="AF2654" s="113">
        <f>'Data_in-situ'!EN92</f>
        <v>-2.62</v>
      </c>
      <c r="AG2654" s="113">
        <f>'Data_in-situ'!EO92</f>
        <v>0.79</v>
      </c>
      <c r="AH2654" s="110">
        <f>'Data_in-situ'!EP92</f>
        <v>3</v>
      </c>
      <c r="AI2654" s="113">
        <f>'Data_in-situ'!ER92</f>
        <v>-21.88</v>
      </c>
      <c r="AJ2654" s="113">
        <f>'Data_in-situ'!ES92</f>
        <v>3.76</v>
      </c>
      <c r="AK2654" s="110">
        <f>'Data_in-situ'!ET92</f>
        <v>3</v>
      </c>
    </row>
    <row r="2655" spans="2:37" x14ac:dyDescent="0.3">
      <c r="B2655" s="24">
        <f>'Data_in-situ'!CA418</f>
        <v>-31496.666666666664</v>
      </c>
      <c r="C2655" s="24">
        <f>'Data_in-situ'!CB418</f>
        <v>7679.2168068996079</v>
      </c>
      <c r="D2655" s="46">
        <f>'Data_in-situ'!CC418</f>
        <v>1</v>
      </c>
      <c r="E2655" s="24">
        <f>'Data_in-situ'!CE418</f>
        <v>-47703.333333333328</v>
      </c>
      <c r="F2655" s="24">
        <f>'Data_in-situ'!CF418</f>
        <v>17758.476797350639</v>
      </c>
      <c r="G2655" s="46">
        <f>'Data_in-situ'!CG418</f>
        <v>1</v>
      </c>
      <c r="H2655" s="24">
        <f>'Data_in-situ'!CN418</f>
        <v>24456.666666666664</v>
      </c>
      <c r="I2655" s="24">
        <f>'Data_in-situ'!CO418</f>
        <v>7034.4052326727378</v>
      </c>
      <c r="J2655" s="46">
        <f>'Data_in-situ'!CP418</f>
        <v>1</v>
      </c>
      <c r="K2655" s="24">
        <f>'Data_in-situ'!CR418</f>
        <v>44476.666666666672</v>
      </c>
      <c r="L2655" s="24">
        <f>'Data_in-situ'!CS418</f>
        <v>11670.284603796765</v>
      </c>
      <c r="M2655" s="46">
        <f>'Data_in-situ'!CT418</f>
        <v>1</v>
      </c>
      <c r="N2655" s="24">
        <f>'Data_in-situ'!DA340</f>
        <v>1621.7638807072944</v>
      </c>
      <c r="O2655" s="24">
        <f>'Data_in-situ'!DB340</f>
        <v>1098.3220496581039</v>
      </c>
      <c r="P2655" s="46">
        <f>'Data_in-situ'!DC340</f>
        <v>3</v>
      </c>
      <c r="Q2655" s="24">
        <f>'Data_in-situ'!DE340</f>
        <v>1729.967922835152</v>
      </c>
      <c r="R2655" s="24">
        <f>'Data_in-situ'!DF340</f>
        <v>370.59428586838715</v>
      </c>
      <c r="S2655" s="46">
        <f>'Data_in-situ'!DG340</f>
        <v>3</v>
      </c>
      <c r="T2655" s="113">
        <f>'Data_in-situ'!DN108</f>
        <v>24</v>
      </c>
      <c r="U2655" s="113">
        <f>'Data_in-situ'!DO108</f>
        <v>26.757102939838202</v>
      </c>
      <c r="V2655" s="46">
        <f>'Data_in-situ'!DP108</f>
        <v>3</v>
      </c>
      <c r="W2655" s="113">
        <f>'Data_in-situ'!DR108</f>
        <v>7.8666666666666663</v>
      </c>
      <c r="X2655" s="113">
        <f>'Data_in-situ'!DS108</f>
        <v>29.399434851097276</v>
      </c>
      <c r="Y2655" s="46">
        <f>'Data_in-situ'!DT108</f>
        <v>3</v>
      </c>
      <c r="Z2655" s="113">
        <f>'Data_in-situ'!EA202</f>
        <v>0</v>
      </c>
      <c r="AA2655" s="113">
        <f>'Data_in-situ'!EB202</f>
        <v>0</v>
      </c>
      <c r="AB2655" s="46">
        <f>'Data_in-situ'!EC202</f>
        <v>3</v>
      </c>
      <c r="AC2655" s="113">
        <f>'Data_in-situ'!EE202</f>
        <v>0.05</v>
      </c>
      <c r="AD2655" s="113">
        <f>'Data_in-situ'!EF202</f>
        <v>7.4656969083401345E-2</v>
      </c>
      <c r="AE2655" s="46">
        <f>'Data_in-situ'!EG202</f>
        <v>3</v>
      </c>
      <c r="AF2655" s="113">
        <f>'Data_in-situ'!EN93</f>
        <v>-6.51</v>
      </c>
      <c r="AG2655" s="113">
        <f>'Data_in-situ'!EO93</f>
        <v>2.2799999999999998</v>
      </c>
      <c r="AH2655" s="110">
        <f>'Data_in-situ'!EP93</f>
        <v>3</v>
      </c>
      <c r="AI2655" s="113">
        <f>'Data_in-situ'!ER93</f>
        <v>-46.73</v>
      </c>
      <c r="AJ2655" s="113">
        <f>'Data_in-situ'!ES93</f>
        <v>5.78</v>
      </c>
      <c r="AK2655" s="110">
        <f>'Data_in-situ'!ET93</f>
        <v>3</v>
      </c>
    </row>
    <row r="2656" spans="2:37" x14ac:dyDescent="0.3">
      <c r="B2656" s="24">
        <f>'Data_in-situ'!CA419</f>
        <v>-30323.333333333336</v>
      </c>
      <c r="C2656" s="24">
        <f>'Data_in-situ'!CB419</f>
        <v>7393.145866479601</v>
      </c>
      <c r="D2656" s="46">
        <f>'Data_in-situ'!CC419</f>
        <v>1</v>
      </c>
      <c r="E2656" s="24">
        <f>'Data_in-situ'!CE419</f>
        <v>-45173.333333333328</v>
      </c>
      <c r="F2656" s="24">
        <f>'Data_in-situ'!CF419</f>
        <v>16816.635983348184</v>
      </c>
      <c r="G2656" s="46">
        <f>'Data_in-situ'!CG419</f>
        <v>1</v>
      </c>
      <c r="H2656" s="24">
        <f>'Data_in-situ'!CN419</f>
        <v>22513.333333333336</v>
      </c>
      <c r="I2656" s="24">
        <f>'Data_in-situ'!CO419</f>
        <v>6475.4494945443212</v>
      </c>
      <c r="J2656" s="46">
        <f>'Data_in-situ'!CP419</f>
        <v>1</v>
      </c>
      <c r="K2656" s="24">
        <f>'Data_in-situ'!CR419</f>
        <v>43303.333333333328</v>
      </c>
      <c r="L2656" s="24">
        <f>'Data_in-situ'!CS419</f>
        <v>11362.412297678464</v>
      </c>
      <c r="M2656" s="46">
        <f>'Data_in-situ'!CT419</f>
        <v>1</v>
      </c>
      <c r="N2656" s="24">
        <f>'Data_in-situ'!DA341</f>
        <v>3237.7768635097909</v>
      </c>
      <c r="O2656" s="24">
        <f>'Data_in-situ'!DB341</f>
        <v>1588.2056081972487</v>
      </c>
      <c r="P2656" s="46">
        <f>'Data_in-situ'!DC341</f>
        <v>3</v>
      </c>
      <c r="Q2656" s="24">
        <f>'Data_in-situ'!DE341</f>
        <v>2606.0811330269848</v>
      </c>
      <c r="R2656" s="24">
        <f>'Data_in-situ'!DF341</f>
        <v>272.81038691279781</v>
      </c>
      <c r="S2656" s="46">
        <f>'Data_in-situ'!DG341</f>
        <v>3</v>
      </c>
      <c r="T2656" s="113">
        <f>'Data_in-situ'!DN109</f>
        <v>24.133333333333336</v>
      </c>
      <c r="U2656" s="113">
        <f>'Data_in-situ'!DO109</f>
        <v>26.905753511726196</v>
      </c>
      <c r="V2656" s="46">
        <f>'Data_in-situ'!DP109</f>
        <v>3</v>
      </c>
      <c r="W2656" s="113">
        <f>'Data_in-situ'!DR109</f>
        <v>8.4</v>
      </c>
      <c r="X2656" s="113">
        <f>'Data_in-situ'!DS109</f>
        <v>31.392616874900483</v>
      </c>
      <c r="Y2656" s="46">
        <f>'Data_in-situ'!DT109</f>
        <v>3</v>
      </c>
      <c r="Z2656" s="113">
        <f>'Data_in-situ'!EA203</f>
        <v>0.80142857142857149</v>
      </c>
      <c r="AA2656" s="113">
        <f>'Data_in-situ'!EB203</f>
        <v>0.1905255888325765</v>
      </c>
      <c r="AB2656" s="46">
        <f>'Data_in-situ'!EC203</f>
        <v>3</v>
      </c>
      <c r="AC2656" s="113">
        <f>'Data_in-situ'!EE203</f>
        <v>1.5242857142857142</v>
      </c>
      <c r="AD2656" s="113">
        <f>'Data_in-situ'!EF203</f>
        <v>0.3538332364033564</v>
      </c>
      <c r="AE2656" s="46">
        <f>'Data_in-situ'!EG203</f>
        <v>3</v>
      </c>
      <c r="AF2656" s="113">
        <f>'Data_in-situ'!EN94</f>
        <v>-10.75</v>
      </c>
      <c r="AG2656" s="113">
        <f>'Data_in-situ'!EO94</f>
        <v>1.853</v>
      </c>
      <c r="AH2656" s="110">
        <f>'Data_in-situ'!EP94</f>
        <v>3</v>
      </c>
      <c r="AI2656" s="113">
        <f>'Data_in-situ'!ER94</f>
        <v>-20.14</v>
      </c>
      <c r="AJ2656" s="113">
        <f>'Data_in-situ'!ES94</f>
        <v>1.87</v>
      </c>
      <c r="AK2656" s="110">
        <f>'Data_in-situ'!ET94</f>
        <v>3</v>
      </c>
    </row>
    <row r="2657" spans="2:37" x14ac:dyDescent="0.3">
      <c r="B2657" s="24">
        <f>'Data_in-situ'!CA432</f>
        <v>-7090</v>
      </c>
      <c r="C2657" s="24">
        <f>'Data_in-situ'!CB432</f>
        <v>1524.2047106606119</v>
      </c>
      <c r="D2657" s="46">
        <f>'Data_in-situ'!CC432</f>
        <v>3</v>
      </c>
      <c r="E2657" s="24">
        <f>'Data_in-situ'!CE432</f>
        <v>-18490</v>
      </c>
      <c r="F2657" s="24">
        <f>'Data_in-situ'!CF432</f>
        <v>3689.2682201217081</v>
      </c>
      <c r="G2657" s="46">
        <f>'Data_in-situ'!CG432</f>
        <v>3</v>
      </c>
      <c r="H2657" s="24">
        <f>'Data_in-situ'!CN432</f>
        <v>7020</v>
      </c>
      <c r="I2657" s="24">
        <f>'Data_in-situ'!CO432</f>
        <v>1299.038105676658</v>
      </c>
      <c r="J2657" s="46">
        <f>'Data_in-situ'!CP432</f>
        <v>3</v>
      </c>
      <c r="K2657" s="24">
        <f>'Data_in-situ'!CR432</f>
        <v>23060</v>
      </c>
      <c r="L2657" s="24">
        <f>'Data_in-situ'!CS432</f>
        <v>2424.871130596428</v>
      </c>
      <c r="M2657" s="46">
        <f>'Data_in-situ'!CT432</f>
        <v>3</v>
      </c>
      <c r="N2657" s="24">
        <f>'Data_in-situ'!DA342</f>
        <v>-558.33453447411694</v>
      </c>
      <c r="O2657" s="24">
        <f>'Data_in-situ'!DB342</f>
        <v>748.7456945126147</v>
      </c>
      <c r="P2657" s="46">
        <f>'Data_in-situ'!DC342</f>
        <v>3</v>
      </c>
      <c r="Q2657" s="24">
        <f>'Data_in-situ'!DE342</f>
        <v>90.926369512445945</v>
      </c>
      <c r="R2657" s="24">
        <f>'Data_in-situ'!DF342</f>
        <v>382.25882942650333</v>
      </c>
      <c r="S2657" s="46">
        <f>'Data_in-situ'!DG342</f>
        <v>3</v>
      </c>
      <c r="T2657" s="113">
        <f>'Data_in-situ'!DN110</f>
        <v>59.466666666666661</v>
      </c>
      <c r="U2657" s="113">
        <f>'Data_in-situ'!DO110</f>
        <v>66.298155062043534</v>
      </c>
      <c r="V2657" s="46">
        <f>'Data_in-situ'!DP110</f>
        <v>3</v>
      </c>
      <c r="W2657" s="113">
        <f>'Data_in-situ'!DR110</f>
        <v>27.333333333333329</v>
      </c>
      <c r="X2657" s="113">
        <f>'Data_in-situ'!DS110</f>
        <v>102.15057871991425</v>
      </c>
      <c r="Y2657" s="46">
        <f>'Data_in-situ'!DT110</f>
        <v>3</v>
      </c>
      <c r="Z2657" s="113">
        <f>'Data_in-situ'!EA204</f>
        <v>0.80142857142857149</v>
      </c>
      <c r="AA2657" s="113">
        <f>'Data_in-situ'!EB204</f>
        <v>0.1905255888325765</v>
      </c>
      <c r="AB2657" s="46">
        <f>'Data_in-situ'!EC204</f>
        <v>3</v>
      </c>
      <c r="AC2657" s="113">
        <f>'Data_in-situ'!EE204</f>
        <v>1.4614285714285715</v>
      </c>
      <c r="AD2657" s="113">
        <f>'Data_in-situ'!EF204</f>
        <v>0.21774353009437314</v>
      </c>
      <c r="AE2657" s="46">
        <f>'Data_in-situ'!EG204</f>
        <v>3</v>
      </c>
      <c r="AF2657" s="113">
        <f>'Data_in-situ'!EN95</f>
        <v>-24.62</v>
      </c>
      <c r="AG2657" s="113">
        <f>'Data_in-situ'!EO95</f>
        <v>6.88</v>
      </c>
      <c r="AH2657" s="110">
        <f>'Data_in-situ'!EP95</f>
        <v>3</v>
      </c>
      <c r="AI2657" s="113">
        <f>'Data_in-situ'!ER95</f>
        <v>-23.22</v>
      </c>
      <c r="AJ2657" s="113">
        <f>'Data_in-situ'!ES95</f>
        <v>6.41</v>
      </c>
      <c r="AK2657" s="110">
        <f>'Data_in-situ'!ET95</f>
        <v>3</v>
      </c>
    </row>
    <row r="2658" spans="2:37" x14ac:dyDescent="0.3">
      <c r="B2658" s="24">
        <f>'Data_in-situ'!CA433</f>
        <v>-6290</v>
      </c>
      <c r="C2658" s="24">
        <f>'Data_in-situ'!CB433</f>
        <v>1316.3586137523466</v>
      </c>
      <c r="D2658" s="46">
        <f>'Data_in-situ'!CC433</f>
        <v>3</v>
      </c>
      <c r="E2658" s="24">
        <f>'Data_in-situ'!CE433</f>
        <v>-19210</v>
      </c>
      <c r="F2658" s="24">
        <f>'Data_in-situ'!CF433</f>
        <v>3290.8965343808668</v>
      </c>
      <c r="G2658" s="46">
        <f>'Data_in-situ'!CG433</f>
        <v>3</v>
      </c>
      <c r="H2658" s="24">
        <f>'Data_in-situ'!CN433</f>
        <v>5020</v>
      </c>
      <c r="I2658" s="24">
        <f>'Data_in-situ'!CO433</f>
        <v>917.98692801150492</v>
      </c>
      <c r="J2658" s="46">
        <f>'Data_in-situ'!CP433</f>
        <v>3</v>
      </c>
      <c r="K2658" s="24">
        <f>'Data_in-situ'!CR433</f>
        <v>24030</v>
      </c>
      <c r="L2658" s="24">
        <f>'Data_in-situ'!CS433</f>
        <v>2459.5121467478057</v>
      </c>
      <c r="M2658" s="46">
        <f>'Data_in-situ'!CT433</f>
        <v>3</v>
      </c>
      <c r="N2658" s="24">
        <f>'Data_in-situ'!DA343</f>
        <v>-586.111782169251</v>
      </c>
      <c r="O2658" s="24">
        <f>'Data_in-situ'!DB343</f>
        <v>363.91958912283872</v>
      </c>
      <c r="P2658" s="46">
        <f>'Data_in-situ'!DC343</f>
        <v>3</v>
      </c>
      <c r="Q2658" s="24">
        <f>'Data_in-situ'!DE343</f>
        <v>403.42941150773049</v>
      </c>
      <c r="R2658" s="24">
        <f>'Data_in-situ'!DF343</f>
        <v>463.61307598966926</v>
      </c>
      <c r="S2658" s="46">
        <f>'Data_in-situ'!DG343</f>
        <v>3</v>
      </c>
      <c r="T2658" s="113">
        <f>'Data_in-situ'!DN111</f>
        <v>50.8</v>
      </c>
      <c r="U2658" s="113">
        <f>'Data_in-situ'!DO111</f>
        <v>56.635867889324189</v>
      </c>
      <c r="V2658" s="46">
        <f>'Data_in-situ'!DP111</f>
        <v>3</v>
      </c>
      <c r="W2658" s="113">
        <f>'Data_in-situ'!DR111</f>
        <v>28.133333333333329</v>
      </c>
      <c r="X2658" s="113">
        <f>'Data_in-situ'!DS111</f>
        <v>105.14035175561906</v>
      </c>
      <c r="Y2658" s="46">
        <f>'Data_in-situ'!DT111</f>
        <v>3</v>
      </c>
      <c r="Z2658" s="113">
        <f>'Data_in-situ'!EA205</f>
        <v>0.87842857142857156</v>
      </c>
      <c r="AA2658" s="113">
        <f>'Data_in-situ'!EB205</f>
        <v>0.16185714285714287</v>
      </c>
      <c r="AB2658" s="46">
        <f>'Data_in-situ'!EC205</f>
        <v>4</v>
      </c>
      <c r="AC2658" s="113">
        <f>'Data_in-situ'!EE205</f>
        <v>24.849</v>
      </c>
      <c r="AD2658" s="113">
        <f>'Data_in-situ'!EF205</f>
        <v>0.65528571428571425</v>
      </c>
      <c r="AE2658" s="46">
        <f>'Data_in-situ'!EG205</f>
        <v>4</v>
      </c>
      <c r="AF2658" s="113">
        <f>'Data_in-situ'!EN96</f>
        <v>-6.95</v>
      </c>
      <c r="AG2658" s="113">
        <f>'Data_in-situ'!EO96</f>
        <v>1.41</v>
      </c>
      <c r="AH2658" s="110">
        <f>'Data_in-situ'!EP96</f>
        <v>3</v>
      </c>
      <c r="AI2658" s="113">
        <f>'Data_in-situ'!ER96</f>
        <v>-21.5</v>
      </c>
      <c r="AJ2658" s="113">
        <f>'Data_in-situ'!ES96</f>
        <v>1.76</v>
      </c>
      <c r="AK2658" s="110">
        <f>'Data_in-situ'!ET96</f>
        <v>3</v>
      </c>
    </row>
    <row r="2659" spans="2:37" x14ac:dyDescent="0.3">
      <c r="B2659" s="24">
        <f>'Data_in-situ'!CA448</f>
        <v>-32633.333333333332</v>
      </c>
      <c r="C2659" s="24">
        <f>'Data_in-situ'!CB448</f>
        <v>3600</v>
      </c>
      <c r="D2659" s="46">
        <f>'Data_in-situ'!CC448</f>
        <v>3</v>
      </c>
      <c r="E2659" s="24">
        <f>'Data_in-situ'!CE448</f>
        <v>-65926.666666666672</v>
      </c>
      <c r="F2659" s="24">
        <f>'Data_in-situ'!CF448</f>
        <v>5926</v>
      </c>
      <c r="G2659" s="46">
        <f>'Data_in-situ'!CG448</f>
        <v>3</v>
      </c>
      <c r="H2659" s="24">
        <f>'Data_in-situ'!CN448</f>
        <v>30690</v>
      </c>
      <c r="I2659" s="24">
        <f>'Data_in-situ'!CO448</f>
        <v>3652</v>
      </c>
      <c r="J2659" s="46">
        <f>'Data_in-situ'!CP448</f>
        <v>3</v>
      </c>
      <c r="K2659" s="24">
        <f>'Data_in-situ'!CR448</f>
        <v>61160</v>
      </c>
      <c r="L2659" s="24">
        <f>'Data_in-situ'!CS448</f>
        <v>6593</v>
      </c>
      <c r="M2659" s="46">
        <f>'Data_in-situ'!CT448</f>
        <v>3</v>
      </c>
      <c r="N2659" s="24">
        <f>'Data_in-situ'!DA344</f>
        <v>893.86422546150288</v>
      </c>
      <c r="O2659" s="24">
        <f>'Data_in-situ'!DB344</f>
        <v>1145.1881990612055</v>
      </c>
      <c r="P2659" s="46">
        <f>'Data_in-situ'!DC344</f>
        <v>3</v>
      </c>
      <c r="Q2659" s="24">
        <f>'Data_in-situ'!DE344</f>
        <v>971.54555824647673</v>
      </c>
      <c r="R2659" s="24">
        <f>'Data_in-situ'!DF344</f>
        <v>320.49742821623516</v>
      </c>
      <c r="S2659" s="46">
        <f>'Data_in-situ'!DG344</f>
        <v>3</v>
      </c>
      <c r="Z2659" s="113">
        <f>'Data_in-situ'!EA211</f>
        <v>-0.17393369108406392</v>
      </c>
      <c r="AA2659" s="113">
        <f>'Data_in-situ'!EB211</f>
        <v>1.6605685683663671</v>
      </c>
      <c r="AB2659" s="46">
        <f>'Data_in-situ'!EC211</f>
        <v>46</v>
      </c>
      <c r="AC2659" s="113">
        <f>'Data_in-situ'!EE211</f>
        <v>6.6517114309370617</v>
      </c>
      <c r="AD2659" s="113">
        <f>'Data_in-situ'!EF211</f>
        <v>10.95710857096801</v>
      </c>
      <c r="AE2659" s="46">
        <f>'Data_in-situ'!EG211</f>
        <v>73</v>
      </c>
      <c r="AF2659" s="113">
        <f>'Data_in-situ'!EN97</f>
        <v>-14.43</v>
      </c>
      <c r="AG2659" s="113">
        <f>'Data_in-situ'!EO97</f>
        <v>3.89</v>
      </c>
      <c r="AH2659" s="110">
        <f>'Data_in-situ'!EP97</f>
        <v>3</v>
      </c>
      <c r="AI2659" s="113">
        <f>'Data_in-situ'!ER97</f>
        <v>-28.3</v>
      </c>
      <c r="AJ2659" s="113">
        <f>'Data_in-situ'!ES97</f>
        <v>4.55</v>
      </c>
      <c r="AK2659" s="110">
        <f>'Data_in-situ'!ET97</f>
        <v>3</v>
      </c>
    </row>
    <row r="2660" spans="2:37" x14ac:dyDescent="0.3">
      <c r="B2660" s="24">
        <f>'Data_in-situ'!CA449</f>
        <v>-36630</v>
      </c>
      <c r="C2660" s="24">
        <f>'Data_in-situ'!CB449</f>
        <v>4321</v>
      </c>
      <c r="D2660" s="46">
        <f>'Data_in-situ'!CC449</f>
        <v>3</v>
      </c>
      <c r="E2660" s="24">
        <f>'Data_in-situ'!CE449</f>
        <v>-75753.333333333328</v>
      </c>
      <c r="F2660" s="24">
        <f>'Data_in-situ'!CF449</f>
        <v>7859</v>
      </c>
      <c r="G2660" s="46">
        <f>'Data_in-situ'!CG449</f>
        <v>3</v>
      </c>
      <c r="H2660" s="24">
        <f>'Data_in-situ'!CN449</f>
        <v>33953.333333333336</v>
      </c>
      <c r="I2660" s="24">
        <f>'Data_in-situ'!CO449</f>
        <v>4126</v>
      </c>
      <c r="J2660" s="46">
        <f>'Data_in-situ'!CP449</f>
        <v>3</v>
      </c>
      <c r="K2660" s="24">
        <f>'Data_in-situ'!CR449</f>
        <v>64753.333333333336</v>
      </c>
      <c r="L2660" s="24">
        <f>'Data_in-situ'!CS449</f>
        <v>9463</v>
      </c>
      <c r="M2660" s="46">
        <f>'Data_in-situ'!CT449</f>
        <v>3</v>
      </c>
      <c r="N2660" s="24">
        <f>'Data_in-situ'!DA345</f>
        <v>-722.09401113274612</v>
      </c>
      <c r="O2660" s="24">
        <f>'Data_in-situ'!DB345</f>
        <v>355.55395504217751</v>
      </c>
      <c r="P2660" s="46">
        <f>'Data_in-situ'!DC345</f>
        <v>3</v>
      </c>
      <c r="Q2660" s="24">
        <f>'Data_in-situ'!DE345</f>
        <v>35.549383790829552</v>
      </c>
      <c r="R2660" s="24">
        <f>'Data_in-situ'!DF345</f>
        <v>98.404402630841858</v>
      </c>
      <c r="S2660" s="46">
        <f>'Data_in-situ'!DG345</f>
        <v>3</v>
      </c>
      <c r="Z2660" s="113">
        <f>'Data_in-situ'!EA212</f>
        <v>4.2926101488275123E-2</v>
      </c>
      <c r="AA2660" s="113">
        <f>'Data_in-situ'!EB212</f>
        <v>0.24682409549693443</v>
      </c>
      <c r="AB2660" s="46">
        <f>'Data_in-situ'!EC212</f>
        <v>46</v>
      </c>
      <c r="AC2660" s="113">
        <f>'Data_in-situ'!EE212</f>
        <v>38.025961499819161</v>
      </c>
      <c r="AD2660" s="113">
        <f>'Data_in-situ'!EF212</f>
        <v>56.778060641172175</v>
      </c>
      <c r="AE2660" s="46">
        <f>'Data_in-situ'!EG212</f>
        <v>66</v>
      </c>
      <c r="AF2660" s="113">
        <f>'Data_in-situ'!EN98</f>
        <v>3.3333333333333335</v>
      </c>
      <c r="AG2660" s="113">
        <f>'Data_in-situ'!EO98</f>
        <v>1.5275252316519463</v>
      </c>
      <c r="AH2660" s="110">
        <f>'Data_in-situ'!EP98</f>
        <v>3</v>
      </c>
      <c r="AI2660" s="113">
        <f>'Data_in-situ'!ER98</f>
        <v>-18.100000000000001</v>
      </c>
      <c r="AJ2660" s="113">
        <f>'Data_in-situ'!ES98</f>
        <v>5.6</v>
      </c>
      <c r="AK2660" s="110">
        <f>'Data_in-situ'!ET98</f>
        <v>3</v>
      </c>
    </row>
    <row r="2661" spans="2:37" x14ac:dyDescent="0.3">
      <c r="B2661" s="24">
        <f>'Data_in-situ'!CA450</f>
        <v>-131193.33333333334</v>
      </c>
      <c r="C2661" s="24">
        <f>'Data_in-situ'!CB450</f>
        <v>31986.307025712227</v>
      </c>
      <c r="D2661" s="46">
        <f>'Data_in-situ'!CC450</f>
        <v>1</v>
      </c>
      <c r="E2661" s="24">
        <f>'Data_in-situ'!CE450</f>
        <v>-154036.66666666666</v>
      </c>
      <c r="F2661" s="24">
        <f>'Data_in-situ'!CF450</f>
        <v>57343.090719192958</v>
      </c>
      <c r="G2661" s="46">
        <f>'Data_in-situ'!CG450</f>
        <v>1</v>
      </c>
      <c r="H2661" s="24">
        <f>'Data_in-situ'!CN450</f>
        <v>146923.33333333334</v>
      </c>
      <c r="I2661" s="24">
        <f>'Data_in-situ'!CO450</f>
        <v>42259.163069444774</v>
      </c>
      <c r="J2661" s="46">
        <f>'Data_in-situ'!CP450</f>
        <v>1</v>
      </c>
      <c r="K2661" s="24">
        <f>'Data_in-situ'!CR450</f>
        <v>176366.66666666666</v>
      </c>
      <c r="L2661" s="24">
        <f>'Data_in-situ'!CS450</f>
        <v>46277.056013406785</v>
      </c>
      <c r="M2661" s="46">
        <f>'Data_in-situ'!CT450</f>
        <v>1</v>
      </c>
      <c r="N2661" s="24">
        <f>'Data_in-situ'!DA346</f>
        <v>-310.54912511410987</v>
      </c>
      <c r="O2661" s="24">
        <f>'Data_in-situ'!DB346</f>
        <v>752.08332336197429</v>
      </c>
      <c r="P2661" s="46">
        <f>'Data_in-situ'!DC346</f>
        <v>3</v>
      </c>
      <c r="Q2661" s="24">
        <f>'Data_in-situ'!DE346</f>
        <v>-522.80095541718219</v>
      </c>
      <c r="R2661" s="24">
        <f>'Data_in-situ'!DF346</f>
        <v>196.66566541741983</v>
      </c>
      <c r="S2661" s="46">
        <f>'Data_in-situ'!DG346</f>
        <v>3</v>
      </c>
      <c r="Z2661" s="113">
        <f>'Data_in-situ'!EA214</f>
        <v>0.7</v>
      </c>
      <c r="AA2661" s="113">
        <f>'Data_in-situ'!EB214</f>
        <v>4.0249838876014987</v>
      </c>
      <c r="AB2661" s="46">
        <f>'Data_in-situ'!EC214</f>
        <v>3</v>
      </c>
      <c r="AC2661" s="113">
        <f>'Data_in-situ'!EE214</f>
        <v>0.8</v>
      </c>
      <c r="AD2661" s="113">
        <f>'Data_in-situ'!EF214</f>
        <v>1.1945115053344215</v>
      </c>
      <c r="AE2661" s="46">
        <f>'Data_in-situ'!EG214</f>
        <v>3</v>
      </c>
      <c r="AF2661" s="113">
        <f>'Data_in-situ'!EN99</f>
        <v>6.52</v>
      </c>
      <c r="AG2661" s="113">
        <f>'Data_in-situ'!EO99</f>
        <v>6.22</v>
      </c>
      <c r="AH2661" s="110">
        <f>'Data_in-situ'!EP99</f>
        <v>4</v>
      </c>
      <c r="AI2661" s="113">
        <f>'Data_in-situ'!ER99</f>
        <v>-36.47</v>
      </c>
      <c r="AJ2661" s="113">
        <f>'Data_in-situ'!ES99</f>
        <v>14.77</v>
      </c>
      <c r="AK2661" s="110">
        <f>'Data_in-situ'!ET99</f>
        <v>4</v>
      </c>
    </row>
    <row r="2662" spans="2:37" x14ac:dyDescent="0.3">
      <c r="B2662" s="24">
        <f>'Data_in-situ'!CA451</f>
        <v>-138600</v>
      </c>
      <c r="C2662" s="24">
        <f>'Data_in-situ'!CB451</f>
        <v>33792.129837113527</v>
      </c>
      <c r="D2662" s="46">
        <f>'Data_in-situ'!CC451</f>
        <v>1</v>
      </c>
      <c r="E2662" s="24">
        <f>'Data_in-situ'!CE451</f>
        <v>-152680</v>
      </c>
      <c r="F2662" s="24">
        <f>'Data_in-situ'!CF451</f>
        <v>56838.04564501773</v>
      </c>
      <c r="G2662" s="46">
        <f>'Data_in-situ'!CG451</f>
        <v>1</v>
      </c>
      <c r="H2662" s="24">
        <f>'Data_in-situ'!CN451</f>
        <v>150003.33333333334</v>
      </c>
      <c r="I2662" s="24">
        <f>'Data_in-situ'!CO451</f>
        <v>43145.055182704913</v>
      </c>
      <c r="J2662" s="46">
        <f>'Data_in-situ'!CP451</f>
        <v>1</v>
      </c>
      <c r="K2662" s="24">
        <f>'Data_in-situ'!CR451</f>
        <v>173836.66666666666</v>
      </c>
      <c r="L2662" s="24">
        <f>'Data_in-situ'!CS451</f>
        <v>45613.206353339207</v>
      </c>
      <c r="M2662" s="46">
        <f>'Data_in-situ'!CT451</f>
        <v>1</v>
      </c>
      <c r="N2662" s="24">
        <f>'Data_in-situ'!DA347</f>
        <v>7.5327398944743891</v>
      </c>
      <c r="O2662" s="24">
        <f>'Data_in-situ'!DB347</f>
        <v>385.89969557971807</v>
      </c>
      <c r="P2662" s="46">
        <f>'Data_in-situ'!DC347</f>
        <v>3</v>
      </c>
      <c r="Q2662" s="24">
        <f>'Data_in-situ'!DE347</f>
        <v>-55.731134523739229</v>
      </c>
      <c r="R2662" s="24">
        <f>'Data_in-situ'!DF347</f>
        <v>131.30398661871592</v>
      </c>
      <c r="S2662" s="46">
        <f>'Data_in-situ'!DG347</f>
        <v>3</v>
      </c>
      <c r="Z2662" s="113">
        <f>'Data_in-situ'!EA216</f>
        <v>7.5428571428571428E-2</v>
      </c>
      <c r="AA2662" s="113">
        <f>'Data_in-situ'!EB216</f>
        <v>0.15514226519224084</v>
      </c>
      <c r="AB2662" s="46">
        <f>'Data_in-situ'!EC216</f>
        <v>3</v>
      </c>
      <c r="AC2662" s="113">
        <f>'Data_in-situ'!EE216</f>
        <v>6.4428571428571418E-2</v>
      </c>
      <c r="AD2662" s="113">
        <f>'Data_in-situ'!EF216</f>
        <v>0.21502173596819346</v>
      </c>
      <c r="AE2662" s="46">
        <f>'Data_in-situ'!EG216</f>
        <v>3</v>
      </c>
      <c r="AF2662" s="113">
        <f>'Data_in-situ'!EN100</f>
        <v>-5.833333333333333</v>
      </c>
      <c r="AG2662" s="113">
        <f>'Data_in-situ'!EO100</f>
        <v>5.3385391260156565</v>
      </c>
      <c r="AH2662" s="110">
        <f>'Data_in-situ'!EP100</f>
        <v>4</v>
      </c>
      <c r="AI2662" s="113">
        <f>'Data_in-situ'!ER100</f>
        <v>-19.5</v>
      </c>
      <c r="AJ2662" s="113">
        <f>'Data_in-situ'!ES100</f>
        <v>4.0620192023179804</v>
      </c>
      <c r="AK2662" s="110">
        <f>'Data_in-situ'!ET100</f>
        <v>4</v>
      </c>
    </row>
    <row r="2663" spans="2:37" x14ac:dyDescent="0.3">
      <c r="B2663" s="24">
        <f>'Data_in-situ'!CA452</f>
        <v>-135483.33333333334</v>
      </c>
      <c r="C2663" s="24">
        <f>'Data_in-situ'!CB452</f>
        <v>33032.253901622884</v>
      </c>
      <c r="D2663" s="46">
        <f>'Data_in-situ'!CC452</f>
        <v>1</v>
      </c>
      <c r="E2663" s="24">
        <f>'Data_in-situ'!CE452</f>
        <v>-150663.33333333334</v>
      </c>
      <c r="F2663" s="24">
        <f>'Data_in-situ'!CF452</f>
        <v>56087.302967189695</v>
      </c>
      <c r="G2663" s="46">
        <f>'Data_in-situ'!CG452</f>
        <v>1</v>
      </c>
      <c r="H2663" s="24">
        <f>'Data_in-situ'!CN452</f>
        <v>139810</v>
      </c>
      <c r="I2663" s="24">
        <f>'Data_in-situ'!CO452</f>
        <v>40213.174141201132</v>
      </c>
      <c r="J2663" s="46">
        <f>'Data_in-situ'!CP452</f>
        <v>1</v>
      </c>
      <c r="K2663" s="24">
        <f>'Data_in-situ'!CR452</f>
        <v>166356.66666666666</v>
      </c>
      <c r="L2663" s="24">
        <f>'Data_in-situ'!CS452</f>
        <v>43650.520401835049</v>
      </c>
      <c r="M2663" s="46">
        <f>'Data_in-situ'!CT452</f>
        <v>1</v>
      </c>
      <c r="N2663" s="24">
        <f>'Data_in-situ'!DA348</f>
        <v>2591.2055425559711</v>
      </c>
      <c r="O2663" s="24">
        <f>'Data_in-situ'!DB348</f>
        <v>1600.5466590475353</v>
      </c>
      <c r="P2663" s="46">
        <f>'Data_in-situ'!DC348</f>
        <v>3</v>
      </c>
      <c r="Q2663" s="24">
        <f>'Data_in-situ'!DE348</f>
        <v>5059.6370329114443</v>
      </c>
      <c r="R2663" s="24">
        <f>'Data_in-situ'!DF348</f>
        <v>1113.5441452092068</v>
      </c>
      <c r="S2663" s="46">
        <f>'Data_in-situ'!DG348</f>
        <v>3</v>
      </c>
      <c r="Z2663" s="113">
        <f>'Data_in-situ'!EA217</f>
        <v>1.3785046728971999</v>
      </c>
      <c r="AA2663" s="113">
        <f>'Data_in-situ'!EB217</f>
        <v>1.030159237619066</v>
      </c>
      <c r="AB2663" s="46">
        <f>'Data_in-situ'!EC217</f>
        <v>6</v>
      </c>
      <c r="AC2663" s="113">
        <f>'Data_in-situ'!EE217</f>
        <v>3.2242990654205603</v>
      </c>
      <c r="AD2663" s="113">
        <f>'Data_in-situ'!EF217</f>
        <v>3.548326262910205</v>
      </c>
      <c r="AE2663" s="46">
        <f>'Data_in-situ'!EG217</f>
        <v>6</v>
      </c>
      <c r="AF2663" s="113">
        <f>'Data_in-situ'!EN101</f>
        <v>-17.5</v>
      </c>
      <c r="AG2663" s="113">
        <f>'Data_in-situ'!EO101</f>
        <v>4.9497474683058327</v>
      </c>
      <c r="AH2663" s="110">
        <f>'Data_in-situ'!EP101</f>
        <v>4</v>
      </c>
      <c r="AI2663" s="113">
        <f>'Data_in-situ'!ER101</f>
        <v>-34</v>
      </c>
      <c r="AJ2663" s="113">
        <f>'Data_in-situ'!ES101</f>
        <v>11.313708498984761</v>
      </c>
      <c r="AK2663" s="110">
        <f>'Data_in-situ'!ET101</f>
        <v>4</v>
      </c>
    </row>
    <row r="2664" spans="2:37" x14ac:dyDescent="0.3">
      <c r="B2664" s="24">
        <f>'Data_in-situ'!CA453</f>
        <v>-134383.33333333334</v>
      </c>
      <c r="C2664" s="24">
        <f>'Data_in-situ'!CB453</f>
        <v>32764.062394979126</v>
      </c>
      <c r="D2664" s="46">
        <f>'Data_in-situ'!CC453</f>
        <v>1</v>
      </c>
      <c r="E2664" s="24">
        <f>'Data_in-situ'!CE453</f>
        <v>-148133.33333333334</v>
      </c>
      <c r="F2664" s="24">
        <f>'Data_in-situ'!CF453</f>
        <v>55145.46215318724</v>
      </c>
      <c r="G2664" s="46">
        <f>'Data_in-situ'!CG453</f>
        <v>1</v>
      </c>
      <c r="H2664" s="24">
        <f>'Data_in-situ'!CN453</f>
        <v>136253.33333333334</v>
      </c>
      <c r="I2664" s="24">
        <f>'Data_in-situ'!CO453</f>
        <v>39190.179677079308</v>
      </c>
      <c r="J2664" s="46">
        <f>'Data_in-situ'!CP453</f>
        <v>1</v>
      </c>
      <c r="K2664" s="24">
        <f>'Data_in-situ'!CR453</f>
        <v>161810</v>
      </c>
      <c r="L2664" s="24">
        <f>'Data_in-situ'!CS453</f>
        <v>42457.515215626641</v>
      </c>
      <c r="M2664" s="46">
        <f>'Data_in-situ'!CT453</f>
        <v>1</v>
      </c>
      <c r="N2664" s="24">
        <f>'Data_in-situ'!DA349</f>
        <v>-48.179151155642103</v>
      </c>
      <c r="O2664" s="24">
        <f>'Data_in-situ'!DB349</f>
        <v>1897.3884326053135</v>
      </c>
      <c r="P2664" s="46">
        <f>'Data_in-situ'!DC349</f>
        <v>3</v>
      </c>
      <c r="Q2664" s="24">
        <f>'Data_in-situ'!DE349</f>
        <v>1064.0214415998626</v>
      </c>
      <c r="R2664" s="24">
        <f>'Data_in-situ'!DF349</f>
        <v>385.19113146523358</v>
      </c>
      <c r="S2664" s="46">
        <f>'Data_in-situ'!DG349</f>
        <v>3</v>
      </c>
      <c r="Z2664" s="113">
        <f>'Data_in-situ'!EA218</f>
        <v>1.3785046728971999</v>
      </c>
      <c r="AA2664" s="113">
        <f>'Data_in-situ'!EB218</f>
        <v>1.030159237619066</v>
      </c>
      <c r="AB2664" s="46">
        <f>'Data_in-situ'!EC218</f>
        <v>6</v>
      </c>
      <c r="AC2664" s="113">
        <f>'Data_in-situ'!EE218</f>
        <v>2.8037383177570097</v>
      </c>
      <c r="AD2664" s="113">
        <f>'Data_in-situ'!EF218</f>
        <v>2.5181670252910933</v>
      </c>
      <c r="AE2664" s="46">
        <f>'Data_in-situ'!EG218</f>
        <v>6</v>
      </c>
      <c r="AF2664" s="113">
        <f>'Data_in-situ'!EN102</f>
        <v>-10</v>
      </c>
      <c r="AG2664" s="113">
        <f>'Data_in-situ'!EO102</f>
        <v>5.6568542494923806</v>
      </c>
      <c r="AH2664" s="110">
        <f>'Data_in-situ'!EP102</f>
        <v>4</v>
      </c>
      <c r="AI2664" s="113">
        <f>'Data_in-situ'!ER102</f>
        <v>-16.5</v>
      </c>
      <c r="AJ2664" s="113">
        <f>'Data_in-situ'!ES102</f>
        <v>3.5355339059327378</v>
      </c>
      <c r="AK2664" s="110">
        <f>'Data_in-situ'!ET102</f>
        <v>4</v>
      </c>
    </row>
    <row r="2665" spans="2:37" x14ac:dyDescent="0.3">
      <c r="B2665" s="24">
        <f>'Data_in-situ'!CA454</f>
        <v>-160161.20218579238</v>
      </c>
      <c r="C2665" s="24">
        <f>'Data_in-situ'!CB454</f>
        <v>10636.467274593098</v>
      </c>
      <c r="D2665" s="46">
        <f>'Data_in-situ'!CC454</f>
        <v>3</v>
      </c>
      <c r="E2665" s="24">
        <f>'Data_in-situ'!CE454</f>
        <v>-207277.44990892528</v>
      </c>
      <c r="F2665" s="24">
        <f>'Data_in-situ'!CF454</f>
        <v>21272.601806047955</v>
      </c>
      <c r="G2665" s="46">
        <f>'Data_in-situ'!CG454</f>
        <v>3</v>
      </c>
      <c r="H2665" s="24">
        <f>'Data_in-situ'!CN454</f>
        <v>67306.558222944135</v>
      </c>
      <c r="I2665" s="24">
        <f>'Data_in-situ'!CO454</f>
        <v>13632.710832908837</v>
      </c>
      <c r="J2665" s="46">
        <f>'Data_in-situ'!CP454</f>
        <v>3</v>
      </c>
      <c r="K2665" s="24">
        <f>'Data_in-situ'!CR454</f>
        <v>144420.60780366213</v>
      </c>
      <c r="L2665" s="24">
        <f>'Data_in-situ'!CS454</f>
        <v>24745.786342212687</v>
      </c>
      <c r="M2665" s="46">
        <f>'Data_in-situ'!CT454</f>
        <v>3</v>
      </c>
      <c r="N2665" s="24">
        <f>'Data_in-situ'!DA350</f>
        <v>966.28380447712357</v>
      </c>
      <c r="O2665" s="24">
        <f>'Data_in-situ'!DB350</f>
        <v>2670.8132341684627</v>
      </c>
      <c r="P2665" s="46">
        <f>'Data_in-situ'!DC350</f>
        <v>3</v>
      </c>
      <c r="Q2665" s="24">
        <f>'Data_in-situ'!DE350</f>
        <v>-527.61294357135102</v>
      </c>
      <c r="R2665" s="24">
        <f>'Data_in-situ'!DF350</f>
        <v>119.07629993106522</v>
      </c>
      <c r="S2665" s="46">
        <f>'Data_in-situ'!DG350</f>
        <v>3</v>
      </c>
      <c r="Z2665" s="113">
        <f>'Data_in-situ'!EA219</f>
        <v>2.294285714285714</v>
      </c>
      <c r="AA2665" s="113">
        <f>'Data_in-situ'!EB219</f>
        <v>0.87097412037749256</v>
      </c>
      <c r="AB2665" s="46">
        <f>'Data_in-situ'!EC219</f>
        <v>3</v>
      </c>
      <c r="AC2665" s="113">
        <f>'Data_in-situ'!EE219</f>
        <v>2.152857142857143</v>
      </c>
      <c r="AD2665" s="113">
        <f>'Data_in-situ'!EF219</f>
        <v>0.81653823785389912</v>
      </c>
      <c r="AE2665" s="46">
        <f>'Data_in-situ'!EG219</f>
        <v>3</v>
      </c>
      <c r="AF2665" s="113">
        <f>'Data_in-situ'!EN104</f>
        <v>-27.34</v>
      </c>
      <c r="AG2665" s="113">
        <f>'Data_in-situ'!EO104</f>
        <v>6.04</v>
      </c>
      <c r="AH2665" s="110">
        <f>'Data_in-situ'!EP104</f>
        <v>3</v>
      </c>
      <c r="AI2665" s="113">
        <f>'Data_in-situ'!ER104</f>
        <v>-42.07</v>
      </c>
      <c r="AJ2665" s="113">
        <f>'Data_in-situ'!ES104</f>
        <v>2.04</v>
      </c>
      <c r="AK2665" s="110">
        <f>'Data_in-situ'!ET104</f>
        <v>3</v>
      </c>
    </row>
    <row r="2666" spans="2:37" x14ac:dyDescent="0.3">
      <c r="B2666" s="24">
        <f>'Data_in-situ'!CA455</f>
        <v>-160161.20218579238</v>
      </c>
      <c r="C2666" s="24">
        <f>'Data_in-situ'!CB455</f>
        <v>10636.467274593098</v>
      </c>
      <c r="D2666" s="46">
        <f>'Data_in-situ'!CC455</f>
        <v>3</v>
      </c>
      <c r="E2666" s="24">
        <f>'Data_in-situ'!CE455</f>
        <v>-129453.33333333317</v>
      </c>
      <c r="F2666" s="24">
        <f>'Data_in-situ'!CF455</f>
        <v>6791.9062619830866</v>
      </c>
      <c r="G2666" s="46">
        <f>'Data_in-situ'!CG455</f>
        <v>3</v>
      </c>
      <c r="H2666" s="24">
        <f>'Data_in-situ'!CN455</f>
        <v>67306.558222944135</v>
      </c>
      <c r="I2666" s="24">
        <f>'Data_in-situ'!CO455</f>
        <v>13632.710832908837</v>
      </c>
      <c r="J2666" s="46">
        <f>'Data_in-situ'!CP455</f>
        <v>3</v>
      </c>
      <c r="K2666" s="24">
        <f>'Data_in-situ'!CR455</f>
        <v>78968.070175438406</v>
      </c>
      <c r="L2666" s="24">
        <f>'Data_in-situ'!CS455</f>
        <v>7711.5970214802783</v>
      </c>
      <c r="M2666" s="46">
        <f>'Data_in-situ'!CT455</f>
        <v>3</v>
      </c>
      <c r="N2666" s="24">
        <f>'Data_in-situ'!DA351</f>
        <v>4462.8866415951125</v>
      </c>
      <c r="O2666" s="24">
        <f>'Data_in-situ'!DB351</f>
        <v>2118.4369604304802</v>
      </c>
      <c r="P2666" s="46">
        <f>'Data_in-situ'!DC351</f>
        <v>3</v>
      </c>
      <c r="Q2666" s="24">
        <f>'Data_in-situ'!DE351</f>
        <v>11338.017563286921</v>
      </c>
      <c r="R2666" s="24">
        <f>'Data_in-situ'!DF351</f>
        <v>1981.8390153148923</v>
      </c>
      <c r="S2666" s="46">
        <f>'Data_in-situ'!DG351</f>
        <v>3</v>
      </c>
      <c r="Z2666" s="113">
        <f>'Data_in-situ'!EA220</f>
        <v>0.3457142857142857</v>
      </c>
      <c r="AA2666" s="113">
        <f>'Data_in-situ'!EB220</f>
        <v>0.10887176504718657</v>
      </c>
      <c r="AB2666" s="46">
        <f>'Data_in-situ'!EC220</f>
        <v>3</v>
      </c>
      <c r="AC2666" s="113">
        <f>'Data_in-situ'!EE220</f>
        <v>0.29857142857142854</v>
      </c>
      <c r="AD2666" s="113">
        <f>'Data_in-situ'!EF220</f>
        <v>8.165382378538992E-2</v>
      </c>
      <c r="AE2666" s="46">
        <f>'Data_in-situ'!EG220</f>
        <v>3</v>
      </c>
      <c r="AF2666" s="113">
        <f>'Data_in-situ'!EN105</f>
        <v>-27.34</v>
      </c>
      <c r="AG2666" s="113">
        <f>'Data_in-situ'!EO105</f>
        <v>6.04</v>
      </c>
      <c r="AH2666" s="110">
        <f>'Data_in-situ'!EP105</f>
        <v>3</v>
      </c>
      <c r="AI2666" s="113">
        <f>'Data_in-situ'!ER105</f>
        <v>-42.07</v>
      </c>
      <c r="AJ2666" s="113">
        <f>'Data_in-situ'!ES105</f>
        <v>2.04</v>
      </c>
      <c r="AK2666" s="110">
        <f>'Data_in-situ'!ET105</f>
        <v>3</v>
      </c>
    </row>
    <row r="2667" spans="2:37" x14ac:dyDescent="0.3">
      <c r="B2667" s="24">
        <f>'Data_in-situ'!CA468</f>
        <v>-38630</v>
      </c>
      <c r="C2667" s="24">
        <f>'Data_in-situ'!CB468</f>
        <v>9418.3980924076168</v>
      </c>
      <c r="D2667" s="46">
        <f>'Data_in-situ'!CC468</f>
        <v>1</v>
      </c>
      <c r="E2667" s="24">
        <f>'Data_in-situ'!CE468</f>
        <v>-35990</v>
      </c>
      <c r="F2667" s="24">
        <f>'Data_in-situ'!CF468</f>
        <v>880</v>
      </c>
      <c r="G2667" s="46">
        <f>'Data_in-situ'!CG468</f>
        <v>1</v>
      </c>
      <c r="H2667" s="24">
        <f>'Data_in-situ'!CN468</f>
        <v>37280</v>
      </c>
      <c r="I2667" s="24">
        <f>'Data_in-situ'!CO468</f>
        <v>1760</v>
      </c>
      <c r="J2667" s="46">
        <f>'Data_in-situ'!CP468</f>
        <v>1</v>
      </c>
      <c r="K2667" s="24">
        <f>'Data_in-situ'!CR468</f>
        <v>35670</v>
      </c>
      <c r="L2667" s="24">
        <f>'Data_in-situ'!CS468</f>
        <v>670</v>
      </c>
      <c r="M2667" s="46">
        <f>'Data_in-situ'!CT468</f>
        <v>1</v>
      </c>
      <c r="N2667" s="24">
        <f>'Data_in-situ'!DA352</f>
        <v>-65.821682153624351</v>
      </c>
      <c r="O2667" s="24">
        <f>'Data_in-situ'!DB352</f>
        <v>2444.1125484173954</v>
      </c>
      <c r="P2667" s="46">
        <f>'Data_in-situ'!DC352</f>
        <v>3</v>
      </c>
      <c r="Q2667" s="24">
        <f>'Data_in-situ'!DE352</f>
        <v>2804.9514685184622</v>
      </c>
      <c r="R2667" s="24">
        <f>'Data_in-situ'!DF352</f>
        <v>528.03532028319501</v>
      </c>
      <c r="S2667" s="46">
        <f>'Data_in-situ'!DG352</f>
        <v>3</v>
      </c>
      <c r="T2667" s="113">
        <f>'Data_in-situ'!DN128</f>
        <v>214.33232862768773</v>
      </c>
      <c r="U2667" s="113">
        <f>'Data_in-situ'!DO128</f>
        <v>127.05286261842672</v>
      </c>
      <c r="V2667" s="46">
        <f>'Data_in-situ'!DP128</f>
        <v>18</v>
      </c>
      <c r="W2667" s="113">
        <f>'Data_in-situ'!DR128</f>
        <v>74.807487646490884</v>
      </c>
      <c r="X2667" s="113">
        <f>'Data_in-situ'!DS128</f>
        <v>46.844140538456692</v>
      </c>
      <c r="Y2667" s="46">
        <f>'Data_in-situ'!DT128</f>
        <v>18</v>
      </c>
      <c r="Z2667" s="113">
        <f>'Data_in-situ'!EA221</f>
        <v>1.1800914940670852</v>
      </c>
      <c r="AA2667" s="113">
        <f>'Data_in-situ'!EB221</f>
        <v>0.73618285714285703</v>
      </c>
      <c r="AB2667" s="46">
        <f>'Data_in-situ'!EC221</f>
        <v>2</v>
      </c>
      <c r="AC2667" s="113">
        <f>'Data_in-situ'!EE221</f>
        <v>0.9163634502292034</v>
      </c>
      <c r="AD2667" s="113">
        <f>'Data_in-situ'!EF221</f>
        <v>0.55673828571428574</v>
      </c>
      <c r="AE2667" s="46">
        <f>'Data_in-situ'!EG221</f>
        <v>6</v>
      </c>
      <c r="AF2667" s="113">
        <f>'Data_in-situ'!EN106</f>
        <v>-2.62</v>
      </c>
      <c r="AG2667" s="113">
        <f>'Data_in-situ'!EO106</f>
        <v>0.79</v>
      </c>
      <c r="AH2667" s="110">
        <f>'Data_in-situ'!EP106</f>
        <v>3</v>
      </c>
      <c r="AI2667" s="113">
        <f>'Data_in-situ'!ER106</f>
        <v>-21.88</v>
      </c>
      <c r="AJ2667" s="113">
        <f>'Data_in-situ'!ES106</f>
        <v>3.76</v>
      </c>
      <c r="AK2667" s="110">
        <f>'Data_in-situ'!ET106</f>
        <v>3</v>
      </c>
    </row>
    <row r="2668" spans="2:37" x14ac:dyDescent="0.3">
      <c r="B2668" s="24">
        <f>'Data_in-situ'!CA469</f>
        <v>-21404.3</v>
      </c>
      <c r="C2668" s="24">
        <f>'Data_in-situ'!CB469</f>
        <v>5218.5922415045388</v>
      </c>
      <c r="D2668" s="46">
        <f>'Data_in-situ'!CC469</f>
        <v>1</v>
      </c>
      <c r="E2668" s="24">
        <f>'Data_in-situ'!CE469</f>
        <v>-19205.5</v>
      </c>
      <c r="F2668" s="24">
        <f>'Data_in-situ'!CF469</f>
        <v>7149.6141317486772</v>
      </c>
      <c r="G2668" s="46">
        <f>'Data_in-situ'!CG469</f>
        <v>1</v>
      </c>
      <c r="H2668" s="24">
        <f>'Data_in-situ'!CN469</f>
        <v>15413.8</v>
      </c>
      <c r="I2668" s="24">
        <f>'Data_in-situ'!CO469</f>
        <v>4433.4298231717758</v>
      </c>
      <c r="J2668" s="46">
        <f>'Data_in-situ'!CP469</f>
        <v>1</v>
      </c>
      <c r="K2668" s="24">
        <f>'Data_in-situ'!CR469</f>
        <v>13847.5</v>
      </c>
      <c r="L2668" s="24">
        <f>'Data_in-situ'!CS469</f>
        <v>3633.4617263975647</v>
      </c>
      <c r="M2668" s="46">
        <f>'Data_in-situ'!CT469</f>
        <v>1</v>
      </c>
      <c r="N2668" s="24">
        <f>'Data_in-situ'!DA353</f>
        <v>-369.93524485829175</v>
      </c>
      <c r="O2668" s="24">
        <f>'Data_in-situ'!DB353</f>
        <v>430.23040896760483</v>
      </c>
      <c r="P2668" s="46">
        <f>'Data_in-situ'!DC353</f>
        <v>3</v>
      </c>
      <c r="Q2668" s="24">
        <f>'Data_in-situ'!DE353</f>
        <v>527.66414470429572</v>
      </c>
      <c r="R2668" s="24">
        <f>'Data_in-situ'!DF353</f>
        <v>650.28157743771067</v>
      </c>
      <c r="S2668" s="46">
        <f>'Data_in-situ'!DG353</f>
        <v>3</v>
      </c>
      <c r="T2668" s="113">
        <f>'Data_in-situ'!DN129</f>
        <v>214.33232862768773</v>
      </c>
      <c r="U2668" s="113">
        <f>'Data_in-situ'!DO129</f>
        <v>127.05286261842672</v>
      </c>
      <c r="V2668" s="46">
        <f>'Data_in-situ'!DP129</f>
        <v>18</v>
      </c>
      <c r="W2668" s="113">
        <f>'Data_in-situ'!DR129</f>
        <v>3.701330808396313</v>
      </c>
      <c r="X2668" s="113">
        <f>'Data_in-situ'!DS129</f>
        <v>11.16614647740138</v>
      </c>
      <c r="Y2668" s="46">
        <f>'Data_in-situ'!DT129</f>
        <v>18</v>
      </c>
      <c r="Z2668" s="113">
        <f>'Data_in-situ'!EA250</f>
        <v>4.7842000883736189E-3</v>
      </c>
      <c r="AA2668" s="113">
        <f>'Data_in-situ'!EB250</f>
        <v>5.7651671572041305E-2</v>
      </c>
      <c r="AB2668" s="46">
        <f>'Data_in-situ'!EC250</f>
        <v>3</v>
      </c>
      <c r="AC2668" s="113">
        <f>'Data_in-situ'!EE250</f>
        <v>2.8668507573783328</v>
      </c>
      <c r="AD2668" s="113">
        <f>'Data_in-situ'!EF250</f>
        <v>1.8611493473177243</v>
      </c>
      <c r="AE2668" s="46">
        <f>'Data_in-situ'!EG250</f>
        <v>3</v>
      </c>
      <c r="AF2668" s="113">
        <f>'Data_in-situ'!EN107</f>
        <v>-6.51</v>
      </c>
      <c r="AG2668" s="113">
        <f>'Data_in-situ'!EO107</f>
        <v>2.2799999999999998</v>
      </c>
      <c r="AH2668" s="110">
        <f>'Data_in-situ'!EP107</f>
        <v>3</v>
      </c>
      <c r="AI2668" s="113">
        <f>'Data_in-situ'!ER107</f>
        <v>-46.73</v>
      </c>
      <c r="AJ2668" s="113">
        <f>'Data_in-situ'!ES107</f>
        <v>5.78</v>
      </c>
      <c r="AK2668" s="110">
        <f>'Data_in-situ'!ET107</f>
        <v>3</v>
      </c>
    </row>
    <row r="2669" spans="2:37" x14ac:dyDescent="0.3">
      <c r="N2669" s="24">
        <f>'Data_in-situ'!DA354</f>
        <v>-1940.5839500221145</v>
      </c>
      <c r="O2669" s="24">
        <f>'Data_in-situ'!DB354</f>
        <v>5821.085373365031</v>
      </c>
      <c r="P2669" s="46">
        <f>'Data_in-situ'!DC354</f>
        <v>3</v>
      </c>
      <c r="Q2669" s="24">
        <f>'Data_in-situ'!DE354</f>
        <v>-1152.9019230752547</v>
      </c>
      <c r="R2669" s="24">
        <f>'Data_in-situ'!DF354</f>
        <v>1098.8801605135104</v>
      </c>
      <c r="S2669" s="46">
        <f>'Data_in-situ'!DG354</f>
        <v>3</v>
      </c>
      <c r="T2669" s="113">
        <f>'Data_in-situ'!DN130</f>
        <v>319.22459108513186</v>
      </c>
      <c r="U2669" s="113">
        <f>'Data_in-situ'!DO130</f>
        <v>121.19295255477282</v>
      </c>
      <c r="V2669" s="46">
        <f>'Data_in-situ'!DP130</f>
        <v>18</v>
      </c>
      <c r="W2669" s="113">
        <f>'Data_in-situ'!DR130</f>
        <v>222.57960625006015</v>
      </c>
      <c r="X2669" s="113">
        <f>'Data_in-situ'!DS130</f>
        <v>146.24752567167019</v>
      </c>
      <c r="Y2669" s="46">
        <f>'Data_in-situ'!DT130</f>
        <v>18</v>
      </c>
      <c r="Z2669" s="113">
        <f>'Data_in-situ'!EA251</f>
        <v>2.9121217929230725E-2</v>
      </c>
      <c r="AA2669" s="113">
        <f>'Data_in-situ'!EB251</f>
        <v>6.8659445106331193E-2</v>
      </c>
      <c r="AB2669" s="46">
        <f>'Data_in-situ'!EC251</f>
        <v>3</v>
      </c>
      <c r="AC2669" s="113">
        <f>'Data_in-situ'!EE251</f>
        <v>0.10511786110387221</v>
      </c>
      <c r="AD2669" s="113">
        <f>'Data_in-situ'!EF251</f>
        <v>0.10740648717807684</v>
      </c>
      <c r="AE2669" s="46">
        <f>'Data_in-situ'!EG251</f>
        <v>3</v>
      </c>
      <c r="AF2669" s="113">
        <f>'Data_in-situ'!EN108</f>
        <v>-10.75</v>
      </c>
      <c r="AG2669" s="113">
        <f>'Data_in-situ'!EO108</f>
        <v>1.853</v>
      </c>
      <c r="AH2669" s="110">
        <f>'Data_in-situ'!EP108</f>
        <v>3</v>
      </c>
      <c r="AI2669" s="113">
        <f>'Data_in-situ'!ER108</f>
        <v>-20.14</v>
      </c>
      <c r="AJ2669" s="113">
        <f>'Data_in-situ'!ES108</f>
        <v>1.87</v>
      </c>
      <c r="AK2669" s="110">
        <f>'Data_in-situ'!ET108</f>
        <v>3</v>
      </c>
    </row>
    <row r="2670" spans="2:37" x14ac:dyDescent="0.3">
      <c r="N2670" s="24">
        <f>'Data_in-situ'!DA355</f>
        <v>-1217.0329724395615</v>
      </c>
      <c r="O2670" s="24">
        <f>'Data_in-situ'!DB355</f>
        <v>3650.6809379157057</v>
      </c>
      <c r="P2670" s="46">
        <f>'Data_in-situ'!DC355</f>
        <v>3</v>
      </c>
      <c r="Q2670" s="24">
        <f>'Data_in-situ'!DE355</f>
        <v>-942.32663407012569</v>
      </c>
      <c r="R2670" s="24">
        <f>'Data_in-situ'!DF355</f>
        <v>898.17184114068311</v>
      </c>
      <c r="S2670" s="46">
        <f>'Data_in-situ'!DG355</f>
        <v>3</v>
      </c>
      <c r="T2670" s="113">
        <f>'Data_in-situ'!DN131</f>
        <v>319.22459108513186</v>
      </c>
      <c r="U2670" s="113">
        <f>'Data_in-situ'!DO131</f>
        <v>121.19295255477282</v>
      </c>
      <c r="V2670" s="46">
        <f>'Data_in-situ'!DP131</f>
        <v>18</v>
      </c>
      <c r="W2670" s="113">
        <f>'Data_in-situ'!DR131</f>
        <v>5.4661003499523613</v>
      </c>
      <c r="X2670" s="113">
        <f>'Data_in-situ'!DS131</f>
        <v>11.395301936593999</v>
      </c>
      <c r="Y2670" s="46">
        <f>'Data_in-situ'!DT131</f>
        <v>18</v>
      </c>
      <c r="Z2670" s="113">
        <f>'Data_in-situ'!EA254</f>
        <v>1.9797330692495084E-2</v>
      </c>
      <c r="AA2670" s="113">
        <f>'Data_in-situ'!EB254</f>
        <v>9.4097353220211316E-2</v>
      </c>
      <c r="AB2670" s="46">
        <f>'Data_in-situ'!EC254</f>
        <v>3</v>
      </c>
      <c r="AC2670" s="113">
        <f>'Data_in-situ'!EE254</f>
        <v>2.4487558815364012E-2</v>
      </c>
      <c r="AD2670" s="113">
        <f>'Data_in-situ'!EF254</f>
        <v>5.089541115262039E-2</v>
      </c>
      <c r="AE2670" s="46">
        <f>'Data_in-situ'!EG254</f>
        <v>3</v>
      </c>
      <c r="AF2670" s="113">
        <f>'Data_in-situ'!EN109</f>
        <v>-24.62</v>
      </c>
      <c r="AG2670" s="113">
        <f>'Data_in-situ'!EO109</f>
        <v>6.88</v>
      </c>
      <c r="AH2670" s="110">
        <f>'Data_in-situ'!EP109</f>
        <v>3</v>
      </c>
      <c r="AI2670" s="113">
        <f>'Data_in-situ'!ER109</f>
        <v>-23.22</v>
      </c>
      <c r="AJ2670" s="113">
        <f>'Data_in-situ'!ES109</f>
        <v>6.41</v>
      </c>
      <c r="AK2670" s="110">
        <f>'Data_in-situ'!ET109</f>
        <v>3</v>
      </c>
    </row>
    <row r="2671" spans="2:37" x14ac:dyDescent="0.3">
      <c r="N2671" s="24">
        <f>'Data_in-situ'!DA356</f>
        <v>-1217.0329724395615</v>
      </c>
      <c r="O2671" s="24">
        <f>'Data_in-situ'!DB356</f>
        <v>3650.6809379157057</v>
      </c>
      <c r="P2671" s="46">
        <f>'Data_in-situ'!DC356</f>
        <v>3</v>
      </c>
      <c r="Q2671" s="24">
        <f>'Data_in-situ'!DE356</f>
        <v>1071.9796143688573</v>
      </c>
      <c r="R2671" s="24">
        <f>'Data_in-situ'!DF356</f>
        <v>1021.7496450719074</v>
      </c>
      <c r="S2671" s="46">
        <f>'Data_in-situ'!DG356</f>
        <v>3</v>
      </c>
      <c r="T2671" s="113">
        <f>'Data_in-situ'!DN132</f>
        <v>440.08296271455015</v>
      </c>
      <c r="U2671" s="113">
        <f>'Data_in-situ'!DO132</f>
        <v>113.40347895786114</v>
      </c>
      <c r="V2671" s="46">
        <f>'Data_in-situ'!DP132</f>
        <v>21</v>
      </c>
      <c r="W2671" s="113">
        <f>'Data_in-situ'!DR132</f>
        <v>251.76858211880577</v>
      </c>
      <c r="X2671" s="113">
        <f>'Data_in-situ'!DS132</f>
        <v>162.14335017466513</v>
      </c>
      <c r="Y2671" s="46">
        <f>'Data_in-situ'!DT132</f>
        <v>21</v>
      </c>
      <c r="Z2671" s="113">
        <f>'Data_in-situ'!EA255</f>
        <v>-0.1060571287097951</v>
      </c>
      <c r="AA2671" s="113">
        <f>'Data_in-situ'!EB255</f>
        <v>0.28407129566600942</v>
      </c>
      <c r="AB2671" s="46">
        <f>'Data_in-situ'!EC255</f>
        <v>3</v>
      </c>
      <c r="AC2671" s="113">
        <f>'Data_in-situ'!EE255</f>
        <v>-1.1798551065584481E-2</v>
      </c>
      <c r="AD2671" s="113">
        <f>'Data_in-situ'!EF255</f>
        <v>4.6464249030440392E-2</v>
      </c>
      <c r="AE2671" s="46">
        <f>'Data_in-situ'!EG255</f>
        <v>3</v>
      </c>
      <c r="AF2671" s="113">
        <f>'Data_in-situ'!EN110</f>
        <v>-6.95</v>
      </c>
      <c r="AG2671" s="113">
        <f>'Data_in-situ'!EO110</f>
        <v>1.41</v>
      </c>
      <c r="AH2671" s="110">
        <f>'Data_in-situ'!EP110</f>
        <v>3</v>
      </c>
      <c r="AI2671" s="113">
        <f>'Data_in-situ'!ER110</f>
        <v>-21.5</v>
      </c>
      <c r="AJ2671" s="113">
        <f>'Data_in-situ'!ES110</f>
        <v>1.76</v>
      </c>
      <c r="AK2671" s="110">
        <f>'Data_in-situ'!ET110</f>
        <v>3</v>
      </c>
    </row>
    <row r="2672" spans="2:37" x14ac:dyDescent="0.3">
      <c r="N2672" s="24">
        <f>'Data_in-situ'!DA357</f>
        <v>-1962.6668608737455</v>
      </c>
      <c r="O2672" s="24">
        <f>'Data_in-situ'!DB357</f>
        <v>5887.3265217360085</v>
      </c>
      <c r="P2672" s="46">
        <f>'Data_in-situ'!DC357</f>
        <v>3</v>
      </c>
      <c r="Q2672" s="24">
        <f>'Data_in-situ'!DE357</f>
        <v>-2114.1462339116297</v>
      </c>
      <c r="R2672" s="24">
        <f>'Data_in-situ'!DF357</f>
        <v>2015.0832489488362</v>
      </c>
      <c r="S2672" s="46">
        <f>'Data_in-situ'!DG357</f>
        <v>3</v>
      </c>
      <c r="T2672" s="113">
        <f>'Data_in-situ'!DN133</f>
        <v>440.08296271455015</v>
      </c>
      <c r="U2672" s="113">
        <f>'Data_in-situ'!DO133</f>
        <v>113.40347895786114</v>
      </c>
      <c r="V2672" s="46">
        <f>'Data_in-situ'!DP133</f>
        <v>21</v>
      </c>
      <c r="W2672" s="113">
        <f>'Data_in-situ'!DR133</f>
        <v>25.550114778634466</v>
      </c>
      <c r="X2672" s="113">
        <f>'Data_in-situ'!DS133</f>
        <v>18.733958929588759</v>
      </c>
      <c r="Y2672" s="46">
        <f>'Data_in-situ'!DT133</f>
        <v>21</v>
      </c>
      <c r="Z2672" s="113">
        <f>'Data_in-situ'!EA256</f>
        <v>-4.2277844422856668E-2</v>
      </c>
      <c r="AA2672" s="113">
        <f>'Data_in-situ'!EB256</f>
        <v>0.1213395789758789</v>
      </c>
      <c r="AB2672" s="46">
        <f>'Data_in-situ'!EC256</f>
        <v>3</v>
      </c>
      <c r="AC2672" s="113">
        <f>'Data_in-situ'!EE256</f>
        <v>4.8975117630728024E-2</v>
      </c>
      <c r="AD2672" s="113">
        <f>'Data_in-situ'!EF256</f>
        <v>0.13610077440950419</v>
      </c>
      <c r="AE2672" s="46">
        <f>'Data_in-situ'!EG256</f>
        <v>3</v>
      </c>
      <c r="AF2672" s="113">
        <f>'Data_in-situ'!EN111</f>
        <v>-14.43</v>
      </c>
      <c r="AG2672" s="113">
        <f>'Data_in-situ'!EO111</f>
        <v>3.89</v>
      </c>
      <c r="AH2672" s="110">
        <f>'Data_in-situ'!EP111</f>
        <v>3</v>
      </c>
      <c r="AI2672" s="113">
        <f>'Data_in-situ'!ER111</f>
        <v>-28.3</v>
      </c>
      <c r="AJ2672" s="113">
        <f>'Data_in-situ'!ES111</f>
        <v>4.55</v>
      </c>
      <c r="AK2672" s="110">
        <f>'Data_in-situ'!ET111</f>
        <v>3</v>
      </c>
    </row>
    <row r="2673" spans="14:37" x14ac:dyDescent="0.3">
      <c r="N2673" s="24">
        <f>'Data_in-situ'!DA358</f>
        <v>-3003.1418917849933</v>
      </c>
      <c r="O2673" s="24">
        <f>'Data_in-situ'!DB358</f>
        <v>9008.3942723581713</v>
      </c>
      <c r="P2673" s="46">
        <f>'Data_in-situ'!DC358</f>
        <v>3</v>
      </c>
      <c r="Q2673" s="24">
        <f>'Data_in-situ'!DE358</f>
        <v>-834.0354104877897</v>
      </c>
      <c r="R2673" s="24">
        <f>'Data_in-situ'!DF358</f>
        <v>794.95484169727581</v>
      </c>
      <c r="S2673" s="46">
        <f>'Data_in-situ'!DG358</f>
        <v>3</v>
      </c>
      <c r="T2673" s="113">
        <f>'Data_in-situ'!DN134</f>
        <v>3.1</v>
      </c>
      <c r="U2673" s="113">
        <f>'Data_in-situ'!DO134</f>
        <v>0.1</v>
      </c>
      <c r="V2673" s="46">
        <f>'Data_in-situ'!DP134</f>
        <v>3</v>
      </c>
      <c r="W2673" s="113">
        <f>'Data_in-situ'!DR134</f>
        <v>-2.8100000000000005</v>
      </c>
      <c r="X2673" s="113">
        <f>'Data_in-situ'!DS134</f>
        <v>0.1</v>
      </c>
      <c r="Y2673" s="46">
        <f>'Data_in-situ'!DT134</f>
        <v>3</v>
      </c>
      <c r="Z2673" s="113">
        <f>'Data_in-situ'!EA257</f>
        <v>-4.2422851483918042E-3</v>
      </c>
      <c r="AA2673" s="113">
        <f>'Data_in-situ'!EB257</f>
        <v>0.15345744896774013</v>
      </c>
      <c r="AB2673" s="46">
        <f>'Data_in-situ'!EC257</f>
        <v>3</v>
      </c>
      <c r="AC2673" s="113">
        <f>'Data_in-situ'!EE257</f>
        <v>0.11130708552438189</v>
      </c>
      <c r="AD2673" s="113">
        <f>'Data_in-situ'!EF257</f>
        <v>0.10440008400553796</v>
      </c>
      <c r="AE2673" s="46">
        <f>'Data_in-situ'!EG257</f>
        <v>3</v>
      </c>
      <c r="AF2673" s="113">
        <f>'Data_in-situ'!EN112</f>
        <v>22</v>
      </c>
      <c r="AG2673" s="113">
        <f>'Data_in-situ'!EO112</f>
        <v>8.964920772528453</v>
      </c>
      <c r="AH2673" s="110">
        <f>'Data_in-situ'!EP112</f>
        <v>3</v>
      </c>
      <c r="AI2673" s="113">
        <f>'Data_in-situ'!ER112</f>
        <v>-35</v>
      </c>
      <c r="AJ2673" s="113">
        <f>'Data_in-situ'!ES112</f>
        <v>7.9384918728217961</v>
      </c>
      <c r="AK2673" s="110">
        <f>'Data_in-situ'!ET112</f>
        <v>3</v>
      </c>
    </row>
    <row r="2674" spans="14:37" x14ac:dyDescent="0.3">
      <c r="N2674" s="24">
        <f>'Data_in-situ'!DA359</f>
        <v>-3003.1418917849933</v>
      </c>
      <c r="O2674" s="24">
        <f>'Data_in-situ'!DB359</f>
        <v>9008.3942723581713</v>
      </c>
      <c r="P2674" s="46">
        <f>'Data_in-situ'!DC359</f>
        <v>3</v>
      </c>
      <c r="Q2674" s="24">
        <f>'Data_in-situ'!DE359</f>
        <v>1252.6406210204286</v>
      </c>
      <c r="R2674" s="24">
        <f>'Data_in-situ'!DF359</f>
        <v>1193.9453817727929</v>
      </c>
      <c r="S2674" s="46">
        <f>'Data_in-situ'!DG359</f>
        <v>3</v>
      </c>
      <c r="T2674" s="113">
        <f>'Data_in-situ'!DN135</f>
        <v>106</v>
      </c>
      <c r="U2674" s="113">
        <f>'Data_in-situ'!DO135</f>
        <v>76.556645694544372</v>
      </c>
      <c r="V2674" s="46">
        <f>'Data_in-situ'!DP135</f>
        <v>3</v>
      </c>
      <c r="W2674" s="113">
        <f>'Data_in-situ'!DR135</f>
        <v>1</v>
      </c>
      <c r="X2674" s="113">
        <f>'Data_in-situ'!DS135</f>
        <v>2.0784609690826525</v>
      </c>
      <c r="Y2674" s="46">
        <f>'Data_in-situ'!DT135</f>
        <v>3</v>
      </c>
      <c r="Z2674" s="113">
        <f>'Data_in-situ'!EA258</f>
        <v>-5.3028564354897549E-2</v>
      </c>
      <c r="AA2674" s="113">
        <f>'Data_in-situ'!EB258</f>
        <v>0.14435421348527655</v>
      </c>
      <c r="AB2674" s="46">
        <f>'Data_in-situ'!EC258</f>
        <v>3</v>
      </c>
      <c r="AC2674" s="113">
        <f>'Data_in-situ'!EE258</f>
        <v>-7.5688818156579678E-3</v>
      </c>
      <c r="AD2674" s="113">
        <f>'Data_in-situ'!EF258</f>
        <v>3.6346822857934974E-2</v>
      </c>
      <c r="AE2674" s="46">
        <f>'Data_in-situ'!EG258</f>
        <v>3</v>
      </c>
      <c r="AF2674" s="113">
        <f>'Data_in-situ'!EN113</f>
        <v>18</v>
      </c>
      <c r="AG2674" s="113">
        <f>'Data_in-situ'!EO113</f>
        <v>7.3349351775232803</v>
      </c>
      <c r="AH2674" s="110">
        <f>'Data_in-situ'!EP113</f>
        <v>3</v>
      </c>
      <c r="AI2674" s="113">
        <f>'Data_in-situ'!ER113</f>
        <v>-25</v>
      </c>
      <c r="AJ2674" s="113">
        <f>'Data_in-situ'!ES113</f>
        <v>5.670351337729854</v>
      </c>
      <c r="AK2674" s="110">
        <f>'Data_in-situ'!ET113</f>
        <v>3</v>
      </c>
    </row>
    <row r="2675" spans="14:37" x14ac:dyDescent="0.3">
      <c r="N2675" s="24">
        <f>'Data_in-situ'!DA396</f>
        <v>-1484.6994535519118</v>
      </c>
      <c r="O2675" s="24">
        <f>'Data_in-situ'!DB396</f>
        <v>4453.588453524826</v>
      </c>
      <c r="P2675" s="46">
        <f>'Data_in-situ'!DC396</f>
        <v>1</v>
      </c>
      <c r="Q2675" s="24">
        <f>'Data_in-situ'!DE396</f>
        <v>390.71038251366002</v>
      </c>
      <c r="R2675" s="24">
        <f>'Data_in-situ'!DF396</f>
        <v>372.40278575099637</v>
      </c>
      <c r="S2675" s="46">
        <f>'Data_in-situ'!DG396</f>
        <v>1</v>
      </c>
      <c r="T2675" s="113">
        <f>'Data_in-situ'!DN136</f>
        <v>122</v>
      </c>
      <c r="U2675" s="113">
        <f>'Data_in-situ'!DO136</f>
        <v>57.850496972800492</v>
      </c>
      <c r="V2675" s="46">
        <f>'Data_in-situ'!DP136</f>
        <v>3</v>
      </c>
      <c r="W2675" s="113">
        <f>'Data_in-situ'!DR136</f>
        <v>0</v>
      </c>
      <c r="X2675" s="113">
        <f>'Data_in-situ'!DS136</f>
        <v>2.4248711305964279</v>
      </c>
      <c r="Y2675" s="46">
        <f>'Data_in-situ'!DT136</f>
        <v>3</v>
      </c>
      <c r="Z2675" s="113">
        <f>'Data_in-situ'!EA259</f>
        <v>-2.1211425741959021E-3</v>
      </c>
      <c r="AA2675" s="113">
        <f>'Data_in-situ'!EB259</f>
        <v>0.11034884630218306</v>
      </c>
      <c r="AB2675" s="46">
        <f>'Data_in-situ'!EC259</f>
        <v>3</v>
      </c>
      <c r="AC2675" s="113">
        <f>'Data_in-situ'!EE259</f>
        <v>6.0105826183166223E-3</v>
      </c>
      <c r="AD2675" s="113">
        <f>'Data_in-situ'!EF259</f>
        <v>5.4024465971174704E-2</v>
      </c>
      <c r="AE2675" s="46">
        <f>'Data_in-situ'!EG259</f>
        <v>3</v>
      </c>
      <c r="AF2675" s="113">
        <f>'Data_in-situ'!EN114</f>
        <v>14</v>
      </c>
      <c r="AG2675" s="113">
        <f>'Data_in-situ'!EO114</f>
        <v>5.7049495825181067</v>
      </c>
      <c r="AH2675" s="110">
        <f>'Data_in-situ'!EP114</f>
        <v>3</v>
      </c>
      <c r="AI2675" s="113">
        <f>'Data_in-situ'!ER114</f>
        <v>-31</v>
      </c>
      <c r="AJ2675" s="113">
        <f>'Data_in-situ'!ES114</f>
        <v>7.0312356587850191</v>
      </c>
      <c r="AK2675" s="110">
        <f>'Data_in-situ'!ET114</f>
        <v>3</v>
      </c>
    </row>
    <row r="2676" spans="14:37" x14ac:dyDescent="0.3">
      <c r="N2676" s="24">
        <f>'Data_in-situ'!DA397</f>
        <v>-1316.3934426229509</v>
      </c>
      <c r="O2676" s="24">
        <f>'Data_in-situ'!DB397</f>
        <v>3948.7282239754559</v>
      </c>
      <c r="P2676" s="46">
        <f>'Data_in-situ'!DC397</f>
        <v>1</v>
      </c>
      <c r="Q2676" s="24">
        <f>'Data_in-situ'!DE397</f>
        <v>54.098360655737935</v>
      </c>
      <c r="R2676" s="24">
        <f>'Data_in-situ'!DF397</f>
        <v>51.563462642446027</v>
      </c>
      <c r="S2676" s="46">
        <f>'Data_in-situ'!DG397</f>
        <v>1</v>
      </c>
      <c r="T2676" s="113">
        <f>'Data_in-situ'!DN137</f>
        <v>106</v>
      </c>
      <c r="U2676" s="113">
        <f>'Data_in-situ'!DO137</f>
        <v>76.556645694544372</v>
      </c>
      <c r="V2676" s="46">
        <f>'Data_in-situ'!DP137</f>
        <v>3</v>
      </c>
      <c r="W2676" s="113">
        <f>'Data_in-situ'!DR137</f>
        <v>4</v>
      </c>
      <c r="X2676" s="113">
        <f>'Data_in-situ'!DS137</f>
        <v>4.1569219381653051</v>
      </c>
      <c r="Y2676" s="46">
        <f>'Data_in-situ'!DT137</f>
        <v>3</v>
      </c>
      <c r="Z2676" s="113">
        <f>'Data_in-situ'!EA260</f>
        <v>4.7842000883736184E-2</v>
      </c>
      <c r="AA2676" s="113">
        <f>'Data_in-situ'!EB260</f>
        <v>4.4106351316338478E-2</v>
      </c>
      <c r="AB2676" s="46">
        <f>'Data_in-situ'!EC260</f>
        <v>3</v>
      </c>
      <c r="AC2676" s="113">
        <f>'Data_in-situ'!EE260</f>
        <v>0.82820132990929607</v>
      </c>
      <c r="AD2676" s="113">
        <f>'Data_in-situ'!EF260</f>
        <v>0.5966246705874263</v>
      </c>
      <c r="AE2676" s="46">
        <f>'Data_in-situ'!EG260</f>
        <v>3</v>
      </c>
      <c r="AF2676" s="113">
        <f>'Data_in-situ'!EN115</f>
        <v>8</v>
      </c>
      <c r="AG2676" s="113">
        <f>'Data_in-situ'!EO115</f>
        <v>3.2599711900103467</v>
      </c>
      <c r="AH2676" s="110">
        <f>'Data_in-situ'!EP115</f>
        <v>3</v>
      </c>
      <c r="AI2676" s="113">
        <f>'Data_in-situ'!ER115</f>
        <v>-30</v>
      </c>
      <c r="AJ2676" s="113">
        <f>'Data_in-situ'!ES115</f>
        <v>6.8044216052758255</v>
      </c>
      <c r="AK2676" s="110">
        <f>'Data_in-situ'!ET115</f>
        <v>3</v>
      </c>
    </row>
    <row r="2677" spans="14:37" x14ac:dyDescent="0.3">
      <c r="N2677" s="24">
        <f>'Data_in-situ'!DA398</f>
        <v>-1484.6994535519118</v>
      </c>
      <c r="O2677" s="24">
        <f>'Data_in-situ'!DB398</f>
        <v>4453.588453524826</v>
      </c>
      <c r="P2677" s="46">
        <f>'Data_in-situ'!DC398</f>
        <v>1</v>
      </c>
      <c r="Q2677" s="24">
        <f>'Data_in-situ'!DE398</f>
        <v>847.54098360655883</v>
      </c>
      <c r="R2677" s="24">
        <f>'Data_in-situ'!DF398</f>
        <v>807.82758139831913</v>
      </c>
      <c r="S2677" s="46">
        <f>'Data_in-situ'!DG398</f>
        <v>1</v>
      </c>
      <c r="T2677" s="113">
        <f>'Data_in-situ'!DN138</f>
        <v>122</v>
      </c>
      <c r="U2677" s="113">
        <f>'Data_in-situ'!DO138</f>
        <v>57.850496972800492</v>
      </c>
      <c r="V2677" s="46">
        <f>'Data_in-situ'!DP138</f>
        <v>3</v>
      </c>
      <c r="W2677" s="113">
        <f>'Data_in-situ'!DR138</f>
        <v>5</v>
      </c>
      <c r="X2677" s="113">
        <f>'Data_in-situ'!DS138</f>
        <v>6.9282032302755088</v>
      </c>
      <c r="Y2677" s="46">
        <f>'Data_in-situ'!DT138</f>
        <v>3</v>
      </c>
      <c r="Z2677" s="113">
        <f>'Data_in-situ'!EA261</f>
        <v>0.27041130934285673</v>
      </c>
      <c r="AA2677" s="113">
        <f>'Data_in-situ'!EB261</f>
        <v>0.17637490766446459</v>
      </c>
      <c r="AB2677" s="46">
        <f>'Data_in-situ'!EC261</f>
        <v>3</v>
      </c>
      <c r="AC2677" s="113">
        <f>'Data_in-situ'!EE261</f>
        <v>1.0193247137345183</v>
      </c>
      <c r="AD2677" s="113">
        <f>'Data_in-situ'!EF261</f>
        <v>0.85363748658627392</v>
      </c>
      <c r="AE2677" s="46">
        <f>'Data_in-situ'!EG261</f>
        <v>3</v>
      </c>
      <c r="AF2677" s="113">
        <f>'Data_in-situ'!EN120</f>
        <v>60</v>
      </c>
      <c r="AG2677" s="113">
        <f>'Data_in-situ'!EO120</f>
        <v>24.4497839250776</v>
      </c>
      <c r="AH2677" s="110">
        <f>'Data_in-situ'!EP120</f>
        <v>3</v>
      </c>
      <c r="AI2677" s="113">
        <f>'Data_in-situ'!ER120</f>
        <v>-38</v>
      </c>
      <c r="AJ2677" s="113">
        <f>'Data_in-situ'!ES120</f>
        <v>8.6189340333493778</v>
      </c>
      <c r="AK2677" s="110">
        <f>'Data_in-situ'!ET120</f>
        <v>3</v>
      </c>
    </row>
    <row r="2678" spans="14:37" x14ac:dyDescent="0.3">
      <c r="N2678" s="24">
        <f>'Data_in-situ'!DA399</f>
        <v>-2037.7049180327876</v>
      </c>
      <c r="O2678" s="24">
        <f>'Data_in-situ'!DB399</f>
        <v>6112.4149220442005</v>
      </c>
      <c r="P2678" s="46">
        <f>'Data_in-situ'!DC399</f>
        <v>1</v>
      </c>
      <c r="Q2678" s="24">
        <f>'Data_in-situ'!DE399</f>
        <v>-571.03825136612102</v>
      </c>
      <c r="R2678" s="24">
        <f>'Data_in-situ'!DF399</f>
        <v>544.28099455915094</v>
      </c>
      <c r="S2678" s="46">
        <f>'Data_in-situ'!DG399</f>
        <v>1</v>
      </c>
      <c r="T2678" s="113">
        <f>'Data_in-situ'!DN139</f>
        <v>106</v>
      </c>
      <c r="U2678" s="113">
        <f>'Data_in-situ'!DO139</f>
        <v>76.556645694544372</v>
      </c>
      <c r="V2678" s="46">
        <f>'Data_in-situ'!DP139</f>
        <v>3</v>
      </c>
      <c r="W2678" s="113">
        <f>'Data_in-situ'!DR139</f>
        <v>5</v>
      </c>
      <c r="X2678" s="113">
        <f>'Data_in-situ'!DS139</f>
        <v>3.2908965343808667</v>
      </c>
      <c r="Y2678" s="46">
        <f>'Data_in-situ'!DT139</f>
        <v>3</v>
      </c>
      <c r="Z2678" s="113">
        <f>'Data_in-situ'!EA264</f>
        <v>8.484570296783607E-2</v>
      </c>
      <c r="AA2678" s="113">
        <f>'Data_in-situ'!EB264</f>
        <v>0.23150687644726506</v>
      </c>
      <c r="AB2678" s="46">
        <f>'Data_in-situ'!EC264</f>
        <v>3</v>
      </c>
      <c r="AC2678" s="113">
        <f>'Data_in-situ'!EE264</f>
        <v>0.16473448657608519</v>
      </c>
      <c r="AD2678" s="113">
        <f>'Data_in-situ'!EF264</f>
        <v>0.18337619194833357</v>
      </c>
      <c r="AE2678" s="46">
        <f>'Data_in-situ'!EG264</f>
        <v>3</v>
      </c>
      <c r="AF2678" s="113">
        <f>'Data_in-situ'!EN121</f>
        <v>41</v>
      </c>
      <c r="AG2678" s="113">
        <f>'Data_in-situ'!EO121</f>
        <v>16.707352348803028</v>
      </c>
      <c r="AH2678" s="110">
        <f>'Data_in-situ'!EP121</f>
        <v>3</v>
      </c>
      <c r="AI2678" s="113">
        <f>'Data_in-situ'!ER121</f>
        <v>-31</v>
      </c>
      <c r="AJ2678" s="113">
        <f>'Data_in-situ'!ES121</f>
        <v>7.0312356587850191</v>
      </c>
      <c r="AK2678" s="110">
        <f>'Data_in-situ'!ET121</f>
        <v>3</v>
      </c>
    </row>
    <row r="2679" spans="14:37" x14ac:dyDescent="0.3">
      <c r="N2679" s="24">
        <f>'Data_in-situ'!DA412</f>
        <v>-1222.9909445995581</v>
      </c>
      <c r="O2679" s="24">
        <f>'Data_in-situ'!DB412</f>
        <v>291.56979829815799</v>
      </c>
      <c r="P2679" s="46">
        <f>'Data_in-situ'!DC412</f>
        <v>3</v>
      </c>
      <c r="Q2679" s="24">
        <f>'Data_in-situ'!DE412</f>
        <v>953.91152591835998</v>
      </c>
      <c r="R2679" s="24">
        <f>'Data_in-situ'!DF412</f>
        <v>1166.1567239388746</v>
      </c>
      <c r="S2679" s="46">
        <f>'Data_in-situ'!DG412</f>
        <v>3</v>
      </c>
      <c r="T2679" s="113">
        <f>'Data_in-situ'!DN140</f>
        <v>122</v>
      </c>
      <c r="U2679" s="113">
        <f>'Data_in-situ'!DO140</f>
        <v>57.850496972800492</v>
      </c>
      <c r="V2679" s="46">
        <f>'Data_in-situ'!DP140</f>
        <v>3</v>
      </c>
      <c r="W2679" s="113">
        <f>'Data_in-situ'!DR140</f>
        <v>16</v>
      </c>
      <c r="X2679" s="113">
        <f>'Data_in-situ'!DS140</f>
        <v>12.297560733739028</v>
      </c>
      <c r="Y2679" s="46">
        <f>'Data_in-situ'!DT140</f>
        <v>3</v>
      </c>
      <c r="Z2679" s="113">
        <f>'Data_in-situ'!EA265</f>
        <v>7.7775227720516399E-2</v>
      </c>
      <c r="AA2679" s="113">
        <f>'Data_in-situ'!EB265</f>
        <v>0.21037856459857804</v>
      </c>
      <c r="AB2679" s="46">
        <f>'Data_in-situ'!EC265</f>
        <v>3</v>
      </c>
      <c r="AC2679" s="113">
        <f>'Data_in-situ'!EE265</f>
        <v>4.0070550788777477E-2</v>
      </c>
      <c r="AD2679" s="113">
        <f>'Data_in-situ'!EF265</f>
        <v>1.5796303365028162E-2</v>
      </c>
      <c r="AE2679" s="46">
        <f>'Data_in-situ'!EG265</f>
        <v>3</v>
      </c>
      <c r="AF2679" s="113">
        <f>'Data_in-situ'!EN124</f>
        <v>15</v>
      </c>
      <c r="AG2679" s="113">
        <f>'Data_in-situ'!EO124</f>
        <v>6.1124459812694001</v>
      </c>
      <c r="AH2679" s="110">
        <f>'Data_in-situ'!EP124</f>
        <v>3</v>
      </c>
      <c r="AI2679" s="113">
        <f>'Data_in-situ'!ER124</f>
        <v>-35</v>
      </c>
      <c r="AJ2679" s="113">
        <f>'Data_in-situ'!ES124</f>
        <v>7.9384918728217961</v>
      </c>
      <c r="AK2679" s="110">
        <f>'Data_in-situ'!ET124</f>
        <v>3</v>
      </c>
    </row>
    <row r="2680" spans="14:37" x14ac:dyDescent="0.3">
      <c r="N2680" s="24">
        <f>'Data_in-situ'!DA413</f>
        <v>-1089.4376152325895</v>
      </c>
      <c r="O2680" s="24">
        <f>'Data_in-situ'!DB413</f>
        <v>396.38137595921512</v>
      </c>
      <c r="P2680" s="46">
        <f>'Data_in-situ'!DC413</f>
        <v>3</v>
      </c>
      <c r="Q2680" s="24">
        <f>'Data_in-situ'!DE413</f>
        <v>518.32053666534375</v>
      </c>
      <c r="R2680" s="24">
        <f>'Data_in-situ'!DF413</f>
        <v>639.04094931753639</v>
      </c>
      <c r="S2680" s="46">
        <f>'Data_in-situ'!DG413</f>
        <v>3</v>
      </c>
      <c r="T2680" s="113">
        <f>'Data_in-situ'!DN141</f>
        <v>51</v>
      </c>
      <c r="U2680" s="113">
        <f>'Data_in-situ'!DO141</f>
        <v>61.031958841249725</v>
      </c>
      <c r="V2680" s="46">
        <f>'Data_in-situ'!DP141</f>
        <v>3</v>
      </c>
      <c r="W2680" s="113">
        <f>'Data_in-situ'!DR141</f>
        <v>5</v>
      </c>
      <c r="X2680" s="113">
        <f>'Data_in-situ'!DS141</f>
        <v>6.008327554319921</v>
      </c>
      <c r="Y2680" s="46">
        <f>'Data_in-situ'!DT141</f>
        <v>10</v>
      </c>
      <c r="Z2680" s="113">
        <f>'Data_in-situ'!EA266</f>
        <v>8.3674900420237147E-2</v>
      </c>
      <c r="AA2680" s="113">
        <f>'Data_in-situ'!EB266</f>
        <v>0.22267558913078545</v>
      </c>
      <c r="AB2680" s="46">
        <f>'Data_in-situ'!EC266</f>
        <v>3</v>
      </c>
      <c r="AC2680" s="113">
        <f>'Data_in-situ'!EE266</f>
        <v>0.1068548021034066</v>
      </c>
      <c r="AD2680" s="113">
        <f>'Data_in-situ'!EF266</f>
        <v>0.12190903765819365</v>
      </c>
      <c r="AE2680" s="46">
        <f>'Data_in-situ'!EG266</f>
        <v>3</v>
      </c>
      <c r="AF2680" s="113">
        <f>'Data_in-situ'!EN125</f>
        <v>17</v>
      </c>
      <c r="AG2680" s="113">
        <f>'Data_in-situ'!EO125</f>
        <v>6.9274387787719869</v>
      </c>
      <c r="AH2680" s="110">
        <f>'Data_in-situ'!EP125</f>
        <v>3</v>
      </c>
      <c r="AI2680" s="113">
        <f>'Data_in-situ'!ER125</f>
        <v>-37</v>
      </c>
      <c r="AJ2680" s="113">
        <f>'Data_in-situ'!ES125</f>
        <v>8.3921199798401851</v>
      </c>
      <c r="AK2680" s="110">
        <f>'Data_in-situ'!ET125</f>
        <v>3</v>
      </c>
    </row>
    <row r="2681" spans="14:37" x14ac:dyDescent="0.3">
      <c r="N2681" s="24">
        <f>'Data_in-situ'!DA415</f>
        <v>-6415.3169641181039</v>
      </c>
      <c r="O2681" s="24">
        <f>'Data_in-situ'!DB415</f>
        <v>6104.4403947098008</v>
      </c>
      <c r="P2681" s="46">
        <f>'Data_in-situ'!DC415</f>
        <v>3</v>
      </c>
      <c r="Q2681" s="24">
        <f>'Data_in-situ'!DE415</f>
        <v>1392.8418193801579</v>
      </c>
      <c r="R2681" s="24">
        <f>'Data_in-situ'!DF415</f>
        <v>1342.1923247123252</v>
      </c>
      <c r="S2681" s="46">
        <f>'Data_in-situ'!DG415</f>
        <v>3</v>
      </c>
      <c r="T2681" s="113">
        <f>'Data_in-situ'!DN142</f>
        <v>101</v>
      </c>
      <c r="U2681" s="113">
        <f>'Data_in-situ'!DO142</f>
        <v>133.44811725910563</v>
      </c>
      <c r="V2681" s="46">
        <f>'Data_in-situ'!DP142</f>
        <v>3</v>
      </c>
      <c r="W2681" s="113">
        <f>'Data_in-situ'!DR142</f>
        <v>13</v>
      </c>
      <c r="X2681" s="113">
        <f>'Data_in-situ'!DS142</f>
        <v>25.93067681338071</v>
      </c>
      <c r="Y2681" s="46">
        <f>'Data_in-situ'!DT142</f>
        <v>10</v>
      </c>
      <c r="Z2681" s="113">
        <f>'Data_in-situ'!EA268</f>
        <v>-1.2019807920443442E-2</v>
      </c>
      <c r="AA2681" s="113">
        <f>'Data_in-situ'!EB268</f>
        <v>6.5123648236046217E-2</v>
      </c>
      <c r="AB2681" s="46">
        <f>'Data_in-situ'!EC268</f>
        <v>3</v>
      </c>
      <c r="AC2681" s="113">
        <f>'Data_in-situ'!EE268</f>
        <v>2.8939842236339292E-2</v>
      </c>
      <c r="AD2681" s="113">
        <f>'Data_in-situ'!EF268</f>
        <v>6.2567123803824801E-2</v>
      </c>
      <c r="AE2681" s="46">
        <f>'Data_in-situ'!EG268</f>
        <v>3</v>
      </c>
      <c r="AF2681" s="113">
        <f>'Data_in-situ'!EN128</f>
        <v>-7.08</v>
      </c>
      <c r="AG2681" s="113">
        <f>'Data_in-situ'!EO128</f>
        <v>2.8850745031591569</v>
      </c>
      <c r="AH2681" s="110">
        <f>'Data_in-situ'!EP128</f>
        <v>18</v>
      </c>
      <c r="AI2681" s="113">
        <f>'Data_in-situ'!ER128</f>
        <v>-15.22</v>
      </c>
      <c r="AJ2681" s="113">
        <f>'Data_in-situ'!ES128</f>
        <v>3.4521098944099355</v>
      </c>
      <c r="AK2681" s="110">
        <f>'Data_in-situ'!ET128</f>
        <v>18</v>
      </c>
    </row>
    <row r="2682" spans="14:37" x14ac:dyDescent="0.3">
      <c r="N2682" s="24">
        <f>'Data_in-situ'!DA416</f>
        <v>-988.3974549743225</v>
      </c>
      <c r="O2682" s="24">
        <f>'Data_in-situ'!DB416</f>
        <v>1706.6543556486708</v>
      </c>
      <c r="P2682" s="46">
        <f>'Data_in-situ'!DC416</f>
        <v>5</v>
      </c>
      <c r="Q2682" s="24">
        <f>'Data_in-situ'!DE416</f>
        <v>-341.0829809255074</v>
      </c>
      <c r="R2682" s="24">
        <f>'Data_in-situ'!DF416</f>
        <v>4448.7121943333168</v>
      </c>
      <c r="S2682" s="46">
        <f>'Data_in-situ'!DG416</f>
        <v>5</v>
      </c>
      <c r="T2682" s="113">
        <f>'Data_in-situ'!DN143</f>
        <v>51</v>
      </c>
      <c r="U2682" s="113">
        <f>'Data_in-situ'!DO143</f>
        <v>61.031958841249725</v>
      </c>
      <c r="V2682" s="46">
        <f>'Data_in-situ'!DP143</f>
        <v>3</v>
      </c>
      <c r="W2682" s="113">
        <f>'Data_in-situ'!DR143</f>
        <v>1</v>
      </c>
      <c r="X2682" s="113">
        <f>'Data_in-situ'!DS143</f>
        <v>5.6920997883030831</v>
      </c>
      <c r="Y2682" s="46">
        <f>'Data_in-situ'!DT143</f>
        <v>10</v>
      </c>
      <c r="Z2682" s="113">
        <f>'Data_in-situ'!EA393</f>
        <v>5.8770295611265379E-2</v>
      </c>
      <c r="AA2682" s="113">
        <f>'Data_in-situ'!EB393</f>
        <v>0.33792784700702894</v>
      </c>
      <c r="AB2682" s="46">
        <f>'Data_in-situ'!EC393</f>
        <v>3</v>
      </c>
      <c r="AC2682" s="113">
        <f>'Data_in-situ'!EE393</f>
        <v>6.9833384230864909E-2</v>
      </c>
      <c r="AD2682" s="113">
        <f>'Data_in-situ'!EF393</f>
        <v>0.10427097615025936</v>
      </c>
      <c r="AE2682" s="46">
        <f>'Data_in-situ'!EG393</f>
        <v>3</v>
      </c>
      <c r="AF2682" s="113">
        <f>'Data_in-situ'!EN129</f>
        <v>-7.08</v>
      </c>
      <c r="AG2682" s="113">
        <f>'Data_in-situ'!EO129</f>
        <v>2.8850745031591569</v>
      </c>
      <c r="AH2682" s="110">
        <f>'Data_in-situ'!EP129</f>
        <v>18</v>
      </c>
      <c r="AI2682" s="113">
        <f>'Data_in-situ'!ER129</f>
        <v>-36.11</v>
      </c>
      <c r="AJ2682" s="113">
        <f>'Data_in-situ'!ES129</f>
        <v>8.190255472217002</v>
      </c>
      <c r="AK2682" s="110">
        <f>'Data_in-situ'!ET129</f>
        <v>18</v>
      </c>
    </row>
    <row r="2683" spans="14:37" x14ac:dyDescent="0.3">
      <c r="N2683" s="24">
        <f>'Data_in-situ'!DA417</f>
        <v>327.32294156592525</v>
      </c>
      <c r="O2683" s="24">
        <f>'Data_in-situ'!DB417</f>
        <v>2944.1256851527319</v>
      </c>
      <c r="P2683" s="46">
        <f>'Data_in-situ'!DC417</f>
        <v>5</v>
      </c>
      <c r="Q2683" s="24">
        <f>'Data_in-situ'!DE417</f>
        <v>857.98044612392005</v>
      </c>
      <c r="R2683" s="24">
        <f>'Data_in-situ'!DF417</f>
        <v>5173.2804359476186</v>
      </c>
      <c r="S2683" s="46">
        <f>'Data_in-situ'!DG417</f>
        <v>5</v>
      </c>
      <c r="T2683" s="113">
        <f>'Data_in-situ'!DN144</f>
        <v>101</v>
      </c>
      <c r="U2683" s="113">
        <f>'Data_in-situ'!DO144</f>
        <v>133.44811725910563</v>
      </c>
      <c r="V2683" s="46">
        <f>'Data_in-situ'!DP144</f>
        <v>3</v>
      </c>
      <c r="W2683" s="113">
        <f>'Data_in-situ'!DR144</f>
        <v>17</v>
      </c>
      <c r="X2683" s="113">
        <f>'Data_in-situ'!DS144</f>
        <v>24.981993515330199</v>
      </c>
      <c r="Y2683" s="46">
        <f>'Data_in-situ'!DT144</f>
        <v>10</v>
      </c>
      <c r="Z2683" s="113">
        <f>'Data_in-situ'!EA420</f>
        <v>0.17500000000000002</v>
      </c>
      <c r="AA2683" s="113">
        <f>'Data_in-situ'!EB420</f>
        <v>6.6645830077107365E-2</v>
      </c>
      <c r="AB2683" s="46">
        <f>'Data_in-situ'!EC420</f>
        <v>3</v>
      </c>
      <c r="AC2683" s="113">
        <f>'Data_in-situ'!EE420</f>
        <v>3.8644999999999996</v>
      </c>
      <c r="AD2683" s="113">
        <f>'Data_in-situ'!EF420</f>
        <v>2.343140076194052</v>
      </c>
      <c r="AE2683" s="46">
        <f>'Data_in-situ'!EG420</f>
        <v>3</v>
      </c>
      <c r="AF2683" s="113">
        <f>'Data_in-situ'!EN130</f>
        <v>-12.04</v>
      </c>
      <c r="AG2683" s="113">
        <f>'Data_in-situ'!EO130</f>
        <v>4.9062566409655712</v>
      </c>
      <c r="AH2683" s="110">
        <f>'Data_in-situ'!EP130</f>
        <v>18</v>
      </c>
      <c r="AI2683" s="113">
        <f>'Data_in-situ'!ER130</f>
        <v>-15.22</v>
      </c>
      <c r="AJ2683" s="113">
        <f>'Data_in-situ'!ES130</f>
        <v>3.4521098944099355</v>
      </c>
      <c r="AK2683" s="110">
        <f>'Data_in-situ'!ET130</f>
        <v>18</v>
      </c>
    </row>
    <row r="2684" spans="14:37" x14ac:dyDescent="0.3">
      <c r="N2684" s="24">
        <f>'Data_in-situ'!DA418</f>
        <v>-7040</v>
      </c>
      <c r="O2684" s="24">
        <f>'Data_in-situ'!DB418</f>
        <v>1650</v>
      </c>
      <c r="P2684" s="46">
        <f>'Data_in-situ'!DC418</f>
        <v>1</v>
      </c>
      <c r="Q2684" s="24">
        <f>'Data_in-situ'!DE418</f>
        <v>-3226.666666666667</v>
      </c>
      <c r="R2684" s="24">
        <f>'Data_in-situ'!DF418</f>
        <v>953.33333333333326</v>
      </c>
      <c r="S2684" s="46">
        <f>'Data_in-situ'!DG418</f>
        <v>1</v>
      </c>
      <c r="T2684" s="113">
        <f>'Data_in-situ'!DN145</f>
        <v>244.12367999999998</v>
      </c>
      <c r="U2684" s="113">
        <f>'Data_in-situ'!DO145</f>
        <v>272.16843482550502</v>
      </c>
      <c r="V2684" s="46">
        <f>'Data_in-situ'!DP145</f>
        <v>4</v>
      </c>
      <c r="W2684" s="113">
        <f>'Data_in-situ'!DR145</f>
        <v>190.38399999999999</v>
      </c>
      <c r="X2684" s="113">
        <f>'Data_in-situ'!DS145</f>
        <v>711.50618703703014</v>
      </c>
      <c r="Y2684" s="46">
        <f>'Data_in-situ'!DT145</f>
        <v>6</v>
      </c>
      <c r="Z2684" s="113">
        <f>'Data_in-situ'!EA421</f>
        <v>0.81500000000000006</v>
      </c>
      <c r="AA2684" s="113">
        <f>'Data_in-situ'!EB421</f>
        <v>0.72028350899720972</v>
      </c>
      <c r="AB2684" s="46">
        <f>'Data_in-situ'!EC421</f>
        <v>3</v>
      </c>
      <c r="AC2684" s="113">
        <f>'Data_in-situ'!EE421</f>
        <v>5.5957499999999989</v>
      </c>
      <c r="AD2684" s="113">
        <f>'Data_in-situ'!EF421</f>
        <v>4.4151157143197661</v>
      </c>
      <c r="AE2684" s="46">
        <f>'Data_in-situ'!EG421</f>
        <v>3</v>
      </c>
      <c r="AF2684" s="113">
        <f>'Data_in-situ'!EN131</f>
        <v>-12.04</v>
      </c>
      <c r="AG2684" s="113">
        <f>'Data_in-situ'!EO131</f>
        <v>4.9062566409655712</v>
      </c>
      <c r="AH2684" s="110">
        <f>'Data_in-situ'!EP131</f>
        <v>18</v>
      </c>
      <c r="AI2684" s="113">
        <f>'Data_in-situ'!ER131</f>
        <v>-24.07</v>
      </c>
      <c r="AJ2684" s="113">
        <f>'Data_in-situ'!ES131</f>
        <v>5.459414267966304</v>
      </c>
      <c r="AK2684" s="110">
        <f>'Data_in-situ'!ET131</f>
        <v>18</v>
      </c>
    </row>
    <row r="2685" spans="14:37" x14ac:dyDescent="0.3">
      <c r="N2685" s="24">
        <f>'Data_in-situ'!DA419</f>
        <v>-7846.6666666666661</v>
      </c>
      <c r="O2685" s="24">
        <f>'Data_in-situ'!DB419</f>
        <v>1466.6666666666665</v>
      </c>
      <c r="P2685" s="46">
        <f>'Data_in-situ'!DC419</f>
        <v>1</v>
      </c>
      <c r="Q2685" s="24">
        <f>'Data_in-situ'!DE419</f>
        <v>-1870</v>
      </c>
      <c r="R2685" s="24">
        <f>'Data_in-situ'!DF419</f>
        <v>1283.3333333333335</v>
      </c>
      <c r="S2685" s="46">
        <f>'Data_in-situ'!DG419</f>
        <v>1</v>
      </c>
      <c r="T2685" s="113">
        <f>'Data_in-situ'!DN146</f>
        <v>244.12367999999998</v>
      </c>
      <c r="U2685" s="113">
        <f>'Data_in-situ'!DO146</f>
        <v>272.16843482550502</v>
      </c>
      <c r="V2685" s="46">
        <f>'Data_in-situ'!DP146</f>
        <v>4</v>
      </c>
      <c r="W2685" s="113">
        <f>'Data_in-situ'!DR146</f>
        <v>6.7043200000000001</v>
      </c>
      <c r="X2685" s="113">
        <f>'Data_in-situ'!DS146</f>
        <v>25.055493948420573</v>
      </c>
      <c r="Y2685" s="46">
        <f>'Data_in-situ'!DT146</f>
        <v>6</v>
      </c>
      <c r="Z2685" s="113">
        <f>'Data_in-situ'!EA424</f>
        <v>5.5000000000000014E-3</v>
      </c>
      <c r="AA2685" s="113">
        <f>'Data_in-situ'!EB424</f>
        <v>3.892835299196034E-2</v>
      </c>
      <c r="AB2685" s="46">
        <f>'Data_in-situ'!EC424</f>
        <v>3</v>
      </c>
      <c r="AC2685" s="113">
        <f>'Data_in-situ'!EE424</f>
        <v>0.55899999999999994</v>
      </c>
      <c r="AD2685" s="113">
        <f>'Data_in-situ'!EF424</f>
        <v>0.83462586428491037</v>
      </c>
      <c r="AE2685" s="46">
        <f>'Data_in-situ'!EG424</f>
        <v>3</v>
      </c>
      <c r="AF2685" s="113">
        <f>'Data_in-situ'!EN132</f>
        <v>-4.96</v>
      </c>
      <c r="AG2685" s="113">
        <f>'Data_in-situ'!EO132</f>
        <v>2.0211821378064148</v>
      </c>
      <c r="AH2685" s="110">
        <f>'Data_in-situ'!EP132</f>
        <v>21</v>
      </c>
      <c r="AI2685" s="113">
        <f>'Data_in-situ'!ER132</f>
        <v>-10.09</v>
      </c>
      <c r="AJ2685" s="113">
        <f>'Data_in-situ'!ES132</f>
        <v>2.2885537999077692</v>
      </c>
      <c r="AK2685" s="110">
        <f>'Data_in-situ'!ET132</f>
        <v>21</v>
      </c>
    </row>
    <row r="2686" spans="14:37" x14ac:dyDescent="0.3">
      <c r="N2686" s="24">
        <f>'Data_in-situ'!DA420</f>
        <v>-655.74999999999989</v>
      </c>
      <c r="O2686" s="24">
        <f>'Data_in-situ'!DB420</f>
        <v>1124.8403001463512</v>
      </c>
      <c r="P2686" s="46">
        <f>'Data_in-situ'!DC420</f>
        <v>3</v>
      </c>
      <c r="Q2686" s="24">
        <f>'Data_in-situ'!DE420</f>
        <v>13852.474999999999</v>
      </c>
      <c r="R2686" s="24">
        <f>'Data_in-situ'!DF420</f>
        <v>8765.263715525527</v>
      </c>
      <c r="S2686" s="46">
        <f>'Data_in-situ'!DG420</f>
        <v>3</v>
      </c>
      <c r="T2686" s="113">
        <f>'Data_in-situ'!DN156</f>
        <v>34.884300000000003</v>
      </c>
      <c r="U2686" s="113">
        <f>'Data_in-situ'!DO156</f>
        <v>2.7604911899877527</v>
      </c>
      <c r="V2686" s="46">
        <f>'Data_in-situ'!DP156</f>
        <v>4</v>
      </c>
      <c r="W2686" s="113">
        <f>'Data_in-situ'!DR156</f>
        <v>15.5944</v>
      </c>
      <c r="X2686" s="113">
        <f>'Data_in-situ'!DS156</f>
        <v>2.1027833031484722</v>
      </c>
      <c r="Y2686" s="46">
        <f>'Data_in-situ'!DT156</f>
        <v>4</v>
      </c>
      <c r="Z2686" s="113">
        <f>'Data_in-situ'!EA432</f>
        <v>0.14142857142857143</v>
      </c>
      <c r="AA2686" s="113">
        <f>'Data_in-situ'!EB432</f>
        <v>0.29939735387976307</v>
      </c>
      <c r="AB2686" s="46">
        <f>'Data_in-situ'!EC432</f>
        <v>3</v>
      </c>
      <c r="AC2686" s="113">
        <f>'Data_in-situ'!EE432</f>
        <v>1.8071428571428574</v>
      </c>
      <c r="AD2686" s="113">
        <f>'Data_in-situ'!EF432</f>
        <v>2.1229994184201382</v>
      </c>
      <c r="AE2686" s="46">
        <f>'Data_in-situ'!EG432</f>
        <v>3</v>
      </c>
      <c r="AF2686" s="113">
        <f>'Data_in-situ'!EN133</f>
        <v>-4.96</v>
      </c>
      <c r="AG2686" s="113">
        <f>'Data_in-situ'!EO133</f>
        <v>2.0211821378064148</v>
      </c>
      <c r="AH2686" s="110">
        <f>'Data_in-situ'!EP133</f>
        <v>21</v>
      </c>
      <c r="AI2686" s="113">
        <f>'Data_in-situ'!ER133</f>
        <v>-14.16</v>
      </c>
      <c r="AJ2686" s="113">
        <f>'Data_in-situ'!ES133</f>
        <v>3.2116869976901894</v>
      </c>
      <c r="AK2686" s="110">
        <f>'Data_in-situ'!ET133</f>
        <v>21</v>
      </c>
    </row>
    <row r="2687" spans="14:37" x14ac:dyDescent="0.3">
      <c r="N2687" s="24">
        <f>'Data_in-situ'!DA421</f>
        <v>-388.52499999999998</v>
      </c>
      <c r="O2687" s="24">
        <f>'Data_in-situ'!DB421</f>
        <v>1170.5952194111908</v>
      </c>
      <c r="P2687" s="46">
        <f>'Data_in-situ'!DC421</f>
        <v>3</v>
      </c>
      <c r="Q2687" s="24">
        <f>'Data_in-situ'!DE421</f>
        <v>10594.25</v>
      </c>
      <c r="R2687" s="24">
        <f>'Data_in-situ'!DF421</f>
        <v>5864.6849566565243</v>
      </c>
      <c r="S2687" s="46">
        <f>'Data_in-situ'!DG421</f>
        <v>3</v>
      </c>
      <c r="T2687" s="113">
        <f>'Data_in-situ'!DN157</f>
        <v>34.884300000000003</v>
      </c>
      <c r="U2687" s="113">
        <f>'Data_in-situ'!DO157</f>
        <v>2.7604911899877527</v>
      </c>
      <c r="V2687" s="46">
        <f>'Data_in-situ'!DP157</f>
        <v>4</v>
      </c>
      <c r="W2687" s="113">
        <f>'Data_in-situ'!DR157</f>
        <v>-3.7234000000000003</v>
      </c>
      <c r="X2687" s="113">
        <f>'Data_in-situ'!DS157</f>
        <v>0.33700001483679487</v>
      </c>
      <c r="Y2687" s="46">
        <f>'Data_in-situ'!DT157</f>
        <v>4</v>
      </c>
      <c r="Z2687" s="113">
        <f>'Data_in-situ'!EA433</f>
        <v>0.11</v>
      </c>
      <c r="AA2687" s="113">
        <f>'Data_in-situ'!EB433</f>
        <v>0.65323059028311947</v>
      </c>
      <c r="AB2687" s="46">
        <f>'Data_in-situ'!EC433</f>
        <v>3</v>
      </c>
      <c r="AC2687" s="113">
        <f>'Data_in-situ'!EE433</f>
        <v>4.0071428571428571</v>
      </c>
      <c r="AD2687" s="113">
        <f>'Data_in-situ'!EF433</f>
        <v>2.7490120674414609</v>
      </c>
      <c r="AE2687" s="46">
        <f>'Data_in-situ'!EG433</f>
        <v>3</v>
      </c>
      <c r="AF2687" s="113">
        <f>'Data_in-situ'!EN134</f>
        <v>-24.4</v>
      </c>
      <c r="AG2687" s="113">
        <f>'Data_in-situ'!EO134</f>
        <v>23.902301144450508</v>
      </c>
      <c r="AH2687" s="110">
        <f>'Data_in-situ'!EP134</f>
        <v>3</v>
      </c>
      <c r="AI2687" s="113">
        <f>'Data_in-situ'!ER134</f>
        <v>-57.4</v>
      </c>
      <c r="AJ2687" s="113">
        <f>'Data_in-situ'!ES134</f>
        <v>28.405633244129582</v>
      </c>
      <c r="AK2687" s="110">
        <f>'Data_in-situ'!ET134</f>
        <v>3</v>
      </c>
    </row>
    <row r="2688" spans="14:37" x14ac:dyDescent="0.3">
      <c r="N2688" s="24">
        <f>'Data_in-situ'!DA422</f>
        <v>-1372.9750000000001</v>
      </c>
      <c r="O2688" s="24">
        <f>'Data_in-situ'!DB422</f>
        <v>924.10220135094733</v>
      </c>
      <c r="P2688" s="46">
        <f>'Data_in-situ'!DC422</f>
        <v>3</v>
      </c>
      <c r="Q2688" s="24">
        <f>'Data_in-situ'!DE422</f>
        <v>9692.625</v>
      </c>
      <c r="R2688" s="24">
        <f>'Data_in-situ'!DF422</f>
        <v>5495.0505473296917</v>
      </c>
      <c r="S2688" s="46">
        <f>'Data_in-situ'!DG422</f>
        <v>3</v>
      </c>
      <c r="T2688" s="113">
        <f>'Data_in-situ'!DN158</f>
        <v>34.884300000000003</v>
      </c>
      <c r="U2688" s="113">
        <f>'Data_in-situ'!DO158</f>
        <v>2.7604911899877527</v>
      </c>
      <c r="V2688" s="46">
        <f>'Data_in-situ'!DP158</f>
        <v>4</v>
      </c>
      <c r="W2688" s="113">
        <f>'Data_in-situ'!DR158</f>
        <v>-6.8844000000000012</v>
      </c>
      <c r="X2688" s="113">
        <f>'Data_in-situ'!DS158</f>
        <v>0.4472975072588713</v>
      </c>
      <c r="Y2688" s="46">
        <f>'Data_in-situ'!DT158</f>
        <v>4</v>
      </c>
      <c r="Z2688" s="113">
        <f>'Data_in-situ'!EA434</f>
        <v>0.31428571428571433</v>
      </c>
      <c r="AA2688" s="113">
        <f>'Data_in-situ'!EB434</f>
        <v>1.8071356230047548</v>
      </c>
      <c r="AB2688" s="46">
        <f>'Data_in-situ'!EC434</f>
        <v>3</v>
      </c>
      <c r="AC2688" s="113">
        <f>'Data_in-situ'!EE434</f>
        <v>14.614285714285716</v>
      </c>
      <c r="AD2688" s="113">
        <f>'Data_in-situ'!EF434</f>
        <v>21.821165534948449</v>
      </c>
      <c r="AE2688" s="46">
        <f>'Data_in-situ'!EG434</f>
        <v>3</v>
      </c>
      <c r="AF2688" s="113">
        <f>'Data_in-situ'!EN135</f>
        <v>-6.8927332639611532</v>
      </c>
      <c r="AG2688" s="113">
        <f>'Data_in-situ'!EO135</f>
        <v>1.3328157064282187</v>
      </c>
      <c r="AH2688" s="110">
        <f>'Data_in-situ'!EP135</f>
        <v>3</v>
      </c>
      <c r="AI2688" s="113">
        <f>'Data_in-situ'!ER135</f>
        <v>-25.764809902740932</v>
      </c>
      <c r="AJ2688" s="113">
        <f>'Data_in-situ'!ES135</f>
        <v>2.3806323207959159</v>
      </c>
      <c r="AK2688" s="110">
        <f>'Data_in-situ'!ET135</f>
        <v>3</v>
      </c>
    </row>
    <row r="2689" spans="14:37" x14ac:dyDescent="0.3">
      <c r="N2689" s="24">
        <f>'Data_in-situ'!DA423</f>
        <v>-1372.9750000000001</v>
      </c>
      <c r="O2689" s="24">
        <f>'Data_in-situ'!DB423</f>
        <v>924.10220135094733</v>
      </c>
      <c r="P2689" s="46">
        <f>'Data_in-situ'!DC423</f>
        <v>3</v>
      </c>
      <c r="Q2689" s="24">
        <f>'Data_in-situ'!DE423</f>
        <v>17704.899999999998</v>
      </c>
      <c r="R2689" s="24">
        <f>'Data_in-situ'!DF423</f>
        <v>3753.2231304129346</v>
      </c>
      <c r="S2689" s="46">
        <f>'Data_in-situ'!DG423</f>
        <v>3</v>
      </c>
      <c r="T2689" s="113">
        <f>'Data_in-situ'!DN159</f>
        <v>12.3249</v>
      </c>
      <c r="U2689" s="113">
        <f>'Data_in-situ'!DO159</f>
        <v>4.0482329046140624</v>
      </c>
      <c r="V2689" s="46">
        <f>'Data_in-situ'!DP159</f>
        <v>4</v>
      </c>
      <c r="W2689" s="113">
        <f>'Data_in-situ'!DR159</f>
        <v>4.5682</v>
      </c>
      <c r="X2689" s="113">
        <f>'Data_in-situ'!DS159</f>
        <v>1.4385784823915586</v>
      </c>
      <c r="Y2689" s="46">
        <f>'Data_in-situ'!DT159</f>
        <v>4</v>
      </c>
      <c r="Z2689" s="113">
        <f>'Data_in-situ'!EA435</f>
        <v>0.31428571428571433</v>
      </c>
      <c r="AA2689" s="113">
        <f>'Data_in-situ'!EB435</f>
        <v>1.8071356230047548</v>
      </c>
      <c r="AB2689" s="46">
        <f>'Data_in-situ'!EC435</f>
        <v>3</v>
      </c>
      <c r="AC2689" s="113">
        <f>'Data_in-situ'!EE435</f>
        <v>12.257142857142856</v>
      </c>
      <c r="AD2689" s="113">
        <f>'Data_in-situ'!EF435</f>
        <v>18.301622706730956</v>
      </c>
      <c r="AE2689" s="46">
        <f>'Data_in-situ'!EG435</f>
        <v>3</v>
      </c>
      <c r="AF2689" s="113">
        <f>'Data_in-situ'!EN136</f>
        <v>-7.2545662413056524</v>
      </c>
      <c r="AG2689" s="113">
        <f>'Data_in-situ'!EO136</f>
        <v>1.3531236339616048</v>
      </c>
      <c r="AH2689" s="110">
        <f>'Data_in-situ'!EP136</f>
        <v>3</v>
      </c>
      <c r="AI2689" s="113">
        <f>'Data_in-situ'!ER136</f>
        <v>-28.596491228070171</v>
      </c>
      <c r="AJ2689" s="113">
        <f>'Data_in-situ'!ES136</f>
        <v>2.2785559654849021</v>
      </c>
      <c r="AK2689" s="110">
        <f>'Data_in-situ'!ET136</f>
        <v>3</v>
      </c>
    </row>
    <row r="2690" spans="14:37" x14ac:dyDescent="0.3">
      <c r="N2690" s="24">
        <f>'Data_in-situ'!DA424</f>
        <v>81.850000000000023</v>
      </c>
      <c r="O2690" s="24">
        <f>'Data_in-situ'!DB424</f>
        <v>1631.6723826083066</v>
      </c>
      <c r="P2690" s="46">
        <f>'Data_in-situ'!DC424</f>
        <v>3</v>
      </c>
      <c r="Q2690" s="24">
        <f>'Data_in-situ'!DE424</f>
        <v>9282.7649999999994</v>
      </c>
      <c r="R2690" s="24">
        <f>'Data_in-situ'!DF424</f>
        <v>6092.1653911731855</v>
      </c>
      <c r="S2690" s="46">
        <f>'Data_in-situ'!DG424</f>
        <v>3</v>
      </c>
      <c r="T2690" s="113">
        <f>'Data_in-situ'!DN160</f>
        <v>12.3249</v>
      </c>
      <c r="U2690" s="113">
        <f>'Data_in-situ'!DO160</f>
        <v>4.0482329046140624</v>
      </c>
      <c r="V2690" s="46">
        <f>'Data_in-situ'!DP160</f>
        <v>4</v>
      </c>
      <c r="W2690" s="113">
        <f>'Data_in-situ'!DR160</f>
        <v>-2.4133</v>
      </c>
      <c r="X2690" s="113">
        <f>'Data_in-situ'!DS160</f>
        <v>0.28343706532491475</v>
      </c>
      <c r="Y2690" s="46">
        <f>'Data_in-situ'!DT160</f>
        <v>4</v>
      </c>
      <c r="Z2690" s="113">
        <f>'Data_in-situ'!EA437</f>
        <v>4.07</v>
      </c>
      <c r="AA2690" s="113">
        <f>'Data_in-situ'!EB437</f>
        <v>1.72</v>
      </c>
      <c r="AB2690" s="46">
        <f>'Data_in-situ'!EC437</f>
        <v>3</v>
      </c>
      <c r="AC2690" s="113">
        <f>'Data_in-situ'!EE437</f>
        <v>4.9000000000000004</v>
      </c>
      <c r="AD2690" s="113">
        <f>'Data_in-situ'!EF437</f>
        <v>1.52</v>
      </c>
      <c r="AE2690" s="46">
        <f>'Data_in-situ'!EG437</f>
        <v>3</v>
      </c>
      <c r="AF2690" s="113">
        <f>'Data_in-situ'!EN137</f>
        <v>-6.8927332639611532</v>
      </c>
      <c r="AG2690" s="113">
        <f>'Data_in-situ'!EO137</f>
        <v>1.3328157064282187</v>
      </c>
      <c r="AH2690" s="110">
        <f>'Data_in-situ'!EP137</f>
        <v>3</v>
      </c>
      <c r="AI2690" s="113">
        <f>'Data_in-situ'!ER137</f>
        <v>-20.420000000000002</v>
      </c>
      <c r="AJ2690" s="113">
        <f>'Data_in-situ'!ES137</f>
        <v>3.03</v>
      </c>
      <c r="AK2690" s="110">
        <f>'Data_in-situ'!ET137</f>
        <v>3</v>
      </c>
    </row>
    <row r="2691" spans="14:37" x14ac:dyDescent="0.3">
      <c r="N2691" s="24">
        <f>'Data_in-situ'!DA425</f>
        <v>-983.60000000000014</v>
      </c>
      <c r="O2691" s="24">
        <f>'Data_in-situ'!DB425</f>
        <v>94.627709120179674</v>
      </c>
      <c r="P2691" s="46">
        <f>'Data_in-situ'!DC425</f>
        <v>3</v>
      </c>
      <c r="Q2691" s="24">
        <f>'Data_in-situ'!DE425</f>
        <v>8811.4750000000004</v>
      </c>
      <c r="R2691" s="24">
        <f>'Data_in-situ'!DF425</f>
        <v>5873.9289174885607</v>
      </c>
      <c r="S2691" s="46">
        <f>'Data_in-situ'!DG425</f>
        <v>3</v>
      </c>
      <c r="T2691" s="113">
        <f>'Data_in-situ'!DN161</f>
        <v>12.3249</v>
      </c>
      <c r="U2691" s="113">
        <f>'Data_in-situ'!DO161</f>
        <v>4.0482329046140624</v>
      </c>
      <c r="V2691" s="46">
        <f>'Data_in-situ'!DP161</f>
        <v>4</v>
      </c>
      <c r="W2691" s="113">
        <f>'Data_in-situ'!DR161</f>
        <v>0.28770000000000012</v>
      </c>
      <c r="X2691" s="113">
        <f>'Data_in-situ'!DS161</f>
        <v>0.26312447624650959</v>
      </c>
      <c r="Y2691" s="46">
        <f>'Data_in-situ'!DT161</f>
        <v>4</v>
      </c>
      <c r="Z2691" s="113">
        <f>'Data_in-situ'!EA438</f>
        <v>4.07</v>
      </c>
      <c r="AA2691" s="113">
        <f>'Data_in-situ'!EB438</f>
        <v>1.72</v>
      </c>
      <c r="AB2691" s="46">
        <f>'Data_in-situ'!EC438</f>
        <v>3</v>
      </c>
      <c r="AC2691" s="113">
        <f>'Data_in-situ'!EE438</f>
        <v>2.09</v>
      </c>
      <c r="AD2691" s="113">
        <f>'Data_in-situ'!EF438</f>
        <v>0.79</v>
      </c>
      <c r="AE2691" s="46">
        <f>'Data_in-situ'!EG438</f>
        <v>3</v>
      </c>
      <c r="AF2691" s="113">
        <f>'Data_in-situ'!EN138</f>
        <v>-7.2545662413056524</v>
      </c>
      <c r="AG2691" s="113">
        <f>'Data_in-situ'!EO138</f>
        <v>1.3531236339616048</v>
      </c>
      <c r="AH2691" s="110">
        <f>'Data_in-situ'!EP138</f>
        <v>3</v>
      </c>
      <c r="AI2691" s="113">
        <f>'Data_in-situ'!ER138</f>
        <v>-22.46</v>
      </c>
      <c r="AJ2691" s="113">
        <f>'Data_in-situ'!ES138</f>
        <v>2.21</v>
      </c>
      <c r="AK2691" s="110">
        <f>'Data_in-situ'!ET138</f>
        <v>3</v>
      </c>
    </row>
    <row r="2692" spans="14:37" x14ac:dyDescent="0.3">
      <c r="N2692" s="24">
        <f>'Data_in-situ'!DA432</f>
        <v>-80</v>
      </c>
      <c r="O2692" s="24">
        <f>'Data_in-situ'!DB432</f>
        <v>2009.1789367798974</v>
      </c>
      <c r="P2692" s="46">
        <f>'Data_in-situ'!DC432</f>
        <v>3</v>
      </c>
      <c r="Q2692" s="24">
        <f>'Data_in-situ'!DE432</f>
        <v>4580</v>
      </c>
      <c r="R2692" s="24">
        <f>'Data_in-situ'!DF432</f>
        <v>4416.7295593006365</v>
      </c>
      <c r="S2692" s="46">
        <f>'Data_in-situ'!DG432</f>
        <v>3</v>
      </c>
      <c r="T2692" s="113">
        <f>'Data_in-situ'!DN162</f>
        <v>4.1088183748609376E-2</v>
      </c>
      <c r="U2692" s="113">
        <f>'Data_in-situ'!DO162</f>
        <v>4.5808365090522003E-2</v>
      </c>
      <c r="V2692" s="46">
        <f>'Data_in-situ'!DP162</f>
        <v>4</v>
      </c>
      <c r="W2692" s="113">
        <f>'Data_in-situ'!DR162</f>
        <v>0.1749737827715355</v>
      </c>
      <c r="X2692" s="113">
        <f>'Data_in-situ'!DS162</f>
        <v>0.65391487210700916</v>
      </c>
      <c r="Y2692" s="46">
        <f>'Data_in-situ'!DT162</f>
        <v>4</v>
      </c>
      <c r="Z2692" s="113">
        <f>'Data_in-situ'!EA439</f>
        <v>1.0999999999999999</v>
      </c>
      <c r="AA2692" s="113">
        <f>'Data_in-situ'!EB439</f>
        <v>6.3249746805166405</v>
      </c>
      <c r="AB2692" s="46">
        <f>'Data_in-situ'!EC439</f>
        <v>3</v>
      </c>
      <c r="AC2692" s="113">
        <f>'Data_in-situ'!EE439</f>
        <v>5.1857142857142851</v>
      </c>
      <c r="AD2692" s="113">
        <f>'Data_in-situ'!EF439</f>
        <v>7.7429942220784804</v>
      </c>
      <c r="AE2692" s="46">
        <f>'Data_in-situ'!EG439</f>
        <v>3</v>
      </c>
      <c r="AF2692" s="113">
        <f>'Data_in-situ'!EN139</f>
        <v>-6.8927332639611532</v>
      </c>
      <c r="AG2692" s="113">
        <f>'Data_in-situ'!EO139</f>
        <v>1.3328157064282187</v>
      </c>
      <c r="AH2692" s="110">
        <f>'Data_in-situ'!EP139</f>
        <v>3</v>
      </c>
      <c r="AI2692" s="113">
        <f>'Data_in-situ'!ER139</f>
        <v>-16.070318436140084</v>
      </c>
      <c r="AJ2692" s="113">
        <f>'Data_in-situ'!ES139</f>
        <v>1.1726469643872839</v>
      </c>
      <c r="AK2692" s="110">
        <f>'Data_in-situ'!ET139</f>
        <v>3</v>
      </c>
    </row>
    <row r="2693" spans="14:37" x14ac:dyDescent="0.3">
      <c r="N2693" s="24">
        <f>'Data_in-situ'!DA433</f>
        <v>-1270</v>
      </c>
      <c r="O2693" s="24">
        <f>'Data_in-situ'!DB433</f>
        <v>1593.4867429633669</v>
      </c>
      <c r="P2693" s="46">
        <f>'Data_in-situ'!DC433</f>
        <v>3</v>
      </c>
      <c r="Q2693" s="24">
        <f>'Data_in-situ'!DE433</f>
        <v>4820</v>
      </c>
      <c r="R2693" s="24">
        <f>'Data_in-situ'!DF433</f>
        <v>4122.2809220139279</v>
      </c>
      <c r="S2693" s="46">
        <f>'Data_in-situ'!DG433</f>
        <v>3</v>
      </c>
      <c r="T2693" s="113">
        <f>'Data_in-situ'!DN163</f>
        <v>-0.12122916895579239</v>
      </c>
      <c r="U2693" s="113">
        <f>'Data_in-situ'!DO163</f>
        <v>0.13515588971088227</v>
      </c>
      <c r="V2693" s="46">
        <f>'Data_in-situ'!DP163</f>
        <v>4</v>
      </c>
      <c r="W2693" s="113">
        <f>'Data_in-situ'!DR163</f>
        <v>6.1724726721622734E-2</v>
      </c>
      <c r="X2693" s="113">
        <f>'Data_in-situ'!DS163</f>
        <v>0.23067865448569461</v>
      </c>
      <c r="Y2693" s="46">
        <f>'Data_in-situ'!DT163</f>
        <v>4</v>
      </c>
      <c r="Z2693" s="113">
        <f>'Data_in-situ'!EA440</f>
        <v>1.0999999999999999</v>
      </c>
      <c r="AA2693" s="113">
        <f>'Data_in-situ'!EB440</f>
        <v>6.3249746805166405</v>
      </c>
      <c r="AB2693" s="46">
        <f>'Data_in-situ'!EC440</f>
        <v>3</v>
      </c>
      <c r="AC2693" s="113">
        <f>'Data_in-situ'!EE440</f>
        <v>1.8857142857142857</v>
      </c>
      <c r="AD2693" s="113">
        <f>'Data_in-situ'!EF440</f>
        <v>2.8156342625739934</v>
      </c>
      <c r="AE2693" s="46">
        <f>'Data_in-situ'!EG440</f>
        <v>3</v>
      </c>
      <c r="AF2693" s="113">
        <f>'Data_in-situ'!EN140</f>
        <v>-7.2545662413056524</v>
      </c>
      <c r="AG2693" s="113">
        <f>'Data_in-situ'!EO140</f>
        <v>1.3531236339616048</v>
      </c>
      <c r="AH2693" s="110">
        <f>'Data_in-situ'!EP140</f>
        <v>3</v>
      </c>
      <c r="AI2693" s="113">
        <f>'Data_in-situ'!ER140</f>
        <v>-18.404147413501633</v>
      </c>
      <c r="AJ2693" s="113">
        <f>'Data_in-situ'!ES140</f>
        <v>1.4652840768454194</v>
      </c>
      <c r="AK2693" s="110">
        <f>'Data_in-situ'!ET140</f>
        <v>3</v>
      </c>
    </row>
    <row r="2694" spans="14:37" x14ac:dyDescent="0.3">
      <c r="N2694" s="24">
        <f>'Data_in-situ'!DA448</f>
        <v>-1943.3333333333333</v>
      </c>
      <c r="O2694" s="24">
        <f>'Data_in-situ'!DB448</f>
        <v>436</v>
      </c>
      <c r="P2694" s="46">
        <f>'Data_in-situ'!DC448</f>
        <v>3</v>
      </c>
      <c r="Q2694" s="24">
        <f>'Data_in-situ'!DE448</f>
        <v>-4766.666666666667</v>
      </c>
      <c r="R2694" s="24">
        <f>'Data_in-situ'!DF448</f>
        <v>1203</v>
      </c>
      <c r="S2694" s="46">
        <f>'Data_in-situ'!DG448</f>
        <v>3</v>
      </c>
      <c r="T2694" s="113">
        <f>'Data_in-situ'!DN164</f>
        <v>-0.12122916895579239</v>
      </c>
      <c r="U2694" s="113">
        <f>'Data_in-situ'!DO164</f>
        <v>0.13515588971088227</v>
      </c>
      <c r="V2694" s="46">
        <f>'Data_in-situ'!DP164</f>
        <v>4</v>
      </c>
      <c r="W2694" s="113">
        <f>'Data_in-situ'!DR164</f>
        <v>-0.12344945344324547</v>
      </c>
      <c r="X2694" s="113">
        <f>'Data_in-situ'!DS164</f>
        <v>0.46135730897138921</v>
      </c>
      <c r="Y2694" s="46">
        <f>'Data_in-situ'!DT164</f>
        <v>4</v>
      </c>
      <c r="Z2694" s="113">
        <f>'Data_in-situ'!EA441</f>
        <v>0.3</v>
      </c>
      <c r="AA2694" s="113">
        <f>'Data_in-situ'!EB441</f>
        <v>0.35</v>
      </c>
      <c r="AB2694" s="46">
        <f>'Data_in-situ'!EC441</f>
        <v>6</v>
      </c>
      <c r="AC2694" s="113">
        <f>'Data_in-situ'!EE441</f>
        <v>3.7</v>
      </c>
      <c r="AD2694" s="113">
        <f>'Data_in-situ'!EF441</f>
        <v>1.05</v>
      </c>
      <c r="AE2694" s="46">
        <f>'Data_in-situ'!EG441</f>
        <v>6</v>
      </c>
      <c r="AF2694" s="113">
        <f>'Data_in-situ'!EN141</f>
        <v>-0.59</v>
      </c>
      <c r="AG2694" s="113">
        <f>'Data_in-situ'!EO141</f>
        <v>1.75</v>
      </c>
      <c r="AH2694" s="110">
        <f>'Data_in-situ'!EP141</f>
        <v>4</v>
      </c>
      <c r="AI2694" s="113">
        <f>'Data_in-situ'!ER141</f>
        <v>-18.989999999999998</v>
      </c>
      <c r="AJ2694" s="113">
        <f>'Data_in-situ'!ES141</f>
        <v>2.77</v>
      </c>
      <c r="AK2694" s="110">
        <f>'Data_in-situ'!ET141</f>
        <v>4</v>
      </c>
    </row>
    <row r="2695" spans="14:37" x14ac:dyDescent="0.3">
      <c r="N2695" s="24">
        <f>'Data_in-situ'!DA449</f>
        <v>-2676.6666666666665</v>
      </c>
      <c r="O2695" s="24">
        <f>'Data_in-situ'!DB449</f>
        <v>563</v>
      </c>
      <c r="P2695" s="46">
        <f>'Data_in-situ'!DC449</f>
        <v>3</v>
      </c>
      <c r="Q2695" s="24">
        <f>'Data_in-situ'!DE449</f>
        <v>-11000</v>
      </c>
      <c r="R2695" s="24">
        <f>'Data_in-situ'!DF449</f>
        <v>2602</v>
      </c>
      <c r="S2695" s="46">
        <f>'Data_in-situ'!DG449</f>
        <v>3</v>
      </c>
      <c r="T2695" s="113">
        <f>'Data_in-situ'!DN165</f>
        <v>-0.12122916895579239</v>
      </c>
      <c r="U2695" s="113">
        <f>'Data_in-situ'!DO165</f>
        <v>0.13515588971088227</v>
      </c>
      <c r="V2695" s="46">
        <f>'Data_in-situ'!DP165</f>
        <v>4</v>
      </c>
      <c r="W2695" s="113">
        <f>'Data_in-situ'!DR165</f>
        <v>0.12344945344324547</v>
      </c>
      <c r="X2695" s="113">
        <f>'Data_in-situ'!DS165</f>
        <v>0.46135730897138921</v>
      </c>
      <c r="Y2695" s="46">
        <f>'Data_in-situ'!DT165</f>
        <v>4</v>
      </c>
      <c r="Z2695" s="113">
        <f>'Data_in-situ'!EA442</f>
        <v>0.3</v>
      </c>
      <c r="AA2695" s="113">
        <f>'Data_in-situ'!EB442</f>
        <v>0.35</v>
      </c>
      <c r="AB2695" s="46">
        <f>'Data_in-situ'!EC442</f>
        <v>6</v>
      </c>
      <c r="AC2695" s="113">
        <f>'Data_in-situ'!EE442</f>
        <v>1.5</v>
      </c>
      <c r="AD2695" s="113">
        <f>'Data_in-situ'!EF442</f>
        <v>0.6</v>
      </c>
      <c r="AE2695" s="46">
        <f>'Data_in-situ'!EG442</f>
        <v>6</v>
      </c>
      <c r="AF2695" s="113">
        <f>'Data_in-situ'!EN142</f>
        <v>-2.0499999999999998</v>
      </c>
      <c r="AG2695" s="113">
        <f>'Data_in-situ'!EO142</f>
        <v>1.38</v>
      </c>
      <c r="AH2695" s="110">
        <f>'Data_in-situ'!EP142</f>
        <v>4</v>
      </c>
      <c r="AI2695" s="113">
        <f>'Data_in-situ'!ER142</f>
        <v>-16.7</v>
      </c>
      <c r="AJ2695" s="113">
        <f>'Data_in-situ'!ES142</f>
        <v>1.42</v>
      </c>
      <c r="AK2695" s="110">
        <f>'Data_in-situ'!ET142</f>
        <v>4</v>
      </c>
    </row>
    <row r="2696" spans="14:37" x14ac:dyDescent="0.3">
      <c r="N2696" s="24">
        <f>'Data_in-situ'!DA450</f>
        <v>15730</v>
      </c>
      <c r="O2696" s="24">
        <f>'Data_in-situ'!DB450</f>
        <v>47184.597668134105</v>
      </c>
      <c r="P2696" s="46">
        <f>'Data_in-situ'!DC450</f>
        <v>1</v>
      </c>
      <c r="Q2696" s="24">
        <f>'Data_in-situ'!DE450</f>
        <v>22330</v>
      </c>
      <c r="R2696" s="24">
        <f>'Data_in-situ'!DF450</f>
        <v>21283.678596713551</v>
      </c>
      <c r="S2696" s="46">
        <f>'Data_in-situ'!DG450</f>
        <v>1</v>
      </c>
      <c r="T2696" s="113">
        <f>'Data_in-situ'!DN166</f>
        <v>-0.52800000000000002</v>
      </c>
      <c r="U2696" s="113">
        <f>'Data_in-situ'!DO166</f>
        <v>0.5886562646764405</v>
      </c>
      <c r="V2696" s="46">
        <f>'Data_in-situ'!DP166</f>
        <v>4</v>
      </c>
      <c r="W2696" s="113">
        <f>'Data_in-situ'!DR166</f>
        <v>-0.26133333333333336</v>
      </c>
      <c r="X2696" s="113">
        <f>'Data_in-situ'!DS166</f>
        <v>0.97665919166357074</v>
      </c>
      <c r="Y2696" s="46">
        <f>'Data_in-situ'!DT166</f>
        <v>4</v>
      </c>
      <c r="Z2696" s="113">
        <f>'Data_in-situ'!EA443</f>
        <v>0.3</v>
      </c>
      <c r="AA2696" s="113">
        <f>'Data_in-situ'!EB443</f>
        <v>0.35</v>
      </c>
      <c r="AB2696" s="46">
        <f>'Data_in-situ'!EC443</f>
        <v>6</v>
      </c>
      <c r="AC2696" s="113">
        <f>'Data_in-situ'!EE443</f>
        <v>37.700000000000003</v>
      </c>
      <c r="AD2696" s="113">
        <f>'Data_in-situ'!EF443</f>
        <v>2.95</v>
      </c>
      <c r="AE2696" s="46">
        <f>'Data_in-situ'!EG443</f>
        <v>4</v>
      </c>
      <c r="AF2696" s="113">
        <f>'Data_in-situ'!EN143</f>
        <v>-0.59</v>
      </c>
      <c r="AG2696" s="113">
        <f>'Data_in-situ'!EO143</f>
        <v>1.75</v>
      </c>
      <c r="AH2696" s="110">
        <f>'Data_in-situ'!EP143</f>
        <v>4</v>
      </c>
      <c r="AI2696" s="113">
        <f>'Data_in-situ'!ER143</f>
        <v>-17.329999999999998</v>
      </c>
      <c r="AJ2696" s="113">
        <f>'Data_in-situ'!ES143</f>
        <v>1.8</v>
      </c>
      <c r="AK2696" s="110">
        <f>'Data_in-situ'!ET143</f>
        <v>4</v>
      </c>
    </row>
    <row r="2697" spans="14:37" x14ac:dyDescent="0.3">
      <c r="N2697" s="24">
        <f>'Data_in-situ'!DA451</f>
        <v>11403.333333333334</v>
      </c>
      <c r="O2697" s="24">
        <f>'Data_in-situ'!DB451</f>
        <v>34206.08362421843</v>
      </c>
      <c r="P2697" s="46">
        <f>'Data_in-situ'!DC451</f>
        <v>1</v>
      </c>
      <c r="Q2697" s="24">
        <f>'Data_in-situ'!DE451</f>
        <v>21156.666666666668</v>
      </c>
      <c r="R2697" s="24">
        <f>'Data_in-situ'!DF451</f>
        <v>20165.32438473517</v>
      </c>
      <c r="S2697" s="46">
        <f>'Data_in-situ'!DG451</f>
        <v>1</v>
      </c>
      <c r="T2697" s="113">
        <f>'Data_in-situ'!DN167</f>
        <v>2.9175154909077907</v>
      </c>
      <c r="U2697" s="113">
        <f>'Data_in-situ'!DO167</f>
        <v>16.507200000000001</v>
      </c>
      <c r="V2697" s="46">
        <f>'Data_in-situ'!DP167</f>
        <v>8</v>
      </c>
      <c r="W2697" s="113">
        <f>'Data_in-situ'!DR167</f>
        <v>-0.3033323434259278</v>
      </c>
      <c r="X2697" s="113">
        <f>'Data_in-situ'!DS167</f>
        <v>3.4939236241769644</v>
      </c>
      <c r="Y2697" s="46">
        <f>'Data_in-situ'!DT167</f>
        <v>8</v>
      </c>
      <c r="Z2697" s="113">
        <f>'Data_in-situ'!EA444</f>
        <v>-0.35536232754524372</v>
      </c>
      <c r="AA2697" s="113">
        <f>'Data_in-situ'!EB444</f>
        <v>38.250757143327704</v>
      </c>
      <c r="AB2697" s="46">
        <f>'Data_in-situ'!EC444</f>
        <v>46</v>
      </c>
      <c r="AC2697" s="113">
        <f>'Data_in-situ'!EE444</f>
        <v>20.199714045305026</v>
      </c>
      <c r="AD2697" s="113">
        <f>'Data_in-situ'!EF444</f>
        <v>184.05347959835046</v>
      </c>
      <c r="AE2697" s="46">
        <f>'Data_in-situ'!EG444</f>
        <v>53</v>
      </c>
      <c r="AF2697" s="113">
        <f>'Data_in-situ'!EN144</f>
        <v>-2.0499999999999998</v>
      </c>
      <c r="AG2697" s="113">
        <f>'Data_in-situ'!EO144</f>
        <v>1.38</v>
      </c>
      <c r="AH2697" s="110">
        <f>'Data_in-situ'!EP144</f>
        <v>4</v>
      </c>
      <c r="AI2697" s="113">
        <f>'Data_in-situ'!ER144</f>
        <v>-21.37</v>
      </c>
      <c r="AJ2697" s="113">
        <f>'Data_in-situ'!ES144</f>
        <v>1.45</v>
      </c>
      <c r="AK2697" s="110">
        <f>'Data_in-situ'!ET144</f>
        <v>4</v>
      </c>
    </row>
    <row r="2698" spans="14:37" x14ac:dyDescent="0.3">
      <c r="N2698" s="24">
        <f>'Data_in-situ'!DA452</f>
        <v>4326.666666666667</v>
      </c>
      <c r="O2698" s="24">
        <f>'Data_in-situ'!DB452</f>
        <v>12978.514043915675</v>
      </c>
      <c r="P2698" s="46">
        <f>'Data_in-situ'!DC452</f>
        <v>1</v>
      </c>
      <c r="Q2698" s="24">
        <f>'Data_in-situ'!DE452</f>
        <v>15693.333333333334</v>
      </c>
      <c r="R2698" s="24">
        <f>'Data_in-situ'!DF452</f>
        <v>14957.987585210836</v>
      </c>
      <c r="S2698" s="46">
        <f>'Data_in-situ'!DG452</f>
        <v>1</v>
      </c>
      <c r="T2698" s="113">
        <f>'Data_in-situ'!DN168</f>
        <v>11.795840386040403</v>
      </c>
      <c r="U2698" s="113">
        <f>'Data_in-situ'!DO168</f>
        <v>13.150938144632661</v>
      </c>
      <c r="V2698" s="46">
        <f>'Data_in-situ'!DP168</f>
        <v>3</v>
      </c>
      <c r="W2698" s="113">
        <f>'Data_in-situ'!DR168</f>
        <v>0.26812694984226471</v>
      </c>
      <c r="X2698" s="113">
        <f>'Data_in-situ'!DS168</f>
        <v>1.002048405980223</v>
      </c>
      <c r="Y2698" s="46">
        <f>'Data_in-situ'!DT168</f>
        <v>3</v>
      </c>
      <c r="AF2698" s="113">
        <f>'Data_in-situ'!EN145</f>
        <v>-5</v>
      </c>
      <c r="AG2698" s="113">
        <f>'Data_in-situ'!EO145</f>
        <v>2.0374819937564665</v>
      </c>
      <c r="AH2698" s="110">
        <f>'Data_in-situ'!EP145</f>
        <v>4</v>
      </c>
      <c r="AI2698" s="113">
        <f>'Data_in-situ'!ER145</f>
        <v>-7.666666666666667</v>
      </c>
      <c r="AJ2698" s="113">
        <f>'Data_in-situ'!ES145</f>
        <v>1.7389077435704887</v>
      </c>
      <c r="AK2698" s="110">
        <f>'Data_in-situ'!ET145</f>
        <v>6</v>
      </c>
    </row>
    <row r="2699" spans="14:37" x14ac:dyDescent="0.3">
      <c r="N2699" s="24">
        <f>'Data_in-situ'!DA453</f>
        <v>1870</v>
      </c>
      <c r="O2699" s="24">
        <f>'Data_in-situ'!DB453</f>
        <v>5609.3577647432157</v>
      </c>
      <c r="P2699" s="46">
        <f>'Data_in-situ'!DC453</f>
        <v>1</v>
      </c>
      <c r="Q2699" s="24">
        <f>'Data_in-situ'!DE453</f>
        <v>13676.666666666666</v>
      </c>
      <c r="R2699" s="24">
        <f>'Data_in-situ'!DF453</f>
        <v>13035.816283372995</v>
      </c>
      <c r="S2699" s="46">
        <f>'Data_in-situ'!DG453</f>
        <v>1</v>
      </c>
      <c r="T2699" s="113">
        <f>'Data_in-situ'!DN169</f>
        <v>14.661871345978286</v>
      </c>
      <c r="U2699" s="113">
        <f>'Data_in-situ'!DO169</f>
        <v>16.346216703958547</v>
      </c>
      <c r="V2699" s="46">
        <f>'Data_in-situ'!DP169</f>
        <v>3</v>
      </c>
      <c r="W2699" s="113">
        <f>'Data_in-situ'!DR169</f>
        <v>4.2578559634951523</v>
      </c>
      <c r="X2699" s="113">
        <f>'Data_in-situ'!DS169</f>
        <v>15.912528686965901</v>
      </c>
      <c r="Y2699" s="46">
        <f>'Data_in-situ'!DT169</f>
        <v>3</v>
      </c>
      <c r="AF2699" s="113">
        <f>'Data_in-situ'!EN146</f>
        <v>-5</v>
      </c>
      <c r="AG2699" s="113">
        <f>'Data_in-situ'!EO146</f>
        <v>2.0374819937564665</v>
      </c>
      <c r="AH2699" s="110">
        <f>'Data_in-situ'!EP146</f>
        <v>4</v>
      </c>
      <c r="AI2699" s="113">
        <f>'Data_in-situ'!ER146</f>
        <v>-54.4</v>
      </c>
      <c r="AJ2699" s="113">
        <f>'Data_in-situ'!ES146</f>
        <v>12.338684510900162</v>
      </c>
      <c r="AK2699" s="110">
        <f>'Data_in-situ'!ET146</f>
        <v>6</v>
      </c>
    </row>
    <row r="2700" spans="14:37" x14ac:dyDescent="0.3">
      <c r="N2700" s="24">
        <f>'Data_in-situ'!DA454</f>
        <v>-92854.643962848248</v>
      </c>
      <c r="O2700" s="24">
        <f>'Data_in-situ'!DB454</f>
        <v>8527.3893173831366</v>
      </c>
      <c r="P2700" s="46">
        <f>'Data_in-situ'!DC454</f>
        <v>3</v>
      </c>
      <c r="Q2700" s="24">
        <f>'Data_in-situ'!DE454</f>
        <v>-62856.84210526316</v>
      </c>
      <c r="R2700" s="24">
        <f>'Data_in-situ'!DF454</f>
        <v>12642.403019037374</v>
      </c>
      <c r="S2700" s="46">
        <f>'Data_in-situ'!DG454</f>
        <v>3</v>
      </c>
      <c r="T2700" s="113">
        <f>'Data_in-situ'!DN170</f>
        <v>5.1084348128521384</v>
      </c>
      <c r="U2700" s="113">
        <f>'Data_in-situ'!DO170</f>
        <v>5.6952881728724067</v>
      </c>
      <c r="V2700" s="46">
        <f>'Data_in-situ'!DP170</f>
        <v>3</v>
      </c>
      <c r="W2700" s="113">
        <f>'Data_in-situ'!DR170</f>
        <v>-0.69713006958988755</v>
      </c>
      <c r="X2700" s="113">
        <f>'Data_in-situ'!DS170</f>
        <v>2.6053258555485774</v>
      </c>
      <c r="Y2700" s="46">
        <f>'Data_in-situ'!DT170</f>
        <v>3</v>
      </c>
      <c r="AF2700" s="113">
        <f>'Data_in-situ'!EN163</f>
        <v>-109</v>
      </c>
      <c r="AG2700" s="113">
        <f>'Data_in-situ'!EO163</f>
        <v>44.417107463890972</v>
      </c>
      <c r="AH2700" s="110">
        <f>'Data_in-situ'!EP163</f>
        <v>4</v>
      </c>
      <c r="AI2700" s="113">
        <f>'Data_in-situ'!ER163</f>
        <v>-121</v>
      </c>
      <c r="AJ2700" s="113">
        <f>'Data_in-situ'!ES163</f>
        <v>27.444500474612497</v>
      </c>
      <c r="AK2700" s="110">
        <f>'Data_in-situ'!ET163</f>
        <v>4</v>
      </c>
    </row>
    <row r="2701" spans="14:37" x14ac:dyDescent="0.3">
      <c r="N2701" s="24">
        <f>'Data_in-situ'!DA455</f>
        <v>-92854.643962848248</v>
      </c>
      <c r="O2701" s="24">
        <f>'Data_in-situ'!DB455</f>
        <v>8527.3893173831366</v>
      </c>
      <c r="P2701" s="46">
        <f>'Data_in-situ'!DC455</f>
        <v>3</v>
      </c>
      <c r="Q2701" s="24">
        <f>'Data_in-situ'!DE455</f>
        <v>-50485.263157894762</v>
      </c>
      <c r="R2701" s="24">
        <f>'Data_in-situ'!DF455</f>
        <v>3652.2236993561119</v>
      </c>
      <c r="S2701" s="46">
        <f>'Data_in-situ'!DG455</f>
        <v>3</v>
      </c>
      <c r="T2701" s="113">
        <f>'Data_in-situ'!DN171</f>
        <v>8.2133016861181183</v>
      </c>
      <c r="U2701" s="113">
        <f>'Data_in-situ'!DO171</f>
        <v>9.1568399454753813</v>
      </c>
      <c r="V2701" s="46">
        <f>'Data_in-situ'!DP171</f>
        <v>3</v>
      </c>
      <c r="W2701" s="113">
        <f>'Data_in-situ'!DR171</f>
        <v>3.0351970722144359</v>
      </c>
      <c r="X2701" s="113">
        <f>'Data_in-situ'!DS171</f>
        <v>11.343187955696123</v>
      </c>
      <c r="Y2701" s="46">
        <f>'Data_in-situ'!DT171</f>
        <v>3</v>
      </c>
      <c r="AF2701" s="113">
        <f>'Data_in-situ'!EN164</f>
        <v>-109</v>
      </c>
      <c r="AG2701" s="113">
        <f>'Data_in-situ'!EO164</f>
        <v>44.417107463890972</v>
      </c>
      <c r="AH2701" s="110">
        <f>'Data_in-situ'!EP164</f>
        <v>4</v>
      </c>
      <c r="AI2701" s="113">
        <f>'Data_in-situ'!ER164</f>
        <v>-119</v>
      </c>
      <c r="AJ2701" s="113">
        <f>'Data_in-situ'!ES164</f>
        <v>26.990872367594108</v>
      </c>
      <c r="AK2701" s="110">
        <f>'Data_in-situ'!ET164</f>
        <v>4</v>
      </c>
    </row>
    <row r="2702" spans="14:37" x14ac:dyDescent="0.3">
      <c r="N2702" s="24">
        <f>'Data_in-situ'!DA468</f>
        <v>-1350</v>
      </c>
      <c r="O2702" s="24">
        <f>'Data_in-situ'!DB468</f>
        <v>2670</v>
      </c>
      <c r="P2702" s="46">
        <f>'Data_in-situ'!DC468</f>
        <v>1</v>
      </c>
      <c r="Q2702" s="24">
        <f>'Data_in-situ'!DE468</f>
        <v>-320</v>
      </c>
      <c r="R2702" s="24">
        <f>'Data_in-situ'!DF468</f>
        <v>1110</v>
      </c>
      <c r="S2702" s="46">
        <f>'Data_in-situ'!DG468</f>
        <v>1</v>
      </c>
      <c r="T2702" s="113">
        <f>'Data_in-situ'!DN176</f>
        <v>1294.4026579568806</v>
      </c>
      <c r="U2702" s="113">
        <f>'Data_in-situ'!DO176</f>
        <v>1425.6221977894311</v>
      </c>
      <c r="V2702" s="46">
        <f>'Data_in-situ'!DP176</f>
        <v>4</v>
      </c>
      <c r="W2702" s="113">
        <f>'Data_in-situ'!DR176</f>
        <v>22.36227209479982</v>
      </c>
      <c r="X2702" s="113">
        <f>'Data_in-situ'!DS176</f>
        <v>23.370237472575557</v>
      </c>
      <c r="Y2702" s="46">
        <f>'Data_in-situ'!DT176</f>
        <v>3</v>
      </c>
      <c r="AF2702" s="113">
        <f>'Data_in-situ'!EN165</f>
        <v>-109</v>
      </c>
      <c r="AG2702" s="113">
        <f>'Data_in-situ'!EO165</f>
        <v>44.417107463890972</v>
      </c>
      <c r="AH2702" s="110">
        <f>'Data_in-situ'!EP165</f>
        <v>4</v>
      </c>
      <c r="AI2702" s="113">
        <f>'Data_in-situ'!ER165</f>
        <v>-138</v>
      </c>
      <c r="AJ2702" s="113">
        <f>'Data_in-situ'!ES165</f>
        <v>31.300339384268796</v>
      </c>
      <c r="AK2702" s="110">
        <f>'Data_in-situ'!ET165</f>
        <v>4</v>
      </c>
    </row>
    <row r="2703" spans="14:37" x14ac:dyDescent="0.3">
      <c r="N2703" s="24">
        <f>'Data_in-situ'!DA469</f>
        <v>-5990.5</v>
      </c>
      <c r="O2703" s="24">
        <f>'Data_in-situ'!DB469</f>
        <v>17969.442614809748</v>
      </c>
      <c r="P2703" s="46">
        <f>'Data_in-situ'!DC469</f>
        <v>1</v>
      </c>
      <c r="Q2703" s="24">
        <f>'Data_in-situ'!DE469</f>
        <v>-5358</v>
      </c>
      <c r="R2703" s="24">
        <f>'Data_in-situ'!DF469</f>
        <v>5106.9390918580921</v>
      </c>
      <c r="S2703" s="46">
        <f>'Data_in-situ'!DG469</f>
        <v>1</v>
      </c>
      <c r="T2703" s="113">
        <f>'Data_in-situ'!DN177</f>
        <v>835.37440260212782</v>
      </c>
      <c r="U2703" s="113">
        <f>'Data_in-situ'!DO177</f>
        <v>1277.3279087005756</v>
      </c>
      <c r="V2703" s="46">
        <f>'Data_in-situ'!DP177</f>
        <v>4</v>
      </c>
      <c r="W2703" s="113">
        <f>'Data_in-situ'!DR177</f>
        <v>14.31185414067193</v>
      </c>
      <c r="X2703" s="113">
        <f>'Data_in-situ'!DS177</f>
        <v>14.416523575818015</v>
      </c>
      <c r="Y2703" s="46">
        <f>'Data_in-situ'!DT177</f>
        <v>3</v>
      </c>
      <c r="AF2703" s="113">
        <f>'Data_in-situ'!EN166</f>
        <v>-76</v>
      </c>
      <c r="AG2703" s="113">
        <f>'Data_in-situ'!EO166</f>
        <v>30.969726305098295</v>
      </c>
      <c r="AH2703" s="110">
        <f>'Data_in-situ'!EP166</f>
        <v>4</v>
      </c>
      <c r="AI2703" s="113">
        <f>'Data_in-situ'!ER166</f>
        <v>-84</v>
      </c>
      <c r="AJ2703" s="113">
        <f>'Data_in-situ'!ES166</f>
        <v>19.052380494772311</v>
      </c>
      <c r="AK2703" s="110">
        <f>'Data_in-situ'!ET166</f>
        <v>4</v>
      </c>
    </row>
    <row r="2704" spans="14:37" x14ac:dyDescent="0.3">
      <c r="T2704" s="113">
        <f>'Data_in-situ'!DN178</f>
        <v>564.51922087106243</v>
      </c>
      <c r="U2704" s="113">
        <f>'Data_in-situ'!DO178</f>
        <v>574.53047753186331</v>
      </c>
      <c r="V2704" s="46">
        <f>'Data_in-situ'!DP178</f>
        <v>4</v>
      </c>
      <c r="W2704" s="113">
        <f>'Data_in-situ'!DR178</f>
        <v>18.784308559631839</v>
      </c>
      <c r="X2704" s="113">
        <f>'Data_in-situ'!DS178</f>
        <v>16.576139153459437</v>
      </c>
      <c r="Y2704" s="46">
        <f>'Data_in-situ'!DT178</f>
        <v>3</v>
      </c>
      <c r="AF2704" s="113">
        <f>'Data_in-situ'!EN167</f>
        <v>-18</v>
      </c>
      <c r="AG2704" s="113">
        <f>'Data_in-situ'!EO167</f>
        <v>7.3349351775232803</v>
      </c>
      <c r="AH2704" s="110">
        <f>'Data_in-situ'!EP167</f>
        <v>3</v>
      </c>
      <c r="AI2704" s="113">
        <f>'Data_in-situ'!ER167</f>
        <v>-37</v>
      </c>
      <c r="AJ2704" s="113">
        <f>'Data_in-situ'!ES167</f>
        <v>8.3921199798401851</v>
      </c>
      <c r="AK2704" s="110">
        <f>'Data_in-situ'!ET167</f>
        <v>3</v>
      </c>
    </row>
    <row r="2705" spans="20:37" x14ac:dyDescent="0.3">
      <c r="T2705" s="113">
        <f>'Data_in-situ'!DN179</f>
        <v>140.79806050736187</v>
      </c>
      <c r="U2705" s="113">
        <f>'Data_in-situ'!DO179</f>
        <v>57.85185596345088</v>
      </c>
      <c r="V2705" s="46">
        <f>'Data_in-situ'!DP179</f>
        <v>3</v>
      </c>
      <c r="W2705" s="113">
        <f>'Data_in-situ'!DR179</f>
        <v>22.365263658588713</v>
      </c>
      <c r="X2705" s="113">
        <f>'Data_in-situ'!DS179</f>
        <v>28.96859337526929</v>
      </c>
      <c r="Y2705" s="46">
        <f>'Data_in-situ'!DT179</f>
        <v>3</v>
      </c>
      <c r="AF2705" s="113">
        <f>'Data_in-situ'!EN168</f>
        <v>-7.118297455968686</v>
      </c>
      <c r="AG2705" s="113">
        <f>'Data_in-situ'!EO168</f>
        <v>2.0896725316659488</v>
      </c>
      <c r="AH2705" s="110">
        <f>'Data_in-situ'!EP168</f>
        <v>3</v>
      </c>
      <c r="AI2705" s="113">
        <f>'Data_in-situ'!ER168</f>
        <v>-41.42054794520547</v>
      </c>
      <c r="AJ2705" s="113">
        <f>'Data_in-situ'!ES168</f>
        <v>4.0513805156967972</v>
      </c>
      <c r="AK2705" s="110">
        <f>'Data_in-situ'!ET168</f>
        <v>3</v>
      </c>
    </row>
    <row r="2706" spans="20:37" x14ac:dyDescent="0.3">
      <c r="T2706" s="113">
        <f>'Data_in-situ'!DN180</f>
        <v>129.84710024567806</v>
      </c>
      <c r="U2706" s="113">
        <f>'Data_in-situ'!DO180</f>
        <v>45.955805142101362</v>
      </c>
      <c r="V2706" s="46">
        <f>'Data_in-situ'!DP180</f>
        <v>3</v>
      </c>
      <c r="W2706" s="113">
        <f>'Data_in-situ'!DR180</f>
        <v>14.486591233404059</v>
      </c>
      <c r="X2706" s="113">
        <f>'Data_in-situ'!DS180</f>
        <v>18.662006281146603</v>
      </c>
      <c r="Y2706" s="46">
        <f>'Data_in-situ'!DT180</f>
        <v>3</v>
      </c>
      <c r="AF2706" s="113">
        <f>'Data_in-situ'!EN169</f>
        <v>-23.325205479452055</v>
      </c>
      <c r="AG2706" s="113">
        <f>'Data_in-situ'!EO169</f>
        <v>9.1345235133236322</v>
      </c>
      <c r="AH2706" s="110">
        <f>'Data_in-situ'!EP169</f>
        <v>3</v>
      </c>
      <c r="AI2706" s="113">
        <f>'Data_in-situ'!ER169</f>
        <v>-50.248283223625691</v>
      </c>
      <c r="AJ2706" s="113">
        <f>'Data_in-situ'!ES169</f>
        <v>5.5408758417852315</v>
      </c>
      <c r="AK2706" s="110">
        <f>'Data_in-situ'!ET169</f>
        <v>3</v>
      </c>
    </row>
    <row r="2707" spans="20:37" x14ac:dyDescent="0.3">
      <c r="T2707" s="113">
        <f>'Data_in-situ'!DN181</f>
        <v>159.57113524167664</v>
      </c>
      <c r="U2707" s="113">
        <f>'Data_in-situ'!DO181</f>
        <v>73.816751459863269</v>
      </c>
      <c r="V2707" s="46">
        <f>'Data_in-situ'!DP181</f>
        <v>3</v>
      </c>
      <c r="W2707" s="113">
        <f>'Data_in-situ'!DR181</f>
        <v>15.757344850369346</v>
      </c>
      <c r="X2707" s="113">
        <f>'Data_in-situ'!DS181</f>
        <v>19.375072891550516</v>
      </c>
      <c r="Y2707" s="46">
        <f>'Data_in-situ'!DT181</f>
        <v>3</v>
      </c>
      <c r="AF2707" s="113">
        <f>'Data_in-situ'!EN170</f>
        <v>-5.9909980430528433</v>
      </c>
      <c r="AG2707" s="113">
        <f>'Data_in-situ'!EO170</f>
        <v>3.1338536679828461</v>
      </c>
      <c r="AH2707" s="110">
        <f>'Data_in-situ'!EP170</f>
        <v>3</v>
      </c>
      <c r="AI2707" s="113">
        <f>'Data_in-situ'!ER170</f>
        <v>-25.035567514677091</v>
      </c>
      <c r="AJ2707" s="113">
        <f>'Data_in-situ'!ES170</f>
        <v>3.3576627131775418</v>
      </c>
      <c r="AK2707" s="110">
        <f>'Data_in-situ'!ET170</f>
        <v>3</v>
      </c>
    </row>
    <row r="2708" spans="20:37" x14ac:dyDescent="0.3">
      <c r="T2708" s="113">
        <f>'Data_in-situ'!DN185</f>
        <v>319.20253634957294</v>
      </c>
      <c r="U2708" s="113">
        <f>'Data_in-situ'!DO185</f>
        <v>123.29702910462079</v>
      </c>
      <c r="V2708" s="46">
        <f>'Data_in-situ'!DP185</f>
        <v>3</v>
      </c>
      <c r="W2708" s="113">
        <f>'Data_in-situ'!DR185</f>
        <v>5.2453106713176574</v>
      </c>
      <c r="X2708" s="113">
        <f>'Data_in-situ'!DS185</f>
        <v>10.686883582340696</v>
      </c>
      <c r="Y2708" s="46">
        <f>'Data_in-situ'!DT185</f>
        <v>3</v>
      </c>
      <c r="AF2708" s="113">
        <f>'Data_in-situ'!EN171</f>
        <v>-28.456673189823867</v>
      </c>
      <c r="AG2708" s="113">
        <f>'Data_in-situ'!EO171</f>
        <v>9.4179374135466869</v>
      </c>
      <c r="AH2708" s="110">
        <f>'Data_in-situ'!EP171</f>
        <v>3</v>
      </c>
      <c r="AI2708" s="113">
        <f>'Data_in-situ'!ER171</f>
        <v>-19.023532289628182</v>
      </c>
      <c r="AJ2708" s="113">
        <f>'Data_in-situ'!ES171</f>
        <v>6.0791484886821818</v>
      </c>
      <c r="AK2708" s="110">
        <f>'Data_in-situ'!ET171</f>
        <v>3</v>
      </c>
    </row>
    <row r="2709" spans="20:37" x14ac:dyDescent="0.3">
      <c r="T2709" s="113">
        <f>'Data_in-situ'!DN186</f>
        <v>396.02095568448323</v>
      </c>
      <c r="U2709" s="113">
        <f>'Data_in-situ'!DO186</f>
        <v>825.11321611621167</v>
      </c>
      <c r="V2709" s="46">
        <f>'Data_in-situ'!DP186</f>
        <v>3</v>
      </c>
      <c r="W2709" s="113">
        <f>'Data_in-situ'!DR186</f>
        <v>5.2453106713176574</v>
      </c>
      <c r="X2709" s="113">
        <f>'Data_in-situ'!DS186</f>
        <v>10.686883582340696</v>
      </c>
      <c r="Y2709" s="46">
        <f>'Data_in-situ'!DT186</f>
        <v>3</v>
      </c>
      <c r="AF2709" s="113">
        <f>'Data_in-situ'!EN173</f>
        <v>-14.041514041514047</v>
      </c>
      <c r="AG2709" s="113">
        <f>'Data_in-situ'!EO173</f>
        <v>3.8618262026084285</v>
      </c>
      <c r="AH2709" s="110">
        <f>'Data_in-situ'!EP173</f>
        <v>3</v>
      </c>
      <c r="AI2709" s="113">
        <f>'Data_in-situ'!ER173</f>
        <v>-37.912087912087912</v>
      </c>
      <c r="AJ2709" s="113">
        <f>'Data_in-situ'!ES173</f>
        <v>6.2846687384361628</v>
      </c>
      <c r="AK2709" s="110">
        <f>'Data_in-situ'!ET173</f>
        <v>3</v>
      </c>
    </row>
    <row r="2710" spans="20:37" x14ac:dyDescent="0.3">
      <c r="T2710" s="113">
        <f>'Data_in-situ'!DN187</f>
        <v>353.77082505028261</v>
      </c>
      <c r="U2710" s="113">
        <f>'Data_in-situ'!DO187</f>
        <v>377.4427718737299</v>
      </c>
      <c r="V2710" s="46">
        <f>'Data_in-situ'!DP187</f>
        <v>3</v>
      </c>
      <c r="W2710" s="113">
        <f>'Data_in-situ'!DR187</f>
        <v>5.2453106713176574</v>
      </c>
      <c r="X2710" s="113">
        <f>'Data_in-situ'!DS187</f>
        <v>10.686883582340696</v>
      </c>
      <c r="Y2710" s="46">
        <f>'Data_in-situ'!DT187</f>
        <v>3</v>
      </c>
      <c r="AF2710" s="113">
        <f>'Data_in-situ'!EN174</f>
        <v>-8</v>
      </c>
      <c r="AG2710" s="113">
        <f>'Data_in-situ'!EO174</f>
        <v>3.2599711900103467</v>
      </c>
      <c r="AH2710" s="110">
        <f>'Data_in-situ'!EP174</f>
        <v>3</v>
      </c>
      <c r="AI2710" s="113">
        <f>'Data_in-situ'!ER174</f>
        <v>-11</v>
      </c>
      <c r="AJ2710" s="113">
        <f>'Data_in-situ'!ES174</f>
        <v>2.4949545886011357</v>
      </c>
      <c r="AK2710" s="110">
        <f>'Data_in-situ'!ET174</f>
        <v>3</v>
      </c>
    </row>
    <row r="2711" spans="20:37" x14ac:dyDescent="0.3">
      <c r="T2711" s="113">
        <f>'Data_in-situ'!DN191</f>
        <v>353.77082505028261</v>
      </c>
      <c r="U2711" s="113">
        <f>'Data_in-situ'!DO191</f>
        <v>377.4427718737299</v>
      </c>
      <c r="V2711" s="46">
        <f>'Data_in-situ'!DP191</f>
        <v>3</v>
      </c>
      <c r="W2711" s="113">
        <f>'Data_in-situ'!DR191</f>
        <v>4.8706456233663973</v>
      </c>
      <c r="X2711" s="113">
        <f>'Data_in-situ'!DS191</f>
        <v>10.042950275238745</v>
      </c>
      <c r="Y2711" s="46">
        <f>'Data_in-situ'!DT191</f>
        <v>3</v>
      </c>
      <c r="AF2711" s="113">
        <f>'Data_in-situ'!EN175</f>
        <v>-8</v>
      </c>
      <c r="AG2711" s="113">
        <f>'Data_in-situ'!EO175</f>
        <v>3.2599711900103467</v>
      </c>
      <c r="AH2711" s="110">
        <f>'Data_in-situ'!EP175</f>
        <v>3</v>
      </c>
      <c r="AI2711" s="113">
        <f>'Data_in-situ'!ER175</f>
        <v>-19</v>
      </c>
      <c r="AJ2711" s="113">
        <f>'Data_in-situ'!ES175</f>
        <v>4.3094670166746889</v>
      </c>
      <c r="AK2711" s="110">
        <f>'Data_in-situ'!ET175</f>
        <v>3</v>
      </c>
    </row>
    <row r="2712" spans="20:37" x14ac:dyDescent="0.3">
      <c r="T2712" s="113">
        <f>'Data_in-situ'!DN192</f>
        <v>353.77082505028261</v>
      </c>
      <c r="U2712" s="113">
        <f>'Data_in-situ'!DO192</f>
        <v>377.4427718737299</v>
      </c>
      <c r="V2712" s="46">
        <f>'Data_in-situ'!DP192</f>
        <v>3</v>
      </c>
      <c r="W2712" s="113">
        <f>'Data_in-situ'!DR192</f>
        <v>4.4959805754151345</v>
      </c>
      <c r="X2712" s="113">
        <f>'Data_in-situ'!DS192</f>
        <v>9.194274493457808</v>
      </c>
      <c r="Y2712" s="46">
        <f>'Data_in-situ'!DT192</f>
        <v>3</v>
      </c>
      <c r="AF2712" s="113">
        <f>'Data_in-situ'!EN176</f>
        <v>-7.2</v>
      </c>
      <c r="AG2712" s="113">
        <f>'Data_in-situ'!EO176</f>
        <v>2.1</v>
      </c>
      <c r="AH2712" s="110">
        <f>'Data_in-situ'!EP176</f>
        <v>4</v>
      </c>
      <c r="AI2712" s="113">
        <f>'Data_in-situ'!ER176</f>
        <v>-39.6</v>
      </c>
      <c r="AJ2712" s="113">
        <f>'Data_in-situ'!ES176</f>
        <v>17.2</v>
      </c>
      <c r="AK2712" s="110">
        <f>'Data_in-situ'!ET176</f>
        <v>3</v>
      </c>
    </row>
    <row r="2713" spans="20:37" x14ac:dyDescent="0.3">
      <c r="T2713" s="113">
        <f>'Data_in-situ'!DN193</f>
        <v>353.77082505028261</v>
      </c>
      <c r="U2713" s="113">
        <f>'Data_in-situ'!DO193</f>
        <v>377.4427718737299</v>
      </c>
      <c r="V2713" s="46">
        <f>'Data_in-situ'!DP193</f>
        <v>3</v>
      </c>
      <c r="W2713" s="113">
        <f>'Data_in-situ'!DR193</f>
        <v>6.3693058151714421</v>
      </c>
      <c r="X2713" s="113">
        <f>'Data_in-situ'!DS193</f>
        <v>13.141978030809039</v>
      </c>
      <c r="Y2713" s="46">
        <f>'Data_in-situ'!DT193</f>
        <v>3</v>
      </c>
      <c r="AF2713" s="113">
        <f>'Data_in-situ'!EN177</f>
        <v>-9.1999999999999993</v>
      </c>
      <c r="AG2713" s="113">
        <f>'Data_in-situ'!EO177</f>
        <v>4.8</v>
      </c>
      <c r="AH2713" s="110">
        <f>'Data_in-situ'!EP177</f>
        <v>4</v>
      </c>
      <c r="AI2713" s="113">
        <f>'Data_in-situ'!ER177</f>
        <v>-41</v>
      </c>
      <c r="AJ2713" s="113">
        <f>'Data_in-situ'!ES177</f>
        <v>11</v>
      </c>
      <c r="AK2713" s="110">
        <f>'Data_in-situ'!ET177</f>
        <v>3</v>
      </c>
    </row>
    <row r="2714" spans="20:37" x14ac:dyDescent="0.3">
      <c r="T2714" s="113">
        <f>'Data_in-situ'!DN195</f>
        <v>157.55702481107656</v>
      </c>
      <c r="U2714" s="113">
        <f>'Data_in-situ'!DO195</f>
        <v>48.678566846799022</v>
      </c>
      <c r="V2714" s="46">
        <f>'Data_in-situ'!DP195</f>
        <v>3</v>
      </c>
      <c r="W2714" s="113">
        <f>'Data_in-situ'!DR195</f>
        <v>113.18254393770165</v>
      </c>
      <c r="X2714" s="113">
        <f>'Data_in-situ'!DS195</f>
        <v>73.207043848592377</v>
      </c>
      <c r="Y2714" s="46">
        <f>'Data_in-situ'!DT195</f>
        <v>3</v>
      </c>
      <c r="AF2714" s="113">
        <f>'Data_in-situ'!EN178</f>
        <v>-9.6999999999999993</v>
      </c>
      <c r="AG2714" s="113">
        <f>'Data_in-situ'!EO178</f>
        <v>3.7</v>
      </c>
      <c r="AH2714" s="110">
        <f>'Data_in-situ'!EP178</f>
        <v>4</v>
      </c>
      <c r="AI2714" s="113">
        <f>'Data_in-situ'!ER178</f>
        <v>-45.2</v>
      </c>
      <c r="AJ2714" s="113">
        <f>'Data_in-situ'!ES178</f>
        <v>11.5</v>
      </c>
      <c r="AK2714" s="110">
        <f>'Data_in-situ'!ET178</f>
        <v>3</v>
      </c>
    </row>
    <row r="2715" spans="20:37" x14ac:dyDescent="0.3">
      <c r="T2715" s="113">
        <f>'Data_in-situ'!DN196</f>
        <v>20.372391781452269</v>
      </c>
      <c r="U2715" s="113">
        <f>'Data_in-situ'!DO196</f>
        <v>47.083328695005008</v>
      </c>
      <c r="V2715" s="46">
        <f>'Data_in-situ'!DP196</f>
        <v>3</v>
      </c>
      <c r="W2715" s="113">
        <f>'Data_in-situ'!DR196</f>
        <v>23.189276423209868</v>
      </c>
      <c r="X2715" s="113">
        <f>'Data_in-situ'!DS196</f>
        <v>55.90659464438842</v>
      </c>
      <c r="Y2715" s="46">
        <f>'Data_in-situ'!DT196</f>
        <v>3</v>
      </c>
      <c r="AF2715" s="113">
        <f>'Data_in-situ'!EN179</f>
        <v>-6.75</v>
      </c>
      <c r="AG2715" s="113">
        <f>'Data_in-situ'!EO179</f>
        <v>4.0326790102858423</v>
      </c>
      <c r="AH2715" s="110">
        <f>'Data_in-situ'!EP179</f>
        <v>3</v>
      </c>
      <c r="AI2715" s="113">
        <f>'Data_in-situ'!ER179</f>
        <v>-13.2</v>
      </c>
      <c r="AJ2715" s="113">
        <f>'Data_in-situ'!ES179</f>
        <v>6.5</v>
      </c>
      <c r="AK2715" s="110">
        <f>'Data_in-situ'!ET179</f>
        <v>3</v>
      </c>
    </row>
    <row r="2716" spans="20:37" x14ac:dyDescent="0.3">
      <c r="T2716" s="113">
        <f>'Data_in-situ'!DN197</f>
        <v>155.82698820258872</v>
      </c>
      <c r="U2716" s="113">
        <f>'Data_in-situ'!DO197</f>
        <v>23.032741265577613</v>
      </c>
      <c r="V2716" s="46">
        <f>'Data_in-situ'!DP197</f>
        <v>3</v>
      </c>
      <c r="W2716" s="113">
        <f>'Data_in-situ'!DR197</f>
        <v>112.44558555457438</v>
      </c>
      <c r="X2716" s="113">
        <f>'Data_in-situ'!DS197</f>
        <v>45.444038695017397</v>
      </c>
      <c r="Y2716" s="46">
        <f>'Data_in-situ'!DT197</f>
        <v>3</v>
      </c>
      <c r="AF2716" s="113">
        <f>'Data_in-situ'!EN180</f>
        <v>-7.05</v>
      </c>
      <c r="AG2716" s="113">
        <f>'Data_in-situ'!EO180</f>
        <v>2.8714108030722461</v>
      </c>
      <c r="AH2716" s="110">
        <f>'Data_in-situ'!EP180</f>
        <v>3</v>
      </c>
      <c r="AI2716" s="113">
        <f>'Data_in-situ'!ER180</f>
        <v>-16.899999999999999</v>
      </c>
      <c r="AJ2716" s="113">
        <f>'Data_in-situ'!ES180</f>
        <v>10.5</v>
      </c>
      <c r="AK2716" s="110">
        <f>'Data_in-situ'!ET180</f>
        <v>3</v>
      </c>
    </row>
    <row r="2717" spans="20:37" x14ac:dyDescent="0.3">
      <c r="T2717" s="113">
        <f>'Data_in-situ'!DN198</f>
        <v>26.090957895544143</v>
      </c>
      <c r="U2717" s="113">
        <f>'Data_in-situ'!DO198</f>
        <v>4.5126597497032837</v>
      </c>
      <c r="V2717" s="46">
        <f>'Data_in-situ'!DP198</f>
        <v>3</v>
      </c>
      <c r="W2717" s="113">
        <f>'Data_in-situ'!DR198</f>
        <v>36.800373454224456</v>
      </c>
      <c r="X2717" s="113">
        <f>'Data_in-situ'!DS198</f>
        <v>16.18313151345119</v>
      </c>
      <c r="Y2717" s="46">
        <f>'Data_in-situ'!DT198</f>
        <v>3</v>
      </c>
      <c r="AF2717" s="113">
        <f>'Data_in-situ'!EN181</f>
        <v>-8.5500000000000007</v>
      </c>
      <c r="AG2717" s="113">
        <f>'Data_in-situ'!EO181</f>
        <v>4.9678969393496883</v>
      </c>
      <c r="AH2717" s="110">
        <f>'Data_in-situ'!EP181</f>
        <v>3</v>
      </c>
      <c r="AI2717" s="113">
        <f>'Data_in-situ'!ER181</f>
        <v>-16.2</v>
      </c>
      <c r="AJ2717" s="113">
        <f>'Data_in-situ'!ES181</f>
        <v>8</v>
      </c>
      <c r="AK2717" s="110">
        <f>'Data_in-situ'!ET181</f>
        <v>3</v>
      </c>
    </row>
    <row r="2718" spans="20:37" x14ac:dyDescent="0.3">
      <c r="T2718" s="113">
        <f>'Data_in-situ'!DN200</f>
        <v>245.98402154970469</v>
      </c>
      <c r="U2718" s="113">
        <f>'Data_in-situ'!DO200</f>
        <v>274.24249109003443</v>
      </c>
      <c r="V2718" s="46">
        <f>'Data_in-situ'!DP200</f>
        <v>1</v>
      </c>
      <c r="W2718" s="113">
        <f>'Data_in-situ'!DR200</f>
        <v>137.10405045597599</v>
      </c>
      <c r="X2718" s="113">
        <f>'Data_in-situ'!DS200</f>
        <v>512.38749142398558</v>
      </c>
      <c r="Y2718" s="46">
        <f>'Data_in-situ'!DT200</f>
        <v>1</v>
      </c>
      <c r="AF2718" s="113">
        <f>'Data_in-situ'!EN185</f>
        <v>-29.297839506172831</v>
      </c>
      <c r="AG2718" s="113">
        <f>'Data_in-situ'!EO185</f>
        <v>7.4871417952407429</v>
      </c>
      <c r="AH2718" s="110">
        <f>'Data_in-situ'!EP185</f>
        <v>3</v>
      </c>
      <c r="AI2718" s="113">
        <f>'Data_in-situ'!ER185</f>
        <v>-89.296666666666667</v>
      </c>
      <c r="AJ2718" s="113">
        <f>'Data_in-situ'!ES185</f>
        <v>4.948066962629615</v>
      </c>
      <c r="AK2718" s="110">
        <f>'Data_in-situ'!ET185</f>
        <v>3</v>
      </c>
    </row>
    <row r="2719" spans="20:37" x14ac:dyDescent="0.3">
      <c r="T2719" s="113">
        <f>'Data_in-situ'!DN201</f>
        <v>54.705882352941174</v>
      </c>
      <c r="U2719" s="113">
        <f>'Data_in-situ'!DO201</f>
        <v>60.990455230513547</v>
      </c>
      <c r="V2719" s="46">
        <f>'Data_in-situ'!DP201</f>
        <v>3</v>
      </c>
      <c r="W2719" s="113">
        <f>'Data_in-situ'!DR201</f>
        <v>0</v>
      </c>
      <c r="X2719" s="113">
        <f>'Data_in-situ'!DS201</f>
        <v>0</v>
      </c>
      <c r="Y2719" s="46">
        <f>'Data_in-situ'!DT201</f>
        <v>3</v>
      </c>
      <c r="AF2719" s="113">
        <f>'Data_in-situ'!EN186</f>
        <v>-15.092592592592601</v>
      </c>
      <c r="AG2719" s="113">
        <f>'Data_in-situ'!EO186</f>
        <v>7.11534501237022</v>
      </c>
      <c r="AH2719" s="110">
        <f>'Data_in-situ'!EP186</f>
        <v>3</v>
      </c>
      <c r="AI2719" s="113">
        <f>'Data_in-situ'!ER186</f>
        <v>-89.296666666666667</v>
      </c>
      <c r="AJ2719" s="113">
        <f>'Data_in-situ'!ES186</f>
        <v>4.948066962629615</v>
      </c>
      <c r="AK2719" s="110">
        <f>'Data_in-situ'!ET186</f>
        <v>3</v>
      </c>
    </row>
    <row r="2720" spans="20:37" x14ac:dyDescent="0.3">
      <c r="T2720" s="113">
        <f>'Data_in-situ'!DN202</f>
        <v>57.352941176470587</v>
      </c>
      <c r="U2720" s="113">
        <f>'Data_in-situ'!DO202</f>
        <v>63.941606290054523</v>
      </c>
      <c r="V2720" s="46">
        <f>'Data_in-situ'!DP202</f>
        <v>3</v>
      </c>
      <c r="W2720" s="113">
        <f>'Data_in-situ'!DR202</f>
        <v>0</v>
      </c>
      <c r="X2720" s="113">
        <f>'Data_in-situ'!DS202</f>
        <v>0</v>
      </c>
      <c r="Y2720" s="46">
        <f>'Data_in-situ'!DT202</f>
        <v>3</v>
      </c>
      <c r="AF2720" s="113">
        <f>'Data_in-situ'!EN187</f>
        <v>-22.905478395061731</v>
      </c>
      <c r="AG2720" s="113">
        <f>'Data_in-situ'!EO187</f>
        <v>5.2162753162474411</v>
      </c>
      <c r="AH2720" s="110">
        <f>'Data_in-situ'!EP187</f>
        <v>3</v>
      </c>
      <c r="AI2720" s="113">
        <f>'Data_in-situ'!ER187</f>
        <v>-89.296666666666667</v>
      </c>
      <c r="AJ2720" s="113">
        <f>'Data_in-situ'!ES187</f>
        <v>4.948066962629615</v>
      </c>
      <c r="AK2720" s="110">
        <f>'Data_in-situ'!ET187</f>
        <v>3</v>
      </c>
    </row>
    <row r="2721" spans="20:37" x14ac:dyDescent="0.3">
      <c r="T2721" s="113">
        <f>'Data_in-situ'!DN205</f>
        <v>1.365079365079364</v>
      </c>
      <c r="U2721" s="113">
        <f>'Data_in-situ'!DO205</f>
        <v>1.1269841269841301</v>
      </c>
      <c r="V2721" s="46">
        <f>'Data_in-situ'!DP205</f>
        <v>4</v>
      </c>
      <c r="W2721" s="113">
        <f>'Data_in-situ'!DR205</f>
        <v>-2.3809523809523801E-2</v>
      </c>
      <c r="X2721" s="113">
        <f>'Data_in-situ'!DS205</f>
        <v>4.7619047619047603E-2</v>
      </c>
      <c r="Y2721" s="46">
        <f>'Data_in-situ'!DT205</f>
        <v>4</v>
      </c>
      <c r="AF2721" s="113">
        <f>'Data_in-situ'!EN191</f>
        <v>-22.905478395061731</v>
      </c>
      <c r="AG2721" s="113">
        <f>'Data_in-situ'!EO191</f>
        <v>5.2162753162474411</v>
      </c>
      <c r="AH2721" s="110">
        <f>'Data_in-situ'!EP191</f>
        <v>3</v>
      </c>
      <c r="AI2721" s="113">
        <f>'Data_in-situ'!ER191</f>
        <v>-91.63</v>
      </c>
      <c r="AJ2721" s="113">
        <f>'Data_in-situ'!ES191</f>
        <v>7.7942286340599471</v>
      </c>
      <c r="AK2721" s="110">
        <f>'Data_in-situ'!ET191</f>
        <v>3</v>
      </c>
    </row>
    <row r="2722" spans="20:37" x14ac:dyDescent="0.3">
      <c r="T2722" s="113">
        <f>'Data_in-situ'!DN206</f>
        <v>463.27543921409523</v>
      </c>
      <c r="U2722" s="113">
        <f>'Data_in-situ'!DO206</f>
        <v>273.82684401702096</v>
      </c>
      <c r="V2722" s="46">
        <f>'Data_in-situ'!DP206</f>
        <v>10</v>
      </c>
      <c r="W2722" s="113">
        <f>'Data_in-situ'!DR206</f>
        <v>96.95483735641497</v>
      </c>
      <c r="X2722" s="113">
        <f>'Data_in-situ'!DS206</f>
        <v>59.158355726925045</v>
      </c>
      <c r="Y2722" s="46">
        <f>'Data_in-situ'!DT206</f>
        <v>10</v>
      </c>
      <c r="AF2722" s="113">
        <f>'Data_in-situ'!EN192</f>
        <v>-22.905478395061731</v>
      </c>
      <c r="AG2722" s="113">
        <f>'Data_in-situ'!EO192</f>
        <v>5.2162753162474411</v>
      </c>
      <c r="AH2722" s="110">
        <f>'Data_in-situ'!EP192</f>
        <v>3</v>
      </c>
      <c r="AI2722" s="113">
        <f>'Data_in-situ'!ER192</f>
        <v>-87.6</v>
      </c>
      <c r="AJ2722" s="113">
        <f>'Data_in-situ'!ES192</f>
        <v>10.825317547305483</v>
      </c>
      <c r="AK2722" s="110">
        <f>'Data_in-situ'!ET192</f>
        <v>3</v>
      </c>
    </row>
    <row r="2723" spans="20:37" x14ac:dyDescent="0.3">
      <c r="T2723" s="113">
        <f>'Data_in-situ'!DN207</f>
        <v>-3.4702280090943463</v>
      </c>
      <c r="U2723" s="113">
        <f>'Data_in-situ'!DO207</f>
        <v>1.9645331933110226</v>
      </c>
      <c r="V2723" s="46">
        <f>'Data_in-situ'!DP207</f>
        <v>10</v>
      </c>
      <c r="W2723" s="113">
        <f>'Data_in-situ'!DR207</f>
        <v>5.0366149276059726</v>
      </c>
      <c r="X2723" s="113">
        <f>'Data_in-situ'!DS207</f>
        <v>17.873807602780403</v>
      </c>
      <c r="Y2723" s="46">
        <f>'Data_in-situ'!DT207</f>
        <v>10</v>
      </c>
      <c r="AF2723" s="113">
        <f>'Data_in-situ'!EN193</f>
        <v>-22.905478395061731</v>
      </c>
      <c r="AG2723" s="113">
        <f>'Data_in-situ'!EO193</f>
        <v>5.2162753162474411</v>
      </c>
      <c r="AH2723" s="110">
        <f>'Data_in-situ'!EP193</f>
        <v>3</v>
      </c>
      <c r="AI2723" s="113">
        <f>'Data_in-situ'!ER193</f>
        <v>-89.296666666666667</v>
      </c>
      <c r="AJ2723" s="113">
        <f>'Data_in-situ'!ES193</f>
        <v>6.512511036458978</v>
      </c>
      <c r="AK2723" s="110">
        <f>'Data_in-situ'!ET193</f>
        <v>3</v>
      </c>
    </row>
    <row r="2724" spans="20:37" x14ac:dyDescent="0.3">
      <c r="T2724" s="113">
        <f>'Data_in-situ'!DN208</f>
        <v>576.05784950966154</v>
      </c>
      <c r="U2724" s="113">
        <f>'Data_in-situ'!DO208</f>
        <v>329.18150586510939</v>
      </c>
      <c r="V2724" s="46">
        <f>'Data_in-situ'!DP208</f>
        <v>4</v>
      </c>
      <c r="W2724" s="113">
        <f>'Data_in-situ'!DR208</f>
        <v>132.21114184965677</v>
      </c>
      <c r="X2724" s="113">
        <f>'Data_in-situ'!DS208</f>
        <v>124.13591126677807</v>
      </c>
      <c r="Y2724" s="46">
        <f>'Data_in-situ'!DT208</f>
        <v>4</v>
      </c>
      <c r="AF2724" s="113">
        <f>'Data_in-situ'!EN195</f>
        <v>-8.1</v>
      </c>
      <c r="AG2724" s="113">
        <f>'Data_in-situ'!EO195</f>
        <v>1.2</v>
      </c>
      <c r="AH2724" s="110">
        <f>'Data_in-situ'!EP195</f>
        <v>3</v>
      </c>
      <c r="AI2724" s="113">
        <f>'Data_in-situ'!ER195</f>
        <v>-13.1</v>
      </c>
      <c r="AJ2724" s="113">
        <f>'Data_in-situ'!ES195</f>
        <v>0.8</v>
      </c>
      <c r="AK2724" s="110">
        <f>'Data_in-situ'!ET195</f>
        <v>3</v>
      </c>
    </row>
    <row r="2725" spans="20:37" x14ac:dyDescent="0.3">
      <c r="T2725" s="113">
        <f>'Data_in-situ'!DN209</f>
        <v>-5.2053420136415198</v>
      </c>
      <c r="U2725" s="113">
        <f>'Data_in-situ'!DO209</f>
        <v>2.2181869265634826</v>
      </c>
      <c r="V2725" s="46">
        <f>'Data_in-situ'!DP209</f>
        <v>4</v>
      </c>
      <c r="W2725" s="113">
        <f>'Data_in-situ'!DR209</f>
        <v>-1.2591537319014932</v>
      </c>
      <c r="X2725" s="113">
        <f>'Data_in-situ'!DS209</f>
        <v>2.6242999817463004</v>
      </c>
      <c r="Y2725" s="46">
        <f>'Data_in-situ'!DT209</f>
        <v>4</v>
      </c>
      <c r="AF2725" s="113">
        <f>'Data_in-situ'!EN196</f>
        <v>-20.399999999999999</v>
      </c>
      <c r="AG2725" s="113">
        <f>'Data_in-situ'!EO196</f>
        <v>2.2999999999999998</v>
      </c>
      <c r="AH2725" s="110">
        <f>'Data_in-situ'!EP196</f>
        <v>3</v>
      </c>
      <c r="AI2725" s="113">
        <f>'Data_in-situ'!ER196</f>
        <v>-28.4</v>
      </c>
      <c r="AJ2725" s="113">
        <f>'Data_in-situ'!ES196</f>
        <v>3.2</v>
      </c>
      <c r="AK2725" s="110">
        <f>'Data_in-situ'!ET196</f>
        <v>3</v>
      </c>
    </row>
    <row r="2726" spans="20:37" x14ac:dyDescent="0.3">
      <c r="T2726" s="113">
        <f>'Data_in-situ'!DN210</f>
        <v>34.702280090943461</v>
      </c>
      <c r="U2726" s="113">
        <f>'Data_in-situ'!DO210</f>
        <v>38.688853360019664</v>
      </c>
      <c r="V2726" s="46">
        <f>'Data_in-situ'!DP210</f>
        <v>10</v>
      </c>
      <c r="W2726" s="113">
        <f>'Data_in-situ'!DR210</f>
        <v>27.701382101832849</v>
      </c>
      <c r="X2726" s="113">
        <f>'Data_in-situ'!DS210</f>
        <v>103.52605657476954</v>
      </c>
      <c r="Y2726" s="46">
        <f>'Data_in-situ'!DT210</f>
        <v>10</v>
      </c>
      <c r="AF2726" s="113">
        <f>'Data_in-situ'!EN197</f>
        <v>-8.1</v>
      </c>
      <c r="AG2726" s="113">
        <f>'Data_in-situ'!EO197</f>
        <v>1.2</v>
      </c>
      <c r="AH2726" s="110">
        <f>'Data_in-situ'!EP197</f>
        <v>3</v>
      </c>
      <c r="AI2726" s="113">
        <f>'Data_in-situ'!ER197</f>
        <v>-13.1</v>
      </c>
      <c r="AJ2726" s="113">
        <f>'Data_in-situ'!ES197</f>
        <v>0.8</v>
      </c>
      <c r="AK2726" s="110">
        <f>'Data_in-situ'!ET197</f>
        <v>3</v>
      </c>
    </row>
    <row r="2727" spans="20:37" x14ac:dyDescent="0.3">
      <c r="T2727" s="113">
        <f>'Data_in-situ'!DN211</f>
        <v>679.54671344272833</v>
      </c>
      <c r="U2727" s="113">
        <f>'Data_in-situ'!DO211</f>
        <v>860.0591867401946</v>
      </c>
      <c r="V2727" s="46">
        <f>'Data_in-situ'!DP211</f>
        <v>46</v>
      </c>
      <c r="W2727" s="113">
        <f>'Data_in-situ'!DR211</f>
        <v>15.65177995944169</v>
      </c>
      <c r="X2727" s="113">
        <f>'Data_in-situ'!DS211</f>
        <v>24.385487937237958</v>
      </c>
      <c r="Y2727" s="46">
        <f>'Data_in-situ'!DT211</f>
        <v>73</v>
      </c>
      <c r="AF2727" s="113">
        <f>'Data_in-situ'!EN198</f>
        <v>-20.399999999999999</v>
      </c>
      <c r="AG2727" s="113">
        <f>'Data_in-situ'!EO198</f>
        <v>2.2999999999999998</v>
      </c>
      <c r="AH2727" s="110">
        <f>'Data_in-situ'!EP198</f>
        <v>3</v>
      </c>
      <c r="AI2727" s="113">
        <f>'Data_in-situ'!ER198</f>
        <v>-28.4</v>
      </c>
      <c r="AJ2727" s="113">
        <f>'Data_in-situ'!ES198</f>
        <v>3.2</v>
      </c>
      <c r="AK2727" s="110">
        <f>'Data_in-situ'!ET198</f>
        <v>3</v>
      </c>
    </row>
    <row r="2728" spans="20:37" x14ac:dyDescent="0.3">
      <c r="T2728" s="113">
        <f>'Data_in-situ'!DN212</f>
        <v>70.824570735895975</v>
      </c>
      <c r="U2728" s="113">
        <f>'Data_in-situ'!DO212</f>
        <v>78.960847077092538</v>
      </c>
      <c r="V2728" s="46">
        <f>'Data_in-situ'!DP212</f>
        <v>46</v>
      </c>
      <c r="W2728" s="113">
        <f>'Data_in-situ'!DR212</f>
        <v>-0.12589285714285717</v>
      </c>
      <c r="X2728" s="113">
        <f>'Data_in-situ'!DS212</f>
        <v>0.47048883709193973</v>
      </c>
      <c r="Y2728" s="46">
        <f>'Data_in-situ'!DT212</f>
        <v>66</v>
      </c>
      <c r="AF2728" s="113">
        <f>'Data_in-situ'!EN199</f>
        <v>-20.100000000000001</v>
      </c>
      <c r="AG2728" s="113">
        <f>'Data_in-situ'!EO199</f>
        <v>2</v>
      </c>
      <c r="AH2728" s="110">
        <f>'Data_in-situ'!EP199</f>
        <v>16</v>
      </c>
      <c r="AI2728" s="113">
        <f>'Data_in-situ'!ER199</f>
        <v>-38.200000000000003</v>
      </c>
      <c r="AJ2728" s="113">
        <f>'Data_in-situ'!ES199</f>
        <v>2</v>
      </c>
      <c r="AK2728" s="110">
        <f>'Data_in-situ'!ET199</f>
        <v>16</v>
      </c>
    </row>
    <row r="2729" spans="20:37" x14ac:dyDescent="0.3">
      <c r="T2729" s="113">
        <f>'Data_in-situ'!DN213</f>
        <v>5.4</v>
      </c>
      <c r="U2729" s="113">
        <f>'Data_in-situ'!DO213</f>
        <v>6.0203481614635956</v>
      </c>
      <c r="V2729" s="46">
        <f>'Data_in-situ'!DP213</f>
        <v>3</v>
      </c>
      <c r="W2729" s="113">
        <f>'Data_in-situ'!DR213</f>
        <v>1.4</v>
      </c>
      <c r="X2729" s="113">
        <f>'Data_in-situ'!DS213</f>
        <v>5.2321028124834132</v>
      </c>
      <c r="Y2729" s="46">
        <f>'Data_in-situ'!DT213</f>
        <v>3</v>
      </c>
      <c r="AF2729" s="113">
        <f>'Data_in-situ'!EN200</f>
        <v>-23</v>
      </c>
      <c r="AG2729" s="113">
        <f>'Data_in-situ'!EO200</f>
        <v>3.2</v>
      </c>
      <c r="AH2729" s="110">
        <f>'Data_in-situ'!EP200</f>
        <v>16</v>
      </c>
      <c r="AI2729" s="113">
        <f>'Data_in-situ'!ER200</f>
        <v>-35.299999999999997</v>
      </c>
      <c r="AJ2729" s="113">
        <f>'Data_in-situ'!ES200</f>
        <v>4.4000000000000004</v>
      </c>
      <c r="AK2729" s="110">
        <f>'Data_in-situ'!ET200</f>
        <v>16</v>
      </c>
    </row>
    <row r="2730" spans="20:37" x14ac:dyDescent="0.3">
      <c r="T2730" s="113">
        <f>'Data_in-situ'!DN214</f>
        <v>7.5</v>
      </c>
      <c r="U2730" s="113">
        <f>'Data_in-situ'!DO214</f>
        <v>8.3615946686994373</v>
      </c>
      <c r="V2730" s="46">
        <f>'Data_in-situ'!DP214</f>
        <v>3</v>
      </c>
      <c r="W2730" s="113">
        <f>'Data_in-situ'!DR214</f>
        <v>1.6</v>
      </c>
      <c r="X2730" s="113">
        <f>'Data_in-situ'!DS214</f>
        <v>5.979546071409616</v>
      </c>
      <c r="Y2730" s="46">
        <f>'Data_in-situ'!DT214</f>
        <v>3</v>
      </c>
      <c r="AF2730" s="113">
        <f>'Data_in-situ'!EN201</f>
        <v>7.1</v>
      </c>
      <c r="AG2730" s="113">
        <f>'Data_in-situ'!EO201</f>
        <v>1.3435028842544376</v>
      </c>
      <c r="AH2730" s="110">
        <f>'Data_in-situ'!EP201</f>
        <v>3</v>
      </c>
      <c r="AI2730" s="113">
        <f>'Data_in-situ'!ER201</f>
        <v>-26</v>
      </c>
      <c r="AJ2730" s="113">
        <f>'Data_in-situ'!ES201</f>
        <v>5.6568542494923806</v>
      </c>
      <c r="AK2730" s="110">
        <f>'Data_in-situ'!ET201</f>
        <v>3</v>
      </c>
    </row>
    <row r="2731" spans="20:37" x14ac:dyDescent="0.3">
      <c r="T2731" s="113">
        <f>'Data_in-situ'!DN216</f>
        <v>36.386666666666663</v>
      </c>
      <c r="U2731" s="113">
        <f>'Data_in-situ'!DO216</f>
        <v>4.1569219381653051</v>
      </c>
      <c r="V2731" s="46">
        <f>'Data_in-situ'!DP216</f>
        <v>3</v>
      </c>
      <c r="W2731" s="113">
        <f>'Data_in-situ'!DR216</f>
        <v>12.573333333333332</v>
      </c>
      <c r="X2731" s="113">
        <f>'Data_in-situ'!DS216</f>
        <v>5.1268703904038775</v>
      </c>
      <c r="Y2731" s="46">
        <f>'Data_in-situ'!DT216</f>
        <v>3</v>
      </c>
      <c r="AF2731" s="113">
        <f>'Data_in-situ'!EN202</f>
        <v>14.2</v>
      </c>
      <c r="AG2731" s="113">
        <f>'Data_in-situ'!EO202</f>
        <v>1.9091883092036779</v>
      </c>
      <c r="AH2731" s="110">
        <f>'Data_in-situ'!EP202</f>
        <v>3</v>
      </c>
      <c r="AI2731" s="113">
        <f>'Data_in-situ'!ER202</f>
        <v>-26.3</v>
      </c>
      <c r="AJ2731" s="113">
        <f>'Data_in-situ'!ES202</f>
        <v>4.6669047558312107</v>
      </c>
      <c r="AK2731" s="110">
        <f>'Data_in-situ'!ET202</f>
        <v>3</v>
      </c>
    </row>
    <row r="2732" spans="20:37" x14ac:dyDescent="0.3">
      <c r="T2732" s="113">
        <f>'Data_in-situ'!DN217</f>
        <v>42.739726027397303</v>
      </c>
      <c r="U2732" s="113">
        <f>'Data_in-situ'!DO217</f>
        <v>33.554654010728207</v>
      </c>
      <c r="V2732" s="46">
        <f>'Data_in-situ'!DP217</f>
        <v>6</v>
      </c>
      <c r="W2732" s="113">
        <f>'Data_in-situ'!DR217</f>
        <v>15.6164383561644</v>
      </c>
      <c r="X2732" s="113">
        <f>'Data_in-situ'!DS217</f>
        <v>21.474978566866142</v>
      </c>
      <c r="Y2732" s="46">
        <f>'Data_in-situ'!DT217</f>
        <v>6</v>
      </c>
      <c r="AF2732" s="113">
        <f>'Data_in-situ'!EN203</f>
        <v>3</v>
      </c>
      <c r="AG2732" s="113">
        <f>'Data_in-situ'!EO203</f>
        <v>1.22248919625388</v>
      </c>
      <c r="AH2732" s="110">
        <f>'Data_in-situ'!EP203</f>
        <v>3</v>
      </c>
      <c r="AI2732" s="113">
        <f>'Data_in-situ'!ER203</f>
        <v>-42</v>
      </c>
      <c r="AJ2732" s="113">
        <f>'Data_in-situ'!ES203</f>
        <v>9.5261902473861557</v>
      </c>
      <c r="AK2732" s="110">
        <f>'Data_in-situ'!ET203</f>
        <v>3</v>
      </c>
    </row>
    <row r="2733" spans="20:37" x14ac:dyDescent="0.3">
      <c r="T2733" s="113">
        <f>'Data_in-situ'!DN218</f>
        <v>42.739726027397296</v>
      </c>
      <c r="U2733" s="113">
        <f>'Data_in-situ'!DO218</f>
        <v>33.554654010728207</v>
      </c>
      <c r="V2733" s="46">
        <f>'Data_in-situ'!DP218</f>
        <v>6</v>
      </c>
      <c r="W2733" s="113">
        <f>'Data_in-situ'!DR218</f>
        <v>16.164383561643799</v>
      </c>
      <c r="X2733" s="113">
        <f>'Data_in-situ'!DS218</f>
        <v>14.764047764720594</v>
      </c>
      <c r="Y2733" s="46">
        <f>'Data_in-situ'!DT218</f>
        <v>6</v>
      </c>
      <c r="AF2733" s="113">
        <f>'Data_in-situ'!EN204</f>
        <v>3</v>
      </c>
      <c r="AG2733" s="113">
        <f>'Data_in-situ'!EO204</f>
        <v>1.22248919625388</v>
      </c>
      <c r="AH2733" s="110">
        <f>'Data_in-situ'!EP204</f>
        <v>3</v>
      </c>
      <c r="AI2733" s="113">
        <f>'Data_in-situ'!ER204</f>
        <v>-41</v>
      </c>
      <c r="AJ2733" s="113">
        <f>'Data_in-situ'!ES204</f>
        <v>9.2993761938769612</v>
      </c>
      <c r="AK2733" s="110">
        <f>'Data_in-situ'!ET204</f>
        <v>3</v>
      </c>
    </row>
    <row r="2734" spans="20:37" x14ac:dyDescent="0.3">
      <c r="T2734" s="113">
        <f>'Data_in-situ'!DN219</f>
        <v>21.18</v>
      </c>
      <c r="U2734" s="113">
        <f>'Data_in-situ'!DO219</f>
        <v>2.2516660498395402</v>
      </c>
      <c r="V2734" s="46">
        <f>'Data_in-situ'!DP219</f>
        <v>3</v>
      </c>
      <c r="W2734" s="113">
        <f>'Data_in-situ'!DR219</f>
        <v>9.06</v>
      </c>
      <c r="X2734" s="113">
        <f>'Data_in-situ'!DS219</f>
        <v>0.95262794416288255</v>
      </c>
      <c r="Y2734" s="46">
        <f>'Data_in-situ'!DT219</f>
        <v>3</v>
      </c>
      <c r="AF2734" s="113">
        <f>'Data_in-situ'!EN205</f>
        <v>-10</v>
      </c>
      <c r="AG2734" s="113">
        <f>'Data_in-situ'!EO205</f>
        <v>23</v>
      </c>
      <c r="AH2734" s="110">
        <f>'Data_in-situ'!EP205</f>
        <v>4</v>
      </c>
      <c r="AI2734" s="113">
        <f>'Data_in-situ'!ER205</f>
        <v>-56</v>
      </c>
      <c r="AJ2734" s="113">
        <f>'Data_in-situ'!ES205</f>
        <v>34</v>
      </c>
      <c r="AK2734" s="110">
        <f>'Data_in-situ'!ET205</f>
        <v>4</v>
      </c>
    </row>
    <row r="2735" spans="20:37" x14ac:dyDescent="0.3">
      <c r="T2735" s="113">
        <f>'Data_in-situ'!DN220</f>
        <v>13.53</v>
      </c>
      <c r="U2735" s="113">
        <f>'Data_in-situ'!DO220</f>
        <v>1.593486742963367</v>
      </c>
      <c r="V2735" s="46">
        <f>'Data_in-situ'!DP220</f>
        <v>3</v>
      </c>
      <c r="W2735" s="113">
        <f>'Data_in-situ'!DR220</f>
        <v>3.23</v>
      </c>
      <c r="X2735" s="113">
        <f>'Data_in-situ'!DS220</f>
        <v>0.74478184725461716</v>
      </c>
      <c r="Y2735" s="46">
        <f>'Data_in-situ'!DT220</f>
        <v>3</v>
      </c>
      <c r="AF2735" s="113">
        <f>'Data_in-situ'!EN206</f>
        <v>3</v>
      </c>
      <c r="AG2735" s="113">
        <f>'Data_in-situ'!EO206</f>
        <v>3</v>
      </c>
      <c r="AH2735" s="110">
        <f>'Data_in-situ'!EP206</f>
        <v>10</v>
      </c>
      <c r="AI2735" s="113">
        <f>'Data_in-situ'!ER206</f>
        <v>4</v>
      </c>
      <c r="AJ2735" s="113">
        <f>'Data_in-situ'!ES206</f>
        <v>2</v>
      </c>
      <c r="AK2735" s="110">
        <f>'Data_in-situ'!ET206</f>
        <v>10</v>
      </c>
    </row>
    <row r="2736" spans="20:37" x14ac:dyDescent="0.3">
      <c r="T2736" s="113">
        <f>'Data_in-situ'!DN221</f>
        <v>102.01732234975572</v>
      </c>
      <c r="U2736" s="113">
        <f>'Data_in-situ'!DO221</f>
        <v>83.345787424497175</v>
      </c>
      <c r="V2736" s="46">
        <f>'Data_in-situ'!DP221</f>
        <v>2</v>
      </c>
      <c r="W2736" s="113">
        <f>'Data_in-situ'!DR221</f>
        <v>0.61419354838709672</v>
      </c>
      <c r="X2736" s="113">
        <f>'Data_in-situ'!DS221</f>
        <v>11.86963649409887</v>
      </c>
      <c r="Y2736" s="46">
        <f>'Data_in-situ'!DT221</f>
        <v>6</v>
      </c>
      <c r="AF2736" s="113">
        <f>'Data_in-situ'!EN207</f>
        <v>-19</v>
      </c>
      <c r="AG2736" s="113">
        <f>'Data_in-situ'!EO207</f>
        <v>4</v>
      </c>
      <c r="AH2736" s="110">
        <f>'Data_in-situ'!EP207</f>
        <v>10</v>
      </c>
      <c r="AI2736" s="113">
        <f>'Data_in-situ'!ER207</f>
        <v>-17</v>
      </c>
      <c r="AJ2736" s="113">
        <f>'Data_in-situ'!ES207</f>
        <v>7</v>
      </c>
      <c r="AK2736" s="110">
        <f>'Data_in-situ'!ET207</f>
        <v>10</v>
      </c>
    </row>
    <row r="2737" spans="20:37" x14ac:dyDescent="0.3">
      <c r="T2737" s="113">
        <f>'Data_in-situ'!DN226</f>
        <v>23</v>
      </c>
      <c r="U2737" s="113">
        <f>'Data_in-situ'!DO226</f>
        <v>25.642223650678275</v>
      </c>
      <c r="V2737" s="46">
        <f>'Data_in-situ'!DP226</f>
        <v>4</v>
      </c>
      <c r="W2737" s="113">
        <f>'Data_in-situ'!DR226</f>
        <v>0.03</v>
      </c>
      <c r="X2737" s="113">
        <f>'Data_in-situ'!DS226</f>
        <v>0.11211648883893029</v>
      </c>
      <c r="Y2737" s="46">
        <f>'Data_in-situ'!DT226</f>
        <v>4</v>
      </c>
      <c r="AF2737" s="113">
        <f>'Data_in-situ'!EN208</f>
        <v>3</v>
      </c>
      <c r="AG2737" s="113">
        <f>'Data_in-situ'!EO208</f>
        <v>3</v>
      </c>
      <c r="AH2737" s="110">
        <f>'Data_in-situ'!EP208</f>
        <v>10</v>
      </c>
      <c r="AI2737" s="113">
        <f>'Data_in-situ'!ER208</f>
        <v>4</v>
      </c>
      <c r="AJ2737" s="113">
        <f>'Data_in-situ'!ES208</f>
        <v>2</v>
      </c>
      <c r="AK2737" s="110">
        <f>'Data_in-situ'!ET208</f>
        <v>10</v>
      </c>
    </row>
    <row r="2738" spans="20:37" x14ac:dyDescent="0.3">
      <c r="T2738" s="113">
        <f>'Data_in-situ'!DN227</f>
        <v>23</v>
      </c>
      <c r="U2738" s="113">
        <f>'Data_in-situ'!DO227</f>
        <v>25.642223650678275</v>
      </c>
      <c r="V2738" s="46">
        <f>'Data_in-situ'!DP227</f>
        <v>4</v>
      </c>
      <c r="W2738" s="113">
        <f>'Data_in-situ'!DR227</f>
        <v>0.03</v>
      </c>
      <c r="X2738" s="113">
        <f>'Data_in-situ'!DS227</f>
        <v>0.11211648883893029</v>
      </c>
      <c r="Y2738" s="46">
        <f>'Data_in-situ'!DT227</f>
        <v>4</v>
      </c>
      <c r="AF2738" s="113">
        <f>'Data_in-situ'!EN209</f>
        <v>-19</v>
      </c>
      <c r="AG2738" s="113">
        <f>'Data_in-situ'!EO209</f>
        <v>4</v>
      </c>
      <c r="AH2738" s="110">
        <f>'Data_in-situ'!EP209</f>
        <v>10</v>
      </c>
      <c r="AI2738" s="113">
        <f>'Data_in-situ'!ER209</f>
        <v>-17</v>
      </c>
      <c r="AJ2738" s="113">
        <f>'Data_in-situ'!ES209</f>
        <v>7</v>
      </c>
      <c r="AK2738" s="110">
        <f>'Data_in-situ'!ET209</f>
        <v>10</v>
      </c>
    </row>
    <row r="2739" spans="20:37" x14ac:dyDescent="0.3">
      <c r="T2739" s="113">
        <f>'Data_in-situ'!DN228</f>
        <v>23</v>
      </c>
      <c r="U2739" s="113">
        <f>'Data_in-situ'!DO228</f>
        <v>25.642223650678275</v>
      </c>
      <c r="V2739" s="46">
        <f>'Data_in-situ'!DP228</f>
        <v>4</v>
      </c>
      <c r="W2739" s="113">
        <f>'Data_in-situ'!DR228</f>
        <v>0.03</v>
      </c>
      <c r="X2739" s="113">
        <f>'Data_in-situ'!DS228</f>
        <v>0.11211648883893029</v>
      </c>
      <c r="Y2739" s="46">
        <f>'Data_in-situ'!DT228</f>
        <v>4</v>
      </c>
      <c r="AF2739" s="113">
        <f>'Data_in-situ'!EN211</f>
        <v>-15</v>
      </c>
      <c r="AG2739" s="113">
        <f>'Data_in-situ'!EO211</f>
        <v>13</v>
      </c>
      <c r="AH2739" s="110">
        <f>'Data_in-situ'!EP211</f>
        <v>9836</v>
      </c>
      <c r="AI2739" s="113">
        <f>'Data_in-situ'!ER211</f>
        <v>-22</v>
      </c>
      <c r="AJ2739" s="113">
        <f>'Data_in-situ'!ES211</f>
        <v>10</v>
      </c>
      <c r="AK2739" s="110">
        <f>'Data_in-situ'!ET211</f>
        <v>11052</v>
      </c>
    </row>
    <row r="2740" spans="20:37" x14ac:dyDescent="0.3">
      <c r="T2740" s="113">
        <f>'Data_in-situ'!DN229</f>
        <v>23</v>
      </c>
      <c r="U2740" s="113">
        <f>'Data_in-situ'!DO229</f>
        <v>25.642223650678275</v>
      </c>
      <c r="V2740" s="46">
        <f>'Data_in-situ'!DP229</f>
        <v>4</v>
      </c>
      <c r="W2740" s="113">
        <f>'Data_in-situ'!DR229</f>
        <v>2.2000000000000002</v>
      </c>
      <c r="X2740" s="113">
        <f>'Data_in-situ'!DS229</f>
        <v>8.2218758481882226</v>
      </c>
      <c r="Y2740" s="46">
        <f>'Data_in-situ'!DT229</f>
        <v>4</v>
      </c>
      <c r="AF2740" s="113">
        <f>'Data_in-situ'!EN212</f>
        <v>-15</v>
      </c>
      <c r="AG2740" s="113">
        <f>'Data_in-situ'!EO212</f>
        <v>13</v>
      </c>
      <c r="AH2740" s="110">
        <f>'Data_in-situ'!EP212</f>
        <v>9836</v>
      </c>
      <c r="AI2740" s="113">
        <f>'Data_in-situ'!ER212</f>
        <v>-68</v>
      </c>
      <c r="AJ2740" s="113">
        <f>'Data_in-situ'!ES212</f>
        <v>23</v>
      </c>
      <c r="AK2740" s="110">
        <f>'Data_in-situ'!ET212</f>
        <v>11052</v>
      </c>
    </row>
    <row r="2741" spans="20:37" x14ac:dyDescent="0.3">
      <c r="T2741" s="113">
        <f>'Data_in-situ'!DN230</f>
        <v>23</v>
      </c>
      <c r="U2741" s="113">
        <f>'Data_in-situ'!DO230</f>
        <v>25.642223650678275</v>
      </c>
      <c r="V2741" s="46">
        <f>'Data_in-situ'!DP230</f>
        <v>4</v>
      </c>
      <c r="W2741" s="113">
        <f>'Data_in-situ'!DR230</f>
        <v>2.2000000000000002</v>
      </c>
      <c r="X2741" s="113">
        <f>'Data_in-situ'!DS230</f>
        <v>8.2218758481882226</v>
      </c>
      <c r="Y2741" s="46">
        <f>'Data_in-situ'!DT230</f>
        <v>4</v>
      </c>
      <c r="AF2741" s="113">
        <f>'Data_in-situ'!EN213</f>
        <v>-14.909844559585478</v>
      </c>
      <c r="AG2741" s="113">
        <f>'Data_in-situ'!EO213</f>
        <v>1.0723470663621506</v>
      </c>
      <c r="AH2741" s="110">
        <f>'Data_in-situ'!EP213</f>
        <v>3</v>
      </c>
      <c r="AI2741" s="113">
        <f>'Data_in-situ'!ER213</f>
        <v>-31.98942141623488</v>
      </c>
      <c r="AJ2741" s="113">
        <f>'Data_in-situ'!ES213</f>
        <v>1.5801931444910506</v>
      </c>
      <c r="AK2741" s="110">
        <f>'Data_in-situ'!ET213</f>
        <v>3</v>
      </c>
    </row>
    <row r="2742" spans="20:37" x14ac:dyDescent="0.3">
      <c r="T2742" s="113">
        <f>'Data_in-situ'!DN270</f>
        <v>9.7529199020319588</v>
      </c>
      <c r="U2742" s="113">
        <f>'Data_in-situ'!DO270</f>
        <v>10.616164230838427</v>
      </c>
      <c r="V2742" s="46">
        <f>'Data_in-situ'!DP270</f>
        <v>20</v>
      </c>
      <c r="W2742" s="113">
        <f>'Data_in-situ'!DR270</f>
        <v>1.5362827803916344E-2</v>
      </c>
      <c r="X2742" s="113">
        <f>'Data_in-situ'!DS270</f>
        <v>0.60544514040223285</v>
      </c>
      <c r="Y2742" s="46">
        <f>'Data_in-situ'!DT270</f>
        <v>20</v>
      </c>
      <c r="AF2742" s="113">
        <f>'Data_in-situ'!EN214</f>
        <v>-13.449581506576324</v>
      </c>
      <c r="AG2742" s="113">
        <f>'Data_in-situ'!EO214</f>
        <v>1.4236979793576987</v>
      </c>
      <c r="AH2742" s="110">
        <f>'Data_in-situ'!EP214</f>
        <v>3</v>
      </c>
      <c r="AI2742" s="113">
        <f>'Data_in-situ'!ER214</f>
        <v>-31.606217616580317</v>
      </c>
      <c r="AJ2742" s="113">
        <f>'Data_in-situ'!ES214</f>
        <v>2.0517717022532898</v>
      </c>
      <c r="AK2742" s="110">
        <f>'Data_in-situ'!ET214</f>
        <v>3</v>
      </c>
    </row>
    <row r="2743" spans="20:37" x14ac:dyDescent="0.3">
      <c r="T2743" s="113">
        <f>'Data_in-situ'!DN271</f>
        <v>28.501072212251554</v>
      </c>
      <c r="U2743" s="113">
        <f>'Data_in-situ'!DO271</f>
        <v>28.652903393199384</v>
      </c>
      <c r="V2743" s="46">
        <f>'Data_in-situ'!DP271</f>
        <v>8</v>
      </c>
      <c r="W2743" s="113">
        <f>'Data_in-situ'!DR271</f>
        <v>2.155113237216562</v>
      </c>
      <c r="X2743" s="113">
        <f>'Data_in-situ'!DS271</f>
        <v>5.8344440438614322</v>
      </c>
      <c r="Y2743" s="46">
        <f>'Data_in-situ'!DT271</f>
        <v>8</v>
      </c>
      <c r="AF2743" s="113">
        <f>'Data_in-situ'!EN216</f>
        <v>-15</v>
      </c>
      <c r="AG2743" s="113">
        <f>'Data_in-situ'!EO216</f>
        <v>6.1124459812694001</v>
      </c>
      <c r="AH2743" s="110">
        <f>'Data_in-situ'!EP216</f>
        <v>3</v>
      </c>
      <c r="AI2743" s="113">
        <f>'Data_in-situ'!ER216</f>
        <v>-38</v>
      </c>
      <c r="AJ2743" s="113">
        <f>'Data_in-situ'!ES216</f>
        <v>8.6189340333493778</v>
      </c>
      <c r="AK2743" s="110">
        <f>'Data_in-situ'!ET216</f>
        <v>3</v>
      </c>
    </row>
    <row r="2744" spans="20:37" x14ac:dyDescent="0.3">
      <c r="T2744" s="113">
        <f>'Data_in-situ'!DN272</f>
        <v>14.883893266398051</v>
      </c>
      <c r="U2744" s="113">
        <f>'Data_in-situ'!DO272</f>
        <v>86.792053465048554</v>
      </c>
      <c r="V2744" s="46">
        <f>'Data_in-situ'!DP272</f>
        <v>8</v>
      </c>
      <c r="W2744" s="113">
        <f>'Data_in-situ'!DR272</f>
        <v>1.7398230320846468</v>
      </c>
      <c r="X2744" s="113">
        <f>'Data_in-situ'!DS272</f>
        <v>9.0283655795287849</v>
      </c>
      <c r="Y2744" s="46">
        <f>'Data_in-situ'!DT272</f>
        <v>8</v>
      </c>
      <c r="AF2744" s="113">
        <f>'Data_in-situ'!EN217</f>
        <v>-37.626417233560076</v>
      </c>
      <c r="AG2744" s="113">
        <f>'Data_in-situ'!EO217</f>
        <v>4.4214357150460231</v>
      </c>
      <c r="AH2744" s="110">
        <f>'Data_in-situ'!EP217</f>
        <v>6</v>
      </c>
      <c r="AI2744" s="113">
        <f>'Data_in-situ'!ER217</f>
        <v>-45.222713794142358</v>
      </c>
      <c r="AJ2744" s="113">
        <f>'Data_in-situ'!ES217</f>
        <v>4.4131903136073891</v>
      </c>
      <c r="AK2744" s="110">
        <f>'Data_in-situ'!ET217</f>
        <v>6</v>
      </c>
    </row>
    <row r="2745" spans="20:37" x14ac:dyDescent="0.3">
      <c r="T2745" s="113">
        <f>'Data_in-situ'!DN273</f>
        <v>40.553216435983082</v>
      </c>
      <c r="U2745" s="113">
        <f>'Data_in-situ'!DO273</f>
        <v>36.04252387554827</v>
      </c>
      <c r="V2745" s="46">
        <f>'Data_in-situ'!DP273</f>
        <v>8</v>
      </c>
      <c r="W2745" s="113">
        <f>'Data_in-situ'!DR273</f>
        <v>2.0877876385015846</v>
      </c>
      <c r="X2745" s="113">
        <f>'Data_in-situ'!DS273</f>
        <v>4.899966604705579</v>
      </c>
      <c r="Y2745" s="46">
        <f>'Data_in-situ'!DT273</f>
        <v>8</v>
      </c>
      <c r="AF2745" s="113">
        <f>'Data_in-situ'!EN218</f>
        <v>-37.626417233560076</v>
      </c>
      <c r="AG2745" s="113">
        <f>'Data_in-situ'!EO218</f>
        <v>4.4214357150460231</v>
      </c>
      <c r="AH2745" s="110">
        <f>'Data_in-situ'!EP218</f>
        <v>6</v>
      </c>
      <c r="AI2745" s="113">
        <f>'Data_in-situ'!ER218</f>
        <v>-55.775689347117904</v>
      </c>
      <c r="AJ2745" s="113">
        <f>'Data_in-situ'!ES218</f>
        <v>3.8401258483742482</v>
      </c>
      <c r="AK2745" s="110">
        <f>'Data_in-situ'!ET218</f>
        <v>6</v>
      </c>
    </row>
    <row r="2746" spans="20:37" x14ac:dyDescent="0.3">
      <c r="T2746" s="113">
        <f>'Data_in-situ'!DN274</f>
        <v>185.20163025788599</v>
      </c>
      <c r="U2746" s="113">
        <f>'Data_in-situ'!DO274</f>
        <v>63.221490486987811</v>
      </c>
      <c r="V2746" s="46">
        <f>'Data_in-situ'!DP274</f>
        <v>5</v>
      </c>
      <c r="W2746" s="113">
        <f>'Data_in-situ'!DR274</f>
        <v>121.18643762191216</v>
      </c>
      <c r="X2746" s="113">
        <f>'Data_in-situ'!DS274</f>
        <v>57.510183803125116</v>
      </c>
      <c r="Y2746" s="46">
        <f>'Data_in-situ'!DT274</f>
        <v>5</v>
      </c>
      <c r="AF2746" s="113">
        <f>'Data_in-situ'!EN221</f>
        <v>-16</v>
      </c>
      <c r="AG2746" s="113">
        <f>'Data_in-situ'!EO221</f>
        <v>0.7</v>
      </c>
      <c r="AH2746" s="110">
        <f>'Data_in-situ'!EP221</f>
        <v>2</v>
      </c>
      <c r="AI2746" s="113">
        <f>'Data_in-situ'!ER221</f>
        <v>-44</v>
      </c>
      <c r="AJ2746" s="113">
        <f>'Data_in-situ'!ES221</f>
        <v>14</v>
      </c>
      <c r="AK2746" s="110">
        <f>'Data_in-situ'!ET221</f>
        <v>6</v>
      </c>
    </row>
    <row r="2747" spans="20:37" x14ac:dyDescent="0.3">
      <c r="T2747" s="113">
        <f>'Data_in-situ'!DN275</f>
        <v>72.37222075218537</v>
      </c>
      <c r="U2747" s="113">
        <f>'Data_in-situ'!DO275</f>
        <v>16.290298496553017</v>
      </c>
      <c r="V2747" s="46">
        <f>'Data_in-situ'!DP275</f>
        <v>5</v>
      </c>
      <c r="W2747" s="113">
        <f>'Data_in-situ'!DR275</f>
        <v>28.308613297303122</v>
      </c>
      <c r="X2747" s="113">
        <f>'Data_in-situ'!DS275</f>
        <v>7.7013419089793729</v>
      </c>
      <c r="Y2747" s="46">
        <f>'Data_in-situ'!DT275</f>
        <v>5</v>
      </c>
      <c r="AF2747" s="113">
        <f>'Data_in-situ'!EN226</f>
        <v>-15</v>
      </c>
      <c r="AG2747" s="113">
        <f>'Data_in-situ'!EO226</f>
        <v>6.1124459812694001</v>
      </c>
      <c r="AH2747" s="110">
        <f>'Data_in-situ'!EP226</f>
        <v>4</v>
      </c>
      <c r="AI2747" s="113">
        <f>'Data_in-situ'!ER226</f>
        <v>-60</v>
      </c>
      <c r="AJ2747" s="113">
        <f>'Data_in-situ'!ES226</f>
        <v>13.608843210551651</v>
      </c>
      <c r="AK2747" s="110">
        <f>'Data_in-situ'!ET226</f>
        <v>4</v>
      </c>
    </row>
    <row r="2748" spans="20:37" x14ac:dyDescent="0.3">
      <c r="T2748" s="113">
        <f>'Data_in-situ'!DN276</f>
        <v>49.465244035227812</v>
      </c>
      <c r="U2748" s="113">
        <f>'Data_in-situ'!DO276</f>
        <v>13.371607139963906</v>
      </c>
      <c r="V2748" s="46">
        <f>'Data_in-situ'!DP276</f>
        <v>5</v>
      </c>
      <c r="W2748" s="113">
        <f>'Data_in-situ'!DR276</f>
        <v>54.340166693175355</v>
      </c>
      <c r="X2748" s="113">
        <f>'Data_in-situ'!DS276</f>
        <v>13.781971178631771</v>
      </c>
      <c r="Y2748" s="46">
        <f>'Data_in-situ'!DT276</f>
        <v>5</v>
      </c>
      <c r="AF2748" s="113">
        <f>'Data_in-situ'!EN227</f>
        <v>-9.6300000000000008</v>
      </c>
      <c r="AG2748" s="113">
        <f>'Data_in-situ'!EO227</f>
        <v>3.9241903199749553</v>
      </c>
      <c r="AH2748" s="110">
        <f>'Data_in-situ'!EP227</f>
        <v>4</v>
      </c>
      <c r="AI2748" s="113">
        <f>'Data_in-situ'!ER227</f>
        <v>-60</v>
      </c>
      <c r="AJ2748" s="113">
        <f>'Data_in-situ'!ES227</f>
        <v>13.608843210551651</v>
      </c>
      <c r="AK2748" s="110">
        <f>'Data_in-situ'!ET227</f>
        <v>4</v>
      </c>
    </row>
    <row r="2749" spans="20:37" x14ac:dyDescent="0.3">
      <c r="T2749" s="113">
        <f>'Data_in-situ'!DN277</f>
        <v>161.00136320152035</v>
      </c>
      <c r="U2749" s="113">
        <f>'Data_in-situ'!DO277</f>
        <v>78.597780685425604</v>
      </c>
      <c r="V2749" s="46">
        <f>'Data_in-situ'!DP277</f>
        <v>5</v>
      </c>
      <c r="W2749" s="113">
        <f>'Data_in-situ'!DR277</f>
        <v>91.076976090565751</v>
      </c>
      <c r="X2749" s="113">
        <f>'Data_in-situ'!DS277</f>
        <v>23.599794088555864</v>
      </c>
      <c r="Y2749" s="46">
        <f>'Data_in-situ'!DT277</f>
        <v>5</v>
      </c>
      <c r="AF2749" s="113">
        <f>'Data_in-situ'!EN228</f>
        <v>-8.65</v>
      </c>
      <c r="AG2749" s="113">
        <f>'Data_in-situ'!EO228</f>
        <v>3.5248438491986875</v>
      </c>
      <c r="AH2749" s="110">
        <f>'Data_in-situ'!EP228</f>
        <v>4</v>
      </c>
      <c r="AI2749" s="113">
        <f>'Data_in-situ'!ER228</f>
        <v>-60</v>
      </c>
      <c r="AJ2749" s="113">
        <f>'Data_in-situ'!ES228</f>
        <v>13.608843210551651</v>
      </c>
      <c r="AK2749" s="110">
        <f>'Data_in-situ'!ET228</f>
        <v>4</v>
      </c>
    </row>
    <row r="2750" spans="20:37" x14ac:dyDescent="0.3">
      <c r="T2750" s="113">
        <f>'Data_in-situ'!DN278</f>
        <v>33.182385393713595</v>
      </c>
      <c r="U2750" s="113">
        <f>'Data_in-situ'!DO278</f>
        <v>11.04758962718873</v>
      </c>
      <c r="V2750" s="46">
        <f>'Data_in-situ'!DP278</f>
        <v>5</v>
      </c>
      <c r="W2750" s="113">
        <f>'Data_in-situ'!DR278</f>
        <v>70.577515694920223</v>
      </c>
      <c r="X2750" s="113">
        <f>'Data_in-situ'!DS278</f>
        <v>17.997218807343039</v>
      </c>
      <c r="Y2750" s="46">
        <f>'Data_in-situ'!DT278</f>
        <v>5</v>
      </c>
      <c r="AF2750" s="113">
        <f>'Data_in-situ'!EN229</f>
        <v>-9.6199999999999992</v>
      </c>
      <c r="AG2750" s="113">
        <f>'Data_in-situ'!EO229</f>
        <v>3.9201153559874418</v>
      </c>
      <c r="AH2750" s="110">
        <f>'Data_in-situ'!EP229</f>
        <v>4</v>
      </c>
      <c r="AI2750" s="113">
        <f>'Data_in-situ'!ER229</f>
        <v>-80</v>
      </c>
      <c r="AJ2750" s="113">
        <f>'Data_in-situ'!ES229</f>
        <v>18.145124280735534</v>
      </c>
      <c r="AK2750" s="110">
        <f>'Data_in-situ'!ET229</f>
        <v>4</v>
      </c>
    </row>
    <row r="2751" spans="20:37" x14ac:dyDescent="0.3">
      <c r="T2751" s="113">
        <f>'Data_in-situ'!DN279</f>
        <v>149.58826237069499</v>
      </c>
      <c r="U2751" s="113">
        <f>'Data_in-situ'!DO279</f>
        <v>54.002575188816245</v>
      </c>
      <c r="V2751" s="46">
        <f>'Data_in-situ'!DP279</f>
        <v>5</v>
      </c>
      <c r="W2751" s="113">
        <f>'Data_in-situ'!DR279</f>
        <v>185.74509306894518</v>
      </c>
      <c r="X2751" s="113">
        <f>'Data_in-situ'!DS279</f>
        <v>48.73879916451105</v>
      </c>
      <c r="Y2751" s="46">
        <f>'Data_in-situ'!DT279</f>
        <v>5</v>
      </c>
      <c r="AF2751" s="113">
        <f>'Data_in-situ'!EN230</f>
        <v>-5.36</v>
      </c>
      <c r="AG2751" s="113">
        <f>'Data_in-situ'!EO230</f>
        <v>2.1841806973069327</v>
      </c>
      <c r="AH2751" s="110">
        <f>'Data_in-situ'!EP230</f>
        <v>4</v>
      </c>
      <c r="AI2751" s="113">
        <f>'Data_in-situ'!ER230</f>
        <v>-80</v>
      </c>
      <c r="AJ2751" s="113">
        <f>'Data_in-situ'!ES230</f>
        <v>18.145124280735534</v>
      </c>
      <c r="AK2751" s="110">
        <f>'Data_in-situ'!ET230</f>
        <v>4</v>
      </c>
    </row>
    <row r="2752" spans="20:37" x14ac:dyDescent="0.3">
      <c r="T2752" s="113">
        <f>'Data_in-situ'!DN280</f>
        <v>4.3449126612056599</v>
      </c>
      <c r="U2752" s="113">
        <f>'Data_in-situ'!DO280</f>
        <v>9.5961779850217681</v>
      </c>
      <c r="V2752" s="46">
        <f>'Data_in-situ'!DP280</f>
        <v>6</v>
      </c>
      <c r="W2752" s="113">
        <f>'Data_in-situ'!DR280</f>
        <v>-0.16115570294991843</v>
      </c>
      <c r="X2752" s="113">
        <f>'Data_in-situ'!DS280</f>
        <v>0.55821924153316771</v>
      </c>
      <c r="Y2752" s="46">
        <f>'Data_in-situ'!DT280</f>
        <v>6</v>
      </c>
      <c r="AF2752" s="113">
        <f>'Data_in-situ'!EN231</f>
        <v>-11</v>
      </c>
      <c r="AG2752" s="113">
        <f>'Data_in-situ'!EO231</f>
        <v>4.4824603862642265</v>
      </c>
      <c r="AH2752" s="110">
        <f>'Data_in-situ'!EP231</f>
        <v>3</v>
      </c>
      <c r="AI2752" s="113">
        <f>'Data_in-situ'!ER231</f>
        <v>-23</v>
      </c>
      <c r="AJ2752" s="113">
        <f>'Data_in-situ'!ES231</f>
        <v>5.2167232307114659</v>
      </c>
      <c r="AK2752" s="110">
        <f>'Data_in-situ'!ET231</f>
        <v>3</v>
      </c>
    </row>
    <row r="2753" spans="20:37" x14ac:dyDescent="0.3">
      <c r="T2753" s="113">
        <f>'Data_in-situ'!DN281</f>
        <v>4.3449126612056599</v>
      </c>
      <c r="U2753" s="113">
        <f>'Data_in-situ'!DO281</f>
        <v>9.5961779850217681</v>
      </c>
      <c r="V2753" s="46">
        <f>'Data_in-situ'!DP281</f>
        <v>6</v>
      </c>
      <c r="W2753" s="113">
        <f>'Data_in-situ'!DR281</f>
        <v>-5.3718567649972807E-2</v>
      </c>
      <c r="X2753" s="113">
        <f>'Data_in-situ'!DS281</f>
        <v>0.5398869703372956</v>
      </c>
      <c r="Y2753" s="46">
        <f>'Data_in-situ'!DT281</f>
        <v>6</v>
      </c>
      <c r="AF2753" s="113">
        <f>'Data_in-situ'!EN232</f>
        <v>-11</v>
      </c>
      <c r="AG2753" s="113">
        <f>'Data_in-situ'!EO232</f>
        <v>4.4824603862642265</v>
      </c>
      <c r="AH2753" s="110">
        <f>'Data_in-situ'!EP232</f>
        <v>3</v>
      </c>
      <c r="AI2753" s="113">
        <f>'Data_in-situ'!ER232</f>
        <v>-23</v>
      </c>
      <c r="AJ2753" s="113">
        <f>'Data_in-situ'!ES232</f>
        <v>5.2167232307114659</v>
      </c>
      <c r="AK2753" s="110">
        <f>'Data_in-situ'!ET232</f>
        <v>3</v>
      </c>
    </row>
    <row r="2754" spans="20:37" x14ac:dyDescent="0.3">
      <c r="T2754" s="113">
        <f>'Data_in-situ'!DN282</f>
        <v>4.3449126612056599</v>
      </c>
      <c r="U2754" s="113">
        <f>'Data_in-situ'!DO282</f>
        <v>9.5961779850217681</v>
      </c>
      <c r="V2754" s="46">
        <f>'Data_in-situ'!DP282</f>
        <v>6</v>
      </c>
      <c r="W2754" s="113">
        <f>'Data_in-situ'!DR282</f>
        <v>5.3718567649972807E-2</v>
      </c>
      <c r="X2754" s="113">
        <f>'Data_in-situ'!DS282</f>
        <v>0.43312042016840363</v>
      </c>
      <c r="Y2754" s="46">
        <f>'Data_in-situ'!DT282</f>
        <v>6</v>
      </c>
      <c r="AF2754" s="113">
        <f>'Data_in-situ'!EN233</f>
        <v>-15</v>
      </c>
      <c r="AG2754" s="113">
        <f>'Data_in-situ'!EO233</f>
        <v>6.1124459812694001</v>
      </c>
      <c r="AH2754" s="110">
        <f>'Data_in-situ'!EP233</f>
        <v>3</v>
      </c>
      <c r="AI2754" s="113">
        <f>'Data_in-situ'!ER233</f>
        <v>-20</v>
      </c>
      <c r="AJ2754" s="113">
        <f>'Data_in-situ'!ES233</f>
        <v>4.5362810701838834</v>
      </c>
      <c r="AK2754" s="110">
        <f>'Data_in-situ'!ET233</f>
        <v>3</v>
      </c>
    </row>
    <row r="2755" spans="20:37" x14ac:dyDescent="0.3">
      <c r="T2755" s="113">
        <f>'Data_in-situ'!DN283</f>
        <v>4.3449126612056599</v>
      </c>
      <c r="U2755" s="113">
        <f>'Data_in-situ'!DO283</f>
        <v>9.5961779850217681</v>
      </c>
      <c r="V2755" s="46">
        <f>'Data_in-situ'!DP283</f>
        <v>6</v>
      </c>
      <c r="W2755" s="113">
        <f>'Data_in-situ'!DR283</f>
        <v>5.3718567649972807E-2</v>
      </c>
      <c r="X2755" s="113">
        <f>'Data_in-situ'!DS283</f>
        <v>0.43312042016840363</v>
      </c>
      <c r="Y2755" s="46">
        <f>'Data_in-situ'!DT283</f>
        <v>6</v>
      </c>
      <c r="AF2755" s="113">
        <f>'Data_in-situ'!EN234</f>
        <v>-15</v>
      </c>
      <c r="AG2755" s="113">
        <f>'Data_in-situ'!EO234</f>
        <v>6.1124459812694001</v>
      </c>
      <c r="AH2755" s="110">
        <f>'Data_in-situ'!EP234</f>
        <v>3</v>
      </c>
      <c r="AI2755" s="113">
        <f>'Data_in-situ'!ER234</f>
        <v>-20</v>
      </c>
      <c r="AJ2755" s="113">
        <f>'Data_in-situ'!ES234</f>
        <v>4.5362810701838834</v>
      </c>
      <c r="AK2755" s="110">
        <f>'Data_in-situ'!ET234</f>
        <v>3</v>
      </c>
    </row>
    <row r="2756" spans="20:37" x14ac:dyDescent="0.3">
      <c r="T2756" s="113">
        <f>'Data_in-situ'!DN284</f>
        <v>27.51778018763585</v>
      </c>
      <c r="U2756" s="113">
        <f>'Data_in-situ'!DO284</f>
        <v>12.137611972737048</v>
      </c>
      <c r="V2756" s="46">
        <f>'Data_in-situ'!DP284</f>
        <v>6</v>
      </c>
      <c r="W2756" s="113">
        <f>'Data_in-situ'!DR284</f>
        <v>-0.16115570294991843</v>
      </c>
      <c r="X2756" s="113">
        <f>'Data_in-situ'!DS284</f>
        <v>0.5610292847687105</v>
      </c>
      <c r="Y2756" s="46">
        <f>'Data_in-situ'!DT284</f>
        <v>6</v>
      </c>
      <c r="AF2756" s="113">
        <f>'Data_in-situ'!EN235</f>
        <v>-12</v>
      </c>
      <c r="AG2756" s="113">
        <f>'Data_in-situ'!EO235</f>
        <v>4.8899567850155199</v>
      </c>
      <c r="AH2756" s="110">
        <f>'Data_in-situ'!EP235</f>
        <v>3</v>
      </c>
      <c r="AI2756" s="113">
        <f>'Data_in-situ'!ER235</f>
        <v>-14</v>
      </c>
      <c r="AJ2756" s="113">
        <f>'Data_in-situ'!ES235</f>
        <v>3.1753967491287183</v>
      </c>
      <c r="AK2756" s="110">
        <f>'Data_in-situ'!ET235</f>
        <v>3</v>
      </c>
    </row>
    <row r="2757" spans="20:37" x14ac:dyDescent="0.3">
      <c r="T2757" s="113">
        <f>'Data_in-situ'!DN285</f>
        <v>27.51778018763585</v>
      </c>
      <c r="U2757" s="113">
        <f>'Data_in-situ'!DO285</f>
        <v>12.137611972737048</v>
      </c>
      <c r="V2757" s="46">
        <f>'Data_in-situ'!DP285</f>
        <v>6</v>
      </c>
      <c r="W2757" s="113">
        <f>'Data_in-situ'!DR285</f>
        <v>-5.3718567649972807E-2</v>
      </c>
      <c r="X2757" s="113">
        <f>'Data_in-situ'!DS285</f>
        <v>11.665364622891369</v>
      </c>
      <c r="Y2757" s="46">
        <f>'Data_in-situ'!DT285</f>
        <v>6</v>
      </c>
      <c r="AF2757" s="113">
        <f>'Data_in-situ'!EN236</f>
        <v>-12</v>
      </c>
      <c r="AG2757" s="113">
        <f>'Data_in-situ'!EO236</f>
        <v>4.8899567850155199</v>
      </c>
      <c r="AH2757" s="110">
        <f>'Data_in-situ'!EP236</f>
        <v>3</v>
      </c>
      <c r="AI2757" s="113">
        <f>'Data_in-situ'!ER236</f>
        <v>-14</v>
      </c>
      <c r="AJ2757" s="113">
        <f>'Data_in-situ'!ES236</f>
        <v>3.1753967491287183</v>
      </c>
      <c r="AK2757" s="110">
        <f>'Data_in-situ'!ET236</f>
        <v>3</v>
      </c>
    </row>
    <row r="2758" spans="20:37" x14ac:dyDescent="0.3">
      <c r="T2758" s="113">
        <f>'Data_in-situ'!DN286</f>
        <v>27.51778018763585</v>
      </c>
      <c r="U2758" s="113">
        <f>'Data_in-situ'!DO286</f>
        <v>12.137611972737048</v>
      </c>
      <c r="V2758" s="46">
        <f>'Data_in-situ'!DP286</f>
        <v>6</v>
      </c>
      <c r="W2758" s="113">
        <f>'Data_in-situ'!DR286</f>
        <v>5.3718567649972807E-2</v>
      </c>
      <c r="X2758" s="113">
        <f>'Data_in-situ'!DS286</f>
        <v>1.4941129876440691</v>
      </c>
      <c r="Y2758" s="46">
        <f>'Data_in-situ'!DT286</f>
        <v>6</v>
      </c>
      <c r="AF2758" s="113">
        <f>'Data_in-situ'!EN237</f>
        <v>-22</v>
      </c>
      <c r="AG2758" s="113">
        <f>'Data_in-situ'!EO237</f>
        <v>8.964920772528453</v>
      </c>
      <c r="AH2758" s="110">
        <f>'Data_in-situ'!EP237</f>
        <v>3</v>
      </c>
      <c r="AI2758" s="113">
        <f>'Data_in-situ'!ER237</f>
        <v>-31</v>
      </c>
      <c r="AJ2758" s="113">
        <f>'Data_in-situ'!ES237</f>
        <v>7.0312356587850191</v>
      </c>
      <c r="AK2758" s="110">
        <f>'Data_in-situ'!ET237</f>
        <v>3</v>
      </c>
    </row>
    <row r="2759" spans="20:37" x14ac:dyDescent="0.3">
      <c r="T2759" s="113">
        <f>'Data_in-situ'!DN287</f>
        <v>27.51778018763585</v>
      </c>
      <c r="U2759" s="113">
        <f>'Data_in-situ'!DO287</f>
        <v>12.137611972737048</v>
      </c>
      <c r="V2759" s="46">
        <f>'Data_in-situ'!DP287</f>
        <v>6</v>
      </c>
      <c r="W2759" s="113">
        <f>'Data_in-situ'!DR287</f>
        <v>5.3718567649972807E-2</v>
      </c>
      <c r="X2759" s="113">
        <f>'Data_in-situ'!DS287</f>
        <v>0.43312042016840363</v>
      </c>
      <c r="Y2759" s="46">
        <f>'Data_in-situ'!DT287</f>
        <v>6</v>
      </c>
      <c r="AF2759" s="113">
        <f>'Data_in-situ'!EN238</f>
        <v>-22</v>
      </c>
      <c r="AG2759" s="113">
        <f>'Data_in-situ'!EO238</f>
        <v>8.964920772528453</v>
      </c>
      <c r="AH2759" s="110">
        <f>'Data_in-situ'!EP238</f>
        <v>3</v>
      </c>
      <c r="AI2759" s="113">
        <f>'Data_in-situ'!ER238</f>
        <v>-31</v>
      </c>
      <c r="AJ2759" s="113">
        <f>'Data_in-situ'!ES238</f>
        <v>7.0312356587850191</v>
      </c>
      <c r="AK2759" s="110">
        <f>'Data_in-situ'!ET238</f>
        <v>3</v>
      </c>
    </row>
    <row r="2760" spans="20:37" x14ac:dyDescent="0.3">
      <c r="T2760" s="113">
        <f>'Data_in-situ'!DN288</f>
        <v>17.621034681556281</v>
      </c>
      <c r="U2760" s="113">
        <f>'Data_in-situ'!DO288</f>
        <v>25.060650744317332</v>
      </c>
      <c r="V2760" s="46">
        <f>'Data_in-situ'!DP288</f>
        <v>6</v>
      </c>
      <c r="W2760" s="113">
        <f>'Data_in-situ'!DR288</f>
        <v>-0.16115570294991843</v>
      </c>
      <c r="X2760" s="113">
        <f>'Data_in-situ'!DS288</f>
        <v>0.5610292847687105</v>
      </c>
      <c r="Y2760" s="46">
        <f>'Data_in-situ'!DT288</f>
        <v>6</v>
      </c>
      <c r="AF2760" s="113">
        <f>'Data_in-situ'!EN239</f>
        <v>-2</v>
      </c>
      <c r="AG2760" s="113">
        <f>'Data_in-situ'!EO239</f>
        <v>0.81499279750258669</v>
      </c>
      <c r="AH2760" s="110">
        <f>'Data_in-situ'!EP239</f>
        <v>3</v>
      </c>
      <c r="AI2760" s="113">
        <f>'Data_in-situ'!ER239</f>
        <v>-30</v>
      </c>
      <c r="AJ2760" s="113">
        <f>'Data_in-situ'!ES239</f>
        <v>6.8044216052758255</v>
      </c>
      <c r="AK2760" s="110">
        <f>'Data_in-situ'!ET239</f>
        <v>3</v>
      </c>
    </row>
    <row r="2761" spans="20:37" x14ac:dyDescent="0.3">
      <c r="T2761" s="113">
        <f>'Data_in-situ'!DN289</f>
        <v>17.621034681556281</v>
      </c>
      <c r="U2761" s="113">
        <f>'Data_in-situ'!DO289</f>
        <v>25.060650744317332</v>
      </c>
      <c r="V2761" s="46">
        <f>'Data_in-situ'!DP289</f>
        <v>6</v>
      </c>
      <c r="W2761" s="113">
        <f>'Data_in-situ'!DR289</f>
        <v>-5.3718567649972807E-2</v>
      </c>
      <c r="X2761" s="113">
        <f>'Data_in-situ'!DS289</f>
        <v>0.5398869703372956</v>
      </c>
      <c r="Y2761" s="46">
        <f>'Data_in-situ'!DT289</f>
        <v>6</v>
      </c>
      <c r="AF2761" s="113">
        <f>'Data_in-situ'!EN240</f>
        <v>-2</v>
      </c>
      <c r="AG2761" s="113">
        <f>'Data_in-situ'!EO240</f>
        <v>0.81499279750258669</v>
      </c>
      <c r="AH2761" s="110">
        <f>'Data_in-situ'!EP240</f>
        <v>3</v>
      </c>
      <c r="AI2761" s="113">
        <f>'Data_in-situ'!ER240</f>
        <v>-30</v>
      </c>
      <c r="AJ2761" s="113">
        <f>'Data_in-situ'!ES240</f>
        <v>6.8044216052758255</v>
      </c>
      <c r="AK2761" s="110">
        <f>'Data_in-situ'!ET240</f>
        <v>3</v>
      </c>
    </row>
    <row r="2762" spans="20:37" x14ac:dyDescent="0.3">
      <c r="T2762" s="113">
        <f>'Data_in-situ'!DN290</f>
        <v>17.621034681556281</v>
      </c>
      <c r="U2762" s="113">
        <f>'Data_in-situ'!DO290</f>
        <v>25.060650744317332</v>
      </c>
      <c r="V2762" s="46">
        <f>'Data_in-situ'!DP290</f>
        <v>6</v>
      </c>
      <c r="W2762" s="113">
        <f>'Data_in-situ'!DR290</f>
        <v>5.3718567649972807E-2</v>
      </c>
      <c r="X2762" s="113">
        <f>'Data_in-situ'!DS290</f>
        <v>0.43312042016840363</v>
      </c>
      <c r="Y2762" s="46">
        <f>'Data_in-situ'!DT290</f>
        <v>6</v>
      </c>
      <c r="AF2762" s="113">
        <f>'Data_in-situ'!EN241</f>
        <v>-20</v>
      </c>
      <c r="AG2762" s="113">
        <f>'Data_in-situ'!EO241</f>
        <v>8.1499279750258662</v>
      </c>
      <c r="AH2762" s="110">
        <f>'Data_in-situ'!EP241</f>
        <v>3</v>
      </c>
      <c r="AI2762" s="113">
        <f>'Data_in-situ'!ER241</f>
        <v>-36</v>
      </c>
      <c r="AJ2762" s="113">
        <f>'Data_in-situ'!ES241</f>
        <v>8.1653059263309906</v>
      </c>
      <c r="AK2762" s="110">
        <f>'Data_in-situ'!ET241</f>
        <v>3</v>
      </c>
    </row>
    <row r="2763" spans="20:37" x14ac:dyDescent="0.3">
      <c r="T2763" s="113">
        <f>'Data_in-situ'!DN291</f>
        <v>17.621034681556281</v>
      </c>
      <c r="U2763" s="113">
        <f>'Data_in-situ'!DO291</f>
        <v>25.060650744317332</v>
      </c>
      <c r="V2763" s="46">
        <f>'Data_in-situ'!DP291</f>
        <v>6</v>
      </c>
      <c r="W2763" s="113">
        <f>'Data_in-situ'!DR291</f>
        <v>5.3718567649972807E-2</v>
      </c>
      <c r="X2763" s="113">
        <f>'Data_in-situ'!DS291</f>
        <v>0.43312042016840363</v>
      </c>
      <c r="Y2763" s="46">
        <f>'Data_in-situ'!DT291</f>
        <v>6</v>
      </c>
      <c r="AF2763" s="113">
        <f>'Data_in-situ'!EN242</f>
        <v>-20</v>
      </c>
      <c r="AG2763" s="113">
        <f>'Data_in-situ'!EO242</f>
        <v>8.1499279750258662</v>
      </c>
      <c r="AH2763" s="110">
        <f>'Data_in-situ'!EP242</f>
        <v>3</v>
      </c>
      <c r="AI2763" s="113">
        <f>'Data_in-situ'!ER242</f>
        <v>-36</v>
      </c>
      <c r="AJ2763" s="113">
        <f>'Data_in-situ'!ES242</f>
        <v>8.1653059263309906</v>
      </c>
      <c r="AK2763" s="110">
        <f>'Data_in-situ'!ET242</f>
        <v>3</v>
      </c>
    </row>
    <row r="2764" spans="20:37" x14ac:dyDescent="0.3">
      <c r="T2764" s="113">
        <f>'Data_in-situ'!DN292</f>
        <v>3.0332504908479376</v>
      </c>
      <c r="U2764" s="113">
        <f>'Data_in-situ'!DO292</f>
        <v>6.9539999999999997</v>
      </c>
      <c r="V2764" s="46">
        <f>'Data_in-situ'!DP292</f>
        <v>6</v>
      </c>
      <c r="W2764" s="113">
        <f>'Data_in-situ'!DR292</f>
        <v>5.3718567649972807E-2</v>
      </c>
      <c r="X2764" s="113">
        <f>'Data_in-situ'!DS292</f>
        <v>0.48646678719420772</v>
      </c>
      <c r="Y2764" s="46">
        <f>'Data_in-situ'!DT292</f>
        <v>6</v>
      </c>
      <c r="AF2764" s="113">
        <f>'Data_in-situ'!EN243</f>
        <v>-16</v>
      </c>
      <c r="AG2764" s="113">
        <f>'Data_in-situ'!EO243</f>
        <v>6.5199423800206935</v>
      </c>
      <c r="AH2764" s="110">
        <f>'Data_in-situ'!EP243</f>
        <v>3</v>
      </c>
      <c r="AI2764" s="113">
        <f>'Data_in-situ'!ER243</f>
        <v>-43</v>
      </c>
      <c r="AJ2764" s="113">
        <f>'Data_in-situ'!ES243</f>
        <v>9.7530043008953502</v>
      </c>
      <c r="AK2764" s="110">
        <f>'Data_in-situ'!ET243</f>
        <v>3</v>
      </c>
    </row>
    <row r="2765" spans="20:37" x14ac:dyDescent="0.3">
      <c r="T2765" s="113">
        <f>'Data_in-situ'!DN293</f>
        <v>3.0332504908479376</v>
      </c>
      <c r="U2765" s="113">
        <f>'Data_in-situ'!DO293</f>
        <v>10.126673956829368</v>
      </c>
      <c r="V2765" s="46">
        <f>'Data_in-situ'!DP293</f>
        <v>6</v>
      </c>
      <c r="W2765" s="113">
        <f>'Data_in-situ'!DR293</f>
        <v>-0.10743713529994561</v>
      </c>
      <c r="X2765" s="113">
        <f>'Data_in-situ'!DS293</f>
        <v>0.27043803155784618</v>
      </c>
      <c r="Y2765" s="46">
        <f>'Data_in-situ'!DT293</f>
        <v>6</v>
      </c>
      <c r="AF2765" s="113">
        <f>'Data_in-situ'!EN244</f>
        <v>-16</v>
      </c>
      <c r="AG2765" s="113">
        <f>'Data_in-situ'!EO244</f>
        <v>6.5199423800206935</v>
      </c>
      <c r="AH2765" s="110">
        <f>'Data_in-situ'!EP244</f>
        <v>3</v>
      </c>
      <c r="AI2765" s="113">
        <f>'Data_in-situ'!ER244</f>
        <v>-21</v>
      </c>
      <c r="AJ2765" s="113">
        <f>'Data_in-situ'!ES244</f>
        <v>4.7630951236930779</v>
      </c>
      <c r="AK2765" s="110">
        <f>'Data_in-situ'!ET244</f>
        <v>3</v>
      </c>
    </row>
    <row r="2766" spans="20:37" x14ac:dyDescent="0.3">
      <c r="T2766" s="113">
        <f>'Data_in-situ'!DN294</f>
        <v>3.0332504908479376</v>
      </c>
      <c r="U2766" s="113">
        <f>'Data_in-situ'!DO294</f>
        <v>10.126673956829368</v>
      </c>
      <c r="V2766" s="46">
        <f>'Data_in-situ'!DP294</f>
        <v>6</v>
      </c>
      <c r="W2766" s="113">
        <f>'Data_in-situ'!DR294</f>
        <v>-0.10743713529994561</v>
      </c>
      <c r="X2766" s="113">
        <f>'Data_in-situ'!DS294</f>
        <v>0.39119879833905941</v>
      </c>
      <c r="Y2766" s="46">
        <f>'Data_in-situ'!DT294</f>
        <v>6</v>
      </c>
      <c r="AF2766" s="113">
        <f>'Data_in-situ'!EN245</f>
        <v>-16</v>
      </c>
      <c r="AG2766" s="113">
        <f>'Data_in-situ'!EO245</f>
        <v>6.5199423800206935</v>
      </c>
      <c r="AH2766" s="110">
        <f>'Data_in-situ'!EP245</f>
        <v>3</v>
      </c>
      <c r="AI2766" s="113">
        <f>'Data_in-situ'!ER245</f>
        <v>-21</v>
      </c>
      <c r="AJ2766" s="113">
        <f>'Data_in-situ'!ES245</f>
        <v>4.7630951236930779</v>
      </c>
      <c r="AK2766" s="110">
        <f>'Data_in-situ'!ET245</f>
        <v>3</v>
      </c>
    </row>
    <row r="2767" spans="20:37" x14ac:dyDescent="0.3">
      <c r="T2767" s="113">
        <f>'Data_in-situ'!DN295</f>
        <v>3.0332504908479376</v>
      </c>
      <c r="U2767" s="113">
        <f>'Data_in-situ'!DO295</f>
        <v>10.126673956829368</v>
      </c>
      <c r="V2767" s="46">
        <f>'Data_in-situ'!DP295</f>
        <v>6</v>
      </c>
      <c r="W2767" s="113">
        <f>'Data_in-situ'!DR295</f>
        <v>-5.3718567649972807E-2</v>
      </c>
      <c r="X2767" s="113">
        <f>'Data_in-situ'!DS295</f>
        <v>0.37987896850363267</v>
      </c>
      <c r="Y2767" s="46">
        <f>'Data_in-situ'!DT295</f>
        <v>6</v>
      </c>
      <c r="AF2767" s="113">
        <f>'Data_in-situ'!EN250</f>
        <v>-4</v>
      </c>
      <c r="AG2767" s="113">
        <f>'Data_in-situ'!EO250</f>
        <v>1.6299855950051734</v>
      </c>
      <c r="AH2767" s="110">
        <f>'Data_in-situ'!EP250</f>
        <v>3</v>
      </c>
      <c r="AI2767" s="113">
        <f>'Data_in-situ'!ER250</f>
        <v>-31</v>
      </c>
      <c r="AJ2767" s="113">
        <f>'Data_in-situ'!ES250</f>
        <v>7.0312356587850191</v>
      </c>
      <c r="AK2767" s="110">
        <f>'Data_in-situ'!ET250</f>
        <v>3</v>
      </c>
    </row>
    <row r="2768" spans="20:37" x14ac:dyDescent="0.3">
      <c r="T2768" s="113">
        <f>'Data_in-situ'!DN296</f>
        <v>11.627460214917093</v>
      </c>
      <c r="U2768" s="113">
        <f>'Data_in-situ'!DO296</f>
        <v>19.919328099494376</v>
      </c>
      <c r="V2768" s="46">
        <f>'Data_in-situ'!DP296</f>
        <v>6</v>
      </c>
      <c r="W2768" s="113">
        <f>'Data_in-situ'!DR296</f>
        <v>5.3718567649972807E-2</v>
      </c>
      <c r="X2768" s="113">
        <f>'Data_in-situ'!DS296</f>
        <v>0.48646678719420772</v>
      </c>
      <c r="Y2768" s="46">
        <f>'Data_in-situ'!DT296</f>
        <v>6</v>
      </c>
      <c r="AF2768" s="113">
        <f>'Data_in-situ'!EN251</f>
        <v>-21</v>
      </c>
      <c r="AG2768" s="113">
        <f>'Data_in-situ'!EO251</f>
        <v>8.5574243737771596</v>
      </c>
      <c r="AH2768" s="110">
        <f>'Data_in-situ'!EP251</f>
        <v>3</v>
      </c>
      <c r="AI2768" s="113">
        <f>'Data_in-situ'!ER251</f>
        <v>-38</v>
      </c>
      <c r="AJ2768" s="113">
        <f>'Data_in-situ'!ES251</f>
        <v>8.6189340333493778</v>
      </c>
      <c r="AK2768" s="110">
        <f>'Data_in-situ'!ET251</f>
        <v>3</v>
      </c>
    </row>
    <row r="2769" spans="20:37" x14ac:dyDescent="0.3">
      <c r="T2769" s="113">
        <f>'Data_in-situ'!DN297</f>
        <v>11.627460214917093</v>
      </c>
      <c r="U2769" s="113">
        <f>'Data_in-situ'!DO297</f>
        <v>19.919328099494376</v>
      </c>
      <c r="V2769" s="46">
        <f>'Data_in-situ'!DP297</f>
        <v>6</v>
      </c>
      <c r="W2769" s="113">
        <f>'Data_in-situ'!DR297</f>
        <v>-0.10743713529994561</v>
      </c>
      <c r="X2769" s="113">
        <f>'Data_in-situ'!DS297</f>
        <v>0.28944787367187741</v>
      </c>
      <c r="Y2769" s="46">
        <f>'Data_in-situ'!DT297</f>
        <v>6</v>
      </c>
      <c r="AF2769" s="113">
        <f>'Data_in-situ'!EN252</f>
        <v>0</v>
      </c>
      <c r="AG2769" s="113">
        <f>'Data_in-situ'!EO252</f>
        <v>0</v>
      </c>
      <c r="AH2769" s="110">
        <f>'Data_in-situ'!EP252</f>
        <v>3</v>
      </c>
      <c r="AI2769" s="113">
        <f>'Data_in-situ'!ER252</f>
        <v>-50</v>
      </c>
      <c r="AJ2769" s="113">
        <f>'Data_in-situ'!ES252</f>
        <v>11.340702675459708</v>
      </c>
      <c r="AK2769" s="110">
        <f>'Data_in-situ'!ET252</f>
        <v>3</v>
      </c>
    </row>
    <row r="2770" spans="20:37" x14ac:dyDescent="0.3">
      <c r="T2770" s="113">
        <f>'Data_in-situ'!DN298</f>
        <v>11.627460214917093</v>
      </c>
      <c r="U2770" s="113">
        <f>'Data_in-situ'!DO298</f>
        <v>19.919328099494376</v>
      </c>
      <c r="V2770" s="46">
        <f>'Data_in-situ'!DP298</f>
        <v>6</v>
      </c>
      <c r="W2770" s="113">
        <f>'Data_in-situ'!DR298</f>
        <v>-0.10743713529994561</v>
      </c>
      <c r="X2770" s="113">
        <f>'Data_in-situ'!DS298</f>
        <v>0.39119879833905941</v>
      </c>
      <c r="Y2770" s="46">
        <f>'Data_in-situ'!DT298</f>
        <v>6</v>
      </c>
      <c r="AF2770" s="113">
        <f>'Data_in-situ'!EN254</f>
        <v>-28</v>
      </c>
      <c r="AG2770" s="113">
        <f>'Data_in-situ'!EO254</f>
        <v>11.409899165036213</v>
      </c>
      <c r="AH2770" s="110">
        <f>'Data_in-situ'!EP254</f>
        <v>3</v>
      </c>
      <c r="AI2770" s="113">
        <f>'Data_in-situ'!ER254</f>
        <v>-36</v>
      </c>
      <c r="AJ2770" s="113">
        <f>'Data_in-situ'!ES254</f>
        <v>8.1653059263309906</v>
      </c>
      <c r="AK2770" s="110">
        <f>'Data_in-situ'!ET254</f>
        <v>3</v>
      </c>
    </row>
    <row r="2771" spans="20:37" x14ac:dyDescent="0.3">
      <c r="T2771" s="113">
        <f>'Data_in-situ'!DN299</f>
        <v>11.627460214917093</v>
      </c>
      <c r="U2771" s="113">
        <f>'Data_in-situ'!DO299</f>
        <v>19.919328099494376</v>
      </c>
      <c r="V2771" s="46">
        <f>'Data_in-situ'!DP299</f>
        <v>6</v>
      </c>
      <c r="W2771" s="113">
        <f>'Data_in-situ'!DR299</f>
        <v>-5.3718567649972807E-2</v>
      </c>
      <c r="X2771" s="113">
        <f>'Data_in-situ'!DS299</f>
        <v>0.37987896850363267</v>
      </c>
      <c r="Y2771" s="46">
        <f>'Data_in-situ'!DT299</f>
        <v>6</v>
      </c>
      <c r="AF2771" s="113">
        <f>'Data_in-situ'!EN255</f>
        <v>-18</v>
      </c>
      <c r="AG2771" s="113">
        <f>'Data_in-situ'!EO255</f>
        <v>7.3349351775232803</v>
      </c>
      <c r="AH2771" s="110">
        <f>'Data_in-situ'!EP255</f>
        <v>3</v>
      </c>
      <c r="AI2771" s="113">
        <f>'Data_in-situ'!ER255</f>
        <v>-24</v>
      </c>
      <c r="AJ2771" s="113">
        <f>'Data_in-situ'!ES255</f>
        <v>5.4435372842206604</v>
      </c>
      <c r="AK2771" s="110">
        <f>'Data_in-situ'!ET255</f>
        <v>3</v>
      </c>
    </row>
    <row r="2772" spans="20:37" x14ac:dyDescent="0.3">
      <c r="T2772" s="113">
        <f>'Data_in-situ'!DN300</f>
        <v>13.144085460341062</v>
      </c>
      <c r="U2772" s="113">
        <f>'Data_in-situ'!DO300</f>
        <v>20.285444054594439</v>
      </c>
      <c r="V2772" s="46">
        <f>'Data_in-situ'!DP300</f>
        <v>6</v>
      </c>
      <c r="W2772" s="113">
        <f>'Data_in-situ'!DR300</f>
        <v>5.3718567649972807E-2</v>
      </c>
      <c r="X2772" s="113">
        <f>'Data_in-situ'!DS300</f>
        <v>0.48646678719420772</v>
      </c>
      <c r="Y2772" s="46">
        <f>'Data_in-situ'!DT300</f>
        <v>6</v>
      </c>
      <c r="AF2772" s="113">
        <f>'Data_in-situ'!EN256</f>
        <v>-11</v>
      </c>
      <c r="AG2772" s="113">
        <f>'Data_in-situ'!EO256</f>
        <v>4.4824603862642265</v>
      </c>
      <c r="AH2772" s="110">
        <f>'Data_in-situ'!EP256</f>
        <v>3</v>
      </c>
      <c r="AI2772" s="113">
        <f>'Data_in-situ'!ER256</f>
        <v>-13</v>
      </c>
      <c r="AJ2772" s="113">
        <f>'Data_in-situ'!ES256</f>
        <v>2.9485826956195242</v>
      </c>
      <c r="AK2772" s="110">
        <f>'Data_in-situ'!ET256</f>
        <v>3</v>
      </c>
    </row>
    <row r="2773" spans="20:37" x14ac:dyDescent="0.3">
      <c r="T2773" s="113">
        <f>'Data_in-situ'!DN301</f>
        <v>13.144085460341062</v>
      </c>
      <c r="U2773" s="113">
        <f>'Data_in-situ'!DO301</f>
        <v>20.285444054594439</v>
      </c>
      <c r="V2773" s="46">
        <f>'Data_in-situ'!DP301</f>
        <v>6</v>
      </c>
      <c r="W2773" s="113">
        <f>'Data_in-situ'!DR301</f>
        <v>-0.10743713529994561</v>
      </c>
      <c r="X2773" s="113">
        <f>'Data_in-situ'!DS301</f>
        <v>0.28944787367187741</v>
      </c>
      <c r="Y2773" s="46">
        <f>'Data_in-situ'!DT301</f>
        <v>6</v>
      </c>
      <c r="AF2773" s="113">
        <f>'Data_in-situ'!EN257</f>
        <v>-16</v>
      </c>
      <c r="AG2773" s="113">
        <f>'Data_in-situ'!EO257</f>
        <v>6.5199423800206935</v>
      </c>
      <c r="AH2773" s="110">
        <f>'Data_in-situ'!EP257</f>
        <v>3</v>
      </c>
      <c r="AI2773" s="113">
        <f>'Data_in-situ'!ER257</f>
        <v>-20</v>
      </c>
      <c r="AJ2773" s="113">
        <f>'Data_in-situ'!ES257</f>
        <v>4.5362810701838834</v>
      </c>
      <c r="AK2773" s="110">
        <f>'Data_in-situ'!ET257</f>
        <v>3</v>
      </c>
    </row>
    <row r="2774" spans="20:37" x14ac:dyDescent="0.3">
      <c r="T2774" s="113">
        <f>'Data_in-situ'!DN302</f>
        <v>13.144085460341062</v>
      </c>
      <c r="U2774" s="113">
        <f>'Data_in-situ'!DO302</f>
        <v>20.285444054594439</v>
      </c>
      <c r="V2774" s="46">
        <f>'Data_in-situ'!DP302</f>
        <v>6</v>
      </c>
      <c r="W2774" s="113">
        <f>'Data_in-situ'!DR302</f>
        <v>-0.10743713529994561</v>
      </c>
      <c r="X2774" s="113">
        <f>'Data_in-situ'!DS302</f>
        <v>0.39119879833905941</v>
      </c>
      <c r="Y2774" s="46">
        <f>'Data_in-situ'!DT302</f>
        <v>6</v>
      </c>
      <c r="AF2774" s="113">
        <f>'Data_in-situ'!EN258</f>
        <v>-12</v>
      </c>
      <c r="AG2774" s="113">
        <f>'Data_in-situ'!EO258</f>
        <v>4.8899567850155199</v>
      </c>
      <c r="AH2774" s="110">
        <f>'Data_in-situ'!EP258</f>
        <v>3</v>
      </c>
      <c r="AI2774" s="113">
        <f>'Data_in-situ'!ER258</f>
        <v>-27</v>
      </c>
      <c r="AJ2774" s="113">
        <f>'Data_in-situ'!ES258</f>
        <v>6.123979444748243</v>
      </c>
      <c r="AK2774" s="110">
        <f>'Data_in-situ'!ET258</f>
        <v>3</v>
      </c>
    </row>
    <row r="2775" spans="20:37" x14ac:dyDescent="0.3">
      <c r="T2775" s="113">
        <f>'Data_in-situ'!DN303</f>
        <v>13.144085460341062</v>
      </c>
      <c r="U2775" s="113">
        <f>'Data_in-situ'!DO303</f>
        <v>20.285444054594439</v>
      </c>
      <c r="V2775" s="46">
        <f>'Data_in-situ'!DP303</f>
        <v>6</v>
      </c>
      <c r="W2775" s="113">
        <f>'Data_in-situ'!DR303</f>
        <v>-5.3718567649972807E-2</v>
      </c>
      <c r="X2775" s="113">
        <f>'Data_in-situ'!DS303</f>
        <v>0.39119879833905941</v>
      </c>
      <c r="Y2775" s="46">
        <f>'Data_in-situ'!DT303</f>
        <v>6</v>
      </c>
      <c r="AF2775" s="113">
        <f>'Data_in-situ'!EN260</f>
        <v>-4</v>
      </c>
      <c r="AG2775" s="113">
        <f>'Data_in-situ'!EO260</f>
        <v>1.6299855950051734</v>
      </c>
      <c r="AH2775" s="110">
        <f>'Data_in-situ'!EP260</f>
        <v>3</v>
      </c>
      <c r="AI2775" s="113">
        <f>'Data_in-situ'!ER260</f>
        <v>-31</v>
      </c>
      <c r="AJ2775" s="113">
        <f>'Data_in-situ'!ES260</f>
        <v>7.0312356587850191</v>
      </c>
      <c r="AK2775" s="110">
        <f>'Data_in-situ'!ET260</f>
        <v>3</v>
      </c>
    </row>
    <row r="2776" spans="20:37" x14ac:dyDescent="0.3">
      <c r="T2776" s="113">
        <f>'Data_in-situ'!DN304</f>
        <v>0.25277087423732814</v>
      </c>
      <c r="U2776" s="113">
        <f>'Data_in-situ'!DO304</f>
        <v>2.0397555922164208</v>
      </c>
      <c r="V2776" s="46">
        <f>'Data_in-situ'!DP304</f>
        <v>6</v>
      </c>
      <c r="W2776" s="113">
        <f>'Data_in-situ'!DR304</f>
        <v>-0.16115570294991843</v>
      </c>
      <c r="X2776" s="113">
        <f>'Data_in-situ'!DS304</f>
        <v>0.5610292847687105</v>
      </c>
      <c r="Y2776" s="46">
        <f>'Data_in-situ'!DT304</f>
        <v>6</v>
      </c>
      <c r="AF2776" s="113">
        <f>'Data_in-situ'!EN261</f>
        <v>-21</v>
      </c>
      <c r="AG2776" s="113">
        <f>'Data_in-situ'!EO261</f>
        <v>8.5574243737771596</v>
      </c>
      <c r="AH2776" s="110">
        <f>'Data_in-situ'!EP261</f>
        <v>3</v>
      </c>
      <c r="AI2776" s="113">
        <f>'Data_in-situ'!ER261</f>
        <v>-38</v>
      </c>
      <c r="AJ2776" s="113">
        <f>'Data_in-situ'!ES261</f>
        <v>8.6189340333493778</v>
      </c>
      <c r="AK2776" s="110">
        <f>'Data_in-situ'!ET261</f>
        <v>3</v>
      </c>
    </row>
    <row r="2777" spans="20:37" x14ac:dyDescent="0.3">
      <c r="T2777" s="113">
        <f>'Data_in-situ'!DN305</f>
        <v>0.25277087423732814</v>
      </c>
      <c r="U2777" s="113">
        <f>'Data_in-situ'!DO305</f>
        <v>2.0397555922164208</v>
      </c>
      <c r="V2777" s="46">
        <f>'Data_in-situ'!DP305</f>
        <v>6</v>
      </c>
      <c r="W2777" s="113">
        <f>'Data_in-situ'!DR305</f>
        <v>-0.16115570294991843</v>
      </c>
      <c r="X2777" s="113">
        <f>'Data_in-situ'!DS305</f>
        <v>0.5610292847687105</v>
      </c>
      <c r="Y2777" s="46">
        <f>'Data_in-situ'!DT305</f>
        <v>6</v>
      </c>
      <c r="AF2777" s="113">
        <f>'Data_in-situ'!EN262</f>
        <v>0</v>
      </c>
      <c r="AG2777" s="113">
        <f>'Data_in-situ'!EO262</f>
        <v>0</v>
      </c>
      <c r="AH2777" s="110">
        <f>'Data_in-situ'!EP262</f>
        <v>3</v>
      </c>
      <c r="AI2777" s="113">
        <f>'Data_in-situ'!ER262</f>
        <v>-50</v>
      </c>
      <c r="AJ2777" s="113">
        <f>'Data_in-situ'!ES262</f>
        <v>11.340702675459708</v>
      </c>
      <c r="AK2777" s="110">
        <f>'Data_in-situ'!ET262</f>
        <v>3</v>
      </c>
    </row>
    <row r="2778" spans="20:37" x14ac:dyDescent="0.3">
      <c r="T2778" s="113">
        <f>'Data_in-situ'!DN306</f>
        <v>0.25277087423732814</v>
      </c>
      <c r="U2778" s="113">
        <f>'Data_in-situ'!DO306</f>
        <v>2.0397555922164208</v>
      </c>
      <c r="V2778" s="46">
        <f>'Data_in-situ'!DP306</f>
        <v>6</v>
      </c>
      <c r="W2778" s="113">
        <f>'Data_in-situ'!DR306</f>
        <v>-0.16115570294991843</v>
      </c>
      <c r="X2778" s="113">
        <f>'Data_in-situ'!DS306</f>
        <v>0.50982923873701236</v>
      </c>
      <c r="Y2778" s="46">
        <f>'Data_in-situ'!DT306</f>
        <v>6</v>
      </c>
      <c r="AF2778" s="113">
        <f>'Data_in-situ'!EN264</f>
        <v>-28</v>
      </c>
      <c r="AG2778" s="113">
        <f>'Data_in-situ'!EO264</f>
        <v>11.409899165036213</v>
      </c>
      <c r="AH2778" s="110">
        <f>'Data_in-situ'!EP264</f>
        <v>3</v>
      </c>
      <c r="AI2778" s="113">
        <f>'Data_in-situ'!ER264</f>
        <v>-36</v>
      </c>
      <c r="AJ2778" s="113">
        <f>'Data_in-situ'!ES264</f>
        <v>8.1653059263309906</v>
      </c>
      <c r="AK2778" s="110">
        <f>'Data_in-situ'!ET264</f>
        <v>3</v>
      </c>
    </row>
    <row r="2779" spans="20:37" x14ac:dyDescent="0.3">
      <c r="T2779" s="113">
        <f>'Data_in-situ'!DN307</f>
        <v>0.25277087423732814</v>
      </c>
      <c r="U2779" s="113">
        <f>'Data_in-situ'!DO307</f>
        <v>2.0397555922164208</v>
      </c>
      <c r="V2779" s="46">
        <f>'Data_in-situ'!DP307</f>
        <v>6</v>
      </c>
      <c r="W2779" s="113">
        <f>'Data_in-situ'!DR307</f>
        <v>-0.21487427059989123</v>
      </c>
      <c r="X2779" s="113">
        <f>'Data_in-situ'!DS307</f>
        <v>0.52942636938081877</v>
      </c>
      <c r="Y2779" s="46">
        <f>'Data_in-situ'!DT307</f>
        <v>6</v>
      </c>
      <c r="AF2779" s="113">
        <f>'Data_in-situ'!EN265</f>
        <v>-18</v>
      </c>
      <c r="AG2779" s="113">
        <f>'Data_in-situ'!EO265</f>
        <v>7.3349351775232803</v>
      </c>
      <c r="AH2779" s="110">
        <f>'Data_in-situ'!EP265</f>
        <v>3</v>
      </c>
      <c r="AI2779" s="113">
        <f>'Data_in-situ'!ER265</f>
        <v>-24</v>
      </c>
      <c r="AJ2779" s="113">
        <f>'Data_in-situ'!ES265</f>
        <v>5.4435372842206604</v>
      </c>
      <c r="AK2779" s="110">
        <f>'Data_in-situ'!ET265</f>
        <v>3</v>
      </c>
    </row>
    <row r="2780" spans="20:37" x14ac:dyDescent="0.3">
      <c r="T2780" s="113">
        <f>'Data_in-situ'!DN308</f>
        <v>1.2638543711866406</v>
      </c>
      <c r="U2780" s="113">
        <f>'Data_in-situ'!DO308</f>
        <v>3.7827422106480872</v>
      </c>
      <c r="V2780" s="46">
        <f>'Data_in-situ'!DP308</f>
        <v>6</v>
      </c>
      <c r="W2780" s="113">
        <f>'Data_in-situ'!DR308</f>
        <v>-0.16115570294991843</v>
      </c>
      <c r="X2780" s="113">
        <f>'Data_in-situ'!DS308</f>
        <v>0.5610292847687105</v>
      </c>
      <c r="Y2780" s="46">
        <f>'Data_in-situ'!DT308</f>
        <v>6</v>
      </c>
      <c r="AF2780" s="113">
        <f>'Data_in-situ'!EN266</f>
        <v>-11</v>
      </c>
      <c r="AG2780" s="113">
        <f>'Data_in-situ'!EO266</f>
        <v>4.4824603862642265</v>
      </c>
      <c r="AH2780" s="110">
        <f>'Data_in-situ'!EP266</f>
        <v>3</v>
      </c>
      <c r="AI2780" s="113">
        <f>'Data_in-situ'!ER266</f>
        <v>-13</v>
      </c>
      <c r="AJ2780" s="113">
        <f>'Data_in-situ'!ES266</f>
        <v>2.9485826956195242</v>
      </c>
      <c r="AK2780" s="110">
        <f>'Data_in-situ'!ET266</f>
        <v>3</v>
      </c>
    </row>
    <row r="2781" spans="20:37" x14ac:dyDescent="0.3">
      <c r="T2781" s="113">
        <f>'Data_in-situ'!DN309</f>
        <v>1.2638543711866406</v>
      </c>
      <c r="U2781" s="113">
        <f>'Data_in-situ'!DO309</f>
        <v>3.7827422106480872</v>
      </c>
      <c r="V2781" s="46">
        <f>'Data_in-situ'!DP309</f>
        <v>6</v>
      </c>
      <c r="W2781" s="113">
        <f>'Data_in-situ'!DR309</f>
        <v>-0.16115570294991843</v>
      </c>
      <c r="X2781" s="113">
        <f>'Data_in-situ'!DS309</f>
        <v>0.5610292847687105</v>
      </c>
      <c r="Y2781" s="46">
        <f>'Data_in-situ'!DT309</f>
        <v>6</v>
      </c>
      <c r="AF2781" s="113">
        <f>'Data_in-situ'!EN267</f>
        <v>-16</v>
      </c>
      <c r="AG2781" s="113">
        <f>'Data_in-situ'!EO267</f>
        <v>6.5199423800206935</v>
      </c>
      <c r="AH2781" s="110">
        <f>'Data_in-situ'!EP267</f>
        <v>3</v>
      </c>
      <c r="AI2781" s="113">
        <f>'Data_in-situ'!ER267</f>
        <v>-20</v>
      </c>
      <c r="AJ2781" s="113">
        <f>'Data_in-situ'!ES267</f>
        <v>4.5362810701838834</v>
      </c>
      <c r="AK2781" s="110">
        <f>'Data_in-situ'!ET267</f>
        <v>3</v>
      </c>
    </row>
    <row r="2782" spans="20:37" x14ac:dyDescent="0.3">
      <c r="T2782" s="113">
        <f>'Data_in-situ'!DN310</f>
        <v>1.2638543711866406</v>
      </c>
      <c r="U2782" s="113">
        <f>'Data_in-situ'!DO310</f>
        <v>3.7827422106480872</v>
      </c>
      <c r="V2782" s="46">
        <f>'Data_in-situ'!DP310</f>
        <v>6</v>
      </c>
      <c r="W2782" s="113">
        <f>'Data_in-situ'!DR310</f>
        <v>-0.16115570294991843</v>
      </c>
      <c r="X2782" s="113">
        <f>'Data_in-situ'!DS310</f>
        <v>0.5610292847687105</v>
      </c>
      <c r="Y2782" s="46">
        <f>'Data_in-situ'!DT310</f>
        <v>6</v>
      </c>
      <c r="AF2782" s="113">
        <f>'Data_in-situ'!EN268</f>
        <v>-12</v>
      </c>
      <c r="AG2782" s="113">
        <f>'Data_in-situ'!EO268</f>
        <v>4.8899567850155199</v>
      </c>
      <c r="AH2782" s="110">
        <f>'Data_in-situ'!EP268</f>
        <v>3</v>
      </c>
      <c r="AI2782" s="113">
        <f>'Data_in-situ'!ER268</f>
        <v>-27</v>
      </c>
      <c r="AJ2782" s="113">
        <f>'Data_in-situ'!ES268</f>
        <v>6.123979444748243</v>
      </c>
      <c r="AK2782" s="110">
        <f>'Data_in-situ'!ET268</f>
        <v>3</v>
      </c>
    </row>
    <row r="2783" spans="20:37" x14ac:dyDescent="0.3">
      <c r="T2783" s="113">
        <f>'Data_in-situ'!DN311</f>
        <v>1.2638543711866406</v>
      </c>
      <c r="U2783" s="113">
        <f>'Data_in-situ'!DO311</f>
        <v>3.7827422106480872</v>
      </c>
      <c r="V2783" s="46">
        <f>'Data_in-situ'!DP311</f>
        <v>6</v>
      </c>
      <c r="W2783" s="113">
        <f>'Data_in-situ'!DR311</f>
        <v>-0.21487427059989123</v>
      </c>
      <c r="X2783" s="113">
        <f>'Data_in-situ'!DS311</f>
        <v>0.52942636938081877</v>
      </c>
      <c r="Y2783" s="46">
        <f>'Data_in-situ'!DT311</f>
        <v>6</v>
      </c>
      <c r="AF2783" s="113">
        <f>'Data_in-situ'!EN270</f>
        <v>0</v>
      </c>
      <c r="AG2783" s="113">
        <f>'Data_in-situ'!EO270</f>
        <v>0</v>
      </c>
      <c r="AH2783" s="110">
        <f>'Data_in-situ'!EP270</f>
        <v>20</v>
      </c>
      <c r="AI2783" s="113">
        <f>'Data_in-situ'!ER270</f>
        <v>-15</v>
      </c>
      <c r="AJ2783" s="113">
        <f>'Data_in-situ'!ES270</f>
        <v>3.4022108026379128</v>
      </c>
      <c r="AK2783" s="110">
        <f>'Data_in-situ'!ET270</f>
        <v>20</v>
      </c>
    </row>
    <row r="2784" spans="20:37" x14ac:dyDescent="0.3">
      <c r="T2784" s="113">
        <f>'Data_in-situ'!DN312</f>
        <v>0.75831262271198441</v>
      </c>
      <c r="U2784" s="113">
        <f>'Data_in-situ'!DO312</f>
        <v>2.1753507933433238</v>
      </c>
      <c r="V2784" s="46">
        <f>'Data_in-situ'!DP312</f>
        <v>6</v>
      </c>
      <c r="W2784" s="113">
        <f>'Data_in-situ'!DR312</f>
        <v>-0.16115570294991843</v>
      </c>
      <c r="X2784" s="113">
        <f>'Data_in-situ'!DS312</f>
        <v>0.5610292847687105</v>
      </c>
      <c r="Y2784" s="46">
        <f>'Data_in-situ'!DT312</f>
        <v>6</v>
      </c>
      <c r="AF2784" s="113">
        <f>'Data_in-situ'!EN271</f>
        <v>-26.2</v>
      </c>
      <c r="AG2784" s="113">
        <f>'Data_in-situ'!EO271</f>
        <v>1.6</v>
      </c>
      <c r="AH2784" s="110">
        <f>'Data_in-situ'!EP271</f>
        <v>4</v>
      </c>
      <c r="AI2784" s="113">
        <f>'Data_in-situ'!ER271</f>
        <v>-42</v>
      </c>
      <c r="AJ2784" s="113">
        <f>'Data_in-situ'!ES271</f>
        <v>1.6</v>
      </c>
      <c r="AK2784" s="110">
        <f>'Data_in-situ'!ET271</f>
        <v>4</v>
      </c>
    </row>
    <row r="2785" spans="20:37" x14ac:dyDescent="0.3">
      <c r="T2785" s="113">
        <f>'Data_in-situ'!DN313</f>
        <v>0.75831262271198441</v>
      </c>
      <c r="U2785" s="113">
        <f>'Data_in-situ'!DO313</f>
        <v>2.1753507933433238</v>
      </c>
      <c r="V2785" s="46">
        <f>'Data_in-situ'!DP313</f>
        <v>6</v>
      </c>
      <c r="W2785" s="113">
        <f>'Data_in-situ'!DR313</f>
        <v>-0.16115570294991843</v>
      </c>
      <c r="X2785" s="113">
        <f>'Data_in-situ'!DS313</f>
        <v>0.5610292847687105</v>
      </c>
      <c r="Y2785" s="46">
        <f>'Data_in-situ'!DT313</f>
        <v>6</v>
      </c>
      <c r="AF2785" s="113">
        <f>'Data_in-situ'!EN274</f>
        <v>1.2156862745098034</v>
      </c>
      <c r="AG2785" s="113">
        <f>'Data_in-situ'!EO274</f>
        <v>0.49768216864884945</v>
      </c>
      <c r="AH2785" s="110">
        <f>'Data_in-situ'!EP274</f>
        <v>5</v>
      </c>
      <c r="AI2785" s="113">
        <f>'Data_in-situ'!ER274</f>
        <v>-1.3627450980392155</v>
      </c>
      <c r="AJ2785" s="113">
        <f>'Data_in-situ'!ES274</f>
        <v>0.94222961725764198</v>
      </c>
      <c r="AK2785" s="110">
        <f>'Data_in-situ'!ET274</f>
        <v>5</v>
      </c>
    </row>
    <row r="2786" spans="20:37" x14ac:dyDescent="0.3">
      <c r="T2786" s="113">
        <f>'Data_in-situ'!DN314</f>
        <v>0.75831262271198441</v>
      </c>
      <c r="U2786" s="113">
        <f>'Data_in-situ'!DO314</f>
        <v>2.1753507933433238</v>
      </c>
      <c r="V2786" s="46">
        <f>'Data_in-situ'!DP314</f>
        <v>6</v>
      </c>
      <c r="W2786" s="113">
        <f>'Data_in-situ'!DR314</f>
        <v>-0.16115570294991843</v>
      </c>
      <c r="X2786" s="113">
        <f>'Data_in-situ'!DS314</f>
        <v>0.52942636938081877</v>
      </c>
      <c r="Y2786" s="46">
        <f>'Data_in-situ'!DT314</f>
        <v>6</v>
      </c>
      <c r="AF2786" s="113">
        <f>'Data_in-situ'!EN275</f>
        <v>1.6638655462184853</v>
      </c>
      <c r="AG2786" s="113">
        <f>'Data_in-situ'!EO275</f>
        <v>0.34418289379886746</v>
      </c>
      <c r="AH2786" s="110">
        <f>'Data_in-situ'!EP275</f>
        <v>5</v>
      </c>
      <c r="AI2786" s="113">
        <f>'Data_in-situ'!ER275</f>
        <v>-0.55462184873949671</v>
      </c>
      <c r="AJ2786" s="113">
        <f>'Data_in-situ'!ES275</f>
        <v>0.63167690703653101</v>
      </c>
      <c r="AK2786" s="110">
        <f>'Data_in-situ'!ET275</f>
        <v>5</v>
      </c>
    </row>
    <row r="2787" spans="20:37" x14ac:dyDescent="0.3">
      <c r="T2787" s="113">
        <f>'Data_in-situ'!DN315</f>
        <v>0.75831262271198441</v>
      </c>
      <c r="U2787" s="113">
        <f>'Data_in-situ'!DO315</f>
        <v>2.1753507933433238</v>
      </c>
      <c r="V2787" s="46">
        <f>'Data_in-situ'!DP315</f>
        <v>6</v>
      </c>
      <c r="W2787" s="113">
        <f>'Data_in-situ'!DR315</f>
        <v>-0.21487427059989123</v>
      </c>
      <c r="X2787" s="113">
        <f>'Data_in-situ'!DS315</f>
        <v>0.52942636938081877</v>
      </c>
      <c r="Y2787" s="46">
        <f>'Data_in-situ'!DT315</f>
        <v>6</v>
      </c>
      <c r="AF2787" s="113">
        <f>'Data_in-situ'!EN276</f>
        <v>1.3882352941176466</v>
      </c>
      <c r="AG2787" s="113">
        <f>'Data_in-situ'!EO276</f>
        <v>0.46526399843023991</v>
      </c>
      <c r="AH2787" s="110">
        <f>'Data_in-situ'!EP276</f>
        <v>5</v>
      </c>
      <c r="AI2787" s="113">
        <f>'Data_in-situ'!ER276</f>
        <v>-1.0352941176470594</v>
      </c>
      <c r="AJ2787" s="113">
        <f>'Data_in-situ'!ES276</f>
        <v>0.83640987539045919</v>
      </c>
      <c r="AK2787" s="110">
        <f>'Data_in-situ'!ET276</f>
        <v>5</v>
      </c>
    </row>
    <row r="2788" spans="20:37" x14ac:dyDescent="0.3">
      <c r="T2788" s="113">
        <f>'Data_in-situ'!DN316</f>
        <v>93.1</v>
      </c>
      <c r="U2788" s="113">
        <f>'Data_in-situ'!DO316</f>
        <v>103.79526182078902</v>
      </c>
      <c r="V2788" s="46">
        <f>'Data_in-situ'!DP316</f>
        <v>18</v>
      </c>
      <c r="W2788" s="113">
        <f>'Data_in-situ'!DR316</f>
        <v>32.799999999999997</v>
      </c>
      <c r="X2788" s="113">
        <f>'Data_in-situ'!DS316</f>
        <v>122.58069446389712</v>
      </c>
      <c r="Y2788" s="46">
        <f>'Data_in-situ'!DT316</f>
        <v>18</v>
      </c>
      <c r="AF2788" s="113">
        <f>'Data_in-situ'!EN277</f>
        <v>0.28104575163398426</v>
      </c>
      <c r="AG2788" s="113">
        <f>'Data_in-situ'!EO277</f>
        <v>1.0823202980922819</v>
      </c>
      <c r="AH2788" s="110">
        <f>'Data_in-situ'!EP277</f>
        <v>5</v>
      </c>
      <c r="AI2788" s="113">
        <f>'Data_in-situ'!ER277</f>
        <v>0.57352941176470584</v>
      </c>
      <c r="AJ2788" s="113">
        <f>'Data_in-situ'!ES277</f>
        <v>0.95907460925260324</v>
      </c>
      <c r="AK2788" s="110">
        <f>'Data_in-situ'!ET277</f>
        <v>5</v>
      </c>
    </row>
    <row r="2789" spans="20:37" x14ac:dyDescent="0.3">
      <c r="T2789" s="113">
        <f>'Data_in-situ'!DN317</f>
        <v>82.2</v>
      </c>
      <c r="U2789" s="113">
        <f>'Data_in-situ'!DO317</f>
        <v>91.643077568945841</v>
      </c>
      <c r="V2789" s="46">
        <f>'Data_in-situ'!DP317</f>
        <v>15</v>
      </c>
      <c r="W2789" s="113">
        <f>'Data_in-situ'!DR317</f>
        <v>27.8</v>
      </c>
      <c r="X2789" s="113">
        <f>'Data_in-situ'!DS317</f>
        <v>103.89461299074208</v>
      </c>
      <c r="Y2789" s="46">
        <f>'Data_in-situ'!DT317</f>
        <v>15</v>
      </c>
      <c r="AF2789" s="113">
        <f>'Data_in-situ'!EN278</f>
        <v>1.4575163398692808</v>
      </c>
      <c r="AG2789" s="113">
        <f>'Data_in-situ'!EO278</f>
        <v>0.75703059071343026</v>
      </c>
      <c r="AH2789" s="110">
        <f>'Data_in-situ'!EP278</f>
        <v>5</v>
      </c>
      <c r="AI2789" s="113">
        <f>'Data_in-situ'!ER278</f>
        <v>1.1487889273356398</v>
      </c>
      <c r="AJ2789" s="113">
        <f>'Data_in-situ'!ES278</f>
        <v>0.755435518283471</v>
      </c>
      <c r="AK2789" s="110">
        <f>'Data_in-situ'!ET278</f>
        <v>5</v>
      </c>
    </row>
    <row r="2790" spans="20:37" x14ac:dyDescent="0.3">
      <c r="T2790" s="113">
        <f>'Data_in-situ'!DN318</f>
        <v>57.9</v>
      </c>
      <c r="U2790" s="113">
        <f>'Data_in-situ'!DO318</f>
        <v>64.551510842359662</v>
      </c>
      <c r="V2790" s="46">
        <f>'Data_in-situ'!DP318</f>
        <v>18</v>
      </c>
      <c r="W2790" s="113">
        <f>'Data_in-situ'!DR318</f>
        <v>31.7</v>
      </c>
      <c r="X2790" s="113">
        <f>'Data_in-situ'!DS318</f>
        <v>118.46975653980302</v>
      </c>
      <c r="Y2790" s="46">
        <f>'Data_in-situ'!DT318</f>
        <v>18</v>
      </c>
      <c r="AF2790" s="113">
        <f>'Data_in-situ'!EN279</f>
        <v>3.0092879256965936</v>
      </c>
      <c r="AG2790" s="113">
        <f>'Data_in-situ'!EO279</f>
        <v>0.8290793279171158</v>
      </c>
      <c r="AH2790" s="110">
        <f>'Data_in-situ'!EP279</f>
        <v>5</v>
      </c>
      <c r="AI2790" s="113">
        <f>'Data_in-situ'!ER279</f>
        <v>2.8111455108359125</v>
      </c>
      <c r="AJ2790" s="113">
        <f>'Data_in-situ'!ES279</f>
        <v>0.80714422344061043</v>
      </c>
      <c r="AK2790" s="110">
        <f>'Data_in-situ'!ET279</f>
        <v>5</v>
      </c>
    </row>
    <row r="2791" spans="20:37" x14ac:dyDescent="0.3">
      <c r="T2791" s="113">
        <f>'Data_in-situ'!DN319</f>
        <v>38.4</v>
      </c>
      <c r="U2791" s="113">
        <f>'Data_in-situ'!DO319</f>
        <v>42.81136470374112</v>
      </c>
      <c r="V2791" s="46">
        <f>'Data_in-situ'!DP319</f>
        <v>12</v>
      </c>
      <c r="W2791" s="113">
        <f>'Data_in-situ'!DR319</f>
        <v>22.1</v>
      </c>
      <c r="X2791" s="113">
        <f>'Data_in-situ'!DS319</f>
        <v>82.592480111345324</v>
      </c>
      <c r="Y2791" s="46">
        <f>'Data_in-situ'!DT319</f>
        <v>12</v>
      </c>
      <c r="AF2791" s="113">
        <f>'Data_in-situ'!EN280</f>
        <v>-24.4</v>
      </c>
      <c r="AG2791" s="113">
        <f>'Data_in-situ'!EO280</f>
        <v>9.9429121295315568</v>
      </c>
      <c r="AH2791" s="110">
        <f>'Data_in-situ'!EP280</f>
        <v>1</v>
      </c>
      <c r="AI2791" s="113">
        <f>'Data_in-situ'!ER280</f>
        <v>-83.7</v>
      </c>
      <c r="AJ2791" s="113">
        <f>'Data_in-situ'!ES280</f>
        <v>18.984336278719553</v>
      </c>
      <c r="AK2791" s="110">
        <f>'Data_in-situ'!ET280</f>
        <v>1</v>
      </c>
    </row>
    <row r="2792" spans="20:37" x14ac:dyDescent="0.3">
      <c r="T2792" s="113">
        <f>'Data_in-situ'!DN320</f>
        <v>78.099999999999994</v>
      </c>
      <c r="U2792" s="113">
        <f>'Data_in-situ'!DO320</f>
        <v>87.072072483390144</v>
      </c>
      <c r="V2792" s="46">
        <f>'Data_in-situ'!DP320</f>
        <v>17</v>
      </c>
      <c r="W2792" s="113">
        <f>'Data_in-situ'!DR320</f>
        <v>34.9</v>
      </c>
      <c r="X2792" s="113">
        <f>'Data_in-situ'!DS320</f>
        <v>130.42884868262223</v>
      </c>
      <c r="Y2792" s="46">
        <f>'Data_in-situ'!DT320</f>
        <v>18</v>
      </c>
      <c r="AF2792" s="113">
        <f>'Data_in-situ'!EN281</f>
        <v>-24.4</v>
      </c>
      <c r="AG2792" s="113">
        <f>'Data_in-situ'!EO281</f>
        <v>9.9429121295315568</v>
      </c>
      <c r="AH2792" s="110">
        <f>'Data_in-situ'!EP281</f>
        <v>1</v>
      </c>
      <c r="AI2792" s="113">
        <f>'Data_in-situ'!ER281</f>
        <v>-49.1</v>
      </c>
      <c r="AJ2792" s="113">
        <f>'Data_in-situ'!ES281</f>
        <v>11.136570027301435</v>
      </c>
      <c r="AK2792" s="110">
        <f>'Data_in-situ'!ET281</f>
        <v>1</v>
      </c>
    </row>
    <row r="2793" spans="20:37" x14ac:dyDescent="0.3">
      <c r="T2793" s="113">
        <f>'Data_in-situ'!DN321</f>
        <v>53.5</v>
      </c>
      <c r="U2793" s="113">
        <f>'Data_in-situ'!DO321</f>
        <v>59.64604197005599</v>
      </c>
      <c r="V2793" s="46">
        <f>'Data_in-situ'!DP321</f>
        <v>15</v>
      </c>
      <c r="W2793" s="113">
        <f>'Data_in-situ'!DR321</f>
        <v>34.5</v>
      </c>
      <c r="X2793" s="113">
        <f>'Data_in-situ'!DS321</f>
        <v>128.93396216476984</v>
      </c>
      <c r="Y2793" s="46">
        <f>'Data_in-situ'!DT321</f>
        <v>15</v>
      </c>
      <c r="AF2793" s="113">
        <f>'Data_in-situ'!EN282</f>
        <v>-24.4</v>
      </c>
      <c r="AG2793" s="113">
        <f>'Data_in-situ'!EO282</f>
        <v>9.9429121295315568</v>
      </c>
      <c r="AH2793" s="110">
        <f>'Data_in-situ'!EP282</f>
        <v>1</v>
      </c>
      <c r="AI2793" s="113">
        <f>'Data_in-situ'!ER282</f>
        <v>-63.8</v>
      </c>
      <c r="AJ2793" s="113">
        <f>'Data_in-situ'!ES282</f>
        <v>14.470736613886588</v>
      </c>
      <c r="AK2793" s="110">
        <f>'Data_in-situ'!ET282</f>
        <v>1</v>
      </c>
    </row>
    <row r="2794" spans="20:37" x14ac:dyDescent="0.3">
      <c r="T2794" s="113">
        <f>'Data_in-situ'!DN322</f>
        <v>43.6</v>
      </c>
      <c r="U2794" s="113">
        <f>'Data_in-situ'!DO322</f>
        <v>48.608737007372731</v>
      </c>
      <c r="V2794" s="46">
        <f>'Data_in-situ'!DP322</f>
        <v>18</v>
      </c>
      <c r="W2794" s="113">
        <f>'Data_in-situ'!DR322</f>
        <v>14.1</v>
      </c>
      <c r="X2794" s="113">
        <f>'Data_in-situ'!DS322</f>
        <v>52.694749754297241</v>
      </c>
      <c r="Y2794" s="46">
        <f>'Data_in-situ'!DT322</f>
        <v>18</v>
      </c>
      <c r="AF2794" s="113">
        <f>'Data_in-situ'!EN283</f>
        <v>-24.4</v>
      </c>
      <c r="AG2794" s="113">
        <f>'Data_in-situ'!EO283</f>
        <v>9.9429121295315568</v>
      </c>
      <c r="AH2794" s="110">
        <f>'Data_in-situ'!EP283</f>
        <v>1</v>
      </c>
      <c r="AI2794" s="113">
        <f>'Data_in-situ'!ER283</f>
        <v>-34.4</v>
      </c>
      <c r="AJ2794" s="113">
        <f>'Data_in-situ'!ES283</f>
        <v>7.8024034407162794</v>
      </c>
      <c r="AK2794" s="110">
        <f>'Data_in-situ'!ET283</f>
        <v>1</v>
      </c>
    </row>
    <row r="2795" spans="20:37" x14ac:dyDescent="0.3">
      <c r="T2795" s="113">
        <f>'Data_in-situ'!DN323</f>
        <v>24.4</v>
      </c>
      <c r="U2795" s="113">
        <f>'Data_in-situ'!DO323</f>
        <v>27.203054655502171</v>
      </c>
      <c r="V2795" s="46">
        <f>'Data_in-situ'!DP323</f>
        <v>29</v>
      </c>
      <c r="W2795" s="113">
        <f>'Data_in-situ'!DR323</f>
        <v>5.6</v>
      </c>
      <c r="X2795" s="113">
        <f>'Data_in-situ'!DS323</f>
        <v>20.928411249933653</v>
      </c>
      <c r="Y2795" s="46">
        <f>'Data_in-situ'!DT323</f>
        <v>33</v>
      </c>
      <c r="AF2795" s="113">
        <f>'Data_in-situ'!EN284</f>
        <v>-24.4</v>
      </c>
      <c r="AG2795" s="113">
        <f>'Data_in-situ'!EO284</f>
        <v>9.9429121295315568</v>
      </c>
      <c r="AH2795" s="110">
        <f>'Data_in-situ'!EP284</f>
        <v>1</v>
      </c>
      <c r="AI2795" s="113">
        <f>'Data_in-situ'!ER284</f>
        <v>-83.7</v>
      </c>
      <c r="AJ2795" s="113">
        <f>'Data_in-situ'!ES284</f>
        <v>18.984336278719553</v>
      </c>
      <c r="AK2795" s="110">
        <f>'Data_in-situ'!ET284</f>
        <v>1</v>
      </c>
    </row>
    <row r="2796" spans="20:37" x14ac:dyDescent="0.3">
      <c r="T2796" s="113">
        <f>'Data_in-situ'!DN324</f>
        <v>19.7</v>
      </c>
      <c r="U2796" s="113">
        <f>'Data_in-situ'!DO324</f>
        <v>21.963121996450521</v>
      </c>
      <c r="V2796" s="46">
        <f>'Data_in-situ'!DP324</f>
        <v>18</v>
      </c>
      <c r="W2796" s="113">
        <f>'Data_in-situ'!DR324</f>
        <v>10.7</v>
      </c>
      <c r="X2796" s="113">
        <f>'Data_in-situ'!DS324</f>
        <v>39.9882143525518</v>
      </c>
      <c r="Y2796" s="46">
        <f>'Data_in-situ'!DT324</f>
        <v>18</v>
      </c>
      <c r="AF2796" s="113">
        <f>'Data_in-situ'!EN285</f>
        <v>-24.4</v>
      </c>
      <c r="AG2796" s="113">
        <f>'Data_in-situ'!EO285</f>
        <v>9.9429121295315568</v>
      </c>
      <c r="AH2796" s="110">
        <f>'Data_in-situ'!EP285</f>
        <v>1</v>
      </c>
      <c r="AI2796" s="113">
        <f>'Data_in-situ'!ER285</f>
        <v>-49.1</v>
      </c>
      <c r="AJ2796" s="113">
        <f>'Data_in-situ'!ES285</f>
        <v>11.136570027301435</v>
      </c>
      <c r="AK2796" s="110">
        <f>'Data_in-situ'!ET285</f>
        <v>1</v>
      </c>
    </row>
    <row r="2797" spans="20:37" x14ac:dyDescent="0.3">
      <c r="T2797" s="113">
        <f>'Data_in-situ'!DN325</f>
        <v>19.899999999999999</v>
      </c>
      <c r="U2797" s="113">
        <f>'Data_in-situ'!DO325</f>
        <v>22.186097854282508</v>
      </c>
      <c r="V2797" s="46">
        <f>'Data_in-situ'!DP325</f>
        <v>12</v>
      </c>
      <c r="W2797" s="113">
        <f>'Data_in-situ'!DR325</f>
        <v>11.3</v>
      </c>
      <c r="X2797" s="113">
        <f>'Data_in-situ'!DS325</f>
        <v>42.230544129330411</v>
      </c>
      <c r="Y2797" s="46">
        <f>'Data_in-situ'!DT325</f>
        <v>12</v>
      </c>
      <c r="AF2797" s="113">
        <f>'Data_in-situ'!EN286</f>
        <v>-24.4</v>
      </c>
      <c r="AG2797" s="113">
        <f>'Data_in-situ'!EO286</f>
        <v>9.9429121295315568</v>
      </c>
      <c r="AH2797" s="110">
        <f>'Data_in-situ'!EP286</f>
        <v>1</v>
      </c>
      <c r="AI2797" s="113">
        <f>'Data_in-situ'!ER286</f>
        <v>-63.8</v>
      </c>
      <c r="AJ2797" s="113">
        <f>'Data_in-situ'!ES286</f>
        <v>14.470736613886588</v>
      </c>
      <c r="AK2797" s="110">
        <f>'Data_in-situ'!ET286</f>
        <v>1</v>
      </c>
    </row>
    <row r="2798" spans="20:37" x14ac:dyDescent="0.3">
      <c r="T2798" s="113">
        <f>'Data_in-situ'!DN326</f>
        <v>220.49</v>
      </c>
      <c r="U2798" s="113">
        <f>'Data_in-situ'!DO326</f>
        <v>245.81973446687189</v>
      </c>
      <c r="V2798" s="46">
        <f>'Data_in-situ'!DP326</f>
        <v>18</v>
      </c>
      <c r="W2798" s="113">
        <f>'Data_in-situ'!DR326</f>
        <v>-0.5</v>
      </c>
      <c r="X2798" s="113">
        <f>'Data_in-situ'!DS326</f>
        <v>1.868608147315505</v>
      </c>
      <c r="Y2798" s="46">
        <f>'Data_in-situ'!DT326</f>
        <v>18</v>
      </c>
      <c r="AF2798" s="113">
        <f>'Data_in-situ'!EN287</f>
        <v>-24.4</v>
      </c>
      <c r="AG2798" s="113">
        <f>'Data_in-situ'!EO287</f>
        <v>9.9429121295315568</v>
      </c>
      <c r="AH2798" s="110">
        <f>'Data_in-situ'!EP287</f>
        <v>1</v>
      </c>
      <c r="AI2798" s="113">
        <f>'Data_in-situ'!ER287</f>
        <v>-34.4</v>
      </c>
      <c r="AJ2798" s="113">
        <f>'Data_in-situ'!ES287</f>
        <v>7.8024034407162794</v>
      </c>
      <c r="AK2798" s="110">
        <f>'Data_in-situ'!ET287</f>
        <v>1</v>
      </c>
    </row>
    <row r="2799" spans="20:37" x14ac:dyDescent="0.3">
      <c r="T2799" s="113">
        <f>'Data_in-situ'!DN327</f>
        <v>395.8</v>
      </c>
      <c r="U2799" s="113">
        <f>'Data_in-situ'!DO327</f>
        <v>441.26922264949837</v>
      </c>
      <c r="V2799" s="46">
        <f>'Data_in-situ'!DP327</f>
        <v>12</v>
      </c>
      <c r="W2799" s="113">
        <f>'Data_in-situ'!DR327</f>
        <v>0.2</v>
      </c>
      <c r="X2799" s="113">
        <f>'Data_in-situ'!DS327</f>
        <v>0.747443258926202</v>
      </c>
      <c r="Y2799" s="46">
        <f>'Data_in-situ'!DT327</f>
        <v>15</v>
      </c>
      <c r="AF2799" s="113">
        <f>'Data_in-situ'!EN288</f>
        <v>-24.4</v>
      </c>
      <c r="AG2799" s="113">
        <f>'Data_in-situ'!EO288</f>
        <v>9.9429121295315568</v>
      </c>
      <c r="AH2799" s="110">
        <f>'Data_in-situ'!EP288</f>
        <v>1</v>
      </c>
      <c r="AI2799" s="113">
        <f>'Data_in-situ'!ER288</f>
        <v>-83.7</v>
      </c>
      <c r="AJ2799" s="113">
        <f>'Data_in-situ'!ES288</f>
        <v>18.984336278719553</v>
      </c>
      <c r="AK2799" s="110">
        <f>'Data_in-situ'!ET288</f>
        <v>1</v>
      </c>
    </row>
    <row r="2800" spans="20:37" x14ac:dyDescent="0.3">
      <c r="T2800" s="113">
        <f>'Data_in-situ'!DN328</f>
        <v>180.3</v>
      </c>
      <c r="U2800" s="113">
        <f>'Data_in-situ'!DO328</f>
        <v>201.0127358355345</v>
      </c>
      <c r="V2800" s="46">
        <f>'Data_in-situ'!DP328</f>
        <v>18</v>
      </c>
      <c r="W2800" s="113">
        <f>'Data_in-situ'!DR328</f>
        <v>0.2</v>
      </c>
      <c r="X2800" s="113">
        <f>'Data_in-situ'!DS328</f>
        <v>0.747443258926202</v>
      </c>
      <c r="Y2800" s="46">
        <f>'Data_in-situ'!DT328</f>
        <v>18</v>
      </c>
      <c r="AF2800" s="113">
        <f>'Data_in-situ'!EN289</f>
        <v>-24.4</v>
      </c>
      <c r="AG2800" s="113">
        <f>'Data_in-situ'!EO289</f>
        <v>9.9429121295315568</v>
      </c>
      <c r="AH2800" s="110">
        <f>'Data_in-situ'!EP289</f>
        <v>1</v>
      </c>
      <c r="AI2800" s="113">
        <f>'Data_in-situ'!ER289</f>
        <v>-49.1</v>
      </c>
      <c r="AJ2800" s="113">
        <f>'Data_in-situ'!ES289</f>
        <v>11.136570027301435</v>
      </c>
      <c r="AK2800" s="110">
        <f>'Data_in-situ'!ET289</f>
        <v>1</v>
      </c>
    </row>
    <row r="2801" spans="20:37" x14ac:dyDescent="0.3">
      <c r="T2801" s="113">
        <f>'Data_in-situ'!DN329</f>
        <v>22.6</v>
      </c>
      <c r="U2801" s="113">
        <f>'Data_in-situ'!DO329</f>
        <v>25.196271935014309</v>
      </c>
      <c r="V2801" s="46">
        <f>'Data_in-situ'!DP329</f>
        <v>15</v>
      </c>
      <c r="W2801" s="113">
        <f>'Data_in-situ'!DR329</f>
        <v>0.03</v>
      </c>
      <c r="X2801" s="113">
        <f>'Data_in-situ'!DS329</f>
        <v>0.11211648883893029</v>
      </c>
      <c r="Y2801" s="46">
        <f>'Data_in-situ'!DT329</f>
        <v>15</v>
      </c>
      <c r="AF2801" s="113">
        <f>'Data_in-situ'!EN290</f>
        <v>-24.4</v>
      </c>
      <c r="AG2801" s="113">
        <f>'Data_in-situ'!EO290</f>
        <v>9.9429121295315568</v>
      </c>
      <c r="AH2801" s="110">
        <f>'Data_in-situ'!EP290</f>
        <v>1</v>
      </c>
      <c r="AI2801" s="113">
        <f>'Data_in-situ'!ER290</f>
        <v>-63.8</v>
      </c>
      <c r="AJ2801" s="113">
        <f>'Data_in-situ'!ES290</f>
        <v>14.470736613886588</v>
      </c>
      <c r="AK2801" s="110">
        <f>'Data_in-situ'!ET290</f>
        <v>1</v>
      </c>
    </row>
    <row r="2802" spans="20:37" x14ac:dyDescent="0.3">
      <c r="T2802" s="113">
        <f>'Data_in-situ'!DN330</f>
        <v>23.9</v>
      </c>
      <c r="U2802" s="113">
        <f>'Data_in-situ'!DO330</f>
        <v>26.645615010922207</v>
      </c>
      <c r="V2802" s="46">
        <f>'Data_in-situ'!DP330</f>
        <v>10</v>
      </c>
      <c r="W2802" s="113">
        <f>'Data_in-situ'!DR330</f>
        <v>8.6999999999999993</v>
      </c>
      <c r="X2802" s="113">
        <f>'Data_in-situ'!DS330</f>
        <v>32.513781763289785</v>
      </c>
      <c r="Y2802" s="46">
        <f>'Data_in-situ'!DT330</f>
        <v>15</v>
      </c>
      <c r="AF2802" s="113">
        <f>'Data_in-situ'!EN291</f>
        <v>-24.4</v>
      </c>
      <c r="AG2802" s="113">
        <f>'Data_in-situ'!EO291</f>
        <v>9.9429121295315568</v>
      </c>
      <c r="AH2802" s="110">
        <f>'Data_in-situ'!EP291</f>
        <v>1</v>
      </c>
      <c r="AI2802" s="113">
        <f>'Data_in-situ'!ER291</f>
        <v>-34.4</v>
      </c>
      <c r="AJ2802" s="113">
        <f>'Data_in-situ'!ES291</f>
        <v>7.8024034407162794</v>
      </c>
      <c r="AK2802" s="110">
        <f>'Data_in-situ'!ET291</f>
        <v>1</v>
      </c>
    </row>
    <row r="2803" spans="20:37" x14ac:dyDescent="0.3">
      <c r="T2803" s="113">
        <f>'Data_in-situ'!DN331</f>
        <v>130.67000000000002</v>
      </c>
      <c r="U2803" s="113">
        <f>'Data_in-situ'!DO331</f>
        <v>68.193149695063454</v>
      </c>
      <c r="V2803" s="46">
        <f>'Data_in-situ'!DP331</f>
        <v>3</v>
      </c>
      <c r="W2803" s="113">
        <f>'Data_in-situ'!DR331</f>
        <v>61.027999999999992</v>
      </c>
      <c r="X2803" s="113">
        <f>'Data_in-situ'!DS331</f>
        <v>43.24238046176459</v>
      </c>
      <c r="Y2803" s="46">
        <f>'Data_in-situ'!DT331</f>
        <v>3</v>
      </c>
      <c r="AF2803" s="113">
        <f>'Data_in-situ'!EN292</f>
        <v>-20.8</v>
      </c>
      <c r="AG2803" s="113">
        <f>'Data_in-situ'!EO292</f>
        <v>8.475925094026902</v>
      </c>
      <c r="AH2803" s="110">
        <f>'Data_in-situ'!EP292</f>
        <v>1</v>
      </c>
      <c r="AI2803" s="113">
        <f>'Data_in-situ'!ER292</f>
        <v>-48.2</v>
      </c>
      <c r="AJ2803" s="113">
        <f>'Data_in-situ'!ES292</f>
        <v>10.93243737914316</v>
      </c>
      <c r="AK2803" s="110">
        <f>'Data_in-situ'!ET292</f>
        <v>1</v>
      </c>
    </row>
    <row r="2804" spans="20:37" x14ac:dyDescent="0.3">
      <c r="T2804" s="113">
        <f>'Data_in-situ'!DN332</f>
        <v>130.67000000000002</v>
      </c>
      <c r="U2804" s="113">
        <f>'Data_in-situ'!DO332</f>
        <v>68.193149695063454</v>
      </c>
      <c r="V2804" s="46">
        <f>'Data_in-situ'!DP332</f>
        <v>3</v>
      </c>
      <c r="W2804" s="113">
        <f>'Data_in-situ'!DR332</f>
        <v>1.3626666666666667</v>
      </c>
      <c r="X2804" s="113">
        <f>'Data_in-situ'!DS332</f>
        <v>1.5172765074303363</v>
      </c>
      <c r="Y2804" s="46">
        <f>'Data_in-situ'!DT332</f>
        <v>3</v>
      </c>
      <c r="AF2804" s="113">
        <f>'Data_in-situ'!EN293</f>
        <v>-20.8</v>
      </c>
      <c r="AG2804" s="113">
        <f>'Data_in-situ'!EO293</f>
        <v>8.475925094026902</v>
      </c>
      <c r="AH2804" s="110">
        <f>'Data_in-situ'!EP293</f>
        <v>1</v>
      </c>
      <c r="AI2804" s="113">
        <f>'Data_in-situ'!ER293</f>
        <v>-46</v>
      </c>
      <c r="AJ2804" s="113">
        <f>'Data_in-situ'!ES293</f>
        <v>10.433446461422932</v>
      </c>
      <c r="AK2804" s="110">
        <f>'Data_in-situ'!ET293</f>
        <v>1</v>
      </c>
    </row>
    <row r="2805" spans="20:37" x14ac:dyDescent="0.3">
      <c r="T2805" s="113">
        <f>'Data_in-situ'!DN333</f>
        <v>224.95402018476722</v>
      </c>
      <c r="U2805" s="113">
        <f>'Data_in-situ'!DO333</f>
        <v>27.300798963122862</v>
      </c>
      <c r="V2805" s="46">
        <f>'Data_in-situ'!DP333</f>
        <v>3</v>
      </c>
      <c r="W2805" s="113">
        <f>'Data_in-situ'!DR333</f>
        <v>41.219419022620272</v>
      </c>
      <c r="X2805" s="113">
        <f>'Data_in-situ'!DS333</f>
        <v>28.248116299491517</v>
      </c>
      <c r="Y2805" s="46">
        <f>'Data_in-situ'!DT333</f>
        <v>3</v>
      </c>
      <c r="AF2805" s="113">
        <f>'Data_in-situ'!EN294</f>
        <v>-20.8</v>
      </c>
      <c r="AG2805" s="113">
        <f>'Data_in-situ'!EO294</f>
        <v>8.475925094026902</v>
      </c>
      <c r="AH2805" s="110">
        <f>'Data_in-situ'!EP294</f>
        <v>1</v>
      </c>
      <c r="AI2805" s="113">
        <f>'Data_in-situ'!ER294</f>
        <v>-40</v>
      </c>
      <c r="AJ2805" s="113">
        <f>'Data_in-situ'!ES294</f>
        <v>9.0725621403677668</v>
      </c>
      <c r="AK2805" s="110">
        <f>'Data_in-situ'!ET294</f>
        <v>1</v>
      </c>
    </row>
    <row r="2806" spans="20:37" x14ac:dyDescent="0.3">
      <c r="T2806" s="113">
        <f>'Data_in-situ'!DN334</f>
        <v>319.73915567142052</v>
      </c>
      <c r="U2806" s="113">
        <f>'Data_in-situ'!DO334</f>
        <v>43.930407967061235</v>
      </c>
      <c r="V2806" s="46">
        <f>'Data_in-situ'!DP334</f>
        <v>3</v>
      </c>
      <c r="W2806" s="113">
        <f>'Data_in-situ'!DR334</f>
        <v>51.711287050105334</v>
      </c>
      <c r="X2806" s="113">
        <f>'Data_in-situ'!DS334</f>
        <v>35.138864518591532</v>
      </c>
      <c r="Y2806" s="46">
        <f>'Data_in-situ'!DT334</f>
        <v>3</v>
      </c>
      <c r="AF2806" s="113">
        <f>'Data_in-situ'!EN295</f>
        <v>-20.8</v>
      </c>
      <c r="AG2806" s="113">
        <f>'Data_in-situ'!EO295</f>
        <v>8.475925094026902</v>
      </c>
      <c r="AH2806" s="110">
        <f>'Data_in-situ'!EP295</f>
        <v>1</v>
      </c>
      <c r="AI2806" s="113">
        <f>'Data_in-situ'!ER295</f>
        <v>-31.5</v>
      </c>
      <c r="AJ2806" s="113">
        <f>'Data_in-situ'!ES295</f>
        <v>7.1446426855396163</v>
      </c>
      <c r="AK2806" s="110">
        <f>'Data_in-situ'!ET295</f>
        <v>1</v>
      </c>
    </row>
    <row r="2807" spans="20:37" x14ac:dyDescent="0.3">
      <c r="T2807" s="113">
        <f>'Data_in-situ'!DN335</f>
        <v>231.15879516066161</v>
      </c>
      <c r="U2807" s="113">
        <f>'Data_in-situ'!DO335</f>
        <v>29.849428994378311</v>
      </c>
      <c r="V2807" s="46">
        <f>'Data_in-situ'!DP335</f>
        <v>3</v>
      </c>
      <c r="W2807" s="113">
        <f>'Data_in-situ'!DR335</f>
        <v>36.322102883026695</v>
      </c>
      <c r="X2807" s="113">
        <f>'Data_in-situ'!DS335</f>
        <v>24.783672418143286</v>
      </c>
      <c r="Y2807" s="46">
        <f>'Data_in-situ'!DT335</f>
        <v>3</v>
      </c>
      <c r="AF2807" s="113">
        <f>'Data_in-situ'!EN296</f>
        <v>-20.8</v>
      </c>
      <c r="AG2807" s="113">
        <f>'Data_in-situ'!EO296</f>
        <v>8.475925094026902</v>
      </c>
      <c r="AH2807" s="110">
        <f>'Data_in-situ'!EP296</f>
        <v>1</v>
      </c>
      <c r="AI2807" s="113">
        <f>'Data_in-situ'!ER296</f>
        <v>-48.2</v>
      </c>
      <c r="AJ2807" s="113">
        <f>'Data_in-situ'!ES296</f>
        <v>10.93243737914316</v>
      </c>
      <c r="AK2807" s="110">
        <f>'Data_in-situ'!ET296</f>
        <v>1</v>
      </c>
    </row>
    <row r="2808" spans="20:37" x14ac:dyDescent="0.3">
      <c r="T2808" s="113">
        <f>'Data_in-situ'!DN336</f>
        <v>493.10596214853945</v>
      </c>
      <c r="U2808" s="113">
        <f>'Data_in-situ'!DO336</f>
        <v>526.28285184988022</v>
      </c>
      <c r="V2808" s="46">
        <f>'Data_in-situ'!DP336</f>
        <v>3</v>
      </c>
      <c r="W2808" s="113">
        <f>'Data_in-situ'!DR336</f>
        <v>78.722119137960249</v>
      </c>
      <c r="X2808" s="113">
        <f>'Data_in-situ'!DS336</f>
        <v>80.04506331866223</v>
      </c>
      <c r="Y2808" s="46">
        <f>'Data_in-situ'!DT336</f>
        <v>3</v>
      </c>
      <c r="AF2808" s="113">
        <f>'Data_in-situ'!EN297</f>
        <v>-20.8</v>
      </c>
      <c r="AG2808" s="113">
        <f>'Data_in-situ'!EO297</f>
        <v>8.475925094026902</v>
      </c>
      <c r="AH2808" s="110">
        <f>'Data_in-situ'!EP297</f>
        <v>1</v>
      </c>
      <c r="AI2808" s="113">
        <f>'Data_in-situ'!ER297</f>
        <v>-46</v>
      </c>
      <c r="AJ2808" s="113">
        <f>'Data_in-situ'!ES297</f>
        <v>10.433446461422932</v>
      </c>
      <c r="AK2808" s="110">
        <f>'Data_in-situ'!ET297</f>
        <v>1</v>
      </c>
    </row>
    <row r="2809" spans="20:37" x14ac:dyDescent="0.3">
      <c r="T2809" s="113">
        <f>'Data_in-situ'!DN337</f>
        <v>806.56888052092813</v>
      </c>
      <c r="U2809" s="113">
        <f>'Data_in-situ'!DO337</f>
        <v>856.38159693760133</v>
      </c>
      <c r="V2809" s="46">
        <f>'Data_in-situ'!DP337</f>
        <v>3</v>
      </c>
      <c r="W2809" s="113">
        <f>'Data_in-situ'!DR337</f>
        <v>84.62740503626496</v>
      </c>
      <c r="X2809" s="113">
        <f>'Data_in-situ'!DS337</f>
        <v>85.525142019325685</v>
      </c>
      <c r="Y2809" s="46">
        <f>'Data_in-situ'!DT337</f>
        <v>3</v>
      </c>
      <c r="AF2809" s="113">
        <f>'Data_in-situ'!EN298</f>
        <v>-20.8</v>
      </c>
      <c r="AG2809" s="113">
        <f>'Data_in-situ'!EO298</f>
        <v>8.475925094026902</v>
      </c>
      <c r="AH2809" s="110">
        <f>'Data_in-situ'!EP298</f>
        <v>1</v>
      </c>
      <c r="AI2809" s="113">
        <f>'Data_in-situ'!ER298</f>
        <v>-40</v>
      </c>
      <c r="AJ2809" s="113">
        <f>'Data_in-situ'!ES298</f>
        <v>9.0725621403677668</v>
      </c>
      <c r="AK2809" s="110">
        <f>'Data_in-situ'!ET298</f>
        <v>1</v>
      </c>
    </row>
    <row r="2810" spans="20:37" x14ac:dyDescent="0.3">
      <c r="T2810" s="113">
        <f>'Data_in-situ'!DN338</f>
        <v>660.5745513402162</v>
      </c>
      <c r="U2810" s="113">
        <f>'Data_in-situ'!DO338</f>
        <v>706.60737149083172</v>
      </c>
      <c r="V2810" s="46">
        <f>'Data_in-situ'!DP338</f>
        <v>3</v>
      </c>
      <c r="W2810" s="113">
        <f>'Data_in-situ'!DR338</f>
        <v>60.94615675196922</v>
      </c>
      <c r="X2810" s="113">
        <f>'Data_in-situ'!DS338</f>
        <v>61.833294541817786</v>
      </c>
      <c r="Y2810" s="46">
        <f>'Data_in-situ'!DT338</f>
        <v>3</v>
      </c>
      <c r="AF2810" s="113">
        <f>'Data_in-situ'!EN299</f>
        <v>-20.8</v>
      </c>
      <c r="AG2810" s="113">
        <f>'Data_in-situ'!EO299</f>
        <v>8.475925094026902</v>
      </c>
      <c r="AH2810" s="110">
        <f>'Data_in-situ'!EP299</f>
        <v>1</v>
      </c>
      <c r="AI2810" s="113">
        <f>'Data_in-situ'!ER299</f>
        <v>-31.5</v>
      </c>
      <c r="AJ2810" s="113">
        <f>'Data_in-situ'!ES299</f>
        <v>7.1446426855396163</v>
      </c>
      <c r="AK2810" s="110">
        <f>'Data_in-situ'!ET299</f>
        <v>1</v>
      </c>
    </row>
    <row r="2811" spans="20:37" x14ac:dyDescent="0.3">
      <c r="T2811" s="113">
        <f>'Data_in-situ'!DN339</f>
        <v>119.51899620842497</v>
      </c>
      <c r="U2811" s="113">
        <f>'Data_in-situ'!DO339</f>
        <v>34.824121299588967</v>
      </c>
      <c r="V2811" s="46">
        <f>'Data_in-situ'!DP339</f>
        <v>3</v>
      </c>
      <c r="W2811" s="113">
        <f>'Data_in-situ'!DR339</f>
        <v>20.119884710538422</v>
      </c>
      <c r="X2811" s="113">
        <f>'Data_in-situ'!DS339</f>
        <v>3.7786326870241678</v>
      </c>
      <c r="Y2811" s="46">
        <f>'Data_in-situ'!DT339</f>
        <v>3</v>
      </c>
      <c r="AF2811" s="113">
        <f>'Data_in-situ'!EN300</f>
        <v>-20.8</v>
      </c>
      <c r="AG2811" s="113">
        <f>'Data_in-situ'!EO300</f>
        <v>8.475925094026902</v>
      </c>
      <c r="AH2811" s="110">
        <f>'Data_in-situ'!EP300</f>
        <v>1</v>
      </c>
      <c r="AI2811" s="113">
        <f>'Data_in-situ'!ER300</f>
        <v>-48.2</v>
      </c>
      <c r="AJ2811" s="113">
        <f>'Data_in-situ'!ES300</f>
        <v>10.93243737914316</v>
      </c>
      <c r="AK2811" s="110">
        <f>'Data_in-situ'!ET300</f>
        <v>1</v>
      </c>
    </row>
    <row r="2812" spans="20:37" x14ac:dyDescent="0.3">
      <c r="T2812" s="113">
        <f>'Data_in-situ'!DN340</f>
        <v>756.9536426533582</v>
      </c>
      <c r="U2812" s="113">
        <f>'Data_in-situ'!DO340</f>
        <v>966.52380476916505</v>
      </c>
      <c r="V2812" s="46">
        <f>'Data_in-situ'!DP340</f>
        <v>3</v>
      </c>
      <c r="W2812" s="113">
        <f>'Data_in-situ'!DR340</f>
        <v>140.83919297376897</v>
      </c>
      <c r="X2812" s="113">
        <f>'Data_in-situ'!DS340</f>
        <v>231.79656525897315</v>
      </c>
      <c r="Y2812" s="46">
        <f>'Data_in-situ'!DT340</f>
        <v>3</v>
      </c>
      <c r="AF2812" s="113">
        <f>'Data_in-situ'!EN301</f>
        <v>-20.8</v>
      </c>
      <c r="AG2812" s="113">
        <f>'Data_in-situ'!EO301</f>
        <v>8.475925094026902</v>
      </c>
      <c r="AH2812" s="110">
        <f>'Data_in-situ'!EP301</f>
        <v>1</v>
      </c>
      <c r="AI2812" s="113">
        <f>'Data_in-situ'!ER301</f>
        <v>-46</v>
      </c>
      <c r="AJ2812" s="113">
        <f>'Data_in-situ'!ES301</f>
        <v>10.433446461422932</v>
      </c>
      <c r="AK2812" s="110">
        <f>'Data_in-situ'!ET301</f>
        <v>1</v>
      </c>
    </row>
    <row r="2813" spans="20:37" x14ac:dyDescent="0.3">
      <c r="T2813" s="113">
        <f>'Data_in-situ'!DN341</f>
        <v>99.599163507020805</v>
      </c>
      <c r="U2813" s="113">
        <f>'Data_in-situ'!DO341</f>
        <v>34.500209307573023</v>
      </c>
      <c r="V2813" s="46">
        <f>'Data_in-situ'!DP341</f>
        <v>3</v>
      </c>
      <c r="W2813" s="113">
        <f>'Data_in-situ'!DR341</f>
        <v>2.0119884710538427</v>
      </c>
      <c r="X2813" s="113">
        <f>'Data_in-situ'!DS341</f>
        <v>4.1125976308977705</v>
      </c>
      <c r="Y2813" s="46">
        <f>'Data_in-situ'!DT341</f>
        <v>3</v>
      </c>
      <c r="AF2813" s="113">
        <f>'Data_in-situ'!EN302</f>
        <v>-20.8</v>
      </c>
      <c r="AG2813" s="113">
        <f>'Data_in-situ'!EO302</f>
        <v>8.475925094026902</v>
      </c>
      <c r="AH2813" s="110">
        <f>'Data_in-situ'!EP302</f>
        <v>1</v>
      </c>
      <c r="AI2813" s="113">
        <f>'Data_in-situ'!ER302</f>
        <v>-40</v>
      </c>
      <c r="AJ2813" s="113">
        <f>'Data_in-situ'!ES302</f>
        <v>9.0725621403677668</v>
      </c>
      <c r="AK2813" s="110">
        <f>'Data_in-situ'!ET302</f>
        <v>1</v>
      </c>
    </row>
    <row r="2814" spans="20:37" x14ac:dyDescent="0.3">
      <c r="T2814" s="113">
        <f>'Data_in-situ'!DN342</f>
        <v>230.49976509958381</v>
      </c>
      <c r="U2814" s="113">
        <f>'Data_in-situ'!DO342</f>
        <v>197.03120287558829</v>
      </c>
      <c r="V2814" s="46">
        <f>'Data_in-situ'!DP342</f>
        <v>3</v>
      </c>
      <c r="W2814" s="113">
        <f>'Data_in-situ'!DR342</f>
        <v>118.90670603705591</v>
      </c>
      <c r="X2814" s="113">
        <f>'Data_in-situ'!DS342</f>
        <v>159.66597828472533</v>
      </c>
      <c r="Y2814" s="46">
        <f>'Data_in-situ'!DT342</f>
        <v>3</v>
      </c>
      <c r="AF2814" s="113">
        <f>'Data_in-situ'!EN303</f>
        <v>-20.8</v>
      </c>
      <c r="AG2814" s="113">
        <f>'Data_in-situ'!EO303</f>
        <v>8.475925094026902</v>
      </c>
      <c r="AH2814" s="110">
        <f>'Data_in-situ'!EP303</f>
        <v>1</v>
      </c>
      <c r="AI2814" s="113">
        <f>'Data_in-situ'!ER303</f>
        <v>-31.5</v>
      </c>
      <c r="AJ2814" s="113">
        <f>'Data_in-situ'!ES303</f>
        <v>7.1446426855396163</v>
      </c>
      <c r="AK2814" s="110">
        <f>'Data_in-situ'!ET303</f>
        <v>1</v>
      </c>
    </row>
    <row r="2815" spans="20:37" x14ac:dyDescent="0.3">
      <c r="T2815" s="113">
        <f>'Data_in-situ'!DN343</f>
        <v>1089.6352531980324</v>
      </c>
      <c r="U2815" s="113">
        <f>'Data_in-situ'!DO343</f>
        <v>927.78982978332431</v>
      </c>
      <c r="V2815" s="46">
        <f>'Data_in-situ'!DP343</f>
        <v>3</v>
      </c>
      <c r="W2815" s="113">
        <f>'Data_in-situ'!DR343</f>
        <v>639.12354494917554</v>
      </c>
      <c r="X2815" s="113">
        <f>'Data_in-situ'!DS343</f>
        <v>304.35692868746287</v>
      </c>
      <c r="Y2815" s="46">
        <f>'Data_in-situ'!DT343</f>
        <v>3</v>
      </c>
      <c r="AF2815" s="113">
        <f>'Data_in-situ'!EN304</f>
        <v>-48.7</v>
      </c>
      <c r="AG2815" s="113">
        <f>'Data_in-situ'!EO304</f>
        <v>19.845074619187987</v>
      </c>
      <c r="AH2815" s="110">
        <f>'Data_in-situ'!EP304</f>
        <v>1</v>
      </c>
      <c r="AI2815" s="113">
        <f>'Data_in-situ'!ER304</f>
        <v>-77.599999999999994</v>
      </c>
      <c r="AJ2815" s="113">
        <f>'Data_in-situ'!ES304</f>
        <v>17.600770552313467</v>
      </c>
      <c r="AK2815" s="110">
        <f>'Data_in-situ'!ET304</f>
        <v>1</v>
      </c>
    </row>
    <row r="2816" spans="20:37" x14ac:dyDescent="0.3">
      <c r="T2816" s="113">
        <f>'Data_in-situ'!DN344</f>
        <v>146.68166869973513</v>
      </c>
      <c r="U2816" s="113">
        <f>'Data_in-situ'!DO344</f>
        <v>127.23656397839687</v>
      </c>
      <c r="V2816" s="46">
        <f>'Data_in-situ'!DP344</f>
        <v>3</v>
      </c>
      <c r="W2816" s="113">
        <f>'Data_in-situ'!DR344</f>
        <v>29.726676509263978</v>
      </c>
      <c r="X2816" s="113">
        <f>'Data_in-situ'!DS344</f>
        <v>18.92341152926349</v>
      </c>
      <c r="Y2816" s="46">
        <f>'Data_in-situ'!DT344</f>
        <v>3</v>
      </c>
      <c r="AF2816" s="113">
        <f>'Data_in-situ'!EN305</f>
        <v>-48.7</v>
      </c>
      <c r="AG2816" s="113">
        <f>'Data_in-situ'!EO305</f>
        <v>19.845074619187987</v>
      </c>
      <c r="AH2816" s="110">
        <f>'Data_in-situ'!EP305</f>
        <v>1</v>
      </c>
      <c r="AI2816" s="113">
        <f>'Data_in-situ'!ER305</f>
        <v>-119.3</v>
      </c>
      <c r="AJ2816" s="113">
        <f>'Data_in-situ'!ES305</f>
        <v>27.058916583646866</v>
      </c>
      <c r="AK2816" s="110">
        <f>'Data_in-situ'!ET305</f>
        <v>1</v>
      </c>
    </row>
    <row r="2817" spans="20:37" x14ac:dyDescent="0.3">
      <c r="T2817" s="113">
        <f>'Data_in-situ'!DN345</f>
        <v>158.06344550056443</v>
      </c>
      <c r="U2817" s="113">
        <f>'Data_in-situ'!DO345</f>
        <v>156.23763874501105</v>
      </c>
      <c r="V2817" s="46">
        <f>'Data_in-situ'!DP345</f>
        <v>3</v>
      </c>
      <c r="W2817" s="113">
        <f>'Data_in-situ'!DR345</f>
        <v>533.27856040861434</v>
      </c>
      <c r="X2817" s="113">
        <f>'Data_in-situ'!DS345</f>
        <v>463.45283466494965</v>
      </c>
      <c r="Y2817" s="46">
        <f>'Data_in-situ'!DT345</f>
        <v>3</v>
      </c>
      <c r="AF2817" s="113">
        <f>'Data_in-situ'!EN306</f>
        <v>-48.7</v>
      </c>
      <c r="AG2817" s="113">
        <f>'Data_in-situ'!EO306</f>
        <v>19.845074619187987</v>
      </c>
      <c r="AH2817" s="110">
        <f>'Data_in-situ'!EP306</f>
        <v>1</v>
      </c>
      <c r="AI2817" s="113">
        <f>'Data_in-situ'!ER306</f>
        <v>-85.1</v>
      </c>
      <c r="AJ2817" s="113">
        <f>'Data_in-situ'!ES306</f>
        <v>19.301875953632422</v>
      </c>
      <c r="AK2817" s="110">
        <f>'Data_in-situ'!ET306</f>
        <v>1</v>
      </c>
    </row>
    <row r="2818" spans="20:37" x14ac:dyDescent="0.3">
      <c r="T2818" s="113">
        <f>'Data_in-situ'!DN346</f>
        <v>1422.5710095050797</v>
      </c>
      <c r="U2818" s="113">
        <f>'Data_in-situ'!DO346</f>
        <v>1619.3061390358012</v>
      </c>
      <c r="V2818" s="46">
        <f>'Data_in-situ'!DP346</f>
        <v>3</v>
      </c>
      <c r="W2818" s="113">
        <f>'Data_in-situ'!DR346</f>
        <v>1233.2066709449209</v>
      </c>
      <c r="X2818" s="113">
        <f>'Data_in-situ'!DS346</f>
        <v>527.21983078939115</v>
      </c>
      <c r="Y2818" s="46">
        <f>'Data_in-situ'!DT346</f>
        <v>3</v>
      </c>
      <c r="AF2818" s="113">
        <f>'Data_in-situ'!EN307</f>
        <v>-48.7</v>
      </c>
      <c r="AG2818" s="113">
        <f>'Data_in-situ'!EO307</f>
        <v>19.845074619187987</v>
      </c>
      <c r="AH2818" s="110">
        <f>'Data_in-situ'!EP307</f>
        <v>1</v>
      </c>
      <c r="AI2818" s="113">
        <f>'Data_in-situ'!ER307</f>
        <v>-90</v>
      </c>
      <c r="AJ2818" s="113">
        <f>'Data_in-situ'!ES307</f>
        <v>20.413264815827475</v>
      </c>
      <c r="AK2818" s="110">
        <f>'Data_in-situ'!ET307</f>
        <v>1</v>
      </c>
    </row>
    <row r="2819" spans="20:37" x14ac:dyDescent="0.3">
      <c r="T2819" s="113">
        <f>'Data_in-situ'!DN347</f>
        <v>87.813025278091345</v>
      </c>
      <c r="U2819" s="113">
        <f>'Data_in-situ'!DO347</f>
        <v>511.88953557062587</v>
      </c>
      <c r="V2819" s="46">
        <f>'Data_in-situ'!DP347</f>
        <v>3</v>
      </c>
      <c r="W2819" s="113">
        <f>'Data_in-situ'!DR347</f>
        <v>83.324775063845991</v>
      </c>
      <c r="X2819" s="113">
        <f>'Data_in-situ'!DS347</f>
        <v>58.045203910854234</v>
      </c>
      <c r="Y2819" s="46">
        <f>'Data_in-situ'!DT347</f>
        <v>3</v>
      </c>
      <c r="AF2819" s="113">
        <f>'Data_in-situ'!EN308</f>
        <v>-48.7</v>
      </c>
      <c r="AG2819" s="113">
        <f>'Data_in-situ'!EO308</f>
        <v>19.845074619187987</v>
      </c>
      <c r="AH2819" s="110">
        <f>'Data_in-situ'!EP308</f>
        <v>1</v>
      </c>
      <c r="AI2819" s="113">
        <f>'Data_in-situ'!ER308</f>
        <v>-77.599999999999994</v>
      </c>
      <c r="AJ2819" s="113">
        <f>'Data_in-situ'!ES308</f>
        <v>17.600770552313467</v>
      </c>
      <c r="AK2819" s="110">
        <f>'Data_in-situ'!ET308</f>
        <v>1</v>
      </c>
    </row>
    <row r="2820" spans="20:37" x14ac:dyDescent="0.3">
      <c r="T2820" s="113">
        <f>'Data_in-situ'!DN354</f>
        <v>129.83859113829968</v>
      </c>
      <c r="U2820" s="113">
        <f>'Data_in-situ'!DO354</f>
        <v>144.75435619379368</v>
      </c>
      <c r="V2820" s="46">
        <f>'Data_in-situ'!DP354</f>
        <v>3</v>
      </c>
      <c r="W2820" s="113">
        <f>'Data_in-situ'!DR354</f>
        <v>3.2289849407087479</v>
      </c>
      <c r="X2820" s="113">
        <f>'Data_in-situ'!DS354</f>
        <v>12.067415135534878</v>
      </c>
      <c r="Y2820" s="46">
        <f>'Data_in-situ'!DT354</f>
        <v>3</v>
      </c>
      <c r="AF2820" s="113">
        <f>'Data_in-situ'!EN309</f>
        <v>-48.7</v>
      </c>
      <c r="AG2820" s="113">
        <f>'Data_in-situ'!EO309</f>
        <v>19.845074619187987</v>
      </c>
      <c r="AH2820" s="110">
        <f>'Data_in-situ'!EP309</f>
        <v>1</v>
      </c>
      <c r="AI2820" s="113">
        <f>'Data_in-situ'!ER309</f>
        <v>-119.3</v>
      </c>
      <c r="AJ2820" s="113">
        <f>'Data_in-situ'!ES309</f>
        <v>27.058916583646866</v>
      </c>
      <c r="AK2820" s="110">
        <f>'Data_in-situ'!ET309</f>
        <v>1</v>
      </c>
    </row>
    <row r="2821" spans="20:37" x14ac:dyDescent="0.3">
      <c r="T2821" s="113">
        <f>'Data_in-situ'!DN355</f>
        <v>104.97588219692315</v>
      </c>
      <c r="U2821" s="113">
        <f>'Data_in-situ'!DO355</f>
        <v>117.03543692264172</v>
      </c>
      <c r="V2821" s="46">
        <f>'Data_in-situ'!DP355</f>
        <v>3</v>
      </c>
      <c r="W2821" s="113">
        <f>'Data_in-situ'!DR355</f>
        <v>16.732012874581695</v>
      </c>
      <c r="X2821" s="113">
        <f>'Data_in-situ'!DS355</f>
        <v>62.531151156862556</v>
      </c>
      <c r="Y2821" s="46">
        <f>'Data_in-situ'!DT355</f>
        <v>3</v>
      </c>
      <c r="AF2821" s="113">
        <f>'Data_in-situ'!EN310</f>
        <v>-48.7</v>
      </c>
      <c r="AG2821" s="113">
        <f>'Data_in-situ'!EO310</f>
        <v>19.845074619187987</v>
      </c>
      <c r="AH2821" s="110">
        <f>'Data_in-situ'!EP310</f>
        <v>1</v>
      </c>
      <c r="AI2821" s="113">
        <f>'Data_in-situ'!ER310</f>
        <v>-85.1</v>
      </c>
      <c r="AJ2821" s="113">
        <f>'Data_in-situ'!ES310</f>
        <v>19.301875953632422</v>
      </c>
      <c r="AK2821" s="110">
        <f>'Data_in-situ'!ET310</f>
        <v>1</v>
      </c>
    </row>
    <row r="2822" spans="20:37" x14ac:dyDescent="0.3">
      <c r="T2822" s="113">
        <f>'Data_in-situ'!DN356</f>
        <v>104.97588219692315</v>
      </c>
      <c r="U2822" s="113">
        <f>'Data_in-situ'!DO356</f>
        <v>117.03543692264172</v>
      </c>
      <c r="V2822" s="46">
        <f>'Data_in-situ'!DP356</f>
        <v>3</v>
      </c>
      <c r="W2822" s="113">
        <f>'Data_in-situ'!DR356</f>
        <v>0</v>
      </c>
      <c r="X2822" s="113">
        <f>'Data_in-situ'!DS356</f>
        <v>0</v>
      </c>
      <c r="Y2822" s="46">
        <f>'Data_in-situ'!DT356</f>
        <v>3</v>
      </c>
      <c r="AF2822" s="113">
        <f>'Data_in-situ'!EN311</f>
        <v>-48.7</v>
      </c>
      <c r="AG2822" s="113">
        <f>'Data_in-situ'!EO311</f>
        <v>19.845074619187987</v>
      </c>
      <c r="AH2822" s="110">
        <f>'Data_in-situ'!EP311</f>
        <v>1</v>
      </c>
      <c r="AI2822" s="113">
        <f>'Data_in-situ'!ER311</f>
        <v>-90</v>
      </c>
      <c r="AJ2822" s="113">
        <f>'Data_in-situ'!ES311</f>
        <v>20.413264815827475</v>
      </c>
      <c r="AK2822" s="110">
        <f>'Data_in-situ'!ET311</f>
        <v>1</v>
      </c>
    </row>
    <row r="2823" spans="20:37" x14ac:dyDescent="0.3">
      <c r="T2823" s="113">
        <f>'Data_in-situ'!DN357</f>
        <v>113.26345184404866</v>
      </c>
      <c r="U2823" s="113">
        <f>'Data_in-situ'!DO357</f>
        <v>126.27507667969238</v>
      </c>
      <c r="V2823" s="46">
        <f>'Data_in-situ'!DP357</f>
        <v>3</v>
      </c>
      <c r="W2823" s="113">
        <f>'Data_in-situ'!DR357</f>
        <v>5.2837935393415876</v>
      </c>
      <c r="X2823" s="113">
        <f>'Data_in-situ'!DS357</f>
        <v>19.746679312693438</v>
      </c>
      <c r="Y2823" s="46">
        <f>'Data_in-situ'!DT357</f>
        <v>3</v>
      </c>
      <c r="AF2823" s="113">
        <f>'Data_in-situ'!EN312</f>
        <v>-48.7</v>
      </c>
      <c r="AG2823" s="113">
        <f>'Data_in-situ'!EO312</f>
        <v>19.845074619187987</v>
      </c>
      <c r="AH2823" s="110">
        <f>'Data_in-situ'!EP312</f>
        <v>1</v>
      </c>
      <c r="AI2823" s="113">
        <f>'Data_in-situ'!ER312</f>
        <v>-77.599999999999994</v>
      </c>
      <c r="AJ2823" s="113">
        <f>'Data_in-situ'!ES312</f>
        <v>17.600770552313467</v>
      </c>
      <c r="AK2823" s="110">
        <f>'Data_in-situ'!ET312</f>
        <v>1</v>
      </c>
    </row>
    <row r="2824" spans="20:37" x14ac:dyDescent="0.3">
      <c r="T2824" s="113">
        <f>'Data_in-situ'!DN358</f>
        <v>109.11966702048591</v>
      </c>
      <c r="U2824" s="113">
        <f>'Data_in-situ'!DO358</f>
        <v>121.65525680116704</v>
      </c>
      <c r="V2824" s="46">
        <f>'Data_in-situ'!DP358</f>
        <v>3</v>
      </c>
      <c r="W2824" s="113">
        <f>'Data_in-situ'!DR358</f>
        <v>3.5225290262277253</v>
      </c>
      <c r="X2824" s="113">
        <f>'Data_in-situ'!DS358</f>
        <v>13.164452875128958</v>
      </c>
      <c r="Y2824" s="46">
        <f>'Data_in-situ'!DT358</f>
        <v>3</v>
      </c>
      <c r="AF2824" s="113">
        <f>'Data_in-situ'!EN313</f>
        <v>-48.7</v>
      </c>
      <c r="AG2824" s="113">
        <f>'Data_in-situ'!EO313</f>
        <v>19.845074619187987</v>
      </c>
      <c r="AH2824" s="110">
        <f>'Data_in-situ'!EP313</f>
        <v>1</v>
      </c>
      <c r="AI2824" s="113">
        <f>'Data_in-situ'!ER313</f>
        <v>-119.3</v>
      </c>
      <c r="AJ2824" s="113">
        <f>'Data_in-situ'!ES313</f>
        <v>27.058916583646866</v>
      </c>
      <c r="AK2824" s="110">
        <f>'Data_in-situ'!ET313</f>
        <v>1</v>
      </c>
    </row>
    <row r="2825" spans="20:37" x14ac:dyDescent="0.3">
      <c r="T2825" s="113">
        <f>'Data_in-situ'!DN359</f>
        <v>109.11966702048591</v>
      </c>
      <c r="U2825" s="113">
        <f>'Data_in-situ'!DO359</f>
        <v>121.65525680116704</v>
      </c>
      <c r="V2825" s="46">
        <f>'Data_in-situ'!DP359</f>
        <v>3</v>
      </c>
      <c r="W2825" s="113">
        <f>'Data_in-situ'!DR359</f>
        <v>0.88063225655693134</v>
      </c>
      <c r="X2825" s="113">
        <f>'Data_in-situ'!DS359</f>
        <v>3.2911132187822396</v>
      </c>
      <c r="Y2825" s="46">
        <f>'Data_in-situ'!DT359</f>
        <v>3</v>
      </c>
      <c r="AF2825" s="113">
        <f>'Data_in-situ'!EN314</f>
        <v>-48.7</v>
      </c>
      <c r="AG2825" s="113">
        <f>'Data_in-situ'!EO314</f>
        <v>19.845074619187987</v>
      </c>
      <c r="AH2825" s="110">
        <f>'Data_in-situ'!EP314</f>
        <v>1</v>
      </c>
      <c r="AI2825" s="113">
        <f>'Data_in-situ'!ER314</f>
        <v>-85.1</v>
      </c>
      <c r="AJ2825" s="113">
        <f>'Data_in-situ'!ES314</f>
        <v>19.301875953632422</v>
      </c>
      <c r="AK2825" s="110">
        <f>'Data_in-situ'!ET314</f>
        <v>1</v>
      </c>
    </row>
    <row r="2826" spans="20:37" x14ac:dyDescent="0.3">
      <c r="T2826" s="113">
        <f>'Data_in-situ'!DN360</f>
        <v>78.736738703339938</v>
      </c>
      <c r="U2826" s="113">
        <f>'Data_in-situ'!DO360</f>
        <v>27.597052434686233</v>
      </c>
      <c r="V2826" s="46">
        <f>'Data_in-situ'!DP360</f>
        <v>8</v>
      </c>
      <c r="W2826" s="113">
        <f>'Data_in-situ'!DR360</f>
        <v>125.2043222003928</v>
      </c>
      <c r="X2826" s="113">
        <f>'Data_in-situ'!DS360</f>
        <v>186.10419799607629</v>
      </c>
      <c r="Y2826" s="46">
        <f>'Data_in-situ'!DT360</f>
        <v>8</v>
      </c>
      <c r="AF2826" s="113">
        <f>'Data_in-situ'!EN315</f>
        <v>-48.7</v>
      </c>
      <c r="AG2826" s="113">
        <f>'Data_in-situ'!EO315</f>
        <v>19.845074619187987</v>
      </c>
      <c r="AH2826" s="110">
        <f>'Data_in-situ'!EP315</f>
        <v>1</v>
      </c>
      <c r="AI2826" s="113">
        <f>'Data_in-situ'!ER315</f>
        <v>-90</v>
      </c>
      <c r="AJ2826" s="113">
        <f>'Data_in-situ'!ES315</f>
        <v>20.413264815827475</v>
      </c>
      <c r="AK2826" s="110">
        <f>'Data_in-situ'!ET315</f>
        <v>1</v>
      </c>
    </row>
    <row r="2827" spans="20:37" x14ac:dyDescent="0.3">
      <c r="T2827" s="113">
        <f>'Data_in-situ'!DN361</f>
        <v>193.62208240634681</v>
      </c>
      <c r="U2827" s="113">
        <f>'Data_in-situ'!DO361</f>
        <v>614.14718799845184</v>
      </c>
      <c r="V2827" s="46">
        <f>'Data_in-situ'!DP361</f>
        <v>8</v>
      </c>
      <c r="W2827" s="113">
        <f>'Data_in-situ'!DR361</f>
        <v>-17.39938687312296</v>
      </c>
      <c r="X2827" s="113">
        <f>'Data_in-situ'!DS361</f>
        <v>20.727267101856409</v>
      </c>
      <c r="Y2827" s="46">
        <f>'Data_in-situ'!DT361</f>
        <v>8</v>
      </c>
      <c r="AF2827" s="113">
        <f>'Data_in-situ'!EN316</f>
        <v>-7.2</v>
      </c>
      <c r="AG2827" s="113">
        <f>'Data_in-situ'!EO316</f>
        <v>5.7</v>
      </c>
      <c r="AH2827" s="110">
        <f>'Data_in-situ'!EP316</f>
        <v>18</v>
      </c>
      <c r="AI2827" s="113">
        <f>'Data_in-situ'!ER316</f>
        <v>-22.1</v>
      </c>
      <c r="AJ2827" s="113">
        <f>'Data_in-situ'!ES316</f>
        <v>8.6</v>
      </c>
      <c r="AK2827" s="110">
        <f>'Data_in-situ'!ET316</f>
        <v>18</v>
      </c>
    </row>
    <row r="2828" spans="20:37" x14ac:dyDescent="0.3">
      <c r="T2828" s="113">
        <f>'Data_in-situ'!DN362</f>
        <v>13.000958989688872</v>
      </c>
      <c r="U2828" s="113">
        <f>'Data_in-situ'!DO362</f>
        <v>49.021154863031335</v>
      </c>
      <c r="V2828" s="46">
        <f>'Data_in-situ'!DP362</f>
        <v>8</v>
      </c>
      <c r="W2828" s="113">
        <f>'Data_in-situ'!DR362</f>
        <v>-4.3235288751980265</v>
      </c>
      <c r="X2828" s="113">
        <f>'Data_in-situ'!DS362</f>
        <v>9.6228681188427743</v>
      </c>
      <c r="Y2828" s="46">
        <f>'Data_in-situ'!DT362</f>
        <v>8</v>
      </c>
      <c r="AF2828" s="113">
        <f>'Data_in-situ'!EN317</f>
        <v>-18.7</v>
      </c>
      <c r="AG2828" s="113">
        <f>'Data_in-situ'!EO317</f>
        <v>7.2</v>
      </c>
      <c r="AH2828" s="110">
        <f>'Data_in-situ'!EP317</f>
        <v>15</v>
      </c>
      <c r="AI2828" s="113">
        <f>'Data_in-situ'!ER317</f>
        <v>-34.5</v>
      </c>
      <c r="AJ2828" s="113">
        <f>'Data_in-situ'!ES317</f>
        <v>9.3000000000000007</v>
      </c>
      <c r="AK2828" s="110">
        <f>'Data_in-situ'!ET317</f>
        <v>15</v>
      </c>
    </row>
    <row r="2829" spans="20:37" x14ac:dyDescent="0.3">
      <c r="T2829" s="113">
        <f>'Data_in-situ'!DN363</f>
        <v>92.536237514844473</v>
      </c>
      <c r="U2829" s="113">
        <f>'Data_in-situ'!DO363</f>
        <v>343.16618940866766</v>
      </c>
      <c r="V2829" s="46">
        <f>'Data_in-situ'!DP363</f>
        <v>8</v>
      </c>
      <c r="W2829" s="113">
        <f>'Data_in-situ'!DR363</f>
        <v>-4.3235288751980265</v>
      </c>
      <c r="X2829" s="113">
        <f>'Data_in-situ'!DS363</f>
        <v>4.2368888087214085</v>
      </c>
      <c r="Y2829" s="46">
        <f>'Data_in-situ'!DT363</f>
        <v>8</v>
      </c>
      <c r="AF2829" s="113">
        <f>'Data_in-situ'!EN318</f>
        <v>-10.3</v>
      </c>
      <c r="AG2829" s="113">
        <f>'Data_in-situ'!EO318</f>
        <v>8</v>
      </c>
      <c r="AH2829" s="110">
        <f>'Data_in-situ'!EP318</f>
        <v>18</v>
      </c>
      <c r="AI2829" s="113">
        <f>'Data_in-situ'!ER318</f>
        <v>-20.6</v>
      </c>
      <c r="AJ2829" s="113">
        <f>'Data_in-situ'!ES318</f>
        <v>9.6999999999999993</v>
      </c>
      <c r="AK2829" s="110">
        <f>'Data_in-situ'!ET318</f>
        <v>18</v>
      </c>
    </row>
    <row r="2830" spans="20:37" x14ac:dyDescent="0.3">
      <c r="T2830" s="113">
        <f>'Data_in-situ'!DN388</f>
        <v>42</v>
      </c>
      <c r="U2830" s="113">
        <f>'Data_in-situ'!DO388</f>
        <v>46.824930144716852</v>
      </c>
      <c r="V2830" s="46">
        <f>'Data_in-situ'!DP388</f>
        <v>3</v>
      </c>
      <c r="W2830" s="113">
        <f>'Data_in-situ'!DR388</f>
        <v>2</v>
      </c>
      <c r="X2830" s="113">
        <f>'Data_in-situ'!DS388</f>
        <v>7.4744325892620198</v>
      </c>
      <c r="Y2830" s="46">
        <f>'Data_in-situ'!DT388</f>
        <v>3</v>
      </c>
      <c r="AF2830" s="113">
        <f>'Data_in-situ'!EN319</f>
        <v>-27.8</v>
      </c>
      <c r="AG2830" s="113">
        <f>'Data_in-situ'!EO319</f>
        <v>9.3000000000000007</v>
      </c>
      <c r="AH2830" s="110">
        <f>'Data_in-situ'!EP319</f>
        <v>12</v>
      </c>
      <c r="AI2830" s="113">
        <f>'Data_in-situ'!ER319</f>
        <v>-31.9</v>
      </c>
      <c r="AJ2830" s="113">
        <f>'Data_in-situ'!ES319</f>
        <v>7.5</v>
      </c>
      <c r="AK2830" s="110">
        <f>'Data_in-situ'!ET319</f>
        <v>12</v>
      </c>
    </row>
    <row r="2831" spans="20:37" x14ac:dyDescent="0.3">
      <c r="T2831" s="113">
        <f>'Data_in-situ'!DN389</f>
        <v>68</v>
      </c>
      <c r="U2831" s="113">
        <f>'Data_in-situ'!DO389</f>
        <v>56.982751846655269</v>
      </c>
      <c r="V2831" s="46">
        <f>'Data_in-situ'!DP389</f>
        <v>4</v>
      </c>
      <c r="W2831" s="113">
        <f>'Data_in-situ'!DR389</f>
        <v>15.999999999999998</v>
      </c>
      <c r="X2831" s="113">
        <f>'Data_in-situ'!DS389</f>
        <v>88.274002438097213</v>
      </c>
      <c r="Y2831" s="46">
        <f>'Data_in-situ'!DT389</f>
        <v>4</v>
      </c>
      <c r="AF2831" s="113">
        <f>'Data_in-situ'!EN320</f>
        <v>-7.1</v>
      </c>
      <c r="AG2831" s="113">
        <f>'Data_in-situ'!EO320</f>
        <v>4.7</v>
      </c>
      <c r="AH2831" s="110">
        <f>'Data_in-situ'!EP320</f>
        <v>17</v>
      </c>
      <c r="AI2831" s="113">
        <f>'Data_in-situ'!ER320</f>
        <v>-11.8</v>
      </c>
      <c r="AJ2831" s="113">
        <f>'Data_in-situ'!ES320</f>
        <v>6.6</v>
      </c>
      <c r="AK2831" s="110">
        <f>'Data_in-situ'!ET320</f>
        <v>18</v>
      </c>
    </row>
    <row r="2832" spans="20:37" x14ac:dyDescent="0.3">
      <c r="T2832" s="113">
        <f>'Data_in-situ'!DN390</f>
        <v>67.999999999999986</v>
      </c>
      <c r="U2832" s="113">
        <f>'Data_in-situ'!DO390</f>
        <v>56.982751846655255</v>
      </c>
      <c r="V2832" s="46">
        <f>'Data_in-situ'!DP390</f>
        <v>4</v>
      </c>
      <c r="W2832" s="113">
        <f>'Data_in-situ'!DR390</f>
        <v>40</v>
      </c>
      <c r="X2832" s="113">
        <f>'Data_in-situ'!DS390</f>
        <v>220.68500609524307</v>
      </c>
      <c r="Y2832" s="46">
        <f>'Data_in-situ'!DT390</f>
        <v>4</v>
      </c>
      <c r="AF2832" s="113">
        <f>'Data_in-situ'!EN321</f>
        <v>-16.600000000000001</v>
      </c>
      <c r="AG2832" s="113">
        <f>'Data_in-situ'!EO321</f>
        <v>8.1999999999999993</v>
      </c>
      <c r="AH2832" s="110">
        <f>'Data_in-situ'!EP321</f>
        <v>15</v>
      </c>
      <c r="AI2832" s="113">
        <f>'Data_in-situ'!ER321</f>
        <v>-17.100000000000001</v>
      </c>
      <c r="AJ2832" s="113">
        <f>'Data_in-situ'!ES321</f>
        <v>11.3</v>
      </c>
      <c r="AK2832" s="110">
        <f>'Data_in-situ'!ET321</f>
        <v>15</v>
      </c>
    </row>
    <row r="2833" spans="20:37" x14ac:dyDescent="0.3">
      <c r="T2833" s="113">
        <f>'Data_in-situ'!DN391</f>
        <v>441.33333333333337</v>
      </c>
      <c r="U2833" s="113">
        <f>'Data_in-situ'!DO391</f>
        <v>369.82923257339007</v>
      </c>
      <c r="V2833" s="46">
        <f>'Data_in-situ'!DP391</f>
        <v>4</v>
      </c>
      <c r="W2833" s="113">
        <f>'Data_in-situ'!DR391</f>
        <v>0</v>
      </c>
      <c r="X2833" s="113">
        <f>'Data_in-situ'!DS391</f>
        <v>0</v>
      </c>
      <c r="Y2833" s="46">
        <f>'Data_in-situ'!DT391</f>
        <v>4</v>
      </c>
      <c r="AF2833" s="113">
        <f>'Data_in-situ'!EN322</f>
        <v>-12.6</v>
      </c>
      <c r="AG2833" s="113">
        <f>'Data_in-situ'!EO322</f>
        <v>7.6</v>
      </c>
      <c r="AH2833" s="110">
        <f>'Data_in-situ'!EP322</f>
        <v>18</v>
      </c>
      <c r="AI2833" s="113">
        <f>'Data_in-situ'!ER322</f>
        <v>-18</v>
      </c>
      <c r="AJ2833" s="113">
        <f>'Data_in-situ'!ES322</f>
        <v>8.5</v>
      </c>
      <c r="AK2833" s="110">
        <f>'Data_in-situ'!ET322</f>
        <v>18</v>
      </c>
    </row>
    <row r="2834" spans="20:37" x14ac:dyDescent="0.3">
      <c r="T2834" s="113">
        <f>'Data_in-situ'!DN394</f>
        <v>3.0991760299625515</v>
      </c>
      <c r="U2834" s="113">
        <f>'Data_in-situ'!DO394</f>
        <v>0.97725273241836819</v>
      </c>
      <c r="V2834" s="46">
        <f>'Data_in-situ'!DP394</f>
        <v>4</v>
      </c>
      <c r="W2834" s="113">
        <f>'Data_in-situ'!DR394</f>
        <v>1.5322846441947573</v>
      </c>
      <c r="X2834" s="113">
        <f>'Data_in-situ'!DS394</f>
        <v>0.41650576982959864</v>
      </c>
      <c r="Y2834" s="46">
        <f>'Data_in-situ'!DT394</f>
        <v>4</v>
      </c>
      <c r="AF2834" s="113">
        <f>'Data_in-situ'!EN323</f>
        <v>-26.2</v>
      </c>
      <c r="AG2834" s="113">
        <f>'Data_in-situ'!EO323</f>
        <v>12.1</v>
      </c>
      <c r="AH2834" s="110">
        <f>'Data_in-situ'!EP323</f>
        <v>29</v>
      </c>
      <c r="AI2834" s="113">
        <f>'Data_in-situ'!ER323</f>
        <v>-30</v>
      </c>
      <c r="AJ2834" s="113">
        <f>'Data_in-situ'!ES323</f>
        <v>11.2</v>
      </c>
      <c r="AK2834" s="110">
        <f>'Data_in-situ'!ET323</f>
        <v>33</v>
      </c>
    </row>
    <row r="2835" spans="20:37" x14ac:dyDescent="0.3">
      <c r="T2835" s="113">
        <f>'Data_in-situ'!DN395</f>
        <v>3.0991760299625515</v>
      </c>
      <c r="U2835" s="113">
        <f>'Data_in-situ'!DO395</f>
        <v>0.97725273241836819</v>
      </c>
      <c r="V2835" s="46">
        <f>'Data_in-situ'!DP395</f>
        <v>4</v>
      </c>
      <c r="W2835" s="113">
        <f>'Data_in-situ'!DR395</f>
        <v>0.58179775280898871</v>
      </c>
      <c r="X2835" s="113">
        <f>'Data_in-situ'!DS395</f>
        <v>0.21030694588731111</v>
      </c>
      <c r="Y2835" s="46">
        <f>'Data_in-situ'!DT395</f>
        <v>4</v>
      </c>
      <c r="AF2835" s="113">
        <f>'Data_in-situ'!EN324</f>
        <v>-17.100000000000001</v>
      </c>
      <c r="AG2835" s="113">
        <f>'Data_in-situ'!EO324</f>
        <v>5.2</v>
      </c>
      <c r="AH2835" s="110">
        <f>'Data_in-situ'!EP324</f>
        <v>18</v>
      </c>
      <c r="AI2835" s="113">
        <f>'Data_in-situ'!ER324</f>
        <v>-28.9</v>
      </c>
      <c r="AJ2835" s="113">
        <f>'Data_in-situ'!ES324</f>
        <v>7.5</v>
      </c>
      <c r="AK2835" s="110">
        <f>'Data_in-situ'!ET324</f>
        <v>18</v>
      </c>
    </row>
    <row r="2836" spans="20:37" x14ac:dyDescent="0.3">
      <c r="T2836" s="113">
        <f>'Data_in-situ'!DN397</f>
        <v>94.039460020768402</v>
      </c>
      <c r="U2836" s="113">
        <f>'Data_in-situ'!DO397</f>
        <v>104.84264634093746</v>
      </c>
      <c r="V2836" s="46">
        <f>'Data_in-situ'!DP397</f>
        <v>1</v>
      </c>
      <c r="W2836" s="113">
        <f>'Data_in-situ'!DR397</f>
        <v>47.85046728971961</v>
      </c>
      <c r="X2836" s="113">
        <f>'Data_in-situ'!DS397</f>
        <v>178.82754606084828</v>
      </c>
      <c r="Y2836" s="46">
        <f>'Data_in-situ'!DT397</f>
        <v>1</v>
      </c>
      <c r="AF2836" s="113">
        <f>'Data_in-situ'!EN325</f>
        <v>-38.9</v>
      </c>
      <c r="AG2836" s="113">
        <f>'Data_in-situ'!EO325</f>
        <v>9.4</v>
      </c>
      <c r="AH2836" s="110">
        <f>'Data_in-situ'!EP325</f>
        <v>12</v>
      </c>
      <c r="AI2836" s="113">
        <f>'Data_in-situ'!ER325</f>
        <v>-44.7</v>
      </c>
      <c r="AJ2836" s="113">
        <f>'Data_in-situ'!ES325</f>
        <v>8.9</v>
      </c>
      <c r="AK2836" s="110">
        <f>'Data_in-situ'!ET325</f>
        <v>12</v>
      </c>
    </row>
    <row r="2837" spans="20:37" x14ac:dyDescent="0.3">
      <c r="T2837" s="113">
        <f>'Data_in-situ'!DN398</f>
        <v>84.070612668743479</v>
      </c>
      <c r="U2837" s="113">
        <f>'Data_in-situ'!DO398</f>
        <v>93.728584891368115</v>
      </c>
      <c r="V2837" s="46">
        <f>'Data_in-situ'!DP398</f>
        <v>1</v>
      </c>
      <c r="W2837" s="113">
        <f>'Data_in-situ'!DR398</f>
        <v>46.853582554517196</v>
      </c>
      <c r="X2837" s="113">
        <f>'Data_in-situ'!DS398</f>
        <v>175.10197218458089</v>
      </c>
      <c r="Y2837" s="46">
        <f>'Data_in-situ'!DT398</f>
        <v>1</v>
      </c>
      <c r="AF2837" s="113">
        <f>'Data_in-situ'!EN326</f>
        <v>-2.5</v>
      </c>
      <c r="AG2837" s="113">
        <f>'Data_in-situ'!EO326</f>
        <v>2.2999999999999998</v>
      </c>
      <c r="AH2837" s="110">
        <f>'Data_in-situ'!EP326</f>
        <v>18</v>
      </c>
      <c r="AI2837" s="113">
        <f>'Data_in-situ'!ER326</f>
        <v>-30.1</v>
      </c>
      <c r="AJ2837" s="113">
        <f>'Data_in-situ'!ES326</f>
        <v>13.9</v>
      </c>
      <c r="AK2837" s="110">
        <f>'Data_in-situ'!ET326</f>
        <v>18</v>
      </c>
    </row>
    <row r="2838" spans="20:37" x14ac:dyDescent="0.3">
      <c r="T2838" s="113">
        <f>'Data_in-situ'!DN399</f>
        <v>100.35306334371759</v>
      </c>
      <c r="U2838" s="113">
        <f>'Data_in-situ'!DO399</f>
        <v>111.88155192566481</v>
      </c>
      <c r="V2838" s="46">
        <f>'Data_in-situ'!DP399</f>
        <v>1</v>
      </c>
      <c r="W2838" s="113">
        <f>'Data_in-situ'!DR399</f>
        <v>50.176531671858797</v>
      </c>
      <c r="X2838" s="113">
        <f>'Data_in-situ'!DS399</f>
        <v>187.52055177213964</v>
      </c>
      <c r="Y2838" s="46">
        <f>'Data_in-situ'!DT399</f>
        <v>1</v>
      </c>
      <c r="AF2838" s="113">
        <f>'Data_in-situ'!EN327</f>
        <v>-5.9</v>
      </c>
      <c r="AG2838" s="113">
        <f>'Data_in-situ'!EO327</f>
        <v>4.8</v>
      </c>
      <c r="AH2838" s="110">
        <f>'Data_in-situ'!EP327</f>
        <v>12</v>
      </c>
      <c r="AI2838" s="113">
        <f>'Data_in-situ'!ER327</f>
        <v>-39.700000000000003</v>
      </c>
      <c r="AJ2838" s="113">
        <f>'Data_in-situ'!ES327</f>
        <v>17.8</v>
      </c>
      <c r="AK2838" s="110">
        <f>'Data_in-situ'!ET327</f>
        <v>15</v>
      </c>
    </row>
    <row r="2839" spans="20:37" x14ac:dyDescent="0.3">
      <c r="T2839" s="113">
        <f>'Data_in-situ'!DN414</f>
        <v>434.70588235294116</v>
      </c>
      <c r="U2839" s="113">
        <f>'Data_in-situ'!DO414</f>
        <v>437.34858971687066</v>
      </c>
      <c r="V2839" s="46">
        <f>'Data_in-situ'!DP414</f>
        <v>5</v>
      </c>
      <c r="W2839" s="113">
        <f>'Data_in-situ'!DR414</f>
        <v>15.294117647058824</v>
      </c>
      <c r="X2839" s="113">
        <f>'Data_in-situ'!DS414</f>
        <v>15.126342200733873</v>
      </c>
      <c r="Y2839" s="46">
        <f>'Data_in-situ'!DT414</f>
        <v>5</v>
      </c>
      <c r="AF2839" s="113">
        <f>'Data_in-situ'!EN328</f>
        <v>-8.3000000000000007</v>
      </c>
      <c r="AG2839" s="113">
        <f>'Data_in-situ'!EO328</f>
        <v>7.5</v>
      </c>
      <c r="AH2839" s="110">
        <f>'Data_in-situ'!EP328</f>
        <v>18</v>
      </c>
      <c r="AI2839" s="113">
        <f>'Data_in-situ'!ER328</f>
        <v>-32</v>
      </c>
      <c r="AJ2839" s="113">
        <f>'Data_in-situ'!ES328</f>
        <v>17.2</v>
      </c>
      <c r="AK2839" s="110">
        <f>'Data_in-situ'!ET328</f>
        <v>18</v>
      </c>
    </row>
    <row r="2840" spans="20:37" x14ac:dyDescent="0.3">
      <c r="T2840" s="113">
        <f>'Data_in-situ'!DN416</f>
        <v>102.39147844674257</v>
      </c>
      <c r="U2840" s="113">
        <f>'Data_in-situ'!DO416</f>
        <v>25.149528090905832</v>
      </c>
      <c r="V2840" s="46">
        <f>'Data_in-situ'!DP416</f>
        <v>5</v>
      </c>
      <c r="W2840" s="113">
        <f>'Data_in-situ'!DR416</f>
        <v>6.6536659384301489</v>
      </c>
      <c r="X2840" s="113">
        <f>'Data_in-situ'!DS416</f>
        <v>9.0885183749652523</v>
      </c>
      <c r="Y2840" s="46">
        <f>'Data_in-situ'!DT416</f>
        <v>5</v>
      </c>
      <c r="AF2840" s="113">
        <f>'Data_in-situ'!EN329</f>
        <v>-32.799999999999997</v>
      </c>
      <c r="AG2840" s="113">
        <f>'Data_in-situ'!EO329</f>
        <v>14.8</v>
      </c>
      <c r="AH2840" s="110">
        <f>'Data_in-situ'!EP329</f>
        <v>15</v>
      </c>
      <c r="AI2840" s="113">
        <f>'Data_in-situ'!ER329</f>
        <v>-48.3</v>
      </c>
      <c r="AJ2840" s="113">
        <f>'Data_in-situ'!ES329</f>
        <v>15.3</v>
      </c>
      <c r="AK2840" s="110">
        <f>'Data_in-situ'!ET329</f>
        <v>15</v>
      </c>
    </row>
    <row r="2841" spans="20:37" x14ac:dyDescent="0.3">
      <c r="T2841" s="113">
        <f>'Data_in-situ'!DN417</f>
        <v>970.38416592642932</v>
      </c>
      <c r="U2841" s="113">
        <f>'Data_in-situ'!DO417</f>
        <v>1081.8612091201044</v>
      </c>
      <c r="V2841" s="46">
        <f>'Data_in-situ'!DP417</f>
        <v>5</v>
      </c>
      <c r="W2841" s="113">
        <f>'Data_in-situ'!DR417</f>
        <v>2.3483526841518167</v>
      </c>
      <c r="X2841" s="113">
        <f>'Data_in-situ'!DS417</f>
        <v>4.0730546894946382</v>
      </c>
      <c r="Y2841" s="46">
        <f>'Data_in-situ'!DT417</f>
        <v>6</v>
      </c>
      <c r="AF2841" s="113">
        <f>'Data_in-situ'!EN330</f>
        <v>-27.5</v>
      </c>
      <c r="AG2841" s="113">
        <f>'Data_in-situ'!EO330</f>
        <v>13.7</v>
      </c>
      <c r="AH2841" s="110">
        <f>'Data_in-situ'!EP330</f>
        <v>10</v>
      </c>
      <c r="AI2841" s="113">
        <f>'Data_in-situ'!ER330</f>
        <v>-43.3</v>
      </c>
      <c r="AJ2841" s="113">
        <f>'Data_in-situ'!ES330</f>
        <v>10.7</v>
      </c>
      <c r="AK2841" s="110">
        <f>'Data_in-situ'!ET330</f>
        <v>15</v>
      </c>
    </row>
    <row r="2842" spans="20:37" x14ac:dyDescent="0.3">
      <c r="T2842" s="113">
        <f>'Data_in-situ'!DN420</f>
        <v>132.85</v>
      </c>
      <c r="U2842" s="113">
        <f>'Data_in-situ'!DO420</f>
        <v>167.40306896828386</v>
      </c>
      <c r="V2842" s="46">
        <f>'Data_in-situ'!DP420</f>
        <v>3</v>
      </c>
      <c r="W2842" s="113">
        <f>'Data_in-situ'!DR420</f>
        <v>10.199999999999999</v>
      </c>
      <c r="X2842" s="113">
        <f>'Data_in-situ'!DS420</f>
        <v>15.571341196784134</v>
      </c>
      <c r="Y2842" s="46">
        <f>'Data_in-situ'!DT420</f>
        <v>3</v>
      </c>
      <c r="AF2842" s="113">
        <f>'Data_in-situ'!EN331</f>
        <v>-1.7536945812807845</v>
      </c>
      <c r="AG2842" s="113">
        <f>'Data_in-situ'!EO331</f>
        <v>0.69808857905462174</v>
      </c>
      <c r="AH2842" s="110">
        <f>'Data_in-situ'!EP331</f>
        <v>3</v>
      </c>
      <c r="AI2842" s="113">
        <f>'Data_in-situ'!ER331</f>
        <v>-7.7635467980295543</v>
      </c>
      <c r="AJ2842" s="113">
        <f>'Data_in-situ'!ES331</f>
        <v>0.98832726576778518</v>
      </c>
      <c r="AK2842" s="110">
        <f>'Data_in-situ'!ET331</f>
        <v>3</v>
      </c>
    </row>
    <row r="2843" spans="20:37" x14ac:dyDescent="0.3">
      <c r="T2843" s="113">
        <f>'Data_in-situ'!DN421</f>
        <v>136.1</v>
      </c>
      <c r="U2843" s="113">
        <f>'Data_in-situ'!DO421</f>
        <v>88.336949611511187</v>
      </c>
      <c r="V2843" s="46">
        <f>'Data_in-situ'!DP421</f>
        <v>3</v>
      </c>
      <c r="W2843" s="113">
        <f>'Data_in-situ'!DR421</f>
        <v>18.149999999999999</v>
      </c>
      <c r="X2843" s="113">
        <f>'Data_in-situ'!DS421</f>
        <v>9.7939181808576166</v>
      </c>
      <c r="Y2843" s="46">
        <f>'Data_in-situ'!DT421</f>
        <v>3</v>
      </c>
      <c r="AF2843" s="113">
        <f>'Data_in-situ'!EN332</f>
        <v>-1.7536945812807845</v>
      </c>
      <c r="AG2843" s="113">
        <f>'Data_in-situ'!EO332</f>
        <v>0.69808857905462174</v>
      </c>
      <c r="AH2843" s="110">
        <f>'Data_in-situ'!EP332</f>
        <v>3</v>
      </c>
      <c r="AI2843" s="113">
        <f>'Data_in-situ'!ER332</f>
        <v>-13.556650246305416</v>
      </c>
      <c r="AJ2843" s="113">
        <f>'Data_in-situ'!ES332</f>
        <v>1.7667087815907134</v>
      </c>
      <c r="AK2843" s="110">
        <f>'Data_in-situ'!ET332</f>
        <v>3</v>
      </c>
    </row>
    <row r="2844" spans="20:37" x14ac:dyDescent="0.3">
      <c r="T2844" s="113">
        <f>'Data_in-situ'!DN422</f>
        <v>136.1</v>
      </c>
      <c r="U2844" s="113">
        <f>'Data_in-situ'!DO422</f>
        <v>88.336949611511187</v>
      </c>
      <c r="V2844" s="46">
        <f>'Data_in-situ'!DP422</f>
        <v>3</v>
      </c>
      <c r="W2844" s="113">
        <f>'Data_in-situ'!DR422</f>
        <v>9.9</v>
      </c>
      <c r="X2844" s="113">
        <f>'Data_in-situ'!DS422</f>
        <v>15.571341196784134</v>
      </c>
      <c r="Y2844" s="46">
        <f>'Data_in-situ'!DT422</f>
        <v>3</v>
      </c>
      <c r="AF2844" s="113">
        <f>'Data_in-situ'!EN333</f>
        <v>-1</v>
      </c>
      <c r="AG2844" s="113">
        <f>'Data_in-situ'!EO333</f>
        <v>0.40749639875129334</v>
      </c>
      <c r="AH2844" s="110">
        <f>'Data_in-situ'!EP333</f>
        <v>3</v>
      </c>
      <c r="AI2844" s="113">
        <f>'Data_in-situ'!ER333</f>
        <v>-20</v>
      </c>
      <c r="AJ2844" s="113">
        <f>'Data_in-situ'!ES333</f>
        <v>4.5362810701838834</v>
      </c>
      <c r="AK2844" s="110">
        <f>'Data_in-situ'!ET333</f>
        <v>3</v>
      </c>
    </row>
    <row r="2845" spans="20:37" x14ac:dyDescent="0.3">
      <c r="T2845" s="113">
        <f>'Data_in-situ'!DN423</f>
        <v>136.1</v>
      </c>
      <c r="U2845" s="113">
        <f>'Data_in-situ'!DO423</f>
        <v>88.336949611511187</v>
      </c>
      <c r="V2845" s="46">
        <f>'Data_in-situ'!DP423</f>
        <v>3</v>
      </c>
      <c r="W2845" s="113">
        <f>'Data_in-situ'!DR423</f>
        <v>1</v>
      </c>
      <c r="X2845" s="113">
        <f>'Data_in-situ'!DS423</f>
        <v>5.0560195147302718</v>
      </c>
      <c r="Y2845" s="46">
        <f>'Data_in-situ'!DT423</f>
        <v>3</v>
      </c>
      <c r="AF2845" s="113">
        <f>'Data_in-situ'!EN334</f>
        <v>-1</v>
      </c>
      <c r="AG2845" s="113">
        <f>'Data_in-situ'!EO334</f>
        <v>0.40749639875129334</v>
      </c>
      <c r="AH2845" s="110">
        <f>'Data_in-situ'!EP334</f>
        <v>3</v>
      </c>
      <c r="AI2845" s="113">
        <f>'Data_in-situ'!ER334</f>
        <v>-20</v>
      </c>
      <c r="AJ2845" s="113">
        <f>'Data_in-situ'!ES334</f>
        <v>4.5362810701838834</v>
      </c>
      <c r="AK2845" s="110">
        <f>'Data_in-situ'!ET334</f>
        <v>3</v>
      </c>
    </row>
    <row r="2846" spans="20:37" x14ac:dyDescent="0.3">
      <c r="T2846" s="113">
        <f>'Data_in-situ'!DN424</f>
        <v>107.675</v>
      </c>
      <c r="U2846" s="113">
        <f>'Data_in-situ'!DO424</f>
        <v>94.631879978859843</v>
      </c>
      <c r="V2846" s="46">
        <f>'Data_in-situ'!DP424</f>
        <v>3</v>
      </c>
      <c r="W2846" s="113">
        <f>'Data_in-situ'!DR424</f>
        <v>39.175000000000004</v>
      </c>
      <c r="X2846" s="113">
        <f>'Data_in-situ'!DS424</f>
        <v>27.610222291752745</v>
      </c>
      <c r="Y2846" s="46">
        <f>'Data_in-situ'!DT424</f>
        <v>3</v>
      </c>
      <c r="AF2846" s="113">
        <f>'Data_in-situ'!EN335</f>
        <v>-1</v>
      </c>
      <c r="AG2846" s="113">
        <f>'Data_in-situ'!EO335</f>
        <v>0.40749639875129334</v>
      </c>
      <c r="AH2846" s="110">
        <f>'Data_in-situ'!EP335</f>
        <v>3</v>
      </c>
      <c r="AI2846" s="113">
        <f>'Data_in-situ'!ER335</f>
        <v>-20</v>
      </c>
      <c r="AJ2846" s="113">
        <f>'Data_in-situ'!ES335</f>
        <v>4.5362810701838834</v>
      </c>
      <c r="AK2846" s="110">
        <f>'Data_in-situ'!ET335</f>
        <v>3</v>
      </c>
    </row>
    <row r="2847" spans="20:37" x14ac:dyDescent="0.3">
      <c r="T2847" s="113">
        <f>'Data_in-situ'!DN426</f>
        <v>34.4</v>
      </c>
      <c r="U2847" s="113">
        <f>'Data_in-situ'!DO426</f>
        <v>38.351847547101421</v>
      </c>
      <c r="V2847" s="46">
        <f>'Data_in-situ'!DP426</f>
        <v>4</v>
      </c>
      <c r="W2847" s="113">
        <f>'Data_in-situ'!DR426</f>
        <v>-3.0666666666666664</v>
      </c>
      <c r="X2847" s="113">
        <f>'Data_in-situ'!DS426</f>
        <v>11.46079663686843</v>
      </c>
      <c r="Y2847" s="46">
        <f>'Data_in-situ'!DT426</f>
        <v>4</v>
      </c>
      <c r="AF2847" s="113">
        <f>'Data_in-situ'!EN336</f>
        <v>-1</v>
      </c>
      <c r="AG2847" s="113">
        <f>'Data_in-situ'!EO336</f>
        <v>0.40749639875129334</v>
      </c>
      <c r="AH2847" s="110">
        <f>'Data_in-situ'!EP336</f>
        <v>3</v>
      </c>
      <c r="AI2847" s="113">
        <f>'Data_in-situ'!ER336</f>
        <v>-20</v>
      </c>
      <c r="AJ2847" s="113">
        <f>'Data_in-situ'!ES336</f>
        <v>4.5362810701838834</v>
      </c>
      <c r="AK2847" s="110">
        <f>'Data_in-situ'!ET336</f>
        <v>3</v>
      </c>
    </row>
    <row r="2848" spans="20:37" x14ac:dyDescent="0.3">
      <c r="T2848" s="113">
        <f>'Data_in-situ'!DN427</f>
        <v>34.4</v>
      </c>
      <c r="U2848" s="113">
        <f>'Data_in-situ'!DO427</f>
        <v>38.351847547101421</v>
      </c>
      <c r="V2848" s="46">
        <f>'Data_in-situ'!DP427</f>
        <v>4</v>
      </c>
      <c r="W2848" s="113">
        <f>'Data_in-situ'!DR427</f>
        <v>0.16</v>
      </c>
      <c r="X2848" s="113">
        <f>'Data_in-situ'!DS427</f>
        <v>0.5979546071409616</v>
      </c>
      <c r="Y2848" s="46">
        <f>'Data_in-situ'!DT427</f>
        <v>4</v>
      </c>
      <c r="AF2848" s="113">
        <f>'Data_in-situ'!EN337</f>
        <v>-1</v>
      </c>
      <c r="AG2848" s="113">
        <f>'Data_in-situ'!EO337</f>
        <v>0.40749639875129334</v>
      </c>
      <c r="AH2848" s="110">
        <f>'Data_in-situ'!EP337</f>
        <v>3</v>
      </c>
      <c r="AI2848" s="113">
        <f>'Data_in-situ'!ER337</f>
        <v>-20</v>
      </c>
      <c r="AJ2848" s="113">
        <f>'Data_in-situ'!ES337</f>
        <v>4.5362810701838834</v>
      </c>
      <c r="AK2848" s="110">
        <f>'Data_in-situ'!ET337</f>
        <v>3</v>
      </c>
    </row>
    <row r="2849" spans="20:37" x14ac:dyDescent="0.3">
      <c r="T2849" s="113">
        <f>'Data_in-situ'!DN428</f>
        <v>84.266666666666666</v>
      </c>
      <c r="U2849" s="113">
        <f>'Data_in-situ'!DO428</f>
        <v>93.947161433209686</v>
      </c>
      <c r="V2849" s="46">
        <f>'Data_in-situ'!DP428</f>
        <v>4</v>
      </c>
      <c r="W2849" s="113">
        <f>'Data_in-situ'!DR428</f>
        <v>-1.4666666666666668</v>
      </c>
      <c r="X2849" s="113">
        <f>'Data_in-situ'!DS428</f>
        <v>5.4812505654588151</v>
      </c>
      <c r="Y2849" s="46">
        <f>'Data_in-situ'!DT428</f>
        <v>4</v>
      </c>
      <c r="AF2849" s="113">
        <f>'Data_in-situ'!EN338</f>
        <v>-1</v>
      </c>
      <c r="AG2849" s="113">
        <f>'Data_in-situ'!EO338</f>
        <v>0.40749639875129334</v>
      </c>
      <c r="AH2849" s="110">
        <f>'Data_in-situ'!EP338</f>
        <v>3</v>
      </c>
      <c r="AI2849" s="113">
        <f>'Data_in-situ'!ER338</f>
        <v>-20</v>
      </c>
      <c r="AJ2849" s="113">
        <f>'Data_in-situ'!ES338</f>
        <v>4.5362810701838834</v>
      </c>
      <c r="AK2849" s="110">
        <f>'Data_in-situ'!ET338</f>
        <v>3</v>
      </c>
    </row>
    <row r="2850" spans="20:37" x14ac:dyDescent="0.3">
      <c r="T2850" s="113">
        <f>'Data_in-situ'!DN429</f>
        <v>16</v>
      </c>
      <c r="U2850" s="113">
        <f>'Data_in-situ'!DO429</f>
        <v>17.838068626558801</v>
      </c>
      <c r="V2850" s="46">
        <f>'Data_in-situ'!DP429</f>
        <v>4</v>
      </c>
      <c r="W2850" s="113">
        <f>'Data_in-situ'!DR429</f>
        <v>-2.36</v>
      </c>
      <c r="X2850" s="113">
        <f>'Data_in-situ'!DS429</f>
        <v>8.8198304553291837</v>
      </c>
      <c r="Y2850" s="46">
        <f>'Data_in-situ'!DT429</f>
        <v>4</v>
      </c>
      <c r="AF2850" s="113">
        <f>'Data_in-situ'!EN339</f>
        <v>-18.728744939271266</v>
      </c>
      <c r="AG2850" s="113">
        <f>'Data_in-situ'!EO339</f>
        <v>0.97567994313706652</v>
      </c>
      <c r="AH2850" s="110">
        <f>'Data_in-situ'!EP339</f>
        <v>3</v>
      </c>
      <c r="AI2850" s="113">
        <f>'Data_in-situ'!ER339</f>
        <v>-28.769509981851183</v>
      </c>
      <c r="AJ2850" s="113">
        <f>'Data_in-situ'!ES339</f>
        <v>0.91964006572007306</v>
      </c>
      <c r="AK2850" s="110">
        <f>'Data_in-situ'!ET339</f>
        <v>3</v>
      </c>
    </row>
    <row r="2851" spans="20:37" x14ac:dyDescent="0.3">
      <c r="T2851" s="113">
        <f>'Data_in-situ'!DN430</f>
        <v>11.866666666666667</v>
      </c>
      <c r="U2851" s="113">
        <f>'Data_in-situ'!DO430</f>
        <v>13.229900898031111</v>
      </c>
      <c r="V2851" s="46">
        <f>'Data_in-situ'!DP430</f>
        <v>4</v>
      </c>
      <c r="W2851" s="113">
        <f>'Data_in-situ'!DR430</f>
        <v>-0.6</v>
      </c>
      <c r="X2851" s="113">
        <f>'Data_in-situ'!DS430</f>
        <v>2.2423297767786057</v>
      </c>
      <c r="Y2851" s="46">
        <f>'Data_in-situ'!DT430</f>
        <v>4</v>
      </c>
      <c r="AF2851" s="113">
        <f>'Data_in-situ'!EN340</f>
        <v>-15.910685805422641</v>
      </c>
      <c r="AG2851" s="113">
        <f>'Data_in-situ'!EO340</f>
        <v>1.0227837765091556</v>
      </c>
      <c r="AH2851" s="110">
        <f>'Data_in-situ'!EP340</f>
        <v>3</v>
      </c>
      <c r="AI2851" s="113">
        <f>'Data_in-situ'!ER340</f>
        <v>-23.453947368421044</v>
      </c>
      <c r="AJ2851" s="113">
        <f>'Data_in-situ'!ES340</f>
        <v>1.196189530474022</v>
      </c>
      <c r="AK2851" s="110">
        <f>'Data_in-situ'!ET340</f>
        <v>3</v>
      </c>
    </row>
    <row r="2852" spans="20:37" x14ac:dyDescent="0.3">
      <c r="T2852" s="113">
        <f>'Data_in-situ'!DN431</f>
        <v>21.066666666666666</v>
      </c>
      <c r="U2852" s="113">
        <f>'Data_in-situ'!DO431</f>
        <v>23.486790358302422</v>
      </c>
      <c r="V2852" s="46">
        <f>'Data_in-situ'!DP431</f>
        <v>4</v>
      </c>
      <c r="W2852" s="113">
        <f>'Data_in-situ'!DR431</f>
        <v>-2.48</v>
      </c>
      <c r="X2852" s="113">
        <f>'Data_in-situ'!DS431</f>
        <v>9.2682964106849042</v>
      </c>
      <c r="Y2852" s="46">
        <f>'Data_in-situ'!DT431</f>
        <v>4</v>
      </c>
      <c r="AF2852" s="113">
        <f>'Data_in-situ'!EN341</f>
        <v>-11.595789473684208</v>
      </c>
      <c r="AG2852" s="113">
        <f>'Data_in-situ'!EO341</f>
        <v>0.44954804430300416</v>
      </c>
      <c r="AH2852" s="110">
        <f>'Data_in-situ'!EP341</f>
        <v>3</v>
      </c>
      <c r="AI2852" s="113">
        <f>'Data_in-situ'!ER341</f>
        <v>-23.208711433756811</v>
      </c>
      <c r="AJ2852" s="113">
        <f>'Data_in-situ'!ES341</f>
        <v>0.78101283680717748</v>
      </c>
      <c r="AK2852" s="110">
        <f>'Data_in-situ'!ET341</f>
        <v>3</v>
      </c>
    </row>
    <row r="2853" spans="20:37" x14ac:dyDescent="0.3">
      <c r="T2853" s="113">
        <f>'Data_in-situ'!DN432</f>
        <v>75.653333333333322</v>
      </c>
      <c r="U2853" s="113">
        <f>'Data_in-situ'!DO432</f>
        <v>22.585942530698158</v>
      </c>
      <c r="V2853" s="46">
        <f>'Data_in-situ'!DP432</f>
        <v>3</v>
      </c>
      <c r="W2853" s="113">
        <f>'Data_in-situ'!DR432</f>
        <v>1.9466666666666665</v>
      </c>
      <c r="X2853" s="113">
        <f>'Data_in-situ'!DS432</f>
        <v>8.1752798117251011</v>
      </c>
      <c r="Y2853" s="46">
        <f>'Data_in-situ'!DT432</f>
        <v>3</v>
      </c>
      <c r="AF2853" s="113">
        <f>'Data_in-situ'!EN342</f>
        <v>-11.142300194931776</v>
      </c>
      <c r="AG2853" s="113">
        <f>'Data_in-situ'!EO342</f>
        <v>0.60135887201815885</v>
      </c>
      <c r="AH2853" s="110">
        <f>'Data_in-situ'!EP342</f>
        <v>3</v>
      </c>
      <c r="AI2853" s="113">
        <f>'Data_in-situ'!ER342</f>
        <v>-18.027290448343074</v>
      </c>
      <c r="AJ2853" s="113">
        <f>'Data_in-situ'!ES342</f>
        <v>0.60993017965284302</v>
      </c>
      <c r="AK2853" s="110">
        <f>'Data_in-situ'!ET342</f>
        <v>3</v>
      </c>
    </row>
    <row r="2854" spans="20:37" x14ac:dyDescent="0.3">
      <c r="T2854" s="113">
        <f>'Data_in-situ'!DN433</f>
        <v>36.813333333333333</v>
      </c>
      <c r="U2854" s="113">
        <f>'Data_in-situ'!DO433</f>
        <v>5.8889727457341818</v>
      </c>
      <c r="V2854" s="46">
        <f>'Data_in-situ'!DP433</f>
        <v>3</v>
      </c>
      <c r="W2854" s="113">
        <f>'Data_in-situ'!DR433</f>
        <v>0.97333333333333327</v>
      </c>
      <c r="X2854" s="113">
        <f>'Data_in-situ'!DS433</f>
        <v>1.1777945491468365</v>
      </c>
      <c r="Y2854" s="46">
        <f>'Data_in-situ'!DT433</f>
        <v>3</v>
      </c>
      <c r="AF2854" s="113">
        <f>'Data_in-situ'!EN343</f>
        <v>-7.5049786628733965</v>
      </c>
      <c r="AG2854" s="113">
        <f>'Data_in-situ'!EO343</f>
        <v>0.56147558903179429</v>
      </c>
      <c r="AH2854" s="110">
        <f>'Data_in-situ'!EP343</f>
        <v>3</v>
      </c>
      <c r="AI2854" s="113">
        <f>'Data_in-situ'!ER343</f>
        <v>-14.886247877758912</v>
      </c>
      <c r="AJ2854" s="113">
        <f>'Data_in-situ'!ES343</f>
        <v>0.59475310250266267</v>
      </c>
      <c r="AK2854" s="110">
        <f>'Data_in-situ'!ET343</f>
        <v>3</v>
      </c>
    </row>
    <row r="2855" spans="20:37" x14ac:dyDescent="0.3">
      <c r="T2855" s="113">
        <f>'Data_in-situ'!DN434</f>
        <v>198.66666666666666</v>
      </c>
      <c r="U2855" s="113">
        <f>'Data_in-situ'!DO434</f>
        <v>221.4893521131051</v>
      </c>
      <c r="V2855" s="46">
        <f>'Data_in-situ'!DP434</f>
        <v>3</v>
      </c>
      <c r="W2855" s="113">
        <f>'Data_in-situ'!DR434</f>
        <v>2.8000000000000003</v>
      </c>
      <c r="X2855" s="113">
        <f>'Data_in-situ'!DS434</f>
        <v>10.464205624966828</v>
      </c>
      <c r="Y2855" s="46">
        <f>'Data_in-situ'!DT434</f>
        <v>3</v>
      </c>
      <c r="AF2855" s="113">
        <f>'Data_in-situ'!EN344</f>
        <v>-5.9727095516569193</v>
      </c>
      <c r="AG2855" s="113">
        <f>'Data_in-situ'!EO344</f>
        <v>0.38993551592449915</v>
      </c>
      <c r="AH2855" s="110">
        <f>'Data_in-situ'!EP344</f>
        <v>3</v>
      </c>
      <c r="AI2855" s="113">
        <f>'Data_in-situ'!ER344</f>
        <v>-14.607809847198643</v>
      </c>
      <c r="AJ2855" s="113">
        <f>'Data_in-situ'!ES344</f>
        <v>0.44735902456710497</v>
      </c>
      <c r="AK2855" s="110">
        <f>'Data_in-situ'!ET344</f>
        <v>3</v>
      </c>
    </row>
    <row r="2856" spans="20:37" x14ac:dyDescent="0.3">
      <c r="T2856" s="113">
        <f>'Data_in-situ'!DN435</f>
        <v>345.33333333333331</v>
      </c>
      <c r="U2856" s="113">
        <f>'Data_in-situ'!DO435</f>
        <v>385.00498118989412</v>
      </c>
      <c r="V2856" s="46">
        <f>'Data_in-situ'!DP435</f>
        <v>3</v>
      </c>
      <c r="W2856" s="113">
        <f>'Data_in-situ'!DR435</f>
        <v>1.3333333333333333</v>
      </c>
      <c r="X2856" s="113">
        <f>'Data_in-situ'!DS435</f>
        <v>4.9829550595080132</v>
      </c>
      <c r="Y2856" s="46">
        <f>'Data_in-situ'!DT435</f>
        <v>3</v>
      </c>
      <c r="AF2856" s="113">
        <f>'Data_in-situ'!EN345</f>
        <v>9.6094276094276143</v>
      </c>
      <c r="AG2856" s="113">
        <f>'Data_in-situ'!EO345</f>
        <v>0.82472710313952347</v>
      </c>
      <c r="AH2856" s="110">
        <f>'Data_in-situ'!EP345</f>
        <v>3</v>
      </c>
      <c r="AI2856" s="113">
        <f>'Data_in-situ'!ER345</f>
        <v>0.24242424242424274</v>
      </c>
      <c r="AJ2856" s="113">
        <f>'Data_in-situ'!ES345</f>
        <v>0.32506616373647801</v>
      </c>
      <c r="AK2856" s="110">
        <f>'Data_in-situ'!ET345</f>
        <v>3</v>
      </c>
    </row>
    <row r="2857" spans="20:37" x14ac:dyDescent="0.3">
      <c r="T2857" s="113">
        <f>'Data_in-situ'!DN437</f>
        <v>199.12</v>
      </c>
      <c r="U2857" s="113">
        <f>'Data_in-situ'!DO437</f>
        <v>39.04</v>
      </c>
      <c r="V2857" s="46">
        <f>'Data_in-situ'!DP437</f>
        <v>3</v>
      </c>
      <c r="W2857" s="113">
        <f>'Data_in-situ'!DR437</f>
        <v>-1.37</v>
      </c>
      <c r="X2857" s="113">
        <f>'Data_in-situ'!DS437</f>
        <v>0.68</v>
      </c>
      <c r="Y2857" s="46">
        <f>'Data_in-situ'!DT437</f>
        <v>3</v>
      </c>
      <c r="AF2857" s="113">
        <f>'Data_in-situ'!EN346</f>
        <v>10.734402852049913</v>
      </c>
      <c r="AG2857" s="113">
        <f>'Data_in-situ'!EO346</f>
        <v>0.89907795198284091</v>
      </c>
      <c r="AH2857" s="110">
        <f>'Data_in-situ'!EP346</f>
        <v>3</v>
      </c>
      <c r="AI2857" s="113">
        <f>'Data_in-situ'!ER346</f>
        <v>1.4153297682709467</v>
      </c>
      <c r="AJ2857" s="113">
        <f>'Data_in-situ'!ES346</f>
        <v>0.51951553041500198</v>
      </c>
      <c r="AK2857" s="110">
        <f>'Data_in-situ'!ET346</f>
        <v>3</v>
      </c>
    </row>
    <row r="2858" spans="20:37" x14ac:dyDescent="0.3">
      <c r="T2858" s="113">
        <f>'Data_in-situ'!DN438</f>
        <v>199.12</v>
      </c>
      <c r="U2858" s="113">
        <f>'Data_in-situ'!DO438</f>
        <v>39.04</v>
      </c>
      <c r="V2858" s="46">
        <f>'Data_in-situ'!DP438</f>
        <v>3</v>
      </c>
      <c r="W2858" s="113">
        <f>'Data_in-situ'!DR438</f>
        <v>94.82</v>
      </c>
      <c r="X2858" s="113">
        <f>'Data_in-situ'!DS438</f>
        <v>9.86</v>
      </c>
      <c r="Y2858" s="46">
        <f>'Data_in-situ'!DT438</f>
        <v>3</v>
      </c>
      <c r="AF2858" s="113">
        <f>'Data_in-situ'!EN347</f>
        <v>21.878787878787879</v>
      </c>
      <c r="AG2858" s="113">
        <f>'Data_in-situ'!EO347</f>
        <v>1.1081772383933699</v>
      </c>
      <c r="AH2858" s="110">
        <f>'Data_in-situ'!EP347</f>
        <v>3</v>
      </c>
      <c r="AI2858" s="113">
        <f>'Data_in-situ'!ER347</f>
        <v>0.76837548416496004</v>
      </c>
      <c r="AJ2858" s="113">
        <f>'Data_in-situ'!ES347</f>
        <v>1.2709978400329951</v>
      </c>
      <c r="AK2858" s="110">
        <f>'Data_in-situ'!ET347</f>
        <v>3</v>
      </c>
    </row>
    <row r="2859" spans="20:37" x14ac:dyDescent="0.3">
      <c r="T2859" s="113">
        <f>'Data_in-situ'!DN441</f>
        <v>172</v>
      </c>
      <c r="U2859" s="113">
        <f>'Data_in-situ'!DO441</f>
        <v>22</v>
      </c>
      <c r="V2859" s="46">
        <f>'Data_in-situ'!DP441</f>
        <v>6</v>
      </c>
      <c r="W2859" s="113">
        <f>'Data_in-situ'!DR441</f>
        <v>1.5</v>
      </c>
      <c r="X2859" s="113">
        <f>'Data_in-situ'!DS441</f>
        <v>1.6</v>
      </c>
      <c r="Y2859" s="46">
        <f>'Data_in-situ'!DT441</f>
        <v>6</v>
      </c>
      <c r="AF2859" s="113">
        <f>'Data_in-situ'!EN348</f>
        <v>-17.5</v>
      </c>
      <c r="AG2859" s="113">
        <f>'Data_in-situ'!EO348</f>
        <v>4.9497474683058327</v>
      </c>
      <c r="AH2859" s="110">
        <f>'Data_in-situ'!EP348</f>
        <v>4</v>
      </c>
      <c r="AI2859" s="113">
        <f>'Data_in-situ'!ER348</f>
        <v>-34</v>
      </c>
      <c r="AJ2859" s="113">
        <f>'Data_in-situ'!ES348</f>
        <v>11.313708498984761</v>
      </c>
      <c r="AK2859" s="110">
        <f>'Data_in-situ'!ET348</f>
        <v>4</v>
      </c>
    </row>
    <row r="2860" spans="20:37" x14ac:dyDescent="0.3">
      <c r="T2860" s="113">
        <f>'Data_in-situ'!DN442</f>
        <v>172</v>
      </c>
      <c r="U2860" s="113">
        <f>'Data_in-situ'!DO442</f>
        <v>22</v>
      </c>
      <c r="V2860" s="46">
        <f>'Data_in-situ'!DP442</f>
        <v>6</v>
      </c>
      <c r="W2860" s="113">
        <f>'Data_in-situ'!DR442</f>
        <v>-1.4</v>
      </c>
      <c r="X2860" s="113">
        <f>'Data_in-situ'!DS442</f>
        <v>1.5</v>
      </c>
      <c r="Y2860" s="46">
        <f>'Data_in-situ'!DT442</f>
        <v>6</v>
      </c>
      <c r="AF2860" s="113">
        <f>'Data_in-situ'!EN349</f>
        <v>-10</v>
      </c>
      <c r="AG2860" s="113">
        <f>'Data_in-situ'!EO349</f>
        <v>5.6568542494923806</v>
      </c>
      <c r="AH2860" s="110">
        <f>'Data_in-situ'!EP349</f>
        <v>4</v>
      </c>
      <c r="AI2860" s="113">
        <f>'Data_in-situ'!ER349</f>
        <v>-16.5</v>
      </c>
      <c r="AJ2860" s="113">
        <f>'Data_in-situ'!ES349</f>
        <v>3.5355339059327378</v>
      </c>
      <c r="AK2860" s="110">
        <f>'Data_in-situ'!ET349</f>
        <v>4</v>
      </c>
    </row>
    <row r="2861" spans="20:37" x14ac:dyDescent="0.3">
      <c r="T2861" s="113">
        <f>'Data_in-situ'!DN443</f>
        <v>172</v>
      </c>
      <c r="U2861" s="113">
        <f>'Data_in-situ'!DO443</f>
        <v>22</v>
      </c>
      <c r="V2861" s="46">
        <f>'Data_in-situ'!DP443</f>
        <v>6</v>
      </c>
      <c r="W2861" s="113">
        <f>'Data_in-situ'!DR443</f>
        <v>-0.6</v>
      </c>
      <c r="X2861" s="113">
        <f>'Data_in-situ'!DS443</f>
        <v>0.65</v>
      </c>
      <c r="Y2861" s="46">
        <f>'Data_in-situ'!DT443</f>
        <v>4</v>
      </c>
      <c r="AF2861" s="113">
        <f>'Data_in-situ'!EN350</f>
        <v>10</v>
      </c>
      <c r="AG2861" s="113">
        <f>'Data_in-situ'!EO350</f>
        <v>14.142135623730951</v>
      </c>
      <c r="AH2861" s="110">
        <f>'Data_in-situ'!EP350</f>
        <v>4</v>
      </c>
      <c r="AI2861" s="113">
        <f>'Data_in-situ'!ER350</f>
        <v>-8</v>
      </c>
      <c r="AJ2861" s="113">
        <f>'Data_in-situ'!ES350</f>
        <v>2.8284271247461903</v>
      </c>
      <c r="AK2861" s="110">
        <f>'Data_in-situ'!ET350</f>
        <v>4</v>
      </c>
    </row>
    <row r="2862" spans="20:37" x14ac:dyDescent="0.3">
      <c r="T2862" s="113">
        <f>'Data_in-situ'!DN444</f>
        <v>1231.8452874333798</v>
      </c>
      <c r="U2862" s="113">
        <f>'Data_in-situ'!DO444</f>
        <v>2386.9642276450431</v>
      </c>
      <c r="V2862" s="46">
        <f>'Data_in-situ'!DP444</f>
        <v>46</v>
      </c>
      <c r="W2862" s="113">
        <f>'Data_in-situ'!DR444</f>
        <v>23.778911502590674</v>
      </c>
      <c r="X2862" s="113">
        <f>'Data_in-situ'!DS444</f>
        <v>31.04286769933886</v>
      </c>
      <c r="Y2862" s="46">
        <f>'Data_in-situ'!DT444</f>
        <v>53</v>
      </c>
      <c r="AF2862" s="113">
        <f>'Data_in-situ'!EN351</f>
        <v>-17.5</v>
      </c>
      <c r="AG2862" s="113">
        <f>'Data_in-situ'!EO351</f>
        <v>4.9497474683058327</v>
      </c>
      <c r="AH2862" s="110">
        <f>'Data_in-situ'!EP351</f>
        <v>4</v>
      </c>
      <c r="AI2862" s="113">
        <f>'Data_in-situ'!ER351</f>
        <v>-34</v>
      </c>
      <c r="AJ2862" s="113">
        <f>'Data_in-situ'!ES351</f>
        <v>11.313708498984761</v>
      </c>
      <c r="AK2862" s="110">
        <f>'Data_in-situ'!ET351</f>
        <v>4</v>
      </c>
    </row>
    <row r="2863" spans="20:37" x14ac:dyDescent="0.3">
      <c r="T2863" s="113">
        <f>'Data_in-situ'!DN445</f>
        <v>434.70588235294116</v>
      </c>
      <c r="U2863" s="113">
        <f>'Data_in-situ'!DO445</f>
        <v>437.34858971687066</v>
      </c>
      <c r="V2863" s="46">
        <f>'Data_in-situ'!DP445</f>
        <v>5</v>
      </c>
      <c r="W2863" s="113">
        <f>'Data_in-situ'!DR445</f>
        <v>78.82352941176471</v>
      </c>
      <c r="X2863" s="113">
        <f>'Data_in-situ'!DS445</f>
        <v>78.92004626469847</v>
      </c>
      <c r="Y2863" s="46">
        <f>'Data_in-situ'!DT445</f>
        <v>5</v>
      </c>
      <c r="AF2863" s="113">
        <f>'Data_in-situ'!EN352</f>
        <v>-10</v>
      </c>
      <c r="AG2863" s="113">
        <f>'Data_in-situ'!EO352</f>
        <v>5.6568542494923806</v>
      </c>
      <c r="AH2863" s="110">
        <f>'Data_in-situ'!EP352</f>
        <v>4</v>
      </c>
      <c r="AI2863" s="113">
        <f>'Data_in-situ'!ER352</f>
        <v>-16.5</v>
      </c>
      <c r="AJ2863" s="113">
        <f>'Data_in-situ'!ES352</f>
        <v>3.5355339059327378</v>
      </c>
      <c r="AK2863" s="110">
        <f>'Data_in-situ'!ET352</f>
        <v>4</v>
      </c>
    </row>
    <row r="2864" spans="20:37" x14ac:dyDescent="0.3">
      <c r="T2864" s="113">
        <f>'Data_in-situ'!DN446</f>
        <v>434.70588235294116</v>
      </c>
      <c r="U2864" s="113">
        <f>'Data_in-situ'!DO446</f>
        <v>437.34858971687066</v>
      </c>
      <c r="V2864" s="46">
        <f>'Data_in-situ'!DP446</f>
        <v>5</v>
      </c>
      <c r="W2864" s="113">
        <f>'Data_in-situ'!DR446</f>
        <v>225.58823529411765</v>
      </c>
      <c r="X2864" s="113">
        <f>'Data_in-situ'!DS446</f>
        <v>225.57979890659644</v>
      </c>
      <c r="Y2864" s="46">
        <f>'Data_in-situ'!DT446</f>
        <v>5</v>
      </c>
      <c r="AF2864" s="113">
        <f>'Data_in-situ'!EN353</f>
        <v>10</v>
      </c>
      <c r="AG2864" s="113">
        <f>'Data_in-situ'!EO353</f>
        <v>14.142135623730951</v>
      </c>
      <c r="AH2864" s="110">
        <f>'Data_in-situ'!EP353</f>
        <v>4</v>
      </c>
      <c r="AI2864" s="113">
        <f>'Data_in-situ'!ER353</f>
        <v>-8</v>
      </c>
      <c r="AJ2864" s="113">
        <f>'Data_in-situ'!ES353</f>
        <v>2.8284271247461903</v>
      </c>
      <c r="AK2864" s="110">
        <f>'Data_in-situ'!ET353</f>
        <v>4</v>
      </c>
    </row>
    <row r="2865" spans="20:37" x14ac:dyDescent="0.3">
      <c r="T2865" s="113">
        <f>'Data_in-situ'!DN454</f>
        <v>26.051392891450497</v>
      </c>
      <c r="U2865" s="113">
        <f>'Data_in-situ'!DO454</f>
        <v>12.515768654879148</v>
      </c>
      <c r="V2865" s="46">
        <f>'Data_in-situ'!DP454</f>
        <v>3</v>
      </c>
      <c r="W2865" s="113">
        <f>'Data_in-situ'!DR454</f>
        <v>-2.2790585975024058</v>
      </c>
      <c r="X2865" s="113">
        <f>'Data_in-situ'!DS454</f>
        <v>1.8593013863594432</v>
      </c>
      <c r="Y2865" s="46">
        <f>'Data_in-situ'!DT454</f>
        <v>3</v>
      </c>
      <c r="AF2865" s="113">
        <f>'Data_in-situ'!EN354</f>
        <v>-2.9</v>
      </c>
      <c r="AG2865" s="113">
        <f>'Data_in-situ'!EO354</f>
        <v>2.4</v>
      </c>
      <c r="AH2865" s="110">
        <f>'Data_in-situ'!EP354</f>
        <v>3</v>
      </c>
      <c r="AI2865" s="113">
        <f>'Data_in-situ'!ER354</f>
        <v>-24.2</v>
      </c>
      <c r="AJ2865" s="113">
        <f>'Data_in-situ'!ES354</f>
        <v>10.3</v>
      </c>
      <c r="AK2865" s="110">
        <f>'Data_in-situ'!ET354</f>
        <v>2</v>
      </c>
    </row>
    <row r="2866" spans="20:37" x14ac:dyDescent="0.3">
      <c r="T2866" s="113">
        <f>'Data_in-situ'!DN456</f>
        <v>118.26666666666667</v>
      </c>
      <c r="U2866" s="113">
        <f>'Data_in-situ'!DO456</f>
        <v>131.85305726464713</v>
      </c>
      <c r="V2866" s="46">
        <f>'Data_in-situ'!DP456</f>
        <v>1</v>
      </c>
      <c r="W2866" s="113">
        <f>'Data_in-situ'!DR456</f>
        <v>58</v>
      </c>
      <c r="X2866" s="113">
        <f>'Data_in-situ'!DS456</f>
        <v>216.75854508859857</v>
      </c>
      <c r="Y2866" s="46">
        <f>'Data_in-situ'!DT456</f>
        <v>1</v>
      </c>
      <c r="AF2866" s="113">
        <f>'Data_in-situ'!EN355</f>
        <v>-10.6</v>
      </c>
      <c r="AG2866" s="113">
        <f>'Data_in-situ'!EO355</f>
        <v>7.7</v>
      </c>
      <c r="AH2866" s="110">
        <f>'Data_in-situ'!EP355</f>
        <v>3</v>
      </c>
      <c r="AI2866" s="113">
        <f>'Data_in-situ'!ER355</f>
        <v>-13.2</v>
      </c>
      <c r="AJ2866" s="113">
        <f>'Data_in-situ'!ES355</f>
        <v>6.5</v>
      </c>
      <c r="AK2866" s="110">
        <f>'Data_in-situ'!ET355</f>
        <v>3</v>
      </c>
    </row>
    <row r="2867" spans="20:37" x14ac:dyDescent="0.3">
      <c r="T2867" s="113">
        <f>'Data_in-situ'!DN457</f>
        <v>115.06666666666666</v>
      </c>
      <c r="U2867" s="113">
        <f>'Data_in-situ'!DO457</f>
        <v>128.28544353933538</v>
      </c>
      <c r="V2867" s="46">
        <f>'Data_in-situ'!DP457</f>
        <v>1</v>
      </c>
      <c r="W2867" s="113">
        <f>'Data_in-situ'!DR457</f>
        <v>63.333333333333336</v>
      </c>
      <c r="X2867" s="113">
        <f>'Data_in-situ'!DS457</f>
        <v>236.69036532663063</v>
      </c>
      <c r="Y2867" s="46">
        <f>'Data_in-situ'!DT457</f>
        <v>1</v>
      </c>
      <c r="AF2867" s="113">
        <f>'Data_in-situ'!EN356</f>
        <v>-10.6</v>
      </c>
      <c r="AG2867" s="113">
        <f>'Data_in-situ'!EO356</f>
        <v>7.7</v>
      </c>
      <c r="AH2867" s="110">
        <f>'Data_in-situ'!EP356</f>
        <v>3</v>
      </c>
      <c r="AI2867" s="113">
        <f>'Data_in-situ'!ER356</f>
        <v>-53.1</v>
      </c>
      <c r="AJ2867" s="113">
        <f>'Data_in-situ'!ES356</f>
        <v>10.3</v>
      </c>
      <c r="AK2867" s="110">
        <f>'Data_in-situ'!ET356</f>
        <v>1</v>
      </c>
    </row>
    <row r="2868" spans="20:37" x14ac:dyDescent="0.3">
      <c r="T2868" s="113">
        <f>'Data_in-situ'!DN458</f>
        <v>105.2</v>
      </c>
      <c r="U2868" s="113">
        <f>'Data_in-situ'!DO458</f>
        <v>117.28530121962412</v>
      </c>
      <c r="V2868" s="46">
        <f>'Data_in-situ'!DP458</f>
        <v>1</v>
      </c>
      <c r="W2868" s="113">
        <f>'Data_in-situ'!DR458</f>
        <v>45.466666666666669</v>
      </c>
      <c r="X2868" s="113">
        <f>'Data_in-situ'!DS458</f>
        <v>169.91876752922326</v>
      </c>
      <c r="Y2868" s="46">
        <f>'Data_in-situ'!DT458</f>
        <v>1</v>
      </c>
      <c r="AF2868" s="113">
        <f>'Data_in-situ'!EN357</f>
        <v>-3.9</v>
      </c>
      <c r="AG2868" s="113">
        <f>'Data_in-situ'!EO357</f>
        <v>3.3</v>
      </c>
      <c r="AH2868" s="110">
        <f>'Data_in-situ'!EP357</f>
        <v>3</v>
      </c>
      <c r="AI2868" s="113">
        <f>'Data_in-situ'!ER357</f>
        <v>-25.6</v>
      </c>
      <c r="AJ2868" s="113">
        <f>'Data_in-situ'!ES357</f>
        <v>10.3</v>
      </c>
      <c r="AK2868" s="110">
        <f>'Data_in-situ'!ET357</f>
        <v>2</v>
      </c>
    </row>
    <row r="2869" spans="20:37" x14ac:dyDescent="0.3">
      <c r="T2869" s="113">
        <f>'Data_in-situ'!DN459</f>
        <v>118.26666666666667</v>
      </c>
      <c r="U2869" s="113">
        <f>'Data_in-situ'!DO459</f>
        <v>131.85305726464713</v>
      </c>
      <c r="V2869" s="46">
        <f>'Data_in-situ'!DP459</f>
        <v>1</v>
      </c>
      <c r="W2869" s="113">
        <f>'Data_in-situ'!DR459</f>
        <v>26.133333333333336</v>
      </c>
      <c r="X2869" s="113">
        <f>'Data_in-situ'!DS459</f>
        <v>97.665919166357071</v>
      </c>
      <c r="Y2869" s="46">
        <f>'Data_in-situ'!DT459</f>
        <v>1</v>
      </c>
      <c r="AF2869" s="113">
        <f>'Data_in-situ'!EN358</f>
        <v>-10.199999999999999</v>
      </c>
      <c r="AG2869" s="113">
        <f>'Data_in-situ'!EO358</f>
        <v>4.7</v>
      </c>
      <c r="AH2869" s="110">
        <f>'Data_in-situ'!EP358</f>
        <v>3</v>
      </c>
      <c r="AI2869" s="113">
        <f>'Data_in-situ'!ER358</f>
        <v>-16.899999999999999</v>
      </c>
      <c r="AJ2869" s="113">
        <f>'Data_in-situ'!ES358</f>
        <v>10.3</v>
      </c>
      <c r="AK2869" s="110">
        <f>'Data_in-situ'!ET358</f>
        <v>3</v>
      </c>
    </row>
    <row r="2870" spans="20:37" x14ac:dyDescent="0.3">
      <c r="T2870" s="113">
        <f>'Data_in-situ'!DN460</f>
        <v>115.06666666666666</v>
      </c>
      <c r="U2870" s="113">
        <f>'Data_in-situ'!DO460</f>
        <v>128.28544353933538</v>
      </c>
      <c r="V2870" s="46">
        <f>'Data_in-situ'!DP460</f>
        <v>1</v>
      </c>
      <c r="W2870" s="113">
        <f>'Data_in-situ'!DR460</f>
        <v>31.733333333333334</v>
      </c>
      <c r="X2870" s="113">
        <f>'Data_in-situ'!DS460</f>
        <v>118.59433041629072</v>
      </c>
      <c r="Y2870" s="46">
        <f>'Data_in-situ'!DT460</f>
        <v>1</v>
      </c>
      <c r="AF2870" s="113">
        <f>'Data_in-situ'!EN359</f>
        <v>-10.199999999999999</v>
      </c>
      <c r="AG2870" s="113">
        <f>'Data_in-situ'!EO359</f>
        <v>4.7</v>
      </c>
      <c r="AH2870" s="110">
        <f>'Data_in-situ'!EP359</f>
        <v>3</v>
      </c>
      <c r="AI2870" s="113">
        <f>'Data_in-situ'!ER359</f>
        <v>-57.1</v>
      </c>
      <c r="AJ2870" s="113">
        <f>'Data_in-situ'!ES359</f>
        <v>7.4</v>
      </c>
      <c r="AK2870" s="110">
        <f>'Data_in-situ'!ET359</f>
        <v>1</v>
      </c>
    </row>
    <row r="2871" spans="20:37" x14ac:dyDescent="0.3">
      <c r="T2871" s="113">
        <f>'Data_in-situ'!DN461</f>
        <v>105.2</v>
      </c>
      <c r="U2871" s="113">
        <f>'Data_in-situ'!DO461</f>
        <v>117.28530121962412</v>
      </c>
      <c r="V2871" s="46">
        <f>'Data_in-situ'!DP461</f>
        <v>1</v>
      </c>
      <c r="W2871" s="113">
        <f>'Data_in-situ'!DR461</f>
        <v>29.733333333333334</v>
      </c>
      <c r="X2871" s="113">
        <f>'Data_in-situ'!DS461</f>
        <v>111.11989782702869</v>
      </c>
      <c r="Y2871" s="46">
        <f>'Data_in-situ'!DT461</f>
        <v>1</v>
      </c>
      <c r="AF2871" s="113">
        <f>'Data_in-situ'!EN360</f>
        <v>0</v>
      </c>
      <c r="AG2871" s="113">
        <f>'Data_in-situ'!EO360</f>
        <v>0</v>
      </c>
      <c r="AH2871" s="110">
        <f>'Data_in-situ'!EP360</f>
        <v>8</v>
      </c>
      <c r="AI2871" s="113">
        <f>'Data_in-situ'!ER360</f>
        <v>-20</v>
      </c>
      <c r="AJ2871" s="113">
        <f>'Data_in-situ'!ES360</f>
        <v>4.5362810701838834</v>
      </c>
      <c r="AK2871" s="110">
        <f>'Data_in-situ'!ET360</f>
        <v>8</v>
      </c>
    </row>
    <row r="2872" spans="20:37" x14ac:dyDescent="0.3">
      <c r="AF2872" s="113">
        <f>'Data_in-situ'!EN361</f>
        <v>-22.8355929225071</v>
      </c>
      <c r="AG2872" s="113">
        <f>'Data_in-situ'!EO361</f>
        <v>9.3054218792721652</v>
      </c>
      <c r="AH2872" s="110">
        <f>'Data_in-situ'!EP361</f>
        <v>8</v>
      </c>
      <c r="AI2872" s="113">
        <f>'Data_in-situ'!ER361</f>
        <v>-45.187277814574003</v>
      </c>
      <c r="AJ2872" s="113">
        <f>'Data_in-situ'!ES361</f>
        <v>10.249109648169611</v>
      </c>
      <c r="AK2872" s="110">
        <f>'Data_in-situ'!ET361</f>
        <v>8</v>
      </c>
    </row>
    <row r="2873" spans="20:37" x14ac:dyDescent="0.3">
      <c r="AF2873" s="113">
        <f>'Data_in-situ'!EN362</f>
        <v>-45.647936632378602</v>
      </c>
      <c r="AG2873" s="113">
        <f>'Data_in-situ'!EO362</f>
        <v>18.60136978812152</v>
      </c>
      <c r="AH2873" s="110">
        <f>'Data_in-situ'!EP362</f>
        <v>8</v>
      </c>
      <c r="AI2873" s="113">
        <f>'Data_in-situ'!ER362</f>
        <v>-90.991470783038906</v>
      </c>
      <c r="AJ2873" s="113">
        <f>'Data_in-situ'!ES362</f>
        <v>20.638144323064466</v>
      </c>
      <c r="AK2873" s="110">
        <f>'Data_in-situ'!ET362</f>
        <v>8</v>
      </c>
    </row>
    <row r="2874" spans="20:37" x14ac:dyDescent="0.3">
      <c r="AF2874" s="113">
        <f>'Data_in-situ'!EN363</f>
        <v>-18.912423460077601</v>
      </c>
      <c r="AG2874" s="113">
        <f>'Data_in-situ'!EO363</f>
        <v>7.7067444516410974</v>
      </c>
      <c r="AH2874" s="110">
        <f>'Data_in-situ'!EP363</f>
        <v>8</v>
      </c>
      <c r="AI2874" s="113">
        <f>'Data_in-situ'!ER363</f>
        <v>-40.3060245198091</v>
      </c>
      <c r="AJ2874" s="113">
        <f>'Data_in-situ'!ES363</f>
        <v>9.1419728021788735</v>
      </c>
      <c r="AK2874" s="110">
        <f>'Data_in-situ'!ET363</f>
        <v>8</v>
      </c>
    </row>
    <row r="2875" spans="20:37" x14ac:dyDescent="0.3">
      <c r="AF2875" s="113">
        <f>'Data_in-situ'!EN372</f>
        <v>-40.51870340955886</v>
      </c>
      <c r="AG2875" s="113">
        <f>'Data_in-situ'!EO372</f>
        <v>20.370209301600063</v>
      </c>
      <c r="AH2875" s="110">
        <f>'Data_in-situ'!EP372</f>
        <v>6</v>
      </c>
      <c r="AI2875" s="113">
        <f>'Data_in-situ'!ER372</f>
        <v>-50.351292976661703</v>
      </c>
      <c r="AJ2875" s="113">
        <f>'Data_in-situ'!ES372</f>
        <v>17.957460020005087</v>
      </c>
      <c r="AK2875" s="110">
        <f>'Data_in-situ'!ET372</f>
        <v>6</v>
      </c>
    </row>
    <row r="2876" spans="20:37" x14ac:dyDescent="0.3">
      <c r="AF2876" s="113">
        <f>'Data_in-situ'!EN373</f>
        <v>-40.51870340955886</v>
      </c>
      <c r="AG2876" s="113">
        <f>'Data_in-situ'!EO373</f>
        <v>20.370209301600063</v>
      </c>
      <c r="AH2876" s="110">
        <f>'Data_in-situ'!EP373</f>
        <v>6</v>
      </c>
      <c r="AI2876" s="113">
        <f>'Data_in-situ'!ER373</f>
        <v>-50.44953735219223</v>
      </c>
      <c r="AJ2876" s="113">
        <f>'Data_in-situ'!ES373</f>
        <v>14.661286194047287</v>
      </c>
      <c r="AK2876" s="110">
        <f>'Data_in-situ'!ET373</f>
        <v>6</v>
      </c>
    </row>
    <row r="2877" spans="20:37" x14ac:dyDescent="0.3">
      <c r="AF2877" s="113">
        <f>'Data_in-situ'!EN374</f>
        <v>-18.43977174360656</v>
      </c>
      <c r="AG2877" s="113">
        <f>'Data_in-situ'!EO374</f>
        <v>7.4660723000216542</v>
      </c>
      <c r="AH2877" s="110">
        <f>'Data_in-situ'!EP374</f>
        <v>6</v>
      </c>
      <c r="AI2877" s="113">
        <f>'Data_in-situ'!ER374</f>
        <v>-32.926909210095033</v>
      </c>
      <c r="AJ2877" s="113">
        <f>'Data_in-situ'!ES374</f>
        <v>5.9181798677139321</v>
      </c>
      <c r="AK2877" s="110">
        <f>'Data_in-situ'!ET374</f>
        <v>6</v>
      </c>
    </row>
    <row r="2878" spans="20:37" x14ac:dyDescent="0.3">
      <c r="AF2878" s="113">
        <f>'Data_in-situ'!EN375</f>
        <v>-18.43977174360656</v>
      </c>
      <c r="AG2878" s="113">
        <f>'Data_in-situ'!EO375</f>
        <v>7.4660723000216542</v>
      </c>
      <c r="AH2878" s="110">
        <f>'Data_in-situ'!EP375</f>
        <v>6</v>
      </c>
      <c r="AI2878" s="113">
        <f>'Data_in-situ'!ER375</f>
        <v>-40.367064742679283</v>
      </c>
      <c r="AJ2878" s="113">
        <f>'Data_in-situ'!ES375</f>
        <v>4.0843551355325198</v>
      </c>
      <c r="AK2878" s="110">
        <f>'Data_in-situ'!ET375</f>
        <v>6</v>
      </c>
    </row>
    <row r="2879" spans="20:37" x14ac:dyDescent="0.3">
      <c r="AF2879" s="113">
        <f>'Data_in-situ'!EN376</f>
        <v>-25.327560341085523</v>
      </c>
      <c r="AG2879" s="113">
        <f>'Data_in-situ'!EO376</f>
        <v>3.7216854561993782</v>
      </c>
      <c r="AH2879" s="110">
        <f>'Data_in-situ'!EP376</f>
        <v>6</v>
      </c>
      <c r="AI2879" s="113">
        <f>'Data_in-situ'!ER376</f>
        <v>-38.138726825441289</v>
      </c>
      <c r="AJ2879" s="113">
        <f>'Data_in-situ'!ES376</f>
        <v>2.9417033415847209</v>
      </c>
      <c r="AK2879" s="110">
        <f>'Data_in-situ'!ET376</f>
        <v>6</v>
      </c>
    </row>
    <row r="2880" spans="20:37" x14ac:dyDescent="0.3">
      <c r="AF2880" s="113">
        <f>'Data_in-situ'!EN377</f>
        <v>-25.327560341085523</v>
      </c>
      <c r="AG2880" s="113">
        <f>'Data_in-situ'!EO377</f>
        <v>3.7216854561993782</v>
      </c>
      <c r="AH2880" s="110">
        <f>'Data_in-situ'!EP377</f>
        <v>6</v>
      </c>
      <c r="AI2880" s="113">
        <f>'Data_in-situ'!ER377</f>
        <v>-44.870926010354054</v>
      </c>
      <c r="AJ2880" s="113">
        <f>'Data_in-situ'!ES377</f>
        <v>2.2702362142729355</v>
      </c>
      <c r="AK2880" s="110">
        <f>'Data_in-situ'!ET377</f>
        <v>6</v>
      </c>
    </row>
    <row r="2881" spans="32:37" x14ac:dyDescent="0.3">
      <c r="AF2881" s="113">
        <f>'Data_in-situ'!EN378</f>
        <v>-48.76169720736587</v>
      </c>
      <c r="AG2881" s="113">
        <f>'Data_in-situ'!EO378</f>
        <v>3.8844664928993486</v>
      </c>
      <c r="AH2881" s="110">
        <f>'Data_in-situ'!EP378</f>
        <v>6</v>
      </c>
      <c r="AI2881" s="113">
        <f>'Data_in-situ'!ER378</f>
        <v>-60.453706185710573</v>
      </c>
      <c r="AJ2881" s="113">
        <f>'Data_in-situ'!ES378</f>
        <v>3.5711359265362042</v>
      </c>
      <c r="AK2881" s="110">
        <f>'Data_in-situ'!ET378</f>
        <v>6</v>
      </c>
    </row>
    <row r="2882" spans="32:37" x14ac:dyDescent="0.3">
      <c r="AF2882" s="113">
        <f>'Data_in-situ'!EN379</f>
        <v>-48.76169720736587</v>
      </c>
      <c r="AG2882" s="113">
        <f>'Data_in-situ'!EO379</f>
        <v>3.8844664928993486</v>
      </c>
      <c r="AH2882" s="110">
        <f>'Data_in-situ'!EP379</f>
        <v>6</v>
      </c>
      <c r="AI2882" s="113">
        <f>'Data_in-situ'!ER379</f>
        <v>-64.194692039592596</v>
      </c>
      <c r="AJ2882" s="113">
        <f>'Data_in-situ'!ES379</f>
        <v>3.0503400500711311</v>
      </c>
      <c r="AK2882" s="110">
        <f>'Data_in-situ'!ET379</f>
        <v>6</v>
      </c>
    </row>
    <row r="2883" spans="32:37" x14ac:dyDescent="0.3">
      <c r="AF2883" s="113">
        <f>'Data_in-situ'!EN389</f>
        <v>-16</v>
      </c>
      <c r="AG2883" s="113">
        <f>'Data_in-situ'!EO389</f>
        <v>6.5199423800206935</v>
      </c>
      <c r="AH2883" s="110">
        <f>'Data_in-situ'!EP389</f>
        <v>4</v>
      </c>
      <c r="AI2883" s="113">
        <f>'Data_in-situ'!ER389</f>
        <v>-21</v>
      </c>
      <c r="AJ2883" s="113">
        <f>'Data_in-situ'!ES389</f>
        <v>4.7630951236930779</v>
      </c>
      <c r="AK2883" s="110">
        <f>'Data_in-situ'!ET389</f>
        <v>4</v>
      </c>
    </row>
    <row r="2884" spans="32:37" x14ac:dyDescent="0.3">
      <c r="AF2884" s="113">
        <f>'Data_in-situ'!EN390</f>
        <v>-15</v>
      </c>
      <c r="AG2884" s="113">
        <f>'Data_in-situ'!EO390</f>
        <v>6.1124459812694001</v>
      </c>
      <c r="AH2884" s="110">
        <f>'Data_in-situ'!EP390</f>
        <v>4</v>
      </c>
      <c r="AI2884" s="113">
        <f>'Data_in-situ'!ER390</f>
        <v>-20</v>
      </c>
      <c r="AJ2884" s="113">
        <f>'Data_in-situ'!ES390</f>
        <v>4.5362810701838834</v>
      </c>
      <c r="AK2884" s="110">
        <f>'Data_in-situ'!ET390</f>
        <v>4</v>
      </c>
    </row>
    <row r="2885" spans="32:37" x14ac:dyDescent="0.3">
      <c r="AF2885" s="113">
        <f>'Data_in-situ'!EN391</f>
        <v>-2</v>
      </c>
      <c r="AG2885" s="113">
        <f>'Data_in-situ'!EO391</f>
        <v>0.81499279750258669</v>
      </c>
      <c r="AH2885" s="110">
        <f>'Data_in-situ'!EP391</f>
        <v>4</v>
      </c>
      <c r="AI2885" s="113">
        <f>'Data_in-situ'!ER391</f>
        <v>-30</v>
      </c>
      <c r="AJ2885" s="113">
        <f>'Data_in-situ'!ES391</f>
        <v>6.8044216052758255</v>
      </c>
      <c r="AK2885" s="110">
        <f>'Data_in-situ'!ET391</f>
        <v>4</v>
      </c>
    </row>
    <row r="2886" spans="32:37" x14ac:dyDescent="0.3">
      <c r="AF2886" s="113">
        <f>'Data_in-situ'!EN412</f>
        <v>-8.1</v>
      </c>
      <c r="AG2886" s="113">
        <f>'Data_in-situ'!EO412</f>
        <v>1.2</v>
      </c>
      <c r="AH2886" s="110">
        <f>'Data_in-situ'!EP412</f>
        <v>3</v>
      </c>
      <c r="AI2886" s="113">
        <f>'Data_in-situ'!ER412</f>
        <v>-13.1</v>
      </c>
      <c r="AJ2886" s="113">
        <f>'Data_in-situ'!ES412</f>
        <v>0.8</v>
      </c>
      <c r="AK2886" s="110">
        <f>'Data_in-situ'!ET412</f>
        <v>3</v>
      </c>
    </row>
    <row r="2887" spans="32:37" x14ac:dyDescent="0.3">
      <c r="AF2887" s="113">
        <f>'Data_in-situ'!EN413</f>
        <v>-20.399999999999999</v>
      </c>
      <c r="AG2887" s="113">
        <f>'Data_in-situ'!EO413</f>
        <v>2.2999999999999998</v>
      </c>
      <c r="AH2887" s="110">
        <f>'Data_in-situ'!EP413</f>
        <v>3</v>
      </c>
      <c r="AI2887" s="113">
        <f>'Data_in-situ'!ER413</f>
        <v>-28.4</v>
      </c>
      <c r="AJ2887" s="113">
        <f>'Data_in-situ'!ES413</f>
        <v>3.2</v>
      </c>
      <c r="AK2887" s="110">
        <f>'Data_in-situ'!ET413</f>
        <v>3</v>
      </c>
    </row>
    <row r="2888" spans="32:37" x14ac:dyDescent="0.3">
      <c r="AF2888" s="113">
        <f>'Data_in-situ'!EN414</f>
        <v>6</v>
      </c>
      <c r="AG2888" s="113">
        <f>'Data_in-situ'!EO414</f>
        <v>22</v>
      </c>
      <c r="AH2888" s="110">
        <f>'Data_in-situ'!EP414</f>
        <v>5</v>
      </c>
      <c r="AI2888" s="113">
        <f>'Data_in-situ'!ER414</f>
        <v>-14</v>
      </c>
      <c r="AJ2888" s="113">
        <f>'Data_in-situ'!ES414</f>
        <v>23</v>
      </c>
      <c r="AK2888" s="110">
        <f>'Data_in-situ'!ET414</f>
        <v>5</v>
      </c>
    </row>
    <row r="2889" spans="32:37" x14ac:dyDescent="0.3">
      <c r="AF2889" s="113">
        <f>'Data_in-situ'!EN415</f>
        <v>-15.24193548387095</v>
      </c>
      <c r="AG2889" s="113">
        <f>'Data_in-situ'!EO415</f>
        <v>0.79834636585576813</v>
      </c>
      <c r="AH2889" s="110">
        <f>'Data_in-situ'!EP415</f>
        <v>3</v>
      </c>
      <c r="AI2889" s="113">
        <f>'Data_in-situ'!ER415</f>
        <v>-86.747311827956878</v>
      </c>
      <c r="AJ2889" s="113">
        <f>'Data_in-situ'!ES415</f>
        <v>35.741792340849045</v>
      </c>
      <c r="AK2889" s="110">
        <f>'Data_in-situ'!ET415</f>
        <v>3</v>
      </c>
    </row>
    <row r="2890" spans="32:37" x14ac:dyDescent="0.3">
      <c r="AF2890" s="113">
        <f>'Data_in-situ'!EN416</f>
        <v>-9.4</v>
      </c>
      <c r="AG2890" s="113">
        <f>'Data_in-situ'!EO416</f>
        <v>9.3000000000000007</v>
      </c>
      <c r="AH2890" s="110">
        <f>'Data_in-situ'!EP416</f>
        <v>5</v>
      </c>
      <c r="AI2890" s="113">
        <f>'Data_in-situ'!ER416</f>
        <v>-21.2</v>
      </c>
      <c r="AJ2890" s="113">
        <f>'Data_in-situ'!ES416</f>
        <v>14.9</v>
      </c>
      <c r="AK2890" s="110">
        <f>'Data_in-situ'!ET416</f>
        <v>5</v>
      </c>
    </row>
    <row r="2891" spans="32:37" x14ac:dyDescent="0.3">
      <c r="AF2891" s="113">
        <f>'Data_in-situ'!EN417</f>
        <v>-6.5</v>
      </c>
      <c r="AG2891" s="113">
        <f>'Data_in-situ'!EO417</f>
        <v>3.5</v>
      </c>
      <c r="AH2891" s="110">
        <f>'Data_in-situ'!EP417</f>
        <v>5</v>
      </c>
      <c r="AI2891" s="113">
        <f>'Data_in-situ'!ER417</f>
        <v>-30.6</v>
      </c>
      <c r="AJ2891" s="113">
        <f>'Data_in-situ'!ES417</f>
        <v>14.8</v>
      </c>
      <c r="AK2891" s="110">
        <f>'Data_in-situ'!ET417</f>
        <v>5</v>
      </c>
    </row>
    <row r="2892" spans="32:37" x14ac:dyDescent="0.3">
      <c r="AF2892" s="113">
        <f>'Data_in-situ'!EN418</f>
        <v>-7.3</v>
      </c>
      <c r="AG2892" s="113">
        <f>'Data_in-situ'!EO418</f>
        <v>3.6</v>
      </c>
      <c r="AH2892" s="110">
        <f>'Data_in-situ'!EP418</f>
        <v>3</v>
      </c>
      <c r="AI2892" s="113">
        <f>'Data_in-situ'!ER418</f>
        <v>-75.599999999999994</v>
      </c>
      <c r="AJ2892" s="113">
        <f>'Data_in-situ'!ES418</f>
        <v>14.2</v>
      </c>
      <c r="AK2892" s="110">
        <f>'Data_in-situ'!ET418</f>
        <v>3</v>
      </c>
    </row>
    <row r="2893" spans="32:37" x14ac:dyDescent="0.3">
      <c r="AF2893" s="113">
        <f>'Data_in-situ'!EN419</f>
        <v>-4.2</v>
      </c>
      <c r="AG2893" s="113">
        <f>'Data_in-situ'!EO419</f>
        <v>5.2</v>
      </c>
      <c r="AH2893" s="110">
        <f>'Data_in-situ'!EP419</f>
        <v>3</v>
      </c>
      <c r="AI2893" s="113">
        <f>'Data_in-situ'!ER419</f>
        <v>-64.3</v>
      </c>
      <c r="AJ2893" s="113">
        <f>'Data_in-situ'!ES419</f>
        <v>5.9</v>
      </c>
      <c r="AK2893" s="110">
        <f>'Data_in-situ'!ET419</f>
        <v>3</v>
      </c>
    </row>
    <row r="2894" spans="32:37" x14ac:dyDescent="0.3">
      <c r="AF2894" s="113">
        <f>'Data_in-situ'!EN432</f>
        <v>-14.226633581472301</v>
      </c>
      <c r="AG2894" s="113">
        <f>'Data_in-situ'!EO432</f>
        <v>0.84179554111043309</v>
      </c>
      <c r="AH2894" s="110">
        <f>'Data_in-situ'!EP432</f>
        <v>3</v>
      </c>
      <c r="AI2894" s="113">
        <f>'Data_in-situ'!ER432</f>
        <v>-56.100981767180912</v>
      </c>
      <c r="AJ2894" s="113">
        <f>'Data_in-situ'!ES432</f>
        <v>3.5983168804300347</v>
      </c>
      <c r="AK2894" s="110">
        <f>'Data_in-situ'!ET432</f>
        <v>3</v>
      </c>
    </row>
    <row r="2895" spans="32:37" x14ac:dyDescent="0.3">
      <c r="AF2895" s="113">
        <f>'Data_in-situ'!EN433</f>
        <v>-12.821300563236036</v>
      </c>
      <c r="AG2895" s="113">
        <f>'Data_in-situ'!EO433</f>
        <v>0.77828981054787205</v>
      </c>
      <c r="AH2895" s="110">
        <f>'Data_in-situ'!EP433</f>
        <v>3</v>
      </c>
      <c r="AI2895" s="113">
        <f>'Data_in-situ'!ER433</f>
        <v>-49.305962854349943</v>
      </c>
      <c r="AJ2895" s="113">
        <f>'Data_in-situ'!ES433</f>
        <v>4.302708385623629</v>
      </c>
      <c r="AK2895" s="110">
        <f>'Data_in-situ'!ET433</f>
        <v>3</v>
      </c>
    </row>
    <row r="2896" spans="32:37" x14ac:dyDescent="0.3">
      <c r="AF2896" s="113">
        <f>'Data_in-situ'!EN439</f>
        <v>-45.3</v>
      </c>
      <c r="AG2896" s="113">
        <f>'Data_in-situ'!EO439</f>
        <v>5.7157676649772942</v>
      </c>
      <c r="AH2896" s="110">
        <f>'Data_in-situ'!EP439</f>
        <v>3</v>
      </c>
      <c r="AI2896" s="113">
        <f>'Data_in-situ'!ER439</f>
        <v>-60.2</v>
      </c>
      <c r="AJ2896" s="113">
        <f>'Data_in-situ'!ES439</f>
        <v>4.676537180435969</v>
      </c>
      <c r="AK2896" s="110">
        <f>'Data_in-situ'!ET439</f>
        <v>3</v>
      </c>
    </row>
    <row r="2897" spans="32:37" x14ac:dyDescent="0.3">
      <c r="AF2897" s="113">
        <f>'Data_in-situ'!EN440</f>
        <v>-45.3</v>
      </c>
      <c r="AG2897" s="113">
        <f>'Data_in-situ'!EO440</f>
        <v>5.7157676649772942</v>
      </c>
      <c r="AH2897" s="110">
        <f>'Data_in-situ'!EP440</f>
        <v>3</v>
      </c>
      <c r="AI2897" s="113">
        <f>'Data_in-situ'!ER440</f>
        <v>-27.4</v>
      </c>
      <c r="AJ2897" s="113">
        <f>'Data_in-situ'!ES440</f>
        <v>4.5033320996790804</v>
      </c>
      <c r="AK2897" s="110">
        <f>'Data_in-situ'!ET440</f>
        <v>3</v>
      </c>
    </row>
    <row r="2898" spans="32:37" x14ac:dyDescent="0.3">
      <c r="AF2898" s="113">
        <f>'Data_in-situ'!EN443</f>
        <v>-9</v>
      </c>
      <c r="AG2898" s="113">
        <f>'Data_in-situ'!EO443</f>
        <v>1.9</v>
      </c>
      <c r="AH2898" s="110">
        <f>'Data_in-situ'!EP443</f>
        <v>3</v>
      </c>
      <c r="AI2898" s="113">
        <f>'Data_in-situ'!ER443</f>
        <v>-37.76</v>
      </c>
      <c r="AJ2898" s="113">
        <f>'Data_in-situ'!ES443</f>
        <v>2.68</v>
      </c>
      <c r="AK2898" s="110">
        <f>'Data_in-situ'!ET443</f>
        <v>3</v>
      </c>
    </row>
    <row r="2899" spans="32:37" x14ac:dyDescent="0.3">
      <c r="AF2899" s="113">
        <f>'Data_in-situ'!EN444</f>
        <v>-15</v>
      </c>
      <c r="AG2899" s="113">
        <f>'Data_in-situ'!EO444</f>
        <v>13</v>
      </c>
      <c r="AH2899" s="110">
        <f>'Data_in-situ'!EP444</f>
        <v>9836</v>
      </c>
      <c r="AI2899" s="113">
        <f>'Data_in-situ'!ER444</f>
        <v>-55</v>
      </c>
      <c r="AJ2899" s="113">
        <f>'Data_in-situ'!ES444</f>
        <v>15</v>
      </c>
      <c r="AK2899" s="110">
        <f>'Data_in-situ'!ET444</f>
        <v>14736</v>
      </c>
    </row>
    <row r="2900" spans="32:37" x14ac:dyDescent="0.3">
      <c r="AF2900" s="113">
        <f>'Data_in-situ'!EN445</f>
        <v>6</v>
      </c>
      <c r="AG2900" s="113">
        <f>'Data_in-situ'!EO445</f>
        <v>22</v>
      </c>
      <c r="AH2900" s="110">
        <f>'Data_in-situ'!EP445</f>
        <v>5</v>
      </c>
      <c r="AI2900" s="113">
        <f>'Data_in-situ'!ER445</f>
        <v>-39</v>
      </c>
      <c r="AJ2900" s="113">
        <f>'Data_in-situ'!ES445</f>
        <v>15</v>
      </c>
      <c r="AK2900" s="110">
        <f>'Data_in-situ'!ET445</f>
        <v>5</v>
      </c>
    </row>
    <row r="2901" spans="32:37" x14ac:dyDescent="0.3">
      <c r="AF2901" s="113">
        <f>'Data_in-situ'!EN446</f>
        <v>6</v>
      </c>
      <c r="AG2901" s="113">
        <f>'Data_in-situ'!EO446</f>
        <v>22</v>
      </c>
      <c r="AH2901" s="110">
        <f>'Data_in-situ'!EP446</f>
        <v>5</v>
      </c>
      <c r="AI2901" s="113">
        <f>'Data_in-situ'!ER446</f>
        <v>-21</v>
      </c>
      <c r="AJ2901" s="113">
        <f>'Data_in-situ'!ES446</f>
        <v>18</v>
      </c>
      <c r="AK2901" s="110">
        <f>'Data_in-situ'!ET446</f>
        <v>5</v>
      </c>
    </row>
    <row r="2902" spans="32:37" x14ac:dyDescent="0.3">
      <c r="AF2902" s="113">
        <f>'Data_in-situ'!EN448</f>
        <v>-6</v>
      </c>
      <c r="AG2902" s="113">
        <f>'Data_in-situ'!EO448</f>
        <v>-3</v>
      </c>
      <c r="AH2902" s="110">
        <f>'Data_in-situ'!EP448</f>
        <v>3</v>
      </c>
      <c r="AI2902" s="113">
        <f>'Data_in-situ'!ER448</f>
        <v>-21.8</v>
      </c>
      <c r="AJ2902" s="113">
        <f>'Data_in-situ'!ES448</f>
        <v>6.5</v>
      </c>
      <c r="AK2902" s="110">
        <f>'Data_in-situ'!ET448</f>
        <v>3</v>
      </c>
    </row>
    <row r="2903" spans="32:37" x14ac:dyDescent="0.3">
      <c r="AF2903" s="113">
        <f>'Data_in-situ'!EN449</f>
        <v>-7</v>
      </c>
      <c r="AG2903" s="113">
        <f>'Data_in-situ'!EO449</f>
        <v>4</v>
      </c>
      <c r="AH2903" s="110">
        <f>'Data_in-situ'!EP449</f>
        <v>3</v>
      </c>
      <c r="AI2903" s="113">
        <f>'Data_in-situ'!ER449</f>
        <v>-22.6</v>
      </c>
      <c r="AJ2903" s="113">
        <f>'Data_in-situ'!ES449</f>
        <v>5.6</v>
      </c>
      <c r="AK2903" s="110">
        <f>'Data_in-situ'!ET449</f>
        <v>3</v>
      </c>
    </row>
    <row r="2904" spans="32:37" x14ac:dyDescent="0.3">
      <c r="AF2904" s="113">
        <f>'Data_in-situ'!EN450</f>
        <v>-22</v>
      </c>
      <c r="AG2904" s="113">
        <f>'Data_in-situ'!EO450</f>
        <v>8.964920772528453</v>
      </c>
      <c r="AH2904" s="110">
        <f>'Data_in-situ'!EP450</f>
        <v>1</v>
      </c>
      <c r="AI2904" s="113">
        <f>'Data_in-situ'!ER450</f>
        <v>-77</v>
      </c>
      <c r="AJ2904" s="113">
        <f>'Data_in-situ'!ES450</f>
        <v>17.46468212020795</v>
      </c>
      <c r="AK2904" s="110">
        <f>'Data_in-situ'!ET450</f>
        <v>1</v>
      </c>
    </row>
    <row r="2905" spans="32:37" x14ac:dyDescent="0.3">
      <c r="AF2905" s="113">
        <f>'Data_in-situ'!EN451</f>
        <v>-17</v>
      </c>
      <c r="AG2905" s="113">
        <f>'Data_in-situ'!EO451</f>
        <v>6.9274387787719869</v>
      </c>
      <c r="AH2905" s="110">
        <f>'Data_in-situ'!EP451</f>
        <v>1</v>
      </c>
      <c r="AI2905" s="113">
        <f>'Data_in-situ'!ER451</f>
        <v>-73</v>
      </c>
      <c r="AJ2905" s="113">
        <f>'Data_in-situ'!ES451</f>
        <v>16.557425906171176</v>
      </c>
      <c r="AK2905" s="110">
        <f>'Data_in-situ'!ET451</f>
        <v>1</v>
      </c>
    </row>
    <row r="2906" spans="32:37" x14ac:dyDescent="0.3">
      <c r="AF2906" s="113">
        <f>'Data_in-situ'!EN452</f>
        <v>-11</v>
      </c>
      <c r="AG2906" s="113">
        <f>'Data_in-situ'!EO452</f>
        <v>4.4824603862642265</v>
      </c>
      <c r="AH2906" s="110">
        <f>'Data_in-situ'!EP452</f>
        <v>1</v>
      </c>
      <c r="AI2906" s="113">
        <f>'Data_in-situ'!ER452</f>
        <v>-59</v>
      </c>
      <c r="AJ2906" s="113">
        <f>'Data_in-situ'!ES452</f>
        <v>13.382029157042457</v>
      </c>
      <c r="AK2906" s="110">
        <f>'Data_in-situ'!ET452</f>
        <v>1</v>
      </c>
    </row>
    <row r="2907" spans="32:37" x14ac:dyDescent="0.3">
      <c r="AF2907" s="113">
        <f>'Data_in-situ'!EN453</f>
        <v>10</v>
      </c>
      <c r="AG2907" s="113">
        <f>'Data_in-situ'!EO453</f>
        <v>4.0749639875129331</v>
      </c>
      <c r="AH2907" s="110">
        <f>'Data_in-situ'!EP453</f>
        <v>1</v>
      </c>
      <c r="AI2907" s="113">
        <f>'Data_in-situ'!ER453</f>
        <v>-45</v>
      </c>
      <c r="AJ2907" s="113">
        <f>'Data_in-situ'!ES453</f>
        <v>10.206632407913737</v>
      </c>
      <c r="AK2907" s="110">
        <f>'Data_in-situ'!ET453</f>
        <v>1</v>
      </c>
    </row>
    <row r="2908" spans="32:37" x14ac:dyDescent="0.3">
      <c r="AF2908" s="113">
        <f>'Data_in-situ'!EN454</f>
        <v>-5.6149732620320822</v>
      </c>
      <c r="AG2908" s="113">
        <f>'Data_in-situ'!EO454</f>
        <v>0.89761221109140865</v>
      </c>
      <c r="AH2908" s="110">
        <f>'Data_in-situ'!EP454</f>
        <v>3</v>
      </c>
      <c r="AI2908" s="113">
        <f>'Data_in-situ'!ER454</f>
        <v>-132.2570532915361</v>
      </c>
      <c r="AJ2908" s="113">
        <f>'Data_in-situ'!ES454</f>
        <v>8.6718103212007449</v>
      </c>
      <c r="AK2908" s="110">
        <f>'Data_in-situ'!ET454</f>
        <v>3</v>
      </c>
    </row>
    <row r="2909" spans="32:37" x14ac:dyDescent="0.3">
      <c r="AF2909" s="113">
        <f>'Data_in-situ'!EN455</f>
        <v>-5.6149732620320822</v>
      </c>
      <c r="AG2909" s="113">
        <f>'Data_in-situ'!EO455</f>
        <v>0.89761221109140865</v>
      </c>
      <c r="AH2909" s="110">
        <f>'Data_in-situ'!EP455</f>
        <v>3</v>
      </c>
      <c r="AI2909" s="113">
        <f>'Data_in-situ'!ER455</f>
        <v>-65.23510971786834</v>
      </c>
      <c r="AJ2909" s="113">
        <f>'Data_in-situ'!ES455</f>
        <v>10.177520442006553</v>
      </c>
      <c r="AK2909" s="110">
        <f>'Data_in-situ'!ET455</f>
        <v>3</v>
      </c>
    </row>
    <row r="2910" spans="32:37" x14ac:dyDescent="0.3">
      <c r="AF2910" s="113">
        <f>'Data_in-situ'!EN456</f>
        <v>-7.6</v>
      </c>
      <c r="AG2910" s="113">
        <f>'Data_in-situ'!EO456</f>
        <v>3.0969726305098293</v>
      </c>
      <c r="AH2910" s="110">
        <f>'Data_in-situ'!EP456</f>
        <v>1</v>
      </c>
      <c r="AI2910" s="113">
        <f>'Data_in-situ'!ER456</f>
        <v>-20.2</v>
      </c>
      <c r="AJ2910" s="113">
        <f>'Data_in-situ'!ES456</f>
        <v>4.5816438808857223</v>
      </c>
      <c r="AK2910" s="110">
        <f>'Data_in-situ'!ET456</f>
        <v>1</v>
      </c>
    </row>
    <row r="2911" spans="32:37" x14ac:dyDescent="0.3">
      <c r="AF2911" s="113">
        <f>'Data_in-situ'!EN457</f>
        <v>-2.4</v>
      </c>
      <c r="AG2911" s="113">
        <f>'Data_in-situ'!EO457</f>
        <v>0.97799135700310402</v>
      </c>
      <c r="AH2911" s="110">
        <f>'Data_in-situ'!EP457</f>
        <v>1</v>
      </c>
      <c r="AI2911" s="113">
        <f>'Data_in-situ'!ER457</f>
        <v>-23.2</v>
      </c>
      <c r="AJ2911" s="113">
        <f>'Data_in-situ'!ES457</f>
        <v>5.2620860414133048</v>
      </c>
      <c r="AK2911" s="110">
        <f>'Data_in-situ'!ET457</f>
        <v>1</v>
      </c>
    </row>
    <row r="2912" spans="32:37" x14ac:dyDescent="0.3">
      <c r="AF2912" s="113">
        <f>'Data_in-situ'!EN458</f>
        <v>-4.8</v>
      </c>
      <c r="AG2912" s="113">
        <f>'Data_in-situ'!EO458</f>
        <v>1.955982714006208</v>
      </c>
      <c r="AH2912" s="110">
        <f>'Data_in-situ'!EP458</f>
        <v>1</v>
      </c>
      <c r="AI2912" s="113">
        <f>'Data_in-situ'!ER458</f>
        <v>-19</v>
      </c>
      <c r="AJ2912" s="113">
        <f>'Data_in-situ'!ES458</f>
        <v>4.3094670166746889</v>
      </c>
      <c r="AK2912" s="110">
        <f>'Data_in-situ'!ET458</f>
        <v>1</v>
      </c>
    </row>
    <row r="2913" spans="1:37" x14ac:dyDescent="0.3">
      <c r="AF2913" s="113">
        <f>'Data_in-situ'!EN459</f>
        <v>-7.6</v>
      </c>
      <c r="AG2913" s="113">
        <f>'Data_in-situ'!EO459</f>
        <v>3.0969726305098293</v>
      </c>
      <c r="AH2913" s="110">
        <f>'Data_in-situ'!EP459</f>
        <v>1</v>
      </c>
      <c r="AI2913" s="113">
        <f>'Data_in-situ'!ER459</f>
        <v>-66.400000000000006</v>
      </c>
      <c r="AJ2913" s="113">
        <f>'Data_in-situ'!ES459</f>
        <v>15.060453153010494</v>
      </c>
      <c r="AK2913" s="110">
        <f>'Data_in-situ'!ET459</f>
        <v>1</v>
      </c>
    </row>
    <row r="2914" spans="1:37" x14ac:dyDescent="0.3">
      <c r="AF2914" s="113">
        <f>'Data_in-situ'!EN460</f>
        <v>-2.4</v>
      </c>
      <c r="AG2914" s="113">
        <f>'Data_in-situ'!EO460</f>
        <v>0.97799135700310402</v>
      </c>
      <c r="AH2914" s="110">
        <f>'Data_in-situ'!EP460</f>
        <v>1</v>
      </c>
      <c r="AI2914" s="113">
        <f>'Data_in-situ'!ER460</f>
        <v>-61.5</v>
      </c>
      <c r="AJ2914" s="113">
        <f>'Data_in-situ'!ES460</f>
        <v>13.949064290815441</v>
      </c>
      <c r="AK2914" s="110">
        <f>'Data_in-situ'!ET460</f>
        <v>1</v>
      </c>
    </row>
    <row r="2915" spans="1:37" x14ac:dyDescent="0.3">
      <c r="AF2915" s="113">
        <f>'Data_in-situ'!EN461</f>
        <v>-4.8</v>
      </c>
      <c r="AG2915" s="113">
        <f>'Data_in-situ'!EO461</f>
        <v>1.955982714006208</v>
      </c>
      <c r="AH2915" s="110">
        <f>'Data_in-situ'!EP461</f>
        <v>1</v>
      </c>
      <c r="AI2915" s="113">
        <f>'Data_in-situ'!ER461</f>
        <v>-58.5</v>
      </c>
      <c r="AJ2915" s="113">
        <f>'Data_in-situ'!ES461</f>
        <v>13.268622130287859</v>
      </c>
      <c r="AK2915" s="110">
        <f>'Data_in-situ'!ET461</f>
        <v>1</v>
      </c>
    </row>
    <row r="2917" spans="1:37" x14ac:dyDescent="0.3">
      <c r="A2917" s="110" t="s">
        <v>831</v>
      </c>
      <c r="B2917" s="24">
        <f>AVERAGEA(B2586:B2915)</f>
        <v>-28104.164398586348</v>
      </c>
      <c r="C2917" s="24">
        <f>STDEVA(B2586:B2915)/SQRT(COUNT(B2586:B2915))</f>
        <v>4614.1650411531245</v>
      </c>
      <c r="D2917" s="46">
        <f>COUNT(B2586:B2915)</f>
        <v>83</v>
      </c>
      <c r="E2917" s="24">
        <f>AVERAGEA(E2586:E2915)</f>
        <v>-28977.770990121386</v>
      </c>
      <c r="F2917" s="24">
        <f>STDEVA(E2586:E2915)/SQRT(COUNT(E2586:E2915))</f>
        <v>4942.310495416611</v>
      </c>
      <c r="G2917" s="46">
        <f>COUNT(E2586:E2915)</f>
        <v>83</v>
      </c>
      <c r="H2917" s="24">
        <f>AVERAGEA(H2586:H2915)</f>
        <v>25673.75086742358</v>
      </c>
      <c r="I2917" s="24">
        <f>STDEVA(H2586:H2915)/SQRT(COUNT(H2586:H2915))</f>
        <v>4273.8624034563909</v>
      </c>
      <c r="J2917" s="110">
        <f>COUNT(H2586:H2915)</f>
        <v>83</v>
      </c>
      <c r="K2917" s="24">
        <f>AVERAGEA(K2586:K2915)</f>
        <v>31670.45130596013</v>
      </c>
      <c r="L2917" s="24">
        <f>STDEVA(K2586:K2915)/SQRT(COUNT(K2586:K2915))</f>
        <v>4813.7607506244931</v>
      </c>
      <c r="M2917" s="110">
        <f>COUNT(K2586:K2915)</f>
        <v>83</v>
      </c>
      <c r="N2917" s="24">
        <f>AVERAGEA(N2586:N2915)</f>
        <v>-2009.154747204979</v>
      </c>
      <c r="O2917" s="24">
        <f>STDEVA(N2586:N2915)/SQRT(COUNT(N2586:N2915))</f>
        <v>1176.067705045346</v>
      </c>
      <c r="P2917" s="110">
        <f>COUNT(N2586:N2915)</f>
        <v>118</v>
      </c>
      <c r="Q2917" s="24">
        <f>AVERAGEA(Q2586:Q2915)</f>
        <v>2488.919710223076</v>
      </c>
      <c r="R2917" s="24">
        <f>STDEVA(Q2586:Q2915)/SQRT(COUNT(Q2586:Q2915))</f>
        <v>1022.0804796957673</v>
      </c>
      <c r="S2917" s="110">
        <f>COUNT(Q2586:Q2915)</f>
        <v>118</v>
      </c>
      <c r="T2917" s="113">
        <f>AVERAGEA(T2586:T2915)</f>
        <v>129.61435220614626</v>
      </c>
      <c r="U2917" s="113">
        <f>STDEVA(T2586:T2915)/SQRT(COUNT(T2586:T2915))</f>
        <v>12.446443509445762</v>
      </c>
      <c r="V2917" s="110">
        <f>COUNT(T2586:T2915)</f>
        <v>278</v>
      </c>
      <c r="W2917" s="113">
        <f>AVERAGEA(W2586:W2915)</f>
        <v>26.792795837501615</v>
      </c>
      <c r="X2917" s="113">
        <f>STDEVA(W2586:W2915)/SQRT(COUNT(W2586:W2915))</f>
        <v>5.7414553148838641</v>
      </c>
      <c r="Y2917" s="110">
        <f>COUNT(W2586:W2915)</f>
        <v>278</v>
      </c>
      <c r="Z2917" s="113">
        <f>AVERAGEA(Z2586:Z2915)</f>
        <v>0.56428509017138251</v>
      </c>
      <c r="AA2917" s="113">
        <f>STDEVA(Z2586:Z2915)/SQRT(COUNT(Z2586:Z2915))</f>
        <v>0.13889298399199135</v>
      </c>
      <c r="AB2917" s="110">
        <f>COUNT(Z2586:Z2915)</f>
        <v>112</v>
      </c>
      <c r="AC2917" s="113">
        <f>AVERAGEA(AC2586:AC2915)</f>
        <v>3.034954325787075</v>
      </c>
      <c r="AD2917" s="113">
        <f>STDEVA(AC2586:AC2915)/SQRT(COUNT(AC2586:AC2915))</f>
        <v>0.5927979818422251</v>
      </c>
      <c r="AE2917" s="110">
        <f>COUNT(AC2586:AC2915)</f>
        <v>112</v>
      </c>
      <c r="AF2917" s="113">
        <f>AVERAGEA(AF2586:AF2915)</f>
        <v>-18.307362938869211</v>
      </c>
      <c r="AG2917" s="113">
        <f>STDEVA(AF2586:AF2915)/SQRT(COUNT(AF2586:AF2915))</f>
        <v>1.0886494175641839</v>
      </c>
      <c r="AH2917" s="110">
        <f>COUNT(AF2586:AF2915)</f>
        <v>330</v>
      </c>
      <c r="AI2917" s="113">
        <f>AVERAGEA(AI2586:AI2915)</f>
        <v>-45.826985624581724</v>
      </c>
      <c r="AJ2917" s="113">
        <f>STDEVA(AI2586:AI2915)/SQRT(COUNT(AI2586:AI2915))</f>
        <v>1.7939087526314532</v>
      </c>
      <c r="AK2917" s="110">
        <f>COUNT(AI2586:AI2915)</f>
        <v>330</v>
      </c>
    </row>
    <row r="2919" spans="1:37" ht="15.6" x14ac:dyDescent="0.3">
      <c r="A2919" s="12" t="s">
        <v>280</v>
      </c>
      <c r="B2919" s="24">
        <f>'Data_in-situ'!CA30</f>
        <v>-40736.294508300089</v>
      </c>
      <c r="C2919" s="24">
        <f>'Data_in-situ'!CB30</f>
        <v>9264.5737614785212</v>
      </c>
      <c r="D2919" s="46">
        <f>'Data_in-situ'!CC30</f>
        <v>6</v>
      </c>
      <c r="E2919" s="24">
        <f>'Data_in-situ'!CE30</f>
        <v>-30951.137650990822</v>
      </c>
      <c r="F2919" s="24">
        <f>'Data_in-situ'!CF30</f>
        <v>7720.4781345655592</v>
      </c>
      <c r="G2919" s="46">
        <f>'Data_in-situ'!CG30</f>
        <v>6</v>
      </c>
      <c r="H2919" s="24">
        <f>'Data_in-situ'!CN30</f>
        <v>23661.813178740125</v>
      </c>
      <c r="I2919" s="24">
        <f>'Data_in-situ'!CO30</f>
        <v>8127.2621692012581</v>
      </c>
      <c r="J2919" s="46">
        <f>'Data_in-situ'!CP30</f>
        <v>6</v>
      </c>
      <c r="K2919" s="24">
        <f>'Data_in-situ'!CR30</f>
        <v>17959.926513784052</v>
      </c>
      <c r="L2919" s="24">
        <f>'Data_in-situ'!CS30</f>
        <v>6049.9193018093547</v>
      </c>
      <c r="M2919" s="46">
        <f>'Data_in-situ'!CT30</f>
        <v>6</v>
      </c>
      <c r="N2919" s="24">
        <f>'Data_in-situ'!DA2</f>
        <v>-2080</v>
      </c>
      <c r="O2919" s="24">
        <f>'Data_in-situ'!DB2</f>
        <v>200</v>
      </c>
      <c r="P2919" s="46">
        <f>'Data_in-situ'!DC2</f>
        <v>4</v>
      </c>
      <c r="Q2919" s="24">
        <f>'Data_in-situ'!DE2</f>
        <v>-720</v>
      </c>
      <c r="R2919" s="24">
        <f>'Data_in-situ'!DF2</f>
        <v>580</v>
      </c>
      <c r="S2919" s="46">
        <f>'Data_in-situ'!DG2</f>
        <v>4</v>
      </c>
      <c r="T2919" s="113">
        <f>'Data_in-situ'!DN2</f>
        <v>155.93</v>
      </c>
      <c r="U2919" s="113">
        <f>'Data_in-situ'!DO2</f>
        <v>91.89</v>
      </c>
      <c r="V2919" s="46">
        <f>'Data_in-situ'!DP2</f>
        <v>3</v>
      </c>
      <c r="W2919" s="113">
        <f>'Data_in-situ'!DR2</f>
        <v>-0.52095000000000002</v>
      </c>
      <c r="X2919" s="113">
        <f>'Data_in-situ'!DS2</f>
        <v>0.42061931719786716</v>
      </c>
      <c r="Y2919" s="46">
        <f>'Data_in-situ'!DT2</f>
        <v>3</v>
      </c>
      <c r="Z2919" s="113">
        <f>'Data_in-situ'!EA8</f>
        <v>9.3216878849518445E-2</v>
      </c>
      <c r="AA2919" s="113">
        <f>'Data_in-situ'!EB8</f>
        <v>0.20553512952136199</v>
      </c>
      <c r="AB2919" s="46">
        <f>'Data_in-situ'!EC8</f>
        <v>3</v>
      </c>
      <c r="AC2919" s="113">
        <f>'Data_in-situ'!EE8</f>
        <v>1.1634570510397673</v>
      </c>
      <c r="AD2919" s="113">
        <f>'Data_in-situ'!EF8</f>
        <v>0.38922612585728023</v>
      </c>
      <c r="AE2919" s="46">
        <f>'Data_in-situ'!EG8</f>
        <v>3</v>
      </c>
      <c r="AF2919" s="113">
        <f>'Data_in-situ'!EN14</f>
        <v>11.41</v>
      </c>
      <c r="AG2919" s="113">
        <f>'Data_in-situ'!EO14</f>
        <v>3.1216542489519883</v>
      </c>
      <c r="AH2919" s="110">
        <f>'Data_in-situ'!EP14</f>
        <v>4</v>
      </c>
      <c r="AI2919" s="113">
        <f>'Data_in-situ'!ER14</f>
        <v>-91.8</v>
      </c>
      <c r="AJ2919" s="113">
        <f>'Data_in-situ'!ES14</f>
        <v>9.6999999999999993</v>
      </c>
      <c r="AK2919" s="110">
        <f>'Data_in-situ'!ET14</f>
        <v>4</v>
      </c>
    </row>
    <row r="2920" spans="1:37" x14ac:dyDescent="0.3">
      <c r="B2920" s="24">
        <f>'Data_in-situ'!CA31</f>
        <v>-29498.69602325177</v>
      </c>
      <c r="C2920" s="24">
        <f>'Data_in-situ'!CB31</f>
        <v>5661.6839653480265</v>
      </c>
      <c r="D2920" s="46">
        <f>'Data_in-situ'!CC31</f>
        <v>6</v>
      </c>
      <c r="E2920" s="24">
        <f>'Data_in-situ'!CE31</f>
        <v>-23758.267633507035</v>
      </c>
      <c r="F2920" s="24">
        <f>'Data_in-situ'!CF31</f>
        <v>4117.5883384349272</v>
      </c>
      <c r="G2920" s="46">
        <f>'Data_in-situ'!CG31</f>
        <v>6</v>
      </c>
      <c r="H2920" s="24">
        <f>'Data_in-situ'!CN31</f>
        <v>24809.052605588167</v>
      </c>
      <c r="I2920" s="24">
        <f>'Data_in-situ'!CO31</f>
        <v>6528.4178481847057</v>
      </c>
      <c r="J2920" s="46">
        <f>'Data_in-situ'!CP31</f>
        <v>6</v>
      </c>
      <c r="K2920" s="24">
        <f>'Data_in-situ'!CR31</f>
        <v>21625.217639046135</v>
      </c>
      <c r="L2920" s="24">
        <f>'Data_in-situ'!CS31</f>
        <v>4944.4422331318983</v>
      </c>
      <c r="M2920" s="46">
        <f>'Data_in-situ'!CT31</f>
        <v>6</v>
      </c>
      <c r="N2920" s="24">
        <f>'Data_in-situ'!DA3</f>
        <v>-2080</v>
      </c>
      <c r="O2920" s="24">
        <f>'Data_in-situ'!DB3</f>
        <v>200</v>
      </c>
      <c r="P2920" s="46">
        <f>'Data_in-situ'!DC3</f>
        <v>4</v>
      </c>
      <c r="Q2920" s="24">
        <f>'Data_in-situ'!DE3</f>
        <v>-1200</v>
      </c>
      <c r="R2920" s="24">
        <f>'Data_in-situ'!DF3</f>
        <v>800</v>
      </c>
      <c r="S2920" s="46">
        <f>'Data_in-situ'!DG3</f>
        <v>4</v>
      </c>
      <c r="T2920" s="113">
        <f>'Data_in-situ'!DN3</f>
        <v>155.93</v>
      </c>
      <c r="U2920" s="113">
        <f>'Data_in-situ'!DO3</f>
        <v>91.89</v>
      </c>
      <c r="V2920" s="46">
        <f>'Data_in-situ'!DP3</f>
        <v>3</v>
      </c>
      <c r="W2920" s="113">
        <f>'Data_in-situ'!DR3</f>
        <v>-0.50150000000000006</v>
      </c>
      <c r="X2920" s="113">
        <f>'Data_in-situ'!DS3</f>
        <v>0.69631979003903077</v>
      </c>
      <c r="Y2920" s="46">
        <f>'Data_in-situ'!DT3</f>
        <v>3</v>
      </c>
      <c r="Z2920" s="113">
        <f>'Data_in-situ'!EA9</f>
        <v>9.3216878849518445E-2</v>
      </c>
      <c r="AA2920" s="113">
        <f>'Data_in-situ'!EB9</f>
        <v>0.20553512952136199</v>
      </c>
      <c r="AB2920" s="46">
        <f>'Data_in-situ'!EC9</f>
        <v>3</v>
      </c>
      <c r="AC2920" s="113">
        <f>'Data_in-situ'!EE9</f>
        <v>1.6177151825214293</v>
      </c>
      <c r="AD2920" s="113">
        <f>'Data_in-situ'!EF9</f>
        <v>0.53878192787841905</v>
      </c>
      <c r="AE2920" s="46">
        <f>'Data_in-situ'!EG9</f>
        <v>3</v>
      </c>
      <c r="AF2920" s="113">
        <f>'Data_in-situ'!EN15</f>
        <v>5.6550000000000002</v>
      </c>
      <c r="AG2920" s="113">
        <f>'Data_in-situ'!EO15</f>
        <v>3.8089383363346805</v>
      </c>
      <c r="AH2920" s="110">
        <f>'Data_in-situ'!EP15</f>
        <v>4</v>
      </c>
      <c r="AI2920" s="113">
        <f>'Data_in-situ'!ER15</f>
        <v>-105</v>
      </c>
      <c r="AJ2920" s="113">
        <f>'Data_in-situ'!ES15</f>
        <v>8.1</v>
      </c>
      <c r="AK2920" s="110">
        <f>'Data_in-situ'!ET15</f>
        <v>4</v>
      </c>
    </row>
    <row r="2921" spans="1:37" x14ac:dyDescent="0.3">
      <c r="B2921" s="24">
        <f>'Data_in-situ'!CA128</f>
        <v>-30804.409295502097</v>
      </c>
      <c r="C2921" s="24">
        <f>'Data_in-situ'!CB128</f>
        <v>7508.6897887327168</v>
      </c>
      <c r="D2921" s="46">
        <f>'Data_in-situ'!CC128</f>
        <v>48</v>
      </c>
      <c r="E2921" s="24">
        <f>'Data_in-situ'!CE128</f>
        <v>-23917.078756679508</v>
      </c>
      <c r="F2921" s="24">
        <f>'Data_in-situ'!CF128</f>
        <v>4465.2242350151555</v>
      </c>
      <c r="G2921" s="46">
        <f>'Data_in-situ'!CG128</f>
        <v>48</v>
      </c>
      <c r="H2921" s="24">
        <f>'Data_in-situ'!CN128</f>
        <v>25786.496613792402</v>
      </c>
      <c r="I2921" s="24">
        <f>'Data_in-situ'!CO128</f>
        <v>7450.7457504082913</v>
      </c>
      <c r="J2921" s="46">
        <f>'Data_in-situ'!CP128</f>
        <v>48</v>
      </c>
      <c r="K2921" s="24">
        <f>'Data_in-situ'!CR128</f>
        <v>19674.213717161841</v>
      </c>
      <c r="L2921" s="24">
        <f>'Data_in-situ'!CS128</f>
        <v>4051.362841738935</v>
      </c>
      <c r="M2921" s="46">
        <f>'Data_in-situ'!CT128</f>
        <v>48</v>
      </c>
      <c r="N2921" s="24">
        <f>'Data_in-situ'!DA30</f>
        <v>-17074.481329559963</v>
      </c>
      <c r="O2921" s="24">
        <f>'Data_in-situ'!DB30</f>
        <v>1832.3959637482985</v>
      </c>
      <c r="P2921" s="46">
        <f>'Data_in-situ'!DC30</f>
        <v>6</v>
      </c>
      <c r="Q2921" s="24">
        <f>'Data_in-situ'!DE30</f>
        <v>-12991.21113720677</v>
      </c>
      <c r="R2921" s="24">
        <f>'Data_in-situ'!DF30</f>
        <v>15856.449105704574</v>
      </c>
      <c r="S2921" s="46">
        <f>'Data_in-situ'!DG30</f>
        <v>6</v>
      </c>
      <c r="T2921" s="113">
        <f>'Data_in-situ'!DN4</f>
        <v>155.93</v>
      </c>
      <c r="U2921" s="113">
        <f>'Data_in-situ'!DO4</f>
        <v>91.89</v>
      </c>
      <c r="V2921" s="46">
        <f>'Data_in-situ'!DP4</f>
        <v>3</v>
      </c>
      <c r="W2921" s="113">
        <f>'Data_in-situ'!DR4</f>
        <v>-0.61299999999999999</v>
      </c>
      <c r="X2921" s="113">
        <f>'Data_in-situ'!DS4</f>
        <v>0.52600000000000002</v>
      </c>
      <c r="Y2921" s="46">
        <f>'Data_in-situ'!DT4</f>
        <v>3</v>
      </c>
      <c r="Z2921" s="113">
        <f>'Data_in-situ'!EA10</f>
        <v>0.10912682734488738</v>
      </c>
      <c r="AA2921" s="113">
        <f>'Data_in-situ'!EB10</f>
        <v>0.23951135746402341</v>
      </c>
      <c r="AB2921" s="46">
        <f>'Data_in-situ'!EC10</f>
        <v>3</v>
      </c>
      <c r="AC2921" s="113">
        <f>'Data_in-situ'!EE10</f>
        <v>1.8711108749125607</v>
      </c>
      <c r="AD2921" s="113">
        <f>'Data_in-situ'!EF10</f>
        <v>1.1438689414400234</v>
      </c>
      <c r="AE2921" s="46">
        <f>'Data_in-situ'!EG10</f>
        <v>3</v>
      </c>
      <c r="AF2921" s="113">
        <f>'Data_in-situ'!EN17</f>
        <v>-31.375000000000004</v>
      </c>
      <c r="AG2921" s="113">
        <f>'Data_in-situ'!EO17</f>
        <v>10.767974391685748</v>
      </c>
      <c r="AH2921" s="110">
        <f>'Data_in-situ'!EP17</f>
        <v>4</v>
      </c>
      <c r="AI2921" s="113">
        <f>'Data_in-situ'!ER17</f>
        <v>-57.38</v>
      </c>
      <c r="AJ2921" s="113">
        <f>'Data_in-situ'!ES17</f>
        <v>9.4499999999999993</v>
      </c>
      <c r="AK2921" s="110">
        <f>'Data_in-situ'!ET17</f>
        <v>4</v>
      </c>
    </row>
    <row r="2922" spans="1:37" x14ac:dyDescent="0.3">
      <c r="B2922" s="24">
        <f>'Data_in-situ'!CA129</f>
        <v>-30804.409295502097</v>
      </c>
      <c r="C2922" s="24">
        <f>'Data_in-situ'!CB129</f>
        <v>7508.6897887327168</v>
      </c>
      <c r="D2922" s="46">
        <f>'Data_in-situ'!CC129</f>
        <v>48</v>
      </c>
      <c r="E2922" s="24">
        <f>'Data_in-situ'!CE129</f>
        <v>-22424.619825270362</v>
      </c>
      <c r="F2922" s="24">
        <f>'Data_in-situ'!CF129</f>
        <v>7078.0868325420652</v>
      </c>
      <c r="G2922" s="46">
        <f>'Data_in-situ'!CG129</f>
        <v>48</v>
      </c>
      <c r="H2922" s="24">
        <f>'Data_in-situ'!CN129</f>
        <v>25786.496613792402</v>
      </c>
      <c r="I2922" s="24">
        <f>'Data_in-situ'!CO129</f>
        <v>7450.7457504082913</v>
      </c>
      <c r="J2922" s="46">
        <f>'Data_in-situ'!CP129</f>
        <v>48</v>
      </c>
      <c r="K2922" s="24">
        <f>'Data_in-situ'!CR129</f>
        <v>34101.631064272638</v>
      </c>
      <c r="L2922" s="24">
        <f>'Data_in-situ'!CS129</f>
        <v>6764.0540443406962</v>
      </c>
      <c r="M2922" s="46">
        <f>'Data_in-situ'!CT129</f>
        <v>48</v>
      </c>
      <c r="N2922" s="24">
        <f>'Data_in-situ'!DA31</f>
        <v>-4689.643417663603</v>
      </c>
      <c r="O2922" s="24">
        <f>'Data_in-situ'!DB31</f>
        <v>822.55847950944644</v>
      </c>
      <c r="P2922" s="46">
        <f>'Data_in-situ'!DC31</f>
        <v>6</v>
      </c>
      <c r="Q2922" s="24">
        <f>'Data_in-situ'!DE31</f>
        <v>-2133.0499944609001</v>
      </c>
      <c r="R2922" s="24">
        <f>'Data_in-situ'!DF31</f>
        <v>2649.3488808970865</v>
      </c>
      <c r="S2922" s="46">
        <f>'Data_in-situ'!DG31</f>
        <v>6</v>
      </c>
      <c r="T2922" s="113">
        <f>'Data_in-situ'!DN5</f>
        <v>155.93</v>
      </c>
      <c r="U2922" s="113">
        <f>'Data_in-situ'!DO5</f>
        <v>91.89</v>
      </c>
      <c r="V2922" s="46">
        <f>'Data_in-situ'!DP5</f>
        <v>3</v>
      </c>
      <c r="W2922" s="113">
        <f>'Data_in-situ'!DR5</f>
        <v>-0.35</v>
      </c>
      <c r="X2922" s="113">
        <f>'Data_in-situ'!DS5</f>
        <v>0.70099999999999996</v>
      </c>
      <c r="Y2922" s="46">
        <f>'Data_in-situ'!DT5</f>
        <v>3</v>
      </c>
      <c r="Z2922" s="113">
        <f>'Data_in-situ'!EA11</f>
        <v>0.10912682734488738</v>
      </c>
      <c r="AA2922" s="113">
        <f>'Data_in-situ'!EB11</f>
        <v>0.23951135746402341</v>
      </c>
      <c r="AB2922" s="46">
        <f>'Data_in-situ'!EC11</f>
        <v>3</v>
      </c>
      <c r="AC2922" s="113">
        <f>'Data_in-situ'!EE11</f>
        <v>0.2673015535589372</v>
      </c>
      <c r="AD2922" s="113">
        <f>'Data_in-situ'!EF11</f>
        <v>0.16021073937933927</v>
      </c>
      <c r="AE2922" s="46">
        <f>'Data_in-situ'!EG11</f>
        <v>3</v>
      </c>
      <c r="AF2922" s="113">
        <f>'Data_in-situ'!EN18</f>
        <v>-6.17</v>
      </c>
      <c r="AG2922" s="113">
        <f>'Data_in-situ'!EO18</f>
        <v>1.6</v>
      </c>
      <c r="AH2922" s="110">
        <f>'Data_in-situ'!EP18</f>
        <v>3</v>
      </c>
      <c r="AI2922" s="113">
        <f>'Data_in-situ'!ER18</f>
        <v>-32.340000000000003</v>
      </c>
      <c r="AJ2922" s="113">
        <f>'Data_in-situ'!ES18</f>
        <v>1.06</v>
      </c>
      <c r="AK2922" s="110">
        <f>'Data_in-situ'!ET18</f>
        <v>3</v>
      </c>
    </row>
    <row r="2923" spans="1:37" x14ac:dyDescent="0.3">
      <c r="B2923" s="24">
        <f>'Data_in-situ'!CA130</f>
        <v>-39843.491213361398</v>
      </c>
      <c r="C2923" s="24">
        <f>'Data_in-situ'!CB130</f>
        <v>12909.471724359584</v>
      </c>
      <c r="D2923" s="46">
        <f>'Data_in-situ'!CC130</f>
        <v>66</v>
      </c>
      <c r="E2923" s="24">
        <f>'Data_in-situ'!CE130</f>
        <v>-35035.77220338145</v>
      </c>
      <c r="F2923" s="24">
        <f>'Data_in-situ'!CF130</f>
        <v>6481.9820713073177</v>
      </c>
      <c r="G2923" s="46">
        <f>'Data_in-situ'!CG130</f>
        <v>66</v>
      </c>
      <c r="H2923" s="24">
        <f>'Data_in-situ'!CN130</f>
        <v>35408.568959456847</v>
      </c>
      <c r="I2923" s="24">
        <f>'Data_in-situ'!CO130</f>
        <v>12878.668982057387</v>
      </c>
      <c r="J2923" s="46">
        <f>'Data_in-situ'!CP130</f>
        <v>66</v>
      </c>
      <c r="K2923" s="24">
        <f>'Data_in-situ'!CR130</f>
        <v>26888.134502472181</v>
      </c>
      <c r="L2923" s="24">
        <f>'Data_in-situ'!CS130</f>
        <v>6047.8746396959068</v>
      </c>
      <c r="M2923" s="46">
        <f>'Data_in-situ'!CT130</f>
        <v>66</v>
      </c>
      <c r="N2923" s="24">
        <f>'Data_in-situ'!DA128</f>
        <v>-5017.9126817096931</v>
      </c>
      <c r="O2923" s="24">
        <f>'Data_in-situ'!DB128</f>
        <v>931.02637244697166</v>
      </c>
      <c r="P2923" s="46">
        <f>'Data_in-situ'!DC128</f>
        <v>48</v>
      </c>
      <c r="Q2923" s="24">
        <f>'Data_in-situ'!DE128</f>
        <v>-4242.8650395176674</v>
      </c>
      <c r="R2923" s="24">
        <f>'Data_in-situ'!DF128</f>
        <v>1877.4148698526124</v>
      </c>
      <c r="S2923" s="46">
        <f>'Data_in-situ'!DG128</f>
        <v>48</v>
      </c>
      <c r="T2923" s="113">
        <f>'Data_in-situ'!DN6</f>
        <v>155.93</v>
      </c>
      <c r="U2923" s="113">
        <f>'Data_in-situ'!DO6</f>
        <v>91.89</v>
      </c>
      <c r="V2923" s="46">
        <f>'Data_in-situ'!DP6</f>
        <v>3</v>
      </c>
      <c r="W2923" s="113">
        <f>'Data_in-situ'!DR6</f>
        <v>-0.96399999999999997</v>
      </c>
      <c r="X2923" s="113">
        <f>'Data_in-situ'!DS6</f>
        <v>0.26300000000000001</v>
      </c>
      <c r="Y2923" s="46">
        <f>'Data_in-situ'!DT6</f>
        <v>3</v>
      </c>
      <c r="Z2923" s="113">
        <f>'Data_in-situ'!EA12</f>
        <v>0.10912682734488738</v>
      </c>
      <c r="AA2923" s="113">
        <f>'Data_in-situ'!EB12</f>
        <v>0.23951135746402341</v>
      </c>
      <c r="AB2923" s="46">
        <f>'Data_in-situ'!EC12</f>
        <v>3</v>
      </c>
      <c r="AC2923" s="113">
        <f>'Data_in-situ'!EE12</f>
        <v>1.6305394767095169</v>
      </c>
      <c r="AD2923" s="113">
        <f>'Data_in-situ'!EF12</f>
        <v>0.96616422362470822</v>
      </c>
      <c r="AE2923" s="46">
        <f>'Data_in-situ'!EG12</f>
        <v>3</v>
      </c>
      <c r="AF2923" s="113">
        <f>'Data_in-situ'!EN19</f>
        <v>-6.17</v>
      </c>
      <c r="AG2923" s="113">
        <f>'Data_in-situ'!EO19</f>
        <v>1.6</v>
      </c>
      <c r="AH2923" s="110">
        <f>'Data_in-situ'!EP19</f>
        <v>3</v>
      </c>
      <c r="AI2923" s="113">
        <f>'Data_in-situ'!ER19</f>
        <v>-37.89</v>
      </c>
      <c r="AJ2923" s="113">
        <f>'Data_in-situ'!ES19</f>
        <v>1.4</v>
      </c>
      <c r="AK2923" s="110">
        <f>'Data_in-situ'!ET19</f>
        <v>3</v>
      </c>
    </row>
    <row r="2924" spans="1:37" x14ac:dyDescent="0.3">
      <c r="B2924" s="24">
        <f>'Data_in-situ'!CA131</f>
        <v>-39843.491213361398</v>
      </c>
      <c r="C2924" s="24">
        <f>'Data_in-situ'!CB131</f>
        <v>12909.471724359584</v>
      </c>
      <c r="D2924" s="46">
        <f>'Data_in-situ'!CC131</f>
        <v>66</v>
      </c>
      <c r="E2924" s="24">
        <f>'Data_in-situ'!CE131</f>
        <v>-47094.824204889017</v>
      </c>
      <c r="F2924" s="24">
        <f>'Data_in-situ'!CF131</f>
        <v>13325.726368768714</v>
      </c>
      <c r="G2924" s="46">
        <f>'Data_in-situ'!CG131</f>
        <v>66</v>
      </c>
      <c r="H2924" s="24">
        <f>'Data_in-situ'!CN131</f>
        <v>35408.568959456847</v>
      </c>
      <c r="I2924" s="24">
        <f>'Data_in-situ'!CO131</f>
        <v>12878.668982057387</v>
      </c>
      <c r="J2924" s="46">
        <f>'Data_in-situ'!CP131</f>
        <v>66</v>
      </c>
      <c r="K2924" s="24">
        <f>'Data_in-situ'!CR131</f>
        <v>52464.145688921722</v>
      </c>
      <c r="L2924" s="24">
        <f>'Data_in-situ'!CS131</f>
        <v>12723.425553607172</v>
      </c>
      <c r="M2924" s="46">
        <f>'Data_in-situ'!CT131</f>
        <v>66</v>
      </c>
      <c r="N2924" s="24">
        <f>'Data_in-situ'!DA129</f>
        <v>-5017.9126817096931</v>
      </c>
      <c r="O2924" s="24">
        <f>'Data_in-situ'!DB129</f>
        <v>931.02637244697166</v>
      </c>
      <c r="P2924" s="46">
        <f>'Data_in-situ'!DC129</f>
        <v>48</v>
      </c>
      <c r="Q2924" s="24">
        <f>'Data_in-situ'!DE129</f>
        <v>11677.011239002279</v>
      </c>
      <c r="R2924" s="24">
        <f>'Data_in-situ'!DF129</f>
        <v>2084.9187260523231</v>
      </c>
      <c r="S2924" s="46">
        <f>'Data_in-situ'!DG129</f>
        <v>48</v>
      </c>
      <c r="T2924" s="113">
        <f>'Data_in-situ'!DN7</f>
        <v>155.93</v>
      </c>
      <c r="U2924" s="113">
        <f>'Data_in-situ'!DO7</f>
        <v>91.89</v>
      </c>
      <c r="V2924" s="46">
        <f>'Data_in-situ'!DP7</f>
        <v>3</v>
      </c>
      <c r="W2924" s="113">
        <f>'Data_in-situ'!DR7</f>
        <v>0.35</v>
      </c>
      <c r="X2924" s="113">
        <f>'Data_in-situ'!DS7</f>
        <v>1.927</v>
      </c>
      <c r="Y2924" s="46">
        <f>'Data_in-situ'!DT7</f>
        <v>3</v>
      </c>
      <c r="Z2924" s="113">
        <f>'Data_in-situ'!EA13</f>
        <v>0.10912682734488738</v>
      </c>
      <c r="AA2924" s="113">
        <f>'Data_in-situ'!EB13</f>
        <v>0.23951135746402341</v>
      </c>
      <c r="AB2924" s="46">
        <f>'Data_in-situ'!EC13</f>
        <v>3</v>
      </c>
      <c r="AC2924" s="113">
        <f>'Data_in-situ'!EE13</f>
        <v>2.1116822731156044</v>
      </c>
      <c r="AD2924" s="113">
        <f>'Data_in-situ'!EF13</f>
        <v>0.9849415206790767</v>
      </c>
      <c r="AE2924" s="46">
        <f>'Data_in-situ'!EG13</f>
        <v>3</v>
      </c>
      <c r="AF2924" s="113">
        <f>'Data_in-situ'!EN22</f>
        <v>-6.17</v>
      </c>
      <c r="AG2924" s="113">
        <f>'Data_in-situ'!EO22</f>
        <v>1.6</v>
      </c>
      <c r="AH2924" s="110">
        <f>'Data_in-situ'!EP22</f>
        <v>3</v>
      </c>
      <c r="AI2924" s="113">
        <f>'Data_in-situ'!ER22</f>
        <v>-40</v>
      </c>
      <c r="AJ2924" s="113">
        <f>'Data_in-situ'!ES22</f>
        <v>0</v>
      </c>
      <c r="AK2924" s="110">
        <f>'Data_in-situ'!ET22</f>
        <v>3</v>
      </c>
    </row>
    <row r="2925" spans="1:37" x14ac:dyDescent="0.3">
      <c r="B2925" s="24">
        <f>'Data_in-situ'!CA132</f>
        <v>-16584.165556391476</v>
      </c>
      <c r="C2925" s="24">
        <f>'Data_in-situ'!CB132</f>
        <v>3505.6021221629076</v>
      </c>
      <c r="D2925" s="46">
        <f>'Data_in-situ'!CC132</f>
        <v>57</v>
      </c>
      <c r="E2925" s="24">
        <f>'Data_in-situ'!CE132</f>
        <v>-18655.544302064984</v>
      </c>
      <c r="F2925" s="24">
        <f>'Data_in-situ'!CF132</f>
        <v>9333.8389055230891</v>
      </c>
      <c r="G2925" s="46">
        <f>'Data_in-situ'!CG132</f>
        <v>57</v>
      </c>
      <c r="H2925" s="24">
        <f>'Data_in-situ'!CN132</f>
        <v>12315.894090129594</v>
      </c>
      <c r="I2925" s="24">
        <f>'Data_in-situ'!CO132</f>
        <v>3346.1883831600085</v>
      </c>
      <c r="J2925" s="46">
        <f>'Data_in-situ'!CP132</f>
        <v>57</v>
      </c>
      <c r="K2925" s="24">
        <f>'Data_in-situ'!CR132</f>
        <v>12460.292931851514</v>
      </c>
      <c r="L2925" s="24">
        <f>'Data_in-situ'!CS132</f>
        <v>2060.2193631794362</v>
      </c>
      <c r="M2925" s="46">
        <f>'Data_in-situ'!CT132</f>
        <v>57</v>
      </c>
      <c r="N2925" s="24">
        <f>'Data_in-situ'!DA130</f>
        <v>-4434.9222539045541</v>
      </c>
      <c r="O2925" s="24">
        <f>'Data_in-situ'!DB130</f>
        <v>891.2605974868037</v>
      </c>
      <c r="P2925" s="46">
        <f>'Data_in-situ'!DC130</f>
        <v>66</v>
      </c>
      <c r="Q2925" s="24">
        <f>'Data_in-situ'!DE130</f>
        <v>-8147.6377009092694</v>
      </c>
      <c r="R2925" s="24">
        <f>'Data_in-situ'!DF130</f>
        <v>2332.2315312319697</v>
      </c>
      <c r="S2925" s="46">
        <f>'Data_in-situ'!DG130</f>
        <v>66</v>
      </c>
      <c r="T2925" s="113">
        <f>'Data_in-situ'!DN8</f>
        <v>77.679769199310513</v>
      </c>
      <c r="U2925" s="113">
        <f>'Data_in-situ'!DO8</f>
        <v>41.109363664076781</v>
      </c>
      <c r="V2925" s="46">
        <f>'Data_in-situ'!DP8</f>
        <v>3</v>
      </c>
      <c r="W2925" s="113">
        <f>'Data_in-situ'!DR8</f>
        <v>1.3178677201023323</v>
      </c>
      <c r="X2925" s="113">
        <f>'Data_in-situ'!DS8</f>
        <v>0.99682589896901586</v>
      </c>
      <c r="Y2925" s="46">
        <f>'Data_in-situ'!DT8</f>
        <v>3</v>
      </c>
      <c r="Z2925" s="113">
        <f>'Data_in-situ'!EA33</f>
        <v>0.3</v>
      </c>
      <c r="AA2925" s="113">
        <f>'Data_in-situ'!EB33</f>
        <v>0.35</v>
      </c>
      <c r="AB2925" s="46">
        <f>'Data_in-situ'!EC33</f>
        <v>6</v>
      </c>
      <c r="AC2925" s="113">
        <f>'Data_in-situ'!EE33</f>
        <v>3</v>
      </c>
      <c r="AD2925" s="113">
        <f>'Data_in-situ'!EF33</f>
        <v>0.95</v>
      </c>
      <c r="AE2925" s="46">
        <f>'Data_in-situ'!EG33</f>
        <v>6</v>
      </c>
      <c r="AF2925" s="113">
        <f>'Data_in-situ'!EN23</f>
        <v>-6.17</v>
      </c>
      <c r="AG2925" s="113">
        <f>'Data_in-situ'!EO23</f>
        <v>1.6</v>
      </c>
      <c r="AH2925" s="110">
        <f>'Data_in-situ'!EP23</f>
        <v>3</v>
      </c>
      <c r="AI2925" s="113">
        <f>'Data_in-situ'!ER23</f>
        <v>-14.475524475524482</v>
      </c>
      <c r="AJ2925" s="113">
        <f>'Data_in-situ'!ES23</f>
        <v>3.4828674393339902</v>
      </c>
      <c r="AK2925" s="110">
        <f>'Data_in-situ'!ET23</f>
        <v>3</v>
      </c>
    </row>
    <row r="2926" spans="1:37" x14ac:dyDescent="0.3">
      <c r="B2926" s="24">
        <f>'Data_in-situ'!CA133</f>
        <v>-16584.165556391476</v>
      </c>
      <c r="C2926" s="24">
        <f>'Data_in-situ'!CB133</f>
        <v>3505.6021221629076</v>
      </c>
      <c r="D2926" s="46">
        <f>'Data_in-situ'!CC133</f>
        <v>57</v>
      </c>
      <c r="E2926" s="24">
        <f>'Data_in-situ'!CE133</f>
        <v>-16893.314446670054</v>
      </c>
      <c r="F2926" s="24">
        <f>'Data_in-situ'!CF133</f>
        <v>9325.4215781383391</v>
      </c>
      <c r="G2926" s="46">
        <f>'Data_in-situ'!CG133</f>
        <v>57</v>
      </c>
      <c r="H2926" s="24">
        <f>'Data_in-situ'!CN133</f>
        <v>12315.894090129594</v>
      </c>
      <c r="I2926" s="24">
        <f>'Data_in-situ'!CO133</f>
        <v>3346.1883831600085</v>
      </c>
      <c r="J2926" s="46">
        <f>'Data_in-situ'!CP133</f>
        <v>57</v>
      </c>
      <c r="K2926" s="24">
        <f>'Data_in-situ'!CR133</f>
        <v>11148.593839338751</v>
      </c>
      <c r="L2926" s="24">
        <f>'Data_in-situ'!CS133</f>
        <v>2042.0451589318177</v>
      </c>
      <c r="M2926" s="46">
        <f>'Data_in-situ'!CT133</f>
        <v>57</v>
      </c>
      <c r="N2926" s="24">
        <f>'Data_in-situ'!DA131</f>
        <v>-4434.9222539045541</v>
      </c>
      <c r="O2926" s="24">
        <f>'Data_in-situ'!DB131</f>
        <v>891.2605974868037</v>
      </c>
      <c r="P2926" s="46">
        <f>'Data_in-situ'!DC131</f>
        <v>66</v>
      </c>
      <c r="Q2926" s="24">
        <f>'Data_in-situ'!DE131</f>
        <v>5369.3214840327073</v>
      </c>
      <c r="R2926" s="24">
        <f>'Data_in-situ'!DF131</f>
        <v>3960.9879370068538</v>
      </c>
      <c r="S2926" s="46">
        <f>'Data_in-situ'!DG131</f>
        <v>66</v>
      </c>
      <c r="T2926" s="113">
        <f>'Data_in-situ'!DN9</f>
        <v>77.679769199310513</v>
      </c>
      <c r="U2926" s="113">
        <f>'Data_in-situ'!DO9</f>
        <v>41.109363664076781</v>
      </c>
      <c r="V2926" s="46">
        <f>'Data_in-situ'!DP9</f>
        <v>3</v>
      </c>
      <c r="W2926" s="113">
        <f>'Data_in-situ'!DR9</f>
        <v>-1.0998745633936757</v>
      </c>
      <c r="X2926" s="113">
        <f>'Data_in-situ'!DS9</f>
        <v>0.82147395233930254</v>
      </c>
      <c r="Y2926" s="46">
        <f>'Data_in-situ'!DT9</f>
        <v>3</v>
      </c>
      <c r="Z2926" s="113">
        <f>'Data_in-situ'!EA92</f>
        <v>2.357142857142857E-2</v>
      </c>
      <c r="AA2926" s="113">
        <f>'Data_in-situ'!EB92</f>
        <v>0.13553517172535659</v>
      </c>
      <c r="AB2926" s="46">
        <f>'Data_in-situ'!EC92</f>
        <v>3</v>
      </c>
      <c r="AC2926" s="113">
        <f>'Data_in-situ'!EE92</f>
        <v>2.1214285714285714</v>
      </c>
      <c r="AD2926" s="113">
        <f>'Data_in-situ'!EF92</f>
        <v>3.1675885453957426</v>
      </c>
      <c r="AE2926" s="46">
        <f>'Data_in-situ'!EG92</f>
        <v>3</v>
      </c>
      <c r="AF2926" s="113">
        <f>'Data_in-situ'!EN24</f>
        <v>-6.17</v>
      </c>
      <c r="AG2926" s="113">
        <f>'Data_in-situ'!EO24</f>
        <v>1.6</v>
      </c>
      <c r="AH2926" s="110">
        <f>'Data_in-situ'!EP24</f>
        <v>3</v>
      </c>
      <c r="AI2926" s="113">
        <f>'Data_in-situ'!ER24</f>
        <v>-40</v>
      </c>
      <c r="AJ2926" s="113">
        <f>'Data_in-situ'!ES24</f>
        <v>0</v>
      </c>
      <c r="AK2926" s="110">
        <f>'Data_in-situ'!ET24</f>
        <v>3</v>
      </c>
    </row>
    <row r="2927" spans="1:37" x14ac:dyDescent="0.3">
      <c r="B2927" s="24">
        <f>'Data_in-situ'!CA222</f>
        <v>-17643.02413085182</v>
      </c>
      <c r="C2927" s="24">
        <f>'Data_in-situ'!CB222</f>
        <v>3122.5184951907863</v>
      </c>
      <c r="D2927" s="46">
        <f>'Data_in-situ'!CC222</f>
        <v>3</v>
      </c>
      <c r="E2927" s="24">
        <f>'Data_in-situ'!CE222</f>
        <v>-18545.337897111574</v>
      </c>
      <c r="F2927" s="24">
        <f>'Data_in-situ'!CF222</f>
        <v>1220.592996774214</v>
      </c>
      <c r="G2927" s="46">
        <f>'Data_in-situ'!CG222</f>
        <v>3</v>
      </c>
      <c r="H2927" s="24">
        <f>'Data_in-situ'!CN222</f>
        <v>12120.970993298208</v>
      </c>
      <c r="I2927" s="24">
        <f>'Data_in-situ'!CO222</f>
        <v>2737.6911459160037</v>
      </c>
      <c r="J2927" s="46">
        <f>'Data_in-situ'!CP222</f>
        <v>3</v>
      </c>
      <c r="K2927" s="24">
        <f>'Data_in-situ'!CR222</f>
        <v>14804.615301473419</v>
      </c>
      <c r="L2927" s="24">
        <f>'Data_in-situ'!CS222</f>
        <v>2182.1730906862158</v>
      </c>
      <c r="M2927" s="46">
        <f>'Data_in-situ'!CT222</f>
        <v>3</v>
      </c>
      <c r="N2927" s="24">
        <f>'Data_in-situ'!DA132</f>
        <v>-4268.271466261881</v>
      </c>
      <c r="O2927" s="24">
        <f>'Data_in-situ'!DB132</f>
        <v>1045.11699982255</v>
      </c>
      <c r="P2927" s="46">
        <f>'Data_in-situ'!DC132</f>
        <v>57</v>
      </c>
      <c r="Q2927" s="24">
        <f>'Data_in-situ'!DE132</f>
        <v>-6195.2513702134684</v>
      </c>
      <c r="R2927" s="24">
        <f>'Data_in-situ'!DF132</f>
        <v>9103.6281168464357</v>
      </c>
      <c r="S2927" s="46">
        <f>'Data_in-situ'!DG132</f>
        <v>57</v>
      </c>
      <c r="T2927" s="113">
        <f>'Data_in-situ'!DN10</f>
        <v>80.930473720608589</v>
      </c>
      <c r="U2927" s="113">
        <f>'Data_in-situ'!DO10</f>
        <v>80.92749494901247</v>
      </c>
      <c r="V2927" s="46">
        <f>'Data_in-situ'!DP10</f>
        <v>3</v>
      </c>
      <c r="W2927" s="113">
        <f>'Data_in-situ'!DR10</f>
        <v>-0.14922022827514225</v>
      </c>
      <c r="X2927" s="113">
        <f>'Data_in-situ'!DS10</f>
        <v>1.9242287674114169</v>
      </c>
      <c r="Y2927" s="46">
        <f>'Data_in-situ'!DT10</f>
        <v>3</v>
      </c>
      <c r="Z2927" s="113">
        <f>'Data_in-situ'!EA93</f>
        <v>2.357142857142857E-2</v>
      </c>
      <c r="AA2927" s="113">
        <f>'Data_in-situ'!EB93</f>
        <v>0.13553517172535659</v>
      </c>
      <c r="AB2927" s="46">
        <f>'Data_in-situ'!EC93</f>
        <v>3</v>
      </c>
      <c r="AC2927" s="113">
        <f>'Data_in-situ'!EE93</f>
        <v>0.80142857142857149</v>
      </c>
      <c r="AD2927" s="113">
        <f>'Data_in-situ'!EF93</f>
        <v>1.1966445615939472</v>
      </c>
      <c r="AE2927" s="46">
        <f>'Data_in-situ'!EG93</f>
        <v>3</v>
      </c>
      <c r="AF2927" s="113">
        <f>'Data_in-situ'!EN25</f>
        <v>-6.17</v>
      </c>
      <c r="AG2927" s="113">
        <f>'Data_in-situ'!EO25</f>
        <v>1.6</v>
      </c>
      <c r="AH2927" s="110">
        <f>'Data_in-situ'!EP25</f>
        <v>3</v>
      </c>
      <c r="AI2927" s="113">
        <f>'Data_in-situ'!ER25</f>
        <v>-31.710108073744415</v>
      </c>
      <c r="AJ2927" s="113">
        <f>'Data_in-situ'!ES25</f>
        <v>5.4726041682006299</v>
      </c>
      <c r="AK2927" s="110">
        <f>'Data_in-situ'!ET25</f>
        <v>3</v>
      </c>
    </row>
    <row r="2928" spans="1:37" x14ac:dyDescent="0.3">
      <c r="B2928" s="24">
        <f>'Data_in-situ'!CA223</f>
        <v>-16723.603637465083</v>
      </c>
      <c r="C2928" s="24">
        <f>'Data_in-situ'!CB223</f>
        <v>2362.7967430320127</v>
      </c>
      <c r="D2928" s="46">
        <f>'Data_in-situ'!CC223</f>
        <v>3</v>
      </c>
      <c r="E2928" s="24">
        <f>'Data_in-situ'!CE223</f>
        <v>-16792.689257373804</v>
      </c>
      <c r="F2928" s="24">
        <f>'Data_in-situ'!CF223</f>
        <v>2297.5736170821519</v>
      </c>
      <c r="G2928" s="46">
        <f>'Data_in-situ'!CG223</f>
        <v>3</v>
      </c>
      <c r="H2928" s="24">
        <f>'Data_in-situ'!CN223</f>
        <v>10565.625157874983</v>
      </c>
      <c r="I2928" s="24">
        <f>'Data_in-situ'!CO223</f>
        <v>3177.8813752357983</v>
      </c>
      <c r="J2928" s="46">
        <f>'Data_in-situ'!CP223</f>
        <v>3</v>
      </c>
      <c r="K2928" s="24">
        <f>'Data_in-situ'!CR223</f>
        <v>13251.044559960765</v>
      </c>
      <c r="L2928" s="24">
        <f>'Data_in-situ'!CS223</f>
        <v>2768.2995631046829</v>
      </c>
      <c r="M2928" s="46">
        <f>'Data_in-situ'!CT223</f>
        <v>3</v>
      </c>
      <c r="N2928" s="24">
        <f>'Data_in-situ'!DA133</f>
        <v>-4268.271466261881</v>
      </c>
      <c r="O2928" s="24">
        <f>'Data_in-situ'!DB133</f>
        <v>1045.11699982255</v>
      </c>
      <c r="P2928" s="46">
        <f>'Data_in-situ'!DC133</f>
        <v>57</v>
      </c>
      <c r="Q2928" s="24">
        <f>'Data_in-situ'!DE133</f>
        <v>-5744.7206073313027</v>
      </c>
      <c r="R2928" s="24">
        <f>'Data_in-situ'!DF133</f>
        <v>9099.0955143295014</v>
      </c>
      <c r="S2928" s="46">
        <f>'Data_in-situ'!DG133</f>
        <v>57</v>
      </c>
      <c r="T2928" s="113">
        <f>'Data_in-situ'!DN11</f>
        <v>80.930473720608589</v>
      </c>
      <c r="U2928" s="113">
        <f>'Data_in-situ'!DO11</f>
        <v>80.92749494901247</v>
      </c>
      <c r="V2928" s="46">
        <f>'Data_in-situ'!DP11</f>
        <v>3</v>
      </c>
      <c r="W2928" s="113">
        <f>'Data_in-situ'!DR11</f>
        <v>2.5012626262626263</v>
      </c>
      <c r="X2928" s="113">
        <f>'Data_in-situ'!DS11</f>
        <v>2.3831947437160079</v>
      </c>
      <c r="Y2928" s="46">
        <f>'Data_in-situ'!DT11</f>
        <v>3</v>
      </c>
      <c r="Z2928" s="113">
        <f>'Data_in-situ'!EA128</f>
        <v>0.61975925336567961</v>
      </c>
      <c r="AA2928" s="113">
        <f>'Data_in-situ'!EB128</f>
        <v>0.31937151793647711</v>
      </c>
      <c r="AB2928" s="46">
        <f>'Data_in-situ'!EC128</f>
        <v>18</v>
      </c>
      <c r="AC2928" s="113">
        <f>'Data_in-situ'!EE128</f>
        <v>0.85760492742086802</v>
      </c>
      <c r="AD2928" s="113">
        <f>'Data_in-situ'!EF128</f>
        <v>1.8545293886198424</v>
      </c>
      <c r="AE2928" s="46">
        <f>'Data_in-situ'!EG128</f>
        <v>18</v>
      </c>
      <c r="AF2928" s="113">
        <f>'Data_in-situ'!EN33</f>
        <v>-9</v>
      </c>
      <c r="AG2928" s="113">
        <f>'Data_in-situ'!EO33</f>
        <v>1.9</v>
      </c>
      <c r="AH2928" s="110">
        <f>'Data_in-situ'!EP33</f>
        <v>3</v>
      </c>
      <c r="AI2928" s="113">
        <f>'Data_in-situ'!ER33</f>
        <v>-34.51</v>
      </c>
      <c r="AJ2928" s="113">
        <f>'Data_in-situ'!ES33</f>
        <v>4.08</v>
      </c>
      <c r="AK2928" s="110">
        <f>'Data_in-situ'!ET33</f>
        <v>3</v>
      </c>
    </row>
    <row r="2929" spans="2:37" x14ac:dyDescent="0.3">
      <c r="B2929" s="24">
        <f>'Data_in-situ'!CA224</f>
        <v>-13221.293435196718</v>
      </c>
      <c r="C2929" s="24">
        <f>'Data_in-situ'!CB224</f>
        <v>5835.686028701105</v>
      </c>
      <c r="D2929" s="46">
        <f>'Data_in-situ'!CC224</f>
        <v>3</v>
      </c>
      <c r="E2929" s="24">
        <f>'Data_in-situ'!CE224</f>
        <v>-13858.019355218201</v>
      </c>
      <c r="F2929" s="24">
        <f>'Data_in-situ'!CF224</f>
        <v>8055.4344954724056</v>
      </c>
      <c r="G2929" s="46">
        <f>'Data_in-situ'!CG224</f>
        <v>3</v>
      </c>
      <c r="H2929" s="24">
        <f>'Data_in-situ'!CN224</f>
        <v>9278.44239752473</v>
      </c>
      <c r="I2929" s="24">
        <f>'Data_in-situ'!CO224</f>
        <v>3665.2968271222612</v>
      </c>
      <c r="J2929" s="46">
        <f>'Data_in-situ'!CP224</f>
        <v>3</v>
      </c>
      <c r="K2929" s="24">
        <f>'Data_in-situ'!CR224</f>
        <v>8910.18513514601</v>
      </c>
      <c r="L2929" s="24">
        <f>'Data_in-situ'!CS224</f>
        <v>4926.3065430817614</v>
      </c>
      <c r="M2929" s="46">
        <f>'Data_in-situ'!CT224</f>
        <v>3</v>
      </c>
      <c r="N2929" s="24">
        <f>'Data_in-situ'!DA135</f>
        <v>2000</v>
      </c>
      <c r="O2929" s="24">
        <f>'Data_in-situ'!DB135</f>
        <v>5999.3131173724232</v>
      </c>
      <c r="P2929" s="46">
        <f>'Data_in-situ'!DC135</f>
        <v>3</v>
      </c>
      <c r="Q2929" s="24">
        <f>'Data_in-situ'!DE135</f>
        <v>-6800</v>
      </c>
      <c r="R2929" s="24">
        <f>'Data_in-situ'!DF135</f>
        <v>6481.3710012383399</v>
      </c>
      <c r="S2929" s="46">
        <f>'Data_in-situ'!DG135</f>
        <v>3</v>
      </c>
      <c r="T2929" s="113">
        <f>'Data_in-situ'!DN12</f>
        <v>80.930473720608589</v>
      </c>
      <c r="U2929" s="113">
        <f>'Data_in-situ'!DO12</f>
        <v>80.92749494901247</v>
      </c>
      <c r="V2929" s="46">
        <f>'Data_in-situ'!DP12</f>
        <v>3</v>
      </c>
      <c r="W2929" s="113">
        <f>'Data_in-situ'!DR12</f>
        <v>-2.9015044386833213</v>
      </c>
      <c r="X2929" s="113">
        <f>'Data_in-situ'!DS12</f>
        <v>2.2386157093008641</v>
      </c>
      <c r="Y2929" s="46">
        <f>'Data_in-situ'!DT12</f>
        <v>3</v>
      </c>
      <c r="Z2929" s="113">
        <f>'Data_in-situ'!EA129</f>
        <v>0.61975925336567961</v>
      </c>
      <c r="AA2929" s="113">
        <f>'Data_in-situ'!EB129</f>
        <v>0.31937151793647711</v>
      </c>
      <c r="AB2929" s="46">
        <f>'Data_in-situ'!EC129</f>
        <v>18</v>
      </c>
      <c r="AC2929" s="113">
        <f>'Data_in-situ'!EE129</f>
        <v>1.2578205602172745</v>
      </c>
      <c r="AD2929" s="113">
        <f>'Data_in-situ'!EF129</f>
        <v>0.63959090137404107</v>
      </c>
      <c r="AE2929" s="46">
        <f>'Data_in-situ'!EG129</f>
        <v>18</v>
      </c>
      <c r="AF2929" s="113">
        <f>'Data_in-situ'!EN92</f>
        <v>-2.62</v>
      </c>
      <c r="AG2929" s="113">
        <f>'Data_in-situ'!EO92</f>
        <v>0.79</v>
      </c>
      <c r="AH2929" s="110">
        <f>'Data_in-situ'!EP92</f>
        <v>3</v>
      </c>
      <c r="AI2929" s="113">
        <f>'Data_in-situ'!ER92</f>
        <v>-21.88</v>
      </c>
      <c r="AJ2929" s="113">
        <f>'Data_in-situ'!ES92</f>
        <v>3.76</v>
      </c>
      <c r="AK2929" s="110">
        <f>'Data_in-situ'!ET92</f>
        <v>3</v>
      </c>
    </row>
    <row r="2930" spans="2:37" x14ac:dyDescent="0.3">
      <c r="B2930" s="24">
        <f>'Data_in-situ'!CA225</f>
        <v>-12433.234643422073</v>
      </c>
      <c r="C2930" s="24">
        <f>'Data_in-situ'!CB225</f>
        <v>4080.0979371640278</v>
      </c>
      <c r="D2930" s="46">
        <f>'Data_in-situ'!CC225</f>
        <v>3</v>
      </c>
      <c r="E2930" s="24">
        <f>'Data_in-situ'!CE225</f>
        <v>-12839.064123912327</v>
      </c>
      <c r="F2930" s="24">
        <f>'Data_in-situ'!CF225</f>
        <v>6079.7463275012169</v>
      </c>
      <c r="G2930" s="46">
        <f>'Data_in-situ'!CG225</f>
        <v>3</v>
      </c>
      <c r="H2930" s="24">
        <f>'Data_in-situ'!CN225</f>
        <v>8581.2184023350092</v>
      </c>
      <c r="I2930" s="24">
        <f>'Data_in-situ'!CO225</f>
        <v>3466.4725308910288</v>
      </c>
      <c r="J2930" s="46">
        <f>'Data_in-situ'!CP225</f>
        <v>3</v>
      </c>
      <c r="K2930" s="24">
        <f>'Data_in-situ'!CR225</f>
        <v>7630.773936253252</v>
      </c>
      <c r="L2930" s="24">
        <f>'Data_in-situ'!CS225</f>
        <v>3659.7826622477482</v>
      </c>
      <c r="M2930" s="46">
        <f>'Data_in-situ'!CT225</f>
        <v>3</v>
      </c>
      <c r="N2930" s="24">
        <f>'Data_in-situ'!DA136</f>
        <v>2000</v>
      </c>
      <c r="O2930" s="24">
        <f>'Data_in-situ'!DB136</f>
        <v>5999.3131173724232</v>
      </c>
      <c r="P2930" s="46">
        <f>'Data_in-situ'!DC136</f>
        <v>3</v>
      </c>
      <c r="Q2930" s="24">
        <f>'Data_in-situ'!DE136</f>
        <v>-6800</v>
      </c>
      <c r="R2930" s="24">
        <f>'Data_in-situ'!DF136</f>
        <v>6481.3710012383399</v>
      </c>
      <c r="S2930" s="46">
        <f>'Data_in-situ'!DG136</f>
        <v>3</v>
      </c>
      <c r="T2930" s="113">
        <f>'Data_in-situ'!DN13</f>
        <v>80.930473720608589</v>
      </c>
      <c r="U2930" s="113">
        <f>'Data_in-situ'!DO13</f>
        <v>80.92749494901247</v>
      </c>
      <c r="V2930" s="46">
        <f>'Data_in-situ'!DP13</f>
        <v>3</v>
      </c>
      <c r="W2930" s="113">
        <f>'Data_in-situ'!DR13</f>
        <v>1.1401515151515151</v>
      </c>
      <c r="X2930" s="113">
        <f>'Data_in-situ'!DS13</f>
        <v>0.60565777356465134</v>
      </c>
      <c r="Y2930" s="46">
        <f>'Data_in-situ'!DT13</f>
        <v>3</v>
      </c>
      <c r="Z2930" s="113">
        <f>'Data_in-situ'!EA130</f>
        <v>0.32108009511715851</v>
      </c>
      <c r="AA2930" s="113">
        <f>'Data_in-situ'!EB130</f>
        <v>0.19494609457370263</v>
      </c>
      <c r="AB2930" s="46">
        <f>'Data_in-situ'!EC130</f>
        <v>18</v>
      </c>
      <c r="AC2930" s="113">
        <f>'Data_in-situ'!EE130</f>
        <v>1.0977343070987131</v>
      </c>
      <c r="AD2930" s="113">
        <f>'Data_in-situ'!EF130</f>
        <v>0.53387084501368376</v>
      </c>
      <c r="AE2930" s="46">
        <f>'Data_in-situ'!EG130</f>
        <v>18</v>
      </c>
      <c r="AF2930" s="113">
        <f>'Data_in-situ'!EN93</f>
        <v>-6.51</v>
      </c>
      <c r="AG2930" s="113">
        <f>'Data_in-situ'!EO93</f>
        <v>2.2799999999999998</v>
      </c>
      <c r="AH2930" s="110">
        <f>'Data_in-situ'!EP93</f>
        <v>3</v>
      </c>
      <c r="AI2930" s="113">
        <f>'Data_in-situ'!ER93</f>
        <v>-46.73</v>
      </c>
      <c r="AJ2930" s="113">
        <f>'Data_in-situ'!ES93</f>
        <v>5.78</v>
      </c>
      <c r="AK2930" s="110">
        <f>'Data_in-situ'!ET93</f>
        <v>3</v>
      </c>
    </row>
    <row r="2931" spans="2:37" x14ac:dyDescent="0.3">
      <c r="B2931" s="24">
        <f>'Data_in-situ'!CA345</f>
        <v>-1544.0509482067121</v>
      </c>
      <c r="C2931" s="24">
        <f>'Data_in-situ'!CB345</f>
        <v>837.60714709123818</v>
      </c>
      <c r="D2931" s="46">
        <f>'Data_in-situ'!CC345</f>
        <v>3</v>
      </c>
      <c r="E2931" s="24">
        <f>'Data_in-situ'!CE345</f>
        <v>-1178.558304384421</v>
      </c>
      <c r="F2931" s="24">
        <f>'Data_in-situ'!CF345</f>
        <v>1103.8093288412595</v>
      </c>
      <c r="G2931" s="46">
        <f>'Data_in-situ'!CG345</f>
        <v>3</v>
      </c>
      <c r="H2931" s="24">
        <f>'Data_in-situ'!CN345</f>
        <v>821.95693707396595</v>
      </c>
      <c r="I2931" s="24">
        <f>'Data_in-situ'!CO345</f>
        <v>860.95304933064097</v>
      </c>
      <c r="J2931" s="46">
        <f>'Data_in-situ'!CP345</f>
        <v>3</v>
      </c>
      <c r="K2931" s="24">
        <f>'Data_in-situ'!CR345</f>
        <v>1214.1076881752506</v>
      </c>
      <c r="L2931" s="24">
        <f>'Data_in-situ'!CS345</f>
        <v>590.58610863952993</v>
      </c>
      <c r="M2931" s="46">
        <f>'Data_in-situ'!CT345</f>
        <v>3</v>
      </c>
      <c r="N2931" s="24">
        <f>'Data_in-situ'!DA137</f>
        <v>2000</v>
      </c>
      <c r="O2931" s="24">
        <f>'Data_in-situ'!DB137</f>
        <v>5999.3131173724232</v>
      </c>
      <c r="P2931" s="46">
        <f>'Data_in-situ'!DC137</f>
        <v>3</v>
      </c>
      <c r="Q2931" s="24">
        <f>'Data_in-situ'!DE137</f>
        <v>-8000</v>
      </c>
      <c r="R2931" s="24">
        <f>'Data_in-situ'!DF137</f>
        <v>7625.1423543980472</v>
      </c>
      <c r="S2931" s="46">
        <f>'Data_in-situ'!DG137</f>
        <v>3</v>
      </c>
      <c r="T2931" s="113">
        <f>'Data_in-situ'!DN14</f>
        <v>1212.2979432249506</v>
      </c>
      <c r="U2931" s="113">
        <f>'Data_in-situ'!DO14</f>
        <v>324.6860048502561</v>
      </c>
      <c r="V2931" s="46">
        <f>'Data_in-situ'!DP14</f>
        <v>9</v>
      </c>
      <c r="W2931" s="113">
        <f>'Data_in-situ'!DR14</f>
        <v>4.8030530526021593</v>
      </c>
      <c r="X2931" s="113">
        <f>'Data_in-situ'!DS14</f>
        <v>10.100613157809143</v>
      </c>
      <c r="Y2931" s="46">
        <f>'Data_in-situ'!DT14</f>
        <v>9</v>
      </c>
      <c r="Z2931" s="113">
        <f>'Data_in-situ'!EA131</f>
        <v>0.32108009511715851</v>
      </c>
      <c r="AA2931" s="113">
        <f>'Data_in-situ'!EB131</f>
        <v>0.19494609457370263</v>
      </c>
      <c r="AB2931" s="46">
        <f>'Data_in-situ'!EC131</f>
        <v>18</v>
      </c>
      <c r="AC2931" s="113">
        <f>'Data_in-situ'!EE131</f>
        <v>0.69751867430230663</v>
      </c>
      <c r="AD2931" s="113">
        <f>'Data_in-situ'!EF131</f>
        <v>0.31514419303530533</v>
      </c>
      <c r="AE2931" s="46">
        <f>'Data_in-situ'!EG131</f>
        <v>18</v>
      </c>
      <c r="AF2931" s="113">
        <f>'Data_in-situ'!EN128</f>
        <v>-7.08</v>
      </c>
      <c r="AG2931" s="113">
        <f>'Data_in-situ'!EO128</f>
        <v>2.8850745031591569</v>
      </c>
      <c r="AH2931" s="110">
        <f>'Data_in-situ'!EP128</f>
        <v>18</v>
      </c>
      <c r="AI2931" s="113">
        <f>'Data_in-situ'!ER128</f>
        <v>-15.22</v>
      </c>
      <c r="AJ2931" s="113">
        <f>'Data_in-situ'!ES128</f>
        <v>3.4521098944099355</v>
      </c>
      <c r="AK2931" s="110">
        <f>'Data_in-situ'!ET128</f>
        <v>18</v>
      </c>
    </row>
    <row r="2932" spans="2:37" x14ac:dyDescent="0.3">
      <c r="B2932" s="24">
        <f>'Data_in-situ'!CA346</f>
        <v>-998.69911894347672</v>
      </c>
      <c r="C2932" s="24">
        <f>'Data_in-situ'!CB346</f>
        <v>642.0310889187042</v>
      </c>
      <c r="D2932" s="46">
        <f>'Data_in-situ'!CC346</f>
        <v>3</v>
      </c>
      <c r="E2932" s="24">
        <f>'Data_in-situ'!CE346</f>
        <v>-1433.3817215486201</v>
      </c>
      <c r="F2932" s="24">
        <f>'Data_in-situ'!CF346</f>
        <v>1186.7128562544101</v>
      </c>
      <c r="G2932" s="46">
        <f>'Data_in-situ'!CG346</f>
        <v>3</v>
      </c>
      <c r="H2932" s="24">
        <f>'Data_in-situ'!CN346</f>
        <v>688.14999382936685</v>
      </c>
      <c r="I2932" s="24">
        <f>'Data_in-situ'!CO346</f>
        <v>827.80955818446023</v>
      </c>
      <c r="J2932" s="46">
        <f>'Data_in-situ'!CP346</f>
        <v>3</v>
      </c>
      <c r="K2932" s="24">
        <f>'Data_in-situ'!CR346</f>
        <v>910.58076613143794</v>
      </c>
      <c r="L2932" s="24">
        <f>'Data_in-situ'!CS346</f>
        <v>867.05035134873242</v>
      </c>
      <c r="M2932" s="46">
        <f>'Data_in-situ'!CT346</f>
        <v>3</v>
      </c>
      <c r="N2932" s="24">
        <f>'Data_in-situ'!DA138</f>
        <v>2000</v>
      </c>
      <c r="O2932" s="24">
        <f>'Data_in-situ'!DB138</f>
        <v>5999.3131173724232</v>
      </c>
      <c r="P2932" s="46">
        <f>'Data_in-situ'!DC138</f>
        <v>3</v>
      </c>
      <c r="Q2932" s="24">
        <f>'Data_in-situ'!DE138</f>
        <v>-8000</v>
      </c>
      <c r="R2932" s="24">
        <f>'Data_in-situ'!DF138</f>
        <v>7625.1423543980472</v>
      </c>
      <c r="S2932" s="46">
        <f>'Data_in-situ'!DG138</f>
        <v>3</v>
      </c>
      <c r="T2932" s="113">
        <f>'Data_in-situ'!DN15</f>
        <v>2106.5008889916066</v>
      </c>
      <c r="U2932" s="113">
        <f>'Data_in-situ'!DO15</f>
        <v>550.27007995085796</v>
      </c>
      <c r="V2932" s="46">
        <f>'Data_in-situ'!DP15</f>
        <v>12</v>
      </c>
      <c r="W2932" s="113">
        <f>'Data_in-situ'!DR15</f>
        <v>-0.36946561943093542</v>
      </c>
      <c r="X2932" s="113">
        <f>'Data_in-situ'!DS15</f>
        <v>0.8584618328302922</v>
      </c>
      <c r="Y2932" s="46">
        <f>'Data_in-situ'!DT15</f>
        <v>12</v>
      </c>
      <c r="Z2932" s="113">
        <f>'Data_in-situ'!EA132</f>
        <v>0.6346932112781053</v>
      </c>
      <c r="AA2932" s="113">
        <f>'Data_in-situ'!EB132</f>
        <v>0.12856385073753784</v>
      </c>
      <c r="AB2932" s="46">
        <f>'Data_in-situ'!EC132</f>
        <v>21</v>
      </c>
      <c r="AC2932" s="113">
        <f>'Data_in-situ'!EE132</f>
        <v>0.75469233613036468</v>
      </c>
      <c r="AD2932" s="113">
        <f>'Data_in-situ'!EF132</f>
        <v>0.35864660190524744</v>
      </c>
      <c r="AE2932" s="46">
        <f>'Data_in-situ'!EG132</f>
        <v>21</v>
      </c>
      <c r="AF2932" s="113">
        <f>'Data_in-situ'!EN129</f>
        <v>-7.08</v>
      </c>
      <c r="AG2932" s="113">
        <f>'Data_in-situ'!EO129</f>
        <v>2.8850745031591569</v>
      </c>
      <c r="AH2932" s="110">
        <f>'Data_in-situ'!EP129</f>
        <v>18</v>
      </c>
      <c r="AI2932" s="113">
        <f>'Data_in-situ'!ER129</f>
        <v>-36.11</v>
      </c>
      <c r="AJ2932" s="113">
        <f>'Data_in-situ'!ES129</f>
        <v>8.190255472217002</v>
      </c>
      <c r="AK2932" s="110">
        <f>'Data_in-situ'!ET129</f>
        <v>18</v>
      </c>
    </row>
    <row r="2933" spans="2:37" x14ac:dyDescent="0.3">
      <c r="B2933" s="24">
        <f>'Data_in-situ'!CA347</f>
        <v>-757.07836436037758</v>
      </c>
      <c r="C2933" s="24">
        <f>'Data_in-situ'!CB347</f>
        <v>753.46149598311479</v>
      </c>
      <c r="D2933" s="46">
        <f>'Data_in-situ'!CC347</f>
        <v>3</v>
      </c>
      <c r="E2933" s="24">
        <f>'Data_in-situ'!CE347</f>
        <v>-1751.9109930038685</v>
      </c>
      <c r="F2933" s="24">
        <f>'Data_in-situ'!CF347</f>
        <v>1655.7034599262597</v>
      </c>
      <c r="G2933" s="46">
        <f>'Data_in-situ'!CG347</f>
        <v>3</v>
      </c>
      <c r="H2933" s="24">
        <f>'Data_in-situ'!CN347</f>
        <v>764.61110425485197</v>
      </c>
      <c r="I2933" s="24">
        <f>'Data_in-situ'!CO347</f>
        <v>794.72773935581358</v>
      </c>
      <c r="J2933" s="46">
        <f>'Data_in-situ'!CP347</f>
        <v>3</v>
      </c>
      <c r="K2933" s="24">
        <f>'Data_in-situ'!CR347</f>
        <v>1696.1798584801293</v>
      </c>
      <c r="L2933" s="24">
        <f>'Data_in-situ'!CS347</f>
        <v>1486.728586277671</v>
      </c>
      <c r="M2933" s="46">
        <f>'Data_in-situ'!CT347</f>
        <v>3</v>
      </c>
      <c r="N2933" s="24">
        <f>'Data_in-situ'!DA139</f>
        <v>2000</v>
      </c>
      <c r="O2933" s="24">
        <f>'Data_in-situ'!DB139</f>
        <v>5999.3131173724232</v>
      </c>
      <c r="P2933" s="46">
        <f>'Data_in-situ'!DC139</f>
        <v>3</v>
      </c>
      <c r="Q2933" s="24">
        <f>'Data_in-situ'!DE139</f>
        <v>-2000</v>
      </c>
      <c r="R2933" s="24">
        <f>'Data_in-situ'!DF139</f>
        <v>1906.2855885995118</v>
      </c>
      <c r="S2933" s="46">
        <f>'Data_in-situ'!DG139</f>
        <v>3</v>
      </c>
      <c r="T2933" s="113">
        <f>'Data_in-situ'!DN16</f>
        <v>382.09999892536933</v>
      </c>
      <c r="U2933" s="113">
        <f>'Data_in-situ'!DO16</f>
        <v>116.45849359259256</v>
      </c>
      <c r="V2933" s="46">
        <f>'Data_in-situ'!DP16</f>
        <v>9</v>
      </c>
      <c r="W2933" s="113">
        <f>'Data_in-situ'!DR16</f>
        <v>31.035112032198569</v>
      </c>
      <c r="X2933" s="113">
        <f>'Data_in-situ'!DS16</f>
        <v>65.358501102872523</v>
      </c>
      <c r="Y2933" s="46">
        <f>'Data_in-situ'!DT16</f>
        <v>9</v>
      </c>
      <c r="Z2933" s="113">
        <f>'Data_in-situ'!EA133</f>
        <v>0.6346932112781053</v>
      </c>
      <c r="AA2933" s="113">
        <f>'Data_in-situ'!EB133</f>
        <v>0.12856385073753784</v>
      </c>
      <c r="AB2933" s="46">
        <f>'Data_in-situ'!EC133</f>
        <v>21</v>
      </c>
      <c r="AC2933" s="113">
        <f>'Data_in-situ'!EE133</f>
        <v>0.77756180086158733</v>
      </c>
      <c r="AD2933" s="113">
        <f>'Data_in-situ'!EF133</f>
        <v>0.42421666014248416</v>
      </c>
      <c r="AE2933" s="46">
        <f>'Data_in-situ'!EG133</f>
        <v>21</v>
      </c>
      <c r="AF2933" s="113">
        <f>'Data_in-situ'!EN130</f>
        <v>-12.04</v>
      </c>
      <c r="AG2933" s="113">
        <f>'Data_in-situ'!EO130</f>
        <v>4.9062566409655712</v>
      </c>
      <c r="AH2933" s="110">
        <f>'Data_in-situ'!EP130</f>
        <v>18</v>
      </c>
      <c r="AI2933" s="113">
        <f>'Data_in-situ'!ER130</f>
        <v>-15.22</v>
      </c>
      <c r="AJ2933" s="113">
        <f>'Data_in-situ'!ES130</f>
        <v>3.4521098944099355</v>
      </c>
      <c r="AK2933" s="110">
        <f>'Data_in-situ'!ET130</f>
        <v>18</v>
      </c>
    </row>
    <row r="2934" spans="2:37" x14ac:dyDescent="0.3">
      <c r="B2934" s="24">
        <f>'Data_in-situ'!CA354</f>
        <v>-5163.6593652646679</v>
      </c>
      <c r="C2934" s="24">
        <f>'Data_in-situ'!CB354</f>
        <v>1258.9541681504393</v>
      </c>
      <c r="D2934" s="46">
        <f>'Data_in-situ'!CC354</f>
        <v>3</v>
      </c>
      <c r="E2934" s="24">
        <f>'Data_in-situ'!CE354</f>
        <v>-11281.753283847371</v>
      </c>
      <c r="F2934" s="24">
        <f>'Data_in-situ'!CF354</f>
        <v>4199.848101278134</v>
      </c>
      <c r="G2934" s="46">
        <f>'Data_in-situ'!CG354</f>
        <v>3</v>
      </c>
      <c r="H2934" s="24">
        <f>'Data_in-situ'!CN354</f>
        <v>3223.0754152425534</v>
      </c>
      <c r="I2934" s="24">
        <f>'Data_in-situ'!CO354</f>
        <v>927.04451000195218</v>
      </c>
      <c r="J2934" s="46">
        <f>'Data_in-situ'!CP354</f>
        <v>3</v>
      </c>
      <c r="K2934" s="24">
        <f>'Data_in-situ'!CR354</f>
        <v>10128.851360772116</v>
      </c>
      <c r="L2934" s="24">
        <f>'Data_in-situ'!CS354</f>
        <v>2657.7211591793016</v>
      </c>
      <c r="M2934" s="46">
        <f>'Data_in-situ'!CT354</f>
        <v>3</v>
      </c>
      <c r="N2934" s="24">
        <f>'Data_in-situ'!DA140</f>
        <v>2000</v>
      </c>
      <c r="O2934" s="24">
        <f>'Data_in-situ'!DB140</f>
        <v>5999.3131173724232</v>
      </c>
      <c r="P2934" s="46">
        <f>'Data_in-situ'!DC140</f>
        <v>3</v>
      </c>
      <c r="Q2934" s="24">
        <f>'Data_in-situ'!DE140</f>
        <v>-1999</v>
      </c>
      <c r="R2934" s="24">
        <f>'Data_in-situ'!DF140</f>
        <v>1905.332445805212</v>
      </c>
      <c r="S2934" s="46">
        <f>'Data_in-situ'!DG140</f>
        <v>3</v>
      </c>
      <c r="T2934" s="113">
        <f>'Data_in-situ'!DN17</f>
        <v>60.942159705621961</v>
      </c>
      <c r="U2934" s="113">
        <f>'Data_in-situ'!DO17</f>
        <v>16.400357502575496</v>
      </c>
      <c r="V2934" s="46">
        <f>'Data_in-situ'!DP17</f>
        <v>12</v>
      </c>
      <c r="W2934" s="113">
        <f>'Data_in-situ'!DR17</f>
        <v>31.035112032198569</v>
      </c>
      <c r="X2934" s="113">
        <f>'Data_in-situ'!DS17</f>
        <v>65.358501102872523</v>
      </c>
      <c r="Y2934" s="46">
        <f>'Data_in-situ'!DT17</f>
        <v>12</v>
      </c>
      <c r="Z2934" s="113">
        <f>'Data_in-situ'!EA135</f>
        <v>0.2</v>
      </c>
      <c r="AA2934" s="113">
        <f>'Data_in-situ'!EB135</f>
        <v>0.51961524227066314</v>
      </c>
      <c r="AB2934" s="46">
        <f>'Data_in-situ'!EC135</f>
        <v>3</v>
      </c>
      <c r="AC2934" s="113">
        <f>'Data_in-situ'!EE135</f>
        <v>0.9</v>
      </c>
      <c r="AD2934" s="113">
        <f>'Data_in-situ'!EF135</f>
        <v>1.0392304845413263</v>
      </c>
      <c r="AE2934" s="46">
        <f>'Data_in-situ'!EG135</f>
        <v>3</v>
      </c>
      <c r="AF2934" s="113">
        <f>'Data_in-situ'!EN131</f>
        <v>-12.04</v>
      </c>
      <c r="AG2934" s="113">
        <f>'Data_in-situ'!EO131</f>
        <v>4.9062566409655712</v>
      </c>
      <c r="AH2934" s="110">
        <f>'Data_in-situ'!EP131</f>
        <v>18</v>
      </c>
      <c r="AI2934" s="113">
        <f>'Data_in-situ'!ER131</f>
        <v>-24.07</v>
      </c>
      <c r="AJ2934" s="113">
        <f>'Data_in-situ'!ES131</f>
        <v>5.459414267966304</v>
      </c>
      <c r="AK2934" s="110">
        <f>'Data_in-situ'!ET131</f>
        <v>18</v>
      </c>
    </row>
    <row r="2935" spans="2:37" x14ac:dyDescent="0.3">
      <c r="B2935" s="24">
        <f>'Data_in-situ'!CA357</f>
        <v>-6053.2911236122554</v>
      </c>
      <c r="C2935" s="24">
        <f>'Data_in-situ'!CB357</f>
        <v>1475.8556969044168</v>
      </c>
      <c r="D2935" s="46">
        <f>'Data_in-situ'!CC357</f>
        <v>3</v>
      </c>
      <c r="E2935" s="24">
        <f>'Data_in-situ'!CE357</f>
        <v>-11865.719502913866</v>
      </c>
      <c r="F2935" s="24">
        <f>'Data_in-situ'!CF357</f>
        <v>4417.2406780036381</v>
      </c>
      <c r="G2935" s="46">
        <f>'Data_in-situ'!CG357</f>
        <v>3</v>
      </c>
      <c r="H2935" s="24">
        <f>'Data_in-situ'!CN357</f>
        <v>4090.62426273851</v>
      </c>
      <c r="I2935" s="24">
        <f>'Data_in-situ'!CO357</f>
        <v>1176.575250867078</v>
      </c>
      <c r="J2935" s="46">
        <f>'Data_in-situ'!CP357</f>
        <v>3</v>
      </c>
      <c r="K2935" s="24">
        <f>'Data_in-situ'!CR357</f>
        <v>9751.573269002236</v>
      </c>
      <c r="L2935" s="24">
        <f>'Data_in-situ'!CS357</f>
        <v>2558.7267192692693</v>
      </c>
      <c r="M2935" s="46">
        <f>'Data_in-situ'!CT357</f>
        <v>3</v>
      </c>
      <c r="N2935" s="24">
        <f>'Data_in-situ'!DA222</f>
        <v>-5522.053137553612</v>
      </c>
      <c r="O2935" s="24">
        <f>'Data_in-situ'!DB222</f>
        <v>3799.0509125782523</v>
      </c>
      <c r="P2935" s="46">
        <f>'Data_in-situ'!DC222</f>
        <v>3</v>
      </c>
      <c r="Q2935" s="24">
        <f>'Data_in-situ'!DE222</f>
        <v>-3740.7225956381553</v>
      </c>
      <c r="R2935" s="24">
        <f>'Data_in-situ'!DF222</f>
        <v>3396.3473178087561</v>
      </c>
      <c r="S2935" s="46">
        <f>'Data_in-situ'!DG222</f>
        <v>3</v>
      </c>
      <c r="T2935" s="113">
        <f>'Data_in-situ'!DN18</f>
        <v>76.598647152414557</v>
      </c>
      <c r="U2935" s="113">
        <f>'Data_in-situ'!DO18</f>
        <v>97.385019539931207</v>
      </c>
      <c r="V2935" s="46">
        <f>'Data_in-situ'!DP18</f>
        <v>3</v>
      </c>
      <c r="W2935" s="113">
        <f>'Data_in-situ'!DR18</f>
        <v>1.2881413805511519</v>
      </c>
      <c r="X2935" s="113">
        <f>'Data_in-situ'!DS18</f>
        <v>5.0439358355151063</v>
      </c>
      <c r="Y2935" s="46">
        <f>'Data_in-situ'!DT18</f>
        <v>3</v>
      </c>
      <c r="Z2935" s="113">
        <f>'Data_in-situ'!EA136</f>
        <v>0.3</v>
      </c>
      <c r="AA2935" s="113">
        <f>'Data_in-situ'!EB136</f>
        <v>0.8660254037844386</v>
      </c>
      <c r="AB2935" s="46">
        <f>'Data_in-situ'!EC136</f>
        <v>3</v>
      </c>
      <c r="AC2935" s="113">
        <f>'Data_in-situ'!EE136</f>
        <v>0.7</v>
      </c>
      <c r="AD2935" s="113">
        <f>'Data_in-situ'!EF136</f>
        <v>0.8660254037844386</v>
      </c>
      <c r="AE2935" s="46">
        <f>'Data_in-situ'!EG136</f>
        <v>3</v>
      </c>
      <c r="AF2935" s="113">
        <f>'Data_in-situ'!EN132</f>
        <v>-4.96</v>
      </c>
      <c r="AG2935" s="113">
        <f>'Data_in-situ'!EO132</f>
        <v>2.0211821378064148</v>
      </c>
      <c r="AH2935" s="110">
        <f>'Data_in-situ'!EP132</f>
        <v>21</v>
      </c>
      <c r="AI2935" s="113">
        <f>'Data_in-situ'!ER132</f>
        <v>-10.09</v>
      </c>
      <c r="AJ2935" s="113">
        <f>'Data_in-situ'!ES132</f>
        <v>2.2885537999077692</v>
      </c>
      <c r="AK2935" s="110">
        <f>'Data_in-situ'!ET132</f>
        <v>21</v>
      </c>
    </row>
    <row r="2936" spans="2:37" x14ac:dyDescent="0.3">
      <c r="B2936" s="24">
        <f>'Data_in-situ'!CA401</f>
        <v>-252.97619047619</v>
      </c>
      <c r="C2936" s="24">
        <f>'Data_in-situ'!CB401</f>
        <v>61.678241517097945</v>
      </c>
      <c r="D2936" s="46">
        <f>'Data_in-situ'!CC401</f>
        <v>1</v>
      </c>
      <c r="E2936" s="24">
        <f>'Data_in-situ'!CE401</f>
        <v>-259.32892988544108</v>
      </c>
      <c r="F2936" s="24">
        <f>'Data_in-situ'!CF401</f>
        <v>96.540146410153937</v>
      </c>
      <c r="G2936" s="46">
        <f>'Data_in-situ'!CG401</f>
        <v>1</v>
      </c>
      <c r="H2936" s="24">
        <f>'Data_in-situ'!CN401</f>
        <v>243.00271458600855</v>
      </c>
      <c r="I2936" s="24">
        <f>'Data_in-situ'!CO401</f>
        <v>69.894216997580699</v>
      </c>
      <c r="J2936" s="46">
        <f>'Data_in-situ'!CP401</f>
        <v>1</v>
      </c>
      <c r="K2936" s="24">
        <f>'Data_in-situ'!CR401</f>
        <v>278.68155282729083</v>
      </c>
      <c r="L2936" s="24">
        <f>'Data_in-situ'!CS401</f>
        <v>73.123578700198763</v>
      </c>
      <c r="M2936" s="46">
        <f>'Data_in-situ'!CT401</f>
        <v>1</v>
      </c>
      <c r="N2936" s="24">
        <f>'Data_in-situ'!DA223</f>
        <v>-6157.9784795900996</v>
      </c>
      <c r="O2936" s="24">
        <f>'Data_in-situ'!DB223</f>
        <v>2847.6279977138138</v>
      </c>
      <c r="P2936" s="46">
        <f>'Data_in-situ'!DC223</f>
        <v>3</v>
      </c>
      <c r="Q2936" s="24">
        <f>'Data_in-situ'!DE223</f>
        <v>-3541.6446974130395</v>
      </c>
      <c r="R2936" s="24">
        <f>'Data_in-situ'!DF223</f>
        <v>2451.0546798159935</v>
      </c>
      <c r="S2936" s="46">
        <f>'Data_in-situ'!DG223</f>
        <v>3</v>
      </c>
      <c r="T2936" s="113">
        <f>'Data_in-situ'!DN19</f>
        <v>76.598647152414557</v>
      </c>
      <c r="U2936" s="113">
        <f>'Data_in-situ'!DO19</f>
        <v>97.385019539931207</v>
      </c>
      <c r="V2936" s="46">
        <f>'Data_in-situ'!DP19</f>
        <v>3</v>
      </c>
      <c r="W2936" s="113">
        <f>'Data_in-situ'!DR19</f>
        <v>-0.99087798503934754</v>
      </c>
      <c r="X2936" s="113">
        <f>'Data_in-situ'!DS19</f>
        <v>2.1111905341845492</v>
      </c>
      <c r="Y2936" s="46">
        <f>'Data_in-situ'!DT19</f>
        <v>3</v>
      </c>
      <c r="Z2936" s="113">
        <f>'Data_in-situ'!EA137</f>
        <v>0.2</v>
      </c>
      <c r="AA2936" s="113">
        <f>'Data_in-situ'!EB137</f>
        <v>0.51961524227066314</v>
      </c>
      <c r="AB2936" s="46">
        <f>'Data_in-situ'!EC137</f>
        <v>3</v>
      </c>
      <c r="AC2936" s="113">
        <f>'Data_in-situ'!EE137</f>
        <v>0.6</v>
      </c>
      <c r="AD2936" s="113">
        <f>'Data_in-situ'!EF137</f>
        <v>0.51961524227066314</v>
      </c>
      <c r="AE2936" s="46">
        <f>'Data_in-situ'!EG137</f>
        <v>3</v>
      </c>
      <c r="AF2936" s="113">
        <f>'Data_in-situ'!EN133</f>
        <v>-4.96</v>
      </c>
      <c r="AG2936" s="113">
        <f>'Data_in-situ'!EO133</f>
        <v>2.0211821378064148</v>
      </c>
      <c r="AH2936" s="110">
        <f>'Data_in-situ'!EP133</f>
        <v>21</v>
      </c>
      <c r="AI2936" s="113">
        <f>'Data_in-situ'!ER133</f>
        <v>-14.16</v>
      </c>
      <c r="AJ2936" s="113">
        <f>'Data_in-situ'!ES133</f>
        <v>3.2116869976901894</v>
      </c>
      <c r="AK2936" s="110">
        <f>'Data_in-situ'!ET133</f>
        <v>21</v>
      </c>
    </row>
    <row r="2937" spans="2:37" x14ac:dyDescent="0.3">
      <c r="B2937" s="24">
        <f>'Data_in-situ'!CA402</f>
        <v>-270.83333333333297</v>
      </c>
      <c r="C2937" s="24">
        <f>'Data_in-situ'!CB402</f>
        <v>66.031999741834312</v>
      </c>
      <c r="D2937" s="46">
        <f>'Data_in-situ'!CC402</f>
        <v>1</v>
      </c>
      <c r="E2937" s="24">
        <f>'Data_in-situ'!CE402</f>
        <v>-301.00679361702942</v>
      </c>
      <c r="F2937" s="24">
        <f>'Data_in-situ'!CF402</f>
        <v>112.05552708321424</v>
      </c>
      <c r="G2937" s="46">
        <f>'Data_in-situ'!CG402</f>
        <v>1</v>
      </c>
      <c r="H2937" s="24">
        <f>'Data_in-situ'!CN402</f>
        <v>252.06998005563568</v>
      </c>
      <c r="I2937" s="24">
        <f>'Data_in-situ'!CO402</f>
        <v>72.502210169132198</v>
      </c>
      <c r="J2937" s="46">
        <f>'Data_in-situ'!CP402</f>
        <v>1</v>
      </c>
      <c r="K2937" s="24">
        <f>'Data_in-situ'!CR402</f>
        <v>294.16386131769627</v>
      </c>
      <c r="L2937" s="24">
        <f>'Data_in-situ'!CS402</f>
        <v>77.18599973909879</v>
      </c>
      <c r="M2937" s="46">
        <f>'Data_in-situ'!CT402</f>
        <v>1</v>
      </c>
      <c r="N2937" s="24">
        <f>'Data_in-situ'!DA224</f>
        <v>-3942.8510376719878</v>
      </c>
      <c r="O2937" s="24">
        <f>'Data_in-situ'!DB224</f>
        <v>3165.2218188801453</v>
      </c>
      <c r="P2937" s="46">
        <f>'Data_in-situ'!DC224</f>
        <v>3</v>
      </c>
      <c r="Q2937" s="24">
        <f>'Data_in-situ'!DE224</f>
        <v>-4947.8342200721909</v>
      </c>
      <c r="R2937" s="24">
        <f>'Data_in-situ'!DF224</f>
        <v>674.98350911365401</v>
      </c>
      <c r="S2937" s="46">
        <f>'Data_in-situ'!DG224</f>
        <v>3</v>
      </c>
      <c r="T2937" s="113">
        <f>'Data_in-situ'!DN22</f>
        <v>69.189192430383997</v>
      </c>
      <c r="U2937" s="113">
        <f>'Data_in-situ'!DO22</f>
        <v>105.7403076411135</v>
      </c>
      <c r="V2937" s="46">
        <f>'Data_in-situ'!DP22</f>
        <v>3</v>
      </c>
      <c r="W2937" s="113">
        <f>'Data_in-situ'!DR22</f>
        <v>0.20126042349248477</v>
      </c>
      <c r="X2937" s="113">
        <f>'Data_in-situ'!DS22</f>
        <v>3.7673237667559927</v>
      </c>
      <c r="Y2937" s="46">
        <f>'Data_in-situ'!DT22</f>
        <v>3</v>
      </c>
      <c r="Z2937" s="113">
        <f>'Data_in-situ'!EA138</f>
        <v>0.3</v>
      </c>
      <c r="AA2937" s="113">
        <f>'Data_in-situ'!EB138</f>
        <v>0.8660254037844386</v>
      </c>
      <c r="AB2937" s="46">
        <f>'Data_in-situ'!EC138</f>
        <v>3</v>
      </c>
      <c r="AC2937" s="113">
        <f>'Data_in-situ'!EE138</f>
        <v>0.4</v>
      </c>
      <c r="AD2937" s="113">
        <f>'Data_in-situ'!EF138</f>
        <v>0.69282032302755092</v>
      </c>
      <c r="AE2937" s="46">
        <f>'Data_in-situ'!EG138</f>
        <v>3</v>
      </c>
      <c r="AF2937" s="113">
        <f>'Data_in-situ'!EN135</f>
        <v>-6.8927332639611532</v>
      </c>
      <c r="AG2937" s="113">
        <f>'Data_in-situ'!EO135</f>
        <v>1.3328157064282187</v>
      </c>
      <c r="AH2937" s="110">
        <f>'Data_in-situ'!EP135</f>
        <v>3</v>
      </c>
      <c r="AI2937" s="113">
        <f>'Data_in-situ'!ER135</f>
        <v>-25.764809902740932</v>
      </c>
      <c r="AJ2937" s="113">
        <f>'Data_in-situ'!ES135</f>
        <v>2.3806323207959159</v>
      </c>
      <c r="AK2937" s="110">
        <f>'Data_in-situ'!ET135</f>
        <v>3</v>
      </c>
    </row>
    <row r="2938" spans="2:37" x14ac:dyDescent="0.3">
      <c r="B2938" s="24">
        <f>'Data_in-situ'!CA403</f>
        <v>-241.07142857142901</v>
      </c>
      <c r="C2938" s="24">
        <f>'Data_in-situ'!CB403</f>
        <v>58.775736033940618</v>
      </c>
      <c r="D2938" s="46">
        <f>'Data_in-situ'!CC403</f>
        <v>1</v>
      </c>
      <c r="E2938" s="24">
        <f>'Data_in-situ'!CE403</f>
        <v>-271.67792654665266</v>
      </c>
      <c r="F2938" s="24">
        <f>'Data_in-situ'!CF403</f>
        <v>101.13729623920892</v>
      </c>
      <c r="G2938" s="46">
        <f>'Data_in-situ'!CG403</f>
        <v>1</v>
      </c>
      <c r="H2938" s="24">
        <f>'Data_in-situ'!CN403</f>
        <v>217.61437127105197</v>
      </c>
      <c r="I2938" s="24">
        <f>'Data_in-situ'!CO403</f>
        <v>62.591836117236312</v>
      </c>
      <c r="J2938" s="46">
        <f>'Data_in-situ'!CP403</f>
        <v>1</v>
      </c>
      <c r="K2938" s="24">
        <f>'Data_in-situ'!CR403</f>
        <v>295.88411781662973</v>
      </c>
      <c r="L2938" s="24">
        <f>'Data_in-situ'!CS403</f>
        <v>77.637379854532</v>
      </c>
      <c r="M2938" s="46">
        <f>'Data_in-situ'!CT403</f>
        <v>1</v>
      </c>
      <c r="N2938" s="24">
        <f>'Data_in-situ'!DA225</f>
        <v>-3852.0162410870635</v>
      </c>
      <c r="O2938" s="24">
        <f>'Data_in-situ'!DB225</f>
        <v>1523.8784102336624</v>
      </c>
      <c r="P2938" s="46">
        <f>'Data_in-situ'!DC225</f>
        <v>3</v>
      </c>
      <c r="Q2938" s="24">
        <f>'Data_in-situ'!DE225</f>
        <v>-5208.2901876590749</v>
      </c>
      <c r="R2938" s="24">
        <f>'Data_in-situ'!DF225</f>
        <v>1132.6794776566101</v>
      </c>
      <c r="S2938" s="46">
        <f>'Data_in-situ'!DG225</f>
        <v>3</v>
      </c>
      <c r="T2938" s="113">
        <f>'Data_in-situ'!DN23</f>
        <v>69.189192430383997</v>
      </c>
      <c r="U2938" s="113">
        <f>'Data_in-situ'!DO23</f>
        <v>105.7403076411135</v>
      </c>
      <c r="V2938" s="46">
        <f>'Data_in-situ'!DP23</f>
        <v>3</v>
      </c>
      <c r="W2938" s="113">
        <f>'Data_in-situ'!DR23</f>
        <v>3.6083118783295469</v>
      </c>
      <c r="X2938" s="113">
        <f>'Data_in-situ'!DS23</f>
        <v>8.7762753596190368</v>
      </c>
      <c r="Y2938" s="46">
        <f>'Data_in-situ'!DT23</f>
        <v>3</v>
      </c>
      <c r="Z2938" s="113">
        <f>'Data_in-situ'!EA139</f>
        <v>0.2</v>
      </c>
      <c r="AA2938" s="113">
        <f>'Data_in-situ'!EB139</f>
        <v>0.51961524227066314</v>
      </c>
      <c r="AB2938" s="46">
        <f>'Data_in-situ'!EC139</f>
        <v>3</v>
      </c>
      <c r="AC2938" s="113">
        <f>'Data_in-situ'!EE139</f>
        <v>0.3</v>
      </c>
      <c r="AD2938" s="113">
        <f>'Data_in-situ'!EF139</f>
        <v>0.51961524227066314</v>
      </c>
      <c r="AE2938" s="46">
        <f>'Data_in-situ'!EG139</f>
        <v>3</v>
      </c>
      <c r="AF2938" s="113">
        <f>'Data_in-situ'!EN136</f>
        <v>-7.2545662413056524</v>
      </c>
      <c r="AG2938" s="113">
        <f>'Data_in-situ'!EO136</f>
        <v>1.3531236339616048</v>
      </c>
      <c r="AH2938" s="110">
        <f>'Data_in-situ'!EP136</f>
        <v>3</v>
      </c>
      <c r="AI2938" s="113">
        <f>'Data_in-situ'!ER136</f>
        <v>-28.596491228070171</v>
      </c>
      <c r="AJ2938" s="113">
        <f>'Data_in-situ'!ES136</f>
        <v>2.2785559654849021</v>
      </c>
      <c r="AK2938" s="110">
        <f>'Data_in-situ'!ET136</f>
        <v>3</v>
      </c>
    </row>
    <row r="2939" spans="2:37" x14ac:dyDescent="0.3">
      <c r="B2939" s="24">
        <f>'Data_in-situ'!CA404</f>
        <v>-1190.8947368421052</v>
      </c>
      <c r="C2939" s="24">
        <f>'Data_in-situ'!CB404</f>
        <v>8.1728070175438585</v>
      </c>
      <c r="D2939" s="46">
        <f>'Data_in-situ'!CC404</f>
        <v>4</v>
      </c>
      <c r="E2939" s="24">
        <f>'Data_in-situ'!CE404</f>
        <v>-1647.1117744611581</v>
      </c>
      <c r="F2939" s="24">
        <f>'Data_in-situ'!CF404</f>
        <v>42.213296514097145</v>
      </c>
      <c r="G2939" s="46">
        <f>'Data_in-situ'!CG404</f>
        <v>4</v>
      </c>
      <c r="H2939" s="24">
        <f>'Data_in-situ'!CN404</f>
        <v>1173.6539891420518</v>
      </c>
      <c r="I2939" s="24">
        <f>'Data_in-situ'!CO404</f>
        <v>59.312279426335792</v>
      </c>
      <c r="J2939" s="46">
        <f>'Data_in-situ'!CP404</f>
        <v>4</v>
      </c>
      <c r="K2939" s="24">
        <f>'Data_in-situ'!CR404</f>
        <v>1113.3378134148315</v>
      </c>
      <c r="L2939" s="24">
        <f>'Data_in-situ'!CS404</f>
        <v>77.030208091757075</v>
      </c>
      <c r="M2939" s="46">
        <f>'Data_in-situ'!CT404</f>
        <v>4</v>
      </c>
      <c r="N2939" s="24">
        <f>'Data_in-situ'!DA345</f>
        <v>-722.09401113274612</v>
      </c>
      <c r="O2939" s="24">
        <f>'Data_in-situ'!DB345</f>
        <v>355.55395504217751</v>
      </c>
      <c r="P2939" s="46">
        <f>'Data_in-situ'!DC345</f>
        <v>3</v>
      </c>
      <c r="Q2939" s="24">
        <f>'Data_in-situ'!DE345</f>
        <v>35.549383790829552</v>
      </c>
      <c r="R2939" s="24">
        <f>'Data_in-situ'!DF345</f>
        <v>98.404402630841858</v>
      </c>
      <c r="S2939" s="46">
        <f>'Data_in-situ'!DG345</f>
        <v>3</v>
      </c>
      <c r="T2939" s="113">
        <f>'Data_in-situ'!DN24</f>
        <v>69.189192430383997</v>
      </c>
      <c r="U2939" s="113">
        <f>'Data_in-situ'!DO24</f>
        <v>105.7403076411135</v>
      </c>
      <c r="V2939" s="46">
        <f>'Data_in-situ'!DP24</f>
        <v>3</v>
      </c>
      <c r="W2939" s="113">
        <f>'Data_in-situ'!DR24</f>
        <v>-2.3432463592339285</v>
      </c>
      <c r="X2939" s="113">
        <f>'Data_in-situ'!DS24</f>
        <v>2.1725078783546201</v>
      </c>
      <c r="Y2939" s="46">
        <f>'Data_in-situ'!DT24</f>
        <v>3</v>
      </c>
      <c r="Z2939" s="113">
        <f>'Data_in-situ'!EA140</f>
        <v>0.3</v>
      </c>
      <c r="AA2939" s="113">
        <f>'Data_in-situ'!EB140</f>
        <v>0.8660254037844386</v>
      </c>
      <c r="AB2939" s="46">
        <f>'Data_in-situ'!EC140</f>
        <v>3</v>
      </c>
      <c r="AC2939" s="113">
        <f>'Data_in-situ'!EE140</f>
        <v>0.4</v>
      </c>
      <c r="AD2939" s="113">
        <f>'Data_in-situ'!EF140</f>
        <v>1.0392304845413263</v>
      </c>
      <c r="AE2939" s="46">
        <f>'Data_in-situ'!EG140</f>
        <v>3</v>
      </c>
      <c r="AF2939" s="113">
        <f>'Data_in-situ'!EN137</f>
        <v>-6.8927332639611532</v>
      </c>
      <c r="AG2939" s="113">
        <f>'Data_in-situ'!EO137</f>
        <v>1.3328157064282187</v>
      </c>
      <c r="AH2939" s="110">
        <f>'Data_in-situ'!EP137</f>
        <v>3</v>
      </c>
      <c r="AI2939" s="113">
        <f>'Data_in-situ'!ER137</f>
        <v>-20.420000000000002</v>
      </c>
      <c r="AJ2939" s="113">
        <f>'Data_in-situ'!ES137</f>
        <v>3.03</v>
      </c>
      <c r="AK2939" s="110">
        <f>'Data_in-situ'!ET137</f>
        <v>3</v>
      </c>
    </row>
    <row r="2940" spans="2:37" x14ac:dyDescent="0.3">
      <c r="B2940" s="24">
        <f>'Data_in-situ'!CA408</f>
        <v>-2259.2871794871794</v>
      </c>
      <c r="C2940" s="24">
        <f>'Data_in-situ'!CB408</f>
        <v>13.651282051282053</v>
      </c>
      <c r="D2940" s="46">
        <f>'Data_in-situ'!CC408</f>
        <v>4</v>
      </c>
      <c r="E2940" s="24">
        <f>'Data_in-situ'!CE408</f>
        <v>-1940.0144565259704</v>
      </c>
      <c r="F2940" s="24">
        <f>'Data_in-situ'!CF408</f>
        <v>56.070928981894077</v>
      </c>
      <c r="G2940" s="46">
        <f>'Data_in-situ'!CG408</f>
        <v>4</v>
      </c>
      <c r="H2940" s="24">
        <f>'Data_in-situ'!CN408</f>
        <v>1857.5881899441558</v>
      </c>
      <c r="I2940" s="24">
        <f>'Data_in-situ'!CO408</f>
        <v>103.36331194089117</v>
      </c>
      <c r="J2940" s="46">
        <f>'Data_in-situ'!CP408</f>
        <v>4</v>
      </c>
      <c r="K2940" s="24">
        <f>'Data_in-situ'!CR408</f>
        <v>1587.498570722837</v>
      </c>
      <c r="L2940" s="24">
        <f>'Data_in-situ'!CS408</f>
        <v>105.69113003255019</v>
      </c>
      <c r="M2940" s="46">
        <f>'Data_in-situ'!CT408</f>
        <v>4</v>
      </c>
      <c r="N2940" s="24">
        <f>'Data_in-situ'!DA346</f>
        <v>-310.54912511410987</v>
      </c>
      <c r="O2940" s="24">
        <f>'Data_in-situ'!DB346</f>
        <v>752.08332336197429</v>
      </c>
      <c r="P2940" s="46">
        <f>'Data_in-situ'!DC346</f>
        <v>3</v>
      </c>
      <c r="Q2940" s="24">
        <f>'Data_in-situ'!DE346</f>
        <v>-522.80095541718219</v>
      </c>
      <c r="R2940" s="24">
        <f>'Data_in-situ'!DF346</f>
        <v>196.66566541741983</v>
      </c>
      <c r="S2940" s="46">
        <f>'Data_in-situ'!DG346</f>
        <v>3</v>
      </c>
      <c r="T2940" s="113">
        <f>'Data_in-situ'!DN25</f>
        <v>69.189192430383997</v>
      </c>
      <c r="U2940" s="113">
        <f>'Data_in-situ'!DO25</f>
        <v>105.7403076411135</v>
      </c>
      <c r="V2940" s="46">
        <f>'Data_in-situ'!DP25</f>
        <v>3</v>
      </c>
      <c r="W2940" s="113">
        <f>'Data_in-situ'!DR25</f>
        <v>1.9694770013193148</v>
      </c>
      <c r="X2940" s="113">
        <f>'Data_in-situ'!DS25</f>
        <v>4.4704507627185972</v>
      </c>
      <c r="Y2940" s="46">
        <f>'Data_in-situ'!DT25</f>
        <v>3</v>
      </c>
      <c r="Z2940" s="113">
        <f>'Data_in-situ'!EA141</f>
        <v>1</v>
      </c>
      <c r="AA2940" s="113">
        <f>'Data_in-situ'!EB141</f>
        <v>1.5811388300841898</v>
      </c>
      <c r="AB2940" s="46">
        <f>'Data_in-situ'!EC141</f>
        <v>10</v>
      </c>
      <c r="AC2940" s="113">
        <f>'Data_in-situ'!EE141</f>
        <v>2</v>
      </c>
      <c r="AD2940" s="113">
        <f>'Data_in-situ'!EF141</f>
        <v>2.8460498941515415</v>
      </c>
      <c r="AE2940" s="46">
        <f>'Data_in-situ'!EG141</f>
        <v>10</v>
      </c>
      <c r="AF2940" s="113">
        <f>'Data_in-situ'!EN138</f>
        <v>-7.2545662413056524</v>
      </c>
      <c r="AG2940" s="113">
        <f>'Data_in-situ'!EO138</f>
        <v>1.3531236339616048</v>
      </c>
      <c r="AH2940" s="110">
        <f>'Data_in-situ'!EP138</f>
        <v>3</v>
      </c>
      <c r="AI2940" s="113">
        <f>'Data_in-situ'!ER138</f>
        <v>-22.46</v>
      </c>
      <c r="AJ2940" s="113">
        <f>'Data_in-situ'!ES138</f>
        <v>2.21</v>
      </c>
      <c r="AK2940" s="110">
        <f>'Data_in-situ'!ET138</f>
        <v>3</v>
      </c>
    </row>
    <row r="2941" spans="2:37" x14ac:dyDescent="0.3">
      <c r="B2941" s="24">
        <f>'Data_in-situ'!CA416</f>
        <v>-5231.5</v>
      </c>
      <c r="C2941" s="24">
        <f>'Data_in-situ'!CB416</f>
        <v>774.59070169847246</v>
      </c>
      <c r="D2941" s="46">
        <f>'Data_in-situ'!CC416</f>
        <v>5</v>
      </c>
      <c r="E2941" s="24">
        <f>'Data_in-situ'!CE416</f>
        <v>-7422.0454386397278</v>
      </c>
      <c r="F2941" s="24">
        <f>'Data_in-situ'!CF416</f>
        <v>3514.8314125090737</v>
      </c>
      <c r="G2941" s="46">
        <f>'Data_in-situ'!CG416</f>
        <v>5</v>
      </c>
      <c r="H2941" s="24">
        <f>'Data_in-situ'!CN416</f>
        <v>4243.1025450256775</v>
      </c>
      <c r="I2941" s="24">
        <f>'Data_in-situ'!CO416</f>
        <v>1520.7492674654977</v>
      </c>
      <c r="J2941" s="46">
        <f>'Data_in-situ'!CP416</f>
        <v>5</v>
      </c>
      <c r="K2941" s="24">
        <f>'Data_in-situ'!CR416</f>
        <v>7080.9624577142204</v>
      </c>
      <c r="L2941" s="24">
        <f>'Data_in-situ'!CS416</f>
        <v>2727.0864177083622</v>
      </c>
      <c r="M2941" s="46">
        <f>'Data_in-situ'!CT416</f>
        <v>5</v>
      </c>
      <c r="N2941" s="24">
        <f>'Data_in-situ'!DA347</f>
        <v>7.5327398944743891</v>
      </c>
      <c r="O2941" s="24">
        <f>'Data_in-situ'!DB347</f>
        <v>385.89969557971807</v>
      </c>
      <c r="P2941" s="46">
        <f>'Data_in-situ'!DC347</f>
        <v>3</v>
      </c>
      <c r="Q2941" s="24">
        <f>'Data_in-situ'!DE347</f>
        <v>-55.731134523739229</v>
      </c>
      <c r="R2941" s="24">
        <f>'Data_in-situ'!DF347</f>
        <v>131.30398661871592</v>
      </c>
      <c r="S2941" s="46">
        <f>'Data_in-situ'!DG347</f>
        <v>3</v>
      </c>
      <c r="T2941" s="113">
        <f>'Data_in-situ'!DN30</f>
        <v>155.37117670145557</v>
      </c>
      <c r="U2941" s="113">
        <f>'Data_in-situ'!DO30</f>
        <v>42.709219724301029</v>
      </c>
      <c r="V2941" s="46">
        <f>'Data_in-situ'!DP30</f>
        <v>6</v>
      </c>
      <c r="W2941" s="113">
        <f>'Data_in-situ'!DR30</f>
        <v>185.22204309442213</v>
      </c>
      <c r="X2941" s="113">
        <f>'Data_in-situ'!DS30</f>
        <v>44.646673389917268</v>
      </c>
      <c r="Y2941" s="46">
        <f>'Data_in-situ'!DT30</f>
        <v>6</v>
      </c>
      <c r="Z2941" s="113">
        <f>'Data_in-situ'!EA142</f>
        <v>1</v>
      </c>
      <c r="AA2941" s="113">
        <f>'Data_in-situ'!EB142</f>
        <v>1.5811388300841898</v>
      </c>
      <c r="AB2941" s="46">
        <f>'Data_in-situ'!EC142</f>
        <v>10</v>
      </c>
      <c r="AC2941" s="113">
        <f>'Data_in-situ'!EE142</f>
        <v>2</v>
      </c>
      <c r="AD2941" s="113">
        <f>'Data_in-situ'!EF142</f>
        <v>4.4271887242357311</v>
      </c>
      <c r="AE2941" s="46">
        <f>'Data_in-situ'!EG142</f>
        <v>10</v>
      </c>
      <c r="AF2941" s="113">
        <f>'Data_in-situ'!EN139</f>
        <v>-6.8927332639611532</v>
      </c>
      <c r="AG2941" s="113">
        <f>'Data_in-situ'!EO139</f>
        <v>1.3328157064282187</v>
      </c>
      <c r="AH2941" s="110">
        <f>'Data_in-situ'!EP139</f>
        <v>3</v>
      </c>
      <c r="AI2941" s="113">
        <f>'Data_in-situ'!ER139</f>
        <v>-16.070318436140084</v>
      </c>
      <c r="AJ2941" s="113">
        <f>'Data_in-situ'!ES139</f>
        <v>1.1726469643872839</v>
      </c>
      <c r="AK2941" s="110">
        <f>'Data_in-situ'!ET139</f>
        <v>3</v>
      </c>
    </row>
    <row r="2942" spans="2:37" x14ac:dyDescent="0.3">
      <c r="B2942" s="24">
        <f>'Data_in-situ'!CA432</f>
        <v>-7090</v>
      </c>
      <c r="C2942" s="24">
        <f>'Data_in-situ'!CB432</f>
        <v>1524.2047106606119</v>
      </c>
      <c r="D2942" s="46">
        <f>'Data_in-situ'!CC432</f>
        <v>3</v>
      </c>
      <c r="E2942" s="24">
        <f>'Data_in-situ'!CE432</f>
        <v>-18490</v>
      </c>
      <c r="F2942" s="24">
        <f>'Data_in-situ'!CF432</f>
        <v>3689.2682201217081</v>
      </c>
      <c r="G2942" s="46">
        <f>'Data_in-situ'!CG432</f>
        <v>3</v>
      </c>
      <c r="H2942" s="24">
        <f>'Data_in-situ'!CN432</f>
        <v>7020</v>
      </c>
      <c r="I2942" s="24">
        <f>'Data_in-situ'!CO432</f>
        <v>1299.038105676658</v>
      </c>
      <c r="J2942" s="46">
        <f>'Data_in-situ'!CP432</f>
        <v>3</v>
      </c>
      <c r="K2942" s="24">
        <f>'Data_in-situ'!CR432</f>
        <v>23060</v>
      </c>
      <c r="L2942" s="24">
        <f>'Data_in-situ'!CS432</f>
        <v>2424.871130596428</v>
      </c>
      <c r="M2942" s="46">
        <f>'Data_in-situ'!CT432</f>
        <v>3</v>
      </c>
      <c r="N2942" s="24">
        <f>'Data_in-situ'!DA354</f>
        <v>-1940.5839500221145</v>
      </c>
      <c r="O2942" s="24">
        <f>'Data_in-situ'!DB354</f>
        <v>5821.085373365031</v>
      </c>
      <c r="P2942" s="46">
        <f>'Data_in-situ'!DC354</f>
        <v>3</v>
      </c>
      <c r="Q2942" s="24">
        <f>'Data_in-situ'!DE354</f>
        <v>-1152.9019230752547</v>
      </c>
      <c r="R2942" s="24">
        <f>'Data_in-situ'!DF354</f>
        <v>1098.8801605135104</v>
      </c>
      <c r="S2942" s="46">
        <f>'Data_in-situ'!DG354</f>
        <v>3</v>
      </c>
      <c r="T2942" s="113">
        <f>'Data_in-situ'!DN31</f>
        <v>12.121705834279082</v>
      </c>
      <c r="U2942" s="113">
        <f>'Data_in-situ'!DO31</f>
        <v>3.2958824722656956</v>
      </c>
      <c r="V2942" s="46">
        <f>'Data_in-situ'!DP31</f>
        <v>6</v>
      </c>
      <c r="W2942" s="113">
        <f>'Data_in-situ'!DR31</f>
        <v>18.390311681684526</v>
      </c>
      <c r="X2942" s="113">
        <f>'Data_in-situ'!DS31</f>
        <v>4.9126277024028253</v>
      </c>
      <c r="Y2942" s="46">
        <f>'Data_in-situ'!DT31</f>
        <v>6</v>
      </c>
      <c r="Z2942" s="113">
        <f>'Data_in-situ'!EA143</f>
        <v>1</v>
      </c>
      <c r="AA2942" s="113">
        <f>'Data_in-situ'!EB143</f>
        <v>1.5811388300841898</v>
      </c>
      <c r="AB2942" s="46">
        <f>'Data_in-situ'!EC143</f>
        <v>10</v>
      </c>
      <c r="AC2942" s="113">
        <f>'Data_in-situ'!EE143</f>
        <v>11</v>
      </c>
      <c r="AD2942" s="113">
        <f>'Data_in-situ'!EF143</f>
        <v>13.914021704740872</v>
      </c>
      <c r="AE2942" s="46">
        <f>'Data_in-situ'!EG143</f>
        <v>10</v>
      </c>
      <c r="AF2942" s="113">
        <f>'Data_in-situ'!EN140</f>
        <v>-7.2545662413056524</v>
      </c>
      <c r="AG2942" s="113">
        <f>'Data_in-situ'!EO140</f>
        <v>1.3531236339616048</v>
      </c>
      <c r="AH2942" s="110">
        <f>'Data_in-situ'!EP140</f>
        <v>3</v>
      </c>
      <c r="AI2942" s="113">
        <f>'Data_in-situ'!ER140</f>
        <v>-18.404147413501633</v>
      </c>
      <c r="AJ2942" s="113">
        <f>'Data_in-situ'!ES140</f>
        <v>1.4652840768454194</v>
      </c>
      <c r="AK2942" s="110">
        <f>'Data_in-situ'!ET140</f>
        <v>3</v>
      </c>
    </row>
    <row r="2943" spans="2:37" x14ac:dyDescent="0.3">
      <c r="B2943" s="24">
        <f>'Data_in-situ'!CA433</f>
        <v>-6290</v>
      </c>
      <c r="C2943" s="24">
        <f>'Data_in-situ'!CB433</f>
        <v>1316.3586137523466</v>
      </c>
      <c r="D2943" s="46">
        <f>'Data_in-situ'!CC433</f>
        <v>3</v>
      </c>
      <c r="E2943" s="24">
        <f>'Data_in-situ'!CE433</f>
        <v>-19210</v>
      </c>
      <c r="F2943" s="24">
        <f>'Data_in-situ'!CF433</f>
        <v>3290.8965343808668</v>
      </c>
      <c r="G2943" s="46">
        <f>'Data_in-situ'!CG433</f>
        <v>3</v>
      </c>
      <c r="H2943" s="24">
        <f>'Data_in-situ'!CN433</f>
        <v>5020</v>
      </c>
      <c r="I2943" s="24">
        <f>'Data_in-situ'!CO433</f>
        <v>917.98692801150492</v>
      </c>
      <c r="J2943" s="46">
        <f>'Data_in-situ'!CP433</f>
        <v>3</v>
      </c>
      <c r="K2943" s="24">
        <f>'Data_in-situ'!CR433</f>
        <v>24030</v>
      </c>
      <c r="L2943" s="24">
        <f>'Data_in-situ'!CS433</f>
        <v>2459.5121467478057</v>
      </c>
      <c r="M2943" s="46">
        <f>'Data_in-situ'!CT433</f>
        <v>3</v>
      </c>
      <c r="N2943" s="24">
        <f>'Data_in-situ'!DA357</f>
        <v>-1962.6668608737455</v>
      </c>
      <c r="O2943" s="24">
        <f>'Data_in-situ'!DB357</f>
        <v>5887.3265217360085</v>
      </c>
      <c r="P2943" s="46">
        <f>'Data_in-situ'!DC357</f>
        <v>3</v>
      </c>
      <c r="Q2943" s="24">
        <f>'Data_in-situ'!DE357</f>
        <v>-2114.1462339116297</v>
      </c>
      <c r="R2943" s="24">
        <f>'Data_in-situ'!DF357</f>
        <v>2015.0832489488362</v>
      </c>
      <c r="S2943" s="46">
        <f>'Data_in-situ'!DG357</f>
        <v>3</v>
      </c>
      <c r="T2943" s="113">
        <f>'Data_in-situ'!DN33</f>
        <v>172</v>
      </c>
      <c r="U2943" s="113">
        <f>'Data_in-situ'!DO33</f>
        <v>22</v>
      </c>
      <c r="V2943" s="46">
        <f>'Data_in-situ'!DP33</f>
        <v>6</v>
      </c>
      <c r="W2943" s="113">
        <f>'Data_in-situ'!DR33</f>
        <v>-1.5</v>
      </c>
      <c r="X2943" s="113">
        <f>'Data_in-situ'!DS33</f>
        <v>0.6</v>
      </c>
      <c r="Y2943" s="46">
        <f>'Data_in-situ'!DT33</f>
        <v>6</v>
      </c>
      <c r="Z2943" s="113">
        <f>'Data_in-situ'!EA144</f>
        <v>1</v>
      </c>
      <c r="AA2943" s="113">
        <f>'Data_in-situ'!EB144</f>
        <v>1.5811388300841898</v>
      </c>
      <c r="AB2943" s="46">
        <f>'Data_in-situ'!EC144</f>
        <v>10</v>
      </c>
      <c r="AC2943" s="113">
        <f>'Data_in-situ'!EE144</f>
        <v>6</v>
      </c>
      <c r="AD2943" s="113">
        <f>'Data_in-situ'!EF144</f>
        <v>8.538149682454625</v>
      </c>
      <c r="AE2943" s="46">
        <f>'Data_in-situ'!EG144</f>
        <v>10</v>
      </c>
      <c r="AF2943" s="113">
        <f>'Data_in-situ'!EN141</f>
        <v>-0.59</v>
      </c>
      <c r="AG2943" s="113">
        <f>'Data_in-situ'!EO141</f>
        <v>1.75</v>
      </c>
      <c r="AH2943" s="110">
        <f>'Data_in-situ'!EP141</f>
        <v>4</v>
      </c>
      <c r="AI2943" s="113">
        <f>'Data_in-situ'!ER141</f>
        <v>-18.989999999999998</v>
      </c>
      <c r="AJ2943" s="113">
        <f>'Data_in-situ'!ES141</f>
        <v>2.77</v>
      </c>
      <c r="AK2943" s="110">
        <f>'Data_in-situ'!ET141</f>
        <v>4</v>
      </c>
    </row>
    <row r="2944" spans="2:37" x14ac:dyDescent="0.3">
      <c r="N2944" s="24">
        <f>'Data_in-situ'!DA396</f>
        <v>-1484.6994535519118</v>
      </c>
      <c r="O2944" s="24">
        <f>'Data_in-situ'!DB396</f>
        <v>4453.588453524826</v>
      </c>
      <c r="P2944" s="46">
        <f>'Data_in-situ'!DC396</f>
        <v>1</v>
      </c>
      <c r="Q2944" s="24">
        <f>'Data_in-situ'!DE396</f>
        <v>390.71038251366002</v>
      </c>
      <c r="R2944" s="24">
        <f>'Data_in-situ'!DF396</f>
        <v>372.40278575099637</v>
      </c>
      <c r="S2944" s="46">
        <f>'Data_in-situ'!DG396</f>
        <v>1</v>
      </c>
      <c r="T2944" s="113">
        <f>'Data_in-situ'!DN128</f>
        <v>214.33232862768773</v>
      </c>
      <c r="U2944" s="113">
        <f>'Data_in-situ'!DO128</f>
        <v>127.05286261842672</v>
      </c>
      <c r="V2944" s="46">
        <f>'Data_in-situ'!DP128</f>
        <v>18</v>
      </c>
      <c r="W2944" s="113">
        <f>'Data_in-situ'!DR128</f>
        <v>74.807487646490884</v>
      </c>
      <c r="X2944" s="113">
        <f>'Data_in-situ'!DS128</f>
        <v>46.844140538456692</v>
      </c>
      <c r="Y2944" s="46">
        <f>'Data_in-situ'!DT128</f>
        <v>18</v>
      </c>
      <c r="Z2944" s="113">
        <f>'Data_in-situ'!EA156</f>
        <v>-0.65249999999999997</v>
      </c>
      <c r="AA2944" s="113">
        <f>'Data_in-situ'!EB156</f>
        <v>9.3070564627061342E-2</v>
      </c>
      <c r="AB2944" s="46">
        <f>'Data_in-situ'!EC156</f>
        <v>4</v>
      </c>
      <c r="AC2944" s="113">
        <f>'Data_in-situ'!EE156</f>
        <v>0.6623</v>
      </c>
      <c r="AD2944" s="113">
        <f>'Data_in-situ'!EF156</f>
        <v>6.1265079776329362E-2</v>
      </c>
      <c r="AE2944" s="46">
        <f>'Data_in-situ'!EG156</f>
        <v>4</v>
      </c>
      <c r="AF2944" s="113">
        <f>'Data_in-situ'!EN142</f>
        <v>-2.0499999999999998</v>
      </c>
      <c r="AG2944" s="113">
        <f>'Data_in-situ'!EO142</f>
        <v>1.38</v>
      </c>
      <c r="AH2944" s="110">
        <f>'Data_in-situ'!EP142</f>
        <v>4</v>
      </c>
      <c r="AI2944" s="113">
        <f>'Data_in-situ'!ER142</f>
        <v>-16.7</v>
      </c>
      <c r="AJ2944" s="113">
        <f>'Data_in-situ'!ES142</f>
        <v>1.42</v>
      </c>
      <c r="AK2944" s="110">
        <f>'Data_in-situ'!ET142</f>
        <v>4</v>
      </c>
    </row>
    <row r="2945" spans="14:37" x14ac:dyDescent="0.3">
      <c r="N2945" s="24">
        <f>'Data_in-situ'!DA397</f>
        <v>-1316.3934426229509</v>
      </c>
      <c r="O2945" s="24">
        <f>'Data_in-situ'!DB397</f>
        <v>3948.7282239754559</v>
      </c>
      <c r="P2945" s="46">
        <f>'Data_in-situ'!DC397</f>
        <v>1</v>
      </c>
      <c r="Q2945" s="24">
        <f>'Data_in-situ'!DE397</f>
        <v>54.098360655737935</v>
      </c>
      <c r="R2945" s="24">
        <f>'Data_in-situ'!DF397</f>
        <v>51.563462642446027</v>
      </c>
      <c r="S2945" s="46">
        <f>'Data_in-situ'!DG397</f>
        <v>1</v>
      </c>
      <c r="T2945" s="113">
        <f>'Data_in-situ'!DN129</f>
        <v>214.33232862768773</v>
      </c>
      <c r="U2945" s="113">
        <f>'Data_in-situ'!DO129</f>
        <v>127.05286261842672</v>
      </c>
      <c r="V2945" s="46">
        <f>'Data_in-situ'!DP129</f>
        <v>18</v>
      </c>
      <c r="W2945" s="113">
        <f>'Data_in-situ'!DR129</f>
        <v>3.701330808396313</v>
      </c>
      <c r="X2945" s="113">
        <f>'Data_in-situ'!DS129</f>
        <v>11.16614647740138</v>
      </c>
      <c r="Y2945" s="46">
        <f>'Data_in-situ'!DT129</f>
        <v>18</v>
      </c>
      <c r="Z2945" s="113">
        <f>'Data_in-situ'!EA157</f>
        <v>-0.65249999999999997</v>
      </c>
      <c r="AA2945" s="113">
        <f>'Data_in-situ'!EB157</f>
        <v>9.3070564627061342E-2</v>
      </c>
      <c r="AB2945" s="46">
        <f>'Data_in-situ'!EC157</f>
        <v>4</v>
      </c>
      <c r="AC2945" s="113">
        <f>'Data_in-situ'!EE157</f>
        <v>0.12470000000000003</v>
      </c>
      <c r="AD2945" s="113">
        <f>'Data_in-situ'!EF157</f>
        <v>4.1450211097170543E-2</v>
      </c>
      <c r="AE2945" s="46">
        <f>'Data_in-situ'!EG157</f>
        <v>4</v>
      </c>
      <c r="AF2945" s="113">
        <f>'Data_in-situ'!EN143</f>
        <v>-0.59</v>
      </c>
      <c r="AG2945" s="113">
        <f>'Data_in-situ'!EO143</f>
        <v>1.75</v>
      </c>
      <c r="AH2945" s="110">
        <f>'Data_in-situ'!EP143</f>
        <v>4</v>
      </c>
      <c r="AI2945" s="113">
        <f>'Data_in-situ'!ER143</f>
        <v>-17.329999999999998</v>
      </c>
      <c r="AJ2945" s="113">
        <f>'Data_in-situ'!ES143</f>
        <v>1.8</v>
      </c>
      <c r="AK2945" s="110">
        <f>'Data_in-situ'!ET143</f>
        <v>4</v>
      </c>
    </row>
    <row r="2946" spans="14:37" x14ac:dyDescent="0.3">
      <c r="N2946" s="24">
        <f>'Data_in-situ'!DA398</f>
        <v>-1484.6994535519118</v>
      </c>
      <c r="O2946" s="24">
        <f>'Data_in-situ'!DB398</f>
        <v>4453.588453524826</v>
      </c>
      <c r="P2946" s="46">
        <f>'Data_in-situ'!DC398</f>
        <v>1</v>
      </c>
      <c r="Q2946" s="24">
        <f>'Data_in-situ'!DE398</f>
        <v>847.54098360655883</v>
      </c>
      <c r="R2946" s="24">
        <f>'Data_in-situ'!DF398</f>
        <v>807.82758139831913</v>
      </c>
      <c r="S2946" s="46">
        <f>'Data_in-situ'!DG398</f>
        <v>1</v>
      </c>
      <c r="T2946" s="113">
        <f>'Data_in-situ'!DN130</f>
        <v>319.22459108513186</v>
      </c>
      <c r="U2946" s="113">
        <f>'Data_in-situ'!DO130</f>
        <v>121.19295255477282</v>
      </c>
      <c r="V2946" s="46">
        <f>'Data_in-situ'!DP130</f>
        <v>18</v>
      </c>
      <c r="W2946" s="113">
        <f>'Data_in-situ'!DR130</f>
        <v>222.57960625006015</v>
      </c>
      <c r="X2946" s="113">
        <f>'Data_in-situ'!DS130</f>
        <v>146.24752567167019</v>
      </c>
      <c r="Y2946" s="46">
        <f>'Data_in-situ'!DT130</f>
        <v>18</v>
      </c>
      <c r="Z2946" s="113">
        <f>'Data_in-situ'!EA158</f>
        <v>-0.65249999999999997</v>
      </c>
      <c r="AA2946" s="113">
        <f>'Data_in-situ'!EB158</f>
        <v>9.3070564627061342E-2</v>
      </c>
      <c r="AB2946" s="46">
        <f>'Data_in-situ'!EC158</f>
        <v>4</v>
      </c>
      <c r="AC2946" s="113">
        <f>'Data_in-situ'!EE158</f>
        <v>0.42030000000000001</v>
      </c>
      <c r="AD2946" s="113">
        <f>'Data_in-situ'!EF158</f>
        <v>2.773084924772409E-2</v>
      </c>
      <c r="AE2946" s="46">
        <f>'Data_in-situ'!EG158</f>
        <v>4</v>
      </c>
      <c r="AF2946" s="113">
        <f>'Data_in-situ'!EN144</f>
        <v>-2.0499999999999998</v>
      </c>
      <c r="AG2946" s="113">
        <f>'Data_in-situ'!EO144</f>
        <v>1.38</v>
      </c>
      <c r="AH2946" s="110">
        <f>'Data_in-situ'!EP144</f>
        <v>4</v>
      </c>
      <c r="AI2946" s="113">
        <f>'Data_in-situ'!ER144</f>
        <v>-21.37</v>
      </c>
      <c r="AJ2946" s="113">
        <f>'Data_in-situ'!ES144</f>
        <v>1.45</v>
      </c>
      <c r="AK2946" s="110">
        <f>'Data_in-situ'!ET144</f>
        <v>4</v>
      </c>
    </row>
    <row r="2947" spans="14:37" x14ac:dyDescent="0.3">
      <c r="N2947" s="24">
        <f>'Data_in-situ'!DA399</f>
        <v>-2037.7049180327876</v>
      </c>
      <c r="O2947" s="24">
        <f>'Data_in-situ'!DB399</f>
        <v>6112.4149220442005</v>
      </c>
      <c r="P2947" s="46">
        <f>'Data_in-situ'!DC399</f>
        <v>1</v>
      </c>
      <c r="Q2947" s="24">
        <f>'Data_in-situ'!DE399</f>
        <v>-571.03825136612102</v>
      </c>
      <c r="R2947" s="24">
        <f>'Data_in-situ'!DF399</f>
        <v>544.28099455915094</v>
      </c>
      <c r="S2947" s="46">
        <f>'Data_in-situ'!DG399</f>
        <v>1</v>
      </c>
      <c r="T2947" s="113">
        <f>'Data_in-situ'!DN131</f>
        <v>319.22459108513186</v>
      </c>
      <c r="U2947" s="113">
        <f>'Data_in-situ'!DO131</f>
        <v>121.19295255477282</v>
      </c>
      <c r="V2947" s="46">
        <f>'Data_in-situ'!DP131</f>
        <v>18</v>
      </c>
      <c r="W2947" s="113">
        <f>'Data_in-situ'!DR131</f>
        <v>5.4661003499523613</v>
      </c>
      <c r="X2947" s="113">
        <f>'Data_in-situ'!DS131</f>
        <v>11.395301936593999</v>
      </c>
      <c r="Y2947" s="46">
        <f>'Data_in-situ'!DT131</f>
        <v>18</v>
      </c>
      <c r="Z2947" s="113">
        <f>'Data_in-situ'!EA159</f>
        <v>-0.36220000000000002</v>
      </c>
      <c r="AA2947" s="113">
        <f>'Data_in-situ'!EB159</f>
        <v>0.55423680859358304</v>
      </c>
      <c r="AB2947" s="46">
        <f>'Data_in-situ'!EC159</f>
        <v>4</v>
      </c>
      <c r="AC2947" s="113">
        <f>'Data_in-situ'!EE159</f>
        <v>-2.8500000000000001E-2</v>
      </c>
      <c r="AD2947" s="113">
        <f>'Data_in-situ'!EF159</f>
        <v>9.9569071503153028E-2</v>
      </c>
      <c r="AE2947" s="46">
        <f>'Data_in-situ'!EG159</f>
        <v>4</v>
      </c>
      <c r="AF2947" s="113">
        <f>'Data_in-situ'!EN176</f>
        <v>-7.2</v>
      </c>
      <c r="AG2947" s="113">
        <f>'Data_in-situ'!EO176</f>
        <v>2.1</v>
      </c>
      <c r="AH2947" s="110">
        <f>'Data_in-situ'!EP176</f>
        <v>4</v>
      </c>
      <c r="AI2947" s="113">
        <f>'Data_in-situ'!ER176</f>
        <v>-39.6</v>
      </c>
      <c r="AJ2947" s="113">
        <f>'Data_in-situ'!ES176</f>
        <v>17.2</v>
      </c>
      <c r="AK2947" s="110">
        <f>'Data_in-situ'!ET176</f>
        <v>3</v>
      </c>
    </row>
    <row r="2948" spans="14:37" x14ac:dyDescent="0.3">
      <c r="N2948" s="24">
        <f>'Data_in-situ'!DA400</f>
        <v>30.769259991496654</v>
      </c>
      <c r="O2948" s="24">
        <f>'Data_in-situ'!DB400</f>
        <v>92.297212539414176</v>
      </c>
      <c r="P2948" s="46">
        <f>'Data_in-situ'!DC400</f>
        <v>1</v>
      </c>
      <c r="Q2948" s="24">
        <f>'Data_in-situ'!DE400</f>
        <v>-12.040273178424011</v>
      </c>
      <c r="R2948" s="24">
        <f>'Data_in-situ'!DF400</f>
        <v>11.476099621415464</v>
      </c>
      <c r="S2948" s="46">
        <f>'Data_in-situ'!DG400</f>
        <v>1</v>
      </c>
      <c r="T2948" s="113">
        <f>'Data_in-situ'!DN132</f>
        <v>440.08296271455015</v>
      </c>
      <c r="U2948" s="113">
        <f>'Data_in-situ'!DO132</f>
        <v>113.40347895786114</v>
      </c>
      <c r="V2948" s="46">
        <f>'Data_in-situ'!DP132</f>
        <v>21</v>
      </c>
      <c r="W2948" s="113">
        <f>'Data_in-situ'!DR132</f>
        <v>251.76858211880577</v>
      </c>
      <c r="X2948" s="113">
        <f>'Data_in-situ'!DS132</f>
        <v>162.14335017466513</v>
      </c>
      <c r="Y2948" s="46">
        <f>'Data_in-situ'!DT132</f>
        <v>21</v>
      </c>
      <c r="Z2948" s="113">
        <f>'Data_in-situ'!EA160</f>
        <v>-0.36220000000000002</v>
      </c>
      <c r="AA2948" s="113">
        <f>'Data_in-situ'!EB160</f>
        <v>0.55423680859358304</v>
      </c>
      <c r="AB2948" s="46">
        <f>'Data_in-situ'!EC160</f>
        <v>4</v>
      </c>
      <c r="AC2948" s="113">
        <f>'Data_in-situ'!EE160</f>
        <v>8.210000000000002E-2</v>
      </c>
      <c r="AD2948" s="113">
        <f>'Data_in-situ'!EF160</f>
        <v>1.2639620247459968E-2</v>
      </c>
      <c r="AE2948" s="46">
        <f>'Data_in-situ'!EG160</f>
        <v>4</v>
      </c>
      <c r="AF2948" s="113">
        <f>'Data_in-situ'!EN177</f>
        <v>-9.1999999999999993</v>
      </c>
      <c r="AG2948" s="113">
        <f>'Data_in-situ'!EO177</f>
        <v>4.8</v>
      </c>
      <c r="AH2948" s="110">
        <f>'Data_in-situ'!EP177</f>
        <v>4</v>
      </c>
      <c r="AI2948" s="113">
        <f>'Data_in-situ'!ER177</f>
        <v>-41</v>
      </c>
      <c r="AJ2948" s="113">
        <f>'Data_in-situ'!ES177</f>
        <v>11</v>
      </c>
      <c r="AK2948" s="110">
        <f>'Data_in-situ'!ET177</f>
        <v>3</v>
      </c>
    </row>
    <row r="2949" spans="14:37" x14ac:dyDescent="0.3">
      <c r="N2949" s="24">
        <f>'Data_in-situ'!DA401</f>
        <v>-9.9734758901814473</v>
      </c>
      <c r="O2949" s="24">
        <f>'Data_in-situ'!DB401</f>
        <v>29.917002366881579</v>
      </c>
      <c r="P2949" s="46">
        <f>'Data_in-situ'!DC401</f>
        <v>1</v>
      </c>
      <c r="Q2949" s="24">
        <f>'Data_in-situ'!DE401</f>
        <v>19.352622941849745</v>
      </c>
      <c r="R2949" s="24">
        <f>'Data_in-situ'!DF401</f>
        <v>18.445813107824229</v>
      </c>
      <c r="S2949" s="46">
        <f>'Data_in-situ'!DG401</f>
        <v>1</v>
      </c>
      <c r="T2949" s="113">
        <f>'Data_in-situ'!DN133</f>
        <v>440.08296271455015</v>
      </c>
      <c r="U2949" s="113">
        <f>'Data_in-situ'!DO133</f>
        <v>113.40347895786114</v>
      </c>
      <c r="V2949" s="46">
        <f>'Data_in-situ'!DP133</f>
        <v>21</v>
      </c>
      <c r="W2949" s="113">
        <f>'Data_in-situ'!DR133</f>
        <v>25.550114778634466</v>
      </c>
      <c r="X2949" s="113">
        <f>'Data_in-situ'!DS133</f>
        <v>18.733958929588759</v>
      </c>
      <c r="Y2949" s="46">
        <f>'Data_in-situ'!DT133</f>
        <v>21</v>
      </c>
      <c r="Z2949" s="113">
        <f>'Data_in-situ'!EA161</f>
        <v>-0.36220000000000002</v>
      </c>
      <c r="AA2949" s="113">
        <f>'Data_in-situ'!EB161</f>
        <v>0.55423680859358304</v>
      </c>
      <c r="AB2949" s="46">
        <f>'Data_in-situ'!EC161</f>
        <v>4</v>
      </c>
      <c r="AC2949" s="113">
        <f>'Data_in-situ'!EE161</f>
        <v>0.3004</v>
      </c>
      <c r="AD2949" s="113">
        <f>'Data_in-situ'!EF161</f>
        <v>2.3186418438387587E-2</v>
      </c>
      <c r="AE2949" s="46">
        <f>'Data_in-situ'!EG161</f>
        <v>4</v>
      </c>
      <c r="AF2949" s="113">
        <f>'Data_in-situ'!EN178</f>
        <v>-9.6999999999999993</v>
      </c>
      <c r="AG2949" s="113">
        <f>'Data_in-situ'!EO178</f>
        <v>3.7</v>
      </c>
      <c r="AH2949" s="110">
        <f>'Data_in-situ'!EP178</f>
        <v>4</v>
      </c>
      <c r="AI2949" s="113">
        <f>'Data_in-situ'!ER178</f>
        <v>-45.2</v>
      </c>
      <c r="AJ2949" s="113">
        <f>'Data_in-situ'!ES178</f>
        <v>11.5</v>
      </c>
      <c r="AK2949" s="110">
        <f>'Data_in-situ'!ET178</f>
        <v>3</v>
      </c>
    </row>
    <row r="2950" spans="14:37" x14ac:dyDescent="0.3">
      <c r="N2950" s="24">
        <f>'Data_in-situ'!DA402</f>
        <v>-18.763353277697291</v>
      </c>
      <c r="O2950" s="24">
        <f>'Data_in-situ'!DB402</f>
        <v>56.283615722391104</v>
      </c>
      <c r="P2950" s="46">
        <f>'Data_in-situ'!DC402</f>
        <v>1</v>
      </c>
      <c r="Q2950" s="24">
        <f>'Data_in-situ'!DE402</f>
        <v>-6.8429322993331425</v>
      </c>
      <c r="R2950" s="24">
        <f>'Data_in-situ'!DF402</f>
        <v>6.5222916129904451</v>
      </c>
      <c r="S2950" s="46">
        <f>'Data_in-situ'!DG402</f>
        <v>1</v>
      </c>
      <c r="T2950" s="113">
        <f>'Data_in-situ'!DN135</f>
        <v>106</v>
      </c>
      <c r="U2950" s="113">
        <f>'Data_in-situ'!DO135</f>
        <v>76.556645694544372</v>
      </c>
      <c r="V2950" s="46">
        <f>'Data_in-situ'!DP135</f>
        <v>3</v>
      </c>
      <c r="W2950" s="113">
        <f>'Data_in-situ'!DR135</f>
        <v>1</v>
      </c>
      <c r="X2950" s="113">
        <f>'Data_in-situ'!DS135</f>
        <v>2.0784609690826525</v>
      </c>
      <c r="Y2950" s="46">
        <f>'Data_in-situ'!DT135</f>
        <v>3</v>
      </c>
      <c r="Z2950" s="113">
        <f>'Data_in-situ'!EA217</f>
        <v>1.3785046728971999</v>
      </c>
      <c r="AA2950" s="113">
        <f>'Data_in-situ'!EB217</f>
        <v>1.030159237619066</v>
      </c>
      <c r="AB2950" s="46">
        <f>'Data_in-situ'!EC217</f>
        <v>6</v>
      </c>
      <c r="AC2950" s="113">
        <f>'Data_in-situ'!EE217</f>
        <v>3.2242990654205603</v>
      </c>
      <c r="AD2950" s="113">
        <f>'Data_in-situ'!EF217</f>
        <v>3.548326262910205</v>
      </c>
      <c r="AE2950" s="46">
        <f>'Data_in-situ'!EG217</f>
        <v>6</v>
      </c>
      <c r="AF2950" s="113">
        <f>'Data_in-situ'!EN179</f>
        <v>-6.75</v>
      </c>
      <c r="AG2950" s="113">
        <f>'Data_in-situ'!EO179</f>
        <v>4.0326790102858423</v>
      </c>
      <c r="AH2950" s="110">
        <f>'Data_in-situ'!EP179</f>
        <v>3</v>
      </c>
      <c r="AI2950" s="113">
        <f>'Data_in-situ'!ER179</f>
        <v>-13.2</v>
      </c>
      <c r="AJ2950" s="113">
        <f>'Data_in-situ'!ES179</f>
        <v>6.5</v>
      </c>
      <c r="AK2950" s="110">
        <f>'Data_in-situ'!ET179</f>
        <v>3</v>
      </c>
    </row>
    <row r="2951" spans="14:37" x14ac:dyDescent="0.3">
      <c r="N2951" s="24">
        <f>'Data_in-situ'!DA403</f>
        <v>-23.457057300377045</v>
      </c>
      <c r="O2951" s="24">
        <f>'Data_in-situ'!DB403</f>
        <v>70.363115778554274</v>
      </c>
      <c r="P2951" s="46">
        <f>'Data_in-situ'!DC403</f>
        <v>1</v>
      </c>
      <c r="Q2951" s="24">
        <f>'Data_in-situ'!DE403</f>
        <v>24.206191269977069</v>
      </c>
      <c r="R2951" s="24">
        <f>'Data_in-situ'!DF403</f>
        <v>23.071956786420301</v>
      </c>
      <c r="S2951" s="46">
        <f>'Data_in-situ'!DG403</f>
        <v>1</v>
      </c>
      <c r="T2951" s="113">
        <f>'Data_in-situ'!DN136</f>
        <v>122</v>
      </c>
      <c r="U2951" s="113">
        <f>'Data_in-situ'!DO136</f>
        <v>57.850496972800492</v>
      </c>
      <c r="V2951" s="46">
        <f>'Data_in-situ'!DP136</f>
        <v>3</v>
      </c>
      <c r="W2951" s="113">
        <f>'Data_in-situ'!DR136</f>
        <v>0</v>
      </c>
      <c r="X2951" s="113">
        <f>'Data_in-situ'!DS136</f>
        <v>2.4248711305964279</v>
      </c>
      <c r="Y2951" s="46">
        <f>'Data_in-situ'!DT136</f>
        <v>3</v>
      </c>
      <c r="Z2951" s="113">
        <f>'Data_in-situ'!EA218</f>
        <v>1.3785046728971999</v>
      </c>
      <c r="AA2951" s="113">
        <f>'Data_in-situ'!EB218</f>
        <v>1.030159237619066</v>
      </c>
      <c r="AB2951" s="46">
        <f>'Data_in-situ'!EC218</f>
        <v>6</v>
      </c>
      <c r="AC2951" s="113">
        <f>'Data_in-situ'!EE218</f>
        <v>2.8037383177570097</v>
      </c>
      <c r="AD2951" s="113">
        <f>'Data_in-situ'!EF218</f>
        <v>2.5181670252910933</v>
      </c>
      <c r="AE2951" s="46">
        <f>'Data_in-situ'!EG218</f>
        <v>6</v>
      </c>
      <c r="AF2951" s="113">
        <f>'Data_in-situ'!EN180</f>
        <v>-7.05</v>
      </c>
      <c r="AG2951" s="113">
        <f>'Data_in-situ'!EO180</f>
        <v>2.8714108030722461</v>
      </c>
      <c r="AH2951" s="110">
        <f>'Data_in-situ'!EP180</f>
        <v>3</v>
      </c>
      <c r="AI2951" s="113">
        <f>'Data_in-situ'!ER180</f>
        <v>-16.899999999999999</v>
      </c>
      <c r="AJ2951" s="113">
        <f>'Data_in-situ'!ES180</f>
        <v>10.5</v>
      </c>
      <c r="AK2951" s="110">
        <f>'Data_in-situ'!ET180</f>
        <v>3</v>
      </c>
    </row>
    <row r="2952" spans="14:37" x14ac:dyDescent="0.3">
      <c r="N2952" s="24">
        <f>'Data_in-situ'!DA404</f>
        <v>-17.240747700053362</v>
      </c>
      <c r="O2952" s="24">
        <f>'Data_in-situ'!DB404</f>
        <v>1.8994060532667709</v>
      </c>
      <c r="P2952" s="46">
        <f>'Data_in-situ'!DC404</f>
        <v>4</v>
      </c>
      <c r="Q2952" s="24">
        <f>'Data_in-situ'!DE404</f>
        <v>-533.77396104632658</v>
      </c>
      <c r="R2952" s="24">
        <f>'Data_in-situ'!DF404</f>
        <v>650.20080041312121</v>
      </c>
      <c r="S2952" s="46">
        <f>'Data_in-situ'!DG404</f>
        <v>4</v>
      </c>
      <c r="T2952" s="113">
        <f>'Data_in-situ'!DN137</f>
        <v>106</v>
      </c>
      <c r="U2952" s="113">
        <f>'Data_in-situ'!DO137</f>
        <v>76.556645694544372</v>
      </c>
      <c r="V2952" s="46">
        <f>'Data_in-situ'!DP137</f>
        <v>3</v>
      </c>
      <c r="W2952" s="113">
        <f>'Data_in-situ'!DR137</f>
        <v>4</v>
      </c>
      <c r="X2952" s="113">
        <f>'Data_in-situ'!DS137</f>
        <v>4.1569219381653051</v>
      </c>
      <c r="Y2952" s="46">
        <f>'Data_in-situ'!DT137</f>
        <v>3</v>
      </c>
      <c r="Z2952" s="113">
        <f>'Data_in-situ'!EA250</f>
        <v>4.7842000883736189E-3</v>
      </c>
      <c r="AA2952" s="113">
        <f>'Data_in-situ'!EB250</f>
        <v>5.7651671572041305E-2</v>
      </c>
      <c r="AB2952" s="46">
        <f>'Data_in-situ'!EC250</f>
        <v>3</v>
      </c>
      <c r="AC2952" s="113">
        <f>'Data_in-situ'!EE250</f>
        <v>2.8668507573783328</v>
      </c>
      <c r="AD2952" s="113">
        <f>'Data_in-situ'!EF250</f>
        <v>1.8611493473177243</v>
      </c>
      <c r="AE2952" s="46">
        <f>'Data_in-situ'!EG250</f>
        <v>3</v>
      </c>
      <c r="AF2952" s="113">
        <f>'Data_in-situ'!EN181</f>
        <v>-8.5500000000000007</v>
      </c>
      <c r="AG2952" s="113">
        <f>'Data_in-situ'!EO181</f>
        <v>4.9678969393496883</v>
      </c>
      <c r="AH2952" s="110">
        <f>'Data_in-situ'!EP181</f>
        <v>3</v>
      </c>
      <c r="AI2952" s="113">
        <f>'Data_in-situ'!ER181</f>
        <v>-16.2</v>
      </c>
      <c r="AJ2952" s="113">
        <f>'Data_in-situ'!ES181</f>
        <v>8</v>
      </c>
      <c r="AK2952" s="110">
        <f>'Data_in-situ'!ET181</f>
        <v>3</v>
      </c>
    </row>
    <row r="2953" spans="14:37" x14ac:dyDescent="0.3">
      <c r="N2953" s="24">
        <f>'Data_in-situ'!DA408</f>
        <v>-401.69898954302357</v>
      </c>
      <c r="O2953" s="24">
        <f>'Data_in-situ'!DB408</f>
        <v>32.172723320258399</v>
      </c>
      <c r="P2953" s="46">
        <f>'Data_in-situ'!DC408</f>
        <v>4</v>
      </c>
      <c r="Q2953" s="24">
        <f>'Data_in-situ'!DE408</f>
        <v>-352.51588580313341</v>
      </c>
      <c r="R2953" s="24">
        <f>'Data_in-situ'!DF408</f>
        <v>429.43708601551509</v>
      </c>
      <c r="S2953" s="46">
        <f>'Data_in-situ'!DG408</f>
        <v>4</v>
      </c>
      <c r="T2953" s="113">
        <f>'Data_in-situ'!DN138</f>
        <v>122</v>
      </c>
      <c r="U2953" s="113">
        <f>'Data_in-situ'!DO138</f>
        <v>57.850496972800492</v>
      </c>
      <c r="V2953" s="46">
        <f>'Data_in-situ'!DP138</f>
        <v>3</v>
      </c>
      <c r="W2953" s="113">
        <f>'Data_in-situ'!DR138</f>
        <v>5</v>
      </c>
      <c r="X2953" s="113">
        <f>'Data_in-situ'!DS138</f>
        <v>6.9282032302755088</v>
      </c>
      <c r="Y2953" s="46">
        <f>'Data_in-situ'!DT138</f>
        <v>3</v>
      </c>
      <c r="Z2953" s="113">
        <f>'Data_in-situ'!EA251</f>
        <v>2.9121217929230725E-2</v>
      </c>
      <c r="AA2953" s="113">
        <f>'Data_in-situ'!EB251</f>
        <v>6.8659445106331193E-2</v>
      </c>
      <c r="AB2953" s="46">
        <f>'Data_in-situ'!EC251</f>
        <v>3</v>
      </c>
      <c r="AC2953" s="113">
        <f>'Data_in-situ'!EE251</f>
        <v>0.10511786110387221</v>
      </c>
      <c r="AD2953" s="113">
        <f>'Data_in-situ'!EF251</f>
        <v>0.10740648717807684</v>
      </c>
      <c r="AE2953" s="46">
        <f>'Data_in-situ'!EG251</f>
        <v>3</v>
      </c>
      <c r="AF2953" s="113">
        <f>'Data_in-situ'!EN182</f>
        <v>10.513333333333334</v>
      </c>
      <c r="AG2953" s="113">
        <f>'Data_in-situ'!EO182</f>
        <v>1.0373523991392701</v>
      </c>
      <c r="AH2953" s="110">
        <f>'Data_in-situ'!EP182</f>
        <v>3</v>
      </c>
      <c r="AI2953" s="113">
        <f>'Data_in-situ'!ER182</f>
        <v>-89.296666666666667</v>
      </c>
      <c r="AJ2953" s="113">
        <f>'Data_in-situ'!ES182</f>
        <v>4.948066962629615</v>
      </c>
      <c r="AK2953" s="110">
        <f>'Data_in-situ'!ET182</f>
        <v>3</v>
      </c>
    </row>
    <row r="2954" spans="14:37" x14ac:dyDescent="0.3">
      <c r="N2954" s="24">
        <f>'Data_in-situ'!DA416</f>
        <v>-988.3974549743225</v>
      </c>
      <c r="O2954" s="24">
        <f>'Data_in-situ'!DB416</f>
        <v>1706.6543556486708</v>
      </c>
      <c r="P2954" s="46">
        <f>'Data_in-situ'!DC416</f>
        <v>5</v>
      </c>
      <c r="Q2954" s="24">
        <f>'Data_in-situ'!DE416</f>
        <v>-341.0829809255074</v>
      </c>
      <c r="R2954" s="24">
        <f>'Data_in-situ'!DF416</f>
        <v>4448.7121943333168</v>
      </c>
      <c r="S2954" s="46">
        <f>'Data_in-situ'!DG416</f>
        <v>5</v>
      </c>
      <c r="T2954" s="113">
        <f>'Data_in-situ'!DN139</f>
        <v>106</v>
      </c>
      <c r="U2954" s="113">
        <f>'Data_in-situ'!DO139</f>
        <v>76.556645694544372</v>
      </c>
      <c r="V2954" s="46">
        <f>'Data_in-situ'!DP139</f>
        <v>3</v>
      </c>
      <c r="W2954" s="113">
        <f>'Data_in-situ'!DR139</f>
        <v>5</v>
      </c>
      <c r="X2954" s="113">
        <f>'Data_in-situ'!DS139</f>
        <v>3.2908965343808667</v>
      </c>
      <c r="Y2954" s="46">
        <f>'Data_in-situ'!DT139</f>
        <v>3</v>
      </c>
      <c r="Z2954" s="113">
        <f>'Data_in-situ'!EA260</f>
        <v>4.7842000883736184E-2</v>
      </c>
      <c r="AA2954" s="113">
        <f>'Data_in-situ'!EB260</f>
        <v>4.4106351316338478E-2</v>
      </c>
      <c r="AB2954" s="46">
        <f>'Data_in-situ'!EC260</f>
        <v>3</v>
      </c>
      <c r="AC2954" s="113">
        <f>'Data_in-situ'!EE260</f>
        <v>0.82820132990929607</v>
      </c>
      <c r="AD2954" s="113">
        <f>'Data_in-situ'!EF260</f>
        <v>0.5966246705874263</v>
      </c>
      <c r="AE2954" s="46">
        <f>'Data_in-situ'!EG260</f>
        <v>3</v>
      </c>
      <c r="AF2954" s="113">
        <f>'Data_in-situ'!EN184</f>
        <v>15.494138888888889</v>
      </c>
      <c r="AG2954" s="113">
        <f>'Data_in-situ'!EO184</f>
        <v>0.77024816389862394</v>
      </c>
      <c r="AH2954" s="110">
        <f>'Data_in-situ'!EP184</f>
        <v>3</v>
      </c>
      <c r="AI2954" s="113">
        <f>'Data_in-situ'!ER184</f>
        <v>-89.296666666666667</v>
      </c>
      <c r="AJ2954" s="113">
        <f>'Data_in-situ'!ES184</f>
        <v>4.948066962629615</v>
      </c>
      <c r="AK2954" s="110">
        <f>'Data_in-situ'!ET184</f>
        <v>3</v>
      </c>
    </row>
    <row r="2955" spans="14:37" x14ac:dyDescent="0.3">
      <c r="N2955" s="24">
        <f>'Data_in-situ'!DA432</f>
        <v>-80</v>
      </c>
      <c r="O2955" s="24">
        <f>'Data_in-situ'!DB432</f>
        <v>2009.1789367798974</v>
      </c>
      <c r="P2955" s="46">
        <f>'Data_in-situ'!DC432</f>
        <v>3</v>
      </c>
      <c r="Q2955" s="24">
        <f>'Data_in-situ'!DE432</f>
        <v>4580</v>
      </c>
      <c r="R2955" s="24">
        <f>'Data_in-situ'!DF432</f>
        <v>4416.7295593006365</v>
      </c>
      <c r="S2955" s="46">
        <f>'Data_in-situ'!DG432</f>
        <v>3</v>
      </c>
      <c r="T2955" s="113">
        <f>'Data_in-situ'!DN140</f>
        <v>122</v>
      </c>
      <c r="U2955" s="113">
        <f>'Data_in-situ'!DO140</f>
        <v>57.850496972800492</v>
      </c>
      <c r="V2955" s="46">
        <f>'Data_in-situ'!DP140</f>
        <v>3</v>
      </c>
      <c r="W2955" s="113">
        <f>'Data_in-situ'!DR140</f>
        <v>16</v>
      </c>
      <c r="X2955" s="113">
        <f>'Data_in-situ'!DS140</f>
        <v>12.297560733739028</v>
      </c>
      <c r="Y2955" s="46">
        <f>'Data_in-situ'!DT140</f>
        <v>3</v>
      </c>
      <c r="Z2955" s="113">
        <f>'Data_in-situ'!EA261</f>
        <v>0.27041130934285673</v>
      </c>
      <c r="AA2955" s="113">
        <f>'Data_in-situ'!EB261</f>
        <v>0.17637490766446459</v>
      </c>
      <c r="AB2955" s="46">
        <f>'Data_in-situ'!EC261</f>
        <v>3</v>
      </c>
      <c r="AC2955" s="113">
        <f>'Data_in-situ'!EE261</f>
        <v>1.0193247137345183</v>
      </c>
      <c r="AD2955" s="113">
        <f>'Data_in-situ'!EF261</f>
        <v>0.85363748658627392</v>
      </c>
      <c r="AE2955" s="46">
        <f>'Data_in-situ'!EG261</f>
        <v>3</v>
      </c>
      <c r="AF2955" s="113">
        <f>'Data_in-situ'!EN185</f>
        <v>-29.297839506172831</v>
      </c>
      <c r="AG2955" s="113">
        <f>'Data_in-situ'!EO185</f>
        <v>7.4871417952407429</v>
      </c>
      <c r="AH2955" s="110">
        <f>'Data_in-situ'!EP185</f>
        <v>3</v>
      </c>
      <c r="AI2955" s="113">
        <f>'Data_in-situ'!ER185</f>
        <v>-89.296666666666667</v>
      </c>
      <c r="AJ2955" s="113">
        <f>'Data_in-situ'!ES185</f>
        <v>4.948066962629615</v>
      </c>
      <c r="AK2955" s="110">
        <f>'Data_in-situ'!ET185</f>
        <v>3</v>
      </c>
    </row>
    <row r="2956" spans="14:37" x14ac:dyDescent="0.3">
      <c r="N2956" s="24">
        <f>'Data_in-situ'!DA433</f>
        <v>-1270</v>
      </c>
      <c r="O2956" s="24">
        <f>'Data_in-situ'!DB433</f>
        <v>1593.4867429633669</v>
      </c>
      <c r="P2956" s="46">
        <f>'Data_in-situ'!DC433</f>
        <v>3</v>
      </c>
      <c r="Q2956" s="24">
        <f>'Data_in-situ'!DE433</f>
        <v>4820</v>
      </c>
      <c r="R2956" s="24">
        <f>'Data_in-situ'!DF433</f>
        <v>4122.2809220139279</v>
      </c>
      <c r="S2956" s="46">
        <f>'Data_in-situ'!DG433</f>
        <v>3</v>
      </c>
      <c r="T2956" s="113">
        <f>'Data_in-situ'!DN141</f>
        <v>51</v>
      </c>
      <c r="U2956" s="113">
        <f>'Data_in-situ'!DO141</f>
        <v>61.031958841249725</v>
      </c>
      <c r="V2956" s="46">
        <f>'Data_in-situ'!DP141</f>
        <v>3</v>
      </c>
      <c r="W2956" s="113">
        <f>'Data_in-situ'!DR141</f>
        <v>5</v>
      </c>
      <c r="X2956" s="113">
        <f>'Data_in-situ'!DS141</f>
        <v>6.008327554319921</v>
      </c>
      <c r="Y2956" s="46">
        <f>'Data_in-situ'!DT141</f>
        <v>10</v>
      </c>
      <c r="Z2956" s="113">
        <f>'Data_in-situ'!EA432</f>
        <v>0.14142857142857143</v>
      </c>
      <c r="AA2956" s="113">
        <f>'Data_in-situ'!EB432</f>
        <v>0.29939735387976307</v>
      </c>
      <c r="AB2956" s="46">
        <f>'Data_in-situ'!EC432</f>
        <v>3</v>
      </c>
      <c r="AC2956" s="113">
        <f>'Data_in-situ'!EE432</f>
        <v>1.8071428571428574</v>
      </c>
      <c r="AD2956" s="113">
        <f>'Data_in-situ'!EF432</f>
        <v>2.1229994184201382</v>
      </c>
      <c r="AE2956" s="46">
        <f>'Data_in-situ'!EG432</f>
        <v>3</v>
      </c>
      <c r="AF2956" s="113">
        <f>'Data_in-situ'!EN186</f>
        <v>-15.092592592592601</v>
      </c>
      <c r="AG2956" s="113">
        <f>'Data_in-situ'!EO186</f>
        <v>7.11534501237022</v>
      </c>
      <c r="AH2956" s="110">
        <f>'Data_in-situ'!EP186</f>
        <v>3</v>
      </c>
      <c r="AI2956" s="113">
        <f>'Data_in-situ'!ER186</f>
        <v>-89.296666666666667</v>
      </c>
      <c r="AJ2956" s="113">
        <f>'Data_in-situ'!ES186</f>
        <v>4.948066962629615</v>
      </c>
      <c r="AK2956" s="110">
        <f>'Data_in-situ'!ET186</f>
        <v>3</v>
      </c>
    </row>
    <row r="2957" spans="14:37" x14ac:dyDescent="0.3">
      <c r="T2957" s="113">
        <f>'Data_in-situ'!DN142</f>
        <v>101</v>
      </c>
      <c r="U2957" s="113">
        <f>'Data_in-situ'!DO142</f>
        <v>133.44811725910563</v>
      </c>
      <c r="V2957" s="46">
        <f>'Data_in-situ'!DP142</f>
        <v>3</v>
      </c>
      <c r="W2957" s="113">
        <f>'Data_in-situ'!DR142</f>
        <v>13</v>
      </c>
      <c r="X2957" s="113">
        <f>'Data_in-situ'!DS142</f>
        <v>25.93067681338071</v>
      </c>
      <c r="Y2957" s="46">
        <f>'Data_in-situ'!DT142</f>
        <v>10</v>
      </c>
      <c r="Z2957" s="113">
        <f>'Data_in-situ'!EA433</f>
        <v>0.11</v>
      </c>
      <c r="AA2957" s="113">
        <f>'Data_in-situ'!EB433</f>
        <v>0.65323059028311947</v>
      </c>
      <c r="AB2957" s="46">
        <f>'Data_in-situ'!EC433</f>
        <v>3</v>
      </c>
      <c r="AC2957" s="113">
        <f>'Data_in-situ'!EE433</f>
        <v>4.0071428571428571</v>
      </c>
      <c r="AD2957" s="113">
        <f>'Data_in-situ'!EF433</f>
        <v>2.7490120674414609</v>
      </c>
      <c r="AE2957" s="46">
        <f>'Data_in-situ'!EG433</f>
        <v>3</v>
      </c>
      <c r="AF2957" s="113">
        <f>'Data_in-situ'!EN187</f>
        <v>-22.905478395061731</v>
      </c>
      <c r="AG2957" s="113">
        <f>'Data_in-situ'!EO187</f>
        <v>5.2162753162474411</v>
      </c>
      <c r="AH2957" s="110">
        <f>'Data_in-situ'!EP187</f>
        <v>3</v>
      </c>
      <c r="AI2957" s="113">
        <f>'Data_in-situ'!ER187</f>
        <v>-89.296666666666667</v>
      </c>
      <c r="AJ2957" s="113">
        <f>'Data_in-situ'!ES187</f>
        <v>4.948066962629615</v>
      </c>
      <c r="AK2957" s="110">
        <f>'Data_in-situ'!ET187</f>
        <v>3</v>
      </c>
    </row>
    <row r="2958" spans="14:37" x14ac:dyDescent="0.3">
      <c r="T2958" s="113">
        <f>'Data_in-situ'!DN143</f>
        <v>51</v>
      </c>
      <c r="U2958" s="113">
        <f>'Data_in-situ'!DO143</f>
        <v>61.031958841249725</v>
      </c>
      <c r="V2958" s="46">
        <f>'Data_in-situ'!DP143</f>
        <v>3</v>
      </c>
      <c r="W2958" s="113">
        <f>'Data_in-situ'!DR143</f>
        <v>1</v>
      </c>
      <c r="X2958" s="113">
        <f>'Data_in-situ'!DS143</f>
        <v>5.6920997883030831</v>
      </c>
      <c r="Y2958" s="46">
        <f>'Data_in-situ'!DT143</f>
        <v>10</v>
      </c>
      <c r="Z2958" s="113">
        <f>'Data_in-situ'!EA434</f>
        <v>0.31428571428571433</v>
      </c>
      <c r="AA2958" s="113">
        <f>'Data_in-situ'!EB434</f>
        <v>1.8071356230047548</v>
      </c>
      <c r="AB2958" s="46">
        <f>'Data_in-situ'!EC434</f>
        <v>3</v>
      </c>
      <c r="AC2958" s="113">
        <f>'Data_in-situ'!EE434</f>
        <v>14.614285714285716</v>
      </c>
      <c r="AD2958" s="113">
        <f>'Data_in-situ'!EF434</f>
        <v>21.821165534948449</v>
      </c>
      <c r="AE2958" s="46">
        <f>'Data_in-situ'!EG434</f>
        <v>3</v>
      </c>
      <c r="AF2958" s="113">
        <f>'Data_in-situ'!EN188</f>
        <v>15.494138888888889</v>
      </c>
      <c r="AG2958" s="113">
        <f>'Data_in-situ'!EO188</f>
        <v>0.77024816389862394</v>
      </c>
      <c r="AH2958" s="110">
        <f>'Data_in-situ'!EP188</f>
        <v>3</v>
      </c>
      <c r="AI2958" s="113">
        <f>'Data_in-situ'!ER188</f>
        <v>-91.63</v>
      </c>
      <c r="AJ2958" s="113">
        <f>'Data_in-situ'!ES188</f>
        <v>7.7942286340599471</v>
      </c>
      <c r="AK2958" s="110">
        <f>'Data_in-situ'!ET188</f>
        <v>3</v>
      </c>
    </row>
    <row r="2959" spans="14:37" x14ac:dyDescent="0.3">
      <c r="T2959" s="113">
        <f>'Data_in-situ'!DN144</f>
        <v>101</v>
      </c>
      <c r="U2959" s="113">
        <f>'Data_in-situ'!DO144</f>
        <v>133.44811725910563</v>
      </c>
      <c r="V2959" s="46">
        <f>'Data_in-situ'!DP144</f>
        <v>3</v>
      </c>
      <c r="W2959" s="113">
        <f>'Data_in-situ'!DR144</f>
        <v>17</v>
      </c>
      <c r="X2959" s="113">
        <f>'Data_in-situ'!DS144</f>
        <v>24.981993515330199</v>
      </c>
      <c r="Y2959" s="46">
        <f>'Data_in-situ'!DT144</f>
        <v>10</v>
      </c>
      <c r="Z2959" s="113">
        <f>'Data_in-situ'!EA435</f>
        <v>0.31428571428571433</v>
      </c>
      <c r="AA2959" s="113">
        <f>'Data_in-situ'!EB435</f>
        <v>1.8071356230047548</v>
      </c>
      <c r="AB2959" s="46">
        <f>'Data_in-situ'!EC435</f>
        <v>3</v>
      </c>
      <c r="AC2959" s="113">
        <f>'Data_in-situ'!EE435</f>
        <v>12.257142857142856</v>
      </c>
      <c r="AD2959" s="113">
        <f>'Data_in-situ'!EF435</f>
        <v>18.301622706730956</v>
      </c>
      <c r="AE2959" s="46">
        <f>'Data_in-situ'!EG435</f>
        <v>3</v>
      </c>
      <c r="AF2959" s="113">
        <f>'Data_in-situ'!EN189</f>
        <v>15.494138888888889</v>
      </c>
      <c r="AG2959" s="113">
        <f>'Data_in-situ'!EO189</f>
        <v>0.77024816389862394</v>
      </c>
      <c r="AH2959" s="110">
        <f>'Data_in-situ'!EP189</f>
        <v>3</v>
      </c>
      <c r="AI2959" s="113">
        <f>'Data_in-situ'!ER189</f>
        <v>-87.6</v>
      </c>
      <c r="AJ2959" s="113">
        <f>'Data_in-situ'!ES189</f>
        <v>10.825317547305483</v>
      </c>
      <c r="AK2959" s="110">
        <f>'Data_in-situ'!ET189</f>
        <v>3</v>
      </c>
    </row>
    <row r="2960" spans="14:37" x14ac:dyDescent="0.3">
      <c r="T2960" s="113">
        <f>'Data_in-situ'!DN156</f>
        <v>34.884300000000003</v>
      </c>
      <c r="U2960" s="113">
        <f>'Data_in-situ'!DO156</f>
        <v>2.7604911899877527</v>
      </c>
      <c r="V2960" s="46">
        <f>'Data_in-situ'!DP156</f>
        <v>4</v>
      </c>
      <c r="W2960" s="113">
        <f>'Data_in-situ'!DR156</f>
        <v>15.5944</v>
      </c>
      <c r="X2960" s="113">
        <f>'Data_in-situ'!DS156</f>
        <v>2.1027833031484722</v>
      </c>
      <c r="Y2960" s="46">
        <f>'Data_in-situ'!DT156</f>
        <v>4</v>
      </c>
      <c r="Z2960" s="113">
        <f>'Data_in-situ'!EA441</f>
        <v>0.3</v>
      </c>
      <c r="AA2960" s="113">
        <f>'Data_in-situ'!EB441</f>
        <v>0.35</v>
      </c>
      <c r="AB2960" s="46">
        <f>'Data_in-situ'!EC441</f>
        <v>6</v>
      </c>
      <c r="AC2960" s="113">
        <f>'Data_in-situ'!EE441</f>
        <v>3.7</v>
      </c>
      <c r="AD2960" s="113">
        <f>'Data_in-situ'!EF441</f>
        <v>1.05</v>
      </c>
      <c r="AE2960" s="46">
        <f>'Data_in-situ'!EG441</f>
        <v>6</v>
      </c>
      <c r="AF2960" s="113">
        <f>'Data_in-situ'!EN190</f>
        <v>15.494138888888889</v>
      </c>
      <c r="AG2960" s="113">
        <f>'Data_in-situ'!EO190</f>
        <v>0.77024816389862394</v>
      </c>
      <c r="AH2960" s="110">
        <f>'Data_in-situ'!EP190</f>
        <v>3</v>
      </c>
      <c r="AI2960" s="113">
        <f>'Data_in-situ'!ER190</f>
        <v>-89.296666666666667</v>
      </c>
      <c r="AJ2960" s="113">
        <f>'Data_in-situ'!ES190</f>
        <v>6.512511036458978</v>
      </c>
      <c r="AK2960" s="110">
        <f>'Data_in-situ'!ET190</f>
        <v>3</v>
      </c>
    </row>
    <row r="2961" spans="20:37" x14ac:dyDescent="0.3">
      <c r="T2961" s="113">
        <f>'Data_in-situ'!DN157</f>
        <v>34.884300000000003</v>
      </c>
      <c r="U2961" s="113">
        <f>'Data_in-situ'!DO157</f>
        <v>2.7604911899877527</v>
      </c>
      <c r="V2961" s="46">
        <f>'Data_in-situ'!DP157</f>
        <v>4</v>
      </c>
      <c r="W2961" s="113">
        <f>'Data_in-situ'!DR157</f>
        <v>-3.7234000000000003</v>
      </c>
      <c r="X2961" s="113">
        <f>'Data_in-situ'!DS157</f>
        <v>0.33700001483679487</v>
      </c>
      <c r="Y2961" s="46">
        <f>'Data_in-situ'!DT157</f>
        <v>4</v>
      </c>
      <c r="Z2961" s="113">
        <f>'Data_in-situ'!EA442</f>
        <v>0.3</v>
      </c>
      <c r="AA2961" s="113">
        <f>'Data_in-situ'!EB442</f>
        <v>0.35</v>
      </c>
      <c r="AB2961" s="46">
        <f>'Data_in-situ'!EC442</f>
        <v>6</v>
      </c>
      <c r="AC2961" s="113">
        <f>'Data_in-situ'!EE442</f>
        <v>1.5</v>
      </c>
      <c r="AD2961" s="113">
        <f>'Data_in-situ'!EF442</f>
        <v>0.6</v>
      </c>
      <c r="AE2961" s="46">
        <f>'Data_in-situ'!EG442</f>
        <v>6</v>
      </c>
      <c r="AF2961" s="113">
        <f>'Data_in-situ'!EN191</f>
        <v>-22.905478395061731</v>
      </c>
      <c r="AG2961" s="113">
        <f>'Data_in-situ'!EO191</f>
        <v>5.2162753162474411</v>
      </c>
      <c r="AH2961" s="110">
        <f>'Data_in-situ'!EP191</f>
        <v>3</v>
      </c>
      <c r="AI2961" s="113">
        <f>'Data_in-situ'!ER191</f>
        <v>-91.63</v>
      </c>
      <c r="AJ2961" s="113">
        <f>'Data_in-situ'!ES191</f>
        <v>7.7942286340599471</v>
      </c>
      <c r="AK2961" s="110">
        <f>'Data_in-situ'!ET191</f>
        <v>3</v>
      </c>
    </row>
    <row r="2962" spans="20:37" x14ac:dyDescent="0.3">
      <c r="T2962" s="113">
        <f>'Data_in-situ'!DN158</f>
        <v>34.884300000000003</v>
      </c>
      <c r="U2962" s="113">
        <f>'Data_in-situ'!DO158</f>
        <v>2.7604911899877527</v>
      </c>
      <c r="V2962" s="46">
        <f>'Data_in-situ'!DP158</f>
        <v>4</v>
      </c>
      <c r="W2962" s="113">
        <f>'Data_in-situ'!DR158</f>
        <v>-6.8844000000000012</v>
      </c>
      <c r="X2962" s="113">
        <f>'Data_in-situ'!DS158</f>
        <v>0.4472975072588713</v>
      </c>
      <c r="Y2962" s="46">
        <f>'Data_in-situ'!DT158</f>
        <v>4</v>
      </c>
      <c r="Z2962" s="113">
        <f>'Data_in-situ'!EA443</f>
        <v>0.3</v>
      </c>
      <c r="AA2962" s="113">
        <f>'Data_in-situ'!EB443</f>
        <v>0.35</v>
      </c>
      <c r="AB2962" s="46">
        <f>'Data_in-situ'!EC443</f>
        <v>6</v>
      </c>
      <c r="AC2962" s="113">
        <f>'Data_in-situ'!EE443</f>
        <v>37.700000000000003</v>
      </c>
      <c r="AD2962" s="113">
        <f>'Data_in-situ'!EF443</f>
        <v>2.95</v>
      </c>
      <c r="AE2962" s="46">
        <f>'Data_in-situ'!EG443</f>
        <v>4</v>
      </c>
      <c r="AF2962" s="113">
        <f>'Data_in-situ'!EN192</f>
        <v>-22.905478395061731</v>
      </c>
      <c r="AG2962" s="113">
        <f>'Data_in-situ'!EO192</f>
        <v>5.2162753162474411</v>
      </c>
      <c r="AH2962" s="110">
        <f>'Data_in-situ'!EP192</f>
        <v>3</v>
      </c>
      <c r="AI2962" s="113">
        <f>'Data_in-situ'!ER192</f>
        <v>-87.6</v>
      </c>
      <c r="AJ2962" s="113">
        <f>'Data_in-situ'!ES192</f>
        <v>10.825317547305483</v>
      </c>
      <c r="AK2962" s="110">
        <f>'Data_in-situ'!ET192</f>
        <v>3</v>
      </c>
    </row>
    <row r="2963" spans="20:37" x14ac:dyDescent="0.3">
      <c r="T2963" s="113">
        <f>'Data_in-situ'!DN159</f>
        <v>12.3249</v>
      </c>
      <c r="U2963" s="113">
        <f>'Data_in-situ'!DO159</f>
        <v>4.0482329046140624</v>
      </c>
      <c r="V2963" s="46">
        <f>'Data_in-situ'!DP159</f>
        <v>4</v>
      </c>
      <c r="W2963" s="113">
        <f>'Data_in-situ'!DR159</f>
        <v>4.5682</v>
      </c>
      <c r="X2963" s="113">
        <f>'Data_in-situ'!DS159</f>
        <v>1.4385784823915586</v>
      </c>
      <c r="Y2963" s="46">
        <f>'Data_in-situ'!DT159</f>
        <v>4</v>
      </c>
      <c r="AF2963" s="113">
        <f>'Data_in-situ'!EN193</f>
        <v>-22.905478395061731</v>
      </c>
      <c r="AG2963" s="113">
        <f>'Data_in-situ'!EO193</f>
        <v>5.2162753162474411</v>
      </c>
      <c r="AH2963" s="110">
        <f>'Data_in-situ'!EP193</f>
        <v>3</v>
      </c>
      <c r="AI2963" s="113">
        <f>'Data_in-situ'!ER193</f>
        <v>-89.296666666666667</v>
      </c>
      <c r="AJ2963" s="113">
        <f>'Data_in-situ'!ES193</f>
        <v>6.512511036458978</v>
      </c>
      <c r="AK2963" s="110">
        <f>'Data_in-situ'!ET193</f>
        <v>3</v>
      </c>
    </row>
    <row r="2964" spans="20:37" x14ac:dyDescent="0.3">
      <c r="T2964" s="113">
        <f>'Data_in-situ'!DN160</f>
        <v>12.3249</v>
      </c>
      <c r="U2964" s="113">
        <f>'Data_in-situ'!DO160</f>
        <v>4.0482329046140624</v>
      </c>
      <c r="V2964" s="46">
        <f>'Data_in-situ'!DP160</f>
        <v>4</v>
      </c>
      <c r="W2964" s="113">
        <f>'Data_in-situ'!DR160</f>
        <v>-2.4133</v>
      </c>
      <c r="X2964" s="113">
        <f>'Data_in-situ'!DS160</f>
        <v>0.28343706532491475</v>
      </c>
      <c r="Y2964" s="46">
        <f>'Data_in-situ'!DT160</f>
        <v>4</v>
      </c>
      <c r="AF2964" s="113">
        <f>'Data_in-situ'!EN206</f>
        <v>3</v>
      </c>
      <c r="AG2964" s="113">
        <f>'Data_in-situ'!EO206</f>
        <v>3</v>
      </c>
      <c r="AH2964" s="110">
        <f>'Data_in-situ'!EP206</f>
        <v>10</v>
      </c>
      <c r="AI2964" s="113">
        <f>'Data_in-situ'!ER206</f>
        <v>4</v>
      </c>
      <c r="AJ2964" s="113">
        <f>'Data_in-situ'!ES206</f>
        <v>2</v>
      </c>
      <c r="AK2964" s="110">
        <f>'Data_in-situ'!ET206</f>
        <v>10</v>
      </c>
    </row>
    <row r="2965" spans="20:37" x14ac:dyDescent="0.3">
      <c r="T2965" s="113">
        <f>'Data_in-situ'!DN161</f>
        <v>12.3249</v>
      </c>
      <c r="U2965" s="113">
        <f>'Data_in-situ'!DO161</f>
        <v>4.0482329046140624</v>
      </c>
      <c r="V2965" s="46">
        <f>'Data_in-situ'!DP161</f>
        <v>4</v>
      </c>
      <c r="W2965" s="113">
        <f>'Data_in-situ'!DR161</f>
        <v>0.28770000000000012</v>
      </c>
      <c r="X2965" s="113">
        <f>'Data_in-situ'!DS161</f>
        <v>0.26312447624650959</v>
      </c>
      <c r="Y2965" s="46">
        <f>'Data_in-situ'!DT161</f>
        <v>4</v>
      </c>
      <c r="AF2965" s="113">
        <f>'Data_in-situ'!EN207</f>
        <v>-19</v>
      </c>
      <c r="AG2965" s="113">
        <f>'Data_in-situ'!EO207</f>
        <v>4</v>
      </c>
      <c r="AH2965" s="110">
        <f>'Data_in-situ'!EP207</f>
        <v>10</v>
      </c>
      <c r="AI2965" s="113">
        <f>'Data_in-situ'!ER207</f>
        <v>-17</v>
      </c>
      <c r="AJ2965" s="113">
        <f>'Data_in-situ'!ES207</f>
        <v>7</v>
      </c>
      <c r="AK2965" s="110">
        <f>'Data_in-situ'!ET207</f>
        <v>10</v>
      </c>
    </row>
    <row r="2966" spans="20:37" x14ac:dyDescent="0.3">
      <c r="T2966" s="113">
        <f>'Data_in-situ'!DN176</f>
        <v>1294.4026579568806</v>
      </c>
      <c r="U2966" s="113">
        <f>'Data_in-situ'!DO176</f>
        <v>1425.6221977894311</v>
      </c>
      <c r="V2966" s="46">
        <f>'Data_in-situ'!DP176</f>
        <v>4</v>
      </c>
      <c r="W2966" s="113">
        <f>'Data_in-situ'!DR176</f>
        <v>22.36227209479982</v>
      </c>
      <c r="X2966" s="113">
        <f>'Data_in-situ'!DS176</f>
        <v>23.370237472575557</v>
      </c>
      <c r="Y2966" s="46">
        <f>'Data_in-situ'!DT176</f>
        <v>3</v>
      </c>
      <c r="AF2966" s="113">
        <f>'Data_in-situ'!EN208</f>
        <v>3</v>
      </c>
      <c r="AG2966" s="113">
        <f>'Data_in-situ'!EO208</f>
        <v>3</v>
      </c>
      <c r="AH2966" s="110">
        <f>'Data_in-situ'!EP208</f>
        <v>10</v>
      </c>
      <c r="AI2966" s="113">
        <f>'Data_in-situ'!ER208</f>
        <v>4</v>
      </c>
      <c r="AJ2966" s="113">
        <f>'Data_in-situ'!ES208</f>
        <v>2</v>
      </c>
      <c r="AK2966" s="110">
        <f>'Data_in-situ'!ET208</f>
        <v>10</v>
      </c>
    </row>
    <row r="2967" spans="20:37" x14ac:dyDescent="0.3">
      <c r="T2967" s="113">
        <f>'Data_in-situ'!DN177</f>
        <v>835.37440260212782</v>
      </c>
      <c r="U2967" s="113">
        <f>'Data_in-situ'!DO177</f>
        <v>1277.3279087005756</v>
      </c>
      <c r="V2967" s="46">
        <f>'Data_in-situ'!DP177</f>
        <v>4</v>
      </c>
      <c r="W2967" s="113">
        <f>'Data_in-situ'!DR177</f>
        <v>14.31185414067193</v>
      </c>
      <c r="X2967" s="113">
        <f>'Data_in-situ'!DS177</f>
        <v>14.416523575818015</v>
      </c>
      <c r="Y2967" s="46">
        <f>'Data_in-situ'!DT177</f>
        <v>3</v>
      </c>
      <c r="AF2967" s="113">
        <f>'Data_in-situ'!EN209</f>
        <v>-19</v>
      </c>
      <c r="AG2967" s="113">
        <f>'Data_in-situ'!EO209</f>
        <v>4</v>
      </c>
      <c r="AH2967" s="110">
        <f>'Data_in-situ'!EP209</f>
        <v>10</v>
      </c>
      <c r="AI2967" s="113">
        <f>'Data_in-situ'!ER209</f>
        <v>-17</v>
      </c>
      <c r="AJ2967" s="113">
        <f>'Data_in-situ'!ES209</f>
        <v>7</v>
      </c>
      <c r="AK2967" s="110">
        <f>'Data_in-situ'!ET209</f>
        <v>10</v>
      </c>
    </row>
    <row r="2968" spans="20:37" x14ac:dyDescent="0.3">
      <c r="T2968" s="113">
        <f>'Data_in-situ'!DN178</f>
        <v>564.51922087106243</v>
      </c>
      <c r="U2968" s="113">
        <f>'Data_in-situ'!DO178</f>
        <v>574.53047753186331</v>
      </c>
      <c r="V2968" s="46">
        <f>'Data_in-situ'!DP178</f>
        <v>4</v>
      </c>
      <c r="W2968" s="113">
        <f>'Data_in-situ'!DR178</f>
        <v>18.784308559631839</v>
      </c>
      <c r="X2968" s="113">
        <f>'Data_in-situ'!DS178</f>
        <v>16.576139153459437</v>
      </c>
      <c r="Y2968" s="46">
        <f>'Data_in-situ'!DT178</f>
        <v>3</v>
      </c>
      <c r="AF2968" s="113">
        <f>'Data_in-situ'!EN217</f>
        <v>-37.626417233560076</v>
      </c>
      <c r="AG2968" s="113">
        <f>'Data_in-situ'!EO217</f>
        <v>4.4214357150460231</v>
      </c>
      <c r="AH2968" s="110">
        <f>'Data_in-situ'!EP217</f>
        <v>6</v>
      </c>
      <c r="AI2968" s="113">
        <f>'Data_in-situ'!ER217</f>
        <v>-45.222713794142358</v>
      </c>
      <c r="AJ2968" s="113">
        <f>'Data_in-situ'!ES217</f>
        <v>4.4131903136073891</v>
      </c>
      <c r="AK2968" s="110">
        <f>'Data_in-situ'!ET217</f>
        <v>6</v>
      </c>
    </row>
    <row r="2969" spans="20:37" x14ac:dyDescent="0.3">
      <c r="T2969" s="113">
        <f>'Data_in-situ'!DN179</f>
        <v>140.79806050736187</v>
      </c>
      <c r="U2969" s="113">
        <f>'Data_in-situ'!DO179</f>
        <v>57.85185596345088</v>
      </c>
      <c r="V2969" s="46">
        <f>'Data_in-situ'!DP179</f>
        <v>3</v>
      </c>
      <c r="W2969" s="113">
        <f>'Data_in-situ'!DR179</f>
        <v>22.365263658588713</v>
      </c>
      <c r="X2969" s="113">
        <f>'Data_in-situ'!DS179</f>
        <v>28.96859337526929</v>
      </c>
      <c r="Y2969" s="46">
        <f>'Data_in-situ'!DT179</f>
        <v>3</v>
      </c>
      <c r="AF2969" s="113">
        <f>'Data_in-situ'!EN218</f>
        <v>-37.626417233560076</v>
      </c>
      <c r="AG2969" s="113">
        <f>'Data_in-situ'!EO218</f>
        <v>4.4214357150460231</v>
      </c>
      <c r="AH2969" s="110">
        <f>'Data_in-situ'!EP218</f>
        <v>6</v>
      </c>
      <c r="AI2969" s="113">
        <f>'Data_in-situ'!ER218</f>
        <v>-55.775689347117904</v>
      </c>
      <c r="AJ2969" s="113">
        <f>'Data_in-situ'!ES218</f>
        <v>3.8401258483742482</v>
      </c>
      <c r="AK2969" s="110">
        <f>'Data_in-situ'!ET218</f>
        <v>6</v>
      </c>
    </row>
    <row r="2970" spans="20:37" x14ac:dyDescent="0.3">
      <c r="T2970" s="113">
        <f>'Data_in-situ'!DN180</f>
        <v>129.84710024567806</v>
      </c>
      <c r="U2970" s="113">
        <f>'Data_in-situ'!DO180</f>
        <v>45.955805142101362</v>
      </c>
      <c r="V2970" s="46">
        <f>'Data_in-situ'!DP180</f>
        <v>3</v>
      </c>
      <c r="W2970" s="113">
        <f>'Data_in-situ'!DR180</f>
        <v>14.486591233404059</v>
      </c>
      <c r="X2970" s="113">
        <f>'Data_in-situ'!DS180</f>
        <v>18.662006281146603</v>
      </c>
      <c r="Y2970" s="46">
        <f>'Data_in-situ'!DT180</f>
        <v>3</v>
      </c>
      <c r="AF2970" s="113">
        <f>'Data_in-situ'!EN231</f>
        <v>-11</v>
      </c>
      <c r="AG2970" s="113">
        <f>'Data_in-situ'!EO231</f>
        <v>4.4824603862642265</v>
      </c>
      <c r="AH2970" s="110">
        <f>'Data_in-situ'!EP231</f>
        <v>3</v>
      </c>
      <c r="AI2970" s="113">
        <f>'Data_in-situ'!ER231</f>
        <v>-23</v>
      </c>
      <c r="AJ2970" s="113">
        <f>'Data_in-situ'!ES231</f>
        <v>5.2167232307114659</v>
      </c>
      <c r="AK2970" s="110">
        <f>'Data_in-situ'!ET231</f>
        <v>3</v>
      </c>
    </row>
    <row r="2971" spans="20:37" x14ac:dyDescent="0.3">
      <c r="T2971" s="113">
        <f>'Data_in-situ'!DN181</f>
        <v>159.57113524167664</v>
      </c>
      <c r="U2971" s="113">
        <f>'Data_in-situ'!DO181</f>
        <v>73.816751459863269</v>
      </c>
      <c r="V2971" s="46">
        <f>'Data_in-situ'!DP181</f>
        <v>3</v>
      </c>
      <c r="W2971" s="113">
        <f>'Data_in-situ'!DR181</f>
        <v>15.757344850369346</v>
      </c>
      <c r="X2971" s="113">
        <f>'Data_in-situ'!DS181</f>
        <v>19.375072891550516</v>
      </c>
      <c r="Y2971" s="46">
        <f>'Data_in-situ'!DT181</f>
        <v>3</v>
      </c>
      <c r="AF2971" s="113">
        <f>'Data_in-situ'!EN232</f>
        <v>-11</v>
      </c>
      <c r="AG2971" s="113">
        <f>'Data_in-situ'!EO232</f>
        <v>4.4824603862642265</v>
      </c>
      <c r="AH2971" s="110">
        <f>'Data_in-situ'!EP232</f>
        <v>3</v>
      </c>
      <c r="AI2971" s="113">
        <f>'Data_in-situ'!ER232</f>
        <v>-23</v>
      </c>
      <c r="AJ2971" s="113">
        <f>'Data_in-situ'!ES232</f>
        <v>5.2167232307114659</v>
      </c>
      <c r="AK2971" s="110">
        <f>'Data_in-situ'!ET232</f>
        <v>3</v>
      </c>
    </row>
    <row r="2972" spans="20:37" x14ac:dyDescent="0.3">
      <c r="T2972" s="113">
        <f>'Data_in-situ'!DN182</f>
        <v>1413.9420186433458</v>
      </c>
      <c r="U2972" s="113">
        <f>'Data_in-situ'!DO182</f>
        <v>520.26850212340003</v>
      </c>
      <c r="V2972" s="46">
        <f>'Data_in-situ'!DP182</f>
        <v>3</v>
      </c>
      <c r="W2972" s="113">
        <f>'Data_in-situ'!DR182</f>
        <v>5.2453106713176574</v>
      </c>
      <c r="X2972" s="113">
        <f>'Data_in-situ'!DS182</f>
        <v>10.686883582340696</v>
      </c>
      <c r="Y2972" s="46">
        <f>'Data_in-situ'!DT182</f>
        <v>3</v>
      </c>
      <c r="AF2972" s="113">
        <f>'Data_in-situ'!EN233</f>
        <v>-15</v>
      </c>
      <c r="AG2972" s="113">
        <f>'Data_in-situ'!EO233</f>
        <v>6.1124459812694001</v>
      </c>
      <c r="AH2972" s="110">
        <f>'Data_in-situ'!EP233</f>
        <v>3</v>
      </c>
      <c r="AI2972" s="113">
        <f>'Data_in-situ'!ER233</f>
        <v>-20</v>
      </c>
      <c r="AJ2972" s="113">
        <f>'Data_in-situ'!ES233</f>
        <v>4.5362810701838834</v>
      </c>
      <c r="AK2972" s="110">
        <f>'Data_in-situ'!ET233</f>
        <v>3</v>
      </c>
    </row>
    <row r="2973" spans="20:37" x14ac:dyDescent="0.3">
      <c r="T2973" s="113">
        <f>'Data_in-situ'!DN184</f>
        <v>1212.2979432249506</v>
      </c>
      <c r="U2973" s="113">
        <f>'Data_in-situ'!DO184</f>
        <v>318.03950472765939</v>
      </c>
      <c r="V2973" s="46">
        <f>'Data_in-situ'!DP184</f>
        <v>3</v>
      </c>
      <c r="W2973" s="113">
        <f>'Data_in-situ'!DR184</f>
        <v>5.2453106713176574</v>
      </c>
      <c r="X2973" s="113">
        <f>'Data_in-situ'!DS184</f>
        <v>10.686883582340696</v>
      </c>
      <c r="Y2973" s="46">
        <f>'Data_in-situ'!DT184</f>
        <v>3</v>
      </c>
      <c r="AF2973" s="113">
        <f>'Data_in-situ'!EN234</f>
        <v>-15</v>
      </c>
      <c r="AG2973" s="113">
        <f>'Data_in-situ'!EO234</f>
        <v>6.1124459812694001</v>
      </c>
      <c r="AH2973" s="110">
        <f>'Data_in-situ'!EP234</f>
        <v>3</v>
      </c>
      <c r="AI2973" s="113">
        <f>'Data_in-situ'!ER234</f>
        <v>-20</v>
      </c>
      <c r="AJ2973" s="113">
        <f>'Data_in-situ'!ES234</f>
        <v>4.5362810701838834</v>
      </c>
      <c r="AK2973" s="110">
        <f>'Data_in-situ'!ET234</f>
        <v>3</v>
      </c>
    </row>
    <row r="2974" spans="20:37" x14ac:dyDescent="0.3">
      <c r="T2974" s="113">
        <f>'Data_in-situ'!DN185</f>
        <v>319.20253634957294</v>
      </c>
      <c r="U2974" s="113">
        <f>'Data_in-situ'!DO185</f>
        <v>123.29702910462079</v>
      </c>
      <c r="V2974" s="46">
        <f>'Data_in-situ'!DP185</f>
        <v>3</v>
      </c>
      <c r="W2974" s="113">
        <f>'Data_in-situ'!DR185</f>
        <v>5.2453106713176574</v>
      </c>
      <c r="X2974" s="113">
        <f>'Data_in-situ'!DS185</f>
        <v>10.686883582340696</v>
      </c>
      <c r="Y2974" s="46">
        <f>'Data_in-situ'!DT185</f>
        <v>3</v>
      </c>
      <c r="AF2974" s="113">
        <f>'Data_in-situ'!EN235</f>
        <v>-12</v>
      </c>
      <c r="AG2974" s="113">
        <f>'Data_in-situ'!EO235</f>
        <v>4.8899567850155199</v>
      </c>
      <c r="AH2974" s="110">
        <f>'Data_in-situ'!EP235</f>
        <v>3</v>
      </c>
      <c r="AI2974" s="113">
        <f>'Data_in-situ'!ER235</f>
        <v>-14</v>
      </c>
      <c r="AJ2974" s="113">
        <f>'Data_in-situ'!ES235</f>
        <v>3.1753967491287183</v>
      </c>
      <c r="AK2974" s="110">
        <f>'Data_in-situ'!ET235</f>
        <v>3</v>
      </c>
    </row>
    <row r="2975" spans="20:37" x14ac:dyDescent="0.3">
      <c r="T2975" s="113">
        <f>'Data_in-situ'!DN186</f>
        <v>396.02095568448323</v>
      </c>
      <c r="U2975" s="113">
        <f>'Data_in-situ'!DO186</f>
        <v>825.11321611621167</v>
      </c>
      <c r="V2975" s="46">
        <f>'Data_in-situ'!DP186</f>
        <v>3</v>
      </c>
      <c r="W2975" s="113">
        <f>'Data_in-situ'!DR186</f>
        <v>5.2453106713176574</v>
      </c>
      <c r="X2975" s="113">
        <f>'Data_in-situ'!DS186</f>
        <v>10.686883582340696</v>
      </c>
      <c r="Y2975" s="46">
        <f>'Data_in-situ'!DT186</f>
        <v>3</v>
      </c>
      <c r="AF2975" s="113">
        <f>'Data_in-situ'!EN236</f>
        <v>-12</v>
      </c>
      <c r="AG2975" s="113">
        <f>'Data_in-situ'!EO236</f>
        <v>4.8899567850155199</v>
      </c>
      <c r="AH2975" s="110">
        <f>'Data_in-situ'!EP236</f>
        <v>3</v>
      </c>
      <c r="AI2975" s="113">
        <f>'Data_in-situ'!ER236</f>
        <v>-14</v>
      </c>
      <c r="AJ2975" s="113">
        <f>'Data_in-situ'!ES236</f>
        <v>3.1753967491287183</v>
      </c>
      <c r="AK2975" s="110">
        <f>'Data_in-situ'!ET236</f>
        <v>3</v>
      </c>
    </row>
    <row r="2976" spans="20:37" x14ac:dyDescent="0.3">
      <c r="T2976" s="113">
        <f>'Data_in-situ'!DN187</f>
        <v>353.77082505028261</v>
      </c>
      <c r="U2976" s="113">
        <f>'Data_in-situ'!DO187</f>
        <v>377.4427718737299</v>
      </c>
      <c r="V2976" s="46">
        <f>'Data_in-situ'!DP187</f>
        <v>3</v>
      </c>
      <c r="W2976" s="113">
        <f>'Data_in-situ'!DR187</f>
        <v>5.2453106713176574</v>
      </c>
      <c r="X2976" s="113">
        <f>'Data_in-situ'!DS187</f>
        <v>10.686883582340696</v>
      </c>
      <c r="Y2976" s="46">
        <f>'Data_in-situ'!DT187</f>
        <v>3</v>
      </c>
      <c r="AF2976" s="113">
        <f>'Data_in-situ'!EN237</f>
        <v>-22</v>
      </c>
      <c r="AG2976" s="113">
        <f>'Data_in-situ'!EO237</f>
        <v>8.964920772528453</v>
      </c>
      <c r="AH2976" s="110">
        <f>'Data_in-situ'!EP237</f>
        <v>3</v>
      </c>
      <c r="AI2976" s="113">
        <f>'Data_in-situ'!ER237</f>
        <v>-31</v>
      </c>
      <c r="AJ2976" s="113">
        <f>'Data_in-situ'!ES237</f>
        <v>7.0312356587850191</v>
      </c>
      <c r="AK2976" s="110">
        <f>'Data_in-situ'!ET237</f>
        <v>3</v>
      </c>
    </row>
    <row r="2977" spans="20:37" x14ac:dyDescent="0.3">
      <c r="T2977" s="113">
        <f>'Data_in-situ'!DN188</f>
        <v>1212.2979432249506</v>
      </c>
      <c r="U2977" s="113">
        <f>'Data_in-situ'!DO188</f>
        <v>318.03950472765939</v>
      </c>
      <c r="V2977" s="46">
        <f>'Data_in-situ'!DP188</f>
        <v>3</v>
      </c>
      <c r="W2977" s="113">
        <f>'Data_in-situ'!DR188</f>
        <v>4.8706456233663973</v>
      </c>
      <c r="X2977" s="113">
        <f>'Data_in-situ'!DS188</f>
        <v>10.042950275238745</v>
      </c>
      <c r="Y2977" s="46">
        <f>'Data_in-situ'!DT188</f>
        <v>3</v>
      </c>
      <c r="AF2977" s="113">
        <f>'Data_in-situ'!EN238</f>
        <v>-22</v>
      </c>
      <c r="AG2977" s="113">
        <f>'Data_in-situ'!EO238</f>
        <v>8.964920772528453</v>
      </c>
      <c r="AH2977" s="110">
        <f>'Data_in-situ'!EP238</f>
        <v>3</v>
      </c>
      <c r="AI2977" s="113">
        <f>'Data_in-situ'!ER238</f>
        <v>-31</v>
      </c>
      <c r="AJ2977" s="113">
        <f>'Data_in-situ'!ES238</f>
        <v>7.0312356587850191</v>
      </c>
      <c r="AK2977" s="110">
        <f>'Data_in-situ'!ET238</f>
        <v>3</v>
      </c>
    </row>
    <row r="2978" spans="20:37" x14ac:dyDescent="0.3">
      <c r="T2978" s="113">
        <f>'Data_in-situ'!DN189</f>
        <v>1212.2979432249506</v>
      </c>
      <c r="U2978" s="113">
        <f>'Data_in-situ'!DO189</f>
        <v>318.03950472765939</v>
      </c>
      <c r="V2978" s="46">
        <f>'Data_in-situ'!DP189</f>
        <v>3</v>
      </c>
      <c r="W2978" s="113">
        <f>'Data_in-situ'!DR189</f>
        <v>4.4959805754151345</v>
      </c>
      <c r="X2978" s="113">
        <f>'Data_in-situ'!DS189</f>
        <v>9.194274493457808</v>
      </c>
      <c r="Y2978" s="46">
        <f>'Data_in-situ'!DT189</f>
        <v>3</v>
      </c>
      <c r="AF2978" s="113">
        <f>'Data_in-situ'!EN239</f>
        <v>-2</v>
      </c>
      <c r="AG2978" s="113">
        <f>'Data_in-situ'!EO239</f>
        <v>0.81499279750258669</v>
      </c>
      <c r="AH2978" s="110">
        <f>'Data_in-situ'!EP239</f>
        <v>3</v>
      </c>
      <c r="AI2978" s="113">
        <f>'Data_in-situ'!ER239</f>
        <v>-30</v>
      </c>
      <c r="AJ2978" s="113">
        <f>'Data_in-situ'!ES239</f>
        <v>6.8044216052758255</v>
      </c>
      <c r="AK2978" s="110">
        <f>'Data_in-situ'!ET239</f>
        <v>3</v>
      </c>
    </row>
    <row r="2979" spans="20:37" x14ac:dyDescent="0.3">
      <c r="T2979" s="113">
        <f>'Data_in-situ'!DN190</f>
        <v>1212.2979432249506</v>
      </c>
      <c r="U2979" s="113">
        <f>'Data_in-situ'!DO190</f>
        <v>318.03950472765939</v>
      </c>
      <c r="V2979" s="46">
        <f>'Data_in-situ'!DP190</f>
        <v>3</v>
      </c>
      <c r="W2979" s="113">
        <f>'Data_in-situ'!DR190</f>
        <v>6.3693058151714421</v>
      </c>
      <c r="X2979" s="113">
        <f>'Data_in-situ'!DS190</f>
        <v>13.141978030809039</v>
      </c>
      <c r="Y2979" s="46">
        <f>'Data_in-situ'!DT190</f>
        <v>3</v>
      </c>
      <c r="AF2979" s="113">
        <f>'Data_in-situ'!EN240</f>
        <v>-2</v>
      </c>
      <c r="AG2979" s="113">
        <f>'Data_in-situ'!EO240</f>
        <v>0.81499279750258669</v>
      </c>
      <c r="AH2979" s="110">
        <f>'Data_in-situ'!EP240</f>
        <v>3</v>
      </c>
      <c r="AI2979" s="113">
        <f>'Data_in-situ'!ER240</f>
        <v>-30</v>
      </c>
      <c r="AJ2979" s="113">
        <f>'Data_in-situ'!ES240</f>
        <v>6.8044216052758255</v>
      </c>
      <c r="AK2979" s="110">
        <f>'Data_in-situ'!ET240</f>
        <v>3</v>
      </c>
    </row>
    <row r="2980" spans="20:37" x14ac:dyDescent="0.3">
      <c r="T2980" s="113">
        <f>'Data_in-situ'!DN191</f>
        <v>353.77082505028261</v>
      </c>
      <c r="U2980" s="113">
        <f>'Data_in-situ'!DO191</f>
        <v>377.4427718737299</v>
      </c>
      <c r="V2980" s="46">
        <f>'Data_in-situ'!DP191</f>
        <v>3</v>
      </c>
      <c r="W2980" s="113">
        <f>'Data_in-situ'!DR191</f>
        <v>4.8706456233663973</v>
      </c>
      <c r="X2980" s="113">
        <f>'Data_in-situ'!DS191</f>
        <v>10.042950275238745</v>
      </c>
      <c r="Y2980" s="46">
        <f>'Data_in-situ'!DT191</f>
        <v>3</v>
      </c>
      <c r="AF2980" s="113">
        <f>'Data_in-situ'!EN241</f>
        <v>-20</v>
      </c>
      <c r="AG2980" s="113">
        <f>'Data_in-situ'!EO241</f>
        <v>8.1499279750258662</v>
      </c>
      <c r="AH2980" s="110">
        <f>'Data_in-situ'!EP241</f>
        <v>3</v>
      </c>
      <c r="AI2980" s="113">
        <f>'Data_in-situ'!ER241</f>
        <v>-36</v>
      </c>
      <c r="AJ2980" s="113">
        <f>'Data_in-situ'!ES241</f>
        <v>8.1653059263309906</v>
      </c>
      <c r="AK2980" s="110">
        <f>'Data_in-situ'!ET241</f>
        <v>3</v>
      </c>
    </row>
    <row r="2981" spans="20:37" x14ac:dyDescent="0.3">
      <c r="T2981" s="113">
        <f>'Data_in-situ'!DN192</f>
        <v>353.77082505028261</v>
      </c>
      <c r="U2981" s="113">
        <f>'Data_in-situ'!DO192</f>
        <v>377.4427718737299</v>
      </c>
      <c r="V2981" s="46">
        <f>'Data_in-situ'!DP192</f>
        <v>3</v>
      </c>
      <c r="W2981" s="113">
        <f>'Data_in-situ'!DR192</f>
        <v>4.4959805754151345</v>
      </c>
      <c r="X2981" s="113">
        <f>'Data_in-situ'!DS192</f>
        <v>9.194274493457808</v>
      </c>
      <c r="Y2981" s="46">
        <f>'Data_in-situ'!DT192</f>
        <v>3</v>
      </c>
      <c r="AF2981" s="113">
        <f>'Data_in-situ'!EN242</f>
        <v>-20</v>
      </c>
      <c r="AG2981" s="113">
        <f>'Data_in-situ'!EO242</f>
        <v>8.1499279750258662</v>
      </c>
      <c r="AH2981" s="110">
        <f>'Data_in-situ'!EP242</f>
        <v>3</v>
      </c>
      <c r="AI2981" s="113">
        <f>'Data_in-situ'!ER242</f>
        <v>-36</v>
      </c>
      <c r="AJ2981" s="113">
        <f>'Data_in-situ'!ES242</f>
        <v>8.1653059263309906</v>
      </c>
      <c r="AK2981" s="110">
        <f>'Data_in-situ'!ET242</f>
        <v>3</v>
      </c>
    </row>
    <row r="2982" spans="20:37" x14ac:dyDescent="0.3">
      <c r="T2982" s="113">
        <f>'Data_in-situ'!DN193</f>
        <v>353.77082505028261</v>
      </c>
      <c r="U2982" s="113">
        <f>'Data_in-situ'!DO193</f>
        <v>377.4427718737299</v>
      </c>
      <c r="V2982" s="46">
        <f>'Data_in-situ'!DP193</f>
        <v>3</v>
      </c>
      <c r="W2982" s="113">
        <f>'Data_in-situ'!DR193</f>
        <v>6.3693058151714421</v>
      </c>
      <c r="X2982" s="113">
        <f>'Data_in-situ'!DS193</f>
        <v>13.141978030809039</v>
      </c>
      <c r="Y2982" s="46">
        <f>'Data_in-situ'!DT193</f>
        <v>3</v>
      </c>
      <c r="AF2982" s="113">
        <f>'Data_in-situ'!EN243</f>
        <v>-16</v>
      </c>
      <c r="AG2982" s="113">
        <f>'Data_in-situ'!EO243</f>
        <v>6.5199423800206935</v>
      </c>
      <c r="AH2982" s="110">
        <f>'Data_in-situ'!EP243</f>
        <v>3</v>
      </c>
      <c r="AI2982" s="113">
        <f>'Data_in-situ'!ER243</f>
        <v>-43</v>
      </c>
      <c r="AJ2982" s="113">
        <f>'Data_in-situ'!ES243</f>
        <v>9.7530043008953502</v>
      </c>
      <c r="AK2982" s="110">
        <f>'Data_in-situ'!ET243</f>
        <v>3</v>
      </c>
    </row>
    <row r="2983" spans="20:37" x14ac:dyDescent="0.3">
      <c r="T2983" s="113">
        <f>'Data_in-situ'!DN206</f>
        <v>463.27543921409523</v>
      </c>
      <c r="U2983" s="113">
        <f>'Data_in-situ'!DO206</f>
        <v>273.82684401702096</v>
      </c>
      <c r="V2983" s="46">
        <f>'Data_in-situ'!DP206</f>
        <v>10</v>
      </c>
      <c r="W2983" s="113">
        <f>'Data_in-situ'!DR206</f>
        <v>96.95483735641497</v>
      </c>
      <c r="X2983" s="113">
        <f>'Data_in-situ'!DS206</f>
        <v>59.158355726925045</v>
      </c>
      <c r="Y2983" s="46">
        <f>'Data_in-situ'!DT206</f>
        <v>10</v>
      </c>
      <c r="AF2983" s="113">
        <f>'Data_in-situ'!EN250</f>
        <v>-4</v>
      </c>
      <c r="AG2983" s="113">
        <f>'Data_in-situ'!EO250</f>
        <v>1.6299855950051734</v>
      </c>
      <c r="AH2983" s="110">
        <f>'Data_in-situ'!EP250</f>
        <v>3</v>
      </c>
      <c r="AI2983" s="113">
        <f>'Data_in-situ'!ER250</f>
        <v>-31</v>
      </c>
      <c r="AJ2983" s="113">
        <f>'Data_in-situ'!ES250</f>
        <v>7.0312356587850191</v>
      </c>
      <c r="AK2983" s="110">
        <f>'Data_in-situ'!ET250</f>
        <v>3</v>
      </c>
    </row>
    <row r="2984" spans="20:37" x14ac:dyDescent="0.3">
      <c r="T2984" s="113">
        <f>'Data_in-situ'!DN207</f>
        <v>-3.4702280090943463</v>
      </c>
      <c r="U2984" s="113">
        <f>'Data_in-situ'!DO207</f>
        <v>1.9645331933110226</v>
      </c>
      <c r="V2984" s="46">
        <f>'Data_in-situ'!DP207</f>
        <v>10</v>
      </c>
      <c r="W2984" s="113">
        <f>'Data_in-situ'!DR207</f>
        <v>5.0366149276059726</v>
      </c>
      <c r="X2984" s="113">
        <f>'Data_in-situ'!DS207</f>
        <v>17.873807602780403</v>
      </c>
      <c r="Y2984" s="46">
        <f>'Data_in-situ'!DT207</f>
        <v>10</v>
      </c>
      <c r="AF2984" s="113">
        <f>'Data_in-situ'!EN251</f>
        <v>-21</v>
      </c>
      <c r="AG2984" s="113">
        <f>'Data_in-situ'!EO251</f>
        <v>8.5574243737771596</v>
      </c>
      <c r="AH2984" s="110">
        <f>'Data_in-situ'!EP251</f>
        <v>3</v>
      </c>
      <c r="AI2984" s="113">
        <f>'Data_in-situ'!ER251</f>
        <v>-38</v>
      </c>
      <c r="AJ2984" s="113">
        <f>'Data_in-situ'!ES251</f>
        <v>8.6189340333493778</v>
      </c>
      <c r="AK2984" s="110">
        <f>'Data_in-situ'!ET251</f>
        <v>3</v>
      </c>
    </row>
    <row r="2985" spans="20:37" x14ac:dyDescent="0.3">
      <c r="T2985" s="113">
        <f>'Data_in-situ'!DN208</f>
        <v>576.05784950966154</v>
      </c>
      <c r="U2985" s="113">
        <f>'Data_in-situ'!DO208</f>
        <v>329.18150586510939</v>
      </c>
      <c r="V2985" s="46">
        <f>'Data_in-situ'!DP208</f>
        <v>4</v>
      </c>
      <c r="W2985" s="113">
        <f>'Data_in-situ'!DR208</f>
        <v>132.21114184965677</v>
      </c>
      <c r="X2985" s="113">
        <f>'Data_in-situ'!DS208</f>
        <v>124.13591126677807</v>
      </c>
      <c r="Y2985" s="46">
        <f>'Data_in-situ'!DT208</f>
        <v>4</v>
      </c>
      <c r="AF2985" s="113">
        <f>'Data_in-situ'!EN252</f>
        <v>0</v>
      </c>
      <c r="AG2985" s="113">
        <f>'Data_in-situ'!EO252</f>
        <v>0</v>
      </c>
      <c r="AH2985" s="110">
        <f>'Data_in-situ'!EP252</f>
        <v>3</v>
      </c>
      <c r="AI2985" s="113">
        <f>'Data_in-situ'!ER252</f>
        <v>-50</v>
      </c>
      <c r="AJ2985" s="113">
        <f>'Data_in-situ'!ES252</f>
        <v>11.340702675459708</v>
      </c>
      <c r="AK2985" s="110">
        <f>'Data_in-situ'!ET252</f>
        <v>3</v>
      </c>
    </row>
    <row r="2986" spans="20:37" x14ac:dyDescent="0.3">
      <c r="T2986" s="113">
        <f>'Data_in-situ'!DN209</f>
        <v>-5.2053420136415198</v>
      </c>
      <c r="U2986" s="113">
        <f>'Data_in-situ'!DO209</f>
        <v>2.2181869265634826</v>
      </c>
      <c r="V2986" s="46">
        <f>'Data_in-situ'!DP209</f>
        <v>4</v>
      </c>
      <c r="W2986" s="113">
        <f>'Data_in-situ'!DR209</f>
        <v>-1.2591537319014932</v>
      </c>
      <c r="X2986" s="113">
        <f>'Data_in-situ'!DS209</f>
        <v>2.6242999817463004</v>
      </c>
      <c r="Y2986" s="46">
        <f>'Data_in-situ'!DT209</f>
        <v>4</v>
      </c>
      <c r="AF2986" s="113">
        <f>'Data_in-situ'!EN260</f>
        <v>-4</v>
      </c>
      <c r="AG2986" s="113">
        <f>'Data_in-situ'!EO260</f>
        <v>1.6299855950051734</v>
      </c>
      <c r="AH2986" s="110">
        <f>'Data_in-situ'!EP260</f>
        <v>3</v>
      </c>
      <c r="AI2986" s="113">
        <f>'Data_in-situ'!ER260</f>
        <v>-31</v>
      </c>
      <c r="AJ2986" s="113">
        <f>'Data_in-situ'!ES260</f>
        <v>7.0312356587850191</v>
      </c>
      <c r="AK2986" s="110">
        <f>'Data_in-situ'!ET260</f>
        <v>3</v>
      </c>
    </row>
    <row r="2987" spans="20:37" x14ac:dyDescent="0.3">
      <c r="T2987" s="113">
        <f>'Data_in-situ'!DN210</f>
        <v>34.702280090943461</v>
      </c>
      <c r="U2987" s="113">
        <f>'Data_in-situ'!DO210</f>
        <v>38.688853360019664</v>
      </c>
      <c r="V2987" s="46">
        <f>'Data_in-situ'!DP210</f>
        <v>10</v>
      </c>
      <c r="W2987" s="113">
        <f>'Data_in-situ'!DR210</f>
        <v>27.701382101832849</v>
      </c>
      <c r="X2987" s="113">
        <f>'Data_in-situ'!DS210</f>
        <v>103.52605657476954</v>
      </c>
      <c r="Y2987" s="46">
        <f>'Data_in-situ'!DT210</f>
        <v>10</v>
      </c>
      <c r="AF2987" s="113">
        <f>'Data_in-situ'!EN261</f>
        <v>-21</v>
      </c>
      <c r="AG2987" s="113">
        <f>'Data_in-situ'!EO261</f>
        <v>8.5574243737771596</v>
      </c>
      <c r="AH2987" s="110">
        <f>'Data_in-situ'!EP261</f>
        <v>3</v>
      </c>
      <c r="AI2987" s="113">
        <f>'Data_in-situ'!ER261</f>
        <v>-38</v>
      </c>
      <c r="AJ2987" s="113">
        <f>'Data_in-situ'!ES261</f>
        <v>8.6189340333493778</v>
      </c>
      <c r="AK2987" s="110">
        <f>'Data_in-situ'!ET261</f>
        <v>3</v>
      </c>
    </row>
    <row r="2988" spans="20:37" x14ac:dyDescent="0.3">
      <c r="T2988" s="113">
        <f>'Data_in-situ'!DN217</f>
        <v>42.739726027397303</v>
      </c>
      <c r="U2988" s="113">
        <f>'Data_in-situ'!DO217</f>
        <v>33.554654010728207</v>
      </c>
      <c r="V2988" s="46">
        <f>'Data_in-situ'!DP217</f>
        <v>6</v>
      </c>
      <c r="W2988" s="113">
        <f>'Data_in-situ'!DR217</f>
        <v>15.6164383561644</v>
      </c>
      <c r="X2988" s="113">
        <f>'Data_in-situ'!DS217</f>
        <v>21.474978566866142</v>
      </c>
      <c r="Y2988" s="46">
        <f>'Data_in-situ'!DT217</f>
        <v>6</v>
      </c>
      <c r="AF2988" s="113">
        <f>'Data_in-situ'!EN262</f>
        <v>0</v>
      </c>
      <c r="AG2988" s="113">
        <f>'Data_in-situ'!EO262</f>
        <v>0</v>
      </c>
      <c r="AH2988" s="110">
        <f>'Data_in-situ'!EP262</f>
        <v>3</v>
      </c>
      <c r="AI2988" s="113">
        <f>'Data_in-situ'!ER262</f>
        <v>-50</v>
      </c>
      <c r="AJ2988" s="113">
        <f>'Data_in-situ'!ES262</f>
        <v>11.340702675459708</v>
      </c>
      <c r="AK2988" s="110">
        <f>'Data_in-situ'!ET262</f>
        <v>3</v>
      </c>
    </row>
    <row r="2989" spans="20:37" x14ac:dyDescent="0.3">
      <c r="T2989" s="113">
        <f>'Data_in-situ'!DN218</f>
        <v>42.739726027397296</v>
      </c>
      <c r="U2989" s="113">
        <f>'Data_in-situ'!DO218</f>
        <v>33.554654010728207</v>
      </c>
      <c r="V2989" s="46">
        <f>'Data_in-situ'!DP218</f>
        <v>6</v>
      </c>
      <c r="W2989" s="113">
        <f>'Data_in-situ'!DR218</f>
        <v>16.164383561643799</v>
      </c>
      <c r="X2989" s="113">
        <f>'Data_in-situ'!DS218</f>
        <v>14.764047764720594</v>
      </c>
      <c r="Y2989" s="46">
        <f>'Data_in-situ'!DT218</f>
        <v>6</v>
      </c>
      <c r="AF2989" s="113">
        <f>'Data_in-situ'!EN316</f>
        <v>-7.2</v>
      </c>
      <c r="AG2989" s="113">
        <f>'Data_in-situ'!EO316</f>
        <v>5.7</v>
      </c>
      <c r="AH2989" s="110">
        <f>'Data_in-situ'!EP316</f>
        <v>18</v>
      </c>
      <c r="AI2989" s="113">
        <f>'Data_in-situ'!ER316</f>
        <v>-22.1</v>
      </c>
      <c r="AJ2989" s="113">
        <f>'Data_in-situ'!ES316</f>
        <v>8.6</v>
      </c>
      <c r="AK2989" s="110">
        <f>'Data_in-situ'!ET316</f>
        <v>18</v>
      </c>
    </row>
    <row r="2990" spans="20:37" x14ac:dyDescent="0.3">
      <c r="T2990" s="113">
        <f>'Data_in-situ'!DN316</f>
        <v>93.1</v>
      </c>
      <c r="U2990" s="113">
        <f>'Data_in-situ'!DO316</f>
        <v>103.79526182078902</v>
      </c>
      <c r="V2990" s="46">
        <f>'Data_in-situ'!DP316</f>
        <v>18</v>
      </c>
      <c r="W2990" s="113">
        <f>'Data_in-situ'!DR316</f>
        <v>32.799999999999997</v>
      </c>
      <c r="X2990" s="113">
        <f>'Data_in-situ'!DS316</f>
        <v>122.58069446389712</v>
      </c>
      <c r="Y2990" s="46">
        <f>'Data_in-situ'!DT316</f>
        <v>18</v>
      </c>
      <c r="AF2990" s="113">
        <f>'Data_in-situ'!EN317</f>
        <v>-18.7</v>
      </c>
      <c r="AG2990" s="113">
        <f>'Data_in-situ'!EO317</f>
        <v>7.2</v>
      </c>
      <c r="AH2990" s="110">
        <f>'Data_in-situ'!EP317</f>
        <v>15</v>
      </c>
      <c r="AI2990" s="113">
        <f>'Data_in-situ'!ER317</f>
        <v>-34.5</v>
      </c>
      <c r="AJ2990" s="113">
        <f>'Data_in-situ'!ES317</f>
        <v>9.3000000000000007</v>
      </c>
      <c r="AK2990" s="110">
        <f>'Data_in-situ'!ET317</f>
        <v>15</v>
      </c>
    </row>
    <row r="2991" spans="20:37" x14ac:dyDescent="0.3">
      <c r="T2991" s="113">
        <f>'Data_in-situ'!DN317</f>
        <v>82.2</v>
      </c>
      <c r="U2991" s="113">
        <f>'Data_in-situ'!DO317</f>
        <v>91.643077568945841</v>
      </c>
      <c r="V2991" s="46">
        <f>'Data_in-situ'!DP317</f>
        <v>15</v>
      </c>
      <c r="W2991" s="113">
        <f>'Data_in-situ'!DR317</f>
        <v>27.8</v>
      </c>
      <c r="X2991" s="113">
        <f>'Data_in-situ'!DS317</f>
        <v>103.89461299074208</v>
      </c>
      <c r="Y2991" s="46">
        <f>'Data_in-situ'!DT317</f>
        <v>15</v>
      </c>
      <c r="AF2991" s="113">
        <f>'Data_in-situ'!EN318</f>
        <v>-10.3</v>
      </c>
      <c r="AG2991" s="113">
        <f>'Data_in-situ'!EO318</f>
        <v>8</v>
      </c>
      <c r="AH2991" s="110">
        <f>'Data_in-situ'!EP318</f>
        <v>18</v>
      </c>
      <c r="AI2991" s="113">
        <f>'Data_in-situ'!ER318</f>
        <v>-20.6</v>
      </c>
      <c r="AJ2991" s="113">
        <f>'Data_in-situ'!ES318</f>
        <v>9.6999999999999993</v>
      </c>
      <c r="AK2991" s="110">
        <f>'Data_in-situ'!ET318</f>
        <v>18</v>
      </c>
    </row>
    <row r="2992" spans="20:37" x14ac:dyDescent="0.3">
      <c r="T2992" s="113">
        <f>'Data_in-situ'!DN318</f>
        <v>57.9</v>
      </c>
      <c r="U2992" s="113">
        <f>'Data_in-situ'!DO318</f>
        <v>64.551510842359662</v>
      </c>
      <c r="V2992" s="46">
        <f>'Data_in-situ'!DP318</f>
        <v>18</v>
      </c>
      <c r="W2992" s="113">
        <f>'Data_in-situ'!DR318</f>
        <v>31.7</v>
      </c>
      <c r="X2992" s="113">
        <f>'Data_in-situ'!DS318</f>
        <v>118.46975653980302</v>
      </c>
      <c r="Y2992" s="46">
        <f>'Data_in-situ'!DT318</f>
        <v>18</v>
      </c>
      <c r="AF2992" s="113">
        <f>'Data_in-situ'!EN319</f>
        <v>-27.8</v>
      </c>
      <c r="AG2992" s="113">
        <f>'Data_in-situ'!EO319</f>
        <v>9.3000000000000007</v>
      </c>
      <c r="AH2992" s="110">
        <f>'Data_in-situ'!EP319</f>
        <v>12</v>
      </c>
      <c r="AI2992" s="113">
        <f>'Data_in-situ'!ER319</f>
        <v>-31.9</v>
      </c>
      <c r="AJ2992" s="113">
        <f>'Data_in-situ'!ES319</f>
        <v>7.5</v>
      </c>
      <c r="AK2992" s="110">
        <f>'Data_in-situ'!ET319</f>
        <v>12</v>
      </c>
    </row>
    <row r="2993" spans="20:37" x14ac:dyDescent="0.3">
      <c r="T2993" s="113">
        <f>'Data_in-situ'!DN319</f>
        <v>38.4</v>
      </c>
      <c r="U2993" s="113">
        <f>'Data_in-situ'!DO319</f>
        <v>42.81136470374112</v>
      </c>
      <c r="V2993" s="46">
        <f>'Data_in-situ'!DP319</f>
        <v>12</v>
      </c>
      <c r="W2993" s="113">
        <f>'Data_in-situ'!DR319</f>
        <v>22.1</v>
      </c>
      <c r="X2993" s="113">
        <f>'Data_in-situ'!DS319</f>
        <v>82.592480111345324</v>
      </c>
      <c r="Y2993" s="46">
        <f>'Data_in-situ'!DT319</f>
        <v>12</v>
      </c>
      <c r="AF2993" s="113">
        <f>'Data_in-situ'!EN320</f>
        <v>-7.1</v>
      </c>
      <c r="AG2993" s="113">
        <f>'Data_in-situ'!EO320</f>
        <v>4.7</v>
      </c>
      <c r="AH2993" s="110">
        <f>'Data_in-situ'!EP320</f>
        <v>17</v>
      </c>
      <c r="AI2993" s="113">
        <f>'Data_in-situ'!ER320</f>
        <v>-11.8</v>
      </c>
      <c r="AJ2993" s="113">
        <f>'Data_in-situ'!ES320</f>
        <v>6.6</v>
      </c>
      <c r="AK2993" s="110">
        <f>'Data_in-situ'!ET320</f>
        <v>18</v>
      </c>
    </row>
    <row r="2994" spans="20:37" x14ac:dyDescent="0.3">
      <c r="T2994" s="113">
        <f>'Data_in-situ'!DN320</f>
        <v>78.099999999999994</v>
      </c>
      <c r="U2994" s="113">
        <f>'Data_in-situ'!DO320</f>
        <v>87.072072483390144</v>
      </c>
      <c r="V2994" s="46">
        <f>'Data_in-situ'!DP320</f>
        <v>17</v>
      </c>
      <c r="W2994" s="113">
        <f>'Data_in-situ'!DR320</f>
        <v>34.9</v>
      </c>
      <c r="X2994" s="113">
        <f>'Data_in-situ'!DS320</f>
        <v>130.42884868262223</v>
      </c>
      <c r="Y2994" s="46">
        <f>'Data_in-situ'!DT320</f>
        <v>18</v>
      </c>
      <c r="AF2994" s="113">
        <f>'Data_in-situ'!EN321</f>
        <v>-16.600000000000001</v>
      </c>
      <c r="AG2994" s="113">
        <f>'Data_in-situ'!EO321</f>
        <v>8.1999999999999993</v>
      </c>
      <c r="AH2994" s="110">
        <f>'Data_in-situ'!EP321</f>
        <v>15</v>
      </c>
      <c r="AI2994" s="113">
        <f>'Data_in-situ'!ER321</f>
        <v>-17.100000000000001</v>
      </c>
      <c r="AJ2994" s="113">
        <f>'Data_in-situ'!ES321</f>
        <v>11.3</v>
      </c>
      <c r="AK2994" s="110">
        <f>'Data_in-situ'!ET321</f>
        <v>15</v>
      </c>
    </row>
    <row r="2995" spans="20:37" x14ac:dyDescent="0.3">
      <c r="T2995" s="113">
        <f>'Data_in-situ'!DN321</f>
        <v>53.5</v>
      </c>
      <c r="U2995" s="113">
        <f>'Data_in-situ'!DO321</f>
        <v>59.64604197005599</v>
      </c>
      <c r="V2995" s="46">
        <f>'Data_in-situ'!DP321</f>
        <v>15</v>
      </c>
      <c r="W2995" s="113">
        <f>'Data_in-situ'!DR321</f>
        <v>34.5</v>
      </c>
      <c r="X2995" s="113">
        <f>'Data_in-situ'!DS321</f>
        <v>128.93396216476984</v>
      </c>
      <c r="Y2995" s="46">
        <f>'Data_in-situ'!DT321</f>
        <v>15</v>
      </c>
      <c r="AF2995" s="113">
        <f>'Data_in-situ'!EN324</f>
        <v>-17.100000000000001</v>
      </c>
      <c r="AG2995" s="113">
        <f>'Data_in-situ'!EO324</f>
        <v>5.2</v>
      </c>
      <c r="AH2995" s="110">
        <f>'Data_in-situ'!EP324</f>
        <v>18</v>
      </c>
      <c r="AI2995" s="113">
        <f>'Data_in-situ'!ER324</f>
        <v>-28.9</v>
      </c>
      <c r="AJ2995" s="113">
        <f>'Data_in-situ'!ES324</f>
        <v>7.5</v>
      </c>
      <c r="AK2995" s="110">
        <f>'Data_in-situ'!ET324</f>
        <v>18</v>
      </c>
    </row>
    <row r="2996" spans="20:37" x14ac:dyDescent="0.3">
      <c r="T2996" s="113">
        <f>'Data_in-situ'!DN324</f>
        <v>19.7</v>
      </c>
      <c r="U2996" s="113">
        <f>'Data_in-situ'!DO324</f>
        <v>21.963121996450521</v>
      </c>
      <c r="V2996" s="46">
        <f>'Data_in-situ'!DP324</f>
        <v>18</v>
      </c>
      <c r="W2996" s="113">
        <f>'Data_in-situ'!DR324</f>
        <v>10.7</v>
      </c>
      <c r="X2996" s="113">
        <f>'Data_in-situ'!DS324</f>
        <v>39.9882143525518</v>
      </c>
      <c r="Y2996" s="46">
        <f>'Data_in-situ'!DT324</f>
        <v>18</v>
      </c>
      <c r="AF2996" s="113">
        <f>'Data_in-situ'!EN325</f>
        <v>-38.9</v>
      </c>
      <c r="AG2996" s="113">
        <f>'Data_in-situ'!EO325</f>
        <v>9.4</v>
      </c>
      <c r="AH2996" s="110">
        <f>'Data_in-situ'!EP325</f>
        <v>12</v>
      </c>
      <c r="AI2996" s="113">
        <f>'Data_in-situ'!ER325</f>
        <v>-44.7</v>
      </c>
      <c r="AJ2996" s="113">
        <f>'Data_in-situ'!ES325</f>
        <v>8.9</v>
      </c>
      <c r="AK2996" s="110">
        <f>'Data_in-situ'!ET325</f>
        <v>12</v>
      </c>
    </row>
    <row r="2997" spans="20:37" x14ac:dyDescent="0.3">
      <c r="T2997" s="113">
        <f>'Data_in-situ'!DN325</f>
        <v>19.899999999999999</v>
      </c>
      <c r="U2997" s="113">
        <f>'Data_in-situ'!DO325</f>
        <v>22.186097854282508</v>
      </c>
      <c r="V2997" s="46">
        <f>'Data_in-situ'!DP325</f>
        <v>12</v>
      </c>
      <c r="W2997" s="113">
        <f>'Data_in-situ'!DR325</f>
        <v>11.3</v>
      </c>
      <c r="X2997" s="113">
        <f>'Data_in-situ'!DS325</f>
        <v>42.230544129330411</v>
      </c>
      <c r="Y2997" s="46">
        <f>'Data_in-situ'!DT325</f>
        <v>12</v>
      </c>
      <c r="AF2997" s="113">
        <f>'Data_in-situ'!EN326</f>
        <v>-2.5</v>
      </c>
      <c r="AG2997" s="113">
        <f>'Data_in-situ'!EO326</f>
        <v>2.2999999999999998</v>
      </c>
      <c r="AH2997" s="110">
        <f>'Data_in-situ'!EP326</f>
        <v>18</v>
      </c>
      <c r="AI2997" s="113">
        <f>'Data_in-situ'!ER326</f>
        <v>-30.1</v>
      </c>
      <c r="AJ2997" s="113">
        <f>'Data_in-situ'!ES326</f>
        <v>13.9</v>
      </c>
      <c r="AK2997" s="110">
        <f>'Data_in-situ'!ET326</f>
        <v>18</v>
      </c>
    </row>
    <row r="2998" spans="20:37" x14ac:dyDescent="0.3">
      <c r="T2998" s="113">
        <f>'Data_in-situ'!DN326</f>
        <v>220.49</v>
      </c>
      <c r="U2998" s="113">
        <f>'Data_in-situ'!DO326</f>
        <v>245.81973446687189</v>
      </c>
      <c r="V2998" s="46">
        <f>'Data_in-situ'!DP326</f>
        <v>18</v>
      </c>
      <c r="W2998" s="113">
        <f>'Data_in-situ'!DR326</f>
        <v>-0.5</v>
      </c>
      <c r="X2998" s="113">
        <f>'Data_in-situ'!DS326</f>
        <v>1.868608147315505</v>
      </c>
      <c r="Y2998" s="46">
        <f>'Data_in-situ'!DT326</f>
        <v>18</v>
      </c>
      <c r="AF2998" s="113">
        <f>'Data_in-situ'!EN327</f>
        <v>-5.9</v>
      </c>
      <c r="AG2998" s="113">
        <f>'Data_in-situ'!EO327</f>
        <v>4.8</v>
      </c>
      <c r="AH2998" s="110">
        <f>'Data_in-situ'!EP327</f>
        <v>12</v>
      </c>
      <c r="AI2998" s="113">
        <f>'Data_in-situ'!ER327</f>
        <v>-39.700000000000003</v>
      </c>
      <c r="AJ2998" s="113">
        <f>'Data_in-situ'!ES327</f>
        <v>17.8</v>
      </c>
      <c r="AK2998" s="110">
        <f>'Data_in-situ'!ET327</f>
        <v>15</v>
      </c>
    </row>
    <row r="2999" spans="20:37" x14ac:dyDescent="0.3">
      <c r="T2999" s="113">
        <f>'Data_in-situ'!DN327</f>
        <v>395.8</v>
      </c>
      <c r="U2999" s="113">
        <f>'Data_in-situ'!DO327</f>
        <v>441.26922264949837</v>
      </c>
      <c r="V2999" s="46">
        <f>'Data_in-situ'!DP327</f>
        <v>12</v>
      </c>
      <c r="W2999" s="113">
        <f>'Data_in-situ'!DR327</f>
        <v>0.2</v>
      </c>
      <c r="X2999" s="113">
        <f>'Data_in-situ'!DS327</f>
        <v>0.747443258926202</v>
      </c>
      <c r="Y2999" s="46">
        <f>'Data_in-situ'!DT327</f>
        <v>15</v>
      </c>
      <c r="AF2999" s="113">
        <f>'Data_in-situ'!EN328</f>
        <v>-8.3000000000000007</v>
      </c>
      <c r="AG2999" s="113">
        <f>'Data_in-situ'!EO328</f>
        <v>7.5</v>
      </c>
      <c r="AH2999" s="110">
        <f>'Data_in-situ'!EP328</f>
        <v>18</v>
      </c>
      <c r="AI2999" s="113">
        <f>'Data_in-situ'!ER328</f>
        <v>-32</v>
      </c>
      <c r="AJ2999" s="113">
        <f>'Data_in-situ'!ES328</f>
        <v>17.2</v>
      </c>
      <c r="AK2999" s="110">
        <f>'Data_in-situ'!ET328</f>
        <v>18</v>
      </c>
    </row>
    <row r="3000" spans="20:37" x14ac:dyDescent="0.3">
      <c r="T3000" s="113">
        <f>'Data_in-situ'!DN328</f>
        <v>180.3</v>
      </c>
      <c r="U3000" s="113">
        <f>'Data_in-situ'!DO328</f>
        <v>201.0127358355345</v>
      </c>
      <c r="V3000" s="46">
        <f>'Data_in-situ'!DP328</f>
        <v>18</v>
      </c>
      <c r="W3000" s="113">
        <f>'Data_in-situ'!DR328</f>
        <v>0.2</v>
      </c>
      <c r="X3000" s="113">
        <f>'Data_in-situ'!DS328</f>
        <v>0.747443258926202</v>
      </c>
      <c r="Y3000" s="46">
        <f>'Data_in-situ'!DT328</f>
        <v>18</v>
      </c>
      <c r="AF3000" s="113">
        <f>'Data_in-situ'!EN329</f>
        <v>-32.799999999999997</v>
      </c>
      <c r="AG3000" s="113">
        <f>'Data_in-situ'!EO329</f>
        <v>14.8</v>
      </c>
      <c r="AH3000" s="110">
        <f>'Data_in-situ'!EP329</f>
        <v>15</v>
      </c>
      <c r="AI3000" s="113">
        <f>'Data_in-situ'!ER329</f>
        <v>-48.3</v>
      </c>
      <c r="AJ3000" s="113">
        <f>'Data_in-situ'!ES329</f>
        <v>15.3</v>
      </c>
      <c r="AK3000" s="110">
        <f>'Data_in-situ'!ET329</f>
        <v>15</v>
      </c>
    </row>
    <row r="3001" spans="20:37" x14ac:dyDescent="0.3">
      <c r="T3001" s="113">
        <f>'Data_in-situ'!DN329</f>
        <v>22.6</v>
      </c>
      <c r="U3001" s="113">
        <f>'Data_in-situ'!DO329</f>
        <v>25.196271935014309</v>
      </c>
      <c r="V3001" s="46">
        <f>'Data_in-situ'!DP329</f>
        <v>15</v>
      </c>
      <c r="W3001" s="113">
        <f>'Data_in-situ'!DR329</f>
        <v>0.03</v>
      </c>
      <c r="X3001" s="113">
        <f>'Data_in-situ'!DS329</f>
        <v>0.11211648883893029</v>
      </c>
      <c r="Y3001" s="46">
        <f>'Data_in-situ'!DT329</f>
        <v>15</v>
      </c>
      <c r="AF3001" s="113">
        <f>'Data_in-situ'!EN330</f>
        <v>-27.5</v>
      </c>
      <c r="AG3001" s="113">
        <f>'Data_in-situ'!EO330</f>
        <v>13.7</v>
      </c>
      <c r="AH3001" s="110">
        <f>'Data_in-situ'!EP330</f>
        <v>10</v>
      </c>
      <c r="AI3001" s="113">
        <f>'Data_in-situ'!ER330</f>
        <v>-43.3</v>
      </c>
      <c r="AJ3001" s="113">
        <f>'Data_in-situ'!ES330</f>
        <v>10.7</v>
      </c>
      <c r="AK3001" s="110">
        <f>'Data_in-situ'!ET330</f>
        <v>15</v>
      </c>
    </row>
    <row r="3002" spans="20:37" x14ac:dyDescent="0.3">
      <c r="T3002" s="113">
        <f>'Data_in-situ'!DN330</f>
        <v>23.9</v>
      </c>
      <c r="U3002" s="113">
        <f>'Data_in-situ'!DO330</f>
        <v>26.645615010922207</v>
      </c>
      <c r="V3002" s="46">
        <f>'Data_in-situ'!DP330</f>
        <v>10</v>
      </c>
      <c r="W3002" s="113">
        <f>'Data_in-situ'!DR330</f>
        <v>8.6999999999999993</v>
      </c>
      <c r="X3002" s="113">
        <f>'Data_in-situ'!DS330</f>
        <v>32.513781763289785</v>
      </c>
      <c r="Y3002" s="46">
        <f>'Data_in-situ'!DT330</f>
        <v>15</v>
      </c>
      <c r="AF3002" s="113">
        <f>'Data_in-situ'!EN331</f>
        <v>-1.7536945812807845</v>
      </c>
      <c r="AG3002" s="113">
        <f>'Data_in-situ'!EO331</f>
        <v>0.69808857905462174</v>
      </c>
      <c r="AH3002" s="110">
        <f>'Data_in-situ'!EP331</f>
        <v>3</v>
      </c>
      <c r="AI3002" s="113">
        <f>'Data_in-situ'!ER331</f>
        <v>-7.7635467980295543</v>
      </c>
      <c r="AJ3002" s="113">
        <f>'Data_in-situ'!ES331</f>
        <v>0.98832726576778518</v>
      </c>
      <c r="AK3002" s="110">
        <f>'Data_in-situ'!ET331</f>
        <v>3</v>
      </c>
    </row>
    <row r="3003" spans="20:37" x14ac:dyDescent="0.3">
      <c r="T3003" s="113">
        <f>'Data_in-situ'!DN331</f>
        <v>130.67000000000002</v>
      </c>
      <c r="U3003" s="113">
        <f>'Data_in-situ'!DO331</f>
        <v>68.193149695063454</v>
      </c>
      <c r="V3003" s="46">
        <f>'Data_in-situ'!DP331</f>
        <v>3</v>
      </c>
      <c r="W3003" s="113">
        <f>'Data_in-situ'!DR331</f>
        <v>61.027999999999992</v>
      </c>
      <c r="X3003" s="113">
        <f>'Data_in-situ'!DS331</f>
        <v>43.24238046176459</v>
      </c>
      <c r="Y3003" s="46">
        <f>'Data_in-situ'!DT331</f>
        <v>3</v>
      </c>
      <c r="AF3003" s="113">
        <f>'Data_in-situ'!EN332</f>
        <v>-1.7536945812807845</v>
      </c>
      <c r="AG3003" s="113">
        <f>'Data_in-situ'!EO332</f>
        <v>0.69808857905462174</v>
      </c>
      <c r="AH3003" s="110">
        <f>'Data_in-situ'!EP332</f>
        <v>3</v>
      </c>
      <c r="AI3003" s="113">
        <f>'Data_in-situ'!ER332</f>
        <v>-13.556650246305416</v>
      </c>
      <c r="AJ3003" s="113">
        <f>'Data_in-situ'!ES332</f>
        <v>1.7667087815907134</v>
      </c>
      <c r="AK3003" s="110">
        <f>'Data_in-situ'!ET332</f>
        <v>3</v>
      </c>
    </row>
    <row r="3004" spans="20:37" x14ac:dyDescent="0.3">
      <c r="T3004" s="113">
        <f>'Data_in-situ'!DN332</f>
        <v>130.67000000000002</v>
      </c>
      <c r="U3004" s="113">
        <f>'Data_in-situ'!DO332</f>
        <v>68.193149695063454</v>
      </c>
      <c r="V3004" s="46">
        <f>'Data_in-situ'!DP332</f>
        <v>3</v>
      </c>
      <c r="W3004" s="113">
        <f>'Data_in-situ'!DR332</f>
        <v>1.3626666666666667</v>
      </c>
      <c r="X3004" s="113">
        <f>'Data_in-situ'!DS332</f>
        <v>1.5172765074303363</v>
      </c>
      <c r="Y3004" s="46">
        <f>'Data_in-situ'!DT332</f>
        <v>3</v>
      </c>
      <c r="AF3004" s="113">
        <f>'Data_in-situ'!EN333</f>
        <v>-1</v>
      </c>
      <c r="AG3004" s="113">
        <f>'Data_in-situ'!EO333</f>
        <v>0.40749639875129334</v>
      </c>
      <c r="AH3004" s="110">
        <f>'Data_in-situ'!EP333</f>
        <v>3</v>
      </c>
      <c r="AI3004" s="113">
        <f>'Data_in-situ'!ER333</f>
        <v>-20</v>
      </c>
      <c r="AJ3004" s="113">
        <f>'Data_in-situ'!ES333</f>
        <v>4.5362810701838834</v>
      </c>
      <c r="AK3004" s="110">
        <f>'Data_in-situ'!ET333</f>
        <v>3</v>
      </c>
    </row>
    <row r="3005" spans="20:37" x14ac:dyDescent="0.3">
      <c r="T3005" s="113">
        <f>'Data_in-situ'!DN333</f>
        <v>224.95402018476722</v>
      </c>
      <c r="U3005" s="113">
        <f>'Data_in-situ'!DO333</f>
        <v>27.300798963122862</v>
      </c>
      <c r="V3005" s="46">
        <f>'Data_in-situ'!DP333</f>
        <v>3</v>
      </c>
      <c r="W3005" s="113">
        <f>'Data_in-situ'!DR333</f>
        <v>41.219419022620272</v>
      </c>
      <c r="X3005" s="113">
        <f>'Data_in-situ'!DS333</f>
        <v>28.248116299491517</v>
      </c>
      <c r="Y3005" s="46">
        <f>'Data_in-situ'!DT333</f>
        <v>3</v>
      </c>
      <c r="AF3005" s="113">
        <f>'Data_in-situ'!EN334</f>
        <v>-1</v>
      </c>
      <c r="AG3005" s="113">
        <f>'Data_in-situ'!EO334</f>
        <v>0.40749639875129334</v>
      </c>
      <c r="AH3005" s="110">
        <f>'Data_in-situ'!EP334</f>
        <v>3</v>
      </c>
      <c r="AI3005" s="113">
        <f>'Data_in-situ'!ER334</f>
        <v>-20</v>
      </c>
      <c r="AJ3005" s="113">
        <f>'Data_in-situ'!ES334</f>
        <v>4.5362810701838834</v>
      </c>
      <c r="AK3005" s="110">
        <f>'Data_in-situ'!ET334</f>
        <v>3</v>
      </c>
    </row>
    <row r="3006" spans="20:37" x14ac:dyDescent="0.3">
      <c r="T3006" s="113">
        <f>'Data_in-situ'!DN334</f>
        <v>319.73915567142052</v>
      </c>
      <c r="U3006" s="113">
        <f>'Data_in-situ'!DO334</f>
        <v>43.930407967061235</v>
      </c>
      <c r="V3006" s="46">
        <f>'Data_in-situ'!DP334</f>
        <v>3</v>
      </c>
      <c r="W3006" s="113">
        <f>'Data_in-situ'!DR334</f>
        <v>51.711287050105334</v>
      </c>
      <c r="X3006" s="113">
        <f>'Data_in-situ'!DS334</f>
        <v>35.138864518591532</v>
      </c>
      <c r="Y3006" s="46">
        <f>'Data_in-situ'!DT334</f>
        <v>3</v>
      </c>
      <c r="AF3006" s="113">
        <f>'Data_in-situ'!EN335</f>
        <v>-1</v>
      </c>
      <c r="AG3006" s="113">
        <f>'Data_in-situ'!EO335</f>
        <v>0.40749639875129334</v>
      </c>
      <c r="AH3006" s="110">
        <f>'Data_in-situ'!EP335</f>
        <v>3</v>
      </c>
      <c r="AI3006" s="113">
        <f>'Data_in-situ'!ER335</f>
        <v>-20</v>
      </c>
      <c r="AJ3006" s="113">
        <f>'Data_in-situ'!ES335</f>
        <v>4.5362810701838834</v>
      </c>
      <c r="AK3006" s="110">
        <f>'Data_in-situ'!ET335</f>
        <v>3</v>
      </c>
    </row>
    <row r="3007" spans="20:37" x14ac:dyDescent="0.3">
      <c r="T3007" s="113">
        <f>'Data_in-situ'!DN335</f>
        <v>231.15879516066161</v>
      </c>
      <c r="U3007" s="113">
        <f>'Data_in-situ'!DO335</f>
        <v>29.849428994378311</v>
      </c>
      <c r="V3007" s="46">
        <f>'Data_in-situ'!DP335</f>
        <v>3</v>
      </c>
      <c r="W3007" s="113">
        <f>'Data_in-situ'!DR335</f>
        <v>36.322102883026695</v>
      </c>
      <c r="X3007" s="113">
        <f>'Data_in-situ'!DS335</f>
        <v>24.783672418143286</v>
      </c>
      <c r="Y3007" s="46">
        <f>'Data_in-situ'!DT335</f>
        <v>3</v>
      </c>
      <c r="AF3007" s="113">
        <f>'Data_in-situ'!EN345</f>
        <v>9.6094276094276143</v>
      </c>
      <c r="AG3007" s="113">
        <f>'Data_in-situ'!EO345</f>
        <v>0.82472710313952347</v>
      </c>
      <c r="AH3007" s="110">
        <f>'Data_in-situ'!EP345</f>
        <v>3</v>
      </c>
      <c r="AI3007" s="113">
        <f>'Data_in-situ'!ER345</f>
        <v>0.24242424242424274</v>
      </c>
      <c r="AJ3007" s="113">
        <f>'Data_in-situ'!ES345</f>
        <v>0.32506616373647801</v>
      </c>
      <c r="AK3007" s="110">
        <f>'Data_in-situ'!ET345</f>
        <v>3</v>
      </c>
    </row>
    <row r="3008" spans="20:37" x14ac:dyDescent="0.3">
      <c r="T3008" s="113">
        <f>'Data_in-situ'!DN345</f>
        <v>158.06344550056443</v>
      </c>
      <c r="U3008" s="113">
        <f>'Data_in-situ'!DO345</f>
        <v>156.23763874501105</v>
      </c>
      <c r="V3008" s="46">
        <f>'Data_in-situ'!DP345</f>
        <v>3</v>
      </c>
      <c r="W3008" s="113">
        <f>'Data_in-situ'!DR345</f>
        <v>533.27856040861434</v>
      </c>
      <c r="X3008" s="113">
        <f>'Data_in-situ'!DS345</f>
        <v>463.45283466494965</v>
      </c>
      <c r="Y3008" s="46">
        <f>'Data_in-situ'!DT345</f>
        <v>3</v>
      </c>
      <c r="AF3008" s="113">
        <f>'Data_in-situ'!EN346</f>
        <v>10.734402852049913</v>
      </c>
      <c r="AG3008" s="113">
        <f>'Data_in-situ'!EO346</f>
        <v>0.89907795198284091</v>
      </c>
      <c r="AH3008" s="110">
        <f>'Data_in-situ'!EP346</f>
        <v>3</v>
      </c>
      <c r="AI3008" s="113">
        <f>'Data_in-situ'!ER346</f>
        <v>1.4153297682709467</v>
      </c>
      <c r="AJ3008" s="113">
        <f>'Data_in-situ'!ES346</f>
        <v>0.51951553041500198</v>
      </c>
      <c r="AK3008" s="110">
        <f>'Data_in-situ'!ET346</f>
        <v>3</v>
      </c>
    </row>
    <row r="3009" spans="20:37" x14ac:dyDescent="0.3">
      <c r="T3009" s="113">
        <f>'Data_in-situ'!DN346</f>
        <v>1422.5710095050797</v>
      </c>
      <c r="U3009" s="113">
        <f>'Data_in-situ'!DO346</f>
        <v>1619.3061390358012</v>
      </c>
      <c r="V3009" s="46">
        <f>'Data_in-situ'!DP346</f>
        <v>3</v>
      </c>
      <c r="W3009" s="113">
        <f>'Data_in-situ'!DR346</f>
        <v>1233.2066709449209</v>
      </c>
      <c r="X3009" s="113">
        <f>'Data_in-situ'!DS346</f>
        <v>527.21983078939115</v>
      </c>
      <c r="Y3009" s="46">
        <f>'Data_in-situ'!DT346</f>
        <v>3</v>
      </c>
      <c r="AF3009" s="113">
        <f>'Data_in-situ'!EN347</f>
        <v>21.878787878787879</v>
      </c>
      <c r="AG3009" s="113">
        <f>'Data_in-situ'!EO347</f>
        <v>1.1081772383933699</v>
      </c>
      <c r="AH3009" s="110">
        <f>'Data_in-situ'!EP347</f>
        <v>3</v>
      </c>
      <c r="AI3009" s="113">
        <f>'Data_in-situ'!ER347</f>
        <v>0.76837548416496004</v>
      </c>
      <c r="AJ3009" s="113">
        <f>'Data_in-situ'!ES347</f>
        <v>1.2709978400329951</v>
      </c>
      <c r="AK3009" s="110">
        <f>'Data_in-situ'!ET347</f>
        <v>3</v>
      </c>
    </row>
    <row r="3010" spans="20:37" x14ac:dyDescent="0.3">
      <c r="T3010" s="113">
        <f>'Data_in-situ'!DN347</f>
        <v>87.813025278091345</v>
      </c>
      <c r="U3010" s="113">
        <f>'Data_in-situ'!DO347</f>
        <v>511.88953557062587</v>
      </c>
      <c r="V3010" s="46">
        <f>'Data_in-situ'!DP347</f>
        <v>3</v>
      </c>
      <c r="W3010" s="113">
        <f>'Data_in-situ'!DR347</f>
        <v>83.324775063845991</v>
      </c>
      <c r="X3010" s="113">
        <f>'Data_in-situ'!DS347</f>
        <v>58.045203910854234</v>
      </c>
      <c r="Y3010" s="46">
        <f>'Data_in-situ'!DT347</f>
        <v>3</v>
      </c>
      <c r="AF3010" s="113">
        <f>'Data_in-situ'!EN354</f>
        <v>-2.9</v>
      </c>
      <c r="AG3010" s="113">
        <f>'Data_in-situ'!EO354</f>
        <v>2.4</v>
      </c>
      <c r="AH3010" s="110">
        <f>'Data_in-situ'!EP354</f>
        <v>3</v>
      </c>
      <c r="AI3010" s="113">
        <f>'Data_in-situ'!ER354</f>
        <v>-24.2</v>
      </c>
      <c r="AJ3010" s="113">
        <f>'Data_in-situ'!ES354</f>
        <v>10.3</v>
      </c>
      <c r="AK3010" s="110">
        <f>'Data_in-situ'!ET354</f>
        <v>2</v>
      </c>
    </row>
    <row r="3011" spans="20:37" x14ac:dyDescent="0.3">
      <c r="T3011" s="113">
        <f>'Data_in-situ'!DN354</f>
        <v>129.83859113829968</v>
      </c>
      <c r="U3011" s="113">
        <f>'Data_in-situ'!DO354</f>
        <v>144.75435619379368</v>
      </c>
      <c r="V3011" s="46">
        <f>'Data_in-situ'!DP354</f>
        <v>3</v>
      </c>
      <c r="W3011" s="113">
        <f>'Data_in-situ'!DR354</f>
        <v>3.2289849407087479</v>
      </c>
      <c r="X3011" s="113">
        <f>'Data_in-situ'!DS354</f>
        <v>12.067415135534878</v>
      </c>
      <c r="Y3011" s="46">
        <f>'Data_in-situ'!DT354</f>
        <v>3</v>
      </c>
      <c r="AF3011" s="113">
        <f>'Data_in-situ'!EN357</f>
        <v>-3.9</v>
      </c>
      <c r="AG3011" s="113">
        <f>'Data_in-situ'!EO357</f>
        <v>3.3</v>
      </c>
      <c r="AH3011" s="110">
        <f>'Data_in-situ'!EP357</f>
        <v>3</v>
      </c>
      <c r="AI3011" s="113">
        <f>'Data_in-situ'!ER357</f>
        <v>-25.6</v>
      </c>
      <c r="AJ3011" s="113">
        <f>'Data_in-situ'!ES357</f>
        <v>10.3</v>
      </c>
      <c r="AK3011" s="110">
        <f>'Data_in-situ'!ET357</f>
        <v>2</v>
      </c>
    </row>
    <row r="3012" spans="20:37" x14ac:dyDescent="0.3">
      <c r="T3012" s="113">
        <f>'Data_in-situ'!DN357</f>
        <v>113.26345184404866</v>
      </c>
      <c r="U3012" s="113">
        <f>'Data_in-situ'!DO357</f>
        <v>126.27507667969238</v>
      </c>
      <c r="V3012" s="46">
        <f>'Data_in-situ'!DP357</f>
        <v>3</v>
      </c>
      <c r="W3012" s="113">
        <f>'Data_in-situ'!DR357</f>
        <v>5.2837935393415876</v>
      </c>
      <c r="X3012" s="113">
        <f>'Data_in-situ'!DS357</f>
        <v>19.746679312693438</v>
      </c>
      <c r="Y3012" s="46">
        <f>'Data_in-situ'!DT357</f>
        <v>3</v>
      </c>
      <c r="AF3012" s="113">
        <f>'Data_in-situ'!EN372</f>
        <v>-40.51870340955886</v>
      </c>
      <c r="AG3012" s="113">
        <f>'Data_in-situ'!EO372</f>
        <v>20.370209301600063</v>
      </c>
      <c r="AH3012" s="110">
        <f>'Data_in-situ'!EP372</f>
        <v>6</v>
      </c>
      <c r="AI3012" s="113">
        <f>'Data_in-situ'!ER372</f>
        <v>-50.351292976661703</v>
      </c>
      <c r="AJ3012" s="113">
        <f>'Data_in-situ'!ES372</f>
        <v>17.957460020005087</v>
      </c>
      <c r="AK3012" s="110">
        <f>'Data_in-situ'!ET372</f>
        <v>6</v>
      </c>
    </row>
    <row r="3013" spans="20:37" x14ac:dyDescent="0.3">
      <c r="T3013" s="113">
        <f>'Data_in-situ'!DN391</f>
        <v>441.33333333333337</v>
      </c>
      <c r="U3013" s="113">
        <f>'Data_in-situ'!DO391</f>
        <v>369.82923257339007</v>
      </c>
      <c r="V3013" s="46">
        <f>'Data_in-situ'!DP391</f>
        <v>4</v>
      </c>
      <c r="W3013" s="113">
        <f>'Data_in-situ'!DR391</f>
        <v>0</v>
      </c>
      <c r="X3013" s="113">
        <f>'Data_in-situ'!DS391</f>
        <v>0</v>
      </c>
      <c r="Y3013" s="46">
        <f>'Data_in-situ'!DT391</f>
        <v>4</v>
      </c>
      <c r="AF3013" s="113">
        <f>'Data_in-situ'!EN373</f>
        <v>-40.51870340955886</v>
      </c>
      <c r="AG3013" s="113">
        <f>'Data_in-situ'!EO373</f>
        <v>20.370209301600063</v>
      </c>
      <c r="AH3013" s="110">
        <f>'Data_in-situ'!EP373</f>
        <v>6</v>
      </c>
      <c r="AI3013" s="113">
        <f>'Data_in-situ'!ER373</f>
        <v>-50.44953735219223</v>
      </c>
      <c r="AJ3013" s="113">
        <f>'Data_in-situ'!ES373</f>
        <v>14.661286194047287</v>
      </c>
      <c r="AK3013" s="110">
        <f>'Data_in-situ'!ET373</f>
        <v>6</v>
      </c>
    </row>
    <row r="3014" spans="20:37" x14ac:dyDescent="0.3">
      <c r="T3014" s="113">
        <f>'Data_in-situ'!DN397</f>
        <v>94.039460020768402</v>
      </c>
      <c r="U3014" s="113">
        <f>'Data_in-situ'!DO397</f>
        <v>104.84264634093746</v>
      </c>
      <c r="V3014" s="46">
        <f>'Data_in-situ'!DP397</f>
        <v>1</v>
      </c>
      <c r="W3014" s="113">
        <f>'Data_in-situ'!DR397</f>
        <v>47.85046728971961</v>
      </c>
      <c r="X3014" s="113">
        <f>'Data_in-situ'!DS397</f>
        <v>178.82754606084828</v>
      </c>
      <c r="Y3014" s="46">
        <f>'Data_in-situ'!DT397</f>
        <v>1</v>
      </c>
      <c r="AF3014" s="113">
        <f>'Data_in-situ'!EN374</f>
        <v>-18.43977174360656</v>
      </c>
      <c r="AG3014" s="113">
        <f>'Data_in-situ'!EO374</f>
        <v>7.4660723000216542</v>
      </c>
      <c r="AH3014" s="110">
        <f>'Data_in-situ'!EP374</f>
        <v>6</v>
      </c>
      <c r="AI3014" s="113">
        <f>'Data_in-situ'!ER374</f>
        <v>-32.926909210095033</v>
      </c>
      <c r="AJ3014" s="113">
        <f>'Data_in-situ'!ES374</f>
        <v>5.9181798677139321</v>
      </c>
      <c r="AK3014" s="110">
        <f>'Data_in-situ'!ET374</f>
        <v>6</v>
      </c>
    </row>
    <row r="3015" spans="20:37" x14ac:dyDescent="0.3">
      <c r="T3015" s="113">
        <f>'Data_in-situ'!DN398</f>
        <v>84.070612668743479</v>
      </c>
      <c r="U3015" s="113">
        <f>'Data_in-situ'!DO398</f>
        <v>93.728584891368115</v>
      </c>
      <c r="V3015" s="46">
        <f>'Data_in-situ'!DP398</f>
        <v>1</v>
      </c>
      <c r="W3015" s="113">
        <f>'Data_in-situ'!DR398</f>
        <v>46.853582554517196</v>
      </c>
      <c r="X3015" s="113">
        <f>'Data_in-situ'!DS398</f>
        <v>175.10197218458089</v>
      </c>
      <c r="Y3015" s="46">
        <f>'Data_in-situ'!DT398</f>
        <v>1</v>
      </c>
      <c r="AF3015" s="113">
        <f>'Data_in-situ'!EN375</f>
        <v>-18.43977174360656</v>
      </c>
      <c r="AG3015" s="113">
        <f>'Data_in-situ'!EO375</f>
        <v>7.4660723000216542</v>
      </c>
      <c r="AH3015" s="110">
        <f>'Data_in-situ'!EP375</f>
        <v>6</v>
      </c>
      <c r="AI3015" s="113">
        <f>'Data_in-situ'!ER375</f>
        <v>-40.367064742679283</v>
      </c>
      <c r="AJ3015" s="113">
        <f>'Data_in-situ'!ES375</f>
        <v>4.0843551355325198</v>
      </c>
      <c r="AK3015" s="110">
        <f>'Data_in-situ'!ET375</f>
        <v>6</v>
      </c>
    </row>
    <row r="3016" spans="20:37" x14ac:dyDescent="0.3">
      <c r="T3016" s="113">
        <f>'Data_in-situ'!DN399</f>
        <v>100.35306334371759</v>
      </c>
      <c r="U3016" s="113">
        <f>'Data_in-situ'!DO399</f>
        <v>111.88155192566481</v>
      </c>
      <c r="V3016" s="46">
        <f>'Data_in-situ'!DP399</f>
        <v>1</v>
      </c>
      <c r="W3016" s="113">
        <f>'Data_in-situ'!DR399</f>
        <v>50.176531671858797</v>
      </c>
      <c r="X3016" s="113">
        <f>'Data_in-situ'!DS399</f>
        <v>187.52055177213964</v>
      </c>
      <c r="Y3016" s="46">
        <f>'Data_in-situ'!DT399</f>
        <v>1</v>
      </c>
      <c r="AF3016" s="113">
        <f>'Data_in-situ'!EN376</f>
        <v>-25.327560341085523</v>
      </c>
      <c r="AG3016" s="113">
        <f>'Data_in-situ'!EO376</f>
        <v>3.7216854561993782</v>
      </c>
      <c r="AH3016" s="110">
        <f>'Data_in-situ'!EP376</f>
        <v>6</v>
      </c>
      <c r="AI3016" s="113">
        <f>'Data_in-situ'!ER376</f>
        <v>-38.138726825441289</v>
      </c>
      <c r="AJ3016" s="113">
        <f>'Data_in-situ'!ES376</f>
        <v>2.9417033415847209</v>
      </c>
      <c r="AK3016" s="110">
        <f>'Data_in-situ'!ET376</f>
        <v>6</v>
      </c>
    </row>
    <row r="3017" spans="20:37" x14ac:dyDescent="0.3">
      <c r="T3017" s="113">
        <f>'Data_in-situ'!DN400</f>
        <v>507.98367438755889</v>
      </c>
      <c r="U3017" s="113">
        <f>'Data_in-situ'!DO400</f>
        <v>309.25085319324296</v>
      </c>
      <c r="V3017" s="46">
        <f>'Data_in-situ'!DP400</f>
        <v>8</v>
      </c>
      <c r="W3017" s="113">
        <f>'Data_in-situ'!DR400</f>
        <v>12.765061923408211</v>
      </c>
      <c r="X3017" s="113">
        <f>'Data_in-situ'!DS400</f>
        <v>23.812364224373002</v>
      </c>
      <c r="Y3017" s="46">
        <f>'Data_in-situ'!DT400</f>
        <v>4</v>
      </c>
      <c r="AF3017" s="113">
        <f>'Data_in-situ'!EN377</f>
        <v>-25.327560341085523</v>
      </c>
      <c r="AG3017" s="113">
        <f>'Data_in-situ'!EO377</f>
        <v>3.7216854561993782</v>
      </c>
      <c r="AH3017" s="110">
        <f>'Data_in-situ'!EP377</f>
        <v>6</v>
      </c>
      <c r="AI3017" s="113">
        <f>'Data_in-situ'!ER377</f>
        <v>-44.870926010354054</v>
      </c>
      <c r="AJ3017" s="113">
        <f>'Data_in-situ'!ES377</f>
        <v>2.2702362142729355</v>
      </c>
      <c r="AK3017" s="110">
        <f>'Data_in-situ'!ET377</f>
        <v>6</v>
      </c>
    </row>
    <row r="3018" spans="20:37" x14ac:dyDescent="0.3">
      <c r="T3018" s="113">
        <f>'Data_in-situ'!DN416</f>
        <v>102.39147844674257</v>
      </c>
      <c r="U3018" s="113">
        <f>'Data_in-situ'!DO416</f>
        <v>25.149528090905832</v>
      </c>
      <c r="V3018" s="46">
        <f>'Data_in-situ'!DP416</f>
        <v>5</v>
      </c>
      <c r="W3018" s="113">
        <f>'Data_in-situ'!DR416</f>
        <v>6.6536659384301489</v>
      </c>
      <c r="X3018" s="113">
        <f>'Data_in-situ'!DS416</f>
        <v>9.0885183749652523</v>
      </c>
      <c r="Y3018" s="46">
        <f>'Data_in-situ'!DT416</f>
        <v>5</v>
      </c>
      <c r="AF3018" s="113">
        <f>'Data_in-situ'!EN378</f>
        <v>-48.76169720736587</v>
      </c>
      <c r="AG3018" s="113">
        <f>'Data_in-situ'!EO378</f>
        <v>3.8844664928993486</v>
      </c>
      <c r="AH3018" s="110">
        <f>'Data_in-situ'!EP378</f>
        <v>6</v>
      </c>
      <c r="AI3018" s="113">
        <f>'Data_in-situ'!ER378</f>
        <v>-60.453706185710573</v>
      </c>
      <c r="AJ3018" s="113">
        <f>'Data_in-situ'!ES378</f>
        <v>3.5711359265362042</v>
      </c>
      <c r="AK3018" s="110">
        <f>'Data_in-situ'!ET378</f>
        <v>6</v>
      </c>
    </row>
    <row r="3019" spans="20:37" x14ac:dyDescent="0.3">
      <c r="T3019" s="113">
        <f>'Data_in-situ'!DN432</f>
        <v>75.653333333333322</v>
      </c>
      <c r="U3019" s="113">
        <f>'Data_in-situ'!DO432</f>
        <v>22.585942530698158</v>
      </c>
      <c r="V3019" s="46">
        <f>'Data_in-situ'!DP432</f>
        <v>3</v>
      </c>
      <c r="W3019" s="113">
        <f>'Data_in-situ'!DR432</f>
        <v>1.9466666666666665</v>
      </c>
      <c r="X3019" s="113">
        <f>'Data_in-situ'!DS432</f>
        <v>8.1752798117251011</v>
      </c>
      <c r="Y3019" s="46">
        <f>'Data_in-situ'!DT432</f>
        <v>3</v>
      </c>
      <c r="AF3019" s="113">
        <f>'Data_in-situ'!EN379</f>
        <v>-48.76169720736587</v>
      </c>
      <c r="AG3019" s="113">
        <f>'Data_in-situ'!EO379</f>
        <v>3.8844664928993486</v>
      </c>
      <c r="AH3019" s="110">
        <f>'Data_in-situ'!EP379</f>
        <v>6</v>
      </c>
      <c r="AI3019" s="113">
        <f>'Data_in-situ'!ER379</f>
        <v>-64.194692039592596</v>
      </c>
      <c r="AJ3019" s="113">
        <f>'Data_in-situ'!ES379</f>
        <v>3.0503400500711311</v>
      </c>
      <c r="AK3019" s="110">
        <f>'Data_in-situ'!ET379</f>
        <v>6</v>
      </c>
    </row>
    <row r="3020" spans="20:37" x14ac:dyDescent="0.3">
      <c r="T3020" s="113">
        <f>'Data_in-situ'!DN433</f>
        <v>36.813333333333333</v>
      </c>
      <c r="U3020" s="113">
        <f>'Data_in-situ'!DO433</f>
        <v>5.8889727457341818</v>
      </c>
      <c r="V3020" s="46">
        <f>'Data_in-situ'!DP433</f>
        <v>3</v>
      </c>
      <c r="W3020" s="113">
        <f>'Data_in-situ'!DR433</f>
        <v>0.97333333333333327</v>
      </c>
      <c r="X3020" s="113">
        <f>'Data_in-situ'!DS433</f>
        <v>1.1777945491468365</v>
      </c>
      <c r="Y3020" s="46">
        <f>'Data_in-situ'!DT433</f>
        <v>3</v>
      </c>
      <c r="AF3020" s="113">
        <f>'Data_in-situ'!EN391</f>
        <v>-2</v>
      </c>
      <c r="AG3020" s="113">
        <f>'Data_in-situ'!EO391</f>
        <v>0.81499279750258669</v>
      </c>
      <c r="AH3020" s="110">
        <f>'Data_in-situ'!EP391</f>
        <v>4</v>
      </c>
      <c r="AI3020" s="113">
        <f>'Data_in-situ'!ER391</f>
        <v>-30</v>
      </c>
      <c r="AJ3020" s="113">
        <f>'Data_in-situ'!ES391</f>
        <v>6.8044216052758255</v>
      </c>
      <c r="AK3020" s="110">
        <f>'Data_in-situ'!ET391</f>
        <v>4</v>
      </c>
    </row>
    <row r="3021" spans="20:37" x14ac:dyDescent="0.3">
      <c r="T3021" s="113">
        <f>'Data_in-situ'!DN434</f>
        <v>198.66666666666666</v>
      </c>
      <c r="U3021" s="113">
        <f>'Data_in-situ'!DO434</f>
        <v>221.4893521131051</v>
      </c>
      <c r="V3021" s="46">
        <f>'Data_in-situ'!DP434</f>
        <v>3</v>
      </c>
      <c r="W3021" s="113">
        <f>'Data_in-situ'!DR434</f>
        <v>2.8000000000000003</v>
      </c>
      <c r="X3021" s="113">
        <f>'Data_in-situ'!DS434</f>
        <v>10.464205624966828</v>
      </c>
      <c r="Y3021" s="46">
        <f>'Data_in-situ'!DT434</f>
        <v>3</v>
      </c>
      <c r="AF3021" s="113">
        <f>'Data_in-situ'!EN400</f>
        <v>8.6888471563287055</v>
      </c>
      <c r="AG3021" s="113">
        <f>'Data_in-situ'!EO400</f>
        <v>0.9459684366413168</v>
      </c>
      <c r="AH3021" s="110">
        <f>'Data_in-situ'!EP400</f>
        <v>8</v>
      </c>
      <c r="AI3021" s="113">
        <f>'Data_in-situ'!ER400</f>
        <v>-10.544207227786568</v>
      </c>
      <c r="AJ3021" s="113">
        <f>'Data_in-situ'!ES400</f>
        <v>3.1095266572641616</v>
      </c>
      <c r="AK3021" s="110">
        <f>'Data_in-situ'!ET400</f>
        <v>8</v>
      </c>
    </row>
    <row r="3022" spans="20:37" x14ac:dyDescent="0.3">
      <c r="T3022" s="113">
        <f>'Data_in-situ'!DN435</f>
        <v>345.33333333333331</v>
      </c>
      <c r="U3022" s="113">
        <f>'Data_in-situ'!DO435</f>
        <v>385.00498118989412</v>
      </c>
      <c r="V3022" s="46">
        <f>'Data_in-situ'!DP435</f>
        <v>3</v>
      </c>
      <c r="W3022" s="113">
        <f>'Data_in-situ'!DR435</f>
        <v>1.3333333333333333</v>
      </c>
      <c r="X3022" s="113">
        <f>'Data_in-situ'!DS435</f>
        <v>4.9829550595080132</v>
      </c>
      <c r="Y3022" s="46">
        <f>'Data_in-situ'!DT435</f>
        <v>3</v>
      </c>
      <c r="AF3022" s="113">
        <f>'Data_in-situ'!EN416</f>
        <v>-9.4</v>
      </c>
      <c r="AG3022" s="113">
        <f>'Data_in-situ'!EO416</f>
        <v>9.3000000000000007</v>
      </c>
      <c r="AH3022" s="110">
        <f>'Data_in-situ'!EP416</f>
        <v>5</v>
      </c>
      <c r="AI3022" s="113">
        <f>'Data_in-situ'!ER416</f>
        <v>-21.2</v>
      </c>
      <c r="AJ3022" s="113">
        <f>'Data_in-situ'!ES416</f>
        <v>14.9</v>
      </c>
      <c r="AK3022" s="110">
        <f>'Data_in-situ'!ET416</f>
        <v>5</v>
      </c>
    </row>
    <row r="3023" spans="20:37" x14ac:dyDescent="0.3">
      <c r="T3023" s="113">
        <f>'Data_in-situ'!DN441</f>
        <v>172</v>
      </c>
      <c r="U3023" s="113">
        <f>'Data_in-situ'!DO441</f>
        <v>22</v>
      </c>
      <c r="V3023" s="46">
        <f>'Data_in-situ'!DP441</f>
        <v>6</v>
      </c>
      <c r="W3023" s="113">
        <f>'Data_in-situ'!DR441</f>
        <v>1.5</v>
      </c>
      <c r="X3023" s="113">
        <f>'Data_in-situ'!DS441</f>
        <v>1.6</v>
      </c>
      <c r="Y3023" s="46">
        <f>'Data_in-situ'!DT441</f>
        <v>6</v>
      </c>
      <c r="AF3023" s="113">
        <f>'Data_in-situ'!EN432</f>
        <v>-14.226633581472301</v>
      </c>
      <c r="AG3023" s="113">
        <f>'Data_in-situ'!EO432</f>
        <v>0.84179554111043309</v>
      </c>
      <c r="AH3023" s="110">
        <f>'Data_in-situ'!EP432</f>
        <v>3</v>
      </c>
      <c r="AI3023" s="113">
        <f>'Data_in-situ'!ER432</f>
        <v>-56.100981767180912</v>
      </c>
      <c r="AJ3023" s="113">
        <f>'Data_in-situ'!ES432</f>
        <v>3.5983168804300347</v>
      </c>
      <c r="AK3023" s="110">
        <f>'Data_in-situ'!ET432</f>
        <v>3</v>
      </c>
    </row>
    <row r="3024" spans="20:37" x14ac:dyDescent="0.3">
      <c r="T3024" s="113">
        <f>'Data_in-situ'!DN442</f>
        <v>172</v>
      </c>
      <c r="U3024" s="113">
        <f>'Data_in-situ'!DO442</f>
        <v>22</v>
      </c>
      <c r="V3024" s="46">
        <f>'Data_in-situ'!DP442</f>
        <v>6</v>
      </c>
      <c r="W3024" s="113">
        <f>'Data_in-situ'!DR442</f>
        <v>-1.4</v>
      </c>
      <c r="X3024" s="113">
        <f>'Data_in-situ'!DS442</f>
        <v>1.5</v>
      </c>
      <c r="Y3024" s="46">
        <f>'Data_in-situ'!DT442</f>
        <v>6</v>
      </c>
      <c r="AF3024" s="113">
        <f>'Data_in-situ'!EN433</f>
        <v>-12.821300563236036</v>
      </c>
      <c r="AG3024" s="113">
        <f>'Data_in-situ'!EO433</f>
        <v>0.77828981054787205</v>
      </c>
      <c r="AH3024" s="110">
        <f>'Data_in-situ'!EP433</f>
        <v>3</v>
      </c>
      <c r="AI3024" s="113">
        <f>'Data_in-situ'!ER433</f>
        <v>-49.305962854349943</v>
      </c>
      <c r="AJ3024" s="113">
        <f>'Data_in-situ'!ES433</f>
        <v>4.302708385623629</v>
      </c>
      <c r="AK3024" s="110">
        <f>'Data_in-situ'!ET433</f>
        <v>3</v>
      </c>
    </row>
    <row r="3025" spans="1:37" x14ac:dyDescent="0.3">
      <c r="T3025" s="113">
        <f>'Data_in-situ'!DN443</f>
        <v>172</v>
      </c>
      <c r="U3025" s="113">
        <f>'Data_in-situ'!DO443</f>
        <v>22</v>
      </c>
      <c r="V3025" s="46">
        <f>'Data_in-situ'!DP443</f>
        <v>6</v>
      </c>
      <c r="W3025" s="113">
        <f>'Data_in-situ'!DR443</f>
        <v>-0.6</v>
      </c>
      <c r="X3025" s="113">
        <f>'Data_in-situ'!DS443</f>
        <v>0.65</v>
      </c>
      <c r="Y3025" s="46">
        <f>'Data_in-situ'!DT443</f>
        <v>4</v>
      </c>
      <c r="AF3025" s="113">
        <f>'Data_in-situ'!EN443</f>
        <v>-9</v>
      </c>
      <c r="AG3025" s="113">
        <f>'Data_in-situ'!EO443</f>
        <v>1.9</v>
      </c>
      <c r="AH3025" s="110">
        <f>'Data_in-situ'!EP443</f>
        <v>3</v>
      </c>
      <c r="AI3025" s="113">
        <f>'Data_in-situ'!ER443</f>
        <v>-37.76</v>
      </c>
      <c r="AJ3025" s="113">
        <f>'Data_in-situ'!ES443</f>
        <v>2.68</v>
      </c>
      <c r="AK3025" s="110">
        <f>'Data_in-situ'!ET443</f>
        <v>3</v>
      </c>
    </row>
    <row r="3027" spans="1:37" x14ac:dyDescent="0.3">
      <c r="A3027" s="110" t="s">
        <v>831</v>
      </c>
      <c r="B3027" s="24">
        <f>AVERAGEA(B2919:B3025)</f>
        <v>-13682.544811923806</v>
      </c>
      <c r="C3027" s="24">
        <f>STDEVA(B2919:B3025)/SQRT(COUNT(B2919:B3025))</f>
        <v>2763.9766841030178</v>
      </c>
      <c r="D3027" s="46">
        <f>COUNT(B2919:B3025)</f>
        <v>25</v>
      </c>
      <c r="E3027" s="24">
        <f>AVERAGEA(E2919:E3025)</f>
        <v>-14312.72715129773</v>
      </c>
      <c r="F3027" s="24">
        <f>STDEVA(E2919:E3025)/SQRT(COUNT(E2919:E3025))</f>
        <v>2444.3476309750849</v>
      </c>
      <c r="G3027" s="46">
        <f>COUNT(E2919:E3025)</f>
        <v>25</v>
      </c>
      <c r="H3027" s="24">
        <f>AVERAGEA(H2919:H3025)</f>
        <v>10626.179662611308</v>
      </c>
      <c r="I3027" s="24">
        <f>STDEVA(H2919:H3025)/SQRT(COUNT(H2919:H3025))</f>
        <v>2250.1392969052604</v>
      </c>
      <c r="J3027" s="110">
        <f>COUNT(H2919:H3025)</f>
        <v>25</v>
      </c>
      <c r="K3027" s="24">
        <f>AVERAGEA(K2919:K3025)</f>
        <v>12894.423845842275</v>
      </c>
      <c r="L3027" s="24">
        <f>STDEVA(K2919:K3025)/SQRT(COUNT(K2919:K3025))</f>
        <v>2528.889444991893</v>
      </c>
      <c r="M3027" s="110">
        <f>COUNT(K2919:K3025)</f>
        <v>25</v>
      </c>
      <c r="N3027" s="24">
        <f>AVERAGEA(N2919:N3025)</f>
        <v>-1970.3120194889618</v>
      </c>
      <c r="O3027" s="24">
        <f>STDEVA(N2919:N3025)/SQRT(COUNT(N2919:N3025))</f>
        <v>562.50945980970016</v>
      </c>
      <c r="P3027" s="110">
        <f>COUNT(N2919:N3025)</f>
        <v>38</v>
      </c>
      <c r="Q3027" s="24">
        <f>AVERAGEA(Q2919:Q3025)</f>
        <v>-1848.8766166882874</v>
      </c>
      <c r="R3027" s="24">
        <f>STDEVA(Q2919:Q3025)/SQRT(COUNT(Q2919:Q3025))</f>
        <v>718.06866525819441</v>
      </c>
      <c r="S3027" s="110">
        <f>COUNT(Q2919:Q3025)</f>
        <v>38</v>
      </c>
      <c r="T3027" s="113">
        <f>AVERAGEA(T2919:T3025)</f>
        <v>265.69083299762423</v>
      </c>
      <c r="U3027" s="113">
        <f>STDEVA(T2919:T3025)/SQRT(COUNT(T2919:T3025))</f>
        <v>36.178552230390324</v>
      </c>
      <c r="V3027" s="110">
        <f>COUNT(T2919:T3025)</f>
        <v>107</v>
      </c>
      <c r="W3027" s="113">
        <f>AVERAGEA(W2919:W3025)</f>
        <v>35.722443801599013</v>
      </c>
      <c r="X3027" s="113">
        <f>STDEVA(W2919:W3025)/SQRT(COUNT(W2919:W3025))</f>
        <v>12.894610169586789</v>
      </c>
      <c r="Y3027" s="110">
        <f>COUNT(W2919:W3025)</f>
        <v>107</v>
      </c>
      <c r="Z3027" s="113">
        <f>AVERAGEA(Z2919:Z3025)</f>
        <v>0.26059584358595295</v>
      </c>
      <c r="AA3027" s="113">
        <f>STDEVA(Z2919:Z3025)/SQRT(COUNT(Z2919:Z3025))</f>
        <v>7.0431528763724882E-2</v>
      </c>
      <c r="AB3027" s="110">
        <f>COUNT(Z2919:Z3025)</f>
        <v>44</v>
      </c>
      <c r="AC3027" s="113">
        <f>AVERAGEA(AC2919:AC3025)</f>
        <v>3.0073214202673624</v>
      </c>
      <c r="AD3027" s="113">
        <f>STDEVA(AC2919:AC3025)/SQRT(COUNT(AC2919:AC3025))</f>
        <v>0.93454667859938756</v>
      </c>
      <c r="AE3027" s="110">
        <f>COUNT(AC2919:AC3025)</f>
        <v>44</v>
      </c>
      <c r="AF3027" s="113">
        <f>AVERAGEA(AF2919:AF3025)</f>
        <v>-10.38510759800891</v>
      </c>
      <c r="AG3027" s="113">
        <f>STDEVA(AF2919:AF3025)/SQRT(COUNT(AF2919:AF3025))</f>
        <v>1.3131206158085895</v>
      </c>
      <c r="AH3027" s="110">
        <f>COUNT(AF2919:AF3025)</f>
        <v>107</v>
      </c>
      <c r="AI3027" s="113">
        <f>AVERAGEA(AI2919:AI3025)</f>
        <v>-36.137238729711839</v>
      </c>
      <c r="AJ3027" s="113">
        <f>STDEVA(AI2919:AI3025)/SQRT(COUNT(AI2919:AI3025))</f>
        <v>2.3950156495981947</v>
      </c>
      <c r="AK3027" s="110">
        <f>COUNT(AI2919:AI3025)</f>
        <v>107</v>
      </c>
    </row>
    <row r="3029" spans="1:37" x14ac:dyDescent="0.3">
      <c r="A3029" s="110" t="s">
        <v>982</v>
      </c>
      <c r="B3029" s="24">
        <f>'Data_in-situ'!CA246</f>
        <v>-129103.33333333334</v>
      </c>
      <c r="C3029" s="24">
        <f>'Data_in-situ'!CB246</f>
        <v>31476.743163089086</v>
      </c>
      <c r="D3029" s="46">
        <f>'Data_in-situ'!CC246</f>
        <v>1</v>
      </c>
      <c r="E3029" s="24">
        <f>'Data_in-situ'!CE246</f>
        <v>-116380</v>
      </c>
      <c r="F3029" s="24">
        <f>'Data_in-situ'!CF246</f>
        <v>43324.677444112938</v>
      </c>
      <c r="G3029" s="46">
        <f>'Data_in-situ'!CG246</f>
        <v>1</v>
      </c>
      <c r="H3029" s="24">
        <f>'Data_in-situ'!CN246</f>
        <v>136436.66666666666</v>
      </c>
      <c r="I3029" s="24">
        <f>'Data_in-situ'!CO246</f>
        <v>39242.911350487644</v>
      </c>
      <c r="J3029" s="46">
        <f>'Data_in-situ'!CP246</f>
        <v>1</v>
      </c>
      <c r="K3029" s="24">
        <f>'Data_in-situ'!CR246</f>
        <v>134603.33333333334</v>
      </c>
      <c r="L3029" s="24">
        <f>'Data_in-situ'!CS246</f>
        <v>35318.726117508595</v>
      </c>
      <c r="M3029" s="46">
        <f>'Data_in-situ'!CT246</f>
        <v>1</v>
      </c>
      <c r="N3029" s="24">
        <f>'Data_in-situ'!DA147</f>
        <v>-55</v>
      </c>
      <c r="O3029" s="24">
        <f>'Data_in-situ'!DB147</f>
        <v>450</v>
      </c>
      <c r="P3029" s="46">
        <f>'Data_in-situ'!DC147</f>
        <v>6</v>
      </c>
      <c r="Q3029" s="24">
        <f>'Data_in-situ'!DE147</f>
        <v>-910</v>
      </c>
      <c r="R3029" s="24">
        <f>'Data_in-situ'!DF147</f>
        <v>180</v>
      </c>
      <c r="S3029" s="46">
        <f>'Data_in-situ'!DG147</f>
        <v>2</v>
      </c>
      <c r="T3029" s="113">
        <f>'Data_in-situ'!DN34</f>
        <v>218.59000000000026</v>
      </c>
      <c r="U3029" s="113">
        <f>'Data_in-situ'!DO34</f>
        <v>226.1967612500232</v>
      </c>
      <c r="V3029" s="46">
        <f>'Data_in-situ'!DP34</f>
        <v>25</v>
      </c>
      <c r="W3029" s="113">
        <f>'Data_in-situ'!DR34</f>
        <v>-1.3730769230769226</v>
      </c>
      <c r="X3029" s="113">
        <f>'Data_in-situ'!DS34</f>
        <v>0.50491400638738226</v>
      </c>
      <c r="Y3029" s="46">
        <f>'Data_in-situ'!DT34</f>
        <v>75</v>
      </c>
      <c r="Z3029" s="113">
        <f>'Data_in-situ'!EA98</f>
        <v>-9.6326468671612098E-2</v>
      </c>
      <c r="AA3029" s="113">
        <f>'Data_in-situ'!EB98</f>
        <v>5.4029389318036893E-2</v>
      </c>
      <c r="AB3029" s="46">
        <f>'Data_in-situ'!EC98</f>
        <v>3</v>
      </c>
      <c r="AC3029" s="113">
        <f>'Data_in-situ'!EE98</f>
        <v>1.5454704465443767</v>
      </c>
      <c r="AD3029" s="113">
        <f>'Data_in-situ'!EF98</f>
        <v>0.28931759999999995</v>
      </c>
      <c r="AE3029" s="46">
        <f>'Data_in-situ'!EG98</f>
        <v>3</v>
      </c>
      <c r="AF3029" s="113">
        <f>'Data_in-situ'!EN98</f>
        <v>3.3333333333333335</v>
      </c>
      <c r="AG3029" s="113">
        <f>'Data_in-situ'!EO98</f>
        <v>1.5275252316519463</v>
      </c>
      <c r="AH3029" s="110">
        <f>'Data_in-situ'!EP98</f>
        <v>3</v>
      </c>
      <c r="AI3029" s="113">
        <f>'Data_in-situ'!ER98</f>
        <v>-18.100000000000001</v>
      </c>
      <c r="AJ3029" s="113">
        <f>'Data_in-situ'!ES98</f>
        <v>5.6</v>
      </c>
      <c r="AK3029" s="110">
        <f>'Data_in-situ'!ET98</f>
        <v>3</v>
      </c>
    </row>
    <row r="3030" spans="1:37" x14ac:dyDescent="0.3">
      <c r="B3030" s="24">
        <f>'Data_in-situ'!CA247</f>
        <v>-130313.33333333334</v>
      </c>
      <c r="C3030" s="24">
        <f>'Data_in-situ'!CB247</f>
        <v>31771.753820397222</v>
      </c>
      <c r="D3030" s="46">
        <f>'Data_in-situ'!CC247</f>
        <v>1</v>
      </c>
      <c r="E3030" s="24">
        <f>'Data_in-situ'!CE247</f>
        <v>-121146.66666666666</v>
      </c>
      <c r="F3030" s="24">
        <f>'Data_in-situ'!CF247</f>
        <v>45099.160137161038</v>
      </c>
      <c r="G3030" s="46">
        <f>'Data_in-situ'!CG247</f>
        <v>1</v>
      </c>
      <c r="H3030" s="24">
        <f>'Data_in-situ'!CN247</f>
        <v>132953.33333333334</v>
      </c>
      <c r="I3030" s="24">
        <f>'Data_in-situ'!CO247</f>
        <v>38241.009555729164</v>
      </c>
      <c r="J3030" s="46">
        <f>'Data_in-situ'!CP247</f>
        <v>1</v>
      </c>
      <c r="K3030" s="24">
        <f>'Data_in-situ'!CR247</f>
        <v>128553.33333333334</v>
      </c>
      <c r="L3030" s="24">
        <f>'Data_in-situ'!CS247</f>
        <v>33731.259539086117</v>
      </c>
      <c r="M3030" s="46">
        <f>'Data_in-situ'!CT247</f>
        <v>1</v>
      </c>
      <c r="N3030" s="24">
        <f>'Data_in-situ'!DA148</f>
        <v>-100</v>
      </c>
      <c r="O3030" s="24">
        <f>'Data_in-situ'!DB148</f>
        <v>270</v>
      </c>
      <c r="P3030" s="46">
        <f>'Data_in-situ'!DC148</f>
        <v>16</v>
      </c>
      <c r="Q3030" s="24">
        <f>'Data_in-situ'!DE148</f>
        <v>-910</v>
      </c>
      <c r="R3030" s="24">
        <f>'Data_in-situ'!DF148</f>
        <v>180</v>
      </c>
      <c r="S3030" s="46">
        <f>'Data_in-situ'!DG148</f>
        <v>2</v>
      </c>
      <c r="T3030" s="113">
        <f>'Data_in-situ'!DN79</f>
        <v>345.6</v>
      </c>
      <c r="U3030" s="113">
        <f>'Data_in-situ'!DO79</f>
        <v>358.40000000000003</v>
      </c>
      <c r="V3030" s="46">
        <f>'Data_in-situ'!DP79</f>
        <v>4</v>
      </c>
      <c r="W3030" s="113">
        <f>'Data_in-situ'!DR79</f>
        <v>-2.4</v>
      </c>
      <c r="X3030" s="113">
        <f>'Data_in-situ'!DS79</f>
        <v>0.8</v>
      </c>
      <c r="Y3030" s="46">
        <f>'Data_in-situ'!DT79</f>
        <v>4</v>
      </c>
      <c r="Z3030" s="113">
        <f>'Data_in-situ'!EA99</f>
        <v>-0.40440266730939189</v>
      </c>
      <c r="AA3030" s="113">
        <f>'Data_in-situ'!EB99</f>
        <v>1.1600159999999999</v>
      </c>
      <c r="AB3030" s="46">
        <f>'Data_in-situ'!EC99</f>
        <v>24</v>
      </c>
      <c r="AC3030" s="113">
        <f>'Data_in-situ'!EE99</f>
        <v>0.41440059292199383</v>
      </c>
      <c r="AD3030" s="113">
        <f>'Data_in-situ'!EF99</f>
        <v>1.3178879999999999</v>
      </c>
      <c r="AE3030" s="46">
        <f>'Data_in-situ'!EG99</f>
        <v>15</v>
      </c>
      <c r="AF3030" s="113">
        <f>'Data_in-situ'!EN99</f>
        <v>6.52</v>
      </c>
      <c r="AG3030" s="113">
        <f>'Data_in-situ'!EO99</f>
        <v>6.22</v>
      </c>
      <c r="AH3030" s="110">
        <f>'Data_in-situ'!EP99</f>
        <v>4</v>
      </c>
      <c r="AI3030" s="113">
        <f>'Data_in-situ'!ER99</f>
        <v>-36.47</v>
      </c>
      <c r="AJ3030" s="113">
        <f>'Data_in-situ'!ES99</f>
        <v>14.77</v>
      </c>
      <c r="AK3030" s="110">
        <f>'Data_in-situ'!ET99</f>
        <v>4</v>
      </c>
    </row>
    <row r="3031" spans="1:37" x14ac:dyDescent="0.3">
      <c r="B3031" s="24">
        <f>'Data_in-situ'!CA248</f>
        <v>-120743.33333333334</v>
      </c>
      <c r="C3031" s="24">
        <f>'Data_in-situ'!CB248</f>
        <v>29438.487712596525</v>
      </c>
      <c r="D3031" s="46">
        <f>'Data_in-situ'!CC248</f>
        <v>1</v>
      </c>
      <c r="E3031" s="24">
        <f>'Data_in-situ'!CE248</f>
        <v>-111613.33333333334</v>
      </c>
      <c r="F3031" s="24">
        <f>'Data_in-situ'!CF248</f>
        <v>41550.194751064839</v>
      </c>
      <c r="G3031" s="46">
        <f>'Data_in-situ'!CG248</f>
        <v>1</v>
      </c>
      <c r="H3031" s="24">
        <f>'Data_in-situ'!CN248</f>
        <v>136986.66666666666</v>
      </c>
      <c r="I3031" s="24">
        <f>'Data_in-situ'!CO248</f>
        <v>39401.106370712667</v>
      </c>
      <c r="J3031" s="46">
        <f>'Data_in-situ'!CP248</f>
        <v>1</v>
      </c>
      <c r="K3031" s="24">
        <f>'Data_in-situ'!CR248</f>
        <v>130093.33333333334</v>
      </c>
      <c r="L3031" s="24">
        <f>'Data_in-situ'!CS248</f>
        <v>34135.341940866383</v>
      </c>
      <c r="M3031" s="46">
        <f>'Data_in-situ'!CT248</f>
        <v>1</v>
      </c>
      <c r="N3031" s="24">
        <f>'Data_in-situ'!DA226</f>
        <v>-4000</v>
      </c>
      <c r="O3031" s="24">
        <f>'Data_in-situ'!DB226</f>
        <v>11998.626234744846</v>
      </c>
      <c r="P3031" s="46">
        <f>'Data_in-situ'!DC226</f>
        <v>4</v>
      </c>
      <c r="Q3031" s="24">
        <f>'Data_in-situ'!DE226</f>
        <v>2600</v>
      </c>
      <c r="R3031" s="24">
        <f>'Data_in-situ'!DF226</f>
        <v>2478.1712651793655</v>
      </c>
      <c r="S3031" s="46">
        <f>'Data_in-situ'!DG226</f>
        <v>4</v>
      </c>
      <c r="T3031" s="113">
        <f>'Data_in-situ'!DN88</f>
        <v>17.100000000000001</v>
      </c>
      <c r="U3031" s="113">
        <f>'Data_in-situ'!DO88</f>
        <v>7.9674337148168348</v>
      </c>
      <c r="V3031" s="46">
        <f>'Data_in-situ'!DP88</f>
        <v>3</v>
      </c>
      <c r="W3031" s="113">
        <f>'Data_in-situ'!DR88</f>
        <v>11.100000000000001</v>
      </c>
      <c r="X3031" s="113">
        <f>'Data_in-situ'!DS88</f>
        <v>4.3301270189221928</v>
      </c>
      <c r="Y3031" s="46">
        <f>'Data_in-situ'!DT88</f>
        <v>3</v>
      </c>
      <c r="Z3031" s="113">
        <f>'Data_in-situ'!EA145</f>
        <v>-6.8828571428571433E-2</v>
      </c>
      <c r="AA3031" s="113">
        <f>'Data_in-situ'!EB145</f>
        <v>0.39576270143804132</v>
      </c>
      <c r="AB3031" s="46">
        <f>'Data_in-situ'!EC145</f>
        <v>4</v>
      </c>
      <c r="AC3031" s="113">
        <f>'Data_in-situ'!EE145</f>
        <v>0.19271999999999997</v>
      </c>
      <c r="AD3031" s="113">
        <f>'Data_in-situ'!EF145</f>
        <v>0.28775782163506208</v>
      </c>
      <c r="AE3031" s="46">
        <f>'Data_in-situ'!EG145</f>
        <v>4</v>
      </c>
      <c r="AF3031" s="113">
        <f>'Data_in-situ'!EN134</f>
        <v>-24.4</v>
      </c>
      <c r="AG3031" s="113">
        <f>'Data_in-situ'!EO134</f>
        <v>23.902301144450508</v>
      </c>
      <c r="AH3031" s="110">
        <f>'Data_in-situ'!EP134</f>
        <v>3</v>
      </c>
      <c r="AI3031" s="113">
        <f>'Data_in-situ'!ER134</f>
        <v>-57.4</v>
      </c>
      <c r="AJ3031" s="113">
        <f>'Data_in-situ'!ES134</f>
        <v>28.405633244129582</v>
      </c>
      <c r="AK3031" s="110">
        <f>'Data_in-situ'!ET134</f>
        <v>3</v>
      </c>
    </row>
    <row r="3032" spans="1:37" x14ac:dyDescent="0.3">
      <c r="B3032" s="24">
        <f>'Data_in-situ'!CA249</f>
        <v>-128773.33333333334</v>
      </c>
      <c r="C3032" s="24">
        <f>'Data_in-situ'!CB249</f>
        <v>31396.285711095959</v>
      </c>
      <c r="D3032" s="46">
        <f>'Data_in-situ'!CC249</f>
        <v>1</v>
      </c>
      <c r="E3032" s="24">
        <f>'Data_in-situ'!CE249</f>
        <v>-118946.66666666666</v>
      </c>
      <c r="F3032" s="24">
        <f>'Data_in-situ'!CF249</f>
        <v>44280.168124984993</v>
      </c>
      <c r="G3032" s="46">
        <f>'Data_in-situ'!CG249</f>
        <v>1</v>
      </c>
      <c r="H3032" s="24">
        <f>'Data_in-situ'!CN249</f>
        <v>127783.33333333334</v>
      </c>
      <c r="I3032" s="24">
        <f>'Data_in-situ'!CO249</f>
        <v>36753.97636561394</v>
      </c>
      <c r="J3032" s="46">
        <f>'Data_in-situ'!CP249</f>
        <v>1</v>
      </c>
      <c r="K3032" s="24">
        <f>'Data_in-situ'!CR249</f>
        <v>122870</v>
      </c>
      <c r="L3032" s="24">
        <f>'Data_in-situ'!CS249</f>
        <v>32240.003056325604</v>
      </c>
      <c r="M3032" s="46">
        <f>'Data_in-situ'!CT249</f>
        <v>1</v>
      </c>
      <c r="N3032" s="24">
        <f>'Data_in-situ'!DA227</f>
        <v>-2700</v>
      </c>
      <c r="O3032" s="24">
        <f>'Data_in-situ'!DB227</f>
        <v>8099.0727084527707</v>
      </c>
      <c r="P3032" s="46">
        <f>'Data_in-situ'!DC227</f>
        <v>4</v>
      </c>
      <c r="Q3032" s="24">
        <f>'Data_in-situ'!DE227</f>
        <v>3900</v>
      </c>
      <c r="R3032" s="24">
        <f>'Data_in-situ'!DF227</f>
        <v>3717.256897769048</v>
      </c>
      <c r="S3032" s="46">
        <f>'Data_in-situ'!DG227</f>
        <v>4</v>
      </c>
      <c r="T3032" s="113">
        <f>'Data_in-situ'!DN89</f>
        <v>17.3</v>
      </c>
      <c r="U3032" s="113">
        <f>'Data_in-situ'!DO89</f>
        <v>8.1406387955737234</v>
      </c>
      <c r="V3032" s="46">
        <f>'Data_in-situ'!DP89</f>
        <v>3</v>
      </c>
      <c r="W3032" s="113">
        <f>'Data_in-situ'!DR89</f>
        <v>12.5</v>
      </c>
      <c r="X3032" s="113">
        <f>'Data_in-situ'!DS89</f>
        <v>5.0229473419497435</v>
      </c>
      <c r="Y3032" s="46">
        <f>'Data_in-situ'!DT89</f>
        <v>3</v>
      </c>
      <c r="Z3032" s="113">
        <f>'Data_in-situ'!EA146</f>
        <v>-6.8828571428571433E-2</v>
      </c>
      <c r="AA3032" s="113">
        <f>'Data_in-situ'!EB146</f>
        <v>0.39576270143804132</v>
      </c>
      <c r="AB3032" s="46">
        <f>'Data_in-situ'!EC146</f>
        <v>4</v>
      </c>
      <c r="AC3032" s="113">
        <f>'Data_in-situ'!EE146</f>
        <v>4.5977485714285713</v>
      </c>
      <c r="AD3032" s="113">
        <f>'Data_in-situ'!EF146</f>
        <v>6.8650794590079105</v>
      </c>
      <c r="AE3032" s="46">
        <f>'Data_in-situ'!EG146</f>
        <v>4</v>
      </c>
      <c r="AF3032" s="113">
        <f>'Data_in-situ'!EN145</f>
        <v>-5</v>
      </c>
      <c r="AG3032" s="113">
        <f>'Data_in-situ'!EO145</f>
        <v>2.0374819937564665</v>
      </c>
      <c r="AH3032" s="110">
        <f>'Data_in-situ'!EP145</f>
        <v>4</v>
      </c>
      <c r="AI3032" s="113">
        <f>'Data_in-situ'!ER145</f>
        <v>-7.666666666666667</v>
      </c>
      <c r="AJ3032" s="113">
        <f>'Data_in-situ'!ES145</f>
        <v>1.7389077435704887</v>
      </c>
      <c r="AK3032" s="110">
        <f>'Data_in-situ'!ET145</f>
        <v>6</v>
      </c>
    </row>
    <row r="3033" spans="1:37" x14ac:dyDescent="0.3">
      <c r="B3033" s="24">
        <f>'Data_in-situ'!CA418</f>
        <v>-31496.666666666664</v>
      </c>
      <c r="C3033" s="24">
        <f>'Data_in-situ'!CB418</f>
        <v>7679.2168068996079</v>
      </c>
      <c r="D3033" s="46">
        <f>'Data_in-situ'!CC418</f>
        <v>1</v>
      </c>
      <c r="E3033" s="24">
        <f>'Data_in-situ'!CE418</f>
        <v>-47703.333333333328</v>
      </c>
      <c r="F3033" s="24">
        <f>'Data_in-situ'!CF418</f>
        <v>17758.476797350639</v>
      </c>
      <c r="G3033" s="46">
        <f>'Data_in-situ'!CG418</f>
        <v>1</v>
      </c>
      <c r="H3033" s="24">
        <f>'Data_in-situ'!CN418</f>
        <v>24456.666666666664</v>
      </c>
      <c r="I3033" s="24">
        <f>'Data_in-situ'!CO418</f>
        <v>7034.4052326727378</v>
      </c>
      <c r="J3033" s="46">
        <f>'Data_in-situ'!CP418</f>
        <v>1</v>
      </c>
      <c r="K3033" s="24">
        <f>'Data_in-situ'!CR418</f>
        <v>44476.666666666672</v>
      </c>
      <c r="L3033" s="24">
        <f>'Data_in-situ'!CS418</f>
        <v>11670.284603796765</v>
      </c>
      <c r="M3033" s="46">
        <f>'Data_in-situ'!CT418</f>
        <v>1</v>
      </c>
      <c r="N3033" s="24">
        <f>'Data_in-situ'!DA228</f>
        <v>-2400</v>
      </c>
      <c r="O3033" s="24">
        <f>'Data_in-situ'!DB228</f>
        <v>7199.1757408469075</v>
      </c>
      <c r="P3033" s="46">
        <f>'Data_in-situ'!DC228</f>
        <v>4</v>
      </c>
      <c r="Q3033" s="24">
        <f>'Data_in-situ'!DE228</f>
        <v>4200</v>
      </c>
      <c r="R3033" s="24">
        <f>'Data_in-situ'!DF228</f>
        <v>4003.1997360589748</v>
      </c>
      <c r="S3033" s="46">
        <f>'Data_in-situ'!DG228</f>
        <v>4</v>
      </c>
      <c r="T3033" s="113">
        <f>'Data_in-situ'!DN98</f>
        <v>29.564989329793384</v>
      </c>
      <c r="U3033" s="113">
        <f>'Data_in-situ'!DO98</f>
        <v>10.677333333333335</v>
      </c>
      <c r="V3033" s="46">
        <f>'Data_in-situ'!DP98</f>
        <v>3</v>
      </c>
      <c r="W3033" s="113">
        <f>'Data_in-situ'!DR98</f>
        <v>7.9918819188191907</v>
      </c>
      <c r="X3033" s="113">
        <f>'Data_in-situ'!DS98</f>
        <v>0.87360000000000004</v>
      </c>
      <c r="Y3033" s="46">
        <f>'Data_in-situ'!DT98</f>
        <v>3</v>
      </c>
      <c r="Z3033" s="113">
        <f>'Data_in-situ'!EA147</f>
        <v>0</v>
      </c>
      <c r="AA3033" s="113">
        <f>'Data_in-situ'!EB147</f>
        <v>1.71</v>
      </c>
      <c r="AB3033" s="46">
        <f>'Data_in-situ'!EC147</f>
        <v>7</v>
      </c>
      <c r="AC3033" s="113">
        <f>'Data_in-situ'!EE147</f>
        <v>3.4241884673332552</v>
      </c>
      <c r="AD3033" s="113">
        <f>'Data_in-situ'!EF147</f>
        <v>13.696753869332952</v>
      </c>
      <c r="AE3033" s="46">
        <f>'Data_in-situ'!EG147</f>
        <v>44</v>
      </c>
      <c r="AF3033" s="113">
        <f>'Data_in-situ'!EN146</f>
        <v>-5</v>
      </c>
      <c r="AG3033" s="113">
        <f>'Data_in-situ'!EO146</f>
        <v>2.0374819937564665</v>
      </c>
      <c r="AH3033" s="110">
        <f>'Data_in-situ'!EP146</f>
        <v>4</v>
      </c>
      <c r="AI3033" s="113">
        <f>'Data_in-situ'!ER146</f>
        <v>-54.4</v>
      </c>
      <c r="AJ3033" s="113">
        <f>'Data_in-situ'!ES146</f>
        <v>12.338684510900162</v>
      </c>
      <c r="AK3033" s="110">
        <f>'Data_in-situ'!ET146</f>
        <v>6</v>
      </c>
    </row>
    <row r="3034" spans="1:37" x14ac:dyDescent="0.3">
      <c r="B3034" s="24">
        <f>'Data_in-situ'!CA419</f>
        <v>-30323.333333333336</v>
      </c>
      <c r="C3034" s="24">
        <f>'Data_in-situ'!CB419</f>
        <v>7393.145866479601</v>
      </c>
      <c r="D3034" s="46">
        <f>'Data_in-situ'!CC419</f>
        <v>1</v>
      </c>
      <c r="E3034" s="24">
        <f>'Data_in-situ'!CE419</f>
        <v>-45173.333333333328</v>
      </c>
      <c r="F3034" s="24">
        <f>'Data_in-situ'!CF419</f>
        <v>16816.635983348184</v>
      </c>
      <c r="G3034" s="46">
        <f>'Data_in-situ'!CG419</f>
        <v>1</v>
      </c>
      <c r="H3034" s="24">
        <f>'Data_in-situ'!CN419</f>
        <v>22513.333333333336</v>
      </c>
      <c r="I3034" s="24">
        <f>'Data_in-situ'!CO419</f>
        <v>6475.4494945443212</v>
      </c>
      <c r="J3034" s="46">
        <f>'Data_in-situ'!CP419</f>
        <v>1</v>
      </c>
      <c r="K3034" s="24">
        <f>'Data_in-situ'!CR419</f>
        <v>43303.333333333328</v>
      </c>
      <c r="L3034" s="24">
        <f>'Data_in-situ'!CS419</f>
        <v>11362.412297678464</v>
      </c>
      <c r="M3034" s="46">
        <f>'Data_in-situ'!CT419</f>
        <v>1</v>
      </c>
      <c r="N3034" s="24">
        <f>'Data_in-situ'!DA229</f>
        <v>-2700</v>
      </c>
      <c r="O3034" s="24">
        <f>'Data_in-situ'!DB229</f>
        <v>8099.0727084527707</v>
      </c>
      <c r="P3034" s="46">
        <f>'Data_in-situ'!DC229</f>
        <v>4</v>
      </c>
      <c r="Q3034" s="24">
        <f>'Data_in-situ'!DE229</f>
        <v>5300</v>
      </c>
      <c r="R3034" s="24">
        <f>'Data_in-situ'!DF229</f>
        <v>5051.6568097887066</v>
      </c>
      <c r="S3034" s="46">
        <f>'Data_in-situ'!DG229</f>
        <v>4</v>
      </c>
      <c r="T3034" s="113">
        <f>'Data_in-situ'!DN99</f>
        <v>142.07619872372933</v>
      </c>
      <c r="U3034" s="113">
        <f>'Data_in-situ'!DO99</f>
        <v>118.22720000000001</v>
      </c>
      <c r="V3034" s="46">
        <f>'Data_in-situ'!DP99</f>
        <v>24</v>
      </c>
      <c r="W3034" s="113">
        <f>'Data_in-situ'!DR99</f>
        <v>1.3426361623616241</v>
      </c>
      <c r="X3034" s="113">
        <f>'Data_in-situ'!DS99</f>
        <v>1.8695039999999998</v>
      </c>
      <c r="Y3034" s="46">
        <f>'Data_in-situ'!DT99</f>
        <v>15</v>
      </c>
      <c r="Z3034" s="113">
        <f>'Data_in-situ'!EA148</f>
        <v>0.43</v>
      </c>
      <c r="AA3034" s="113">
        <f>'Data_in-situ'!EB148</f>
        <v>0.86</v>
      </c>
      <c r="AB3034" s="46">
        <f>'Data_in-situ'!EC148</f>
        <v>17</v>
      </c>
      <c r="AC3034" s="113">
        <f>'Data_in-situ'!EE148</f>
        <v>3.4241884673332552</v>
      </c>
      <c r="AD3034" s="113">
        <f>'Data_in-situ'!EF148</f>
        <v>13.696753869332952</v>
      </c>
      <c r="AE3034" s="46">
        <f>'Data_in-situ'!EG148</f>
        <v>44</v>
      </c>
      <c r="AF3034" s="113">
        <f>'Data_in-situ'!EN152</f>
        <v>-18.3</v>
      </c>
      <c r="AG3034" s="113">
        <f>'Data_in-situ'!EO152</f>
        <v>5.8</v>
      </c>
      <c r="AH3034" s="110">
        <f>'Data_in-situ'!EP152</f>
        <v>12</v>
      </c>
      <c r="AI3034" s="113">
        <f>'Data_in-situ'!ER152</f>
        <v>-39.6</v>
      </c>
      <c r="AJ3034" s="113">
        <f>'Data_in-situ'!ES152</f>
        <v>3.6</v>
      </c>
      <c r="AK3034" s="110">
        <f>'Data_in-situ'!ET152</f>
        <v>23</v>
      </c>
    </row>
    <row r="3035" spans="1:37" x14ac:dyDescent="0.3">
      <c r="B3035" s="24">
        <f>'Data_in-situ'!CA448</f>
        <v>-32633.333333333332</v>
      </c>
      <c r="C3035" s="24">
        <f>'Data_in-situ'!CB448</f>
        <v>3600</v>
      </c>
      <c r="D3035" s="46">
        <f>'Data_in-situ'!CC448</f>
        <v>3</v>
      </c>
      <c r="E3035" s="24">
        <f>'Data_in-situ'!CE448</f>
        <v>-65926.666666666672</v>
      </c>
      <c r="F3035" s="24">
        <f>'Data_in-situ'!CF448</f>
        <v>5926</v>
      </c>
      <c r="G3035" s="46">
        <f>'Data_in-situ'!CG448</f>
        <v>3</v>
      </c>
      <c r="H3035" s="24">
        <f>'Data_in-situ'!CN448</f>
        <v>30690</v>
      </c>
      <c r="I3035" s="24">
        <f>'Data_in-situ'!CO448</f>
        <v>3652</v>
      </c>
      <c r="J3035" s="46">
        <f>'Data_in-situ'!CP448</f>
        <v>3</v>
      </c>
      <c r="K3035" s="24">
        <f>'Data_in-situ'!CR448</f>
        <v>61160</v>
      </c>
      <c r="L3035" s="24">
        <f>'Data_in-situ'!CS448</f>
        <v>6593</v>
      </c>
      <c r="M3035" s="46">
        <f>'Data_in-situ'!CT448</f>
        <v>3</v>
      </c>
      <c r="N3035" s="24">
        <f>'Data_in-situ'!DA230</f>
        <v>-2850</v>
      </c>
      <c r="O3035" s="24">
        <f>'Data_in-situ'!DB230</f>
        <v>8549.0211922557028</v>
      </c>
      <c r="P3035" s="46">
        <f>'Data_in-situ'!DC230</f>
        <v>4</v>
      </c>
      <c r="Q3035" s="24">
        <f>'Data_in-situ'!DE230</f>
        <v>5150</v>
      </c>
      <c r="R3035" s="24">
        <f>'Data_in-situ'!DF230</f>
        <v>4908.6853906437427</v>
      </c>
      <c r="S3035" s="46">
        <f>'Data_in-situ'!DG230</f>
        <v>4</v>
      </c>
      <c r="T3035" s="113">
        <f>'Data_in-situ'!DN134</f>
        <v>3.1</v>
      </c>
      <c r="U3035" s="113">
        <f>'Data_in-situ'!DO134</f>
        <v>0.1</v>
      </c>
      <c r="V3035" s="46">
        <f>'Data_in-situ'!DP134</f>
        <v>3</v>
      </c>
      <c r="W3035" s="113">
        <f>'Data_in-situ'!DR134</f>
        <v>-2.8100000000000005</v>
      </c>
      <c r="X3035" s="113">
        <f>'Data_in-situ'!DS134</f>
        <v>0.1</v>
      </c>
      <c r="Y3035" s="46">
        <f>'Data_in-situ'!DT134</f>
        <v>3</v>
      </c>
      <c r="Z3035" s="113">
        <f>'Data_in-situ'!EA152</f>
        <v>4.2428571428571429</v>
      </c>
      <c r="AA3035" s="113">
        <f>'Data_in-situ'!EB152</f>
        <v>2.9857142857142853</v>
      </c>
      <c r="AB3035" s="46">
        <f>'Data_in-situ'!EC152</f>
        <v>7</v>
      </c>
      <c r="AC3035" s="113">
        <f>'Data_in-situ'!EE152</f>
        <v>3.7714285714285714</v>
      </c>
      <c r="AD3035" s="113">
        <f>'Data_in-situ'!EF152</f>
        <v>1.7285714285714289</v>
      </c>
      <c r="AE3035" s="46">
        <f>'Data_in-situ'!EG152</f>
        <v>10</v>
      </c>
      <c r="AF3035" s="113">
        <f>'Data_in-situ'!EN153</f>
        <v>-18.3</v>
      </c>
      <c r="AG3035" s="113">
        <f>'Data_in-situ'!EO153</f>
        <v>5.8</v>
      </c>
      <c r="AH3035" s="110">
        <f>'Data_in-situ'!EP153</f>
        <v>12</v>
      </c>
      <c r="AI3035" s="113">
        <f>'Data_in-situ'!ER153</f>
        <v>-55.5</v>
      </c>
      <c r="AJ3035" s="113">
        <f>'Data_in-situ'!ES153</f>
        <v>4.4000000000000004</v>
      </c>
      <c r="AK3035" s="110">
        <f>'Data_in-situ'!ET153</f>
        <v>25</v>
      </c>
    </row>
    <row r="3036" spans="1:37" x14ac:dyDescent="0.3">
      <c r="B3036" s="24">
        <f>'Data_in-situ'!CA449</f>
        <v>-36630</v>
      </c>
      <c r="C3036" s="24">
        <f>'Data_in-situ'!CB449</f>
        <v>4321</v>
      </c>
      <c r="D3036" s="46">
        <f>'Data_in-situ'!CC449</f>
        <v>3</v>
      </c>
      <c r="E3036" s="24">
        <f>'Data_in-situ'!CE449</f>
        <v>-75753.333333333328</v>
      </c>
      <c r="F3036" s="24">
        <f>'Data_in-situ'!CF449</f>
        <v>7859</v>
      </c>
      <c r="G3036" s="46">
        <f>'Data_in-situ'!CG449</f>
        <v>3</v>
      </c>
      <c r="H3036" s="24">
        <f>'Data_in-situ'!CN449</f>
        <v>33953.333333333336</v>
      </c>
      <c r="I3036" s="24">
        <f>'Data_in-situ'!CO449</f>
        <v>4126</v>
      </c>
      <c r="J3036" s="46">
        <f>'Data_in-situ'!CP449</f>
        <v>3</v>
      </c>
      <c r="K3036" s="24">
        <f>'Data_in-situ'!CR449</f>
        <v>64753.333333333336</v>
      </c>
      <c r="L3036" s="24">
        <f>'Data_in-situ'!CS449</f>
        <v>9463</v>
      </c>
      <c r="M3036" s="46">
        <f>'Data_in-situ'!CT449</f>
        <v>3</v>
      </c>
      <c r="N3036" s="24">
        <f>'Data_in-situ'!DA246</f>
        <v>7663.3333333333339</v>
      </c>
      <c r="O3036" s="24">
        <f>'Data_in-situ'!DB246</f>
        <v>22987.368094732003</v>
      </c>
      <c r="P3036" s="46">
        <f>'Data_in-situ'!DC246</f>
        <v>1</v>
      </c>
      <c r="Q3036" s="24">
        <f>'Data_in-situ'!DE246</f>
        <v>18223.333333333332</v>
      </c>
      <c r="R3036" s="24">
        <f>'Data_in-situ'!DF246</f>
        <v>17369.438854789216</v>
      </c>
      <c r="S3036" s="46">
        <f>'Data_in-situ'!DG246</f>
        <v>1</v>
      </c>
      <c r="T3036" s="113">
        <f>'Data_in-situ'!DN145</f>
        <v>244.12367999999998</v>
      </c>
      <c r="U3036" s="113">
        <f>'Data_in-situ'!DO145</f>
        <v>272.16843482550502</v>
      </c>
      <c r="V3036" s="46">
        <f>'Data_in-situ'!DP145</f>
        <v>4</v>
      </c>
      <c r="W3036" s="113">
        <f>'Data_in-situ'!DR145</f>
        <v>190.38399999999999</v>
      </c>
      <c r="X3036" s="113">
        <f>'Data_in-situ'!DS145</f>
        <v>711.50618703703014</v>
      </c>
      <c r="Y3036" s="46">
        <f>'Data_in-situ'!DT145</f>
        <v>6</v>
      </c>
      <c r="Z3036" s="113">
        <f>'Data_in-situ'!EA153</f>
        <v>4.2428571428571429</v>
      </c>
      <c r="AA3036" s="113">
        <f>'Data_in-situ'!EB153</f>
        <v>2.9857142857142853</v>
      </c>
      <c r="AB3036" s="46">
        <f>'Data_in-situ'!EC153</f>
        <v>7</v>
      </c>
      <c r="AC3036" s="113">
        <f>'Data_in-situ'!EE153</f>
        <v>7.8571428571428568</v>
      </c>
      <c r="AD3036" s="113">
        <f>'Data_in-situ'!EF153</f>
        <v>4.2428571428571429</v>
      </c>
      <c r="AE3036" s="46">
        <f>'Data_in-situ'!EG153</f>
        <v>8</v>
      </c>
      <c r="AF3036" s="113">
        <f>'Data_in-situ'!EN154</f>
        <v>-18.3</v>
      </c>
      <c r="AG3036" s="113">
        <f>'Data_in-situ'!EO154</f>
        <v>5.8</v>
      </c>
      <c r="AH3036" s="110">
        <f>'Data_in-situ'!EP154</f>
        <v>12</v>
      </c>
      <c r="AI3036" s="113">
        <f>'Data_in-situ'!ER154</f>
        <v>-65.5</v>
      </c>
      <c r="AJ3036" s="113">
        <f>'Data_in-situ'!ES154</f>
        <v>5</v>
      </c>
      <c r="AK3036" s="110">
        <f>'Data_in-situ'!ET154</f>
        <v>7</v>
      </c>
    </row>
    <row r="3037" spans="1:37" x14ac:dyDescent="0.3">
      <c r="B3037" s="24">
        <f>'Data_in-situ'!CA450</f>
        <v>-131193.33333333334</v>
      </c>
      <c r="C3037" s="24">
        <f>'Data_in-situ'!CB450</f>
        <v>31986.307025712227</v>
      </c>
      <c r="D3037" s="46">
        <f>'Data_in-situ'!CC450</f>
        <v>1</v>
      </c>
      <c r="E3037" s="24">
        <f>'Data_in-situ'!CE450</f>
        <v>-154036.66666666666</v>
      </c>
      <c r="F3037" s="24">
        <f>'Data_in-situ'!CF450</f>
        <v>57343.090719192958</v>
      </c>
      <c r="G3037" s="46">
        <f>'Data_in-situ'!CG450</f>
        <v>1</v>
      </c>
      <c r="H3037" s="24">
        <f>'Data_in-situ'!CN450</f>
        <v>146923.33333333334</v>
      </c>
      <c r="I3037" s="24">
        <f>'Data_in-situ'!CO450</f>
        <v>42259.163069444774</v>
      </c>
      <c r="J3037" s="46">
        <f>'Data_in-situ'!CP450</f>
        <v>1</v>
      </c>
      <c r="K3037" s="24">
        <f>'Data_in-situ'!CR450</f>
        <v>176366.66666666666</v>
      </c>
      <c r="L3037" s="24">
        <f>'Data_in-situ'!CS450</f>
        <v>46277.056013406785</v>
      </c>
      <c r="M3037" s="46">
        <f>'Data_in-situ'!CT450</f>
        <v>1</v>
      </c>
      <c r="N3037" s="24">
        <f>'Data_in-situ'!DA247</f>
        <v>2640</v>
      </c>
      <c r="O3037" s="24">
        <f>'Data_in-situ'!DB247</f>
        <v>7919.0933149315979</v>
      </c>
      <c r="P3037" s="46">
        <f>'Data_in-situ'!DC247</f>
        <v>1</v>
      </c>
      <c r="Q3037" s="24">
        <f>'Data_in-situ'!DE247</f>
        <v>7406.6666666666661</v>
      </c>
      <c r="R3037" s="24">
        <f>'Data_in-situ'!DF247</f>
        <v>7059.610963113525</v>
      </c>
      <c r="S3037" s="46">
        <f>'Data_in-situ'!DG247</f>
        <v>1</v>
      </c>
      <c r="T3037" s="113">
        <f>'Data_in-situ'!DN146</f>
        <v>244.12367999999998</v>
      </c>
      <c r="U3037" s="113">
        <f>'Data_in-situ'!DO146</f>
        <v>272.16843482550502</v>
      </c>
      <c r="V3037" s="46">
        <f>'Data_in-situ'!DP146</f>
        <v>4</v>
      </c>
      <c r="W3037" s="113">
        <f>'Data_in-situ'!DR146</f>
        <v>6.7043200000000001</v>
      </c>
      <c r="X3037" s="113">
        <f>'Data_in-situ'!DS146</f>
        <v>25.055493948420573</v>
      </c>
      <c r="Y3037" s="46">
        <f>'Data_in-situ'!DT146</f>
        <v>6</v>
      </c>
      <c r="Z3037" s="113">
        <f>'Data_in-situ'!EA154</f>
        <v>4.2428571428571429</v>
      </c>
      <c r="AA3037" s="113">
        <f>'Data_in-situ'!EB154</f>
        <v>2.9857142857142853</v>
      </c>
      <c r="AB3037" s="46">
        <f>'Data_in-situ'!EC154</f>
        <v>7</v>
      </c>
      <c r="AC3037" s="113">
        <f>'Data_in-situ'!EE154</f>
        <v>1.8857142857142857</v>
      </c>
      <c r="AD3037" s="113">
        <f>'Data_in-situ'!EF154</f>
        <v>2.8156342625739934</v>
      </c>
      <c r="AE3037" s="46">
        <f>'Data_in-situ'!EG154</f>
        <v>1</v>
      </c>
      <c r="AF3037" s="113">
        <f>'Data_in-situ'!EN155</f>
        <v>-18.3</v>
      </c>
      <c r="AG3037" s="113">
        <f>'Data_in-situ'!EO155</f>
        <v>5.8</v>
      </c>
      <c r="AH3037" s="110">
        <f>'Data_in-situ'!EP155</f>
        <v>12</v>
      </c>
      <c r="AI3037" s="113">
        <f>'Data_in-situ'!ER155</f>
        <v>-78.599999999999994</v>
      </c>
      <c r="AJ3037" s="113">
        <f>'Data_in-situ'!ES155</f>
        <v>7.5</v>
      </c>
      <c r="AK3037" s="110">
        <f>'Data_in-situ'!ET155</f>
        <v>8</v>
      </c>
    </row>
    <row r="3038" spans="1:37" x14ac:dyDescent="0.3">
      <c r="B3038" s="24">
        <f>'Data_in-situ'!CA451</f>
        <v>-138600</v>
      </c>
      <c r="C3038" s="24">
        <f>'Data_in-situ'!CB451</f>
        <v>33792.129837113527</v>
      </c>
      <c r="D3038" s="46">
        <f>'Data_in-situ'!CC451</f>
        <v>1</v>
      </c>
      <c r="E3038" s="24">
        <f>'Data_in-situ'!CE451</f>
        <v>-152680</v>
      </c>
      <c r="F3038" s="24">
        <f>'Data_in-situ'!CF451</f>
        <v>56838.04564501773</v>
      </c>
      <c r="G3038" s="46">
        <f>'Data_in-situ'!CG451</f>
        <v>1</v>
      </c>
      <c r="H3038" s="24">
        <f>'Data_in-situ'!CN451</f>
        <v>150003.33333333334</v>
      </c>
      <c r="I3038" s="24">
        <f>'Data_in-situ'!CO451</f>
        <v>43145.055182704913</v>
      </c>
      <c r="J3038" s="46">
        <f>'Data_in-situ'!CP451</f>
        <v>1</v>
      </c>
      <c r="K3038" s="24">
        <f>'Data_in-situ'!CR451</f>
        <v>173836.66666666666</v>
      </c>
      <c r="L3038" s="24">
        <f>'Data_in-situ'!CS451</f>
        <v>45613.206353339207</v>
      </c>
      <c r="M3038" s="46">
        <f>'Data_in-situ'!CT451</f>
        <v>1</v>
      </c>
      <c r="N3038" s="24">
        <f>'Data_in-situ'!DA248</f>
        <v>16243.333333333332</v>
      </c>
      <c r="O3038" s="24">
        <f>'Data_in-situ'!DB248</f>
        <v>48724.421368259689</v>
      </c>
      <c r="P3038" s="46">
        <f>'Data_in-situ'!DC248</f>
        <v>1</v>
      </c>
      <c r="Q3038" s="24">
        <f>'Data_in-situ'!DE248</f>
        <v>18480</v>
      </c>
      <c r="R3038" s="24">
        <f>'Data_in-situ'!DF248</f>
        <v>17614.07883865949</v>
      </c>
      <c r="S3038" s="46">
        <f>'Data_in-situ'!DG248</f>
        <v>1</v>
      </c>
      <c r="T3038" s="113">
        <f>'Data_in-situ'!DN147</f>
        <v>66.3</v>
      </c>
      <c r="U3038" s="113">
        <f>'Data_in-situ'!DO147</f>
        <v>102</v>
      </c>
      <c r="V3038" s="46">
        <f>'Data_in-situ'!DP147</f>
        <v>14</v>
      </c>
      <c r="W3038" s="113">
        <f>'Data_in-situ'!DR147</f>
        <v>5.0999999999999996</v>
      </c>
      <c r="X3038" s="113">
        <f>'Data_in-situ'!DS147</f>
        <v>30.6</v>
      </c>
      <c r="Y3038" s="46">
        <f>'Data_in-situ'!DT147</f>
        <v>40</v>
      </c>
      <c r="Z3038" s="113">
        <f>'Data_in-situ'!EA172</f>
        <v>0.74525790987535934</v>
      </c>
      <c r="AA3038" s="113">
        <f>'Data_in-situ'!EB172</f>
        <v>0.23830443450184333</v>
      </c>
      <c r="AB3038" s="46">
        <f>'Data_in-situ'!EC172</f>
        <v>3</v>
      </c>
      <c r="AC3038" s="113">
        <f>'Data_in-situ'!EE172</f>
        <v>2.0509990412272292</v>
      </c>
      <c r="AD3038" s="113">
        <f>'Data_in-situ'!EF172</f>
        <v>1.58486712384372</v>
      </c>
      <c r="AE3038" s="46">
        <f>'Data_in-situ'!EG172</f>
        <v>3</v>
      </c>
      <c r="AF3038" s="113">
        <f>'Data_in-situ'!EN173</f>
        <v>-14.041514041514047</v>
      </c>
      <c r="AG3038" s="113">
        <f>'Data_in-situ'!EO173</f>
        <v>3.8618262026084285</v>
      </c>
      <c r="AH3038" s="110">
        <f>'Data_in-situ'!EP173</f>
        <v>3</v>
      </c>
      <c r="AI3038" s="113">
        <f>'Data_in-situ'!ER173</f>
        <v>-37.912087912087912</v>
      </c>
      <c r="AJ3038" s="113">
        <f>'Data_in-situ'!ES173</f>
        <v>6.2846687384361628</v>
      </c>
      <c r="AK3038" s="110">
        <f>'Data_in-situ'!ET173</f>
        <v>3</v>
      </c>
    </row>
    <row r="3039" spans="1:37" x14ac:dyDescent="0.3">
      <c r="B3039" s="24">
        <f>'Data_in-situ'!CA452</f>
        <v>-135483.33333333334</v>
      </c>
      <c r="C3039" s="24">
        <f>'Data_in-situ'!CB452</f>
        <v>33032.253901622884</v>
      </c>
      <c r="D3039" s="46">
        <f>'Data_in-situ'!CC452</f>
        <v>1</v>
      </c>
      <c r="E3039" s="24">
        <f>'Data_in-situ'!CE452</f>
        <v>-150663.33333333334</v>
      </c>
      <c r="F3039" s="24">
        <f>'Data_in-situ'!CF452</f>
        <v>56087.302967189695</v>
      </c>
      <c r="G3039" s="46">
        <f>'Data_in-situ'!CG452</f>
        <v>1</v>
      </c>
      <c r="H3039" s="24">
        <f>'Data_in-situ'!CN452</f>
        <v>139810</v>
      </c>
      <c r="I3039" s="24">
        <f>'Data_in-situ'!CO452</f>
        <v>40213.174141201132</v>
      </c>
      <c r="J3039" s="46">
        <f>'Data_in-situ'!CP452</f>
        <v>1</v>
      </c>
      <c r="K3039" s="24">
        <f>'Data_in-situ'!CR452</f>
        <v>166356.66666666666</v>
      </c>
      <c r="L3039" s="24">
        <f>'Data_in-situ'!CS452</f>
        <v>43650.520401835049</v>
      </c>
      <c r="M3039" s="46">
        <f>'Data_in-situ'!CT452</f>
        <v>1</v>
      </c>
      <c r="N3039" s="24">
        <f>'Data_in-situ'!DA249</f>
        <v>-990</v>
      </c>
      <c r="O3039" s="24">
        <f>'Data_in-situ'!DB249</f>
        <v>2969.6599930993493</v>
      </c>
      <c r="P3039" s="46">
        <f>'Data_in-situ'!DC249</f>
        <v>1</v>
      </c>
      <c r="Q3039" s="24">
        <f>'Data_in-situ'!DE249</f>
        <v>3923.333333333333</v>
      </c>
      <c r="R3039" s="24">
        <f>'Data_in-situ'!DF249</f>
        <v>3739.4968963027086</v>
      </c>
      <c r="S3039" s="46">
        <f>'Data_in-situ'!DG249</f>
        <v>1</v>
      </c>
      <c r="T3039" s="113">
        <f>'Data_in-situ'!DN148</f>
        <v>178.6</v>
      </c>
      <c r="U3039" s="113">
        <f>'Data_in-situ'!DO148</f>
        <v>265.3</v>
      </c>
      <c r="V3039" s="46">
        <f>'Data_in-situ'!DP148</f>
        <v>39</v>
      </c>
      <c r="W3039" s="113">
        <f>'Data_in-situ'!DR148</f>
        <v>5.0999999999999996</v>
      </c>
      <c r="X3039" s="113">
        <f>'Data_in-situ'!DS148</f>
        <v>30.6</v>
      </c>
      <c r="Y3039" s="46">
        <f>'Data_in-situ'!DT148</f>
        <v>40</v>
      </c>
      <c r="Z3039" s="113">
        <f>'Data_in-situ'!EA205</f>
        <v>0.87842857142857156</v>
      </c>
      <c r="AA3039" s="113">
        <f>'Data_in-situ'!EB205</f>
        <v>0.16185714285714287</v>
      </c>
      <c r="AB3039" s="46">
        <f>'Data_in-situ'!EC205</f>
        <v>4</v>
      </c>
      <c r="AC3039" s="113">
        <f>'Data_in-situ'!EE205</f>
        <v>24.849</v>
      </c>
      <c r="AD3039" s="113">
        <f>'Data_in-situ'!EF205</f>
        <v>0.65528571428571425</v>
      </c>
      <c r="AE3039" s="46">
        <f>'Data_in-situ'!EG205</f>
        <v>4</v>
      </c>
      <c r="AF3039" s="113">
        <f>'Data_in-situ'!EN205</f>
        <v>-10</v>
      </c>
      <c r="AG3039" s="113">
        <f>'Data_in-situ'!EO205</f>
        <v>23</v>
      </c>
      <c r="AH3039" s="110">
        <f>'Data_in-situ'!EP205</f>
        <v>4</v>
      </c>
      <c r="AI3039" s="113">
        <f>'Data_in-situ'!ER205</f>
        <v>-56</v>
      </c>
      <c r="AJ3039" s="113">
        <f>'Data_in-situ'!ES205</f>
        <v>34</v>
      </c>
      <c r="AK3039" s="110">
        <f>'Data_in-situ'!ET205</f>
        <v>4</v>
      </c>
    </row>
    <row r="3040" spans="1:37" x14ac:dyDescent="0.3">
      <c r="B3040" s="24">
        <f>'Data_in-situ'!CA453</f>
        <v>-134383.33333333334</v>
      </c>
      <c r="C3040" s="24">
        <f>'Data_in-situ'!CB453</f>
        <v>32764.062394979126</v>
      </c>
      <c r="D3040" s="46">
        <f>'Data_in-situ'!CC453</f>
        <v>1</v>
      </c>
      <c r="E3040" s="24">
        <f>'Data_in-situ'!CE453</f>
        <v>-148133.33333333334</v>
      </c>
      <c r="F3040" s="24">
        <f>'Data_in-situ'!CF453</f>
        <v>55145.46215318724</v>
      </c>
      <c r="G3040" s="46">
        <f>'Data_in-situ'!CG453</f>
        <v>1</v>
      </c>
      <c r="H3040" s="24">
        <f>'Data_in-situ'!CN453</f>
        <v>136253.33333333334</v>
      </c>
      <c r="I3040" s="24">
        <f>'Data_in-situ'!CO453</f>
        <v>39190.179677079308</v>
      </c>
      <c r="J3040" s="46">
        <f>'Data_in-situ'!CP453</f>
        <v>1</v>
      </c>
      <c r="K3040" s="24">
        <f>'Data_in-situ'!CR453</f>
        <v>161810</v>
      </c>
      <c r="L3040" s="24">
        <f>'Data_in-situ'!CS453</f>
        <v>42457.515215626641</v>
      </c>
      <c r="M3040" s="46">
        <f>'Data_in-situ'!CT453</f>
        <v>1</v>
      </c>
      <c r="N3040" s="24">
        <f>'Data_in-situ'!DA418</f>
        <v>-7040</v>
      </c>
      <c r="O3040" s="24">
        <f>'Data_in-situ'!DB418</f>
        <v>1650</v>
      </c>
      <c r="P3040" s="46">
        <f>'Data_in-situ'!DC418</f>
        <v>1</v>
      </c>
      <c r="Q3040" s="24">
        <f>'Data_in-situ'!DE418</f>
        <v>-3226.666666666667</v>
      </c>
      <c r="R3040" s="24">
        <f>'Data_in-situ'!DF418</f>
        <v>953.33333333333326</v>
      </c>
      <c r="S3040" s="46">
        <f>'Data_in-situ'!DG418</f>
        <v>1</v>
      </c>
      <c r="T3040" s="113">
        <f>'Data_in-situ'!DN152</f>
        <v>38.133333333333333</v>
      </c>
      <c r="U3040" s="113">
        <f>'Data_in-situ'!DO152</f>
        <v>12.933333333333332</v>
      </c>
      <c r="V3040" s="46">
        <f>'Data_in-situ'!DP152</f>
        <v>8</v>
      </c>
      <c r="W3040" s="113">
        <f>'Data_in-situ'!DR152</f>
        <v>4.9333333333333336</v>
      </c>
      <c r="X3040" s="113">
        <f>'Data_in-situ'!DS152</f>
        <v>2.5333333333333332</v>
      </c>
      <c r="Y3040" s="46">
        <f>'Data_in-situ'!DT152</f>
        <v>7</v>
      </c>
      <c r="Z3040" s="113">
        <f>'Data_in-situ'!EA221</f>
        <v>1.1800914940670852</v>
      </c>
      <c r="AA3040" s="113">
        <f>'Data_in-situ'!EB221</f>
        <v>0.73618285714285703</v>
      </c>
      <c r="AB3040" s="46">
        <f>'Data_in-situ'!EC221</f>
        <v>2</v>
      </c>
      <c r="AC3040" s="113">
        <f>'Data_in-situ'!EE221</f>
        <v>0.9163634502292034</v>
      </c>
      <c r="AD3040" s="113">
        <f>'Data_in-situ'!EF221</f>
        <v>0.55673828571428574</v>
      </c>
      <c r="AE3040" s="46">
        <f>'Data_in-situ'!EG221</f>
        <v>6</v>
      </c>
      <c r="AF3040" s="113">
        <f>'Data_in-situ'!EN221</f>
        <v>-16</v>
      </c>
      <c r="AG3040" s="113">
        <f>'Data_in-situ'!EO221</f>
        <v>0.7</v>
      </c>
      <c r="AH3040" s="110">
        <f>'Data_in-situ'!EP221</f>
        <v>2</v>
      </c>
      <c r="AI3040" s="113">
        <f>'Data_in-situ'!ER221</f>
        <v>-44</v>
      </c>
      <c r="AJ3040" s="113">
        <f>'Data_in-situ'!ES221</f>
        <v>14</v>
      </c>
      <c r="AK3040" s="110">
        <f>'Data_in-situ'!ET221</f>
        <v>6</v>
      </c>
    </row>
    <row r="3041" spans="14:37" x14ac:dyDescent="0.3">
      <c r="N3041" s="24">
        <f>'Data_in-situ'!DA419</f>
        <v>-7846.6666666666661</v>
      </c>
      <c r="O3041" s="24">
        <f>'Data_in-situ'!DB419</f>
        <v>1466.6666666666665</v>
      </c>
      <c r="P3041" s="46">
        <f>'Data_in-situ'!DC419</f>
        <v>1</v>
      </c>
      <c r="Q3041" s="24">
        <f>'Data_in-situ'!DE419</f>
        <v>-1870</v>
      </c>
      <c r="R3041" s="24">
        <f>'Data_in-situ'!DF419</f>
        <v>1283.3333333333335</v>
      </c>
      <c r="S3041" s="46">
        <f>'Data_in-situ'!DG419</f>
        <v>1</v>
      </c>
      <c r="T3041" s="113">
        <f>'Data_in-situ'!DN153</f>
        <v>38.133333333333333</v>
      </c>
      <c r="U3041" s="113">
        <f>'Data_in-situ'!DO153</f>
        <v>12.933333333333332</v>
      </c>
      <c r="V3041" s="46">
        <f>'Data_in-situ'!DP153</f>
        <v>8</v>
      </c>
      <c r="W3041" s="113">
        <f>'Data_in-situ'!DR153</f>
        <v>6.9333333333333336</v>
      </c>
      <c r="X3041" s="113">
        <f>'Data_in-situ'!DS153</f>
        <v>6.8</v>
      </c>
      <c r="Y3041" s="46">
        <f>'Data_in-situ'!DT153</f>
        <v>5</v>
      </c>
      <c r="Z3041" s="113">
        <f>'Data_in-situ'!EA410</f>
        <v>0.97428571428571431</v>
      </c>
      <c r="AA3041" s="113">
        <f>'Data_in-situ'!EB410</f>
        <v>0.17285714285714285</v>
      </c>
      <c r="AB3041" s="46">
        <f>'Data_in-situ'!EC410</f>
        <v>4</v>
      </c>
      <c r="AC3041" s="113">
        <f>'Data_in-situ'!EE410</f>
        <v>11.157142857142857</v>
      </c>
      <c r="AD3041" s="113">
        <f>'Data_in-situ'!EF410</f>
        <v>1.8857142857142857</v>
      </c>
      <c r="AE3041" s="46">
        <f>'Data_in-situ'!EG410</f>
        <v>4</v>
      </c>
      <c r="AF3041" s="113">
        <f>'Data_in-situ'!EN226</f>
        <v>-15</v>
      </c>
      <c r="AG3041" s="113">
        <f>'Data_in-situ'!EO226</f>
        <v>6.1124459812694001</v>
      </c>
      <c r="AH3041" s="110">
        <f>'Data_in-situ'!EP226</f>
        <v>4</v>
      </c>
      <c r="AI3041" s="113">
        <f>'Data_in-situ'!ER226</f>
        <v>-60</v>
      </c>
      <c r="AJ3041" s="113">
        <f>'Data_in-situ'!ES226</f>
        <v>13.608843210551651</v>
      </c>
      <c r="AK3041" s="110">
        <f>'Data_in-situ'!ET226</f>
        <v>4</v>
      </c>
    </row>
    <row r="3042" spans="14:37" x14ac:dyDescent="0.3">
      <c r="N3042" s="24">
        <f>'Data_in-situ'!DA422</f>
        <v>-1372.9750000000001</v>
      </c>
      <c r="O3042" s="24">
        <f>'Data_in-situ'!DB422</f>
        <v>924.10220135094733</v>
      </c>
      <c r="P3042" s="46">
        <f>'Data_in-situ'!DC422</f>
        <v>3</v>
      </c>
      <c r="Q3042" s="24">
        <f>'Data_in-situ'!DE422</f>
        <v>9692.625</v>
      </c>
      <c r="R3042" s="24">
        <f>'Data_in-situ'!DF422</f>
        <v>5495.0505473296917</v>
      </c>
      <c r="S3042" s="46">
        <f>'Data_in-situ'!DG422</f>
        <v>3</v>
      </c>
      <c r="T3042" s="113">
        <f>'Data_in-situ'!DN154</f>
        <v>38.133333333333333</v>
      </c>
      <c r="U3042" s="113">
        <f>'Data_in-situ'!DO154</f>
        <v>12.933333333333332</v>
      </c>
      <c r="V3042" s="46">
        <f>'Data_in-situ'!DP154</f>
        <v>8</v>
      </c>
      <c r="W3042" s="113">
        <f>'Data_in-situ'!DR154</f>
        <v>-0.26666666666666666</v>
      </c>
      <c r="X3042" s="113">
        <f>'Data_in-situ'!DS154</f>
        <v>0.9965910119016026</v>
      </c>
      <c r="Y3042" s="46">
        <f>'Data_in-situ'!DT154</f>
        <v>1</v>
      </c>
      <c r="Z3042" s="113">
        <f>'Data_in-situ'!EA411</f>
        <v>6.9142857142857155</v>
      </c>
      <c r="AA3042" s="113">
        <f>'Data_in-situ'!EB411</f>
        <v>1.8857142857142857</v>
      </c>
      <c r="AB3042" s="46">
        <f>'Data_in-situ'!EC411</f>
        <v>4</v>
      </c>
      <c r="AC3042" s="113">
        <f>'Data_in-situ'!EE411</f>
        <v>36.142857142857146</v>
      </c>
      <c r="AD3042" s="113">
        <f>'Data_in-situ'!EF411</f>
        <v>15.400000000000002</v>
      </c>
      <c r="AE3042" s="46">
        <f>'Data_in-situ'!EG411</f>
        <v>4</v>
      </c>
      <c r="AF3042" s="113">
        <f>'Data_in-situ'!EN227</f>
        <v>-9.6300000000000008</v>
      </c>
      <c r="AG3042" s="113">
        <f>'Data_in-situ'!EO227</f>
        <v>3.9241903199749553</v>
      </c>
      <c r="AH3042" s="110">
        <f>'Data_in-situ'!EP227</f>
        <v>4</v>
      </c>
      <c r="AI3042" s="113">
        <f>'Data_in-situ'!ER227</f>
        <v>-60</v>
      </c>
      <c r="AJ3042" s="113">
        <f>'Data_in-situ'!ES227</f>
        <v>13.608843210551651</v>
      </c>
      <c r="AK3042" s="110">
        <f>'Data_in-situ'!ET227</f>
        <v>4</v>
      </c>
    </row>
    <row r="3043" spans="14:37" x14ac:dyDescent="0.3">
      <c r="N3043" s="24">
        <f>'Data_in-situ'!DA423</f>
        <v>-1372.9750000000001</v>
      </c>
      <c r="O3043" s="24">
        <f>'Data_in-situ'!DB423</f>
        <v>924.10220135094733</v>
      </c>
      <c r="P3043" s="46">
        <f>'Data_in-situ'!DC423</f>
        <v>3</v>
      </c>
      <c r="Q3043" s="24">
        <f>'Data_in-situ'!DE423</f>
        <v>17704.899999999998</v>
      </c>
      <c r="R3043" s="24">
        <f>'Data_in-situ'!DF423</f>
        <v>3753.2231304129346</v>
      </c>
      <c r="S3043" s="46">
        <f>'Data_in-situ'!DG423</f>
        <v>3</v>
      </c>
      <c r="T3043" s="113">
        <f>'Data_in-situ'!DN155</f>
        <v>38.133333333333333</v>
      </c>
      <c r="U3043" s="113">
        <f>'Data_in-situ'!DO155</f>
        <v>12.933333333333332</v>
      </c>
      <c r="V3043" s="46">
        <f>'Data_in-situ'!DP155</f>
        <v>8</v>
      </c>
      <c r="W3043" s="113">
        <f>'Data_in-situ'!DR155</f>
        <v>2.6666666666666665</v>
      </c>
      <c r="X3043" s="113">
        <f>'Data_in-situ'!DS155</f>
        <v>3.6</v>
      </c>
      <c r="Y3043" s="46">
        <f>'Data_in-situ'!DT155</f>
        <v>5</v>
      </c>
      <c r="Z3043" s="113">
        <f>'Data_in-situ'!EA439</f>
        <v>1.0999999999999999</v>
      </c>
      <c r="AA3043" s="113">
        <f>'Data_in-situ'!EB439</f>
        <v>6.3249746805166405</v>
      </c>
      <c r="AB3043" s="46">
        <f>'Data_in-situ'!EC439</f>
        <v>3</v>
      </c>
      <c r="AC3043" s="113">
        <f>'Data_in-situ'!EE439</f>
        <v>5.1857142857142851</v>
      </c>
      <c r="AD3043" s="113">
        <f>'Data_in-situ'!EF439</f>
        <v>7.7429942220784804</v>
      </c>
      <c r="AE3043" s="46">
        <f>'Data_in-situ'!EG439</f>
        <v>3</v>
      </c>
      <c r="AF3043" s="113">
        <f>'Data_in-situ'!EN228</f>
        <v>-8.65</v>
      </c>
      <c r="AG3043" s="113">
        <f>'Data_in-situ'!EO228</f>
        <v>3.5248438491986875</v>
      </c>
      <c r="AH3043" s="110">
        <f>'Data_in-situ'!EP228</f>
        <v>4</v>
      </c>
      <c r="AI3043" s="113">
        <f>'Data_in-situ'!ER228</f>
        <v>-60</v>
      </c>
      <c r="AJ3043" s="113">
        <f>'Data_in-situ'!ES228</f>
        <v>13.608843210551651</v>
      </c>
      <c r="AK3043" s="110">
        <f>'Data_in-situ'!ET228</f>
        <v>4</v>
      </c>
    </row>
    <row r="3044" spans="14:37" x14ac:dyDescent="0.3">
      <c r="N3044" s="24">
        <f>'Data_in-situ'!DA425</f>
        <v>-983.60000000000014</v>
      </c>
      <c r="O3044" s="24">
        <f>'Data_in-situ'!DB425</f>
        <v>94.627709120179674</v>
      </c>
      <c r="P3044" s="46">
        <f>'Data_in-situ'!DC425</f>
        <v>3</v>
      </c>
      <c r="Q3044" s="24">
        <f>'Data_in-situ'!DE425</f>
        <v>8811.4750000000004</v>
      </c>
      <c r="R3044" s="24">
        <f>'Data_in-situ'!DF425</f>
        <v>5873.9289174885607</v>
      </c>
      <c r="S3044" s="46">
        <f>'Data_in-situ'!DG425</f>
        <v>3</v>
      </c>
      <c r="T3044" s="113">
        <f>'Data_in-situ'!DN205</f>
        <v>1.365079365079364</v>
      </c>
      <c r="U3044" s="113">
        <f>'Data_in-situ'!DO205</f>
        <v>1.1269841269841301</v>
      </c>
      <c r="V3044" s="46">
        <f>'Data_in-situ'!DP205</f>
        <v>4</v>
      </c>
      <c r="W3044" s="113">
        <f>'Data_in-situ'!DR205</f>
        <v>-2.3809523809523801E-2</v>
      </c>
      <c r="X3044" s="113">
        <f>'Data_in-situ'!DS205</f>
        <v>4.7619047619047603E-2</v>
      </c>
      <c r="Y3044" s="46">
        <f>'Data_in-situ'!DT205</f>
        <v>4</v>
      </c>
      <c r="Z3044" s="113">
        <f>'Data_in-situ'!EA440</f>
        <v>1.0999999999999999</v>
      </c>
      <c r="AA3044" s="113">
        <f>'Data_in-situ'!EB440</f>
        <v>6.3249746805166405</v>
      </c>
      <c r="AB3044" s="46">
        <f>'Data_in-situ'!EC440</f>
        <v>3</v>
      </c>
      <c r="AC3044" s="113">
        <f>'Data_in-situ'!EE440</f>
        <v>1.8857142857142857</v>
      </c>
      <c r="AD3044" s="113">
        <f>'Data_in-situ'!EF440</f>
        <v>2.8156342625739934</v>
      </c>
      <c r="AE3044" s="46">
        <f>'Data_in-situ'!EG440</f>
        <v>3</v>
      </c>
      <c r="AF3044" s="113">
        <f>'Data_in-situ'!EN229</f>
        <v>-9.6199999999999992</v>
      </c>
      <c r="AG3044" s="113">
        <f>'Data_in-situ'!EO229</f>
        <v>3.9201153559874418</v>
      </c>
      <c r="AH3044" s="110">
        <f>'Data_in-situ'!EP229</f>
        <v>4</v>
      </c>
      <c r="AI3044" s="113">
        <f>'Data_in-situ'!ER229</f>
        <v>-80</v>
      </c>
      <c r="AJ3044" s="113">
        <f>'Data_in-situ'!ES229</f>
        <v>18.145124280735534</v>
      </c>
      <c r="AK3044" s="110">
        <f>'Data_in-situ'!ET229</f>
        <v>4</v>
      </c>
    </row>
    <row r="3045" spans="14:37" x14ac:dyDescent="0.3">
      <c r="N3045" s="24">
        <f>'Data_in-situ'!DA448</f>
        <v>-1943.3333333333333</v>
      </c>
      <c r="O3045" s="24">
        <f>'Data_in-situ'!DB448</f>
        <v>436</v>
      </c>
      <c r="P3045" s="46">
        <f>'Data_in-situ'!DC448</f>
        <v>3</v>
      </c>
      <c r="Q3045" s="24">
        <f>'Data_in-situ'!DE448</f>
        <v>-4766.666666666667</v>
      </c>
      <c r="R3045" s="24">
        <f>'Data_in-situ'!DF448</f>
        <v>1203</v>
      </c>
      <c r="S3045" s="46">
        <f>'Data_in-situ'!DG448</f>
        <v>3</v>
      </c>
      <c r="T3045" s="113">
        <f>'Data_in-situ'!DN221</f>
        <v>102.01732234975572</v>
      </c>
      <c r="U3045" s="113">
        <f>'Data_in-situ'!DO221</f>
        <v>83.345787424497175</v>
      </c>
      <c r="V3045" s="46">
        <f>'Data_in-situ'!DP221</f>
        <v>2</v>
      </c>
      <c r="W3045" s="113">
        <f>'Data_in-situ'!DR221</f>
        <v>0.61419354838709672</v>
      </c>
      <c r="X3045" s="113">
        <f>'Data_in-situ'!DS221</f>
        <v>11.86963649409887</v>
      </c>
      <c r="Y3045" s="46">
        <f>'Data_in-situ'!DT221</f>
        <v>6</v>
      </c>
      <c r="AF3045" s="113">
        <f>'Data_in-situ'!EN230</f>
        <v>-5.36</v>
      </c>
      <c r="AG3045" s="113">
        <f>'Data_in-situ'!EO230</f>
        <v>2.1841806973069327</v>
      </c>
      <c r="AH3045" s="110">
        <f>'Data_in-situ'!EP230</f>
        <v>4</v>
      </c>
      <c r="AI3045" s="113">
        <f>'Data_in-situ'!ER230</f>
        <v>-80</v>
      </c>
      <c r="AJ3045" s="113">
        <f>'Data_in-situ'!ES230</f>
        <v>18.145124280735534</v>
      </c>
      <c r="AK3045" s="110">
        <f>'Data_in-situ'!ET230</f>
        <v>4</v>
      </c>
    </row>
    <row r="3046" spans="14:37" x14ac:dyDescent="0.3">
      <c r="N3046" s="24">
        <f>'Data_in-situ'!DA449</f>
        <v>-2676.6666666666665</v>
      </c>
      <c r="O3046" s="24">
        <f>'Data_in-situ'!DB449</f>
        <v>563</v>
      </c>
      <c r="P3046" s="46">
        <f>'Data_in-situ'!DC449</f>
        <v>3</v>
      </c>
      <c r="Q3046" s="24">
        <f>'Data_in-situ'!DE449</f>
        <v>-11000</v>
      </c>
      <c r="R3046" s="24">
        <f>'Data_in-situ'!DF449</f>
        <v>2602</v>
      </c>
      <c r="S3046" s="46">
        <f>'Data_in-situ'!DG449</f>
        <v>3</v>
      </c>
      <c r="T3046" s="113">
        <f>'Data_in-situ'!DN226</f>
        <v>23</v>
      </c>
      <c r="U3046" s="113">
        <f>'Data_in-situ'!DO226</f>
        <v>25.642223650678275</v>
      </c>
      <c r="V3046" s="46">
        <f>'Data_in-situ'!DP226</f>
        <v>4</v>
      </c>
      <c r="W3046" s="113">
        <f>'Data_in-situ'!DR226</f>
        <v>0.03</v>
      </c>
      <c r="X3046" s="113">
        <f>'Data_in-situ'!DS226</f>
        <v>0.11211648883893029</v>
      </c>
      <c r="Y3046" s="46">
        <f>'Data_in-situ'!DT226</f>
        <v>4</v>
      </c>
      <c r="AF3046" s="113">
        <f>'Data_in-situ'!EN361</f>
        <v>-22.8355929225071</v>
      </c>
      <c r="AG3046" s="113">
        <f>'Data_in-situ'!EO361</f>
        <v>9.3054218792721652</v>
      </c>
      <c r="AH3046" s="110">
        <f>'Data_in-situ'!EP361</f>
        <v>8</v>
      </c>
      <c r="AI3046" s="113">
        <f>'Data_in-situ'!ER361</f>
        <v>-45.187277814574003</v>
      </c>
      <c r="AJ3046" s="113">
        <f>'Data_in-situ'!ES361</f>
        <v>10.249109648169611</v>
      </c>
      <c r="AK3046" s="110">
        <f>'Data_in-situ'!ET361</f>
        <v>8</v>
      </c>
    </row>
    <row r="3047" spans="14:37" x14ac:dyDescent="0.3">
      <c r="N3047" s="24">
        <f>'Data_in-situ'!DA450</f>
        <v>15730</v>
      </c>
      <c r="O3047" s="24">
        <f>'Data_in-situ'!DB450</f>
        <v>47184.597668134105</v>
      </c>
      <c r="P3047" s="46">
        <f>'Data_in-situ'!DC450</f>
        <v>1</v>
      </c>
      <c r="Q3047" s="24">
        <f>'Data_in-situ'!DE450</f>
        <v>22330</v>
      </c>
      <c r="R3047" s="24">
        <f>'Data_in-situ'!DF450</f>
        <v>21283.678596713551</v>
      </c>
      <c r="S3047" s="46">
        <f>'Data_in-situ'!DG450</f>
        <v>1</v>
      </c>
      <c r="T3047" s="113">
        <f>'Data_in-situ'!DN227</f>
        <v>23</v>
      </c>
      <c r="U3047" s="113">
        <f>'Data_in-situ'!DO227</f>
        <v>25.642223650678275</v>
      </c>
      <c r="V3047" s="46">
        <f>'Data_in-situ'!DP227</f>
        <v>4</v>
      </c>
      <c r="W3047" s="113">
        <f>'Data_in-situ'!DR227</f>
        <v>0.03</v>
      </c>
      <c r="X3047" s="113">
        <f>'Data_in-situ'!DS227</f>
        <v>0.11211648883893029</v>
      </c>
      <c r="Y3047" s="46">
        <f>'Data_in-situ'!DT227</f>
        <v>4</v>
      </c>
      <c r="AF3047" s="113">
        <f>'Data_in-situ'!EN362</f>
        <v>-45.647936632378602</v>
      </c>
      <c r="AG3047" s="113">
        <f>'Data_in-situ'!EO362</f>
        <v>18.60136978812152</v>
      </c>
      <c r="AH3047" s="110">
        <f>'Data_in-situ'!EP362</f>
        <v>8</v>
      </c>
      <c r="AI3047" s="113">
        <f>'Data_in-situ'!ER362</f>
        <v>-90.991470783038906</v>
      </c>
      <c r="AJ3047" s="113">
        <f>'Data_in-situ'!ES362</f>
        <v>20.638144323064466</v>
      </c>
      <c r="AK3047" s="110">
        <f>'Data_in-situ'!ET362</f>
        <v>8</v>
      </c>
    </row>
    <row r="3048" spans="14:37" x14ac:dyDescent="0.3">
      <c r="N3048" s="24">
        <f>'Data_in-situ'!DA451</f>
        <v>11403.333333333334</v>
      </c>
      <c r="O3048" s="24">
        <f>'Data_in-situ'!DB451</f>
        <v>34206.08362421843</v>
      </c>
      <c r="P3048" s="46">
        <f>'Data_in-situ'!DC451</f>
        <v>1</v>
      </c>
      <c r="Q3048" s="24">
        <f>'Data_in-situ'!DE451</f>
        <v>21156.666666666668</v>
      </c>
      <c r="R3048" s="24">
        <f>'Data_in-situ'!DF451</f>
        <v>20165.32438473517</v>
      </c>
      <c r="S3048" s="46">
        <f>'Data_in-situ'!DG451</f>
        <v>1</v>
      </c>
      <c r="T3048" s="113">
        <f>'Data_in-situ'!DN228</f>
        <v>23</v>
      </c>
      <c r="U3048" s="113">
        <f>'Data_in-situ'!DO228</f>
        <v>25.642223650678275</v>
      </c>
      <c r="V3048" s="46">
        <f>'Data_in-situ'!DP228</f>
        <v>4</v>
      </c>
      <c r="W3048" s="113">
        <f>'Data_in-situ'!DR228</f>
        <v>0.03</v>
      </c>
      <c r="X3048" s="113">
        <f>'Data_in-situ'!DS228</f>
        <v>0.11211648883893029</v>
      </c>
      <c r="Y3048" s="46">
        <f>'Data_in-situ'!DT228</f>
        <v>4</v>
      </c>
      <c r="AF3048" s="113">
        <f>'Data_in-situ'!EN363</f>
        <v>-18.912423460077601</v>
      </c>
      <c r="AG3048" s="113">
        <f>'Data_in-situ'!EO363</f>
        <v>7.7067444516410974</v>
      </c>
      <c r="AH3048" s="110">
        <f>'Data_in-situ'!EP363</f>
        <v>8</v>
      </c>
      <c r="AI3048" s="113">
        <f>'Data_in-situ'!ER363</f>
        <v>-40.3060245198091</v>
      </c>
      <c r="AJ3048" s="113">
        <f>'Data_in-situ'!ES363</f>
        <v>9.1419728021788735</v>
      </c>
      <c r="AK3048" s="110">
        <f>'Data_in-situ'!ET363</f>
        <v>8</v>
      </c>
    </row>
    <row r="3049" spans="14:37" x14ac:dyDescent="0.3">
      <c r="N3049" s="24">
        <f>'Data_in-situ'!DA452</f>
        <v>4326.666666666667</v>
      </c>
      <c r="O3049" s="24">
        <f>'Data_in-situ'!DB452</f>
        <v>12978.514043915675</v>
      </c>
      <c r="P3049" s="46">
        <f>'Data_in-situ'!DC452</f>
        <v>1</v>
      </c>
      <c r="Q3049" s="24">
        <f>'Data_in-situ'!DE452</f>
        <v>15693.333333333334</v>
      </c>
      <c r="R3049" s="24">
        <f>'Data_in-situ'!DF452</f>
        <v>14957.987585210836</v>
      </c>
      <c r="S3049" s="46">
        <f>'Data_in-situ'!DG452</f>
        <v>1</v>
      </c>
      <c r="T3049" s="113">
        <f>'Data_in-situ'!DN229</f>
        <v>23</v>
      </c>
      <c r="U3049" s="113">
        <f>'Data_in-situ'!DO229</f>
        <v>25.642223650678275</v>
      </c>
      <c r="V3049" s="46">
        <f>'Data_in-situ'!DP229</f>
        <v>4</v>
      </c>
      <c r="W3049" s="113">
        <f>'Data_in-situ'!DR229</f>
        <v>2.2000000000000002</v>
      </c>
      <c r="X3049" s="113">
        <f>'Data_in-situ'!DS229</f>
        <v>8.2218758481882226</v>
      </c>
      <c r="Y3049" s="46">
        <f>'Data_in-situ'!DT229</f>
        <v>4</v>
      </c>
      <c r="AF3049" s="113">
        <f>'Data_in-situ'!EN414</f>
        <v>6</v>
      </c>
      <c r="AG3049" s="113">
        <f>'Data_in-situ'!EO414</f>
        <v>22</v>
      </c>
      <c r="AH3049" s="110">
        <f>'Data_in-situ'!EP414</f>
        <v>5</v>
      </c>
      <c r="AI3049" s="113">
        <f>'Data_in-situ'!ER414</f>
        <v>-14</v>
      </c>
      <c r="AJ3049" s="113">
        <f>'Data_in-situ'!ES414</f>
        <v>23</v>
      </c>
      <c r="AK3049" s="110">
        <f>'Data_in-situ'!ET414</f>
        <v>5</v>
      </c>
    </row>
    <row r="3050" spans="14:37" x14ac:dyDescent="0.3">
      <c r="N3050" s="24">
        <f>'Data_in-situ'!DA453</f>
        <v>1870</v>
      </c>
      <c r="O3050" s="24">
        <f>'Data_in-situ'!DB453</f>
        <v>5609.3577647432157</v>
      </c>
      <c r="P3050" s="46">
        <f>'Data_in-situ'!DC453</f>
        <v>1</v>
      </c>
      <c r="Q3050" s="24">
        <f>'Data_in-situ'!DE453</f>
        <v>13676.666666666666</v>
      </c>
      <c r="R3050" s="24">
        <f>'Data_in-situ'!DF453</f>
        <v>13035.816283372995</v>
      </c>
      <c r="S3050" s="46">
        <f>'Data_in-situ'!DG453</f>
        <v>1</v>
      </c>
      <c r="T3050" s="113">
        <f>'Data_in-situ'!DN230</f>
        <v>23</v>
      </c>
      <c r="U3050" s="113">
        <f>'Data_in-situ'!DO230</f>
        <v>25.642223650678275</v>
      </c>
      <c r="V3050" s="46">
        <f>'Data_in-situ'!DP230</f>
        <v>4</v>
      </c>
      <c r="W3050" s="113">
        <f>'Data_in-situ'!DR230</f>
        <v>2.2000000000000002</v>
      </c>
      <c r="X3050" s="113">
        <f>'Data_in-situ'!DS230</f>
        <v>8.2218758481882226</v>
      </c>
      <c r="Y3050" s="46">
        <f>'Data_in-situ'!DT230</f>
        <v>4</v>
      </c>
      <c r="AF3050" s="113">
        <f>'Data_in-situ'!EN418</f>
        <v>-7.3</v>
      </c>
      <c r="AG3050" s="113">
        <f>'Data_in-situ'!EO418</f>
        <v>3.6</v>
      </c>
      <c r="AH3050" s="110">
        <f>'Data_in-situ'!EP418</f>
        <v>3</v>
      </c>
      <c r="AI3050" s="113">
        <f>'Data_in-situ'!ER418</f>
        <v>-75.599999999999994</v>
      </c>
      <c r="AJ3050" s="113">
        <f>'Data_in-situ'!ES418</f>
        <v>14.2</v>
      </c>
      <c r="AK3050" s="110">
        <f>'Data_in-situ'!ET418</f>
        <v>3</v>
      </c>
    </row>
    <row r="3051" spans="14:37" x14ac:dyDescent="0.3">
      <c r="T3051" s="113">
        <f>'Data_in-situ'!DN361</f>
        <v>193.62208240634681</v>
      </c>
      <c r="U3051" s="113">
        <f>'Data_in-situ'!DO361</f>
        <v>614.14718799845184</v>
      </c>
      <c r="V3051" s="46">
        <f>'Data_in-situ'!DP361</f>
        <v>8</v>
      </c>
      <c r="W3051" s="113">
        <f>'Data_in-situ'!DR361</f>
        <v>-17.39938687312296</v>
      </c>
      <c r="X3051" s="113">
        <f>'Data_in-situ'!DS361</f>
        <v>20.727267101856409</v>
      </c>
      <c r="Y3051" s="46">
        <f>'Data_in-situ'!DT361</f>
        <v>8</v>
      </c>
      <c r="AF3051" s="113">
        <f>'Data_in-situ'!EN419</f>
        <v>-4.2</v>
      </c>
      <c r="AG3051" s="113">
        <f>'Data_in-situ'!EO419</f>
        <v>5.2</v>
      </c>
      <c r="AH3051" s="110">
        <f>'Data_in-situ'!EP419</f>
        <v>3</v>
      </c>
      <c r="AI3051" s="113">
        <f>'Data_in-situ'!ER419</f>
        <v>-64.3</v>
      </c>
      <c r="AJ3051" s="113">
        <f>'Data_in-situ'!ES419</f>
        <v>5.9</v>
      </c>
      <c r="AK3051" s="110">
        <f>'Data_in-situ'!ET419</f>
        <v>3</v>
      </c>
    </row>
    <row r="3052" spans="14:37" x14ac:dyDescent="0.3">
      <c r="T3052" s="113">
        <f>'Data_in-situ'!DN362</f>
        <v>13.000958989688872</v>
      </c>
      <c r="U3052" s="113">
        <f>'Data_in-situ'!DO362</f>
        <v>49.021154863031335</v>
      </c>
      <c r="V3052" s="46">
        <f>'Data_in-situ'!DP362</f>
        <v>8</v>
      </c>
      <c r="W3052" s="113">
        <f>'Data_in-situ'!DR362</f>
        <v>-4.3235288751980265</v>
      </c>
      <c r="X3052" s="113">
        <f>'Data_in-situ'!DS362</f>
        <v>9.6228681188427743</v>
      </c>
      <c r="Y3052" s="46">
        <f>'Data_in-situ'!DT362</f>
        <v>8</v>
      </c>
      <c r="AF3052" s="113">
        <f>'Data_in-situ'!EN439</f>
        <v>-45.3</v>
      </c>
      <c r="AG3052" s="113">
        <f>'Data_in-situ'!EO439</f>
        <v>5.7157676649772942</v>
      </c>
      <c r="AH3052" s="110">
        <f>'Data_in-situ'!EP439</f>
        <v>3</v>
      </c>
      <c r="AI3052" s="113">
        <f>'Data_in-situ'!ER439</f>
        <v>-60.2</v>
      </c>
      <c r="AJ3052" s="113">
        <f>'Data_in-situ'!ES439</f>
        <v>4.676537180435969</v>
      </c>
      <c r="AK3052" s="110">
        <f>'Data_in-situ'!ET439</f>
        <v>3</v>
      </c>
    </row>
    <row r="3053" spans="14:37" x14ac:dyDescent="0.3">
      <c r="T3053" s="113">
        <f>'Data_in-situ'!DN363</f>
        <v>92.536237514844473</v>
      </c>
      <c r="U3053" s="113">
        <f>'Data_in-situ'!DO363</f>
        <v>343.16618940866766</v>
      </c>
      <c r="V3053" s="46">
        <f>'Data_in-situ'!DP363</f>
        <v>8</v>
      </c>
      <c r="W3053" s="113">
        <f>'Data_in-situ'!DR363</f>
        <v>-4.3235288751980265</v>
      </c>
      <c r="X3053" s="113">
        <f>'Data_in-situ'!DS363</f>
        <v>4.2368888087214085</v>
      </c>
      <c r="Y3053" s="46">
        <f>'Data_in-situ'!DT363</f>
        <v>8</v>
      </c>
      <c r="AF3053" s="113">
        <f>'Data_in-situ'!EN440</f>
        <v>-45.3</v>
      </c>
      <c r="AG3053" s="113">
        <f>'Data_in-situ'!EO440</f>
        <v>5.7157676649772942</v>
      </c>
      <c r="AH3053" s="110">
        <f>'Data_in-situ'!EP440</f>
        <v>3</v>
      </c>
      <c r="AI3053" s="113">
        <f>'Data_in-situ'!ER440</f>
        <v>-27.4</v>
      </c>
      <c r="AJ3053" s="113">
        <f>'Data_in-situ'!ES440</f>
        <v>4.5033320996790804</v>
      </c>
      <c r="AK3053" s="110">
        <f>'Data_in-situ'!ET440</f>
        <v>3</v>
      </c>
    </row>
    <row r="3054" spans="14:37" x14ac:dyDescent="0.3">
      <c r="T3054" s="113">
        <f>'Data_in-situ'!DN388</f>
        <v>42</v>
      </c>
      <c r="U3054" s="113">
        <f>'Data_in-situ'!DO388</f>
        <v>46.824930144716852</v>
      </c>
      <c r="V3054" s="46">
        <f>'Data_in-situ'!DP388</f>
        <v>3</v>
      </c>
      <c r="W3054" s="113">
        <f>'Data_in-situ'!DR388</f>
        <v>2</v>
      </c>
      <c r="X3054" s="113">
        <f>'Data_in-situ'!DS388</f>
        <v>7.4744325892620198</v>
      </c>
      <c r="Y3054" s="46">
        <f>'Data_in-situ'!DT388</f>
        <v>3</v>
      </c>
      <c r="AF3054" s="113">
        <f>'Data_in-situ'!EN445</f>
        <v>6</v>
      </c>
      <c r="AG3054" s="113">
        <f>'Data_in-situ'!EO445</f>
        <v>22</v>
      </c>
      <c r="AH3054" s="110">
        <f>'Data_in-situ'!EP445</f>
        <v>5</v>
      </c>
      <c r="AI3054" s="113">
        <f>'Data_in-situ'!ER445</f>
        <v>-39</v>
      </c>
      <c r="AJ3054" s="113">
        <f>'Data_in-situ'!ES445</f>
        <v>15</v>
      </c>
      <c r="AK3054" s="110">
        <f>'Data_in-situ'!ET445</f>
        <v>5</v>
      </c>
    </row>
    <row r="3055" spans="14:37" x14ac:dyDescent="0.3">
      <c r="T3055" s="113">
        <f>'Data_in-situ'!DN392</f>
        <v>12.847999999999999</v>
      </c>
      <c r="U3055" s="113">
        <f>'Data_in-situ'!DO392</f>
        <v>8.1760000000000002</v>
      </c>
      <c r="V3055" s="46">
        <f>'Data_in-situ'!DP392</f>
        <v>2</v>
      </c>
      <c r="W3055" s="113">
        <f>'Data_in-situ'!DR392</f>
        <v>-3.5040000000000004</v>
      </c>
      <c r="X3055" s="113">
        <f>'Data_in-situ'!DS392</f>
        <v>1.1680000000000001</v>
      </c>
      <c r="Y3055" s="46">
        <f>'Data_in-situ'!DT392</f>
        <v>2</v>
      </c>
      <c r="AF3055" s="113">
        <f>'Data_in-situ'!EN446</f>
        <v>6</v>
      </c>
      <c r="AG3055" s="113">
        <f>'Data_in-situ'!EO446</f>
        <v>22</v>
      </c>
      <c r="AH3055" s="110">
        <f>'Data_in-situ'!EP446</f>
        <v>5</v>
      </c>
      <c r="AI3055" s="113">
        <f>'Data_in-situ'!ER446</f>
        <v>-21</v>
      </c>
      <c r="AJ3055" s="113">
        <f>'Data_in-situ'!ES446</f>
        <v>18</v>
      </c>
      <c r="AK3055" s="110">
        <f>'Data_in-situ'!ET446</f>
        <v>5</v>
      </c>
    </row>
    <row r="3056" spans="14:37" x14ac:dyDescent="0.3">
      <c r="T3056" s="113">
        <f>'Data_in-situ'!DN409</f>
        <v>96.36</v>
      </c>
      <c r="U3056" s="113">
        <f>'Data_in-situ'!DO409</f>
        <v>53.436</v>
      </c>
      <c r="V3056" s="46">
        <f>'Data_in-situ'!DP409</f>
        <v>5</v>
      </c>
      <c r="W3056" s="113">
        <f>'Data_in-situ'!DR409</f>
        <v>120.88799999999998</v>
      </c>
      <c r="X3056" s="113">
        <f>'Data_in-situ'!DS409</f>
        <v>71.831999999999994</v>
      </c>
      <c r="Y3056" s="46">
        <f>'Data_in-situ'!DT409</f>
        <v>5</v>
      </c>
      <c r="AF3056" s="113">
        <f>'Data_in-situ'!EN448</f>
        <v>-6</v>
      </c>
      <c r="AG3056" s="113">
        <f>'Data_in-situ'!EO448</f>
        <v>-3</v>
      </c>
      <c r="AH3056" s="110">
        <f>'Data_in-situ'!EP448</f>
        <v>3</v>
      </c>
      <c r="AI3056" s="113">
        <f>'Data_in-situ'!ER448</f>
        <v>-21.8</v>
      </c>
      <c r="AJ3056" s="113">
        <f>'Data_in-situ'!ES448</f>
        <v>6.5</v>
      </c>
      <c r="AK3056" s="110">
        <f>'Data_in-situ'!ET448</f>
        <v>3</v>
      </c>
    </row>
    <row r="3057" spans="1:37" x14ac:dyDescent="0.3">
      <c r="T3057" s="113">
        <f>'Data_in-situ'!DN414</f>
        <v>434.70588235294116</v>
      </c>
      <c r="U3057" s="113">
        <f>'Data_in-situ'!DO414</f>
        <v>437.34858971687066</v>
      </c>
      <c r="V3057" s="46">
        <f>'Data_in-situ'!DP414</f>
        <v>5</v>
      </c>
      <c r="W3057" s="113">
        <f>'Data_in-situ'!DR414</f>
        <v>15.294117647058824</v>
      </c>
      <c r="X3057" s="113">
        <f>'Data_in-situ'!DS414</f>
        <v>15.126342200733873</v>
      </c>
      <c r="Y3057" s="46">
        <f>'Data_in-situ'!DT414</f>
        <v>5</v>
      </c>
      <c r="AF3057" s="113">
        <f>'Data_in-situ'!EN449</f>
        <v>-7</v>
      </c>
      <c r="AG3057" s="113">
        <f>'Data_in-situ'!EO449</f>
        <v>4</v>
      </c>
      <c r="AH3057" s="110">
        <f>'Data_in-situ'!EP449</f>
        <v>3</v>
      </c>
      <c r="AI3057" s="113">
        <f>'Data_in-situ'!ER449</f>
        <v>-22.6</v>
      </c>
      <c r="AJ3057" s="113">
        <f>'Data_in-situ'!ES449</f>
        <v>5.6</v>
      </c>
      <c r="AK3057" s="110">
        <f>'Data_in-situ'!ET449</f>
        <v>3</v>
      </c>
    </row>
    <row r="3058" spans="1:37" x14ac:dyDescent="0.3">
      <c r="T3058" s="113">
        <f>'Data_in-situ'!DN422</f>
        <v>136.1</v>
      </c>
      <c r="U3058" s="113">
        <f>'Data_in-situ'!DO422</f>
        <v>88.336949611511187</v>
      </c>
      <c r="V3058" s="46">
        <f>'Data_in-situ'!DP422</f>
        <v>3</v>
      </c>
      <c r="W3058" s="113">
        <f>'Data_in-situ'!DR422</f>
        <v>9.9</v>
      </c>
      <c r="X3058" s="113">
        <f>'Data_in-situ'!DS422</f>
        <v>15.571341196784134</v>
      </c>
      <c r="Y3058" s="46">
        <f>'Data_in-situ'!DT422</f>
        <v>3</v>
      </c>
      <c r="AF3058" s="113">
        <f>'Data_in-situ'!EN450</f>
        <v>-22</v>
      </c>
      <c r="AG3058" s="113">
        <f>'Data_in-situ'!EO450</f>
        <v>8.964920772528453</v>
      </c>
      <c r="AH3058" s="110">
        <f>'Data_in-situ'!EP450</f>
        <v>1</v>
      </c>
      <c r="AI3058" s="113">
        <f>'Data_in-situ'!ER450</f>
        <v>-77</v>
      </c>
      <c r="AJ3058" s="113">
        <f>'Data_in-situ'!ES450</f>
        <v>17.46468212020795</v>
      </c>
      <c r="AK3058" s="110">
        <f>'Data_in-situ'!ET450</f>
        <v>1</v>
      </c>
    </row>
    <row r="3059" spans="1:37" x14ac:dyDescent="0.3">
      <c r="T3059" s="113">
        <f>'Data_in-situ'!DN423</f>
        <v>136.1</v>
      </c>
      <c r="U3059" s="113">
        <f>'Data_in-situ'!DO423</f>
        <v>88.336949611511187</v>
      </c>
      <c r="V3059" s="46">
        <f>'Data_in-situ'!DP423</f>
        <v>3</v>
      </c>
      <c r="W3059" s="113">
        <f>'Data_in-situ'!DR423</f>
        <v>1</v>
      </c>
      <c r="X3059" s="113">
        <f>'Data_in-situ'!DS423</f>
        <v>5.0560195147302718</v>
      </c>
      <c r="Y3059" s="46">
        <f>'Data_in-situ'!DT423</f>
        <v>3</v>
      </c>
      <c r="AF3059" s="113">
        <f>'Data_in-situ'!EN451</f>
        <v>-17</v>
      </c>
      <c r="AG3059" s="113">
        <f>'Data_in-situ'!EO451</f>
        <v>6.9274387787719869</v>
      </c>
      <c r="AH3059" s="110">
        <f>'Data_in-situ'!EP451</f>
        <v>1</v>
      </c>
      <c r="AI3059" s="113">
        <f>'Data_in-situ'!ER451</f>
        <v>-73</v>
      </c>
      <c r="AJ3059" s="113">
        <f>'Data_in-situ'!ES451</f>
        <v>16.557425906171176</v>
      </c>
      <c r="AK3059" s="110">
        <f>'Data_in-situ'!ET451</f>
        <v>1</v>
      </c>
    </row>
    <row r="3060" spans="1:37" x14ac:dyDescent="0.3">
      <c r="T3060" s="113">
        <f>'Data_in-situ'!DN445</f>
        <v>434.70588235294116</v>
      </c>
      <c r="U3060" s="113">
        <f>'Data_in-situ'!DO445</f>
        <v>437.34858971687066</v>
      </c>
      <c r="V3060" s="46">
        <f>'Data_in-situ'!DP445</f>
        <v>5</v>
      </c>
      <c r="W3060" s="113">
        <f>'Data_in-situ'!DR445</f>
        <v>78.82352941176471</v>
      </c>
      <c r="X3060" s="113">
        <f>'Data_in-situ'!DS445</f>
        <v>78.92004626469847</v>
      </c>
      <c r="Y3060" s="46">
        <f>'Data_in-situ'!DT445</f>
        <v>5</v>
      </c>
      <c r="AF3060" s="113">
        <f>'Data_in-situ'!EN452</f>
        <v>-11</v>
      </c>
      <c r="AG3060" s="113">
        <f>'Data_in-situ'!EO452</f>
        <v>4.4824603862642265</v>
      </c>
      <c r="AH3060" s="110">
        <f>'Data_in-situ'!EP452</f>
        <v>1</v>
      </c>
      <c r="AI3060" s="113">
        <f>'Data_in-situ'!ER452</f>
        <v>-59</v>
      </c>
      <c r="AJ3060" s="113">
        <f>'Data_in-situ'!ES452</f>
        <v>13.382029157042457</v>
      </c>
      <c r="AK3060" s="110">
        <f>'Data_in-situ'!ET452</f>
        <v>1</v>
      </c>
    </row>
    <row r="3061" spans="1:37" x14ac:dyDescent="0.3">
      <c r="T3061" s="113">
        <f>'Data_in-situ'!DN446</f>
        <v>434.70588235294116</v>
      </c>
      <c r="U3061" s="113">
        <f>'Data_in-situ'!DO446</f>
        <v>437.34858971687066</v>
      </c>
      <c r="V3061" s="46">
        <f>'Data_in-situ'!DP446</f>
        <v>5</v>
      </c>
      <c r="W3061" s="113">
        <f>'Data_in-situ'!DR446</f>
        <v>225.58823529411765</v>
      </c>
      <c r="X3061" s="113">
        <f>'Data_in-situ'!DS446</f>
        <v>225.57979890659644</v>
      </c>
      <c r="Y3061" s="46">
        <f>'Data_in-situ'!DT446</f>
        <v>5</v>
      </c>
      <c r="AF3061" s="113">
        <f>'Data_in-situ'!EN453</f>
        <v>10</v>
      </c>
      <c r="AG3061" s="113">
        <f>'Data_in-situ'!EO453</f>
        <v>4.0749639875129331</v>
      </c>
      <c r="AH3061" s="110">
        <f>'Data_in-situ'!EP453</f>
        <v>1</v>
      </c>
      <c r="AI3061" s="113">
        <f>'Data_in-situ'!ER453</f>
        <v>-45</v>
      </c>
      <c r="AJ3061" s="113">
        <f>'Data_in-situ'!ES453</f>
        <v>10.206632407913737</v>
      </c>
      <c r="AK3061" s="110">
        <f>'Data_in-situ'!ET453</f>
        <v>1</v>
      </c>
    </row>
    <row r="3062" spans="1:37" x14ac:dyDescent="0.3">
      <c r="T3062" s="113">
        <f>'Data_in-situ'!DN456</f>
        <v>118.26666666666667</v>
      </c>
      <c r="U3062" s="113">
        <f>'Data_in-situ'!DO456</f>
        <v>131.85305726464713</v>
      </c>
      <c r="V3062" s="46">
        <f>'Data_in-situ'!DP456</f>
        <v>1</v>
      </c>
      <c r="W3062" s="113">
        <f>'Data_in-situ'!DR456</f>
        <v>58</v>
      </c>
      <c r="X3062" s="113">
        <f>'Data_in-situ'!DS456</f>
        <v>216.75854508859857</v>
      </c>
      <c r="Y3062" s="46">
        <f>'Data_in-situ'!DT456</f>
        <v>1</v>
      </c>
      <c r="AF3062" s="113">
        <f>'Data_in-situ'!EN456</f>
        <v>-7.6</v>
      </c>
      <c r="AG3062" s="113">
        <f>'Data_in-situ'!EO456</f>
        <v>3.0969726305098293</v>
      </c>
      <c r="AH3062" s="110">
        <f>'Data_in-situ'!EP456</f>
        <v>1</v>
      </c>
      <c r="AI3062" s="113">
        <f>'Data_in-situ'!ER456</f>
        <v>-20.2</v>
      </c>
      <c r="AJ3062" s="113">
        <f>'Data_in-situ'!ES456</f>
        <v>4.5816438808857223</v>
      </c>
      <c r="AK3062" s="110">
        <f>'Data_in-situ'!ET456</f>
        <v>1</v>
      </c>
    </row>
    <row r="3063" spans="1:37" x14ac:dyDescent="0.3">
      <c r="T3063" s="113">
        <f>'Data_in-situ'!DN457</f>
        <v>115.06666666666666</v>
      </c>
      <c r="U3063" s="113">
        <f>'Data_in-situ'!DO457</f>
        <v>128.28544353933538</v>
      </c>
      <c r="V3063" s="46">
        <f>'Data_in-situ'!DP457</f>
        <v>1</v>
      </c>
      <c r="W3063" s="113">
        <f>'Data_in-situ'!DR457</f>
        <v>63.333333333333336</v>
      </c>
      <c r="X3063" s="113">
        <f>'Data_in-situ'!DS457</f>
        <v>236.69036532663063</v>
      </c>
      <c r="Y3063" s="46">
        <f>'Data_in-situ'!DT457</f>
        <v>1</v>
      </c>
      <c r="AF3063" s="113">
        <f>'Data_in-situ'!EN457</f>
        <v>-2.4</v>
      </c>
      <c r="AG3063" s="113">
        <f>'Data_in-situ'!EO457</f>
        <v>0.97799135700310402</v>
      </c>
      <c r="AH3063" s="110">
        <f>'Data_in-situ'!EP457</f>
        <v>1</v>
      </c>
      <c r="AI3063" s="113">
        <f>'Data_in-situ'!ER457</f>
        <v>-23.2</v>
      </c>
      <c r="AJ3063" s="113">
        <f>'Data_in-situ'!ES457</f>
        <v>5.2620860414133048</v>
      </c>
      <c r="AK3063" s="110">
        <f>'Data_in-situ'!ET457</f>
        <v>1</v>
      </c>
    </row>
    <row r="3064" spans="1:37" x14ac:dyDescent="0.3">
      <c r="T3064" s="113">
        <f>'Data_in-situ'!DN458</f>
        <v>105.2</v>
      </c>
      <c r="U3064" s="113">
        <f>'Data_in-situ'!DO458</f>
        <v>117.28530121962412</v>
      </c>
      <c r="V3064" s="46">
        <f>'Data_in-situ'!DP458</f>
        <v>1</v>
      </c>
      <c r="W3064" s="113">
        <f>'Data_in-situ'!DR458</f>
        <v>45.466666666666669</v>
      </c>
      <c r="X3064" s="113">
        <f>'Data_in-situ'!DS458</f>
        <v>169.91876752922326</v>
      </c>
      <c r="Y3064" s="46">
        <f>'Data_in-situ'!DT458</f>
        <v>1</v>
      </c>
      <c r="AF3064" s="113">
        <f>'Data_in-situ'!EN458</f>
        <v>-4.8</v>
      </c>
      <c r="AG3064" s="113">
        <f>'Data_in-situ'!EO458</f>
        <v>1.955982714006208</v>
      </c>
      <c r="AH3064" s="110">
        <f>'Data_in-situ'!EP458</f>
        <v>1</v>
      </c>
      <c r="AI3064" s="113">
        <f>'Data_in-situ'!ER458</f>
        <v>-19</v>
      </c>
      <c r="AJ3064" s="113">
        <f>'Data_in-situ'!ES458</f>
        <v>4.3094670166746889</v>
      </c>
      <c r="AK3064" s="110">
        <f>'Data_in-situ'!ET458</f>
        <v>1</v>
      </c>
    </row>
    <row r="3065" spans="1:37" x14ac:dyDescent="0.3">
      <c r="T3065" s="113">
        <f>'Data_in-situ'!DN459</f>
        <v>118.26666666666667</v>
      </c>
      <c r="U3065" s="113">
        <f>'Data_in-situ'!DO459</f>
        <v>131.85305726464713</v>
      </c>
      <c r="V3065" s="46">
        <f>'Data_in-situ'!DP459</f>
        <v>1</v>
      </c>
      <c r="W3065" s="113">
        <f>'Data_in-situ'!DR459</f>
        <v>26.133333333333336</v>
      </c>
      <c r="X3065" s="113">
        <f>'Data_in-situ'!DS459</f>
        <v>97.665919166357071</v>
      </c>
      <c r="Y3065" s="46">
        <f>'Data_in-situ'!DT459</f>
        <v>1</v>
      </c>
      <c r="AF3065" s="113">
        <f>'Data_in-situ'!EN459</f>
        <v>-7.6</v>
      </c>
      <c r="AG3065" s="113">
        <f>'Data_in-situ'!EO459</f>
        <v>3.0969726305098293</v>
      </c>
      <c r="AH3065" s="110">
        <f>'Data_in-situ'!EP459</f>
        <v>1</v>
      </c>
      <c r="AI3065" s="113">
        <f>'Data_in-situ'!ER459</f>
        <v>-66.400000000000006</v>
      </c>
      <c r="AJ3065" s="113">
        <f>'Data_in-situ'!ES459</f>
        <v>15.060453153010494</v>
      </c>
      <c r="AK3065" s="110">
        <f>'Data_in-situ'!ET459</f>
        <v>1</v>
      </c>
    </row>
    <row r="3066" spans="1:37" x14ac:dyDescent="0.3">
      <c r="T3066" s="113">
        <f>'Data_in-situ'!DN460</f>
        <v>115.06666666666666</v>
      </c>
      <c r="U3066" s="113">
        <f>'Data_in-situ'!DO460</f>
        <v>128.28544353933538</v>
      </c>
      <c r="V3066" s="46">
        <f>'Data_in-situ'!DP460</f>
        <v>1</v>
      </c>
      <c r="W3066" s="113">
        <f>'Data_in-situ'!DR460</f>
        <v>31.733333333333334</v>
      </c>
      <c r="X3066" s="113">
        <f>'Data_in-situ'!DS460</f>
        <v>118.59433041629072</v>
      </c>
      <c r="Y3066" s="46">
        <f>'Data_in-situ'!DT460</f>
        <v>1</v>
      </c>
      <c r="AF3066" s="113">
        <f>'Data_in-situ'!EN460</f>
        <v>-2.4</v>
      </c>
      <c r="AG3066" s="113">
        <f>'Data_in-situ'!EO460</f>
        <v>0.97799135700310402</v>
      </c>
      <c r="AH3066" s="110">
        <f>'Data_in-situ'!EP460</f>
        <v>1</v>
      </c>
      <c r="AI3066" s="113">
        <f>'Data_in-situ'!ER460</f>
        <v>-61.5</v>
      </c>
      <c r="AJ3066" s="113">
        <f>'Data_in-situ'!ES460</f>
        <v>13.949064290815441</v>
      </c>
      <c r="AK3066" s="110">
        <f>'Data_in-situ'!ET460</f>
        <v>1</v>
      </c>
    </row>
    <row r="3067" spans="1:37" x14ac:dyDescent="0.3">
      <c r="T3067" s="113">
        <f>'Data_in-situ'!DN461</f>
        <v>105.2</v>
      </c>
      <c r="U3067" s="113">
        <f>'Data_in-situ'!DO461</f>
        <v>117.28530121962412</v>
      </c>
      <c r="V3067" s="46">
        <f>'Data_in-situ'!DP461</f>
        <v>1</v>
      </c>
      <c r="W3067" s="113">
        <f>'Data_in-situ'!DR461</f>
        <v>29.733333333333334</v>
      </c>
      <c r="X3067" s="113">
        <f>'Data_in-situ'!DS461</f>
        <v>111.11989782702869</v>
      </c>
      <c r="Y3067" s="46">
        <f>'Data_in-situ'!DT461</f>
        <v>1</v>
      </c>
      <c r="AF3067" s="113">
        <f>'Data_in-situ'!EN461</f>
        <v>-4.8</v>
      </c>
      <c r="AG3067" s="113">
        <f>'Data_in-situ'!EO461</f>
        <v>1.955982714006208</v>
      </c>
      <c r="AH3067" s="110">
        <f>'Data_in-situ'!EP461</f>
        <v>1</v>
      </c>
      <c r="AI3067" s="113">
        <f>'Data_in-situ'!ER461</f>
        <v>-58.5</v>
      </c>
      <c r="AJ3067" s="113">
        <f>'Data_in-situ'!ES461</f>
        <v>13.268622130287859</v>
      </c>
      <c r="AK3067" s="110">
        <f>'Data_in-situ'!ET461</f>
        <v>1</v>
      </c>
    </row>
    <row r="3069" spans="1:37" x14ac:dyDescent="0.3">
      <c r="A3069" s="110" t="s">
        <v>831</v>
      </c>
      <c r="B3069" s="24">
        <f>AVERAGEA(B3029:B3067)</f>
        <v>-98306.388888888891</v>
      </c>
      <c r="C3069" s="24">
        <f>STDEVA(B3029:B3067)/SQRT(COUNT(B3029:B3067))</f>
        <v>14033.376553223668</v>
      </c>
      <c r="D3069" s="46">
        <f>COUNT(B3029:B3067)</f>
        <v>12</v>
      </c>
      <c r="E3069" s="24">
        <f>AVERAGEA(E3029:E3067)</f>
        <v>-109013.05555555555</v>
      </c>
      <c r="F3069" s="24">
        <f>STDEVA(E3029:E3067)/SQRT(COUNT(E3029:E3067))</f>
        <v>11775.373002008046</v>
      </c>
      <c r="G3069" s="46">
        <f>COUNT(E3029:E3067)</f>
        <v>12</v>
      </c>
      <c r="H3069" s="24">
        <f>AVERAGEA(H3029:H3067)</f>
        <v>101563.61111111111</v>
      </c>
      <c r="I3069" s="24">
        <f>STDEVA(H3029:H3067)/SQRT(COUNT(H3029:H3067))</f>
        <v>15811.97073725092</v>
      </c>
      <c r="J3069" s="110">
        <f>COUNT(H3029:H3067)</f>
        <v>12</v>
      </c>
      <c r="K3069" s="24">
        <f>AVERAGEA(K3029:K3067)</f>
        <v>117348.61111111112</v>
      </c>
      <c r="L3069" s="24">
        <f>STDEVA(K3029:K3067)/SQRT(COUNT(K3029:K3067))</f>
        <v>14664.239006259944</v>
      </c>
      <c r="M3069" s="110">
        <f>COUNT(K3029:K3067)</f>
        <v>12</v>
      </c>
      <c r="N3069" s="24">
        <f>AVERAGEA(N3029:N3067)</f>
        <v>947.52045454545453</v>
      </c>
      <c r="O3069" s="24">
        <f>STDEVA(N3029:N3067)/SQRT(COUNT(N3029:N3067))</f>
        <v>1381.4969312133842</v>
      </c>
      <c r="P3069" s="110">
        <f>COUNT(N3029:N3067)</f>
        <v>22</v>
      </c>
      <c r="Q3069" s="24">
        <f>AVERAGEA(Q3029:Q3067)</f>
        <v>7071.1666666666661</v>
      </c>
      <c r="R3069" s="24">
        <f>STDEVA(Q3029:Q3067)/SQRT(COUNT(Q3029:Q3067))</f>
        <v>1952.8793190992187</v>
      </c>
      <c r="S3069" s="110">
        <f>COUNT(Q3029:Q3067)</f>
        <v>22</v>
      </c>
      <c r="T3069" s="113">
        <f>AVERAGEA(T3029:T3067)</f>
        <v>117.46527886507847</v>
      </c>
      <c r="U3069" s="113">
        <f>STDEVA(T3029:T3067)/SQRT(COUNT(T3029:T3067))</f>
        <v>19.492418989536404</v>
      </c>
      <c r="V3069" s="110">
        <f>COUNT(T3029:T3067)</f>
        <v>39</v>
      </c>
      <c r="W3069" s="113">
        <f>AVERAGEA(W3029:W3067)</f>
        <v>23.880262809712061</v>
      </c>
      <c r="X3069" s="113">
        <f>STDEVA(W3029:W3067)/SQRT(COUNT(W3029:W3067))</f>
        <v>8.1722241735077983</v>
      </c>
      <c r="Y3069" s="110">
        <f>COUNT(W3029:W3067)</f>
        <v>39</v>
      </c>
      <c r="Z3069" s="113">
        <f>AVERAGEA(Z3029:Z3067)</f>
        <v>1.5882834096047331</v>
      </c>
      <c r="AA3069" s="113">
        <f>STDEVA(Z3029:Z3067)/SQRT(COUNT(Z3029:Z3067))</f>
        <v>0.53192511949676324</v>
      </c>
      <c r="AB3069" s="110">
        <f>COUNT(Z3029:Z3067)</f>
        <v>16</v>
      </c>
      <c r="AC3069" s="113">
        <f>AVERAGEA(AC3029:AC3067)</f>
        <v>6.8312995826707601</v>
      </c>
      <c r="AD3069" s="113">
        <f>STDEVA(AC3029:AC3067)/SQRT(COUNT(AC3029:AC3067))</f>
        <v>2.4696400084694368</v>
      </c>
      <c r="AE3069" s="110">
        <f>COUNT(AC3029:AC3067)</f>
        <v>16</v>
      </c>
      <c r="AF3069" s="113">
        <f>AVERAGEA(AF3029:AF3067)</f>
        <v>-11.285747018542155</v>
      </c>
      <c r="AG3069" s="113">
        <f>STDEVA(AF3029:AF3067)/SQRT(COUNT(AF3029:AF3067))</f>
        <v>2.1161119381338001</v>
      </c>
      <c r="AH3069" s="110">
        <f>COUNT(AF3029:AF3067)</f>
        <v>39</v>
      </c>
      <c r="AI3069" s="113">
        <f>AVERAGEA(AI3029:AI3067)</f>
        <v>-49.136757120414792</v>
      </c>
      <c r="AJ3069" s="113">
        <f>STDEVA(AI3029:AI3067)/SQRT(COUNT(AI3029:AI3067))</f>
        <v>3.4883073842951795</v>
      </c>
      <c r="AK3069" s="110">
        <f>COUNT(AI3029:AI3067)</f>
        <v>39</v>
      </c>
    </row>
    <row r="3071" spans="1:37" x14ac:dyDescent="0.3">
      <c r="A3071" s="110" t="s">
        <v>856</v>
      </c>
      <c r="B3071" s="24">
        <f>'Data_in-situ'!CA271</f>
        <v>-40673.401413977677</v>
      </c>
      <c r="C3071" s="24">
        <f>'Data_in-situ'!CB271</f>
        <v>10107.748850350723</v>
      </c>
      <c r="D3071" s="46">
        <f>'Data_in-situ'!CC271</f>
        <v>8</v>
      </c>
      <c r="E3071" s="24">
        <f>'Data_in-situ'!CE271</f>
        <v>-44668.814018586389</v>
      </c>
      <c r="F3071" s="24">
        <f>'Data_in-situ'!CF271</f>
        <v>7435.5187362050165</v>
      </c>
      <c r="G3071" s="46">
        <f>'Data_in-situ'!CG271</f>
        <v>8</v>
      </c>
      <c r="H3071" s="24">
        <f>'Data_in-situ'!CN271</f>
        <v>25646.988483892328</v>
      </c>
      <c r="I3071" s="24">
        <f>'Data_in-situ'!CO271</f>
        <v>7128.4662989719045</v>
      </c>
      <c r="J3071" s="46">
        <f>'Data_in-situ'!CP271</f>
        <v>8</v>
      </c>
      <c r="K3071" s="24">
        <f>'Data_in-situ'!CR271</f>
        <v>30448.252211184394</v>
      </c>
      <c r="L3071" s="24">
        <f>'Data_in-situ'!CS271</f>
        <v>38699.412338334165</v>
      </c>
      <c r="M3071" s="46">
        <f>'Data_in-situ'!CT271</f>
        <v>8</v>
      </c>
      <c r="N3071" s="24">
        <f>'Data_in-situ'!DA271</f>
        <v>-15026.412930085349</v>
      </c>
      <c r="O3071" s="24">
        <f>'Data_in-situ'!DB271</f>
        <v>12368.573830371251</v>
      </c>
      <c r="P3071" s="46">
        <f>'Data_in-situ'!DC271</f>
        <v>8</v>
      </c>
      <c r="Q3071" s="24">
        <f>'Data_in-situ'!DE271</f>
        <v>-14220.561807401995</v>
      </c>
      <c r="R3071" s="24">
        <f>'Data_in-situ'!DF271</f>
        <v>39407.251289691172</v>
      </c>
      <c r="S3071" s="46">
        <f>'Data_in-situ'!DG271</f>
        <v>8</v>
      </c>
      <c r="T3071" s="113">
        <f>'Data_in-situ'!DN162</f>
        <v>4.1088183748609376E-2</v>
      </c>
      <c r="U3071" s="113">
        <f>'Data_in-situ'!DO162</f>
        <v>4.5808365090522003E-2</v>
      </c>
      <c r="V3071" s="46">
        <f>'Data_in-situ'!DP162</f>
        <v>4</v>
      </c>
      <c r="W3071" s="113">
        <f>'Data_in-situ'!DR162</f>
        <v>0.1749737827715355</v>
      </c>
      <c r="X3071" s="113">
        <f>'Data_in-situ'!DS162</f>
        <v>0.65391487210700916</v>
      </c>
      <c r="Y3071" s="46">
        <f>'Data_in-situ'!DT162</f>
        <v>4</v>
      </c>
      <c r="Z3071" s="113">
        <f>'Data_in-situ'!EA162</f>
        <v>2.1024738953323308</v>
      </c>
      <c r="AA3071" s="113">
        <f>'Data_in-situ'!EB162</f>
        <v>12.089176504021989</v>
      </c>
      <c r="AB3071" s="46">
        <f>'Data_in-situ'!EC162</f>
        <v>4</v>
      </c>
      <c r="AC3071" s="113">
        <f>'Data_in-situ'!EE162</f>
        <v>6.8008768905024581</v>
      </c>
      <c r="AD3071" s="113">
        <f>'Data_in-situ'!EF162</f>
        <v>10.154657115085213</v>
      </c>
      <c r="AE3071" s="46">
        <f>'Data_in-situ'!EG162</f>
        <v>4</v>
      </c>
      <c r="AF3071" s="113">
        <f>'Data_in-situ'!EN163</f>
        <v>-109</v>
      </c>
      <c r="AG3071" s="113">
        <f>'Data_in-situ'!EO163</f>
        <v>44.417107463890972</v>
      </c>
      <c r="AH3071" s="110">
        <f>'Data_in-situ'!EP163</f>
        <v>4</v>
      </c>
      <c r="AI3071" s="113">
        <f>'Data_in-situ'!ER163</f>
        <v>-121</v>
      </c>
      <c r="AJ3071" s="113">
        <f>'Data_in-situ'!ES163</f>
        <v>27.444500474612497</v>
      </c>
      <c r="AK3071" s="110">
        <f>'Data_in-situ'!ET163</f>
        <v>4</v>
      </c>
    </row>
    <row r="3072" spans="1:37" x14ac:dyDescent="0.3">
      <c r="B3072" s="24">
        <f>'Data_in-situ'!CA454</f>
        <v>-160161.20218579238</v>
      </c>
      <c r="C3072" s="24">
        <f>'Data_in-situ'!CB454</f>
        <v>10636.467274593098</v>
      </c>
      <c r="D3072" s="46">
        <f>'Data_in-situ'!CC454</f>
        <v>3</v>
      </c>
      <c r="E3072" s="24">
        <f>'Data_in-situ'!CE454</f>
        <v>-207277.44990892528</v>
      </c>
      <c r="F3072" s="24">
        <f>'Data_in-situ'!CF454</f>
        <v>21272.601806047955</v>
      </c>
      <c r="G3072" s="46">
        <f>'Data_in-situ'!CG454</f>
        <v>3</v>
      </c>
      <c r="H3072" s="24">
        <f>'Data_in-situ'!CN454</f>
        <v>67306.558222944135</v>
      </c>
      <c r="I3072" s="24">
        <f>'Data_in-situ'!CO454</f>
        <v>13632.710832908837</v>
      </c>
      <c r="J3072" s="46">
        <f>'Data_in-situ'!CP454</f>
        <v>3</v>
      </c>
      <c r="K3072" s="24">
        <f>'Data_in-situ'!CR454</f>
        <v>144420.60780366213</v>
      </c>
      <c r="L3072" s="24">
        <f>'Data_in-situ'!CS454</f>
        <v>24745.786342212687</v>
      </c>
      <c r="M3072" s="46">
        <f>'Data_in-situ'!CT454</f>
        <v>3</v>
      </c>
      <c r="N3072" s="24">
        <f>'Data_in-situ'!DA454</f>
        <v>-92854.643962848248</v>
      </c>
      <c r="O3072" s="24">
        <f>'Data_in-situ'!DB454</f>
        <v>8527.3893173831366</v>
      </c>
      <c r="P3072" s="46">
        <f>'Data_in-situ'!DC454</f>
        <v>3</v>
      </c>
      <c r="Q3072" s="24">
        <f>'Data_in-situ'!DE454</f>
        <v>-62856.84210526316</v>
      </c>
      <c r="R3072" s="24">
        <f>'Data_in-situ'!DF454</f>
        <v>12642.403019037374</v>
      </c>
      <c r="S3072" s="46">
        <f>'Data_in-situ'!DG454</f>
        <v>3</v>
      </c>
      <c r="T3072" s="113">
        <f>'Data_in-situ'!DN163</f>
        <v>-0.12122916895579239</v>
      </c>
      <c r="U3072" s="113">
        <f>'Data_in-situ'!DO163</f>
        <v>0.13515588971088227</v>
      </c>
      <c r="V3072" s="46">
        <f>'Data_in-situ'!DP163</f>
        <v>4</v>
      </c>
      <c r="W3072" s="113">
        <f>'Data_in-situ'!DR163</f>
        <v>6.1724726721622734E-2</v>
      </c>
      <c r="X3072" s="113">
        <f>'Data_in-situ'!DS163</f>
        <v>0.23067865448569461</v>
      </c>
      <c r="Y3072" s="46">
        <f>'Data_in-situ'!DT163</f>
        <v>4</v>
      </c>
      <c r="Z3072" s="113">
        <f>'Data_in-situ'!EA163</f>
        <v>0.69244345015682884</v>
      </c>
      <c r="AA3072" s="113">
        <f>'Data_in-situ'!EB163</f>
        <v>3.9815338999377539</v>
      </c>
      <c r="AB3072" s="46">
        <f>'Data_in-situ'!EC163</f>
        <v>4</v>
      </c>
      <c r="AC3072" s="113">
        <f>'Data_in-situ'!EE163</f>
        <v>1.8900218026919515</v>
      </c>
      <c r="AD3072" s="113">
        <f>'Data_in-situ'!EF163</f>
        <v>2.8220659858105499</v>
      </c>
      <c r="AE3072" s="46">
        <f>'Data_in-situ'!EG163</f>
        <v>4</v>
      </c>
      <c r="AF3072" s="113">
        <f>'Data_in-situ'!EN164</f>
        <v>-109</v>
      </c>
      <c r="AG3072" s="113">
        <f>'Data_in-situ'!EO164</f>
        <v>44.417107463890972</v>
      </c>
      <c r="AH3072" s="110">
        <f>'Data_in-situ'!EP164</f>
        <v>4</v>
      </c>
      <c r="AI3072" s="113">
        <f>'Data_in-situ'!ER164</f>
        <v>-119</v>
      </c>
      <c r="AJ3072" s="113">
        <f>'Data_in-situ'!ES164</f>
        <v>26.990872367594108</v>
      </c>
      <c r="AK3072" s="110">
        <f>'Data_in-situ'!ET164</f>
        <v>4</v>
      </c>
    </row>
    <row r="3073" spans="1:37" x14ac:dyDescent="0.3">
      <c r="B3073" s="24">
        <f>'Data_in-situ'!CA455</f>
        <v>-160161.20218579238</v>
      </c>
      <c r="C3073" s="24">
        <f>'Data_in-situ'!CB455</f>
        <v>10636.467274593098</v>
      </c>
      <c r="D3073" s="46">
        <f>'Data_in-situ'!CC455</f>
        <v>3</v>
      </c>
      <c r="E3073" s="24">
        <f>'Data_in-situ'!CE455</f>
        <v>-129453.33333333317</v>
      </c>
      <c r="F3073" s="24">
        <f>'Data_in-situ'!CF455</f>
        <v>6791.9062619830866</v>
      </c>
      <c r="G3073" s="46">
        <f>'Data_in-situ'!CG455</f>
        <v>3</v>
      </c>
      <c r="H3073" s="24">
        <f>'Data_in-situ'!CN455</f>
        <v>67306.558222944135</v>
      </c>
      <c r="I3073" s="24">
        <f>'Data_in-situ'!CO455</f>
        <v>13632.710832908837</v>
      </c>
      <c r="J3073" s="46">
        <f>'Data_in-situ'!CP455</f>
        <v>3</v>
      </c>
      <c r="K3073" s="24">
        <f>'Data_in-situ'!CR455</f>
        <v>78968.070175438406</v>
      </c>
      <c r="L3073" s="24">
        <f>'Data_in-situ'!CS455</f>
        <v>7711.5970214802783</v>
      </c>
      <c r="M3073" s="46">
        <f>'Data_in-situ'!CT455</f>
        <v>3</v>
      </c>
      <c r="N3073" s="24">
        <f>'Data_in-situ'!DA455</f>
        <v>-92854.643962848248</v>
      </c>
      <c r="O3073" s="24">
        <f>'Data_in-situ'!DB455</f>
        <v>8527.3893173831366</v>
      </c>
      <c r="P3073" s="46">
        <f>'Data_in-situ'!DC455</f>
        <v>3</v>
      </c>
      <c r="Q3073" s="24">
        <f>'Data_in-situ'!DE455</f>
        <v>-50485.263157894762</v>
      </c>
      <c r="R3073" s="24">
        <f>'Data_in-situ'!DF455</f>
        <v>3652.2236993561119</v>
      </c>
      <c r="S3073" s="46">
        <f>'Data_in-situ'!DG455</f>
        <v>3</v>
      </c>
      <c r="T3073" s="113">
        <f>'Data_in-situ'!DN164</f>
        <v>-0.12122916895579239</v>
      </c>
      <c r="U3073" s="113">
        <f>'Data_in-situ'!DO164</f>
        <v>0.13515588971088227</v>
      </c>
      <c r="V3073" s="46">
        <f>'Data_in-situ'!DP164</f>
        <v>4</v>
      </c>
      <c r="W3073" s="113">
        <f>'Data_in-situ'!DR164</f>
        <v>-0.12344945344324547</v>
      </c>
      <c r="X3073" s="113">
        <f>'Data_in-situ'!DS164</f>
        <v>0.46135730897138921</v>
      </c>
      <c r="Y3073" s="46">
        <f>'Data_in-situ'!DT164</f>
        <v>4</v>
      </c>
      <c r="Z3073" s="113">
        <f>'Data_in-situ'!EA164</f>
        <v>0.69244345015682884</v>
      </c>
      <c r="AA3073" s="113">
        <f>'Data_in-situ'!EB164</f>
        <v>3.9815338999377539</v>
      </c>
      <c r="AB3073" s="46">
        <f>'Data_in-situ'!EC164</f>
        <v>4</v>
      </c>
      <c r="AC3073" s="113">
        <f>'Data_in-situ'!EE164</f>
        <v>1.2029333397446536</v>
      </c>
      <c r="AD3073" s="113">
        <f>'Data_in-situ'!EF164</f>
        <v>1.7961471430941864</v>
      </c>
      <c r="AE3073" s="46">
        <f>'Data_in-situ'!EG164</f>
        <v>4</v>
      </c>
      <c r="AF3073" s="113">
        <f>'Data_in-situ'!EN165</f>
        <v>-109</v>
      </c>
      <c r="AG3073" s="113">
        <f>'Data_in-situ'!EO165</f>
        <v>44.417107463890972</v>
      </c>
      <c r="AH3073" s="110">
        <f>'Data_in-situ'!EP165</f>
        <v>4</v>
      </c>
      <c r="AI3073" s="113">
        <f>'Data_in-situ'!ER165</f>
        <v>-138</v>
      </c>
      <c r="AJ3073" s="113">
        <f>'Data_in-situ'!ES165</f>
        <v>31.300339384268796</v>
      </c>
      <c r="AK3073" s="110">
        <f>'Data_in-situ'!ET165</f>
        <v>4</v>
      </c>
    </row>
    <row r="3074" spans="1:37" x14ac:dyDescent="0.3">
      <c r="B3074" s="24">
        <f>'Data_in-situ'!CA462</f>
        <v>-51700</v>
      </c>
      <c r="C3074" s="24">
        <f>'Data_in-situ'!CB462</f>
        <v>12605.000812256634</v>
      </c>
      <c r="D3074" s="46">
        <f>'Data_in-situ'!CC462</f>
        <v>1</v>
      </c>
      <c r="E3074" s="24">
        <f>'Data_in-situ'!CE462</f>
        <v>-15510</v>
      </c>
      <c r="F3074" s="24">
        <f>'Data_in-situ'!CF462</f>
        <v>5773.8936858411389</v>
      </c>
      <c r="G3074" s="46">
        <f>'Data_in-situ'!CG462</f>
        <v>1</v>
      </c>
      <c r="H3074" s="24">
        <f>'Data_in-situ'!CN462</f>
        <v>39196.666666666664</v>
      </c>
      <c r="I3074" s="24">
        <f>'Data_in-situ'!CO462</f>
        <v>11274.031774703384</v>
      </c>
      <c r="J3074" s="46">
        <f>'Data_in-situ'!CP462</f>
        <v>1</v>
      </c>
      <c r="K3074" s="24">
        <f>'Data_in-situ'!CR462</f>
        <v>35236.666666666664</v>
      </c>
      <c r="L3074" s="24">
        <f>'Data_in-situ'!CS462</f>
        <v>9245.7901931151609</v>
      </c>
      <c r="M3074" s="46">
        <f>'Data_in-situ'!CT462</f>
        <v>1</v>
      </c>
      <c r="N3074" s="24">
        <f>'Data_in-situ'!DA462</f>
        <v>-12503.333333333336</v>
      </c>
      <c r="O3074" s="24">
        <f>'Data_in-situ'!DB462</f>
        <v>37505.705838773269</v>
      </c>
      <c r="P3074" s="46">
        <f>'Data_in-situ'!DC462</f>
        <v>1</v>
      </c>
      <c r="Q3074" s="24">
        <f>'Data_in-situ'!DE462</f>
        <v>19726.666666666664</v>
      </c>
      <c r="R3074" s="24">
        <f>'Data_in-situ'!DF462</f>
        <v>18802.330188886517</v>
      </c>
      <c r="S3074" s="46">
        <f>'Data_in-situ'!DG462</f>
        <v>1</v>
      </c>
      <c r="T3074" s="113">
        <f>'Data_in-situ'!DN165</f>
        <v>-0.12122916895579239</v>
      </c>
      <c r="U3074" s="113">
        <f>'Data_in-situ'!DO165</f>
        <v>0.13515588971088227</v>
      </c>
      <c r="V3074" s="46">
        <f>'Data_in-situ'!DP165</f>
        <v>4</v>
      </c>
      <c r="W3074" s="113">
        <f>'Data_in-situ'!DR165</f>
        <v>0.12344945344324547</v>
      </c>
      <c r="X3074" s="113">
        <f>'Data_in-situ'!DS165</f>
        <v>0.46135730897138921</v>
      </c>
      <c r="Y3074" s="46">
        <f>'Data_in-situ'!DT165</f>
        <v>4</v>
      </c>
      <c r="Z3074" s="113">
        <f>'Data_in-situ'!EA165</f>
        <v>0.69244345015682884</v>
      </c>
      <c r="AA3074" s="113">
        <f>'Data_in-situ'!EB165</f>
        <v>3.9815338999377539</v>
      </c>
      <c r="AB3074" s="46">
        <f>'Data_in-situ'!EC165</f>
        <v>4</v>
      </c>
      <c r="AC3074" s="113">
        <f>'Data_in-situ'!EE165</f>
        <v>1.5464775712183025</v>
      </c>
      <c r="AD3074" s="113">
        <f>'Data_in-situ'!EF165</f>
        <v>2.3091065644523678</v>
      </c>
      <c r="AE3074" s="46">
        <f>'Data_in-situ'!EG165</f>
        <v>4</v>
      </c>
      <c r="AF3074" s="113">
        <f>'Data_in-situ'!EN166</f>
        <v>-76</v>
      </c>
      <c r="AG3074" s="113">
        <f>'Data_in-situ'!EO166</f>
        <v>30.969726305098295</v>
      </c>
      <c r="AH3074" s="110">
        <f>'Data_in-situ'!EP166</f>
        <v>4</v>
      </c>
      <c r="AI3074" s="113">
        <f>'Data_in-situ'!ER166</f>
        <v>-84</v>
      </c>
      <c r="AJ3074" s="113">
        <f>'Data_in-situ'!ES166</f>
        <v>19.052380494772311</v>
      </c>
      <c r="AK3074" s="110">
        <f>'Data_in-situ'!ET166</f>
        <v>4</v>
      </c>
    </row>
    <row r="3075" spans="1:37" x14ac:dyDescent="0.3">
      <c r="B3075" s="24">
        <f>'Data_in-situ'!CA463</f>
        <v>-52030</v>
      </c>
      <c r="C3075" s="24">
        <f>'Data_in-situ'!CB463</f>
        <v>12685.458264249761</v>
      </c>
      <c r="D3075" s="46">
        <f>'Data_in-situ'!CC463</f>
        <v>1</v>
      </c>
      <c r="E3075" s="24">
        <f>'Data_in-situ'!CE463</f>
        <v>-33366.666666666664</v>
      </c>
      <c r="F3075" s="24">
        <f>'Data_in-situ'!CF463</f>
        <v>12421.378851336727</v>
      </c>
      <c r="G3075" s="46">
        <f>'Data_in-situ'!CG463</f>
        <v>1</v>
      </c>
      <c r="H3075" s="24">
        <f>'Data_in-situ'!CN463</f>
        <v>53753.333333333336</v>
      </c>
      <c r="I3075" s="24">
        <f>'Data_in-situ'!CO463</f>
        <v>15460.926643325691</v>
      </c>
      <c r="J3075" s="46">
        <f>'Data_in-situ'!CP463</f>
        <v>1</v>
      </c>
      <c r="K3075" s="24">
        <f>'Data_in-situ'!CR463</f>
        <v>42936.666666666664</v>
      </c>
      <c r="L3075" s="24">
        <f>'Data_in-situ'!CS463</f>
        <v>11266.202202016497</v>
      </c>
      <c r="M3075" s="46">
        <f>'Data_in-situ'!CT463</f>
        <v>1</v>
      </c>
      <c r="N3075" s="24">
        <f>'Data_in-situ'!DA463</f>
        <v>1723.3333333333358</v>
      </c>
      <c r="O3075" s="24">
        <f>'Data_in-situ'!DB463</f>
        <v>5169.4081361359113</v>
      </c>
      <c r="P3075" s="46">
        <f>'Data_in-situ'!DC463</f>
        <v>1</v>
      </c>
      <c r="Q3075" s="24">
        <f>'Data_in-situ'!DE463</f>
        <v>9570</v>
      </c>
      <c r="R3075" s="24">
        <f>'Data_in-situ'!DF463</f>
        <v>9121.5765414486632</v>
      </c>
      <c r="S3075" s="46">
        <f>'Data_in-situ'!DG463</f>
        <v>1</v>
      </c>
      <c r="T3075" s="113">
        <f>'Data_in-situ'!DN166</f>
        <v>-0.52800000000000002</v>
      </c>
      <c r="U3075" s="113">
        <f>'Data_in-situ'!DO166</f>
        <v>0.5886562646764405</v>
      </c>
      <c r="V3075" s="46">
        <f>'Data_in-situ'!DP166</f>
        <v>4</v>
      </c>
      <c r="W3075" s="113">
        <f>'Data_in-situ'!DR166</f>
        <v>-0.26133333333333336</v>
      </c>
      <c r="X3075" s="113">
        <f>'Data_in-situ'!DS166</f>
        <v>0.97665919166357074</v>
      </c>
      <c r="Y3075" s="46">
        <f>'Data_in-situ'!DT166</f>
        <v>4</v>
      </c>
      <c r="Z3075" s="113">
        <f>'Data_in-situ'!EA166</f>
        <v>1.0757430488974113</v>
      </c>
      <c r="AA3075" s="113">
        <f>'Data_in-situ'!EB166</f>
        <v>6.1854977700162745</v>
      </c>
      <c r="AB3075" s="46">
        <f>'Data_in-situ'!EC166</f>
        <v>4</v>
      </c>
      <c r="AC3075" s="113">
        <f>'Data_in-situ'!EE166</f>
        <v>1.0103547459252158</v>
      </c>
      <c r="AD3075" s="113">
        <f>'Data_in-situ'!EF166</f>
        <v>1.508600460596133</v>
      </c>
      <c r="AE3075" s="46">
        <f>'Data_in-situ'!EG166</f>
        <v>4</v>
      </c>
      <c r="AF3075" s="113">
        <f>'Data_in-situ'!EN174</f>
        <v>-8</v>
      </c>
      <c r="AG3075" s="113">
        <f>'Data_in-situ'!EO174</f>
        <v>3.2599711900103467</v>
      </c>
      <c r="AH3075" s="110">
        <f>'Data_in-situ'!EP174</f>
        <v>3</v>
      </c>
      <c r="AI3075" s="113">
        <f>'Data_in-situ'!ER174</f>
        <v>-11</v>
      </c>
      <c r="AJ3075" s="113">
        <f>'Data_in-situ'!ES174</f>
        <v>2.4949545886011357</v>
      </c>
      <c r="AK3075" s="110">
        <f>'Data_in-situ'!ET174</f>
        <v>3</v>
      </c>
    </row>
    <row r="3076" spans="1:37" x14ac:dyDescent="0.3">
      <c r="B3076" s="24">
        <f>'Data_in-situ'!CA464</f>
        <v>-51700</v>
      </c>
      <c r="C3076" s="24">
        <f>'Data_in-situ'!CB464</f>
        <v>12605.000812256634</v>
      </c>
      <c r="D3076" s="46">
        <f>'Data_in-situ'!CC464</f>
        <v>1</v>
      </c>
      <c r="E3076" s="24">
        <f>'Data_in-situ'!CE464</f>
        <v>-15510</v>
      </c>
      <c r="F3076" s="24">
        <f>'Data_in-situ'!CF464</f>
        <v>5773.8936858411389</v>
      </c>
      <c r="G3076" s="46">
        <f>'Data_in-situ'!CG464</f>
        <v>1</v>
      </c>
      <c r="H3076" s="24">
        <f>'Data_in-situ'!CN464</f>
        <v>39196.666666666664</v>
      </c>
      <c r="I3076" s="24">
        <f>'Data_in-situ'!CO464</f>
        <v>11274.031774703384</v>
      </c>
      <c r="J3076" s="46">
        <f>'Data_in-situ'!CP464</f>
        <v>1</v>
      </c>
      <c r="K3076" s="24">
        <f>'Data_in-situ'!CR464</f>
        <v>35236.666666666664</v>
      </c>
      <c r="L3076" s="24">
        <f>'Data_in-situ'!CS464</f>
        <v>9245.7901931151609</v>
      </c>
      <c r="M3076" s="46">
        <f>'Data_in-situ'!CT464</f>
        <v>1</v>
      </c>
      <c r="N3076" s="24">
        <f>'Data_in-situ'!DA464</f>
        <v>-12503.333333333336</v>
      </c>
      <c r="O3076" s="24">
        <f>'Data_in-situ'!DB464</f>
        <v>37505.705838773269</v>
      </c>
      <c r="P3076" s="46">
        <f>'Data_in-situ'!DC464</f>
        <v>1</v>
      </c>
      <c r="Q3076" s="24">
        <f>'Data_in-situ'!DE464</f>
        <v>19726.666666666664</v>
      </c>
      <c r="R3076" s="24">
        <f>'Data_in-situ'!DF464</f>
        <v>18802.330188886517</v>
      </c>
      <c r="S3076" s="46">
        <f>'Data_in-situ'!DG464</f>
        <v>1</v>
      </c>
      <c r="T3076" s="113">
        <f>'Data_in-situ'!DN183</f>
        <v>965.8440732691339</v>
      </c>
      <c r="U3076" s="113">
        <f>'Data_in-situ'!DO183</f>
        <v>308.47001167764779</v>
      </c>
      <c r="V3076" s="46">
        <f>'Data_in-situ'!DP183</f>
        <v>3</v>
      </c>
      <c r="W3076" s="113">
        <f>'Data_in-situ'!DR183</f>
        <v>5.2453106713176574</v>
      </c>
      <c r="X3076" s="113">
        <f>'Data_in-situ'!DS183</f>
        <v>10.686883582340696</v>
      </c>
      <c r="Y3076" s="46">
        <f>'Data_in-situ'!DT183</f>
        <v>3</v>
      </c>
      <c r="Z3076" s="113">
        <f>'Data_in-situ'!EA203</f>
        <v>0.80142857142857149</v>
      </c>
      <c r="AA3076" s="113">
        <f>'Data_in-situ'!EB203</f>
        <v>0.1905255888325765</v>
      </c>
      <c r="AB3076" s="46">
        <f>'Data_in-situ'!EC203</f>
        <v>3</v>
      </c>
      <c r="AC3076" s="113">
        <f>'Data_in-situ'!EE203</f>
        <v>1.5242857142857142</v>
      </c>
      <c r="AD3076" s="113">
        <f>'Data_in-situ'!EF203</f>
        <v>0.3538332364033564</v>
      </c>
      <c r="AE3076" s="46">
        <f>'Data_in-situ'!EG203</f>
        <v>3</v>
      </c>
      <c r="AF3076" s="113">
        <f>'Data_in-situ'!EN175</f>
        <v>-8</v>
      </c>
      <c r="AG3076" s="113">
        <f>'Data_in-situ'!EO175</f>
        <v>3.2599711900103467</v>
      </c>
      <c r="AH3076" s="110">
        <f>'Data_in-situ'!EP175</f>
        <v>3</v>
      </c>
      <c r="AI3076" s="113">
        <f>'Data_in-situ'!ER175</f>
        <v>-19</v>
      </c>
      <c r="AJ3076" s="113">
        <f>'Data_in-situ'!ES175</f>
        <v>4.3094670166746889</v>
      </c>
      <c r="AK3076" s="110">
        <f>'Data_in-situ'!ET175</f>
        <v>3</v>
      </c>
    </row>
    <row r="3077" spans="1:37" x14ac:dyDescent="0.3">
      <c r="B3077" s="24">
        <f>'Data_in-situ'!CA465</f>
        <v>-52030</v>
      </c>
      <c r="C3077" s="24">
        <f>'Data_in-situ'!CB465</f>
        <v>12685.458264249761</v>
      </c>
      <c r="D3077" s="46">
        <f>'Data_in-situ'!CC465</f>
        <v>1</v>
      </c>
      <c r="E3077" s="24">
        <f>'Data_in-situ'!CE465</f>
        <v>-33366.666666666664</v>
      </c>
      <c r="F3077" s="24">
        <f>'Data_in-situ'!CF465</f>
        <v>12421.378851336727</v>
      </c>
      <c r="G3077" s="46">
        <f>'Data_in-situ'!CG465</f>
        <v>1</v>
      </c>
      <c r="H3077" s="24">
        <f>'Data_in-situ'!CN465</f>
        <v>53753.333333333336</v>
      </c>
      <c r="I3077" s="24">
        <f>'Data_in-situ'!CO465</f>
        <v>15460.926643325691</v>
      </c>
      <c r="J3077" s="46">
        <f>'Data_in-situ'!CP465</f>
        <v>1</v>
      </c>
      <c r="K3077" s="24">
        <f>'Data_in-situ'!CR465</f>
        <v>42936.666666666664</v>
      </c>
      <c r="L3077" s="24">
        <f>'Data_in-situ'!CS465</f>
        <v>11266.202202016497</v>
      </c>
      <c r="M3077" s="46">
        <f>'Data_in-situ'!CT465</f>
        <v>1</v>
      </c>
      <c r="N3077" s="24">
        <f>'Data_in-situ'!DA465</f>
        <v>1723.3333333333358</v>
      </c>
      <c r="O3077" s="24">
        <f>'Data_in-situ'!DB465</f>
        <v>5169.4081361359113</v>
      </c>
      <c r="P3077" s="46">
        <f>'Data_in-situ'!DC465</f>
        <v>1</v>
      </c>
      <c r="Q3077" s="24">
        <f>'Data_in-situ'!DE465</f>
        <v>9570</v>
      </c>
      <c r="R3077" s="24">
        <f>'Data_in-situ'!DF465</f>
        <v>9121.5765414486632</v>
      </c>
      <c r="S3077" s="46">
        <f>'Data_in-situ'!DG465</f>
        <v>1</v>
      </c>
      <c r="T3077" s="113">
        <f>'Data_in-situ'!DN215</f>
        <v>1948.0617366827116</v>
      </c>
      <c r="U3077" s="113">
        <f>'Data_in-situ'!DO215</f>
        <v>3162.7708177229088</v>
      </c>
      <c r="V3077" s="46">
        <f>'Data_in-situ'!DP215</f>
        <v>34</v>
      </c>
      <c r="W3077" s="113">
        <f>'Data_in-situ'!DR215</f>
        <v>12.698456613428982</v>
      </c>
      <c r="X3077" s="113">
        <f>'Data_in-situ'!DS215</f>
        <v>4.590471281452122</v>
      </c>
      <c r="Y3077" s="46">
        <f>'Data_in-situ'!DT215</f>
        <v>12</v>
      </c>
      <c r="Z3077" s="113">
        <f>'Data_in-situ'!EA204</f>
        <v>0.80142857142857149</v>
      </c>
      <c r="AA3077" s="113">
        <f>'Data_in-situ'!EB204</f>
        <v>0.1905255888325765</v>
      </c>
      <c r="AB3077" s="46">
        <f>'Data_in-situ'!EC204</f>
        <v>3</v>
      </c>
      <c r="AC3077" s="113">
        <f>'Data_in-situ'!EE204</f>
        <v>1.4614285714285715</v>
      </c>
      <c r="AD3077" s="113">
        <f>'Data_in-situ'!EF204</f>
        <v>0.21774353009437314</v>
      </c>
      <c r="AE3077" s="46">
        <f>'Data_in-situ'!EG204</f>
        <v>3</v>
      </c>
      <c r="AF3077" s="113">
        <f>'Data_in-situ'!EN183</f>
        <v>21.581790123456788</v>
      </c>
      <c r="AG3077" s="113">
        <f>'Data_in-situ'!EO183</f>
        <v>1.1499049536443477</v>
      </c>
      <c r="AH3077" s="110">
        <f>'Data_in-situ'!EP183</f>
        <v>3</v>
      </c>
      <c r="AI3077" s="113">
        <f>'Data_in-situ'!ER183</f>
        <v>-89.296666666666667</v>
      </c>
      <c r="AJ3077" s="113">
        <f>'Data_in-situ'!ES183</f>
        <v>4.948066962629615</v>
      </c>
      <c r="AK3077" s="110">
        <f>'Data_in-situ'!ET183</f>
        <v>3</v>
      </c>
    </row>
    <row r="3078" spans="1:37" x14ac:dyDescent="0.3">
      <c r="B3078" s="24">
        <f>'Data_in-situ'!CA466</f>
        <v>-51700</v>
      </c>
      <c r="C3078" s="24">
        <f>'Data_in-situ'!CB466</f>
        <v>12605.000812256634</v>
      </c>
      <c r="D3078" s="46">
        <f>'Data_in-situ'!CC466</f>
        <v>1</v>
      </c>
      <c r="E3078" s="24">
        <f>'Data_in-situ'!CE466</f>
        <v>-15510</v>
      </c>
      <c r="F3078" s="24">
        <f>'Data_in-situ'!CF466</f>
        <v>5773.8936858411389</v>
      </c>
      <c r="G3078" s="46">
        <f>'Data_in-situ'!CG466</f>
        <v>1</v>
      </c>
      <c r="H3078" s="24">
        <f>'Data_in-situ'!CN466</f>
        <v>39196.666666666664</v>
      </c>
      <c r="I3078" s="24">
        <f>'Data_in-situ'!CO466</f>
        <v>11274.031774703384</v>
      </c>
      <c r="J3078" s="46">
        <f>'Data_in-situ'!CP466</f>
        <v>1</v>
      </c>
      <c r="K3078" s="24">
        <f>'Data_in-situ'!CR466</f>
        <v>35236.666666666664</v>
      </c>
      <c r="L3078" s="24">
        <f>'Data_in-situ'!CS466</f>
        <v>9245.7901931151609</v>
      </c>
      <c r="M3078" s="46">
        <f>'Data_in-situ'!CT466</f>
        <v>1</v>
      </c>
      <c r="N3078" s="24">
        <f>'Data_in-situ'!DA466</f>
        <v>-12503.333333333336</v>
      </c>
      <c r="O3078" s="24">
        <f>'Data_in-situ'!DB466</f>
        <v>37505.705838773269</v>
      </c>
      <c r="P3078" s="46">
        <f>'Data_in-situ'!DC466</f>
        <v>1</v>
      </c>
      <c r="Q3078" s="24">
        <f>'Data_in-situ'!DE466</f>
        <v>19726.666666666664</v>
      </c>
      <c r="R3078" s="24">
        <f>'Data_in-situ'!DF466</f>
        <v>18802.330188886517</v>
      </c>
      <c r="S3078" s="46">
        <f>'Data_in-situ'!DG466</f>
        <v>1</v>
      </c>
      <c r="T3078" s="113">
        <f>'Data_in-situ'!DN219</f>
        <v>21.18</v>
      </c>
      <c r="U3078" s="113">
        <f>'Data_in-situ'!DO219</f>
        <v>2.2516660498395402</v>
      </c>
      <c r="V3078" s="46">
        <f>'Data_in-situ'!DP219</f>
        <v>3</v>
      </c>
      <c r="W3078" s="113">
        <f>'Data_in-situ'!DR219</f>
        <v>9.06</v>
      </c>
      <c r="X3078" s="113">
        <f>'Data_in-situ'!DS219</f>
        <v>0.95262794416288255</v>
      </c>
      <c r="Y3078" s="46">
        <f>'Data_in-situ'!DT219</f>
        <v>3</v>
      </c>
      <c r="Z3078" s="113">
        <f>'Data_in-situ'!EA215</f>
        <v>0.59306776707157072</v>
      </c>
      <c r="AA3078" s="113">
        <f>'Data_in-situ'!EB215</f>
        <v>2.3125422244636824</v>
      </c>
      <c r="AB3078" s="46">
        <f>'Data_in-situ'!EC215</f>
        <v>34</v>
      </c>
      <c r="AC3078" s="113">
        <f>'Data_in-situ'!EE215</f>
        <v>4.4926884730055843</v>
      </c>
      <c r="AD3078" s="113">
        <f>'Data_in-situ'!EF215</f>
        <v>1.7938809583770348</v>
      </c>
      <c r="AE3078" s="46">
        <f>'Data_in-situ'!EG215</f>
        <v>12</v>
      </c>
      <c r="AF3078" s="113">
        <f>'Data_in-situ'!EN203</f>
        <v>3</v>
      </c>
      <c r="AG3078" s="113">
        <f>'Data_in-situ'!EO203</f>
        <v>1.22248919625388</v>
      </c>
      <c r="AH3078" s="110">
        <f>'Data_in-situ'!EP203</f>
        <v>3</v>
      </c>
      <c r="AI3078" s="113">
        <f>'Data_in-situ'!ER203</f>
        <v>-42</v>
      </c>
      <c r="AJ3078" s="113">
        <f>'Data_in-situ'!ES203</f>
        <v>9.5261902473861557</v>
      </c>
      <c r="AK3078" s="110">
        <f>'Data_in-situ'!ET203</f>
        <v>3</v>
      </c>
    </row>
    <row r="3079" spans="1:37" x14ac:dyDescent="0.3">
      <c r="B3079" s="24">
        <f>'Data_in-situ'!CA467</f>
        <v>-52030</v>
      </c>
      <c r="C3079" s="24">
        <f>'Data_in-situ'!CB467</f>
        <v>12685.458264249761</v>
      </c>
      <c r="D3079" s="46">
        <f>'Data_in-situ'!CC467</f>
        <v>1</v>
      </c>
      <c r="E3079" s="24">
        <f>'Data_in-situ'!CE467</f>
        <v>-33366.666666666664</v>
      </c>
      <c r="F3079" s="24">
        <f>'Data_in-situ'!CF467</f>
        <v>12421.378851336727</v>
      </c>
      <c r="G3079" s="46">
        <f>'Data_in-situ'!CG467</f>
        <v>1</v>
      </c>
      <c r="H3079" s="24">
        <f>'Data_in-situ'!CN467</f>
        <v>53753.333333333336</v>
      </c>
      <c r="I3079" s="24">
        <f>'Data_in-situ'!CO467</f>
        <v>15460.926643325691</v>
      </c>
      <c r="J3079" s="46">
        <f>'Data_in-situ'!CP467</f>
        <v>1</v>
      </c>
      <c r="K3079" s="24">
        <f>'Data_in-situ'!CR467</f>
        <v>42936.666666666664</v>
      </c>
      <c r="L3079" s="24">
        <f>'Data_in-situ'!CS467</f>
        <v>11266.202202016497</v>
      </c>
      <c r="M3079" s="46">
        <f>'Data_in-situ'!CT467</f>
        <v>1</v>
      </c>
      <c r="N3079" s="24">
        <f>'Data_in-situ'!DA467</f>
        <v>1723.3333333333358</v>
      </c>
      <c r="O3079" s="24">
        <f>'Data_in-situ'!DB467</f>
        <v>5169.4081361359113</v>
      </c>
      <c r="P3079" s="46">
        <f>'Data_in-situ'!DC467</f>
        <v>1</v>
      </c>
      <c r="Q3079" s="24">
        <f>'Data_in-situ'!DE467</f>
        <v>9570</v>
      </c>
      <c r="R3079" s="24">
        <f>'Data_in-situ'!DF467</f>
        <v>9121.5765414486632</v>
      </c>
      <c r="S3079" s="46">
        <f>'Data_in-situ'!DG467</f>
        <v>1</v>
      </c>
      <c r="T3079" s="113">
        <f>'Data_in-situ'!DN220</f>
        <v>13.53</v>
      </c>
      <c r="U3079" s="113">
        <f>'Data_in-situ'!DO220</f>
        <v>1.593486742963367</v>
      </c>
      <c r="V3079" s="46">
        <f>'Data_in-situ'!DP220</f>
        <v>3</v>
      </c>
      <c r="W3079" s="113">
        <f>'Data_in-situ'!DR220</f>
        <v>3.23</v>
      </c>
      <c r="X3079" s="113">
        <f>'Data_in-situ'!DS220</f>
        <v>0.74478184725461716</v>
      </c>
      <c r="Y3079" s="46">
        <f>'Data_in-situ'!DT220</f>
        <v>3</v>
      </c>
      <c r="Z3079" s="113">
        <f>'Data_in-situ'!EA219</f>
        <v>2.294285714285714</v>
      </c>
      <c r="AA3079" s="113">
        <f>'Data_in-situ'!EB219</f>
        <v>0.87097412037749256</v>
      </c>
      <c r="AB3079" s="46">
        <f>'Data_in-situ'!EC219</f>
        <v>3</v>
      </c>
      <c r="AC3079" s="113">
        <f>'Data_in-situ'!EE219</f>
        <v>2.152857142857143</v>
      </c>
      <c r="AD3079" s="113">
        <f>'Data_in-situ'!EF219</f>
        <v>0.81653823785389912</v>
      </c>
      <c r="AE3079" s="46">
        <f>'Data_in-situ'!EG219</f>
        <v>3</v>
      </c>
      <c r="AF3079" s="113">
        <f>'Data_in-situ'!EN204</f>
        <v>3</v>
      </c>
      <c r="AG3079" s="113">
        <f>'Data_in-situ'!EO204</f>
        <v>1.22248919625388</v>
      </c>
      <c r="AH3079" s="110">
        <f>'Data_in-situ'!EP204</f>
        <v>3</v>
      </c>
      <c r="AI3079" s="113">
        <f>'Data_in-situ'!ER204</f>
        <v>-41</v>
      </c>
      <c r="AJ3079" s="113">
        <f>'Data_in-situ'!ES204</f>
        <v>9.2993761938769612</v>
      </c>
      <c r="AK3079" s="110">
        <f>'Data_in-situ'!ET204</f>
        <v>3</v>
      </c>
    </row>
    <row r="3080" spans="1:37" x14ac:dyDescent="0.3">
      <c r="B3080" s="24">
        <f>'Data_in-situ'!CA469</f>
        <v>-21404.3</v>
      </c>
      <c r="C3080" s="24">
        <f>'Data_in-situ'!CB469</f>
        <v>5218.5922415045388</v>
      </c>
      <c r="D3080" s="46">
        <f>'Data_in-situ'!CC469</f>
        <v>1</v>
      </c>
      <c r="E3080" s="24">
        <f>'Data_in-situ'!CE469</f>
        <v>-19205.5</v>
      </c>
      <c r="F3080" s="24">
        <f>'Data_in-situ'!CF469</f>
        <v>7149.6141317486772</v>
      </c>
      <c r="G3080" s="46">
        <f>'Data_in-situ'!CG469</f>
        <v>1</v>
      </c>
      <c r="H3080" s="24">
        <f>'Data_in-situ'!CN469</f>
        <v>15413.8</v>
      </c>
      <c r="I3080" s="24">
        <f>'Data_in-situ'!CO469</f>
        <v>4433.4298231717758</v>
      </c>
      <c r="J3080" s="46">
        <f>'Data_in-situ'!CP469</f>
        <v>1</v>
      </c>
      <c r="K3080" s="24">
        <f>'Data_in-situ'!CR469</f>
        <v>13847.5</v>
      </c>
      <c r="L3080" s="24">
        <f>'Data_in-situ'!CS469</f>
        <v>3633.4617263975647</v>
      </c>
      <c r="M3080" s="46">
        <f>'Data_in-situ'!CT469</f>
        <v>1</v>
      </c>
      <c r="N3080" s="24">
        <f>'Data_in-situ'!DA469</f>
        <v>-5990.5</v>
      </c>
      <c r="O3080" s="24">
        <f>'Data_in-situ'!DB469</f>
        <v>17969.442614809748</v>
      </c>
      <c r="P3080" s="46">
        <f>'Data_in-situ'!DC469</f>
        <v>1</v>
      </c>
      <c r="Q3080" s="24">
        <f>'Data_in-situ'!DE469</f>
        <v>-5358</v>
      </c>
      <c r="R3080" s="24">
        <f>'Data_in-situ'!DF469</f>
        <v>5106.9390918580921</v>
      </c>
      <c r="S3080" s="46">
        <f>'Data_in-situ'!DG469</f>
        <v>1</v>
      </c>
      <c r="T3080" s="113">
        <f>'Data_in-situ'!DN271</f>
        <v>28.501072212251554</v>
      </c>
      <c r="U3080" s="113">
        <f>'Data_in-situ'!DO271</f>
        <v>28.652903393199384</v>
      </c>
      <c r="V3080" s="46">
        <f>'Data_in-situ'!DP271</f>
        <v>8</v>
      </c>
      <c r="W3080" s="113">
        <f>'Data_in-situ'!DR271</f>
        <v>2.155113237216562</v>
      </c>
      <c r="X3080" s="113">
        <f>'Data_in-situ'!DS271</f>
        <v>5.8344440438614322</v>
      </c>
      <c r="Y3080" s="46">
        <f>'Data_in-situ'!DT271</f>
        <v>8</v>
      </c>
      <c r="Z3080" s="113">
        <f>'Data_in-situ'!EA220</f>
        <v>0.3457142857142857</v>
      </c>
      <c r="AA3080" s="113">
        <f>'Data_in-situ'!EB220</f>
        <v>0.10887176504718657</v>
      </c>
      <c r="AB3080" s="46">
        <f>'Data_in-situ'!EC220</f>
        <v>3</v>
      </c>
      <c r="AC3080" s="113">
        <f>'Data_in-situ'!EE220</f>
        <v>0.29857142857142854</v>
      </c>
      <c r="AD3080" s="113">
        <f>'Data_in-situ'!EF220</f>
        <v>8.165382378538992E-2</v>
      </c>
      <c r="AE3080" s="46">
        <f>'Data_in-situ'!EG220</f>
        <v>3</v>
      </c>
      <c r="AF3080" s="113">
        <f>'Data_in-situ'!EN271</f>
        <v>-26.2</v>
      </c>
      <c r="AG3080" s="113">
        <f>'Data_in-situ'!EO271</f>
        <v>1.6</v>
      </c>
      <c r="AH3080" s="110">
        <f>'Data_in-situ'!EP271</f>
        <v>4</v>
      </c>
      <c r="AI3080" s="113">
        <f>'Data_in-situ'!ER271</f>
        <v>-42</v>
      </c>
      <c r="AJ3080" s="113">
        <f>'Data_in-situ'!ES271</f>
        <v>1.6</v>
      </c>
      <c r="AK3080" s="110">
        <f>'Data_in-situ'!ET271</f>
        <v>4</v>
      </c>
    </row>
    <row r="3081" spans="1:37" x14ac:dyDescent="0.3">
      <c r="T3081" s="113">
        <f>'Data_in-situ'!DN272</f>
        <v>14.883893266398051</v>
      </c>
      <c r="U3081" s="113">
        <f>'Data_in-situ'!DO272</f>
        <v>86.792053465048554</v>
      </c>
      <c r="V3081" s="46">
        <f>'Data_in-situ'!DP272</f>
        <v>8</v>
      </c>
      <c r="W3081" s="113">
        <f>'Data_in-situ'!DR272</f>
        <v>1.7398230320846468</v>
      </c>
      <c r="X3081" s="113">
        <f>'Data_in-situ'!DS272</f>
        <v>9.0283655795287849</v>
      </c>
      <c r="Y3081" s="46">
        <f>'Data_in-situ'!DT272</f>
        <v>8</v>
      </c>
      <c r="Z3081" s="113">
        <f>'Data_in-situ'!EA436</f>
        <v>3.5419581632883812</v>
      </c>
      <c r="AA3081" s="113">
        <f>'Data_in-situ'!EB436</f>
        <v>380.03451144768485</v>
      </c>
      <c r="AB3081" s="46">
        <f>'Data_in-situ'!EC436</f>
        <v>34</v>
      </c>
      <c r="AC3081" s="113">
        <f>'Data_in-situ'!EE436</f>
        <v>22.445963773156404</v>
      </c>
      <c r="AD3081" s="113">
        <f>'Data_in-situ'!EF436</f>
        <v>202.87353243311873</v>
      </c>
      <c r="AE3081" s="46">
        <f>'Data_in-situ'!EG436</f>
        <v>9</v>
      </c>
      <c r="AF3081" s="113">
        <f>'Data_in-situ'!EN454</f>
        <v>-5.6149732620320822</v>
      </c>
      <c r="AG3081" s="113">
        <f>'Data_in-situ'!EO454</f>
        <v>0.89761221109140865</v>
      </c>
      <c r="AH3081" s="110">
        <f>'Data_in-situ'!EP454</f>
        <v>3</v>
      </c>
      <c r="AI3081" s="113">
        <f>'Data_in-situ'!ER454</f>
        <v>-132.2570532915361</v>
      </c>
      <c r="AJ3081" s="113">
        <f>'Data_in-situ'!ES454</f>
        <v>8.6718103212007449</v>
      </c>
      <c r="AK3081" s="110">
        <f>'Data_in-situ'!ET454</f>
        <v>3</v>
      </c>
    </row>
    <row r="3082" spans="1:37" x14ac:dyDescent="0.3">
      <c r="T3082" s="113">
        <f>'Data_in-situ'!DN273</f>
        <v>40.553216435983082</v>
      </c>
      <c r="U3082" s="113">
        <f>'Data_in-situ'!DO273</f>
        <v>36.04252387554827</v>
      </c>
      <c r="V3082" s="46">
        <f>'Data_in-situ'!DP273</f>
        <v>8</v>
      </c>
      <c r="W3082" s="113">
        <f>'Data_in-situ'!DR273</f>
        <v>2.0877876385015846</v>
      </c>
      <c r="X3082" s="113">
        <f>'Data_in-situ'!DS273</f>
        <v>4.899966604705579</v>
      </c>
      <c r="Y3082" s="46">
        <f>'Data_in-situ'!DT273</f>
        <v>8</v>
      </c>
      <c r="AF3082" s="113">
        <f>'Data_in-situ'!EN455</f>
        <v>-5.6149732620320822</v>
      </c>
      <c r="AG3082" s="113">
        <f>'Data_in-situ'!EO455</f>
        <v>0.89761221109140865</v>
      </c>
      <c r="AH3082" s="110">
        <f>'Data_in-situ'!EP455</f>
        <v>3</v>
      </c>
      <c r="AI3082" s="113">
        <f>'Data_in-situ'!ER455</f>
        <v>-65.23510971786834</v>
      </c>
      <c r="AJ3082" s="113">
        <f>'Data_in-situ'!ES455</f>
        <v>10.177520442006553</v>
      </c>
      <c r="AK3082" s="110">
        <f>'Data_in-situ'!ET455</f>
        <v>3</v>
      </c>
    </row>
    <row r="3083" spans="1:37" x14ac:dyDescent="0.3">
      <c r="T3083" s="113">
        <f>'Data_in-situ'!DN394</f>
        <v>3.0991760299625515</v>
      </c>
      <c r="U3083" s="113">
        <f>'Data_in-situ'!DO394</f>
        <v>0.97725273241836819</v>
      </c>
      <c r="V3083" s="46">
        <f>'Data_in-situ'!DP394</f>
        <v>4</v>
      </c>
      <c r="W3083" s="113">
        <f>'Data_in-situ'!DR394</f>
        <v>1.5322846441947573</v>
      </c>
      <c r="X3083" s="113">
        <f>'Data_in-situ'!DS394</f>
        <v>0.41650576982959864</v>
      </c>
      <c r="Y3083" s="46">
        <f>'Data_in-situ'!DT394</f>
        <v>4</v>
      </c>
    </row>
    <row r="3084" spans="1:37" x14ac:dyDescent="0.3">
      <c r="T3084" s="113">
        <f>'Data_in-situ'!DN395</f>
        <v>3.0991760299625515</v>
      </c>
      <c r="U3084" s="113">
        <f>'Data_in-situ'!DO395</f>
        <v>0.97725273241836819</v>
      </c>
      <c r="V3084" s="46">
        <f>'Data_in-situ'!DP395</f>
        <v>4</v>
      </c>
      <c r="W3084" s="113">
        <f>'Data_in-situ'!DR395</f>
        <v>0.58179775280898871</v>
      </c>
      <c r="X3084" s="113">
        <f>'Data_in-situ'!DS395</f>
        <v>0.21030694588731111</v>
      </c>
      <c r="Y3084" s="46">
        <f>'Data_in-situ'!DT395</f>
        <v>4</v>
      </c>
    </row>
    <row r="3085" spans="1:37" x14ac:dyDescent="0.3">
      <c r="T3085" s="113">
        <f>'Data_in-situ'!DN436</f>
        <v>1745.8411157183666</v>
      </c>
      <c r="U3085" s="113">
        <f>'Data_in-situ'!DO436</f>
        <v>3724.2538477145881</v>
      </c>
      <c r="V3085" s="46">
        <f>'Data_in-situ'!DP436</f>
        <v>34</v>
      </c>
      <c r="W3085" s="113">
        <f>'Data_in-situ'!DR436</f>
        <v>-3.7758090112974552</v>
      </c>
      <c r="X3085" s="113">
        <f>'Data_in-situ'!DS436</f>
        <v>115.31009388698878</v>
      </c>
      <c r="Y3085" s="46">
        <f>'Data_in-situ'!DT436</f>
        <v>9</v>
      </c>
    </row>
    <row r="3086" spans="1:37" x14ac:dyDescent="0.3">
      <c r="T3086" s="113">
        <f>'Data_in-situ'!DN454</f>
        <v>26.051392891450497</v>
      </c>
      <c r="U3086" s="113">
        <f>'Data_in-situ'!DO454</f>
        <v>12.515768654879148</v>
      </c>
      <c r="V3086" s="46">
        <f>'Data_in-situ'!DP454</f>
        <v>3</v>
      </c>
      <c r="W3086" s="113">
        <f>'Data_in-situ'!DR454</f>
        <v>-2.2790585975024058</v>
      </c>
      <c r="X3086" s="113">
        <f>'Data_in-situ'!DS454</f>
        <v>1.8593013863594432</v>
      </c>
      <c r="Y3086" s="46">
        <f>'Data_in-situ'!DT454</f>
        <v>3</v>
      </c>
    </row>
    <row r="3088" spans="1:37" x14ac:dyDescent="0.3">
      <c r="A3088" s="110" t="s">
        <v>831</v>
      </c>
      <c r="B3088" s="24">
        <f>AVERAGEA(B3071:B3087)</f>
        <v>-69359.010578556248</v>
      </c>
      <c r="C3088" s="24">
        <f>STDEVA(B3071:B3087)/SQRT(COUNT(B3071:B3087))</f>
        <v>15437.688452437262</v>
      </c>
      <c r="D3088" s="46">
        <f>COUNT(B3071:B3087)</f>
        <v>10</v>
      </c>
      <c r="E3088" s="24">
        <f>AVERAGEA(E3071:E3087)</f>
        <v>-54723.509726084492</v>
      </c>
      <c r="F3088" s="24">
        <f>STDEVA(E3071:E3087)/SQRT(COUNT(E3071:E3087))</f>
        <v>20055.84408979084</v>
      </c>
      <c r="G3088" s="46">
        <f>COUNT(E3071:E3087)</f>
        <v>10</v>
      </c>
      <c r="H3088" s="24">
        <f>AVERAGEA(H3071:H3087)</f>
        <v>45452.390492978055</v>
      </c>
      <c r="I3088" s="24">
        <f>STDEVA(H3071:H3087)/SQRT(COUNT(H3071:H3087))</f>
        <v>5347.7922337427035</v>
      </c>
      <c r="J3088" s="46">
        <f>COUNT(H3071:H3087)</f>
        <v>10</v>
      </c>
      <c r="K3088" s="24">
        <f>AVERAGEA(K3071:K3087)</f>
        <v>50220.443019028506</v>
      </c>
      <c r="L3088" s="24">
        <f>STDEVA(K3071:K3087)/SQRT(COUNT(K3071:K3087))</f>
        <v>11665.108696435915</v>
      </c>
      <c r="M3088" s="46">
        <f>COUNT(K3071:K3087)</f>
        <v>10</v>
      </c>
      <c r="N3088" s="24">
        <f>AVERAGEA(N3071:N3087)</f>
        <v>-23906.620085578186</v>
      </c>
      <c r="O3088" s="24">
        <f>STDEVA(N3071:N3087)/SQRT(COUNT(N3071:N3087))</f>
        <v>11675.37475688564</v>
      </c>
      <c r="P3088" s="46">
        <f>COUNT(N3071:N3087)</f>
        <v>10</v>
      </c>
      <c r="Q3088" s="24">
        <f>AVERAGEA(Q3071:Q3087)</f>
        <v>-4503.0667070559921</v>
      </c>
      <c r="R3088" s="24">
        <f>STDEVA(Q3071:Q3087)/SQRT(COUNT(Q3071:Q3087))</f>
        <v>9410.4431784512562</v>
      </c>
      <c r="S3088" s="46">
        <f>COUNT(Q3071:Q3087)</f>
        <v>10</v>
      </c>
      <c r="T3088" s="113">
        <f>AVERAGEA(T3071:T3087)</f>
        <v>300.61214082581887</v>
      </c>
      <c r="U3088" s="113">
        <f>STDEVA(T3071:T3087)/SQRT(COUNT(T3071:T3087))</f>
        <v>162.45366294751841</v>
      </c>
      <c r="V3088" s="46">
        <f>COUNT(T3071:T3087)</f>
        <v>16</v>
      </c>
      <c r="W3088" s="113">
        <f>AVERAGEA(W3071:W3087)</f>
        <v>2.0156919473070714</v>
      </c>
      <c r="X3088" s="113">
        <f>STDEVA(W3071:W3087)/SQRT(COUNT(W3071:W3087))</f>
        <v>1.0217899765849221</v>
      </c>
      <c r="Y3088" s="46">
        <f>COUNT(W3071:W3087)</f>
        <v>16</v>
      </c>
      <c r="Z3088" s="113">
        <f>AVERAGEA(Z3071:Z3087)</f>
        <v>1.2394027607197566</v>
      </c>
      <c r="AA3088" s="113">
        <f>STDEVA(Z3071:Z3087)/SQRT(COUNT(Z3071:Z3087))</f>
        <v>0.29670585326631266</v>
      </c>
      <c r="AB3088" s="46">
        <f>COUNT(Z3071:Z3087)</f>
        <v>11</v>
      </c>
      <c r="AC3088" s="113">
        <f>AVERAGEA(AC3071:AC3087)</f>
        <v>4.0751326775806751</v>
      </c>
      <c r="AD3088" s="113">
        <f>STDEVA(AC3071:AC3087)/SQRT(COUNT(AC3071:AC3087))</f>
        <v>1.9192766060809132</v>
      </c>
      <c r="AE3088" s="46">
        <f>COUNT(AC3071:AC3087)</f>
        <v>11</v>
      </c>
      <c r="AF3088" s="113">
        <f>AVERAGEA(AF3071:AF3087)</f>
        <v>-35.737346366717283</v>
      </c>
      <c r="AG3088" s="113">
        <f>STDEVA(AF3071:AF3087)/SQRT(COUNT(AF3071:AF3087))</f>
        <v>14.42177814720306</v>
      </c>
      <c r="AH3088" s="46">
        <f>COUNT(AF3071:AF3087)</f>
        <v>12</v>
      </c>
      <c r="AI3088" s="113">
        <f>AVERAGEA(AI3071:AI3087)</f>
        <v>-75.315735806339248</v>
      </c>
      <c r="AJ3088" s="113">
        <f>STDEVA(AI3071:AI3087)/SQRT(COUNT(AI3071:AI3087))</f>
        <v>12.981607514280515</v>
      </c>
      <c r="AK3088" s="46">
        <f>COUNT(AI3071:AI3087)</f>
        <v>12</v>
      </c>
    </row>
    <row r="3090" spans="1:37" x14ac:dyDescent="0.3">
      <c r="A3090" s="110" t="s">
        <v>870</v>
      </c>
      <c r="B3090" s="24">
        <f>'Data_in-situ'!CA41</f>
        <v>-7247.1260453614086</v>
      </c>
      <c r="C3090" s="24">
        <f>'Data_in-situ'!CB41</f>
        <v>2100.9616035887611</v>
      </c>
      <c r="D3090" s="46">
        <f>'Data_in-situ'!CC41</f>
        <v>3</v>
      </c>
      <c r="E3090" s="24">
        <f>'Data_in-situ'!CE41</f>
        <v>-4029.5823972485118</v>
      </c>
      <c r="F3090" s="24">
        <f>'Data_in-situ'!CF41</f>
        <v>3302.4435397646589</v>
      </c>
      <c r="G3090" s="46">
        <f>'Data_in-situ'!CG41</f>
        <v>3</v>
      </c>
      <c r="H3090" s="24">
        <f>'Data_in-situ'!CN41</f>
        <v>6440.2877983621229</v>
      </c>
      <c r="I3090" s="24">
        <f>'Data_in-situ'!CO41</f>
        <v>2181.3507268282779</v>
      </c>
      <c r="J3090" s="46">
        <f>'Data_in-situ'!CP41</f>
        <v>3</v>
      </c>
      <c r="K3090" s="24">
        <f>'Data_in-situ'!CR41</f>
        <v>16039.541465166916</v>
      </c>
      <c r="L3090" s="24">
        <f>'Data_in-situ'!CS41</f>
        <v>7252.7203244742068</v>
      </c>
      <c r="M3090" s="46">
        <f>'Data_in-situ'!CT41</f>
        <v>3</v>
      </c>
      <c r="N3090" s="24">
        <f>'Data_in-situ'!DA32</f>
        <v>8950.3333333333303</v>
      </c>
      <c r="O3090" s="24">
        <f>'Data_in-situ'!DB32</f>
        <v>4633.1130043536723</v>
      </c>
      <c r="P3090" s="46">
        <f>'Data_in-situ'!DC32</f>
        <v>6</v>
      </c>
      <c r="Q3090" s="24">
        <f>'Data_in-situ'!DE32</f>
        <v>19004.333333333336</v>
      </c>
      <c r="R3090" s="24">
        <f>'Data_in-situ'!DF32</f>
        <v>11808.648436162748</v>
      </c>
      <c r="S3090" s="46">
        <f>'Data_in-situ'!DG32</f>
        <v>6</v>
      </c>
      <c r="T3090" s="113">
        <f>'Data_in-situ'!DN32</f>
        <v>88</v>
      </c>
      <c r="U3090" s="113">
        <f>'Data_in-situ'!DO32</f>
        <v>60.472215842392352</v>
      </c>
      <c r="V3090" s="46">
        <f>'Data_in-situ'!DP32</f>
        <v>6</v>
      </c>
      <c r="W3090" s="113">
        <f>'Data_in-situ'!DR32</f>
        <v>-2</v>
      </c>
      <c r="X3090" s="113">
        <f>'Data_in-situ'!DS32</f>
        <v>5.9628479399994392</v>
      </c>
      <c r="Y3090" s="46">
        <f>'Data_in-situ'!DT32</f>
        <v>6</v>
      </c>
      <c r="Z3090" s="113">
        <f>'Data_in-situ'!EA84</f>
        <v>-0.10183500000000001</v>
      </c>
      <c r="AA3090" s="113">
        <f>'Data_in-situ'!EB84</f>
        <v>6.3291E-2</v>
      </c>
      <c r="AB3090" s="46">
        <f>'Data_in-situ'!EC84</f>
        <v>3</v>
      </c>
      <c r="AC3090" s="113">
        <f>'Data_in-situ'!EE84</f>
        <v>2.9631794999999999</v>
      </c>
      <c r="AD3090" s="113">
        <f>'Data_in-situ'!EF84</f>
        <v>0.67948399999999998</v>
      </c>
      <c r="AE3090" s="46">
        <f>'Data_in-situ'!EG84</f>
        <v>3</v>
      </c>
      <c r="AF3090" s="113">
        <f>'Data_in-situ'!EN32</f>
        <v>-15.3</v>
      </c>
      <c r="AG3090" s="113">
        <f>'Data_in-situ'!EO32</f>
        <v>3.2</v>
      </c>
      <c r="AH3090" s="110">
        <f>'Data_in-situ'!EP32</f>
        <v>6</v>
      </c>
      <c r="AI3090" s="113">
        <f>'Data_in-situ'!ER32</f>
        <v>-47.7</v>
      </c>
      <c r="AJ3090" s="113">
        <f>'Data_in-situ'!ES32</f>
        <v>6.2</v>
      </c>
      <c r="AK3090" s="110">
        <f>'Data_in-situ'!ET32</f>
        <v>6</v>
      </c>
    </row>
    <row r="3091" spans="1:37" x14ac:dyDescent="0.3">
      <c r="B3091" s="24">
        <f>'Data_in-situ'!CA42</f>
        <v>-7247.1260453614086</v>
      </c>
      <c r="C3091" s="24">
        <f>'Data_in-situ'!CB42</f>
        <v>2100.9616035887611</v>
      </c>
      <c r="D3091" s="46">
        <f>'Data_in-situ'!CC42</f>
        <v>3</v>
      </c>
      <c r="E3091" s="24">
        <f>'Data_in-situ'!CE42</f>
        <v>-4582.6623341257582</v>
      </c>
      <c r="F3091" s="24">
        <f>'Data_in-situ'!CF42</f>
        <v>1206.6620626063177</v>
      </c>
      <c r="G3091" s="46">
        <f>'Data_in-situ'!CG42</f>
        <v>3</v>
      </c>
      <c r="H3091" s="24">
        <f>'Data_in-situ'!CN42</f>
        <v>6440.2877983621229</v>
      </c>
      <c r="I3091" s="24">
        <f>'Data_in-situ'!CO42</f>
        <v>2181.3507268282779</v>
      </c>
      <c r="J3091" s="46">
        <f>'Data_in-situ'!CP42</f>
        <v>3</v>
      </c>
      <c r="K3091" s="24">
        <f>'Data_in-situ'!CR42</f>
        <v>24633.794341918241</v>
      </c>
      <c r="L3091" s="24">
        <f>'Data_in-situ'!CS42</f>
        <v>2489.5274353362884</v>
      </c>
      <c r="M3091" s="46">
        <f>'Data_in-situ'!CT42</f>
        <v>3</v>
      </c>
      <c r="N3091" s="24">
        <f>'Data_in-situ'!DA41</f>
        <v>-806.83824699928573</v>
      </c>
      <c r="O3091" s="24">
        <f>'Data_in-situ'!DB41</f>
        <v>461.4050593199143</v>
      </c>
      <c r="P3091" s="46">
        <f>'Data_in-situ'!DC41</f>
        <v>3</v>
      </c>
      <c r="Q3091" s="24">
        <f>'Data_in-situ'!DE41</f>
        <v>12009.959067918404</v>
      </c>
      <c r="R3091" s="24">
        <f>'Data_in-situ'!DF41</f>
        <v>2892.3831674824651</v>
      </c>
      <c r="S3091" s="46">
        <f>'Data_in-situ'!DG41</f>
        <v>3</v>
      </c>
      <c r="T3091" s="113">
        <f>'Data_in-situ'!DN59</f>
        <v>10.866266106411475</v>
      </c>
      <c r="U3091" s="113">
        <f>'Data_in-situ'!DO59</f>
        <v>5.3394122234557058</v>
      </c>
      <c r="V3091" s="46">
        <f>'Data_in-situ'!DP59</f>
        <v>3</v>
      </c>
      <c r="W3091" s="113">
        <f>'Data_in-situ'!DR59</f>
        <v>1.8694061542190537</v>
      </c>
      <c r="X3091" s="113">
        <f>'Data_in-situ'!DS59</f>
        <v>2.1264618086738842</v>
      </c>
      <c r="Y3091" s="46">
        <f>'Data_in-situ'!DT59</f>
        <v>3</v>
      </c>
      <c r="Z3091" s="113">
        <f>'Data_in-situ'!EA85</f>
        <v>2.8688999999999999E-2</v>
      </c>
      <c r="AA3091" s="113">
        <f>'Data_in-situ'!EB85</f>
        <v>4.7267500000000004E-2</v>
      </c>
      <c r="AB3091" s="46">
        <f>'Data_in-situ'!EC85</f>
        <v>3</v>
      </c>
      <c r="AC3091" s="113">
        <f>'Data_in-situ'!EE85</f>
        <v>0.80300000000000005</v>
      </c>
      <c r="AD3091" s="113">
        <f>'Data_in-situ'!EF85</f>
        <v>0.225132</v>
      </c>
      <c r="AE3091" s="46">
        <f>'Data_in-situ'!EG85</f>
        <v>3</v>
      </c>
      <c r="AF3091" s="113">
        <f>'Data_in-situ'!EN41</f>
        <v>-38</v>
      </c>
      <c r="AG3091" s="113">
        <f>'Data_in-situ'!EO41</f>
        <v>7.6</v>
      </c>
      <c r="AH3091" s="110">
        <f>'Data_in-situ'!EP41</f>
        <v>3</v>
      </c>
      <c r="AI3091" s="113">
        <f>'Data_in-situ'!ER41</f>
        <v>-73</v>
      </c>
      <c r="AJ3091" s="113">
        <f>'Data_in-situ'!ES41</f>
        <v>10.3</v>
      </c>
      <c r="AK3091" s="110">
        <f>'Data_in-situ'!ET41</f>
        <v>3</v>
      </c>
    </row>
    <row r="3092" spans="1:37" x14ac:dyDescent="0.3">
      <c r="B3092" s="24">
        <f>'Data_in-situ'!CA43</f>
        <v>-7369.2686191596349</v>
      </c>
      <c r="C3092" s="24">
        <f>'Data_in-situ'!CB43</f>
        <v>746.95892899118678</v>
      </c>
      <c r="D3092" s="46">
        <f>'Data_in-situ'!CC43</f>
        <v>3</v>
      </c>
      <c r="E3092" s="24">
        <f>'Data_in-situ'!CE43</f>
        <v>-3516.0081701482113</v>
      </c>
      <c r="F3092" s="24">
        <f>'Data_in-situ'!CF43</f>
        <v>4890.1567800361299</v>
      </c>
      <c r="G3092" s="46">
        <f>'Data_in-situ'!CG43</f>
        <v>3</v>
      </c>
      <c r="H3092" s="24">
        <f>'Data_in-situ'!CN43</f>
        <v>11939.302764655935</v>
      </c>
      <c r="I3092" s="24">
        <f>'Data_in-situ'!CO43</f>
        <v>4483.7070147716358</v>
      </c>
      <c r="J3092" s="46">
        <f>'Data_in-situ'!CP43</f>
        <v>3</v>
      </c>
      <c r="K3092" s="24">
        <f>'Data_in-situ'!CR43</f>
        <v>16131.458608233776</v>
      </c>
      <c r="L3092" s="24">
        <f>'Data_in-situ'!CS43</f>
        <v>7799.7123045882036</v>
      </c>
      <c r="M3092" s="46">
        <f>'Data_in-situ'!CT43</f>
        <v>3</v>
      </c>
      <c r="N3092" s="24">
        <f>'Data_in-situ'!DA42</f>
        <v>-806.83824699928573</v>
      </c>
      <c r="O3092" s="24">
        <f>'Data_in-situ'!DB42</f>
        <v>461.4050593199143</v>
      </c>
      <c r="P3092" s="46">
        <f>'Data_in-situ'!DC42</f>
        <v>3</v>
      </c>
      <c r="Q3092" s="24">
        <f>'Data_in-situ'!DE42</f>
        <v>20051.132007792483</v>
      </c>
      <c r="R3092" s="24">
        <f>'Data_in-situ'!DF42</f>
        <v>2691.1988636577989</v>
      </c>
      <c r="S3092" s="46">
        <f>'Data_in-situ'!DG42</f>
        <v>3</v>
      </c>
      <c r="T3092" s="113">
        <f>'Data_in-situ'!DN60</f>
        <v>10.866266106411475</v>
      </c>
      <c r="U3092" s="113">
        <f>'Data_in-situ'!DO60</f>
        <v>5.3394122234557058</v>
      </c>
      <c r="V3092" s="46">
        <f>'Data_in-situ'!DP60</f>
        <v>3</v>
      </c>
      <c r="W3092" s="113">
        <f>'Data_in-situ'!DR60</f>
        <v>1.2247833424193799</v>
      </c>
      <c r="X3092" s="113">
        <f>'Data_in-situ'!DS60</f>
        <v>3.4037999999999999</v>
      </c>
      <c r="Y3092" s="46">
        <f>'Data_in-situ'!DT60</f>
        <v>3</v>
      </c>
      <c r="Z3092" s="113">
        <f>'Data_in-situ'!EA86</f>
        <v>-1.4600000000000002E-2</v>
      </c>
      <c r="AA3092" s="113">
        <f>'Data_in-situ'!EB86</f>
        <v>8.8257000000000002E-2</v>
      </c>
      <c r="AB3092" s="46">
        <f>'Data_in-situ'!EC86</f>
        <v>3</v>
      </c>
      <c r="AC3092" s="113">
        <f>'Data_in-situ'!EE86</f>
        <v>7.8840000000000004E-3</v>
      </c>
      <c r="AD3092" s="113">
        <f>'Data_in-situ'!EF86</f>
        <v>4.9822500000000006E-2</v>
      </c>
      <c r="AE3092" s="46">
        <f>'Data_in-situ'!EG86</f>
        <v>3</v>
      </c>
      <c r="AF3092" s="113">
        <f>'Data_in-situ'!EN42</f>
        <v>-38</v>
      </c>
      <c r="AG3092" s="113">
        <f>'Data_in-situ'!EO42</f>
        <v>7.6</v>
      </c>
      <c r="AH3092" s="110">
        <f>'Data_in-situ'!EP42</f>
        <v>3</v>
      </c>
      <c r="AI3092" s="113">
        <f>'Data_in-situ'!ER42</f>
        <v>-112</v>
      </c>
      <c r="AJ3092" s="113">
        <f>'Data_in-situ'!ES42</f>
        <v>15.2</v>
      </c>
      <c r="AK3092" s="110">
        <f>'Data_in-situ'!ET42</f>
        <v>3</v>
      </c>
    </row>
    <row r="3093" spans="1:37" x14ac:dyDescent="0.3">
      <c r="B3093" s="24">
        <f>'Data_in-situ'!CA44</f>
        <v>-7369.2686191596349</v>
      </c>
      <c r="C3093" s="24">
        <f>'Data_in-situ'!CB44</f>
        <v>746.95892899118678</v>
      </c>
      <c r="D3093" s="46">
        <f>'Data_in-situ'!CC44</f>
        <v>3</v>
      </c>
      <c r="E3093" s="24">
        <f>'Data_in-situ'!CE44</f>
        <v>-4661.6737536796509</v>
      </c>
      <c r="F3093" s="24">
        <f>'Data_in-situ'!CF44</f>
        <v>1270.1705922171766</v>
      </c>
      <c r="G3093" s="46">
        <f>'Data_in-situ'!CG44</f>
        <v>3</v>
      </c>
      <c r="H3093" s="24">
        <f>'Data_in-situ'!CN44</f>
        <v>11939.302764655935</v>
      </c>
      <c r="I3093" s="24">
        <f>'Data_in-situ'!CO44</f>
        <v>4483.7070147716358</v>
      </c>
      <c r="J3093" s="46">
        <f>'Data_in-situ'!CP44</f>
        <v>3</v>
      </c>
      <c r="K3093" s="24">
        <f>'Data_in-situ'!CR44</f>
        <v>23300.995767448785</v>
      </c>
      <c r="L3093" s="24">
        <f>'Data_in-situ'!CS44</f>
        <v>3584.4542083747219</v>
      </c>
      <c r="M3093" s="46">
        <f>'Data_in-situ'!CT44</f>
        <v>3</v>
      </c>
      <c r="N3093" s="24">
        <f>'Data_in-situ'!DA43</f>
        <v>4570.0341454963</v>
      </c>
      <c r="O3093" s="24">
        <f>'Data_in-situ'!DB43</f>
        <v>2072.5073882436504</v>
      </c>
      <c r="P3093" s="46">
        <f>'Data_in-situ'!DC43</f>
        <v>3</v>
      </c>
      <c r="Q3093" s="24">
        <f>'Data_in-situ'!DE43</f>
        <v>12615.450438085565</v>
      </c>
      <c r="R3093" s="24">
        <f>'Data_in-situ'!DF43</f>
        <v>3401.8688612922183</v>
      </c>
      <c r="S3093" s="46">
        <f>'Data_in-situ'!DG43</f>
        <v>3</v>
      </c>
      <c r="T3093" s="113">
        <f>'Data_in-situ'!DN61</f>
        <v>9.9527304602972393</v>
      </c>
      <c r="U3093" s="113">
        <f>'Data_in-situ'!DO61</f>
        <v>3.6109447780902064</v>
      </c>
      <c r="V3093" s="46">
        <f>'Data_in-situ'!DP61</f>
        <v>3</v>
      </c>
      <c r="W3093" s="113">
        <f>'Data_in-situ'!DR61</f>
        <v>1.4557731833142631</v>
      </c>
      <c r="X3093" s="113">
        <f>'Data_in-situ'!DS61</f>
        <v>2.2523897859272677</v>
      </c>
      <c r="Y3093" s="46">
        <f>'Data_in-situ'!DT61</f>
        <v>3</v>
      </c>
      <c r="Z3093" s="113">
        <f>'Data_in-situ'!EA87</f>
        <v>7.3730000000000004E-2</v>
      </c>
      <c r="AA3093" s="113">
        <f>'Data_in-situ'!EB87</f>
        <v>3.5076500000000004E-2</v>
      </c>
      <c r="AB3093" s="46">
        <f>'Data_in-situ'!EC87</f>
        <v>3</v>
      </c>
      <c r="AC3093" s="113">
        <f>'Data_in-situ'!EE87</f>
        <v>8.0263499999999988E-2</v>
      </c>
      <c r="AD3093" s="113">
        <f>'Data_in-situ'!EF87</f>
        <v>2.8396999999999999E-2</v>
      </c>
      <c r="AE3093" s="46">
        <f>'Data_in-situ'!EG87</f>
        <v>3</v>
      </c>
      <c r="AF3093" s="113">
        <f>'Data_in-situ'!EN43</f>
        <v>-44</v>
      </c>
      <c r="AG3093" s="113">
        <f>'Data_in-situ'!EO43</f>
        <v>6.8</v>
      </c>
      <c r="AH3093" s="110">
        <f>'Data_in-situ'!EP43</f>
        <v>3</v>
      </c>
      <c r="AI3093" s="113">
        <f>'Data_in-situ'!ER43</f>
        <v>-79</v>
      </c>
      <c r="AJ3093" s="113">
        <f>'Data_in-situ'!ES43</f>
        <v>12.3</v>
      </c>
      <c r="AK3093" s="110">
        <f>'Data_in-situ'!ET43</f>
        <v>3</v>
      </c>
    </row>
    <row r="3094" spans="1:37" x14ac:dyDescent="0.3">
      <c r="B3094" s="24">
        <f>'Data_in-situ'!CA45</f>
        <v>-7939.2672968846891</v>
      </c>
      <c r="C3094" s="24">
        <f>'Data_in-situ'!CB45</f>
        <v>2111.9731212798092</v>
      </c>
      <c r="D3094" s="46">
        <f>'Data_in-situ'!CC45</f>
        <v>3</v>
      </c>
      <c r="E3094" s="24">
        <f>'Data_in-situ'!CE45</f>
        <v>-3674.0310092559957</v>
      </c>
      <c r="F3094" s="24">
        <f>'Data_in-situ'!CF45</f>
        <v>3492.9691285972353</v>
      </c>
      <c r="G3094" s="46">
        <f>'Data_in-situ'!CG45</f>
        <v>3</v>
      </c>
      <c r="H3094" s="24">
        <f>'Data_in-situ'!CN45</f>
        <v>12286.087492260051</v>
      </c>
      <c r="I3094" s="24">
        <f>'Data_in-situ'!CO45</f>
        <v>4228.1100433523952</v>
      </c>
      <c r="J3094" s="46">
        <f>'Data_in-situ'!CP45</f>
        <v>3</v>
      </c>
      <c r="K3094" s="24">
        <f>'Data_in-situ'!CR45</f>
        <v>22335.865765246766</v>
      </c>
      <c r="L3094" s="24">
        <f>'Data_in-situ'!CS45</f>
        <v>5098.0031695624621</v>
      </c>
      <c r="M3094" s="46">
        <f>'Data_in-situ'!CT45</f>
        <v>3</v>
      </c>
      <c r="N3094" s="24">
        <f>'Data_in-situ'!DA44</f>
        <v>4570.0341454963</v>
      </c>
      <c r="O3094" s="24">
        <f>'Data_in-situ'!DB44</f>
        <v>2072.5073882436504</v>
      </c>
      <c r="P3094" s="46">
        <f>'Data_in-situ'!DC44</f>
        <v>3</v>
      </c>
      <c r="Q3094" s="24">
        <f>'Data_in-situ'!DE44</f>
        <v>18639.322013769135</v>
      </c>
      <c r="R3094" s="24">
        <f>'Data_in-situ'!DF44</f>
        <v>3134.054571327079</v>
      </c>
      <c r="S3094" s="46">
        <f>'Data_in-situ'!DG44</f>
        <v>3</v>
      </c>
      <c r="T3094" s="113">
        <f>'Data_in-situ'!DN62</f>
        <v>9.9527304602972393</v>
      </c>
      <c r="U3094" s="113">
        <f>'Data_in-situ'!DO62</f>
        <v>3.6109447780902064</v>
      </c>
      <c r="V3094" s="46">
        <f>'Data_in-situ'!DP62</f>
        <v>3</v>
      </c>
      <c r="W3094" s="113">
        <f>'Data_in-situ'!DR62</f>
        <v>1.0045372150544916</v>
      </c>
      <c r="X3094" s="113">
        <f>'Data_in-situ'!DS62</f>
        <v>1.2391823776598332</v>
      </c>
      <c r="Y3094" s="46">
        <f>'Data_in-situ'!DT62</f>
        <v>3</v>
      </c>
      <c r="Z3094" s="113">
        <f>'Data_in-situ'!EA91</f>
        <v>1.5714285714285715E-2</v>
      </c>
      <c r="AA3094" s="113">
        <f>'Data_in-situ'!EB91</f>
        <v>9.0356781150237736E-2</v>
      </c>
      <c r="AB3094" s="46">
        <f>'Data_in-situ'!EC91</f>
        <v>3</v>
      </c>
      <c r="AC3094" s="113">
        <f>'Data_in-situ'!EE91</f>
        <v>1.0214285714285716</v>
      </c>
      <c r="AD3094" s="113">
        <f>'Data_in-situ'!EF91</f>
        <v>1.5251352255609132</v>
      </c>
      <c r="AE3094" s="46">
        <f>'Data_in-situ'!EG91</f>
        <v>3</v>
      </c>
      <c r="AF3094" s="113">
        <f>'Data_in-situ'!EN44</f>
        <v>-44</v>
      </c>
      <c r="AG3094" s="113">
        <f>'Data_in-situ'!EO44</f>
        <v>6.8</v>
      </c>
      <c r="AH3094" s="110">
        <f>'Data_in-situ'!EP44</f>
        <v>3</v>
      </c>
      <c r="AI3094" s="113">
        <f>'Data_in-situ'!ER44</f>
        <v>-116</v>
      </c>
      <c r="AJ3094" s="113">
        <f>'Data_in-situ'!ES44</f>
        <v>11.8</v>
      </c>
      <c r="AK3094" s="110">
        <f>'Data_in-situ'!ET44</f>
        <v>3</v>
      </c>
    </row>
    <row r="3095" spans="1:37" x14ac:dyDescent="0.3">
      <c r="B3095" s="24">
        <f>'Data_in-situ'!CA46</f>
        <v>-7939.2672968846891</v>
      </c>
      <c r="C3095" s="24">
        <f>'Data_in-situ'!CB46</f>
        <v>2111.9731212798092</v>
      </c>
      <c r="D3095" s="46">
        <f>'Data_in-situ'!CC46</f>
        <v>3</v>
      </c>
      <c r="E3095" s="24">
        <f>'Data_in-situ'!CE46</f>
        <v>-4859.2023025643821</v>
      </c>
      <c r="F3095" s="24">
        <f>'Data_in-situ'!CF46</f>
        <v>1397.1876514388941</v>
      </c>
      <c r="G3095" s="46">
        <f>'Data_in-situ'!CG46</f>
        <v>3</v>
      </c>
      <c r="H3095" s="24">
        <f>'Data_in-situ'!CN46</f>
        <v>12286.087492260051</v>
      </c>
      <c r="I3095" s="24">
        <f>'Data_in-situ'!CO46</f>
        <v>2603.8497140452123</v>
      </c>
      <c r="J3095" s="46">
        <f>'Data_in-situ'!CP46</f>
        <v>3</v>
      </c>
      <c r="K3095" s="24">
        <f>'Data_in-situ'!CR46</f>
        <v>23071.202909781641</v>
      </c>
      <c r="L3095" s="24">
        <f>'Data_in-situ'!CS46</f>
        <v>3447.7118721915385</v>
      </c>
      <c r="M3095" s="46">
        <f>'Data_in-situ'!CT46</f>
        <v>3</v>
      </c>
      <c r="N3095" s="24">
        <f>'Data_in-situ'!DA45</f>
        <v>4346.8201953753614</v>
      </c>
      <c r="O3095" s="24">
        <f>'Data_in-situ'!DB45</f>
        <v>1600.2428388061255</v>
      </c>
      <c r="P3095" s="46">
        <f>'Data_in-situ'!DC45</f>
        <v>3</v>
      </c>
      <c r="Q3095" s="24">
        <f>'Data_in-situ'!DE45</f>
        <v>18661.834755990771</v>
      </c>
      <c r="R3095" s="24">
        <f>'Data_in-situ'!DF45</f>
        <v>3804.3746385120953</v>
      </c>
      <c r="S3095" s="46">
        <f>'Data_in-situ'!DG45</f>
        <v>3</v>
      </c>
      <c r="T3095" s="113">
        <f>'Data_in-situ'!DN63</f>
        <v>10.24121540117542</v>
      </c>
      <c r="U3095" s="113">
        <f>'Data_in-situ'!DO63</f>
        <v>7.0937907088882888</v>
      </c>
      <c r="V3095" s="46">
        <f>'Data_in-situ'!DP63</f>
        <v>3</v>
      </c>
      <c r="W3095" s="113">
        <f>'Data_in-situ'!DR63</f>
        <v>0.9615623609345133</v>
      </c>
      <c r="X3095" s="113">
        <f>'Data_in-situ'!DS63</f>
        <v>1.1781116185620597</v>
      </c>
      <c r="Y3095" s="46">
        <f>'Data_in-situ'!DT63</f>
        <v>3</v>
      </c>
      <c r="Z3095" s="113">
        <f>'Data_in-situ'!EA94</f>
        <v>1.5714285714285715E-2</v>
      </c>
      <c r="AA3095" s="113">
        <f>'Data_in-situ'!EB94</f>
        <v>9.0356781150237736E-2</v>
      </c>
      <c r="AB3095" s="46">
        <f>'Data_in-situ'!EC94</f>
        <v>3</v>
      </c>
      <c r="AC3095" s="113">
        <f>'Data_in-situ'!EE94</f>
        <v>1.7285714285714286E-2</v>
      </c>
      <c r="AD3095" s="113">
        <f>'Data_in-situ'!EF94</f>
        <v>2.5809980740261605E-2</v>
      </c>
      <c r="AE3095" s="46">
        <f>'Data_in-situ'!EG94</f>
        <v>3</v>
      </c>
      <c r="AF3095" s="113">
        <f>'Data_in-situ'!EN45</f>
        <v>-50</v>
      </c>
      <c r="AG3095" s="113">
        <f>'Data_in-situ'!EO45</f>
        <v>6.8</v>
      </c>
      <c r="AH3095" s="110">
        <f>'Data_in-situ'!EP45</f>
        <v>3</v>
      </c>
      <c r="AI3095" s="113">
        <f>'Data_in-situ'!ER45</f>
        <v>-85</v>
      </c>
      <c r="AJ3095" s="113">
        <f>'Data_in-situ'!ES45</f>
        <v>12.3</v>
      </c>
      <c r="AK3095" s="110">
        <f>'Data_in-situ'!ET45</f>
        <v>3</v>
      </c>
    </row>
    <row r="3096" spans="1:37" x14ac:dyDescent="0.3">
      <c r="B3096" s="24">
        <f>'Data_in-situ'!CA73</f>
        <v>-7247.1260453614077</v>
      </c>
      <c r="C3096" s="24">
        <f>'Data_in-situ'!CB73</f>
        <v>2100.9616035887616</v>
      </c>
      <c r="D3096" s="46">
        <f>'Data_in-situ'!CC73</f>
        <v>3</v>
      </c>
      <c r="E3096" s="24">
        <f>'Data_in-situ'!CE73</f>
        <v>-4582.6623341257582</v>
      </c>
      <c r="F3096" s="24">
        <f>'Data_in-situ'!CF73</f>
        <v>1321.5627260440792</v>
      </c>
      <c r="G3096" s="46">
        <f>'Data_in-situ'!CG73</f>
        <v>3</v>
      </c>
      <c r="H3096" s="24">
        <f>'Data_in-situ'!CN73</f>
        <v>6440.2877983621229</v>
      </c>
      <c r="I3096" s="24">
        <f>'Data_in-situ'!CO73</f>
        <v>2181.3507268282779</v>
      </c>
      <c r="J3096" s="46">
        <f>'Data_in-situ'!CP73</f>
        <v>3</v>
      </c>
      <c r="K3096" s="24">
        <f>'Data_in-situ'!CR73</f>
        <v>24633.794341918241</v>
      </c>
      <c r="L3096" s="24">
        <f>'Data_in-situ'!CS73</f>
        <v>2489.5274353362884</v>
      </c>
      <c r="M3096" s="46">
        <f>'Data_in-situ'!CT73</f>
        <v>3</v>
      </c>
      <c r="N3096" s="24">
        <f>'Data_in-situ'!DA46</f>
        <v>4346.8201953753614</v>
      </c>
      <c r="O3096" s="24">
        <f>'Data_in-situ'!DB46</f>
        <v>1600.2428388061255</v>
      </c>
      <c r="P3096" s="46">
        <f>'Data_in-situ'!DC46</f>
        <v>3</v>
      </c>
      <c r="Q3096" s="24">
        <f>'Data_in-situ'!DE46</f>
        <v>18212.000607217258</v>
      </c>
      <c r="R3096" s="24">
        <f>'Data_in-situ'!DF46</f>
        <v>4028.2334522837918</v>
      </c>
      <c r="S3096" s="46">
        <f>'Data_in-situ'!DG46</f>
        <v>3</v>
      </c>
      <c r="T3096" s="113">
        <f>'Data_in-situ'!DN64</f>
        <v>10.24121540117542</v>
      </c>
      <c r="U3096" s="113">
        <f>'Data_in-situ'!DO64</f>
        <v>7.0937907088882888</v>
      </c>
      <c r="V3096" s="46">
        <f>'Data_in-situ'!DP64</f>
        <v>3</v>
      </c>
      <c r="W3096" s="113">
        <f>'Data_in-situ'!DR64</f>
        <v>0.45660782502476893</v>
      </c>
      <c r="X3096" s="113">
        <f>'Data_in-situ'!DS64</f>
        <v>1.5313900415070829</v>
      </c>
      <c r="Y3096" s="46">
        <f>'Data_in-situ'!DT64</f>
        <v>3</v>
      </c>
      <c r="Z3096" s="113">
        <f>'Data_in-situ'!EA95</f>
        <v>1.8857142857142857E-2</v>
      </c>
      <c r="AA3096" s="113">
        <f>'Data_in-situ'!EB95</f>
        <v>0.10842813738028528</v>
      </c>
      <c r="AB3096" s="46">
        <f>'Data_in-situ'!EC95</f>
        <v>3</v>
      </c>
      <c r="AC3096" s="113">
        <f>'Data_in-situ'!EE95</f>
        <v>2.0428571428571428E-2</v>
      </c>
      <c r="AD3096" s="113">
        <f>'Data_in-situ'!EF95</f>
        <v>3.0502704511218261E-2</v>
      </c>
      <c r="AE3096" s="46">
        <f>'Data_in-situ'!EG95</f>
        <v>3</v>
      </c>
      <c r="AF3096" s="113">
        <f>'Data_in-situ'!EN46</f>
        <v>-50</v>
      </c>
      <c r="AG3096" s="113">
        <f>'Data_in-situ'!EO46</f>
        <v>6.8</v>
      </c>
      <c r="AH3096" s="110">
        <f>'Data_in-situ'!EP46</f>
        <v>3</v>
      </c>
      <c r="AI3096" s="113">
        <f>'Data_in-situ'!ER46</f>
        <v>-120</v>
      </c>
      <c r="AJ3096" s="113">
        <f>'Data_in-situ'!ES46</f>
        <v>11.8</v>
      </c>
      <c r="AK3096" s="110">
        <f>'Data_in-situ'!ET46</f>
        <v>3</v>
      </c>
    </row>
    <row r="3097" spans="1:37" x14ac:dyDescent="0.3">
      <c r="B3097" s="24">
        <f>'Data_in-situ'!CA74</f>
        <v>-7369.268619159634</v>
      </c>
      <c r="C3097" s="24">
        <f>'Data_in-situ'!CB74</f>
        <v>746.95892899118678</v>
      </c>
      <c r="D3097" s="46">
        <f>'Data_in-situ'!CC74</f>
        <v>3</v>
      </c>
      <c r="E3097" s="24">
        <f>'Data_in-situ'!CE74</f>
        <v>-4661.6737536796509</v>
      </c>
      <c r="F3097" s="24">
        <f>'Data_in-situ'!CF74</f>
        <v>1389.6358486823906</v>
      </c>
      <c r="G3097" s="46">
        <f>'Data_in-situ'!CG74</f>
        <v>3</v>
      </c>
      <c r="H3097" s="24">
        <f>'Data_in-situ'!CN74</f>
        <v>11939.302764655935</v>
      </c>
      <c r="I3097" s="24">
        <f>'Data_in-situ'!CO74</f>
        <v>4483.7070147716368</v>
      </c>
      <c r="J3097" s="46">
        <f>'Data_in-situ'!CP74</f>
        <v>3</v>
      </c>
      <c r="K3097" s="24">
        <f>'Data_in-situ'!CR74</f>
        <v>23300.995767448785</v>
      </c>
      <c r="L3097" s="24">
        <f>'Data_in-situ'!CS74</f>
        <v>3584.4542083747219</v>
      </c>
      <c r="M3097" s="46">
        <f>'Data_in-situ'!CT74</f>
        <v>3</v>
      </c>
      <c r="N3097" s="24">
        <f>'Data_in-situ'!DA73</f>
        <v>-806.83824699928482</v>
      </c>
      <c r="O3097" s="24">
        <f>'Data_in-situ'!DB73</f>
        <v>1429.0549882340658</v>
      </c>
      <c r="P3097" s="46">
        <f>'Data_in-situ'!DC73</f>
        <v>3</v>
      </c>
      <c r="Q3097" s="24">
        <f>'Data_in-situ'!DE73</f>
        <v>20051.132007792483</v>
      </c>
      <c r="R3097" s="24">
        <f>'Data_in-situ'!DF73</f>
        <v>2691.1988636577994</v>
      </c>
      <c r="S3097" s="46">
        <f>'Data_in-situ'!DG73</f>
        <v>3</v>
      </c>
      <c r="T3097" s="113">
        <f>'Data_in-situ'!DN77</f>
        <v>107.85213477594468</v>
      </c>
      <c r="U3097" s="113">
        <f>'Data_in-situ'!DO77</f>
        <v>101.11467674058741</v>
      </c>
      <c r="V3097" s="46">
        <f>'Data_in-situ'!DP77</f>
        <v>6</v>
      </c>
      <c r="W3097" s="113">
        <f>'Data_in-situ'!DR77</f>
        <v>11.097</v>
      </c>
      <c r="X3097" s="113">
        <f>'Data_in-situ'!DS77</f>
        <v>12.912818417114034</v>
      </c>
      <c r="Y3097" s="46">
        <f>'Data_in-situ'!DT77</f>
        <v>6</v>
      </c>
      <c r="Z3097" s="113">
        <f>'Data_in-situ'!EA96</f>
        <v>1.257142857142857E-2</v>
      </c>
      <c r="AA3097" s="113">
        <f>'Data_in-situ'!EB96</f>
        <v>7.2285424920190175E-2</v>
      </c>
      <c r="AB3097" s="46">
        <f>'Data_in-situ'!EC96</f>
        <v>3</v>
      </c>
      <c r="AC3097" s="113">
        <f>'Data_in-situ'!EE96</f>
        <v>1.4142857142857141E-2</v>
      </c>
      <c r="AD3097" s="113">
        <f>'Data_in-situ'!EF96</f>
        <v>2.1117256969304946E-2</v>
      </c>
      <c r="AE3097" s="46">
        <f>'Data_in-situ'!EG96</f>
        <v>3</v>
      </c>
      <c r="AF3097" s="113">
        <f>'Data_in-situ'!EN59</f>
        <v>-38</v>
      </c>
      <c r="AG3097" s="113">
        <f>'Data_in-situ'!EO59</f>
        <v>7.6</v>
      </c>
      <c r="AH3097" s="110">
        <f>'Data_in-situ'!EP59</f>
        <v>3</v>
      </c>
      <c r="AI3097" s="113">
        <f>'Data_in-situ'!ER59</f>
        <v>-73</v>
      </c>
      <c r="AJ3097" s="113">
        <f>'Data_in-situ'!ES59</f>
        <v>10.3</v>
      </c>
      <c r="AK3097" s="110">
        <f>'Data_in-situ'!ET59</f>
        <v>3</v>
      </c>
    </row>
    <row r="3098" spans="1:37" x14ac:dyDescent="0.3">
      <c r="B3098" s="24">
        <f>'Data_in-situ'!CA199</f>
        <v>-17120.448467345523</v>
      </c>
      <c r="C3098" s="24">
        <f>'Data_in-situ'!CB199</f>
        <v>4174.1444262492878</v>
      </c>
      <c r="D3098" s="46">
        <f>'Data_in-situ'!CC199</f>
        <v>1</v>
      </c>
      <c r="E3098" s="24">
        <f>'Data_in-situ'!CE199</f>
        <v>-14041.350510064822</v>
      </c>
      <c r="F3098" s="24">
        <f>'Data_in-situ'!CF199</f>
        <v>5227.1608672305301</v>
      </c>
      <c r="G3098" s="46">
        <f>'Data_in-situ'!CG199</f>
        <v>1</v>
      </c>
      <c r="H3098" s="24">
        <f>'Data_in-situ'!CN199</f>
        <v>12896.16741487473</v>
      </c>
      <c r="I3098" s="24">
        <f>'Data_in-situ'!CO199</f>
        <v>3709.2899364025543</v>
      </c>
      <c r="J3098" s="46">
        <f>'Data_in-situ'!CP199</f>
        <v>1</v>
      </c>
      <c r="K3098" s="24">
        <f>'Data_in-situ'!CR199</f>
        <v>14385.676578962597</v>
      </c>
      <c r="L3098" s="24">
        <f>'Data_in-situ'!CS199</f>
        <v>3774.6745086112619</v>
      </c>
      <c r="M3098" s="46">
        <f>'Data_in-situ'!CT199</f>
        <v>1</v>
      </c>
      <c r="N3098" s="24">
        <f>'Data_in-situ'!DA74</f>
        <v>4570.0341454963009</v>
      </c>
      <c r="O3098" s="24">
        <f>'Data_in-situ'!DB74</f>
        <v>7489.8905028845447</v>
      </c>
      <c r="P3098" s="46">
        <f>'Data_in-situ'!DC74</f>
        <v>3</v>
      </c>
      <c r="Q3098" s="24">
        <f>'Data_in-situ'!DE74</f>
        <v>18639.322013769135</v>
      </c>
      <c r="R3098" s="24">
        <f>'Data_in-situ'!DF74</f>
        <v>3134.0545713270785</v>
      </c>
      <c r="S3098" s="46">
        <f>'Data_in-situ'!DG74</f>
        <v>3</v>
      </c>
      <c r="T3098" s="113">
        <f>'Data_in-situ'!DN78</f>
        <v>107.85213477594468</v>
      </c>
      <c r="U3098" s="113">
        <f>'Data_in-situ'!DO78</f>
        <v>101.11467674058741</v>
      </c>
      <c r="V3098" s="46">
        <f>'Data_in-situ'!DP78</f>
        <v>6</v>
      </c>
      <c r="W3098" s="113">
        <f>'Data_in-situ'!DR78</f>
        <v>23.372199999999999</v>
      </c>
      <c r="X3098" s="113">
        <f>'Data_in-situ'!DS78</f>
        <v>23.116574134644171</v>
      </c>
      <c r="Y3098" s="46">
        <f>'Data_in-situ'!DT78</f>
        <v>6</v>
      </c>
      <c r="Z3098" s="113">
        <f>'Data_in-situ'!EA97</f>
        <v>1.257142857142857E-2</v>
      </c>
      <c r="AA3098" s="113">
        <f>'Data_in-situ'!EB97</f>
        <v>7.2285424920190175E-2</v>
      </c>
      <c r="AB3098" s="46">
        <f>'Data_in-situ'!EC97</f>
        <v>3</v>
      </c>
      <c r="AC3098" s="113">
        <f>'Data_in-situ'!EE97</f>
        <v>1.4142857142857141E-2</v>
      </c>
      <c r="AD3098" s="113">
        <f>'Data_in-situ'!EF97</f>
        <v>2.1117256969304946E-2</v>
      </c>
      <c r="AE3098" s="46">
        <f>'Data_in-situ'!EG97</f>
        <v>3</v>
      </c>
      <c r="AF3098" s="113">
        <f>'Data_in-situ'!EN60</f>
        <v>-38</v>
      </c>
      <c r="AG3098" s="113">
        <f>'Data_in-situ'!EO60</f>
        <v>7.6</v>
      </c>
      <c r="AH3098" s="110">
        <f>'Data_in-situ'!EP60</f>
        <v>3</v>
      </c>
      <c r="AI3098" s="113">
        <f>'Data_in-situ'!ER60</f>
        <v>-112</v>
      </c>
      <c r="AJ3098" s="113">
        <f>'Data_in-situ'!ES60</f>
        <v>15.2</v>
      </c>
      <c r="AK3098" s="110">
        <f>'Data_in-situ'!ET60</f>
        <v>3</v>
      </c>
    </row>
    <row r="3099" spans="1:37" x14ac:dyDescent="0.3">
      <c r="B3099" s="24">
        <f>'Data_in-situ'!CA200</f>
        <v>-15725.784017121432</v>
      </c>
      <c r="C3099" s="24">
        <f>'Data_in-situ'!CB200</f>
        <v>3834.1106442782989</v>
      </c>
      <c r="D3099" s="46">
        <f>'Data_in-situ'!CC200</f>
        <v>1</v>
      </c>
      <c r="E3099" s="24">
        <f>'Data_in-situ'!CE200</f>
        <v>-16611.232720206455</v>
      </c>
      <c r="F3099" s="24">
        <f>'Data_in-situ'!CF200</f>
        <v>6183.8485955665874</v>
      </c>
      <c r="G3099" s="46">
        <f>'Data_in-situ'!CG200</f>
        <v>1</v>
      </c>
      <c r="H3099" s="24">
        <f>'Data_in-situ'!CN200</f>
        <v>12587.493371634213</v>
      </c>
      <c r="I3099" s="24">
        <f>'Data_in-situ'!CO200</f>
        <v>3620.5068518327839</v>
      </c>
      <c r="J3099" s="46">
        <f>'Data_in-situ'!CP200</f>
        <v>1</v>
      </c>
      <c r="K3099" s="24">
        <f>'Data_in-situ'!CR200</f>
        <v>17012.76988978263</v>
      </c>
      <c r="L3099" s="24">
        <f>'Data_in-situ'!CS200</f>
        <v>4464.0005961028419</v>
      </c>
      <c r="M3099" s="46">
        <f>'Data_in-situ'!CT200</f>
        <v>1</v>
      </c>
      <c r="N3099" s="24">
        <f>'Data_in-situ'!DA197</f>
        <v>-6476.6640398246809</v>
      </c>
      <c r="O3099" s="24">
        <f>'Data_in-situ'!DB197</f>
        <v>2851.847869896872</v>
      </c>
      <c r="P3099" s="46">
        <f>'Data_in-situ'!DC197</f>
        <v>3</v>
      </c>
      <c r="Q3099" s="24">
        <f>'Data_in-situ'!DE197</f>
        <v>303.7999143045227</v>
      </c>
      <c r="R3099" s="24">
        <f>'Data_in-situ'!DF197</f>
        <v>833.8763402434389</v>
      </c>
      <c r="S3099" s="46">
        <f>'Data_in-situ'!DG197</f>
        <v>3</v>
      </c>
      <c r="T3099" s="113">
        <f>'Data_in-situ'!DN81</f>
        <v>131.4</v>
      </c>
      <c r="U3099" s="113">
        <f>'Data_in-situ'!DO81</f>
        <v>146.49513859561415</v>
      </c>
      <c r="V3099" s="46">
        <f>'Data_in-situ'!DP81</f>
        <v>3</v>
      </c>
      <c r="W3099" s="113">
        <f>'Data_in-situ'!DR81</f>
        <v>38.799999999999997</v>
      </c>
      <c r="X3099" s="113">
        <f>'Data_in-situ'!DS81</f>
        <v>145.00399223168318</v>
      </c>
      <c r="Y3099" s="46">
        <f>'Data_in-situ'!DT81</f>
        <v>3</v>
      </c>
      <c r="Z3099" s="113">
        <f>'Data_in-situ'!EA201</f>
        <v>0</v>
      </c>
      <c r="AA3099" s="113">
        <f>'Data_in-situ'!EB201</f>
        <v>0</v>
      </c>
      <c r="AB3099" s="46">
        <f>'Data_in-situ'!EC201</f>
        <v>3</v>
      </c>
      <c r="AC3099" s="113">
        <f>'Data_in-situ'!EE201</f>
        <v>0.03</v>
      </c>
      <c r="AD3099" s="113">
        <f>'Data_in-situ'!EF201</f>
        <v>4.4794181450040799E-2</v>
      </c>
      <c r="AE3099" s="46">
        <f>'Data_in-situ'!EG201</f>
        <v>3</v>
      </c>
      <c r="AF3099" s="113">
        <f>'Data_in-situ'!EN61</f>
        <v>-44</v>
      </c>
      <c r="AG3099" s="113">
        <f>'Data_in-situ'!EO61</f>
        <v>6.8</v>
      </c>
      <c r="AH3099" s="110">
        <f>'Data_in-situ'!EP61</f>
        <v>3</v>
      </c>
      <c r="AI3099" s="113">
        <f>'Data_in-situ'!ER61</f>
        <v>-79</v>
      </c>
      <c r="AJ3099" s="113">
        <f>'Data_in-situ'!ES61</f>
        <v>12.3</v>
      </c>
      <c r="AK3099" s="110">
        <f>'Data_in-situ'!ET61</f>
        <v>3</v>
      </c>
    </row>
    <row r="3100" spans="1:37" x14ac:dyDescent="0.3">
      <c r="B3100" s="24">
        <f>'Data_in-situ'!CA339</f>
        <v>-2994.9187190031953</v>
      </c>
      <c r="C3100" s="24">
        <f>'Data_in-situ'!CB339</f>
        <v>676.52043369186902</v>
      </c>
      <c r="D3100" s="46">
        <f>'Data_in-situ'!CC339</f>
        <v>3</v>
      </c>
      <c r="E3100" s="24">
        <f>'Data_in-situ'!CE339</f>
        <v>-2403.5364233284786</v>
      </c>
      <c r="F3100" s="24">
        <f>'Data_in-situ'!CF339</f>
        <v>338.39733243694133</v>
      </c>
      <c r="G3100" s="46">
        <f>'Data_in-situ'!CG339</f>
        <v>3</v>
      </c>
      <c r="H3100" s="24">
        <f>'Data_in-situ'!CN339</f>
        <v>3969.4505741620792</v>
      </c>
      <c r="I3100" s="24">
        <f>'Data_in-situ'!CO339</f>
        <v>723.08718823658228</v>
      </c>
      <c r="J3100" s="46">
        <f>'Data_in-situ'!CP339</f>
        <v>3</v>
      </c>
      <c r="K3100" s="24">
        <f>'Data_in-situ'!CR339</f>
        <v>4246.5463132141167</v>
      </c>
      <c r="L3100" s="24">
        <f>'Data_in-situ'!CS339</f>
        <v>528.2044209164568</v>
      </c>
      <c r="M3100" s="46">
        <f>'Data_in-situ'!CT339</f>
        <v>3</v>
      </c>
      <c r="N3100" s="24">
        <f>'Data_in-situ'!DA198</f>
        <v>-5712.1472856207492</v>
      </c>
      <c r="O3100" s="24">
        <f>'Data_in-situ'!DB198</f>
        <v>3273.2058172899874</v>
      </c>
      <c r="P3100" s="46">
        <f>'Data_in-situ'!DC198</f>
        <v>3</v>
      </c>
      <c r="Q3100" s="24">
        <f>'Data_in-situ'!DE198</f>
        <v>-61.395104632969371</v>
      </c>
      <c r="R3100" s="24">
        <f>'Data_in-situ'!DF198</f>
        <v>529.41384138606963</v>
      </c>
      <c r="S3100" s="46">
        <f>'Data_in-situ'!DG198</f>
        <v>3</v>
      </c>
      <c r="T3100" s="113">
        <f>'Data_in-situ'!DN82</f>
        <v>131.4</v>
      </c>
      <c r="U3100" s="113">
        <f>'Data_in-situ'!DO82</f>
        <v>146.49513859561415</v>
      </c>
      <c r="V3100" s="46">
        <f>'Data_in-situ'!DP82</f>
        <v>3</v>
      </c>
      <c r="W3100" s="113">
        <f>'Data_in-situ'!DR82</f>
        <v>1.4000000000000001</v>
      </c>
      <c r="X3100" s="113">
        <f>'Data_in-situ'!DS82</f>
        <v>5.2321028124834141</v>
      </c>
      <c r="Y3100" s="46">
        <f>'Data_in-situ'!DT82</f>
        <v>3</v>
      </c>
      <c r="Z3100" s="113">
        <f>'Data_in-situ'!EA202</f>
        <v>0</v>
      </c>
      <c r="AA3100" s="113">
        <f>'Data_in-situ'!EB202</f>
        <v>0</v>
      </c>
      <c r="AB3100" s="46">
        <f>'Data_in-situ'!EC202</f>
        <v>3</v>
      </c>
      <c r="AC3100" s="113">
        <f>'Data_in-situ'!EE202</f>
        <v>0.05</v>
      </c>
      <c r="AD3100" s="113">
        <f>'Data_in-situ'!EF202</f>
        <v>7.4656969083401345E-2</v>
      </c>
      <c r="AE3100" s="46">
        <f>'Data_in-situ'!EG202</f>
        <v>3</v>
      </c>
      <c r="AF3100" s="113">
        <f>'Data_in-situ'!EN62</f>
        <v>-44</v>
      </c>
      <c r="AG3100" s="113">
        <f>'Data_in-situ'!EO62</f>
        <v>6.8</v>
      </c>
      <c r="AH3100" s="110">
        <f>'Data_in-situ'!EP62</f>
        <v>3</v>
      </c>
      <c r="AI3100" s="113">
        <f>'Data_in-situ'!ER62</f>
        <v>-116</v>
      </c>
      <c r="AJ3100" s="113">
        <f>'Data_in-situ'!ES62</f>
        <v>11.8</v>
      </c>
      <c r="AK3100" s="110">
        <f>'Data_in-situ'!ET62</f>
        <v>3</v>
      </c>
    </row>
    <row r="3101" spans="1:37" x14ac:dyDescent="0.3">
      <c r="B3101" s="24">
        <f>'Data_in-situ'!CA340</f>
        <v>-3247.736532945024</v>
      </c>
      <c r="C3101" s="24">
        <f>'Data_in-situ'!CB340</f>
        <v>576.55145764577287</v>
      </c>
      <c r="D3101" s="46">
        <f>'Data_in-situ'!CC340</f>
        <v>3</v>
      </c>
      <c r="E3101" s="24">
        <f>'Data_in-situ'!CE340</f>
        <v>-2538.1344630348735</v>
      </c>
      <c r="F3101" s="24">
        <f>'Data_in-situ'!CF340</f>
        <v>178.15163353403054</v>
      </c>
      <c r="G3101" s="46">
        <f>'Data_in-situ'!CG340</f>
        <v>3</v>
      </c>
      <c r="H3101" s="24">
        <f>'Data_in-situ'!CN340</f>
        <v>4869.5004136523185</v>
      </c>
      <c r="I3101" s="24">
        <f>'Data_in-situ'!CO340</f>
        <v>764.57941069494359</v>
      </c>
      <c r="J3101" s="46">
        <f>'Data_in-situ'!CP340</f>
        <v>3</v>
      </c>
      <c r="K3101" s="24">
        <f>'Data_in-situ'!CR340</f>
        <v>4268.1023858700255</v>
      </c>
      <c r="L3101" s="24">
        <f>'Data_in-situ'!CS340</f>
        <v>956.60990521947133</v>
      </c>
      <c r="M3101" s="46">
        <f>'Data_in-situ'!CT340</f>
        <v>3</v>
      </c>
      <c r="N3101" s="24">
        <f>'Data_in-situ'!DA199</f>
        <v>-4224.281052470792</v>
      </c>
      <c r="O3101" s="24">
        <f>'Data_in-situ'!DB199</f>
        <v>12671.392364777903</v>
      </c>
      <c r="P3101" s="46">
        <f>'Data_in-situ'!DC199</f>
        <v>1</v>
      </c>
      <c r="Q3101" s="24">
        <f>'Data_in-situ'!DE199</f>
        <v>344.32606889777549</v>
      </c>
      <c r="R3101" s="24">
        <f>'Data_in-situ'!DF199</f>
        <v>328.19191145947599</v>
      </c>
      <c r="S3101" s="46">
        <f>'Data_in-situ'!DG199</f>
        <v>1</v>
      </c>
      <c r="T3101" s="113">
        <f>'Data_in-situ'!DN83</f>
        <v>131.4</v>
      </c>
      <c r="U3101" s="113">
        <f>'Data_in-situ'!DO83</f>
        <v>146.49513859561415</v>
      </c>
      <c r="V3101" s="46">
        <f>'Data_in-situ'!DP83</f>
        <v>3</v>
      </c>
      <c r="W3101" s="113">
        <f>'Data_in-situ'!DR83</f>
        <v>3.6</v>
      </c>
      <c r="X3101" s="113">
        <f>'Data_in-situ'!DS83</f>
        <v>13.453978660671636</v>
      </c>
      <c r="Y3101" s="46">
        <f>'Data_in-situ'!DT83</f>
        <v>3</v>
      </c>
      <c r="Z3101" s="113">
        <f>'Data_in-situ'!EA211</f>
        <v>-0.17393369108406392</v>
      </c>
      <c r="AA3101" s="113">
        <f>'Data_in-situ'!EB211</f>
        <v>1.6605685683663671</v>
      </c>
      <c r="AB3101" s="46">
        <f>'Data_in-situ'!EC211</f>
        <v>46</v>
      </c>
      <c r="AC3101" s="113">
        <f>'Data_in-situ'!EE211</f>
        <v>6.6517114309370617</v>
      </c>
      <c r="AD3101" s="113">
        <f>'Data_in-situ'!EF211</f>
        <v>10.95710857096801</v>
      </c>
      <c r="AE3101" s="46">
        <f>'Data_in-situ'!EG211</f>
        <v>73</v>
      </c>
      <c r="AF3101" s="113">
        <f>'Data_in-situ'!EN63</f>
        <v>-50</v>
      </c>
      <c r="AG3101" s="113">
        <f>'Data_in-situ'!EO63</f>
        <v>6.8</v>
      </c>
      <c r="AH3101" s="110">
        <f>'Data_in-situ'!EP63</f>
        <v>3</v>
      </c>
      <c r="AI3101" s="113">
        <f>'Data_in-situ'!ER63</f>
        <v>-85</v>
      </c>
      <c r="AJ3101" s="113">
        <f>'Data_in-situ'!ES63</f>
        <v>12.3</v>
      </c>
      <c r="AK3101" s="110">
        <f>'Data_in-situ'!ET63</f>
        <v>3</v>
      </c>
    </row>
    <row r="3102" spans="1:37" x14ac:dyDescent="0.3">
      <c r="B3102" s="24">
        <f>'Data_in-situ'!CA341</f>
        <v>-4239.5602645629651</v>
      </c>
      <c r="C3102" s="24">
        <f>'Data_in-situ'!CB341</f>
        <v>1115.0244091372156</v>
      </c>
      <c r="D3102" s="46">
        <f>'Data_in-situ'!CC341</f>
        <v>3</v>
      </c>
      <c r="E3102" s="24">
        <f>'Data_in-situ'!CE341</f>
        <v>-3364.9509926598698</v>
      </c>
      <c r="F3102" s="24">
        <f>'Data_in-situ'!CF341</f>
        <v>1102.2450453899555</v>
      </c>
      <c r="G3102" s="46">
        <f>'Data_in-situ'!CG341</f>
        <v>3</v>
      </c>
      <c r="H3102" s="24">
        <f>'Data_in-situ'!CN341</f>
        <v>7477.3371280727561</v>
      </c>
      <c r="I3102" s="24">
        <f>'Data_in-situ'!CO341</f>
        <v>1843.7169743300331</v>
      </c>
      <c r="J3102" s="46">
        <f>'Data_in-situ'!CP341</f>
        <v>3</v>
      </c>
      <c r="K3102" s="24">
        <f>'Data_in-situ'!CR341</f>
        <v>5971.0321256868547</v>
      </c>
      <c r="L3102" s="24">
        <f>'Data_in-situ'!CS341</f>
        <v>1963.4643578324303</v>
      </c>
      <c r="M3102" s="46">
        <f>'Data_in-situ'!CT341</f>
        <v>3</v>
      </c>
      <c r="N3102" s="24">
        <f>'Data_in-situ'!DA200</f>
        <v>-3138.2906454872195</v>
      </c>
      <c r="O3102" s="24">
        <f>'Data_in-situ'!DB200</f>
        <v>9413.7941177993216</v>
      </c>
      <c r="P3102" s="46">
        <f>'Data_in-situ'!DC200</f>
        <v>1</v>
      </c>
      <c r="Q3102" s="24">
        <f>'Data_in-situ'!DE200</f>
        <v>401.53716957617513</v>
      </c>
      <c r="R3102" s="24">
        <f>'Data_in-situ'!DF200</f>
        <v>382.72225982505051</v>
      </c>
      <c r="S3102" s="46">
        <f>'Data_in-situ'!DG200</f>
        <v>1</v>
      </c>
      <c r="T3102" s="113">
        <f>'Data_in-situ'!DN84</f>
        <v>255.99999999999997</v>
      </c>
      <c r="U3102" s="113">
        <f>'Data_in-situ'!DO84</f>
        <v>285.40909802494076</v>
      </c>
      <c r="V3102" s="46">
        <f>'Data_in-situ'!DP84</f>
        <v>3</v>
      </c>
      <c r="W3102" s="113">
        <f>'Data_in-situ'!DR84</f>
        <v>-0.4</v>
      </c>
      <c r="X3102" s="113">
        <f>'Data_in-situ'!DS84</f>
        <v>1.494886517852404</v>
      </c>
      <c r="Y3102" s="46">
        <f>'Data_in-situ'!DT84</f>
        <v>3</v>
      </c>
      <c r="Z3102" s="113">
        <f>'Data_in-situ'!EA212</f>
        <v>4.2926101488275123E-2</v>
      </c>
      <c r="AA3102" s="113">
        <f>'Data_in-situ'!EB212</f>
        <v>0.24682409549693443</v>
      </c>
      <c r="AB3102" s="46">
        <f>'Data_in-situ'!EC212</f>
        <v>46</v>
      </c>
      <c r="AC3102" s="113">
        <f>'Data_in-situ'!EE212</f>
        <v>38.025961499819161</v>
      </c>
      <c r="AD3102" s="113">
        <f>'Data_in-situ'!EF212</f>
        <v>56.778060641172175</v>
      </c>
      <c r="AE3102" s="46">
        <f>'Data_in-situ'!EG212</f>
        <v>66</v>
      </c>
      <c r="AF3102" s="113">
        <f>'Data_in-situ'!EN64</f>
        <v>-50</v>
      </c>
      <c r="AG3102" s="113">
        <f>'Data_in-situ'!EO64</f>
        <v>6.8</v>
      </c>
      <c r="AH3102" s="110">
        <f>'Data_in-situ'!EP64</f>
        <v>3</v>
      </c>
      <c r="AI3102" s="113">
        <f>'Data_in-situ'!ER64</f>
        <v>-120</v>
      </c>
      <c r="AJ3102" s="113">
        <f>'Data_in-situ'!ES64</f>
        <v>11.8</v>
      </c>
      <c r="AK3102" s="110">
        <f>'Data_in-situ'!ET64</f>
        <v>3</v>
      </c>
    </row>
    <row r="3103" spans="1:37" x14ac:dyDescent="0.3">
      <c r="B3103" s="24">
        <f>'Data_in-situ'!CA342</f>
        <v>-2945.161089648047</v>
      </c>
      <c r="C3103" s="24">
        <f>'Data_in-situ'!CB342</f>
        <v>96.327483684879894</v>
      </c>
      <c r="D3103" s="46">
        <f>'Data_in-situ'!CC342</f>
        <v>3</v>
      </c>
      <c r="E3103" s="24">
        <f>'Data_in-situ'!CE342</f>
        <v>-2329.5681312375768</v>
      </c>
      <c r="F3103" s="24">
        <f>'Data_in-situ'!CF342</f>
        <v>936.72704913647306</v>
      </c>
      <c r="G3103" s="46">
        <f>'Data_in-situ'!CG342</f>
        <v>3</v>
      </c>
      <c r="H3103" s="24">
        <f>'Data_in-situ'!CN342</f>
        <v>2386.82655517393</v>
      </c>
      <c r="I3103" s="24">
        <f>'Data_in-situ'!CO342</f>
        <v>98.565445597832763</v>
      </c>
      <c r="J3103" s="46">
        <f>'Data_in-situ'!CP342</f>
        <v>3</v>
      </c>
      <c r="K3103" s="24">
        <f>'Data_in-situ'!CR342</f>
        <v>2420.4945007500228</v>
      </c>
      <c r="L3103" s="24">
        <f>'Data_in-situ'!CS342</f>
        <v>226.67580770330741</v>
      </c>
      <c r="M3103" s="46">
        <f>'Data_in-situ'!CT342</f>
        <v>3</v>
      </c>
      <c r="N3103" s="24">
        <f>'Data_in-situ'!DA201</f>
        <v>-2040</v>
      </c>
      <c r="O3103" s="24">
        <f>'Data_in-situ'!DB201</f>
        <v>6119.2993797198715</v>
      </c>
      <c r="P3103" s="46">
        <f>'Data_in-situ'!DC201</f>
        <v>3</v>
      </c>
      <c r="Q3103" s="24">
        <f>'Data_in-situ'!DE201</f>
        <v>5060</v>
      </c>
      <c r="R3103" s="24">
        <f>'Data_in-situ'!DF201</f>
        <v>698.59382571944718</v>
      </c>
      <c r="S3103" s="46">
        <f>'Data_in-situ'!DG201</f>
        <v>3</v>
      </c>
      <c r="T3103" s="113">
        <f>'Data_in-situ'!DN85</f>
        <v>580</v>
      </c>
      <c r="U3103" s="113">
        <f>'Data_in-situ'!DO85</f>
        <v>646.62998771275659</v>
      </c>
      <c r="V3103" s="46">
        <f>'Data_in-situ'!DP85</f>
        <v>3</v>
      </c>
      <c r="W3103" s="113">
        <f>'Data_in-situ'!DR85</f>
        <v>0.53333333333333333</v>
      </c>
      <c r="X3103" s="113">
        <f>'Data_in-situ'!DS85</f>
        <v>1.9931820238032052</v>
      </c>
      <c r="Y3103" s="46">
        <f>'Data_in-situ'!DT85</f>
        <v>3</v>
      </c>
      <c r="Z3103" s="113">
        <f>'Data_in-situ'!EA214</f>
        <v>0.7</v>
      </c>
      <c r="AA3103" s="113">
        <f>'Data_in-situ'!EB214</f>
        <v>4.0249838876014987</v>
      </c>
      <c r="AB3103" s="46">
        <f>'Data_in-situ'!EC214</f>
        <v>3</v>
      </c>
      <c r="AC3103" s="113">
        <f>'Data_in-situ'!EE214</f>
        <v>0.8</v>
      </c>
      <c r="AD3103" s="113">
        <f>'Data_in-situ'!EF214</f>
        <v>1.1945115053344215</v>
      </c>
      <c r="AE3103" s="46">
        <f>'Data_in-situ'!EG214</f>
        <v>3</v>
      </c>
      <c r="AF3103" s="113">
        <f>'Data_in-situ'!EN73</f>
        <v>-38</v>
      </c>
      <c r="AG3103" s="113">
        <f>'Data_in-situ'!EO73</f>
        <v>7.6</v>
      </c>
      <c r="AH3103" s="110">
        <f>'Data_in-situ'!EP73</f>
        <v>3</v>
      </c>
      <c r="AI3103" s="113">
        <f>'Data_in-situ'!ER73</f>
        <v>-112</v>
      </c>
      <c r="AJ3103" s="113">
        <f>'Data_in-situ'!ES73</f>
        <v>15.2</v>
      </c>
      <c r="AK3103" s="110">
        <f>'Data_in-situ'!ET73</f>
        <v>3</v>
      </c>
    </row>
    <row r="3104" spans="1:37" x14ac:dyDescent="0.3">
      <c r="B3104" s="24">
        <f>'Data_in-situ'!CA343</f>
        <v>-2887.6945318012554</v>
      </c>
      <c r="C3104" s="24">
        <f>'Data_in-situ'!CB343</f>
        <v>116.06106513063514</v>
      </c>
      <c r="D3104" s="46">
        <f>'Data_in-situ'!CC343</f>
        <v>3</v>
      </c>
      <c r="E3104" s="24">
        <f>'Data_in-situ'!CE343</f>
        <v>-2017.0650892422923</v>
      </c>
      <c r="F3104" s="24">
        <f>'Data_in-situ'!CF343</f>
        <v>715.26564447368787</v>
      </c>
      <c r="G3104" s="46">
        <f>'Data_in-situ'!CG343</f>
        <v>3</v>
      </c>
      <c r="H3104" s="24">
        <f>'Data_in-situ'!CN343</f>
        <v>2301.5827496320044</v>
      </c>
      <c r="I3104" s="24">
        <f>'Data_in-situ'!CO343</f>
        <v>97.898666178602923</v>
      </c>
      <c r="J3104" s="46">
        <f>'Data_in-situ'!CP343</f>
        <v>3</v>
      </c>
      <c r="K3104" s="24">
        <f>'Data_in-situ'!CR343</f>
        <v>2420.4945007500228</v>
      </c>
      <c r="L3104" s="24">
        <f>'Data_in-situ'!CS343</f>
        <v>564.27419535299123</v>
      </c>
      <c r="M3104" s="46">
        <f>'Data_in-situ'!CT343</f>
        <v>3</v>
      </c>
      <c r="N3104" s="24">
        <f>'Data_in-situ'!DA202</f>
        <v>-4180</v>
      </c>
      <c r="O3104" s="24">
        <f>'Data_in-situ'!DB202</f>
        <v>12538.564415308363</v>
      </c>
      <c r="P3104" s="46">
        <f>'Data_in-situ'!DC202</f>
        <v>3</v>
      </c>
      <c r="Q3104" s="24">
        <f>'Data_in-situ'!DE202</f>
        <v>1540</v>
      </c>
      <c r="R3104" s="24">
        <f>'Data_in-situ'!DF202</f>
        <v>1460.696181049753</v>
      </c>
      <c r="S3104" s="46">
        <f>'Data_in-situ'!DG202</f>
        <v>3</v>
      </c>
      <c r="T3104" s="113">
        <f>'Data_in-situ'!DN86</f>
        <v>78.666666666666671</v>
      </c>
      <c r="U3104" s="113">
        <f>'Data_in-situ'!DO86</f>
        <v>87.703837413914115</v>
      </c>
      <c r="V3104" s="46">
        <f>'Data_in-situ'!DP86</f>
        <v>3</v>
      </c>
      <c r="W3104" s="113">
        <f>'Data_in-situ'!DR86</f>
        <v>34.666666666666664</v>
      </c>
      <c r="X3104" s="113">
        <f>'Data_in-situ'!DS86</f>
        <v>129.55683154720833</v>
      </c>
      <c r="Y3104" s="46">
        <f>'Data_in-situ'!DT86</f>
        <v>3</v>
      </c>
      <c r="Z3104" s="113">
        <f>'Data_in-situ'!EA216</f>
        <v>7.5428571428571428E-2</v>
      </c>
      <c r="AA3104" s="113">
        <f>'Data_in-situ'!EB216</f>
        <v>0.15514226519224084</v>
      </c>
      <c r="AB3104" s="46">
        <f>'Data_in-situ'!EC216</f>
        <v>3</v>
      </c>
      <c r="AC3104" s="113">
        <f>'Data_in-situ'!EE216</f>
        <v>6.4428571428571418E-2</v>
      </c>
      <c r="AD3104" s="113">
        <f>'Data_in-situ'!EF216</f>
        <v>0.21502173596819346</v>
      </c>
      <c r="AE3104" s="46">
        <f>'Data_in-situ'!EG216</f>
        <v>3</v>
      </c>
      <c r="AF3104" s="113">
        <f>'Data_in-situ'!EN74</f>
        <v>-44</v>
      </c>
      <c r="AG3104" s="113">
        <f>'Data_in-situ'!EO74</f>
        <v>6.8</v>
      </c>
      <c r="AH3104" s="110">
        <f>'Data_in-situ'!EP74</f>
        <v>3</v>
      </c>
      <c r="AI3104" s="113">
        <f>'Data_in-situ'!ER74</f>
        <v>-116</v>
      </c>
      <c r="AJ3104" s="113">
        <f>'Data_in-situ'!ES74</f>
        <v>11.8</v>
      </c>
      <c r="AK3104" s="110">
        <f>'Data_in-situ'!ET74</f>
        <v>3</v>
      </c>
    </row>
    <row r="3105" spans="2:37" x14ac:dyDescent="0.3">
      <c r="B3105" s="24">
        <f>'Data_in-situ'!CA344</f>
        <v>-2413.5954295652286</v>
      </c>
      <c r="C3105" s="24">
        <f>'Data_in-situ'!CB344</f>
        <v>229.44356214196344</v>
      </c>
      <c r="D3105" s="46">
        <f>'Data_in-situ'!CC344</f>
        <v>3</v>
      </c>
      <c r="E3105" s="24">
        <f>'Data_in-situ'!CE344</f>
        <v>-1974.4510380611171</v>
      </c>
      <c r="F3105" s="24">
        <f>'Data_in-situ'!CF344</f>
        <v>445.58850967321683</v>
      </c>
      <c r="G3105" s="46">
        <f>'Data_in-situ'!CG344</f>
        <v>3</v>
      </c>
      <c r="H3105" s="24">
        <f>'Data_in-situ'!CN344</f>
        <v>3307.4596550267315</v>
      </c>
      <c r="I3105" s="24">
        <f>'Data_in-situ'!CO344</f>
        <v>917.36533177060426</v>
      </c>
      <c r="J3105" s="46">
        <f>'Data_in-situ'!CP344</f>
        <v>3</v>
      </c>
      <c r="K3105" s="24">
        <f>'Data_in-situ'!CR344</f>
        <v>2945.9965963075938</v>
      </c>
      <c r="L3105" s="24">
        <f>'Data_in-situ'!CS344</f>
        <v>650.63940348918732</v>
      </c>
      <c r="M3105" s="46">
        <f>'Data_in-situ'!CT344</f>
        <v>3</v>
      </c>
      <c r="N3105" s="24">
        <f>'Data_in-situ'!DA213</f>
        <v>-5500</v>
      </c>
      <c r="O3105" s="24">
        <f>'Data_in-situ'!DB213</f>
        <v>16498.111072774162</v>
      </c>
      <c r="P3105" s="46">
        <f>'Data_in-situ'!DC213</f>
        <v>3</v>
      </c>
      <c r="Q3105" s="24">
        <f>'Data_in-situ'!DE213</f>
        <v>-5500</v>
      </c>
      <c r="R3105" s="24">
        <f>'Data_in-situ'!DF213</f>
        <v>5242.2853686486578</v>
      </c>
      <c r="S3105" s="46">
        <f>'Data_in-situ'!DG213</f>
        <v>3</v>
      </c>
      <c r="T3105" s="113">
        <f>'Data_in-situ'!DN87</f>
        <v>31.999999999999996</v>
      </c>
      <c r="U3105" s="113">
        <f>'Data_in-situ'!DO87</f>
        <v>35.676137253117595</v>
      </c>
      <c r="V3105" s="46">
        <f>'Data_in-situ'!DP87</f>
        <v>3</v>
      </c>
      <c r="W3105" s="113">
        <f>'Data_in-situ'!DR87</f>
        <v>14.666666666666668</v>
      </c>
      <c r="X3105" s="113">
        <f>'Data_in-situ'!DS87</f>
        <v>54.812505654588151</v>
      </c>
      <c r="Y3105" s="46">
        <f>'Data_in-situ'!DT87</f>
        <v>3</v>
      </c>
      <c r="Z3105" s="113">
        <f>'Data_in-situ'!EA254</f>
        <v>1.9797330692495084E-2</v>
      </c>
      <c r="AA3105" s="113">
        <f>'Data_in-situ'!EB254</f>
        <v>9.4097353220211316E-2</v>
      </c>
      <c r="AB3105" s="46">
        <f>'Data_in-situ'!EC254</f>
        <v>3</v>
      </c>
      <c r="AC3105" s="113">
        <f>'Data_in-situ'!EE254</f>
        <v>2.4487558815364012E-2</v>
      </c>
      <c r="AD3105" s="113">
        <f>'Data_in-situ'!EF254</f>
        <v>5.089541115262039E-2</v>
      </c>
      <c r="AE3105" s="46">
        <f>'Data_in-situ'!EG254</f>
        <v>3</v>
      </c>
      <c r="AF3105" s="113">
        <f>'Data_in-situ'!EN77</f>
        <v>-4.5</v>
      </c>
      <c r="AG3105" s="113">
        <f>'Data_in-situ'!EO77</f>
        <v>2.7658633371878665</v>
      </c>
      <c r="AH3105" s="110">
        <f>'Data_in-situ'!EP77</f>
        <v>2</v>
      </c>
      <c r="AI3105" s="113">
        <f>'Data_in-situ'!ER77</f>
        <v>-18.45</v>
      </c>
      <c r="AJ3105" s="113">
        <f>'Data_in-situ'!ES77</f>
        <v>8.9505586417832035</v>
      </c>
      <c r="AK3105" s="110">
        <f>'Data_in-situ'!ET77</f>
        <v>2</v>
      </c>
    </row>
    <row r="3106" spans="2:37" x14ac:dyDescent="0.3">
      <c r="B3106" s="24">
        <f>'Data_in-situ'!CA348</f>
        <v>-3659.9602825374368</v>
      </c>
      <c r="C3106" s="24">
        <f>'Data_in-situ'!CB348</f>
        <v>593.4851284595926</v>
      </c>
      <c r="D3106" s="46">
        <f>'Data_in-situ'!CC348</f>
        <v>3</v>
      </c>
      <c r="E3106" s="24">
        <f>'Data_in-situ'!CE348</f>
        <v>-2778.6457143135131</v>
      </c>
      <c r="F3106" s="24">
        <f>'Data_in-situ'!CF348</f>
        <v>942.7176783399251</v>
      </c>
      <c r="G3106" s="46">
        <f>'Data_in-situ'!CG348</f>
        <v>3</v>
      </c>
      <c r="H3106" s="24">
        <f>'Data_in-situ'!CN348</f>
        <v>6251.1658250934079</v>
      </c>
      <c r="I3106" s="24">
        <f>'Data_in-situ'!CO348</f>
        <v>266.97663228644535</v>
      </c>
      <c r="J3106" s="46">
        <f>'Data_in-situ'!CP348</f>
        <v>3</v>
      </c>
      <c r="K3106" s="24">
        <f>'Data_in-situ'!CR348</f>
        <v>7838.2827472249573</v>
      </c>
      <c r="L3106" s="24">
        <f>'Data_in-situ'!CS348</f>
        <v>2291.0465602792738</v>
      </c>
      <c r="M3106" s="46">
        <f>'Data_in-situ'!CT348</f>
        <v>3</v>
      </c>
      <c r="N3106" s="24">
        <f>'Data_in-situ'!DA214</f>
        <v>-5500</v>
      </c>
      <c r="O3106" s="24">
        <f>'Data_in-situ'!DB214</f>
        <v>16498.111072774162</v>
      </c>
      <c r="P3106" s="46">
        <f>'Data_in-situ'!DC214</f>
        <v>3</v>
      </c>
      <c r="Q3106" s="24">
        <f>'Data_in-situ'!DE214</f>
        <v>-5500</v>
      </c>
      <c r="R3106" s="24">
        <f>'Data_in-situ'!DF214</f>
        <v>5242.2853686486578</v>
      </c>
      <c r="S3106" s="46">
        <f>'Data_in-situ'!DG214</f>
        <v>3</v>
      </c>
      <c r="T3106" s="113">
        <f>'Data_in-situ'!DN100</f>
        <v>29.877540000000003</v>
      </c>
      <c r="U3106" s="113">
        <f>'Data_in-situ'!DO100</f>
        <v>10.5768948600239</v>
      </c>
      <c r="V3106" s="46">
        <f>'Data_in-situ'!DP100</f>
        <v>3</v>
      </c>
      <c r="W3106" s="113">
        <f>'Data_in-situ'!DR100</f>
        <v>21.248370000000001</v>
      </c>
      <c r="X3106" s="113">
        <f>'Data_in-situ'!DS100</f>
        <v>3.4542118170720228</v>
      </c>
      <c r="Y3106" s="46">
        <f>'Data_in-situ'!DT100</f>
        <v>3</v>
      </c>
      <c r="Z3106" s="113">
        <f>'Data_in-situ'!EA255</f>
        <v>-0.1060571287097951</v>
      </c>
      <c r="AA3106" s="113">
        <f>'Data_in-situ'!EB255</f>
        <v>0.28407129566600942</v>
      </c>
      <c r="AB3106" s="46">
        <f>'Data_in-situ'!EC255</f>
        <v>3</v>
      </c>
      <c r="AC3106" s="113">
        <f>'Data_in-situ'!EE255</f>
        <v>-1.1798551065584481E-2</v>
      </c>
      <c r="AD3106" s="113">
        <f>'Data_in-situ'!EF255</f>
        <v>4.6464249030440392E-2</v>
      </c>
      <c r="AE3106" s="46">
        <f>'Data_in-situ'!EG255</f>
        <v>3</v>
      </c>
      <c r="AF3106" s="113">
        <f>'Data_in-situ'!EN78</f>
        <v>-4.5</v>
      </c>
      <c r="AG3106" s="113">
        <f>'Data_in-situ'!EO78</f>
        <v>2.7658633371878665</v>
      </c>
      <c r="AH3106" s="110">
        <f>'Data_in-situ'!EP78</f>
        <v>2</v>
      </c>
      <c r="AI3106" s="113">
        <f>'Data_in-situ'!ER78</f>
        <v>-14.3</v>
      </c>
      <c r="AJ3106" s="113">
        <f>'Data_in-situ'!ES78</f>
        <v>4.2793106921559225</v>
      </c>
      <c r="AK3106" s="110">
        <f>'Data_in-situ'!ET78</f>
        <v>2</v>
      </c>
    </row>
    <row r="3107" spans="2:37" x14ac:dyDescent="0.3">
      <c r="B3107" s="24">
        <f>'Data_in-situ'!CA349</f>
        <v>-4810.2335141920603</v>
      </c>
      <c r="C3107" s="24">
        <f>'Data_in-situ'!CB349</f>
        <v>507.91046480105655</v>
      </c>
      <c r="D3107" s="46">
        <f>'Data_in-situ'!CC349</f>
        <v>3</v>
      </c>
      <c r="E3107" s="24">
        <f>'Data_in-situ'!CE349</f>
        <v>-5079.1058870940042</v>
      </c>
      <c r="F3107" s="24">
        <f>'Data_in-situ'!CF349</f>
        <v>317.38779673465609</v>
      </c>
      <c r="G3107" s="46">
        <f>'Data_in-situ'!CG349</f>
        <v>3</v>
      </c>
      <c r="H3107" s="24">
        <f>'Data_in-situ'!CN349</f>
        <v>4762.0543630364182</v>
      </c>
      <c r="I3107" s="24">
        <f>'Data_in-situ'!CO349</f>
        <v>997.80477562796057</v>
      </c>
      <c r="J3107" s="46">
        <f>'Data_in-situ'!CP349</f>
        <v>3</v>
      </c>
      <c r="K3107" s="24">
        <f>'Data_in-situ'!CR349</f>
        <v>6143.1273286938667</v>
      </c>
      <c r="L3107" s="24">
        <f>'Data_in-situ'!CS349</f>
        <v>1144.5750412473667</v>
      </c>
      <c r="M3107" s="46">
        <f>'Data_in-situ'!CT349</f>
        <v>3</v>
      </c>
      <c r="N3107" s="24">
        <f>'Data_in-situ'!DA270</f>
        <v>2799.2431805620463</v>
      </c>
      <c r="O3107" s="24">
        <f>'Data_in-situ'!DB270</f>
        <v>1473.9559786073848</v>
      </c>
      <c r="P3107" s="46">
        <f>'Data_in-situ'!DC270</f>
        <v>20</v>
      </c>
      <c r="Q3107" s="24">
        <f>'Data_in-situ'!DE270</f>
        <v>6964.2392311529056</v>
      </c>
      <c r="R3107" s="24">
        <f>'Data_in-situ'!DF270</f>
        <v>2472.9188125624614</v>
      </c>
      <c r="S3107" s="46">
        <f>'Data_in-situ'!DG270</f>
        <v>20</v>
      </c>
      <c r="T3107" s="113">
        <f>'Data_in-situ'!DN101</f>
        <v>24.519000000000002</v>
      </c>
      <c r="U3107" s="113">
        <f>'Data_in-situ'!DO101</f>
        <v>3.8585295126511601</v>
      </c>
      <c r="V3107" s="46">
        <f>'Data_in-situ'!DP101</f>
        <v>3</v>
      </c>
      <c r="W3107" s="113">
        <f>'Data_in-situ'!DR101</f>
        <v>2.714</v>
      </c>
      <c r="X3107" s="113">
        <f>'Data_in-situ'!DS101</f>
        <v>1.8204276969987025</v>
      </c>
      <c r="Y3107" s="46">
        <f>'Data_in-situ'!DT101</f>
        <v>3</v>
      </c>
      <c r="Z3107" s="113">
        <f>'Data_in-situ'!EA256</f>
        <v>-4.2277844422856668E-2</v>
      </c>
      <c r="AA3107" s="113">
        <f>'Data_in-situ'!EB256</f>
        <v>0.1213395789758789</v>
      </c>
      <c r="AB3107" s="46">
        <f>'Data_in-situ'!EC256</f>
        <v>3</v>
      </c>
      <c r="AC3107" s="113">
        <f>'Data_in-situ'!EE256</f>
        <v>4.8975117630728024E-2</v>
      </c>
      <c r="AD3107" s="113">
        <f>'Data_in-situ'!EF256</f>
        <v>0.13610077440950419</v>
      </c>
      <c r="AE3107" s="46">
        <f>'Data_in-situ'!EG256</f>
        <v>3</v>
      </c>
      <c r="AF3107" s="113">
        <f>'Data_in-situ'!EN81</f>
        <v>-9</v>
      </c>
      <c r="AG3107" s="113">
        <f>'Data_in-situ'!EO81</f>
        <v>3.6674675887616401</v>
      </c>
      <c r="AH3107" s="110">
        <f>'Data_in-situ'!EP81</f>
        <v>3</v>
      </c>
      <c r="AI3107" s="113">
        <f>'Data_in-situ'!ER81</f>
        <v>-15</v>
      </c>
      <c r="AJ3107" s="113">
        <f>'Data_in-situ'!ES81</f>
        <v>3.4022108026379128</v>
      </c>
      <c r="AK3107" s="110">
        <f>'Data_in-situ'!ET81</f>
        <v>3</v>
      </c>
    </row>
    <row r="3108" spans="2:37" x14ac:dyDescent="0.3">
      <c r="B3108" s="24">
        <f>'Data_in-situ'!CA350</f>
        <v>-1686.1959873118906</v>
      </c>
      <c r="C3108" s="24">
        <f>'Data_in-situ'!CB350</f>
        <v>951.52416117583982</v>
      </c>
      <c r="D3108" s="46">
        <f>'Data_in-situ'!CC350</f>
        <v>3</v>
      </c>
      <c r="E3108" s="24">
        <f>'Data_in-situ'!CE350</f>
        <v>-4019.3433355883844</v>
      </c>
      <c r="F3108" s="24">
        <f>'Data_in-situ'!CF350</f>
        <v>183.63556153089817</v>
      </c>
      <c r="G3108" s="46">
        <f>'Data_in-situ'!CG350</f>
        <v>3</v>
      </c>
      <c r="H3108" s="24">
        <f>'Data_in-situ'!CN350</f>
        <v>2652.4797917890141</v>
      </c>
      <c r="I3108" s="24">
        <f>'Data_in-situ'!CO350</f>
        <v>1183.1159884255349</v>
      </c>
      <c r="J3108" s="46">
        <f>'Data_in-situ'!CP350</f>
        <v>3</v>
      </c>
      <c r="K3108" s="24">
        <f>'Data_in-situ'!CR350</f>
        <v>3491.7303920170334</v>
      </c>
      <c r="L3108" s="24">
        <f>'Data_in-situ'!CS350</f>
        <v>187.13801568192349</v>
      </c>
      <c r="M3108" s="46">
        <f>'Data_in-situ'!CT350</f>
        <v>3</v>
      </c>
      <c r="N3108" s="24">
        <f>'Data_in-situ'!DA339</f>
        <v>974.5318551588839</v>
      </c>
      <c r="O3108" s="24">
        <f>'Data_in-situ'!DB339</f>
        <v>469.46628575554143</v>
      </c>
      <c r="P3108" s="46">
        <f>'Data_in-situ'!DC339</f>
        <v>3</v>
      </c>
      <c r="Q3108" s="24">
        <f>'Data_in-situ'!DE339</f>
        <v>1843.0098898856381</v>
      </c>
      <c r="R3108" s="24">
        <f>'Data_in-situ'!DF339</f>
        <v>320.75875891326473</v>
      </c>
      <c r="S3108" s="46">
        <f>'Data_in-situ'!DG339</f>
        <v>3</v>
      </c>
      <c r="T3108" s="113">
        <f>'Data_in-situ'!DN102</f>
        <v>37.001000000000005</v>
      </c>
      <c r="U3108" s="113">
        <f>'Data_in-situ'!DO102</f>
        <v>14.229681127839795</v>
      </c>
      <c r="V3108" s="46">
        <f>'Data_in-situ'!DP102</f>
        <v>3</v>
      </c>
      <c r="W3108" s="113">
        <f>'Data_in-situ'!DR102</f>
        <v>17.568999999999999</v>
      </c>
      <c r="X3108" s="113">
        <f>'Data_in-situ'!DS102</f>
        <v>3.3260057125627429</v>
      </c>
      <c r="Y3108" s="46">
        <f>'Data_in-situ'!DT102</f>
        <v>3</v>
      </c>
      <c r="Z3108" s="113">
        <f>'Data_in-situ'!EA257</f>
        <v>-4.2422851483918042E-3</v>
      </c>
      <c r="AA3108" s="113">
        <f>'Data_in-situ'!EB257</f>
        <v>0.15345744896774013</v>
      </c>
      <c r="AB3108" s="46">
        <f>'Data_in-situ'!EC257</f>
        <v>3</v>
      </c>
      <c r="AC3108" s="113">
        <f>'Data_in-situ'!EE257</f>
        <v>0.11130708552438189</v>
      </c>
      <c r="AD3108" s="113">
        <f>'Data_in-situ'!EF257</f>
        <v>0.10440008400553796</v>
      </c>
      <c r="AE3108" s="46">
        <f>'Data_in-situ'!EG257</f>
        <v>3</v>
      </c>
      <c r="AF3108" s="113">
        <f>'Data_in-situ'!EN82</f>
        <v>-9</v>
      </c>
      <c r="AG3108" s="113">
        <f>'Data_in-situ'!EO82</f>
        <v>3.6674675887616401</v>
      </c>
      <c r="AH3108" s="110">
        <f>'Data_in-situ'!EP82</f>
        <v>3</v>
      </c>
      <c r="AI3108" s="113">
        <f>'Data_in-situ'!ER82</f>
        <v>-21</v>
      </c>
      <c r="AJ3108" s="113">
        <f>'Data_in-situ'!ES82</f>
        <v>4.7630951236930779</v>
      </c>
      <c r="AK3108" s="110">
        <f>'Data_in-situ'!ET82</f>
        <v>3</v>
      </c>
    </row>
    <row r="3109" spans="2:37" x14ac:dyDescent="0.3">
      <c r="B3109" s="24">
        <f>'Data_in-situ'!CA351</f>
        <v>-7900.0449087308316</v>
      </c>
      <c r="C3109" s="24">
        <f>'Data_in-situ'!CB351</f>
        <v>1770.2016517990935</v>
      </c>
      <c r="D3109" s="46">
        <f>'Data_in-situ'!CC351</f>
        <v>3</v>
      </c>
      <c r="E3109" s="24">
        <f>'Data_in-situ'!CE351</f>
        <v>-3744.7097475457695</v>
      </c>
      <c r="F3109" s="24">
        <f>'Data_in-situ'!CF351</f>
        <v>2032.4000980341211</v>
      </c>
      <c r="G3109" s="46">
        <f>'Data_in-situ'!CG351</f>
        <v>3</v>
      </c>
      <c r="H3109" s="24">
        <f>'Data_in-situ'!CN351</f>
        <v>12362.931550325944</v>
      </c>
      <c r="I3109" s="24">
        <f>'Data_in-situ'!CO351</f>
        <v>2275.2743302978161</v>
      </c>
      <c r="J3109" s="46">
        <f>'Data_in-situ'!CP351</f>
        <v>3</v>
      </c>
      <c r="K3109" s="24">
        <f>'Data_in-situ'!CR351</f>
        <v>15082.727310832692</v>
      </c>
      <c r="L3109" s="24">
        <f>'Data_in-situ'!CS351</f>
        <v>2876.4150226571255</v>
      </c>
      <c r="M3109" s="46">
        <f>'Data_in-situ'!CT351</f>
        <v>3</v>
      </c>
      <c r="N3109" s="24">
        <f>'Data_in-situ'!DA340</f>
        <v>1621.7638807072944</v>
      </c>
      <c r="O3109" s="24">
        <f>'Data_in-situ'!DB340</f>
        <v>1098.3220496581039</v>
      </c>
      <c r="P3109" s="46">
        <f>'Data_in-situ'!DC340</f>
        <v>3</v>
      </c>
      <c r="Q3109" s="24">
        <f>'Data_in-situ'!DE340</f>
        <v>1729.967922835152</v>
      </c>
      <c r="R3109" s="24">
        <f>'Data_in-situ'!DF340</f>
        <v>370.59428586838715</v>
      </c>
      <c r="S3109" s="46">
        <f>'Data_in-situ'!DG340</f>
        <v>3</v>
      </c>
      <c r="T3109" s="113">
        <f>'Data_in-situ'!DN103</f>
        <v>29.018000000000001</v>
      </c>
      <c r="U3109" s="113">
        <f>'Data_in-situ'!DO103</f>
        <v>28.458867247309758</v>
      </c>
      <c r="V3109" s="46">
        <f>'Data_in-situ'!DP103</f>
        <v>3</v>
      </c>
      <c r="W3109" s="113">
        <f>'Data_in-situ'!DR103</f>
        <v>44.106000000000002</v>
      </c>
      <c r="X3109" s="113">
        <f>'Data_in-situ'!DS103</f>
        <v>9.7564479704449827</v>
      </c>
      <c r="Y3109" s="46">
        <f>'Data_in-situ'!DT103</f>
        <v>3</v>
      </c>
      <c r="Z3109" s="113">
        <f>'Data_in-situ'!EA258</f>
        <v>-5.3028564354897549E-2</v>
      </c>
      <c r="AA3109" s="113">
        <f>'Data_in-situ'!EB258</f>
        <v>0.14435421348527655</v>
      </c>
      <c r="AB3109" s="46">
        <f>'Data_in-situ'!EC258</f>
        <v>3</v>
      </c>
      <c r="AC3109" s="113">
        <f>'Data_in-situ'!EE258</f>
        <v>-7.5688818156579678E-3</v>
      </c>
      <c r="AD3109" s="113">
        <f>'Data_in-situ'!EF258</f>
        <v>3.6346822857934974E-2</v>
      </c>
      <c r="AE3109" s="46">
        <f>'Data_in-situ'!EG258</f>
        <v>3</v>
      </c>
      <c r="AF3109" s="113">
        <f>'Data_in-situ'!EN83</f>
        <v>-9</v>
      </c>
      <c r="AG3109" s="113">
        <f>'Data_in-situ'!EO83</f>
        <v>3.6674675887616401</v>
      </c>
      <c r="AH3109" s="110">
        <f>'Data_in-situ'!EP83</f>
        <v>3</v>
      </c>
      <c r="AI3109" s="113">
        <f>'Data_in-situ'!ER83</f>
        <v>-26</v>
      </c>
      <c r="AJ3109" s="113">
        <f>'Data_in-situ'!ES83</f>
        <v>5.8971653912390485</v>
      </c>
      <c r="AK3109" s="110">
        <f>'Data_in-situ'!ET83</f>
        <v>3</v>
      </c>
    </row>
    <row r="3110" spans="2:37" x14ac:dyDescent="0.3">
      <c r="B3110" s="24">
        <f>'Data_in-situ'!CA352</f>
        <v>-10050.787546565918</v>
      </c>
      <c r="C3110" s="24">
        <f>'Data_in-situ'!CB352</f>
        <v>1612.547694762013</v>
      </c>
      <c r="D3110" s="46">
        <f>'Data_in-situ'!CC352</f>
        <v>3</v>
      </c>
      <c r="E3110" s="24">
        <f>'Data_in-situ'!CE352</f>
        <v>-12603.385992432437</v>
      </c>
      <c r="F3110" s="24">
        <f>'Data_in-situ'!CF352</f>
        <v>2731.1470412581525</v>
      </c>
      <c r="G3110" s="46">
        <f>'Data_in-situ'!CG352</f>
        <v>3</v>
      </c>
      <c r="H3110" s="24">
        <f>'Data_in-situ'!CN352</f>
        <v>9984.9658644122937</v>
      </c>
      <c r="I3110" s="24">
        <f>'Data_in-situ'!CO352</f>
        <v>333.56620847738458</v>
      </c>
      <c r="J3110" s="46">
        <f>'Data_in-situ'!CP352</f>
        <v>3</v>
      </c>
      <c r="K3110" s="24">
        <f>'Data_in-situ'!CR352</f>
        <v>15408.337460950899</v>
      </c>
      <c r="L3110" s="24">
        <f>'Data_in-situ'!CS352</f>
        <v>3231.8122751183146</v>
      </c>
      <c r="M3110" s="46">
        <f>'Data_in-situ'!CT352</f>
        <v>3</v>
      </c>
      <c r="N3110" s="24">
        <f>'Data_in-situ'!DA341</f>
        <v>3237.7768635097909</v>
      </c>
      <c r="O3110" s="24">
        <f>'Data_in-situ'!DB341</f>
        <v>1588.2056081972487</v>
      </c>
      <c r="P3110" s="46">
        <f>'Data_in-situ'!DC341</f>
        <v>3</v>
      </c>
      <c r="Q3110" s="24">
        <f>'Data_in-situ'!DE341</f>
        <v>2606.0811330269848</v>
      </c>
      <c r="R3110" s="24">
        <f>'Data_in-situ'!DF341</f>
        <v>272.81038691279781</v>
      </c>
      <c r="S3110" s="46">
        <f>'Data_in-situ'!DG341</f>
        <v>3</v>
      </c>
      <c r="T3110" s="113">
        <f>'Data_in-situ'!DN195</f>
        <v>157.55702481107656</v>
      </c>
      <c r="U3110" s="113">
        <f>'Data_in-situ'!DO195</f>
        <v>48.678566846799022</v>
      </c>
      <c r="V3110" s="46">
        <f>'Data_in-situ'!DP195</f>
        <v>3</v>
      </c>
      <c r="W3110" s="113">
        <f>'Data_in-situ'!DR195</f>
        <v>113.18254393770165</v>
      </c>
      <c r="X3110" s="113">
        <f>'Data_in-situ'!DS195</f>
        <v>73.207043848592377</v>
      </c>
      <c r="Y3110" s="46">
        <f>'Data_in-situ'!DT195</f>
        <v>3</v>
      </c>
      <c r="Z3110" s="113">
        <f>'Data_in-situ'!EA259</f>
        <v>-2.1211425741959021E-3</v>
      </c>
      <c r="AA3110" s="113">
        <f>'Data_in-situ'!EB259</f>
        <v>0.11034884630218306</v>
      </c>
      <c r="AB3110" s="46">
        <f>'Data_in-situ'!EC259</f>
        <v>3</v>
      </c>
      <c r="AC3110" s="113">
        <f>'Data_in-situ'!EE259</f>
        <v>6.0105826183166223E-3</v>
      </c>
      <c r="AD3110" s="113">
        <f>'Data_in-situ'!EF259</f>
        <v>5.4024465971174704E-2</v>
      </c>
      <c r="AE3110" s="46">
        <f>'Data_in-situ'!EG259</f>
        <v>3</v>
      </c>
      <c r="AF3110" s="113">
        <f>'Data_in-situ'!EN84</f>
        <v>-2.8</v>
      </c>
      <c r="AG3110" s="113">
        <f>'Data_in-situ'!EO84</f>
        <v>0.72</v>
      </c>
      <c r="AH3110" s="110">
        <f>'Data_in-situ'!EP84</f>
        <v>3</v>
      </c>
      <c r="AI3110" s="113">
        <f>'Data_in-situ'!ER84</f>
        <v>-23.33</v>
      </c>
      <c r="AJ3110" s="113">
        <f>'Data_in-situ'!ES84</f>
        <v>3.46</v>
      </c>
      <c r="AK3110" s="110">
        <f>'Data_in-situ'!ET84</f>
        <v>3</v>
      </c>
    </row>
    <row r="3111" spans="2:37" x14ac:dyDescent="0.3">
      <c r="B3111" s="24">
        <f>'Data_in-situ'!CA353</f>
        <v>-3420.20536553287</v>
      </c>
      <c r="C3111" s="24">
        <f>'Data_in-situ'!CB353</f>
        <v>2581.3476538531618</v>
      </c>
      <c r="D3111" s="46">
        <f>'Data_in-situ'!CC353</f>
        <v>3</v>
      </c>
      <c r="E3111" s="24">
        <f>'Data_in-situ'!CE353</f>
        <v>-7240.463722401516</v>
      </c>
      <c r="F3111" s="24">
        <f>'Data_in-situ'!CF353</f>
        <v>1430.8247194500545</v>
      </c>
      <c r="G3111" s="46">
        <f>'Data_in-situ'!CG353</f>
        <v>3</v>
      </c>
      <c r="H3111" s="24">
        <f>'Data_in-situ'!CN353</f>
        <v>3050.2701206745783</v>
      </c>
      <c r="I3111" s="24">
        <f>'Data_in-situ'!CO353</f>
        <v>3364.4645178084379</v>
      </c>
      <c r="J3111" s="46">
        <f>'Data_in-situ'!CP353</f>
        <v>3</v>
      </c>
      <c r="K3111" s="24">
        <f>'Data_in-situ'!CR353</f>
        <v>7768.1278671058117</v>
      </c>
      <c r="L3111" s="24">
        <f>'Data_in-situ'!CS353</f>
        <v>631.5369644231871</v>
      </c>
      <c r="M3111" s="46">
        <f>'Data_in-situ'!CT353</f>
        <v>3</v>
      </c>
      <c r="N3111" s="24">
        <f>'Data_in-situ'!DA342</f>
        <v>-558.33453447411694</v>
      </c>
      <c r="O3111" s="24">
        <f>'Data_in-situ'!DB342</f>
        <v>748.7456945126147</v>
      </c>
      <c r="P3111" s="46">
        <f>'Data_in-situ'!DC342</f>
        <v>3</v>
      </c>
      <c r="Q3111" s="24">
        <f>'Data_in-situ'!DE342</f>
        <v>90.926369512445945</v>
      </c>
      <c r="R3111" s="24">
        <f>'Data_in-situ'!DF342</f>
        <v>382.25882942650333</v>
      </c>
      <c r="S3111" s="46">
        <f>'Data_in-situ'!DG342</f>
        <v>3</v>
      </c>
      <c r="T3111" s="113">
        <f>'Data_in-situ'!DN196</f>
        <v>20.372391781452269</v>
      </c>
      <c r="U3111" s="113">
        <f>'Data_in-situ'!DO196</f>
        <v>47.083328695005008</v>
      </c>
      <c r="V3111" s="46">
        <f>'Data_in-situ'!DP196</f>
        <v>3</v>
      </c>
      <c r="W3111" s="113">
        <f>'Data_in-situ'!DR196</f>
        <v>23.189276423209868</v>
      </c>
      <c r="X3111" s="113">
        <f>'Data_in-situ'!DS196</f>
        <v>55.90659464438842</v>
      </c>
      <c r="Y3111" s="46">
        <f>'Data_in-situ'!DT196</f>
        <v>3</v>
      </c>
      <c r="Z3111" s="113">
        <f>'Data_in-situ'!EA264</f>
        <v>8.484570296783607E-2</v>
      </c>
      <c r="AA3111" s="113">
        <f>'Data_in-situ'!EB264</f>
        <v>0.23150687644726506</v>
      </c>
      <c r="AB3111" s="46">
        <f>'Data_in-situ'!EC264</f>
        <v>3</v>
      </c>
      <c r="AC3111" s="113">
        <f>'Data_in-situ'!EE264</f>
        <v>0.16473448657608519</v>
      </c>
      <c r="AD3111" s="113">
        <f>'Data_in-situ'!EF264</f>
        <v>0.18337619194833357</v>
      </c>
      <c r="AE3111" s="46">
        <f>'Data_in-situ'!EG264</f>
        <v>3</v>
      </c>
      <c r="AF3111" s="113">
        <f>'Data_in-situ'!EN85</f>
        <v>-5.04</v>
      </c>
      <c r="AG3111" s="113">
        <f>'Data_in-situ'!EO85</f>
        <v>1.83</v>
      </c>
      <c r="AH3111" s="110">
        <f>'Data_in-situ'!EP85</f>
        <v>3</v>
      </c>
      <c r="AI3111" s="113">
        <f>'Data_in-situ'!ER85</f>
        <v>-37.299999999999997</v>
      </c>
      <c r="AJ3111" s="113">
        <f>'Data_in-situ'!ES85</f>
        <v>7.39</v>
      </c>
      <c r="AK3111" s="110">
        <f>'Data_in-situ'!ET85</f>
        <v>3</v>
      </c>
    </row>
    <row r="3112" spans="2:37" x14ac:dyDescent="0.3">
      <c r="B3112" s="24">
        <f>'Data_in-situ'!CA412</f>
        <v>-27659.550451779181</v>
      </c>
      <c r="C3112" s="24">
        <f>'Data_in-situ'!CB412</f>
        <v>2920.5942857142213</v>
      </c>
      <c r="D3112" s="46">
        <f>'Data_in-situ'!CC412</f>
        <v>3</v>
      </c>
      <c r="E3112" s="24">
        <f>'Data_in-situ'!CE412</f>
        <v>-19692.259359339321</v>
      </c>
      <c r="F3112" s="24">
        <f>'Data_in-situ'!CF412</f>
        <v>1592.4436015993197</v>
      </c>
      <c r="G3112" s="46">
        <f>'Data_in-situ'!CG412</f>
        <v>3</v>
      </c>
      <c r="H3112" s="24">
        <f>'Data_in-situ'!CN412</f>
        <v>26436.559507179623</v>
      </c>
      <c r="I3112" s="24">
        <f>'Data_in-situ'!CO412</f>
        <v>3571.7210373879325</v>
      </c>
      <c r="J3112" s="46">
        <f>'Data_in-situ'!CP412</f>
        <v>3</v>
      </c>
      <c r="K3112" s="24">
        <f>'Data_in-situ'!CR412</f>
        <v>20646.170885257681</v>
      </c>
      <c r="L3112" s="24">
        <f>'Data_in-situ'!CS412</f>
        <v>1492.9781828658879</v>
      </c>
      <c r="M3112" s="46">
        <f>'Data_in-situ'!CT412</f>
        <v>3</v>
      </c>
      <c r="N3112" s="24">
        <f>'Data_in-situ'!DA343</f>
        <v>-586.111782169251</v>
      </c>
      <c r="O3112" s="24">
        <f>'Data_in-situ'!DB343</f>
        <v>363.91958912283872</v>
      </c>
      <c r="P3112" s="46">
        <f>'Data_in-situ'!DC343</f>
        <v>3</v>
      </c>
      <c r="Q3112" s="24">
        <f>'Data_in-situ'!DE343</f>
        <v>403.42941150773049</v>
      </c>
      <c r="R3112" s="24">
        <f>'Data_in-situ'!DF343</f>
        <v>463.61307598966926</v>
      </c>
      <c r="S3112" s="46">
        <f>'Data_in-situ'!DG343</f>
        <v>3</v>
      </c>
      <c r="T3112" s="113">
        <f>'Data_in-situ'!DN197</f>
        <v>155.82698820258872</v>
      </c>
      <c r="U3112" s="113">
        <f>'Data_in-situ'!DO197</f>
        <v>23.032741265577613</v>
      </c>
      <c r="V3112" s="46">
        <f>'Data_in-situ'!DP197</f>
        <v>3</v>
      </c>
      <c r="W3112" s="113">
        <f>'Data_in-situ'!DR197</f>
        <v>112.44558555457438</v>
      </c>
      <c r="X3112" s="113">
        <f>'Data_in-situ'!DS197</f>
        <v>45.444038695017397</v>
      </c>
      <c r="Y3112" s="46">
        <f>'Data_in-situ'!DT197</f>
        <v>3</v>
      </c>
      <c r="Z3112" s="113">
        <f>'Data_in-situ'!EA265</f>
        <v>7.7775227720516399E-2</v>
      </c>
      <c r="AA3112" s="113">
        <f>'Data_in-situ'!EB265</f>
        <v>0.21037856459857804</v>
      </c>
      <c r="AB3112" s="46">
        <f>'Data_in-situ'!EC265</f>
        <v>3</v>
      </c>
      <c r="AC3112" s="113">
        <f>'Data_in-situ'!EE265</f>
        <v>4.0070550788777477E-2</v>
      </c>
      <c r="AD3112" s="113">
        <f>'Data_in-situ'!EF265</f>
        <v>1.5796303365028162E-2</v>
      </c>
      <c r="AE3112" s="46">
        <f>'Data_in-situ'!EG265</f>
        <v>3</v>
      </c>
      <c r="AF3112" s="113">
        <f>'Data_in-situ'!EN86</f>
        <v>-11.68</v>
      </c>
      <c r="AG3112" s="113">
        <f>'Data_in-situ'!EO86</f>
        <v>1.82</v>
      </c>
      <c r="AH3112" s="110">
        <f>'Data_in-situ'!EP86</f>
        <v>3</v>
      </c>
      <c r="AI3112" s="113">
        <f>'Data_in-situ'!ER86</f>
        <v>-20.88</v>
      </c>
      <c r="AJ3112" s="113">
        <f>'Data_in-situ'!ES86</f>
        <v>1.28</v>
      </c>
      <c r="AK3112" s="110">
        <f>'Data_in-situ'!ET86</f>
        <v>3</v>
      </c>
    </row>
    <row r="3113" spans="2:37" x14ac:dyDescent="0.3">
      <c r="B3113" s="24">
        <f>'Data_in-situ'!CA413</f>
        <v>-13417.445102313484</v>
      </c>
      <c r="C3113" s="24">
        <f>'Data_in-situ'!CB413</f>
        <v>2513.9989496861413</v>
      </c>
      <c r="D3113" s="46">
        <f>'Data_in-situ'!CC413</f>
        <v>3</v>
      </c>
      <c r="E3113" s="24">
        <f>'Data_in-situ'!CE413</f>
        <v>-10261.140414323805</v>
      </c>
      <c r="F3113" s="24">
        <f>'Data_in-situ'!CF413</f>
        <v>928.25974642230233</v>
      </c>
      <c r="G3113" s="46">
        <f>'Data_in-situ'!CG413</f>
        <v>3</v>
      </c>
      <c r="H3113" s="24">
        <f>'Data_in-situ'!CN413</f>
        <v>12328.007487080895</v>
      </c>
      <c r="I3113" s="24">
        <f>'Data_in-situ'!CO413</f>
        <v>1844.6484474290598</v>
      </c>
      <c r="J3113" s="46">
        <f>'Data_in-situ'!CP413</f>
        <v>3</v>
      </c>
      <c r="K3113" s="24">
        <f>'Data_in-situ'!CR413</f>
        <v>10779.460950989149</v>
      </c>
      <c r="L3113" s="24">
        <f>'Data_in-situ'!CS413</f>
        <v>1426.079653929331</v>
      </c>
      <c r="M3113" s="46">
        <f>'Data_in-situ'!CT413</f>
        <v>3</v>
      </c>
      <c r="N3113" s="24">
        <f>'Data_in-situ'!DA344</f>
        <v>893.86422546150288</v>
      </c>
      <c r="O3113" s="24">
        <f>'Data_in-situ'!DB344</f>
        <v>1145.1881990612055</v>
      </c>
      <c r="P3113" s="46">
        <f>'Data_in-situ'!DC344</f>
        <v>3</v>
      </c>
      <c r="Q3113" s="24">
        <f>'Data_in-situ'!DE344</f>
        <v>971.54555824647673</v>
      </c>
      <c r="R3113" s="24">
        <f>'Data_in-situ'!DF344</f>
        <v>320.49742821623516</v>
      </c>
      <c r="S3113" s="46">
        <f>'Data_in-situ'!DG344</f>
        <v>3</v>
      </c>
      <c r="T3113" s="113">
        <f>'Data_in-situ'!DN198</f>
        <v>26.090957895544143</v>
      </c>
      <c r="U3113" s="113">
        <f>'Data_in-situ'!DO198</f>
        <v>4.5126597497032837</v>
      </c>
      <c r="V3113" s="46">
        <f>'Data_in-situ'!DP198</f>
        <v>3</v>
      </c>
      <c r="W3113" s="113">
        <f>'Data_in-situ'!DR198</f>
        <v>36.800373454224456</v>
      </c>
      <c r="X3113" s="113">
        <f>'Data_in-situ'!DS198</f>
        <v>16.18313151345119</v>
      </c>
      <c r="Y3113" s="46">
        <f>'Data_in-situ'!DT198</f>
        <v>3</v>
      </c>
      <c r="Z3113" s="113">
        <f>'Data_in-situ'!EA266</f>
        <v>8.3674900420237147E-2</v>
      </c>
      <c r="AA3113" s="113">
        <f>'Data_in-situ'!EB266</f>
        <v>0.22267558913078545</v>
      </c>
      <c r="AB3113" s="46">
        <f>'Data_in-situ'!EC266</f>
        <v>3</v>
      </c>
      <c r="AC3113" s="113">
        <f>'Data_in-situ'!EE266</f>
        <v>0.1068548021034066</v>
      </c>
      <c r="AD3113" s="113">
        <f>'Data_in-situ'!EF266</f>
        <v>0.12190903765819365</v>
      </c>
      <c r="AE3113" s="46">
        <f>'Data_in-situ'!EG266</f>
        <v>3</v>
      </c>
      <c r="AF3113" s="113">
        <f>'Data_in-situ'!EN87</f>
        <v>-20.85</v>
      </c>
      <c r="AG3113" s="113">
        <f>'Data_in-situ'!EO87</f>
        <v>5.42</v>
      </c>
      <c r="AH3113" s="110">
        <f>'Data_in-situ'!EP87</f>
        <v>3</v>
      </c>
      <c r="AI3113" s="113">
        <f>'Data_in-situ'!ER87</f>
        <v>-21.08</v>
      </c>
      <c r="AJ3113" s="113">
        <f>'Data_in-situ'!ES87</f>
        <v>7.29</v>
      </c>
      <c r="AK3113" s="110">
        <f>'Data_in-situ'!ET87</f>
        <v>3</v>
      </c>
    </row>
    <row r="3114" spans="2:37" x14ac:dyDescent="0.3">
      <c r="B3114" s="24">
        <f>'Data_in-situ'!CA415</f>
        <v>-17995.009527856251</v>
      </c>
      <c r="C3114" s="24">
        <f>'Data_in-situ'!CB415</f>
        <v>1848.1534882558306</v>
      </c>
      <c r="D3114" s="46">
        <f>'Data_in-situ'!CC415</f>
        <v>3</v>
      </c>
      <c r="E3114" s="24">
        <f>'Data_in-situ'!CE415</f>
        <v>-2054.5525514059905</v>
      </c>
      <c r="F3114" s="24">
        <f>'Data_in-situ'!CF415</f>
        <v>2813.7544962882453</v>
      </c>
      <c r="G3114" s="46">
        <f>'Data_in-situ'!CG415</f>
        <v>3</v>
      </c>
      <c r="H3114" s="24">
        <f>'Data_in-situ'!CN415</f>
        <v>11579.692563738146</v>
      </c>
      <c r="I3114" s="24">
        <f>'Data_in-situ'!CO415</f>
        <v>6378.0768142690904</v>
      </c>
      <c r="J3114" s="46">
        <f>'Data_in-situ'!CP415</f>
        <v>3</v>
      </c>
      <c r="K3114" s="24">
        <f>'Data_in-situ'!CR415</f>
        <v>3447.3943707861481</v>
      </c>
      <c r="L3114" s="24">
        <f>'Data_in-situ'!CS415</f>
        <v>3117.4820932763982</v>
      </c>
      <c r="M3114" s="46">
        <f>'Data_in-situ'!CT415</f>
        <v>3</v>
      </c>
      <c r="N3114" s="24">
        <f>'Data_in-situ'!DA348</f>
        <v>2591.2055425559711</v>
      </c>
      <c r="O3114" s="24">
        <f>'Data_in-situ'!DB348</f>
        <v>1600.5466590475353</v>
      </c>
      <c r="P3114" s="46">
        <f>'Data_in-situ'!DC348</f>
        <v>3</v>
      </c>
      <c r="Q3114" s="24">
        <f>'Data_in-situ'!DE348</f>
        <v>5059.6370329114443</v>
      </c>
      <c r="R3114" s="24">
        <f>'Data_in-situ'!DF348</f>
        <v>1113.5441452092068</v>
      </c>
      <c r="S3114" s="46">
        <f>'Data_in-situ'!DG348</f>
        <v>3</v>
      </c>
      <c r="T3114" s="113">
        <f>'Data_in-situ'!DN200</f>
        <v>245.98402154970469</v>
      </c>
      <c r="U3114" s="113">
        <f>'Data_in-situ'!DO200</f>
        <v>274.24249109003443</v>
      </c>
      <c r="V3114" s="46">
        <f>'Data_in-situ'!DP200</f>
        <v>1</v>
      </c>
      <c r="W3114" s="113">
        <f>'Data_in-situ'!DR200</f>
        <v>137.10405045597599</v>
      </c>
      <c r="X3114" s="113">
        <f>'Data_in-situ'!DS200</f>
        <v>512.38749142398558</v>
      </c>
      <c r="Y3114" s="46">
        <f>'Data_in-situ'!DT200</f>
        <v>1</v>
      </c>
      <c r="Z3114" s="113">
        <f>'Data_in-situ'!EA268</f>
        <v>-1.2019807920443442E-2</v>
      </c>
      <c r="AA3114" s="113">
        <f>'Data_in-situ'!EB268</f>
        <v>6.5123648236046217E-2</v>
      </c>
      <c r="AB3114" s="46">
        <f>'Data_in-situ'!EC268</f>
        <v>3</v>
      </c>
      <c r="AC3114" s="113">
        <f>'Data_in-situ'!EE268</f>
        <v>2.8939842236339292E-2</v>
      </c>
      <c r="AD3114" s="113">
        <f>'Data_in-situ'!EF268</f>
        <v>6.2567123803824801E-2</v>
      </c>
      <c r="AE3114" s="46">
        <f>'Data_in-situ'!EG268</f>
        <v>3</v>
      </c>
      <c r="AF3114" s="113">
        <f>'Data_in-situ'!EN91</f>
        <v>-27.34</v>
      </c>
      <c r="AG3114" s="113">
        <f>'Data_in-situ'!EO91</f>
        <v>6.04</v>
      </c>
      <c r="AH3114" s="110">
        <f>'Data_in-situ'!EP91</f>
        <v>3</v>
      </c>
      <c r="AI3114" s="113">
        <f>'Data_in-situ'!ER91</f>
        <v>-42.07</v>
      </c>
      <c r="AJ3114" s="113">
        <f>'Data_in-situ'!ES91</f>
        <v>2.04</v>
      </c>
      <c r="AK3114" s="110">
        <f>'Data_in-situ'!ET91</f>
        <v>3</v>
      </c>
    </row>
    <row r="3115" spans="2:37" x14ac:dyDescent="0.3">
      <c r="B3115" s="24">
        <f>'Data_in-situ'!CA417</f>
        <v>-7616.0068848250821</v>
      </c>
      <c r="C3115" s="24">
        <f>'Data_in-situ'!CB417</f>
        <v>1856.8621464095218</v>
      </c>
      <c r="D3115" s="46">
        <f>'Data_in-situ'!CC417</f>
        <v>5</v>
      </c>
      <c r="E3115" s="24">
        <f>'Data_in-situ'!CE417</f>
        <v>-11234.346432115035</v>
      </c>
      <c r="F3115" s="24">
        <f>'Data_in-situ'!CF417</f>
        <v>2636.9713135995598</v>
      </c>
      <c r="G3115" s="46">
        <f>'Data_in-situ'!CG417</f>
        <v>5</v>
      </c>
      <c r="H3115" s="24">
        <f>'Data_in-situ'!CN417</f>
        <v>7943.3298263910074</v>
      </c>
      <c r="I3115" s="24">
        <f>'Data_in-situ'!CO417</f>
        <v>2284.7185864362959</v>
      </c>
      <c r="J3115" s="46">
        <f>'Data_in-situ'!CP417</f>
        <v>5</v>
      </c>
      <c r="K3115" s="24">
        <f>'Data_in-situ'!CR417</f>
        <v>12092.326878238955</v>
      </c>
      <c r="L3115" s="24">
        <f>'Data_in-situ'!CS417</f>
        <v>4450.7541788118779</v>
      </c>
      <c r="M3115" s="46">
        <f>'Data_in-situ'!CT417</f>
        <v>5</v>
      </c>
      <c r="N3115" s="24">
        <f>'Data_in-situ'!DA349</f>
        <v>-48.179151155642103</v>
      </c>
      <c r="O3115" s="24">
        <f>'Data_in-situ'!DB349</f>
        <v>1897.3884326053135</v>
      </c>
      <c r="P3115" s="46">
        <f>'Data_in-situ'!DC349</f>
        <v>3</v>
      </c>
      <c r="Q3115" s="24">
        <f>'Data_in-situ'!DE349</f>
        <v>1064.0214415998626</v>
      </c>
      <c r="R3115" s="24">
        <f>'Data_in-situ'!DF349</f>
        <v>385.19113146523358</v>
      </c>
      <c r="S3115" s="46">
        <f>'Data_in-situ'!DG349</f>
        <v>3</v>
      </c>
      <c r="T3115" s="113">
        <f>'Data_in-situ'!DN201</f>
        <v>54.705882352941174</v>
      </c>
      <c r="U3115" s="113">
        <f>'Data_in-situ'!DO201</f>
        <v>60.990455230513547</v>
      </c>
      <c r="V3115" s="46">
        <f>'Data_in-situ'!DP201</f>
        <v>3</v>
      </c>
      <c r="W3115" s="113">
        <f>'Data_in-situ'!DR201</f>
        <v>0</v>
      </c>
      <c r="X3115" s="113">
        <f>'Data_in-situ'!DS201</f>
        <v>0</v>
      </c>
      <c r="Y3115" s="46">
        <f>'Data_in-situ'!DT201</f>
        <v>3</v>
      </c>
      <c r="Z3115" s="113">
        <f>'Data_in-situ'!EA393</f>
        <v>5.8770295611265379E-2</v>
      </c>
      <c r="AA3115" s="113">
        <f>'Data_in-situ'!EB393</f>
        <v>0.33792784700702894</v>
      </c>
      <c r="AB3115" s="46">
        <f>'Data_in-situ'!EC393</f>
        <v>3</v>
      </c>
      <c r="AC3115" s="113">
        <f>'Data_in-situ'!EE393</f>
        <v>6.9833384230864909E-2</v>
      </c>
      <c r="AD3115" s="113">
        <f>'Data_in-situ'!EF393</f>
        <v>0.10427097615025936</v>
      </c>
      <c r="AE3115" s="46">
        <f>'Data_in-situ'!EG393</f>
        <v>3</v>
      </c>
      <c r="AF3115" s="113">
        <f>'Data_in-situ'!EN94</f>
        <v>-10.75</v>
      </c>
      <c r="AG3115" s="113">
        <f>'Data_in-situ'!EO94</f>
        <v>1.853</v>
      </c>
      <c r="AH3115" s="110">
        <f>'Data_in-situ'!EP94</f>
        <v>3</v>
      </c>
      <c r="AI3115" s="113">
        <f>'Data_in-situ'!ER94</f>
        <v>-20.14</v>
      </c>
      <c r="AJ3115" s="113">
        <f>'Data_in-situ'!ES94</f>
        <v>1.87</v>
      </c>
      <c r="AK3115" s="110">
        <f>'Data_in-situ'!ET94</f>
        <v>3</v>
      </c>
    </row>
    <row r="3116" spans="2:37" x14ac:dyDescent="0.3">
      <c r="B3116" s="24">
        <f>'Data_in-situ'!CA447</f>
        <v>-13830.844197002392</v>
      </c>
      <c r="C3116" s="24">
        <f>'Data_in-situ'!CB447</f>
        <v>2274.6676845640554</v>
      </c>
      <c r="D3116" s="46">
        <f>'Data_in-situ'!CC447</f>
        <v>3</v>
      </c>
      <c r="E3116" s="24">
        <f>'Data_in-situ'!CE447</f>
        <v>-66220.372894871383</v>
      </c>
      <c r="F3116" s="24">
        <f>'Data_in-situ'!CF447</f>
        <v>9098.6707382562217</v>
      </c>
      <c r="G3116" s="46">
        <f>'Data_in-situ'!CG447</f>
        <v>3</v>
      </c>
      <c r="H3116" s="24">
        <f>'Data_in-situ'!CN447</f>
        <v>8766.0655826625862</v>
      </c>
      <c r="I3116" s="24">
        <f>'Data_in-situ'!CO447</f>
        <v>227.4667684564055</v>
      </c>
      <c r="J3116" s="46">
        <f>'Data_in-situ'!CP447</f>
        <v>3</v>
      </c>
      <c r="K3116" s="24">
        <f>'Data_in-situ'!CR447</f>
        <v>41998.127476961054</v>
      </c>
      <c r="L3116" s="24">
        <f>'Data_in-situ'!CS447</f>
        <v>6824.003053692164</v>
      </c>
      <c r="M3116" s="46">
        <f>'Data_in-situ'!CT447</f>
        <v>3</v>
      </c>
      <c r="N3116" s="24">
        <f>'Data_in-situ'!DA350</f>
        <v>966.28380447712357</v>
      </c>
      <c r="O3116" s="24">
        <f>'Data_in-situ'!DB350</f>
        <v>2670.8132341684627</v>
      </c>
      <c r="P3116" s="46">
        <f>'Data_in-situ'!DC350</f>
        <v>3</v>
      </c>
      <c r="Q3116" s="24">
        <f>'Data_in-situ'!DE350</f>
        <v>-527.61294357135102</v>
      </c>
      <c r="R3116" s="24">
        <f>'Data_in-situ'!DF350</f>
        <v>119.07629993106522</v>
      </c>
      <c r="S3116" s="46">
        <f>'Data_in-situ'!DG350</f>
        <v>3</v>
      </c>
      <c r="T3116" s="113">
        <f>'Data_in-situ'!DN202</f>
        <v>57.352941176470587</v>
      </c>
      <c r="U3116" s="113">
        <f>'Data_in-situ'!DO202</f>
        <v>63.941606290054523</v>
      </c>
      <c r="V3116" s="46">
        <f>'Data_in-situ'!DP202</f>
        <v>3</v>
      </c>
      <c r="W3116" s="113">
        <f>'Data_in-situ'!DR202</f>
        <v>0</v>
      </c>
      <c r="X3116" s="113">
        <f>'Data_in-situ'!DS202</f>
        <v>0</v>
      </c>
      <c r="Y3116" s="46">
        <f>'Data_in-situ'!DT202</f>
        <v>3</v>
      </c>
      <c r="Z3116" s="113">
        <f>'Data_in-situ'!EA444</f>
        <v>-0.35536232754524372</v>
      </c>
      <c r="AA3116" s="113">
        <f>'Data_in-situ'!EB444</f>
        <v>38.250757143327704</v>
      </c>
      <c r="AB3116" s="46">
        <f>'Data_in-situ'!EC444</f>
        <v>46</v>
      </c>
      <c r="AC3116" s="113">
        <f>'Data_in-situ'!EE444</f>
        <v>20.199714045305026</v>
      </c>
      <c r="AD3116" s="113">
        <f>'Data_in-situ'!EF444</f>
        <v>184.05347959835046</v>
      </c>
      <c r="AE3116" s="46">
        <f>'Data_in-situ'!EG444</f>
        <v>53</v>
      </c>
      <c r="AF3116" s="113">
        <f>'Data_in-situ'!EN95</f>
        <v>-24.62</v>
      </c>
      <c r="AG3116" s="113">
        <f>'Data_in-situ'!EO95</f>
        <v>6.88</v>
      </c>
      <c r="AH3116" s="110">
        <f>'Data_in-situ'!EP95</f>
        <v>3</v>
      </c>
      <c r="AI3116" s="113">
        <f>'Data_in-situ'!ER95</f>
        <v>-23.22</v>
      </c>
      <c r="AJ3116" s="113">
        <f>'Data_in-situ'!ES95</f>
        <v>6.41</v>
      </c>
      <c r="AK3116" s="110">
        <f>'Data_in-situ'!ET95</f>
        <v>3</v>
      </c>
    </row>
    <row r="3117" spans="2:37" x14ac:dyDescent="0.3">
      <c r="B3117" s="24">
        <f>'Data_in-situ'!CA468</f>
        <v>-38630</v>
      </c>
      <c r="C3117" s="24">
        <f>'Data_in-situ'!CB468</f>
        <v>9418.3980924076168</v>
      </c>
      <c r="D3117" s="46">
        <f>'Data_in-situ'!CC468</f>
        <v>1</v>
      </c>
      <c r="E3117" s="24">
        <f>'Data_in-situ'!CE468</f>
        <v>-35990</v>
      </c>
      <c r="F3117" s="24">
        <f>'Data_in-situ'!CF468</f>
        <v>880</v>
      </c>
      <c r="G3117" s="46">
        <f>'Data_in-situ'!CG468</f>
        <v>1</v>
      </c>
      <c r="H3117" s="24">
        <f>'Data_in-situ'!CN468</f>
        <v>37280</v>
      </c>
      <c r="I3117" s="24">
        <f>'Data_in-situ'!CO468</f>
        <v>1760</v>
      </c>
      <c r="J3117" s="46">
        <f>'Data_in-situ'!CP468</f>
        <v>1</v>
      </c>
      <c r="K3117" s="24">
        <f>'Data_in-situ'!CR468</f>
        <v>35670</v>
      </c>
      <c r="L3117" s="24">
        <f>'Data_in-situ'!CS468</f>
        <v>670</v>
      </c>
      <c r="M3117" s="46">
        <f>'Data_in-situ'!CT468</f>
        <v>1</v>
      </c>
      <c r="N3117" s="24">
        <f>'Data_in-situ'!DA351</f>
        <v>4462.8866415951125</v>
      </c>
      <c r="O3117" s="24">
        <f>'Data_in-situ'!DB351</f>
        <v>2118.4369604304802</v>
      </c>
      <c r="P3117" s="46">
        <f>'Data_in-situ'!DC351</f>
        <v>3</v>
      </c>
      <c r="Q3117" s="24">
        <f>'Data_in-situ'!DE351</f>
        <v>11338.017563286921</v>
      </c>
      <c r="R3117" s="24">
        <f>'Data_in-situ'!DF351</f>
        <v>1981.8390153148923</v>
      </c>
      <c r="S3117" s="46">
        <f>'Data_in-situ'!DG351</f>
        <v>3</v>
      </c>
      <c r="T3117" s="113">
        <f>'Data_in-situ'!DN211</f>
        <v>679.54671344272833</v>
      </c>
      <c r="U3117" s="113">
        <f>'Data_in-situ'!DO211</f>
        <v>860.0591867401946</v>
      </c>
      <c r="V3117" s="46">
        <f>'Data_in-situ'!DP211</f>
        <v>46</v>
      </c>
      <c r="W3117" s="113">
        <f>'Data_in-situ'!DR211</f>
        <v>15.65177995944169</v>
      </c>
      <c r="X3117" s="113">
        <f>'Data_in-situ'!DS211</f>
        <v>24.385487937237958</v>
      </c>
      <c r="Y3117" s="46">
        <f>'Data_in-situ'!DT211</f>
        <v>73</v>
      </c>
      <c r="AF3117" s="113">
        <f>'Data_in-situ'!EN96</f>
        <v>-6.95</v>
      </c>
      <c r="AG3117" s="113">
        <f>'Data_in-situ'!EO96</f>
        <v>1.41</v>
      </c>
      <c r="AH3117" s="110">
        <f>'Data_in-situ'!EP96</f>
        <v>3</v>
      </c>
      <c r="AI3117" s="113">
        <f>'Data_in-situ'!ER96</f>
        <v>-21.5</v>
      </c>
      <c r="AJ3117" s="113">
        <f>'Data_in-situ'!ES96</f>
        <v>1.76</v>
      </c>
      <c r="AK3117" s="110">
        <f>'Data_in-situ'!ET96</f>
        <v>3</v>
      </c>
    </row>
    <row r="3118" spans="2:37" x14ac:dyDescent="0.3">
      <c r="N3118" s="24">
        <f>'Data_in-situ'!DA352</f>
        <v>-65.821682153624351</v>
      </c>
      <c r="O3118" s="24">
        <f>'Data_in-situ'!DB352</f>
        <v>2444.1125484173954</v>
      </c>
      <c r="P3118" s="46">
        <f>'Data_in-situ'!DC352</f>
        <v>3</v>
      </c>
      <c r="Q3118" s="24">
        <f>'Data_in-situ'!DE352</f>
        <v>2804.9514685184622</v>
      </c>
      <c r="R3118" s="24">
        <f>'Data_in-situ'!DF352</f>
        <v>528.03532028319501</v>
      </c>
      <c r="S3118" s="46">
        <f>'Data_in-situ'!DG352</f>
        <v>3</v>
      </c>
      <c r="T3118" s="113">
        <f>'Data_in-situ'!DN212</f>
        <v>70.824570735895975</v>
      </c>
      <c r="U3118" s="113">
        <f>'Data_in-situ'!DO212</f>
        <v>78.960847077092538</v>
      </c>
      <c r="V3118" s="46">
        <f>'Data_in-situ'!DP212</f>
        <v>46</v>
      </c>
      <c r="W3118" s="113">
        <f>'Data_in-situ'!DR212</f>
        <v>-0.12589285714285717</v>
      </c>
      <c r="X3118" s="113">
        <f>'Data_in-situ'!DS212</f>
        <v>0.47048883709193973</v>
      </c>
      <c r="Y3118" s="46">
        <f>'Data_in-situ'!DT212</f>
        <v>66</v>
      </c>
      <c r="AF3118" s="113">
        <f>'Data_in-situ'!EN97</f>
        <v>-14.43</v>
      </c>
      <c r="AG3118" s="113">
        <f>'Data_in-situ'!EO97</f>
        <v>3.89</v>
      </c>
      <c r="AH3118" s="110">
        <f>'Data_in-situ'!EP97</f>
        <v>3</v>
      </c>
      <c r="AI3118" s="113">
        <f>'Data_in-situ'!ER97</f>
        <v>-28.3</v>
      </c>
      <c r="AJ3118" s="113">
        <f>'Data_in-situ'!ES97</f>
        <v>4.55</v>
      </c>
      <c r="AK3118" s="110">
        <f>'Data_in-situ'!ET97</f>
        <v>3</v>
      </c>
    </row>
    <row r="3119" spans="2:37" x14ac:dyDescent="0.3">
      <c r="N3119" s="24">
        <f>'Data_in-situ'!DA353</f>
        <v>-369.93524485829175</v>
      </c>
      <c r="O3119" s="24">
        <f>'Data_in-situ'!DB353</f>
        <v>430.23040896760483</v>
      </c>
      <c r="P3119" s="46">
        <f>'Data_in-situ'!DC353</f>
        <v>3</v>
      </c>
      <c r="Q3119" s="24">
        <f>'Data_in-situ'!DE353</f>
        <v>527.66414470429572</v>
      </c>
      <c r="R3119" s="24">
        <f>'Data_in-situ'!DF353</f>
        <v>650.28157743771067</v>
      </c>
      <c r="S3119" s="46">
        <f>'Data_in-situ'!DG353</f>
        <v>3</v>
      </c>
      <c r="T3119" s="113">
        <f>'Data_in-situ'!DN213</f>
        <v>5.4</v>
      </c>
      <c r="U3119" s="113">
        <f>'Data_in-situ'!DO213</f>
        <v>6.0203481614635956</v>
      </c>
      <c r="V3119" s="46">
        <f>'Data_in-situ'!DP213</f>
        <v>3</v>
      </c>
      <c r="W3119" s="113">
        <f>'Data_in-situ'!DR213</f>
        <v>1.4</v>
      </c>
      <c r="X3119" s="113">
        <f>'Data_in-situ'!DS213</f>
        <v>5.2321028124834132</v>
      </c>
      <c r="Y3119" s="46">
        <f>'Data_in-situ'!DT213</f>
        <v>3</v>
      </c>
      <c r="AF3119" s="113">
        <f>'Data_in-situ'!EN100</f>
        <v>-5.833333333333333</v>
      </c>
      <c r="AG3119" s="113">
        <f>'Data_in-situ'!EO100</f>
        <v>5.3385391260156565</v>
      </c>
      <c r="AH3119" s="110">
        <f>'Data_in-situ'!EP100</f>
        <v>4</v>
      </c>
      <c r="AI3119" s="113">
        <f>'Data_in-situ'!ER100</f>
        <v>-19.5</v>
      </c>
      <c r="AJ3119" s="113">
        <f>'Data_in-situ'!ES100</f>
        <v>4.0620192023179804</v>
      </c>
      <c r="AK3119" s="110">
        <f>'Data_in-situ'!ET100</f>
        <v>4</v>
      </c>
    </row>
    <row r="3120" spans="2:37" x14ac:dyDescent="0.3">
      <c r="N3120" s="24">
        <f>'Data_in-situ'!DA412</f>
        <v>-1222.9909445995581</v>
      </c>
      <c r="O3120" s="24">
        <f>'Data_in-situ'!DB412</f>
        <v>291.56979829815799</v>
      </c>
      <c r="P3120" s="46">
        <f>'Data_in-situ'!DC412</f>
        <v>3</v>
      </c>
      <c r="Q3120" s="24">
        <f>'Data_in-situ'!DE412</f>
        <v>953.91152591835998</v>
      </c>
      <c r="R3120" s="24">
        <f>'Data_in-situ'!DF412</f>
        <v>1166.1567239388746</v>
      </c>
      <c r="S3120" s="46">
        <f>'Data_in-situ'!DG412</f>
        <v>3</v>
      </c>
      <c r="T3120" s="113">
        <f>'Data_in-situ'!DN214</f>
        <v>7.5</v>
      </c>
      <c r="U3120" s="113">
        <f>'Data_in-situ'!DO214</f>
        <v>8.3615946686994373</v>
      </c>
      <c r="V3120" s="46">
        <f>'Data_in-situ'!DP214</f>
        <v>3</v>
      </c>
      <c r="W3120" s="113">
        <f>'Data_in-situ'!DR214</f>
        <v>1.6</v>
      </c>
      <c r="X3120" s="113">
        <f>'Data_in-situ'!DS214</f>
        <v>5.979546071409616</v>
      </c>
      <c r="Y3120" s="46">
        <f>'Data_in-situ'!DT214</f>
        <v>3</v>
      </c>
      <c r="AF3120" s="113">
        <f>'Data_in-situ'!EN101</f>
        <v>-17.5</v>
      </c>
      <c r="AG3120" s="113">
        <f>'Data_in-situ'!EO101</f>
        <v>4.9497474683058327</v>
      </c>
      <c r="AH3120" s="110">
        <f>'Data_in-situ'!EP101</f>
        <v>4</v>
      </c>
      <c r="AI3120" s="113">
        <f>'Data_in-situ'!ER101</f>
        <v>-34</v>
      </c>
      <c r="AJ3120" s="113">
        <f>'Data_in-situ'!ES101</f>
        <v>11.313708498984761</v>
      </c>
      <c r="AK3120" s="110">
        <f>'Data_in-situ'!ET101</f>
        <v>4</v>
      </c>
    </row>
    <row r="3121" spans="14:37" x14ac:dyDescent="0.3">
      <c r="N3121" s="24">
        <f>'Data_in-situ'!DA413</f>
        <v>-1089.4376152325895</v>
      </c>
      <c r="O3121" s="24">
        <f>'Data_in-situ'!DB413</f>
        <v>396.38137595921512</v>
      </c>
      <c r="P3121" s="46">
        <f>'Data_in-situ'!DC413</f>
        <v>3</v>
      </c>
      <c r="Q3121" s="24">
        <f>'Data_in-situ'!DE413</f>
        <v>518.32053666534375</v>
      </c>
      <c r="R3121" s="24">
        <f>'Data_in-situ'!DF413</f>
        <v>639.04094931753639</v>
      </c>
      <c r="S3121" s="46">
        <f>'Data_in-situ'!DG413</f>
        <v>3</v>
      </c>
      <c r="T3121" s="113">
        <f>'Data_in-situ'!DN216</f>
        <v>36.386666666666663</v>
      </c>
      <c r="U3121" s="113">
        <f>'Data_in-situ'!DO216</f>
        <v>4.1569219381653051</v>
      </c>
      <c r="V3121" s="46">
        <f>'Data_in-situ'!DP216</f>
        <v>3</v>
      </c>
      <c r="W3121" s="113">
        <f>'Data_in-situ'!DR216</f>
        <v>12.573333333333332</v>
      </c>
      <c r="X3121" s="113">
        <f>'Data_in-situ'!DS216</f>
        <v>5.1268703904038775</v>
      </c>
      <c r="Y3121" s="46">
        <f>'Data_in-situ'!DT216</f>
        <v>3</v>
      </c>
      <c r="AF3121" s="113">
        <f>'Data_in-situ'!EN102</f>
        <v>-10</v>
      </c>
      <c r="AG3121" s="113">
        <f>'Data_in-situ'!EO102</f>
        <v>5.6568542494923806</v>
      </c>
      <c r="AH3121" s="110">
        <f>'Data_in-situ'!EP102</f>
        <v>4</v>
      </c>
      <c r="AI3121" s="113">
        <f>'Data_in-situ'!ER102</f>
        <v>-16.5</v>
      </c>
      <c r="AJ3121" s="113">
        <f>'Data_in-situ'!ES102</f>
        <v>3.5355339059327378</v>
      </c>
      <c r="AK3121" s="110">
        <f>'Data_in-situ'!ET102</f>
        <v>4</v>
      </c>
    </row>
    <row r="3122" spans="14:37" x14ac:dyDescent="0.3">
      <c r="N3122" s="24">
        <f>'Data_in-situ'!DA415</f>
        <v>-6415.3169641181039</v>
      </c>
      <c r="O3122" s="24">
        <f>'Data_in-situ'!DB415</f>
        <v>6104.4403947098008</v>
      </c>
      <c r="P3122" s="46">
        <f>'Data_in-situ'!DC415</f>
        <v>3</v>
      </c>
      <c r="Q3122" s="24">
        <f>'Data_in-situ'!DE415</f>
        <v>1392.8418193801579</v>
      </c>
      <c r="R3122" s="24">
        <f>'Data_in-situ'!DF415</f>
        <v>1342.1923247123252</v>
      </c>
      <c r="S3122" s="46">
        <f>'Data_in-situ'!DG415</f>
        <v>3</v>
      </c>
      <c r="T3122" s="113">
        <f>'Data_in-situ'!DN270</f>
        <v>9.7529199020319588</v>
      </c>
      <c r="U3122" s="113">
        <f>'Data_in-situ'!DO270</f>
        <v>10.616164230838427</v>
      </c>
      <c r="V3122" s="46">
        <f>'Data_in-situ'!DP270</f>
        <v>20</v>
      </c>
      <c r="W3122" s="113">
        <f>'Data_in-situ'!DR270</f>
        <v>1.5362827803916344E-2</v>
      </c>
      <c r="X3122" s="113">
        <f>'Data_in-situ'!DS270</f>
        <v>0.60544514040223285</v>
      </c>
      <c r="Y3122" s="46">
        <f>'Data_in-situ'!DT270</f>
        <v>20</v>
      </c>
      <c r="AF3122" s="113">
        <f>'Data_in-situ'!EN103</f>
        <v>10</v>
      </c>
      <c r="AG3122" s="113">
        <f>'Data_in-situ'!EO103</f>
        <v>14.142135623730951</v>
      </c>
      <c r="AH3122" s="110">
        <f>'Data_in-situ'!EP103</f>
        <v>4</v>
      </c>
      <c r="AI3122" s="113">
        <f>'Data_in-situ'!ER103</f>
        <v>-8</v>
      </c>
      <c r="AJ3122" s="113">
        <f>'Data_in-situ'!ES103</f>
        <v>2.8284271247461903</v>
      </c>
      <c r="AK3122" s="110">
        <f>'Data_in-situ'!ET103</f>
        <v>4</v>
      </c>
    </row>
    <row r="3123" spans="14:37" x14ac:dyDescent="0.3">
      <c r="N3123" s="24">
        <f>'Data_in-situ'!DA417</f>
        <v>327.32294156592525</v>
      </c>
      <c r="O3123" s="24">
        <f>'Data_in-situ'!DB417</f>
        <v>2944.1256851527319</v>
      </c>
      <c r="P3123" s="46">
        <f>'Data_in-situ'!DC417</f>
        <v>5</v>
      </c>
      <c r="Q3123" s="24">
        <f>'Data_in-situ'!DE417</f>
        <v>857.98044612392005</v>
      </c>
      <c r="R3123" s="24">
        <f>'Data_in-situ'!DF417</f>
        <v>5173.2804359476186</v>
      </c>
      <c r="S3123" s="46">
        <f>'Data_in-situ'!DG417</f>
        <v>5</v>
      </c>
      <c r="T3123" s="113">
        <f>'Data_in-situ'!DN274</f>
        <v>185.20163025788599</v>
      </c>
      <c r="U3123" s="113">
        <f>'Data_in-situ'!DO274</f>
        <v>63.221490486987811</v>
      </c>
      <c r="V3123" s="46">
        <f>'Data_in-situ'!DP274</f>
        <v>5</v>
      </c>
      <c r="W3123" s="113">
        <f>'Data_in-situ'!DR274</f>
        <v>121.18643762191216</v>
      </c>
      <c r="X3123" s="113">
        <f>'Data_in-situ'!DS274</f>
        <v>57.510183803125116</v>
      </c>
      <c r="Y3123" s="46">
        <f>'Data_in-situ'!DT274</f>
        <v>5</v>
      </c>
      <c r="AF3123" s="113">
        <f>'Data_in-situ'!EN195</f>
        <v>-8.1</v>
      </c>
      <c r="AG3123" s="113">
        <f>'Data_in-situ'!EO195</f>
        <v>1.2</v>
      </c>
      <c r="AH3123" s="110">
        <f>'Data_in-situ'!EP195</f>
        <v>3</v>
      </c>
      <c r="AI3123" s="113">
        <f>'Data_in-situ'!ER195</f>
        <v>-13.1</v>
      </c>
      <c r="AJ3123" s="113">
        <f>'Data_in-situ'!ES195</f>
        <v>0.8</v>
      </c>
      <c r="AK3123" s="110">
        <f>'Data_in-situ'!ET195</f>
        <v>3</v>
      </c>
    </row>
    <row r="3124" spans="14:37" x14ac:dyDescent="0.3">
      <c r="N3124" s="24">
        <f>'Data_in-situ'!DA447</f>
        <v>-4783.7690721649478</v>
      </c>
      <c r="O3124" s="24">
        <f>'Data_in-situ'!DB447</f>
        <v>1766.9819161761379</v>
      </c>
      <c r="P3124" s="46">
        <f>'Data_in-situ'!DC447</f>
        <v>3</v>
      </c>
      <c r="Q3124" s="24">
        <f>'Data_in-situ'!DE447</f>
        <v>-17986.9717113402</v>
      </c>
      <c r="R3124" s="24">
        <f>'Data_in-situ'!DF447</f>
        <v>3327.1138134409139</v>
      </c>
      <c r="S3124" s="46">
        <f>'Data_in-situ'!DG447</f>
        <v>3</v>
      </c>
      <c r="T3124" s="113">
        <f>'Data_in-situ'!DN275</f>
        <v>72.37222075218537</v>
      </c>
      <c r="U3124" s="113">
        <f>'Data_in-situ'!DO275</f>
        <v>16.290298496553017</v>
      </c>
      <c r="V3124" s="46">
        <f>'Data_in-situ'!DP275</f>
        <v>5</v>
      </c>
      <c r="W3124" s="113">
        <f>'Data_in-situ'!DR275</f>
        <v>28.308613297303122</v>
      </c>
      <c r="X3124" s="113">
        <f>'Data_in-situ'!DS275</f>
        <v>7.7013419089793729</v>
      </c>
      <c r="Y3124" s="46">
        <f>'Data_in-situ'!DT275</f>
        <v>5</v>
      </c>
      <c r="AF3124" s="113">
        <f>'Data_in-situ'!EN196</f>
        <v>-20.399999999999999</v>
      </c>
      <c r="AG3124" s="113">
        <f>'Data_in-situ'!EO196</f>
        <v>2.2999999999999998</v>
      </c>
      <c r="AH3124" s="110">
        <f>'Data_in-situ'!EP196</f>
        <v>3</v>
      </c>
      <c r="AI3124" s="113">
        <f>'Data_in-situ'!ER196</f>
        <v>-28.4</v>
      </c>
      <c r="AJ3124" s="113">
        <f>'Data_in-situ'!ES196</f>
        <v>3.2</v>
      </c>
      <c r="AK3124" s="110">
        <f>'Data_in-situ'!ET196</f>
        <v>3</v>
      </c>
    </row>
    <row r="3125" spans="14:37" x14ac:dyDescent="0.3">
      <c r="N3125" s="24">
        <f>'Data_in-situ'!DA468</f>
        <v>-1350</v>
      </c>
      <c r="O3125" s="24">
        <f>'Data_in-situ'!DB468</f>
        <v>2670</v>
      </c>
      <c r="P3125" s="46">
        <f>'Data_in-situ'!DC468</f>
        <v>1</v>
      </c>
      <c r="Q3125" s="24">
        <f>'Data_in-situ'!DE468</f>
        <v>-320</v>
      </c>
      <c r="R3125" s="24">
        <f>'Data_in-situ'!DF468</f>
        <v>1110</v>
      </c>
      <c r="S3125" s="46">
        <f>'Data_in-situ'!DG468</f>
        <v>1</v>
      </c>
      <c r="T3125" s="113">
        <f>'Data_in-situ'!DN276</f>
        <v>49.465244035227812</v>
      </c>
      <c r="U3125" s="113">
        <f>'Data_in-situ'!DO276</f>
        <v>13.371607139963906</v>
      </c>
      <c r="V3125" s="46">
        <f>'Data_in-situ'!DP276</f>
        <v>5</v>
      </c>
      <c r="W3125" s="113">
        <f>'Data_in-situ'!DR276</f>
        <v>54.340166693175355</v>
      </c>
      <c r="X3125" s="113">
        <f>'Data_in-situ'!DS276</f>
        <v>13.781971178631771</v>
      </c>
      <c r="Y3125" s="46">
        <f>'Data_in-situ'!DT276</f>
        <v>5</v>
      </c>
      <c r="AF3125" s="113">
        <f>'Data_in-situ'!EN197</f>
        <v>-8.1</v>
      </c>
      <c r="AG3125" s="113">
        <f>'Data_in-situ'!EO197</f>
        <v>1.2</v>
      </c>
      <c r="AH3125" s="110">
        <f>'Data_in-situ'!EP197</f>
        <v>3</v>
      </c>
      <c r="AI3125" s="113">
        <f>'Data_in-situ'!ER197</f>
        <v>-13.1</v>
      </c>
      <c r="AJ3125" s="113">
        <f>'Data_in-situ'!ES197</f>
        <v>0.8</v>
      </c>
      <c r="AK3125" s="110">
        <f>'Data_in-situ'!ET197</f>
        <v>3</v>
      </c>
    </row>
    <row r="3126" spans="14:37" x14ac:dyDescent="0.3">
      <c r="T3126" s="113">
        <f>'Data_in-situ'!DN277</f>
        <v>161.00136320152035</v>
      </c>
      <c r="U3126" s="113">
        <f>'Data_in-situ'!DO277</f>
        <v>78.597780685425604</v>
      </c>
      <c r="V3126" s="46">
        <f>'Data_in-situ'!DP277</f>
        <v>5</v>
      </c>
      <c r="W3126" s="113">
        <f>'Data_in-situ'!DR277</f>
        <v>91.076976090565751</v>
      </c>
      <c r="X3126" s="113">
        <f>'Data_in-situ'!DS277</f>
        <v>23.599794088555864</v>
      </c>
      <c r="Y3126" s="46">
        <f>'Data_in-situ'!DT277</f>
        <v>5</v>
      </c>
      <c r="AF3126" s="113">
        <f>'Data_in-situ'!EN198</f>
        <v>-20.399999999999999</v>
      </c>
      <c r="AG3126" s="113">
        <f>'Data_in-situ'!EO198</f>
        <v>2.2999999999999998</v>
      </c>
      <c r="AH3126" s="110">
        <f>'Data_in-situ'!EP198</f>
        <v>3</v>
      </c>
      <c r="AI3126" s="113">
        <f>'Data_in-situ'!ER198</f>
        <v>-28.4</v>
      </c>
      <c r="AJ3126" s="113">
        <f>'Data_in-situ'!ES198</f>
        <v>3.2</v>
      </c>
      <c r="AK3126" s="110">
        <f>'Data_in-situ'!ET198</f>
        <v>3</v>
      </c>
    </row>
    <row r="3127" spans="14:37" x14ac:dyDescent="0.3">
      <c r="T3127" s="113">
        <f>'Data_in-situ'!DN278</f>
        <v>33.182385393713595</v>
      </c>
      <c r="U3127" s="113">
        <f>'Data_in-situ'!DO278</f>
        <v>11.04758962718873</v>
      </c>
      <c r="V3127" s="46">
        <f>'Data_in-situ'!DP278</f>
        <v>5</v>
      </c>
      <c r="W3127" s="113">
        <f>'Data_in-situ'!DR278</f>
        <v>70.577515694920223</v>
      </c>
      <c r="X3127" s="113">
        <f>'Data_in-situ'!DS278</f>
        <v>17.997218807343039</v>
      </c>
      <c r="Y3127" s="46">
        <f>'Data_in-situ'!DT278</f>
        <v>5</v>
      </c>
      <c r="AF3127" s="113">
        <f>'Data_in-situ'!EN199</f>
        <v>-20.100000000000001</v>
      </c>
      <c r="AG3127" s="113">
        <f>'Data_in-situ'!EO199</f>
        <v>2</v>
      </c>
      <c r="AH3127" s="110">
        <f>'Data_in-situ'!EP199</f>
        <v>16</v>
      </c>
      <c r="AI3127" s="113">
        <f>'Data_in-situ'!ER199</f>
        <v>-38.200000000000003</v>
      </c>
      <c r="AJ3127" s="113">
        <f>'Data_in-situ'!ES199</f>
        <v>2</v>
      </c>
      <c r="AK3127" s="110">
        <f>'Data_in-situ'!ET199</f>
        <v>16</v>
      </c>
    </row>
    <row r="3128" spans="14:37" x14ac:dyDescent="0.3">
      <c r="T3128" s="113">
        <f>'Data_in-situ'!DN279</f>
        <v>149.58826237069499</v>
      </c>
      <c r="U3128" s="113">
        <f>'Data_in-situ'!DO279</f>
        <v>54.002575188816245</v>
      </c>
      <c r="V3128" s="46">
        <f>'Data_in-situ'!DP279</f>
        <v>5</v>
      </c>
      <c r="W3128" s="113">
        <f>'Data_in-situ'!DR279</f>
        <v>185.74509306894518</v>
      </c>
      <c r="X3128" s="113">
        <f>'Data_in-situ'!DS279</f>
        <v>48.73879916451105</v>
      </c>
      <c r="Y3128" s="46">
        <f>'Data_in-situ'!DT279</f>
        <v>5</v>
      </c>
      <c r="AF3128" s="113">
        <f>'Data_in-situ'!EN200</f>
        <v>-23</v>
      </c>
      <c r="AG3128" s="113">
        <f>'Data_in-situ'!EO200</f>
        <v>3.2</v>
      </c>
      <c r="AH3128" s="110">
        <f>'Data_in-situ'!EP200</f>
        <v>16</v>
      </c>
      <c r="AI3128" s="113">
        <f>'Data_in-situ'!ER200</f>
        <v>-35.299999999999997</v>
      </c>
      <c r="AJ3128" s="113">
        <f>'Data_in-situ'!ES200</f>
        <v>4.4000000000000004</v>
      </c>
      <c r="AK3128" s="110">
        <f>'Data_in-situ'!ET200</f>
        <v>16</v>
      </c>
    </row>
    <row r="3129" spans="14:37" x14ac:dyDescent="0.3">
      <c r="T3129" s="113">
        <f>'Data_in-situ'!DN280</f>
        <v>4.3449126612056599</v>
      </c>
      <c r="U3129" s="113">
        <f>'Data_in-situ'!DO280</f>
        <v>9.5961779850217681</v>
      </c>
      <c r="V3129" s="46">
        <f>'Data_in-situ'!DP280</f>
        <v>6</v>
      </c>
      <c r="W3129" s="113">
        <f>'Data_in-situ'!DR280</f>
        <v>-0.16115570294991843</v>
      </c>
      <c r="X3129" s="113">
        <f>'Data_in-situ'!DS280</f>
        <v>0.55821924153316771</v>
      </c>
      <c r="Y3129" s="46">
        <f>'Data_in-situ'!DT280</f>
        <v>6</v>
      </c>
      <c r="AF3129" s="113">
        <f>'Data_in-situ'!EN201</f>
        <v>7.1</v>
      </c>
      <c r="AG3129" s="113">
        <f>'Data_in-situ'!EO201</f>
        <v>1.3435028842544376</v>
      </c>
      <c r="AH3129" s="110">
        <f>'Data_in-situ'!EP201</f>
        <v>3</v>
      </c>
      <c r="AI3129" s="113">
        <f>'Data_in-situ'!ER201</f>
        <v>-26</v>
      </c>
      <c r="AJ3129" s="113">
        <f>'Data_in-situ'!ES201</f>
        <v>5.6568542494923806</v>
      </c>
      <c r="AK3129" s="110">
        <f>'Data_in-situ'!ET201</f>
        <v>3</v>
      </c>
    </row>
    <row r="3130" spans="14:37" x14ac:dyDescent="0.3">
      <c r="T3130" s="113">
        <f>'Data_in-situ'!DN281</f>
        <v>4.3449126612056599</v>
      </c>
      <c r="U3130" s="113">
        <f>'Data_in-situ'!DO281</f>
        <v>9.5961779850217681</v>
      </c>
      <c r="V3130" s="46">
        <f>'Data_in-situ'!DP281</f>
        <v>6</v>
      </c>
      <c r="W3130" s="113">
        <f>'Data_in-situ'!DR281</f>
        <v>-5.3718567649972807E-2</v>
      </c>
      <c r="X3130" s="113">
        <f>'Data_in-situ'!DS281</f>
        <v>0.5398869703372956</v>
      </c>
      <c r="Y3130" s="46">
        <f>'Data_in-situ'!DT281</f>
        <v>6</v>
      </c>
      <c r="AF3130" s="113">
        <f>'Data_in-situ'!EN202</f>
        <v>14.2</v>
      </c>
      <c r="AG3130" s="113">
        <f>'Data_in-situ'!EO202</f>
        <v>1.9091883092036779</v>
      </c>
      <c r="AH3130" s="110">
        <f>'Data_in-situ'!EP202</f>
        <v>3</v>
      </c>
      <c r="AI3130" s="113">
        <f>'Data_in-situ'!ER202</f>
        <v>-26.3</v>
      </c>
      <c r="AJ3130" s="113">
        <f>'Data_in-situ'!ES202</f>
        <v>4.6669047558312107</v>
      </c>
      <c r="AK3130" s="110">
        <f>'Data_in-situ'!ET202</f>
        <v>3</v>
      </c>
    </row>
    <row r="3131" spans="14:37" x14ac:dyDescent="0.3">
      <c r="T3131" s="113">
        <f>'Data_in-situ'!DN282</f>
        <v>4.3449126612056599</v>
      </c>
      <c r="U3131" s="113">
        <f>'Data_in-situ'!DO282</f>
        <v>9.5961779850217681</v>
      </c>
      <c r="V3131" s="46">
        <f>'Data_in-situ'!DP282</f>
        <v>6</v>
      </c>
      <c r="W3131" s="113">
        <f>'Data_in-situ'!DR282</f>
        <v>5.3718567649972807E-2</v>
      </c>
      <c r="X3131" s="113">
        <f>'Data_in-situ'!DS282</f>
        <v>0.43312042016840363</v>
      </c>
      <c r="Y3131" s="46">
        <f>'Data_in-situ'!DT282</f>
        <v>6</v>
      </c>
      <c r="AF3131" s="113">
        <f>'Data_in-situ'!EN211</f>
        <v>-15</v>
      </c>
      <c r="AG3131" s="113">
        <f>'Data_in-situ'!EO211</f>
        <v>13</v>
      </c>
      <c r="AH3131" s="110">
        <f>'Data_in-situ'!EP211</f>
        <v>9836</v>
      </c>
      <c r="AI3131" s="113">
        <f>'Data_in-situ'!ER211</f>
        <v>-22</v>
      </c>
      <c r="AJ3131" s="113">
        <f>'Data_in-situ'!ES211</f>
        <v>10</v>
      </c>
      <c r="AK3131" s="110">
        <f>'Data_in-situ'!ET211</f>
        <v>11052</v>
      </c>
    </row>
    <row r="3132" spans="14:37" x14ac:dyDescent="0.3">
      <c r="T3132" s="113">
        <f>'Data_in-situ'!DN283</f>
        <v>4.3449126612056599</v>
      </c>
      <c r="U3132" s="113">
        <f>'Data_in-situ'!DO283</f>
        <v>9.5961779850217681</v>
      </c>
      <c r="V3132" s="46">
        <f>'Data_in-situ'!DP283</f>
        <v>6</v>
      </c>
      <c r="W3132" s="113">
        <f>'Data_in-situ'!DR283</f>
        <v>5.3718567649972807E-2</v>
      </c>
      <c r="X3132" s="113">
        <f>'Data_in-situ'!DS283</f>
        <v>0.43312042016840363</v>
      </c>
      <c r="Y3132" s="46">
        <f>'Data_in-situ'!DT283</f>
        <v>6</v>
      </c>
      <c r="AF3132" s="113">
        <f>'Data_in-situ'!EN212</f>
        <v>-15</v>
      </c>
      <c r="AG3132" s="113">
        <f>'Data_in-situ'!EO212</f>
        <v>13</v>
      </c>
      <c r="AH3132" s="110">
        <f>'Data_in-situ'!EP212</f>
        <v>9836</v>
      </c>
      <c r="AI3132" s="113">
        <f>'Data_in-situ'!ER212</f>
        <v>-68</v>
      </c>
      <c r="AJ3132" s="113">
        <f>'Data_in-situ'!ES212</f>
        <v>23</v>
      </c>
      <c r="AK3132" s="110">
        <f>'Data_in-situ'!ET212</f>
        <v>11052</v>
      </c>
    </row>
    <row r="3133" spans="14:37" x14ac:dyDescent="0.3">
      <c r="T3133" s="113">
        <f>'Data_in-situ'!DN284</f>
        <v>27.51778018763585</v>
      </c>
      <c r="U3133" s="113">
        <f>'Data_in-situ'!DO284</f>
        <v>12.137611972737048</v>
      </c>
      <c r="V3133" s="46">
        <f>'Data_in-situ'!DP284</f>
        <v>6</v>
      </c>
      <c r="W3133" s="113">
        <f>'Data_in-situ'!DR284</f>
        <v>-0.16115570294991843</v>
      </c>
      <c r="X3133" s="113">
        <f>'Data_in-situ'!DS284</f>
        <v>0.5610292847687105</v>
      </c>
      <c r="Y3133" s="46">
        <f>'Data_in-situ'!DT284</f>
        <v>6</v>
      </c>
      <c r="AF3133" s="113">
        <f>'Data_in-situ'!EN213</f>
        <v>-14.909844559585478</v>
      </c>
      <c r="AG3133" s="113">
        <f>'Data_in-situ'!EO213</f>
        <v>1.0723470663621506</v>
      </c>
      <c r="AH3133" s="110">
        <f>'Data_in-situ'!EP213</f>
        <v>3</v>
      </c>
      <c r="AI3133" s="113">
        <f>'Data_in-situ'!ER213</f>
        <v>-31.98942141623488</v>
      </c>
      <c r="AJ3133" s="113">
        <f>'Data_in-situ'!ES213</f>
        <v>1.5801931444910506</v>
      </c>
      <c r="AK3133" s="110">
        <f>'Data_in-situ'!ET213</f>
        <v>3</v>
      </c>
    </row>
    <row r="3134" spans="14:37" x14ac:dyDescent="0.3">
      <c r="T3134" s="113">
        <f>'Data_in-situ'!DN285</f>
        <v>27.51778018763585</v>
      </c>
      <c r="U3134" s="113">
        <f>'Data_in-situ'!DO285</f>
        <v>12.137611972737048</v>
      </c>
      <c r="V3134" s="46">
        <f>'Data_in-situ'!DP285</f>
        <v>6</v>
      </c>
      <c r="W3134" s="113">
        <f>'Data_in-situ'!DR285</f>
        <v>-5.3718567649972807E-2</v>
      </c>
      <c r="X3134" s="113">
        <f>'Data_in-situ'!DS285</f>
        <v>11.665364622891369</v>
      </c>
      <c r="Y3134" s="46">
        <f>'Data_in-situ'!DT285</f>
        <v>6</v>
      </c>
      <c r="AF3134" s="113">
        <f>'Data_in-situ'!EN214</f>
        <v>-13.449581506576324</v>
      </c>
      <c r="AG3134" s="113">
        <f>'Data_in-situ'!EO214</f>
        <v>1.4236979793576987</v>
      </c>
      <c r="AH3134" s="110">
        <f>'Data_in-situ'!EP214</f>
        <v>3</v>
      </c>
      <c r="AI3134" s="113">
        <f>'Data_in-situ'!ER214</f>
        <v>-31.606217616580317</v>
      </c>
      <c r="AJ3134" s="113">
        <f>'Data_in-situ'!ES214</f>
        <v>2.0517717022532898</v>
      </c>
      <c r="AK3134" s="110">
        <f>'Data_in-situ'!ET214</f>
        <v>3</v>
      </c>
    </row>
    <row r="3135" spans="14:37" x14ac:dyDescent="0.3">
      <c r="T3135" s="113">
        <f>'Data_in-situ'!DN286</f>
        <v>27.51778018763585</v>
      </c>
      <c r="U3135" s="113">
        <f>'Data_in-situ'!DO286</f>
        <v>12.137611972737048</v>
      </c>
      <c r="V3135" s="46">
        <f>'Data_in-situ'!DP286</f>
        <v>6</v>
      </c>
      <c r="W3135" s="113">
        <f>'Data_in-situ'!DR286</f>
        <v>5.3718567649972807E-2</v>
      </c>
      <c r="X3135" s="113">
        <f>'Data_in-situ'!DS286</f>
        <v>1.4941129876440691</v>
      </c>
      <c r="Y3135" s="46">
        <f>'Data_in-situ'!DT286</f>
        <v>6</v>
      </c>
      <c r="AF3135" s="113">
        <f>'Data_in-situ'!EN216</f>
        <v>-15</v>
      </c>
      <c r="AG3135" s="113">
        <f>'Data_in-situ'!EO216</f>
        <v>6.1124459812694001</v>
      </c>
      <c r="AH3135" s="110">
        <f>'Data_in-situ'!EP216</f>
        <v>3</v>
      </c>
      <c r="AI3135" s="113">
        <f>'Data_in-situ'!ER216</f>
        <v>-38</v>
      </c>
      <c r="AJ3135" s="113">
        <f>'Data_in-situ'!ES216</f>
        <v>8.6189340333493778</v>
      </c>
      <c r="AK3135" s="110">
        <f>'Data_in-situ'!ET216</f>
        <v>3</v>
      </c>
    </row>
    <row r="3136" spans="14:37" x14ac:dyDescent="0.3">
      <c r="T3136" s="113">
        <f>'Data_in-situ'!DN287</f>
        <v>27.51778018763585</v>
      </c>
      <c r="U3136" s="113">
        <f>'Data_in-situ'!DO287</f>
        <v>12.137611972737048</v>
      </c>
      <c r="V3136" s="46">
        <f>'Data_in-situ'!DP287</f>
        <v>6</v>
      </c>
      <c r="W3136" s="113">
        <f>'Data_in-situ'!DR287</f>
        <v>5.3718567649972807E-2</v>
      </c>
      <c r="X3136" s="113">
        <f>'Data_in-situ'!DS287</f>
        <v>0.43312042016840363</v>
      </c>
      <c r="Y3136" s="46">
        <f>'Data_in-situ'!DT287</f>
        <v>6</v>
      </c>
      <c r="AF3136" s="113">
        <f>'Data_in-situ'!EN244</f>
        <v>-16</v>
      </c>
      <c r="AG3136" s="113">
        <f>'Data_in-situ'!EO244</f>
        <v>6.5199423800206935</v>
      </c>
      <c r="AH3136" s="110">
        <f>'Data_in-situ'!EP244</f>
        <v>3</v>
      </c>
      <c r="AI3136" s="113">
        <f>'Data_in-situ'!ER244</f>
        <v>-21</v>
      </c>
      <c r="AJ3136" s="113">
        <f>'Data_in-situ'!ES244</f>
        <v>4.7630951236930779</v>
      </c>
      <c r="AK3136" s="110">
        <f>'Data_in-situ'!ET244</f>
        <v>3</v>
      </c>
    </row>
    <row r="3137" spans="20:37" x14ac:dyDescent="0.3">
      <c r="T3137" s="113">
        <f>'Data_in-situ'!DN288</f>
        <v>17.621034681556281</v>
      </c>
      <c r="U3137" s="113">
        <f>'Data_in-situ'!DO288</f>
        <v>25.060650744317332</v>
      </c>
      <c r="V3137" s="46">
        <f>'Data_in-situ'!DP288</f>
        <v>6</v>
      </c>
      <c r="W3137" s="113">
        <f>'Data_in-situ'!DR288</f>
        <v>-0.16115570294991843</v>
      </c>
      <c r="X3137" s="113">
        <f>'Data_in-situ'!DS288</f>
        <v>0.5610292847687105</v>
      </c>
      <c r="Y3137" s="46">
        <f>'Data_in-situ'!DT288</f>
        <v>6</v>
      </c>
      <c r="AF3137" s="113">
        <f>'Data_in-situ'!EN245</f>
        <v>-16</v>
      </c>
      <c r="AG3137" s="113">
        <f>'Data_in-situ'!EO245</f>
        <v>6.5199423800206935</v>
      </c>
      <c r="AH3137" s="110">
        <f>'Data_in-situ'!EP245</f>
        <v>3</v>
      </c>
      <c r="AI3137" s="113">
        <f>'Data_in-situ'!ER245</f>
        <v>-21</v>
      </c>
      <c r="AJ3137" s="113">
        <f>'Data_in-situ'!ES245</f>
        <v>4.7630951236930779</v>
      </c>
      <c r="AK3137" s="110">
        <f>'Data_in-situ'!ET245</f>
        <v>3</v>
      </c>
    </row>
    <row r="3138" spans="20:37" x14ac:dyDescent="0.3">
      <c r="T3138" s="113">
        <f>'Data_in-situ'!DN289</f>
        <v>17.621034681556281</v>
      </c>
      <c r="U3138" s="113">
        <f>'Data_in-situ'!DO289</f>
        <v>25.060650744317332</v>
      </c>
      <c r="V3138" s="46">
        <f>'Data_in-situ'!DP289</f>
        <v>6</v>
      </c>
      <c r="W3138" s="113">
        <f>'Data_in-situ'!DR289</f>
        <v>-5.3718567649972807E-2</v>
      </c>
      <c r="X3138" s="113">
        <f>'Data_in-situ'!DS289</f>
        <v>0.5398869703372956</v>
      </c>
      <c r="Y3138" s="46">
        <f>'Data_in-situ'!DT289</f>
        <v>6</v>
      </c>
      <c r="AF3138" s="113">
        <f>'Data_in-situ'!EN254</f>
        <v>-28</v>
      </c>
      <c r="AG3138" s="113">
        <f>'Data_in-situ'!EO254</f>
        <v>11.409899165036213</v>
      </c>
      <c r="AH3138" s="110">
        <f>'Data_in-situ'!EP254</f>
        <v>3</v>
      </c>
      <c r="AI3138" s="113">
        <f>'Data_in-situ'!ER254</f>
        <v>-36</v>
      </c>
      <c r="AJ3138" s="113">
        <f>'Data_in-situ'!ES254</f>
        <v>8.1653059263309906</v>
      </c>
      <c r="AK3138" s="110">
        <f>'Data_in-situ'!ET254</f>
        <v>3</v>
      </c>
    </row>
    <row r="3139" spans="20:37" x14ac:dyDescent="0.3">
      <c r="T3139" s="113">
        <f>'Data_in-situ'!DN290</f>
        <v>17.621034681556281</v>
      </c>
      <c r="U3139" s="113">
        <f>'Data_in-situ'!DO290</f>
        <v>25.060650744317332</v>
      </c>
      <c r="V3139" s="46">
        <f>'Data_in-situ'!DP290</f>
        <v>6</v>
      </c>
      <c r="W3139" s="113">
        <f>'Data_in-situ'!DR290</f>
        <v>5.3718567649972807E-2</v>
      </c>
      <c r="X3139" s="113">
        <f>'Data_in-situ'!DS290</f>
        <v>0.43312042016840363</v>
      </c>
      <c r="Y3139" s="46">
        <f>'Data_in-situ'!DT290</f>
        <v>6</v>
      </c>
      <c r="AF3139" s="113">
        <f>'Data_in-situ'!EN255</f>
        <v>-18</v>
      </c>
      <c r="AG3139" s="113">
        <f>'Data_in-situ'!EO255</f>
        <v>7.3349351775232803</v>
      </c>
      <c r="AH3139" s="110">
        <f>'Data_in-situ'!EP255</f>
        <v>3</v>
      </c>
      <c r="AI3139" s="113">
        <f>'Data_in-situ'!ER255</f>
        <v>-24</v>
      </c>
      <c r="AJ3139" s="113">
        <f>'Data_in-situ'!ES255</f>
        <v>5.4435372842206604</v>
      </c>
      <c r="AK3139" s="110">
        <f>'Data_in-situ'!ET255</f>
        <v>3</v>
      </c>
    </row>
    <row r="3140" spans="20:37" x14ac:dyDescent="0.3">
      <c r="T3140" s="113">
        <f>'Data_in-situ'!DN291</f>
        <v>17.621034681556281</v>
      </c>
      <c r="U3140" s="113">
        <f>'Data_in-situ'!DO291</f>
        <v>25.060650744317332</v>
      </c>
      <c r="V3140" s="46">
        <f>'Data_in-situ'!DP291</f>
        <v>6</v>
      </c>
      <c r="W3140" s="113">
        <f>'Data_in-situ'!DR291</f>
        <v>5.3718567649972807E-2</v>
      </c>
      <c r="X3140" s="113">
        <f>'Data_in-situ'!DS291</f>
        <v>0.43312042016840363</v>
      </c>
      <c r="Y3140" s="46">
        <f>'Data_in-situ'!DT291</f>
        <v>6</v>
      </c>
      <c r="AF3140" s="113">
        <f>'Data_in-situ'!EN256</f>
        <v>-11</v>
      </c>
      <c r="AG3140" s="113">
        <f>'Data_in-situ'!EO256</f>
        <v>4.4824603862642265</v>
      </c>
      <c r="AH3140" s="110">
        <f>'Data_in-situ'!EP256</f>
        <v>3</v>
      </c>
      <c r="AI3140" s="113">
        <f>'Data_in-situ'!ER256</f>
        <v>-13</v>
      </c>
      <c r="AJ3140" s="113">
        <f>'Data_in-situ'!ES256</f>
        <v>2.9485826956195242</v>
      </c>
      <c r="AK3140" s="110">
        <f>'Data_in-situ'!ET256</f>
        <v>3</v>
      </c>
    </row>
    <row r="3141" spans="20:37" x14ac:dyDescent="0.3">
      <c r="T3141" s="113">
        <f>'Data_in-situ'!DN292</f>
        <v>3.0332504908479376</v>
      </c>
      <c r="U3141" s="113">
        <f>'Data_in-situ'!DO292</f>
        <v>6.9539999999999997</v>
      </c>
      <c r="V3141" s="46">
        <f>'Data_in-situ'!DP292</f>
        <v>6</v>
      </c>
      <c r="W3141" s="113">
        <f>'Data_in-situ'!DR292</f>
        <v>5.3718567649972807E-2</v>
      </c>
      <c r="X3141" s="113">
        <f>'Data_in-situ'!DS292</f>
        <v>0.48646678719420772</v>
      </c>
      <c r="Y3141" s="46">
        <f>'Data_in-situ'!DT292</f>
        <v>6</v>
      </c>
      <c r="AF3141" s="113">
        <f>'Data_in-situ'!EN257</f>
        <v>-16</v>
      </c>
      <c r="AG3141" s="113">
        <f>'Data_in-situ'!EO257</f>
        <v>6.5199423800206935</v>
      </c>
      <c r="AH3141" s="110">
        <f>'Data_in-situ'!EP257</f>
        <v>3</v>
      </c>
      <c r="AI3141" s="113">
        <f>'Data_in-situ'!ER257</f>
        <v>-20</v>
      </c>
      <c r="AJ3141" s="113">
        <f>'Data_in-situ'!ES257</f>
        <v>4.5362810701838834</v>
      </c>
      <c r="AK3141" s="110">
        <f>'Data_in-situ'!ET257</f>
        <v>3</v>
      </c>
    </row>
    <row r="3142" spans="20:37" x14ac:dyDescent="0.3">
      <c r="T3142" s="113">
        <f>'Data_in-situ'!DN293</f>
        <v>3.0332504908479376</v>
      </c>
      <c r="U3142" s="113">
        <f>'Data_in-situ'!DO293</f>
        <v>10.126673956829368</v>
      </c>
      <c r="V3142" s="46">
        <f>'Data_in-situ'!DP293</f>
        <v>6</v>
      </c>
      <c r="W3142" s="113">
        <f>'Data_in-situ'!DR293</f>
        <v>-0.10743713529994561</v>
      </c>
      <c r="X3142" s="113">
        <f>'Data_in-situ'!DS293</f>
        <v>0.27043803155784618</v>
      </c>
      <c r="Y3142" s="46">
        <f>'Data_in-situ'!DT293</f>
        <v>6</v>
      </c>
      <c r="AF3142" s="113">
        <f>'Data_in-situ'!EN258</f>
        <v>-12</v>
      </c>
      <c r="AG3142" s="113">
        <f>'Data_in-situ'!EO258</f>
        <v>4.8899567850155199</v>
      </c>
      <c r="AH3142" s="110">
        <f>'Data_in-situ'!EP258</f>
        <v>3</v>
      </c>
      <c r="AI3142" s="113">
        <f>'Data_in-situ'!ER258</f>
        <v>-27</v>
      </c>
      <c r="AJ3142" s="113">
        <f>'Data_in-situ'!ES258</f>
        <v>6.123979444748243</v>
      </c>
      <c r="AK3142" s="110">
        <f>'Data_in-situ'!ET258</f>
        <v>3</v>
      </c>
    </row>
    <row r="3143" spans="20:37" x14ac:dyDescent="0.3">
      <c r="T3143" s="113">
        <f>'Data_in-situ'!DN294</f>
        <v>3.0332504908479376</v>
      </c>
      <c r="U3143" s="113">
        <f>'Data_in-situ'!DO294</f>
        <v>10.126673956829368</v>
      </c>
      <c r="V3143" s="46">
        <f>'Data_in-situ'!DP294</f>
        <v>6</v>
      </c>
      <c r="W3143" s="113">
        <f>'Data_in-situ'!DR294</f>
        <v>-0.10743713529994561</v>
      </c>
      <c r="X3143" s="113">
        <f>'Data_in-situ'!DS294</f>
        <v>0.39119879833905941</v>
      </c>
      <c r="Y3143" s="46">
        <f>'Data_in-situ'!DT294</f>
        <v>6</v>
      </c>
      <c r="AF3143" s="113">
        <f>'Data_in-situ'!EN264</f>
        <v>-28</v>
      </c>
      <c r="AG3143" s="113">
        <f>'Data_in-situ'!EO264</f>
        <v>11.409899165036213</v>
      </c>
      <c r="AH3143" s="110">
        <f>'Data_in-situ'!EP264</f>
        <v>3</v>
      </c>
      <c r="AI3143" s="113">
        <f>'Data_in-situ'!ER264</f>
        <v>-36</v>
      </c>
      <c r="AJ3143" s="113">
        <f>'Data_in-situ'!ES264</f>
        <v>8.1653059263309906</v>
      </c>
      <c r="AK3143" s="110">
        <f>'Data_in-situ'!ET264</f>
        <v>3</v>
      </c>
    </row>
    <row r="3144" spans="20:37" x14ac:dyDescent="0.3">
      <c r="T3144" s="113">
        <f>'Data_in-situ'!DN295</f>
        <v>3.0332504908479376</v>
      </c>
      <c r="U3144" s="113">
        <f>'Data_in-situ'!DO295</f>
        <v>10.126673956829368</v>
      </c>
      <c r="V3144" s="46">
        <f>'Data_in-situ'!DP295</f>
        <v>6</v>
      </c>
      <c r="W3144" s="113">
        <f>'Data_in-situ'!DR295</f>
        <v>-5.3718567649972807E-2</v>
      </c>
      <c r="X3144" s="113">
        <f>'Data_in-situ'!DS295</f>
        <v>0.37987896850363267</v>
      </c>
      <c r="Y3144" s="46">
        <f>'Data_in-situ'!DT295</f>
        <v>6</v>
      </c>
      <c r="AF3144" s="113">
        <f>'Data_in-situ'!EN265</f>
        <v>-18</v>
      </c>
      <c r="AG3144" s="113">
        <f>'Data_in-situ'!EO265</f>
        <v>7.3349351775232803</v>
      </c>
      <c r="AH3144" s="110">
        <f>'Data_in-situ'!EP265</f>
        <v>3</v>
      </c>
      <c r="AI3144" s="113">
        <f>'Data_in-situ'!ER265</f>
        <v>-24</v>
      </c>
      <c r="AJ3144" s="113">
        <f>'Data_in-situ'!ES265</f>
        <v>5.4435372842206604</v>
      </c>
      <c r="AK3144" s="110">
        <f>'Data_in-situ'!ET265</f>
        <v>3</v>
      </c>
    </row>
    <row r="3145" spans="20:37" x14ac:dyDescent="0.3">
      <c r="T3145" s="113">
        <f>'Data_in-situ'!DN296</f>
        <v>11.627460214917093</v>
      </c>
      <c r="U3145" s="113">
        <f>'Data_in-situ'!DO296</f>
        <v>19.919328099494376</v>
      </c>
      <c r="V3145" s="46">
        <f>'Data_in-situ'!DP296</f>
        <v>6</v>
      </c>
      <c r="W3145" s="113">
        <f>'Data_in-situ'!DR296</f>
        <v>5.3718567649972807E-2</v>
      </c>
      <c r="X3145" s="113">
        <f>'Data_in-situ'!DS296</f>
        <v>0.48646678719420772</v>
      </c>
      <c r="Y3145" s="46">
        <f>'Data_in-situ'!DT296</f>
        <v>6</v>
      </c>
      <c r="AF3145" s="113">
        <f>'Data_in-situ'!EN266</f>
        <v>-11</v>
      </c>
      <c r="AG3145" s="113">
        <f>'Data_in-situ'!EO266</f>
        <v>4.4824603862642265</v>
      </c>
      <c r="AH3145" s="110">
        <f>'Data_in-situ'!EP266</f>
        <v>3</v>
      </c>
      <c r="AI3145" s="113">
        <f>'Data_in-situ'!ER266</f>
        <v>-13</v>
      </c>
      <c r="AJ3145" s="113">
        <f>'Data_in-situ'!ES266</f>
        <v>2.9485826956195242</v>
      </c>
      <c r="AK3145" s="110">
        <f>'Data_in-situ'!ET266</f>
        <v>3</v>
      </c>
    </row>
    <row r="3146" spans="20:37" x14ac:dyDescent="0.3">
      <c r="T3146" s="113">
        <f>'Data_in-situ'!DN297</f>
        <v>11.627460214917093</v>
      </c>
      <c r="U3146" s="113">
        <f>'Data_in-situ'!DO297</f>
        <v>19.919328099494376</v>
      </c>
      <c r="V3146" s="46">
        <f>'Data_in-situ'!DP297</f>
        <v>6</v>
      </c>
      <c r="W3146" s="113">
        <f>'Data_in-situ'!DR297</f>
        <v>-0.10743713529994561</v>
      </c>
      <c r="X3146" s="113">
        <f>'Data_in-situ'!DS297</f>
        <v>0.28944787367187741</v>
      </c>
      <c r="Y3146" s="46">
        <f>'Data_in-situ'!DT297</f>
        <v>6</v>
      </c>
      <c r="AF3146" s="113">
        <f>'Data_in-situ'!EN267</f>
        <v>-16</v>
      </c>
      <c r="AG3146" s="113">
        <f>'Data_in-situ'!EO267</f>
        <v>6.5199423800206935</v>
      </c>
      <c r="AH3146" s="110">
        <f>'Data_in-situ'!EP267</f>
        <v>3</v>
      </c>
      <c r="AI3146" s="113">
        <f>'Data_in-situ'!ER267</f>
        <v>-20</v>
      </c>
      <c r="AJ3146" s="113">
        <f>'Data_in-situ'!ES267</f>
        <v>4.5362810701838834</v>
      </c>
      <c r="AK3146" s="110">
        <f>'Data_in-situ'!ET267</f>
        <v>3</v>
      </c>
    </row>
    <row r="3147" spans="20:37" x14ac:dyDescent="0.3">
      <c r="T3147" s="113">
        <f>'Data_in-situ'!DN298</f>
        <v>11.627460214917093</v>
      </c>
      <c r="U3147" s="113">
        <f>'Data_in-situ'!DO298</f>
        <v>19.919328099494376</v>
      </c>
      <c r="V3147" s="46">
        <f>'Data_in-situ'!DP298</f>
        <v>6</v>
      </c>
      <c r="W3147" s="113">
        <f>'Data_in-situ'!DR298</f>
        <v>-0.10743713529994561</v>
      </c>
      <c r="X3147" s="113">
        <f>'Data_in-situ'!DS298</f>
        <v>0.39119879833905941</v>
      </c>
      <c r="Y3147" s="46">
        <f>'Data_in-situ'!DT298</f>
        <v>6</v>
      </c>
      <c r="AF3147" s="113">
        <f>'Data_in-situ'!EN268</f>
        <v>-12</v>
      </c>
      <c r="AG3147" s="113">
        <f>'Data_in-situ'!EO268</f>
        <v>4.8899567850155199</v>
      </c>
      <c r="AH3147" s="110">
        <f>'Data_in-situ'!EP268</f>
        <v>3</v>
      </c>
      <c r="AI3147" s="113">
        <f>'Data_in-situ'!ER268</f>
        <v>-27</v>
      </c>
      <c r="AJ3147" s="113">
        <f>'Data_in-situ'!ES268</f>
        <v>6.123979444748243</v>
      </c>
      <c r="AK3147" s="110">
        <f>'Data_in-situ'!ET268</f>
        <v>3</v>
      </c>
    </row>
    <row r="3148" spans="20:37" x14ac:dyDescent="0.3">
      <c r="T3148" s="113">
        <f>'Data_in-situ'!DN299</f>
        <v>11.627460214917093</v>
      </c>
      <c r="U3148" s="113">
        <f>'Data_in-situ'!DO299</f>
        <v>19.919328099494376</v>
      </c>
      <c r="V3148" s="46">
        <f>'Data_in-situ'!DP299</f>
        <v>6</v>
      </c>
      <c r="W3148" s="113">
        <f>'Data_in-situ'!DR299</f>
        <v>-5.3718567649972807E-2</v>
      </c>
      <c r="X3148" s="113">
        <f>'Data_in-situ'!DS299</f>
        <v>0.37987896850363267</v>
      </c>
      <c r="Y3148" s="46">
        <f>'Data_in-situ'!DT299</f>
        <v>6</v>
      </c>
      <c r="AF3148" s="113">
        <f>'Data_in-situ'!EN270</f>
        <v>0</v>
      </c>
      <c r="AG3148" s="113">
        <f>'Data_in-situ'!EO270</f>
        <v>0</v>
      </c>
      <c r="AH3148" s="110">
        <f>'Data_in-situ'!EP270</f>
        <v>20</v>
      </c>
      <c r="AI3148" s="113">
        <f>'Data_in-situ'!ER270</f>
        <v>-15</v>
      </c>
      <c r="AJ3148" s="113">
        <f>'Data_in-situ'!ES270</f>
        <v>3.4022108026379128</v>
      </c>
      <c r="AK3148" s="110">
        <f>'Data_in-situ'!ET270</f>
        <v>20</v>
      </c>
    </row>
    <row r="3149" spans="20:37" x14ac:dyDescent="0.3">
      <c r="T3149" s="113">
        <f>'Data_in-situ'!DN300</f>
        <v>13.144085460341062</v>
      </c>
      <c r="U3149" s="113">
        <f>'Data_in-situ'!DO300</f>
        <v>20.285444054594439</v>
      </c>
      <c r="V3149" s="46">
        <f>'Data_in-situ'!DP300</f>
        <v>6</v>
      </c>
      <c r="W3149" s="113">
        <f>'Data_in-situ'!DR300</f>
        <v>5.3718567649972807E-2</v>
      </c>
      <c r="X3149" s="113">
        <f>'Data_in-situ'!DS300</f>
        <v>0.48646678719420772</v>
      </c>
      <c r="Y3149" s="46">
        <f>'Data_in-situ'!DT300</f>
        <v>6</v>
      </c>
      <c r="AF3149" s="113">
        <f>'Data_in-situ'!EN274</f>
        <v>1.2156862745098034</v>
      </c>
      <c r="AG3149" s="113">
        <f>'Data_in-situ'!EO274</f>
        <v>0.49768216864884945</v>
      </c>
      <c r="AH3149" s="110">
        <f>'Data_in-situ'!EP274</f>
        <v>5</v>
      </c>
      <c r="AI3149" s="113">
        <f>'Data_in-situ'!ER274</f>
        <v>-1.3627450980392155</v>
      </c>
      <c r="AJ3149" s="113">
        <f>'Data_in-situ'!ES274</f>
        <v>0.94222961725764198</v>
      </c>
      <c r="AK3149" s="110">
        <f>'Data_in-situ'!ET274</f>
        <v>5</v>
      </c>
    </row>
    <row r="3150" spans="20:37" x14ac:dyDescent="0.3">
      <c r="T3150" s="113">
        <f>'Data_in-situ'!DN301</f>
        <v>13.144085460341062</v>
      </c>
      <c r="U3150" s="113">
        <f>'Data_in-situ'!DO301</f>
        <v>20.285444054594439</v>
      </c>
      <c r="V3150" s="46">
        <f>'Data_in-situ'!DP301</f>
        <v>6</v>
      </c>
      <c r="W3150" s="113">
        <f>'Data_in-situ'!DR301</f>
        <v>-0.10743713529994561</v>
      </c>
      <c r="X3150" s="113">
        <f>'Data_in-situ'!DS301</f>
        <v>0.28944787367187741</v>
      </c>
      <c r="Y3150" s="46">
        <f>'Data_in-situ'!DT301</f>
        <v>6</v>
      </c>
      <c r="AF3150" s="113">
        <f>'Data_in-situ'!EN275</f>
        <v>1.6638655462184853</v>
      </c>
      <c r="AG3150" s="113">
        <f>'Data_in-situ'!EO275</f>
        <v>0.34418289379886746</v>
      </c>
      <c r="AH3150" s="110">
        <f>'Data_in-situ'!EP275</f>
        <v>5</v>
      </c>
      <c r="AI3150" s="113">
        <f>'Data_in-situ'!ER275</f>
        <v>-0.55462184873949671</v>
      </c>
      <c r="AJ3150" s="113">
        <f>'Data_in-situ'!ES275</f>
        <v>0.63167690703653101</v>
      </c>
      <c r="AK3150" s="110">
        <f>'Data_in-situ'!ET275</f>
        <v>5</v>
      </c>
    </row>
    <row r="3151" spans="20:37" x14ac:dyDescent="0.3">
      <c r="T3151" s="113">
        <f>'Data_in-situ'!DN302</f>
        <v>13.144085460341062</v>
      </c>
      <c r="U3151" s="113">
        <f>'Data_in-situ'!DO302</f>
        <v>20.285444054594439</v>
      </c>
      <c r="V3151" s="46">
        <f>'Data_in-situ'!DP302</f>
        <v>6</v>
      </c>
      <c r="W3151" s="113">
        <f>'Data_in-situ'!DR302</f>
        <v>-0.10743713529994561</v>
      </c>
      <c r="X3151" s="113">
        <f>'Data_in-situ'!DS302</f>
        <v>0.39119879833905941</v>
      </c>
      <c r="Y3151" s="46">
        <f>'Data_in-situ'!DT302</f>
        <v>6</v>
      </c>
      <c r="AF3151" s="113">
        <f>'Data_in-situ'!EN276</f>
        <v>1.3882352941176466</v>
      </c>
      <c r="AG3151" s="113">
        <f>'Data_in-situ'!EO276</f>
        <v>0.46526399843023991</v>
      </c>
      <c r="AH3151" s="110">
        <f>'Data_in-situ'!EP276</f>
        <v>5</v>
      </c>
      <c r="AI3151" s="113">
        <f>'Data_in-situ'!ER276</f>
        <v>-1.0352941176470594</v>
      </c>
      <c r="AJ3151" s="113">
        <f>'Data_in-situ'!ES276</f>
        <v>0.83640987539045919</v>
      </c>
      <c r="AK3151" s="110">
        <f>'Data_in-situ'!ET276</f>
        <v>5</v>
      </c>
    </row>
    <row r="3152" spans="20:37" x14ac:dyDescent="0.3">
      <c r="T3152" s="113">
        <f>'Data_in-situ'!DN303</f>
        <v>13.144085460341062</v>
      </c>
      <c r="U3152" s="113">
        <f>'Data_in-situ'!DO303</f>
        <v>20.285444054594439</v>
      </c>
      <c r="V3152" s="46">
        <f>'Data_in-situ'!DP303</f>
        <v>6</v>
      </c>
      <c r="W3152" s="113">
        <f>'Data_in-situ'!DR303</f>
        <v>-5.3718567649972807E-2</v>
      </c>
      <c r="X3152" s="113">
        <f>'Data_in-situ'!DS303</f>
        <v>0.39119879833905941</v>
      </c>
      <c r="Y3152" s="46">
        <f>'Data_in-situ'!DT303</f>
        <v>6</v>
      </c>
      <c r="AF3152" s="113">
        <f>'Data_in-situ'!EN277</f>
        <v>0.28104575163398426</v>
      </c>
      <c r="AG3152" s="113">
        <f>'Data_in-situ'!EO277</f>
        <v>1.0823202980922819</v>
      </c>
      <c r="AH3152" s="110">
        <f>'Data_in-situ'!EP277</f>
        <v>5</v>
      </c>
      <c r="AI3152" s="113">
        <f>'Data_in-situ'!ER277</f>
        <v>0.57352941176470584</v>
      </c>
      <c r="AJ3152" s="113">
        <f>'Data_in-situ'!ES277</f>
        <v>0.95907460925260324</v>
      </c>
      <c r="AK3152" s="110">
        <f>'Data_in-situ'!ET277</f>
        <v>5</v>
      </c>
    </row>
    <row r="3153" spans="20:37" x14ac:dyDescent="0.3">
      <c r="T3153" s="113">
        <f>'Data_in-situ'!DN304</f>
        <v>0.25277087423732814</v>
      </c>
      <c r="U3153" s="113">
        <f>'Data_in-situ'!DO304</f>
        <v>2.0397555922164208</v>
      </c>
      <c r="V3153" s="46">
        <f>'Data_in-situ'!DP304</f>
        <v>6</v>
      </c>
      <c r="W3153" s="113">
        <f>'Data_in-situ'!DR304</f>
        <v>-0.16115570294991843</v>
      </c>
      <c r="X3153" s="113">
        <f>'Data_in-situ'!DS304</f>
        <v>0.5610292847687105</v>
      </c>
      <c r="Y3153" s="46">
        <f>'Data_in-situ'!DT304</f>
        <v>6</v>
      </c>
      <c r="AF3153" s="113">
        <f>'Data_in-situ'!EN278</f>
        <v>1.4575163398692808</v>
      </c>
      <c r="AG3153" s="113">
        <f>'Data_in-situ'!EO278</f>
        <v>0.75703059071343026</v>
      </c>
      <c r="AH3153" s="110">
        <f>'Data_in-situ'!EP278</f>
        <v>5</v>
      </c>
      <c r="AI3153" s="113">
        <f>'Data_in-situ'!ER278</f>
        <v>1.1487889273356398</v>
      </c>
      <c r="AJ3153" s="113">
        <f>'Data_in-situ'!ES278</f>
        <v>0.755435518283471</v>
      </c>
      <c r="AK3153" s="110">
        <f>'Data_in-situ'!ET278</f>
        <v>5</v>
      </c>
    </row>
    <row r="3154" spans="20:37" x14ac:dyDescent="0.3">
      <c r="T3154" s="113">
        <f>'Data_in-situ'!DN305</f>
        <v>0.25277087423732814</v>
      </c>
      <c r="U3154" s="113">
        <f>'Data_in-situ'!DO305</f>
        <v>2.0397555922164208</v>
      </c>
      <c r="V3154" s="46">
        <f>'Data_in-situ'!DP305</f>
        <v>6</v>
      </c>
      <c r="W3154" s="113">
        <f>'Data_in-situ'!DR305</f>
        <v>-0.16115570294991843</v>
      </c>
      <c r="X3154" s="113">
        <f>'Data_in-situ'!DS305</f>
        <v>0.5610292847687105</v>
      </c>
      <c r="Y3154" s="46">
        <f>'Data_in-situ'!DT305</f>
        <v>6</v>
      </c>
      <c r="AF3154" s="113">
        <f>'Data_in-situ'!EN279</f>
        <v>3.0092879256965936</v>
      </c>
      <c r="AG3154" s="113">
        <f>'Data_in-situ'!EO279</f>
        <v>0.8290793279171158</v>
      </c>
      <c r="AH3154" s="110">
        <f>'Data_in-situ'!EP279</f>
        <v>5</v>
      </c>
      <c r="AI3154" s="113">
        <f>'Data_in-situ'!ER279</f>
        <v>2.8111455108359125</v>
      </c>
      <c r="AJ3154" s="113">
        <f>'Data_in-situ'!ES279</f>
        <v>0.80714422344061043</v>
      </c>
      <c r="AK3154" s="110">
        <f>'Data_in-situ'!ET279</f>
        <v>5</v>
      </c>
    </row>
    <row r="3155" spans="20:37" x14ac:dyDescent="0.3">
      <c r="T3155" s="113">
        <f>'Data_in-situ'!DN306</f>
        <v>0.25277087423732814</v>
      </c>
      <c r="U3155" s="113">
        <f>'Data_in-situ'!DO306</f>
        <v>2.0397555922164208</v>
      </c>
      <c r="V3155" s="46">
        <f>'Data_in-situ'!DP306</f>
        <v>6</v>
      </c>
      <c r="W3155" s="113">
        <f>'Data_in-situ'!DR306</f>
        <v>-0.16115570294991843</v>
      </c>
      <c r="X3155" s="113">
        <f>'Data_in-situ'!DS306</f>
        <v>0.50982923873701236</v>
      </c>
      <c r="Y3155" s="46">
        <f>'Data_in-situ'!DT306</f>
        <v>6</v>
      </c>
      <c r="AF3155" s="113">
        <f>'Data_in-situ'!EN280</f>
        <v>-24.4</v>
      </c>
      <c r="AG3155" s="113">
        <f>'Data_in-situ'!EO280</f>
        <v>9.9429121295315568</v>
      </c>
      <c r="AH3155" s="110">
        <f>'Data_in-situ'!EP280</f>
        <v>1</v>
      </c>
      <c r="AI3155" s="113">
        <f>'Data_in-situ'!ER280</f>
        <v>-83.7</v>
      </c>
      <c r="AJ3155" s="113">
        <f>'Data_in-situ'!ES280</f>
        <v>18.984336278719553</v>
      </c>
      <c r="AK3155" s="110">
        <f>'Data_in-situ'!ET280</f>
        <v>1</v>
      </c>
    </row>
    <row r="3156" spans="20:37" x14ac:dyDescent="0.3">
      <c r="T3156" s="113">
        <f>'Data_in-situ'!DN307</f>
        <v>0.25277087423732814</v>
      </c>
      <c r="U3156" s="113">
        <f>'Data_in-situ'!DO307</f>
        <v>2.0397555922164208</v>
      </c>
      <c r="V3156" s="46">
        <f>'Data_in-situ'!DP307</f>
        <v>6</v>
      </c>
      <c r="W3156" s="113">
        <f>'Data_in-situ'!DR307</f>
        <v>-0.21487427059989123</v>
      </c>
      <c r="X3156" s="113">
        <f>'Data_in-situ'!DS307</f>
        <v>0.52942636938081877</v>
      </c>
      <c r="Y3156" s="46">
        <f>'Data_in-situ'!DT307</f>
        <v>6</v>
      </c>
      <c r="AF3156" s="113">
        <f>'Data_in-situ'!EN281</f>
        <v>-24.4</v>
      </c>
      <c r="AG3156" s="113">
        <f>'Data_in-situ'!EO281</f>
        <v>9.9429121295315568</v>
      </c>
      <c r="AH3156" s="110">
        <f>'Data_in-situ'!EP281</f>
        <v>1</v>
      </c>
      <c r="AI3156" s="113">
        <f>'Data_in-situ'!ER281</f>
        <v>-49.1</v>
      </c>
      <c r="AJ3156" s="113">
        <f>'Data_in-situ'!ES281</f>
        <v>11.136570027301435</v>
      </c>
      <c r="AK3156" s="110">
        <f>'Data_in-situ'!ET281</f>
        <v>1</v>
      </c>
    </row>
    <row r="3157" spans="20:37" x14ac:dyDescent="0.3">
      <c r="T3157" s="113">
        <f>'Data_in-situ'!DN308</f>
        <v>1.2638543711866406</v>
      </c>
      <c r="U3157" s="113">
        <f>'Data_in-situ'!DO308</f>
        <v>3.7827422106480872</v>
      </c>
      <c r="V3157" s="46">
        <f>'Data_in-situ'!DP308</f>
        <v>6</v>
      </c>
      <c r="W3157" s="113">
        <f>'Data_in-situ'!DR308</f>
        <v>-0.16115570294991843</v>
      </c>
      <c r="X3157" s="113">
        <f>'Data_in-situ'!DS308</f>
        <v>0.5610292847687105</v>
      </c>
      <c r="Y3157" s="46">
        <f>'Data_in-situ'!DT308</f>
        <v>6</v>
      </c>
      <c r="AF3157" s="113">
        <f>'Data_in-situ'!EN282</f>
        <v>-24.4</v>
      </c>
      <c r="AG3157" s="113">
        <f>'Data_in-situ'!EO282</f>
        <v>9.9429121295315568</v>
      </c>
      <c r="AH3157" s="110">
        <f>'Data_in-situ'!EP282</f>
        <v>1</v>
      </c>
      <c r="AI3157" s="113">
        <f>'Data_in-situ'!ER282</f>
        <v>-63.8</v>
      </c>
      <c r="AJ3157" s="113">
        <f>'Data_in-situ'!ES282</f>
        <v>14.470736613886588</v>
      </c>
      <c r="AK3157" s="110">
        <f>'Data_in-situ'!ET282</f>
        <v>1</v>
      </c>
    </row>
    <row r="3158" spans="20:37" x14ac:dyDescent="0.3">
      <c r="T3158" s="113">
        <f>'Data_in-situ'!DN309</f>
        <v>1.2638543711866406</v>
      </c>
      <c r="U3158" s="113">
        <f>'Data_in-situ'!DO309</f>
        <v>3.7827422106480872</v>
      </c>
      <c r="V3158" s="46">
        <f>'Data_in-situ'!DP309</f>
        <v>6</v>
      </c>
      <c r="W3158" s="113">
        <f>'Data_in-situ'!DR309</f>
        <v>-0.16115570294991843</v>
      </c>
      <c r="X3158" s="113">
        <f>'Data_in-situ'!DS309</f>
        <v>0.5610292847687105</v>
      </c>
      <c r="Y3158" s="46">
        <f>'Data_in-situ'!DT309</f>
        <v>6</v>
      </c>
      <c r="AF3158" s="113">
        <f>'Data_in-situ'!EN283</f>
        <v>-24.4</v>
      </c>
      <c r="AG3158" s="113">
        <f>'Data_in-situ'!EO283</f>
        <v>9.9429121295315568</v>
      </c>
      <c r="AH3158" s="110">
        <f>'Data_in-situ'!EP283</f>
        <v>1</v>
      </c>
      <c r="AI3158" s="113">
        <f>'Data_in-situ'!ER283</f>
        <v>-34.4</v>
      </c>
      <c r="AJ3158" s="113">
        <f>'Data_in-situ'!ES283</f>
        <v>7.8024034407162794</v>
      </c>
      <c r="AK3158" s="110">
        <f>'Data_in-situ'!ET283</f>
        <v>1</v>
      </c>
    </row>
    <row r="3159" spans="20:37" x14ac:dyDescent="0.3">
      <c r="T3159" s="113">
        <f>'Data_in-situ'!DN310</f>
        <v>1.2638543711866406</v>
      </c>
      <c r="U3159" s="113">
        <f>'Data_in-situ'!DO310</f>
        <v>3.7827422106480872</v>
      </c>
      <c r="V3159" s="46">
        <f>'Data_in-situ'!DP310</f>
        <v>6</v>
      </c>
      <c r="W3159" s="113">
        <f>'Data_in-situ'!DR310</f>
        <v>-0.16115570294991843</v>
      </c>
      <c r="X3159" s="113">
        <f>'Data_in-situ'!DS310</f>
        <v>0.5610292847687105</v>
      </c>
      <c r="Y3159" s="46">
        <f>'Data_in-situ'!DT310</f>
        <v>6</v>
      </c>
      <c r="AF3159" s="113">
        <f>'Data_in-situ'!EN284</f>
        <v>-24.4</v>
      </c>
      <c r="AG3159" s="113">
        <f>'Data_in-situ'!EO284</f>
        <v>9.9429121295315568</v>
      </c>
      <c r="AH3159" s="110">
        <f>'Data_in-situ'!EP284</f>
        <v>1</v>
      </c>
      <c r="AI3159" s="113">
        <f>'Data_in-situ'!ER284</f>
        <v>-83.7</v>
      </c>
      <c r="AJ3159" s="113">
        <f>'Data_in-situ'!ES284</f>
        <v>18.984336278719553</v>
      </c>
      <c r="AK3159" s="110">
        <f>'Data_in-situ'!ET284</f>
        <v>1</v>
      </c>
    </row>
    <row r="3160" spans="20:37" x14ac:dyDescent="0.3">
      <c r="T3160" s="113">
        <f>'Data_in-situ'!DN311</f>
        <v>1.2638543711866406</v>
      </c>
      <c r="U3160" s="113">
        <f>'Data_in-situ'!DO311</f>
        <v>3.7827422106480872</v>
      </c>
      <c r="V3160" s="46">
        <f>'Data_in-situ'!DP311</f>
        <v>6</v>
      </c>
      <c r="W3160" s="113">
        <f>'Data_in-situ'!DR311</f>
        <v>-0.21487427059989123</v>
      </c>
      <c r="X3160" s="113">
        <f>'Data_in-situ'!DS311</f>
        <v>0.52942636938081877</v>
      </c>
      <c r="Y3160" s="46">
        <f>'Data_in-situ'!DT311</f>
        <v>6</v>
      </c>
      <c r="AF3160" s="113">
        <f>'Data_in-situ'!EN285</f>
        <v>-24.4</v>
      </c>
      <c r="AG3160" s="113">
        <f>'Data_in-situ'!EO285</f>
        <v>9.9429121295315568</v>
      </c>
      <c r="AH3160" s="110">
        <f>'Data_in-situ'!EP285</f>
        <v>1</v>
      </c>
      <c r="AI3160" s="113">
        <f>'Data_in-situ'!ER285</f>
        <v>-49.1</v>
      </c>
      <c r="AJ3160" s="113">
        <f>'Data_in-situ'!ES285</f>
        <v>11.136570027301435</v>
      </c>
      <c r="AK3160" s="110">
        <f>'Data_in-situ'!ET285</f>
        <v>1</v>
      </c>
    </row>
    <row r="3161" spans="20:37" x14ac:dyDescent="0.3">
      <c r="T3161" s="113">
        <f>'Data_in-situ'!DN312</f>
        <v>0.75831262271198441</v>
      </c>
      <c r="U3161" s="113">
        <f>'Data_in-situ'!DO312</f>
        <v>2.1753507933433238</v>
      </c>
      <c r="V3161" s="46">
        <f>'Data_in-situ'!DP312</f>
        <v>6</v>
      </c>
      <c r="W3161" s="113">
        <f>'Data_in-situ'!DR312</f>
        <v>-0.16115570294991843</v>
      </c>
      <c r="X3161" s="113">
        <f>'Data_in-situ'!DS312</f>
        <v>0.5610292847687105</v>
      </c>
      <c r="Y3161" s="46">
        <f>'Data_in-situ'!DT312</f>
        <v>6</v>
      </c>
      <c r="AF3161" s="113">
        <f>'Data_in-situ'!EN286</f>
        <v>-24.4</v>
      </c>
      <c r="AG3161" s="113">
        <f>'Data_in-situ'!EO286</f>
        <v>9.9429121295315568</v>
      </c>
      <c r="AH3161" s="110">
        <f>'Data_in-situ'!EP286</f>
        <v>1</v>
      </c>
      <c r="AI3161" s="113">
        <f>'Data_in-situ'!ER286</f>
        <v>-63.8</v>
      </c>
      <c r="AJ3161" s="113">
        <f>'Data_in-situ'!ES286</f>
        <v>14.470736613886588</v>
      </c>
      <c r="AK3161" s="110">
        <f>'Data_in-situ'!ET286</f>
        <v>1</v>
      </c>
    </row>
    <row r="3162" spans="20:37" x14ac:dyDescent="0.3">
      <c r="T3162" s="113">
        <f>'Data_in-situ'!DN313</f>
        <v>0.75831262271198441</v>
      </c>
      <c r="U3162" s="113">
        <f>'Data_in-situ'!DO313</f>
        <v>2.1753507933433238</v>
      </c>
      <c r="V3162" s="46">
        <f>'Data_in-situ'!DP313</f>
        <v>6</v>
      </c>
      <c r="W3162" s="113">
        <f>'Data_in-situ'!DR313</f>
        <v>-0.16115570294991843</v>
      </c>
      <c r="X3162" s="113">
        <f>'Data_in-situ'!DS313</f>
        <v>0.5610292847687105</v>
      </c>
      <c r="Y3162" s="46">
        <f>'Data_in-situ'!DT313</f>
        <v>6</v>
      </c>
      <c r="AF3162" s="113">
        <f>'Data_in-situ'!EN287</f>
        <v>-24.4</v>
      </c>
      <c r="AG3162" s="113">
        <f>'Data_in-situ'!EO287</f>
        <v>9.9429121295315568</v>
      </c>
      <c r="AH3162" s="110">
        <f>'Data_in-situ'!EP287</f>
        <v>1</v>
      </c>
      <c r="AI3162" s="113">
        <f>'Data_in-situ'!ER287</f>
        <v>-34.4</v>
      </c>
      <c r="AJ3162" s="113">
        <f>'Data_in-situ'!ES287</f>
        <v>7.8024034407162794</v>
      </c>
      <c r="AK3162" s="110">
        <f>'Data_in-situ'!ET287</f>
        <v>1</v>
      </c>
    </row>
    <row r="3163" spans="20:37" x14ac:dyDescent="0.3">
      <c r="T3163" s="113">
        <f>'Data_in-situ'!DN314</f>
        <v>0.75831262271198441</v>
      </c>
      <c r="U3163" s="113">
        <f>'Data_in-situ'!DO314</f>
        <v>2.1753507933433238</v>
      </c>
      <c r="V3163" s="46">
        <f>'Data_in-situ'!DP314</f>
        <v>6</v>
      </c>
      <c r="W3163" s="113">
        <f>'Data_in-situ'!DR314</f>
        <v>-0.16115570294991843</v>
      </c>
      <c r="X3163" s="113">
        <f>'Data_in-situ'!DS314</f>
        <v>0.52942636938081877</v>
      </c>
      <c r="Y3163" s="46">
        <f>'Data_in-situ'!DT314</f>
        <v>6</v>
      </c>
      <c r="AF3163" s="113">
        <f>'Data_in-situ'!EN288</f>
        <v>-24.4</v>
      </c>
      <c r="AG3163" s="113">
        <f>'Data_in-situ'!EO288</f>
        <v>9.9429121295315568</v>
      </c>
      <c r="AH3163" s="110">
        <f>'Data_in-situ'!EP288</f>
        <v>1</v>
      </c>
      <c r="AI3163" s="113">
        <f>'Data_in-situ'!ER288</f>
        <v>-83.7</v>
      </c>
      <c r="AJ3163" s="113">
        <f>'Data_in-situ'!ES288</f>
        <v>18.984336278719553</v>
      </c>
      <c r="AK3163" s="110">
        <f>'Data_in-situ'!ET288</f>
        <v>1</v>
      </c>
    </row>
    <row r="3164" spans="20:37" x14ac:dyDescent="0.3">
      <c r="T3164" s="113">
        <f>'Data_in-situ'!DN315</f>
        <v>0.75831262271198441</v>
      </c>
      <c r="U3164" s="113">
        <f>'Data_in-situ'!DO315</f>
        <v>2.1753507933433238</v>
      </c>
      <c r="V3164" s="46">
        <f>'Data_in-situ'!DP315</f>
        <v>6</v>
      </c>
      <c r="W3164" s="113">
        <f>'Data_in-situ'!DR315</f>
        <v>-0.21487427059989123</v>
      </c>
      <c r="X3164" s="113">
        <f>'Data_in-situ'!DS315</f>
        <v>0.52942636938081877</v>
      </c>
      <c r="Y3164" s="46">
        <f>'Data_in-situ'!DT315</f>
        <v>6</v>
      </c>
      <c r="AF3164" s="113">
        <f>'Data_in-situ'!EN289</f>
        <v>-24.4</v>
      </c>
      <c r="AG3164" s="113">
        <f>'Data_in-situ'!EO289</f>
        <v>9.9429121295315568</v>
      </c>
      <c r="AH3164" s="110">
        <f>'Data_in-situ'!EP289</f>
        <v>1</v>
      </c>
      <c r="AI3164" s="113">
        <f>'Data_in-situ'!ER289</f>
        <v>-49.1</v>
      </c>
      <c r="AJ3164" s="113">
        <f>'Data_in-situ'!ES289</f>
        <v>11.136570027301435</v>
      </c>
      <c r="AK3164" s="110">
        <f>'Data_in-situ'!ET289</f>
        <v>1</v>
      </c>
    </row>
    <row r="3165" spans="20:37" x14ac:dyDescent="0.3">
      <c r="T3165" s="113">
        <f>'Data_in-situ'!DN322</f>
        <v>43.6</v>
      </c>
      <c r="U3165" s="113">
        <f>'Data_in-situ'!DO322</f>
        <v>48.608737007372731</v>
      </c>
      <c r="V3165" s="46">
        <f>'Data_in-situ'!DP322</f>
        <v>18</v>
      </c>
      <c r="W3165" s="113">
        <f>'Data_in-situ'!DR322</f>
        <v>14.1</v>
      </c>
      <c r="X3165" s="113">
        <f>'Data_in-situ'!DS322</f>
        <v>52.694749754297241</v>
      </c>
      <c r="Y3165" s="46">
        <f>'Data_in-situ'!DT322</f>
        <v>18</v>
      </c>
      <c r="AF3165" s="113">
        <f>'Data_in-situ'!EN290</f>
        <v>-24.4</v>
      </c>
      <c r="AG3165" s="113">
        <f>'Data_in-situ'!EO290</f>
        <v>9.9429121295315568</v>
      </c>
      <c r="AH3165" s="110">
        <f>'Data_in-situ'!EP290</f>
        <v>1</v>
      </c>
      <c r="AI3165" s="113">
        <f>'Data_in-situ'!ER290</f>
        <v>-63.8</v>
      </c>
      <c r="AJ3165" s="113">
        <f>'Data_in-situ'!ES290</f>
        <v>14.470736613886588</v>
      </c>
      <c r="AK3165" s="110">
        <f>'Data_in-situ'!ET290</f>
        <v>1</v>
      </c>
    </row>
    <row r="3166" spans="20:37" x14ac:dyDescent="0.3">
      <c r="T3166" s="113">
        <f>'Data_in-situ'!DN323</f>
        <v>24.4</v>
      </c>
      <c r="U3166" s="113">
        <f>'Data_in-situ'!DO323</f>
        <v>27.203054655502171</v>
      </c>
      <c r="V3166" s="46">
        <f>'Data_in-situ'!DP323</f>
        <v>29</v>
      </c>
      <c r="W3166" s="113">
        <f>'Data_in-situ'!DR323</f>
        <v>5.6</v>
      </c>
      <c r="X3166" s="113">
        <f>'Data_in-situ'!DS323</f>
        <v>20.928411249933653</v>
      </c>
      <c r="Y3166" s="46">
        <f>'Data_in-situ'!DT323</f>
        <v>33</v>
      </c>
      <c r="AF3166" s="113">
        <f>'Data_in-situ'!EN291</f>
        <v>-24.4</v>
      </c>
      <c r="AG3166" s="113">
        <f>'Data_in-situ'!EO291</f>
        <v>9.9429121295315568</v>
      </c>
      <c r="AH3166" s="110">
        <f>'Data_in-situ'!EP291</f>
        <v>1</v>
      </c>
      <c r="AI3166" s="113">
        <f>'Data_in-situ'!ER291</f>
        <v>-34.4</v>
      </c>
      <c r="AJ3166" s="113">
        <f>'Data_in-situ'!ES291</f>
        <v>7.8024034407162794</v>
      </c>
      <c r="AK3166" s="110">
        <f>'Data_in-situ'!ET291</f>
        <v>1</v>
      </c>
    </row>
    <row r="3167" spans="20:37" x14ac:dyDescent="0.3">
      <c r="T3167" s="113">
        <f>'Data_in-situ'!DN336</f>
        <v>493.10596214853945</v>
      </c>
      <c r="U3167" s="113">
        <f>'Data_in-situ'!DO336</f>
        <v>526.28285184988022</v>
      </c>
      <c r="V3167" s="46">
        <f>'Data_in-situ'!DP336</f>
        <v>3</v>
      </c>
      <c r="W3167" s="113">
        <f>'Data_in-situ'!DR336</f>
        <v>78.722119137960249</v>
      </c>
      <c r="X3167" s="113">
        <f>'Data_in-situ'!DS336</f>
        <v>80.04506331866223</v>
      </c>
      <c r="Y3167" s="46">
        <f>'Data_in-situ'!DT336</f>
        <v>3</v>
      </c>
      <c r="AF3167" s="113">
        <f>'Data_in-situ'!EN292</f>
        <v>-20.8</v>
      </c>
      <c r="AG3167" s="113">
        <f>'Data_in-situ'!EO292</f>
        <v>8.475925094026902</v>
      </c>
      <c r="AH3167" s="110">
        <f>'Data_in-situ'!EP292</f>
        <v>1</v>
      </c>
      <c r="AI3167" s="113">
        <f>'Data_in-situ'!ER292</f>
        <v>-48.2</v>
      </c>
      <c r="AJ3167" s="113">
        <f>'Data_in-situ'!ES292</f>
        <v>10.93243737914316</v>
      </c>
      <c r="AK3167" s="110">
        <f>'Data_in-situ'!ET292</f>
        <v>1</v>
      </c>
    </row>
    <row r="3168" spans="20:37" x14ac:dyDescent="0.3">
      <c r="T3168" s="113">
        <f>'Data_in-situ'!DN337</f>
        <v>806.56888052092813</v>
      </c>
      <c r="U3168" s="113">
        <f>'Data_in-situ'!DO337</f>
        <v>856.38159693760133</v>
      </c>
      <c r="V3168" s="46">
        <f>'Data_in-situ'!DP337</f>
        <v>3</v>
      </c>
      <c r="W3168" s="113">
        <f>'Data_in-situ'!DR337</f>
        <v>84.62740503626496</v>
      </c>
      <c r="X3168" s="113">
        <f>'Data_in-situ'!DS337</f>
        <v>85.525142019325685</v>
      </c>
      <c r="Y3168" s="46">
        <f>'Data_in-situ'!DT337</f>
        <v>3</v>
      </c>
      <c r="AF3168" s="113">
        <f>'Data_in-situ'!EN293</f>
        <v>-20.8</v>
      </c>
      <c r="AG3168" s="113">
        <f>'Data_in-situ'!EO293</f>
        <v>8.475925094026902</v>
      </c>
      <c r="AH3168" s="110">
        <f>'Data_in-situ'!EP293</f>
        <v>1</v>
      </c>
      <c r="AI3168" s="113">
        <f>'Data_in-situ'!ER293</f>
        <v>-46</v>
      </c>
      <c r="AJ3168" s="113">
        <f>'Data_in-situ'!ES293</f>
        <v>10.433446461422932</v>
      </c>
      <c r="AK3168" s="110">
        <f>'Data_in-situ'!ET293</f>
        <v>1</v>
      </c>
    </row>
    <row r="3169" spans="20:37" x14ac:dyDescent="0.3">
      <c r="T3169" s="113">
        <f>'Data_in-situ'!DN338</f>
        <v>660.5745513402162</v>
      </c>
      <c r="U3169" s="113">
        <f>'Data_in-situ'!DO338</f>
        <v>706.60737149083172</v>
      </c>
      <c r="V3169" s="46">
        <f>'Data_in-situ'!DP338</f>
        <v>3</v>
      </c>
      <c r="W3169" s="113">
        <f>'Data_in-situ'!DR338</f>
        <v>60.94615675196922</v>
      </c>
      <c r="X3169" s="113">
        <f>'Data_in-situ'!DS338</f>
        <v>61.833294541817786</v>
      </c>
      <c r="Y3169" s="46">
        <f>'Data_in-situ'!DT338</f>
        <v>3</v>
      </c>
      <c r="AF3169" s="113">
        <f>'Data_in-situ'!EN294</f>
        <v>-20.8</v>
      </c>
      <c r="AG3169" s="113">
        <f>'Data_in-situ'!EO294</f>
        <v>8.475925094026902</v>
      </c>
      <c r="AH3169" s="110">
        <f>'Data_in-situ'!EP294</f>
        <v>1</v>
      </c>
      <c r="AI3169" s="113">
        <f>'Data_in-situ'!ER294</f>
        <v>-40</v>
      </c>
      <c r="AJ3169" s="113">
        <f>'Data_in-situ'!ES294</f>
        <v>9.0725621403677668</v>
      </c>
      <c r="AK3169" s="110">
        <f>'Data_in-situ'!ET294</f>
        <v>1</v>
      </c>
    </row>
    <row r="3170" spans="20:37" x14ac:dyDescent="0.3">
      <c r="T3170" s="113">
        <f>'Data_in-situ'!DN339</f>
        <v>119.51899620842497</v>
      </c>
      <c r="U3170" s="113">
        <f>'Data_in-situ'!DO339</f>
        <v>34.824121299588967</v>
      </c>
      <c r="V3170" s="46">
        <f>'Data_in-situ'!DP339</f>
        <v>3</v>
      </c>
      <c r="W3170" s="113">
        <f>'Data_in-situ'!DR339</f>
        <v>20.119884710538422</v>
      </c>
      <c r="X3170" s="113">
        <f>'Data_in-situ'!DS339</f>
        <v>3.7786326870241678</v>
      </c>
      <c r="Y3170" s="46">
        <f>'Data_in-situ'!DT339</f>
        <v>3</v>
      </c>
      <c r="AF3170" s="113">
        <f>'Data_in-situ'!EN295</f>
        <v>-20.8</v>
      </c>
      <c r="AG3170" s="113">
        <f>'Data_in-situ'!EO295</f>
        <v>8.475925094026902</v>
      </c>
      <c r="AH3170" s="110">
        <f>'Data_in-situ'!EP295</f>
        <v>1</v>
      </c>
      <c r="AI3170" s="113">
        <f>'Data_in-situ'!ER295</f>
        <v>-31.5</v>
      </c>
      <c r="AJ3170" s="113">
        <f>'Data_in-situ'!ES295</f>
        <v>7.1446426855396163</v>
      </c>
      <c r="AK3170" s="110">
        <f>'Data_in-situ'!ET295</f>
        <v>1</v>
      </c>
    </row>
    <row r="3171" spans="20:37" x14ac:dyDescent="0.3">
      <c r="T3171" s="113">
        <f>'Data_in-situ'!DN340</f>
        <v>756.9536426533582</v>
      </c>
      <c r="U3171" s="113">
        <f>'Data_in-situ'!DO340</f>
        <v>966.52380476916505</v>
      </c>
      <c r="V3171" s="46">
        <f>'Data_in-situ'!DP340</f>
        <v>3</v>
      </c>
      <c r="W3171" s="113">
        <f>'Data_in-situ'!DR340</f>
        <v>140.83919297376897</v>
      </c>
      <c r="X3171" s="113">
        <f>'Data_in-situ'!DS340</f>
        <v>231.79656525897315</v>
      </c>
      <c r="Y3171" s="46">
        <f>'Data_in-situ'!DT340</f>
        <v>3</v>
      </c>
      <c r="AF3171" s="113">
        <f>'Data_in-situ'!EN296</f>
        <v>-20.8</v>
      </c>
      <c r="AG3171" s="113">
        <f>'Data_in-situ'!EO296</f>
        <v>8.475925094026902</v>
      </c>
      <c r="AH3171" s="110">
        <f>'Data_in-situ'!EP296</f>
        <v>1</v>
      </c>
      <c r="AI3171" s="113">
        <f>'Data_in-situ'!ER296</f>
        <v>-48.2</v>
      </c>
      <c r="AJ3171" s="113">
        <f>'Data_in-situ'!ES296</f>
        <v>10.93243737914316</v>
      </c>
      <c r="AK3171" s="110">
        <f>'Data_in-situ'!ET296</f>
        <v>1</v>
      </c>
    </row>
    <row r="3172" spans="20:37" x14ac:dyDescent="0.3">
      <c r="T3172" s="113">
        <f>'Data_in-situ'!DN341</f>
        <v>99.599163507020805</v>
      </c>
      <c r="U3172" s="113">
        <f>'Data_in-situ'!DO341</f>
        <v>34.500209307573023</v>
      </c>
      <c r="V3172" s="46">
        <f>'Data_in-situ'!DP341</f>
        <v>3</v>
      </c>
      <c r="W3172" s="113">
        <f>'Data_in-situ'!DR341</f>
        <v>2.0119884710538427</v>
      </c>
      <c r="X3172" s="113">
        <f>'Data_in-situ'!DS341</f>
        <v>4.1125976308977705</v>
      </c>
      <c r="Y3172" s="46">
        <f>'Data_in-situ'!DT341</f>
        <v>3</v>
      </c>
      <c r="AF3172" s="113">
        <f>'Data_in-situ'!EN297</f>
        <v>-20.8</v>
      </c>
      <c r="AG3172" s="113">
        <f>'Data_in-situ'!EO297</f>
        <v>8.475925094026902</v>
      </c>
      <c r="AH3172" s="110">
        <f>'Data_in-situ'!EP297</f>
        <v>1</v>
      </c>
      <c r="AI3172" s="113">
        <f>'Data_in-situ'!ER297</f>
        <v>-46</v>
      </c>
      <c r="AJ3172" s="113">
        <f>'Data_in-situ'!ES297</f>
        <v>10.433446461422932</v>
      </c>
      <c r="AK3172" s="110">
        <f>'Data_in-situ'!ET297</f>
        <v>1</v>
      </c>
    </row>
    <row r="3173" spans="20:37" x14ac:dyDescent="0.3">
      <c r="T3173" s="113">
        <f>'Data_in-situ'!DN342</f>
        <v>230.49976509958381</v>
      </c>
      <c r="U3173" s="113">
        <f>'Data_in-situ'!DO342</f>
        <v>197.03120287558829</v>
      </c>
      <c r="V3173" s="46">
        <f>'Data_in-situ'!DP342</f>
        <v>3</v>
      </c>
      <c r="W3173" s="113">
        <f>'Data_in-situ'!DR342</f>
        <v>118.90670603705591</v>
      </c>
      <c r="X3173" s="113">
        <f>'Data_in-situ'!DS342</f>
        <v>159.66597828472533</v>
      </c>
      <c r="Y3173" s="46">
        <f>'Data_in-situ'!DT342</f>
        <v>3</v>
      </c>
      <c r="AF3173" s="113">
        <f>'Data_in-situ'!EN298</f>
        <v>-20.8</v>
      </c>
      <c r="AG3173" s="113">
        <f>'Data_in-situ'!EO298</f>
        <v>8.475925094026902</v>
      </c>
      <c r="AH3173" s="110">
        <f>'Data_in-situ'!EP298</f>
        <v>1</v>
      </c>
      <c r="AI3173" s="113">
        <f>'Data_in-situ'!ER298</f>
        <v>-40</v>
      </c>
      <c r="AJ3173" s="113">
        <f>'Data_in-situ'!ES298</f>
        <v>9.0725621403677668</v>
      </c>
      <c r="AK3173" s="110">
        <f>'Data_in-situ'!ET298</f>
        <v>1</v>
      </c>
    </row>
    <row r="3174" spans="20:37" x14ac:dyDescent="0.3">
      <c r="T3174" s="113">
        <f>'Data_in-situ'!DN343</f>
        <v>1089.6352531980324</v>
      </c>
      <c r="U3174" s="113">
        <f>'Data_in-situ'!DO343</f>
        <v>927.78982978332431</v>
      </c>
      <c r="V3174" s="46">
        <f>'Data_in-situ'!DP343</f>
        <v>3</v>
      </c>
      <c r="W3174" s="113">
        <f>'Data_in-situ'!DR343</f>
        <v>639.12354494917554</v>
      </c>
      <c r="X3174" s="113">
        <f>'Data_in-situ'!DS343</f>
        <v>304.35692868746287</v>
      </c>
      <c r="Y3174" s="46">
        <f>'Data_in-situ'!DT343</f>
        <v>3</v>
      </c>
      <c r="AF3174" s="113">
        <f>'Data_in-situ'!EN299</f>
        <v>-20.8</v>
      </c>
      <c r="AG3174" s="113">
        <f>'Data_in-situ'!EO299</f>
        <v>8.475925094026902</v>
      </c>
      <c r="AH3174" s="110">
        <f>'Data_in-situ'!EP299</f>
        <v>1</v>
      </c>
      <c r="AI3174" s="113">
        <f>'Data_in-situ'!ER299</f>
        <v>-31.5</v>
      </c>
      <c r="AJ3174" s="113">
        <f>'Data_in-situ'!ES299</f>
        <v>7.1446426855396163</v>
      </c>
      <c r="AK3174" s="110">
        <f>'Data_in-situ'!ET299</f>
        <v>1</v>
      </c>
    </row>
    <row r="3175" spans="20:37" x14ac:dyDescent="0.3">
      <c r="T3175" s="113">
        <f>'Data_in-situ'!DN344</f>
        <v>146.68166869973513</v>
      </c>
      <c r="U3175" s="113">
        <f>'Data_in-situ'!DO344</f>
        <v>127.23656397839687</v>
      </c>
      <c r="V3175" s="46">
        <f>'Data_in-situ'!DP344</f>
        <v>3</v>
      </c>
      <c r="W3175" s="113">
        <f>'Data_in-situ'!DR344</f>
        <v>29.726676509263978</v>
      </c>
      <c r="X3175" s="113">
        <f>'Data_in-situ'!DS344</f>
        <v>18.92341152926349</v>
      </c>
      <c r="Y3175" s="46">
        <f>'Data_in-situ'!DT344</f>
        <v>3</v>
      </c>
      <c r="AF3175" s="113">
        <f>'Data_in-situ'!EN300</f>
        <v>-20.8</v>
      </c>
      <c r="AG3175" s="113">
        <f>'Data_in-situ'!EO300</f>
        <v>8.475925094026902</v>
      </c>
      <c r="AH3175" s="110">
        <f>'Data_in-situ'!EP300</f>
        <v>1</v>
      </c>
      <c r="AI3175" s="113">
        <f>'Data_in-situ'!ER300</f>
        <v>-48.2</v>
      </c>
      <c r="AJ3175" s="113">
        <f>'Data_in-situ'!ES300</f>
        <v>10.93243737914316</v>
      </c>
      <c r="AK3175" s="110">
        <f>'Data_in-situ'!ET300</f>
        <v>1</v>
      </c>
    </row>
    <row r="3176" spans="20:37" x14ac:dyDescent="0.3">
      <c r="T3176" s="113">
        <f>'Data_in-situ'!DN360</f>
        <v>78.736738703339938</v>
      </c>
      <c r="U3176" s="113">
        <f>'Data_in-situ'!DO360</f>
        <v>27.597052434686233</v>
      </c>
      <c r="V3176" s="46">
        <f>'Data_in-situ'!DP360</f>
        <v>8</v>
      </c>
      <c r="W3176" s="113">
        <f>'Data_in-situ'!DR360</f>
        <v>125.2043222003928</v>
      </c>
      <c r="X3176" s="113">
        <f>'Data_in-situ'!DS360</f>
        <v>186.10419799607629</v>
      </c>
      <c r="Y3176" s="46">
        <f>'Data_in-situ'!DT360</f>
        <v>8</v>
      </c>
      <c r="AF3176" s="113">
        <f>'Data_in-situ'!EN301</f>
        <v>-20.8</v>
      </c>
      <c r="AG3176" s="113">
        <f>'Data_in-situ'!EO301</f>
        <v>8.475925094026902</v>
      </c>
      <c r="AH3176" s="110">
        <f>'Data_in-situ'!EP301</f>
        <v>1</v>
      </c>
      <c r="AI3176" s="113">
        <f>'Data_in-situ'!ER301</f>
        <v>-46</v>
      </c>
      <c r="AJ3176" s="113">
        <f>'Data_in-situ'!ES301</f>
        <v>10.433446461422932</v>
      </c>
      <c r="AK3176" s="110">
        <f>'Data_in-situ'!ET301</f>
        <v>1</v>
      </c>
    </row>
    <row r="3177" spans="20:37" x14ac:dyDescent="0.3">
      <c r="T3177" s="113">
        <f>'Data_in-situ'!DN389</f>
        <v>68</v>
      </c>
      <c r="U3177" s="113">
        <f>'Data_in-situ'!DO389</f>
        <v>56.982751846655269</v>
      </c>
      <c r="V3177" s="46">
        <f>'Data_in-situ'!DP389</f>
        <v>4</v>
      </c>
      <c r="W3177" s="113">
        <f>'Data_in-situ'!DR389</f>
        <v>15.999999999999998</v>
      </c>
      <c r="X3177" s="113">
        <f>'Data_in-situ'!DS389</f>
        <v>88.274002438097213</v>
      </c>
      <c r="Y3177" s="46">
        <f>'Data_in-situ'!DT389</f>
        <v>4</v>
      </c>
      <c r="AF3177" s="113">
        <f>'Data_in-situ'!EN302</f>
        <v>-20.8</v>
      </c>
      <c r="AG3177" s="113">
        <f>'Data_in-situ'!EO302</f>
        <v>8.475925094026902</v>
      </c>
      <c r="AH3177" s="110">
        <f>'Data_in-situ'!EP302</f>
        <v>1</v>
      </c>
      <c r="AI3177" s="113">
        <f>'Data_in-situ'!ER302</f>
        <v>-40</v>
      </c>
      <c r="AJ3177" s="113">
        <f>'Data_in-situ'!ES302</f>
        <v>9.0725621403677668</v>
      </c>
      <c r="AK3177" s="110">
        <f>'Data_in-situ'!ET302</f>
        <v>1</v>
      </c>
    </row>
    <row r="3178" spans="20:37" x14ac:dyDescent="0.3">
      <c r="T3178" s="113">
        <f>'Data_in-situ'!DN390</f>
        <v>67.999999999999986</v>
      </c>
      <c r="U3178" s="113">
        <f>'Data_in-situ'!DO390</f>
        <v>56.982751846655255</v>
      </c>
      <c r="V3178" s="46">
        <f>'Data_in-situ'!DP390</f>
        <v>4</v>
      </c>
      <c r="W3178" s="113">
        <f>'Data_in-situ'!DR390</f>
        <v>40</v>
      </c>
      <c r="X3178" s="113">
        <f>'Data_in-situ'!DS390</f>
        <v>220.68500609524307</v>
      </c>
      <c r="Y3178" s="46">
        <f>'Data_in-situ'!DT390</f>
        <v>4</v>
      </c>
      <c r="AF3178" s="113">
        <f>'Data_in-situ'!EN303</f>
        <v>-20.8</v>
      </c>
      <c r="AG3178" s="113">
        <f>'Data_in-situ'!EO303</f>
        <v>8.475925094026902</v>
      </c>
      <c r="AH3178" s="110">
        <f>'Data_in-situ'!EP303</f>
        <v>1</v>
      </c>
      <c r="AI3178" s="113">
        <f>'Data_in-situ'!ER303</f>
        <v>-31.5</v>
      </c>
      <c r="AJ3178" s="113">
        <f>'Data_in-situ'!ES303</f>
        <v>7.1446426855396163</v>
      </c>
      <c r="AK3178" s="110">
        <f>'Data_in-situ'!ET303</f>
        <v>1</v>
      </c>
    </row>
    <row r="3179" spans="20:37" x14ac:dyDescent="0.3">
      <c r="T3179" s="113">
        <f>'Data_in-situ'!DN417</f>
        <v>970.38416592642932</v>
      </c>
      <c r="U3179" s="113">
        <f>'Data_in-situ'!DO417</f>
        <v>1081.8612091201044</v>
      </c>
      <c r="V3179" s="46">
        <f>'Data_in-situ'!DP417</f>
        <v>5</v>
      </c>
      <c r="W3179" s="113">
        <f>'Data_in-situ'!DR417</f>
        <v>2.3483526841518167</v>
      </c>
      <c r="X3179" s="113">
        <f>'Data_in-situ'!DS417</f>
        <v>4.0730546894946382</v>
      </c>
      <c r="Y3179" s="46">
        <f>'Data_in-situ'!DT417</f>
        <v>6</v>
      </c>
      <c r="AF3179" s="113">
        <f>'Data_in-situ'!EN304</f>
        <v>-48.7</v>
      </c>
      <c r="AG3179" s="113">
        <f>'Data_in-situ'!EO304</f>
        <v>19.845074619187987</v>
      </c>
      <c r="AH3179" s="110">
        <f>'Data_in-situ'!EP304</f>
        <v>1</v>
      </c>
      <c r="AI3179" s="113">
        <f>'Data_in-situ'!ER304</f>
        <v>-77.599999999999994</v>
      </c>
      <c r="AJ3179" s="113">
        <f>'Data_in-situ'!ES304</f>
        <v>17.600770552313467</v>
      </c>
      <c r="AK3179" s="110">
        <f>'Data_in-situ'!ET304</f>
        <v>1</v>
      </c>
    </row>
    <row r="3180" spans="20:37" x14ac:dyDescent="0.3">
      <c r="T3180" s="113">
        <f>'Data_in-situ'!DN444</f>
        <v>1231.8452874333798</v>
      </c>
      <c r="U3180" s="113">
        <f>'Data_in-situ'!DO444</f>
        <v>2386.9642276450431</v>
      </c>
      <c r="V3180" s="46">
        <f>'Data_in-situ'!DP444</f>
        <v>46</v>
      </c>
      <c r="W3180" s="113">
        <f>'Data_in-situ'!DR444</f>
        <v>23.778911502590674</v>
      </c>
      <c r="X3180" s="113">
        <f>'Data_in-situ'!DS444</f>
        <v>31.04286769933886</v>
      </c>
      <c r="Y3180" s="46">
        <f>'Data_in-situ'!DT444</f>
        <v>53</v>
      </c>
      <c r="AF3180" s="113">
        <f>'Data_in-situ'!EN305</f>
        <v>-48.7</v>
      </c>
      <c r="AG3180" s="113">
        <f>'Data_in-situ'!EO305</f>
        <v>19.845074619187987</v>
      </c>
      <c r="AH3180" s="110">
        <f>'Data_in-situ'!EP305</f>
        <v>1</v>
      </c>
      <c r="AI3180" s="113">
        <f>'Data_in-situ'!ER305</f>
        <v>-119.3</v>
      </c>
      <c r="AJ3180" s="113">
        <f>'Data_in-situ'!ES305</f>
        <v>27.058916583646866</v>
      </c>
      <c r="AK3180" s="110">
        <f>'Data_in-situ'!ET305</f>
        <v>1</v>
      </c>
    </row>
    <row r="3181" spans="20:37" x14ac:dyDescent="0.3">
      <c r="AF3181" s="113">
        <f>'Data_in-situ'!EN306</f>
        <v>-48.7</v>
      </c>
      <c r="AG3181" s="113">
        <f>'Data_in-situ'!EO306</f>
        <v>19.845074619187987</v>
      </c>
      <c r="AH3181" s="110">
        <f>'Data_in-situ'!EP306</f>
        <v>1</v>
      </c>
      <c r="AI3181" s="113">
        <f>'Data_in-situ'!ER306</f>
        <v>-85.1</v>
      </c>
      <c r="AJ3181" s="113">
        <f>'Data_in-situ'!ES306</f>
        <v>19.301875953632422</v>
      </c>
      <c r="AK3181" s="110">
        <f>'Data_in-situ'!ET306</f>
        <v>1</v>
      </c>
    </row>
    <row r="3182" spans="20:37" x14ac:dyDescent="0.3">
      <c r="AF3182" s="113">
        <f>'Data_in-situ'!EN307</f>
        <v>-48.7</v>
      </c>
      <c r="AG3182" s="113">
        <f>'Data_in-situ'!EO307</f>
        <v>19.845074619187987</v>
      </c>
      <c r="AH3182" s="110">
        <f>'Data_in-situ'!EP307</f>
        <v>1</v>
      </c>
      <c r="AI3182" s="113">
        <f>'Data_in-situ'!ER307</f>
        <v>-90</v>
      </c>
      <c r="AJ3182" s="113">
        <f>'Data_in-situ'!ES307</f>
        <v>20.413264815827475</v>
      </c>
      <c r="AK3182" s="110">
        <f>'Data_in-situ'!ET307</f>
        <v>1</v>
      </c>
    </row>
    <row r="3183" spans="20:37" x14ac:dyDescent="0.3">
      <c r="AF3183" s="113">
        <f>'Data_in-situ'!EN308</f>
        <v>-48.7</v>
      </c>
      <c r="AG3183" s="113">
        <f>'Data_in-situ'!EO308</f>
        <v>19.845074619187987</v>
      </c>
      <c r="AH3183" s="110">
        <f>'Data_in-situ'!EP308</f>
        <v>1</v>
      </c>
      <c r="AI3183" s="113">
        <f>'Data_in-situ'!ER308</f>
        <v>-77.599999999999994</v>
      </c>
      <c r="AJ3183" s="113">
        <f>'Data_in-situ'!ES308</f>
        <v>17.600770552313467</v>
      </c>
      <c r="AK3183" s="110">
        <f>'Data_in-situ'!ET308</f>
        <v>1</v>
      </c>
    </row>
    <row r="3184" spans="20:37" x14ac:dyDescent="0.3">
      <c r="AF3184" s="113">
        <f>'Data_in-situ'!EN309</f>
        <v>-48.7</v>
      </c>
      <c r="AG3184" s="113">
        <f>'Data_in-situ'!EO309</f>
        <v>19.845074619187987</v>
      </c>
      <c r="AH3184" s="110">
        <f>'Data_in-situ'!EP309</f>
        <v>1</v>
      </c>
      <c r="AI3184" s="113">
        <f>'Data_in-situ'!ER309</f>
        <v>-119.3</v>
      </c>
      <c r="AJ3184" s="113">
        <f>'Data_in-situ'!ES309</f>
        <v>27.058916583646866</v>
      </c>
      <c r="AK3184" s="110">
        <f>'Data_in-situ'!ET309</f>
        <v>1</v>
      </c>
    </row>
    <row r="3185" spans="32:37" x14ac:dyDescent="0.3">
      <c r="AF3185" s="113">
        <f>'Data_in-situ'!EN310</f>
        <v>-48.7</v>
      </c>
      <c r="AG3185" s="113">
        <f>'Data_in-situ'!EO310</f>
        <v>19.845074619187987</v>
      </c>
      <c r="AH3185" s="110">
        <f>'Data_in-situ'!EP310</f>
        <v>1</v>
      </c>
      <c r="AI3185" s="113">
        <f>'Data_in-situ'!ER310</f>
        <v>-85.1</v>
      </c>
      <c r="AJ3185" s="113">
        <f>'Data_in-situ'!ES310</f>
        <v>19.301875953632422</v>
      </c>
      <c r="AK3185" s="110">
        <f>'Data_in-situ'!ET310</f>
        <v>1</v>
      </c>
    </row>
    <row r="3186" spans="32:37" x14ac:dyDescent="0.3">
      <c r="AF3186" s="113">
        <f>'Data_in-situ'!EN311</f>
        <v>-48.7</v>
      </c>
      <c r="AG3186" s="113">
        <f>'Data_in-situ'!EO311</f>
        <v>19.845074619187987</v>
      </c>
      <c r="AH3186" s="110">
        <f>'Data_in-situ'!EP311</f>
        <v>1</v>
      </c>
      <c r="AI3186" s="113">
        <f>'Data_in-situ'!ER311</f>
        <v>-90</v>
      </c>
      <c r="AJ3186" s="113">
        <f>'Data_in-situ'!ES311</f>
        <v>20.413264815827475</v>
      </c>
      <c r="AK3186" s="110">
        <f>'Data_in-situ'!ET311</f>
        <v>1</v>
      </c>
    </row>
    <row r="3187" spans="32:37" x14ac:dyDescent="0.3">
      <c r="AF3187" s="113">
        <f>'Data_in-situ'!EN312</f>
        <v>-48.7</v>
      </c>
      <c r="AG3187" s="113">
        <f>'Data_in-situ'!EO312</f>
        <v>19.845074619187987</v>
      </c>
      <c r="AH3187" s="110">
        <f>'Data_in-situ'!EP312</f>
        <v>1</v>
      </c>
      <c r="AI3187" s="113">
        <f>'Data_in-situ'!ER312</f>
        <v>-77.599999999999994</v>
      </c>
      <c r="AJ3187" s="113">
        <f>'Data_in-situ'!ES312</f>
        <v>17.600770552313467</v>
      </c>
      <c r="AK3187" s="110">
        <f>'Data_in-situ'!ET312</f>
        <v>1</v>
      </c>
    </row>
    <row r="3188" spans="32:37" x14ac:dyDescent="0.3">
      <c r="AF3188" s="113">
        <f>'Data_in-situ'!EN313</f>
        <v>-48.7</v>
      </c>
      <c r="AG3188" s="113">
        <f>'Data_in-situ'!EO313</f>
        <v>19.845074619187987</v>
      </c>
      <c r="AH3188" s="110">
        <f>'Data_in-situ'!EP313</f>
        <v>1</v>
      </c>
      <c r="AI3188" s="113">
        <f>'Data_in-situ'!ER313</f>
        <v>-119.3</v>
      </c>
      <c r="AJ3188" s="113">
        <f>'Data_in-situ'!ES313</f>
        <v>27.058916583646866</v>
      </c>
      <c r="AK3188" s="110">
        <f>'Data_in-situ'!ET313</f>
        <v>1</v>
      </c>
    </row>
    <row r="3189" spans="32:37" x14ac:dyDescent="0.3">
      <c r="AF3189" s="113">
        <f>'Data_in-situ'!EN314</f>
        <v>-48.7</v>
      </c>
      <c r="AG3189" s="113">
        <f>'Data_in-situ'!EO314</f>
        <v>19.845074619187987</v>
      </c>
      <c r="AH3189" s="110">
        <f>'Data_in-situ'!EP314</f>
        <v>1</v>
      </c>
      <c r="AI3189" s="113">
        <f>'Data_in-situ'!ER314</f>
        <v>-85.1</v>
      </c>
      <c r="AJ3189" s="113">
        <f>'Data_in-situ'!ES314</f>
        <v>19.301875953632422</v>
      </c>
      <c r="AK3189" s="110">
        <f>'Data_in-situ'!ET314</f>
        <v>1</v>
      </c>
    </row>
    <row r="3190" spans="32:37" x14ac:dyDescent="0.3">
      <c r="AF3190" s="113">
        <f>'Data_in-situ'!EN315</f>
        <v>-48.7</v>
      </c>
      <c r="AG3190" s="113">
        <f>'Data_in-situ'!EO315</f>
        <v>19.845074619187987</v>
      </c>
      <c r="AH3190" s="110">
        <f>'Data_in-situ'!EP315</f>
        <v>1</v>
      </c>
      <c r="AI3190" s="113">
        <f>'Data_in-situ'!ER315</f>
        <v>-90</v>
      </c>
      <c r="AJ3190" s="113">
        <f>'Data_in-situ'!ES315</f>
        <v>20.413264815827475</v>
      </c>
      <c r="AK3190" s="110">
        <f>'Data_in-situ'!ET315</f>
        <v>1</v>
      </c>
    </row>
    <row r="3191" spans="32:37" x14ac:dyDescent="0.3">
      <c r="AF3191" s="113">
        <f>'Data_in-situ'!EN322</f>
        <v>-12.6</v>
      </c>
      <c r="AG3191" s="113">
        <f>'Data_in-situ'!EO322</f>
        <v>7.6</v>
      </c>
      <c r="AH3191" s="110">
        <f>'Data_in-situ'!EP322</f>
        <v>18</v>
      </c>
      <c r="AI3191" s="113">
        <f>'Data_in-situ'!ER322</f>
        <v>-18</v>
      </c>
      <c r="AJ3191" s="113">
        <f>'Data_in-situ'!ES322</f>
        <v>8.5</v>
      </c>
      <c r="AK3191" s="110">
        <f>'Data_in-situ'!ET322</f>
        <v>18</v>
      </c>
    </row>
    <row r="3192" spans="32:37" x14ac:dyDescent="0.3">
      <c r="AF3192" s="113">
        <f>'Data_in-situ'!EN323</f>
        <v>-26.2</v>
      </c>
      <c r="AG3192" s="113">
        <f>'Data_in-situ'!EO323</f>
        <v>12.1</v>
      </c>
      <c r="AH3192" s="110">
        <f>'Data_in-situ'!EP323</f>
        <v>29</v>
      </c>
      <c r="AI3192" s="113">
        <f>'Data_in-situ'!ER323</f>
        <v>-30</v>
      </c>
      <c r="AJ3192" s="113">
        <f>'Data_in-situ'!ES323</f>
        <v>11.2</v>
      </c>
      <c r="AK3192" s="110">
        <f>'Data_in-situ'!ET323</f>
        <v>33</v>
      </c>
    </row>
    <row r="3193" spans="32:37" x14ac:dyDescent="0.3">
      <c r="AF3193" s="113">
        <f>'Data_in-situ'!EN336</f>
        <v>-1</v>
      </c>
      <c r="AG3193" s="113">
        <f>'Data_in-situ'!EO336</f>
        <v>0.40749639875129334</v>
      </c>
      <c r="AH3193" s="110">
        <f>'Data_in-situ'!EP336</f>
        <v>3</v>
      </c>
      <c r="AI3193" s="113">
        <f>'Data_in-situ'!ER336</f>
        <v>-20</v>
      </c>
      <c r="AJ3193" s="113">
        <f>'Data_in-situ'!ES336</f>
        <v>4.5362810701838834</v>
      </c>
      <c r="AK3193" s="110">
        <f>'Data_in-situ'!ET336</f>
        <v>3</v>
      </c>
    </row>
    <row r="3194" spans="32:37" x14ac:dyDescent="0.3">
      <c r="AF3194" s="113">
        <f>'Data_in-situ'!EN337</f>
        <v>-1</v>
      </c>
      <c r="AG3194" s="113">
        <f>'Data_in-situ'!EO337</f>
        <v>0.40749639875129334</v>
      </c>
      <c r="AH3194" s="110">
        <f>'Data_in-situ'!EP337</f>
        <v>3</v>
      </c>
      <c r="AI3194" s="113">
        <f>'Data_in-situ'!ER337</f>
        <v>-20</v>
      </c>
      <c r="AJ3194" s="113">
        <f>'Data_in-situ'!ES337</f>
        <v>4.5362810701838834</v>
      </c>
      <c r="AK3194" s="110">
        <f>'Data_in-situ'!ET337</f>
        <v>3</v>
      </c>
    </row>
    <row r="3195" spans="32:37" x14ac:dyDescent="0.3">
      <c r="AF3195" s="113">
        <f>'Data_in-situ'!EN338</f>
        <v>-1</v>
      </c>
      <c r="AG3195" s="113">
        <f>'Data_in-situ'!EO338</f>
        <v>0.40749639875129334</v>
      </c>
      <c r="AH3195" s="110">
        <f>'Data_in-situ'!EP338</f>
        <v>3</v>
      </c>
      <c r="AI3195" s="113">
        <f>'Data_in-situ'!ER338</f>
        <v>-20</v>
      </c>
      <c r="AJ3195" s="113">
        <f>'Data_in-situ'!ES338</f>
        <v>4.5362810701838834</v>
      </c>
      <c r="AK3195" s="110">
        <f>'Data_in-situ'!ET338</f>
        <v>3</v>
      </c>
    </row>
    <row r="3196" spans="32:37" x14ac:dyDescent="0.3">
      <c r="AF3196" s="113">
        <f>'Data_in-situ'!EN339</f>
        <v>-18.728744939271266</v>
      </c>
      <c r="AG3196" s="113">
        <f>'Data_in-situ'!EO339</f>
        <v>0.97567994313706652</v>
      </c>
      <c r="AH3196" s="110">
        <f>'Data_in-situ'!EP339</f>
        <v>3</v>
      </c>
      <c r="AI3196" s="113">
        <f>'Data_in-situ'!ER339</f>
        <v>-28.769509981851183</v>
      </c>
      <c r="AJ3196" s="113">
        <f>'Data_in-situ'!ES339</f>
        <v>0.91964006572007306</v>
      </c>
      <c r="AK3196" s="110">
        <f>'Data_in-situ'!ET339</f>
        <v>3</v>
      </c>
    </row>
    <row r="3197" spans="32:37" x14ac:dyDescent="0.3">
      <c r="AF3197" s="113">
        <f>'Data_in-situ'!EN340</f>
        <v>-15.910685805422641</v>
      </c>
      <c r="AG3197" s="113">
        <f>'Data_in-situ'!EO340</f>
        <v>1.0227837765091556</v>
      </c>
      <c r="AH3197" s="110">
        <f>'Data_in-situ'!EP340</f>
        <v>3</v>
      </c>
      <c r="AI3197" s="113">
        <f>'Data_in-situ'!ER340</f>
        <v>-23.453947368421044</v>
      </c>
      <c r="AJ3197" s="113">
        <f>'Data_in-situ'!ES340</f>
        <v>1.196189530474022</v>
      </c>
      <c r="AK3197" s="110">
        <f>'Data_in-situ'!ET340</f>
        <v>3</v>
      </c>
    </row>
    <row r="3198" spans="32:37" x14ac:dyDescent="0.3">
      <c r="AF3198" s="113">
        <f>'Data_in-situ'!EN341</f>
        <v>-11.595789473684208</v>
      </c>
      <c r="AG3198" s="113">
        <f>'Data_in-situ'!EO341</f>
        <v>0.44954804430300416</v>
      </c>
      <c r="AH3198" s="110">
        <f>'Data_in-situ'!EP341</f>
        <v>3</v>
      </c>
      <c r="AI3198" s="113">
        <f>'Data_in-situ'!ER341</f>
        <v>-23.208711433756811</v>
      </c>
      <c r="AJ3198" s="113">
        <f>'Data_in-situ'!ES341</f>
        <v>0.78101283680717748</v>
      </c>
      <c r="AK3198" s="110">
        <f>'Data_in-situ'!ET341</f>
        <v>3</v>
      </c>
    </row>
    <row r="3199" spans="32:37" x14ac:dyDescent="0.3">
      <c r="AF3199" s="113">
        <f>'Data_in-situ'!EN342</f>
        <v>-11.142300194931776</v>
      </c>
      <c r="AG3199" s="113">
        <f>'Data_in-situ'!EO342</f>
        <v>0.60135887201815885</v>
      </c>
      <c r="AH3199" s="110">
        <f>'Data_in-situ'!EP342</f>
        <v>3</v>
      </c>
      <c r="AI3199" s="113">
        <f>'Data_in-situ'!ER342</f>
        <v>-18.027290448343074</v>
      </c>
      <c r="AJ3199" s="113">
        <f>'Data_in-situ'!ES342</f>
        <v>0.60993017965284302</v>
      </c>
      <c r="AK3199" s="110">
        <f>'Data_in-situ'!ET342</f>
        <v>3</v>
      </c>
    </row>
    <row r="3200" spans="32:37" x14ac:dyDescent="0.3">
      <c r="AF3200" s="113">
        <f>'Data_in-situ'!EN343</f>
        <v>-7.5049786628733965</v>
      </c>
      <c r="AG3200" s="113">
        <f>'Data_in-situ'!EO343</f>
        <v>0.56147558903179429</v>
      </c>
      <c r="AH3200" s="110">
        <f>'Data_in-situ'!EP343</f>
        <v>3</v>
      </c>
      <c r="AI3200" s="113">
        <f>'Data_in-situ'!ER343</f>
        <v>-14.886247877758912</v>
      </c>
      <c r="AJ3200" s="113">
        <f>'Data_in-situ'!ES343</f>
        <v>0.59475310250266267</v>
      </c>
      <c r="AK3200" s="110">
        <f>'Data_in-situ'!ET343</f>
        <v>3</v>
      </c>
    </row>
    <row r="3201" spans="32:37" x14ac:dyDescent="0.3">
      <c r="AF3201" s="113">
        <f>'Data_in-situ'!EN344</f>
        <v>-5.9727095516569193</v>
      </c>
      <c r="AG3201" s="113">
        <f>'Data_in-situ'!EO344</f>
        <v>0.38993551592449915</v>
      </c>
      <c r="AH3201" s="110">
        <f>'Data_in-situ'!EP344</f>
        <v>3</v>
      </c>
      <c r="AI3201" s="113">
        <f>'Data_in-situ'!ER344</f>
        <v>-14.607809847198643</v>
      </c>
      <c r="AJ3201" s="113">
        <f>'Data_in-situ'!ES344</f>
        <v>0.44735902456710497</v>
      </c>
      <c r="AK3201" s="110">
        <f>'Data_in-situ'!ET344</f>
        <v>3</v>
      </c>
    </row>
    <row r="3202" spans="32:37" x14ac:dyDescent="0.3">
      <c r="AF3202" s="113">
        <f>'Data_in-situ'!EN348</f>
        <v>-17.5</v>
      </c>
      <c r="AG3202" s="113">
        <f>'Data_in-situ'!EO348</f>
        <v>4.9497474683058327</v>
      </c>
      <c r="AH3202" s="110">
        <f>'Data_in-situ'!EP348</f>
        <v>4</v>
      </c>
      <c r="AI3202" s="113">
        <f>'Data_in-situ'!ER348</f>
        <v>-34</v>
      </c>
      <c r="AJ3202" s="113">
        <f>'Data_in-situ'!ES348</f>
        <v>11.313708498984761</v>
      </c>
      <c r="AK3202" s="110">
        <f>'Data_in-situ'!ET348</f>
        <v>4</v>
      </c>
    </row>
    <row r="3203" spans="32:37" x14ac:dyDescent="0.3">
      <c r="AF3203" s="113">
        <f>'Data_in-situ'!EN349</f>
        <v>-10</v>
      </c>
      <c r="AG3203" s="113">
        <f>'Data_in-situ'!EO349</f>
        <v>5.6568542494923806</v>
      </c>
      <c r="AH3203" s="110">
        <f>'Data_in-situ'!EP349</f>
        <v>4</v>
      </c>
      <c r="AI3203" s="113">
        <f>'Data_in-situ'!ER349</f>
        <v>-16.5</v>
      </c>
      <c r="AJ3203" s="113">
        <f>'Data_in-situ'!ES349</f>
        <v>3.5355339059327378</v>
      </c>
      <c r="AK3203" s="110">
        <f>'Data_in-situ'!ET349</f>
        <v>4</v>
      </c>
    </row>
    <row r="3204" spans="32:37" x14ac:dyDescent="0.3">
      <c r="AF3204" s="113">
        <f>'Data_in-situ'!EN350</f>
        <v>10</v>
      </c>
      <c r="AG3204" s="113">
        <f>'Data_in-situ'!EO350</f>
        <v>14.142135623730951</v>
      </c>
      <c r="AH3204" s="110">
        <f>'Data_in-situ'!EP350</f>
        <v>4</v>
      </c>
      <c r="AI3204" s="113">
        <f>'Data_in-situ'!ER350</f>
        <v>-8</v>
      </c>
      <c r="AJ3204" s="113">
        <f>'Data_in-situ'!ES350</f>
        <v>2.8284271247461903</v>
      </c>
      <c r="AK3204" s="110">
        <f>'Data_in-situ'!ET350</f>
        <v>4</v>
      </c>
    </row>
    <row r="3205" spans="32:37" x14ac:dyDescent="0.3">
      <c r="AF3205" s="113">
        <f>'Data_in-situ'!EN351</f>
        <v>-17.5</v>
      </c>
      <c r="AG3205" s="113">
        <f>'Data_in-situ'!EO351</f>
        <v>4.9497474683058327</v>
      </c>
      <c r="AH3205" s="110">
        <f>'Data_in-situ'!EP351</f>
        <v>4</v>
      </c>
      <c r="AI3205" s="113">
        <f>'Data_in-situ'!ER351</f>
        <v>-34</v>
      </c>
      <c r="AJ3205" s="113">
        <f>'Data_in-situ'!ES351</f>
        <v>11.313708498984761</v>
      </c>
      <c r="AK3205" s="110">
        <f>'Data_in-situ'!ET351</f>
        <v>4</v>
      </c>
    </row>
    <row r="3206" spans="32:37" x14ac:dyDescent="0.3">
      <c r="AF3206" s="113">
        <f>'Data_in-situ'!EN352</f>
        <v>-10</v>
      </c>
      <c r="AG3206" s="113">
        <f>'Data_in-situ'!EO352</f>
        <v>5.6568542494923806</v>
      </c>
      <c r="AH3206" s="110">
        <f>'Data_in-situ'!EP352</f>
        <v>4</v>
      </c>
      <c r="AI3206" s="113">
        <f>'Data_in-situ'!ER352</f>
        <v>-16.5</v>
      </c>
      <c r="AJ3206" s="113">
        <f>'Data_in-situ'!ES352</f>
        <v>3.5355339059327378</v>
      </c>
      <c r="AK3206" s="110">
        <f>'Data_in-situ'!ET352</f>
        <v>4</v>
      </c>
    </row>
    <row r="3207" spans="32:37" x14ac:dyDescent="0.3">
      <c r="AF3207" s="113">
        <f>'Data_in-situ'!EN353</f>
        <v>10</v>
      </c>
      <c r="AG3207" s="113">
        <f>'Data_in-situ'!EO353</f>
        <v>14.142135623730951</v>
      </c>
      <c r="AH3207" s="110">
        <f>'Data_in-situ'!EP353</f>
        <v>4</v>
      </c>
      <c r="AI3207" s="113">
        <f>'Data_in-situ'!ER353</f>
        <v>-8</v>
      </c>
      <c r="AJ3207" s="113">
        <f>'Data_in-situ'!ES353</f>
        <v>2.8284271247461903</v>
      </c>
      <c r="AK3207" s="110">
        <f>'Data_in-situ'!ET353</f>
        <v>4</v>
      </c>
    </row>
    <row r="3208" spans="32:37" x14ac:dyDescent="0.3">
      <c r="AF3208" s="113">
        <f>'Data_in-situ'!EN360</f>
        <v>0</v>
      </c>
      <c r="AG3208" s="113">
        <f>'Data_in-situ'!EO360</f>
        <v>0</v>
      </c>
      <c r="AH3208" s="110">
        <f>'Data_in-situ'!EP360</f>
        <v>8</v>
      </c>
      <c r="AI3208" s="113">
        <f>'Data_in-situ'!ER360</f>
        <v>-20</v>
      </c>
      <c r="AJ3208" s="113">
        <f>'Data_in-situ'!ES360</f>
        <v>4.5362810701838834</v>
      </c>
      <c r="AK3208" s="110">
        <f>'Data_in-situ'!ET360</f>
        <v>8</v>
      </c>
    </row>
    <row r="3209" spans="32:37" x14ac:dyDescent="0.3">
      <c r="AF3209" s="113">
        <f>'Data_in-situ'!EN389</f>
        <v>-16</v>
      </c>
      <c r="AG3209" s="113">
        <f>'Data_in-situ'!EO389</f>
        <v>6.5199423800206935</v>
      </c>
      <c r="AH3209" s="110">
        <f>'Data_in-situ'!EP389</f>
        <v>4</v>
      </c>
      <c r="AI3209" s="113">
        <f>'Data_in-situ'!ER389</f>
        <v>-21</v>
      </c>
      <c r="AJ3209" s="113">
        <f>'Data_in-situ'!ES389</f>
        <v>4.7630951236930779</v>
      </c>
      <c r="AK3209" s="110">
        <f>'Data_in-situ'!ET389</f>
        <v>4</v>
      </c>
    </row>
    <row r="3210" spans="32:37" x14ac:dyDescent="0.3">
      <c r="AF3210" s="113">
        <f>'Data_in-situ'!EN390</f>
        <v>-15</v>
      </c>
      <c r="AG3210" s="113">
        <f>'Data_in-situ'!EO390</f>
        <v>6.1124459812694001</v>
      </c>
      <c r="AH3210" s="110">
        <f>'Data_in-situ'!EP390</f>
        <v>4</v>
      </c>
      <c r="AI3210" s="113">
        <f>'Data_in-situ'!ER390</f>
        <v>-20</v>
      </c>
      <c r="AJ3210" s="113">
        <f>'Data_in-situ'!ES390</f>
        <v>4.5362810701838834</v>
      </c>
      <c r="AK3210" s="110">
        <f>'Data_in-situ'!ET390</f>
        <v>4</v>
      </c>
    </row>
    <row r="3211" spans="32:37" x14ac:dyDescent="0.3">
      <c r="AF3211" s="113">
        <f>'Data_in-situ'!EN412</f>
        <v>-8.1</v>
      </c>
      <c r="AG3211" s="113">
        <f>'Data_in-situ'!EO412</f>
        <v>1.2</v>
      </c>
      <c r="AH3211" s="110">
        <f>'Data_in-situ'!EP412</f>
        <v>3</v>
      </c>
      <c r="AI3211" s="113">
        <f>'Data_in-situ'!ER412</f>
        <v>-13.1</v>
      </c>
      <c r="AJ3211" s="113">
        <f>'Data_in-situ'!ES412</f>
        <v>0.8</v>
      </c>
      <c r="AK3211" s="110">
        <f>'Data_in-situ'!ET412</f>
        <v>3</v>
      </c>
    </row>
    <row r="3212" spans="32:37" x14ac:dyDescent="0.3">
      <c r="AF3212" s="113">
        <f>'Data_in-situ'!EN413</f>
        <v>-20.399999999999999</v>
      </c>
      <c r="AG3212" s="113">
        <f>'Data_in-situ'!EO413</f>
        <v>2.2999999999999998</v>
      </c>
      <c r="AH3212" s="110">
        <f>'Data_in-situ'!EP413</f>
        <v>3</v>
      </c>
      <c r="AI3212" s="113">
        <f>'Data_in-situ'!ER413</f>
        <v>-28.4</v>
      </c>
      <c r="AJ3212" s="113">
        <f>'Data_in-situ'!ES413</f>
        <v>3.2</v>
      </c>
      <c r="AK3212" s="110">
        <f>'Data_in-situ'!ET413</f>
        <v>3</v>
      </c>
    </row>
    <row r="3213" spans="32:37" x14ac:dyDescent="0.3">
      <c r="AF3213" s="113">
        <f>'Data_in-situ'!EN415</f>
        <v>-15.24193548387095</v>
      </c>
      <c r="AG3213" s="113">
        <f>'Data_in-situ'!EO415</f>
        <v>0.79834636585576813</v>
      </c>
      <c r="AH3213" s="110">
        <f>'Data_in-situ'!EP415</f>
        <v>3</v>
      </c>
      <c r="AI3213" s="113">
        <f>'Data_in-situ'!ER415</f>
        <v>-86.747311827956878</v>
      </c>
      <c r="AJ3213" s="113">
        <f>'Data_in-situ'!ES415</f>
        <v>35.741792340849045</v>
      </c>
      <c r="AK3213" s="110">
        <f>'Data_in-situ'!ET415</f>
        <v>3</v>
      </c>
    </row>
    <row r="3214" spans="32:37" x14ac:dyDescent="0.3">
      <c r="AF3214" s="113">
        <f>'Data_in-situ'!EN417</f>
        <v>-6.5</v>
      </c>
      <c r="AG3214" s="113">
        <f>'Data_in-situ'!EO417</f>
        <v>3.5</v>
      </c>
      <c r="AH3214" s="110">
        <f>'Data_in-situ'!EP417</f>
        <v>5</v>
      </c>
      <c r="AI3214" s="113">
        <f>'Data_in-situ'!ER417</f>
        <v>-30.6</v>
      </c>
      <c r="AJ3214" s="113">
        <f>'Data_in-situ'!ES417</f>
        <v>14.8</v>
      </c>
      <c r="AK3214" s="110">
        <f>'Data_in-situ'!ET417</f>
        <v>5</v>
      </c>
    </row>
    <row r="3215" spans="32:37" x14ac:dyDescent="0.3">
      <c r="AF3215" s="113">
        <f>'Data_in-situ'!EN444</f>
        <v>-15</v>
      </c>
      <c r="AG3215" s="113">
        <f>'Data_in-situ'!EO444</f>
        <v>13</v>
      </c>
      <c r="AH3215" s="110">
        <f>'Data_in-situ'!EP444</f>
        <v>9836</v>
      </c>
      <c r="AI3215" s="113">
        <f>'Data_in-situ'!ER444</f>
        <v>-55</v>
      </c>
      <c r="AJ3215" s="113">
        <f>'Data_in-situ'!ES444</f>
        <v>15</v>
      </c>
      <c r="AK3215" s="110">
        <f>'Data_in-situ'!ET444</f>
        <v>14736</v>
      </c>
    </row>
    <row r="3216" spans="32:37" x14ac:dyDescent="0.3">
      <c r="AF3216" s="113">
        <f>'Data_in-situ'!EN447</f>
        <v>-17.3</v>
      </c>
      <c r="AG3216" s="113">
        <f>'Data_in-situ'!EO447</f>
        <v>2.2516660498395402</v>
      </c>
      <c r="AH3216" s="110">
        <f>'Data_in-situ'!EP447</f>
        <v>3</v>
      </c>
      <c r="AI3216" s="113">
        <f>'Data_in-situ'!ER447</f>
        <v>-21.9</v>
      </c>
      <c r="AJ3216" s="113">
        <f>'Data_in-situ'!ES447</f>
        <v>3.4641016151377544</v>
      </c>
      <c r="AK3216" s="110">
        <f>'Data_in-situ'!ET447</f>
        <v>3</v>
      </c>
    </row>
    <row r="3218" spans="1:37" x14ac:dyDescent="0.3">
      <c r="A3218" s="110" t="s">
        <v>831</v>
      </c>
      <c r="B3218" s="24">
        <f>AVERAGEA(B3090:B3216)</f>
        <v>-9356.3893359990216</v>
      </c>
      <c r="C3218" s="24">
        <f>STDEVA(B3090:B3216)/SQRT(COUNT(B3090:B3216))</f>
        <v>1552.0438126670833</v>
      </c>
      <c r="D3218" s="110">
        <f>COUNT(B3090:B3216)</f>
        <v>28</v>
      </c>
      <c r="E3218" s="24">
        <f>AVERAGEA(E3090:E3216)</f>
        <v>-9313.0754097890913</v>
      </c>
      <c r="F3218" s="24">
        <f>STDEVA(E3090:E3216)/SQRT(COUNT(E3090:E3216))</f>
        <v>2522.7954701395629</v>
      </c>
      <c r="G3218" s="110">
        <f>COUNT(E3090:E3216)</f>
        <v>28</v>
      </c>
      <c r="H3218" s="24">
        <f>AVERAGEA(H3090:H3216)</f>
        <v>9746.5816792209625</v>
      </c>
      <c r="I3218" s="24">
        <f>STDEVA(H3090:H3216)/SQRT(COUNT(H3090:H3216))</f>
        <v>1399.8718260299797</v>
      </c>
      <c r="J3218" s="110">
        <f>COUNT(H3090:H3216)</f>
        <v>28</v>
      </c>
      <c r="K3218" s="24">
        <f>AVERAGEA(K3090:K3216)</f>
        <v>14553.020554555187</v>
      </c>
      <c r="L3218" s="24">
        <f>STDEVA(K3090:K3216)/SQRT(COUNT(K3090:K3216))</f>
        <v>1951.8383210929708</v>
      </c>
      <c r="M3218" s="110">
        <f>COUNT(K3090:K3216)</f>
        <v>28</v>
      </c>
      <c r="N3218" s="24">
        <f>AVERAGEA(N3090:N3216)</f>
        <v>-179.24554608780079</v>
      </c>
      <c r="O3218" s="24">
        <f>STDEVA(N3090:N3216)/SQRT(COUNT(N3090:N3216))</f>
        <v>620.71915595040548</v>
      </c>
      <c r="P3218" s="110">
        <f>COUNT(N3090:N3216)</f>
        <v>36</v>
      </c>
      <c r="Q3218" s="24">
        <f>AVERAGEA(Q3090:Q3216)</f>
        <v>4854.5754203938495</v>
      </c>
      <c r="R3218" s="24">
        <f>STDEVA(Q3090:Q3216)/SQRT(COUNT(Q3090:Q3216))</f>
        <v>1446.9106902138719</v>
      </c>
      <c r="S3218" s="110">
        <f>COUNT(Q3090:Q3216)</f>
        <v>36</v>
      </c>
      <c r="T3218" s="113">
        <f>AVERAGEA(T3090:T3216)</f>
        <v>123.20414292725492</v>
      </c>
      <c r="U3218" s="113">
        <f>STDEVA(T3090:T3216)/SQRT(COUNT(T3090:T3216))</f>
        <v>25.828226237334988</v>
      </c>
      <c r="V3218" s="110">
        <f>COUNT(T3090:T3216)</f>
        <v>91</v>
      </c>
      <c r="W3218" s="113">
        <f>AVERAGEA(W3090:W3216)</f>
        <v>28.817696977051828</v>
      </c>
      <c r="X3218" s="113">
        <f>STDEVA(W3090:W3216)/SQRT(COUNT(W3090:W3216))</f>
        <v>7.9887266441202858</v>
      </c>
      <c r="Y3218" s="110">
        <f>COUNT(W3090:W3216)</f>
        <v>91</v>
      </c>
      <c r="Z3218" s="113">
        <f>AVERAGEA(Z3090:Z3216)</f>
        <v>1.6873626296217775E-2</v>
      </c>
      <c r="AA3218" s="113">
        <f>STDEVA(Z3090:Z3216)/SQRT(COUNT(Z3090:Z3216))</f>
        <v>3.1678988687529525E-2</v>
      </c>
      <c r="AB3218" s="110">
        <f>COUNT(Z3090:Z3216)</f>
        <v>27</v>
      </c>
      <c r="AC3218" s="113">
        <f>AVERAGEA(AC3090:AC3216)</f>
        <v>2.6424228554282001</v>
      </c>
      <c r="AD3218" s="113">
        <f>STDEVA(AC3090:AC3216)/SQRT(COUNT(AC3090:AC3216))</f>
        <v>1.5657061634265512</v>
      </c>
      <c r="AE3218" s="110">
        <f>COUNT(AC3090:AC3216)</f>
        <v>27</v>
      </c>
      <c r="AF3218" s="113">
        <f>AVERAGEA(AF3090:AF3216)</f>
        <v>-20.017592648654805</v>
      </c>
      <c r="AG3218" s="113">
        <f>STDEVA(AF3090:AF3216)/SQRT(COUNT(AF3090:AF3216))</f>
        <v>1.4093868886931444</v>
      </c>
      <c r="AH3218" s="110">
        <f>COUNT(AF3090:AF3216)</f>
        <v>127</v>
      </c>
      <c r="AI3218" s="113">
        <f>AVERAGEA(AI3090:AI3216)</f>
        <v>-43.3298083860834</v>
      </c>
      <c r="AJ3218" s="113">
        <f>STDEVA(AI3090:AI3216)/SQRT(COUNT(AI3090:AI3216))</f>
        <v>2.9046327015365354</v>
      </c>
      <c r="AK3218" s="110">
        <f>COUNT(AI3090:AI3216)</f>
        <v>127</v>
      </c>
    </row>
    <row r="3220" spans="1:37" x14ac:dyDescent="0.3">
      <c r="A3220" s="110" t="s">
        <v>857</v>
      </c>
      <c r="B3220" s="24">
        <f>'Data_in-situ'!CA35</f>
        <v>-9117.2313953462108</v>
      </c>
      <c r="C3220" s="24">
        <f>'Data_in-situ'!CB35</f>
        <v>2424.3247606001519</v>
      </c>
      <c r="D3220" s="46">
        <f>'Data_in-situ'!CC35</f>
        <v>3</v>
      </c>
      <c r="E3220" s="24">
        <f>'Data_in-situ'!CE35</f>
        <v>-4187.6052363562967</v>
      </c>
      <c r="F3220" s="24">
        <f>'Data_in-situ'!CF35</f>
        <v>3018.5350952743552</v>
      </c>
      <c r="G3220" s="46">
        <f>'Data_in-situ'!CG35</f>
        <v>3</v>
      </c>
      <c r="H3220" s="24">
        <f>'Data_in-situ'!CN35</f>
        <v>12663.516770662041</v>
      </c>
      <c r="I3220" s="24">
        <f>'Data_in-situ'!CO35</f>
        <v>2211.9149588307</v>
      </c>
      <c r="J3220" s="46">
        <f>'Data_in-situ'!CP35</f>
        <v>3</v>
      </c>
      <c r="K3220" s="24">
        <f>'Data_in-situ'!CR35</f>
        <v>8364.4600190841793</v>
      </c>
      <c r="L3220" s="24">
        <f>'Data_in-situ'!CS35</f>
        <v>6024.8326143304821</v>
      </c>
      <c r="M3220" s="46">
        <f>'Data_in-situ'!CT35</f>
        <v>3</v>
      </c>
      <c r="N3220" s="24">
        <f>'Data_in-situ'!DA35</f>
        <v>3546.2853753158306</v>
      </c>
      <c r="O3220" s="24">
        <f>'Data_in-situ'!DB35</f>
        <v>5941.7227544878542</v>
      </c>
      <c r="P3220" s="46">
        <f>'Data_in-situ'!DC35</f>
        <v>3</v>
      </c>
      <c r="Q3220" s="24">
        <f>'Data_in-situ'!DE35</f>
        <v>4176.8547827278826</v>
      </c>
      <c r="R3220" s="24">
        <f>'Data_in-situ'!DF35</f>
        <v>748.67399248676202</v>
      </c>
      <c r="S3220" s="46">
        <f>'Data_in-situ'!DG35</f>
        <v>3</v>
      </c>
      <c r="T3220" s="113">
        <f>'Data_in-situ'!DN20</f>
        <v>3.3104450261339187</v>
      </c>
      <c r="U3220" s="113">
        <f>'Data_in-situ'!DO20</f>
        <v>3.2225601192052182</v>
      </c>
      <c r="V3220" s="46">
        <f>'Data_in-situ'!DP20</f>
        <v>3</v>
      </c>
      <c r="W3220" s="113">
        <f>'Data_in-situ'!DR20</f>
        <v>0.97256818109938847</v>
      </c>
      <c r="X3220" s="113">
        <f>'Data_in-situ'!DS20</f>
        <v>5.0056318929545522</v>
      </c>
      <c r="Y3220" s="46">
        <f>'Data_in-situ'!DT20</f>
        <v>3</v>
      </c>
      <c r="Z3220" s="113">
        <f>'Data_in-situ'!EA168</f>
        <v>9.3513037184644965</v>
      </c>
      <c r="AA3220" s="113">
        <f>'Data_in-situ'!EB168</f>
        <v>53.769781135553693</v>
      </c>
      <c r="AB3220" s="46">
        <f>'Data_in-situ'!EC168</f>
        <v>3</v>
      </c>
      <c r="AC3220" s="113">
        <f>'Data_in-situ'!EE168</f>
        <v>12.26580629480485</v>
      </c>
      <c r="AD3220" s="113">
        <f>'Data_in-situ'!EF168</f>
        <v>18.314558426684705</v>
      </c>
      <c r="AE3220" s="46">
        <f>'Data_in-situ'!EG168</f>
        <v>3</v>
      </c>
      <c r="AF3220" s="113">
        <f>'Data_in-situ'!EN20</f>
        <v>-20.329999999999998</v>
      </c>
      <c r="AG3220" s="113">
        <f>'Data_in-situ'!EO20</f>
        <v>2.57</v>
      </c>
      <c r="AH3220" s="110">
        <f>'Data_in-situ'!EP20</f>
        <v>3</v>
      </c>
      <c r="AI3220" s="113">
        <f>'Data_in-situ'!ER20</f>
        <v>-32.340000000000003</v>
      </c>
      <c r="AJ3220" s="113">
        <f>'Data_in-situ'!ES20</f>
        <v>1.06</v>
      </c>
      <c r="AK3220" s="110">
        <f>'Data_in-situ'!ET20</f>
        <v>3</v>
      </c>
    </row>
    <row r="3221" spans="1:37" x14ac:dyDescent="0.3">
      <c r="B3221" s="24">
        <f>'Data_in-situ'!CA36</f>
        <v>-9117.2313953462108</v>
      </c>
      <c r="C3221" s="24">
        <f>'Data_in-situ'!CB36</f>
        <v>2424.3247606001519</v>
      </c>
      <c r="D3221" s="46">
        <f>'Data_in-situ'!CC36</f>
        <v>3</v>
      </c>
      <c r="E3221" s="24">
        <f>'Data_in-situ'!CE36</f>
        <v>-11061.598737544933</v>
      </c>
      <c r="F3221" s="24">
        <f>'Data_in-situ'!CF36</f>
        <v>1546.857501085957</v>
      </c>
      <c r="G3221" s="46">
        <f>'Data_in-situ'!CG36</f>
        <v>3</v>
      </c>
      <c r="H3221" s="24">
        <f>'Data_in-situ'!CN36</f>
        <v>12663.516770662041</v>
      </c>
      <c r="I3221" s="24">
        <f>'Data_in-situ'!CO36</f>
        <v>2211.9149588307</v>
      </c>
      <c r="J3221" s="46">
        <f>'Data_in-situ'!CP36</f>
        <v>3</v>
      </c>
      <c r="K3221" s="24">
        <f>'Data_in-situ'!CR36</f>
        <v>13557.778602361719</v>
      </c>
      <c r="L3221" s="24">
        <f>'Data_in-situ'!CS36</f>
        <v>1534.7793518535277</v>
      </c>
      <c r="M3221" s="46">
        <f>'Data_in-situ'!CT36</f>
        <v>3</v>
      </c>
      <c r="N3221" s="24">
        <f>'Data_in-situ'!DA36</f>
        <v>3546.2853753158306</v>
      </c>
      <c r="O3221" s="24">
        <f>'Data_in-situ'!DB36</f>
        <v>5941.7227544878542</v>
      </c>
      <c r="P3221" s="46">
        <f>'Data_in-situ'!DC36</f>
        <v>3</v>
      </c>
      <c r="Q3221" s="24">
        <f>'Data_in-situ'!DE36</f>
        <v>2496.179864816786</v>
      </c>
      <c r="R3221" s="24">
        <f>'Data_in-situ'!DF36</f>
        <v>441.86562565211784</v>
      </c>
      <c r="S3221" s="46">
        <f>'Data_in-situ'!DG36</f>
        <v>3</v>
      </c>
      <c r="T3221" s="113">
        <f>'Data_in-situ'!DN21</f>
        <v>3.3104450261339187</v>
      </c>
      <c r="U3221" s="113">
        <f>'Data_in-situ'!DO21</f>
        <v>3.2225601192052182</v>
      </c>
      <c r="V3221" s="46">
        <f>'Data_in-situ'!DP21</f>
        <v>3</v>
      </c>
      <c r="W3221" s="113">
        <f>'Data_in-situ'!DR21</f>
        <v>-0.74812937007645264</v>
      </c>
      <c r="X3221" s="113">
        <f>'Data_in-situ'!DS21</f>
        <v>2.0565387107113464</v>
      </c>
      <c r="Y3221" s="46">
        <f>'Data_in-situ'!DT21</f>
        <v>3</v>
      </c>
      <c r="Z3221" s="113">
        <f>'Data_in-situ'!EA169</f>
        <v>10.444427313037668</v>
      </c>
      <c r="AA3221" s="113">
        <f>'Data_in-situ'!EB169</f>
        <v>60.055216643145187</v>
      </c>
      <c r="AB3221" s="46">
        <f>'Data_in-situ'!EC169</f>
        <v>3</v>
      </c>
      <c r="AC3221" s="113">
        <f>'Data_in-situ'!EE169</f>
        <v>19.289099302725344</v>
      </c>
      <c r="AD3221" s="113">
        <f>'Data_in-situ'!EF169</f>
        <v>28.801313805804487</v>
      </c>
      <c r="AE3221" s="46">
        <f>'Data_in-situ'!EG169</f>
        <v>3</v>
      </c>
      <c r="AF3221" s="113">
        <f>'Data_in-situ'!EN21</f>
        <v>-20.329999999999998</v>
      </c>
      <c r="AG3221" s="113">
        <f>'Data_in-situ'!EO21</f>
        <v>2.57</v>
      </c>
      <c r="AH3221" s="110">
        <f>'Data_in-situ'!EP21</f>
        <v>3</v>
      </c>
      <c r="AI3221" s="113">
        <f>'Data_in-situ'!ER21</f>
        <v>-37.89</v>
      </c>
      <c r="AJ3221" s="113">
        <f>'Data_in-situ'!ES21</f>
        <v>1.4</v>
      </c>
      <c r="AK3221" s="110">
        <f>'Data_in-situ'!ET21</f>
        <v>3</v>
      </c>
    </row>
    <row r="3222" spans="1:37" x14ac:dyDescent="0.3">
      <c r="B3222" s="24">
        <f>'Data_in-situ'!CA37</f>
        <v>-10940.677674415452</v>
      </c>
      <c r="C3222" s="24">
        <f>'Data_in-situ'!CB37</f>
        <v>3587.5182834567399</v>
      </c>
      <c r="D3222" s="46">
        <f>'Data_in-situ'!CC37</f>
        <v>3</v>
      </c>
      <c r="E3222" s="24">
        <f>'Data_in-situ'!CE37</f>
        <v>-1303.6884226392244</v>
      </c>
      <c r="F3222" s="24">
        <f>'Data_in-situ'!CF37</f>
        <v>1460.696181049753</v>
      </c>
      <c r="G3222" s="46">
        <f>'Data_in-situ'!CG37</f>
        <v>3</v>
      </c>
      <c r="H3222" s="24">
        <f>'Data_in-situ'!CN37</f>
        <v>12156.97609983556</v>
      </c>
      <c r="I3222" s="24">
        <f>'Data_in-situ'!CO37</f>
        <v>3352.7816659818532</v>
      </c>
      <c r="J3222" s="46">
        <f>'Data_in-situ'!CP37</f>
        <v>3</v>
      </c>
      <c r="K3222" s="24">
        <f>'Data_in-situ'!CR37</f>
        <v>7583.1643030158775</v>
      </c>
      <c r="L3222" s="24">
        <f>'Data_in-situ'!CS37</f>
        <v>4282.3014654243434</v>
      </c>
      <c r="M3222" s="46">
        <f>'Data_in-situ'!CT37</f>
        <v>3</v>
      </c>
      <c r="N3222" s="24">
        <f>'Data_in-situ'!DA37</f>
        <v>1216.2984254201074</v>
      </c>
      <c r="O3222" s="24">
        <f>'Data_in-situ'!DB37</f>
        <v>2060.9133169618808</v>
      </c>
      <c r="P3222" s="46">
        <f>'Data_in-situ'!DC37</f>
        <v>3</v>
      </c>
      <c r="Q3222" s="24">
        <f>'Data_in-situ'!DE37</f>
        <v>6279.4758803766526</v>
      </c>
      <c r="R3222" s="24">
        <f>'Data_in-situ'!DF37</f>
        <v>947.48073610146616</v>
      </c>
      <c r="S3222" s="46">
        <f>'Data_in-situ'!DG37</f>
        <v>3</v>
      </c>
      <c r="T3222" s="113">
        <f>'Data_in-situ'!DN26</f>
        <v>3.3518255889605926</v>
      </c>
      <c r="U3222" s="113">
        <f>'Data_in-situ'!DO26</f>
        <v>3.2126569880661773</v>
      </c>
      <c r="V3222" s="46">
        <f>'Data_in-situ'!DP26</f>
        <v>3</v>
      </c>
      <c r="W3222" s="113">
        <f>'Data_in-situ'!DR26</f>
        <v>0.1571071677160551</v>
      </c>
      <c r="X3222" s="113">
        <f>'Data_in-situ'!DS26</f>
        <v>2.9406674446616683</v>
      </c>
      <c r="Y3222" s="46">
        <f>'Data_in-situ'!DT26</f>
        <v>3</v>
      </c>
      <c r="Z3222" s="113">
        <f>'Data_in-situ'!EA437</f>
        <v>4.07</v>
      </c>
      <c r="AA3222" s="113">
        <f>'Data_in-situ'!EB437</f>
        <v>1.72</v>
      </c>
      <c r="AB3222" s="46">
        <f>'Data_in-situ'!EC437</f>
        <v>3</v>
      </c>
      <c r="AC3222" s="113">
        <f>'Data_in-situ'!EE437</f>
        <v>4.9000000000000004</v>
      </c>
      <c r="AD3222" s="113">
        <f>'Data_in-situ'!EF437</f>
        <v>1.52</v>
      </c>
      <c r="AE3222" s="46">
        <f>'Data_in-situ'!EG437</f>
        <v>3</v>
      </c>
      <c r="AF3222" s="113">
        <f>'Data_in-situ'!EN26</f>
        <v>-20.329999999999998</v>
      </c>
      <c r="AG3222" s="113">
        <f>'Data_in-situ'!EO26</f>
        <v>2.57</v>
      </c>
      <c r="AH3222" s="110">
        <f>'Data_in-situ'!EP26</f>
        <v>3</v>
      </c>
      <c r="AI3222" s="113">
        <f>'Data_in-situ'!ER26</f>
        <v>-40</v>
      </c>
      <c r="AJ3222" s="113">
        <f>'Data_in-situ'!ES26</f>
        <v>0</v>
      </c>
      <c r="AK3222" s="110">
        <f>'Data_in-situ'!ET26</f>
        <v>3</v>
      </c>
    </row>
    <row r="3223" spans="1:37" x14ac:dyDescent="0.3">
      <c r="B3223" s="24">
        <f>'Data_in-situ'!CA38</f>
        <v>-10940.677674415452</v>
      </c>
      <c r="C3223" s="24">
        <f>'Data_in-situ'!CB38</f>
        <v>3587.5182834567399</v>
      </c>
      <c r="D3223" s="46">
        <f>'Data_in-situ'!CC38</f>
        <v>3</v>
      </c>
      <c r="E3223" s="24">
        <f>'Data_in-situ'!CE38</f>
        <v>-13155.401355723083</v>
      </c>
      <c r="F3223" s="24">
        <f>'Data_in-situ'!CF38</f>
        <v>4763.1397208144126</v>
      </c>
      <c r="G3223" s="46">
        <f>'Data_in-situ'!CG38</f>
        <v>3</v>
      </c>
      <c r="H3223" s="24">
        <f>'Data_in-situ'!CN38</f>
        <v>12156.97609983556</v>
      </c>
      <c r="I3223" s="24">
        <f>'Data_in-situ'!CO38</f>
        <v>3352.7816659818532</v>
      </c>
      <c r="J3223" s="46">
        <f>'Data_in-situ'!CP38</f>
        <v>3</v>
      </c>
      <c r="K3223" s="24">
        <f>'Data_in-situ'!CR38</f>
        <v>16131.458608233776</v>
      </c>
      <c r="L3223" s="24">
        <f>'Data_in-situ'!CS38</f>
        <v>7799.7123045882036</v>
      </c>
      <c r="M3223" s="46">
        <f>'Data_in-situ'!CT38</f>
        <v>3</v>
      </c>
      <c r="N3223" s="24">
        <f>'Data_in-situ'!DA38</f>
        <v>1216.2984254201074</v>
      </c>
      <c r="O3223" s="24">
        <f>'Data_in-situ'!DB38</f>
        <v>2060.9133169618808</v>
      </c>
      <c r="P3223" s="46">
        <f>'Data_in-situ'!DC38</f>
        <v>3</v>
      </c>
      <c r="Q3223" s="24">
        <f>'Data_in-situ'!DE38</f>
        <v>2976.0572525106927</v>
      </c>
      <c r="R3223" s="24">
        <f>'Data_in-situ'!DF38</f>
        <v>692.55442504565758</v>
      </c>
      <c r="S3223" s="46">
        <f>'Data_in-situ'!DG38</f>
        <v>3</v>
      </c>
      <c r="T3223" s="113">
        <f>'Data_in-situ'!DN27</f>
        <v>3.3518255889605926</v>
      </c>
      <c r="U3223" s="113">
        <f>'Data_in-situ'!DO27</f>
        <v>3.2126569880661773</v>
      </c>
      <c r="V3223" s="46">
        <f>'Data_in-situ'!DP27</f>
        <v>3</v>
      </c>
      <c r="W3223" s="113">
        <f>'Data_in-situ'!DR27</f>
        <v>2.8167070783378438</v>
      </c>
      <c r="X3223" s="113">
        <f>'Data_in-situ'!DS27</f>
        <v>12.110678472354174</v>
      </c>
      <c r="Y3223" s="46">
        <f>'Data_in-situ'!DT27</f>
        <v>3</v>
      </c>
      <c r="Z3223" s="113">
        <f>'Data_in-situ'!EA438</f>
        <v>4.07</v>
      </c>
      <c r="AA3223" s="113">
        <f>'Data_in-situ'!EB438</f>
        <v>1.72</v>
      </c>
      <c r="AB3223" s="46">
        <f>'Data_in-situ'!EC438</f>
        <v>3</v>
      </c>
      <c r="AC3223" s="113">
        <f>'Data_in-situ'!EE438</f>
        <v>2.09</v>
      </c>
      <c r="AD3223" s="113">
        <f>'Data_in-situ'!EF438</f>
        <v>0.79</v>
      </c>
      <c r="AE3223" s="46">
        <f>'Data_in-situ'!EG438</f>
        <v>3</v>
      </c>
      <c r="AF3223" s="113">
        <f>'Data_in-situ'!EN27</f>
        <v>-20.329999999999998</v>
      </c>
      <c r="AG3223" s="113">
        <f>'Data_in-situ'!EO27</f>
        <v>2.57</v>
      </c>
      <c r="AH3223" s="110">
        <f>'Data_in-situ'!EP27</f>
        <v>3</v>
      </c>
      <c r="AI3223" s="113">
        <f>'Data_in-situ'!ER27</f>
        <v>-14.475524475524482</v>
      </c>
      <c r="AJ3223" s="113">
        <f>'Data_in-situ'!ES27</f>
        <v>3.4828674393339902</v>
      </c>
      <c r="AK3223" s="110">
        <f>'Data_in-situ'!ET27</f>
        <v>3</v>
      </c>
    </row>
    <row r="3224" spans="1:37" x14ac:dyDescent="0.3">
      <c r="B3224" s="24">
        <f>'Data_in-situ'!CA39</f>
        <v>-11180.604816398249</v>
      </c>
      <c r="C3224" s="24">
        <f>'Data_in-situ'!CB39</f>
        <v>6822.7682537892761</v>
      </c>
      <c r="D3224" s="46">
        <f>'Data_in-situ'!CC39</f>
        <v>3</v>
      </c>
      <c r="E3224" s="24">
        <f>'Data_in-situ'!CE39</f>
        <v>-2014.7911986242559</v>
      </c>
      <c r="F3224" s="24">
        <f>'Data_in-situ'!CF39</f>
        <v>1143.1535329954588</v>
      </c>
      <c r="G3224" s="46">
        <f>'Data_in-situ'!CG39</f>
        <v>3</v>
      </c>
      <c r="H3224" s="24">
        <f>'Data_in-situ'!CN39</f>
        <v>12213.258396594058</v>
      </c>
      <c r="I3224" s="24">
        <f>'Data_in-situ'!CO39</f>
        <v>5829.3069078214994</v>
      </c>
      <c r="J3224" s="46">
        <f>'Data_in-situ'!CP39</f>
        <v>3</v>
      </c>
      <c r="K3224" s="24">
        <f>'Data_in-situ'!CR39</f>
        <v>13236.068601627712</v>
      </c>
      <c r="L3224" s="24">
        <f>'Data_in-situ'!CS39</f>
        <v>2169.8026552469478</v>
      </c>
      <c r="M3224" s="46">
        <f>'Data_in-situ'!CT39</f>
        <v>3</v>
      </c>
      <c r="N3224" s="24">
        <f>'Data_in-situ'!DA39</f>
        <v>1032.6535801958089</v>
      </c>
      <c r="O3224" s="24">
        <f>'Data_in-situ'!DB39</f>
        <v>1588.5865996086475</v>
      </c>
      <c r="P3224" s="46">
        <f>'Data_in-situ'!DC39</f>
        <v>3</v>
      </c>
      <c r="Q3224" s="24">
        <f>'Data_in-situ'!DE39</f>
        <v>11221.277403003456</v>
      </c>
      <c r="R3224" s="24">
        <f>'Data_in-situ'!DF39</f>
        <v>1545.6282146126041</v>
      </c>
      <c r="S3224" s="46">
        <f>'Data_in-situ'!DG39</f>
        <v>3</v>
      </c>
      <c r="T3224" s="113">
        <f>'Data_in-situ'!DN28</f>
        <v>3.3518255889605926</v>
      </c>
      <c r="U3224" s="113">
        <f>'Data_in-situ'!DO28</f>
        <v>3.2126569880661773</v>
      </c>
      <c r="V3224" s="46">
        <f>'Data_in-situ'!DP28</f>
        <v>3</v>
      </c>
      <c r="W3224" s="113">
        <f>'Data_in-situ'!DR28</f>
        <v>-1.8291763098369263</v>
      </c>
      <c r="X3224" s="113">
        <f>'Data_in-situ'!DS28</f>
        <v>1.6561975194588527</v>
      </c>
      <c r="Y3224" s="46">
        <f>'Data_in-situ'!DT28</f>
        <v>3</v>
      </c>
      <c r="AF3224" s="113">
        <f>'Data_in-situ'!EN28</f>
        <v>-20.329999999999998</v>
      </c>
      <c r="AG3224" s="113">
        <f>'Data_in-situ'!EO28</f>
        <v>2.57</v>
      </c>
      <c r="AH3224" s="110">
        <f>'Data_in-situ'!EP28</f>
        <v>3</v>
      </c>
      <c r="AI3224" s="113">
        <f>'Data_in-situ'!ER28</f>
        <v>-40</v>
      </c>
      <c r="AJ3224" s="113">
        <f>'Data_in-situ'!ES28</f>
        <v>0</v>
      </c>
      <c r="AK3224" s="110">
        <f>'Data_in-situ'!ET28</f>
        <v>3</v>
      </c>
    </row>
    <row r="3225" spans="1:37" x14ac:dyDescent="0.3">
      <c r="B3225" s="24">
        <f>'Data_in-situ'!CA40</f>
        <v>-11180.604816398249</v>
      </c>
      <c r="C3225" s="24">
        <f>'Data_in-situ'!CB40</f>
        <v>6822.7682537892761</v>
      </c>
      <c r="D3225" s="46">
        <f>'Data_in-situ'!CC40</f>
        <v>3</v>
      </c>
      <c r="E3225" s="24">
        <f>'Data_in-situ'!CE40</f>
        <v>-13708.481292600329</v>
      </c>
      <c r="F3225" s="24">
        <f>'Data_in-situ'!CF40</f>
        <v>4128.0544247058242</v>
      </c>
      <c r="G3225" s="46">
        <f>'Data_in-situ'!CG40</f>
        <v>3</v>
      </c>
      <c r="H3225" s="24">
        <f>'Data_in-situ'!CN40</f>
        <v>12213.258396594058</v>
      </c>
      <c r="I3225" s="24">
        <f>'Data_in-situ'!CO40</f>
        <v>5829.3069078214994</v>
      </c>
      <c r="J3225" s="46">
        <f>'Data_in-situ'!CP40</f>
        <v>3</v>
      </c>
      <c r="K3225" s="24">
        <f>'Data_in-situ'!CR40</f>
        <v>16774.878609701791</v>
      </c>
      <c r="L3225" s="24">
        <f>'Data_in-situ'!CS40</f>
        <v>6880.9051275668298</v>
      </c>
      <c r="M3225" s="46">
        <f>'Data_in-situ'!CT40</f>
        <v>3</v>
      </c>
      <c r="N3225" s="24">
        <f>'Data_in-situ'!DA40</f>
        <v>1032.6535801958089</v>
      </c>
      <c r="O3225" s="24">
        <f>'Data_in-situ'!DB40</f>
        <v>1588.5865996086475</v>
      </c>
      <c r="P3225" s="46">
        <f>'Data_in-situ'!DC40</f>
        <v>3</v>
      </c>
      <c r="Q3225" s="24">
        <f>'Data_in-situ'!DE40</f>
        <v>3066.3973171014622</v>
      </c>
      <c r="R3225" s="24">
        <f>'Data_in-situ'!DF40</f>
        <v>896.27712667386777</v>
      </c>
      <c r="S3225" s="46">
        <f>'Data_in-situ'!DG40</f>
        <v>3</v>
      </c>
      <c r="T3225" s="113">
        <f>'Data_in-situ'!DN29</f>
        <v>3.3518255889605926</v>
      </c>
      <c r="U3225" s="113">
        <f>'Data_in-situ'!DO29</f>
        <v>3.2126569880661773</v>
      </c>
      <c r="V3225" s="46">
        <f>'Data_in-situ'!DP29</f>
        <v>3</v>
      </c>
      <c r="W3225" s="113">
        <f>'Data_in-situ'!DR29</f>
        <v>1.5374058555071104</v>
      </c>
      <c r="X3225" s="113">
        <f>'Data_in-situ'!DS29</f>
        <v>3.4762119230029214</v>
      </c>
      <c r="Y3225" s="46">
        <f>'Data_in-situ'!DT29</f>
        <v>3</v>
      </c>
      <c r="AF3225" s="113">
        <f>'Data_in-situ'!EN29</f>
        <v>-20.329999999999998</v>
      </c>
      <c r="AG3225" s="113">
        <f>'Data_in-situ'!EO29</f>
        <v>2.57</v>
      </c>
      <c r="AH3225" s="110">
        <f>'Data_in-situ'!EP29</f>
        <v>3</v>
      </c>
      <c r="AI3225" s="113">
        <f>'Data_in-situ'!ER29</f>
        <v>-31.710108073744415</v>
      </c>
      <c r="AJ3225" s="113">
        <f>'Data_in-situ'!ES29</f>
        <v>5.4726041682006299</v>
      </c>
      <c r="AK3225" s="110">
        <f>'Data_in-situ'!ET29</f>
        <v>3</v>
      </c>
    </row>
    <row r="3226" spans="1:37" x14ac:dyDescent="0.3">
      <c r="B3226" s="24">
        <f>'Data_in-situ'!CA47</f>
        <v>-8294.385041352898</v>
      </c>
      <c r="C3226" s="24">
        <f>'Data_in-situ'!CB47</f>
        <v>1642.4661972156998</v>
      </c>
      <c r="D3226" s="46">
        <f>'Data_in-situ'!CC47</f>
        <v>3</v>
      </c>
      <c r="E3226" s="24">
        <f>'Data_in-situ'!CE47</f>
        <v>-4116.4949587577939</v>
      </c>
      <c r="F3226" s="24">
        <f>'Data_in-situ'!CF47</f>
        <v>2228.1690065442513</v>
      </c>
      <c r="G3226" s="46">
        <f>'Data_in-situ'!CG47</f>
        <v>3</v>
      </c>
      <c r="H3226" s="24">
        <f>'Data_in-situ'!CN47</f>
        <v>9925.2960228500779</v>
      </c>
      <c r="I3226" s="24">
        <f>'Data_in-situ'!CO47</f>
        <v>1567.0081026388868</v>
      </c>
      <c r="J3226" s="46">
        <f>'Data_in-situ'!CP47</f>
        <v>3</v>
      </c>
      <c r="K3226" s="24">
        <f>'Data_in-situ'!CR47</f>
        <v>11818.246669821412</v>
      </c>
      <c r="L3226" s="24">
        <f>'Data_in-situ'!CS47</f>
        <v>4651.0454986548657</v>
      </c>
      <c r="M3226" s="46">
        <f>'Data_in-situ'!CT47</f>
        <v>3</v>
      </c>
      <c r="N3226" s="24">
        <f>'Data_in-situ'!DA47</f>
        <v>1587.3797452740284</v>
      </c>
      <c r="O3226" s="24">
        <f>'Data_in-situ'!DB47</f>
        <v>3333.5525389363561</v>
      </c>
      <c r="P3226" s="46">
        <f>'Data_in-situ'!DC47</f>
        <v>3</v>
      </c>
      <c r="Q3226" s="24">
        <f>'Data_in-situ'!DE47</f>
        <v>7701.7517110636172</v>
      </c>
      <c r="R3226" s="24">
        <f>'Data_in-situ'!DF47</f>
        <v>1365.154161423319</v>
      </c>
      <c r="S3226" s="46">
        <f>'Data_in-situ'!DG47</f>
        <v>3</v>
      </c>
      <c r="T3226" s="113">
        <f>'Data_in-situ'!DN53</f>
        <v>5.3866851938273443</v>
      </c>
      <c r="U3226" s="113">
        <f>'Data_in-situ'!DO53</f>
        <v>4.268024043852261</v>
      </c>
      <c r="V3226" s="46">
        <f>'Data_in-situ'!DP53</f>
        <v>3</v>
      </c>
      <c r="W3226" s="113">
        <f>'Data_in-situ'!DR53</f>
        <v>3.9980588354062441</v>
      </c>
      <c r="X3226" s="113">
        <f>'Data_in-situ'!DS53</f>
        <v>4.3503115567651003</v>
      </c>
      <c r="Y3226" s="46">
        <f>'Data_in-situ'!DT53</f>
        <v>3</v>
      </c>
      <c r="AF3226" s="113">
        <f>'Data_in-situ'!EN35</f>
        <v>-38</v>
      </c>
      <c r="AG3226" s="113">
        <f>'Data_in-situ'!EO35</f>
        <v>7.6</v>
      </c>
      <c r="AH3226" s="110">
        <f>'Data_in-situ'!EP35</f>
        <v>3</v>
      </c>
      <c r="AI3226" s="113">
        <f>'Data_in-situ'!ER35</f>
        <v>-73</v>
      </c>
      <c r="AJ3226" s="113">
        <f>'Data_in-situ'!ES35</f>
        <v>10.3</v>
      </c>
      <c r="AK3226" s="110">
        <f>'Data_in-situ'!ET35</f>
        <v>3</v>
      </c>
    </row>
    <row r="3227" spans="1:37" x14ac:dyDescent="0.3">
      <c r="B3227" s="24">
        <f>'Data_in-situ'!CA48</f>
        <v>-8294.385041352898</v>
      </c>
      <c r="C3227" s="24">
        <f>'Data_in-situ'!CB48</f>
        <v>1642.4661972156998</v>
      </c>
      <c r="D3227" s="46">
        <f>'Data_in-situ'!CC48</f>
        <v>3</v>
      </c>
      <c r="E3227" s="24">
        <f>'Data_in-situ'!CE48</f>
        <v>-7951.7092639037292</v>
      </c>
      <c r="F3227" s="24">
        <f>'Data_in-situ'!CF48</f>
        <v>991.198558307697</v>
      </c>
      <c r="G3227" s="46">
        <f>'Data_in-situ'!CG48</f>
        <v>3</v>
      </c>
      <c r="H3227" s="24">
        <f>'Data_in-situ'!CN48</f>
        <v>9925.2960228500779</v>
      </c>
      <c r="I3227" s="24">
        <f>'Data_in-situ'!CO48</f>
        <v>1567.0081026388868</v>
      </c>
      <c r="J3227" s="46">
        <f>'Data_in-situ'!CP48</f>
        <v>3</v>
      </c>
      <c r="K3227" s="24">
        <f>'Data_in-situ'!CR48</f>
        <v>18874.266157348848</v>
      </c>
      <c r="L3227" s="24">
        <f>'Data_in-situ'!CS48</f>
        <v>1436.9763260046241</v>
      </c>
      <c r="M3227" s="46">
        <f>'Data_in-situ'!CT48</f>
        <v>3</v>
      </c>
      <c r="N3227" s="24">
        <f>'Data_in-situ'!DA48</f>
        <v>1456.7860366045747</v>
      </c>
      <c r="O3227" s="24">
        <f>'Data_in-situ'!DB48</f>
        <v>3333.5525389363561</v>
      </c>
      <c r="P3227" s="46">
        <f>'Data_in-situ'!DC48</f>
        <v>3</v>
      </c>
      <c r="Q3227" s="24">
        <f>'Data_in-situ'!DE48</f>
        <v>10922.55689344512</v>
      </c>
      <c r="R3227" s="24">
        <f>'Data_in-situ'!DF48</f>
        <v>1312.0511177126614</v>
      </c>
      <c r="S3227" s="46">
        <f>'Data_in-situ'!DG48</f>
        <v>3</v>
      </c>
      <c r="T3227" s="113">
        <f>'Data_in-situ'!DN54</f>
        <v>5.3866851938273443</v>
      </c>
      <c r="U3227" s="113">
        <f>'Data_in-situ'!DO54</f>
        <v>4.268024043852261</v>
      </c>
      <c r="V3227" s="46">
        <f>'Data_in-situ'!DP54</f>
        <v>3</v>
      </c>
      <c r="W3227" s="113">
        <f>'Data_in-situ'!DR54</f>
        <v>2.6938792153004636</v>
      </c>
      <c r="X3227" s="113">
        <f>'Data_in-situ'!DS54</f>
        <v>4.3447601701580973</v>
      </c>
      <c r="Y3227" s="46">
        <f>'Data_in-situ'!DT54</f>
        <v>3</v>
      </c>
      <c r="AF3227" s="113">
        <f>'Data_in-situ'!EN36</f>
        <v>-38</v>
      </c>
      <c r="AG3227" s="113">
        <f>'Data_in-situ'!EO36</f>
        <v>7.6</v>
      </c>
      <c r="AH3227" s="110">
        <f>'Data_in-situ'!EP36</f>
        <v>3</v>
      </c>
      <c r="AI3227" s="113">
        <f>'Data_in-situ'!ER36</f>
        <v>-112</v>
      </c>
      <c r="AJ3227" s="113">
        <f>'Data_in-situ'!ES36</f>
        <v>15.2</v>
      </c>
      <c r="AK3227" s="110">
        <f>'Data_in-situ'!ET36</f>
        <v>3</v>
      </c>
    </row>
    <row r="3228" spans="1:37" x14ac:dyDescent="0.3">
      <c r="B3228" s="24">
        <f>'Data_in-situ'!CA49</f>
        <v>-9369.2576901028933</v>
      </c>
      <c r="C3228" s="24">
        <f>'Data_in-situ'!CB49</f>
        <v>2035.7162873934246</v>
      </c>
      <c r="D3228" s="46">
        <f>'Data_in-situ'!CC49</f>
        <v>3</v>
      </c>
      <c r="E3228" s="24">
        <f>'Data_in-situ'!CE49</f>
        <v>-2299.2323090182686</v>
      </c>
      <c r="F3228" s="24">
        <f>'Data_in-situ'!CF49</f>
        <v>2342.6341654926264</v>
      </c>
      <c r="G3228" s="46">
        <f>'Data_in-situ'!CG49</f>
        <v>3</v>
      </c>
      <c r="H3228" s="24">
        <f>'Data_in-situ'!CN49</f>
        <v>12061.199832356524</v>
      </c>
      <c r="I3228" s="24">
        <f>'Data_in-situ'!CO49</f>
        <v>2723.4693933324475</v>
      </c>
      <c r="J3228" s="46">
        <f>'Data_in-situ'!CP49</f>
        <v>3</v>
      </c>
      <c r="K3228" s="24">
        <f>'Data_in-situ'!CR49</f>
        <v>11429.896740363933</v>
      </c>
      <c r="L3228" s="24">
        <f>'Data_in-situ'!CS49</f>
        <v>4226.8745195225956</v>
      </c>
      <c r="M3228" s="46">
        <f>'Data_in-situ'!CT49</f>
        <v>3</v>
      </c>
      <c r="N3228" s="24">
        <f>'Data_in-situ'!DA49</f>
        <v>2691.9421422536325</v>
      </c>
      <c r="O3228" s="24">
        <f>'Data_in-situ'!DB49</f>
        <v>1470.8979553996573</v>
      </c>
      <c r="P3228" s="46">
        <f>'Data_in-situ'!DC49</f>
        <v>3</v>
      </c>
      <c r="Q3228" s="24">
        <f>'Data_in-situ'!DE49</f>
        <v>9130.6644313456636</v>
      </c>
      <c r="R3228" s="24">
        <f>'Data_in-situ'!DF49</f>
        <v>1617.1067844170707</v>
      </c>
      <c r="S3228" s="46">
        <f>'Data_in-situ'!DG49</f>
        <v>3</v>
      </c>
      <c r="T3228" s="113">
        <f>'Data_in-situ'!DN55</f>
        <v>4.9255681733440708</v>
      </c>
      <c r="U3228" s="113">
        <f>'Data_in-situ'!DO55</f>
        <v>6.4838403831872826</v>
      </c>
      <c r="V3228" s="46">
        <f>'Data_in-situ'!DP55</f>
        <v>3</v>
      </c>
      <c r="W3228" s="113">
        <f>'Data_in-situ'!DR55</f>
        <v>4.361518729534084</v>
      </c>
      <c r="X3228" s="113">
        <f>'Data_in-situ'!DS55</f>
        <v>5.0347578591510027</v>
      </c>
      <c r="Y3228" s="46">
        <f>'Data_in-situ'!DT55</f>
        <v>3</v>
      </c>
      <c r="AF3228" s="113">
        <f>'Data_in-situ'!EN37</f>
        <v>-47</v>
      </c>
      <c r="AG3228" s="113">
        <f>'Data_in-situ'!EO37</f>
        <v>6.8</v>
      </c>
      <c r="AH3228" s="110">
        <f>'Data_in-situ'!EP37</f>
        <v>3</v>
      </c>
      <c r="AI3228" s="113">
        <f>'Data_in-situ'!ER37</f>
        <v>-82</v>
      </c>
      <c r="AJ3228" s="113">
        <f>'Data_in-situ'!ES37</f>
        <v>12.3</v>
      </c>
      <c r="AK3228" s="110">
        <f>'Data_in-situ'!ET37</f>
        <v>3</v>
      </c>
    </row>
    <row r="3229" spans="1:37" x14ac:dyDescent="0.3">
      <c r="B3229" s="24">
        <f>'Data_in-situ'!CA50</f>
        <v>-9369.2576901028933</v>
      </c>
      <c r="C3229" s="24">
        <f>'Data_in-situ'!CB50</f>
        <v>2035.7162873934246</v>
      </c>
      <c r="D3229" s="46">
        <f>'Data_in-situ'!CC50</f>
        <v>3</v>
      </c>
      <c r="E3229" s="24">
        <f>'Data_in-situ'!CE50</f>
        <v>-9078.4121067422348</v>
      </c>
      <c r="F3229" s="24">
        <f>'Data_in-situ'!CF50</f>
        <v>2550.7669434897421</v>
      </c>
      <c r="G3229" s="46">
        <f>'Data_in-situ'!CG50</f>
        <v>3</v>
      </c>
      <c r="H3229" s="24">
        <f>'Data_in-situ'!CN50</f>
        <v>12061.199832356524</v>
      </c>
      <c r="I3229" s="24">
        <f>'Data_in-situ'!CO50</f>
        <v>2723.4693933324475</v>
      </c>
      <c r="J3229" s="46">
        <f>'Data_in-situ'!CP50</f>
        <v>3</v>
      </c>
      <c r="K3229" s="24">
        <f>'Data_in-situ'!CR50</f>
        <v>19572.836444656983</v>
      </c>
      <c r="L3229" s="24">
        <f>'Data_in-situ'!CS50</f>
        <v>4405.6978485162454</v>
      </c>
      <c r="M3229" s="46">
        <f>'Data_in-situ'!CT50</f>
        <v>3</v>
      </c>
      <c r="N3229" s="24">
        <f>'Data_in-situ'!DA50</f>
        <v>2691.9421422536325</v>
      </c>
      <c r="O3229" s="24">
        <f>'Data_in-situ'!DB50</f>
        <v>1470.8979553996573</v>
      </c>
      <c r="P3229" s="46">
        <f>'Data_in-situ'!DC50</f>
        <v>3</v>
      </c>
      <c r="Q3229" s="24">
        <f>'Data_in-situ'!DE50</f>
        <v>10494.424337914745</v>
      </c>
      <c r="R3229" s="24">
        <f>'Data_in-situ'!DF50</f>
        <v>1546.8515977021152</v>
      </c>
      <c r="S3229" s="46">
        <f>'Data_in-situ'!DG50</f>
        <v>3</v>
      </c>
      <c r="T3229" s="113">
        <f>'Data_in-situ'!DN56</f>
        <v>4.9255681733440708</v>
      </c>
      <c r="U3229" s="113">
        <f>'Data_in-situ'!DO56</f>
        <v>6.4838403831872826</v>
      </c>
      <c r="V3229" s="46">
        <f>'Data_in-situ'!DP56</f>
        <v>3</v>
      </c>
      <c r="W3229" s="113">
        <f>'Data_in-situ'!DR56</f>
        <v>2.5655992526671083</v>
      </c>
      <c r="X3229" s="113">
        <f>'Data_in-situ'!DS56</f>
        <v>2.1677925245184233</v>
      </c>
      <c r="Y3229" s="46">
        <f>'Data_in-situ'!DT56</f>
        <v>3</v>
      </c>
      <c r="AF3229" s="113">
        <f>'Data_in-situ'!EN38</f>
        <v>-47</v>
      </c>
      <c r="AG3229" s="113">
        <f>'Data_in-situ'!EO38</f>
        <v>6.8</v>
      </c>
      <c r="AH3229" s="110">
        <f>'Data_in-situ'!EP38</f>
        <v>3</v>
      </c>
      <c r="AI3229" s="113">
        <f>'Data_in-situ'!ER38</f>
        <v>-120</v>
      </c>
      <c r="AJ3229" s="113">
        <f>'Data_in-situ'!ES38</f>
        <v>11.8</v>
      </c>
      <c r="AK3229" s="110">
        <f>'Data_in-situ'!ET38</f>
        <v>3</v>
      </c>
    </row>
    <row r="3230" spans="1:37" x14ac:dyDescent="0.3">
      <c r="B3230" s="24">
        <f>'Data_in-situ'!CA51</f>
        <v>-9754.4163078122838</v>
      </c>
      <c r="C3230" s="24">
        <f>'Data_in-situ'!CB51</f>
        <v>3932.1332121217479</v>
      </c>
      <c r="D3230" s="46">
        <f>'Data_in-situ'!CC51</f>
        <v>3</v>
      </c>
      <c r="E3230" s="24">
        <f>'Data_in-situ'!CE51</f>
        <v>-2761.4491134085392</v>
      </c>
      <c r="F3230" s="24">
        <f>'Data_in-situ'!CF51</f>
        <v>1692.9192981356198</v>
      </c>
      <c r="G3230" s="46">
        <f>'Data_in-situ'!CG51</f>
        <v>3</v>
      </c>
      <c r="H3230" s="24">
        <f>'Data_in-situ'!CN51</f>
        <v>12245.303198687096</v>
      </c>
      <c r="I3230" s="24">
        <f>'Data_in-situ'!CO51</f>
        <v>3757.3069479498581</v>
      </c>
      <c r="J3230" s="46">
        <f>'Data_in-situ'!CP51</f>
        <v>3</v>
      </c>
      <c r="K3230" s="24">
        <f>'Data_in-situ'!CR51</f>
        <v>17330.977325256288</v>
      </c>
      <c r="L3230" s="24">
        <f>'Data_in-situ'!CS51</f>
        <v>2585.939777312642</v>
      </c>
      <c r="M3230" s="46">
        <f>'Data_in-situ'!CT51</f>
        <v>3</v>
      </c>
      <c r="N3230" s="24">
        <f>'Data_in-situ'!DA51</f>
        <v>2490.8868908748118</v>
      </c>
      <c r="O3230" s="24">
        <f>'Data_in-situ'!DB51</f>
        <v>1134.5350284056235</v>
      </c>
      <c r="P3230" s="46">
        <f>'Data_in-situ'!DC51</f>
        <v>3</v>
      </c>
      <c r="Q3230" s="24">
        <f>'Data_in-situ'!DE51</f>
        <v>14569.528211847748</v>
      </c>
      <c r="R3230" s="24">
        <f>'Data_in-situ'!DF51</f>
        <v>1911.412784772738</v>
      </c>
      <c r="S3230" s="46">
        <f>'Data_in-situ'!DG51</f>
        <v>3</v>
      </c>
      <c r="T3230" s="113">
        <f>'Data_in-situ'!DN57</f>
        <v>6.958675036383962</v>
      </c>
      <c r="U3230" s="113">
        <f>'Data_in-situ'!DO57</f>
        <v>1.1532569524351295</v>
      </c>
      <c r="V3230" s="46">
        <f>'Data_in-situ'!DP57</f>
        <v>3</v>
      </c>
      <c r="W3230" s="113">
        <f>'Data_in-situ'!DR57</f>
        <v>1.1758996574724245</v>
      </c>
      <c r="X3230" s="113">
        <f>'Data_in-situ'!DS57</f>
        <v>1.4564673447344252</v>
      </c>
      <c r="Y3230" s="46">
        <f>'Data_in-situ'!DT57</f>
        <v>3</v>
      </c>
      <c r="AF3230" s="113">
        <f>'Data_in-situ'!EN39</f>
        <v>-56</v>
      </c>
      <c r="AG3230" s="113">
        <f>'Data_in-situ'!EO39</f>
        <v>10.1</v>
      </c>
      <c r="AH3230" s="110">
        <f>'Data_in-situ'!EP39</f>
        <v>3</v>
      </c>
      <c r="AI3230" s="113">
        <f>'Data_in-situ'!ER39</f>
        <v>-91</v>
      </c>
      <c r="AJ3230" s="113">
        <f>'Data_in-situ'!ES39</f>
        <v>11.3</v>
      </c>
      <c r="AK3230" s="110">
        <f>'Data_in-situ'!ET39</f>
        <v>3</v>
      </c>
    </row>
    <row r="3231" spans="1:37" x14ac:dyDescent="0.3">
      <c r="B3231" s="24">
        <f>'Data_in-situ'!CA52</f>
        <v>-9754.4163078122838</v>
      </c>
      <c r="C3231" s="24">
        <f>'Data_in-situ'!CB52</f>
        <v>3932.1332121217479</v>
      </c>
      <c r="D3231" s="46">
        <f>'Data_in-situ'!CC52</f>
        <v>3</v>
      </c>
      <c r="E3231" s="24">
        <f>'Data_in-situ'!CE52</f>
        <v>-9460.8273773830751</v>
      </c>
      <c r="F3231" s="24">
        <f>'Data_in-situ'!CF52</f>
        <v>2248.9137051770867</v>
      </c>
      <c r="G3231" s="46">
        <f>'Data_in-situ'!CG52</f>
        <v>3</v>
      </c>
      <c r="H3231" s="24">
        <f>'Data_in-situ'!CN52</f>
        <v>12245.303198687096</v>
      </c>
      <c r="I3231" s="24">
        <f>'Data_in-situ'!CO52</f>
        <v>3459.6241558518745</v>
      </c>
      <c r="J3231" s="46">
        <f>'Data_in-situ'!CP52</f>
        <v>3</v>
      </c>
      <c r="K3231" s="24">
        <f>'Data_in-situ'!CR52</f>
        <v>19797.114273740117</v>
      </c>
      <c r="L3231" s="24">
        <f>'Data_in-situ'!CS52</f>
        <v>3942.244199118858</v>
      </c>
      <c r="M3231" s="46">
        <f>'Data_in-situ'!CT52</f>
        <v>3</v>
      </c>
      <c r="N3231" s="24">
        <f>'Data_in-situ'!DA52</f>
        <v>2490.8868908748118</v>
      </c>
      <c r="O3231" s="24">
        <f>'Data_in-situ'!DB52</f>
        <v>1134.5350284056235</v>
      </c>
      <c r="P3231" s="46">
        <f>'Data_in-situ'!DC52</f>
        <v>3</v>
      </c>
      <c r="Q3231" s="24">
        <f>'Data_in-situ'!DE52</f>
        <v>10336.286896357044</v>
      </c>
      <c r="R3231" s="24">
        <f>'Data_in-situ'!DF52</f>
        <v>1988.9291863416881</v>
      </c>
      <c r="S3231" s="46">
        <f>'Data_in-situ'!DG52</f>
        <v>3</v>
      </c>
      <c r="T3231" s="113">
        <f>'Data_in-situ'!DN58</f>
        <v>6.958675036383962</v>
      </c>
      <c r="U3231" s="113">
        <f>'Data_in-situ'!DO58</f>
        <v>1.1532569524351295</v>
      </c>
      <c r="V3231" s="46">
        <f>'Data_in-situ'!DP58</f>
        <v>3</v>
      </c>
      <c r="W3231" s="113">
        <f>'Data_in-situ'!DR58</f>
        <v>1.090379682383521</v>
      </c>
      <c r="X3231" s="113">
        <f>'Data_in-situ'!DS58</f>
        <v>2.1822665028157022</v>
      </c>
      <c r="Y3231" s="46">
        <f>'Data_in-situ'!DT58</f>
        <v>3</v>
      </c>
      <c r="AF3231" s="113">
        <f>'Data_in-situ'!EN40</f>
        <v>-56</v>
      </c>
      <c r="AG3231" s="113">
        <f>'Data_in-situ'!EO40</f>
        <v>10.1</v>
      </c>
      <c r="AH3231" s="110">
        <f>'Data_in-situ'!EP40</f>
        <v>3</v>
      </c>
      <c r="AI3231" s="113">
        <f>'Data_in-situ'!ER40</f>
        <v>-128</v>
      </c>
      <c r="AJ3231" s="113">
        <f>'Data_in-situ'!ES40</f>
        <v>14.2</v>
      </c>
      <c r="AK3231" s="110">
        <f>'Data_in-situ'!ET40</f>
        <v>3</v>
      </c>
    </row>
    <row r="3232" spans="1:37" x14ac:dyDescent="0.3">
      <c r="B3232" s="24">
        <f>'Data_in-situ'!CA71</f>
        <v>-9117.231395346209</v>
      </c>
      <c r="C3232" s="24">
        <f>'Data_in-situ'!CB71</f>
        <v>2424.3247606001519</v>
      </c>
      <c r="D3232" s="46">
        <f>'Data_in-situ'!CC71</f>
        <v>3</v>
      </c>
      <c r="E3232" s="24">
        <f>'Data_in-situ'!CE71</f>
        <v>-11061.598737544935</v>
      </c>
      <c r="F3232" s="24">
        <f>'Data_in-situ'!CF71</f>
        <v>12004.393621698095</v>
      </c>
      <c r="G3232" s="46">
        <f>'Data_in-situ'!CG71</f>
        <v>3</v>
      </c>
      <c r="H3232" s="24">
        <f>'Data_in-situ'!CN71</f>
        <v>12663.516770662041</v>
      </c>
      <c r="I3232" s="24">
        <f>'Data_in-situ'!CO71</f>
        <v>2011.7619468526057</v>
      </c>
      <c r="J3232" s="46">
        <f>'Data_in-situ'!CP71</f>
        <v>3</v>
      </c>
      <c r="K3232" s="24">
        <f>'Data_in-situ'!CR71</f>
        <v>13557.778602361721</v>
      </c>
      <c r="L3232" s="24">
        <f>'Data_in-situ'!CS71</f>
        <v>1534.7793518535277</v>
      </c>
      <c r="M3232" s="46">
        <f>'Data_in-situ'!CT71</f>
        <v>3</v>
      </c>
      <c r="N3232" s="24">
        <f>'Data_in-situ'!DA71</f>
        <v>3546.2853753158324</v>
      </c>
      <c r="O3232" s="24">
        <f>'Data_in-situ'!DB71</f>
        <v>5941.722754487856</v>
      </c>
      <c r="P3232" s="46">
        <f>'Data_in-situ'!DC71</f>
        <v>3</v>
      </c>
      <c r="Q3232" s="24">
        <f>'Data_in-situ'!DE71</f>
        <v>2496.179864816786</v>
      </c>
      <c r="R3232" s="24">
        <f>'Data_in-situ'!DF71</f>
        <v>441.8656256521171</v>
      </c>
      <c r="S3232" s="46">
        <f>'Data_in-situ'!DG71</f>
        <v>3</v>
      </c>
      <c r="T3232" s="113">
        <f>'Data_in-situ'!DN65</f>
        <v>7.7977007953643627</v>
      </c>
      <c r="U3232" s="113">
        <f>'Data_in-situ'!DO65</f>
        <v>3.3514104017873239</v>
      </c>
      <c r="V3232" s="46">
        <f>'Data_in-situ'!DP65</f>
        <v>3</v>
      </c>
      <c r="W3232" s="113">
        <f>'Data_in-situ'!DR65</f>
        <v>3.0401651288720082</v>
      </c>
      <c r="X3232" s="113">
        <f>'Data_in-situ'!DS65</f>
        <v>2.576926227735012</v>
      </c>
      <c r="Y3232" s="46">
        <f>'Data_in-situ'!DT65</f>
        <v>3</v>
      </c>
      <c r="AF3232" s="113">
        <f>'Data_in-situ'!EN47</f>
        <v>-38</v>
      </c>
      <c r="AG3232" s="113">
        <f>'Data_in-situ'!EO47</f>
        <v>5.412566119688516</v>
      </c>
      <c r="AH3232" s="110">
        <f>'Data_in-situ'!EP47</f>
        <v>3</v>
      </c>
      <c r="AI3232" s="113">
        <f>'Data_in-situ'!ER47</f>
        <v>-73</v>
      </c>
      <c r="AJ3232" s="113">
        <f>'Data_in-situ'!ES47</f>
        <v>7.3195252578292278</v>
      </c>
      <c r="AK3232" s="110">
        <f>'Data_in-situ'!ET47</f>
        <v>3</v>
      </c>
    </row>
    <row r="3233" spans="2:37" x14ac:dyDescent="0.3">
      <c r="B3233" s="24">
        <f>'Data_in-situ'!CA72</f>
        <v>-10940.677674415452</v>
      </c>
      <c r="C3233" s="24">
        <f>'Data_in-situ'!CB72</f>
        <v>3587.5182834567408</v>
      </c>
      <c r="D3233" s="46">
        <f>'Data_in-situ'!CC72</f>
        <v>3</v>
      </c>
      <c r="E3233" s="24">
        <f>'Data_in-situ'!CE72</f>
        <v>-13155.401355723083</v>
      </c>
      <c r="F3233" s="24">
        <f>'Data_in-situ'!CF72</f>
        <v>5176.9391284347485</v>
      </c>
      <c r="G3233" s="46">
        <f>'Data_in-situ'!CG72</f>
        <v>3</v>
      </c>
      <c r="H3233" s="24">
        <f>'Data_in-situ'!CN72</f>
        <v>12156.97609983556</v>
      </c>
      <c r="I3233" s="24">
        <f>'Data_in-situ'!CO72</f>
        <v>3352.7816659818532</v>
      </c>
      <c r="J3233" s="46">
        <f>'Data_in-situ'!CP72</f>
        <v>3</v>
      </c>
      <c r="K3233" s="24">
        <f>'Data_in-situ'!CR72</f>
        <v>16499.127180501211</v>
      </c>
      <c r="L3233" s="24">
        <f>'Data_in-situ'!CS72</f>
        <v>2145.4857374487219</v>
      </c>
      <c r="M3233" s="46">
        <f>'Data_in-situ'!CT72</f>
        <v>3</v>
      </c>
      <c r="N3233" s="24">
        <f>'Data_in-situ'!DA72</f>
        <v>1216.2984254201074</v>
      </c>
      <c r="O3233" s="24">
        <f>'Data_in-situ'!DB72</f>
        <v>2060.9133169618799</v>
      </c>
      <c r="P3233" s="46">
        <f>'Data_in-situ'!DC72</f>
        <v>3</v>
      </c>
      <c r="Q3233" s="24">
        <f>'Data_in-situ'!DE72</f>
        <v>3343.7258247781283</v>
      </c>
      <c r="R3233" s="24">
        <f>'Data_in-situ'!DF72</f>
        <v>717.82293341401112</v>
      </c>
      <c r="S3233" s="46">
        <f>'Data_in-situ'!DG72</f>
        <v>3</v>
      </c>
      <c r="T3233" s="113">
        <f>'Data_in-situ'!DN66</f>
        <v>7.7977007953643627</v>
      </c>
      <c r="U3233" s="113">
        <f>'Data_in-situ'!DO66</f>
        <v>3.3514104017873239</v>
      </c>
      <c r="V3233" s="46">
        <f>'Data_in-situ'!DP66</f>
        <v>3</v>
      </c>
      <c r="W3233" s="113">
        <f>'Data_in-situ'!DR66</f>
        <v>1.9887131963175433</v>
      </c>
      <c r="X3233" s="113">
        <f>'Data_in-situ'!DS66</f>
        <v>2.7881365985407487</v>
      </c>
      <c r="Y3233" s="46">
        <f>'Data_in-situ'!DT66</f>
        <v>3</v>
      </c>
      <c r="AF3233" s="113">
        <f>'Data_in-situ'!EN48</f>
        <v>-38</v>
      </c>
      <c r="AG3233" s="113">
        <f>'Data_in-situ'!EO48</f>
        <v>5.412566119688516</v>
      </c>
      <c r="AH3233" s="110">
        <f>'Data_in-situ'!EP48</f>
        <v>3</v>
      </c>
      <c r="AI3233" s="113">
        <f>'Data_in-situ'!ER48</f>
        <v>-112</v>
      </c>
      <c r="AJ3233" s="113">
        <f>'Data_in-situ'!ES48</f>
        <v>10.756618055876112</v>
      </c>
      <c r="AK3233" s="110">
        <f>'Data_in-situ'!ET48</f>
        <v>3</v>
      </c>
    </row>
    <row r="3234" spans="2:37" x14ac:dyDescent="0.3">
      <c r="B3234" s="24">
        <f>'Data_in-situ'!CA75</f>
        <v>-8294.3850413528962</v>
      </c>
      <c r="C3234" s="24">
        <f>'Data_in-situ'!CB75</f>
        <v>1642.4661972156998</v>
      </c>
      <c r="D3234" s="46">
        <f>'Data_in-situ'!CC75</f>
        <v>3</v>
      </c>
      <c r="E3234" s="24">
        <f>'Data_in-situ'!CE75</f>
        <v>-8210.866720040498</v>
      </c>
      <c r="F3234" s="24">
        <f>'Data_in-situ'!CF75</f>
        <v>6747.5626737645262</v>
      </c>
      <c r="G3234" s="46">
        <f>'Data_in-situ'!CG75</f>
        <v>3</v>
      </c>
      <c r="H3234" s="24">
        <f>'Data_in-situ'!CN75</f>
        <v>9925.2960228500779</v>
      </c>
      <c r="I3234" s="24">
        <f>'Data_in-situ'!CO75</f>
        <v>1480.0009145095366</v>
      </c>
      <c r="J3234" s="46">
        <f>'Data_in-situ'!CP75</f>
        <v>3</v>
      </c>
      <c r="K3234" s="24">
        <f>'Data_in-situ'!CR75</f>
        <v>18431.22552776659</v>
      </c>
      <c r="L3234" s="24">
        <f>'Data_in-situ'!CS75</f>
        <v>1392.33025401075</v>
      </c>
      <c r="M3234" s="46">
        <f>'Data_in-situ'!CT75</f>
        <v>3</v>
      </c>
      <c r="N3234" s="24">
        <f>'Data_in-situ'!DA75</f>
        <v>1630.9109814971816</v>
      </c>
      <c r="O3234" s="24">
        <f>'Data_in-situ'!DB75</f>
        <v>3386.2554087633621</v>
      </c>
      <c r="P3234" s="46">
        <f>'Data_in-situ'!DC75</f>
        <v>3</v>
      </c>
      <c r="Q3234" s="24">
        <f>'Data_in-situ'!DE75</f>
        <v>10220.358807726092</v>
      </c>
      <c r="R3234" s="24">
        <f>'Data_in-situ'!DF75</f>
        <v>1209.7052702050512</v>
      </c>
      <c r="S3234" s="46">
        <f>'Data_in-situ'!DG75</f>
        <v>3</v>
      </c>
      <c r="T3234" s="113">
        <f>'Data_in-situ'!DN67</f>
        <v>7.1375195796034658</v>
      </c>
      <c r="U3234" s="113">
        <f>'Data_in-situ'!DO67</f>
        <v>3.9633493035082119</v>
      </c>
      <c r="V3234" s="46">
        <f>'Data_in-situ'!DP67</f>
        <v>3</v>
      </c>
      <c r="W3234" s="113">
        <f>'Data_in-situ'!DR67</f>
        <v>3.0539332337351648</v>
      </c>
      <c r="X3234" s="113">
        <f>'Data_in-situ'!DS67</f>
        <v>2.9487867124895311</v>
      </c>
      <c r="Y3234" s="46">
        <f>'Data_in-situ'!DT67</f>
        <v>3</v>
      </c>
      <c r="AF3234" s="113">
        <f>'Data_in-situ'!EN49</f>
        <v>-45.680000000000007</v>
      </c>
      <c r="AG3234" s="113">
        <f>'Data_in-situ'!EO49</f>
        <v>4.842822317616041</v>
      </c>
      <c r="AH3234" s="110">
        <f>'Data_in-situ'!EP49</f>
        <v>3</v>
      </c>
      <c r="AI3234" s="113">
        <f>'Data_in-situ'!ER49</f>
        <v>-80.650000000000006</v>
      </c>
      <c r="AJ3234" s="113">
        <f>'Data_in-situ'!ES49</f>
        <v>8.7407922981844166</v>
      </c>
      <c r="AK3234" s="110">
        <f>'Data_in-situ'!ET49</f>
        <v>3</v>
      </c>
    </row>
    <row r="3235" spans="2:37" x14ac:dyDescent="0.3">
      <c r="B3235" s="24">
        <f>'Data_in-situ'!CA76</f>
        <v>-9369.2576901028915</v>
      </c>
      <c r="C3235" s="24">
        <f>'Data_in-situ'!CB76</f>
        <v>2035.7162873934251</v>
      </c>
      <c r="D3235" s="46">
        <f>'Data_in-situ'!CC76</f>
        <v>3</v>
      </c>
      <c r="E3235" s="24">
        <f>'Data_in-situ'!CE76</f>
        <v>-9418.1612108239733</v>
      </c>
      <c r="F3235" s="24">
        <f>'Data_in-situ'!CF76</f>
        <v>2962.8630952565604</v>
      </c>
      <c r="G3235" s="46">
        <f>'Data_in-situ'!CG76</f>
        <v>3</v>
      </c>
      <c r="H3235" s="24">
        <f>'Data_in-situ'!CN76</f>
        <v>12061.199832356524</v>
      </c>
      <c r="I3235" s="24">
        <f>'Data_in-situ'!CO76</f>
        <v>2723.4693933324479</v>
      </c>
      <c r="J3235" s="46">
        <f>'Data_in-situ'!CP76</f>
        <v>3</v>
      </c>
      <c r="K3235" s="24">
        <f>'Data_in-situ'!CR76</f>
        <v>19491.949358758146</v>
      </c>
      <c r="L3235" s="24">
        <f>'Data_in-situ'!CS76</f>
        <v>1982.6669401893841</v>
      </c>
      <c r="M3235" s="46">
        <f>'Data_in-situ'!CT76</f>
        <v>3</v>
      </c>
      <c r="N3235" s="24">
        <f>'Data_in-situ'!DA76</f>
        <v>2691.9421422536325</v>
      </c>
      <c r="O3235" s="24">
        <f>'Data_in-situ'!DB76</f>
        <v>3491.7953924879967</v>
      </c>
      <c r="P3235" s="46">
        <f>'Data_in-situ'!DC76</f>
        <v>3</v>
      </c>
      <c r="Q3235" s="24">
        <f>'Data_in-situ'!DE76</f>
        <v>10073.788147934172</v>
      </c>
      <c r="R3235" s="24">
        <f>'Data_in-situ'!DF76</f>
        <v>1436.3793028165639</v>
      </c>
      <c r="S3235" s="46">
        <f>'Data_in-situ'!DG76</f>
        <v>3</v>
      </c>
      <c r="T3235" s="113">
        <f>'Data_in-situ'!DN68</f>
        <v>7.1375195796034658</v>
      </c>
      <c r="U3235" s="113">
        <f>'Data_in-situ'!DO68</f>
        <v>3.9633493035082119</v>
      </c>
      <c r="V3235" s="46">
        <f>'Data_in-situ'!DP68</f>
        <v>3</v>
      </c>
      <c r="W3235" s="113">
        <f>'Data_in-situ'!DR68</f>
        <v>1.8162894746130522</v>
      </c>
      <c r="X3235" s="113">
        <f>'Data_in-situ'!DS68</f>
        <v>1.2745561332707356</v>
      </c>
      <c r="Y3235" s="46">
        <f>'Data_in-situ'!DT68</f>
        <v>3</v>
      </c>
      <c r="AF3235" s="113">
        <f>'Data_in-situ'!EN50</f>
        <v>-45.680000000000007</v>
      </c>
      <c r="AG3235" s="113">
        <f>'Data_in-situ'!EO50</f>
        <v>4.842822317616041</v>
      </c>
      <c r="AH3235" s="110">
        <f>'Data_in-situ'!EP50</f>
        <v>3</v>
      </c>
      <c r="AI3235" s="113">
        <f>'Data_in-situ'!ER50</f>
        <v>-118.08000000000001</v>
      </c>
      <c r="AJ3235" s="113">
        <f>'Data_in-situ'!ES50</f>
        <v>8.3505324381143513</v>
      </c>
      <c r="AK3235" s="110">
        <f>'Data_in-situ'!ET50</f>
        <v>3</v>
      </c>
    </row>
    <row r="3236" spans="2:37" x14ac:dyDescent="0.3">
      <c r="B3236" s="24">
        <f>'Data_in-situ'!CA355</f>
        <v>-6328.9988329119469</v>
      </c>
      <c r="C3236" s="24">
        <f>'Data_in-situ'!CB355</f>
        <v>1543.0761204956746</v>
      </c>
      <c r="D3236" s="46">
        <f>'Data_in-situ'!CC355</f>
        <v>3</v>
      </c>
      <c r="E3236" s="24">
        <f>'Data_in-situ'!CE355</f>
        <v>-6508.7452571599624</v>
      </c>
      <c r="F3236" s="24">
        <f>'Data_in-situ'!CF355</f>
        <v>2423.0047158648849</v>
      </c>
      <c r="G3236" s="46">
        <f>'Data_in-situ'!CG355</f>
        <v>3</v>
      </c>
      <c r="H3236" s="24">
        <f>'Data_in-situ'!CN355</f>
        <v>5111.9658604723854</v>
      </c>
      <c r="I3236" s="24">
        <f>'Data_in-situ'!CO355</f>
        <v>1470.3409867037487</v>
      </c>
      <c r="J3236" s="46">
        <f>'Data_in-situ'!CP355</f>
        <v>3</v>
      </c>
      <c r="K3236" s="24">
        <f>'Data_in-situ'!CR355</f>
        <v>5566.4186230898367</v>
      </c>
      <c r="L3236" s="24">
        <f>'Data_in-situ'!CS355</f>
        <v>1460.579095151006</v>
      </c>
      <c r="M3236" s="46">
        <f>'Data_in-situ'!CT355</f>
        <v>3</v>
      </c>
      <c r="N3236" s="24">
        <f>'Data_in-situ'!DA168</f>
        <v>25.237137365721058</v>
      </c>
      <c r="O3236" s="24">
        <f>'Data_in-situ'!DB168</f>
        <v>75.702744621550025</v>
      </c>
      <c r="P3236" s="46">
        <f>'Data_in-situ'!DC168</f>
        <v>3</v>
      </c>
      <c r="Q3236" s="24">
        <f>'Data_in-situ'!DE168</f>
        <v>227.90960825112143</v>
      </c>
      <c r="R3236" s="24">
        <f>'Data_in-situ'!DF168</f>
        <v>217.23040085623657</v>
      </c>
      <c r="S3236" s="46">
        <f>'Data_in-situ'!DG168</f>
        <v>3</v>
      </c>
      <c r="T3236" s="113">
        <f>'Data_in-situ'!DN69</f>
        <v>8.4029927968922031</v>
      </c>
      <c r="U3236" s="113">
        <f>'Data_in-situ'!DO69</f>
        <v>3.1873816651232265</v>
      </c>
      <c r="V3236" s="46">
        <f>'Data_in-situ'!DP69</f>
        <v>3</v>
      </c>
      <c r="W3236" s="113">
        <f>'Data_in-situ'!DR69</f>
        <v>1.0794478740303646</v>
      </c>
      <c r="X3236" s="113">
        <f>'Data_in-situ'!DS69</f>
        <v>0.96059962800413323</v>
      </c>
      <c r="Y3236" s="46">
        <f>'Data_in-situ'!DT69</f>
        <v>3</v>
      </c>
      <c r="AF3236" s="113">
        <f>'Data_in-situ'!EN51</f>
        <v>-53.36</v>
      </c>
      <c r="AG3236" s="113">
        <f>'Data_in-situ'!EO51</f>
        <v>6.3986248522631799</v>
      </c>
      <c r="AH3236" s="110">
        <f>'Data_in-situ'!EP51</f>
        <v>3</v>
      </c>
      <c r="AI3236" s="113">
        <f>'Data_in-situ'!ER51</f>
        <v>-88.300000000000011</v>
      </c>
      <c r="AJ3236" s="113">
        <f>'Data_in-situ'!ES51</f>
        <v>8.3224065029293062</v>
      </c>
      <c r="AK3236" s="110">
        <f>'Data_in-situ'!ET51</f>
        <v>3</v>
      </c>
    </row>
    <row r="3237" spans="2:37" x14ac:dyDescent="0.3">
      <c r="B3237" s="24">
        <f>'Data_in-situ'!CA356</f>
        <v>-6328.9988329119469</v>
      </c>
      <c r="C3237" s="24">
        <f>'Data_in-situ'!CB356</f>
        <v>1543.0761204956746</v>
      </c>
      <c r="D3237" s="46">
        <f>'Data_in-situ'!CC356</f>
        <v>3</v>
      </c>
      <c r="E3237" s="24">
        <f>'Data_in-situ'!CE356</f>
        <v>-4475.6377749118492</v>
      </c>
      <c r="F3237" s="24">
        <f>'Data_in-situ'!CF356</f>
        <v>1666.1416304755389</v>
      </c>
      <c r="G3237" s="46">
        <f>'Data_in-situ'!CG356</f>
        <v>3</v>
      </c>
      <c r="H3237" s="24">
        <f>'Data_in-situ'!CN356</f>
        <v>5111.9658604723854</v>
      </c>
      <c r="I3237" s="24">
        <f>'Data_in-situ'!CO356</f>
        <v>1470.3409867037487</v>
      </c>
      <c r="J3237" s="46">
        <f>'Data_in-situ'!CP356</f>
        <v>3</v>
      </c>
      <c r="K3237" s="24">
        <f>'Data_in-situ'!CR356</f>
        <v>5547.6173892807064</v>
      </c>
      <c r="L3237" s="24">
        <f>'Data_in-situ'!CS356</f>
        <v>1455.6458174146255</v>
      </c>
      <c r="M3237" s="46">
        <f>'Data_in-situ'!CT356</f>
        <v>3</v>
      </c>
      <c r="N3237" s="24">
        <f>'Data_in-situ'!DA169</f>
        <v>826.51624872736215</v>
      </c>
      <c r="O3237" s="24">
        <f>'Data_in-situ'!DB169</f>
        <v>2479.2648863557561</v>
      </c>
      <c r="P3237" s="46">
        <f>'Data_in-situ'!DC169</f>
        <v>3</v>
      </c>
      <c r="Q3237" s="24">
        <f>'Data_in-situ'!DE169</f>
        <v>-2686.077525816791</v>
      </c>
      <c r="R3237" s="24">
        <f>'Data_in-situ'!DF169</f>
        <v>2560.2154386627908</v>
      </c>
      <c r="S3237" s="46">
        <f>'Data_in-situ'!DG169</f>
        <v>3</v>
      </c>
      <c r="T3237" s="113">
        <f>'Data_in-situ'!DN70</f>
        <v>8.4029927968922031</v>
      </c>
      <c r="U3237" s="113">
        <f>'Data_in-situ'!DO70</f>
        <v>3.1873816651232265</v>
      </c>
      <c r="V3237" s="46">
        <f>'Data_in-situ'!DP70</f>
        <v>3</v>
      </c>
      <c r="W3237" s="113">
        <f>'Data_in-situ'!DR70</f>
        <v>0.78616919085132009</v>
      </c>
      <c r="X3237" s="113">
        <f>'Data_in-situ'!DS70</f>
        <v>1.3520526050253143</v>
      </c>
      <c r="Y3237" s="46">
        <f>'Data_in-situ'!DT70</f>
        <v>3</v>
      </c>
      <c r="AF3237" s="113">
        <f>'Data_in-situ'!EN52</f>
        <v>-53.36</v>
      </c>
      <c r="AG3237" s="113">
        <f>'Data_in-situ'!EO52</f>
        <v>6.3986248522631799</v>
      </c>
      <c r="AH3237" s="110">
        <f>'Data_in-situ'!EP52</f>
        <v>3</v>
      </c>
      <c r="AI3237" s="113">
        <f>'Data_in-situ'!ER52</f>
        <v>-124.16</v>
      </c>
      <c r="AJ3237" s="113">
        <f>'Data_in-situ'!ES52</f>
        <v>9.3061459262145689</v>
      </c>
      <c r="AK3237" s="110">
        <f>'Data_in-situ'!ET52</f>
        <v>3</v>
      </c>
    </row>
    <row r="3238" spans="2:37" x14ac:dyDescent="0.3">
      <c r="B3238" s="24">
        <f>'Data_in-situ'!CA358</f>
        <v>-8439.7813360929867</v>
      </c>
      <c r="C3238" s="24">
        <f>'Data_in-situ'!CB358</f>
        <v>2057.7069747914984</v>
      </c>
      <c r="D3238" s="46">
        <f>'Data_in-situ'!CC358</f>
        <v>3</v>
      </c>
      <c r="E3238" s="24">
        <f>'Data_in-situ'!CE358</f>
        <v>-8092.5650763993508</v>
      </c>
      <c r="F3238" s="24">
        <f>'Data_in-situ'!CF358</f>
        <v>3012.6118889026902</v>
      </c>
      <c r="G3238" s="46">
        <f>'Data_in-situ'!CG358</f>
        <v>3</v>
      </c>
      <c r="H3238" s="24">
        <f>'Data_in-situ'!CN358</f>
        <v>5436.6394443079935</v>
      </c>
      <c r="I3238" s="24">
        <f>'Data_in-situ'!CO358</f>
        <v>1563.7259760881216</v>
      </c>
      <c r="J3238" s="46">
        <f>'Data_in-situ'!CP358</f>
        <v>3</v>
      </c>
      <c r="K3238" s="24">
        <f>'Data_in-situ'!CR358</f>
        <v>7258.5296659115611</v>
      </c>
      <c r="L3238" s="24">
        <f>'Data_in-situ'!CS358</f>
        <v>1904.5740914252362</v>
      </c>
      <c r="M3238" s="46">
        <f>'Data_in-situ'!CT358</f>
        <v>3</v>
      </c>
      <c r="N3238" s="24">
        <f>'Data_in-situ'!DA170</f>
        <v>-870.68123911737575</v>
      </c>
      <c r="O3238" s="24">
        <f>'Data_in-situ'!DB170</f>
        <v>2611.7446894434738</v>
      </c>
      <c r="P3238" s="46">
        <f>'Data_in-situ'!DC170</f>
        <v>3</v>
      </c>
      <c r="Q3238" s="24">
        <f>'Data_in-situ'!DE170</f>
        <v>-911.63843300448298</v>
      </c>
      <c r="R3238" s="24">
        <f>'Data_in-situ'!DF170</f>
        <v>868.92160342494367</v>
      </c>
      <c r="S3238" s="46">
        <f>'Data_in-situ'!DG170</f>
        <v>3</v>
      </c>
      <c r="T3238" s="113">
        <f>'Data_in-situ'!DN167</f>
        <v>2.9175154909077907</v>
      </c>
      <c r="U3238" s="113">
        <f>'Data_in-situ'!DO167</f>
        <v>16.507200000000001</v>
      </c>
      <c r="V3238" s="46">
        <f>'Data_in-situ'!DP167</f>
        <v>8</v>
      </c>
      <c r="W3238" s="113">
        <f>'Data_in-situ'!DR167</f>
        <v>-0.3033323434259278</v>
      </c>
      <c r="X3238" s="113">
        <f>'Data_in-situ'!DS167</f>
        <v>3.4939236241769644</v>
      </c>
      <c r="Y3238" s="46">
        <f>'Data_in-situ'!DT167</f>
        <v>8</v>
      </c>
      <c r="AF3238" s="113">
        <f>'Data_in-situ'!EN53</f>
        <v>-38</v>
      </c>
      <c r="AG3238" s="113">
        <f>'Data_in-situ'!EO53</f>
        <v>7.6</v>
      </c>
      <c r="AH3238" s="110">
        <f>'Data_in-situ'!EP53</f>
        <v>3</v>
      </c>
      <c r="AI3238" s="113">
        <f>'Data_in-situ'!ER53</f>
        <v>-73</v>
      </c>
      <c r="AJ3238" s="113">
        <f>'Data_in-situ'!ES53</f>
        <v>10.3</v>
      </c>
      <c r="AK3238" s="110">
        <f>'Data_in-situ'!ET53</f>
        <v>3</v>
      </c>
    </row>
    <row r="3239" spans="2:37" x14ac:dyDescent="0.3">
      <c r="B3239" s="24">
        <f>'Data_in-situ'!CA359</f>
        <v>-8439.7813360929867</v>
      </c>
      <c r="C3239" s="24">
        <f>'Data_in-situ'!CB359</f>
        <v>2057.7069747914984</v>
      </c>
      <c r="D3239" s="46">
        <f>'Data_in-situ'!CC359</f>
        <v>3</v>
      </c>
      <c r="E3239" s="24">
        <f>'Data_in-situ'!CE359</f>
        <v>-6425.7832666283757</v>
      </c>
      <c r="F3239" s="24">
        <f>'Data_in-situ'!CF359</f>
        <v>2392.1205306105239</v>
      </c>
      <c r="G3239" s="46">
        <f>'Data_in-situ'!CG359</f>
        <v>3</v>
      </c>
      <c r="H3239" s="24">
        <f>'Data_in-situ'!CN359</f>
        <v>5436.6394443079935</v>
      </c>
      <c r="I3239" s="24">
        <f>'Data_in-situ'!CO359</f>
        <v>1563.7259760881216</v>
      </c>
      <c r="J3239" s="46">
        <f>'Data_in-situ'!CP359</f>
        <v>3</v>
      </c>
      <c r="K3239" s="24">
        <f>'Data_in-situ'!CR359</f>
        <v>7678.4238876488043</v>
      </c>
      <c r="L3239" s="24">
        <f>'Data_in-situ'!CS359</f>
        <v>2014.7506275377307</v>
      </c>
      <c r="M3239" s="46">
        <f>'Data_in-situ'!CT359</f>
        <v>3</v>
      </c>
      <c r="N3239" s="24">
        <f>'Data_in-situ'!DA171</f>
        <v>82.020696438593234</v>
      </c>
      <c r="O3239" s="24">
        <f>'Data_in-situ'!DB171</f>
        <v>246.03392002003699</v>
      </c>
      <c r="P3239" s="46">
        <f>'Data_in-situ'!DC171</f>
        <v>3</v>
      </c>
      <c r="Q3239" s="24">
        <f>'Data_in-situ'!DE171</f>
        <v>-4541.9129072902078</v>
      </c>
      <c r="R3239" s="24">
        <f>'Data_in-situ'!DF171</f>
        <v>4329.0915599207165</v>
      </c>
      <c r="S3239" s="46">
        <f>'Data_in-situ'!DG171</f>
        <v>3</v>
      </c>
      <c r="T3239" s="113">
        <f>'Data_in-situ'!DN168</f>
        <v>11.795840386040403</v>
      </c>
      <c r="U3239" s="113">
        <f>'Data_in-situ'!DO168</f>
        <v>13.150938144632661</v>
      </c>
      <c r="V3239" s="46">
        <f>'Data_in-situ'!DP168</f>
        <v>3</v>
      </c>
      <c r="W3239" s="113">
        <f>'Data_in-situ'!DR168</f>
        <v>0.26812694984226471</v>
      </c>
      <c r="X3239" s="113">
        <f>'Data_in-situ'!DS168</f>
        <v>1.002048405980223</v>
      </c>
      <c r="Y3239" s="46">
        <f>'Data_in-situ'!DT168</f>
        <v>3</v>
      </c>
      <c r="AF3239" s="113">
        <f>'Data_in-situ'!EN54</f>
        <v>-38</v>
      </c>
      <c r="AG3239" s="113">
        <f>'Data_in-situ'!EO54</f>
        <v>7.6</v>
      </c>
      <c r="AH3239" s="110">
        <f>'Data_in-situ'!EP54</f>
        <v>3</v>
      </c>
      <c r="AI3239" s="113">
        <f>'Data_in-situ'!ER54</f>
        <v>-112</v>
      </c>
      <c r="AJ3239" s="113">
        <f>'Data_in-situ'!ES54</f>
        <v>15.2</v>
      </c>
      <c r="AK3239" s="110">
        <f>'Data_in-situ'!ET54</f>
        <v>3</v>
      </c>
    </row>
    <row r="3240" spans="2:37" x14ac:dyDescent="0.3">
      <c r="B3240" s="24">
        <f>'Data_in-situ'!CA405</f>
        <v>-1587.859649122807</v>
      </c>
      <c r="C3240" s="24">
        <f>'Data_in-situ'!CB405</f>
        <v>7.4722807017543857</v>
      </c>
      <c r="D3240" s="46">
        <f>'Data_in-situ'!CC405</f>
        <v>4</v>
      </c>
      <c r="E3240" s="24">
        <f>'Data_in-situ'!CE405</f>
        <v>-1598.6673105064185</v>
      </c>
      <c r="F3240" s="24">
        <f>'Data_in-situ'!CF405</f>
        <v>44.336749279956244</v>
      </c>
      <c r="G3240" s="46">
        <f>'Data_in-situ'!CG405</f>
        <v>4</v>
      </c>
      <c r="H3240" s="24">
        <f>'Data_in-situ'!CN405</f>
        <v>1001.8997468285809</v>
      </c>
      <c r="I3240" s="24">
        <f>'Data_in-situ'!CO405</f>
        <v>31.53551699296025</v>
      </c>
      <c r="J3240" s="46">
        <f>'Data_in-situ'!CP405</f>
        <v>4</v>
      </c>
      <c r="K3240" s="24">
        <f>'Data_in-situ'!CR405</f>
        <v>1031.8740709698438</v>
      </c>
      <c r="L3240" s="24">
        <f>'Data_in-situ'!CS405</f>
        <v>95.91547767591031</v>
      </c>
      <c r="M3240" s="46">
        <f>'Data_in-situ'!CT405</f>
        <v>4</v>
      </c>
      <c r="N3240" s="24">
        <f>'Data_in-situ'!DA355</f>
        <v>-1217.0329724395615</v>
      </c>
      <c r="O3240" s="24">
        <f>'Data_in-situ'!DB355</f>
        <v>3650.6809379157057</v>
      </c>
      <c r="P3240" s="46">
        <f>'Data_in-situ'!DC355</f>
        <v>3</v>
      </c>
      <c r="Q3240" s="24">
        <f>'Data_in-situ'!DE355</f>
        <v>-942.32663407012569</v>
      </c>
      <c r="R3240" s="24">
        <f>'Data_in-situ'!DF355</f>
        <v>898.17184114068311</v>
      </c>
      <c r="S3240" s="46">
        <f>'Data_in-situ'!DG355</f>
        <v>3</v>
      </c>
      <c r="T3240" s="113">
        <f>'Data_in-situ'!DN169</f>
        <v>14.661871345978286</v>
      </c>
      <c r="U3240" s="113">
        <f>'Data_in-situ'!DO169</f>
        <v>16.346216703958547</v>
      </c>
      <c r="V3240" s="46">
        <f>'Data_in-situ'!DP169</f>
        <v>3</v>
      </c>
      <c r="W3240" s="113">
        <f>'Data_in-situ'!DR169</f>
        <v>4.2578559634951523</v>
      </c>
      <c r="X3240" s="113">
        <f>'Data_in-situ'!DS169</f>
        <v>15.912528686965901</v>
      </c>
      <c r="Y3240" s="46">
        <f>'Data_in-situ'!DT169</f>
        <v>3</v>
      </c>
      <c r="AF3240" s="113">
        <f>'Data_in-situ'!EN55</f>
        <v>-47</v>
      </c>
      <c r="AG3240" s="113">
        <f>'Data_in-situ'!EO55</f>
        <v>6.8</v>
      </c>
      <c r="AH3240" s="110">
        <f>'Data_in-situ'!EP55</f>
        <v>3</v>
      </c>
      <c r="AI3240" s="113">
        <f>'Data_in-situ'!ER55</f>
        <v>-82</v>
      </c>
      <c r="AJ3240" s="113">
        <f>'Data_in-situ'!ES55</f>
        <v>12.3</v>
      </c>
      <c r="AK3240" s="110">
        <f>'Data_in-situ'!ET55</f>
        <v>3</v>
      </c>
    </row>
    <row r="3241" spans="2:37" x14ac:dyDescent="0.3">
      <c r="B3241" s="24">
        <f>'Data_in-situ'!CA406</f>
        <v>-1541.1578947368423</v>
      </c>
      <c r="C3241" s="24">
        <f>'Data_in-situ'!CB406</f>
        <v>7.2387719298245612</v>
      </c>
      <c r="D3241" s="46">
        <f>'Data_in-situ'!CC406</f>
        <v>4</v>
      </c>
      <c r="E3241" s="24">
        <f>'Data_in-situ'!CE406</f>
        <v>-2325.3342698275173</v>
      </c>
      <c r="F3241" s="24">
        <f>'Data_in-situ'!CF406</f>
        <v>61.965584260203691</v>
      </c>
      <c r="G3241" s="46">
        <f>'Data_in-situ'!CG406</f>
        <v>4</v>
      </c>
      <c r="H3241" s="24">
        <f>'Data_in-situ'!CN406</f>
        <v>1345.4082314555228</v>
      </c>
      <c r="I3241" s="24">
        <f>'Data_in-situ'!CO406</f>
        <v>87.695812130506496</v>
      </c>
      <c r="J3241" s="46">
        <f>'Data_in-situ'!CP406</f>
        <v>4</v>
      </c>
      <c r="K3241" s="24">
        <f>'Data_in-situ'!CR406</f>
        <v>1031.8740709698438</v>
      </c>
      <c r="L3241" s="24">
        <f>'Data_in-situ'!CS406</f>
        <v>302.96098741004602</v>
      </c>
      <c r="M3241" s="46">
        <f>'Data_in-situ'!CT406</f>
        <v>4</v>
      </c>
      <c r="N3241" s="24">
        <f>'Data_in-situ'!DA356</f>
        <v>-1217.0329724395615</v>
      </c>
      <c r="O3241" s="24">
        <f>'Data_in-situ'!DB356</f>
        <v>3650.6809379157057</v>
      </c>
      <c r="P3241" s="46">
        <f>'Data_in-situ'!DC356</f>
        <v>3</v>
      </c>
      <c r="Q3241" s="24">
        <f>'Data_in-situ'!DE356</f>
        <v>1071.9796143688573</v>
      </c>
      <c r="R3241" s="24">
        <f>'Data_in-situ'!DF356</f>
        <v>1021.7496450719074</v>
      </c>
      <c r="S3241" s="46">
        <f>'Data_in-situ'!DG356</f>
        <v>3</v>
      </c>
      <c r="T3241" s="113">
        <f>'Data_in-situ'!DN170</f>
        <v>5.1084348128521384</v>
      </c>
      <c r="U3241" s="113">
        <f>'Data_in-situ'!DO170</f>
        <v>5.6952881728724067</v>
      </c>
      <c r="V3241" s="46">
        <f>'Data_in-situ'!DP170</f>
        <v>3</v>
      </c>
      <c r="W3241" s="113">
        <f>'Data_in-situ'!DR170</f>
        <v>-0.69713006958988755</v>
      </c>
      <c r="X3241" s="113">
        <f>'Data_in-situ'!DS170</f>
        <v>2.6053258555485774</v>
      </c>
      <c r="Y3241" s="46">
        <f>'Data_in-situ'!DT170</f>
        <v>3</v>
      </c>
      <c r="AF3241" s="113">
        <f>'Data_in-situ'!EN56</f>
        <v>-47</v>
      </c>
      <c r="AG3241" s="113">
        <f>'Data_in-situ'!EO56</f>
        <v>6.8</v>
      </c>
      <c r="AH3241" s="110">
        <f>'Data_in-situ'!EP56</f>
        <v>3</v>
      </c>
      <c r="AI3241" s="113">
        <f>'Data_in-situ'!ER56</f>
        <v>-120</v>
      </c>
      <c r="AJ3241" s="113">
        <f>'Data_in-situ'!ES56</f>
        <v>11.8</v>
      </c>
      <c r="AK3241" s="110">
        <f>'Data_in-situ'!ET56</f>
        <v>3</v>
      </c>
    </row>
    <row r="3242" spans="2:37" x14ac:dyDescent="0.3">
      <c r="B3242" s="24">
        <f>'Data_in-situ'!CA407</f>
        <v>-2129.6</v>
      </c>
      <c r="C3242" s="24">
        <f>'Data_in-situ'!CB407</f>
        <v>6.8256410256410263</v>
      </c>
      <c r="D3242" s="46">
        <f>'Data_in-situ'!CC407</f>
        <v>4</v>
      </c>
      <c r="E3242" s="24">
        <f>'Data_in-situ'!CE407</f>
        <v>-2860.45927166603</v>
      </c>
      <c r="F3242" s="24">
        <f>'Data_in-situ'!CF407</f>
        <v>83.041731299949717</v>
      </c>
      <c r="G3242" s="46">
        <f>'Data_in-situ'!CG407</f>
        <v>4</v>
      </c>
      <c r="H3242" s="24">
        <f>'Data_in-situ'!CN407</f>
        <v>1355.5373277970868</v>
      </c>
      <c r="I3242" s="24">
        <f>'Data_in-situ'!CO407</f>
        <v>118.50504120960676</v>
      </c>
      <c r="J3242" s="46">
        <f>'Data_in-situ'!CP407</f>
        <v>4</v>
      </c>
      <c r="K3242" s="24">
        <f>'Data_in-situ'!CR407</f>
        <v>1460.4986850650098</v>
      </c>
      <c r="L3242" s="24">
        <f>'Data_in-situ'!CS407</f>
        <v>101.18634540814155</v>
      </c>
      <c r="M3242" s="46">
        <f>'Data_in-situ'!CT407</f>
        <v>4</v>
      </c>
      <c r="N3242" s="24">
        <f>'Data_in-situ'!DA358</f>
        <v>-3003.1418917849933</v>
      </c>
      <c r="O3242" s="24">
        <f>'Data_in-situ'!DB358</f>
        <v>9008.3942723581713</v>
      </c>
      <c r="P3242" s="46">
        <f>'Data_in-situ'!DC358</f>
        <v>3</v>
      </c>
      <c r="Q3242" s="24">
        <f>'Data_in-situ'!DE358</f>
        <v>-834.0354104877897</v>
      </c>
      <c r="R3242" s="24">
        <f>'Data_in-situ'!DF358</f>
        <v>794.95484169727581</v>
      </c>
      <c r="S3242" s="46">
        <f>'Data_in-situ'!DG358</f>
        <v>3</v>
      </c>
      <c r="T3242" s="113">
        <f>'Data_in-situ'!DN171</f>
        <v>8.2133016861181183</v>
      </c>
      <c r="U3242" s="113">
        <f>'Data_in-situ'!DO171</f>
        <v>9.1568399454753813</v>
      </c>
      <c r="V3242" s="46">
        <f>'Data_in-situ'!DP171</f>
        <v>3</v>
      </c>
      <c r="W3242" s="113">
        <f>'Data_in-situ'!DR171</f>
        <v>3.0351970722144359</v>
      </c>
      <c r="X3242" s="113">
        <f>'Data_in-situ'!DS171</f>
        <v>11.343187955696123</v>
      </c>
      <c r="Y3242" s="46">
        <f>'Data_in-situ'!DT171</f>
        <v>3</v>
      </c>
      <c r="AF3242" s="113">
        <f>'Data_in-situ'!EN57</f>
        <v>-56</v>
      </c>
      <c r="AG3242" s="113">
        <f>'Data_in-situ'!EO57</f>
        <v>10.1</v>
      </c>
      <c r="AH3242" s="110">
        <f>'Data_in-situ'!EP57</f>
        <v>3</v>
      </c>
      <c r="AI3242" s="113">
        <f>'Data_in-situ'!ER57</f>
        <v>-91</v>
      </c>
      <c r="AJ3242" s="113">
        <f>'Data_in-situ'!ES57</f>
        <v>11.3</v>
      </c>
      <c r="AK3242" s="110">
        <f>'Data_in-situ'!ET57</f>
        <v>3</v>
      </c>
    </row>
    <row r="3243" spans="2:37" x14ac:dyDescent="0.3">
      <c r="N3243" s="24">
        <f>'Data_in-situ'!DA359</f>
        <v>-3003.1418917849933</v>
      </c>
      <c r="O3243" s="24">
        <f>'Data_in-situ'!DB359</f>
        <v>9008.3942723581713</v>
      </c>
      <c r="P3243" s="46">
        <f>'Data_in-situ'!DC359</f>
        <v>3</v>
      </c>
      <c r="Q3243" s="24">
        <f>'Data_in-situ'!DE359</f>
        <v>1252.6406210204286</v>
      </c>
      <c r="R3243" s="24">
        <f>'Data_in-situ'!DF359</f>
        <v>1193.9453817727929</v>
      </c>
      <c r="S3243" s="46">
        <f>'Data_in-situ'!DG359</f>
        <v>3</v>
      </c>
      <c r="T3243" s="113">
        <f>'Data_in-situ'!DN355</f>
        <v>104.97588219692315</v>
      </c>
      <c r="U3243" s="113">
        <f>'Data_in-situ'!DO355</f>
        <v>117.03543692264172</v>
      </c>
      <c r="V3243" s="46">
        <f>'Data_in-situ'!DP355</f>
        <v>3</v>
      </c>
      <c r="W3243" s="113">
        <f>'Data_in-situ'!DR355</f>
        <v>16.732012874581695</v>
      </c>
      <c r="X3243" s="113">
        <f>'Data_in-situ'!DS355</f>
        <v>62.531151156862556</v>
      </c>
      <c r="Y3243" s="46">
        <f>'Data_in-situ'!DT355</f>
        <v>3</v>
      </c>
      <c r="AF3243" s="113">
        <f>'Data_in-situ'!EN58</f>
        <v>-56</v>
      </c>
      <c r="AG3243" s="113">
        <f>'Data_in-situ'!EO58</f>
        <v>10.1</v>
      </c>
      <c r="AH3243" s="110">
        <f>'Data_in-situ'!EP58</f>
        <v>3</v>
      </c>
      <c r="AI3243" s="113">
        <f>'Data_in-situ'!ER58</f>
        <v>-128</v>
      </c>
      <c r="AJ3243" s="113">
        <f>'Data_in-situ'!ES58</f>
        <v>14.2</v>
      </c>
      <c r="AK3243" s="110">
        <f>'Data_in-situ'!ET58</f>
        <v>3</v>
      </c>
    </row>
    <row r="3244" spans="2:37" x14ac:dyDescent="0.3">
      <c r="N3244" s="24">
        <f>'Data_in-situ'!DA405</f>
        <v>-585.95990229422614</v>
      </c>
      <c r="O3244" s="24">
        <f>'Data_in-situ'!DB405</f>
        <v>247.14424390137435</v>
      </c>
      <c r="P3244" s="46">
        <f>'Data_in-situ'!DC405</f>
        <v>4</v>
      </c>
      <c r="Q3244" s="24">
        <f>'Data_in-situ'!DE405</f>
        <v>-566.79323953657467</v>
      </c>
      <c r="R3244" s="24">
        <f>'Data_in-situ'!DF405</f>
        <v>690.43890345404782</v>
      </c>
      <c r="S3244" s="46">
        <f>'Data_in-situ'!DG405</f>
        <v>4</v>
      </c>
      <c r="T3244" s="113">
        <f>'Data_in-situ'!DN356</f>
        <v>104.97588219692315</v>
      </c>
      <c r="U3244" s="113">
        <f>'Data_in-situ'!DO356</f>
        <v>117.03543692264172</v>
      </c>
      <c r="V3244" s="46">
        <f>'Data_in-situ'!DP356</f>
        <v>3</v>
      </c>
      <c r="W3244" s="113">
        <f>'Data_in-situ'!DR356</f>
        <v>0</v>
      </c>
      <c r="X3244" s="113">
        <f>'Data_in-situ'!DS356</f>
        <v>0</v>
      </c>
      <c r="Y3244" s="46">
        <f>'Data_in-situ'!DT356</f>
        <v>3</v>
      </c>
      <c r="AF3244" s="113">
        <f>'Data_in-situ'!EN65</f>
        <v>-38</v>
      </c>
      <c r="AG3244" s="113">
        <f>'Data_in-situ'!EO65</f>
        <v>5.412566119688516</v>
      </c>
      <c r="AH3244" s="110">
        <f>'Data_in-situ'!EP65</f>
        <v>3</v>
      </c>
      <c r="AI3244" s="113">
        <f>'Data_in-situ'!ER65</f>
        <v>-73</v>
      </c>
      <c r="AJ3244" s="113">
        <f>'Data_in-situ'!ES65</f>
        <v>7.3195252578292278</v>
      </c>
      <c r="AK3244" s="110">
        <f>'Data_in-situ'!ET65</f>
        <v>3</v>
      </c>
    </row>
    <row r="3245" spans="2:37" x14ac:dyDescent="0.3">
      <c r="N3245" s="24">
        <f>'Data_in-situ'!DA406</f>
        <v>-195.7496632813195</v>
      </c>
      <c r="O3245" s="24">
        <f>'Data_in-situ'!DB406</f>
        <v>14.333494088181441</v>
      </c>
      <c r="P3245" s="46">
        <f>'Data_in-situ'!DC406</f>
        <v>4</v>
      </c>
      <c r="Q3245" s="24">
        <f>'Data_in-situ'!DE406</f>
        <v>-1293.4601988576735</v>
      </c>
      <c r="R3245" s="24">
        <f>'Data_in-situ'!DF406</f>
        <v>1575.5989774270381</v>
      </c>
      <c r="S3245" s="46">
        <f>'Data_in-situ'!DG406</f>
        <v>4</v>
      </c>
      <c r="T3245" s="113">
        <f>'Data_in-situ'!DN358</f>
        <v>109.11966702048591</v>
      </c>
      <c r="U3245" s="113">
        <f>'Data_in-situ'!DO358</f>
        <v>121.65525680116704</v>
      </c>
      <c r="V3245" s="46">
        <f>'Data_in-situ'!DP358</f>
        <v>3</v>
      </c>
      <c r="W3245" s="113">
        <f>'Data_in-situ'!DR358</f>
        <v>3.5225290262277253</v>
      </c>
      <c r="X3245" s="113">
        <f>'Data_in-situ'!DS358</f>
        <v>13.164452875128958</v>
      </c>
      <c r="Y3245" s="46">
        <f>'Data_in-situ'!DT358</f>
        <v>3</v>
      </c>
      <c r="AF3245" s="113">
        <f>'Data_in-situ'!EN66</f>
        <v>-38</v>
      </c>
      <c r="AG3245" s="113">
        <f>'Data_in-situ'!EO66</f>
        <v>5.412566119688516</v>
      </c>
      <c r="AH3245" s="110">
        <f>'Data_in-situ'!EP66</f>
        <v>3</v>
      </c>
      <c r="AI3245" s="113">
        <f>'Data_in-situ'!ER66</f>
        <v>-112</v>
      </c>
      <c r="AJ3245" s="113">
        <f>'Data_in-situ'!ES66</f>
        <v>10.756618055876112</v>
      </c>
      <c r="AK3245" s="110">
        <f>'Data_in-situ'!ET66</f>
        <v>3</v>
      </c>
    </row>
    <row r="3246" spans="2:37" x14ac:dyDescent="0.3">
      <c r="N3246" s="24">
        <f>'Data_in-situ'!DA407</f>
        <v>-774.06267220291306</v>
      </c>
      <c r="O3246" s="24">
        <f>'Data_in-situ'!DB407</f>
        <v>326.74240251044733</v>
      </c>
      <c r="P3246" s="46">
        <f>'Data_in-situ'!DC407</f>
        <v>4</v>
      </c>
      <c r="Q3246" s="24">
        <f>'Data_in-situ'!DE407</f>
        <v>-1399.9605866010202</v>
      </c>
      <c r="R3246" s="24">
        <f>'Data_in-situ'!DF407</f>
        <v>96.005553517597278</v>
      </c>
      <c r="S3246" s="46">
        <f>'Data_in-situ'!DG407</f>
        <v>4</v>
      </c>
      <c r="T3246" s="113">
        <f>'Data_in-situ'!DN359</f>
        <v>109.11966702048591</v>
      </c>
      <c r="U3246" s="113">
        <f>'Data_in-situ'!DO359</f>
        <v>121.65525680116704</v>
      </c>
      <c r="V3246" s="46">
        <f>'Data_in-situ'!DP359</f>
        <v>3</v>
      </c>
      <c r="W3246" s="113">
        <f>'Data_in-situ'!DR359</f>
        <v>0.88063225655693134</v>
      </c>
      <c r="X3246" s="113">
        <f>'Data_in-situ'!DS359</f>
        <v>3.2911132187822396</v>
      </c>
      <c r="Y3246" s="46">
        <f>'Data_in-situ'!DT359</f>
        <v>3</v>
      </c>
      <c r="AF3246" s="113">
        <f>'Data_in-situ'!EN67</f>
        <v>-45.680000000000007</v>
      </c>
      <c r="AG3246" s="113">
        <f>'Data_in-situ'!EO67</f>
        <v>4.842822317616041</v>
      </c>
      <c r="AH3246" s="110">
        <f>'Data_in-situ'!EP67</f>
        <v>3</v>
      </c>
      <c r="AI3246" s="113">
        <f>'Data_in-situ'!ER67</f>
        <v>-80.650000000000006</v>
      </c>
      <c r="AJ3246" s="113">
        <f>'Data_in-situ'!ES67</f>
        <v>8.7407922981844166</v>
      </c>
      <c r="AK3246" s="110">
        <f>'Data_in-situ'!ET67</f>
        <v>3</v>
      </c>
    </row>
    <row r="3247" spans="2:37" x14ac:dyDescent="0.3">
      <c r="T3247" s="113">
        <f>'Data_in-situ'!DN437</f>
        <v>199.12</v>
      </c>
      <c r="U3247" s="113">
        <f>'Data_in-situ'!DO437</f>
        <v>39.04</v>
      </c>
      <c r="V3247" s="46">
        <f>'Data_in-situ'!DP437</f>
        <v>3</v>
      </c>
      <c r="W3247" s="113">
        <f>'Data_in-situ'!DR437</f>
        <v>-1.37</v>
      </c>
      <c r="X3247" s="113">
        <f>'Data_in-situ'!DS437</f>
        <v>0.68</v>
      </c>
      <c r="Y3247" s="46">
        <f>'Data_in-situ'!DT437</f>
        <v>3</v>
      </c>
      <c r="AF3247" s="113">
        <f>'Data_in-situ'!EN68</f>
        <v>-45.680000000000007</v>
      </c>
      <c r="AG3247" s="113">
        <f>'Data_in-situ'!EO68</f>
        <v>4.842822317616041</v>
      </c>
      <c r="AH3247" s="110">
        <f>'Data_in-situ'!EP68</f>
        <v>3</v>
      </c>
      <c r="AI3247" s="113">
        <f>'Data_in-situ'!ER68</f>
        <v>-118.08000000000001</v>
      </c>
      <c r="AJ3247" s="113">
        <f>'Data_in-situ'!ES68</f>
        <v>8.3505324381143513</v>
      </c>
      <c r="AK3247" s="110">
        <f>'Data_in-situ'!ET68</f>
        <v>3</v>
      </c>
    </row>
    <row r="3248" spans="2:37" x14ac:dyDescent="0.3">
      <c r="T3248" s="113">
        <f>'Data_in-situ'!DN438</f>
        <v>199.12</v>
      </c>
      <c r="U3248" s="113">
        <f>'Data_in-situ'!DO438</f>
        <v>39.04</v>
      </c>
      <c r="V3248" s="46">
        <f>'Data_in-situ'!DP438</f>
        <v>3</v>
      </c>
      <c r="W3248" s="113">
        <f>'Data_in-situ'!DR438</f>
        <v>94.82</v>
      </c>
      <c r="X3248" s="113">
        <f>'Data_in-situ'!DS438</f>
        <v>9.86</v>
      </c>
      <c r="Y3248" s="46">
        <f>'Data_in-situ'!DT438</f>
        <v>3</v>
      </c>
      <c r="AF3248" s="113">
        <f>'Data_in-situ'!EN69</f>
        <v>-53.36</v>
      </c>
      <c r="AG3248" s="113">
        <f>'Data_in-situ'!EO69</f>
        <v>6.3986248522631799</v>
      </c>
      <c r="AH3248" s="110">
        <f>'Data_in-situ'!EP69</f>
        <v>3</v>
      </c>
      <c r="AI3248" s="113">
        <f>'Data_in-situ'!ER69</f>
        <v>-88.300000000000011</v>
      </c>
      <c r="AJ3248" s="113">
        <f>'Data_in-situ'!ES69</f>
        <v>8.3224065029293062</v>
      </c>
      <c r="AK3248" s="110">
        <f>'Data_in-situ'!ET69</f>
        <v>3</v>
      </c>
    </row>
    <row r="3249" spans="1:37" x14ac:dyDescent="0.3">
      <c r="AF3249" s="113">
        <f>'Data_in-situ'!EN70</f>
        <v>-53.36</v>
      </c>
      <c r="AG3249" s="113">
        <f>'Data_in-situ'!EO70</f>
        <v>6.3986248522631799</v>
      </c>
      <c r="AH3249" s="110">
        <f>'Data_in-situ'!EP70</f>
        <v>3</v>
      </c>
      <c r="AI3249" s="113">
        <f>'Data_in-situ'!ER70</f>
        <v>-124.16</v>
      </c>
      <c r="AJ3249" s="113">
        <f>'Data_in-situ'!ES70</f>
        <v>9.3061459262145689</v>
      </c>
      <c r="AK3249" s="110">
        <f>'Data_in-situ'!ET70</f>
        <v>3</v>
      </c>
    </row>
    <row r="3250" spans="1:37" x14ac:dyDescent="0.3">
      <c r="AF3250" s="113">
        <f>'Data_in-situ'!EN71</f>
        <v>-38</v>
      </c>
      <c r="AG3250" s="113">
        <f>'Data_in-situ'!EO71</f>
        <v>7.6</v>
      </c>
      <c r="AH3250" s="110">
        <f>'Data_in-situ'!EP71</f>
        <v>3</v>
      </c>
      <c r="AI3250" s="113">
        <f>'Data_in-situ'!ER71</f>
        <v>-112</v>
      </c>
      <c r="AJ3250" s="113">
        <f>'Data_in-situ'!ES71</f>
        <v>15.2</v>
      </c>
      <c r="AK3250" s="110">
        <f>'Data_in-situ'!ET71</f>
        <v>3</v>
      </c>
    </row>
    <row r="3251" spans="1:37" x14ac:dyDescent="0.3">
      <c r="AF3251" s="113">
        <f>'Data_in-situ'!EN72</f>
        <v>-47</v>
      </c>
      <c r="AG3251" s="113">
        <f>'Data_in-situ'!EO72</f>
        <v>6.8</v>
      </c>
      <c r="AH3251" s="110">
        <f>'Data_in-situ'!EP72</f>
        <v>3</v>
      </c>
      <c r="AI3251" s="113">
        <f>'Data_in-situ'!ER72</f>
        <v>-120</v>
      </c>
      <c r="AJ3251" s="113">
        <f>'Data_in-situ'!ES72</f>
        <v>11.8</v>
      </c>
      <c r="AK3251" s="110">
        <f>'Data_in-situ'!ET72</f>
        <v>3</v>
      </c>
    </row>
    <row r="3252" spans="1:37" x14ac:dyDescent="0.3">
      <c r="AF3252" s="113">
        <f>'Data_in-situ'!EN75</f>
        <v>-38</v>
      </c>
      <c r="AG3252" s="113">
        <f>'Data_in-situ'!EO75</f>
        <v>5.412566119688516</v>
      </c>
      <c r="AH3252" s="110">
        <f>'Data_in-situ'!EP75</f>
        <v>3</v>
      </c>
      <c r="AI3252" s="113">
        <f>'Data_in-situ'!ER75</f>
        <v>-112</v>
      </c>
      <c r="AJ3252" s="113">
        <f>'Data_in-situ'!ES75</f>
        <v>10.825132239377032</v>
      </c>
      <c r="AK3252" s="110">
        <f>'Data_in-situ'!ET75</f>
        <v>3</v>
      </c>
    </row>
    <row r="3253" spans="1:37" x14ac:dyDescent="0.3">
      <c r="AF3253" s="113">
        <f>'Data_in-situ'!EN76</f>
        <v>-45.680000000000007</v>
      </c>
      <c r="AG3253" s="113">
        <f>'Data_in-situ'!EO76</f>
        <v>4.842822317616041</v>
      </c>
      <c r="AH3253" s="110">
        <f>'Data_in-situ'!EP76</f>
        <v>3</v>
      </c>
      <c r="AI3253" s="113">
        <f>'Data_in-situ'!ER76</f>
        <v>-118.24000000000001</v>
      </c>
      <c r="AJ3253" s="113">
        <f>'Data_in-situ'!ES76</f>
        <v>8.4037210805690119</v>
      </c>
      <c r="AK3253" s="110">
        <f>'Data_in-situ'!ET76</f>
        <v>3</v>
      </c>
    </row>
    <row r="3254" spans="1:37" x14ac:dyDescent="0.3">
      <c r="AF3254" s="113">
        <f>'Data_in-situ'!EN167</f>
        <v>-18</v>
      </c>
      <c r="AG3254" s="113">
        <f>'Data_in-situ'!EO167</f>
        <v>7.3349351775232803</v>
      </c>
      <c r="AH3254" s="110">
        <f>'Data_in-situ'!EP167</f>
        <v>3</v>
      </c>
      <c r="AI3254" s="113">
        <f>'Data_in-situ'!ER167</f>
        <v>-37</v>
      </c>
      <c r="AJ3254" s="113">
        <f>'Data_in-situ'!ES167</f>
        <v>8.3921199798401851</v>
      </c>
      <c r="AK3254" s="110">
        <f>'Data_in-situ'!ET167</f>
        <v>3</v>
      </c>
    </row>
    <row r="3255" spans="1:37" x14ac:dyDescent="0.3">
      <c r="AF3255" s="113">
        <f>'Data_in-situ'!EN168</f>
        <v>-7.118297455968686</v>
      </c>
      <c r="AG3255" s="113">
        <f>'Data_in-situ'!EO168</f>
        <v>2.0896725316659488</v>
      </c>
      <c r="AH3255" s="110">
        <f>'Data_in-situ'!EP168</f>
        <v>3</v>
      </c>
      <c r="AI3255" s="113">
        <f>'Data_in-situ'!ER168</f>
        <v>-41.42054794520547</v>
      </c>
      <c r="AJ3255" s="113">
        <f>'Data_in-situ'!ES168</f>
        <v>4.0513805156967972</v>
      </c>
      <c r="AK3255" s="110">
        <f>'Data_in-situ'!ET168</f>
        <v>3</v>
      </c>
    </row>
    <row r="3256" spans="1:37" x14ac:dyDescent="0.3">
      <c r="AF3256" s="113">
        <f>'Data_in-situ'!EN169</f>
        <v>-23.325205479452055</v>
      </c>
      <c r="AG3256" s="113">
        <f>'Data_in-situ'!EO169</f>
        <v>9.1345235133236322</v>
      </c>
      <c r="AH3256" s="110">
        <f>'Data_in-situ'!EP169</f>
        <v>3</v>
      </c>
      <c r="AI3256" s="113">
        <f>'Data_in-situ'!ER169</f>
        <v>-50.248283223625691</v>
      </c>
      <c r="AJ3256" s="113">
        <f>'Data_in-situ'!ES169</f>
        <v>5.5408758417852315</v>
      </c>
      <c r="AK3256" s="110">
        <f>'Data_in-situ'!ET169</f>
        <v>3</v>
      </c>
    </row>
    <row r="3257" spans="1:37" x14ac:dyDescent="0.3">
      <c r="AF3257" s="113">
        <f>'Data_in-situ'!EN170</f>
        <v>-5.9909980430528433</v>
      </c>
      <c r="AG3257" s="113">
        <f>'Data_in-situ'!EO170</f>
        <v>3.1338536679828461</v>
      </c>
      <c r="AH3257" s="110">
        <f>'Data_in-situ'!EP170</f>
        <v>3</v>
      </c>
      <c r="AI3257" s="113">
        <f>'Data_in-situ'!ER170</f>
        <v>-25.035567514677091</v>
      </c>
      <c r="AJ3257" s="113">
        <f>'Data_in-situ'!ES170</f>
        <v>3.3576627131775418</v>
      </c>
      <c r="AK3257" s="110">
        <f>'Data_in-situ'!ET170</f>
        <v>3</v>
      </c>
    </row>
    <row r="3258" spans="1:37" x14ac:dyDescent="0.3">
      <c r="AF3258" s="113">
        <f>'Data_in-situ'!EN171</f>
        <v>-28.456673189823867</v>
      </c>
      <c r="AG3258" s="113">
        <f>'Data_in-situ'!EO171</f>
        <v>9.4179374135466869</v>
      </c>
      <c r="AH3258" s="110">
        <f>'Data_in-situ'!EP171</f>
        <v>3</v>
      </c>
      <c r="AI3258" s="113">
        <f>'Data_in-situ'!ER171</f>
        <v>-19.023532289628182</v>
      </c>
      <c r="AJ3258" s="113">
        <f>'Data_in-situ'!ES171</f>
        <v>6.0791484886821818</v>
      </c>
      <c r="AK3258" s="110">
        <f>'Data_in-situ'!ET171</f>
        <v>3</v>
      </c>
    </row>
    <row r="3259" spans="1:37" x14ac:dyDescent="0.3">
      <c r="AF3259" s="113">
        <f>'Data_in-situ'!EN355</f>
        <v>-10.6</v>
      </c>
      <c r="AG3259" s="113">
        <f>'Data_in-situ'!EO355</f>
        <v>7.7</v>
      </c>
      <c r="AH3259" s="110">
        <f>'Data_in-situ'!EP355</f>
        <v>3</v>
      </c>
      <c r="AI3259" s="113">
        <f>'Data_in-situ'!ER355</f>
        <v>-13.2</v>
      </c>
      <c r="AJ3259" s="113">
        <f>'Data_in-situ'!ES355</f>
        <v>6.5</v>
      </c>
      <c r="AK3259" s="110">
        <f>'Data_in-situ'!ET355</f>
        <v>3</v>
      </c>
    </row>
    <row r="3260" spans="1:37" x14ac:dyDescent="0.3">
      <c r="AF3260" s="113">
        <f>'Data_in-situ'!EN356</f>
        <v>-10.6</v>
      </c>
      <c r="AG3260" s="113">
        <f>'Data_in-situ'!EO356</f>
        <v>7.7</v>
      </c>
      <c r="AH3260" s="110">
        <f>'Data_in-situ'!EP356</f>
        <v>3</v>
      </c>
      <c r="AI3260" s="113">
        <f>'Data_in-situ'!ER356</f>
        <v>-53.1</v>
      </c>
      <c r="AJ3260" s="113">
        <f>'Data_in-situ'!ES356</f>
        <v>10.3</v>
      </c>
      <c r="AK3260" s="110">
        <f>'Data_in-situ'!ET356</f>
        <v>1</v>
      </c>
    </row>
    <row r="3261" spans="1:37" x14ac:dyDescent="0.3">
      <c r="AF3261" s="113">
        <f>'Data_in-situ'!EN358</f>
        <v>-10.199999999999999</v>
      </c>
      <c r="AG3261" s="113">
        <f>'Data_in-situ'!EO358</f>
        <v>4.7</v>
      </c>
      <c r="AH3261" s="110">
        <f>'Data_in-situ'!EP358</f>
        <v>3</v>
      </c>
      <c r="AI3261" s="113">
        <f>'Data_in-situ'!ER358</f>
        <v>-16.899999999999999</v>
      </c>
      <c r="AJ3261" s="113">
        <f>'Data_in-situ'!ES358</f>
        <v>10.3</v>
      </c>
      <c r="AK3261" s="110">
        <f>'Data_in-situ'!ET358</f>
        <v>3</v>
      </c>
    </row>
    <row r="3262" spans="1:37" x14ac:dyDescent="0.3">
      <c r="AF3262" s="113">
        <f>'Data_in-situ'!EN359</f>
        <v>-10.199999999999999</v>
      </c>
      <c r="AG3262" s="113">
        <f>'Data_in-situ'!EO359</f>
        <v>4.7</v>
      </c>
      <c r="AH3262" s="110">
        <f>'Data_in-situ'!EP359</f>
        <v>3</v>
      </c>
      <c r="AI3262" s="113">
        <f>'Data_in-situ'!ER359</f>
        <v>-57.1</v>
      </c>
      <c r="AJ3262" s="113">
        <f>'Data_in-situ'!ES359</f>
        <v>7.4</v>
      </c>
      <c r="AK3262" s="110">
        <f>'Data_in-situ'!ET359</f>
        <v>1</v>
      </c>
    </row>
    <row r="3264" spans="1:37" x14ac:dyDescent="0.3">
      <c r="A3264" s="110" t="s">
        <v>831</v>
      </c>
      <c r="B3264" s="24">
        <f>AVERAGEA(B3220:B3262)</f>
        <v>-8253.5163275627365</v>
      </c>
      <c r="C3264" s="24">
        <f>STDEVA(B3220:B3262)/SQRT(COUNT(B3220:B3262))</f>
        <v>602.60841526128002</v>
      </c>
      <c r="D3264" s="110">
        <f>COUNT(B3220:B3262)</f>
        <v>23</v>
      </c>
      <c r="E3264" s="24">
        <f>AVERAGEA(E3220:E3262)</f>
        <v>-6749.2570271275563</v>
      </c>
      <c r="F3264" s="24">
        <f>STDEVA(E3220:E3262)/SQRT(COUNT(E3220:E3262))</f>
        <v>844.43131102905738</v>
      </c>
      <c r="G3264" s="110">
        <f>COUNT(E3220:E3262)</f>
        <v>23</v>
      </c>
      <c r="H3264" s="24">
        <f>AVERAGEA(H3220:H3262)</f>
        <v>9310.3541427529071</v>
      </c>
      <c r="I3264" s="24">
        <f>STDEVA(H3220:H3262)/SQRT(COUNT(H3220:H3262))</f>
        <v>863.13667694322362</v>
      </c>
      <c r="J3264" s="110">
        <f>COUNT(H3220:H3262)</f>
        <v>23</v>
      </c>
      <c r="K3264" s="24">
        <f>AVERAGEA(K3220:K3262)</f>
        <v>11827.237539892865</v>
      </c>
      <c r="L3264" s="24">
        <f>STDEVA(K3220:K3262)/SQRT(COUNT(K3220:K3262))</f>
        <v>1308.2733352454541</v>
      </c>
      <c r="M3264" s="110">
        <f>COUNT(K3220:K3262)</f>
        <v>23</v>
      </c>
      <c r="N3264" s="24">
        <f>AVERAGEA(N3220:N3262)</f>
        <v>894.54468191379522</v>
      </c>
      <c r="O3264" s="24">
        <f>STDEVA(N3220:N3262)/SQRT(COUNT(N3220:N3262))</f>
        <v>353.19800770744678</v>
      </c>
      <c r="P3264" s="110">
        <f>COUNT(N3220:N3262)</f>
        <v>27</v>
      </c>
      <c r="Q3264" s="24">
        <f>AVERAGEA(Q3220:Q3262)</f>
        <v>4032.6604642867323</v>
      </c>
      <c r="R3264" s="24">
        <f>STDEVA(Q3220:Q3262)/SQRT(COUNT(Q3220:Q3262))</f>
        <v>1012.5738987701918</v>
      </c>
      <c r="S3264" s="110">
        <f>COUNT(Q3220:Q3262)</f>
        <v>27</v>
      </c>
      <c r="T3264" s="113">
        <f>AVERAGEA(T3220:T3262)</f>
        <v>33.461190955712269</v>
      </c>
      <c r="U3264" s="113">
        <f>STDEVA(T3220:T3262)/SQRT(COUNT(T3220:T3262))</f>
        <v>10.74634149344522</v>
      </c>
      <c r="V3264" s="110">
        <f>COUNT(T3220:T3262)</f>
        <v>29</v>
      </c>
      <c r="W3264" s="113">
        <f>AVERAGEA(W3220:W3262)</f>
        <v>5.2311182001321619</v>
      </c>
      <c r="X3264" s="113">
        <f>STDEVA(W3220:W3262)/SQRT(COUNT(W3220:W3262))</f>
        <v>3.2571387591910597</v>
      </c>
      <c r="Y3264" s="110">
        <f>COUNT(W3220:W3262)</f>
        <v>29</v>
      </c>
      <c r="Z3264" s="113">
        <f>AVERAGEA(Z3220:Z3262)</f>
        <v>6.9839327578755412</v>
      </c>
      <c r="AA3264" s="113">
        <f>STDEVA(Z3220:Z3262)/SQRT(COUNT(Z3220:Z3262))</f>
        <v>1.6970925153083356</v>
      </c>
      <c r="AB3264" s="110">
        <f>COUNT(Z3220:Z3262)</f>
        <v>4</v>
      </c>
      <c r="AC3264" s="113">
        <f>AVERAGEA(AC3220:AC3262)</f>
        <v>9.6362263993825472</v>
      </c>
      <c r="AD3264" s="113">
        <f>STDEVA(AC3220:AC3262)/SQRT(COUNT(AC3220:AC3262))</f>
        <v>3.8672774563363168</v>
      </c>
      <c r="AE3264" s="110">
        <f>COUNT(AC3220:AC3262)</f>
        <v>4</v>
      </c>
      <c r="AF3264" s="113">
        <f>AVERAGEA(AF3220:AF3262)</f>
        <v>-35.518864515541807</v>
      </c>
      <c r="AG3264" s="113">
        <f>STDEVA(AF3220:AF3262)/SQRT(COUNT(AF3220:AF3262))</f>
        <v>2.3858403368021004</v>
      </c>
      <c r="AH3264" s="110">
        <f>COUNT(AF3220:AF3262)</f>
        <v>43</v>
      </c>
      <c r="AI3264" s="113">
        <f>AVERAGEA(AI3220:AI3262)</f>
        <v>-78.513106128428035</v>
      </c>
      <c r="AJ3264" s="113">
        <f>STDEVA(AI3220:AI3262)/SQRT(COUNT(AI3220:AI3262))</f>
        <v>5.7073307459613805</v>
      </c>
      <c r="AK3264" s="110">
        <f>COUNT(AI3220:AI3262)</f>
        <v>43</v>
      </c>
    </row>
  </sheetData>
  <phoneticPr fontId="1" type="noConversion"/>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Data_soil core</vt:lpstr>
      <vt:lpstr>Data_in-situ</vt:lpstr>
      <vt:lpstr>Annual flux from Data_in-situ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2023-04-19T14:09:42Z</dcterms:modified>
</cp:coreProperties>
</file>